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11.xml"/>
  <Override ContentType="application/vnd.openxmlformats-officedocument.spreadsheetml.comments+xml" PartName="/xl/comments10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fish_lab_data" sheetId="1" r:id="rId3"/>
    <sheet state="visible" name="sealice_lab_motiles" sheetId="2" r:id="rId4"/>
    <sheet state="visible" name="rna-muscle" sheetId="3" r:id="rId5"/>
    <sheet state="visible" name="rna-gill" sheetId="4" r:id="rId6"/>
    <sheet state="visible" name="fatty_acid" sheetId="5" r:id="rId7"/>
    <sheet state="visible" name="isotopes" sheetId="6" r:id="rId8"/>
    <sheet state="visible" name="extra_muscle" sheetId="7" r:id="rId9"/>
    <sheet state="visible" name="dna" sheetId="8" r:id="rId10"/>
    <sheet state="visible" name="stomachs" sheetId="9" r:id="rId11"/>
    <sheet state="visible" name="sea_lice" sheetId="10" r:id="rId12"/>
    <sheet state="visible" name="dissected_fish" sheetId="11" r:id="rId13"/>
    <sheet state="visible" name="sample qaqc (DO NOT EDIT)" sheetId="12" r:id="rId14"/>
    <sheet state="hidden" name="semsp_ids" sheetId="13" r:id="rId15"/>
    <sheet state="hidden" name="package_inventory" sheetId="14" r:id="rId16"/>
    <sheet state="visible" name="2018_ufns" sheetId="15" r:id="rId17"/>
    <sheet state="visible" name="2018_dissection_summary" sheetId="16" r:id="rId18"/>
    <sheet state="hidden" name="packages" sheetId="17" r:id="rId19"/>
    <sheet state="hidden" name="data_validation" sheetId="18" r:id="rId20"/>
  </sheets>
  <definedNames>
    <definedName hidden="1" localSheetId="4" name="_xlnm._FilterDatabase">fatty_acid!$A$1:$L$1558</definedName>
    <definedName hidden="1" localSheetId="5" name="_xlnm._FilterDatabase">isotopes!$A$1:$L$1019</definedName>
    <definedName hidden="1" localSheetId="10" name="_xlnm._FilterDatabase">dissected_fish!$A$1:$M$731</definedName>
    <definedName hidden="1" localSheetId="16" name="_xlnm._FilterDatabase">packages!$A$1:$F$158</definedName>
    <definedName hidden="1" localSheetId="11" name="_xlnm._FilterDatabase">'sample qaqc (DO NOT EDIT)'!$A$1:$U$1558</definedName>
    <definedName hidden="1" localSheetId="0" name="Z_176A3B82_B02F_4171_AD95_67F11276393C_.wvu.FilterData">fish_lab_data!$A$1:$X$1558</definedName>
    <definedName hidden="1" localSheetId="11" name="Z_176A3B82_B02F_4171_AD95_67F11276393C_.wvu.FilterData">'sample qaqc (DO NOT EDIT)'!$A$1:$U$272</definedName>
  </definedNames>
  <calcPr/>
  <customWorkbookViews>
    <customWorkbookView activeSheetId="0" maximized="1" tabRatio="600" windowHeight="0" windowWidth="0" guid="{176A3B82-B02F-4171-AD95-67F11276393C}" name="Filter 1"/>
  </customWorkbookView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1">
      <text>
        <t xml:space="preserve">Autofills as sample_location</t>
      </text>
    </comment>
    <comment authorId="0" ref="E1">
      <text>
        <t xml:space="preserve">Concatenation of "BRNA" and rna_tray_num</t>
      </text>
    </comment>
    <comment authorId="0" ref="H1">
      <text>
        <t xml:space="preserve">Concatenation of rna_row and rna_col</t>
      </text>
    </comment>
    <comment authorId="0" ref="I1">
      <text>
        <t xml:space="preserve">Concatenation of container_id &amp; container_cell</t>
      </text>
    </comment>
    <comment authorId="0" ref="L1">
      <text>
        <t xml:space="preserve">"Y" for duplicate UFNs or sample locations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1">
      <text>
        <t xml:space="preserve">Autofills as sample_location</t>
      </text>
    </comment>
    <comment authorId="0" ref="E1">
      <text>
        <t xml:space="preserve">Concatenation of "BRNA" and rna_tray_num</t>
      </text>
    </comment>
    <comment authorId="0" ref="H1">
      <text>
        <t xml:space="preserve">Concatenation of rna_row and rna_col</t>
      </text>
    </comment>
    <comment authorId="0" ref="I1">
      <text>
        <t xml:space="preserve">Concatenation of container_id &amp; container_cell</t>
      </text>
    </comment>
    <comment authorId="0" ref="L1">
      <text>
        <t xml:space="preserve">"Y" for duplicate UFNs or sample locations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1">
      <text>
        <t xml:space="preserve">Concatenation of "S", the 5-digit numerical portion of the UFN, and "FA1"</t>
      </text>
    </comment>
    <comment authorId="0" ref="E1">
      <text>
        <t xml:space="preserve">Concatenation of "BFA" &amp; fa_box_num</t>
      </text>
    </comment>
    <comment authorId="0" ref="G1">
      <text>
        <t xml:space="preserve">A concatenation of container_id and container_cell</t>
      </text>
    </comment>
    <comment authorId="0" ref="J1">
      <text>
        <t xml:space="preserve">"Y" for duplicate UFNs or sample locations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1">
      <text>
        <t xml:space="preserve">Concatenation of "S", the 5-digit numerical portion of the UFN, and "IS1"</t>
      </text>
    </comment>
    <comment authorId="0" ref="E1">
      <text>
        <t xml:space="preserve">Concatenation of "BIS" &amp; iso_box_num</t>
      </text>
    </comment>
    <comment authorId="0" ref="G1">
      <text>
        <t xml:space="preserve">A concatenation of container_id and container_cell</t>
      </text>
    </comment>
    <comment authorId="0" ref="J1">
      <text>
        <t xml:space="preserve">"Y" for duplicate UFNs or sample locations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1">
      <text>
        <t xml:space="preserve">Concatenation of "S", the 5-digit numerical portion of the UFN, and "XM1"</t>
      </text>
    </comment>
    <comment authorId="0" ref="E1">
      <text>
        <t xml:space="preserve">Concatenation of "BXM" &amp; xm_box_num</t>
      </text>
    </comment>
    <comment authorId="0" ref="G1">
      <text>
        <t xml:space="preserve">A concatenation of container_id and container_cell</t>
      </text>
    </comment>
    <comment authorId="0" ref="J1">
      <text>
        <t xml:space="preserve">"Y" for duplicate UFNs or sample locations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1">
      <text>
        <t xml:space="preserve">Concatenation of "S", the 5-digit numerical portion of the UFN, and "DN1"</t>
      </text>
    </comment>
    <comment authorId="0" ref="E1">
      <text>
        <t xml:space="preserve">Concatenation of "BST" &amp; stomach_tray_num</t>
      </text>
    </comment>
    <comment authorId="0" ref="G1">
      <text>
        <t xml:space="preserve">A concatenation of container_id and container_cell</t>
      </text>
    </comment>
    <comment authorId="0" ref="J1">
      <text>
        <t xml:space="preserve">"Y" for duplicate UFNs or sample locations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1">
      <text>
        <t xml:space="preserve">Concatenation of "S", the 5-digit numerical portion of the UFN, and "DN1"</t>
      </text>
    </comment>
    <comment authorId="0" ref="E1">
      <text>
        <t xml:space="preserve">Concatenation of "BST" &amp; stomach_tray_num</t>
      </text>
    </comment>
    <comment authorId="0" ref="G1">
      <text>
        <t xml:space="preserve">A concatenation of container_id and container_cell</t>
      </text>
    </comment>
    <comment authorId="0" ref="J1">
      <text>
        <t xml:space="preserve">"Y" for duplicate UFNs or sample locations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1">
      <text>
        <t xml:space="preserve">Concatenation of "S", the 5-digit numerical portion of the UFN, and "LC1" or "LL1", depending on sample_type</t>
      </text>
    </comment>
    <comment authorId="0" ref="E1">
      <text>
        <t xml:space="preserve">Concatenation of "BSL" &amp; sl_box_num</t>
      </text>
    </comment>
    <comment authorId="0" ref="G1">
      <text>
        <t xml:space="preserve">A concatenation of container_id and container_cell</t>
      </text>
    </comment>
    <comment authorId="0" ref="J1">
      <text>
        <t xml:space="preserve">Is "Y" for duplicate sample locations or IDs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1">
      <text>
        <t xml:space="preserve">Concatenation of "S", the 5-digit numerical portion of the UFN, and "CA1"</t>
      </text>
    </comment>
    <comment authorId="0" ref="F1">
      <text>
        <t xml:space="preserve">Concatenation of "BCA" &amp; carcass_bag_num</t>
      </text>
    </comment>
    <comment authorId="0" ref="H1">
      <text>
        <t xml:space="preserve">A concatenation of container_id and container_cell</t>
      </text>
    </comment>
    <comment authorId="0" ref="K1">
      <text>
        <t xml:space="preserve">Is "Y" for duplicate UFNs</t>
      </text>
    </comment>
  </commentList>
</comments>
</file>

<file path=xl/comments10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U1">
      <text>
        <t xml:space="preserve">The order in which UFNs were entered into the fish_lab-data spreadsheet</t>
      </text>
    </comment>
  </commentList>
</comments>
</file>

<file path=xl/comments1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650">
      <text>
        <t xml:space="preserve">Lab data in DB</t>
      </text>
    </comment>
    <comment authorId="0" ref="F651">
      <text>
        <t xml:space="preserve">Lab data in DB</t>
      </text>
    </comment>
    <comment authorId="0" ref="F652">
      <text>
        <t xml:space="preserve">Lab data in DB</t>
      </text>
    </comment>
    <comment authorId="0" ref="F653">
      <text>
        <t xml:space="preserve">Lab data in DB</t>
      </text>
    </comment>
    <comment authorId="0" ref="F654">
      <text>
        <t xml:space="preserve">Lab data in DB</t>
      </text>
    </comment>
    <comment authorId="0" ref="F655">
      <text>
        <t xml:space="preserve">Lab data in DB</t>
      </text>
    </comment>
    <comment authorId="0" ref="F656">
      <text>
        <t xml:space="preserve">Lab data in DB</t>
      </text>
    </comment>
    <comment authorId="0" ref="F657">
      <text>
        <t xml:space="preserve">Lab data in DB</t>
      </text>
    </comment>
  </commentList>
</comments>
</file>

<file path=xl/sharedStrings.xml><?xml version="1.0" encoding="utf-8"?>
<sst xmlns="http://schemas.openxmlformats.org/spreadsheetml/2006/main" count="26605" uniqueCount="2305">
  <si>
    <t>ufn</t>
  </si>
  <si>
    <t>sample_type</t>
  </si>
  <si>
    <t>semsp_id</t>
  </si>
  <si>
    <t>cm_lab</t>
  </si>
  <si>
    <t>cpaf_lab</t>
  </si>
  <si>
    <t>caf_lab</t>
  </si>
  <si>
    <t>cgf_lab</t>
  </si>
  <si>
    <t>lgf_lab</t>
  </si>
  <si>
    <t>ufn_num</t>
  </si>
  <si>
    <t>laf_lab</t>
  </si>
  <si>
    <t>lpaf_lab</t>
  </si>
  <si>
    <t>lpam_lab</t>
  </si>
  <si>
    <t>lam_lab</t>
  </si>
  <si>
    <t>ucal_lab</t>
  </si>
  <si>
    <t>ulep_lab</t>
  </si>
  <si>
    <t>lab_count_motiles</t>
  </si>
  <si>
    <t>sample_id</t>
  </si>
  <si>
    <t>rna_tray_num</t>
  </si>
  <si>
    <t>container_id</t>
  </si>
  <si>
    <t>rna_row</t>
  </si>
  <si>
    <t>rna_col</t>
  </si>
  <si>
    <t>container_cell</t>
  </si>
  <si>
    <t>sample_location</t>
  </si>
  <si>
    <t>comments_sample</t>
  </si>
  <si>
    <t>sample_status</t>
  </si>
  <si>
    <t>sample_qc_flag</t>
  </si>
  <si>
    <t>sample_flag_reason</t>
  </si>
  <si>
    <t>sample_qc_log</t>
  </si>
  <si>
    <t>U5471</t>
  </si>
  <si>
    <t>package_id</t>
  </si>
  <si>
    <t>date_processed</t>
  </si>
  <si>
    <t>cwt</t>
  </si>
  <si>
    <t>ad</t>
  </si>
  <si>
    <t>weight_lab</t>
  </si>
  <si>
    <t>standard_length</t>
  </si>
  <si>
    <t>fork_length</t>
  </si>
  <si>
    <t>condition_factor</t>
  </si>
  <si>
    <t>num_of_lice</t>
  </si>
  <si>
    <t>comments_protocol</t>
  </si>
  <si>
    <t>comments_fish_health_lab</t>
  </si>
  <si>
    <t>dissector</t>
  </si>
  <si>
    <t>dissection_protocol</t>
  </si>
  <si>
    <t>lice_collection_protocol</t>
  </si>
  <si>
    <t>lice_id_protocol</t>
  </si>
  <si>
    <t>data_qc</t>
  </si>
  <si>
    <t>fish_qc_flag</t>
  </si>
  <si>
    <t>fish_flag_reason</t>
  </si>
  <si>
    <t>fish_qc_log</t>
  </si>
  <si>
    <t>sealice_sample_location_qc</t>
  </si>
  <si>
    <t>order</t>
  </si>
  <si>
    <t>2015-06-14-J07-PI-6</t>
  </si>
  <si>
    <t>H</t>
  </si>
  <si>
    <t>JP445</t>
  </si>
  <si>
    <t>none</t>
  </si>
  <si>
    <t>present</t>
  </si>
  <si>
    <t>U5472</t>
  </si>
  <si>
    <t>G</t>
  </si>
  <si>
    <t>Did not take DNA sample</t>
  </si>
  <si>
    <t>STB</t>
  </si>
  <si>
    <t>U5473</t>
  </si>
  <si>
    <t>streamlined_workup_2018_with_stomachs</t>
  </si>
  <si>
    <t>F</t>
  </si>
  <si>
    <t>lab_motiles_cryo</t>
  </si>
  <si>
    <t>NA</t>
  </si>
  <si>
    <t>JG</t>
  </si>
  <si>
    <t>U5474</t>
  </si>
  <si>
    <t>E</t>
  </si>
  <si>
    <t>U5475</t>
  </si>
  <si>
    <t>D</t>
  </si>
  <si>
    <t>UFN already assigned to a previous fish</t>
  </si>
  <si>
    <t>Initially assigned UFN U5101, which was a duplicate ID</t>
  </si>
  <si>
    <t>U5476</t>
  </si>
  <si>
    <t>C</t>
  </si>
  <si>
    <t>U5477</t>
  </si>
  <si>
    <t>B</t>
  </si>
  <si>
    <t>U5478</t>
  </si>
  <si>
    <t>A</t>
  </si>
  <si>
    <t>U5479</t>
  </si>
  <si>
    <t>2015-06-14-J07-PI-5</t>
  </si>
  <si>
    <t>U5480</t>
  </si>
  <si>
    <t>collection_protocol</t>
  </si>
  <si>
    <t>disection_order</t>
  </si>
  <si>
    <t>U5481</t>
  </si>
  <si>
    <t>U17041</t>
  </si>
  <si>
    <t>Initially assigned UFN U5102, which was a duplicate ID</t>
  </si>
  <si>
    <t>U5482</t>
  </si>
  <si>
    <t>U5483</t>
  </si>
  <si>
    <t>U5484</t>
  </si>
  <si>
    <t>2015-06-14-J07-PI-2</t>
  </si>
  <si>
    <t>U5115</t>
  </si>
  <si>
    <t>U5485</t>
  </si>
  <si>
    <t>Initially assigned UFN U5103, which was a duplicate ID</t>
  </si>
  <si>
    <t>U5486</t>
  </si>
  <si>
    <t>U5487</t>
  </si>
  <si>
    <t>2015-06-14-J07-PI-1</t>
  </si>
  <si>
    <t>U5488</t>
  </si>
  <si>
    <t>U5489</t>
  </si>
  <si>
    <t>U16583</t>
  </si>
  <si>
    <t>Initially assigned UFN U5104, which was a duplicate ID</t>
  </si>
  <si>
    <t>U5490</t>
  </si>
  <si>
    <t>U5491</t>
  </si>
  <si>
    <t>2015-06-14-J07-PI-7</t>
  </si>
  <si>
    <t>U5492</t>
  </si>
  <si>
    <t>U5493</t>
  </si>
  <si>
    <t>U5494</t>
  </si>
  <si>
    <t>Initially assigned UFN U5105, which was a duplicate ID</t>
  </si>
  <si>
    <t>U5495</t>
  </si>
  <si>
    <t>U16582</t>
  </si>
  <si>
    <t>2015-06-14-J07-PI-4</t>
  </si>
  <si>
    <t>U5496</t>
  </si>
  <si>
    <t>U5497</t>
  </si>
  <si>
    <t>U5498</t>
  </si>
  <si>
    <t>U5499</t>
  </si>
  <si>
    <t>Initially assigned UFN U5106, which was a duplicate ID</t>
  </si>
  <si>
    <t>U5500</t>
  </si>
  <si>
    <t>U16901</t>
  </si>
  <si>
    <t>U5132</t>
  </si>
  <si>
    <t>U5133</t>
  </si>
  <si>
    <t>2015-06-14-J07-PI-3</t>
  </si>
  <si>
    <t>U5134</t>
  </si>
  <si>
    <t>Initially assigned UFN U5107, which was a duplicate ID</t>
  </si>
  <si>
    <t>U5135</t>
  </si>
  <si>
    <t>U17871</t>
  </si>
  <si>
    <t>2015-06-06-J07-PI-3</t>
  </si>
  <si>
    <t>U5136</t>
  </si>
  <si>
    <t>JP377</t>
  </si>
  <si>
    <t>U5137</t>
  </si>
  <si>
    <t>Initially assigned UFN U5108, which was a duplicate ID</t>
  </si>
  <si>
    <t>U5138</t>
  </si>
  <si>
    <t>U5139</t>
  </si>
  <si>
    <t>2015-06-06-J07-PI-1</t>
  </si>
  <si>
    <t>U5140</t>
  </si>
  <si>
    <t>U17661</t>
  </si>
  <si>
    <t>U5141</t>
  </si>
  <si>
    <t>Initially assigned UFN U5109, which was a duplicate ID</t>
  </si>
  <si>
    <t>U5142</t>
  </si>
  <si>
    <t>U5143</t>
  </si>
  <si>
    <t>2015-06-06-J07-PI-2</t>
  </si>
  <si>
    <t>U5144</t>
  </si>
  <si>
    <t>U5145</t>
  </si>
  <si>
    <t>U17125</t>
  </si>
  <si>
    <t>U5146</t>
  </si>
  <si>
    <t>Initially assigned UFN U5110, which was a duplicate ID</t>
  </si>
  <si>
    <t>U5147</t>
  </si>
  <si>
    <t>U5148</t>
  </si>
  <si>
    <t>2015-06-20-J07-CU-5</t>
  </si>
  <si>
    <t>U5149</t>
  </si>
  <si>
    <t>U17123</t>
  </si>
  <si>
    <t>JP412</t>
  </si>
  <si>
    <t>U5150</t>
  </si>
  <si>
    <t>lab_motiles_etoh</t>
  </si>
  <si>
    <t>U5161</t>
  </si>
  <si>
    <t>Initially assigned UFN U5111, which was a duplicate ID</t>
  </si>
  <si>
    <t>U5162</t>
  </si>
  <si>
    <t>U5163</t>
  </si>
  <si>
    <t>2015-06-20-J07-CU-4</t>
  </si>
  <si>
    <t>U5164</t>
  </si>
  <si>
    <t>U17122</t>
  </si>
  <si>
    <t>U5165</t>
  </si>
  <si>
    <t>Initially assigned UFN U5112, which was a duplicate ID</t>
  </si>
  <si>
    <t>U5166</t>
  </si>
  <si>
    <t>U5167</t>
  </si>
  <si>
    <t>Muscle is in G6, but Gill is in H6. G6 left blank for sample instead</t>
  </si>
  <si>
    <t>U5168</t>
  </si>
  <si>
    <t>2015-06-20-J07-CU-1</t>
  </si>
  <si>
    <t>U17124</t>
  </si>
  <si>
    <t>U5169</t>
  </si>
  <si>
    <t>U5170</t>
  </si>
  <si>
    <t>U5151</t>
  </si>
  <si>
    <t>Initially assigned UFN U5113, which was a duplicate ID</t>
  </si>
  <si>
    <t>U16544</t>
  </si>
  <si>
    <t>U5152</t>
  </si>
  <si>
    <t>2015-06-20-J07-CU-3</t>
  </si>
  <si>
    <t>U5153</t>
  </si>
  <si>
    <t>Gill touched by muscle of U5156</t>
  </si>
  <si>
    <t>U5154</t>
  </si>
  <si>
    <t>Initially assigned UFN U5114, which was a duplicate ID</t>
  </si>
  <si>
    <t>U5155</t>
  </si>
  <si>
    <t>U16545</t>
  </si>
  <si>
    <t>U5156</t>
  </si>
  <si>
    <t>U5157</t>
  </si>
  <si>
    <t>2015-06-20-J07-CU-9</t>
  </si>
  <si>
    <t>5115</t>
  </si>
  <si>
    <t>Muscle touched gill of U5153</t>
  </si>
  <si>
    <t>U5158</t>
  </si>
  <si>
    <t>U5159</t>
  </si>
  <si>
    <t>U16547</t>
  </si>
  <si>
    <t>U5160</t>
  </si>
  <si>
    <t>2015-06-20-J07-CU-8</t>
  </si>
  <si>
    <t>U5179</t>
  </si>
  <si>
    <t>Initially assigned UFN U5116, which was a duplicate ID</t>
  </si>
  <si>
    <t>U5180</t>
  </si>
  <si>
    <t>U16548</t>
  </si>
  <si>
    <t>2015-06-20-J07-CU-10</t>
  </si>
  <si>
    <t>U5181</t>
  </si>
  <si>
    <t>U5182</t>
  </si>
  <si>
    <t>U5183</t>
  </si>
  <si>
    <t>Initially assigned UFN U5117, which was a duplicate ID</t>
  </si>
  <si>
    <t>U5184</t>
  </si>
  <si>
    <t>U5171</t>
  </si>
  <si>
    <t>U16549</t>
  </si>
  <si>
    <t>2015-06-20-J07-CU-6</t>
  </si>
  <si>
    <t>U5172</t>
  </si>
  <si>
    <t>Initially assigned UFN U5118, which was a duplicate ID</t>
  </si>
  <si>
    <t>U5173</t>
  </si>
  <si>
    <t>U5174</t>
  </si>
  <si>
    <t>2015-06-20-J07-CU-7</t>
  </si>
  <si>
    <t>Initially assigned UFN U5119, which was a duplicate ID</t>
  </si>
  <si>
    <t>U16550</t>
  </si>
  <si>
    <t>U5175</t>
  </si>
  <si>
    <t>U5176</t>
  </si>
  <si>
    <t>2015-06-20-J07-CU-2</t>
  </si>
  <si>
    <t>U5177</t>
  </si>
  <si>
    <t>Did not take DNA sample. Sea louse wasn't collected</t>
  </si>
  <si>
    <t>Initially assigned UFN U5120, which was a duplicate ID</t>
  </si>
  <si>
    <t>U5178</t>
  </si>
  <si>
    <t>U16621</t>
  </si>
  <si>
    <t>U5194</t>
  </si>
  <si>
    <t>2015-06-06-J07-CU-7</t>
  </si>
  <si>
    <t>JP452</t>
  </si>
  <si>
    <t>U5195</t>
  </si>
  <si>
    <t>EJ</t>
  </si>
  <si>
    <t>U5196</t>
  </si>
  <si>
    <t>Initially assigned UFN U5121, which was a duplicate ID</t>
  </si>
  <si>
    <t>U16622</t>
  </si>
  <si>
    <t>U5197</t>
  </si>
  <si>
    <t>U5198</t>
  </si>
  <si>
    <t>2015-06-06-J07-CU-8</t>
  </si>
  <si>
    <t>U5199</t>
  </si>
  <si>
    <t>Initially assigned UFN U5122, which was a duplicate ID</t>
  </si>
  <si>
    <t>U5200</t>
  </si>
  <si>
    <t>U16625</t>
  </si>
  <si>
    <t>U5201</t>
  </si>
  <si>
    <t>2015-06-06-J07-CU-6</t>
  </si>
  <si>
    <t>U5202</t>
  </si>
  <si>
    <t>U5203</t>
  </si>
  <si>
    <t>U16626</t>
  </si>
  <si>
    <t>Initially assigned UFN U5123, which was a duplicate ID</t>
  </si>
  <si>
    <t>U5204</t>
  </si>
  <si>
    <t>U5205</t>
  </si>
  <si>
    <t>2015-06-06-J07-CU-5</t>
  </si>
  <si>
    <t>U5206</t>
  </si>
  <si>
    <t>Initially assigned UFN U5124, which was a duplicate ID</t>
  </si>
  <si>
    <t>U16911</t>
  </si>
  <si>
    <t>2015-06-06-J07-CU-10</t>
  </si>
  <si>
    <t>U5207</t>
  </si>
  <si>
    <t>Initially assigned UFN U5125, which was a duplicate ID</t>
  </si>
  <si>
    <t>U5208</t>
  </si>
  <si>
    <t>U5209</t>
  </si>
  <si>
    <t>2015-06-06-J07-CU-4</t>
  </si>
  <si>
    <t>U5210</t>
  </si>
  <si>
    <t>U16912</t>
  </si>
  <si>
    <t>U5211</t>
  </si>
  <si>
    <t>Initially assigned UFN U5126, which was a duplicate ID</t>
  </si>
  <si>
    <t>U5185</t>
  </si>
  <si>
    <t>2015-06-06-J07-CU-2</t>
  </si>
  <si>
    <t>U5186</t>
  </si>
  <si>
    <t>Initially assigned UFN U5127, which was a duplicate ID</t>
  </si>
  <si>
    <t>U5187</t>
  </si>
  <si>
    <t>U16913</t>
  </si>
  <si>
    <t>U5188</t>
  </si>
  <si>
    <t>2015-06-06-J07-CU-1</t>
  </si>
  <si>
    <t>U5189</t>
  </si>
  <si>
    <t>Initially assigned UFN U5128, which was a duplicate ID</t>
  </si>
  <si>
    <t>U5190</t>
  </si>
  <si>
    <t>U16914</t>
  </si>
  <si>
    <t>U5191</t>
  </si>
  <si>
    <t>2015-06-06-J07-CU-9</t>
  </si>
  <si>
    <t>absent</t>
  </si>
  <si>
    <t>U5192</t>
  </si>
  <si>
    <t>Initially assigned UFN U5129, which was a duplicate ID</t>
  </si>
  <si>
    <t>U5193</t>
  </si>
  <si>
    <t>U5232</t>
  </si>
  <si>
    <t>2015-06-06-J07-CU-3</t>
  </si>
  <si>
    <t>U5233</t>
  </si>
  <si>
    <t>U16915</t>
  </si>
  <si>
    <t>U5234</t>
  </si>
  <si>
    <t>Initially assigned UFN U5130, which was a duplicate ID</t>
  </si>
  <si>
    <t>U5235</t>
  </si>
  <si>
    <t>U5236</t>
  </si>
  <si>
    <t>U5212</t>
  </si>
  <si>
    <t>2016-06-16-D07-CU-6</t>
  </si>
  <si>
    <t>DP717</t>
  </si>
  <si>
    <t>U16916</t>
  </si>
  <si>
    <t>nematode on stomach</t>
  </si>
  <si>
    <t>Initially assigned UFN U5131, which was a duplicate ID</t>
  </si>
  <si>
    <t>U5213</t>
  </si>
  <si>
    <t>U5214</t>
  </si>
  <si>
    <t>2016-06-16-D07-CU-2</t>
  </si>
  <si>
    <t>U5215</t>
  </si>
  <si>
    <t>U16917</t>
  </si>
  <si>
    <t>U5216</t>
  </si>
  <si>
    <t>U5217</t>
  </si>
  <si>
    <t>2016-06-16-D07-CU-9</t>
  </si>
  <si>
    <t>U5218</t>
  </si>
  <si>
    <t>U5219</t>
  </si>
  <si>
    <t>2016-06-16-D07-CU-4</t>
  </si>
  <si>
    <t>U5220</t>
  </si>
  <si>
    <t>U5221</t>
  </si>
  <si>
    <t>U16918</t>
  </si>
  <si>
    <t>2016-06-16-D07-CU-1</t>
  </si>
  <si>
    <t>U5222</t>
  </si>
  <si>
    <t>U5223</t>
  </si>
  <si>
    <t>2016-06-16-D07-CU-10</t>
  </si>
  <si>
    <t>U5224</t>
  </si>
  <si>
    <t>U5225</t>
  </si>
  <si>
    <t>U16919</t>
  </si>
  <si>
    <t>U5226</t>
  </si>
  <si>
    <t>2016-06-16-D07-CU-7</t>
  </si>
  <si>
    <t>U5227</t>
  </si>
  <si>
    <t>U5228</t>
  </si>
  <si>
    <t>2016-06-16-D07-CU-8</t>
  </si>
  <si>
    <t>U5229</t>
  </si>
  <si>
    <t>U16920</t>
  </si>
  <si>
    <t>U5230</t>
  </si>
  <si>
    <t>2016-06-16-D07-CU-3</t>
  </si>
  <si>
    <t>U5231</t>
  </si>
  <si>
    <t>U5245</t>
  </si>
  <si>
    <t>U5246</t>
  </si>
  <si>
    <t>2016-06-16-D07-CU-5</t>
  </si>
  <si>
    <t>U17441</t>
  </si>
  <si>
    <t>Did not take DNA sample. forgot to record weight</t>
  </si>
  <si>
    <t>U5247</t>
  </si>
  <si>
    <t>2016-06-03-D07-CU-3</t>
  </si>
  <si>
    <t>DP718</t>
  </si>
  <si>
    <t>U17442</t>
  </si>
  <si>
    <t>2016-06-03-D07-CU-5</t>
  </si>
  <si>
    <t>U5248</t>
  </si>
  <si>
    <t>U5249</t>
  </si>
  <si>
    <t>2016-06-03-D07-CU-2</t>
  </si>
  <si>
    <t>whole fish fell on bench</t>
  </si>
  <si>
    <t>U17443</t>
  </si>
  <si>
    <t>U5250</t>
  </si>
  <si>
    <t>2016-06-03-D07-CU-8</t>
  </si>
  <si>
    <t>U5251</t>
  </si>
  <si>
    <t>U5252</t>
  </si>
  <si>
    <t>U5253</t>
  </si>
  <si>
    <t>U17444</t>
  </si>
  <si>
    <t>U5254</t>
  </si>
  <si>
    <t>U5255</t>
  </si>
  <si>
    <t>U5256</t>
  </si>
  <si>
    <t>U5257</t>
  </si>
  <si>
    <t>U5262</t>
  </si>
  <si>
    <t>U17445</t>
  </si>
  <si>
    <t>U5263</t>
  </si>
  <si>
    <t>U5264</t>
  </si>
  <si>
    <t>2016-06-03-D07-CU-1</t>
  </si>
  <si>
    <t>U5265</t>
  </si>
  <si>
    <t>U5266</t>
  </si>
  <si>
    <t>U5267</t>
  </si>
  <si>
    <t>U17446</t>
  </si>
  <si>
    <t>U5268</t>
  </si>
  <si>
    <t>2016-06-03-D07-CU-7</t>
  </si>
  <si>
    <t>U5269</t>
  </si>
  <si>
    <t>U5270</t>
  </si>
  <si>
    <t>U5271</t>
  </si>
  <si>
    <t>U5272</t>
  </si>
  <si>
    <t>U17447</t>
  </si>
  <si>
    <t>2016-06-03-D07-CU-9</t>
  </si>
  <si>
    <t>U5273</t>
  </si>
  <si>
    <t>U5237</t>
  </si>
  <si>
    <t>U5238</t>
  </si>
  <si>
    <t>U5239</t>
  </si>
  <si>
    <t>2016-06-03-D07-CU-6</t>
  </si>
  <si>
    <t>U17121</t>
  </si>
  <si>
    <t>U5240</t>
  </si>
  <si>
    <t>fish fell on bench</t>
  </si>
  <si>
    <t>U5241</t>
  </si>
  <si>
    <t>U5242</t>
  </si>
  <si>
    <t>U5243</t>
  </si>
  <si>
    <t>2016-06-03-D07-CU-4</t>
  </si>
  <si>
    <t>U5244</t>
  </si>
  <si>
    <t>U17126</t>
  </si>
  <si>
    <t>U5287</t>
  </si>
  <si>
    <t>U5288</t>
  </si>
  <si>
    <t>U5289</t>
  </si>
  <si>
    <t>2016-06-03-D07-CU-10</t>
  </si>
  <si>
    <t>U5290</t>
  </si>
  <si>
    <t>isopod on gill</t>
  </si>
  <si>
    <t>U16832</t>
  </si>
  <si>
    <t>2016-06-08-D11-CU-9</t>
  </si>
  <si>
    <t>DP719</t>
  </si>
  <si>
    <t>U5291</t>
  </si>
  <si>
    <t>isopod in whirlpak</t>
  </si>
  <si>
    <t>U5292</t>
  </si>
  <si>
    <t>U16835</t>
  </si>
  <si>
    <t>2016-06-08-D11-CU-6</t>
  </si>
  <si>
    <t>U5293</t>
  </si>
  <si>
    <t>2016-06-08-D11-CU-2</t>
  </si>
  <si>
    <t>U5294</t>
  </si>
  <si>
    <t>U16837</t>
  </si>
  <si>
    <t>U5295</t>
  </si>
  <si>
    <t>U5296</t>
  </si>
  <si>
    <t>2016-06-08-D11-CU-1</t>
  </si>
  <si>
    <t>U5258</t>
  </si>
  <si>
    <t>U5259</t>
  </si>
  <si>
    <t>U5260</t>
  </si>
  <si>
    <t>U5261</t>
  </si>
  <si>
    <t>2016-06-08-D11-CU-4</t>
  </si>
  <si>
    <t>U16838</t>
  </si>
  <si>
    <t>U5274</t>
  </si>
  <si>
    <t>U5275</t>
  </si>
  <si>
    <t>U5276</t>
  </si>
  <si>
    <t>2016-06-08-D11-CU-3</t>
  </si>
  <si>
    <t>U5277</t>
  </si>
  <si>
    <t>U5278</t>
  </si>
  <si>
    <t>U16836</t>
  </si>
  <si>
    <t>2016-06-08-D11-CU-5</t>
  </si>
  <si>
    <t>U5279</t>
  </si>
  <si>
    <t>U5280</t>
  </si>
  <si>
    <t>U5281</t>
  </si>
  <si>
    <t>2016-06-08-D11-CU-10</t>
  </si>
  <si>
    <t>U5282</t>
  </si>
  <si>
    <t>U5283</t>
  </si>
  <si>
    <t>2016-06-08-D11-CU-8</t>
  </si>
  <si>
    <t>U5284</t>
  </si>
  <si>
    <t>U16839</t>
  </si>
  <si>
    <t>U5285</t>
  </si>
  <si>
    <t>Fell on bench</t>
  </si>
  <si>
    <t>U5286</t>
  </si>
  <si>
    <t>2016-06-08-D11-CU-7</t>
  </si>
  <si>
    <t>U5337</t>
  </si>
  <si>
    <t>U5338</t>
  </si>
  <si>
    <t>U5339</t>
  </si>
  <si>
    <t>2016-06-11-J06-CU-1</t>
  </si>
  <si>
    <t>JP453</t>
  </si>
  <si>
    <t>U16840</t>
  </si>
  <si>
    <t>U5340</t>
  </si>
  <si>
    <t>U5297</t>
  </si>
  <si>
    <t>2016-06-11-J06-CU-8</t>
  </si>
  <si>
    <t>U5298</t>
  </si>
  <si>
    <t>U5299</t>
  </si>
  <si>
    <t>U5300</t>
  </si>
  <si>
    <t>2016-06-11-J06-CU-2</t>
  </si>
  <si>
    <t>U16833</t>
  </si>
  <si>
    <t>U5301</t>
  </si>
  <si>
    <t>U5327</t>
  </si>
  <si>
    <t>Fish fell on bench</t>
  </si>
  <si>
    <t>U5328</t>
  </si>
  <si>
    <t>2016-06-11-J06-CU-10</t>
  </si>
  <si>
    <t>U5329</t>
  </si>
  <si>
    <t>U5330</t>
  </si>
  <si>
    <t>U16834</t>
  </si>
  <si>
    <t>2016-06-11-J06-CU-9</t>
  </si>
  <si>
    <t>U5331</t>
  </si>
  <si>
    <t>U5332</t>
  </si>
  <si>
    <t>U5333</t>
  </si>
  <si>
    <t>2016-06-11-J06-CU-5</t>
  </si>
  <si>
    <t>U5334</t>
  </si>
  <si>
    <t>U5335</t>
  </si>
  <si>
    <t>U16831</t>
  </si>
  <si>
    <t>U5336</t>
  </si>
  <si>
    <t>U5362</t>
  </si>
  <si>
    <t>2016-06-11-J06-CU-4</t>
  </si>
  <si>
    <t>U5363</t>
  </si>
  <si>
    <t>U5364</t>
  </si>
  <si>
    <t>U5365</t>
  </si>
  <si>
    <t>U5366</t>
  </si>
  <si>
    <t>U16948</t>
  </si>
  <si>
    <t>U5367</t>
  </si>
  <si>
    <t>2016-06-11-J06-CU-3</t>
  </si>
  <si>
    <t>U5368</t>
  </si>
  <si>
    <t>U5369</t>
  </si>
  <si>
    <t>U5370</t>
  </si>
  <si>
    <t>2016-06-11-J06-CU-6</t>
  </si>
  <si>
    <t>U16942</t>
  </si>
  <si>
    <t>U5371</t>
  </si>
  <si>
    <t>U5372</t>
  </si>
  <si>
    <t>U5373</t>
  </si>
  <si>
    <t>2016-06-11-J06-CU-7</t>
  </si>
  <si>
    <t>U5374</t>
  </si>
  <si>
    <t>U5375</t>
  </si>
  <si>
    <t>U16950</t>
  </si>
  <si>
    <t>2016-06-11-J07-CU-10</t>
  </si>
  <si>
    <t>JP455</t>
  </si>
  <si>
    <t>flabellifera in bag</t>
  </si>
  <si>
    <t>U5376</t>
  </si>
  <si>
    <t>2016-06-11-J07-CU-6</t>
  </si>
  <si>
    <t>U5377</t>
  </si>
  <si>
    <t>U16944</t>
  </si>
  <si>
    <t>U5378</t>
  </si>
  <si>
    <t>2016-06-11-J07-CU-7</t>
  </si>
  <si>
    <t>U5379</t>
  </si>
  <si>
    <t>U5380</t>
  </si>
  <si>
    <t>U5381</t>
  </si>
  <si>
    <t>2016-06-11-J07-CU-5</t>
  </si>
  <si>
    <t>U16945</t>
  </si>
  <si>
    <t>U5382</t>
  </si>
  <si>
    <t>U5383</t>
  </si>
  <si>
    <t>2016-06-11-J07-CU-3</t>
  </si>
  <si>
    <t>U5384</t>
  </si>
  <si>
    <t>2016-06-11-J07-CU-4</t>
  </si>
  <si>
    <t>U5385</t>
  </si>
  <si>
    <t>U5386</t>
  </si>
  <si>
    <t>U16947</t>
  </si>
  <si>
    <t>U5387</t>
  </si>
  <si>
    <t>2016-07-05-J07-CU-3</t>
  </si>
  <si>
    <t>JP454</t>
  </si>
  <si>
    <t>U5388</t>
  </si>
  <si>
    <t>2016-07-05-J07-CU-2</t>
  </si>
  <si>
    <t>U5341</t>
  </si>
  <si>
    <t>U5342</t>
  </si>
  <si>
    <t>U16946</t>
  </si>
  <si>
    <t>2016-07-05-J07-CU-8</t>
  </si>
  <si>
    <t>U5343</t>
  </si>
  <si>
    <t>2016-07-05-J07-CU-7</t>
  </si>
  <si>
    <t>U5344</t>
  </si>
  <si>
    <t>U5345</t>
  </si>
  <si>
    <t>U16949</t>
  </si>
  <si>
    <t>U5346</t>
  </si>
  <si>
    <t>2016-07-05-J07-CU-5</t>
  </si>
  <si>
    <t>U5347</t>
  </si>
  <si>
    <t>U5348</t>
  </si>
  <si>
    <t>2016-07-05-J07-CU-4</t>
  </si>
  <si>
    <t>U5349</t>
  </si>
  <si>
    <t>U5350</t>
  </si>
  <si>
    <t>U5351</t>
  </si>
  <si>
    <t>U16943</t>
  </si>
  <si>
    <t>2016-07-05-J07-CU-9</t>
  </si>
  <si>
    <t>U5352</t>
  </si>
  <si>
    <t>U5353</t>
  </si>
  <si>
    <t>2016-07-05-J07-CU-10</t>
  </si>
  <si>
    <t>U5354</t>
  </si>
  <si>
    <t>U5355</t>
  </si>
  <si>
    <t>U5356</t>
  </si>
  <si>
    <t>U16941</t>
  </si>
  <si>
    <t>2016-07-05-J07-CU-1</t>
  </si>
  <si>
    <t>U5302</t>
  </si>
  <si>
    <t>U5303</t>
  </si>
  <si>
    <t>U5304</t>
  </si>
  <si>
    <t>U5305</t>
  </si>
  <si>
    <t>U5306</t>
  </si>
  <si>
    <t>2016-07-05-J07-CU-6</t>
  </si>
  <si>
    <t>U17448</t>
  </si>
  <si>
    <t>U5307</t>
  </si>
  <si>
    <t>U5308</t>
  </si>
  <si>
    <t>2016-06-03-J07-CU-7</t>
  </si>
  <si>
    <t>U5309</t>
  </si>
  <si>
    <t>JP456</t>
  </si>
  <si>
    <t>U5310</t>
  </si>
  <si>
    <t>U5311</t>
  </si>
  <si>
    <t>2016-06-03-J07-CU-4</t>
  </si>
  <si>
    <t>U17449</t>
  </si>
  <si>
    <t>U5312</t>
  </si>
  <si>
    <t>U5313</t>
  </si>
  <si>
    <t>2016-06-03-J07-CU-5</t>
  </si>
  <si>
    <t>U5314</t>
  </si>
  <si>
    <t>U5357</t>
  </si>
  <si>
    <t>U5358</t>
  </si>
  <si>
    <t>U5359</t>
  </si>
  <si>
    <t>2016-06-03-J07-CU-10</t>
  </si>
  <si>
    <t>U17450</t>
  </si>
  <si>
    <t>U5360</t>
  </si>
  <si>
    <t>U5361</t>
  </si>
  <si>
    <t>U5412</t>
  </si>
  <si>
    <t>2016-06-03-J07-CU-6</t>
  </si>
  <si>
    <t>U5413</t>
  </si>
  <si>
    <t>U16821</t>
  </si>
  <si>
    <t>U5414</t>
  </si>
  <si>
    <t>U5415</t>
  </si>
  <si>
    <t>2016-06-03-J07-CU-3</t>
  </si>
  <si>
    <t>U5416</t>
  </si>
  <si>
    <t>U5417</t>
  </si>
  <si>
    <t>bleeding under gills</t>
  </si>
  <si>
    <t>U5418</t>
  </si>
  <si>
    <t>U16822</t>
  </si>
  <si>
    <t>U5419</t>
  </si>
  <si>
    <t>U5420</t>
  </si>
  <si>
    <t>2016-06-03-J07-CU-1</t>
  </si>
  <si>
    <t>U5421</t>
  </si>
  <si>
    <t>U5389</t>
  </si>
  <si>
    <t>U5390</t>
  </si>
  <si>
    <t>2016-06-03-J07-CU-2</t>
  </si>
  <si>
    <t>U16823</t>
  </si>
  <si>
    <t>U5391</t>
  </si>
  <si>
    <t>U5392</t>
  </si>
  <si>
    <t>2016-06-03-J07-CU-8</t>
  </si>
  <si>
    <t>U5393</t>
  </si>
  <si>
    <t>U5394</t>
  </si>
  <si>
    <t>U16824</t>
  </si>
  <si>
    <t>U5395</t>
  </si>
  <si>
    <t>U5396</t>
  </si>
  <si>
    <t>2016-06-03-J07-CU-9</t>
  </si>
  <si>
    <t>U5397</t>
  </si>
  <si>
    <t>U5398</t>
  </si>
  <si>
    <t>U5399</t>
  </si>
  <si>
    <t>2015-06-09-D07-CU-3</t>
  </si>
  <si>
    <t>JP720</t>
  </si>
  <si>
    <t>U5400</t>
  </si>
  <si>
    <t>U16825</t>
  </si>
  <si>
    <t>U5401</t>
  </si>
  <si>
    <t>U5402</t>
  </si>
  <si>
    <t>U5403</t>
  </si>
  <si>
    <t>U5404</t>
  </si>
  <si>
    <t>U16826</t>
  </si>
  <si>
    <t>U5405</t>
  </si>
  <si>
    <t>U5315</t>
  </si>
  <si>
    <t>U5316</t>
  </si>
  <si>
    <t>U5317</t>
  </si>
  <si>
    <t>U16827</t>
  </si>
  <si>
    <t>U5318</t>
  </si>
  <si>
    <t>U5319</t>
  </si>
  <si>
    <t>Took 2 pieces of tissue</t>
  </si>
  <si>
    <t>U5320</t>
  </si>
  <si>
    <t>U5321</t>
  </si>
  <si>
    <t>U16828</t>
  </si>
  <si>
    <t>U5406</t>
  </si>
  <si>
    <t>U5407</t>
  </si>
  <si>
    <t>U5408</t>
  </si>
  <si>
    <t>U16829</t>
  </si>
  <si>
    <t>U5409</t>
  </si>
  <si>
    <t>U5410</t>
  </si>
  <si>
    <t>2015-06-09-D07-CU-6</t>
  </si>
  <si>
    <t>U5411</t>
  </si>
  <si>
    <t>U5437</t>
  </si>
  <si>
    <t>U5438</t>
  </si>
  <si>
    <t>2015-06-09-D07-CU-1</t>
  </si>
  <si>
    <t>U16830</t>
  </si>
  <si>
    <t>U5439</t>
  </si>
  <si>
    <t>U5440</t>
  </si>
  <si>
    <t>2015-06-09-D07-CU-10</t>
  </si>
  <si>
    <t>U5441</t>
  </si>
  <si>
    <t>U5442</t>
  </si>
  <si>
    <t>U17051</t>
  </si>
  <si>
    <t>U5443</t>
  </si>
  <si>
    <t>2015-06-09-D07-CU-7</t>
  </si>
  <si>
    <t>U5444</t>
  </si>
  <si>
    <t>U5445</t>
  </si>
  <si>
    <t>U5446</t>
  </si>
  <si>
    <t>2016-06-10-J08-CU-6</t>
  </si>
  <si>
    <t>JP457</t>
  </si>
  <si>
    <t>U17052</t>
  </si>
  <si>
    <t>U5447</t>
  </si>
  <si>
    <t>U5448</t>
  </si>
  <si>
    <t>U5449</t>
  </si>
  <si>
    <t>U16798</t>
  </si>
  <si>
    <t>2016-06-11-J07-CU-9</t>
  </si>
  <si>
    <t>U16797</t>
  </si>
  <si>
    <t>KB</t>
  </si>
  <si>
    <t>U17053</t>
  </si>
  <si>
    <t>U16800</t>
  </si>
  <si>
    <t>2016-06-11-J07-CU-2</t>
  </si>
  <si>
    <t>U16795</t>
  </si>
  <si>
    <t>U16793</t>
  </si>
  <si>
    <t>U16796</t>
  </si>
  <si>
    <t>2016-06-11-J07-CU-8</t>
  </si>
  <si>
    <t>U17054</t>
  </si>
  <si>
    <t>U16799</t>
  </si>
  <si>
    <t>U16794</t>
  </si>
  <si>
    <t>2016-06-11-J07-CU-1</t>
  </si>
  <si>
    <t>U16792</t>
  </si>
  <si>
    <t>U16791</t>
  </si>
  <si>
    <t>U17055</t>
  </si>
  <si>
    <t>U5422</t>
  </si>
  <si>
    <t>2016-06-20-J07-CU-8</t>
  </si>
  <si>
    <t>JP458</t>
  </si>
  <si>
    <t>U5423</t>
  </si>
  <si>
    <t>U5424</t>
  </si>
  <si>
    <t>U5425</t>
  </si>
  <si>
    <t>U5426</t>
  </si>
  <si>
    <t>U17056</t>
  </si>
  <si>
    <t>U5427</t>
  </si>
  <si>
    <t>U5428</t>
  </si>
  <si>
    <t>2016-06-20-J07-CU-9</t>
  </si>
  <si>
    <t>U5429</t>
  </si>
  <si>
    <t>U5430</t>
  </si>
  <si>
    <t>U5431</t>
  </si>
  <si>
    <t>U17057</t>
  </si>
  <si>
    <t>U5432</t>
  </si>
  <si>
    <t>2016-06-20-J07-CU-3</t>
  </si>
  <si>
    <t>U5433</t>
  </si>
  <si>
    <t>U5434</t>
  </si>
  <si>
    <t>2016-06-20-J07-CU-10</t>
  </si>
  <si>
    <t>U17736</t>
  </si>
  <si>
    <t>U5435</t>
  </si>
  <si>
    <t>2016-06-20-J07-CU-4</t>
  </si>
  <si>
    <t>U5436</t>
  </si>
  <si>
    <t>U5462</t>
  </si>
  <si>
    <t>U5463</t>
  </si>
  <si>
    <t>U17740</t>
  </si>
  <si>
    <t>2016-06-20-J07-CU-5</t>
  </si>
  <si>
    <t>U5464</t>
  </si>
  <si>
    <t>U5465</t>
  </si>
  <si>
    <t>U5466</t>
  </si>
  <si>
    <t>2016-06-20-J07-CU-2</t>
  </si>
  <si>
    <t>U16753</t>
  </si>
  <si>
    <t>U16751</t>
  </si>
  <si>
    <t>U17734</t>
  </si>
  <si>
    <t>2016-06-20-J07-CU-1</t>
  </si>
  <si>
    <t>U16752</t>
  </si>
  <si>
    <t>U16756</t>
  </si>
  <si>
    <t>U16754</t>
  </si>
  <si>
    <t>2016-06-20-J07-CU-7</t>
  </si>
  <si>
    <t>U16755</t>
  </si>
  <si>
    <t>U16757</t>
  </si>
  <si>
    <t>U17735</t>
  </si>
  <si>
    <t>fell on coolbox</t>
  </si>
  <si>
    <t>2016-06-20-J07-CU-6</t>
  </si>
  <si>
    <t>U16758</t>
  </si>
  <si>
    <t>U16701</t>
  </si>
  <si>
    <t>U16702</t>
  </si>
  <si>
    <t>2016-06-10-J08-CU-8</t>
  </si>
  <si>
    <t>U16703</t>
  </si>
  <si>
    <t>U17737</t>
  </si>
  <si>
    <t>U16705</t>
  </si>
  <si>
    <t>2016-06-10-J08-CU-3</t>
  </si>
  <si>
    <t>U16704</t>
  </si>
  <si>
    <t>U16706</t>
  </si>
  <si>
    <t>2016-06-10-J08-CU-7</t>
  </si>
  <si>
    <t>U16893</t>
  </si>
  <si>
    <t>U17733</t>
  </si>
  <si>
    <t>U16897</t>
  </si>
  <si>
    <t>U16891</t>
  </si>
  <si>
    <t>2016-06-10-J08-CU-9</t>
  </si>
  <si>
    <t>U16892</t>
  </si>
  <si>
    <t>U16899</t>
  </si>
  <si>
    <t>U16900</t>
  </si>
  <si>
    <t>U16896</t>
  </si>
  <si>
    <t>U17731</t>
  </si>
  <si>
    <t>2016-06-10-J08-CU-5</t>
  </si>
  <si>
    <t>U16894</t>
  </si>
  <si>
    <t>U16895</t>
  </si>
  <si>
    <t>U16898</t>
  </si>
  <si>
    <t>U16761</t>
  </si>
  <si>
    <t>U16766</t>
  </si>
  <si>
    <t>U17739</t>
  </si>
  <si>
    <t>U16763</t>
  </si>
  <si>
    <t>2016-06-10-J08-CU-4</t>
  </si>
  <si>
    <t>U16765</t>
  </si>
  <si>
    <t>U16767</t>
  </si>
  <si>
    <t>fell on bench</t>
  </si>
  <si>
    <t>U16762</t>
  </si>
  <si>
    <t>2016-06-10-J08-CU-1</t>
  </si>
  <si>
    <t>U17732</t>
  </si>
  <si>
    <t>U16764</t>
  </si>
  <si>
    <t>U16707</t>
  </si>
  <si>
    <t>U16708</t>
  </si>
  <si>
    <t>2016-06-10-J08-CU-2</t>
  </si>
  <si>
    <t>U16709</t>
  </si>
  <si>
    <t>U17738</t>
  </si>
  <si>
    <t>U16710</t>
  </si>
  <si>
    <t>U16921</t>
  </si>
  <si>
    <t>2016-06-10-J08-CU-10</t>
  </si>
  <si>
    <t>U16922</t>
  </si>
  <si>
    <t>U16923</t>
  </si>
  <si>
    <t>U17351</t>
  </si>
  <si>
    <t>U16647</t>
  </si>
  <si>
    <t>U17352</t>
  </si>
  <si>
    <t>2016-06-09-D07-CU-3</t>
  </si>
  <si>
    <t>U17353</t>
  </si>
  <si>
    <t>DP721</t>
  </si>
  <si>
    <t>U17354</t>
  </si>
  <si>
    <t>4 crustaceans in bag</t>
  </si>
  <si>
    <t>U17355</t>
  </si>
  <si>
    <t>U16646</t>
  </si>
  <si>
    <t>U17356</t>
  </si>
  <si>
    <t>2016-06-09-D07-CU-4</t>
  </si>
  <si>
    <t>U17357</t>
  </si>
  <si>
    <t>U17358</t>
  </si>
  <si>
    <t>2016-06-09-D07-CU-2</t>
  </si>
  <si>
    <t>U17359</t>
  </si>
  <si>
    <t>U16642</t>
  </si>
  <si>
    <t>U17360</t>
  </si>
  <si>
    <t>U16954</t>
  </si>
  <si>
    <t>U16953</t>
  </si>
  <si>
    <t>2016-06-09-D07-CU-1</t>
  </si>
  <si>
    <t>U16643</t>
  </si>
  <si>
    <t>U16952</t>
  </si>
  <si>
    <t>U16951</t>
  </si>
  <si>
    <t>U16641</t>
  </si>
  <si>
    <t>U16955</t>
  </si>
  <si>
    <t>U17429</t>
  </si>
  <si>
    <t>U16648</t>
  </si>
  <si>
    <t>U17425</t>
  </si>
  <si>
    <t>2016-06-25-J07-CU-6</t>
  </si>
  <si>
    <t>U17422</t>
  </si>
  <si>
    <t>JP459</t>
  </si>
  <si>
    <t>U17423</t>
  </si>
  <si>
    <t>U17426</t>
  </si>
  <si>
    <t>U16645</t>
  </si>
  <si>
    <t>2016-06-25-J07-CU-7</t>
  </si>
  <si>
    <t>U17421</t>
  </si>
  <si>
    <t>U17430</t>
  </si>
  <si>
    <t>U17424</t>
  </si>
  <si>
    <t>2016-06-25-J07-CU-2</t>
  </si>
  <si>
    <t>U17427</t>
  </si>
  <si>
    <t>U16644</t>
  </si>
  <si>
    <t>U17428</t>
  </si>
  <si>
    <t>2016-06-25-J07-CU-1</t>
  </si>
  <si>
    <t>U17197</t>
  </si>
  <si>
    <t>U17198</t>
  </si>
  <si>
    <t>U17199</t>
  </si>
  <si>
    <t>2016-06-25-J07-CU-8</t>
  </si>
  <si>
    <t>U16649</t>
  </si>
  <si>
    <t>U17192</t>
  </si>
  <si>
    <t>U17191</t>
  </si>
  <si>
    <t>2016-06-25-J07-CU-9</t>
  </si>
  <si>
    <t>U17193</t>
  </si>
  <si>
    <t>U17196</t>
  </si>
  <si>
    <t>U17195</t>
  </si>
  <si>
    <t>U16650</t>
  </si>
  <si>
    <t>2016-06-25-J07-CU-3</t>
  </si>
  <si>
    <t>U17194</t>
  </si>
  <si>
    <t>U17200</t>
  </si>
  <si>
    <t>U16992</t>
  </si>
  <si>
    <t>2016-06-25-J07-CU-10</t>
  </si>
  <si>
    <t>U16993</t>
  </si>
  <si>
    <t>U16998</t>
  </si>
  <si>
    <t>U17089</t>
  </si>
  <si>
    <t>U17000</t>
  </si>
  <si>
    <t>U16996</t>
  </si>
  <si>
    <t>2016-06-25-J07-CU-4</t>
  </si>
  <si>
    <t>U16994</t>
  </si>
  <si>
    <t>U16999</t>
  </si>
  <si>
    <t>2016-06-25-J07-CU-5</t>
  </si>
  <si>
    <t>U16997</t>
  </si>
  <si>
    <t>U17090</t>
  </si>
  <si>
    <t>U16991</t>
  </si>
  <si>
    <t>2016-05-26-D07-CU-7</t>
  </si>
  <si>
    <t>DP722</t>
  </si>
  <si>
    <t>U16995</t>
  </si>
  <si>
    <t>U17265</t>
  </si>
  <si>
    <t>U17264</t>
  </si>
  <si>
    <t>2016-05-26-D07-CU-5</t>
  </si>
  <si>
    <t>U17088</t>
  </si>
  <si>
    <t>U17263</t>
  </si>
  <si>
    <t>U17270</t>
  </si>
  <si>
    <t>2016-05-26-D07-CU-9</t>
  </si>
  <si>
    <t>U17262</t>
  </si>
  <si>
    <t>U17087</t>
  </si>
  <si>
    <t>U17261</t>
  </si>
  <si>
    <t>2016-05-26-D07-CU-4</t>
  </si>
  <si>
    <t>U17266</t>
  </si>
  <si>
    <t>U17267</t>
  </si>
  <si>
    <t>U17268</t>
  </si>
  <si>
    <t>U17086</t>
  </si>
  <si>
    <t>2016-05-26-D07-CU-10</t>
  </si>
  <si>
    <t>U17269</t>
  </si>
  <si>
    <t>U17233</t>
  </si>
  <si>
    <t>U16931</t>
  </si>
  <si>
    <t>U17085</t>
  </si>
  <si>
    <t>U16932</t>
  </si>
  <si>
    <t>2016-05-26-D07-CU-3</t>
  </si>
  <si>
    <t>U16933</t>
  </si>
  <si>
    <t>2016-05-26-D07-CU-8</t>
  </si>
  <si>
    <t>U17084</t>
  </si>
  <si>
    <t>U16934</t>
  </si>
  <si>
    <t>U16935</t>
  </si>
  <si>
    <t>2016-05-26-D07-CU-6</t>
  </si>
  <si>
    <t>U16936</t>
  </si>
  <si>
    <t>U17081</t>
  </si>
  <si>
    <t>U16937</t>
  </si>
  <si>
    <t>U17941</t>
  </si>
  <si>
    <t>U17942</t>
  </si>
  <si>
    <t>U17943</t>
  </si>
  <si>
    <t>2016-05-26-D07-CU-1</t>
  </si>
  <si>
    <t>U17082</t>
  </si>
  <si>
    <t>U17944</t>
  </si>
  <si>
    <t>U17411</t>
  </si>
  <si>
    <t>U17412</t>
  </si>
  <si>
    <t>U17413</t>
  </si>
  <si>
    <t>U17083</t>
  </si>
  <si>
    <t>2016-05-26-D07-CU-2</t>
  </si>
  <si>
    <t>U17414</t>
  </si>
  <si>
    <t>U17415</t>
  </si>
  <si>
    <t>U17416</t>
  </si>
  <si>
    <t>U16881</t>
  </si>
  <si>
    <t>2016-06-10-J04-CU-1</t>
  </si>
  <si>
    <t>JP460</t>
  </si>
  <si>
    <t>U17341</t>
  </si>
  <si>
    <t>U16882</t>
  </si>
  <si>
    <t>U16883</t>
  </si>
  <si>
    <t>U16884</t>
  </si>
  <si>
    <t>U16885</t>
  </si>
  <si>
    <t>2016-06-10-J04-CU-9</t>
  </si>
  <si>
    <t>U16889</t>
  </si>
  <si>
    <t>U17350</t>
  </si>
  <si>
    <t>U16886</t>
  </si>
  <si>
    <t>U16887</t>
  </si>
  <si>
    <t>2016-06-10-J04-CU-8</t>
  </si>
  <si>
    <t>U17348</t>
  </si>
  <si>
    <t>U16888</t>
  </si>
  <si>
    <t>U16890</t>
  </si>
  <si>
    <t>2016-06-10-J04-CU-7</t>
  </si>
  <si>
    <t>U16291</t>
  </si>
  <si>
    <t>U16292</t>
  </si>
  <si>
    <t>U16293</t>
  </si>
  <si>
    <t>U16294</t>
  </si>
  <si>
    <t>2016-06-10-J04-CU-10</t>
  </si>
  <si>
    <t>U16295</t>
  </si>
  <si>
    <t>U17347</t>
  </si>
  <si>
    <t>U16296</t>
  </si>
  <si>
    <t>U16297</t>
  </si>
  <si>
    <t>U16298</t>
  </si>
  <si>
    <t>U16511</t>
  </si>
  <si>
    <t>U16512</t>
  </si>
  <si>
    <t>2016-06-10-J04-CU-2</t>
  </si>
  <si>
    <t>U17231</t>
  </si>
  <si>
    <t>U17235</t>
  </si>
  <si>
    <t>U17237</t>
  </si>
  <si>
    <t>U17349</t>
  </si>
  <si>
    <t>U17238</t>
  </si>
  <si>
    <t>2016-06-10-J04-CU-3</t>
  </si>
  <si>
    <t>U17234</t>
  </si>
  <si>
    <t>U17232</t>
  </si>
  <si>
    <t>U17240</t>
  </si>
  <si>
    <t>U17239</t>
  </si>
  <si>
    <t>U17236</t>
  </si>
  <si>
    <t>U17092</t>
  </si>
  <si>
    <t>2016-06-10-J04-CU-5</t>
  </si>
  <si>
    <t>U17099</t>
  </si>
  <si>
    <t>U17100</t>
  </si>
  <si>
    <t>U17343</t>
  </si>
  <si>
    <t>U17097</t>
  </si>
  <si>
    <t>U17098</t>
  </si>
  <si>
    <t>2016-06-10-J04-CU-6</t>
  </si>
  <si>
    <t>U17091</t>
  </si>
  <si>
    <t>U16513</t>
  </si>
  <si>
    <t>U16514</t>
  </si>
  <si>
    <t>U17342</t>
  </si>
  <si>
    <t>2016-06-10-J04-CU-4</t>
  </si>
  <si>
    <t>U16515</t>
  </si>
  <si>
    <t>U16516</t>
  </si>
  <si>
    <t>U16517</t>
  </si>
  <si>
    <t>U16518</t>
  </si>
  <si>
    <t>2016-05-19-D07-CU-10</t>
  </si>
  <si>
    <t>DP723</t>
  </si>
  <si>
    <t>U16519</t>
  </si>
  <si>
    <t>U17345</t>
  </si>
  <si>
    <t>U16520</t>
  </si>
  <si>
    <t>U16011</t>
  </si>
  <si>
    <t>U16012</t>
  </si>
  <si>
    <t>2016-05-19-D07-CU-8</t>
  </si>
  <si>
    <t>U16013</t>
  </si>
  <si>
    <t>U16014</t>
  </si>
  <si>
    <t>U16015</t>
  </si>
  <si>
    <t>U17058</t>
  </si>
  <si>
    <t>U16016</t>
  </si>
  <si>
    <t>U16017</t>
  </si>
  <si>
    <t>2016-05-19-D07-CU-2</t>
  </si>
  <si>
    <t>U16018</t>
  </si>
  <si>
    <t>U16019</t>
  </si>
  <si>
    <t>U16020</t>
  </si>
  <si>
    <t>U17095</t>
  </si>
  <si>
    <t>U17059</t>
  </si>
  <si>
    <t>2016-05-19-D07-CU-9</t>
  </si>
  <si>
    <t>U17096</t>
  </si>
  <si>
    <t>U17094</t>
  </si>
  <si>
    <t>U17093</t>
  </si>
  <si>
    <t>U16151</t>
  </si>
  <si>
    <t>U16157</t>
  </si>
  <si>
    <t>2016-05-19-D07-CU-1</t>
  </si>
  <si>
    <t>U16158</t>
  </si>
  <si>
    <t>U17060</t>
  </si>
  <si>
    <t>U16159</t>
  </si>
  <si>
    <t>U16152</t>
  </si>
  <si>
    <t>U16160</t>
  </si>
  <si>
    <t>2016-05-19-D07-CU-5</t>
  </si>
  <si>
    <t>U16153</t>
  </si>
  <si>
    <t>U16156</t>
  </si>
  <si>
    <t>U16155</t>
  </si>
  <si>
    <t>U16081</t>
  </si>
  <si>
    <t>Fish fell on bench top</t>
  </si>
  <si>
    <t>U16154</t>
  </si>
  <si>
    <t>2016-05-19-D07-CU-6</t>
  </si>
  <si>
    <t>lots of scales missing on left side</t>
  </si>
  <si>
    <t>U16342</t>
  </si>
  <si>
    <t>U16350</t>
  </si>
  <si>
    <t>2016-05-19-D07-CU-7</t>
  </si>
  <si>
    <t>U16344</t>
  </si>
  <si>
    <t>U16082</t>
  </si>
  <si>
    <t>U16341</t>
  </si>
  <si>
    <t>U16343</t>
  </si>
  <si>
    <t>2016-05-19-D07-CU-4</t>
  </si>
  <si>
    <t>U16971</t>
  </si>
  <si>
    <t>U16972</t>
  </si>
  <si>
    <t>U16973</t>
  </si>
  <si>
    <t>U16083</t>
  </si>
  <si>
    <t>U16974</t>
  </si>
  <si>
    <t>U16979</t>
  </si>
  <si>
    <t>2016-05-19-D07-CU-3</t>
  </si>
  <si>
    <t>U16975</t>
  </si>
  <si>
    <t>U16976</t>
  </si>
  <si>
    <t>U16977</t>
  </si>
  <si>
    <t>U16084</t>
  </si>
  <si>
    <t>U16980</t>
  </si>
  <si>
    <t>U16978</t>
  </si>
  <si>
    <t>2016-06-11-J07-PI-7</t>
  </si>
  <si>
    <t>U16661</t>
  </si>
  <si>
    <t>JP461</t>
  </si>
  <si>
    <t>U16662</t>
  </si>
  <si>
    <t>U16663</t>
  </si>
  <si>
    <t>U16085</t>
  </si>
  <si>
    <t>U16667</t>
  </si>
  <si>
    <t>2016-06-11-J07-PI-8</t>
  </si>
  <si>
    <t>U16664</t>
  </si>
  <si>
    <t>U16665</t>
  </si>
  <si>
    <t>U16666</t>
  </si>
  <si>
    <t>U16669</t>
  </si>
  <si>
    <t>2016-06-11-J07-PI-6</t>
  </si>
  <si>
    <t>U16086</t>
  </si>
  <si>
    <t>U16668</t>
  </si>
  <si>
    <t>U16670</t>
  </si>
  <si>
    <t>U16345</t>
  </si>
  <si>
    <t>2016-06-11-J07-PI-1</t>
  </si>
  <si>
    <t>U16346</t>
  </si>
  <si>
    <t>U16349</t>
  </si>
  <si>
    <t>U16087</t>
  </si>
  <si>
    <t>U16348</t>
  </si>
  <si>
    <t>U16347</t>
  </si>
  <si>
    <t>2016-06-11-J07-PI-5</t>
  </si>
  <si>
    <t>U16717</t>
  </si>
  <si>
    <t>U16718</t>
  </si>
  <si>
    <t>U16716</t>
  </si>
  <si>
    <t>U16088</t>
  </si>
  <si>
    <t>2016-06-11-J07-PI-2</t>
  </si>
  <si>
    <t>U16719</t>
  </si>
  <si>
    <t>U16720</t>
  </si>
  <si>
    <t>U16711</t>
  </si>
  <si>
    <t>U16714</t>
  </si>
  <si>
    <t>2016-06-11-J07-PI-4</t>
  </si>
  <si>
    <t>U16712</t>
  </si>
  <si>
    <t>U16089</t>
  </si>
  <si>
    <t>U16713</t>
  </si>
  <si>
    <t>U16715</t>
  </si>
  <si>
    <t>U16502</t>
  </si>
  <si>
    <t>2016-06-11-J07-PI-10</t>
  </si>
  <si>
    <t>U16090</t>
  </si>
  <si>
    <t>U16501</t>
  </si>
  <si>
    <t>U16504</t>
  </si>
  <si>
    <t>2016-06-11-J07-PI-3</t>
  </si>
  <si>
    <t>U16508</t>
  </si>
  <si>
    <t>U16509</t>
  </si>
  <si>
    <t>U16167</t>
  </si>
  <si>
    <t>U17141</t>
  </si>
  <si>
    <t>U16169</t>
  </si>
  <si>
    <t>2016-06-11-J07-PI-9</t>
  </si>
  <si>
    <t>U16170</t>
  </si>
  <si>
    <t>U16166</t>
  </si>
  <si>
    <t>U16164</t>
  </si>
  <si>
    <t>U16162</t>
  </si>
  <si>
    <t>U16168</t>
  </si>
  <si>
    <t>2016-06-09-D07-PI-9</t>
  </si>
  <si>
    <t>U17142</t>
  </si>
  <si>
    <t>U16163</t>
  </si>
  <si>
    <t>DP724</t>
  </si>
  <si>
    <t>U16161</t>
  </si>
  <si>
    <t>U16165</t>
  </si>
  <si>
    <t>U16194</t>
  </si>
  <si>
    <t>U16191</t>
  </si>
  <si>
    <t>U16192</t>
  </si>
  <si>
    <t>U16193</t>
  </si>
  <si>
    <t>2016-06-09-D07-PI-4</t>
  </si>
  <si>
    <t>U16195</t>
  </si>
  <si>
    <t>U17143</t>
  </si>
  <si>
    <t>U16196</t>
  </si>
  <si>
    <t>U16197</t>
  </si>
  <si>
    <t>U16506</t>
  </si>
  <si>
    <t>2016-06-09-D07-PI-10</t>
  </si>
  <si>
    <t>U16510</t>
  </si>
  <si>
    <t>U16507</t>
  </si>
  <si>
    <t>U16503</t>
  </si>
  <si>
    <t>U16505</t>
  </si>
  <si>
    <t>U17144</t>
  </si>
  <si>
    <t>U16806</t>
  </si>
  <si>
    <t>2016-06-09-D07-PI-5</t>
  </si>
  <si>
    <t>U16810</t>
  </si>
  <si>
    <t>U16808</t>
  </si>
  <si>
    <t>U16809</t>
  </si>
  <si>
    <t>U16803</t>
  </si>
  <si>
    <t>U16805</t>
  </si>
  <si>
    <t>U16801</t>
  </si>
  <si>
    <t>2016-06-09-D07-PI-6</t>
  </si>
  <si>
    <t>U17145</t>
  </si>
  <si>
    <t>U16807</t>
  </si>
  <si>
    <t>U16804</t>
  </si>
  <si>
    <t>U16802</t>
  </si>
  <si>
    <t>U16198</t>
  </si>
  <si>
    <t>U16199</t>
  </si>
  <si>
    <t>U16200</t>
  </si>
  <si>
    <t>2016-06-09-D07-PI-8</t>
  </si>
  <si>
    <t>U16141</t>
  </si>
  <si>
    <t>U16142</t>
  </si>
  <si>
    <t>U17146</t>
  </si>
  <si>
    <t>U16143</t>
  </si>
  <si>
    <t>U16144</t>
  </si>
  <si>
    <t>U16145</t>
  </si>
  <si>
    <t>U16146</t>
  </si>
  <si>
    <t>2016-06-09-D07-PI-7</t>
  </si>
  <si>
    <t>U16147</t>
  </si>
  <si>
    <t>U16148</t>
  </si>
  <si>
    <t>U16149</t>
  </si>
  <si>
    <t>U16150</t>
  </si>
  <si>
    <t>U16351</t>
  </si>
  <si>
    <t>U16352</t>
  </si>
  <si>
    <t>U17147</t>
  </si>
  <si>
    <t>U16353</t>
  </si>
  <si>
    <t>U16354</t>
  </si>
  <si>
    <t>2016-06-11-J06-PI-2</t>
  </si>
  <si>
    <t>JP462</t>
  </si>
  <si>
    <t>U16355</t>
  </si>
  <si>
    <t>U16356</t>
  </si>
  <si>
    <t>U16183</t>
  </si>
  <si>
    <t>U16190</t>
  </si>
  <si>
    <t>U16187</t>
  </si>
  <si>
    <t>U16189</t>
  </si>
  <si>
    <t>U17148</t>
  </si>
  <si>
    <t>2016-06-11-J06-PI-9</t>
  </si>
  <si>
    <t>U16188</t>
  </si>
  <si>
    <t>U16186</t>
  </si>
  <si>
    <t>U16185</t>
  </si>
  <si>
    <t>U16184</t>
  </si>
  <si>
    <t>U16181</t>
  </si>
  <si>
    <t>U16182</t>
  </si>
  <si>
    <t>2016-06-11-J06-PI-7</t>
  </si>
  <si>
    <t>U16257</t>
  </si>
  <si>
    <t>U17149</t>
  </si>
  <si>
    <t>U16256</t>
  </si>
  <si>
    <t>U16258</t>
  </si>
  <si>
    <t>U16252</t>
  </si>
  <si>
    <t>U16251</t>
  </si>
  <si>
    <t>U16254</t>
  </si>
  <si>
    <t>2016-06-11-J06-PI-10</t>
  </si>
  <si>
    <t>U16253</t>
  </si>
  <si>
    <t>U16255</t>
  </si>
  <si>
    <t>U16259</t>
  </si>
  <si>
    <t>U17150</t>
  </si>
  <si>
    <t>U16357</t>
  </si>
  <si>
    <t>U16358</t>
  </si>
  <si>
    <t>2016-06-11-J06-PI-8</t>
  </si>
  <si>
    <t>U16359</t>
  </si>
  <si>
    <t>U16360</t>
  </si>
  <si>
    <t>U16021</t>
  </si>
  <si>
    <t>U16022</t>
  </si>
  <si>
    <t>U16023</t>
  </si>
  <si>
    <t>U16024</t>
  </si>
  <si>
    <t>2016-06-11-J06-PI-1</t>
  </si>
  <si>
    <t>U16781</t>
  </si>
  <si>
    <t>U17321</t>
  </si>
  <si>
    <t>U16782</t>
  </si>
  <si>
    <t>U16783</t>
  </si>
  <si>
    <t>U17891</t>
  </si>
  <si>
    <t>U17291</t>
  </si>
  <si>
    <t>U16541</t>
  </si>
  <si>
    <t>2016-06-11-J06-PI-5</t>
  </si>
  <si>
    <t>U16542</t>
  </si>
  <si>
    <t>U16543</t>
  </si>
  <si>
    <t>U17277</t>
  </si>
  <si>
    <t>U17271</t>
  </si>
  <si>
    <t>U17276</t>
  </si>
  <si>
    <t>U17322</t>
  </si>
  <si>
    <t>U17280</t>
  </si>
  <si>
    <t>2016-06-11-J06-PI-4</t>
  </si>
  <si>
    <t>U17273</t>
  </si>
  <si>
    <t>U17274</t>
  </si>
  <si>
    <t>U17275</t>
  </si>
  <si>
    <t>U17272</t>
  </si>
  <si>
    <t>U17279</t>
  </si>
  <si>
    <t>2016-06-11-J06-PI-3</t>
  </si>
  <si>
    <t>U17278</t>
  </si>
  <si>
    <t>U17323</t>
  </si>
  <si>
    <t>U17072</t>
  </si>
  <si>
    <t>U17071</t>
  </si>
  <si>
    <t>2016-06-11-J06-PI-6</t>
  </si>
  <si>
    <t>U16123</t>
  </si>
  <si>
    <t>U16122</t>
  </si>
  <si>
    <t>U16121</t>
  </si>
  <si>
    <t>U16453</t>
  </si>
  <si>
    <t>U16454</t>
  </si>
  <si>
    <t>U17324</t>
  </si>
  <si>
    <t>2016-06-03-J07-PI-5</t>
  </si>
  <si>
    <t>U16451</t>
  </si>
  <si>
    <t>JP464</t>
  </si>
  <si>
    <t>U16452</t>
  </si>
  <si>
    <t>U16581</t>
  </si>
  <si>
    <t>U16585</t>
  </si>
  <si>
    <t>U16584</t>
  </si>
  <si>
    <t>2016-06-03-J07-PI-6</t>
  </si>
  <si>
    <t>U17325</t>
  </si>
  <si>
    <t>2016-06-03-J07-PI-2</t>
  </si>
  <si>
    <t>U17346</t>
  </si>
  <si>
    <t>2016-06-03-J07-PI-3</t>
  </si>
  <si>
    <t>U17344</t>
  </si>
  <si>
    <t>U16546</t>
  </si>
  <si>
    <t>2016-07-05-J07-PI-10</t>
  </si>
  <si>
    <t>JP463</t>
  </si>
  <si>
    <t>U17218</t>
  </si>
  <si>
    <t>large lesion at back of head on right side</t>
  </si>
  <si>
    <t>U16623</t>
  </si>
  <si>
    <t>U16624</t>
  </si>
  <si>
    <t>U17215</t>
  </si>
  <si>
    <t>2016-07-05-J07-PI-1</t>
  </si>
  <si>
    <t>U17219</t>
  </si>
  <si>
    <t>2016-07-05-J07-PI-2</t>
  </si>
  <si>
    <t>2016-07-05-J07-PI-7</t>
  </si>
  <si>
    <t>U17220</t>
  </si>
  <si>
    <t>2016-07-05-J07-PI-4</t>
  </si>
  <si>
    <t>U17211</t>
  </si>
  <si>
    <t>2016-07-05-J07-PI-5</t>
  </si>
  <si>
    <t>2016-07-05-J07-PI-6</t>
  </si>
  <si>
    <t>U17217</t>
  </si>
  <si>
    <t>2016-07-05-J07-PI-3</t>
  </si>
  <si>
    <t>U17213</t>
  </si>
  <si>
    <t>2016-07-05-J07-PI-8</t>
  </si>
  <si>
    <t>U17212</t>
  </si>
  <si>
    <t>2016-07-05-J07-PI-9</t>
  </si>
  <si>
    <t>2016-06-09-J09-PI-1</t>
  </si>
  <si>
    <t>JP465</t>
  </si>
  <si>
    <t>U17216</t>
  </si>
  <si>
    <t>U17214</t>
  </si>
  <si>
    <t>2016-06-09-J09-PI-7</t>
  </si>
  <si>
    <t>U17170</t>
  </si>
  <si>
    <t>2016-06-09-J09-PI-9</t>
  </si>
  <si>
    <t>1 anisakis</t>
  </si>
  <si>
    <t>2016-06-09-J09-PI-3</t>
  </si>
  <si>
    <t>2016-06-09-J09-PI-5</t>
  </si>
  <si>
    <t>2016-06-09-J09-PI-2</t>
  </si>
  <si>
    <t>2016-06-09-J09-PI-6</t>
  </si>
  <si>
    <t>2016-06-09-J09-PI-4</t>
  </si>
  <si>
    <t>2016-06-09-J09-PI-8</t>
  </si>
  <si>
    <t>2 anisakis</t>
  </si>
  <si>
    <t>2016-06-10-J04-PI-5</t>
  </si>
  <si>
    <t>JP466</t>
  </si>
  <si>
    <t>2016-06-10-J04-PI-3</t>
  </si>
  <si>
    <t>2016-06-10-J04-PI-2</t>
  </si>
  <si>
    <t>2016-06-10-J04-PI-8</t>
  </si>
  <si>
    <t>2016-06-10-J04-PI-9</t>
  </si>
  <si>
    <t>2016-06-10-J04-PI-1</t>
  </si>
  <si>
    <t>2016-06-10-J04-PI-7</t>
  </si>
  <si>
    <t>2016-06-10-J04-PI-4</t>
  </si>
  <si>
    <t>U17161</t>
  </si>
  <si>
    <t>2016-06-10-J04-PI-6</t>
  </si>
  <si>
    <t>U17165</t>
  </si>
  <si>
    <t>2016-06-10-J08-PI-9</t>
  </si>
  <si>
    <t>JP467</t>
  </si>
  <si>
    <t>2016-06-10-J08-PI-7</t>
  </si>
  <si>
    <t>U17166</t>
  </si>
  <si>
    <t>2016-06-10-J08-PI-10</t>
  </si>
  <si>
    <t>U17167</t>
  </si>
  <si>
    <t>2016-06-10-J08-PI-6</t>
  </si>
  <si>
    <t>U17169</t>
  </si>
  <si>
    <t>2016-06-10-J08-PI-2</t>
  </si>
  <si>
    <t>Tail is brused</t>
  </si>
  <si>
    <t>2016-06-10-J08-PI-5</t>
  </si>
  <si>
    <t>U17168</t>
  </si>
  <si>
    <t>2016-06-10-J08-PI-4</t>
  </si>
  <si>
    <t>U17164</t>
  </si>
  <si>
    <t>2016-06-10-J08-PI-1</t>
  </si>
  <si>
    <t>2016-06-10-J08-PI-3</t>
  </si>
  <si>
    <t>U17326</t>
  </si>
  <si>
    <t>2016-06-10-J08-PI-8</t>
  </si>
  <si>
    <t>U17327</t>
  </si>
  <si>
    <t>2016-06-08-D11-PI-5</t>
  </si>
  <si>
    <t>DP727</t>
  </si>
  <si>
    <t>U17328</t>
  </si>
  <si>
    <t>2016-06-08-D11-PI-2</t>
  </si>
  <si>
    <t>U17329</t>
  </si>
  <si>
    <t>2016-06-08-D11-PI-1</t>
  </si>
  <si>
    <t>2016-06-08-D11-PI-3</t>
  </si>
  <si>
    <t>U17330</t>
  </si>
  <si>
    <t>abbrasion right at base of tail</t>
  </si>
  <si>
    <t>2016-06-03-J07-PI-4</t>
  </si>
  <si>
    <t>U17021</t>
  </si>
  <si>
    <t>2016-06-03-J07-PI-7</t>
  </si>
  <si>
    <t>U17022</t>
  </si>
  <si>
    <t>2016-06-03-J07-PI-1</t>
  </si>
  <si>
    <t>U17023</t>
  </si>
  <si>
    <t>2016-06-03-J07-PI-9</t>
  </si>
  <si>
    <t>2016-06-03-J07-PI-8</t>
  </si>
  <si>
    <t>U17024</t>
  </si>
  <si>
    <t>2016-06-03-J07-PI-10</t>
  </si>
  <si>
    <t>2016-06-25-J07-PI-10</t>
  </si>
  <si>
    <t>JP468</t>
  </si>
  <si>
    <t>U17026</t>
  </si>
  <si>
    <t>2016-06-25-J07-PI-9</t>
  </si>
  <si>
    <t>U17025</t>
  </si>
  <si>
    <t>U17027</t>
  </si>
  <si>
    <t>2016-06-25-J07-PI-8</t>
  </si>
  <si>
    <t>U17028</t>
  </si>
  <si>
    <t>U17029</t>
  </si>
  <si>
    <t>U17030</t>
  </si>
  <si>
    <t>2016-06-25-J07-PI-4</t>
  </si>
  <si>
    <t>U16461</t>
  </si>
  <si>
    <t>U16462</t>
  </si>
  <si>
    <t>U16463</t>
  </si>
  <si>
    <t>2016-06-25-J07-PI-7</t>
  </si>
  <si>
    <t>U16464</t>
  </si>
  <si>
    <t>U16465</t>
  </si>
  <si>
    <t>2016-06-25-J07-PI-6</t>
  </si>
  <si>
    <t>U17163</t>
  </si>
  <si>
    <t>U17162</t>
  </si>
  <si>
    <t>U16261</t>
  </si>
  <si>
    <t>U16262</t>
  </si>
  <si>
    <t>2016-06-25-J07-PI-3</t>
  </si>
  <si>
    <t>U16263</t>
  </si>
  <si>
    <t>U16466</t>
  </si>
  <si>
    <t>U16467</t>
  </si>
  <si>
    <t>U16468</t>
  </si>
  <si>
    <t>2016-06-25-J07-PI-2</t>
  </si>
  <si>
    <t>U16469</t>
  </si>
  <si>
    <t>U16470</t>
  </si>
  <si>
    <t>U16437</t>
  </si>
  <si>
    <t>U16440</t>
  </si>
  <si>
    <t>2016-06-25-J07-PI-5</t>
  </si>
  <si>
    <t>U16438</t>
  </si>
  <si>
    <t>U16436</t>
  </si>
  <si>
    <t>U16435</t>
  </si>
  <si>
    <t>U16439</t>
  </si>
  <si>
    <t>2016-06-25-J07-PI-1</t>
  </si>
  <si>
    <t>U16433</t>
  </si>
  <si>
    <t>U16264</t>
  </si>
  <si>
    <t>U16265</t>
  </si>
  <si>
    <t>U16268</t>
  </si>
  <si>
    <t>U16269</t>
  </si>
  <si>
    <t>2016-06-03-D07-PI-7</t>
  </si>
  <si>
    <t>U16266</t>
  </si>
  <si>
    <t>DP725</t>
  </si>
  <si>
    <t>U16270</t>
  </si>
  <si>
    <t>U16267</t>
  </si>
  <si>
    <t>2016-06-03-D07-PI-8</t>
  </si>
  <si>
    <t>U17382</t>
  </si>
  <si>
    <t>2016-06-03-D07-PI-9</t>
  </si>
  <si>
    <t>U17381</t>
  </si>
  <si>
    <t>2016-06-03-D07-PI-2</t>
  </si>
  <si>
    <t>U17383</t>
  </si>
  <si>
    <t>U17384</t>
  </si>
  <si>
    <t>U17385</t>
  </si>
  <si>
    <t>U17386</t>
  </si>
  <si>
    <t>U17388</t>
  </si>
  <si>
    <t>U17389</t>
  </si>
  <si>
    <t>U17387</t>
  </si>
  <si>
    <t>U17390</t>
  </si>
  <si>
    <t>U17711</t>
  </si>
  <si>
    <t>U17715</t>
  </si>
  <si>
    <t>U17717</t>
  </si>
  <si>
    <t>U17719</t>
  </si>
  <si>
    <t>U17713</t>
  </si>
  <si>
    <t>U17720</t>
  </si>
  <si>
    <t>U17716</t>
  </si>
  <si>
    <t>U17718</t>
  </si>
  <si>
    <t>U17712</t>
  </si>
  <si>
    <t>U16432</t>
  </si>
  <si>
    <t>U16434</t>
  </si>
  <si>
    <t>U16431</t>
  </si>
  <si>
    <t>U17971</t>
  </si>
  <si>
    <t>U17972</t>
  </si>
  <si>
    <t>U17973</t>
  </si>
  <si>
    <t>U17974</t>
  </si>
  <si>
    <t>U17975</t>
  </si>
  <si>
    <t>2016-06-03-D07-PI-1</t>
  </si>
  <si>
    <t>U17976</t>
  </si>
  <si>
    <t>U17977</t>
  </si>
  <si>
    <t>U17978</t>
  </si>
  <si>
    <t>U17979</t>
  </si>
  <si>
    <t>2016-06-03-D07-PI-10</t>
  </si>
  <si>
    <t>U17980</t>
  </si>
  <si>
    <t>U17561</t>
  </si>
  <si>
    <t>U17562</t>
  </si>
  <si>
    <t>U17563</t>
  </si>
  <si>
    <t>U17564</t>
  </si>
  <si>
    <t>U17565</t>
  </si>
  <si>
    <t>U17566</t>
  </si>
  <si>
    <t>U17568</t>
  </si>
  <si>
    <t>U17567</t>
  </si>
  <si>
    <t>U17569</t>
  </si>
  <si>
    <t>U16065</t>
  </si>
  <si>
    <t>U16069</t>
  </si>
  <si>
    <t>U16064</t>
  </si>
  <si>
    <t>U16068</t>
  </si>
  <si>
    <t>U16062</t>
  </si>
  <si>
    <t>U16070</t>
  </si>
  <si>
    <t>U16066</t>
  </si>
  <si>
    <t>U16063</t>
  </si>
  <si>
    <t>2016-06-03-D07-PI-5</t>
  </si>
  <si>
    <t>U16067</t>
  </si>
  <si>
    <t>U16061</t>
  </si>
  <si>
    <t>U17714</t>
  </si>
  <si>
    <t>U17116</t>
  </si>
  <si>
    <t>2016-06-03-D07-PI-3</t>
  </si>
  <si>
    <t>U17115</t>
  </si>
  <si>
    <t>U17119</t>
  </si>
  <si>
    <t>U17117</t>
  </si>
  <si>
    <t>U17111</t>
  </si>
  <si>
    <t>U17113</t>
  </si>
  <si>
    <t>2016-06-03-D07-PI-4</t>
  </si>
  <si>
    <t>U17114</t>
  </si>
  <si>
    <t>U17120</t>
  </si>
  <si>
    <t>U17118</t>
  </si>
  <si>
    <t>2016-06-03-D07-PI-6</t>
  </si>
  <si>
    <t>U17112</t>
  </si>
  <si>
    <t>U17570</t>
  </si>
  <si>
    <t>U17631</t>
  </si>
  <si>
    <t>U17632</t>
  </si>
  <si>
    <t>2016-06-16-D07-PI-2</t>
  </si>
  <si>
    <t>DP726</t>
  </si>
  <si>
    <t>U17633</t>
  </si>
  <si>
    <t>U17634</t>
  </si>
  <si>
    <t>U17635</t>
  </si>
  <si>
    <t>U17636</t>
  </si>
  <si>
    <t>U17637</t>
  </si>
  <si>
    <t>U17638</t>
  </si>
  <si>
    <t>U17639</t>
  </si>
  <si>
    <t>U17640</t>
  </si>
  <si>
    <t>U17317</t>
  </si>
  <si>
    <t>U17315</t>
  </si>
  <si>
    <t>U17316</t>
  </si>
  <si>
    <t>U17319</t>
  </si>
  <si>
    <t>U17318</t>
  </si>
  <si>
    <t>U17311</t>
  </si>
  <si>
    <t>U17312</t>
  </si>
  <si>
    <t>2016-06-16-D07-PI-4</t>
  </si>
  <si>
    <t>U17313</t>
  </si>
  <si>
    <t>U17320</t>
  </si>
  <si>
    <t>U17314</t>
  </si>
  <si>
    <t>U16117</t>
  </si>
  <si>
    <t>U16114</t>
  </si>
  <si>
    <t>U16115</t>
  </si>
  <si>
    <t>U16116</t>
  </si>
  <si>
    <t>U16118</t>
  </si>
  <si>
    <t>2016-06-16-D07-PI-10</t>
  </si>
  <si>
    <t>U16112</t>
  </si>
  <si>
    <t>U16113</t>
  </si>
  <si>
    <t>U16111</t>
  </si>
  <si>
    <t>U16602</t>
  </si>
  <si>
    <t>U16610</t>
  </si>
  <si>
    <t>U16608</t>
  </si>
  <si>
    <t>U16601</t>
  </si>
  <si>
    <t>2015-06-29-J07-PI-6</t>
  </si>
  <si>
    <t>JP470</t>
  </si>
  <si>
    <t>U16605</t>
  </si>
  <si>
    <t>U16604</t>
  </si>
  <si>
    <t>U16606</t>
  </si>
  <si>
    <t>U16603</t>
  </si>
  <si>
    <t>U16609</t>
  </si>
  <si>
    <t>2015-06-29-J07-PI-4</t>
  </si>
  <si>
    <t>U16607</t>
  </si>
  <si>
    <t>U16981</t>
  </si>
  <si>
    <t>2015-06-29-J07-PI-1</t>
  </si>
  <si>
    <t>U16982</t>
  </si>
  <si>
    <t>U16983</t>
  </si>
  <si>
    <t>U16984</t>
  </si>
  <si>
    <t>U16989</t>
  </si>
  <si>
    <t>2015-06-29-J07-PI-10</t>
  </si>
  <si>
    <t>U16987</t>
  </si>
  <si>
    <t>U16986</t>
  </si>
  <si>
    <t>2015-06-29-J07-PI-5</t>
  </si>
  <si>
    <t>U16990</t>
  </si>
  <si>
    <t>U16988</t>
  </si>
  <si>
    <t>U16985</t>
  </si>
  <si>
    <t>U16231</t>
  </si>
  <si>
    <t>2015-06-29-J07-PI-2</t>
  </si>
  <si>
    <t>U16232</t>
  </si>
  <si>
    <t>U16234</t>
  </si>
  <si>
    <t>U16233</t>
  </si>
  <si>
    <t>2015-06-29-J07-PI-8</t>
  </si>
  <si>
    <t>U16235</t>
  </si>
  <si>
    <t>nematode on liver</t>
  </si>
  <si>
    <t>2015-06-29-J07-PI-3</t>
  </si>
  <si>
    <t>U16236</t>
  </si>
  <si>
    <t>U16240</t>
  </si>
  <si>
    <t>2015-06-29-J07-PI-9</t>
  </si>
  <si>
    <t>U16238</t>
  </si>
  <si>
    <t>U16239</t>
  </si>
  <si>
    <t>2015-06-29-J07-PI-7</t>
  </si>
  <si>
    <t>U16237</t>
  </si>
  <si>
    <t>U16529</t>
  </si>
  <si>
    <t>2015-06-20-J07-PI-2</t>
  </si>
  <si>
    <t>JP411</t>
  </si>
  <si>
    <t>U16525</t>
  </si>
  <si>
    <t>U16528</t>
  </si>
  <si>
    <t>2015-06-20-J07-PI-6</t>
  </si>
  <si>
    <t>U16527</t>
  </si>
  <si>
    <t>U16526</t>
  </si>
  <si>
    <t>U16523</t>
  </si>
  <si>
    <t>2015-06-20-J07-PI-5</t>
  </si>
  <si>
    <t>U16522</t>
  </si>
  <si>
    <t>U16524</t>
  </si>
  <si>
    <t>U16530</t>
  </si>
  <si>
    <t>U16521</t>
  </si>
  <si>
    <t>U16491</t>
  </si>
  <si>
    <t>2015-06-20-J07-PI-3</t>
  </si>
  <si>
    <t>U16500</t>
  </si>
  <si>
    <t>U16498</t>
  </si>
  <si>
    <t>U16499</t>
  </si>
  <si>
    <t>2015-06-20-J07-PI-4</t>
  </si>
  <si>
    <t>U16496</t>
  </si>
  <si>
    <t>U5450</t>
  </si>
  <si>
    <t>U5451</t>
  </si>
  <si>
    <t>fish fell off scale</t>
  </si>
  <si>
    <t>U5452</t>
  </si>
  <si>
    <t>2016-06-08-D11-PI-4</t>
  </si>
  <si>
    <t>U5453</t>
  </si>
  <si>
    <t>U5454</t>
  </si>
  <si>
    <t>U5455</t>
  </si>
  <si>
    <t>U5456</t>
  </si>
  <si>
    <t>2016-06-08-D11-PI-8</t>
  </si>
  <si>
    <t>DP728</t>
  </si>
  <si>
    <t>U5457</t>
  </si>
  <si>
    <t>U5458</t>
  </si>
  <si>
    <t>U5459</t>
  </si>
  <si>
    <t>2016-06-08-D11-PI-6</t>
  </si>
  <si>
    <t>U5460</t>
  </si>
  <si>
    <t>DP729</t>
  </si>
  <si>
    <t>U5461</t>
  </si>
  <si>
    <t>U16495</t>
  </si>
  <si>
    <t>U16497</t>
  </si>
  <si>
    <t>2016-06-08-D11-PI-10</t>
  </si>
  <si>
    <t>DP730</t>
  </si>
  <si>
    <t>U16493</t>
  </si>
  <si>
    <t>U16492</t>
  </si>
  <si>
    <t>U16494</t>
  </si>
  <si>
    <t>2016-06-08-D11-PI-7</t>
  </si>
  <si>
    <t>DP731</t>
  </si>
  <si>
    <t>U16242</t>
  </si>
  <si>
    <t>U16246</t>
  </si>
  <si>
    <t>U16248</t>
  </si>
  <si>
    <t>U16249</t>
  </si>
  <si>
    <t>2016-06-08-D11-PI-9</t>
  </si>
  <si>
    <t>DP732</t>
  </si>
  <si>
    <t>U16241</t>
  </si>
  <si>
    <t>U16244</t>
  </si>
  <si>
    <t>U16243</t>
  </si>
  <si>
    <t>2016-06-20-J07-PI-4</t>
  </si>
  <si>
    <t>JP471</t>
  </si>
  <si>
    <t>U16247</t>
  </si>
  <si>
    <t>U16245</t>
  </si>
  <si>
    <t>U16102</t>
  </si>
  <si>
    <t>2016-06-20-J07-PI-3</t>
  </si>
  <si>
    <t>JP472</t>
  </si>
  <si>
    <t>U16107</t>
  </si>
  <si>
    <t>U16106</t>
  </si>
  <si>
    <t>U16105</t>
  </si>
  <si>
    <t>U16101</t>
  </si>
  <si>
    <t>2016-06-20-J07-PI-10</t>
  </si>
  <si>
    <t>U16103</t>
  </si>
  <si>
    <t>JP473</t>
  </si>
  <si>
    <t>U16104</t>
  </si>
  <si>
    <t>U16363</t>
  </si>
  <si>
    <t>U16362</t>
  </si>
  <si>
    <t>U16364</t>
  </si>
  <si>
    <t>U16361</t>
  </si>
  <si>
    <t>2016-06-20-J07-PI-1</t>
  </si>
  <si>
    <t>U17391</t>
  </si>
  <si>
    <t>JP474</t>
  </si>
  <si>
    <t>U16391</t>
  </si>
  <si>
    <t>U17011</t>
  </si>
  <si>
    <t>2016-06-20-J07-PI-6</t>
  </si>
  <si>
    <t>U16811</t>
  </si>
  <si>
    <t>JP475</t>
  </si>
  <si>
    <t>U16815</t>
  </si>
  <si>
    <t>U16818</t>
  </si>
  <si>
    <t>2016-06-20-J07-PI-2</t>
  </si>
  <si>
    <t>U16816</t>
  </si>
  <si>
    <t>JP476</t>
  </si>
  <si>
    <t>U16820</t>
  </si>
  <si>
    <t>U16819</t>
  </si>
  <si>
    <t>U16813</t>
  </si>
  <si>
    <t xml:space="preserve">Fish fell on bench </t>
  </si>
  <si>
    <t>U16812</t>
  </si>
  <si>
    <t>2016-06-20-J07-PI-9</t>
  </si>
  <si>
    <t>U16817</t>
  </si>
  <si>
    <t>U16814</t>
  </si>
  <si>
    <t>JP477</t>
  </si>
  <si>
    <t>U17138</t>
  </si>
  <si>
    <t>U17131</t>
  </si>
  <si>
    <t>U17133</t>
  </si>
  <si>
    <t>U17135</t>
  </si>
  <si>
    <t>U17136</t>
  </si>
  <si>
    <t>U17139</t>
  </si>
  <si>
    <t>2016-06-20-J07-PI-5</t>
  </si>
  <si>
    <t>JP478</t>
  </si>
  <si>
    <t>U17140</t>
  </si>
  <si>
    <t>U17137</t>
  </si>
  <si>
    <t xml:space="preserve">fish fell on bench </t>
  </si>
  <si>
    <t>U17134</t>
  </si>
  <si>
    <t>2016-06-20-J07-PI-7</t>
  </si>
  <si>
    <t>U17132</t>
  </si>
  <si>
    <t>JP479</t>
  </si>
  <si>
    <t>U17227</t>
  </si>
  <si>
    <t>U17222</t>
  </si>
  <si>
    <t>U17221</t>
  </si>
  <si>
    <t>2016-06-20-J07-PI-8</t>
  </si>
  <si>
    <t>JP480</t>
  </si>
  <si>
    <t>U17223</t>
  </si>
  <si>
    <t>Muscle touched gill of F7</t>
  </si>
  <si>
    <t>U17224</t>
  </si>
  <si>
    <t>U17230</t>
  </si>
  <si>
    <t>U17225</t>
  </si>
  <si>
    <t>U17226</t>
  </si>
  <si>
    <t>U17228</t>
  </si>
  <si>
    <t>2016-05-26-D07-PI-6</t>
  </si>
  <si>
    <t>U16407</t>
  </si>
  <si>
    <t>U16410</t>
  </si>
  <si>
    <t>U16403</t>
  </si>
  <si>
    <t>U16402</t>
  </si>
  <si>
    <t>2016-06-16-D07-PI-8</t>
  </si>
  <si>
    <t>U16409</t>
  </si>
  <si>
    <t>fish fell on floor</t>
  </si>
  <si>
    <t>U16404</t>
  </si>
  <si>
    <t>U16401</t>
  </si>
  <si>
    <t>U16405</t>
  </si>
  <si>
    <t>2016-06-16-D07-PI-1</t>
  </si>
  <si>
    <t>U16408</t>
  </si>
  <si>
    <t>hemorrhaging vent</t>
  </si>
  <si>
    <t>U16406</t>
  </si>
  <si>
    <t>2016-06-16-D07-PI-9</t>
  </si>
  <si>
    <t>U17610</t>
  </si>
  <si>
    <t>U17608</t>
  </si>
  <si>
    <t>U17604</t>
  </si>
  <si>
    <t>U17609</t>
  </si>
  <si>
    <t>U17605</t>
  </si>
  <si>
    <t>2016-06-16-D07-PI-3</t>
  </si>
  <si>
    <t>U17603</t>
  </si>
  <si>
    <t>U17606</t>
  </si>
  <si>
    <t>U17229</t>
  </si>
  <si>
    <t>U16880</t>
  </si>
  <si>
    <t>Touched gill tube</t>
  </si>
  <si>
    <t>2016-06-16-D07-PI-6</t>
  </si>
  <si>
    <t>U16876</t>
  </si>
  <si>
    <t>U16877</t>
  </si>
  <si>
    <t>U16879</t>
  </si>
  <si>
    <t>U16875</t>
  </si>
  <si>
    <t>2016-06-16-D07-PI-5</t>
  </si>
  <si>
    <t>U16874</t>
  </si>
  <si>
    <t>U16878</t>
  </si>
  <si>
    <t>U16872</t>
  </si>
  <si>
    <t>U16873</t>
  </si>
  <si>
    <t>U16871</t>
  </si>
  <si>
    <t>2016-06-16-D07-PI-7</t>
  </si>
  <si>
    <t>U17560</t>
  </si>
  <si>
    <t>U17552</t>
  </si>
  <si>
    <t>2016-05-26-D07-PI-8</t>
  </si>
  <si>
    <t>U17551</t>
  </si>
  <si>
    <t>U17553</t>
  </si>
  <si>
    <t>2016-05-26-D07-PI-9</t>
  </si>
  <si>
    <t>U17556</t>
  </si>
  <si>
    <t>U17554</t>
  </si>
  <si>
    <t>2016-05-26-D07-PI-7</t>
  </si>
  <si>
    <t>U17601</t>
  </si>
  <si>
    <t>U17607</t>
  </si>
  <si>
    <t>2016-05-26-D07-PI-5</t>
  </si>
  <si>
    <t>U17602</t>
  </si>
  <si>
    <t>U16748</t>
  </si>
  <si>
    <t>U16750</t>
  </si>
  <si>
    <t>U16742</t>
  </si>
  <si>
    <t>2016-05-26-D07-PI-10</t>
  </si>
  <si>
    <t>U16745</t>
  </si>
  <si>
    <t>U16741</t>
  </si>
  <si>
    <t>U16744</t>
  </si>
  <si>
    <t>U16743</t>
  </si>
  <si>
    <t>U16747</t>
  </si>
  <si>
    <t>2016-05-26-D07-PI-4</t>
  </si>
  <si>
    <t>U16749</t>
  </si>
  <si>
    <t>U16746</t>
  </si>
  <si>
    <t>U16287</t>
  </si>
  <si>
    <t>U16286</t>
  </si>
  <si>
    <t>U16285</t>
  </si>
  <si>
    <t>2016-05-26-D07-PI-3</t>
  </si>
  <si>
    <t>U16288</t>
  </si>
  <si>
    <t>U16290</t>
  </si>
  <si>
    <t>U16281</t>
  </si>
  <si>
    <t>U16284</t>
  </si>
  <si>
    <t>2016-05-26-D07-PI-2</t>
  </si>
  <si>
    <t>U16282</t>
  </si>
  <si>
    <t>U16283</t>
  </si>
  <si>
    <t>U16289</t>
  </si>
  <si>
    <t>U16615</t>
  </si>
  <si>
    <t>U16620</t>
  </si>
  <si>
    <t>2016-05-26-D07-PI-1</t>
  </si>
  <si>
    <t>U16614</t>
  </si>
  <si>
    <t>U16613</t>
  </si>
  <si>
    <t>U16616</t>
  </si>
  <si>
    <t>U16618</t>
  </si>
  <si>
    <t>2015-06-29-J07-CU-9</t>
  </si>
  <si>
    <t>U16612</t>
  </si>
  <si>
    <t>U16617</t>
  </si>
  <si>
    <t>U16611</t>
  </si>
  <si>
    <t>U16619</t>
  </si>
  <si>
    <t>U16059</t>
  </si>
  <si>
    <t>2015-06-29-J07-CU-4</t>
  </si>
  <si>
    <t>U16057</t>
  </si>
  <si>
    <t>U16058</t>
  </si>
  <si>
    <t>U16052</t>
  </si>
  <si>
    <t>U16060</t>
  </si>
  <si>
    <t>U16055</t>
  </si>
  <si>
    <t>2015-06-29-J07-CU-7</t>
  </si>
  <si>
    <t>U16056</t>
  </si>
  <si>
    <t>U16053</t>
  </si>
  <si>
    <t>U16054</t>
  </si>
  <si>
    <t>2015-06-29-J07-CU-1</t>
  </si>
  <si>
    <t>U16051</t>
  </si>
  <si>
    <t>U16205</t>
  </si>
  <si>
    <t>U16201</t>
  </si>
  <si>
    <t>U16209</t>
  </si>
  <si>
    <t>2015-06-29-J07-CU-2</t>
  </si>
  <si>
    <t>U16203</t>
  </si>
  <si>
    <t>U17558</t>
  </si>
  <si>
    <t>U17557</t>
  </si>
  <si>
    <t>U17555</t>
  </si>
  <si>
    <t>U17559</t>
  </si>
  <si>
    <t>2015-06-29-J07-CU-6</t>
  </si>
  <si>
    <t>U17288</t>
  </si>
  <si>
    <t>U17285</t>
  </si>
  <si>
    <t>U17281</t>
  </si>
  <si>
    <t>U17287</t>
  </si>
  <si>
    <t>2015-06-29-J07-CU-8</t>
  </si>
  <si>
    <t>U17283</t>
  </si>
  <si>
    <t>U17290</t>
  </si>
  <si>
    <t>U17289</t>
  </si>
  <si>
    <t>U17286</t>
  </si>
  <si>
    <t>2015-06-29-J07-CU-10</t>
  </si>
  <si>
    <t>U17282</t>
  </si>
  <si>
    <t>U17284</t>
  </si>
  <si>
    <t>U17682</t>
  </si>
  <si>
    <t>U17686</t>
  </si>
  <si>
    <t>U17685</t>
  </si>
  <si>
    <t>2015-06-29-J07-CU-3</t>
  </si>
  <si>
    <t>U17688</t>
  </si>
  <si>
    <t>U17681</t>
  </si>
  <si>
    <t>U17687</t>
  </si>
  <si>
    <t>2015-06-29-J07-CU-5</t>
  </si>
  <si>
    <t>U17689</t>
  </si>
  <si>
    <t>U17684</t>
  </si>
  <si>
    <t>U17683</t>
  </si>
  <si>
    <t>U17690</t>
  </si>
  <si>
    <t>U16204</t>
  </si>
  <si>
    <t>U16202</t>
  </si>
  <si>
    <t>U16206</t>
  </si>
  <si>
    <t>U16207</t>
  </si>
  <si>
    <t>streamlined_workup_2018</t>
  </si>
  <si>
    <t>U16210</t>
  </si>
  <si>
    <t>U16208</t>
  </si>
  <si>
    <t>U17504</t>
  </si>
  <si>
    <t>U17509</t>
  </si>
  <si>
    <t>U17502</t>
  </si>
  <si>
    <t>U17507</t>
  </si>
  <si>
    <t>U17508</t>
  </si>
  <si>
    <t>U17505</t>
  </si>
  <si>
    <t>U17510</t>
  </si>
  <si>
    <t>U17506</t>
  </si>
  <si>
    <t>U17501</t>
  </si>
  <si>
    <t>U17503</t>
  </si>
  <si>
    <t>U17102</t>
  </si>
  <si>
    <t>U17107</t>
  </si>
  <si>
    <t>U17259</t>
  </si>
  <si>
    <t>U17260</t>
  </si>
  <si>
    <t>U17258</t>
  </si>
  <si>
    <t>U17256</t>
  </si>
  <si>
    <t>U17253</t>
  </si>
  <si>
    <t>U17257</t>
  </si>
  <si>
    <t>U17252</t>
  </si>
  <si>
    <t>U17255</t>
  </si>
  <si>
    <t>U17251</t>
  </si>
  <si>
    <t>U16675</t>
  </si>
  <si>
    <t>U16677</t>
  </si>
  <si>
    <t>U16673</t>
  </si>
  <si>
    <t>U16671</t>
  </si>
  <si>
    <t>U16679</t>
  </si>
  <si>
    <t>U16680</t>
  </si>
  <si>
    <t>U16674</t>
  </si>
  <si>
    <t>U16676</t>
  </si>
  <si>
    <t>U16678</t>
  </si>
  <si>
    <t>U16672</t>
  </si>
  <si>
    <t>U17254</t>
  </si>
  <si>
    <t>Fish touched bench</t>
  </si>
  <si>
    <t>U17103</t>
  </si>
  <si>
    <t>U17101</t>
  </si>
  <si>
    <t>U17106</t>
  </si>
  <si>
    <t>U17104</t>
  </si>
  <si>
    <t>U17105</t>
  </si>
  <si>
    <t>U17109</t>
  </si>
  <si>
    <t>U17110</t>
  </si>
  <si>
    <t>U17108</t>
  </si>
  <si>
    <t>U16415</t>
  </si>
  <si>
    <t>U16418</t>
  </si>
  <si>
    <t>U16414</t>
  </si>
  <si>
    <t>U16412</t>
  </si>
  <si>
    <t>U16413</t>
  </si>
  <si>
    <t>U16411</t>
  </si>
  <si>
    <t>U16417</t>
  </si>
  <si>
    <t>2016-05-19-D07-PI-3</t>
  </si>
  <si>
    <t>U16419</t>
  </si>
  <si>
    <t>U16416</t>
  </si>
  <si>
    <t>2016-05-19-D07-PI-5</t>
  </si>
  <si>
    <t>U16420</t>
  </si>
  <si>
    <t>U17380</t>
  </si>
  <si>
    <t>U17375</t>
  </si>
  <si>
    <t>U17376</t>
  </si>
  <si>
    <t>U17377</t>
  </si>
  <si>
    <t>2016-05-19-D07-PI-9</t>
  </si>
  <si>
    <t>U17374</t>
  </si>
  <si>
    <t>U17378</t>
  </si>
  <si>
    <t>U17379</t>
  </si>
  <si>
    <t>U17371</t>
  </si>
  <si>
    <t>2016-05-19-D07-PI-4</t>
  </si>
  <si>
    <t>U17372</t>
  </si>
  <si>
    <t>U17373</t>
  </si>
  <si>
    <t>U17157</t>
  </si>
  <si>
    <t>U17160</t>
  </si>
  <si>
    <t>U17159</t>
  </si>
  <si>
    <t>2016-05-19-D07-PI-10</t>
  </si>
  <si>
    <t>U17155</t>
  </si>
  <si>
    <t>U17156</t>
  </si>
  <si>
    <t>U17154</t>
  </si>
  <si>
    <t>U17152</t>
  </si>
  <si>
    <t>U17158</t>
  </si>
  <si>
    <t>U17151</t>
  </si>
  <si>
    <t>2016-05-19-D07-PI-8</t>
  </si>
  <si>
    <t>U17153</t>
  </si>
  <si>
    <t>Muscle touched tray</t>
  </si>
  <si>
    <t>U16575</t>
  </si>
  <si>
    <t>U16573</t>
  </si>
  <si>
    <t>U16571</t>
  </si>
  <si>
    <t>2016-05-19-D07-PI-6</t>
  </si>
  <si>
    <t>U16580</t>
  </si>
  <si>
    <t>U16574</t>
  </si>
  <si>
    <t>U16577</t>
  </si>
  <si>
    <t>U16579</t>
  </si>
  <si>
    <t>U16576</t>
  </si>
  <si>
    <t>U16578</t>
  </si>
  <si>
    <t>2016-05-19-D07-PI-1</t>
  </si>
  <si>
    <t>U16572</t>
  </si>
  <si>
    <t>U16486</t>
  </si>
  <si>
    <t>U16490</t>
  </si>
  <si>
    <t>U16487</t>
  </si>
  <si>
    <t>U16488</t>
  </si>
  <si>
    <t>2016-05-19-D07-PI-7</t>
  </si>
  <si>
    <t>U16489</t>
  </si>
  <si>
    <t>U16484</t>
  </si>
  <si>
    <t>U16483</t>
  </si>
  <si>
    <t>U16482</t>
  </si>
  <si>
    <t>2016-05-19-D07-PI-2</t>
  </si>
  <si>
    <t>U16485</t>
  </si>
  <si>
    <t>U16481</t>
  </si>
  <si>
    <t>2015-06-14-J07-CU-6</t>
  </si>
  <si>
    <t>U17190</t>
  </si>
  <si>
    <t>U17189</t>
  </si>
  <si>
    <t>2015-06-14-J07-CU-7</t>
  </si>
  <si>
    <t>U17188</t>
  </si>
  <si>
    <t xml:space="preserve">Fish fell on bench top </t>
  </si>
  <si>
    <t>U17187</t>
  </si>
  <si>
    <t>U17186</t>
  </si>
  <si>
    <t>2015-06-14-J07-CU-4</t>
  </si>
  <si>
    <t>U17185</t>
  </si>
  <si>
    <t>U17184</t>
  </si>
  <si>
    <t>U17181</t>
  </si>
  <si>
    <t>U17182</t>
  </si>
  <si>
    <t>U17183</t>
  </si>
  <si>
    <t>U16655</t>
  </si>
  <si>
    <t>U16652</t>
  </si>
  <si>
    <t>U16653</t>
  </si>
  <si>
    <t>2015-06-14-J07-CU-9</t>
  </si>
  <si>
    <t>U16658</t>
  </si>
  <si>
    <t>U16659</t>
  </si>
  <si>
    <t>U16656</t>
  </si>
  <si>
    <t>U16660</t>
  </si>
  <si>
    <t>nematode on spleen</t>
  </si>
  <si>
    <t>U16657</t>
  </si>
  <si>
    <t>U16654</t>
  </si>
  <si>
    <t>U16651</t>
  </si>
  <si>
    <t>U17470</t>
  </si>
  <si>
    <t>U17469</t>
  </si>
  <si>
    <t>2015-06-14-J07-CU-2</t>
  </si>
  <si>
    <t>U17468</t>
  </si>
  <si>
    <t>U17467</t>
  </si>
  <si>
    <t>U17454</t>
  </si>
  <si>
    <t>U17458</t>
  </si>
  <si>
    <t>U17459</t>
  </si>
  <si>
    <t>2015-06-14-J07-CU-5</t>
  </si>
  <si>
    <t>U17456</t>
  </si>
  <si>
    <t>U17460</t>
  </si>
  <si>
    <t>U17455</t>
  </si>
  <si>
    <t>U17451</t>
  </si>
  <si>
    <t>2015-06-14-J07-CU-1</t>
  </si>
  <si>
    <t>U17452</t>
  </si>
  <si>
    <t>U17457</t>
  </si>
  <si>
    <t>U17453</t>
  </si>
  <si>
    <t>U16031</t>
  </si>
  <si>
    <t>U16037</t>
  </si>
  <si>
    <t>2015-06-14-J07-CU-3</t>
  </si>
  <si>
    <t>U16038</t>
  </si>
  <si>
    <t>U16034</t>
  </si>
  <si>
    <t>U16039</t>
  </si>
  <si>
    <t>U16035</t>
  </si>
  <si>
    <t>2015-06-14-J07-CU-8</t>
  </si>
  <si>
    <t>U16032</t>
  </si>
  <si>
    <t>U16040</t>
  </si>
  <si>
    <t>U16033</t>
  </si>
  <si>
    <t>U16036</t>
  </si>
  <si>
    <t>U17466</t>
  </si>
  <si>
    <t>2015-06-14-J07-CU-10</t>
  </si>
  <si>
    <t>U17465</t>
  </si>
  <si>
    <t>U17464</t>
  </si>
  <si>
    <t>U17463</t>
  </si>
  <si>
    <t>U17462</t>
  </si>
  <si>
    <t>U17461</t>
  </si>
  <si>
    <t>U16736</t>
  </si>
  <si>
    <t>U16738</t>
  </si>
  <si>
    <t>U16740</t>
  </si>
  <si>
    <t>Fish touched tinfoil</t>
  </si>
  <si>
    <t>U16735</t>
  </si>
  <si>
    <t>U16737</t>
  </si>
  <si>
    <t>U16733</t>
  </si>
  <si>
    <t>U16734</t>
  </si>
  <si>
    <t>U16731</t>
  </si>
  <si>
    <t>U16739</t>
  </si>
  <si>
    <t>U16732</t>
  </si>
  <si>
    <t>U17939</t>
  </si>
  <si>
    <t>U17936</t>
  </si>
  <si>
    <t>U17940</t>
  </si>
  <si>
    <t>U17932</t>
  </si>
  <si>
    <t>U17931</t>
  </si>
  <si>
    <t>U17934</t>
  </si>
  <si>
    <t>U17935</t>
  </si>
  <si>
    <t>Muscle touched non-sterile surface. Tube touched by U17933</t>
  </si>
  <si>
    <t>U17937</t>
  </si>
  <si>
    <t>U17933</t>
  </si>
  <si>
    <t>Muscle touched non-sterile surface. Tube touched by U17935</t>
  </si>
  <si>
    <t>U17938</t>
  </si>
  <si>
    <t>U16047</t>
  </si>
  <si>
    <t>U16043</t>
  </si>
  <si>
    <t>U16049</t>
  </si>
  <si>
    <t>U16050</t>
  </si>
  <si>
    <t>U16044</t>
  </si>
  <si>
    <t>U16045</t>
  </si>
  <si>
    <t>U16046</t>
  </si>
  <si>
    <t>U16048</t>
  </si>
  <si>
    <t>U16041</t>
  </si>
  <si>
    <t>U16042</t>
  </si>
  <si>
    <t>U16004</t>
  </si>
  <si>
    <t>U16002</t>
  </si>
  <si>
    <t>U16001</t>
  </si>
  <si>
    <t>U16005</t>
  </si>
  <si>
    <t>U16010</t>
  </si>
  <si>
    <t>U16006</t>
  </si>
  <si>
    <t>U16009</t>
  </si>
  <si>
    <t>U16008</t>
  </si>
  <si>
    <t>U16007</t>
  </si>
  <si>
    <t>U16003</t>
  </si>
  <si>
    <t>U16441</t>
  </si>
  <si>
    <t>U16442</t>
  </si>
  <si>
    <t>U16444</t>
  </si>
  <si>
    <t>U16443</t>
  </si>
  <si>
    <t>U16445</t>
  </si>
  <si>
    <t>U16450</t>
  </si>
  <si>
    <t>U16446</t>
  </si>
  <si>
    <t>U16447</t>
  </si>
  <si>
    <t>U16448</t>
  </si>
  <si>
    <t>U16449</t>
  </si>
  <si>
    <t>U16478</t>
  </si>
  <si>
    <t>U16477</t>
  </si>
  <si>
    <t>U16476</t>
  </si>
  <si>
    <t>U16475</t>
  </si>
  <si>
    <t>U17305</t>
  </si>
  <si>
    <t>U17308</t>
  </si>
  <si>
    <t>U17309</t>
  </si>
  <si>
    <t>U17310</t>
  </si>
  <si>
    <t>U17302</t>
  </si>
  <si>
    <t>U17301</t>
  </si>
  <si>
    <t>U17307</t>
  </si>
  <si>
    <t>U17303</t>
  </si>
  <si>
    <t>U17306</t>
  </si>
  <si>
    <t>U17304</t>
  </si>
  <si>
    <t>U17471</t>
  </si>
  <si>
    <t>U17480</t>
  </si>
  <si>
    <t>U17472</t>
  </si>
  <si>
    <t>U17479</t>
  </si>
  <si>
    <t>U17478</t>
  </si>
  <si>
    <t>U17475</t>
  </si>
  <si>
    <t>U17473</t>
  </si>
  <si>
    <t>U17474</t>
  </si>
  <si>
    <t>U17477</t>
  </si>
  <si>
    <t>U17476</t>
  </si>
  <si>
    <t>U17209</t>
  </si>
  <si>
    <t>U17207</t>
  </si>
  <si>
    <t>U17208</t>
  </si>
  <si>
    <t>U17205</t>
  </si>
  <si>
    <t>U17206</t>
  </si>
  <si>
    <t>U17202</t>
  </si>
  <si>
    <t>U17201</t>
  </si>
  <si>
    <t>U17203</t>
  </si>
  <si>
    <t>U17204</t>
  </si>
  <si>
    <t>U17210</t>
  </si>
  <si>
    <t>U17491</t>
  </si>
  <si>
    <t>U17496</t>
  </si>
  <si>
    <t>U17494</t>
  </si>
  <si>
    <t>muscle touched shopcloth</t>
  </si>
  <si>
    <t>U17495</t>
  </si>
  <si>
    <t>U17492</t>
  </si>
  <si>
    <t>U17493</t>
  </si>
  <si>
    <t>U16225</t>
  </si>
  <si>
    <t>U16223</t>
  </si>
  <si>
    <t>U16224</t>
  </si>
  <si>
    <t>U16221</t>
  </si>
  <si>
    <t>U16222</t>
  </si>
  <si>
    <t>U16474</t>
  </si>
  <si>
    <t>U16471</t>
  </si>
  <si>
    <t>U16473</t>
  </si>
  <si>
    <t>U16472</t>
  </si>
  <si>
    <t>U16841</t>
  </si>
  <si>
    <t>U16845</t>
  </si>
  <si>
    <t>U16844</t>
  </si>
  <si>
    <t>U16849</t>
  </si>
  <si>
    <t>U16847</t>
  </si>
  <si>
    <t>bench fish</t>
  </si>
  <si>
    <t>U16848</t>
  </si>
  <si>
    <t>Wound at base of dorsal fin</t>
  </si>
  <si>
    <t>U16850</t>
  </si>
  <si>
    <t>U16843</t>
  </si>
  <si>
    <t>U16846</t>
  </si>
  <si>
    <t>U16842</t>
  </si>
  <si>
    <t>*9H left blank*</t>
  </si>
  <si>
    <t>U16771</t>
  </si>
  <si>
    <t>U16779</t>
  </si>
  <si>
    <t>U16776</t>
  </si>
  <si>
    <t>U16780</t>
  </si>
  <si>
    <t>U16774</t>
  </si>
  <si>
    <t>U16773</t>
  </si>
  <si>
    <t>U17179</t>
  </si>
  <si>
    <t>U17178</t>
  </si>
  <si>
    <t>U17171</t>
  </si>
  <si>
    <t>U17175</t>
  </si>
  <si>
    <t>U17174</t>
  </si>
  <si>
    <t>U17177</t>
  </si>
  <si>
    <t>U17176</t>
  </si>
  <si>
    <t>U17172</t>
  </si>
  <si>
    <t>U17173</t>
  </si>
  <si>
    <t>U16595</t>
  </si>
  <si>
    <t>U16591</t>
  </si>
  <si>
    <t>U16593</t>
  </si>
  <si>
    <t>U16594</t>
  </si>
  <si>
    <t>U16592</t>
  </si>
  <si>
    <t>U16635</t>
  </si>
  <si>
    <t>U16640</t>
  </si>
  <si>
    <t>U16639</t>
  </si>
  <si>
    <t>U16634</t>
  </si>
  <si>
    <t>U16631</t>
  </si>
  <si>
    <t>U16636</t>
  </si>
  <si>
    <t>U16632</t>
  </si>
  <si>
    <t>U16638</t>
  </si>
  <si>
    <t>U16775</t>
  </si>
  <si>
    <t>U16772</t>
  </si>
  <si>
    <t>U16778</t>
  </si>
  <si>
    <t>U16777</t>
  </si>
  <si>
    <t>U16091</t>
  </si>
  <si>
    <t>U16097</t>
  </si>
  <si>
    <t>U16093</t>
  </si>
  <si>
    <t>U16092</t>
  </si>
  <si>
    <t>U16095</t>
  </si>
  <si>
    <t>U16098</t>
  </si>
  <si>
    <t>U16100</t>
  </si>
  <si>
    <t>U16096</t>
  </si>
  <si>
    <t>U16099</t>
  </si>
  <si>
    <t>U16094</t>
  </si>
  <si>
    <t>U17921</t>
  </si>
  <si>
    <t>U16691</t>
  </si>
  <si>
    <t>U16421</t>
  </si>
  <si>
    <t>U16422</t>
  </si>
  <si>
    <t>U16862</t>
  </si>
  <si>
    <t>U16863</t>
  </si>
  <si>
    <t>U16861</t>
  </si>
  <si>
    <t>U16721</t>
  </si>
  <si>
    <t>U16131</t>
  </si>
  <si>
    <t>U17841</t>
  </si>
  <si>
    <t>U16331</t>
  </si>
  <si>
    <t>U17481</t>
  </si>
  <si>
    <t>U16071</t>
  </si>
  <si>
    <t>U17031</t>
  </si>
  <si>
    <t>U17061</t>
  </si>
  <si>
    <t>U16381</t>
  </si>
  <si>
    <t>U16311</t>
  </si>
  <si>
    <t>U16312</t>
  </si>
  <si>
    <t>U16371</t>
  </si>
  <si>
    <t>U16372</t>
  </si>
  <si>
    <t>U16171</t>
  </si>
  <si>
    <t>U16172</t>
  </si>
  <si>
    <t>U16216</t>
  </si>
  <si>
    <t>U16211</t>
  </si>
  <si>
    <t>U16212</t>
  </si>
  <si>
    <t>U16213</t>
  </si>
  <si>
    <t>U16215</t>
  </si>
  <si>
    <t>U16214</t>
  </si>
  <si>
    <t>U17641</t>
  </si>
  <si>
    <t>U16531</t>
  </si>
  <si>
    <t>U17431</t>
  </si>
  <si>
    <t>U16633</t>
  </si>
  <si>
    <t>U16637</t>
  </si>
  <si>
    <t>U17250</t>
  </si>
  <si>
    <t>U17249</t>
  </si>
  <si>
    <t>U17247</t>
  </si>
  <si>
    <t>U17248</t>
  </si>
  <si>
    <t>U17245</t>
  </si>
  <si>
    <t>U17246</t>
  </si>
  <si>
    <t>Fell on tray</t>
  </si>
  <si>
    <t>U17243</t>
  </si>
  <si>
    <t>U17244</t>
  </si>
  <si>
    <t>U17242</t>
  </si>
  <si>
    <t>U17241</t>
  </si>
  <si>
    <t>U16851</t>
  </si>
  <si>
    <t>U16855</t>
  </si>
  <si>
    <t>U16852</t>
  </si>
  <si>
    <t>U16854</t>
  </si>
  <si>
    <t>U16853</t>
  </si>
  <si>
    <t>several wounds along both sides</t>
  </si>
  <si>
    <t>gill sample fell inside of cool box</t>
  </si>
  <si>
    <t>Lots of scales missing on right side</t>
  </si>
  <si>
    <t>Abrasion along tail on both sides</t>
  </si>
  <si>
    <t>wound on left side</t>
  </si>
  <si>
    <t>Lots of scales missing</t>
  </si>
  <si>
    <t>isopod in gill</t>
  </si>
  <si>
    <t>sample forgotten, taken after sitting in -20 freezer for 20 minutes</t>
  </si>
  <si>
    <t>rocinela</t>
  </si>
  <si>
    <t>sample fell into coolbox</t>
  </si>
  <si>
    <t>head in CWT bag 1</t>
  </si>
  <si>
    <t>bled from gill</t>
  </si>
  <si>
    <t xml:space="preserve">Scratches on left operculum </t>
  </si>
  <si>
    <t>lots of scales missing on back end of fish</t>
  </si>
  <si>
    <t>lots of sclaes missing and several shallow abbrasions on left side</t>
  </si>
  <si>
    <t>gash infront of dorsal fin</t>
  </si>
  <si>
    <t>lab_motiles</t>
  </si>
  <si>
    <t>most scales missing on both sides, large gash and wouds on both sides</t>
  </si>
  <si>
    <t>isopod in bag</t>
  </si>
  <si>
    <t>large wound on left at back of dorsal fin</t>
  </si>
  <si>
    <t>Sample lost during capping process</t>
  </si>
  <si>
    <t>bloody abrasions on both sides</t>
  </si>
  <si>
    <t>1 rocinela</t>
  </si>
  <si>
    <t>cut to flesh on left side</t>
  </si>
  <si>
    <t>fa_box_num</t>
  </si>
  <si>
    <t>FA fell on bench</t>
  </si>
  <si>
    <t>almost all scales missing on left side</t>
  </si>
  <si>
    <t>net markings on both sides</t>
  </si>
  <si>
    <t>lots of scales missing</t>
  </si>
  <si>
    <t>dropped on cool rack</t>
  </si>
  <si>
    <t>gill fell on cool box</t>
  </si>
  <si>
    <t>2015-06-02-J07-CU-5</t>
  </si>
  <si>
    <t>JP680</t>
  </si>
  <si>
    <t>2015-06-02-J07-CU-2</t>
  </si>
  <si>
    <t>2015-06-02-J07-CU-6</t>
  </si>
  <si>
    <t>2015-06-02-J07-CU-8</t>
  </si>
  <si>
    <t>2015-06-02-J07-CU-1</t>
  </si>
  <si>
    <t>2015-06-02-J07-CU-10</t>
  </si>
  <si>
    <t>2015-06-02-J07-CU-4</t>
  </si>
  <si>
    <t>2015-06-02-J07-CU-3</t>
  </si>
  <si>
    <t>2015-06-02-J07-CU-7</t>
  </si>
  <si>
    <t>2015-06-02-J07-CU-9</t>
  </si>
  <si>
    <t>2015-06-02-J07-PI-2</t>
  </si>
  <si>
    <t>JP679</t>
  </si>
  <si>
    <t>2015-06-02-J07-PI-1</t>
  </si>
  <si>
    <t>Gill 12H contaminated (should have been empty)</t>
  </si>
  <si>
    <t>1  Rocinela propodialis in bag</t>
  </si>
  <si>
    <t>Lots of scales missing on tail end</t>
  </si>
  <si>
    <t>large wound on right side under dorsal</t>
  </si>
  <si>
    <t xml:space="preserve">Missing - may have fallen out of box, left a gap in the box, and then was later replaced by U11241 </t>
  </si>
  <si>
    <t>Bruising on left side</t>
  </si>
  <si>
    <t xml:space="preserve"> </t>
  </si>
  <si>
    <t>scales missing on left side</t>
  </si>
  <si>
    <t xml:space="preserve">net markings on both sides </t>
  </si>
  <si>
    <t>gill slightly thawed</t>
  </si>
  <si>
    <t>Scarring on left side above anal fin</t>
  </si>
  <si>
    <t>fish touched scale in this area</t>
  </si>
  <si>
    <t>wound above pelvic fins</t>
  </si>
  <si>
    <t>missing scales on back half of fish</t>
  </si>
  <si>
    <t>scales missing along back on both sides</t>
  </si>
  <si>
    <t>Tube touched by muscle</t>
  </si>
  <si>
    <t>Touched coolrack</t>
  </si>
  <si>
    <t>Bird pred scars on rear flank</t>
  </si>
  <si>
    <t>Forgot to weigh</t>
  </si>
  <si>
    <t>Touched floor :(</t>
  </si>
  <si>
    <t>iso_box_num</t>
  </si>
  <si>
    <t>flabellifera</t>
  </si>
  <si>
    <t>abrasion on both gills</t>
  </si>
  <si>
    <t>missing lots of scales on left front half</t>
  </si>
  <si>
    <t>nose broke</t>
  </si>
  <si>
    <t>hemorrhaging in tail - really red</t>
  </si>
  <si>
    <t>flabellifera on gill</t>
  </si>
  <si>
    <t>Lesion/massive hemorrhaging behind pectoral fin on left flank</t>
  </si>
  <si>
    <t>Lesion on left &amp; right flanks - possible pred scars</t>
  </si>
  <si>
    <t>fell on lab coat</t>
  </si>
  <si>
    <t>Gill &amp; bead fell out &amp; touched non-sterile surface</t>
  </si>
  <si>
    <t>Gill touched dissection tray</t>
  </si>
  <si>
    <t>Touched dissection tray</t>
  </si>
  <si>
    <t>touched by U1223</t>
  </si>
  <si>
    <t>touched tube H7 (U17491)</t>
  </si>
  <si>
    <t>Forgot to weigh (9.5 g after tissue removal)</t>
  </si>
  <si>
    <t>Pale gills</t>
  </si>
  <si>
    <t>pale gills</t>
  </si>
  <si>
    <t>Forgot to weigh , it was at least 19.2g</t>
  </si>
  <si>
    <t xml:space="preserve">scales missing in a band around the middle, and the belly was very red within the band of missing scales </t>
  </si>
  <si>
    <t>Isopod</t>
  </si>
  <si>
    <t>dna_box_num</t>
  </si>
  <si>
    <t>xm_box_num</t>
  </si>
  <si>
    <t>sample taken last, warmed up some</t>
  </si>
  <si>
    <t>stomach_tray_num</t>
  </si>
  <si>
    <t>sl_box_num</t>
  </si>
  <si>
    <t>sealice_eth</t>
  </si>
  <si>
    <t>S16797LL1</t>
  </si>
  <si>
    <t>S16800LL1</t>
  </si>
  <si>
    <t>S16753LL1</t>
  </si>
  <si>
    <t>S16751LL1</t>
  </si>
  <si>
    <t>S16752LL1</t>
  </si>
  <si>
    <t>S16897LL1</t>
  </si>
  <si>
    <t>S16899LL1</t>
  </si>
  <si>
    <t>S16900LL1</t>
  </si>
  <si>
    <t>sealice_cryo</t>
  </si>
  <si>
    <t>bottom half of louse only</t>
  </si>
  <si>
    <t>fell on chair</t>
  </si>
  <si>
    <t>intestine sliced open</t>
  </si>
  <si>
    <t>stomach and esophagus nicked</t>
  </si>
  <si>
    <t>CM2</t>
  </si>
  <si>
    <t>CM1</t>
  </si>
  <si>
    <t>CAF1</t>
  </si>
  <si>
    <t>cut into stomach</t>
  </si>
  <si>
    <t>cut esophagus</t>
  </si>
  <si>
    <t>stomach nicked</t>
  </si>
  <si>
    <t>intestine cut open</t>
  </si>
  <si>
    <t>stomach cut, intestine cut off</t>
  </si>
  <si>
    <t>genitals detached but present</t>
  </si>
  <si>
    <t>CM genitals detached but present</t>
  </si>
  <si>
    <t>sea louse suposed to be in cryo, but accidentally put in etoh</t>
  </si>
  <si>
    <t>nicked stomach</t>
  </si>
  <si>
    <t>sliced esophagus, intestine detached</t>
  </si>
  <si>
    <t>Cut side of stomach</t>
  </si>
  <si>
    <t>louse was put in ethanol first by accident</t>
  </si>
  <si>
    <t>part of intestine cut off</t>
  </si>
  <si>
    <t>Intestine cut open</t>
  </si>
  <si>
    <t>intestine cut off</t>
  </si>
  <si>
    <t>part of stomach cut off</t>
  </si>
  <si>
    <t>touched bench</t>
  </si>
  <si>
    <t>carcass_bag_num</t>
  </si>
  <si>
    <t>rna-m</t>
  </si>
  <si>
    <t>rna-m_flag</t>
  </si>
  <si>
    <t>rna-g</t>
  </si>
  <si>
    <t>rna-g_flag</t>
  </si>
  <si>
    <t>fa</t>
  </si>
  <si>
    <t>fa_flag</t>
  </si>
  <si>
    <t>iso</t>
  </si>
  <si>
    <t>iso_flag</t>
  </si>
  <si>
    <t xml:space="preserve"> mus</t>
  </si>
  <si>
    <t>mus_flag</t>
  </si>
  <si>
    <t>dna</t>
  </si>
  <si>
    <t>dna_flag</t>
  </si>
  <si>
    <t>stom</t>
  </si>
  <si>
    <t>stom_flag</t>
  </si>
  <si>
    <t>sl</t>
  </si>
  <si>
    <t>sl_flag</t>
  </si>
  <si>
    <t>carcass</t>
  </si>
  <si>
    <t>carcass_flag</t>
  </si>
  <si>
    <t>XM thawed; taken from right upper flank</t>
  </si>
  <si>
    <t>package_id.x</t>
  </si>
  <si>
    <t>species</t>
  </si>
  <si>
    <t>seine_id</t>
  </si>
  <si>
    <t>count</t>
  </si>
  <si>
    <t>storage_unit</t>
  </si>
  <si>
    <t>storage_tier_1</t>
  </si>
  <si>
    <t>storage_tier_2</t>
  </si>
  <si>
    <t>CU</t>
  </si>
  <si>
    <t>DE327N1</t>
  </si>
  <si>
    <t>-20 freezer 4</t>
  </si>
  <si>
    <t>DE300N1</t>
  </si>
  <si>
    <t>DE303N1</t>
  </si>
  <si>
    <t>DE308N1</t>
  </si>
  <si>
    <t>DE287N1</t>
  </si>
  <si>
    <t>DE276N1</t>
  </si>
  <si>
    <t>PI</t>
  </si>
  <si>
    <t>JE152N1</t>
  </si>
  <si>
    <t>JE195N1</t>
  </si>
  <si>
    <t>JE173N1</t>
  </si>
  <si>
    <t>JE269N1</t>
  </si>
  <si>
    <t>JE302N1</t>
  </si>
  <si>
    <t>JE270N1</t>
  </si>
  <si>
    <t>JE258N1</t>
  </si>
  <si>
    <t>JE268N1</t>
  </si>
  <si>
    <t>JE283N1</t>
  </si>
  <si>
    <t>JE292N1</t>
  </si>
  <si>
    <t>JE267N1</t>
  </si>
  <si>
    <t>JE262N1</t>
  </si>
  <si>
    <t>JE213N1</t>
  </si>
  <si>
    <t>DE173N1</t>
  </si>
  <si>
    <t>dissection_status</t>
  </si>
  <si>
    <t>n_remaining</t>
  </si>
  <si>
    <t>n_dissected</t>
  </si>
  <si>
    <t>SO</t>
  </si>
  <si>
    <t>CO</t>
  </si>
  <si>
    <t>HE</t>
  </si>
  <si>
    <t>CK</t>
  </si>
  <si>
    <t>Total</t>
  </si>
  <si>
    <t>number of fish</t>
  </si>
  <si>
    <t>first ufn</t>
  </si>
  <si>
    <t>last ufn</t>
  </si>
  <si>
    <t>sea lice in cryo</t>
  </si>
  <si>
    <t>No</t>
  </si>
  <si>
    <t>Yes</t>
  </si>
  <si>
    <t>Workup</t>
  </si>
  <si>
    <t>Lab Collection Protocol</t>
  </si>
  <si>
    <t>Lab ID Protocol</t>
  </si>
  <si>
    <t>full work-up 1</t>
  </si>
  <si>
    <t>lab_fine_2015</t>
  </si>
  <si>
    <t>full work-up 2</t>
  </si>
  <si>
    <t>lportner_fine</t>
  </si>
  <si>
    <t>full work-up 3</t>
  </si>
  <si>
    <t>work-up excluding cold samples</t>
  </si>
  <si>
    <t>irregular work-up</t>
  </si>
  <si>
    <t>lice enumeration only - in la</t>
  </si>
  <si>
    <t>-20 work-up 1</t>
  </si>
  <si>
    <t>dissected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</si>
</sst>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11">
    <font>
      <sz val="10.0"/>
      <color rgb="FF000000"/>
      <name val="Arial"/>
    </font>
    <font>
      <b/>
    </font>
    <font>
      <b/>
      <name val="Arial"/>
    </font>
    <font>
      <b/>
      <u/>
    </font>
    <font/>
    <font>
      <name val="Arial"/>
    </font>
    <font>
      <color rgb="FF000000"/>
      <name val="Arial"/>
    </font>
    <font>
      <sz val="11.0"/>
      <color rgb="FF000000"/>
      <name val="Arial"/>
    </font>
    <font>
      <b/>
      <sz val="10.0"/>
      <name val="Arial"/>
    </font>
    <font>
      <sz val="11.0"/>
      <color rgb="FF000000"/>
      <name val="Inconsolata"/>
    </font>
    <font>
      <sz val="10.0"/>
      <name val="Arial"/>
    </font>
  </fonts>
  <fills count="8">
    <fill>
      <patternFill patternType="none"/>
    </fill>
    <fill>
      <patternFill patternType="lightGray"/>
    </fill>
    <fill>
      <patternFill patternType="solid">
        <fgColor rgb="FFB7E1CD"/>
        <bgColor rgb="FFB7E1CD"/>
      </patternFill>
    </fill>
    <fill>
      <patternFill patternType="solid">
        <fgColor rgb="FFEFEFEF"/>
        <bgColor rgb="FFEFEFEF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FCE8B2"/>
        <bgColor rgb="FFFCE8B2"/>
      </patternFill>
    </fill>
  </fills>
  <borders count="1">
    <border/>
  </borders>
  <cellStyleXfs count="1">
    <xf borderId="0" fillId="0" fontId="0" numFmtId="0" applyAlignment="1" applyFont="1"/>
  </cellStyleXfs>
  <cellXfs count="71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left" readingOrder="0"/>
    </xf>
    <xf borderId="0" fillId="0" fontId="2" numFmtId="0" xfId="0" applyAlignment="1" applyFont="1">
      <alignment vertical="bottom"/>
    </xf>
    <xf borderId="0" fillId="0" fontId="3" numFmtId="0" xfId="0" applyAlignment="1" applyFont="1">
      <alignment horizontal="left" readingOrder="0" shrinkToFit="0" wrapText="1"/>
    </xf>
    <xf borderId="0" fillId="2" fontId="1" numFmtId="0" xfId="0" applyAlignment="1" applyFill="1" applyFont="1">
      <alignment horizontal="left" readingOrder="0"/>
    </xf>
    <xf borderId="0" fillId="0" fontId="1" numFmtId="0" xfId="0" applyAlignment="1" applyFont="1">
      <alignment horizontal="left" readingOrder="0" shrinkToFit="0" wrapText="1"/>
    </xf>
    <xf borderId="0" fillId="0" fontId="4" numFmtId="0" xfId="0" applyAlignment="1" applyFont="1">
      <alignment horizontal="left" readingOrder="0"/>
    </xf>
    <xf borderId="0" fillId="2" fontId="1" numFmtId="0" xfId="0" applyAlignment="1" applyFont="1">
      <alignment horizontal="left" readingOrder="0" shrinkToFit="0" wrapText="1"/>
    </xf>
    <xf borderId="0" fillId="3" fontId="1" numFmtId="0" xfId="0" applyAlignment="1" applyFill="1" applyFont="1">
      <alignment horizontal="left" readingOrder="0" shrinkToFit="0" wrapText="1"/>
    </xf>
    <xf borderId="0" fillId="0" fontId="4" numFmtId="0" xfId="0" applyAlignment="1" applyFont="1">
      <alignment readingOrder="0"/>
    </xf>
    <xf borderId="0" fillId="2" fontId="4" numFmtId="0" xfId="0" applyAlignment="1" applyFont="1">
      <alignment horizontal="left"/>
    </xf>
    <xf borderId="0" fillId="2" fontId="4" numFmtId="0" xfId="0" applyAlignment="1" applyFont="1">
      <alignment horizontal="left" readingOrder="0"/>
    </xf>
    <xf borderId="0" fillId="2" fontId="4" numFmtId="0" xfId="0" applyAlignment="1" applyFont="1">
      <alignment readingOrder="0"/>
    </xf>
    <xf borderId="0" fillId="0" fontId="4" numFmtId="0" xfId="0" applyAlignment="1" applyFont="1">
      <alignment horizontal="right" readingOrder="0"/>
    </xf>
    <xf borderId="0" fillId="0" fontId="4" numFmtId="164" xfId="0" applyAlignment="1" applyFont="1" applyNumberFormat="1">
      <alignment horizontal="right" readingOrder="0"/>
    </xf>
    <xf borderId="0" fillId="0" fontId="5" numFmtId="0" xfId="0" applyAlignment="1" applyFont="1">
      <alignment horizontal="left" vertical="bottom"/>
    </xf>
    <xf borderId="0" fillId="0" fontId="4" numFmtId="0" xfId="0" applyAlignment="1" applyFont="1">
      <alignment horizontal="left"/>
    </xf>
    <xf borderId="0" fillId="2" fontId="4" numFmtId="0" xfId="0" applyFont="1"/>
    <xf borderId="0" fillId="0" fontId="5" numFmtId="0" xfId="0" applyAlignment="1" applyFont="1">
      <alignment horizontal="left" readingOrder="0" vertical="bottom"/>
    </xf>
    <xf borderId="0" fillId="3" fontId="4" numFmtId="0" xfId="0" applyAlignment="1" applyFont="1">
      <alignment horizontal="right" readingOrder="0"/>
    </xf>
    <xf borderId="0" fillId="2" fontId="2" numFmtId="0" xfId="0" applyAlignment="1" applyFont="1">
      <alignment vertical="bottom"/>
    </xf>
    <xf borderId="0" fillId="4" fontId="2" numFmtId="0" xfId="0" applyAlignment="1" applyFill="1" applyFont="1">
      <alignment horizontal="right" readingOrder="0" vertical="bottom"/>
    </xf>
    <xf borderId="0" fillId="5" fontId="5" numFmtId="0" xfId="0" applyAlignment="1" applyFill="1" applyFont="1">
      <alignment readingOrder="0" vertical="bottom"/>
    </xf>
    <xf borderId="0" fillId="3" fontId="4" numFmtId="0" xfId="0" applyAlignment="1" applyFont="1">
      <alignment readingOrder="0"/>
    </xf>
    <xf borderId="0" fillId="4" fontId="4" numFmtId="0" xfId="0" applyAlignment="1" applyFont="1">
      <alignment horizontal="right"/>
    </xf>
    <xf borderId="0" fillId="0" fontId="4" numFmtId="0" xfId="0" applyAlignment="1" applyFont="1">
      <alignment readingOrder="0"/>
    </xf>
    <xf borderId="0" fillId="5" fontId="4" numFmtId="0" xfId="0" applyAlignment="1" applyFont="1">
      <alignment readingOrder="0"/>
    </xf>
    <xf borderId="0" fillId="0" fontId="4" numFmtId="0" xfId="0" applyAlignment="1" applyFont="1">
      <alignment horizontal="left" readingOrder="0"/>
    </xf>
    <xf borderId="0" fillId="0" fontId="5" numFmtId="0" xfId="0" applyAlignment="1" applyFont="1">
      <alignment readingOrder="0" vertical="bottom"/>
    </xf>
    <xf borderId="0" fillId="5" fontId="4" numFmtId="0" xfId="0" applyAlignment="1" applyFont="1">
      <alignment readingOrder="0"/>
    </xf>
    <xf borderId="0" fillId="5" fontId="4" numFmtId="0" xfId="0" applyFont="1"/>
    <xf borderId="0" fillId="5" fontId="6" numFmtId="0" xfId="0" applyAlignment="1" applyFont="1">
      <alignment horizontal="left" readingOrder="0"/>
    </xf>
    <xf borderId="0" fillId="5" fontId="7" numFmtId="0" xfId="0" applyAlignment="1" applyFont="1">
      <alignment readingOrder="0"/>
    </xf>
    <xf borderId="0" fillId="0" fontId="5" numFmtId="0" xfId="0" applyAlignment="1" applyFont="1">
      <alignment readingOrder="0" vertical="bottom"/>
    </xf>
    <xf borderId="0" fillId="6" fontId="4" numFmtId="0" xfId="0" applyAlignment="1" applyFill="1" applyFont="1">
      <alignment horizontal="left" readingOrder="0"/>
    </xf>
    <xf borderId="0" fillId="6" fontId="4" numFmtId="0" xfId="0" applyAlignment="1" applyFont="1">
      <alignment horizontal="left"/>
    </xf>
    <xf borderId="0" fillId="5" fontId="4" numFmtId="0" xfId="0" applyAlignment="1" applyFont="1">
      <alignment horizontal="left" readingOrder="0"/>
    </xf>
    <xf borderId="0" fillId="5" fontId="4" numFmtId="0" xfId="0" applyAlignment="1" applyFont="1">
      <alignment horizontal="right" readingOrder="0"/>
    </xf>
    <xf borderId="0" fillId="5" fontId="4" numFmtId="0" xfId="0" applyFont="1"/>
    <xf borderId="0" fillId="0" fontId="5" numFmtId="0" xfId="0" applyAlignment="1" applyFont="1">
      <alignment horizontal="right" readingOrder="0" vertical="bottom"/>
    </xf>
    <xf borderId="0" fillId="0" fontId="5" numFmtId="0" xfId="0" applyAlignment="1" applyFont="1">
      <alignment vertical="bottom"/>
    </xf>
    <xf borderId="0" fillId="0" fontId="5" numFmtId="0" xfId="0" applyAlignment="1" applyFont="1">
      <alignment horizontal="right" vertical="bottom"/>
    </xf>
    <xf borderId="0" fillId="0" fontId="5" numFmtId="0" xfId="0" applyAlignment="1" applyFont="1">
      <alignment horizontal="right" vertical="bottom"/>
    </xf>
    <xf borderId="0" fillId="0" fontId="5" numFmtId="0" xfId="0" applyAlignment="1" applyFont="1">
      <alignment vertical="bottom"/>
    </xf>
    <xf borderId="0" fillId="5" fontId="5" numFmtId="0" xfId="0" applyAlignment="1" applyFont="1">
      <alignment vertical="bottom"/>
    </xf>
    <xf borderId="0" fillId="0" fontId="5" numFmtId="164" xfId="0" applyAlignment="1" applyFont="1" applyNumberFormat="1">
      <alignment horizontal="right" vertical="bottom"/>
    </xf>
    <xf borderId="0" fillId="5" fontId="5" numFmtId="0" xfId="0" applyAlignment="1" applyFont="1">
      <alignment vertical="bottom"/>
    </xf>
    <xf borderId="0" fillId="5" fontId="6" numFmtId="0" xfId="0" applyAlignment="1" applyFont="1">
      <alignment readingOrder="0"/>
    </xf>
    <xf borderId="0" fillId="2" fontId="8" numFmtId="0" xfId="0" applyAlignment="1" applyFont="1">
      <alignment horizontal="left" readingOrder="0"/>
    </xf>
    <xf borderId="0" fillId="2" fontId="0" numFmtId="0" xfId="0" applyAlignment="1" applyFont="1">
      <alignment horizontal="left"/>
    </xf>
    <xf borderId="0" fillId="0" fontId="4" numFmtId="0" xfId="0" applyAlignment="1" applyFont="1">
      <alignment horizontal="left"/>
    </xf>
    <xf borderId="0" fillId="5" fontId="9" numFmtId="0" xfId="0" applyAlignment="1" applyFont="1">
      <alignment readingOrder="0"/>
    </xf>
    <xf borderId="0" fillId="5" fontId="4" numFmtId="0" xfId="0" applyAlignment="1" applyFont="1">
      <alignment horizontal="left"/>
    </xf>
    <xf borderId="0" fillId="0" fontId="1" numFmtId="0" xfId="0" applyAlignment="1" applyFont="1">
      <alignment horizontal="right" readingOrder="0"/>
    </xf>
    <xf borderId="0" fillId="2" fontId="0" numFmtId="0" xfId="0" applyAlignment="1" applyFont="1">
      <alignment horizontal="left" readingOrder="0"/>
    </xf>
    <xf borderId="0" fillId="0" fontId="5" numFmtId="0" xfId="0" applyAlignment="1" applyFont="1">
      <alignment horizontal="left" vertical="bottom"/>
    </xf>
    <xf borderId="0" fillId="0" fontId="1" numFmtId="0" xfId="0" applyAlignment="1" applyFont="1">
      <alignment readingOrder="0"/>
    </xf>
    <xf borderId="0" fillId="0" fontId="8" numFmtId="0" xfId="0" applyAlignment="1" applyFont="1">
      <alignment readingOrder="0"/>
    </xf>
    <xf borderId="0" fillId="3" fontId="1" numFmtId="0" xfId="0" applyAlignment="1" applyFont="1">
      <alignment horizontal="right" readingOrder="0"/>
    </xf>
    <xf borderId="0" fillId="5" fontId="0" numFmtId="0" xfId="0" applyFont="1"/>
    <xf borderId="0" fillId="0" fontId="10" numFmtId="0" xfId="0" applyFont="1"/>
    <xf borderId="0" fillId="3" fontId="5" numFmtId="0" xfId="0" applyAlignment="1" applyFont="1">
      <alignment horizontal="right" vertical="bottom"/>
    </xf>
    <xf borderId="0" fillId="0" fontId="5" numFmtId="0" xfId="0" applyAlignment="1" applyFont="1">
      <alignment horizontal="left" readingOrder="0" vertical="bottom"/>
    </xf>
    <xf borderId="0" fillId="2" fontId="0" numFmtId="0" xfId="0" applyFont="1"/>
    <xf borderId="0" fillId="0" fontId="1" numFmtId="0" xfId="0" applyAlignment="1" applyFont="1">
      <alignment readingOrder="0"/>
    </xf>
    <xf borderId="0" fillId="2" fontId="1" numFmtId="0" xfId="0" applyAlignment="1" applyFont="1">
      <alignment readingOrder="0"/>
    </xf>
    <xf borderId="0" fillId="0" fontId="1" numFmtId="0" xfId="0" applyFont="1"/>
    <xf borderId="0" fillId="0" fontId="1" numFmtId="0" xfId="0" applyAlignment="1" applyFont="1">
      <alignment horizontal="center" readingOrder="0"/>
    </xf>
    <xf borderId="0" fillId="0" fontId="4" numFmtId="0" xfId="0" applyAlignment="1" applyFont="1">
      <alignment horizontal="center"/>
    </xf>
    <xf borderId="0" fillId="7" fontId="4" numFmtId="0" xfId="0" applyFill="1" applyFont="1"/>
    <xf borderId="0" fillId="7" fontId="4" numFmtId="0" xfId="0" applyAlignment="1" applyFont="1">
      <alignment horizontal="center"/>
    </xf>
  </cellXfs>
  <cellStyles count="1">
    <cellStyle xfId="0" name="Normal" builtinId="0"/>
  </cellStyles>
  <dxfs count="4">
    <dxf>
      <font/>
      <fill>
        <patternFill patternType="solid">
          <fgColor rgb="FFF4C7C3"/>
          <bgColor rgb="FFF4C7C3"/>
        </patternFill>
      </fill>
      <border/>
    </dxf>
    <dxf>
      <font>
        <b/>
        <color rgb="FFFFFFFF"/>
      </font>
      <fill>
        <patternFill patternType="solid">
          <fgColor rgb="FFFF0000"/>
          <bgColor rgb="FFFF0000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CE8B2"/>
          <bgColor rgb="FFFCE8B2"/>
        </patternFill>
      </fill>
      <border/>
    </dxf>
  </dxf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8.xml"/><Relationship Id="rId11" Type="http://schemas.openxmlformats.org/officeDocument/2006/relationships/worksheet" Target="worksheets/sheet9.xml"/><Relationship Id="rId10" Type="http://schemas.openxmlformats.org/officeDocument/2006/relationships/worksheet" Target="worksheets/sheet8.xml"/><Relationship Id="rId13" Type="http://schemas.openxmlformats.org/officeDocument/2006/relationships/worksheet" Target="worksheets/sheet11.xml"/><Relationship Id="rId12" Type="http://schemas.openxmlformats.org/officeDocument/2006/relationships/worksheet" Target="worksheets/sheet10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worksheet" Target="worksheets/sheet7.xml"/><Relationship Id="rId15" Type="http://schemas.openxmlformats.org/officeDocument/2006/relationships/worksheet" Target="worksheets/sheet13.xml"/><Relationship Id="rId14" Type="http://schemas.openxmlformats.org/officeDocument/2006/relationships/worksheet" Target="worksheets/sheet12.xml"/><Relationship Id="rId17" Type="http://schemas.openxmlformats.org/officeDocument/2006/relationships/worksheet" Target="worksheets/sheet15.xml"/><Relationship Id="rId16" Type="http://schemas.openxmlformats.org/officeDocument/2006/relationships/worksheet" Target="worksheets/sheet14.xml"/><Relationship Id="rId5" Type="http://schemas.openxmlformats.org/officeDocument/2006/relationships/worksheet" Target="worksheets/sheet3.xml"/><Relationship Id="rId19" Type="http://schemas.openxmlformats.org/officeDocument/2006/relationships/worksheet" Target="worksheets/sheet17.xml"/><Relationship Id="rId6" Type="http://schemas.openxmlformats.org/officeDocument/2006/relationships/worksheet" Target="worksheets/sheet4.xml"/><Relationship Id="rId18" Type="http://schemas.openxmlformats.org/officeDocument/2006/relationships/worksheet" Target="worksheets/sheet16.xml"/><Relationship Id="rId7" Type="http://schemas.openxmlformats.org/officeDocument/2006/relationships/worksheet" Target="worksheets/sheet5.xml"/><Relationship Id="rId8" Type="http://schemas.openxmlformats.org/officeDocument/2006/relationships/worksheet" Target="worksheets/sheet6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1.v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2.v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3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4.v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7.xml"/><Relationship Id="rId3" Type="http://schemas.openxmlformats.org/officeDocument/2006/relationships/vmlDrawing" Target="../drawings/vmlDrawing5.v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8.xml"/><Relationship Id="rId3" Type="http://schemas.openxmlformats.org/officeDocument/2006/relationships/vmlDrawing" Target="../drawings/vmlDrawing6.v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7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10.xml"/><Relationship Id="rId3" Type="http://schemas.openxmlformats.org/officeDocument/2006/relationships/vmlDrawing" Target="../drawings/vmlDrawing8.v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11.xml"/><Relationship Id="rId3" Type="http://schemas.openxmlformats.org/officeDocument/2006/relationships/vmlDrawing" Target="../drawings/vmlDrawing9.v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comments" Target="../comments10.xml"/><Relationship Id="rId2" Type="http://schemas.openxmlformats.org/officeDocument/2006/relationships/drawing" Target="../drawings/drawing12.xml"/><Relationship Id="rId3" Type="http://schemas.openxmlformats.org/officeDocument/2006/relationships/vmlDrawing" Target="../drawings/vmlDrawing10.v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11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11.v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FF00"/>
    <outlinePr summaryBelow="0" summaryRight="0"/>
    <pageSetUpPr fitToPage="1"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4.43" defaultRowHeight="15.75"/>
  <cols>
    <col customWidth="1" min="1" max="1" width="20.71"/>
    <col customWidth="1" min="2" max="2" width="8.0"/>
    <col customWidth="1" min="3" max="3" width="9.29"/>
    <col customWidth="1" min="4" max="4" width="9.86"/>
    <col customWidth="1" min="5" max="5" width="15.71"/>
    <col customWidth="1" min="6" max="6" width="8.29"/>
    <col customWidth="1" min="7" max="7" width="8.43"/>
    <col customWidth="1" min="8" max="8" width="11.86"/>
    <col customWidth="1" min="9" max="9" width="9.86"/>
    <col customWidth="1" min="10" max="10" width="11.29"/>
    <col customWidth="1" min="11" max="11" width="10.71"/>
    <col customWidth="1" min="12" max="12" width="8.71"/>
    <col customWidth="1" min="13" max="13" width="13.71"/>
    <col customWidth="1" min="14" max="14" width="18.29"/>
    <col customWidth="1" min="15" max="15" width="10.29"/>
    <col customWidth="1" min="16" max="16" width="34.0"/>
    <col customWidth="1" min="17" max="17" width="18.29"/>
    <col customWidth="1" min="18" max="18" width="13.43"/>
    <col customWidth="1" min="19" max="19" width="9.43"/>
    <col customWidth="1" min="20" max="20" width="9.29"/>
    <col customWidth="1" min="21" max="21" width="9.86"/>
    <col customWidth="1" min="22" max="22" width="11.43"/>
    <col customWidth="1" min="23" max="23" width="13.71"/>
    <col customWidth="1" min="24" max="24" width="6.71"/>
  </cols>
  <sheetData>
    <row r="1">
      <c r="A1" s="3" t="s">
        <v>2</v>
      </c>
      <c r="B1" s="5" t="s">
        <v>8</v>
      </c>
      <c r="C1" s="7" t="s">
        <v>0</v>
      </c>
      <c r="D1" s="5" t="s">
        <v>29</v>
      </c>
      <c r="E1" s="5" t="s">
        <v>30</v>
      </c>
      <c r="F1" s="5" t="s">
        <v>31</v>
      </c>
      <c r="G1" s="5" t="s">
        <v>32</v>
      </c>
      <c r="H1" s="5" t="s">
        <v>33</v>
      </c>
      <c r="I1" s="5" t="s">
        <v>34</v>
      </c>
      <c r="J1" s="5" t="s">
        <v>35</v>
      </c>
      <c r="K1" s="7" t="s">
        <v>36</v>
      </c>
      <c r="L1" s="5" t="s">
        <v>37</v>
      </c>
      <c r="M1" s="5" t="s">
        <v>38</v>
      </c>
      <c r="N1" s="5" t="s">
        <v>39</v>
      </c>
      <c r="O1" s="5" t="s">
        <v>40</v>
      </c>
      <c r="P1" s="5" t="s">
        <v>41</v>
      </c>
      <c r="Q1" s="5" t="s">
        <v>42</v>
      </c>
      <c r="R1" s="5" t="s">
        <v>43</v>
      </c>
      <c r="S1" s="5" t="s">
        <v>44</v>
      </c>
      <c r="T1" s="5" t="s">
        <v>45</v>
      </c>
      <c r="U1" s="5" t="s">
        <v>46</v>
      </c>
      <c r="V1" s="5" t="s">
        <v>47</v>
      </c>
      <c r="W1" s="7" t="s">
        <v>48</v>
      </c>
      <c r="X1" s="8" t="s">
        <v>49</v>
      </c>
    </row>
    <row r="2">
      <c r="A2" s="9" t="s">
        <v>50</v>
      </c>
      <c r="B2" s="6">
        <v>5471.0</v>
      </c>
      <c r="C2" s="12" t="str">
        <f t="shared" ref="C2:C942" si="1">if(isblank(B2),"",concatenate("U",B2))</f>
        <v>U5471</v>
      </c>
      <c r="D2" s="13" t="s">
        <v>52</v>
      </c>
      <c r="E2" s="14">
        <v>43342.0</v>
      </c>
      <c r="F2" s="9" t="s">
        <v>53</v>
      </c>
      <c r="G2" s="9" t="s">
        <v>54</v>
      </c>
      <c r="H2" s="9">
        <v>16.6</v>
      </c>
      <c r="I2" s="13">
        <v>115.0</v>
      </c>
      <c r="J2" s="13">
        <v>120.0</v>
      </c>
      <c r="K2" s="17">
        <f t="shared" ref="K2:K146" si="2">iferror((10^5)*H2/(J2^3))</f>
        <v>0.9606481481</v>
      </c>
      <c r="L2" s="9">
        <v>0.0</v>
      </c>
      <c r="M2" s="9" t="s">
        <v>57</v>
      </c>
      <c r="O2" s="9" t="s">
        <v>58</v>
      </c>
      <c r="P2" s="9" t="s">
        <v>60</v>
      </c>
      <c r="Q2" s="9" t="s">
        <v>62</v>
      </c>
      <c r="R2" s="9" t="s">
        <v>63</v>
      </c>
      <c r="S2" s="9" t="s">
        <v>64</v>
      </c>
      <c r="T2" t="str">
        <f t="shared" ref="T2:T243" si="3">if(isblank(A2),"",if(or(and(countif(A:A,A2)&gt;1,A2&lt;&gt;"NA"),countif(B:B,B2)&gt;1),"Y","N"))</f>
        <v>N</v>
      </c>
      <c r="U2" s="9" t="s">
        <v>69</v>
      </c>
      <c r="V2" t="s">
        <v>70</v>
      </c>
      <c r="W2" s="12" t="str">
        <f t="array" ref="W2">if(and(L2=0,Q2="NA"),"NA",if(L2=0,"no lice",if(Q2="NA","no collection",index(sea_lice!G:G,match(C2,sea_lice!A:A,0)))))</f>
        <v>no lice</v>
      </c>
      <c r="X2" s="19">
        <v>1.0</v>
      </c>
    </row>
    <row r="3">
      <c r="A3" s="9" t="s">
        <v>78</v>
      </c>
      <c r="B3" s="6">
        <v>5472.0</v>
      </c>
      <c r="C3" s="12" t="str">
        <f t="shared" si="1"/>
        <v>U5472</v>
      </c>
      <c r="D3" s="13" t="s">
        <v>52</v>
      </c>
      <c r="E3" s="14">
        <v>43342.0</v>
      </c>
      <c r="F3" s="9" t="s">
        <v>53</v>
      </c>
      <c r="G3" s="9" t="s">
        <v>54</v>
      </c>
      <c r="H3" s="9">
        <v>17.8</v>
      </c>
      <c r="I3" s="13">
        <v>117.0</v>
      </c>
      <c r="J3" s="13" t="s">
        <v>63</v>
      </c>
      <c r="K3" s="17" t="str">
        <f t="shared" si="2"/>
        <v/>
      </c>
      <c r="L3" s="9">
        <v>0.0</v>
      </c>
      <c r="M3" s="9" t="s">
        <v>57</v>
      </c>
      <c r="O3" s="9" t="s">
        <v>58</v>
      </c>
      <c r="P3" s="9" t="s">
        <v>60</v>
      </c>
      <c r="Q3" s="9" t="s">
        <v>62</v>
      </c>
      <c r="R3" s="9" t="s">
        <v>63</v>
      </c>
      <c r="S3" s="9" t="s">
        <v>64</v>
      </c>
      <c r="T3" t="str">
        <f t="shared" si="3"/>
        <v>N</v>
      </c>
      <c r="U3" s="9" t="s">
        <v>69</v>
      </c>
      <c r="V3" t="s">
        <v>84</v>
      </c>
      <c r="W3" s="12" t="str">
        <f t="array" ref="W3">if(and(L3=0,Q3="NA"),"NA",if(L3=0,"no lice",if(Q3="NA","no collection",index(sea_lice!G:G,match(C3,sea_lice!A:A,0)))))</f>
        <v>no lice</v>
      </c>
      <c r="X3" s="23">
        <v>2.0</v>
      </c>
    </row>
    <row r="4">
      <c r="A4" s="9" t="s">
        <v>88</v>
      </c>
      <c r="B4" s="6">
        <v>5473.0</v>
      </c>
      <c r="C4" s="12" t="str">
        <f t="shared" si="1"/>
        <v>U5473</v>
      </c>
      <c r="D4" s="13" t="s">
        <v>52</v>
      </c>
      <c r="E4" s="14">
        <v>43342.0</v>
      </c>
      <c r="F4" s="9" t="s">
        <v>53</v>
      </c>
      <c r="G4" s="9" t="s">
        <v>54</v>
      </c>
      <c r="H4" s="9">
        <v>20.6</v>
      </c>
      <c r="I4" s="13">
        <v>124.0</v>
      </c>
      <c r="J4" s="13">
        <v>129.0</v>
      </c>
      <c r="K4" s="17">
        <f t="shared" si="2"/>
        <v>0.9596173456</v>
      </c>
      <c r="L4" s="9">
        <v>0.0</v>
      </c>
      <c r="M4" s="9" t="s">
        <v>57</v>
      </c>
      <c r="O4" s="9" t="s">
        <v>58</v>
      </c>
      <c r="P4" s="9" t="s">
        <v>60</v>
      </c>
      <c r="Q4" s="9" t="s">
        <v>62</v>
      </c>
      <c r="R4" s="9" t="s">
        <v>63</v>
      </c>
      <c r="S4" s="9" t="s">
        <v>64</v>
      </c>
      <c r="T4" t="str">
        <f t="shared" si="3"/>
        <v>N</v>
      </c>
      <c r="U4" s="9" t="s">
        <v>69</v>
      </c>
      <c r="V4" t="s">
        <v>91</v>
      </c>
      <c r="W4" s="12" t="str">
        <f t="array" ref="W4">if(and(L4=0,Q4="NA"),"NA",if(L4=0,"no lice",if(Q4="NA","no collection",index(sea_lice!G:G,match(C4,sea_lice!A:A,0)))))</f>
        <v>no lice</v>
      </c>
      <c r="X4" s="23">
        <v>3.0</v>
      </c>
    </row>
    <row r="5">
      <c r="A5" s="9" t="s">
        <v>94</v>
      </c>
      <c r="B5" s="6">
        <v>5474.0</v>
      </c>
      <c r="C5" s="12" t="str">
        <f t="shared" si="1"/>
        <v>U5474</v>
      </c>
      <c r="D5" s="13" t="s">
        <v>52</v>
      </c>
      <c r="E5" s="14">
        <v>43342.0</v>
      </c>
      <c r="F5" s="9" t="s">
        <v>53</v>
      </c>
      <c r="G5" s="9" t="s">
        <v>54</v>
      </c>
      <c r="H5" s="9">
        <v>23.8</v>
      </c>
      <c r="I5" s="13">
        <v>125.0</v>
      </c>
      <c r="J5" s="13">
        <v>131.0</v>
      </c>
      <c r="K5" s="17">
        <f t="shared" si="2"/>
        <v>1.058676006</v>
      </c>
      <c r="L5" s="9">
        <v>1.0</v>
      </c>
      <c r="M5" s="9" t="s">
        <v>57</v>
      </c>
      <c r="O5" s="9" t="s">
        <v>58</v>
      </c>
      <c r="P5" s="9" t="s">
        <v>60</v>
      </c>
      <c r="Q5" s="9" t="s">
        <v>62</v>
      </c>
      <c r="R5" s="9" t="s">
        <v>63</v>
      </c>
      <c r="S5" s="9" t="s">
        <v>64</v>
      </c>
      <c r="T5" t="str">
        <f t="shared" si="3"/>
        <v>N</v>
      </c>
      <c r="U5" s="9" t="s">
        <v>69</v>
      </c>
      <c r="V5" t="s">
        <v>98</v>
      </c>
      <c r="W5" s="12" t="str">
        <f t="array" ref="W5">if(and(L5=0,Q5="NA"),"NA",if(L5=0,"no lice",if(Q5="NA","no collection",index(sea_lice!G:G,match(C5,sea_lice!A:A,0)))))</f>
        <v>BSL5-85</v>
      </c>
      <c r="X5" s="19">
        <v>4.0</v>
      </c>
    </row>
    <row r="6">
      <c r="A6" s="9" t="s">
        <v>101</v>
      </c>
      <c r="B6" s="6">
        <v>5475.0</v>
      </c>
      <c r="C6" s="12" t="str">
        <f t="shared" si="1"/>
        <v>U5475</v>
      </c>
      <c r="D6" s="13" t="s">
        <v>52</v>
      </c>
      <c r="E6" s="14">
        <v>43342.0</v>
      </c>
      <c r="F6" s="9" t="s">
        <v>53</v>
      </c>
      <c r="G6" s="9" t="s">
        <v>54</v>
      </c>
      <c r="H6" s="9">
        <v>24.6</v>
      </c>
      <c r="I6" s="13">
        <v>129.0</v>
      </c>
      <c r="J6" s="13">
        <v>135.0</v>
      </c>
      <c r="K6" s="17">
        <f t="shared" si="2"/>
        <v>0.9998475842</v>
      </c>
      <c r="L6" s="9">
        <v>1.0</v>
      </c>
      <c r="M6" s="9" t="s">
        <v>57</v>
      </c>
      <c r="O6" s="9" t="s">
        <v>58</v>
      </c>
      <c r="P6" s="9" t="s">
        <v>60</v>
      </c>
      <c r="Q6" s="9" t="s">
        <v>62</v>
      </c>
      <c r="R6" s="9" t="s">
        <v>63</v>
      </c>
      <c r="S6" s="9" t="s">
        <v>64</v>
      </c>
      <c r="T6" t="str">
        <f t="shared" si="3"/>
        <v>N</v>
      </c>
      <c r="U6" s="9" t="s">
        <v>69</v>
      </c>
      <c r="V6" t="s">
        <v>105</v>
      </c>
      <c r="W6" s="12" t="str">
        <f t="array" ref="W6">if(and(L6=0,Q6="NA"),"NA",if(L6=0,"no lice",if(Q6="NA","no collection",index(sea_lice!G:G,match(C6,sea_lice!A:A,0)))))</f>
        <v>BSL5-84</v>
      </c>
      <c r="X6" s="23">
        <v>5.0</v>
      </c>
    </row>
    <row r="7">
      <c r="A7" s="9" t="s">
        <v>108</v>
      </c>
      <c r="B7" s="6">
        <v>5476.0</v>
      </c>
      <c r="C7" s="12" t="str">
        <f t="shared" si="1"/>
        <v>U5476</v>
      </c>
      <c r="D7" s="13" t="s">
        <v>52</v>
      </c>
      <c r="E7" s="14">
        <v>43342.0</v>
      </c>
      <c r="F7" s="9" t="s">
        <v>53</v>
      </c>
      <c r="G7" s="9" t="s">
        <v>54</v>
      </c>
      <c r="H7" s="9">
        <v>22.7</v>
      </c>
      <c r="I7" s="13">
        <v>130.0</v>
      </c>
      <c r="J7" s="13">
        <v>135.0</v>
      </c>
      <c r="K7" s="17">
        <f t="shared" si="2"/>
        <v>0.9226235838</v>
      </c>
      <c r="L7" s="9">
        <v>0.0</v>
      </c>
      <c r="M7" s="9" t="s">
        <v>57</v>
      </c>
      <c r="O7" s="9" t="s">
        <v>58</v>
      </c>
      <c r="P7" s="9" t="s">
        <v>60</v>
      </c>
      <c r="Q7" s="9" t="s">
        <v>62</v>
      </c>
      <c r="R7" s="9" t="s">
        <v>63</v>
      </c>
      <c r="S7" s="9" t="s">
        <v>64</v>
      </c>
      <c r="T7" t="str">
        <f t="shared" si="3"/>
        <v>N</v>
      </c>
      <c r="U7" s="9" t="s">
        <v>69</v>
      </c>
      <c r="V7" t="s">
        <v>113</v>
      </c>
      <c r="W7" s="12" t="str">
        <f t="array" ref="W7">if(and(L7=0,Q7="NA"),"NA",if(L7=0,"no lice",if(Q7="NA","no collection",index(sea_lice!G:G,match(C7,sea_lice!A:A,0)))))</f>
        <v>no lice</v>
      </c>
      <c r="X7" s="23">
        <v>6.0</v>
      </c>
    </row>
    <row r="8">
      <c r="A8" s="9" t="s">
        <v>118</v>
      </c>
      <c r="B8" s="6">
        <v>5477.0</v>
      </c>
      <c r="C8" s="12" t="str">
        <f t="shared" si="1"/>
        <v>U5477</v>
      </c>
      <c r="D8" s="13" t="s">
        <v>52</v>
      </c>
      <c r="E8" s="14">
        <v>43342.0</v>
      </c>
      <c r="F8" s="9" t="s">
        <v>53</v>
      </c>
      <c r="G8" s="9" t="s">
        <v>54</v>
      </c>
      <c r="H8" s="9">
        <v>21.4</v>
      </c>
      <c r="I8" s="13">
        <v>124.0</v>
      </c>
      <c r="J8" s="13" t="s">
        <v>63</v>
      </c>
      <c r="K8" s="17" t="str">
        <f t="shared" si="2"/>
        <v/>
      </c>
      <c r="L8" s="9">
        <v>1.0</v>
      </c>
      <c r="M8" s="9" t="s">
        <v>57</v>
      </c>
      <c r="O8" s="9" t="s">
        <v>58</v>
      </c>
      <c r="P8" s="9" t="s">
        <v>60</v>
      </c>
      <c r="Q8" s="9" t="s">
        <v>62</v>
      </c>
      <c r="R8" s="9" t="s">
        <v>63</v>
      </c>
      <c r="S8" s="9" t="s">
        <v>64</v>
      </c>
      <c r="T8" t="str">
        <f t="shared" si="3"/>
        <v>N</v>
      </c>
      <c r="U8" s="9" t="s">
        <v>69</v>
      </c>
      <c r="V8" t="s">
        <v>120</v>
      </c>
      <c r="W8" s="12" t="str">
        <f t="array" ref="W8">if(and(L8=0,Q8="NA"),"NA",if(L8=0,"no lice",if(Q8="NA","no collection",index(sea_lice!G:G,match(C8,sea_lice!A:A,0)))))</f>
        <v>BSL5-83</v>
      </c>
      <c r="X8" s="19">
        <v>7.0</v>
      </c>
    </row>
    <row r="9">
      <c r="A9" s="9" t="s">
        <v>123</v>
      </c>
      <c r="B9" s="6">
        <v>5478.0</v>
      </c>
      <c r="C9" s="12" t="str">
        <f t="shared" si="1"/>
        <v>U5478</v>
      </c>
      <c r="D9" s="13" t="s">
        <v>125</v>
      </c>
      <c r="E9" s="14">
        <v>43342.0</v>
      </c>
      <c r="F9" s="9" t="s">
        <v>53</v>
      </c>
      <c r="G9" s="9" t="s">
        <v>54</v>
      </c>
      <c r="H9" s="9">
        <v>16.4</v>
      </c>
      <c r="I9" s="13">
        <v>115.0</v>
      </c>
      <c r="J9" s="13">
        <v>119.0</v>
      </c>
      <c r="K9" s="17">
        <f t="shared" si="2"/>
        <v>0.9732019352</v>
      </c>
      <c r="L9" s="9">
        <v>1.0</v>
      </c>
      <c r="M9" s="9" t="s">
        <v>57</v>
      </c>
      <c r="O9" s="9" t="s">
        <v>58</v>
      </c>
      <c r="P9" s="9" t="s">
        <v>60</v>
      </c>
      <c r="Q9" s="9" t="s">
        <v>62</v>
      </c>
      <c r="R9" s="9" t="s">
        <v>63</v>
      </c>
      <c r="S9" s="9" t="s">
        <v>64</v>
      </c>
      <c r="T9" t="str">
        <f t="shared" si="3"/>
        <v>N</v>
      </c>
      <c r="U9" s="9" t="s">
        <v>69</v>
      </c>
      <c r="V9" t="s">
        <v>127</v>
      </c>
      <c r="W9" s="12" t="str">
        <f t="array" ref="W9">if(and(L9=0,Q9="NA"),"NA",if(L9=0,"no lice",if(Q9="NA","no collection",index(sea_lice!G:G,match(C9,sea_lice!A:A,0)))))</f>
        <v>BSL5-82</v>
      </c>
      <c r="X9" s="23">
        <v>8.0</v>
      </c>
    </row>
    <row r="10">
      <c r="A10" s="9" t="s">
        <v>130</v>
      </c>
      <c r="B10" s="6">
        <v>5479.0</v>
      </c>
      <c r="C10" s="12" t="str">
        <f t="shared" si="1"/>
        <v>U5479</v>
      </c>
      <c r="D10" s="13" t="s">
        <v>125</v>
      </c>
      <c r="E10" s="14">
        <v>43342.0</v>
      </c>
      <c r="F10" s="9" t="s">
        <v>53</v>
      </c>
      <c r="G10" s="9" t="s">
        <v>54</v>
      </c>
      <c r="H10" s="9">
        <v>13.4</v>
      </c>
      <c r="I10" s="13">
        <v>112.0</v>
      </c>
      <c r="J10" s="13">
        <v>116.0</v>
      </c>
      <c r="K10" s="17">
        <f t="shared" si="2"/>
        <v>0.8584812825</v>
      </c>
      <c r="L10" s="9">
        <v>0.0</v>
      </c>
      <c r="M10" s="9" t="s">
        <v>57</v>
      </c>
      <c r="O10" s="9" t="s">
        <v>58</v>
      </c>
      <c r="P10" s="9" t="s">
        <v>60</v>
      </c>
      <c r="Q10" s="9" t="s">
        <v>62</v>
      </c>
      <c r="R10" s="9" t="s">
        <v>63</v>
      </c>
      <c r="S10" s="9" t="s">
        <v>64</v>
      </c>
      <c r="T10" t="str">
        <f t="shared" si="3"/>
        <v>N</v>
      </c>
      <c r="U10" s="9" t="s">
        <v>69</v>
      </c>
      <c r="V10" t="s">
        <v>134</v>
      </c>
      <c r="W10" s="12" t="str">
        <f t="array" ref="W10">if(and(L10=0,Q10="NA"),"NA",if(L10=0,"no lice",if(Q10="NA","no collection",index(sea_lice!G:G,match(C10,sea_lice!A:A,0)))))</f>
        <v>no lice</v>
      </c>
      <c r="X10" s="23">
        <v>9.0</v>
      </c>
    </row>
    <row r="11">
      <c r="A11" s="9" t="s">
        <v>137</v>
      </c>
      <c r="B11" s="6">
        <v>5480.0</v>
      </c>
      <c r="C11" s="12" t="str">
        <f t="shared" si="1"/>
        <v>U5480</v>
      </c>
      <c r="D11" s="13" t="s">
        <v>125</v>
      </c>
      <c r="E11" s="14">
        <v>43342.0</v>
      </c>
      <c r="F11" s="9" t="s">
        <v>53</v>
      </c>
      <c r="G11" s="9" t="s">
        <v>54</v>
      </c>
      <c r="H11" s="9">
        <v>17.5</v>
      </c>
      <c r="I11" s="13">
        <v>120.0</v>
      </c>
      <c r="J11" s="13">
        <v>124.0</v>
      </c>
      <c r="K11" s="17">
        <f t="shared" si="2"/>
        <v>0.9178527072</v>
      </c>
      <c r="L11" s="9">
        <v>0.0</v>
      </c>
      <c r="M11" s="9" t="s">
        <v>57</v>
      </c>
      <c r="O11" s="9" t="s">
        <v>58</v>
      </c>
      <c r="P11" s="9" t="s">
        <v>60</v>
      </c>
      <c r="Q11" s="9" t="s">
        <v>62</v>
      </c>
      <c r="R11" s="9" t="s">
        <v>63</v>
      </c>
      <c r="S11" s="9" t="s">
        <v>64</v>
      </c>
      <c r="T11" t="str">
        <f t="shared" si="3"/>
        <v>N</v>
      </c>
      <c r="U11" s="9" t="s">
        <v>69</v>
      </c>
      <c r="V11" t="s">
        <v>142</v>
      </c>
      <c r="W11" s="12" t="str">
        <f t="array" ref="W11">if(and(L11=0,Q11="NA"),"NA",if(L11=0,"no lice",if(Q11="NA","no collection",index(sea_lice!G:G,match(C11,sea_lice!A:A,0)))))</f>
        <v>no lice</v>
      </c>
      <c r="X11" s="19">
        <v>10.0</v>
      </c>
    </row>
    <row r="12">
      <c r="A12" s="9" t="s">
        <v>145</v>
      </c>
      <c r="B12" s="6">
        <v>5481.0</v>
      </c>
      <c r="C12" s="12" t="str">
        <f t="shared" si="1"/>
        <v>U5481</v>
      </c>
      <c r="D12" s="13" t="s">
        <v>148</v>
      </c>
      <c r="E12" s="14">
        <v>43343.0</v>
      </c>
      <c r="F12" s="9" t="s">
        <v>53</v>
      </c>
      <c r="G12" s="9" t="s">
        <v>54</v>
      </c>
      <c r="H12" s="9">
        <v>24.9</v>
      </c>
      <c r="I12" s="13">
        <v>126.0</v>
      </c>
      <c r="J12" s="13">
        <v>131.0</v>
      </c>
      <c r="K12" s="17">
        <f t="shared" si="2"/>
        <v>1.107606409</v>
      </c>
      <c r="L12" s="9">
        <v>0.0</v>
      </c>
      <c r="M12" s="9" t="s">
        <v>57</v>
      </c>
      <c r="O12" s="9" t="s">
        <v>58</v>
      </c>
      <c r="P12" s="9" t="s">
        <v>60</v>
      </c>
      <c r="Q12" s="9" t="s">
        <v>150</v>
      </c>
      <c r="R12" s="9" t="s">
        <v>63</v>
      </c>
      <c r="S12" s="9" t="s">
        <v>64</v>
      </c>
      <c r="T12" t="str">
        <f t="shared" si="3"/>
        <v>N</v>
      </c>
      <c r="U12" s="9" t="s">
        <v>69</v>
      </c>
      <c r="V12" t="s">
        <v>152</v>
      </c>
      <c r="W12" s="12" t="str">
        <f t="array" ref="W12">if(and(L12=0,Q12="NA"),"NA",if(L12=0,"no lice",if(Q12="NA","no collection",index(sea_lice!G:G,match(C12,sea_lice!A:A,0)))))</f>
        <v>no lice</v>
      </c>
      <c r="X12" s="23">
        <v>11.0</v>
      </c>
    </row>
    <row r="13">
      <c r="A13" s="9" t="s">
        <v>155</v>
      </c>
      <c r="B13" s="6">
        <v>5482.0</v>
      </c>
      <c r="C13" s="12" t="str">
        <f t="shared" si="1"/>
        <v>U5482</v>
      </c>
      <c r="D13" s="13" t="s">
        <v>148</v>
      </c>
      <c r="E13" s="14">
        <v>43343.0</v>
      </c>
      <c r="F13" s="9" t="s">
        <v>53</v>
      </c>
      <c r="G13" s="9" t="s">
        <v>54</v>
      </c>
      <c r="H13" s="9">
        <v>23.5</v>
      </c>
      <c r="I13" s="13">
        <v>126.0</v>
      </c>
      <c r="J13" s="13" t="s">
        <v>63</v>
      </c>
      <c r="K13" s="17" t="str">
        <f t="shared" si="2"/>
        <v/>
      </c>
      <c r="L13" s="9">
        <v>0.0</v>
      </c>
      <c r="M13" s="9" t="s">
        <v>57</v>
      </c>
      <c r="O13" s="9" t="s">
        <v>58</v>
      </c>
      <c r="P13" s="9" t="s">
        <v>60</v>
      </c>
      <c r="Q13" s="9" t="s">
        <v>150</v>
      </c>
      <c r="R13" s="9" t="s">
        <v>63</v>
      </c>
      <c r="S13" s="9" t="s">
        <v>64</v>
      </c>
      <c r="T13" t="str">
        <f t="shared" si="3"/>
        <v>N</v>
      </c>
      <c r="U13" s="9" t="s">
        <v>69</v>
      </c>
      <c r="V13" t="s">
        <v>159</v>
      </c>
      <c r="W13" s="12" t="str">
        <f t="array" ref="W13">if(and(L13=0,Q13="NA"),"NA",if(L13=0,"no lice",if(Q13="NA","no collection",index(sea_lice!G:G,match(C13,sea_lice!A:A,0)))))</f>
        <v>no lice</v>
      </c>
      <c r="X13" s="23">
        <v>12.0</v>
      </c>
    </row>
    <row r="14">
      <c r="A14" s="9" t="s">
        <v>164</v>
      </c>
      <c r="B14" s="6">
        <v>5483.0</v>
      </c>
      <c r="C14" s="12" t="str">
        <f t="shared" si="1"/>
        <v>U5483</v>
      </c>
      <c r="D14" s="13" t="s">
        <v>148</v>
      </c>
      <c r="E14" s="14">
        <v>43343.0</v>
      </c>
      <c r="F14" s="9" t="s">
        <v>53</v>
      </c>
      <c r="G14" s="9" t="s">
        <v>54</v>
      </c>
      <c r="H14" s="9">
        <v>14.5</v>
      </c>
      <c r="I14" s="13">
        <v>109.0</v>
      </c>
      <c r="J14" s="13" t="s">
        <v>63</v>
      </c>
      <c r="K14" s="17" t="str">
        <f t="shared" si="2"/>
        <v/>
      </c>
      <c r="L14" s="9">
        <v>0.0</v>
      </c>
      <c r="M14" s="9" t="s">
        <v>57</v>
      </c>
      <c r="O14" s="9" t="s">
        <v>58</v>
      </c>
      <c r="P14" s="9" t="s">
        <v>60</v>
      </c>
      <c r="Q14" s="9" t="s">
        <v>150</v>
      </c>
      <c r="R14" s="9" t="s">
        <v>63</v>
      </c>
      <c r="S14" s="9" t="s">
        <v>64</v>
      </c>
      <c r="T14" t="str">
        <f t="shared" si="3"/>
        <v>N</v>
      </c>
      <c r="U14" s="9" t="s">
        <v>69</v>
      </c>
      <c r="V14" t="s">
        <v>169</v>
      </c>
      <c r="W14" s="12" t="str">
        <f t="array" ref="W14">if(and(L14=0,Q14="NA"),"NA",if(L14=0,"no lice",if(Q14="NA","no collection",index(sea_lice!G:G,match(C14,sea_lice!A:A,0)))))</f>
        <v>no lice</v>
      </c>
      <c r="X14" s="23">
        <v>13.0</v>
      </c>
    </row>
    <row r="15">
      <c r="A15" s="9" t="s">
        <v>172</v>
      </c>
      <c r="B15" s="6">
        <v>5484.0</v>
      </c>
      <c r="C15" s="12" t="str">
        <f t="shared" si="1"/>
        <v>U5484</v>
      </c>
      <c r="D15" s="13" t="s">
        <v>148</v>
      </c>
      <c r="E15" s="14">
        <v>43343.0</v>
      </c>
      <c r="F15" s="9" t="s">
        <v>53</v>
      </c>
      <c r="G15" s="9" t="s">
        <v>54</v>
      </c>
      <c r="H15" s="9">
        <v>16.3</v>
      </c>
      <c r="I15" s="13">
        <v>115.0</v>
      </c>
      <c r="J15" s="13">
        <v>120.0</v>
      </c>
      <c r="K15" s="17">
        <f t="shared" si="2"/>
        <v>0.943287037</v>
      </c>
      <c r="L15" s="9">
        <v>1.0</v>
      </c>
      <c r="M15" s="9" t="s">
        <v>57</v>
      </c>
      <c r="O15" s="9" t="s">
        <v>58</v>
      </c>
      <c r="P15" s="9" t="s">
        <v>60</v>
      </c>
      <c r="Q15" s="9" t="s">
        <v>150</v>
      </c>
      <c r="R15" s="9" t="s">
        <v>63</v>
      </c>
      <c r="S15" s="9" t="s">
        <v>64</v>
      </c>
      <c r="T15" t="str">
        <f t="shared" si="3"/>
        <v>N</v>
      </c>
      <c r="U15" s="9" t="s">
        <v>69</v>
      </c>
      <c r="V15" t="s">
        <v>176</v>
      </c>
      <c r="W15" s="12" t="str">
        <f t="array" ref="W15">if(and(L15=0,Q15="NA"),"NA",if(L15=0,"no lice",if(Q15="NA","no collection",index(sea_lice!G:G,match(C15,sea_lice!A:A,0)))))</f>
        <v>BSL6-1</v>
      </c>
      <c r="X15" s="23">
        <v>14.0</v>
      </c>
    </row>
    <row r="16">
      <c r="A16" s="9" t="s">
        <v>181</v>
      </c>
      <c r="B16" s="6" t="s">
        <v>182</v>
      </c>
      <c r="C16" s="12" t="str">
        <f t="shared" si="1"/>
        <v>U5115</v>
      </c>
      <c r="D16" s="13" t="s">
        <v>148</v>
      </c>
      <c r="E16" s="14">
        <v>43343.0</v>
      </c>
      <c r="F16" s="9" t="s">
        <v>53</v>
      </c>
      <c r="G16" s="9" t="s">
        <v>54</v>
      </c>
      <c r="H16" s="9">
        <v>17.9</v>
      </c>
      <c r="I16" s="13">
        <v>118.0</v>
      </c>
      <c r="J16" s="13" t="s">
        <v>63</v>
      </c>
      <c r="K16" s="17" t="str">
        <f t="shared" si="2"/>
        <v/>
      </c>
      <c r="L16" s="9">
        <v>1.0</v>
      </c>
      <c r="M16" s="9" t="s">
        <v>57</v>
      </c>
      <c r="O16" s="9" t="s">
        <v>58</v>
      </c>
      <c r="P16" s="9" t="s">
        <v>60</v>
      </c>
      <c r="Q16" s="9" t="s">
        <v>150</v>
      </c>
      <c r="R16" s="9" t="s">
        <v>63</v>
      </c>
      <c r="S16" s="9" t="s">
        <v>64</v>
      </c>
      <c r="T16" t="str">
        <f t="shared" si="3"/>
        <v>N</v>
      </c>
      <c r="W16" s="12" t="str">
        <f t="array" ref="W16">if(and(L16=0,Q16="NA"),"NA",if(L16=0,"no lice",if(Q16="NA","no collection",index(sea_lice!G:G,match(C16,sea_lice!A:A,0)))))</f>
        <v>BSL6-2</v>
      </c>
      <c r="X16" s="23">
        <v>15.0</v>
      </c>
    </row>
    <row r="17">
      <c r="A17" s="9" t="s">
        <v>188</v>
      </c>
      <c r="B17" s="6">
        <v>5485.0</v>
      </c>
      <c r="C17" s="12" t="str">
        <f t="shared" si="1"/>
        <v>U5485</v>
      </c>
      <c r="D17" s="13" t="s">
        <v>148</v>
      </c>
      <c r="E17" s="14">
        <v>43343.0</v>
      </c>
      <c r="F17" s="9" t="s">
        <v>53</v>
      </c>
      <c r="G17" s="9" t="s">
        <v>54</v>
      </c>
      <c r="H17" s="9">
        <v>15.1</v>
      </c>
      <c r="I17" s="13">
        <v>114.0</v>
      </c>
      <c r="J17" s="13">
        <v>119.0</v>
      </c>
      <c r="K17" s="17">
        <f t="shared" si="2"/>
        <v>0.8960578794</v>
      </c>
      <c r="L17" s="9">
        <v>0.0</v>
      </c>
      <c r="M17" s="9" t="s">
        <v>57</v>
      </c>
      <c r="O17" s="9" t="s">
        <v>58</v>
      </c>
      <c r="P17" s="9" t="s">
        <v>60</v>
      </c>
      <c r="Q17" s="9" t="s">
        <v>150</v>
      </c>
      <c r="R17" s="9" t="s">
        <v>63</v>
      </c>
      <c r="S17" s="9" t="s">
        <v>64</v>
      </c>
      <c r="T17" t="str">
        <f t="shared" si="3"/>
        <v>N</v>
      </c>
      <c r="U17" s="9" t="s">
        <v>69</v>
      </c>
      <c r="V17" t="s">
        <v>190</v>
      </c>
      <c r="W17" s="12" t="str">
        <f t="array" ref="W17">if(and(L17=0,Q17="NA"),"NA",if(L17=0,"no lice",if(Q17="NA","no collection",index(sea_lice!G:G,match(C17,sea_lice!A:A,0)))))</f>
        <v>no lice</v>
      </c>
      <c r="X17" s="23">
        <v>16.0</v>
      </c>
    </row>
    <row r="18">
      <c r="A18" s="9" t="s">
        <v>193</v>
      </c>
      <c r="B18" s="6">
        <v>5486.0</v>
      </c>
      <c r="C18" s="12" t="str">
        <f t="shared" si="1"/>
        <v>U5486</v>
      </c>
      <c r="D18" s="13" t="s">
        <v>148</v>
      </c>
      <c r="E18" s="14">
        <v>43343.0</v>
      </c>
      <c r="F18" s="9" t="s">
        <v>53</v>
      </c>
      <c r="G18" s="9" t="s">
        <v>54</v>
      </c>
      <c r="H18" s="9">
        <v>21.8</v>
      </c>
      <c r="I18" s="13">
        <v>129.0</v>
      </c>
      <c r="J18" s="13">
        <v>135.0</v>
      </c>
      <c r="K18" s="17">
        <f t="shared" si="2"/>
        <v>0.8860437941</v>
      </c>
      <c r="L18" s="9">
        <v>2.0</v>
      </c>
      <c r="M18" s="9" t="s">
        <v>57</v>
      </c>
      <c r="O18" s="9" t="s">
        <v>58</v>
      </c>
      <c r="P18" s="9" t="s">
        <v>60</v>
      </c>
      <c r="Q18" s="9" t="s">
        <v>150</v>
      </c>
      <c r="R18" s="9" t="s">
        <v>63</v>
      </c>
      <c r="S18" s="9" t="s">
        <v>64</v>
      </c>
      <c r="T18" t="str">
        <f t="shared" si="3"/>
        <v>N</v>
      </c>
      <c r="U18" s="9" t="s">
        <v>69</v>
      </c>
      <c r="V18" t="s">
        <v>197</v>
      </c>
      <c r="W18" s="12" t="str">
        <f t="array" ref="W18">if(and(L18=0,Q18="NA"),"NA",if(L18=0,"no lice",if(Q18="NA","no collection",index(sea_lice!G:G,match(C18,sea_lice!A:A,0)))))</f>
        <v>BSL6-3</v>
      </c>
      <c r="X18" s="23">
        <v>17.0</v>
      </c>
    </row>
    <row r="19">
      <c r="A19" s="9" t="s">
        <v>201</v>
      </c>
      <c r="B19" s="6">
        <v>5487.0</v>
      </c>
      <c r="C19" s="12" t="str">
        <f t="shared" si="1"/>
        <v>U5487</v>
      </c>
      <c r="D19" s="13" t="s">
        <v>148</v>
      </c>
      <c r="E19" s="14">
        <v>43343.0</v>
      </c>
      <c r="F19" s="9" t="s">
        <v>53</v>
      </c>
      <c r="G19" s="9" t="s">
        <v>54</v>
      </c>
      <c r="H19" s="9">
        <v>26.9</v>
      </c>
      <c r="I19" s="13">
        <v>134.0</v>
      </c>
      <c r="J19" s="13" t="s">
        <v>63</v>
      </c>
      <c r="K19" s="17" t="str">
        <f t="shared" si="2"/>
        <v/>
      </c>
      <c r="L19" s="9">
        <v>2.0</v>
      </c>
      <c r="M19" s="9" t="s">
        <v>57</v>
      </c>
      <c r="O19" s="9" t="s">
        <v>58</v>
      </c>
      <c r="P19" s="9" t="s">
        <v>60</v>
      </c>
      <c r="Q19" s="9" t="s">
        <v>150</v>
      </c>
      <c r="R19" s="9" t="s">
        <v>63</v>
      </c>
      <c r="S19" s="9" t="s">
        <v>64</v>
      </c>
      <c r="T19" t="str">
        <f t="shared" si="3"/>
        <v>N</v>
      </c>
      <c r="U19" s="9" t="s">
        <v>69</v>
      </c>
      <c r="V19" t="s">
        <v>203</v>
      </c>
      <c r="W19" s="12" t="str">
        <f t="array" ref="W19">if(and(L19=0,Q19="NA"),"NA",if(L19=0,"no lice",if(Q19="NA","no collection",index(sea_lice!G:G,match(C19,sea_lice!A:A,0)))))</f>
        <v>BSL6-4</v>
      </c>
      <c r="X19" s="23">
        <v>18.0</v>
      </c>
    </row>
    <row r="20">
      <c r="A20" s="9" t="s">
        <v>206</v>
      </c>
      <c r="B20" s="6">
        <v>5488.0</v>
      </c>
      <c r="C20" s="12" t="str">
        <f t="shared" si="1"/>
        <v>U5488</v>
      </c>
      <c r="D20" s="13" t="s">
        <v>148</v>
      </c>
      <c r="E20" s="14">
        <v>43343.0</v>
      </c>
      <c r="F20" s="9" t="s">
        <v>53</v>
      </c>
      <c r="G20" s="9" t="s">
        <v>54</v>
      </c>
      <c r="H20" s="9">
        <v>20.0</v>
      </c>
      <c r="I20" s="13">
        <v>120.0</v>
      </c>
      <c r="J20" s="13" t="s">
        <v>63</v>
      </c>
      <c r="K20" s="17" t="str">
        <f t="shared" si="2"/>
        <v/>
      </c>
      <c r="L20" s="9">
        <v>0.0</v>
      </c>
      <c r="M20" s="9" t="s">
        <v>57</v>
      </c>
      <c r="O20" s="9" t="s">
        <v>58</v>
      </c>
      <c r="P20" s="9" t="s">
        <v>60</v>
      </c>
      <c r="Q20" s="9" t="s">
        <v>150</v>
      </c>
      <c r="R20" s="9" t="s">
        <v>63</v>
      </c>
      <c r="S20" s="9" t="s">
        <v>64</v>
      </c>
      <c r="T20" t="str">
        <f t="shared" si="3"/>
        <v>N</v>
      </c>
      <c r="U20" s="9" t="s">
        <v>69</v>
      </c>
      <c r="V20" t="s">
        <v>207</v>
      </c>
      <c r="W20" s="12" t="str">
        <f t="array" ref="W20">if(and(L20=0,Q20="NA"),"NA",if(L20=0,"no lice",if(Q20="NA","no collection",index(sea_lice!G:G,match(C20,sea_lice!A:A,0)))))</f>
        <v>no lice</v>
      </c>
      <c r="X20" s="23">
        <v>19.0</v>
      </c>
    </row>
    <row r="21">
      <c r="A21" s="9" t="s">
        <v>211</v>
      </c>
      <c r="B21" s="6">
        <v>5489.0</v>
      </c>
      <c r="C21" s="12" t="str">
        <f t="shared" si="1"/>
        <v>U5489</v>
      </c>
      <c r="D21" s="13" t="s">
        <v>148</v>
      </c>
      <c r="E21" s="14">
        <v>43343.0</v>
      </c>
      <c r="F21" s="9" t="s">
        <v>53</v>
      </c>
      <c r="G21" s="9" t="s">
        <v>54</v>
      </c>
      <c r="H21" s="9">
        <v>15.5</v>
      </c>
      <c r="I21" s="13">
        <v>112.0</v>
      </c>
      <c r="J21" s="13">
        <v>116.0</v>
      </c>
      <c r="K21" s="17">
        <f t="shared" si="2"/>
        <v>0.993019394</v>
      </c>
      <c r="L21" s="9">
        <v>1.0</v>
      </c>
      <c r="M21" s="9" t="s">
        <v>213</v>
      </c>
      <c r="O21" s="9" t="s">
        <v>58</v>
      </c>
      <c r="P21" s="9" t="s">
        <v>60</v>
      </c>
      <c r="Q21" s="9" t="s">
        <v>150</v>
      </c>
      <c r="R21" s="9" t="s">
        <v>63</v>
      </c>
      <c r="S21" s="9" t="s">
        <v>64</v>
      </c>
      <c r="T21" t="str">
        <f t="shared" si="3"/>
        <v>N</v>
      </c>
      <c r="U21" s="9" t="s">
        <v>69</v>
      </c>
      <c r="V21" t="s">
        <v>214</v>
      </c>
      <c r="W21" s="12" t="str">
        <f t="array" ref="W21">if(and(L21=0,Q21="NA"),"NA",if(L21=0,"no lice",if(Q21="NA","no collection",index(sea_lice!G:G,match(C21,sea_lice!A:A,0)))))</f>
        <v>#N/A</v>
      </c>
      <c r="X21" s="23">
        <v>20.0</v>
      </c>
    </row>
    <row r="22">
      <c r="A22" s="9" t="s">
        <v>218</v>
      </c>
      <c r="B22" s="6">
        <v>5490.0</v>
      </c>
      <c r="C22" s="12" t="str">
        <f t="shared" si="1"/>
        <v>U5490</v>
      </c>
      <c r="D22" s="13" t="s">
        <v>219</v>
      </c>
      <c r="E22" s="14">
        <v>43363.0</v>
      </c>
      <c r="F22" s="9" t="s">
        <v>53</v>
      </c>
      <c r="G22" s="9" t="s">
        <v>54</v>
      </c>
      <c r="H22" s="9">
        <v>15.5</v>
      </c>
      <c r="I22" s="13">
        <v>114.0</v>
      </c>
      <c r="J22" s="13">
        <v>119.0</v>
      </c>
      <c r="K22" s="17">
        <f t="shared" si="2"/>
        <v>0.919794512</v>
      </c>
      <c r="L22" s="9">
        <v>0.0</v>
      </c>
      <c r="M22" s="9" t="s">
        <v>57</v>
      </c>
      <c r="O22" s="9" t="s">
        <v>221</v>
      </c>
      <c r="P22" s="9" t="s">
        <v>60</v>
      </c>
      <c r="Q22" s="9" t="s">
        <v>63</v>
      </c>
      <c r="R22" s="9" t="s">
        <v>63</v>
      </c>
      <c r="S22" s="9" t="s">
        <v>64</v>
      </c>
      <c r="T22" t="str">
        <f t="shared" si="3"/>
        <v>N</v>
      </c>
      <c r="U22" s="9" t="s">
        <v>69</v>
      </c>
      <c r="V22" t="s">
        <v>223</v>
      </c>
      <c r="W22" s="12" t="str">
        <f t="array" ref="W22">if(and(L22=0,Q22="NA"),"NA",if(L22=0,"no lice",if(Q22="NA","no collection",index(sea_lice!G:G,match(C22,sea_lice!A:A,0)))))</f>
        <v>NA</v>
      </c>
      <c r="X22" s="23">
        <v>21.0</v>
      </c>
    </row>
    <row r="23">
      <c r="A23" s="9" t="s">
        <v>227</v>
      </c>
      <c r="B23" s="6">
        <v>5491.0</v>
      </c>
      <c r="C23" s="12" t="str">
        <f t="shared" si="1"/>
        <v>U5491</v>
      </c>
      <c r="D23" s="13" t="s">
        <v>219</v>
      </c>
      <c r="E23" s="14">
        <v>43363.0</v>
      </c>
      <c r="F23" s="9" t="s">
        <v>53</v>
      </c>
      <c r="G23" s="9" t="s">
        <v>54</v>
      </c>
      <c r="H23" s="9">
        <v>14.5</v>
      </c>
      <c r="I23" s="13">
        <v>110.0</v>
      </c>
      <c r="J23" s="13">
        <v>115.0</v>
      </c>
      <c r="K23" s="17">
        <f t="shared" si="2"/>
        <v>0.953398537</v>
      </c>
      <c r="L23" s="9">
        <v>0.0</v>
      </c>
      <c r="M23" s="9" t="s">
        <v>57</v>
      </c>
      <c r="O23" s="9" t="s">
        <v>221</v>
      </c>
      <c r="P23" s="9" t="s">
        <v>60</v>
      </c>
      <c r="Q23" s="9" t="s">
        <v>63</v>
      </c>
      <c r="R23" s="9" t="s">
        <v>63</v>
      </c>
      <c r="S23" s="9" t="s">
        <v>64</v>
      </c>
      <c r="T23" t="str">
        <f t="shared" si="3"/>
        <v>N</v>
      </c>
      <c r="U23" s="9" t="s">
        <v>69</v>
      </c>
      <c r="V23" t="s">
        <v>229</v>
      </c>
      <c r="W23" s="12" t="str">
        <f t="array" ref="W23">if(and(L23=0,Q23="NA"),"NA",if(L23=0,"no lice",if(Q23="NA","no collection",index(sea_lice!G:G,match(C23,sea_lice!A:A,0)))))</f>
        <v>NA</v>
      </c>
      <c r="X23" s="23">
        <v>22.0</v>
      </c>
    </row>
    <row r="24">
      <c r="A24" s="9" t="s">
        <v>233</v>
      </c>
      <c r="B24" s="6">
        <v>5492.0</v>
      </c>
      <c r="C24" s="12" t="str">
        <f t="shared" si="1"/>
        <v>U5492</v>
      </c>
      <c r="D24" s="13" t="s">
        <v>219</v>
      </c>
      <c r="E24" s="14">
        <v>43363.0</v>
      </c>
      <c r="F24" s="9" t="s">
        <v>53</v>
      </c>
      <c r="G24" s="9" t="s">
        <v>54</v>
      </c>
      <c r="H24" s="9">
        <v>19.4</v>
      </c>
      <c r="I24" s="13">
        <v>125.0</v>
      </c>
      <c r="J24" s="13">
        <v>132.0</v>
      </c>
      <c r="K24" s="17">
        <f t="shared" si="2"/>
        <v>0.8434899964</v>
      </c>
      <c r="L24" s="9">
        <v>1.0</v>
      </c>
      <c r="M24" s="9" t="s">
        <v>57</v>
      </c>
      <c r="O24" s="9" t="s">
        <v>221</v>
      </c>
      <c r="P24" s="9" t="s">
        <v>60</v>
      </c>
      <c r="Q24" s="9" t="s">
        <v>63</v>
      </c>
      <c r="R24" s="9" t="s">
        <v>63</v>
      </c>
      <c r="S24" s="9" t="s">
        <v>64</v>
      </c>
      <c r="T24" t="str">
        <f t="shared" si="3"/>
        <v>N</v>
      </c>
      <c r="U24" s="9" t="s">
        <v>69</v>
      </c>
      <c r="V24" t="s">
        <v>237</v>
      </c>
      <c r="W24" s="12" t="str">
        <f t="array" ref="W24">if(and(L24=0,Q24="NA"),"NA",if(L24=0,"no lice",if(Q24="NA","no collection",index(sea_lice!G:G,match(C24,sea_lice!A:A,0)))))</f>
        <v>no collection</v>
      </c>
      <c r="X24" s="23">
        <v>23.0</v>
      </c>
    </row>
    <row r="25">
      <c r="A25" s="9" t="s">
        <v>240</v>
      </c>
      <c r="B25" s="6">
        <v>5493.0</v>
      </c>
      <c r="C25" s="12" t="str">
        <f t="shared" si="1"/>
        <v>U5493</v>
      </c>
      <c r="D25" s="13" t="s">
        <v>219</v>
      </c>
      <c r="E25" s="14">
        <v>43364.0</v>
      </c>
      <c r="F25" s="9" t="s">
        <v>53</v>
      </c>
      <c r="G25" s="9" t="s">
        <v>54</v>
      </c>
      <c r="H25" s="9">
        <v>14.2</v>
      </c>
      <c r="I25" s="13">
        <v>111.0</v>
      </c>
      <c r="J25" s="13">
        <v>115.0</v>
      </c>
      <c r="K25" s="17">
        <f t="shared" si="2"/>
        <v>0.9336730501</v>
      </c>
      <c r="L25" s="9">
        <v>0.0</v>
      </c>
      <c r="M25" s="9" t="s">
        <v>57</v>
      </c>
      <c r="O25" s="9" t="s">
        <v>221</v>
      </c>
      <c r="P25" s="9" t="s">
        <v>60</v>
      </c>
      <c r="Q25" s="9" t="s">
        <v>63</v>
      </c>
      <c r="R25" s="9" t="s">
        <v>63</v>
      </c>
      <c r="S25" s="9" t="s">
        <v>64</v>
      </c>
      <c r="T25" t="str">
        <f t="shared" si="3"/>
        <v>N</v>
      </c>
      <c r="U25" s="9" t="s">
        <v>69</v>
      </c>
      <c r="V25" t="s">
        <v>242</v>
      </c>
      <c r="W25" s="12" t="str">
        <f t="array" ref="W25">if(and(L25=0,Q25="NA"),"NA",if(L25=0,"no lice",if(Q25="NA","no collection",index(sea_lice!G:G,match(C25,sea_lice!A:A,0)))))</f>
        <v>NA</v>
      </c>
      <c r="X25" s="23">
        <v>24.0</v>
      </c>
    </row>
    <row r="26">
      <c r="A26" s="9" t="s">
        <v>244</v>
      </c>
      <c r="B26" s="6">
        <v>5494.0</v>
      </c>
      <c r="C26" s="12" t="str">
        <f t="shared" si="1"/>
        <v>U5494</v>
      </c>
      <c r="D26" s="13" t="s">
        <v>219</v>
      </c>
      <c r="E26" s="14">
        <v>43364.0</v>
      </c>
      <c r="F26" s="9" t="s">
        <v>53</v>
      </c>
      <c r="G26" s="9" t="s">
        <v>54</v>
      </c>
      <c r="H26" s="9">
        <v>21.1</v>
      </c>
      <c r="I26" s="13">
        <v>126.0</v>
      </c>
      <c r="J26" s="13">
        <v>131.0</v>
      </c>
      <c r="K26" s="17">
        <f t="shared" si="2"/>
        <v>0.9385741058</v>
      </c>
      <c r="L26" s="9">
        <v>0.0</v>
      </c>
      <c r="M26" s="9" t="s">
        <v>57</v>
      </c>
      <c r="O26" s="9" t="s">
        <v>221</v>
      </c>
      <c r="P26" s="9" t="s">
        <v>60</v>
      </c>
      <c r="Q26" s="9" t="s">
        <v>63</v>
      </c>
      <c r="R26" s="9" t="s">
        <v>63</v>
      </c>
      <c r="S26" s="9" t="s">
        <v>64</v>
      </c>
      <c r="T26" t="str">
        <f t="shared" si="3"/>
        <v>N</v>
      </c>
      <c r="U26" s="9" t="s">
        <v>69</v>
      </c>
      <c r="V26" t="s">
        <v>246</v>
      </c>
      <c r="W26" s="12" t="str">
        <f t="array" ref="W26">if(and(L26=0,Q26="NA"),"NA",if(L26=0,"no lice",if(Q26="NA","no collection",index(sea_lice!G:G,match(C26,sea_lice!A:A,0)))))</f>
        <v>NA</v>
      </c>
      <c r="X26" s="23">
        <v>25.0</v>
      </c>
    </row>
    <row r="27">
      <c r="A27" s="9" t="s">
        <v>249</v>
      </c>
      <c r="B27" s="6">
        <v>5495.0</v>
      </c>
      <c r="C27" s="12" t="str">
        <f t="shared" si="1"/>
        <v>U5495</v>
      </c>
      <c r="D27" s="13" t="s">
        <v>219</v>
      </c>
      <c r="E27" s="14">
        <v>43364.0</v>
      </c>
      <c r="F27" s="9" t="s">
        <v>53</v>
      </c>
      <c r="G27" s="9" t="s">
        <v>54</v>
      </c>
      <c r="H27" s="9">
        <v>18.0</v>
      </c>
      <c r="I27" s="13">
        <v>116.0</v>
      </c>
      <c r="J27" s="13">
        <v>121.0</v>
      </c>
      <c r="K27" s="17">
        <f t="shared" si="2"/>
        <v>1.016053074</v>
      </c>
      <c r="L27" s="9">
        <v>0.0</v>
      </c>
      <c r="M27" s="9" t="s">
        <v>57</v>
      </c>
      <c r="O27" s="9" t="s">
        <v>221</v>
      </c>
      <c r="P27" s="9" t="s">
        <v>60</v>
      </c>
      <c r="Q27" s="9" t="s">
        <v>63</v>
      </c>
      <c r="R27" s="9" t="s">
        <v>63</v>
      </c>
      <c r="S27" s="9" t="s">
        <v>64</v>
      </c>
      <c r="T27" t="str">
        <f t="shared" si="3"/>
        <v>N</v>
      </c>
      <c r="U27" s="9" t="s">
        <v>69</v>
      </c>
      <c r="V27" t="s">
        <v>253</v>
      </c>
      <c r="W27" s="12" t="str">
        <f t="array" ref="W27">if(and(L27=0,Q27="NA"),"NA",if(L27=0,"no lice",if(Q27="NA","no collection",index(sea_lice!G:G,match(C27,sea_lice!A:A,0)))))</f>
        <v>NA</v>
      </c>
      <c r="X27" s="23">
        <v>26.0</v>
      </c>
    </row>
    <row r="28">
      <c r="A28" s="9" t="s">
        <v>255</v>
      </c>
      <c r="B28" s="6">
        <v>5496.0</v>
      </c>
      <c r="C28" s="12" t="str">
        <f t="shared" si="1"/>
        <v>U5496</v>
      </c>
      <c r="D28" s="13" t="s">
        <v>219</v>
      </c>
      <c r="E28" s="14">
        <v>43364.0</v>
      </c>
      <c r="F28" s="9" t="s">
        <v>53</v>
      </c>
      <c r="G28" s="9" t="s">
        <v>54</v>
      </c>
      <c r="H28" s="9">
        <v>19.3</v>
      </c>
      <c r="I28" s="13">
        <v>118.0</v>
      </c>
      <c r="J28" s="13">
        <v>123.0</v>
      </c>
      <c r="K28" s="17">
        <f t="shared" si="2"/>
        <v>1.037150962</v>
      </c>
      <c r="L28" s="9">
        <v>0.0</v>
      </c>
      <c r="M28" s="9" t="s">
        <v>57</v>
      </c>
      <c r="O28" s="9" t="s">
        <v>221</v>
      </c>
      <c r="P28" s="9" t="s">
        <v>60</v>
      </c>
      <c r="Q28" s="9" t="s">
        <v>63</v>
      </c>
      <c r="R28" s="9" t="s">
        <v>63</v>
      </c>
      <c r="S28" s="9" t="s">
        <v>64</v>
      </c>
      <c r="T28" t="str">
        <f t="shared" si="3"/>
        <v>N</v>
      </c>
      <c r="U28" s="9" t="s">
        <v>69</v>
      </c>
      <c r="V28" t="s">
        <v>257</v>
      </c>
      <c r="W28" s="12" t="str">
        <f t="array" ref="W28">if(and(L28=0,Q28="NA"),"NA",if(L28=0,"no lice",if(Q28="NA","no collection",index(sea_lice!G:G,match(C28,sea_lice!A:A,0)))))</f>
        <v>NA</v>
      </c>
      <c r="X28" s="23">
        <v>27.0</v>
      </c>
    </row>
    <row r="29">
      <c r="A29" s="9" t="s">
        <v>261</v>
      </c>
      <c r="B29" s="6">
        <v>5497.0</v>
      </c>
      <c r="C29" s="12" t="str">
        <f t="shared" si="1"/>
        <v>U5497</v>
      </c>
      <c r="D29" s="13" t="s">
        <v>219</v>
      </c>
      <c r="E29" s="14">
        <v>43364.0</v>
      </c>
      <c r="F29" s="9" t="s">
        <v>53</v>
      </c>
      <c r="G29" s="9" t="s">
        <v>54</v>
      </c>
      <c r="H29" s="9">
        <v>20.6</v>
      </c>
      <c r="I29" s="13">
        <v>124.0</v>
      </c>
      <c r="J29" s="13" t="s">
        <v>63</v>
      </c>
      <c r="K29" s="17" t="str">
        <f t="shared" si="2"/>
        <v/>
      </c>
      <c r="L29" s="9">
        <v>1.0</v>
      </c>
      <c r="M29" s="9" t="s">
        <v>57</v>
      </c>
      <c r="O29" s="9" t="s">
        <v>221</v>
      </c>
      <c r="P29" s="9" t="s">
        <v>60</v>
      </c>
      <c r="Q29" s="9" t="s">
        <v>63</v>
      </c>
      <c r="R29" s="9" t="s">
        <v>63</v>
      </c>
      <c r="S29" s="9" t="s">
        <v>64</v>
      </c>
      <c r="T29" t="str">
        <f t="shared" si="3"/>
        <v>N</v>
      </c>
      <c r="U29" s="9" t="s">
        <v>69</v>
      </c>
      <c r="V29" t="s">
        <v>263</v>
      </c>
      <c r="W29" s="12" t="str">
        <f t="array" ref="W29">if(and(L29=0,Q29="NA"),"NA",if(L29=0,"no lice",if(Q29="NA","no collection",index(sea_lice!G:G,match(C29,sea_lice!A:A,0)))))</f>
        <v>no collection</v>
      </c>
      <c r="X29" s="23">
        <v>28.0</v>
      </c>
    </row>
    <row r="30">
      <c r="A30" s="9" t="s">
        <v>267</v>
      </c>
      <c r="B30" s="6">
        <v>5498.0</v>
      </c>
      <c r="C30" s="12" t="str">
        <f t="shared" si="1"/>
        <v>U5498</v>
      </c>
      <c r="D30" s="13" t="s">
        <v>219</v>
      </c>
      <c r="E30" s="14">
        <v>43364.0</v>
      </c>
      <c r="F30" s="9" t="s">
        <v>53</v>
      </c>
      <c r="G30" s="9" t="s">
        <v>268</v>
      </c>
      <c r="H30" s="9">
        <v>13.2</v>
      </c>
      <c r="I30" s="13">
        <v>106.0</v>
      </c>
      <c r="J30" s="13">
        <v>112.0</v>
      </c>
      <c r="K30" s="17">
        <f t="shared" si="2"/>
        <v>0.9395499271</v>
      </c>
      <c r="L30" s="9">
        <v>2.0</v>
      </c>
      <c r="M30" s="9" t="s">
        <v>57</v>
      </c>
      <c r="O30" s="9" t="s">
        <v>221</v>
      </c>
      <c r="P30" s="9" t="s">
        <v>60</v>
      </c>
      <c r="Q30" s="9" t="s">
        <v>63</v>
      </c>
      <c r="R30" s="9" t="s">
        <v>63</v>
      </c>
      <c r="S30" s="9" t="s">
        <v>64</v>
      </c>
      <c r="T30" t="str">
        <f t="shared" si="3"/>
        <v>N</v>
      </c>
      <c r="U30" s="9" t="s">
        <v>69</v>
      </c>
      <c r="V30" t="s">
        <v>270</v>
      </c>
      <c r="W30" s="12" t="str">
        <f t="array" ref="W30">if(and(L30=0,Q30="NA"),"NA",if(L30=0,"no lice",if(Q30="NA","no collection",index(sea_lice!G:G,match(C30,sea_lice!A:A,0)))))</f>
        <v>no collection</v>
      </c>
      <c r="X30" s="23">
        <v>29.0</v>
      </c>
    </row>
    <row r="31">
      <c r="A31" s="9" t="s">
        <v>273</v>
      </c>
      <c r="B31" s="6">
        <v>5499.0</v>
      </c>
      <c r="C31" s="12" t="str">
        <f t="shared" si="1"/>
        <v>U5499</v>
      </c>
      <c r="D31" s="13" t="s">
        <v>219</v>
      </c>
      <c r="E31" s="14">
        <v>43364.0</v>
      </c>
      <c r="F31" s="9" t="s">
        <v>53</v>
      </c>
      <c r="G31" s="9" t="s">
        <v>54</v>
      </c>
      <c r="H31" s="9">
        <v>20.2</v>
      </c>
      <c r="I31" s="13">
        <v>120.0</v>
      </c>
      <c r="J31" s="13" t="s">
        <v>63</v>
      </c>
      <c r="K31" s="17" t="str">
        <f t="shared" si="2"/>
        <v/>
      </c>
      <c r="L31" s="9">
        <v>0.0</v>
      </c>
      <c r="M31" s="9" t="s">
        <v>57</v>
      </c>
      <c r="O31" s="9" t="s">
        <v>221</v>
      </c>
      <c r="P31" s="9" t="s">
        <v>60</v>
      </c>
      <c r="Q31" s="9" t="s">
        <v>63</v>
      </c>
      <c r="R31" s="9" t="s">
        <v>63</v>
      </c>
      <c r="S31" s="9" t="s">
        <v>64</v>
      </c>
      <c r="T31" t="str">
        <f t="shared" si="3"/>
        <v>N</v>
      </c>
      <c r="U31" s="9" t="s">
        <v>69</v>
      </c>
      <c r="V31" t="s">
        <v>277</v>
      </c>
      <c r="W31" s="12" t="str">
        <f t="array" ref="W31">if(and(L31=0,Q31="NA"),"NA",if(L31=0,"no lice",if(Q31="NA","no collection",index(sea_lice!G:G,match(C31,sea_lice!A:A,0)))))</f>
        <v>NA</v>
      </c>
      <c r="X31" s="23">
        <v>30.0</v>
      </c>
    </row>
    <row r="32">
      <c r="A32" s="9" t="s">
        <v>281</v>
      </c>
      <c r="B32" s="6">
        <v>5500.0</v>
      </c>
      <c r="C32" s="12" t="str">
        <f t="shared" si="1"/>
        <v>U5500</v>
      </c>
      <c r="D32" s="13" t="s">
        <v>282</v>
      </c>
      <c r="E32" s="14">
        <v>43364.0</v>
      </c>
      <c r="F32" s="9" t="s">
        <v>53</v>
      </c>
      <c r="G32" s="9" t="s">
        <v>54</v>
      </c>
      <c r="H32" s="9">
        <v>10.8</v>
      </c>
      <c r="I32" s="13">
        <v>95.0</v>
      </c>
      <c r="J32" s="13" t="s">
        <v>63</v>
      </c>
      <c r="K32" s="17" t="str">
        <f t="shared" si="2"/>
        <v/>
      </c>
      <c r="L32" s="9">
        <v>0.0</v>
      </c>
      <c r="M32" s="9" t="s">
        <v>57</v>
      </c>
      <c r="N32" s="9" t="s">
        <v>284</v>
      </c>
      <c r="O32" s="9" t="s">
        <v>221</v>
      </c>
      <c r="P32" s="9" t="s">
        <v>60</v>
      </c>
      <c r="Q32" s="9" t="s">
        <v>63</v>
      </c>
      <c r="R32" s="9" t="s">
        <v>63</v>
      </c>
      <c r="S32" s="9" t="s">
        <v>64</v>
      </c>
      <c r="T32" t="str">
        <f t="shared" si="3"/>
        <v>N</v>
      </c>
      <c r="U32" s="9" t="s">
        <v>69</v>
      </c>
      <c r="V32" t="s">
        <v>285</v>
      </c>
      <c r="W32" s="12" t="str">
        <f t="array" ref="W32">if(and(L32=0,Q32="NA"),"NA",if(L32=0,"no lice",if(Q32="NA","no collection",index(sea_lice!G:G,match(C32,sea_lice!A:A,0)))))</f>
        <v>NA</v>
      </c>
      <c r="X32" s="23">
        <v>31.0</v>
      </c>
    </row>
    <row r="33">
      <c r="A33" s="9" t="s">
        <v>288</v>
      </c>
      <c r="B33" s="6">
        <v>5132.0</v>
      </c>
      <c r="C33" s="12" t="str">
        <f t="shared" si="1"/>
        <v>U5132</v>
      </c>
      <c r="D33" s="13" t="s">
        <v>282</v>
      </c>
      <c r="E33" s="14">
        <v>43364.0</v>
      </c>
      <c r="F33" s="9" t="s">
        <v>53</v>
      </c>
      <c r="G33" s="9" t="s">
        <v>54</v>
      </c>
      <c r="H33" s="9">
        <v>12.1</v>
      </c>
      <c r="I33" s="13">
        <v>104.0</v>
      </c>
      <c r="J33" s="13">
        <v>109.0</v>
      </c>
      <c r="K33" s="17">
        <f t="shared" si="2"/>
        <v>0.9343420109</v>
      </c>
      <c r="L33" s="9">
        <v>0.0</v>
      </c>
      <c r="M33" s="9" t="s">
        <v>57</v>
      </c>
      <c r="O33" s="9" t="s">
        <v>221</v>
      </c>
      <c r="P33" s="9" t="s">
        <v>60</v>
      </c>
      <c r="Q33" s="9" t="s">
        <v>63</v>
      </c>
      <c r="R33" s="9" t="s">
        <v>63</v>
      </c>
      <c r="S33" s="9" t="s">
        <v>64</v>
      </c>
      <c r="T33" t="str">
        <f t="shared" si="3"/>
        <v>N</v>
      </c>
      <c r="W33" s="12" t="str">
        <f t="array" ref="W33">if(and(L33=0,Q33="NA"),"NA",if(L33=0,"no lice",if(Q33="NA","no collection",index(sea_lice!G:G,match(C33,sea_lice!A:A,0)))))</f>
        <v>NA</v>
      </c>
      <c r="X33" s="23">
        <v>32.0</v>
      </c>
    </row>
    <row r="34">
      <c r="A34" s="9" t="s">
        <v>293</v>
      </c>
      <c r="B34" s="6">
        <v>5133.0</v>
      </c>
      <c r="C34" s="12" t="str">
        <f t="shared" si="1"/>
        <v>U5133</v>
      </c>
      <c r="D34" s="13" t="s">
        <v>282</v>
      </c>
      <c r="E34" s="14">
        <v>43364.0</v>
      </c>
      <c r="F34" s="9" t="s">
        <v>53</v>
      </c>
      <c r="G34" s="9" t="s">
        <v>54</v>
      </c>
      <c r="H34" s="9">
        <v>9.3</v>
      </c>
      <c r="I34" s="13">
        <v>92.0</v>
      </c>
      <c r="J34" s="13">
        <v>97.0</v>
      </c>
      <c r="K34" s="17">
        <f t="shared" si="2"/>
        <v>1.018984894</v>
      </c>
      <c r="L34" s="9">
        <v>0.0</v>
      </c>
      <c r="M34" s="9" t="s">
        <v>57</v>
      </c>
      <c r="O34" s="9" t="s">
        <v>221</v>
      </c>
      <c r="P34" s="9" t="s">
        <v>60</v>
      </c>
      <c r="Q34" s="9" t="s">
        <v>63</v>
      </c>
      <c r="R34" s="9" t="s">
        <v>63</v>
      </c>
      <c r="S34" s="9" t="s">
        <v>64</v>
      </c>
      <c r="T34" t="str">
        <f t="shared" si="3"/>
        <v>N</v>
      </c>
      <c r="W34" s="12" t="str">
        <f t="array" ref="W34">if(and(L34=0,Q34="NA"),"NA",if(L34=0,"no lice",if(Q34="NA","no collection",index(sea_lice!G:G,match(C34,sea_lice!A:A,0)))))</f>
        <v>NA</v>
      </c>
      <c r="X34" s="23">
        <v>33.0</v>
      </c>
    </row>
    <row r="35">
      <c r="A35" s="9" t="s">
        <v>296</v>
      </c>
      <c r="B35" s="6">
        <v>5134.0</v>
      </c>
      <c r="C35" s="12" t="str">
        <f t="shared" si="1"/>
        <v>U5134</v>
      </c>
      <c r="D35" s="13" t="s">
        <v>282</v>
      </c>
      <c r="E35" s="14">
        <v>43367.0</v>
      </c>
      <c r="F35" s="9" t="s">
        <v>53</v>
      </c>
      <c r="G35" s="9" t="s">
        <v>54</v>
      </c>
      <c r="H35" s="9">
        <v>9.0</v>
      </c>
      <c r="I35" s="13">
        <v>89.0</v>
      </c>
      <c r="J35" s="13">
        <v>94.0</v>
      </c>
      <c r="K35" s="17">
        <f t="shared" si="2"/>
        <v>1.08357493</v>
      </c>
      <c r="L35" s="9">
        <v>0.0</v>
      </c>
      <c r="M35" s="9" t="s">
        <v>57</v>
      </c>
      <c r="O35" s="9" t="s">
        <v>221</v>
      </c>
      <c r="P35" s="9" t="s">
        <v>60</v>
      </c>
      <c r="Q35" s="9" t="s">
        <v>63</v>
      </c>
      <c r="R35" s="9" t="s">
        <v>63</v>
      </c>
      <c r="S35" s="9" t="s">
        <v>64</v>
      </c>
      <c r="T35" t="str">
        <f t="shared" si="3"/>
        <v>N</v>
      </c>
      <c r="W35" s="12" t="str">
        <f t="array" ref="W35">if(and(L35=0,Q35="NA"),"NA",if(L35=0,"no lice",if(Q35="NA","no collection",index(sea_lice!G:G,match(C35,sea_lice!A:A,0)))))</f>
        <v>NA</v>
      </c>
      <c r="X35" s="23">
        <v>34.0</v>
      </c>
    </row>
    <row r="36">
      <c r="A36" s="9" t="s">
        <v>300</v>
      </c>
      <c r="B36" s="6">
        <v>5135.0</v>
      </c>
      <c r="C36" s="12" t="str">
        <f t="shared" si="1"/>
        <v>U5135</v>
      </c>
      <c r="D36" s="13" t="s">
        <v>282</v>
      </c>
      <c r="E36" s="14">
        <v>43367.0</v>
      </c>
      <c r="F36" s="9" t="s">
        <v>53</v>
      </c>
      <c r="G36" s="9" t="s">
        <v>54</v>
      </c>
      <c r="H36" s="9">
        <v>12.0</v>
      </c>
      <c r="I36" s="13">
        <v>106.0</v>
      </c>
      <c r="J36" s="13">
        <v>111.0</v>
      </c>
      <c r="K36" s="17">
        <f t="shared" si="2"/>
        <v>0.8774296576</v>
      </c>
      <c r="L36" s="9">
        <v>0.0</v>
      </c>
      <c r="M36" s="9" t="s">
        <v>57</v>
      </c>
      <c r="O36" s="9" t="s">
        <v>221</v>
      </c>
      <c r="P36" s="9" t="s">
        <v>60</v>
      </c>
      <c r="Q36" s="9" t="s">
        <v>63</v>
      </c>
      <c r="R36" s="9" t="s">
        <v>63</v>
      </c>
      <c r="S36" s="9" t="s">
        <v>64</v>
      </c>
      <c r="T36" t="str">
        <f t="shared" si="3"/>
        <v>N</v>
      </c>
      <c r="W36" s="12" t="str">
        <f t="array" ref="W36">if(and(L36=0,Q36="NA"),"NA",if(L36=0,"no lice",if(Q36="NA","no collection",index(sea_lice!G:G,match(C36,sea_lice!A:A,0)))))</f>
        <v>NA</v>
      </c>
      <c r="X36" s="23">
        <v>35.0</v>
      </c>
    </row>
    <row r="37">
      <c r="A37" s="9" t="s">
        <v>303</v>
      </c>
      <c r="B37" s="6">
        <v>5136.0</v>
      </c>
      <c r="C37" s="12" t="str">
        <f t="shared" si="1"/>
        <v>U5136</v>
      </c>
      <c r="D37" s="13" t="s">
        <v>282</v>
      </c>
      <c r="E37" s="14">
        <v>43367.0</v>
      </c>
      <c r="F37" s="9" t="s">
        <v>53</v>
      </c>
      <c r="G37" s="9" t="s">
        <v>54</v>
      </c>
      <c r="H37" s="9">
        <v>13.5</v>
      </c>
      <c r="I37" s="13">
        <v>104.0</v>
      </c>
      <c r="J37" s="13">
        <v>109.0</v>
      </c>
      <c r="K37" s="17">
        <f t="shared" si="2"/>
        <v>1.042447698</v>
      </c>
      <c r="L37" s="9">
        <v>0.0</v>
      </c>
      <c r="M37" s="9" t="s">
        <v>57</v>
      </c>
      <c r="O37" s="9" t="s">
        <v>221</v>
      </c>
      <c r="P37" s="9" t="s">
        <v>60</v>
      </c>
      <c r="Q37" s="9" t="s">
        <v>63</v>
      </c>
      <c r="R37" s="9" t="s">
        <v>63</v>
      </c>
      <c r="S37" s="9" t="s">
        <v>64</v>
      </c>
      <c r="T37" t="str">
        <f t="shared" si="3"/>
        <v>N</v>
      </c>
      <c r="W37" s="12" t="str">
        <f t="array" ref="W37">if(and(L37=0,Q37="NA"),"NA",if(L37=0,"no lice",if(Q37="NA","no collection",index(sea_lice!G:G,match(C37,sea_lice!A:A,0)))))</f>
        <v>NA</v>
      </c>
      <c r="X37" s="23">
        <v>36.0</v>
      </c>
    </row>
    <row r="38">
      <c r="A38" s="9" t="s">
        <v>308</v>
      </c>
      <c r="B38" s="6">
        <v>5137.0</v>
      </c>
      <c r="C38" s="12" t="str">
        <f t="shared" si="1"/>
        <v>U5137</v>
      </c>
      <c r="D38" s="13" t="s">
        <v>282</v>
      </c>
      <c r="E38" s="14">
        <v>43367.0</v>
      </c>
      <c r="F38" s="9" t="s">
        <v>53</v>
      </c>
      <c r="G38" s="9" t="s">
        <v>54</v>
      </c>
      <c r="H38" s="9">
        <v>12.7</v>
      </c>
      <c r="I38" s="13">
        <v>99.0</v>
      </c>
      <c r="J38" s="13">
        <v>105.0</v>
      </c>
      <c r="K38" s="17">
        <f t="shared" si="2"/>
        <v>1.09707375</v>
      </c>
      <c r="L38" s="9">
        <v>0.0</v>
      </c>
      <c r="M38" s="9" t="s">
        <v>57</v>
      </c>
      <c r="O38" s="9" t="s">
        <v>221</v>
      </c>
      <c r="P38" s="9" t="s">
        <v>60</v>
      </c>
      <c r="Q38" s="9" t="s">
        <v>63</v>
      </c>
      <c r="R38" s="9" t="s">
        <v>63</v>
      </c>
      <c r="S38" s="9" t="s">
        <v>64</v>
      </c>
      <c r="T38" t="str">
        <f t="shared" si="3"/>
        <v>N</v>
      </c>
      <c r="W38" s="12" t="str">
        <f t="array" ref="W38">if(and(L38=0,Q38="NA"),"NA",if(L38=0,"no lice",if(Q38="NA","no collection",index(sea_lice!G:G,match(C38,sea_lice!A:A,0)))))</f>
        <v>NA</v>
      </c>
      <c r="X38" s="23">
        <v>37.0</v>
      </c>
    </row>
    <row r="39">
      <c r="A39" s="9" t="s">
        <v>311</v>
      </c>
      <c r="B39" s="6">
        <v>5138.0</v>
      </c>
      <c r="C39" s="12" t="str">
        <f t="shared" si="1"/>
        <v>U5138</v>
      </c>
      <c r="D39" s="13" t="s">
        <v>282</v>
      </c>
      <c r="E39" s="14">
        <v>43367.0</v>
      </c>
      <c r="F39" s="9" t="s">
        <v>53</v>
      </c>
      <c r="G39" s="9" t="s">
        <v>54</v>
      </c>
      <c r="H39" s="9">
        <v>8.9</v>
      </c>
      <c r="I39" s="13">
        <v>91.0</v>
      </c>
      <c r="J39" s="13" t="s">
        <v>63</v>
      </c>
      <c r="K39" s="17" t="str">
        <f t="shared" si="2"/>
        <v/>
      </c>
      <c r="L39" s="9">
        <v>0.0</v>
      </c>
      <c r="M39" s="9" t="s">
        <v>57</v>
      </c>
      <c r="O39" s="9" t="s">
        <v>221</v>
      </c>
      <c r="P39" s="9" t="s">
        <v>60</v>
      </c>
      <c r="Q39" s="9" t="s">
        <v>63</v>
      </c>
      <c r="R39" s="9" t="s">
        <v>63</v>
      </c>
      <c r="S39" s="9" t="s">
        <v>64</v>
      </c>
      <c r="T39" t="str">
        <f t="shared" si="3"/>
        <v>N</v>
      </c>
      <c r="W39" s="12" t="str">
        <f t="array" ref="W39">if(and(L39=0,Q39="NA"),"NA",if(L39=0,"no lice",if(Q39="NA","no collection",index(sea_lice!G:G,match(C39,sea_lice!A:A,0)))))</f>
        <v>NA</v>
      </c>
      <c r="X39" s="23">
        <v>38.0</v>
      </c>
    </row>
    <row r="40">
      <c r="A40" s="9" t="s">
        <v>315</v>
      </c>
      <c r="B40" s="6">
        <v>5139.0</v>
      </c>
      <c r="C40" s="12" t="str">
        <f t="shared" si="1"/>
        <v>U5139</v>
      </c>
      <c r="D40" s="13" t="s">
        <v>282</v>
      </c>
      <c r="E40" s="14">
        <v>43367.0</v>
      </c>
      <c r="F40" s="9" t="s">
        <v>53</v>
      </c>
      <c r="G40" s="9" t="s">
        <v>54</v>
      </c>
      <c r="H40" s="9">
        <v>13.7</v>
      </c>
      <c r="I40" s="13">
        <v>105.0</v>
      </c>
      <c r="J40" s="13">
        <v>110.0</v>
      </c>
      <c r="K40" s="17">
        <f t="shared" si="2"/>
        <v>1.029301277</v>
      </c>
      <c r="L40" s="9">
        <v>0.0</v>
      </c>
      <c r="M40" s="9" t="s">
        <v>57</v>
      </c>
      <c r="O40" s="9" t="s">
        <v>221</v>
      </c>
      <c r="P40" s="9" t="s">
        <v>60</v>
      </c>
      <c r="Q40" s="9" t="s">
        <v>63</v>
      </c>
      <c r="R40" s="9" t="s">
        <v>63</v>
      </c>
      <c r="S40" s="9" t="s">
        <v>64</v>
      </c>
      <c r="T40" t="str">
        <f t="shared" si="3"/>
        <v>N</v>
      </c>
      <c r="W40" s="12" t="str">
        <f t="array" ref="W40">if(and(L40=0,Q40="NA"),"NA",if(L40=0,"no lice",if(Q40="NA","no collection",index(sea_lice!G:G,match(C40,sea_lice!A:A,0)))))</f>
        <v>NA</v>
      </c>
      <c r="X40" s="23">
        <v>39.0</v>
      </c>
    </row>
    <row r="41">
      <c r="A41" s="9" t="s">
        <v>319</v>
      </c>
      <c r="B41" s="6">
        <v>5140.0</v>
      </c>
      <c r="C41" s="12" t="str">
        <f t="shared" si="1"/>
        <v>U5140</v>
      </c>
      <c r="D41" s="13" t="s">
        <v>282</v>
      </c>
      <c r="E41" s="14">
        <v>43367.0</v>
      </c>
      <c r="F41" s="9" t="s">
        <v>53</v>
      </c>
      <c r="G41" s="9" t="s">
        <v>54</v>
      </c>
      <c r="H41" s="9" t="s">
        <v>63</v>
      </c>
      <c r="I41" s="13">
        <v>101.0</v>
      </c>
      <c r="J41" s="13" t="s">
        <v>63</v>
      </c>
      <c r="K41" s="17" t="str">
        <f t="shared" si="2"/>
        <v/>
      </c>
      <c r="L41" s="9">
        <v>0.0</v>
      </c>
      <c r="M41" s="9" t="s">
        <v>321</v>
      </c>
      <c r="O41" s="9" t="s">
        <v>221</v>
      </c>
      <c r="P41" s="9" t="s">
        <v>60</v>
      </c>
      <c r="Q41" s="9" t="s">
        <v>63</v>
      </c>
      <c r="R41" s="9" t="s">
        <v>63</v>
      </c>
      <c r="S41" s="9" t="s">
        <v>64</v>
      </c>
      <c r="T41" t="str">
        <f t="shared" si="3"/>
        <v>N</v>
      </c>
      <c r="W41" s="12" t="str">
        <f t="array" ref="W41">if(and(L41=0,Q41="NA"),"NA",if(L41=0,"no lice",if(Q41="NA","no collection",index(sea_lice!G:G,match(C41,sea_lice!A:A,0)))))</f>
        <v>NA</v>
      </c>
      <c r="X41" s="23">
        <v>40.0</v>
      </c>
    </row>
    <row r="42">
      <c r="A42" s="9" t="s">
        <v>323</v>
      </c>
      <c r="B42" s="6">
        <v>5141.0</v>
      </c>
      <c r="C42" s="12" t="str">
        <f t="shared" si="1"/>
        <v>U5141</v>
      </c>
      <c r="D42" s="13" t="s">
        <v>324</v>
      </c>
      <c r="E42" s="14">
        <v>43367.0</v>
      </c>
      <c r="F42" s="9" t="s">
        <v>53</v>
      </c>
      <c r="G42" s="9" t="s">
        <v>54</v>
      </c>
      <c r="H42" s="9">
        <v>11.8</v>
      </c>
      <c r="I42" s="13">
        <v>105.0</v>
      </c>
      <c r="J42" s="13">
        <v>110.0</v>
      </c>
      <c r="K42" s="17">
        <f t="shared" si="2"/>
        <v>0.8865514651</v>
      </c>
      <c r="L42" s="9">
        <v>0.0</v>
      </c>
      <c r="M42" s="9" t="s">
        <v>57</v>
      </c>
      <c r="O42" s="9" t="s">
        <v>221</v>
      </c>
      <c r="P42" s="9" t="s">
        <v>60</v>
      </c>
      <c r="Q42" s="9" t="s">
        <v>63</v>
      </c>
      <c r="R42" s="9" t="s">
        <v>63</v>
      </c>
      <c r="S42" s="9" t="s">
        <v>64</v>
      </c>
      <c r="T42" t="str">
        <f t="shared" si="3"/>
        <v>N</v>
      </c>
      <c r="W42" s="12" t="str">
        <f t="array" ref="W42">if(and(L42=0,Q42="NA"),"NA",if(L42=0,"no lice",if(Q42="NA","no collection",index(sea_lice!G:G,match(C42,sea_lice!A:A,0)))))</f>
        <v>NA</v>
      </c>
      <c r="X42" s="23">
        <v>41.0</v>
      </c>
    </row>
    <row r="43">
      <c r="A43" s="9" t="s">
        <v>326</v>
      </c>
      <c r="B43" s="6">
        <v>5142.0</v>
      </c>
      <c r="C43" s="12" t="str">
        <f t="shared" si="1"/>
        <v>U5142</v>
      </c>
      <c r="D43" s="13" t="s">
        <v>324</v>
      </c>
      <c r="E43" s="14">
        <v>43367.0</v>
      </c>
      <c r="F43" s="9" t="s">
        <v>53</v>
      </c>
      <c r="G43" s="9" t="s">
        <v>54</v>
      </c>
      <c r="H43" s="9">
        <v>7.9</v>
      </c>
      <c r="I43" s="13">
        <v>88.0</v>
      </c>
      <c r="J43" s="13" t="s">
        <v>63</v>
      </c>
      <c r="K43" s="17" t="str">
        <f t="shared" si="2"/>
        <v/>
      </c>
      <c r="L43" s="9">
        <v>1.0</v>
      </c>
      <c r="M43" s="9" t="s">
        <v>57</v>
      </c>
      <c r="O43" s="9" t="s">
        <v>221</v>
      </c>
      <c r="P43" s="9" t="s">
        <v>60</v>
      </c>
      <c r="Q43" s="9" t="s">
        <v>63</v>
      </c>
      <c r="R43" s="9" t="s">
        <v>63</v>
      </c>
      <c r="S43" s="9" t="s">
        <v>64</v>
      </c>
      <c r="T43" t="str">
        <f t="shared" si="3"/>
        <v>N</v>
      </c>
      <c r="W43" s="12" t="str">
        <f t="array" ref="W43">if(and(L43=0,Q43="NA"),"NA",if(L43=0,"no lice",if(Q43="NA","no collection",index(sea_lice!G:G,match(C43,sea_lice!A:A,0)))))</f>
        <v>no collection</v>
      </c>
      <c r="X43" s="23">
        <v>42.0</v>
      </c>
    </row>
    <row r="44">
      <c r="A44" s="9" t="s">
        <v>329</v>
      </c>
      <c r="B44" s="6">
        <v>5143.0</v>
      </c>
      <c r="C44" s="12" t="str">
        <f t="shared" si="1"/>
        <v>U5143</v>
      </c>
      <c r="D44" s="13" t="s">
        <v>324</v>
      </c>
      <c r="E44" s="14">
        <v>43367.0</v>
      </c>
      <c r="F44" s="9" t="s">
        <v>53</v>
      </c>
      <c r="G44" s="9" t="s">
        <v>54</v>
      </c>
      <c r="H44" s="9">
        <v>7.1</v>
      </c>
      <c r="I44" s="13">
        <v>88.0</v>
      </c>
      <c r="J44" s="13" t="s">
        <v>63</v>
      </c>
      <c r="K44" s="17" t="str">
        <f t="shared" si="2"/>
        <v/>
      </c>
      <c r="L44" s="9">
        <v>1.0</v>
      </c>
      <c r="M44" s="9" t="s">
        <v>57</v>
      </c>
      <c r="O44" s="9" t="s">
        <v>221</v>
      </c>
      <c r="P44" s="9" t="s">
        <v>60</v>
      </c>
      <c r="Q44" s="9" t="s">
        <v>63</v>
      </c>
      <c r="R44" s="9" t="s">
        <v>63</v>
      </c>
      <c r="S44" s="9" t="s">
        <v>64</v>
      </c>
      <c r="T44" t="str">
        <f t="shared" si="3"/>
        <v>N</v>
      </c>
      <c r="W44" s="12" t="str">
        <f t="array" ref="W44">if(and(L44=0,Q44="NA"),"NA",if(L44=0,"no lice",if(Q44="NA","no collection",index(sea_lice!G:G,match(C44,sea_lice!A:A,0)))))</f>
        <v>no collection</v>
      </c>
      <c r="X44" s="23">
        <v>43.0</v>
      </c>
    </row>
    <row r="45">
      <c r="A45" s="9" t="s">
        <v>333</v>
      </c>
      <c r="B45" s="6">
        <v>5144.0</v>
      </c>
      <c r="C45" s="12" t="str">
        <f t="shared" si="1"/>
        <v>U5144</v>
      </c>
      <c r="D45" s="13" t="s">
        <v>324</v>
      </c>
      <c r="E45" s="14">
        <v>43370.0</v>
      </c>
      <c r="F45" s="9" t="s">
        <v>53</v>
      </c>
      <c r="G45" s="9" t="s">
        <v>54</v>
      </c>
      <c r="H45" s="9">
        <v>7.3</v>
      </c>
      <c r="I45" s="13">
        <v>86.0</v>
      </c>
      <c r="J45" s="13">
        <v>91.0</v>
      </c>
      <c r="K45" s="17">
        <f t="shared" si="2"/>
        <v>0.9687209301</v>
      </c>
      <c r="L45" s="9">
        <v>0.0</v>
      </c>
      <c r="M45" s="9" t="s">
        <v>57</v>
      </c>
      <c r="O45" s="9" t="s">
        <v>221</v>
      </c>
      <c r="P45" s="9" t="s">
        <v>60</v>
      </c>
      <c r="Q45" s="9" t="s">
        <v>63</v>
      </c>
      <c r="R45" s="9" t="s">
        <v>63</v>
      </c>
      <c r="S45" s="9" t="s">
        <v>64</v>
      </c>
      <c r="T45" t="str">
        <f t="shared" si="3"/>
        <v>N</v>
      </c>
      <c r="W45" s="12" t="str">
        <f t="array" ref="W45">if(and(L45=0,Q45="NA"),"NA",if(L45=0,"no lice",if(Q45="NA","no collection",index(sea_lice!G:G,match(C45,sea_lice!A:A,0)))))</f>
        <v>NA</v>
      </c>
      <c r="X45" s="23">
        <v>44.0</v>
      </c>
    </row>
    <row r="46">
      <c r="A46" s="9" t="s">
        <v>346</v>
      </c>
      <c r="B46" s="6">
        <v>5145.0</v>
      </c>
      <c r="C46" s="12" t="str">
        <f t="shared" si="1"/>
        <v>U5145</v>
      </c>
      <c r="D46" s="13" t="s">
        <v>324</v>
      </c>
      <c r="E46" s="14">
        <v>43370.0</v>
      </c>
      <c r="F46" s="9" t="s">
        <v>53</v>
      </c>
      <c r="G46" s="9" t="s">
        <v>268</v>
      </c>
      <c r="H46" s="9">
        <v>6.1</v>
      </c>
      <c r="I46" s="13">
        <v>82.0</v>
      </c>
      <c r="J46" s="13">
        <v>86.0</v>
      </c>
      <c r="K46" s="17">
        <f t="shared" si="2"/>
        <v>0.9590350535</v>
      </c>
      <c r="L46" s="9">
        <v>1.0</v>
      </c>
      <c r="M46" s="9" t="s">
        <v>57</v>
      </c>
      <c r="O46" s="9" t="s">
        <v>221</v>
      </c>
      <c r="P46" s="9" t="s">
        <v>60</v>
      </c>
      <c r="Q46" s="9" t="s">
        <v>63</v>
      </c>
      <c r="R46" s="9" t="s">
        <v>63</v>
      </c>
      <c r="S46" s="9" t="s">
        <v>64</v>
      </c>
      <c r="T46" t="str">
        <f t="shared" si="3"/>
        <v>N</v>
      </c>
      <c r="W46" s="12" t="str">
        <f t="array" ref="W46">if(and(L46=0,Q46="NA"),"NA",if(L46=0,"no lice",if(Q46="NA","no collection",index(sea_lice!G:G,match(C46,sea_lice!A:A,0)))))</f>
        <v>no collection</v>
      </c>
      <c r="X46" s="23">
        <v>45.0</v>
      </c>
    </row>
    <row r="47">
      <c r="A47" s="9" t="s">
        <v>352</v>
      </c>
      <c r="B47" s="6">
        <v>5146.0</v>
      </c>
      <c r="C47" s="12" t="str">
        <f t="shared" si="1"/>
        <v>U5146</v>
      </c>
      <c r="D47" s="13" t="s">
        <v>324</v>
      </c>
      <c r="E47" s="14">
        <v>43370.0</v>
      </c>
      <c r="F47" s="9" t="s">
        <v>53</v>
      </c>
      <c r="G47" s="9" t="s">
        <v>54</v>
      </c>
      <c r="H47" s="9">
        <v>11.8</v>
      </c>
      <c r="I47" s="13">
        <v>104.0</v>
      </c>
      <c r="J47" s="13">
        <v>110.0</v>
      </c>
      <c r="K47" s="17">
        <f t="shared" si="2"/>
        <v>0.8865514651</v>
      </c>
      <c r="L47" s="9">
        <v>1.0</v>
      </c>
      <c r="M47" s="9" t="s">
        <v>57</v>
      </c>
      <c r="O47" s="9" t="s">
        <v>221</v>
      </c>
      <c r="P47" s="9" t="s">
        <v>60</v>
      </c>
      <c r="Q47" s="9" t="s">
        <v>63</v>
      </c>
      <c r="R47" s="9" t="s">
        <v>63</v>
      </c>
      <c r="S47" s="9" t="s">
        <v>64</v>
      </c>
      <c r="T47" t="str">
        <f t="shared" si="3"/>
        <v>N</v>
      </c>
      <c r="W47" s="12" t="str">
        <f t="array" ref="W47">if(and(L47=0,Q47="NA"),"NA",if(L47=0,"no lice",if(Q47="NA","no collection",index(sea_lice!G:G,match(C47,sea_lice!A:A,0)))))</f>
        <v>no collection</v>
      </c>
      <c r="X47" s="23">
        <v>46.0</v>
      </c>
    </row>
    <row r="48">
      <c r="A48" s="9" t="s">
        <v>358</v>
      </c>
      <c r="B48" s="6">
        <v>5147.0</v>
      </c>
      <c r="C48" s="12" t="str">
        <f t="shared" si="1"/>
        <v>U5147</v>
      </c>
      <c r="D48" s="13" t="s">
        <v>324</v>
      </c>
      <c r="E48" s="14">
        <v>43370.0</v>
      </c>
      <c r="F48" s="9" t="s">
        <v>53</v>
      </c>
      <c r="G48" s="9" t="s">
        <v>54</v>
      </c>
      <c r="H48" s="9">
        <v>6.3</v>
      </c>
      <c r="I48" s="13">
        <v>82.0</v>
      </c>
      <c r="J48" s="13">
        <v>87.0</v>
      </c>
      <c r="K48" s="17">
        <f t="shared" si="2"/>
        <v>0.9567154592</v>
      </c>
      <c r="L48" s="9">
        <v>0.0</v>
      </c>
      <c r="M48" s="9" t="s">
        <v>57</v>
      </c>
      <c r="O48" s="9" t="s">
        <v>221</v>
      </c>
      <c r="P48" s="9" t="s">
        <v>60</v>
      </c>
      <c r="Q48" s="9" t="s">
        <v>63</v>
      </c>
      <c r="R48" s="9" t="s">
        <v>63</v>
      </c>
      <c r="S48" s="9" t="s">
        <v>64</v>
      </c>
      <c r="T48" t="str">
        <f t="shared" si="3"/>
        <v>N</v>
      </c>
      <c r="W48" s="12" t="str">
        <f t="array" ref="W48">if(and(L48=0,Q48="NA"),"NA",if(L48=0,"no lice",if(Q48="NA","no collection",index(sea_lice!G:G,match(C48,sea_lice!A:A,0)))))</f>
        <v>NA</v>
      </c>
      <c r="X48" s="23">
        <v>47.0</v>
      </c>
    </row>
    <row r="49">
      <c r="A49" s="9" t="s">
        <v>363</v>
      </c>
      <c r="B49" s="6">
        <v>5148.0</v>
      </c>
      <c r="C49" s="12" t="str">
        <f t="shared" si="1"/>
        <v>U5148</v>
      </c>
      <c r="D49" s="13" t="s">
        <v>324</v>
      </c>
      <c r="E49" s="14">
        <v>43370.0</v>
      </c>
      <c r="F49" s="9" t="s">
        <v>53</v>
      </c>
      <c r="G49" s="9" t="s">
        <v>54</v>
      </c>
      <c r="H49" s="9">
        <v>4.9</v>
      </c>
      <c r="I49" s="13">
        <v>76.0</v>
      </c>
      <c r="J49" s="13">
        <v>80.0</v>
      </c>
      <c r="K49" s="17">
        <f t="shared" si="2"/>
        <v>0.95703125</v>
      </c>
      <c r="L49" s="9">
        <v>0.0</v>
      </c>
      <c r="M49" s="9" t="s">
        <v>57</v>
      </c>
      <c r="O49" s="9" t="s">
        <v>221</v>
      </c>
      <c r="P49" s="9" t="s">
        <v>60</v>
      </c>
      <c r="Q49" s="9" t="s">
        <v>63</v>
      </c>
      <c r="R49" s="9" t="s">
        <v>63</v>
      </c>
      <c r="S49" s="9" t="s">
        <v>64</v>
      </c>
      <c r="T49" t="str">
        <f t="shared" si="3"/>
        <v>N</v>
      </c>
      <c r="W49" s="12" t="str">
        <f t="array" ref="W49">if(and(L49=0,Q49="NA"),"NA",if(L49=0,"no lice",if(Q49="NA","no collection",index(sea_lice!G:G,match(C49,sea_lice!A:A,0)))))</f>
        <v>NA</v>
      </c>
      <c r="X49" s="23">
        <v>48.0</v>
      </c>
    </row>
    <row r="50">
      <c r="A50" s="9" t="s">
        <v>370</v>
      </c>
      <c r="B50" s="6">
        <v>5149.0</v>
      </c>
      <c r="C50" s="12" t="str">
        <f t="shared" si="1"/>
        <v>U5149</v>
      </c>
      <c r="D50" s="13" t="s">
        <v>324</v>
      </c>
      <c r="E50" s="14">
        <v>43371.0</v>
      </c>
      <c r="F50" s="9" t="s">
        <v>53</v>
      </c>
      <c r="G50" s="9" t="s">
        <v>54</v>
      </c>
      <c r="H50" s="9">
        <v>11.1</v>
      </c>
      <c r="I50" s="13">
        <v>99.0</v>
      </c>
      <c r="J50" s="13">
        <v>104.0</v>
      </c>
      <c r="K50" s="17">
        <f t="shared" si="2"/>
        <v>0.9867859581</v>
      </c>
      <c r="L50" s="9">
        <v>1.0</v>
      </c>
      <c r="M50" s="9" t="s">
        <v>57</v>
      </c>
      <c r="O50" s="9" t="s">
        <v>221</v>
      </c>
      <c r="P50" s="9" t="s">
        <v>60</v>
      </c>
      <c r="Q50" s="9" t="s">
        <v>63</v>
      </c>
      <c r="R50" s="9" t="s">
        <v>63</v>
      </c>
      <c r="S50" s="9" t="s">
        <v>64</v>
      </c>
      <c r="T50" t="str">
        <f t="shared" si="3"/>
        <v>N</v>
      </c>
      <c r="W50" s="12" t="str">
        <f t="array" ref="W50">if(and(L50=0,Q50="NA"),"NA",if(L50=0,"no lice",if(Q50="NA","no collection",index(sea_lice!G:G,match(C50,sea_lice!A:A,0)))))</f>
        <v>no collection</v>
      </c>
      <c r="X50" s="23">
        <v>49.0</v>
      </c>
    </row>
    <row r="51">
      <c r="A51" s="9" t="s">
        <v>376</v>
      </c>
      <c r="B51" s="6">
        <v>5150.0</v>
      </c>
      <c r="C51" s="12" t="str">
        <f t="shared" si="1"/>
        <v>U5150</v>
      </c>
      <c r="D51" s="13" t="s">
        <v>324</v>
      </c>
      <c r="E51" s="14">
        <v>43371.0</v>
      </c>
      <c r="F51" s="9" t="s">
        <v>53</v>
      </c>
      <c r="G51" s="9" t="s">
        <v>54</v>
      </c>
      <c r="H51" s="9">
        <v>5.0</v>
      </c>
      <c r="I51" s="13">
        <v>78.0</v>
      </c>
      <c r="J51" s="13">
        <v>82.0</v>
      </c>
      <c r="K51" s="17">
        <f t="shared" si="2"/>
        <v>0.9068353622</v>
      </c>
      <c r="L51" s="9">
        <v>0.0</v>
      </c>
      <c r="M51" s="9" t="s">
        <v>57</v>
      </c>
      <c r="N51" s="9" t="s">
        <v>378</v>
      </c>
      <c r="O51" s="9" t="s">
        <v>221</v>
      </c>
      <c r="P51" s="9" t="s">
        <v>60</v>
      </c>
      <c r="Q51" s="9" t="s">
        <v>63</v>
      </c>
      <c r="R51" s="9" t="s">
        <v>63</v>
      </c>
      <c r="S51" s="9" t="s">
        <v>64</v>
      </c>
      <c r="T51" t="str">
        <f t="shared" si="3"/>
        <v>N</v>
      </c>
      <c r="W51" s="12" t="str">
        <f t="array" ref="W51">if(and(L51=0,Q51="NA"),"NA",if(L51=0,"no lice",if(Q51="NA","no collection",index(sea_lice!G:G,match(C51,sea_lice!A:A,0)))))</f>
        <v>NA</v>
      </c>
      <c r="X51" s="23">
        <v>50.0</v>
      </c>
    </row>
    <row r="52">
      <c r="A52" s="9" t="s">
        <v>380</v>
      </c>
      <c r="B52" s="6">
        <v>5161.0</v>
      </c>
      <c r="C52" s="12" t="str">
        <f t="shared" si="1"/>
        <v>U5161</v>
      </c>
      <c r="D52" s="13" t="s">
        <v>381</v>
      </c>
      <c r="E52" s="14">
        <v>43371.0</v>
      </c>
      <c r="F52" s="9" t="s">
        <v>53</v>
      </c>
      <c r="G52" s="9" t="s">
        <v>54</v>
      </c>
      <c r="H52" s="9">
        <v>23.6</v>
      </c>
      <c r="I52" s="13">
        <v>132.0</v>
      </c>
      <c r="J52" s="13" t="s">
        <v>63</v>
      </c>
      <c r="K52" s="17" t="str">
        <f t="shared" si="2"/>
        <v/>
      </c>
      <c r="L52" s="9">
        <v>0.0</v>
      </c>
      <c r="M52" s="9" t="s">
        <v>57</v>
      </c>
      <c r="N52" s="9" t="s">
        <v>383</v>
      </c>
      <c r="O52" s="9" t="s">
        <v>221</v>
      </c>
      <c r="P52" s="9" t="s">
        <v>60</v>
      </c>
      <c r="Q52" s="9" t="s">
        <v>63</v>
      </c>
      <c r="R52" s="9" t="s">
        <v>63</v>
      </c>
      <c r="S52" s="9" t="s">
        <v>64</v>
      </c>
      <c r="T52" t="str">
        <f t="shared" si="3"/>
        <v>N</v>
      </c>
      <c r="W52" s="12" t="str">
        <f t="array" ref="W52">if(and(L52=0,Q52="NA"),"NA",if(L52=0,"no lice",if(Q52="NA","no collection",index(sea_lice!G:G,match(C52,sea_lice!A:A,0)))))</f>
        <v>NA</v>
      </c>
      <c r="X52" s="23">
        <v>51.0</v>
      </c>
    </row>
    <row r="53">
      <c r="A53" s="9" t="s">
        <v>386</v>
      </c>
      <c r="B53" s="6">
        <v>5162.0</v>
      </c>
      <c r="C53" s="12" t="str">
        <f t="shared" si="1"/>
        <v>U5162</v>
      </c>
      <c r="D53" s="13" t="s">
        <v>381</v>
      </c>
      <c r="E53" s="14">
        <v>43371.0</v>
      </c>
      <c r="F53" s="9" t="s">
        <v>53</v>
      </c>
      <c r="G53" s="9" t="s">
        <v>54</v>
      </c>
      <c r="H53" s="9">
        <v>6.7</v>
      </c>
      <c r="I53" s="13">
        <v>77.0</v>
      </c>
      <c r="J53" s="13">
        <v>81.0</v>
      </c>
      <c r="K53" s="17">
        <f t="shared" si="2"/>
        <v>1.260723204</v>
      </c>
      <c r="L53" s="9">
        <v>1.0</v>
      </c>
      <c r="M53" s="9" t="s">
        <v>57</v>
      </c>
      <c r="O53" s="9" t="s">
        <v>221</v>
      </c>
      <c r="P53" s="9" t="s">
        <v>60</v>
      </c>
      <c r="Q53" s="9" t="s">
        <v>63</v>
      </c>
      <c r="R53" s="9" t="s">
        <v>63</v>
      </c>
      <c r="S53" s="9" t="s">
        <v>64</v>
      </c>
      <c r="T53" t="str">
        <f t="shared" si="3"/>
        <v>N</v>
      </c>
      <c r="W53" s="12" t="str">
        <f t="array" ref="W53">if(and(L53=0,Q53="NA"),"NA",if(L53=0,"no lice",if(Q53="NA","no collection",index(sea_lice!G:G,match(C53,sea_lice!A:A,0)))))</f>
        <v>no collection</v>
      </c>
      <c r="X53" s="23">
        <v>52.0</v>
      </c>
    </row>
    <row r="54">
      <c r="A54" s="9" t="s">
        <v>388</v>
      </c>
      <c r="B54" s="6">
        <v>5163.0</v>
      </c>
      <c r="C54" s="12" t="str">
        <f t="shared" si="1"/>
        <v>U5163</v>
      </c>
      <c r="D54" s="13" t="s">
        <v>381</v>
      </c>
      <c r="E54" s="14">
        <v>43371.0</v>
      </c>
      <c r="F54" s="9" t="s">
        <v>53</v>
      </c>
      <c r="G54" s="9" t="s">
        <v>54</v>
      </c>
      <c r="H54" s="9">
        <v>18.4</v>
      </c>
      <c r="I54" s="13">
        <v>113.0</v>
      </c>
      <c r="J54" s="13">
        <v>117.0</v>
      </c>
      <c r="K54" s="17">
        <f t="shared" si="2"/>
        <v>1.148841824</v>
      </c>
      <c r="L54" s="9">
        <v>0.0</v>
      </c>
      <c r="M54" s="9" t="s">
        <v>57</v>
      </c>
      <c r="O54" s="9" t="s">
        <v>221</v>
      </c>
      <c r="P54" s="9" t="s">
        <v>60</v>
      </c>
      <c r="Q54" s="9" t="s">
        <v>63</v>
      </c>
      <c r="R54" s="9" t="s">
        <v>63</v>
      </c>
      <c r="S54" s="9" t="s">
        <v>64</v>
      </c>
      <c r="T54" t="str">
        <f t="shared" si="3"/>
        <v>N</v>
      </c>
      <c r="W54" s="12" t="str">
        <f t="array" ref="W54">if(and(L54=0,Q54="NA"),"NA",if(L54=0,"no lice",if(Q54="NA","no collection",index(sea_lice!G:G,match(C54,sea_lice!A:A,0)))))</f>
        <v>NA</v>
      </c>
      <c r="X54" s="23">
        <v>53.0</v>
      </c>
    </row>
    <row r="55">
      <c r="A55" s="9" t="s">
        <v>393</v>
      </c>
      <c r="B55" s="6">
        <v>5164.0</v>
      </c>
      <c r="C55" s="12" t="str">
        <f t="shared" si="1"/>
        <v>U5164</v>
      </c>
      <c r="D55" s="13" t="s">
        <v>381</v>
      </c>
      <c r="E55" s="14">
        <v>43371.0</v>
      </c>
      <c r="F55" s="9" t="s">
        <v>53</v>
      </c>
      <c r="G55" s="9" t="s">
        <v>54</v>
      </c>
      <c r="H55" s="9">
        <v>11.5</v>
      </c>
      <c r="I55" s="13">
        <v>102.0</v>
      </c>
      <c r="J55" s="13">
        <v>107.0</v>
      </c>
      <c r="K55" s="17">
        <f t="shared" si="2"/>
        <v>0.9387425584</v>
      </c>
      <c r="L55" s="9">
        <v>0.0</v>
      </c>
      <c r="M55" s="9" t="s">
        <v>57</v>
      </c>
      <c r="O55" s="9" t="s">
        <v>221</v>
      </c>
      <c r="P55" s="9" t="s">
        <v>60</v>
      </c>
      <c r="Q55" s="9" t="s">
        <v>63</v>
      </c>
      <c r="R55" s="9" t="s">
        <v>63</v>
      </c>
      <c r="S55" s="9" t="s">
        <v>64</v>
      </c>
      <c r="T55" t="str">
        <f t="shared" si="3"/>
        <v>N</v>
      </c>
      <c r="W55" s="12" t="str">
        <f t="array" ref="W55">if(and(L55=0,Q55="NA"),"NA",if(L55=0,"no lice",if(Q55="NA","no collection",index(sea_lice!G:G,match(C55,sea_lice!A:A,0)))))</f>
        <v>NA</v>
      </c>
      <c r="X55" s="23">
        <v>54.0</v>
      </c>
    </row>
    <row r="56">
      <c r="A56" s="9" t="s">
        <v>398</v>
      </c>
      <c r="B56" s="6">
        <v>5165.0</v>
      </c>
      <c r="C56" s="12" t="str">
        <f t="shared" si="1"/>
        <v>U5165</v>
      </c>
      <c r="D56" s="13" t="s">
        <v>381</v>
      </c>
      <c r="E56" s="14">
        <v>43371.0</v>
      </c>
      <c r="F56" s="9" t="s">
        <v>53</v>
      </c>
      <c r="G56" s="9" t="s">
        <v>54</v>
      </c>
      <c r="H56" s="9">
        <v>8.7</v>
      </c>
      <c r="I56" s="13">
        <v>97.0</v>
      </c>
      <c r="J56" s="13">
        <v>101.0</v>
      </c>
      <c r="K56" s="17">
        <f t="shared" si="2"/>
        <v>0.8444134287</v>
      </c>
      <c r="L56" s="9">
        <v>0.0</v>
      </c>
      <c r="M56" s="9" t="s">
        <v>57</v>
      </c>
      <c r="O56" s="9" t="s">
        <v>221</v>
      </c>
      <c r="P56" s="9" t="s">
        <v>60</v>
      </c>
      <c r="Q56" s="9" t="s">
        <v>63</v>
      </c>
      <c r="R56" s="9" t="s">
        <v>63</v>
      </c>
      <c r="S56" s="9" t="s">
        <v>64</v>
      </c>
      <c r="T56" t="str">
        <f t="shared" si="3"/>
        <v>N</v>
      </c>
      <c r="W56" s="12" t="str">
        <f t="array" ref="W56">if(and(L56=0,Q56="NA"),"NA",if(L56=0,"no lice",if(Q56="NA","no collection",index(sea_lice!G:G,match(C56,sea_lice!A:A,0)))))</f>
        <v>NA</v>
      </c>
      <c r="X56" s="23">
        <v>55.0</v>
      </c>
    </row>
    <row r="57">
      <c r="A57" s="9" t="s">
        <v>403</v>
      </c>
      <c r="B57" s="6">
        <v>5166.0</v>
      </c>
      <c r="C57" s="12" t="str">
        <f t="shared" si="1"/>
        <v>U5166</v>
      </c>
      <c r="D57" s="13" t="s">
        <v>381</v>
      </c>
      <c r="E57" s="14">
        <v>43371.0</v>
      </c>
      <c r="F57" s="9" t="s">
        <v>53</v>
      </c>
      <c r="G57" s="9" t="s">
        <v>54</v>
      </c>
      <c r="H57" s="9">
        <v>10.9</v>
      </c>
      <c r="I57" s="13">
        <v>101.0</v>
      </c>
      <c r="J57" s="13">
        <v>106.0</v>
      </c>
      <c r="K57" s="17">
        <f t="shared" si="2"/>
        <v>0.9151850185</v>
      </c>
      <c r="L57" s="9">
        <v>0.0</v>
      </c>
      <c r="M57" s="9" t="s">
        <v>57</v>
      </c>
      <c r="O57" s="9" t="s">
        <v>221</v>
      </c>
      <c r="P57" s="9" t="s">
        <v>60</v>
      </c>
      <c r="Q57" s="9" t="s">
        <v>63</v>
      </c>
      <c r="R57" s="9" t="s">
        <v>63</v>
      </c>
      <c r="S57" s="9" t="s">
        <v>64</v>
      </c>
      <c r="T57" t="str">
        <f t="shared" si="3"/>
        <v>N</v>
      </c>
      <c r="W57" s="12" t="str">
        <f t="array" ref="W57">if(and(L57=0,Q57="NA"),"NA",if(L57=0,"no lice",if(Q57="NA","no collection",index(sea_lice!G:G,match(C57,sea_lice!A:A,0)))))</f>
        <v>NA</v>
      </c>
      <c r="X57" s="23">
        <v>56.0</v>
      </c>
    </row>
    <row r="58">
      <c r="A58" s="9" t="s">
        <v>407</v>
      </c>
      <c r="B58" s="6">
        <v>5167.0</v>
      </c>
      <c r="C58" s="12" t="str">
        <f t="shared" si="1"/>
        <v>U5167</v>
      </c>
      <c r="D58" s="13" t="s">
        <v>381</v>
      </c>
      <c r="E58" s="14">
        <v>43371.0</v>
      </c>
      <c r="F58" s="9" t="s">
        <v>53</v>
      </c>
      <c r="G58" s="9" t="s">
        <v>54</v>
      </c>
      <c r="H58" s="9">
        <v>7.2</v>
      </c>
      <c r="I58" s="13">
        <v>85.0</v>
      </c>
      <c r="J58" s="13">
        <v>89.0</v>
      </c>
      <c r="K58" s="17">
        <f t="shared" si="2"/>
        <v>1.021321505</v>
      </c>
      <c r="L58" s="9">
        <v>0.0</v>
      </c>
      <c r="M58" s="9" t="s">
        <v>57</v>
      </c>
      <c r="O58" s="9" t="s">
        <v>221</v>
      </c>
      <c r="P58" s="9" t="s">
        <v>60</v>
      </c>
      <c r="Q58" s="9" t="s">
        <v>63</v>
      </c>
      <c r="R58" s="9" t="s">
        <v>63</v>
      </c>
      <c r="S58" s="9" t="s">
        <v>64</v>
      </c>
      <c r="T58" t="str">
        <f t="shared" si="3"/>
        <v>N</v>
      </c>
      <c r="W58" s="12" t="str">
        <f t="array" ref="W58">if(and(L58=0,Q58="NA"),"NA",if(L58=0,"no lice",if(Q58="NA","no collection",index(sea_lice!G:G,match(C58,sea_lice!A:A,0)))))</f>
        <v>NA</v>
      </c>
      <c r="X58" s="23">
        <v>57.0</v>
      </c>
    </row>
    <row r="59">
      <c r="A59" s="9" t="s">
        <v>411</v>
      </c>
      <c r="B59" s="6">
        <v>5168.0</v>
      </c>
      <c r="C59" s="12" t="str">
        <f t="shared" si="1"/>
        <v>U5168</v>
      </c>
      <c r="D59" s="13" t="s">
        <v>381</v>
      </c>
      <c r="E59" s="14">
        <v>43371.0</v>
      </c>
      <c r="F59" s="9" t="s">
        <v>53</v>
      </c>
      <c r="G59" s="9" t="s">
        <v>54</v>
      </c>
      <c r="H59" s="9">
        <v>8.1</v>
      </c>
      <c r="I59" s="13">
        <v>89.0</v>
      </c>
      <c r="J59" s="13">
        <v>93.0</v>
      </c>
      <c r="K59" s="17">
        <f t="shared" si="2"/>
        <v>1.007015542</v>
      </c>
      <c r="L59" s="9">
        <v>0.0</v>
      </c>
      <c r="M59" s="9" t="s">
        <v>57</v>
      </c>
      <c r="O59" s="9" t="s">
        <v>221</v>
      </c>
      <c r="P59" s="9" t="s">
        <v>60</v>
      </c>
      <c r="Q59" s="9" t="s">
        <v>63</v>
      </c>
      <c r="R59" s="9" t="s">
        <v>63</v>
      </c>
      <c r="S59" s="9" t="s">
        <v>64</v>
      </c>
      <c r="T59" t="str">
        <f t="shared" si="3"/>
        <v>N</v>
      </c>
      <c r="W59" s="12" t="str">
        <f t="array" ref="W59">if(and(L59=0,Q59="NA"),"NA",if(L59=0,"no lice",if(Q59="NA","no collection",index(sea_lice!G:G,match(C59,sea_lice!A:A,0)))))</f>
        <v>NA</v>
      </c>
      <c r="X59" s="23">
        <v>58.0</v>
      </c>
    </row>
    <row r="60">
      <c r="A60" s="9" t="s">
        <v>414</v>
      </c>
      <c r="B60" s="6">
        <v>5169.0</v>
      </c>
      <c r="C60" s="12" t="str">
        <f t="shared" si="1"/>
        <v>U5169</v>
      </c>
      <c r="D60" s="13" t="s">
        <v>381</v>
      </c>
      <c r="E60" s="14">
        <v>43371.0</v>
      </c>
      <c r="F60" s="9" t="s">
        <v>53</v>
      </c>
      <c r="G60" s="9" t="s">
        <v>54</v>
      </c>
      <c r="H60" s="9">
        <v>8.6</v>
      </c>
      <c r="I60" s="13">
        <v>96.0</v>
      </c>
      <c r="J60" s="13" t="s">
        <v>63</v>
      </c>
      <c r="K60" s="17" t="str">
        <f t="shared" si="2"/>
        <v/>
      </c>
      <c r="L60" s="9">
        <v>0.0</v>
      </c>
      <c r="M60" s="9" t="s">
        <v>57</v>
      </c>
      <c r="O60" s="9" t="s">
        <v>221</v>
      </c>
      <c r="P60" s="9" t="s">
        <v>60</v>
      </c>
      <c r="Q60" s="9" t="s">
        <v>63</v>
      </c>
      <c r="R60" s="9" t="s">
        <v>63</v>
      </c>
      <c r="S60" s="9" t="s">
        <v>64</v>
      </c>
      <c r="T60" t="str">
        <f t="shared" si="3"/>
        <v>N</v>
      </c>
      <c r="W60" s="12" t="str">
        <f t="array" ref="W60">if(and(L60=0,Q60="NA"),"NA",if(L60=0,"no lice",if(Q60="NA","no collection",index(sea_lice!G:G,match(C60,sea_lice!A:A,0)))))</f>
        <v>NA</v>
      </c>
      <c r="X60" s="23">
        <v>59.0</v>
      </c>
    </row>
    <row r="61">
      <c r="A61" s="9" t="s">
        <v>420</v>
      </c>
      <c r="B61" s="6">
        <v>5170.0</v>
      </c>
      <c r="C61" s="12" t="str">
        <f t="shared" si="1"/>
        <v>U5170</v>
      </c>
      <c r="D61" s="13" t="s">
        <v>381</v>
      </c>
      <c r="E61" s="14">
        <v>43371.0</v>
      </c>
      <c r="F61" s="9" t="s">
        <v>53</v>
      </c>
      <c r="G61" s="9" t="s">
        <v>54</v>
      </c>
      <c r="H61" s="9">
        <v>9.7</v>
      </c>
      <c r="I61" s="13">
        <v>91.0</v>
      </c>
      <c r="J61" s="13">
        <v>96.0</v>
      </c>
      <c r="K61" s="17">
        <f t="shared" si="2"/>
        <v>1.096372251</v>
      </c>
      <c r="L61" s="9">
        <v>0.0</v>
      </c>
      <c r="M61" s="9" t="s">
        <v>57</v>
      </c>
      <c r="O61" s="9" t="s">
        <v>221</v>
      </c>
      <c r="P61" s="9" t="s">
        <v>60</v>
      </c>
      <c r="Q61" s="9" t="s">
        <v>63</v>
      </c>
      <c r="R61" s="9" t="s">
        <v>63</v>
      </c>
      <c r="S61" s="9" t="s">
        <v>64</v>
      </c>
      <c r="T61" t="str">
        <f t="shared" si="3"/>
        <v>N</v>
      </c>
      <c r="W61" s="12" t="str">
        <f t="array" ref="W61">if(and(L61=0,Q61="NA"),"NA",if(L61=0,"no lice",if(Q61="NA","no collection",index(sea_lice!G:G,match(C61,sea_lice!A:A,0)))))</f>
        <v>NA</v>
      </c>
      <c r="X61" s="23">
        <v>60.0</v>
      </c>
    </row>
    <row r="62">
      <c r="A62" s="9" t="s">
        <v>424</v>
      </c>
      <c r="B62" s="6">
        <v>5151.0</v>
      </c>
      <c r="C62" s="12" t="str">
        <f t="shared" si="1"/>
        <v>U5151</v>
      </c>
      <c r="D62" s="13" t="s">
        <v>425</v>
      </c>
      <c r="E62" s="14">
        <v>43370.0</v>
      </c>
      <c r="F62" s="9" t="s">
        <v>53</v>
      </c>
      <c r="G62" s="9" t="s">
        <v>54</v>
      </c>
      <c r="H62" s="9">
        <v>12.3</v>
      </c>
      <c r="I62" s="13">
        <v>106.0</v>
      </c>
      <c r="J62" s="13" t="s">
        <v>63</v>
      </c>
      <c r="K62" s="17" t="str">
        <f t="shared" si="2"/>
        <v/>
      </c>
      <c r="L62" s="9">
        <v>0.0</v>
      </c>
      <c r="M62" s="9" t="s">
        <v>57</v>
      </c>
      <c r="O62" s="9" t="s">
        <v>64</v>
      </c>
      <c r="P62" s="9" t="s">
        <v>60</v>
      </c>
      <c r="Q62" s="9" t="s">
        <v>63</v>
      </c>
      <c r="R62" s="9" t="s">
        <v>63</v>
      </c>
      <c r="S62" s="9" t="s">
        <v>221</v>
      </c>
      <c r="T62" t="str">
        <f t="shared" si="3"/>
        <v>N</v>
      </c>
      <c r="W62" s="12" t="str">
        <f t="array" ref="W62">if(and(L62=0,Q62="NA"),"NA",if(L62=0,"no lice",if(Q62="NA","no collection",index(sea_lice!G:G,match(C62,sea_lice!A:A,0)))))</f>
        <v>NA</v>
      </c>
      <c r="X62" s="23">
        <v>61.0</v>
      </c>
    </row>
    <row r="63">
      <c r="A63" s="9" t="s">
        <v>429</v>
      </c>
      <c r="B63" s="6">
        <v>5152.0</v>
      </c>
      <c r="C63" s="12" t="str">
        <f t="shared" si="1"/>
        <v>U5152</v>
      </c>
      <c r="D63" s="13" t="s">
        <v>425</v>
      </c>
      <c r="E63" s="14">
        <v>43370.0</v>
      </c>
      <c r="F63" s="9" t="s">
        <v>53</v>
      </c>
      <c r="G63" s="9" t="s">
        <v>54</v>
      </c>
      <c r="H63" s="9">
        <v>17.4</v>
      </c>
      <c r="I63" s="13">
        <v>117.0</v>
      </c>
      <c r="J63" s="13" t="s">
        <v>63</v>
      </c>
      <c r="K63" s="17" t="str">
        <f t="shared" si="2"/>
        <v/>
      </c>
      <c r="L63" s="9">
        <v>1.0</v>
      </c>
      <c r="M63" s="9" t="s">
        <v>57</v>
      </c>
      <c r="O63" s="9" t="s">
        <v>64</v>
      </c>
      <c r="P63" s="9" t="s">
        <v>60</v>
      </c>
      <c r="Q63" s="9" t="s">
        <v>63</v>
      </c>
      <c r="R63" s="9" t="s">
        <v>63</v>
      </c>
      <c r="S63" s="9" t="s">
        <v>221</v>
      </c>
      <c r="T63" t="str">
        <f t="shared" si="3"/>
        <v>N</v>
      </c>
      <c r="W63" s="12" t="str">
        <f t="array" ref="W63">if(and(L63=0,Q63="NA"),"NA",if(L63=0,"no lice",if(Q63="NA","no collection",index(sea_lice!G:G,match(C63,sea_lice!A:A,0)))))</f>
        <v>no collection</v>
      </c>
      <c r="X63" s="23">
        <v>62.0</v>
      </c>
    </row>
    <row r="64">
      <c r="A64" s="9" t="s">
        <v>433</v>
      </c>
      <c r="B64" s="6">
        <v>5153.0</v>
      </c>
      <c r="C64" s="12" t="str">
        <f t="shared" si="1"/>
        <v>U5153</v>
      </c>
      <c r="D64" s="13" t="s">
        <v>425</v>
      </c>
      <c r="E64" s="14">
        <v>43370.0</v>
      </c>
      <c r="F64" s="9" t="s">
        <v>53</v>
      </c>
      <c r="G64" s="9" t="s">
        <v>54</v>
      </c>
      <c r="H64" s="9">
        <v>26.9</v>
      </c>
      <c r="I64" s="13">
        <v>133.0</v>
      </c>
      <c r="J64" s="13">
        <v>139.0</v>
      </c>
      <c r="K64" s="17">
        <f t="shared" si="2"/>
        <v>1.001631281</v>
      </c>
      <c r="L64" s="9">
        <v>0.0</v>
      </c>
      <c r="M64" s="9" t="s">
        <v>57</v>
      </c>
      <c r="O64" s="9" t="s">
        <v>64</v>
      </c>
      <c r="P64" s="9" t="s">
        <v>60</v>
      </c>
      <c r="Q64" s="9" t="s">
        <v>63</v>
      </c>
      <c r="R64" s="9" t="s">
        <v>63</v>
      </c>
      <c r="S64" s="9" t="s">
        <v>221</v>
      </c>
      <c r="T64" t="str">
        <f t="shared" si="3"/>
        <v>N</v>
      </c>
      <c r="W64" s="12" t="str">
        <f t="array" ref="W64">if(and(L64=0,Q64="NA"),"NA",if(L64=0,"no lice",if(Q64="NA","no collection",index(sea_lice!G:G,match(C64,sea_lice!A:A,0)))))</f>
        <v>NA</v>
      </c>
      <c r="X64" s="23">
        <v>63.0</v>
      </c>
    </row>
    <row r="65">
      <c r="A65" s="9" t="s">
        <v>439</v>
      </c>
      <c r="B65" s="6">
        <v>5154.0</v>
      </c>
      <c r="C65" s="12" t="str">
        <f t="shared" si="1"/>
        <v>U5154</v>
      </c>
      <c r="D65" s="13" t="s">
        <v>425</v>
      </c>
      <c r="E65" s="14">
        <v>43370.0</v>
      </c>
      <c r="F65" s="9" t="s">
        <v>53</v>
      </c>
      <c r="G65" s="9" t="s">
        <v>54</v>
      </c>
      <c r="H65" s="9">
        <v>15.9</v>
      </c>
      <c r="I65" s="13">
        <v>116.0</v>
      </c>
      <c r="J65" s="13">
        <v>121.0</v>
      </c>
      <c r="K65" s="17">
        <f t="shared" si="2"/>
        <v>0.8975135488</v>
      </c>
      <c r="L65" s="9">
        <v>1.0</v>
      </c>
      <c r="M65" s="9" t="s">
        <v>57</v>
      </c>
      <c r="O65" s="9" t="s">
        <v>64</v>
      </c>
      <c r="P65" s="9" t="s">
        <v>60</v>
      </c>
      <c r="Q65" s="9" t="s">
        <v>63</v>
      </c>
      <c r="R65" s="9" t="s">
        <v>63</v>
      </c>
      <c r="S65" s="9" t="s">
        <v>221</v>
      </c>
      <c r="T65" t="str">
        <f t="shared" si="3"/>
        <v>N</v>
      </c>
      <c r="W65" s="12" t="str">
        <f t="array" ref="W65">if(and(L65=0,Q65="NA"),"NA",if(L65=0,"no lice",if(Q65="NA","no collection",index(sea_lice!G:G,match(C65,sea_lice!A:A,0)))))</f>
        <v>no collection</v>
      </c>
      <c r="X65" s="23">
        <v>64.0</v>
      </c>
    </row>
    <row r="66">
      <c r="A66" s="9" t="s">
        <v>443</v>
      </c>
      <c r="B66" s="6">
        <v>5155.0</v>
      </c>
      <c r="C66" s="12" t="str">
        <f t="shared" si="1"/>
        <v>U5155</v>
      </c>
      <c r="D66" s="13" t="s">
        <v>425</v>
      </c>
      <c r="E66" s="14">
        <v>43370.0</v>
      </c>
      <c r="F66" s="9" t="s">
        <v>53</v>
      </c>
      <c r="G66" s="9" t="s">
        <v>54</v>
      </c>
      <c r="H66" s="9">
        <v>16.7</v>
      </c>
      <c r="I66" s="13">
        <v>116.0</v>
      </c>
      <c r="J66" s="13">
        <v>121.0</v>
      </c>
      <c r="K66" s="17">
        <f t="shared" si="2"/>
        <v>0.9426714632</v>
      </c>
      <c r="L66" s="9">
        <v>0.0</v>
      </c>
      <c r="M66" s="9" t="s">
        <v>57</v>
      </c>
      <c r="O66" s="9" t="s">
        <v>64</v>
      </c>
      <c r="P66" s="9" t="s">
        <v>60</v>
      </c>
      <c r="Q66" s="9" t="s">
        <v>63</v>
      </c>
      <c r="R66" s="9" t="s">
        <v>63</v>
      </c>
      <c r="S66" s="9" t="s">
        <v>221</v>
      </c>
      <c r="T66" t="str">
        <f t="shared" si="3"/>
        <v>N</v>
      </c>
      <c r="W66" s="12" t="str">
        <f t="array" ref="W66">if(and(L66=0,Q66="NA"),"NA",if(L66=0,"no lice",if(Q66="NA","no collection",index(sea_lice!G:G,match(C66,sea_lice!A:A,0)))))</f>
        <v>NA</v>
      </c>
      <c r="X66" s="23">
        <v>65.0</v>
      </c>
    </row>
    <row r="67">
      <c r="A67" s="9" t="s">
        <v>447</v>
      </c>
      <c r="B67" s="6">
        <v>5156.0</v>
      </c>
      <c r="C67" s="12" t="str">
        <f t="shared" si="1"/>
        <v>U5156</v>
      </c>
      <c r="D67" s="13" t="s">
        <v>425</v>
      </c>
      <c r="E67" s="14">
        <v>43371.0</v>
      </c>
      <c r="F67" s="9" t="s">
        <v>53</v>
      </c>
      <c r="G67" s="9" t="s">
        <v>54</v>
      </c>
      <c r="H67" s="9">
        <v>15.9</v>
      </c>
      <c r="I67" s="13">
        <v>115.0</v>
      </c>
      <c r="J67" s="13">
        <v>120.0</v>
      </c>
      <c r="K67" s="17">
        <f t="shared" si="2"/>
        <v>0.9201388889</v>
      </c>
      <c r="L67" s="9">
        <v>0.0</v>
      </c>
      <c r="M67" s="9" t="s">
        <v>57</v>
      </c>
      <c r="O67" s="9" t="s">
        <v>64</v>
      </c>
      <c r="P67" s="9" t="s">
        <v>60</v>
      </c>
      <c r="Q67" s="9" t="s">
        <v>63</v>
      </c>
      <c r="R67" s="9" t="s">
        <v>63</v>
      </c>
      <c r="S67" s="9" t="s">
        <v>221</v>
      </c>
      <c r="T67" t="str">
        <f t="shared" si="3"/>
        <v>N</v>
      </c>
      <c r="W67" s="12" t="str">
        <f t="array" ref="W67">if(and(L67=0,Q67="NA"),"NA",if(L67=0,"no lice",if(Q67="NA","no collection",index(sea_lice!G:G,match(C67,sea_lice!A:A,0)))))</f>
        <v>NA</v>
      </c>
      <c r="X67" s="23">
        <v>66.0</v>
      </c>
    </row>
    <row r="68">
      <c r="A68" s="9" t="s">
        <v>453</v>
      </c>
      <c r="B68" s="6">
        <v>5157.0</v>
      </c>
      <c r="C68" s="12" t="str">
        <f t="shared" si="1"/>
        <v>U5157</v>
      </c>
      <c r="D68" s="13" t="s">
        <v>425</v>
      </c>
      <c r="E68" s="14">
        <v>43371.0</v>
      </c>
      <c r="F68" s="9" t="s">
        <v>53</v>
      </c>
      <c r="G68" s="9" t="s">
        <v>54</v>
      </c>
      <c r="H68" s="9">
        <v>15.9</v>
      </c>
      <c r="I68" s="13">
        <v>112.0</v>
      </c>
      <c r="J68" s="13" t="s">
        <v>63</v>
      </c>
      <c r="K68" s="17" t="str">
        <f t="shared" si="2"/>
        <v/>
      </c>
      <c r="L68" s="9">
        <v>0.0</v>
      </c>
      <c r="M68" s="9" t="s">
        <v>57</v>
      </c>
      <c r="O68" s="9" t="s">
        <v>64</v>
      </c>
      <c r="P68" s="9" t="s">
        <v>60</v>
      </c>
      <c r="Q68" s="9" t="s">
        <v>63</v>
      </c>
      <c r="R68" s="9" t="s">
        <v>63</v>
      </c>
      <c r="S68" s="9" t="s">
        <v>221</v>
      </c>
      <c r="T68" t="str">
        <f t="shared" si="3"/>
        <v>N</v>
      </c>
      <c r="W68" s="12" t="str">
        <f t="array" ref="W68">if(and(L68=0,Q68="NA"),"NA",if(L68=0,"no lice",if(Q68="NA","no collection",index(sea_lice!G:G,match(C68,sea_lice!A:A,0)))))</f>
        <v>NA</v>
      </c>
      <c r="X68" s="23">
        <v>67.0</v>
      </c>
    </row>
    <row r="69">
      <c r="A69" s="9" t="s">
        <v>460</v>
      </c>
      <c r="B69" s="6">
        <v>5158.0</v>
      </c>
      <c r="C69" s="12" t="str">
        <f t="shared" si="1"/>
        <v>U5158</v>
      </c>
      <c r="D69" s="13" t="s">
        <v>425</v>
      </c>
      <c r="E69" s="14">
        <v>43371.0</v>
      </c>
      <c r="F69" s="9" t="s">
        <v>53</v>
      </c>
      <c r="G69" s="9" t="s">
        <v>54</v>
      </c>
      <c r="H69" s="9">
        <v>18.6</v>
      </c>
      <c r="I69" s="13">
        <v>116.0</v>
      </c>
      <c r="J69" s="13">
        <v>121.0</v>
      </c>
      <c r="K69" s="17">
        <f t="shared" si="2"/>
        <v>1.04992151</v>
      </c>
      <c r="L69" s="9">
        <v>0.0</v>
      </c>
      <c r="M69" s="9" t="s">
        <v>57</v>
      </c>
      <c r="O69" s="9" t="s">
        <v>64</v>
      </c>
      <c r="P69" s="9" t="s">
        <v>60</v>
      </c>
      <c r="Q69" s="9" t="s">
        <v>63</v>
      </c>
      <c r="R69" s="9" t="s">
        <v>63</v>
      </c>
      <c r="S69" s="9" t="s">
        <v>221</v>
      </c>
      <c r="T69" t="str">
        <f t="shared" si="3"/>
        <v>N</v>
      </c>
      <c r="W69" s="12" t="str">
        <f t="array" ref="W69">if(and(L69=0,Q69="NA"),"NA",if(L69=0,"no lice",if(Q69="NA","no collection",index(sea_lice!G:G,match(C69,sea_lice!A:A,0)))))</f>
        <v>NA</v>
      </c>
      <c r="X69" s="23">
        <v>68.0</v>
      </c>
    </row>
    <row r="70">
      <c r="A70" s="9" t="s">
        <v>464</v>
      </c>
      <c r="B70" s="6">
        <v>5159.0</v>
      </c>
      <c r="C70" s="12" t="str">
        <f t="shared" si="1"/>
        <v>U5159</v>
      </c>
      <c r="D70" s="13" t="s">
        <v>425</v>
      </c>
      <c r="E70" s="14">
        <v>43371.0</v>
      </c>
      <c r="F70" s="9" t="s">
        <v>53</v>
      </c>
      <c r="G70" s="9" t="s">
        <v>54</v>
      </c>
      <c r="H70" s="9">
        <v>13.8</v>
      </c>
      <c r="I70" s="13">
        <v>108.0</v>
      </c>
      <c r="J70" s="13" t="s">
        <v>63</v>
      </c>
      <c r="K70" s="17" t="str">
        <f t="shared" si="2"/>
        <v/>
      </c>
      <c r="L70" s="9">
        <v>0.0</v>
      </c>
      <c r="M70" s="9" t="s">
        <v>57</v>
      </c>
      <c r="O70" s="9" t="s">
        <v>64</v>
      </c>
      <c r="P70" s="9" t="s">
        <v>60</v>
      </c>
      <c r="Q70" s="9" t="s">
        <v>63</v>
      </c>
      <c r="R70" s="9" t="s">
        <v>63</v>
      </c>
      <c r="S70" s="9" t="s">
        <v>221</v>
      </c>
      <c r="T70" t="str">
        <f t="shared" si="3"/>
        <v>N</v>
      </c>
      <c r="W70" s="12" t="str">
        <f t="array" ref="W70">if(and(L70=0,Q70="NA"),"NA",if(L70=0,"no lice",if(Q70="NA","no collection",index(sea_lice!G:G,match(C70,sea_lice!A:A,0)))))</f>
        <v>NA</v>
      </c>
      <c r="X70" s="23">
        <v>69.0</v>
      </c>
    </row>
    <row r="71">
      <c r="A71" s="9" t="s">
        <v>469</v>
      </c>
      <c r="B71" s="6">
        <v>5160.0</v>
      </c>
      <c r="C71" s="12" t="str">
        <f t="shared" si="1"/>
        <v>U5160</v>
      </c>
      <c r="D71" s="13" t="s">
        <v>425</v>
      </c>
      <c r="E71" s="14">
        <v>43371.0</v>
      </c>
      <c r="F71" s="9" t="s">
        <v>53</v>
      </c>
      <c r="G71" s="9" t="s">
        <v>54</v>
      </c>
      <c r="H71" s="9">
        <v>14.7</v>
      </c>
      <c r="I71" s="13">
        <v>110.0</v>
      </c>
      <c r="J71" s="13" t="s">
        <v>63</v>
      </c>
      <c r="K71" s="17" t="str">
        <f t="shared" si="2"/>
        <v/>
      </c>
      <c r="L71" s="9">
        <v>0.0</v>
      </c>
      <c r="M71" s="9" t="s">
        <v>57</v>
      </c>
      <c r="O71" s="9" t="s">
        <v>64</v>
      </c>
      <c r="P71" s="9" t="s">
        <v>60</v>
      </c>
      <c r="Q71" s="9" t="s">
        <v>63</v>
      </c>
      <c r="R71" s="9" t="s">
        <v>63</v>
      </c>
      <c r="S71" s="9" t="s">
        <v>221</v>
      </c>
      <c r="T71" t="str">
        <f t="shared" si="3"/>
        <v>N</v>
      </c>
      <c r="W71" s="12" t="str">
        <f t="array" ref="W71">if(and(L71=0,Q71="NA"),"NA",if(L71=0,"no lice",if(Q71="NA","no collection",index(sea_lice!G:G,match(C71,sea_lice!A:A,0)))))</f>
        <v>NA</v>
      </c>
      <c r="X71" s="23">
        <v>70.0</v>
      </c>
    </row>
    <row r="72">
      <c r="A72" s="9" t="s">
        <v>473</v>
      </c>
      <c r="B72" s="6">
        <v>5179.0</v>
      </c>
      <c r="C72" s="12" t="str">
        <f t="shared" si="1"/>
        <v>U5179</v>
      </c>
      <c r="D72" s="13" t="s">
        <v>474</v>
      </c>
      <c r="E72" s="14">
        <v>43374.0</v>
      </c>
      <c r="F72" s="9" t="s">
        <v>53</v>
      </c>
      <c r="G72" s="9" t="s">
        <v>54</v>
      </c>
      <c r="H72" s="9">
        <v>27.1</v>
      </c>
      <c r="I72" s="13">
        <v>131.0</v>
      </c>
      <c r="J72" s="13">
        <v>137.0</v>
      </c>
      <c r="K72" s="17">
        <f t="shared" si="2"/>
        <v>1.053919862</v>
      </c>
      <c r="L72" s="9">
        <v>1.0</v>
      </c>
      <c r="M72" s="9" t="s">
        <v>57</v>
      </c>
      <c r="N72" s="9" t="s">
        <v>475</v>
      </c>
      <c r="O72" s="9" t="s">
        <v>64</v>
      </c>
      <c r="P72" s="9" t="s">
        <v>60</v>
      </c>
      <c r="Q72" s="9" t="s">
        <v>63</v>
      </c>
      <c r="R72" s="9" t="s">
        <v>63</v>
      </c>
      <c r="S72" s="9" t="s">
        <v>221</v>
      </c>
      <c r="T72" t="str">
        <f t="shared" si="3"/>
        <v>N</v>
      </c>
      <c r="W72" s="12" t="str">
        <f t="array" ref="W72">if(and(L72=0,Q72="NA"),"NA",if(L72=0,"no lice",if(Q72="NA","no collection",index(sea_lice!G:G,match(C72,sea_lice!A:A,0)))))</f>
        <v>no collection</v>
      </c>
      <c r="X72" s="23">
        <v>71.0</v>
      </c>
    </row>
    <row r="73">
      <c r="A73" s="9" t="s">
        <v>477</v>
      </c>
      <c r="B73" s="6">
        <v>5180.0</v>
      </c>
      <c r="C73" s="12" t="str">
        <f t="shared" si="1"/>
        <v>U5180</v>
      </c>
      <c r="D73" s="13" t="s">
        <v>474</v>
      </c>
      <c r="E73" s="14">
        <v>43374.0</v>
      </c>
      <c r="F73" s="9" t="s">
        <v>53</v>
      </c>
      <c r="G73" s="9" t="s">
        <v>54</v>
      </c>
      <c r="H73" s="9">
        <v>15.7</v>
      </c>
      <c r="I73" s="13">
        <v>114.0</v>
      </c>
      <c r="J73" s="13">
        <v>119.0</v>
      </c>
      <c r="K73" s="17">
        <f t="shared" si="2"/>
        <v>0.9316628283</v>
      </c>
      <c r="L73" s="9">
        <v>0.0</v>
      </c>
      <c r="M73" s="9" t="s">
        <v>57</v>
      </c>
      <c r="O73" s="9" t="s">
        <v>64</v>
      </c>
      <c r="P73" s="9" t="s">
        <v>60</v>
      </c>
      <c r="Q73" s="9" t="s">
        <v>63</v>
      </c>
      <c r="R73" s="9" t="s">
        <v>63</v>
      </c>
      <c r="S73" s="9" t="s">
        <v>221</v>
      </c>
      <c r="T73" t="str">
        <f t="shared" si="3"/>
        <v>N</v>
      </c>
      <c r="W73" s="12" t="str">
        <f t="array" ref="W73">if(and(L73=0,Q73="NA"),"NA",if(L73=0,"no lice",if(Q73="NA","no collection",index(sea_lice!G:G,match(C73,sea_lice!A:A,0)))))</f>
        <v>NA</v>
      </c>
      <c r="X73" s="23">
        <v>72.0</v>
      </c>
    </row>
    <row r="74">
      <c r="A74" s="9" t="s">
        <v>481</v>
      </c>
      <c r="B74" s="6">
        <v>5181.0</v>
      </c>
      <c r="C74" s="12" t="str">
        <f t="shared" si="1"/>
        <v>U5181</v>
      </c>
      <c r="D74" s="13" t="s">
        <v>474</v>
      </c>
      <c r="E74" s="14">
        <v>43374.0</v>
      </c>
      <c r="F74" s="9" t="s">
        <v>53</v>
      </c>
      <c r="G74" s="9" t="s">
        <v>54</v>
      </c>
      <c r="H74" s="9">
        <v>15.0</v>
      </c>
      <c r="I74" s="13">
        <v>111.0</v>
      </c>
      <c r="J74" s="13">
        <v>116.0</v>
      </c>
      <c r="K74" s="17">
        <f t="shared" si="2"/>
        <v>0.9609865103</v>
      </c>
      <c r="L74" s="9">
        <v>0.0</v>
      </c>
      <c r="M74" s="9" t="s">
        <v>57</v>
      </c>
      <c r="O74" s="9" t="s">
        <v>64</v>
      </c>
      <c r="P74" s="9" t="s">
        <v>60</v>
      </c>
      <c r="Q74" s="9" t="s">
        <v>63</v>
      </c>
      <c r="R74" s="9" t="s">
        <v>63</v>
      </c>
      <c r="S74" s="9" t="s">
        <v>221</v>
      </c>
      <c r="T74" t="str">
        <f t="shared" si="3"/>
        <v>N</v>
      </c>
      <c r="W74" s="12" t="str">
        <f t="array" ref="W74">if(and(L74=0,Q74="NA"),"NA",if(L74=0,"no lice",if(Q74="NA","no collection",index(sea_lice!G:G,match(C74,sea_lice!A:A,0)))))</f>
        <v>NA</v>
      </c>
      <c r="X74" s="23">
        <v>73.0</v>
      </c>
    </row>
    <row r="75">
      <c r="A75" s="9" t="s">
        <v>485</v>
      </c>
      <c r="B75" s="6">
        <v>5182.0</v>
      </c>
      <c r="C75" s="12" t="str">
        <f t="shared" si="1"/>
        <v>U5182</v>
      </c>
      <c r="D75" s="13" t="s">
        <v>474</v>
      </c>
      <c r="E75" s="14">
        <v>43374.0</v>
      </c>
      <c r="F75" s="9" t="s">
        <v>53</v>
      </c>
      <c r="G75" s="9" t="s">
        <v>54</v>
      </c>
      <c r="H75" s="9">
        <v>18.7</v>
      </c>
      <c r="I75" s="13">
        <v>114.0</v>
      </c>
      <c r="J75" s="13" t="s">
        <v>63</v>
      </c>
      <c r="K75" s="17" t="str">
        <f t="shared" si="2"/>
        <v/>
      </c>
      <c r="L75" s="9">
        <v>1.0</v>
      </c>
      <c r="M75" s="9" t="s">
        <v>57</v>
      </c>
      <c r="O75" s="9" t="s">
        <v>64</v>
      </c>
      <c r="P75" s="9" t="s">
        <v>60</v>
      </c>
      <c r="Q75" s="9" t="s">
        <v>63</v>
      </c>
      <c r="R75" s="9" t="s">
        <v>63</v>
      </c>
      <c r="S75" s="9" t="s">
        <v>221</v>
      </c>
      <c r="T75" t="str">
        <f t="shared" si="3"/>
        <v>N</v>
      </c>
      <c r="W75" s="12" t="str">
        <f t="array" ref="W75">if(and(L75=0,Q75="NA"),"NA",if(L75=0,"no lice",if(Q75="NA","no collection",index(sea_lice!G:G,match(C75,sea_lice!A:A,0)))))</f>
        <v>no collection</v>
      </c>
      <c r="X75" s="23">
        <v>74.0</v>
      </c>
    </row>
    <row r="76">
      <c r="A76" s="9" t="s">
        <v>489</v>
      </c>
      <c r="B76" s="6">
        <v>5183.0</v>
      </c>
      <c r="C76" s="12" t="str">
        <f t="shared" si="1"/>
        <v>U5183</v>
      </c>
      <c r="D76" s="13" t="s">
        <v>474</v>
      </c>
      <c r="E76" s="14">
        <v>43374.0</v>
      </c>
      <c r="F76" s="9" t="s">
        <v>53</v>
      </c>
      <c r="G76" s="9" t="s">
        <v>54</v>
      </c>
      <c r="H76" s="9">
        <v>17.7</v>
      </c>
      <c r="I76" s="13">
        <v>117.0</v>
      </c>
      <c r="J76" s="13">
        <v>122.0</v>
      </c>
      <c r="K76" s="17">
        <f t="shared" si="2"/>
        <v>0.9747511906</v>
      </c>
      <c r="L76" s="9">
        <v>0.0</v>
      </c>
      <c r="M76" s="9" t="s">
        <v>57</v>
      </c>
      <c r="N76" s="9" t="s">
        <v>475</v>
      </c>
      <c r="O76" s="9" t="s">
        <v>64</v>
      </c>
      <c r="P76" s="9" t="s">
        <v>60</v>
      </c>
      <c r="Q76" s="9" t="s">
        <v>63</v>
      </c>
      <c r="R76" s="9" t="s">
        <v>63</v>
      </c>
      <c r="S76" s="9" t="s">
        <v>221</v>
      </c>
      <c r="T76" t="str">
        <f t="shared" si="3"/>
        <v>N</v>
      </c>
      <c r="W76" s="12" t="str">
        <f t="array" ref="W76">if(and(L76=0,Q76="NA"),"NA",if(L76=0,"no lice",if(Q76="NA","no collection",index(sea_lice!G:G,match(C76,sea_lice!A:A,0)))))</f>
        <v>NA</v>
      </c>
      <c r="X76" s="23">
        <v>75.0</v>
      </c>
    </row>
    <row r="77">
      <c r="A77" s="9" t="s">
        <v>491</v>
      </c>
      <c r="B77" s="6">
        <v>5184.0</v>
      </c>
      <c r="C77" s="12" t="str">
        <f t="shared" si="1"/>
        <v>U5184</v>
      </c>
      <c r="D77" s="13" t="s">
        <v>474</v>
      </c>
      <c r="E77" s="14">
        <v>43374.0</v>
      </c>
      <c r="F77" s="9" t="s">
        <v>53</v>
      </c>
      <c r="G77" s="9" t="s">
        <v>54</v>
      </c>
      <c r="H77" s="9">
        <v>17.4</v>
      </c>
      <c r="I77" s="13">
        <v>116.0</v>
      </c>
      <c r="J77" s="13">
        <v>121.0</v>
      </c>
      <c r="K77" s="17">
        <f t="shared" si="2"/>
        <v>0.9821846383</v>
      </c>
      <c r="L77" s="9">
        <v>0.0</v>
      </c>
      <c r="M77" s="9" t="s">
        <v>57</v>
      </c>
      <c r="O77" s="9" t="s">
        <v>64</v>
      </c>
      <c r="P77" s="9" t="s">
        <v>60</v>
      </c>
      <c r="Q77" s="9" t="s">
        <v>63</v>
      </c>
      <c r="R77" s="9" t="s">
        <v>63</v>
      </c>
      <c r="S77" s="9" t="s">
        <v>221</v>
      </c>
      <c r="T77" t="str">
        <f t="shared" si="3"/>
        <v>N</v>
      </c>
      <c r="W77" s="12" t="str">
        <f t="array" ref="W77">if(and(L77=0,Q77="NA"),"NA",if(L77=0,"no lice",if(Q77="NA","no collection",index(sea_lice!G:G,match(C77,sea_lice!A:A,0)))))</f>
        <v>NA</v>
      </c>
      <c r="X77" s="23">
        <v>76.0</v>
      </c>
    </row>
    <row r="78">
      <c r="A78" s="9" t="s">
        <v>496</v>
      </c>
      <c r="B78" s="6">
        <v>5171.0</v>
      </c>
      <c r="C78" s="12" t="str">
        <f t="shared" si="1"/>
        <v>U5171</v>
      </c>
      <c r="D78" s="13" t="s">
        <v>497</v>
      </c>
      <c r="E78" s="14">
        <v>43374.0</v>
      </c>
      <c r="F78" s="9" t="s">
        <v>53</v>
      </c>
      <c r="G78" s="9" t="s">
        <v>54</v>
      </c>
      <c r="H78" s="9">
        <v>18.1</v>
      </c>
      <c r="I78" s="13">
        <v>118.0</v>
      </c>
      <c r="J78" s="13" t="s">
        <v>63</v>
      </c>
      <c r="K78" s="17" t="str">
        <f t="shared" si="2"/>
        <v/>
      </c>
      <c r="L78" s="9">
        <v>0.0</v>
      </c>
      <c r="M78" s="9" t="s">
        <v>57</v>
      </c>
      <c r="O78" s="9" t="s">
        <v>221</v>
      </c>
      <c r="P78" s="9" t="s">
        <v>60</v>
      </c>
      <c r="Q78" s="9" t="s">
        <v>63</v>
      </c>
      <c r="R78" s="9" t="s">
        <v>63</v>
      </c>
      <c r="S78" s="9" t="s">
        <v>64</v>
      </c>
      <c r="T78" t="str">
        <f t="shared" si="3"/>
        <v>N</v>
      </c>
      <c r="W78" s="12" t="str">
        <f t="array" ref="W78">if(and(L78=0,Q78="NA"),"NA",if(L78=0,"no lice",if(Q78="NA","no collection",index(sea_lice!G:G,match(C78,sea_lice!A:A,0)))))</f>
        <v>NA</v>
      </c>
      <c r="X78" s="23">
        <v>77.0</v>
      </c>
    </row>
    <row r="79">
      <c r="A79" s="9" t="s">
        <v>499</v>
      </c>
      <c r="B79" s="6">
        <v>5172.0</v>
      </c>
      <c r="C79" s="12" t="str">
        <f t="shared" si="1"/>
        <v>U5172</v>
      </c>
      <c r="D79" s="13" t="s">
        <v>497</v>
      </c>
      <c r="E79" s="14">
        <v>43374.0</v>
      </c>
      <c r="F79" s="9" t="s">
        <v>53</v>
      </c>
      <c r="G79" s="9" t="s">
        <v>54</v>
      </c>
      <c r="H79" s="9">
        <v>21.2</v>
      </c>
      <c r="I79" s="13">
        <v>126.0</v>
      </c>
      <c r="J79" s="13" t="s">
        <v>63</v>
      </c>
      <c r="K79" s="17" t="str">
        <f t="shared" si="2"/>
        <v/>
      </c>
      <c r="L79" s="9">
        <v>0.0</v>
      </c>
      <c r="M79" s="9" t="s">
        <v>57</v>
      </c>
      <c r="O79" s="9" t="s">
        <v>221</v>
      </c>
      <c r="P79" s="9" t="s">
        <v>60</v>
      </c>
      <c r="Q79" s="9" t="s">
        <v>63</v>
      </c>
      <c r="R79" s="9" t="s">
        <v>63</v>
      </c>
      <c r="S79" s="9" t="s">
        <v>64</v>
      </c>
      <c r="T79" t="str">
        <f t="shared" si="3"/>
        <v>N</v>
      </c>
      <c r="W79" s="12" t="str">
        <f t="array" ref="W79">if(and(L79=0,Q79="NA"),"NA",if(L79=0,"no lice",if(Q79="NA","no collection",index(sea_lice!G:G,match(C79,sea_lice!A:A,0)))))</f>
        <v>NA</v>
      </c>
      <c r="X79" s="23">
        <v>78.0</v>
      </c>
    </row>
    <row r="80">
      <c r="A80" s="9" t="s">
        <v>503</v>
      </c>
      <c r="B80" s="6">
        <v>5173.0</v>
      </c>
      <c r="C80" s="12" t="str">
        <f t="shared" si="1"/>
        <v>U5173</v>
      </c>
      <c r="D80" s="13" t="s">
        <v>497</v>
      </c>
      <c r="E80" s="14">
        <v>43374.0</v>
      </c>
      <c r="F80" s="9" t="s">
        <v>53</v>
      </c>
      <c r="G80" s="9" t="s">
        <v>54</v>
      </c>
      <c r="H80" s="9">
        <v>25.5</v>
      </c>
      <c r="I80" s="13">
        <v>131.0</v>
      </c>
      <c r="J80" s="13">
        <v>136.0</v>
      </c>
      <c r="K80" s="17">
        <f t="shared" si="2"/>
        <v>1.013732699</v>
      </c>
      <c r="L80" s="9">
        <v>0.0</v>
      </c>
      <c r="M80" s="9" t="s">
        <v>57</v>
      </c>
      <c r="O80" s="9" t="s">
        <v>221</v>
      </c>
      <c r="P80" s="9" t="s">
        <v>60</v>
      </c>
      <c r="Q80" s="9" t="s">
        <v>63</v>
      </c>
      <c r="R80" s="9" t="s">
        <v>63</v>
      </c>
      <c r="S80" s="9" t="s">
        <v>64</v>
      </c>
      <c r="T80" t="str">
        <f t="shared" si="3"/>
        <v>N</v>
      </c>
      <c r="W80" s="12" t="str">
        <f t="array" ref="W80">if(and(L80=0,Q80="NA"),"NA",if(L80=0,"no lice",if(Q80="NA","no collection",index(sea_lice!G:G,match(C80,sea_lice!A:A,0)))))</f>
        <v>NA</v>
      </c>
      <c r="X80" s="23">
        <v>79.0</v>
      </c>
    </row>
    <row r="81">
      <c r="A81" s="9" t="s">
        <v>505</v>
      </c>
      <c r="B81" s="6">
        <v>5174.0</v>
      </c>
      <c r="C81" s="12" t="str">
        <f t="shared" si="1"/>
        <v>U5174</v>
      </c>
      <c r="D81" s="13" t="s">
        <v>497</v>
      </c>
      <c r="E81" s="14">
        <v>43374.0</v>
      </c>
      <c r="F81" s="9" t="s">
        <v>53</v>
      </c>
      <c r="G81" s="9" t="s">
        <v>54</v>
      </c>
      <c r="H81" s="9">
        <v>24.6</v>
      </c>
      <c r="I81" s="13">
        <v>130.0</v>
      </c>
      <c r="J81" s="13">
        <v>135.0</v>
      </c>
      <c r="K81" s="17">
        <f t="shared" si="2"/>
        <v>0.9998475842</v>
      </c>
      <c r="L81" s="9">
        <v>0.0</v>
      </c>
      <c r="M81" s="9" t="s">
        <v>57</v>
      </c>
      <c r="O81" s="9" t="s">
        <v>221</v>
      </c>
      <c r="P81" s="9" t="s">
        <v>60</v>
      </c>
      <c r="Q81" s="9" t="s">
        <v>63</v>
      </c>
      <c r="R81" s="9" t="s">
        <v>63</v>
      </c>
      <c r="S81" s="9" t="s">
        <v>64</v>
      </c>
      <c r="T81" t="str">
        <f t="shared" si="3"/>
        <v>N</v>
      </c>
      <c r="W81" s="12" t="str">
        <f t="array" ref="W81">if(and(L81=0,Q81="NA"),"NA",if(L81=0,"no lice",if(Q81="NA","no collection",index(sea_lice!G:G,match(C81,sea_lice!A:A,0)))))</f>
        <v>NA</v>
      </c>
      <c r="X81" s="23">
        <v>80.0</v>
      </c>
    </row>
    <row r="82">
      <c r="A82" s="9" t="s">
        <v>510</v>
      </c>
      <c r="B82" s="6">
        <v>5175.0</v>
      </c>
      <c r="C82" s="12" t="str">
        <f t="shared" si="1"/>
        <v>U5175</v>
      </c>
      <c r="D82" s="13" t="s">
        <v>497</v>
      </c>
      <c r="E82" s="14">
        <v>43374.0</v>
      </c>
      <c r="F82" s="9" t="s">
        <v>53</v>
      </c>
      <c r="G82" s="9" t="s">
        <v>54</v>
      </c>
      <c r="H82" s="9">
        <v>24.1</v>
      </c>
      <c r="I82" s="13">
        <v>131.0</v>
      </c>
      <c r="J82" s="13">
        <v>137.0</v>
      </c>
      <c r="K82" s="17">
        <f t="shared" si="2"/>
        <v>0.937249767</v>
      </c>
      <c r="L82" s="9">
        <v>0.0</v>
      </c>
      <c r="M82" s="9" t="s">
        <v>57</v>
      </c>
      <c r="O82" s="9" t="s">
        <v>221</v>
      </c>
      <c r="P82" s="9" t="s">
        <v>60</v>
      </c>
      <c r="Q82" s="9" t="s">
        <v>63</v>
      </c>
      <c r="R82" s="9" t="s">
        <v>63</v>
      </c>
      <c r="S82" s="9" t="s">
        <v>64</v>
      </c>
      <c r="T82" t="str">
        <f t="shared" si="3"/>
        <v>N</v>
      </c>
      <c r="W82" s="12" t="str">
        <f t="array" ref="W82">if(and(L82=0,Q82="NA"),"NA",if(L82=0,"no lice",if(Q82="NA","no collection",index(sea_lice!G:G,match(C82,sea_lice!A:A,0)))))</f>
        <v>NA</v>
      </c>
      <c r="X82" s="23">
        <v>81.0</v>
      </c>
    </row>
    <row r="83">
      <c r="A83" s="9" t="s">
        <v>513</v>
      </c>
      <c r="B83" s="6">
        <v>5176.0</v>
      </c>
      <c r="C83" s="12" t="str">
        <f t="shared" si="1"/>
        <v>U5176</v>
      </c>
      <c r="D83" s="13" t="s">
        <v>497</v>
      </c>
      <c r="E83" s="14">
        <v>43374.0</v>
      </c>
      <c r="F83" s="9" t="s">
        <v>53</v>
      </c>
      <c r="G83" s="9" t="s">
        <v>54</v>
      </c>
      <c r="H83" s="9">
        <v>33.3</v>
      </c>
      <c r="I83" s="13">
        <v>143.0</v>
      </c>
      <c r="J83" s="13">
        <v>148.0</v>
      </c>
      <c r="K83" s="17">
        <f t="shared" si="2"/>
        <v>1.027209642</v>
      </c>
      <c r="L83" s="9">
        <v>0.0</v>
      </c>
      <c r="M83" s="9" t="s">
        <v>57</v>
      </c>
      <c r="O83" s="9" t="s">
        <v>221</v>
      </c>
      <c r="P83" s="9" t="s">
        <v>60</v>
      </c>
      <c r="Q83" s="9" t="s">
        <v>63</v>
      </c>
      <c r="R83" s="9" t="s">
        <v>63</v>
      </c>
      <c r="S83" s="9" t="s">
        <v>64</v>
      </c>
      <c r="T83" t="str">
        <f t="shared" si="3"/>
        <v>N</v>
      </c>
      <c r="W83" s="12" t="str">
        <f t="array" ref="W83">if(and(L83=0,Q83="NA"),"NA",if(L83=0,"no lice",if(Q83="NA","no collection",index(sea_lice!G:G,match(C83,sea_lice!A:A,0)))))</f>
        <v>NA</v>
      </c>
      <c r="X83" s="23">
        <v>82.0</v>
      </c>
    </row>
    <row r="84">
      <c r="A84" s="9" t="s">
        <v>518</v>
      </c>
      <c r="B84" s="6">
        <v>5177.0</v>
      </c>
      <c r="C84" s="12" t="str">
        <f t="shared" si="1"/>
        <v>U5177</v>
      </c>
      <c r="D84" s="13" t="s">
        <v>497</v>
      </c>
      <c r="E84" s="14">
        <v>43374.0</v>
      </c>
      <c r="F84" s="9" t="s">
        <v>53</v>
      </c>
      <c r="G84" s="9" t="s">
        <v>54</v>
      </c>
      <c r="H84" s="9">
        <v>26.8</v>
      </c>
      <c r="I84" s="13">
        <v>134.0</v>
      </c>
      <c r="J84" s="13">
        <v>140.0</v>
      </c>
      <c r="K84" s="17">
        <f t="shared" si="2"/>
        <v>0.9766763848</v>
      </c>
      <c r="L84" s="9">
        <v>0.0</v>
      </c>
      <c r="M84" s="9" t="s">
        <v>57</v>
      </c>
      <c r="O84" s="9" t="s">
        <v>221</v>
      </c>
      <c r="P84" s="9" t="s">
        <v>60</v>
      </c>
      <c r="Q84" s="9" t="s">
        <v>63</v>
      </c>
      <c r="R84" s="9" t="s">
        <v>63</v>
      </c>
      <c r="S84" s="9" t="s">
        <v>64</v>
      </c>
      <c r="T84" t="str">
        <f t="shared" si="3"/>
        <v>N</v>
      </c>
      <c r="W84" s="12" t="str">
        <f t="array" ref="W84">if(and(L84=0,Q84="NA"),"NA",if(L84=0,"no lice",if(Q84="NA","no collection",index(sea_lice!G:G,match(C84,sea_lice!A:A,0)))))</f>
        <v>NA</v>
      </c>
      <c r="X84" s="23">
        <v>83.0</v>
      </c>
    </row>
    <row r="85">
      <c r="A85" s="9" t="s">
        <v>521</v>
      </c>
      <c r="B85" s="6">
        <v>5178.0</v>
      </c>
      <c r="C85" s="12" t="str">
        <f t="shared" si="1"/>
        <v>U5178</v>
      </c>
      <c r="D85" s="13" t="s">
        <v>497</v>
      </c>
      <c r="E85" s="14">
        <v>43374.0</v>
      </c>
      <c r="F85" s="9" t="s">
        <v>53</v>
      </c>
      <c r="G85" s="9" t="s">
        <v>54</v>
      </c>
      <c r="H85" s="9">
        <v>26.8</v>
      </c>
      <c r="I85" s="13">
        <v>133.0</v>
      </c>
      <c r="J85" s="13">
        <v>138.0</v>
      </c>
      <c r="K85" s="17">
        <f t="shared" si="2"/>
        <v>1.019758972</v>
      </c>
      <c r="L85" s="9">
        <v>0.0</v>
      </c>
      <c r="M85" s="9" t="s">
        <v>57</v>
      </c>
      <c r="O85" s="9" t="s">
        <v>221</v>
      </c>
      <c r="P85" s="9" t="s">
        <v>60</v>
      </c>
      <c r="Q85" s="9" t="s">
        <v>63</v>
      </c>
      <c r="R85" s="9" t="s">
        <v>63</v>
      </c>
      <c r="S85" s="9" t="s">
        <v>64</v>
      </c>
      <c r="T85" t="str">
        <f t="shared" si="3"/>
        <v>N</v>
      </c>
      <c r="W85" s="12" t="str">
        <f t="array" ref="W85">if(and(L85=0,Q85="NA"),"NA",if(L85=0,"no lice",if(Q85="NA","no collection",index(sea_lice!G:G,match(C85,sea_lice!A:A,0)))))</f>
        <v>NA</v>
      </c>
      <c r="X85" s="23">
        <v>84.0</v>
      </c>
    </row>
    <row r="86">
      <c r="A86" s="9" t="s">
        <v>526</v>
      </c>
      <c r="B86" s="6">
        <v>5194.0</v>
      </c>
      <c r="C86" s="12" t="str">
        <f t="shared" si="1"/>
        <v>U5194</v>
      </c>
      <c r="D86" s="13" t="s">
        <v>497</v>
      </c>
      <c r="E86" s="14">
        <v>43374.0</v>
      </c>
      <c r="F86" s="9" t="s">
        <v>53</v>
      </c>
      <c r="G86" s="9" t="s">
        <v>54</v>
      </c>
      <c r="H86" s="9">
        <v>30.4</v>
      </c>
      <c r="I86" s="13">
        <v>138.0</v>
      </c>
      <c r="J86" s="13" t="s">
        <v>63</v>
      </c>
      <c r="K86" s="17" t="str">
        <f t="shared" si="2"/>
        <v/>
      </c>
      <c r="L86" s="9">
        <v>0.0</v>
      </c>
      <c r="M86" s="9" t="s">
        <v>57</v>
      </c>
      <c r="O86" s="9" t="s">
        <v>221</v>
      </c>
      <c r="P86" s="9" t="s">
        <v>60</v>
      </c>
      <c r="Q86" s="9" t="s">
        <v>63</v>
      </c>
      <c r="R86" s="9" t="s">
        <v>63</v>
      </c>
      <c r="S86" s="9" t="s">
        <v>64</v>
      </c>
      <c r="T86" t="str">
        <f t="shared" si="3"/>
        <v>N</v>
      </c>
      <c r="W86" s="12" t="str">
        <f t="array" ref="W86">if(and(L86=0,Q86="NA"),"NA",if(L86=0,"no lice",if(Q86="NA","no collection",index(sea_lice!G:G,match(C86,sea_lice!A:A,0)))))</f>
        <v>NA</v>
      </c>
      <c r="X86" s="23">
        <v>85.0</v>
      </c>
    </row>
    <row r="87">
      <c r="A87" s="9" t="s">
        <v>532</v>
      </c>
      <c r="B87" s="6">
        <v>5195.0</v>
      </c>
      <c r="C87" s="12" t="str">
        <f t="shared" si="1"/>
        <v>U5195</v>
      </c>
      <c r="D87" s="13" t="s">
        <v>497</v>
      </c>
      <c r="E87" s="14">
        <v>43374.0</v>
      </c>
      <c r="F87" s="9" t="s">
        <v>53</v>
      </c>
      <c r="G87" s="9" t="s">
        <v>54</v>
      </c>
      <c r="H87" s="9">
        <v>25.4</v>
      </c>
      <c r="I87" s="13">
        <v>132.0</v>
      </c>
      <c r="J87" s="13">
        <v>138.0</v>
      </c>
      <c r="K87" s="17">
        <f t="shared" si="2"/>
        <v>0.9664879805</v>
      </c>
      <c r="L87" s="9">
        <v>1.0</v>
      </c>
      <c r="M87" s="9" t="s">
        <v>57</v>
      </c>
      <c r="O87" s="9" t="s">
        <v>221</v>
      </c>
      <c r="P87" s="9" t="s">
        <v>60</v>
      </c>
      <c r="Q87" s="9" t="s">
        <v>63</v>
      </c>
      <c r="R87" s="9" t="s">
        <v>63</v>
      </c>
      <c r="S87" s="9" t="s">
        <v>64</v>
      </c>
      <c r="T87" t="str">
        <f t="shared" si="3"/>
        <v>N</v>
      </c>
      <c r="W87" s="12" t="str">
        <f t="array" ref="W87">if(and(L87=0,Q87="NA"),"NA",if(L87=0,"no lice",if(Q87="NA","no collection",index(sea_lice!G:G,match(C87,sea_lice!A:A,0)))))</f>
        <v>no collection</v>
      </c>
      <c r="X87" s="23">
        <v>86.0</v>
      </c>
    </row>
    <row r="88">
      <c r="A88" s="9" t="s">
        <v>536</v>
      </c>
      <c r="B88" s="6">
        <v>5196.0</v>
      </c>
      <c r="C88" s="12" t="str">
        <f t="shared" si="1"/>
        <v>U5196</v>
      </c>
      <c r="D88" s="13" t="s">
        <v>538</v>
      </c>
      <c r="E88" s="14">
        <v>43374.0</v>
      </c>
      <c r="F88" s="9" t="s">
        <v>53</v>
      </c>
      <c r="G88" s="9" t="s">
        <v>54</v>
      </c>
      <c r="H88" s="9">
        <v>15.6</v>
      </c>
      <c r="I88" s="13">
        <v>112.0</v>
      </c>
      <c r="J88" s="13" t="s">
        <v>63</v>
      </c>
      <c r="K88" s="17" t="str">
        <f t="shared" si="2"/>
        <v/>
      </c>
      <c r="L88" s="9">
        <v>1.0</v>
      </c>
      <c r="M88" s="9" t="s">
        <v>57</v>
      </c>
      <c r="O88" s="9" t="s">
        <v>221</v>
      </c>
      <c r="P88" s="9" t="s">
        <v>60</v>
      </c>
      <c r="Q88" s="9" t="s">
        <v>63</v>
      </c>
      <c r="R88" s="9" t="s">
        <v>63</v>
      </c>
      <c r="S88" s="9" t="s">
        <v>64</v>
      </c>
      <c r="T88" t="str">
        <f t="shared" si="3"/>
        <v>N</v>
      </c>
      <c r="W88" s="12" t="str">
        <f t="array" ref="W88">if(and(L88=0,Q88="NA"),"NA",if(L88=0,"no lice",if(Q88="NA","no collection",index(sea_lice!G:G,match(C88,sea_lice!A:A,0)))))</f>
        <v>no collection</v>
      </c>
      <c r="X88" s="23">
        <v>87.0</v>
      </c>
    </row>
    <row r="89">
      <c r="A89" s="9" t="s">
        <v>541</v>
      </c>
      <c r="B89" s="6">
        <v>5197.0</v>
      </c>
      <c r="C89" s="12" t="str">
        <f t="shared" si="1"/>
        <v>U5197</v>
      </c>
      <c r="D89" s="13" t="s">
        <v>538</v>
      </c>
      <c r="E89" s="14">
        <v>43374.0</v>
      </c>
      <c r="F89" s="9" t="s">
        <v>53</v>
      </c>
      <c r="G89" s="9" t="s">
        <v>54</v>
      </c>
      <c r="H89" s="9">
        <v>16.6</v>
      </c>
      <c r="I89" s="13">
        <v>116.0</v>
      </c>
      <c r="J89" s="13">
        <v>122.0</v>
      </c>
      <c r="K89" s="17">
        <f t="shared" si="2"/>
        <v>0.914173433</v>
      </c>
      <c r="L89" s="9">
        <v>0.0</v>
      </c>
      <c r="M89" s="9" t="s">
        <v>57</v>
      </c>
      <c r="O89" s="9" t="s">
        <v>221</v>
      </c>
      <c r="P89" s="9" t="s">
        <v>60</v>
      </c>
      <c r="Q89" s="9" t="s">
        <v>63</v>
      </c>
      <c r="R89" s="9" t="s">
        <v>63</v>
      </c>
      <c r="S89" s="9" t="s">
        <v>64</v>
      </c>
      <c r="T89" t="str">
        <f t="shared" si="3"/>
        <v>N</v>
      </c>
      <c r="W89" s="12" t="str">
        <f t="array" ref="W89">if(and(L89=0,Q89="NA"),"NA",if(L89=0,"no lice",if(Q89="NA","no collection",index(sea_lice!G:G,match(C89,sea_lice!A:A,0)))))</f>
        <v>NA</v>
      </c>
      <c r="X89" s="23">
        <v>88.0</v>
      </c>
    </row>
    <row r="90">
      <c r="A90" s="9" t="s">
        <v>545</v>
      </c>
      <c r="B90" s="6">
        <v>5198.0</v>
      </c>
      <c r="C90" s="12" t="str">
        <f t="shared" si="1"/>
        <v>U5198</v>
      </c>
      <c r="D90" s="13" t="s">
        <v>538</v>
      </c>
      <c r="E90" s="14">
        <v>43374.0</v>
      </c>
      <c r="F90" s="9" t="s">
        <v>53</v>
      </c>
      <c r="G90" s="9" t="s">
        <v>54</v>
      </c>
      <c r="H90" s="9">
        <v>12.2</v>
      </c>
      <c r="I90" s="13">
        <v>104.0</v>
      </c>
      <c r="J90" s="13">
        <v>110.0</v>
      </c>
      <c r="K90" s="17">
        <f t="shared" si="2"/>
        <v>0.9166040571</v>
      </c>
      <c r="L90" s="9">
        <v>0.0</v>
      </c>
      <c r="M90" s="9" t="s">
        <v>57</v>
      </c>
      <c r="O90" s="9" t="s">
        <v>221</v>
      </c>
      <c r="P90" s="9" t="s">
        <v>60</v>
      </c>
      <c r="Q90" s="9" t="s">
        <v>63</v>
      </c>
      <c r="R90" s="9" t="s">
        <v>63</v>
      </c>
      <c r="S90" s="9" t="s">
        <v>64</v>
      </c>
      <c r="T90" t="str">
        <f t="shared" si="3"/>
        <v>N</v>
      </c>
      <c r="W90" s="12" t="str">
        <f t="array" ref="W90">if(and(L90=0,Q90="NA"),"NA",if(L90=0,"no lice",if(Q90="NA","no collection",index(sea_lice!G:G,match(C90,sea_lice!A:A,0)))))</f>
        <v>NA</v>
      </c>
      <c r="X90" s="23">
        <v>89.0</v>
      </c>
    </row>
    <row r="91">
      <c r="A91" s="9" t="s">
        <v>550</v>
      </c>
      <c r="B91" s="6">
        <v>5199.0</v>
      </c>
      <c r="C91" s="12" t="str">
        <f t="shared" si="1"/>
        <v>U5199</v>
      </c>
      <c r="D91" s="13" t="s">
        <v>538</v>
      </c>
      <c r="E91" s="14">
        <v>43374.0</v>
      </c>
      <c r="F91" s="9" t="s">
        <v>53</v>
      </c>
      <c r="G91" s="9" t="s">
        <v>54</v>
      </c>
      <c r="H91" s="9">
        <v>15.7</v>
      </c>
      <c r="I91" s="13">
        <v>112.0</v>
      </c>
      <c r="J91" s="13" t="s">
        <v>63</v>
      </c>
      <c r="K91" s="17" t="str">
        <f t="shared" si="2"/>
        <v/>
      </c>
      <c r="L91" s="9">
        <v>1.0</v>
      </c>
      <c r="M91" s="9" t="s">
        <v>57</v>
      </c>
      <c r="O91" s="9" t="s">
        <v>221</v>
      </c>
      <c r="P91" s="9" t="s">
        <v>60</v>
      </c>
      <c r="Q91" s="9" t="s">
        <v>63</v>
      </c>
      <c r="R91" s="9" t="s">
        <v>63</v>
      </c>
      <c r="S91" s="9" t="s">
        <v>64</v>
      </c>
      <c r="T91" t="str">
        <f t="shared" si="3"/>
        <v>N</v>
      </c>
      <c r="W91" s="12" t="str">
        <f t="array" ref="W91">if(and(L91=0,Q91="NA"),"NA",if(L91=0,"no lice",if(Q91="NA","no collection",index(sea_lice!G:G,match(C91,sea_lice!A:A,0)))))</f>
        <v>no collection</v>
      </c>
      <c r="X91" s="23">
        <v>90.0</v>
      </c>
    </row>
    <row r="92">
      <c r="A92" s="9" t="s">
        <v>555</v>
      </c>
      <c r="B92" s="6">
        <v>5200.0</v>
      </c>
      <c r="C92" s="12" t="str">
        <f t="shared" si="1"/>
        <v>U5200</v>
      </c>
      <c r="D92" s="13" t="s">
        <v>538</v>
      </c>
      <c r="E92" s="14">
        <v>43374.0</v>
      </c>
      <c r="F92" s="9" t="s">
        <v>53</v>
      </c>
      <c r="G92" s="9" t="s">
        <v>54</v>
      </c>
      <c r="H92" s="9">
        <v>10.4</v>
      </c>
      <c r="I92" s="13">
        <v>101.0</v>
      </c>
      <c r="J92" s="13" t="s">
        <v>63</v>
      </c>
      <c r="K92" s="17" t="str">
        <f t="shared" si="2"/>
        <v/>
      </c>
      <c r="L92" s="9">
        <v>1.0</v>
      </c>
      <c r="M92" s="9" t="s">
        <v>57</v>
      </c>
      <c r="O92" s="9" t="s">
        <v>221</v>
      </c>
      <c r="P92" s="9" t="s">
        <v>60</v>
      </c>
      <c r="Q92" s="9" t="s">
        <v>63</v>
      </c>
      <c r="R92" s="9" t="s">
        <v>63</v>
      </c>
      <c r="S92" s="9" t="s">
        <v>64</v>
      </c>
      <c r="T92" t="str">
        <f t="shared" si="3"/>
        <v>N</v>
      </c>
      <c r="W92" s="12" t="str">
        <f t="array" ref="W92">if(and(L92=0,Q92="NA"),"NA",if(L92=0,"no lice",if(Q92="NA","no collection",index(sea_lice!G:G,match(C92,sea_lice!A:A,0)))))</f>
        <v>no collection</v>
      </c>
      <c r="X92" s="23">
        <v>91.0</v>
      </c>
    </row>
    <row r="93">
      <c r="A93" s="9" t="s">
        <v>560</v>
      </c>
      <c r="B93" s="6">
        <v>5201.0</v>
      </c>
      <c r="C93" s="12" t="str">
        <f t="shared" si="1"/>
        <v>U5201</v>
      </c>
      <c r="D93" s="13" t="s">
        <v>538</v>
      </c>
      <c r="E93" s="14">
        <v>43375.0</v>
      </c>
      <c r="F93" s="9" t="s">
        <v>53</v>
      </c>
      <c r="G93" s="9" t="s">
        <v>54</v>
      </c>
      <c r="H93" s="9">
        <v>9.8</v>
      </c>
      <c r="I93" s="13">
        <v>92.0</v>
      </c>
      <c r="J93" s="13">
        <v>98.0</v>
      </c>
      <c r="K93" s="17">
        <f t="shared" si="2"/>
        <v>1.04123282</v>
      </c>
      <c r="L93" s="9">
        <v>0.0</v>
      </c>
      <c r="M93" s="9" t="s">
        <v>57</v>
      </c>
      <c r="N93" s="9" t="s">
        <v>563</v>
      </c>
      <c r="O93" s="9" t="s">
        <v>221</v>
      </c>
      <c r="P93" s="9" t="s">
        <v>60</v>
      </c>
      <c r="Q93" s="9" t="s">
        <v>63</v>
      </c>
      <c r="R93" s="9" t="s">
        <v>63</v>
      </c>
      <c r="S93" s="9" t="s">
        <v>64</v>
      </c>
      <c r="T93" t="str">
        <f t="shared" si="3"/>
        <v>N</v>
      </c>
      <c r="W93" s="12" t="str">
        <f t="array" ref="W93">if(and(L93=0,Q93="NA"),"NA",if(L93=0,"no lice",if(Q93="NA","no collection",index(sea_lice!G:G,match(C93,sea_lice!A:A,0)))))</f>
        <v>NA</v>
      </c>
      <c r="X93" s="23">
        <v>92.0</v>
      </c>
    </row>
    <row r="94">
      <c r="A94" s="9" t="s">
        <v>568</v>
      </c>
      <c r="B94" s="6">
        <v>5202.0</v>
      </c>
      <c r="C94" s="12" t="str">
        <f t="shared" si="1"/>
        <v>U5202</v>
      </c>
      <c r="D94" s="13" t="s">
        <v>538</v>
      </c>
      <c r="E94" s="14">
        <v>43375.0</v>
      </c>
      <c r="F94" s="9" t="s">
        <v>53</v>
      </c>
      <c r="G94" s="9" t="s">
        <v>54</v>
      </c>
      <c r="H94" s="9">
        <v>10.8</v>
      </c>
      <c r="I94" s="13">
        <v>99.0</v>
      </c>
      <c r="J94" s="13">
        <v>103.0</v>
      </c>
      <c r="K94" s="17">
        <f t="shared" si="2"/>
        <v>0.9883529921</v>
      </c>
      <c r="L94" s="9">
        <v>0.0</v>
      </c>
      <c r="M94" s="9" t="s">
        <v>57</v>
      </c>
      <c r="O94" s="9" t="s">
        <v>221</v>
      </c>
      <c r="P94" s="9" t="s">
        <v>60</v>
      </c>
      <c r="Q94" s="9" t="s">
        <v>63</v>
      </c>
      <c r="R94" s="9" t="s">
        <v>63</v>
      </c>
      <c r="S94" s="9" t="s">
        <v>64</v>
      </c>
      <c r="T94" t="str">
        <f t="shared" si="3"/>
        <v>N</v>
      </c>
      <c r="W94" s="12" t="str">
        <f t="array" ref="W94">if(and(L94=0,Q94="NA"),"NA",if(L94=0,"no lice",if(Q94="NA","no collection",index(sea_lice!G:G,match(C94,sea_lice!A:A,0)))))</f>
        <v>NA</v>
      </c>
      <c r="X94" s="23">
        <v>93.0</v>
      </c>
    </row>
    <row r="95">
      <c r="A95" s="9" t="s">
        <v>572</v>
      </c>
      <c r="B95" s="6">
        <v>5203.0</v>
      </c>
      <c r="C95" s="12" t="str">
        <f t="shared" si="1"/>
        <v>U5203</v>
      </c>
      <c r="D95" s="13" t="s">
        <v>538</v>
      </c>
      <c r="E95" s="14">
        <v>43375.0</v>
      </c>
      <c r="F95" s="9" t="s">
        <v>53</v>
      </c>
      <c r="G95" s="9" t="s">
        <v>54</v>
      </c>
      <c r="H95" s="9">
        <v>17.2</v>
      </c>
      <c r="I95" s="13">
        <v>117.0</v>
      </c>
      <c r="J95" s="13">
        <v>122.0</v>
      </c>
      <c r="K95" s="17">
        <f t="shared" si="2"/>
        <v>0.9472158463</v>
      </c>
      <c r="L95" s="9">
        <v>0.0</v>
      </c>
      <c r="M95" s="9" t="s">
        <v>57</v>
      </c>
      <c r="O95" s="9" t="s">
        <v>221</v>
      </c>
      <c r="P95" s="9" t="s">
        <v>60</v>
      </c>
      <c r="Q95" s="9" t="s">
        <v>63</v>
      </c>
      <c r="R95" s="9" t="s">
        <v>63</v>
      </c>
      <c r="S95" s="9" t="s">
        <v>64</v>
      </c>
      <c r="T95" t="str">
        <f t="shared" si="3"/>
        <v>N</v>
      </c>
      <c r="W95" s="12" t="str">
        <f t="array" ref="W95">if(and(L95=0,Q95="NA"),"NA",if(L95=0,"no lice",if(Q95="NA","no collection",index(sea_lice!G:G,match(C95,sea_lice!A:A,0)))))</f>
        <v>NA</v>
      </c>
      <c r="X95" s="23">
        <v>94.0</v>
      </c>
    </row>
    <row r="96">
      <c r="A96" s="9" t="s">
        <v>576</v>
      </c>
      <c r="B96" s="6">
        <v>5204.0</v>
      </c>
      <c r="C96" s="12" t="str">
        <f t="shared" si="1"/>
        <v>U5204</v>
      </c>
      <c r="D96" s="13" t="s">
        <v>538</v>
      </c>
      <c r="E96" s="14">
        <v>43375.0</v>
      </c>
      <c r="F96" s="9" t="s">
        <v>53</v>
      </c>
      <c r="G96" s="9" t="s">
        <v>54</v>
      </c>
      <c r="H96" s="9">
        <v>11.0</v>
      </c>
      <c r="I96" s="13">
        <v>99.0</v>
      </c>
      <c r="J96" s="13">
        <v>104.0</v>
      </c>
      <c r="K96" s="17">
        <f t="shared" si="2"/>
        <v>0.9778959945</v>
      </c>
      <c r="L96" s="9">
        <v>2.0</v>
      </c>
      <c r="M96" s="9" t="s">
        <v>57</v>
      </c>
      <c r="O96" s="9" t="s">
        <v>221</v>
      </c>
      <c r="P96" s="9" t="s">
        <v>60</v>
      </c>
      <c r="Q96" s="9" t="s">
        <v>63</v>
      </c>
      <c r="R96" s="9" t="s">
        <v>63</v>
      </c>
      <c r="S96" s="9" t="s">
        <v>64</v>
      </c>
      <c r="T96" t="str">
        <f t="shared" si="3"/>
        <v>N</v>
      </c>
      <c r="W96" s="12" t="str">
        <f t="array" ref="W96">if(and(L96=0,Q96="NA"),"NA",if(L96=0,"no lice",if(Q96="NA","no collection",index(sea_lice!G:G,match(C96,sea_lice!A:A,0)))))</f>
        <v>no collection</v>
      </c>
      <c r="X96" s="23">
        <v>95.0</v>
      </c>
    </row>
    <row r="97">
      <c r="A97" s="9" t="s">
        <v>582</v>
      </c>
      <c r="B97" s="6">
        <v>5205.0</v>
      </c>
      <c r="C97" s="12" t="str">
        <f t="shared" si="1"/>
        <v>U5205</v>
      </c>
      <c r="D97" s="13" t="s">
        <v>538</v>
      </c>
      <c r="E97" s="14">
        <v>43375.0</v>
      </c>
      <c r="F97" s="9" t="s">
        <v>53</v>
      </c>
      <c r="G97" s="9" t="s">
        <v>54</v>
      </c>
      <c r="H97" s="9">
        <v>15.8</v>
      </c>
      <c r="I97" s="13">
        <v>114.0</v>
      </c>
      <c r="J97" s="13" t="s">
        <v>63</v>
      </c>
      <c r="K97" s="17" t="str">
        <f t="shared" si="2"/>
        <v/>
      </c>
      <c r="L97" s="9">
        <v>1.0</v>
      </c>
      <c r="M97" s="9" t="s">
        <v>57</v>
      </c>
      <c r="O97" s="9" t="s">
        <v>221</v>
      </c>
      <c r="P97" s="9" t="s">
        <v>60</v>
      </c>
      <c r="Q97" s="9" t="s">
        <v>63</v>
      </c>
      <c r="R97" s="9" t="s">
        <v>63</v>
      </c>
      <c r="S97" s="9" t="s">
        <v>64</v>
      </c>
      <c r="T97" t="str">
        <f t="shared" si="3"/>
        <v>N</v>
      </c>
      <c r="W97" s="12" t="str">
        <f t="array" ref="W97">if(and(L97=0,Q97="NA"),"NA",if(L97=0,"no lice",if(Q97="NA","no collection",index(sea_lice!G:G,match(C97,sea_lice!A:A,0)))))</f>
        <v>no collection</v>
      </c>
      <c r="X97" s="23">
        <v>96.0</v>
      </c>
    </row>
    <row r="98">
      <c r="A98" s="9" t="s">
        <v>586</v>
      </c>
      <c r="B98" s="6">
        <v>5206.0</v>
      </c>
      <c r="C98" s="12" t="str">
        <f t="shared" si="1"/>
        <v>U5206</v>
      </c>
      <c r="D98" s="13" t="s">
        <v>587</v>
      </c>
      <c r="E98" s="14">
        <v>43375.0</v>
      </c>
      <c r="F98" s="9" t="s">
        <v>53</v>
      </c>
      <c r="G98" s="9" t="s">
        <v>54</v>
      </c>
      <c r="H98" s="9">
        <v>15.2</v>
      </c>
      <c r="I98" s="13">
        <v>111.0</v>
      </c>
      <c r="J98" s="13" t="s">
        <v>63</v>
      </c>
      <c r="K98" s="17" t="str">
        <f t="shared" si="2"/>
        <v/>
      </c>
      <c r="L98" s="9">
        <v>1.0</v>
      </c>
      <c r="M98" s="9" t="s">
        <v>57</v>
      </c>
      <c r="N98" s="9" t="s">
        <v>563</v>
      </c>
      <c r="O98" s="9" t="s">
        <v>221</v>
      </c>
      <c r="P98" s="9" t="s">
        <v>60</v>
      </c>
      <c r="Q98" s="9" t="s">
        <v>63</v>
      </c>
      <c r="R98" s="9" t="s">
        <v>63</v>
      </c>
      <c r="S98" s="9" t="s">
        <v>64</v>
      </c>
      <c r="T98" t="str">
        <f t="shared" si="3"/>
        <v>N</v>
      </c>
      <c r="W98" s="12" t="str">
        <f t="array" ref="W98">if(and(L98=0,Q98="NA"),"NA",if(L98=0,"no lice",if(Q98="NA","no collection",index(sea_lice!G:G,match(C98,sea_lice!A:A,0)))))</f>
        <v>no collection</v>
      </c>
      <c r="X98" s="23">
        <v>97.0</v>
      </c>
    </row>
    <row r="99">
      <c r="A99" s="9" t="s">
        <v>612</v>
      </c>
      <c r="B99" s="6">
        <v>5207.0</v>
      </c>
      <c r="C99" s="12" t="str">
        <f t="shared" si="1"/>
        <v>U5207</v>
      </c>
      <c r="D99" s="13" t="s">
        <v>587</v>
      </c>
      <c r="E99" s="14">
        <v>43375.0</v>
      </c>
      <c r="F99" s="9" t="s">
        <v>53</v>
      </c>
      <c r="G99" s="9" t="s">
        <v>54</v>
      </c>
      <c r="H99" s="9">
        <v>11.7</v>
      </c>
      <c r="I99" s="13">
        <v>103.0</v>
      </c>
      <c r="J99" s="13" t="s">
        <v>63</v>
      </c>
      <c r="K99" s="17" t="str">
        <f t="shared" si="2"/>
        <v/>
      </c>
      <c r="L99" s="9">
        <v>1.0</v>
      </c>
      <c r="M99" s="9" t="s">
        <v>57</v>
      </c>
      <c r="N99" s="9" t="s">
        <v>563</v>
      </c>
      <c r="O99" s="9" t="s">
        <v>221</v>
      </c>
      <c r="P99" s="9" t="s">
        <v>60</v>
      </c>
      <c r="Q99" s="9" t="s">
        <v>63</v>
      </c>
      <c r="R99" s="9" t="s">
        <v>63</v>
      </c>
      <c r="S99" s="9" t="s">
        <v>64</v>
      </c>
      <c r="T99" t="str">
        <f t="shared" si="3"/>
        <v>N</v>
      </c>
      <c r="W99" s="12" t="str">
        <f t="array" ref="W99">if(and(L99=0,Q99="NA"),"NA",if(L99=0,"no lice",if(Q99="NA","no collection",index(sea_lice!G:G,match(C99,sea_lice!A:A,0)))))</f>
        <v>no collection</v>
      </c>
      <c r="X99" s="23">
        <v>98.0</v>
      </c>
    </row>
    <row r="100">
      <c r="A100" s="9" t="s">
        <v>616</v>
      </c>
      <c r="B100" s="6">
        <v>5208.0</v>
      </c>
      <c r="C100" s="12" t="str">
        <f t="shared" si="1"/>
        <v>U5208</v>
      </c>
      <c r="D100" s="13" t="s">
        <v>587</v>
      </c>
      <c r="E100" s="14">
        <v>43375.0</v>
      </c>
      <c r="F100" s="9" t="s">
        <v>53</v>
      </c>
      <c r="G100" s="9" t="s">
        <v>54</v>
      </c>
      <c r="H100" s="9">
        <v>19.9</v>
      </c>
      <c r="I100" s="13">
        <v>123.0</v>
      </c>
      <c r="J100" s="13">
        <v>127.0</v>
      </c>
      <c r="K100" s="17">
        <f t="shared" si="2"/>
        <v>0.971498006</v>
      </c>
      <c r="L100" s="9">
        <v>0.0</v>
      </c>
      <c r="M100" s="9" t="s">
        <v>57</v>
      </c>
      <c r="O100" s="9" t="s">
        <v>221</v>
      </c>
      <c r="P100" s="9" t="s">
        <v>60</v>
      </c>
      <c r="Q100" s="9" t="s">
        <v>63</v>
      </c>
      <c r="R100" s="9" t="s">
        <v>63</v>
      </c>
      <c r="S100" s="9" t="s">
        <v>64</v>
      </c>
      <c r="T100" t="str">
        <f t="shared" si="3"/>
        <v>N</v>
      </c>
      <c r="W100" s="12" t="str">
        <f t="array" ref="W100">if(and(L100=0,Q100="NA"),"NA",if(L100=0,"no lice",if(Q100="NA","no collection",index(sea_lice!G:G,match(C100,sea_lice!A:A,0)))))</f>
        <v>NA</v>
      </c>
      <c r="X100" s="23">
        <v>99.0</v>
      </c>
    </row>
    <row r="101">
      <c r="A101" s="9" t="s">
        <v>620</v>
      </c>
      <c r="B101" s="6">
        <v>5209.0</v>
      </c>
      <c r="C101" s="12" t="str">
        <f t="shared" si="1"/>
        <v>U5209</v>
      </c>
      <c r="D101" s="13" t="s">
        <v>587</v>
      </c>
      <c r="E101" s="14">
        <v>43375.0</v>
      </c>
      <c r="F101" s="9" t="s">
        <v>53</v>
      </c>
      <c r="G101" s="9" t="s">
        <v>54</v>
      </c>
      <c r="H101" s="9">
        <v>10.6</v>
      </c>
      <c r="I101" s="13">
        <v>95.0</v>
      </c>
      <c r="J101" s="13">
        <v>100.0</v>
      </c>
      <c r="K101" s="17">
        <f t="shared" si="2"/>
        <v>1.06</v>
      </c>
      <c r="L101" s="9">
        <v>1.0</v>
      </c>
      <c r="M101" s="9" t="s">
        <v>57</v>
      </c>
      <c r="O101" s="9" t="s">
        <v>221</v>
      </c>
      <c r="P101" s="9" t="s">
        <v>60</v>
      </c>
      <c r="Q101" s="9" t="s">
        <v>63</v>
      </c>
      <c r="R101" s="9" t="s">
        <v>63</v>
      </c>
      <c r="S101" s="9" t="s">
        <v>64</v>
      </c>
      <c r="T101" t="str">
        <f t="shared" si="3"/>
        <v>N</v>
      </c>
      <c r="W101" s="12" t="str">
        <f t="array" ref="W101">if(and(L101=0,Q101="NA"),"NA",if(L101=0,"no lice",if(Q101="NA","no collection",index(sea_lice!G:G,match(C101,sea_lice!A:A,0)))))</f>
        <v>no collection</v>
      </c>
      <c r="X101" s="23">
        <v>100.0</v>
      </c>
    </row>
    <row r="102">
      <c r="A102" s="9" t="s">
        <v>625</v>
      </c>
      <c r="B102" s="6">
        <v>5210.0</v>
      </c>
      <c r="C102" s="12" t="str">
        <f t="shared" si="1"/>
        <v>U5210</v>
      </c>
      <c r="D102" s="13" t="s">
        <v>587</v>
      </c>
      <c r="E102" s="14">
        <v>43375.0</v>
      </c>
      <c r="F102" s="9" t="s">
        <v>53</v>
      </c>
      <c r="G102" s="9" t="s">
        <v>54</v>
      </c>
      <c r="H102" s="9">
        <v>13.5</v>
      </c>
      <c r="I102" s="13">
        <v>99.0</v>
      </c>
      <c r="J102" s="13">
        <v>104.0</v>
      </c>
      <c r="K102" s="17">
        <f t="shared" si="2"/>
        <v>1.200145084</v>
      </c>
      <c r="L102" s="9">
        <v>0.0</v>
      </c>
      <c r="M102" s="9" t="s">
        <v>57</v>
      </c>
      <c r="O102" s="9" t="s">
        <v>221</v>
      </c>
      <c r="P102" s="9" t="s">
        <v>60</v>
      </c>
      <c r="Q102" s="9" t="s">
        <v>63</v>
      </c>
      <c r="R102" s="9" t="s">
        <v>63</v>
      </c>
      <c r="S102" s="9" t="s">
        <v>64</v>
      </c>
      <c r="T102" t="str">
        <f t="shared" si="3"/>
        <v>N</v>
      </c>
      <c r="W102" s="12" t="str">
        <f t="array" ref="W102">if(and(L102=0,Q102="NA"),"NA",if(L102=0,"no lice",if(Q102="NA","no collection",index(sea_lice!G:G,match(C102,sea_lice!A:A,0)))))</f>
        <v>NA</v>
      </c>
      <c r="X102" s="23">
        <v>101.0</v>
      </c>
    </row>
    <row r="103">
      <c r="A103" s="9" t="s">
        <v>629</v>
      </c>
      <c r="B103" s="6">
        <v>5211.0</v>
      </c>
      <c r="C103" s="12" t="str">
        <f t="shared" si="1"/>
        <v>U5211</v>
      </c>
      <c r="D103" s="13" t="s">
        <v>630</v>
      </c>
      <c r="E103" s="14">
        <v>43375.0</v>
      </c>
      <c r="F103" s="9" t="s">
        <v>53</v>
      </c>
      <c r="G103" s="9" t="s">
        <v>54</v>
      </c>
      <c r="H103" s="9">
        <v>14.8</v>
      </c>
      <c r="I103" s="13">
        <v>108.0</v>
      </c>
      <c r="J103" s="13">
        <v>114.0</v>
      </c>
      <c r="K103" s="17">
        <f t="shared" si="2"/>
        <v>0.998957844</v>
      </c>
      <c r="L103" s="9">
        <v>1.0</v>
      </c>
      <c r="M103" s="9" t="s">
        <v>57</v>
      </c>
      <c r="O103" s="9" t="s">
        <v>221</v>
      </c>
      <c r="P103" s="9" t="s">
        <v>60</v>
      </c>
      <c r="Q103" s="9" t="s">
        <v>63</v>
      </c>
      <c r="R103" s="9" t="s">
        <v>63</v>
      </c>
      <c r="S103" s="9" t="s">
        <v>64</v>
      </c>
      <c r="T103" t="str">
        <f t="shared" si="3"/>
        <v>N</v>
      </c>
      <c r="W103" s="12" t="str">
        <f t="array" ref="W103">if(and(L103=0,Q103="NA"),"NA",if(L103=0,"no lice",if(Q103="NA","no collection",index(sea_lice!G:G,match(C103,sea_lice!A:A,0)))))</f>
        <v>no collection</v>
      </c>
      <c r="X103" s="23">
        <v>102.0</v>
      </c>
    </row>
    <row r="104">
      <c r="A104" s="9" t="s">
        <v>636</v>
      </c>
      <c r="B104" s="6">
        <v>5185.0</v>
      </c>
      <c r="C104" s="12" t="str">
        <f t="shared" si="1"/>
        <v>U5185</v>
      </c>
      <c r="D104" s="13" t="s">
        <v>474</v>
      </c>
      <c r="E104" s="14">
        <v>43376.0</v>
      </c>
      <c r="F104" s="9" t="s">
        <v>53</v>
      </c>
      <c r="G104" s="9" t="s">
        <v>54</v>
      </c>
      <c r="H104" s="9">
        <v>10.3</v>
      </c>
      <c r="I104" s="13">
        <v>99.0</v>
      </c>
      <c r="J104" s="13" t="s">
        <v>63</v>
      </c>
      <c r="K104" s="17" t="str">
        <f t="shared" si="2"/>
        <v/>
      </c>
      <c r="L104" s="9">
        <v>2.0</v>
      </c>
      <c r="M104" s="9" t="s">
        <v>57</v>
      </c>
      <c r="O104" s="9" t="s">
        <v>64</v>
      </c>
      <c r="P104" s="9" t="s">
        <v>60</v>
      </c>
      <c r="Q104" s="9" t="s">
        <v>63</v>
      </c>
      <c r="R104" s="9" t="s">
        <v>63</v>
      </c>
      <c r="S104" s="9" t="s">
        <v>638</v>
      </c>
      <c r="T104" t="str">
        <f t="shared" si="3"/>
        <v>N</v>
      </c>
      <c r="W104" s="12" t="str">
        <f t="array" ref="W104">if(and(L104=0,Q104="NA"),"NA",if(L104=0,"no lice",if(Q104="NA","no collection",index(sea_lice!G:G,match(C104,sea_lice!A:A,0)))))</f>
        <v>no collection</v>
      </c>
      <c r="X104" s="23">
        <v>103.0</v>
      </c>
    </row>
    <row r="105">
      <c r="A105" s="9" t="s">
        <v>641</v>
      </c>
      <c r="B105" s="6">
        <v>5186.0</v>
      </c>
      <c r="C105" s="12" t="str">
        <f t="shared" si="1"/>
        <v>U5186</v>
      </c>
      <c r="D105" s="13" t="s">
        <v>474</v>
      </c>
      <c r="E105" s="14">
        <v>43376.0</v>
      </c>
      <c r="F105" s="9" t="s">
        <v>53</v>
      </c>
      <c r="G105" s="9" t="s">
        <v>54</v>
      </c>
      <c r="H105" s="9">
        <v>14.1</v>
      </c>
      <c r="I105" s="13">
        <v>110.0</v>
      </c>
      <c r="J105" s="13">
        <v>115.0</v>
      </c>
      <c r="K105" s="17">
        <f t="shared" si="2"/>
        <v>0.9270978877</v>
      </c>
      <c r="L105" s="9">
        <v>0.0</v>
      </c>
      <c r="M105" s="9" t="s">
        <v>57</v>
      </c>
      <c r="O105" s="9" t="s">
        <v>64</v>
      </c>
      <c r="P105" s="9" t="s">
        <v>60</v>
      </c>
      <c r="Q105" s="9" t="s">
        <v>63</v>
      </c>
      <c r="R105" s="9" t="s">
        <v>63</v>
      </c>
      <c r="S105" s="9" t="s">
        <v>638</v>
      </c>
      <c r="T105" t="str">
        <f t="shared" si="3"/>
        <v>N</v>
      </c>
      <c r="W105" s="12" t="str">
        <f t="array" ref="W105">if(and(L105=0,Q105="NA"),"NA",if(L105=0,"no lice",if(Q105="NA","no collection",index(sea_lice!G:G,match(C105,sea_lice!A:A,0)))))</f>
        <v>NA</v>
      </c>
      <c r="X105" s="23">
        <v>104.0</v>
      </c>
    </row>
    <row r="106">
      <c r="A106" s="9" t="s">
        <v>645</v>
      </c>
      <c r="B106" s="6">
        <v>5187.0</v>
      </c>
      <c r="C106" s="12" t="str">
        <f t="shared" si="1"/>
        <v>U5187</v>
      </c>
      <c r="D106" s="13" t="s">
        <v>474</v>
      </c>
      <c r="E106" s="14">
        <v>43376.0</v>
      </c>
      <c r="F106" s="9" t="s">
        <v>53</v>
      </c>
      <c r="G106" s="9" t="s">
        <v>54</v>
      </c>
      <c r="H106" s="9">
        <v>14.7</v>
      </c>
      <c r="I106" s="13">
        <v>111.0</v>
      </c>
      <c r="J106" s="13" t="s">
        <v>63</v>
      </c>
      <c r="K106" s="17" t="str">
        <f t="shared" si="2"/>
        <v/>
      </c>
      <c r="L106" s="9">
        <v>0.0</v>
      </c>
      <c r="M106" s="9" t="s">
        <v>57</v>
      </c>
      <c r="O106" s="9" t="s">
        <v>64</v>
      </c>
      <c r="P106" s="9" t="s">
        <v>60</v>
      </c>
      <c r="Q106" s="9" t="s">
        <v>63</v>
      </c>
      <c r="R106" s="9" t="s">
        <v>63</v>
      </c>
      <c r="S106" s="9" t="s">
        <v>638</v>
      </c>
      <c r="T106" t="str">
        <f t="shared" si="3"/>
        <v>N</v>
      </c>
      <c r="W106" s="12" t="str">
        <f t="array" ref="W106">if(and(L106=0,Q106="NA"),"NA",if(L106=0,"no lice",if(Q106="NA","no collection",index(sea_lice!G:G,match(C106,sea_lice!A:A,0)))))</f>
        <v>NA</v>
      </c>
      <c r="X106" s="23">
        <v>105.0</v>
      </c>
    </row>
    <row r="107">
      <c r="A107" s="9" t="s">
        <v>649</v>
      </c>
      <c r="B107" s="6">
        <v>5188.0</v>
      </c>
      <c r="C107" s="12" t="str">
        <f t="shared" si="1"/>
        <v>U5188</v>
      </c>
      <c r="D107" s="13" t="s">
        <v>474</v>
      </c>
      <c r="E107" s="14">
        <v>43376.0</v>
      </c>
      <c r="F107" s="9" t="s">
        <v>53</v>
      </c>
      <c r="G107" s="9" t="s">
        <v>54</v>
      </c>
      <c r="H107" s="9">
        <v>14.9</v>
      </c>
      <c r="I107" s="13">
        <v>108.0</v>
      </c>
      <c r="J107" s="13">
        <v>113.0</v>
      </c>
      <c r="K107" s="17">
        <f t="shared" si="2"/>
        <v>1.032644742</v>
      </c>
      <c r="L107" s="9">
        <v>0.0</v>
      </c>
      <c r="M107" s="9" t="s">
        <v>57</v>
      </c>
      <c r="O107" s="9" t="s">
        <v>64</v>
      </c>
      <c r="P107" s="9" t="s">
        <v>60</v>
      </c>
      <c r="Q107" s="9" t="s">
        <v>63</v>
      </c>
      <c r="R107" s="9" t="s">
        <v>63</v>
      </c>
      <c r="S107" s="9" t="s">
        <v>638</v>
      </c>
      <c r="T107" t="str">
        <f t="shared" si="3"/>
        <v>N</v>
      </c>
      <c r="W107" s="12" t="str">
        <f t="array" ref="W107">if(and(L107=0,Q107="NA"),"NA",if(L107=0,"no lice",if(Q107="NA","no collection",index(sea_lice!G:G,match(C107,sea_lice!A:A,0)))))</f>
        <v>NA</v>
      </c>
      <c r="X107" s="23">
        <v>106.0</v>
      </c>
    </row>
    <row r="108">
      <c r="A108" s="9" t="s">
        <v>654</v>
      </c>
      <c r="B108" s="6">
        <v>5189.0</v>
      </c>
      <c r="C108" s="12" t="str">
        <f t="shared" si="1"/>
        <v>U5189</v>
      </c>
      <c r="D108" s="13" t="s">
        <v>655</v>
      </c>
      <c r="E108" s="14">
        <v>43376.0</v>
      </c>
      <c r="F108" s="9" t="s">
        <v>53</v>
      </c>
      <c r="G108" s="9" t="s">
        <v>54</v>
      </c>
      <c r="H108" s="9">
        <v>11.6</v>
      </c>
      <c r="I108" s="13">
        <v>103.0</v>
      </c>
      <c r="J108" s="13">
        <v>107.0</v>
      </c>
      <c r="K108" s="17">
        <f t="shared" si="2"/>
        <v>0.9469055372</v>
      </c>
      <c r="L108" s="9">
        <v>1.0</v>
      </c>
      <c r="M108" s="9" t="s">
        <v>57</v>
      </c>
      <c r="O108" s="9" t="s">
        <v>64</v>
      </c>
      <c r="P108" s="9" t="s">
        <v>60</v>
      </c>
      <c r="Q108" s="9" t="s">
        <v>63</v>
      </c>
      <c r="R108" s="9" t="s">
        <v>63</v>
      </c>
      <c r="S108" s="9" t="s">
        <v>638</v>
      </c>
      <c r="T108" t="str">
        <f t="shared" si="3"/>
        <v>N</v>
      </c>
      <c r="W108" s="12" t="str">
        <f t="array" ref="W108">if(and(L108=0,Q108="NA"),"NA",if(L108=0,"no lice",if(Q108="NA","no collection",index(sea_lice!G:G,match(C108,sea_lice!A:A,0)))))</f>
        <v>no collection</v>
      </c>
      <c r="X108" s="23">
        <v>107.0</v>
      </c>
    </row>
    <row r="109">
      <c r="A109" s="9" t="s">
        <v>663</v>
      </c>
      <c r="B109" s="6">
        <v>5190.0</v>
      </c>
      <c r="C109" s="12" t="str">
        <f t="shared" si="1"/>
        <v>U5190</v>
      </c>
      <c r="D109" s="13" t="s">
        <v>655</v>
      </c>
      <c r="E109" s="14">
        <v>43376.0</v>
      </c>
      <c r="F109" s="9" t="s">
        <v>53</v>
      </c>
      <c r="G109" s="9" t="s">
        <v>54</v>
      </c>
      <c r="H109" s="9">
        <v>13.8</v>
      </c>
      <c r="I109" s="13">
        <v>109.0</v>
      </c>
      <c r="J109" s="13">
        <v>114.0</v>
      </c>
      <c r="K109" s="17">
        <f t="shared" si="2"/>
        <v>0.9314606924</v>
      </c>
      <c r="L109" s="9">
        <v>0.0</v>
      </c>
      <c r="M109" s="9" t="s">
        <v>57</v>
      </c>
      <c r="O109" s="9" t="s">
        <v>64</v>
      </c>
      <c r="P109" s="9" t="s">
        <v>60</v>
      </c>
      <c r="Q109" s="9" t="s">
        <v>63</v>
      </c>
      <c r="R109" s="9" t="s">
        <v>63</v>
      </c>
      <c r="S109" s="9" t="s">
        <v>638</v>
      </c>
      <c r="T109" t="str">
        <f t="shared" si="3"/>
        <v>N</v>
      </c>
      <c r="W109" s="12" t="str">
        <f t="array" ref="W109">if(and(L109=0,Q109="NA"),"NA",if(L109=0,"no lice",if(Q109="NA","no collection",index(sea_lice!G:G,match(C109,sea_lice!A:A,0)))))</f>
        <v>NA</v>
      </c>
      <c r="X109" s="23">
        <v>108.0</v>
      </c>
    </row>
    <row r="110">
      <c r="A110" s="9" t="s">
        <v>669</v>
      </c>
      <c r="B110" s="6">
        <v>5191.0</v>
      </c>
      <c r="C110" s="12" t="str">
        <f t="shared" si="1"/>
        <v>U5191</v>
      </c>
      <c r="D110" s="13" t="s">
        <v>655</v>
      </c>
      <c r="E110" s="14">
        <v>43376.0</v>
      </c>
      <c r="F110" s="9" t="s">
        <v>53</v>
      </c>
      <c r="G110" s="9" t="s">
        <v>54</v>
      </c>
      <c r="H110" s="9">
        <v>13.6</v>
      </c>
      <c r="I110" s="13">
        <v>109.0</v>
      </c>
      <c r="J110" s="13">
        <v>114.0</v>
      </c>
      <c r="K110" s="17">
        <f t="shared" si="2"/>
        <v>0.917961262</v>
      </c>
      <c r="L110" s="9">
        <v>0.0</v>
      </c>
      <c r="M110" s="9" t="s">
        <v>57</v>
      </c>
      <c r="O110" s="9" t="s">
        <v>64</v>
      </c>
      <c r="P110" s="9" t="s">
        <v>60</v>
      </c>
      <c r="Q110" s="9" t="s">
        <v>63</v>
      </c>
      <c r="R110" s="9" t="s">
        <v>63</v>
      </c>
      <c r="S110" s="9" t="s">
        <v>638</v>
      </c>
      <c r="T110" t="str">
        <f t="shared" si="3"/>
        <v>N</v>
      </c>
      <c r="W110" s="12" t="str">
        <f t="array" ref="W110">if(and(L110=0,Q110="NA"),"NA",if(L110=0,"no lice",if(Q110="NA","no collection",index(sea_lice!G:G,match(C110,sea_lice!A:A,0)))))</f>
        <v>NA</v>
      </c>
      <c r="X110" s="23">
        <v>109.0</v>
      </c>
    </row>
    <row r="111">
      <c r="A111" s="9" t="s">
        <v>672</v>
      </c>
      <c r="B111" s="6">
        <v>5192.0</v>
      </c>
      <c r="C111" s="12" t="str">
        <f t="shared" si="1"/>
        <v>U5192</v>
      </c>
      <c r="D111" s="13" t="s">
        <v>655</v>
      </c>
      <c r="E111" s="14">
        <v>43376.0</v>
      </c>
      <c r="F111" s="9" t="s">
        <v>53</v>
      </c>
      <c r="G111" s="9" t="s">
        <v>54</v>
      </c>
      <c r="H111" s="9">
        <v>11.6</v>
      </c>
      <c r="I111" s="13">
        <v>105.0</v>
      </c>
      <c r="J111" s="13">
        <v>110.0</v>
      </c>
      <c r="K111" s="17">
        <f t="shared" si="2"/>
        <v>0.871525169</v>
      </c>
      <c r="L111" s="9">
        <v>0.0</v>
      </c>
      <c r="M111" s="9" t="s">
        <v>57</v>
      </c>
      <c r="O111" s="9" t="s">
        <v>64</v>
      </c>
      <c r="P111" s="9" t="s">
        <v>60</v>
      </c>
      <c r="Q111" s="9" t="s">
        <v>63</v>
      </c>
      <c r="R111" s="9" t="s">
        <v>63</v>
      </c>
      <c r="S111" s="9" t="s">
        <v>638</v>
      </c>
      <c r="T111" t="str">
        <f t="shared" si="3"/>
        <v>N</v>
      </c>
      <c r="W111" s="12" t="str">
        <f t="array" ref="W111">if(and(L111=0,Q111="NA"),"NA",if(L111=0,"no lice",if(Q111="NA","no collection",index(sea_lice!G:G,match(C111,sea_lice!A:A,0)))))</f>
        <v>NA</v>
      </c>
      <c r="X111" s="23">
        <v>110.0</v>
      </c>
    </row>
    <row r="112">
      <c r="A112" s="9" t="s">
        <v>675</v>
      </c>
      <c r="B112" s="6">
        <v>5193.0</v>
      </c>
      <c r="C112" s="12" t="str">
        <f t="shared" si="1"/>
        <v>U5193</v>
      </c>
      <c r="D112" s="13" t="s">
        <v>655</v>
      </c>
      <c r="E112" s="14">
        <v>43376.0</v>
      </c>
      <c r="F112" s="9" t="s">
        <v>53</v>
      </c>
      <c r="G112" s="9" t="s">
        <v>54</v>
      </c>
      <c r="H112" s="9">
        <v>16.7</v>
      </c>
      <c r="I112" s="13">
        <v>115.0</v>
      </c>
      <c r="J112" s="13">
        <v>120.0</v>
      </c>
      <c r="K112" s="17">
        <f t="shared" si="2"/>
        <v>0.9664351852</v>
      </c>
      <c r="L112" s="9">
        <v>0.0</v>
      </c>
      <c r="M112" s="9" t="s">
        <v>57</v>
      </c>
      <c r="O112" s="9" t="s">
        <v>64</v>
      </c>
      <c r="P112" s="9" t="s">
        <v>60</v>
      </c>
      <c r="Q112" s="9" t="s">
        <v>63</v>
      </c>
      <c r="R112" s="9" t="s">
        <v>63</v>
      </c>
      <c r="S112" s="9" t="s">
        <v>638</v>
      </c>
      <c r="T112" t="str">
        <f t="shared" si="3"/>
        <v>N</v>
      </c>
      <c r="W112" s="12" t="str">
        <f t="array" ref="W112">if(and(L112=0,Q112="NA"),"NA",if(L112=0,"no lice",if(Q112="NA","no collection",index(sea_lice!G:G,match(C112,sea_lice!A:A,0)))))</f>
        <v>NA</v>
      </c>
      <c r="X112" s="23">
        <v>111.0</v>
      </c>
    </row>
    <row r="113">
      <c r="A113" s="9" t="s">
        <v>680</v>
      </c>
      <c r="B113" s="6">
        <v>5232.0</v>
      </c>
      <c r="C113" s="12" t="str">
        <f t="shared" si="1"/>
        <v>U5232</v>
      </c>
      <c r="D113" s="13" t="s">
        <v>655</v>
      </c>
      <c r="E113" s="14">
        <v>43376.0</v>
      </c>
      <c r="F113" s="9" t="s">
        <v>53</v>
      </c>
      <c r="G113" s="9" t="s">
        <v>54</v>
      </c>
      <c r="H113" s="9">
        <v>16.4</v>
      </c>
      <c r="I113" s="13">
        <v>116.0</v>
      </c>
      <c r="J113" s="13">
        <v>121.0</v>
      </c>
      <c r="K113" s="17">
        <f t="shared" si="2"/>
        <v>0.9257372453</v>
      </c>
      <c r="L113" s="9">
        <v>0.0</v>
      </c>
      <c r="M113" s="9" t="s">
        <v>57</v>
      </c>
      <c r="O113" s="9" t="s">
        <v>64</v>
      </c>
      <c r="P113" s="9" t="s">
        <v>60</v>
      </c>
      <c r="Q113" s="9" t="s">
        <v>63</v>
      </c>
      <c r="R113" s="9" t="s">
        <v>63</v>
      </c>
      <c r="S113" s="9" t="s">
        <v>638</v>
      </c>
      <c r="T113" t="str">
        <f t="shared" si="3"/>
        <v>N</v>
      </c>
      <c r="W113" s="12" t="str">
        <f t="array" ref="W113">if(and(L113=0,Q113="NA"),"NA",if(L113=0,"no lice",if(Q113="NA","no collection",index(sea_lice!G:G,match(C113,sea_lice!A:A,0)))))</f>
        <v>NA</v>
      </c>
      <c r="X113" s="23">
        <v>112.0</v>
      </c>
    </row>
    <row r="114">
      <c r="A114" s="9" t="s">
        <v>684</v>
      </c>
      <c r="B114" s="6">
        <v>5233.0</v>
      </c>
      <c r="C114" s="12" t="str">
        <f t="shared" si="1"/>
        <v>U5233</v>
      </c>
      <c r="D114" s="13" t="s">
        <v>655</v>
      </c>
      <c r="E114" s="14">
        <v>43376.0</v>
      </c>
      <c r="F114" s="9" t="s">
        <v>53</v>
      </c>
      <c r="G114" s="9" t="s">
        <v>54</v>
      </c>
      <c r="H114" s="9">
        <v>12.5</v>
      </c>
      <c r="I114" s="13">
        <v>108.0</v>
      </c>
      <c r="J114" s="13">
        <v>113.0</v>
      </c>
      <c r="K114" s="17">
        <f t="shared" si="2"/>
        <v>0.8663127028</v>
      </c>
      <c r="L114" s="9">
        <v>0.0</v>
      </c>
      <c r="M114" s="9" t="s">
        <v>57</v>
      </c>
      <c r="O114" s="9" t="s">
        <v>64</v>
      </c>
      <c r="P114" s="9" t="s">
        <v>60</v>
      </c>
      <c r="Q114" s="9" t="s">
        <v>63</v>
      </c>
      <c r="R114" s="9" t="s">
        <v>63</v>
      </c>
      <c r="S114" s="9" t="s">
        <v>638</v>
      </c>
      <c r="T114" t="str">
        <f t="shared" si="3"/>
        <v>N</v>
      </c>
      <c r="W114" s="12" t="str">
        <f t="array" ref="W114">if(and(L114=0,Q114="NA"),"NA",if(L114=0,"no lice",if(Q114="NA","no collection",index(sea_lice!G:G,match(C114,sea_lice!A:A,0)))))</f>
        <v>NA</v>
      </c>
      <c r="X114" s="23">
        <v>113.0</v>
      </c>
    </row>
    <row r="115">
      <c r="A115" s="9" t="s">
        <v>688</v>
      </c>
      <c r="B115" s="6">
        <v>5234.0</v>
      </c>
      <c r="C115" s="12" t="str">
        <f t="shared" si="1"/>
        <v>U5234</v>
      </c>
      <c r="D115" s="13" t="s">
        <v>655</v>
      </c>
      <c r="E115" s="14">
        <v>43376.0</v>
      </c>
      <c r="F115" s="9" t="s">
        <v>53</v>
      </c>
      <c r="G115" s="9" t="s">
        <v>54</v>
      </c>
      <c r="H115" s="9">
        <v>15.7</v>
      </c>
      <c r="I115" s="13">
        <v>113.0</v>
      </c>
      <c r="J115" s="13">
        <v>118.0</v>
      </c>
      <c r="K115" s="17">
        <f t="shared" si="2"/>
        <v>0.9555504701</v>
      </c>
      <c r="L115" s="9">
        <v>0.0</v>
      </c>
      <c r="M115" s="9" t="s">
        <v>57</v>
      </c>
      <c r="O115" s="9" t="s">
        <v>64</v>
      </c>
      <c r="P115" s="9" t="s">
        <v>60</v>
      </c>
      <c r="Q115" s="9" t="s">
        <v>63</v>
      </c>
      <c r="R115" s="9" t="s">
        <v>63</v>
      </c>
      <c r="S115" s="9" t="s">
        <v>638</v>
      </c>
      <c r="T115" t="str">
        <f t="shared" si="3"/>
        <v>N</v>
      </c>
      <c r="W115" s="12" t="str">
        <f t="array" ref="W115">if(and(L115=0,Q115="NA"),"NA",if(L115=0,"no lice",if(Q115="NA","no collection",index(sea_lice!G:G,match(C115,sea_lice!A:A,0)))))</f>
        <v>NA</v>
      </c>
      <c r="X115" s="23">
        <v>114.0</v>
      </c>
    </row>
    <row r="116">
      <c r="A116" s="9" t="s">
        <v>692</v>
      </c>
      <c r="B116" s="6">
        <v>5235.0</v>
      </c>
      <c r="C116" s="12" t="str">
        <f t="shared" si="1"/>
        <v>U5235</v>
      </c>
      <c r="D116" s="13" t="s">
        <v>655</v>
      </c>
      <c r="E116" s="14">
        <v>43376.0</v>
      </c>
      <c r="F116" s="9" t="s">
        <v>53</v>
      </c>
      <c r="G116" s="9" t="s">
        <v>54</v>
      </c>
      <c r="H116" s="9">
        <v>11.5</v>
      </c>
      <c r="I116" s="13">
        <v>103.0</v>
      </c>
      <c r="J116" s="13" t="s">
        <v>63</v>
      </c>
      <c r="K116" s="17" t="str">
        <f t="shared" si="2"/>
        <v/>
      </c>
      <c r="L116" s="9">
        <v>0.0</v>
      </c>
      <c r="M116" s="9" t="s">
        <v>57</v>
      </c>
      <c r="O116" s="9" t="s">
        <v>64</v>
      </c>
      <c r="P116" s="9" t="s">
        <v>60</v>
      </c>
      <c r="Q116" s="9" t="s">
        <v>63</v>
      </c>
      <c r="R116" s="9" t="s">
        <v>63</v>
      </c>
      <c r="S116" s="9" t="s">
        <v>638</v>
      </c>
      <c r="T116" t="str">
        <f t="shared" si="3"/>
        <v>N</v>
      </c>
      <c r="W116" s="12" t="str">
        <f t="array" ref="W116">if(and(L116=0,Q116="NA"),"NA",if(L116=0,"no lice",if(Q116="NA","no collection",index(sea_lice!G:G,match(C116,sea_lice!A:A,0)))))</f>
        <v>NA</v>
      </c>
      <c r="X116" s="23">
        <v>115.0</v>
      </c>
    </row>
    <row r="117">
      <c r="A117" s="9" t="s">
        <v>697</v>
      </c>
      <c r="B117" s="6">
        <v>5236.0</v>
      </c>
      <c r="C117" s="12" t="str">
        <f t="shared" si="1"/>
        <v>U5236</v>
      </c>
      <c r="D117" s="13" t="s">
        <v>655</v>
      </c>
      <c r="E117" s="14">
        <v>43376.0</v>
      </c>
      <c r="F117" s="9" t="s">
        <v>53</v>
      </c>
      <c r="G117" s="9" t="s">
        <v>54</v>
      </c>
      <c r="H117" s="9">
        <v>13.9</v>
      </c>
      <c r="I117" s="13">
        <v>108.0</v>
      </c>
      <c r="J117" s="13">
        <v>113.0</v>
      </c>
      <c r="K117" s="17">
        <f t="shared" si="2"/>
        <v>0.9633397256</v>
      </c>
      <c r="L117" s="9">
        <v>1.0</v>
      </c>
      <c r="M117" s="9" t="s">
        <v>57</v>
      </c>
      <c r="O117" s="9" t="s">
        <v>64</v>
      </c>
      <c r="P117" s="9" t="s">
        <v>60</v>
      </c>
      <c r="Q117" s="9" t="s">
        <v>63</v>
      </c>
      <c r="R117" s="9" t="s">
        <v>63</v>
      </c>
      <c r="S117" s="9" t="s">
        <v>638</v>
      </c>
      <c r="T117" t="str">
        <f t="shared" si="3"/>
        <v>N</v>
      </c>
      <c r="W117" s="12" t="str">
        <f t="array" ref="W117">if(and(L117=0,Q117="NA"),"NA",if(L117=0,"no lice",if(Q117="NA","no collection",index(sea_lice!G:G,match(C117,sea_lice!A:A,0)))))</f>
        <v>no collection</v>
      </c>
      <c r="X117" s="23">
        <v>116.0</v>
      </c>
    </row>
    <row r="118">
      <c r="A118" s="9" t="s">
        <v>701</v>
      </c>
      <c r="B118" s="6">
        <v>5212.0</v>
      </c>
      <c r="C118" s="12" t="str">
        <f t="shared" si="1"/>
        <v>U5212</v>
      </c>
      <c r="D118" s="13" t="s">
        <v>630</v>
      </c>
      <c r="E118" s="14">
        <v>43376.0</v>
      </c>
      <c r="F118" s="9" t="s">
        <v>53</v>
      </c>
      <c r="G118" s="9" t="s">
        <v>54</v>
      </c>
      <c r="H118" s="9">
        <v>17.0</v>
      </c>
      <c r="I118" s="13">
        <v>115.0</v>
      </c>
      <c r="J118" s="13">
        <v>120.0</v>
      </c>
      <c r="K118" s="17">
        <f t="shared" si="2"/>
        <v>0.9837962963</v>
      </c>
      <c r="L118" s="9">
        <v>0.0</v>
      </c>
      <c r="M118" s="9" t="s">
        <v>57</v>
      </c>
      <c r="O118" s="9" t="s">
        <v>221</v>
      </c>
      <c r="P118" s="9" t="s">
        <v>60</v>
      </c>
      <c r="Q118" s="9" t="s">
        <v>63</v>
      </c>
      <c r="R118" s="9" t="s">
        <v>63</v>
      </c>
      <c r="S118" s="9" t="s">
        <v>64</v>
      </c>
      <c r="T118" t="str">
        <f t="shared" si="3"/>
        <v>N</v>
      </c>
      <c r="W118" s="12" t="str">
        <f t="array" ref="W118">if(and(L118=0,Q118="NA"),"NA",if(L118=0,"no lice",if(Q118="NA","no collection",index(sea_lice!G:G,match(C118,sea_lice!A:A,0)))))</f>
        <v>NA</v>
      </c>
      <c r="X118" s="23">
        <v>117.0</v>
      </c>
    </row>
    <row r="119">
      <c r="A119" s="9" t="s">
        <v>705</v>
      </c>
      <c r="B119" s="6">
        <v>5213.0</v>
      </c>
      <c r="C119" s="12" t="str">
        <f t="shared" si="1"/>
        <v>U5213</v>
      </c>
      <c r="D119" s="13" t="s">
        <v>630</v>
      </c>
      <c r="E119" s="14">
        <v>43376.0</v>
      </c>
      <c r="F119" s="9" t="s">
        <v>53</v>
      </c>
      <c r="G119" s="9" t="s">
        <v>54</v>
      </c>
      <c r="H119" s="9">
        <v>14.3</v>
      </c>
      <c r="I119" s="13">
        <v>108.0</v>
      </c>
      <c r="J119" s="13">
        <v>113.0</v>
      </c>
      <c r="K119" s="17">
        <f t="shared" si="2"/>
        <v>0.9910617321</v>
      </c>
      <c r="L119" s="9">
        <v>2.0</v>
      </c>
      <c r="M119" s="9" t="s">
        <v>57</v>
      </c>
      <c r="O119" s="9" t="s">
        <v>221</v>
      </c>
      <c r="P119" s="9" t="s">
        <v>60</v>
      </c>
      <c r="Q119" s="9" t="s">
        <v>63</v>
      </c>
      <c r="R119" s="9" t="s">
        <v>63</v>
      </c>
      <c r="S119" s="9" t="s">
        <v>64</v>
      </c>
      <c r="T119" t="str">
        <f t="shared" si="3"/>
        <v>N</v>
      </c>
      <c r="W119" s="12" t="str">
        <f t="array" ref="W119">if(and(L119=0,Q119="NA"),"NA",if(L119=0,"no lice",if(Q119="NA","no collection",index(sea_lice!G:G,match(C119,sea_lice!A:A,0)))))</f>
        <v>no collection</v>
      </c>
      <c r="X119" s="23">
        <v>118.0</v>
      </c>
    </row>
    <row r="120">
      <c r="A120" s="9" t="s">
        <v>708</v>
      </c>
      <c r="B120" s="6">
        <v>5214.0</v>
      </c>
      <c r="C120" s="12" t="str">
        <f t="shared" si="1"/>
        <v>U5214</v>
      </c>
      <c r="D120" s="13" t="s">
        <v>630</v>
      </c>
      <c r="E120" s="14">
        <v>43376.0</v>
      </c>
      <c r="F120" s="9" t="s">
        <v>53</v>
      </c>
      <c r="G120" s="9" t="s">
        <v>54</v>
      </c>
      <c r="H120" s="9">
        <v>15.5</v>
      </c>
      <c r="I120" s="13">
        <v>112.0</v>
      </c>
      <c r="J120" s="13">
        <v>116.0</v>
      </c>
      <c r="K120" s="17">
        <f t="shared" si="2"/>
        <v>0.993019394</v>
      </c>
      <c r="L120" s="9">
        <v>0.0</v>
      </c>
      <c r="M120" s="9" t="s">
        <v>57</v>
      </c>
      <c r="O120" s="9" t="s">
        <v>221</v>
      </c>
      <c r="P120" s="9" t="s">
        <v>60</v>
      </c>
      <c r="Q120" s="9" t="s">
        <v>63</v>
      </c>
      <c r="R120" s="9" t="s">
        <v>63</v>
      </c>
      <c r="S120" s="9" t="s">
        <v>64</v>
      </c>
      <c r="T120" t="str">
        <f t="shared" si="3"/>
        <v>N</v>
      </c>
      <c r="W120" s="12" t="str">
        <f t="array" ref="W120">if(and(L120=0,Q120="NA"),"NA",if(L120=0,"no lice",if(Q120="NA","no collection",index(sea_lice!G:G,match(C120,sea_lice!A:A,0)))))</f>
        <v>NA</v>
      </c>
      <c r="X120" s="23">
        <v>119.0</v>
      </c>
    </row>
    <row r="121">
      <c r="A121" s="9" t="s">
        <v>713</v>
      </c>
      <c r="B121" s="6">
        <v>5215.0</v>
      </c>
      <c r="C121" s="12" t="str">
        <f t="shared" si="1"/>
        <v>U5215</v>
      </c>
      <c r="D121" s="13" t="s">
        <v>630</v>
      </c>
      <c r="E121" s="14">
        <v>43376.0</v>
      </c>
      <c r="F121" s="9" t="s">
        <v>53</v>
      </c>
      <c r="G121" s="9" t="s">
        <v>54</v>
      </c>
      <c r="H121" s="9">
        <v>17.8</v>
      </c>
      <c r="I121" s="13">
        <v>116.0</v>
      </c>
      <c r="J121" s="13">
        <v>122.0</v>
      </c>
      <c r="K121" s="17">
        <f t="shared" si="2"/>
        <v>0.9802582595</v>
      </c>
      <c r="L121" s="9">
        <v>0.0</v>
      </c>
      <c r="M121" s="9" t="s">
        <v>57</v>
      </c>
      <c r="O121" s="9" t="s">
        <v>221</v>
      </c>
      <c r="P121" s="9" t="s">
        <v>60</v>
      </c>
      <c r="Q121" s="9" t="s">
        <v>63</v>
      </c>
      <c r="R121" s="9" t="s">
        <v>63</v>
      </c>
      <c r="S121" s="9" t="s">
        <v>64</v>
      </c>
      <c r="T121" t="str">
        <f t="shared" si="3"/>
        <v>N</v>
      </c>
      <c r="W121" s="12" t="str">
        <f t="array" ref="W121">if(and(L121=0,Q121="NA"),"NA",if(L121=0,"no lice",if(Q121="NA","no collection",index(sea_lice!G:G,match(C121,sea_lice!A:A,0)))))</f>
        <v>NA</v>
      </c>
      <c r="X121" s="23">
        <v>120.0</v>
      </c>
    </row>
    <row r="122">
      <c r="A122" s="9" t="s">
        <v>719</v>
      </c>
      <c r="B122" s="6">
        <v>5216.0</v>
      </c>
      <c r="C122" s="12" t="str">
        <f t="shared" si="1"/>
        <v>U5216</v>
      </c>
      <c r="D122" s="13" t="s">
        <v>630</v>
      </c>
      <c r="E122" s="14">
        <v>43376.0</v>
      </c>
      <c r="F122" s="9" t="s">
        <v>53</v>
      </c>
      <c r="G122" s="9" t="s">
        <v>54</v>
      </c>
      <c r="H122" s="9">
        <v>13.4</v>
      </c>
      <c r="I122" s="13">
        <v>106.0</v>
      </c>
      <c r="J122" s="13">
        <v>111.0</v>
      </c>
      <c r="K122" s="17">
        <f t="shared" si="2"/>
        <v>0.9797964509</v>
      </c>
      <c r="L122" s="9">
        <v>0.0</v>
      </c>
      <c r="M122" s="9" t="s">
        <v>57</v>
      </c>
      <c r="O122" s="9" t="s">
        <v>221</v>
      </c>
      <c r="P122" s="9" t="s">
        <v>60</v>
      </c>
      <c r="Q122" s="9" t="s">
        <v>63</v>
      </c>
      <c r="R122" s="9" t="s">
        <v>63</v>
      </c>
      <c r="S122" s="9" t="s">
        <v>64</v>
      </c>
      <c r="T122" t="str">
        <f t="shared" si="3"/>
        <v>N</v>
      </c>
      <c r="W122" s="12" t="str">
        <f t="array" ref="W122">if(and(L122=0,Q122="NA"),"NA",if(L122=0,"no lice",if(Q122="NA","no collection",index(sea_lice!G:G,match(C122,sea_lice!A:A,0)))))</f>
        <v>NA</v>
      </c>
      <c r="X122" s="23">
        <v>121.0</v>
      </c>
    </row>
    <row r="123">
      <c r="A123" s="9" t="s">
        <v>727</v>
      </c>
      <c r="B123" s="6">
        <v>5217.0</v>
      </c>
      <c r="C123" s="12" t="str">
        <f t="shared" si="1"/>
        <v>U5217</v>
      </c>
      <c r="D123" s="13" t="s">
        <v>630</v>
      </c>
      <c r="E123" s="14">
        <v>43376.0</v>
      </c>
      <c r="F123" s="9" t="s">
        <v>53</v>
      </c>
      <c r="G123" s="9" t="s">
        <v>54</v>
      </c>
      <c r="H123" s="9">
        <v>13.0</v>
      </c>
      <c r="I123" s="13">
        <v>102.0</v>
      </c>
      <c r="J123" s="13">
        <v>107.0</v>
      </c>
      <c r="K123" s="17">
        <f t="shared" si="2"/>
        <v>1.06118724</v>
      </c>
      <c r="L123" s="9">
        <v>0.0</v>
      </c>
      <c r="M123" s="9" t="s">
        <v>57</v>
      </c>
      <c r="O123" s="9" t="s">
        <v>221</v>
      </c>
      <c r="P123" s="9" t="s">
        <v>60</v>
      </c>
      <c r="Q123" s="9" t="s">
        <v>63</v>
      </c>
      <c r="R123" s="9" t="s">
        <v>63</v>
      </c>
      <c r="S123" s="9" t="s">
        <v>64</v>
      </c>
      <c r="T123" t="str">
        <f t="shared" si="3"/>
        <v>N</v>
      </c>
      <c r="W123" s="12" t="str">
        <f t="array" ref="W123">if(and(L123=0,Q123="NA"),"NA",if(L123=0,"no lice",if(Q123="NA","no collection",index(sea_lice!G:G,match(C123,sea_lice!A:A,0)))))</f>
        <v>NA</v>
      </c>
      <c r="X123" s="23">
        <v>122.0</v>
      </c>
    </row>
    <row r="124">
      <c r="A124" s="9" t="s">
        <v>732</v>
      </c>
      <c r="B124" s="6">
        <v>5218.0</v>
      </c>
      <c r="C124" s="12" t="str">
        <f t="shared" si="1"/>
        <v>U5218</v>
      </c>
      <c r="D124" s="13" t="s">
        <v>630</v>
      </c>
      <c r="E124" s="14">
        <v>43376.0</v>
      </c>
      <c r="F124" s="9" t="s">
        <v>53</v>
      </c>
      <c r="G124" s="9" t="s">
        <v>54</v>
      </c>
      <c r="H124" s="9">
        <v>13.2</v>
      </c>
      <c r="I124" s="13">
        <v>105.0</v>
      </c>
      <c r="J124" s="13">
        <v>110.0</v>
      </c>
      <c r="K124" s="17">
        <f t="shared" si="2"/>
        <v>0.9917355372</v>
      </c>
      <c r="L124" s="9">
        <v>1.0</v>
      </c>
      <c r="M124" s="9" t="s">
        <v>57</v>
      </c>
      <c r="O124" s="9" t="s">
        <v>221</v>
      </c>
      <c r="P124" s="9" t="s">
        <v>60</v>
      </c>
      <c r="Q124" s="9" t="s">
        <v>63</v>
      </c>
      <c r="R124" s="9" t="s">
        <v>63</v>
      </c>
      <c r="S124" s="9" t="s">
        <v>64</v>
      </c>
      <c r="T124" t="str">
        <f t="shared" si="3"/>
        <v>N</v>
      </c>
      <c r="W124" s="12" t="str">
        <f t="array" ref="W124">if(and(L124=0,Q124="NA"),"NA",if(L124=0,"no lice",if(Q124="NA","no collection",index(sea_lice!G:G,match(C124,sea_lice!A:A,0)))))</f>
        <v>no collection</v>
      </c>
      <c r="X124" s="23">
        <v>123.0</v>
      </c>
    </row>
    <row r="125">
      <c r="A125" s="9" t="s">
        <v>737</v>
      </c>
      <c r="B125" s="6">
        <v>5219.0</v>
      </c>
      <c r="C125" s="12" t="str">
        <f t="shared" si="1"/>
        <v>U5219</v>
      </c>
      <c r="D125" s="13" t="s">
        <v>630</v>
      </c>
      <c r="E125" s="14">
        <v>43376.0</v>
      </c>
      <c r="F125" s="9" t="s">
        <v>53</v>
      </c>
      <c r="G125" s="9" t="s">
        <v>54</v>
      </c>
      <c r="H125" s="9">
        <v>14.4</v>
      </c>
      <c r="I125" s="13">
        <v>108.0</v>
      </c>
      <c r="J125" s="13">
        <v>113.0</v>
      </c>
      <c r="K125" s="17">
        <f t="shared" si="2"/>
        <v>0.9979922337</v>
      </c>
      <c r="L125" s="9">
        <v>0.0</v>
      </c>
      <c r="M125" s="9" t="s">
        <v>57</v>
      </c>
      <c r="O125" s="9" t="s">
        <v>221</v>
      </c>
      <c r="P125" s="9" t="s">
        <v>60</v>
      </c>
      <c r="Q125" s="9" t="s">
        <v>63</v>
      </c>
      <c r="R125" s="9" t="s">
        <v>63</v>
      </c>
      <c r="S125" s="9" t="s">
        <v>64</v>
      </c>
      <c r="T125" t="str">
        <f t="shared" si="3"/>
        <v>N</v>
      </c>
      <c r="W125" s="12" t="str">
        <f t="array" ref="W125">if(and(L125=0,Q125="NA"),"NA",if(L125=0,"no lice",if(Q125="NA","no collection",index(sea_lice!G:G,match(C125,sea_lice!A:A,0)))))</f>
        <v>NA</v>
      </c>
      <c r="X125" s="23">
        <v>124.0</v>
      </c>
    </row>
    <row r="126">
      <c r="A126" s="9" t="s">
        <v>742</v>
      </c>
      <c r="B126" s="6">
        <v>5220.0</v>
      </c>
      <c r="C126" s="12" t="str">
        <f t="shared" si="1"/>
        <v>U5220</v>
      </c>
      <c r="D126" s="13" t="s">
        <v>630</v>
      </c>
      <c r="E126" s="14">
        <v>43376.0</v>
      </c>
      <c r="F126" s="9" t="s">
        <v>53</v>
      </c>
      <c r="G126" s="9" t="s">
        <v>54</v>
      </c>
      <c r="H126" s="9">
        <v>16.0</v>
      </c>
      <c r="I126" s="13">
        <v>112.0</v>
      </c>
      <c r="J126" s="13">
        <v>118.0</v>
      </c>
      <c r="K126" s="17">
        <f t="shared" si="2"/>
        <v>0.9738093963</v>
      </c>
      <c r="L126" s="9">
        <v>0.0</v>
      </c>
      <c r="M126" s="9" t="s">
        <v>57</v>
      </c>
      <c r="O126" s="9" t="s">
        <v>221</v>
      </c>
      <c r="P126" s="9" t="s">
        <v>60</v>
      </c>
      <c r="Q126" s="9" t="s">
        <v>63</v>
      </c>
      <c r="R126" s="9" t="s">
        <v>63</v>
      </c>
      <c r="S126" s="9" t="s">
        <v>64</v>
      </c>
      <c r="T126" t="str">
        <f t="shared" si="3"/>
        <v>N</v>
      </c>
      <c r="W126" s="12" t="str">
        <f t="array" ref="W126">if(and(L126=0,Q126="NA"),"NA",if(L126=0,"no lice",if(Q126="NA","no collection",index(sea_lice!G:G,match(C126,sea_lice!A:A,0)))))</f>
        <v>NA</v>
      </c>
      <c r="X126" s="23">
        <v>125.0</v>
      </c>
    </row>
    <row r="127">
      <c r="A127" s="9" t="s">
        <v>748</v>
      </c>
      <c r="B127" s="6">
        <v>5221.0</v>
      </c>
      <c r="C127" s="12" t="str">
        <f t="shared" si="1"/>
        <v>U5221</v>
      </c>
      <c r="D127" s="13" t="s">
        <v>750</v>
      </c>
      <c r="E127" s="14">
        <v>43376.0</v>
      </c>
      <c r="F127" s="9" t="s">
        <v>53</v>
      </c>
      <c r="G127" s="9" t="s">
        <v>54</v>
      </c>
      <c r="H127" s="9">
        <v>16.5</v>
      </c>
      <c r="I127" s="13">
        <v>112.0</v>
      </c>
      <c r="J127" s="13">
        <v>117.0</v>
      </c>
      <c r="K127" s="17">
        <f t="shared" si="2"/>
        <v>1.030211418</v>
      </c>
      <c r="L127" s="9">
        <v>0.0</v>
      </c>
      <c r="M127" s="9" t="s">
        <v>57</v>
      </c>
      <c r="N127" s="9" t="s">
        <v>752</v>
      </c>
      <c r="O127" s="9" t="s">
        <v>221</v>
      </c>
      <c r="P127" s="9" t="s">
        <v>60</v>
      </c>
      <c r="Q127" s="9" t="s">
        <v>63</v>
      </c>
      <c r="R127" s="9" t="s">
        <v>63</v>
      </c>
      <c r="S127" s="9" t="s">
        <v>64</v>
      </c>
      <c r="T127" t="str">
        <f t="shared" si="3"/>
        <v>N</v>
      </c>
      <c r="W127" s="12" t="str">
        <f t="array" ref="W127">if(and(L127=0,Q127="NA"),"NA",if(L127=0,"no lice",if(Q127="NA","no collection",index(sea_lice!G:G,match(C127,sea_lice!A:A,0)))))</f>
        <v>NA</v>
      </c>
      <c r="X127" s="23">
        <v>126.0</v>
      </c>
    </row>
    <row r="128">
      <c r="A128" s="9" t="s">
        <v>756</v>
      </c>
      <c r="B128" s="6">
        <v>5222.0</v>
      </c>
      <c r="C128" s="12" t="str">
        <f t="shared" si="1"/>
        <v>U5222</v>
      </c>
      <c r="D128" s="13" t="s">
        <v>750</v>
      </c>
      <c r="E128" s="14">
        <v>43376.0</v>
      </c>
      <c r="F128" s="9" t="s">
        <v>53</v>
      </c>
      <c r="G128" s="9" t="s">
        <v>54</v>
      </c>
      <c r="H128" s="9">
        <v>10.1</v>
      </c>
      <c r="I128" s="13">
        <v>94.0</v>
      </c>
      <c r="J128" s="13" t="s">
        <v>63</v>
      </c>
      <c r="K128" s="17" t="str">
        <f t="shared" si="2"/>
        <v/>
      </c>
      <c r="L128" s="9">
        <v>0.0</v>
      </c>
      <c r="M128" s="9" t="s">
        <v>57</v>
      </c>
      <c r="O128" s="9" t="s">
        <v>221</v>
      </c>
      <c r="P128" s="9" t="s">
        <v>60</v>
      </c>
      <c r="Q128" s="9" t="s">
        <v>63</v>
      </c>
      <c r="R128" s="9" t="s">
        <v>63</v>
      </c>
      <c r="S128" s="9" t="s">
        <v>64</v>
      </c>
      <c r="T128" t="str">
        <f t="shared" si="3"/>
        <v>N</v>
      </c>
      <c r="W128" s="12" t="str">
        <f t="array" ref="W128">if(and(L128=0,Q128="NA"),"NA",if(L128=0,"no lice",if(Q128="NA","no collection",index(sea_lice!G:G,match(C128,sea_lice!A:A,0)))))</f>
        <v>NA</v>
      </c>
      <c r="X128" s="23">
        <v>127.0</v>
      </c>
    </row>
    <row r="129">
      <c r="A129" s="9" t="s">
        <v>759</v>
      </c>
      <c r="B129" s="6">
        <v>5223.0</v>
      </c>
      <c r="C129" s="12" t="str">
        <f t="shared" si="1"/>
        <v>U5223</v>
      </c>
      <c r="D129" s="13" t="s">
        <v>750</v>
      </c>
      <c r="E129" s="14">
        <v>43376.0</v>
      </c>
      <c r="F129" s="9" t="s">
        <v>53</v>
      </c>
      <c r="G129" s="9" t="s">
        <v>54</v>
      </c>
      <c r="H129" s="9">
        <v>11.2</v>
      </c>
      <c r="I129" s="13">
        <v>99.0</v>
      </c>
      <c r="J129" s="13" t="s">
        <v>63</v>
      </c>
      <c r="K129" s="17" t="str">
        <f t="shared" si="2"/>
        <v/>
      </c>
      <c r="L129" s="9">
        <v>1.0</v>
      </c>
      <c r="M129" s="9" t="s">
        <v>57</v>
      </c>
      <c r="O129" s="9" t="s">
        <v>221</v>
      </c>
      <c r="P129" s="9" t="s">
        <v>60</v>
      </c>
      <c r="Q129" s="9" t="s">
        <v>63</v>
      </c>
      <c r="R129" s="9" t="s">
        <v>63</v>
      </c>
      <c r="S129" s="9" t="s">
        <v>64</v>
      </c>
      <c r="T129" t="str">
        <f t="shared" si="3"/>
        <v>N</v>
      </c>
      <c r="W129" s="12" t="str">
        <f t="array" ref="W129">if(and(L129=0,Q129="NA"),"NA",if(L129=0,"no lice",if(Q129="NA","no collection",index(sea_lice!G:G,match(C129,sea_lice!A:A,0)))))</f>
        <v>no collection</v>
      </c>
      <c r="X129" s="23">
        <v>128.0</v>
      </c>
    </row>
    <row r="130">
      <c r="A130" s="9" t="s">
        <v>765</v>
      </c>
      <c r="B130" s="6">
        <v>5224.0</v>
      </c>
      <c r="C130" s="12" t="str">
        <f t="shared" si="1"/>
        <v>U5224</v>
      </c>
      <c r="D130" s="13" t="s">
        <v>750</v>
      </c>
      <c r="E130" s="14">
        <v>43376.0</v>
      </c>
      <c r="F130" s="9" t="s">
        <v>53</v>
      </c>
      <c r="G130" s="9" t="s">
        <v>54</v>
      </c>
      <c r="H130" s="9">
        <v>8.1</v>
      </c>
      <c r="I130" s="13">
        <v>89.0</v>
      </c>
      <c r="J130" s="13" t="s">
        <v>63</v>
      </c>
      <c r="K130" s="17" t="str">
        <f t="shared" si="2"/>
        <v/>
      </c>
      <c r="L130" s="9">
        <v>0.0</v>
      </c>
      <c r="M130" s="9" t="s">
        <v>57</v>
      </c>
      <c r="O130" s="9" t="s">
        <v>221</v>
      </c>
      <c r="P130" s="9" t="s">
        <v>60</v>
      </c>
      <c r="Q130" s="9" t="s">
        <v>63</v>
      </c>
      <c r="R130" s="9" t="s">
        <v>63</v>
      </c>
      <c r="S130" s="9" t="s">
        <v>64</v>
      </c>
      <c r="T130" t="str">
        <f t="shared" si="3"/>
        <v>N</v>
      </c>
      <c r="W130" s="12" t="str">
        <f t="array" ref="W130">if(and(L130=0,Q130="NA"),"NA",if(L130=0,"no lice",if(Q130="NA","no collection",index(sea_lice!G:G,match(C130,sea_lice!A:A,0)))))</f>
        <v>NA</v>
      </c>
      <c r="X130" s="23">
        <v>129.0</v>
      </c>
    </row>
    <row r="131">
      <c r="A131" s="9" t="s">
        <v>774</v>
      </c>
      <c r="B131" s="6">
        <v>5225.0</v>
      </c>
      <c r="C131" s="12" t="str">
        <f t="shared" si="1"/>
        <v>U5225</v>
      </c>
      <c r="D131" s="13" t="s">
        <v>776</v>
      </c>
      <c r="E131" s="14">
        <v>43376.0</v>
      </c>
      <c r="F131" s="9" t="s">
        <v>53</v>
      </c>
      <c r="G131" s="9" t="s">
        <v>54</v>
      </c>
      <c r="H131" s="9">
        <v>23.5</v>
      </c>
      <c r="I131" s="13">
        <v>128.0</v>
      </c>
      <c r="J131" s="13">
        <v>133.0</v>
      </c>
      <c r="K131" s="17">
        <f t="shared" si="2"/>
        <v>0.9988791301</v>
      </c>
      <c r="L131" s="9">
        <v>0.0</v>
      </c>
      <c r="M131" s="9" t="s">
        <v>57</v>
      </c>
      <c r="O131" s="9" t="s">
        <v>221</v>
      </c>
      <c r="P131" s="9" t="s">
        <v>60</v>
      </c>
      <c r="Q131" s="9" t="s">
        <v>63</v>
      </c>
      <c r="R131" s="9" t="s">
        <v>63</v>
      </c>
      <c r="S131" s="9" t="s">
        <v>64</v>
      </c>
      <c r="T131" t="str">
        <f t="shared" si="3"/>
        <v>N</v>
      </c>
      <c r="W131" s="12" t="str">
        <f t="array" ref="W131">if(and(L131=0,Q131="NA"),"NA",if(L131=0,"no lice",if(Q131="NA","no collection",index(sea_lice!G:G,match(C131,sea_lice!A:A,0)))))</f>
        <v>NA</v>
      </c>
      <c r="X131" s="23">
        <v>130.0</v>
      </c>
    </row>
    <row r="132">
      <c r="A132" s="9" t="s">
        <v>780</v>
      </c>
      <c r="B132" s="6">
        <v>5226.0</v>
      </c>
      <c r="C132" s="12" t="str">
        <f t="shared" si="1"/>
        <v>U5226</v>
      </c>
      <c r="D132" s="13" t="s">
        <v>776</v>
      </c>
      <c r="E132" s="14">
        <v>43376.0</v>
      </c>
      <c r="F132" s="9" t="s">
        <v>53</v>
      </c>
      <c r="G132" s="9" t="s">
        <v>54</v>
      </c>
      <c r="H132" s="9">
        <v>20.1</v>
      </c>
      <c r="I132" s="13">
        <v>121.0</v>
      </c>
      <c r="J132" s="13">
        <v>126.0</v>
      </c>
      <c r="K132" s="17">
        <f t="shared" si="2"/>
        <v>1.004811096</v>
      </c>
      <c r="L132" s="9">
        <v>1.0</v>
      </c>
      <c r="M132" s="9" t="s">
        <v>57</v>
      </c>
      <c r="O132" s="9" t="s">
        <v>221</v>
      </c>
      <c r="P132" s="9" t="s">
        <v>60</v>
      </c>
      <c r="Q132" s="9" t="s">
        <v>63</v>
      </c>
      <c r="R132" s="9" t="s">
        <v>63</v>
      </c>
      <c r="S132" s="9" t="s">
        <v>64</v>
      </c>
      <c r="T132" t="str">
        <f t="shared" si="3"/>
        <v>N</v>
      </c>
      <c r="W132" s="12" t="str">
        <f t="array" ref="W132">if(and(L132=0,Q132="NA"),"NA",if(L132=0,"no lice",if(Q132="NA","no collection",index(sea_lice!G:G,match(C132,sea_lice!A:A,0)))))</f>
        <v>no collection</v>
      </c>
      <c r="X132" s="23">
        <v>131.0</v>
      </c>
    </row>
    <row r="133">
      <c r="A133" s="9" t="s">
        <v>784</v>
      </c>
      <c r="B133" s="6">
        <v>5227.0</v>
      </c>
      <c r="C133" s="12" t="str">
        <f t="shared" si="1"/>
        <v>U5227</v>
      </c>
      <c r="D133" s="13" t="s">
        <v>776</v>
      </c>
      <c r="E133" s="14">
        <v>43376.0</v>
      </c>
      <c r="F133" s="9" t="s">
        <v>53</v>
      </c>
      <c r="G133" s="9" t="s">
        <v>54</v>
      </c>
      <c r="H133" s="9">
        <v>19.6</v>
      </c>
      <c r="I133" s="13">
        <v>121.0</v>
      </c>
      <c r="J133" s="13">
        <v>126.0</v>
      </c>
      <c r="K133" s="17">
        <f t="shared" si="2"/>
        <v>0.9798157946</v>
      </c>
      <c r="L133" s="9">
        <v>0.0</v>
      </c>
      <c r="M133" s="9" t="s">
        <v>57</v>
      </c>
      <c r="O133" s="9" t="s">
        <v>221</v>
      </c>
      <c r="P133" s="9" t="s">
        <v>60</v>
      </c>
      <c r="Q133" s="9" t="s">
        <v>63</v>
      </c>
      <c r="R133" s="9" t="s">
        <v>63</v>
      </c>
      <c r="S133" s="9" t="s">
        <v>64</v>
      </c>
      <c r="T133" t="str">
        <f t="shared" si="3"/>
        <v>N</v>
      </c>
      <c r="W133" s="12" t="str">
        <f t="array" ref="W133">if(and(L133=0,Q133="NA"),"NA",if(L133=0,"no lice",if(Q133="NA","no collection",index(sea_lice!G:G,match(C133,sea_lice!A:A,0)))))</f>
        <v>NA</v>
      </c>
      <c r="X133" s="23">
        <v>132.0</v>
      </c>
    </row>
    <row r="134">
      <c r="A134" s="9" t="s">
        <v>788</v>
      </c>
      <c r="B134" s="6">
        <v>5228.0</v>
      </c>
      <c r="C134" s="12" t="str">
        <f t="shared" si="1"/>
        <v>U5228</v>
      </c>
      <c r="D134" s="13" t="s">
        <v>776</v>
      </c>
      <c r="E134" s="14">
        <v>43376.0</v>
      </c>
      <c r="F134" s="9" t="s">
        <v>53</v>
      </c>
      <c r="G134" s="9" t="s">
        <v>54</v>
      </c>
      <c r="H134" s="9">
        <v>23.1</v>
      </c>
      <c r="I134" s="13">
        <v>130.0</v>
      </c>
      <c r="J134" s="13">
        <v>135.0</v>
      </c>
      <c r="K134" s="17">
        <f t="shared" si="2"/>
        <v>0.9388812681</v>
      </c>
      <c r="L134" s="9">
        <v>0.0</v>
      </c>
      <c r="M134" s="9" t="s">
        <v>57</v>
      </c>
      <c r="O134" s="9" t="s">
        <v>221</v>
      </c>
      <c r="P134" s="9" t="s">
        <v>60</v>
      </c>
      <c r="Q134" s="9" t="s">
        <v>63</v>
      </c>
      <c r="R134" s="9" t="s">
        <v>63</v>
      </c>
      <c r="S134" s="9" t="s">
        <v>64</v>
      </c>
      <c r="T134" t="str">
        <f t="shared" si="3"/>
        <v>N</v>
      </c>
      <c r="W134" s="12" t="str">
        <f t="array" ref="W134">if(and(L134=0,Q134="NA"),"NA",if(L134=0,"no lice",if(Q134="NA","no collection",index(sea_lice!G:G,match(C134,sea_lice!A:A,0)))))</f>
        <v>NA</v>
      </c>
      <c r="X134" s="23">
        <v>133.0</v>
      </c>
    </row>
    <row r="135">
      <c r="A135" s="9" t="s">
        <v>792</v>
      </c>
      <c r="B135" s="6">
        <v>5229.0</v>
      </c>
      <c r="C135" s="12" t="str">
        <f t="shared" si="1"/>
        <v>U5229</v>
      </c>
      <c r="D135" s="13" t="s">
        <v>776</v>
      </c>
      <c r="E135" s="14">
        <v>43382.0</v>
      </c>
      <c r="F135" s="9" t="s">
        <v>53</v>
      </c>
      <c r="G135" s="9" t="s">
        <v>54</v>
      </c>
      <c r="H135" s="9">
        <v>18.1</v>
      </c>
      <c r="I135" s="13">
        <v>117.0</v>
      </c>
      <c r="J135" s="13">
        <v>122.0</v>
      </c>
      <c r="K135" s="17">
        <f t="shared" si="2"/>
        <v>0.9967794661</v>
      </c>
      <c r="L135" s="9">
        <v>0.0</v>
      </c>
      <c r="M135" s="9" t="s">
        <v>57</v>
      </c>
      <c r="O135" s="9" t="s">
        <v>221</v>
      </c>
      <c r="P135" s="9" t="s">
        <v>60</v>
      </c>
      <c r="Q135" s="9" t="s">
        <v>63</v>
      </c>
      <c r="R135" s="9" t="s">
        <v>63</v>
      </c>
      <c r="S135" s="9" t="s">
        <v>64</v>
      </c>
      <c r="T135" t="str">
        <f t="shared" si="3"/>
        <v>N</v>
      </c>
      <c r="W135" s="12" t="str">
        <f t="array" ref="W135">if(and(L135=0,Q135="NA"),"NA",if(L135=0,"no lice",if(Q135="NA","no collection",index(sea_lice!G:G,match(C135,sea_lice!A:A,0)))))</f>
        <v>NA</v>
      </c>
      <c r="X135" s="23">
        <v>134.0</v>
      </c>
    </row>
    <row r="136">
      <c r="A136" s="9" t="s">
        <v>796</v>
      </c>
      <c r="B136" s="6">
        <v>5230.0</v>
      </c>
      <c r="C136" s="12" t="str">
        <f t="shared" si="1"/>
        <v>U5230</v>
      </c>
      <c r="D136" s="13" t="s">
        <v>776</v>
      </c>
      <c r="E136" s="14">
        <v>43382.0</v>
      </c>
      <c r="F136" s="9" t="s">
        <v>53</v>
      </c>
      <c r="G136" s="9" t="s">
        <v>54</v>
      </c>
      <c r="H136" s="9">
        <v>21.8</v>
      </c>
      <c r="I136" s="13">
        <v>124.0</v>
      </c>
      <c r="J136" s="13">
        <v>127.0</v>
      </c>
      <c r="K136" s="17">
        <f t="shared" si="2"/>
        <v>1.064254097</v>
      </c>
      <c r="L136" s="9">
        <v>0.0</v>
      </c>
      <c r="M136" s="9" t="s">
        <v>57</v>
      </c>
      <c r="O136" s="9" t="s">
        <v>221</v>
      </c>
      <c r="P136" s="9" t="s">
        <v>60</v>
      </c>
      <c r="Q136" s="9" t="s">
        <v>63</v>
      </c>
      <c r="R136" s="9" t="s">
        <v>63</v>
      </c>
      <c r="S136" s="9" t="s">
        <v>64</v>
      </c>
      <c r="T136" t="str">
        <f t="shared" si="3"/>
        <v>N</v>
      </c>
      <c r="W136" s="12" t="str">
        <f t="array" ref="W136">if(and(L136=0,Q136="NA"),"NA",if(L136=0,"no lice",if(Q136="NA","no collection",index(sea_lice!G:G,match(C136,sea_lice!A:A,0)))))</f>
        <v>NA</v>
      </c>
      <c r="X136" s="23">
        <v>135.0</v>
      </c>
    </row>
    <row r="137">
      <c r="A137" s="9" t="s">
        <v>801</v>
      </c>
      <c r="B137" s="6">
        <v>5231.0</v>
      </c>
      <c r="C137" s="12" t="str">
        <f t="shared" si="1"/>
        <v>U5231</v>
      </c>
      <c r="D137" s="13" t="s">
        <v>776</v>
      </c>
      <c r="E137" s="14">
        <v>43382.0</v>
      </c>
      <c r="F137" s="9" t="s">
        <v>53</v>
      </c>
      <c r="G137" s="9" t="s">
        <v>54</v>
      </c>
      <c r="H137" s="9">
        <v>21.4</v>
      </c>
      <c r="I137" s="13">
        <v>127.0</v>
      </c>
      <c r="J137" s="13">
        <v>130.0</v>
      </c>
      <c r="K137" s="17">
        <f t="shared" si="2"/>
        <v>0.9740555303</v>
      </c>
      <c r="L137" s="9">
        <v>0.0</v>
      </c>
      <c r="M137" s="9" t="s">
        <v>57</v>
      </c>
      <c r="O137" s="9" t="s">
        <v>221</v>
      </c>
      <c r="P137" s="9" t="s">
        <v>60</v>
      </c>
      <c r="Q137" s="9" t="s">
        <v>63</v>
      </c>
      <c r="R137" s="9" t="s">
        <v>63</v>
      </c>
      <c r="S137" s="9" t="s">
        <v>64</v>
      </c>
      <c r="T137" t="str">
        <f t="shared" si="3"/>
        <v>N</v>
      </c>
      <c r="W137" s="12" t="str">
        <f t="array" ref="W137">if(and(L137=0,Q137="NA"),"NA",if(L137=0,"no lice",if(Q137="NA","no collection",index(sea_lice!G:G,match(C137,sea_lice!A:A,0)))))</f>
        <v>NA</v>
      </c>
      <c r="X137" s="23">
        <v>136.0</v>
      </c>
    </row>
    <row r="138">
      <c r="A138" s="9" t="s">
        <v>805</v>
      </c>
      <c r="B138" s="6">
        <v>5245.0</v>
      </c>
      <c r="C138" s="12" t="str">
        <f t="shared" si="1"/>
        <v>U5245</v>
      </c>
      <c r="D138" s="13" t="s">
        <v>776</v>
      </c>
      <c r="E138" s="14">
        <v>43382.0</v>
      </c>
      <c r="F138" s="9" t="s">
        <v>53</v>
      </c>
      <c r="G138" s="9" t="s">
        <v>54</v>
      </c>
      <c r="H138" s="9">
        <v>24.5</v>
      </c>
      <c r="I138" s="13">
        <v>129.0</v>
      </c>
      <c r="J138" s="13">
        <v>135.0</v>
      </c>
      <c r="K138" s="17">
        <f t="shared" si="2"/>
        <v>0.9957831631</v>
      </c>
      <c r="L138" s="9">
        <v>1.0</v>
      </c>
      <c r="M138" s="9" t="s">
        <v>57</v>
      </c>
      <c r="O138" s="9" t="s">
        <v>221</v>
      </c>
      <c r="P138" s="9" t="s">
        <v>60</v>
      </c>
      <c r="Q138" s="9" t="s">
        <v>63</v>
      </c>
      <c r="R138" s="9" t="s">
        <v>63</v>
      </c>
      <c r="S138" s="9" t="s">
        <v>64</v>
      </c>
      <c r="T138" t="str">
        <f t="shared" si="3"/>
        <v>N</v>
      </c>
      <c r="W138" s="12" t="str">
        <f t="array" ref="W138">if(and(L138=0,Q138="NA"),"NA",if(L138=0,"no lice",if(Q138="NA","no collection",index(sea_lice!G:G,match(C138,sea_lice!A:A,0)))))</f>
        <v>no collection</v>
      </c>
      <c r="X138" s="23">
        <v>137.0</v>
      </c>
    </row>
    <row r="139">
      <c r="A139" s="9" t="s">
        <v>811</v>
      </c>
      <c r="B139" s="6">
        <v>5246.0</v>
      </c>
      <c r="C139" s="12" t="str">
        <f t="shared" si="1"/>
        <v>U5246</v>
      </c>
      <c r="D139" s="13" t="s">
        <v>776</v>
      </c>
      <c r="E139" s="14">
        <v>43382.0</v>
      </c>
      <c r="F139" s="9" t="s">
        <v>53</v>
      </c>
      <c r="G139" s="9" t="s">
        <v>54</v>
      </c>
      <c r="H139" s="9">
        <v>18.1</v>
      </c>
      <c r="I139" s="13">
        <v>117.0</v>
      </c>
      <c r="J139" s="13">
        <v>123.0</v>
      </c>
      <c r="K139" s="17">
        <f t="shared" si="2"/>
        <v>0.9726648922</v>
      </c>
      <c r="L139" s="9">
        <v>0.0</v>
      </c>
      <c r="M139" s="9" t="s">
        <v>57</v>
      </c>
      <c r="O139" s="9" t="s">
        <v>221</v>
      </c>
      <c r="P139" s="9" t="s">
        <v>60</v>
      </c>
      <c r="Q139" s="9" t="s">
        <v>63</v>
      </c>
      <c r="R139" s="9" t="s">
        <v>63</v>
      </c>
      <c r="S139" s="9" t="s">
        <v>64</v>
      </c>
      <c r="T139" t="str">
        <f t="shared" si="3"/>
        <v>N</v>
      </c>
      <c r="W139" s="12" t="str">
        <f t="array" ref="W139">if(and(L139=0,Q139="NA"),"NA",if(L139=0,"no lice",if(Q139="NA","no collection",index(sea_lice!G:G,match(C139,sea_lice!A:A,0)))))</f>
        <v>NA</v>
      </c>
      <c r="X139" s="23">
        <v>138.0</v>
      </c>
    </row>
    <row r="140">
      <c r="A140" s="9" t="s">
        <v>814</v>
      </c>
      <c r="B140" s="6">
        <v>5247.0</v>
      </c>
      <c r="C140" s="12" t="str">
        <f t="shared" si="1"/>
        <v>U5247</v>
      </c>
      <c r="D140" s="13" t="s">
        <v>776</v>
      </c>
      <c r="E140" s="14">
        <v>43382.0</v>
      </c>
      <c r="F140" s="9" t="s">
        <v>53</v>
      </c>
      <c r="G140" s="9" t="s">
        <v>54</v>
      </c>
      <c r="H140" s="9">
        <v>17.4</v>
      </c>
      <c r="I140" s="13">
        <v>117.0</v>
      </c>
      <c r="J140" s="13">
        <v>122.0</v>
      </c>
      <c r="K140" s="17">
        <f t="shared" si="2"/>
        <v>0.958229984</v>
      </c>
      <c r="L140" s="9">
        <v>2.0</v>
      </c>
      <c r="M140" s="9" t="s">
        <v>57</v>
      </c>
      <c r="O140" s="9" t="s">
        <v>221</v>
      </c>
      <c r="P140" s="9" t="s">
        <v>60</v>
      </c>
      <c r="Q140" s="9" t="s">
        <v>63</v>
      </c>
      <c r="R140" s="9" t="s">
        <v>63</v>
      </c>
      <c r="S140" s="9" t="s">
        <v>64</v>
      </c>
      <c r="T140" t="str">
        <f t="shared" si="3"/>
        <v>N</v>
      </c>
      <c r="W140" s="12" t="str">
        <f t="array" ref="W140">if(and(L140=0,Q140="NA"),"NA",if(L140=0,"no lice",if(Q140="NA","no collection",index(sea_lice!G:G,match(C140,sea_lice!A:A,0)))))</f>
        <v>no collection</v>
      </c>
      <c r="X140" s="23">
        <v>139.0</v>
      </c>
    </row>
    <row r="141">
      <c r="A141" s="9" t="s">
        <v>818</v>
      </c>
      <c r="B141" s="6">
        <v>5248.0</v>
      </c>
      <c r="C141" s="12" t="str">
        <f t="shared" si="1"/>
        <v>U5248</v>
      </c>
      <c r="D141" s="13" t="s">
        <v>819</v>
      </c>
      <c r="E141" s="14">
        <v>43382.0</v>
      </c>
      <c r="F141" s="9" t="s">
        <v>53</v>
      </c>
      <c r="G141" s="9" t="s">
        <v>54</v>
      </c>
      <c r="H141" s="9">
        <v>11.0</v>
      </c>
      <c r="I141" s="13">
        <v>103.0</v>
      </c>
      <c r="J141" s="13" t="s">
        <v>63</v>
      </c>
      <c r="K141" s="17" t="str">
        <f t="shared" si="2"/>
        <v/>
      </c>
      <c r="L141" s="9">
        <v>0.0</v>
      </c>
      <c r="M141" s="9" t="s">
        <v>57</v>
      </c>
      <c r="O141" s="9" t="s">
        <v>221</v>
      </c>
      <c r="P141" s="9" t="s">
        <v>60</v>
      </c>
      <c r="Q141" s="9" t="s">
        <v>63</v>
      </c>
      <c r="R141" s="9" t="s">
        <v>63</v>
      </c>
      <c r="S141" s="9" t="s">
        <v>64</v>
      </c>
      <c r="T141" t="str">
        <f t="shared" si="3"/>
        <v>N</v>
      </c>
      <c r="W141" s="12" t="str">
        <f t="array" ref="W141">if(and(L141=0,Q141="NA"),"NA",if(L141=0,"no lice",if(Q141="NA","no collection",index(sea_lice!G:G,match(C141,sea_lice!A:A,0)))))</f>
        <v>NA</v>
      </c>
      <c r="X141" s="23">
        <v>140.0</v>
      </c>
    </row>
    <row r="142">
      <c r="A142" s="9" t="s">
        <v>823</v>
      </c>
      <c r="B142" s="6">
        <v>5249.0</v>
      </c>
      <c r="C142" s="12" t="str">
        <f t="shared" si="1"/>
        <v>U5249</v>
      </c>
      <c r="D142" s="13" t="s">
        <v>819</v>
      </c>
      <c r="E142" s="14">
        <v>43382.0</v>
      </c>
      <c r="F142" s="9" t="s">
        <v>53</v>
      </c>
      <c r="G142" s="9" t="s">
        <v>54</v>
      </c>
      <c r="H142" s="9">
        <v>7.5</v>
      </c>
      <c r="I142" s="13">
        <v>84.0</v>
      </c>
      <c r="J142" s="13">
        <v>88.0</v>
      </c>
      <c r="K142" s="17">
        <f t="shared" si="2"/>
        <v>1.10055879</v>
      </c>
      <c r="L142" s="9">
        <v>1.0</v>
      </c>
      <c r="M142" s="9" t="s">
        <v>57</v>
      </c>
      <c r="O142" s="9" t="s">
        <v>221</v>
      </c>
      <c r="P142" s="9" t="s">
        <v>60</v>
      </c>
      <c r="Q142" s="9" t="s">
        <v>63</v>
      </c>
      <c r="R142" s="9" t="s">
        <v>63</v>
      </c>
      <c r="S142" s="9" t="s">
        <v>64</v>
      </c>
      <c r="T142" t="str">
        <f t="shared" si="3"/>
        <v>N</v>
      </c>
      <c r="W142" s="12" t="str">
        <f t="array" ref="W142">if(and(L142=0,Q142="NA"),"NA",if(L142=0,"no lice",if(Q142="NA","no collection",index(sea_lice!G:G,match(C142,sea_lice!A:A,0)))))</f>
        <v>no collection</v>
      </c>
      <c r="X142" s="23">
        <v>141.0</v>
      </c>
    </row>
    <row r="143">
      <c r="A143" s="9" t="s">
        <v>827</v>
      </c>
      <c r="B143" s="6">
        <v>5250.0</v>
      </c>
      <c r="C143" s="12" t="str">
        <f t="shared" si="1"/>
        <v>U5250</v>
      </c>
      <c r="D143" s="13" t="s">
        <v>819</v>
      </c>
      <c r="E143" s="14">
        <v>43382.0</v>
      </c>
      <c r="F143" s="9" t="s">
        <v>53</v>
      </c>
      <c r="G143" s="9" t="s">
        <v>54</v>
      </c>
      <c r="H143" s="9">
        <v>5.4</v>
      </c>
      <c r="I143" s="13">
        <v>76.0</v>
      </c>
      <c r="J143" s="13" t="s">
        <v>63</v>
      </c>
      <c r="K143" s="17" t="str">
        <f t="shared" si="2"/>
        <v/>
      </c>
      <c r="L143" s="9">
        <v>0.0</v>
      </c>
      <c r="M143" s="9" t="s">
        <v>57</v>
      </c>
      <c r="O143" s="9" t="s">
        <v>221</v>
      </c>
      <c r="P143" s="9" t="s">
        <v>60</v>
      </c>
      <c r="Q143" s="9" t="s">
        <v>63</v>
      </c>
      <c r="R143" s="9" t="s">
        <v>63</v>
      </c>
      <c r="S143" s="9" t="s">
        <v>64</v>
      </c>
      <c r="T143" t="str">
        <f t="shared" si="3"/>
        <v>N</v>
      </c>
      <c r="W143" s="12" t="str">
        <f t="array" ref="W143">if(and(L143=0,Q143="NA"),"NA",if(L143=0,"no lice",if(Q143="NA","no collection",index(sea_lice!G:G,match(C143,sea_lice!A:A,0)))))</f>
        <v>NA</v>
      </c>
      <c r="X143" s="23">
        <v>142.0</v>
      </c>
    </row>
    <row r="144">
      <c r="A144" s="9" t="s">
        <v>831</v>
      </c>
      <c r="B144" s="6">
        <v>5251.0</v>
      </c>
      <c r="C144" s="12" t="str">
        <f t="shared" si="1"/>
        <v>U5251</v>
      </c>
      <c r="D144" s="13" t="s">
        <v>819</v>
      </c>
      <c r="E144" s="14">
        <v>43382.0</v>
      </c>
      <c r="F144" s="9" t="s">
        <v>53</v>
      </c>
      <c r="G144" s="9" t="s">
        <v>54</v>
      </c>
      <c r="H144" s="9">
        <v>6.6</v>
      </c>
      <c r="I144" s="13">
        <v>81.0</v>
      </c>
      <c r="J144" s="13">
        <v>86.0</v>
      </c>
      <c r="K144" s="17">
        <f t="shared" si="2"/>
        <v>1.037644484</v>
      </c>
      <c r="L144" s="9">
        <v>0.0</v>
      </c>
      <c r="M144" s="9" t="s">
        <v>57</v>
      </c>
      <c r="O144" s="9" t="s">
        <v>221</v>
      </c>
      <c r="P144" s="9" t="s">
        <v>60</v>
      </c>
      <c r="Q144" s="9" t="s">
        <v>63</v>
      </c>
      <c r="R144" s="9" t="s">
        <v>63</v>
      </c>
      <c r="S144" s="9" t="s">
        <v>64</v>
      </c>
      <c r="T144" t="str">
        <f t="shared" si="3"/>
        <v>N</v>
      </c>
      <c r="W144" s="12" t="str">
        <f t="array" ref="W144">if(and(L144=0,Q144="NA"),"NA",if(L144=0,"no lice",if(Q144="NA","no collection",index(sea_lice!G:G,match(C144,sea_lice!A:A,0)))))</f>
        <v>NA</v>
      </c>
      <c r="X144" s="23">
        <v>143.0</v>
      </c>
    </row>
    <row r="145">
      <c r="A145" s="9" t="s">
        <v>836</v>
      </c>
      <c r="B145" s="6">
        <v>5252.0</v>
      </c>
      <c r="C145" s="12" t="str">
        <f t="shared" si="1"/>
        <v>U5252</v>
      </c>
      <c r="D145" s="13" t="s">
        <v>819</v>
      </c>
      <c r="E145" s="14">
        <v>43382.0</v>
      </c>
      <c r="F145" s="9" t="s">
        <v>53</v>
      </c>
      <c r="G145" s="9" t="s">
        <v>54</v>
      </c>
      <c r="H145" s="9">
        <v>4.5</v>
      </c>
      <c r="I145" s="13">
        <v>68.0</v>
      </c>
      <c r="J145" s="13">
        <v>73.0</v>
      </c>
      <c r="K145" s="17">
        <f t="shared" si="2"/>
        <v>1.156761787</v>
      </c>
      <c r="L145" s="9">
        <v>0.0</v>
      </c>
      <c r="M145" s="9" t="s">
        <v>57</v>
      </c>
      <c r="O145" s="9" t="s">
        <v>221</v>
      </c>
      <c r="P145" s="9" t="s">
        <v>60</v>
      </c>
      <c r="Q145" s="9" t="s">
        <v>63</v>
      </c>
      <c r="R145" s="9" t="s">
        <v>63</v>
      </c>
      <c r="S145" s="9" t="s">
        <v>64</v>
      </c>
      <c r="T145" t="str">
        <f t="shared" si="3"/>
        <v>N</v>
      </c>
      <c r="W145" s="12" t="str">
        <f t="array" ref="W145">if(and(L145=0,Q145="NA"),"NA",if(L145=0,"no lice",if(Q145="NA","no collection",index(sea_lice!G:G,match(C145,sea_lice!A:A,0)))))</f>
        <v>NA</v>
      </c>
      <c r="X145" s="23">
        <v>144.0</v>
      </c>
    </row>
    <row r="146">
      <c r="A146" s="9" t="s">
        <v>842</v>
      </c>
      <c r="B146" s="6">
        <v>5253.0</v>
      </c>
      <c r="C146" s="12" t="str">
        <f t="shared" si="1"/>
        <v>U5253</v>
      </c>
      <c r="D146" s="13" t="s">
        <v>819</v>
      </c>
      <c r="E146" s="14">
        <v>43382.0</v>
      </c>
      <c r="F146" s="9" t="s">
        <v>53</v>
      </c>
      <c r="G146" s="9" t="s">
        <v>54</v>
      </c>
      <c r="H146" s="9">
        <v>6.4</v>
      </c>
      <c r="I146" s="13">
        <v>84.0</v>
      </c>
      <c r="J146" s="13">
        <v>89.0</v>
      </c>
      <c r="K146" s="17">
        <f t="shared" si="2"/>
        <v>0.9078413377</v>
      </c>
      <c r="L146" s="9">
        <v>0.0</v>
      </c>
      <c r="M146" s="9" t="s">
        <v>57</v>
      </c>
      <c r="O146" s="9" t="s">
        <v>221</v>
      </c>
      <c r="P146" s="9" t="s">
        <v>60</v>
      </c>
      <c r="Q146" s="9" t="s">
        <v>63</v>
      </c>
      <c r="R146" s="9" t="s">
        <v>63</v>
      </c>
      <c r="S146" s="9" t="s">
        <v>64</v>
      </c>
      <c r="T146" t="str">
        <f t="shared" si="3"/>
        <v>N</v>
      </c>
      <c r="W146" s="12" t="str">
        <f t="array" ref="W146">if(and(L146=0,Q146="NA"),"NA",if(L146=0,"no lice",if(Q146="NA","no collection",index(sea_lice!G:G,match(C146,sea_lice!A:A,0)))))</f>
        <v>NA</v>
      </c>
      <c r="X146" s="23">
        <v>145.0</v>
      </c>
    </row>
    <row r="147">
      <c r="A147" s="9" t="s">
        <v>844</v>
      </c>
      <c r="B147" s="6">
        <v>5254.0</v>
      </c>
      <c r="C147" s="12" t="str">
        <f t="shared" si="1"/>
        <v>U5254</v>
      </c>
      <c r="D147" s="13" t="s">
        <v>819</v>
      </c>
      <c r="E147" s="14">
        <v>43382.0</v>
      </c>
      <c r="F147" s="9" t="s">
        <v>53</v>
      </c>
      <c r="G147" s="9" t="s">
        <v>54</v>
      </c>
      <c r="H147" s="9">
        <v>7.8</v>
      </c>
      <c r="I147" s="13">
        <v>90.0</v>
      </c>
      <c r="J147" s="13">
        <v>94.0</v>
      </c>
      <c r="K147" s="17">
        <f>iferror((10^5)*H148/(J147^3))</f>
        <v>0.5177080223</v>
      </c>
      <c r="L147" s="9">
        <v>0.0</v>
      </c>
      <c r="M147" s="9" t="s">
        <v>57</v>
      </c>
      <c r="O147" s="9" t="s">
        <v>221</v>
      </c>
      <c r="P147" s="9" t="s">
        <v>60</v>
      </c>
      <c r="Q147" s="9" t="s">
        <v>63</v>
      </c>
      <c r="R147" s="9" t="s">
        <v>63</v>
      </c>
      <c r="S147" s="9" t="s">
        <v>64</v>
      </c>
      <c r="T147" t="str">
        <f t="shared" si="3"/>
        <v>N</v>
      </c>
      <c r="W147" s="12" t="str">
        <f t="array" ref="W147">if(and(L147=0,Q147="NA"),"NA",if(L147=0,"no lice",if(Q147="NA","no collection",index(sea_lice!G:G,match(C147,sea_lice!A:A,0)))))</f>
        <v>NA</v>
      </c>
      <c r="X147" s="23">
        <v>146.0</v>
      </c>
    </row>
    <row r="148">
      <c r="A148" s="9" t="s">
        <v>848</v>
      </c>
      <c r="B148" s="6">
        <v>5255.0</v>
      </c>
      <c r="C148" s="12" t="str">
        <f t="shared" si="1"/>
        <v>U5255</v>
      </c>
      <c r="D148" s="13" t="s">
        <v>819</v>
      </c>
      <c r="E148" s="14">
        <v>43382.0</v>
      </c>
      <c r="F148" s="9" t="s">
        <v>53</v>
      </c>
      <c r="G148" s="9" t="s">
        <v>54</v>
      </c>
      <c r="H148" s="9">
        <v>4.3</v>
      </c>
      <c r="I148" s="13">
        <v>72.0</v>
      </c>
      <c r="J148" s="13">
        <v>77.0</v>
      </c>
      <c r="K148" s="17">
        <f t="shared" ref="K148:K150" si="4">iferror((10^5)*H148:H149/(J148^3))</f>
        <v>0.9418815288</v>
      </c>
      <c r="L148" s="9">
        <v>0.0</v>
      </c>
      <c r="M148" s="9" t="s">
        <v>57</v>
      </c>
      <c r="O148" s="9" t="s">
        <v>221</v>
      </c>
      <c r="P148" s="9" t="s">
        <v>60</v>
      </c>
      <c r="Q148" s="9" t="s">
        <v>63</v>
      </c>
      <c r="R148" s="9" t="s">
        <v>63</v>
      </c>
      <c r="S148" s="9" t="s">
        <v>64</v>
      </c>
      <c r="T148" t="str">
        <f t="shared" si="3"/>
        <v>N</v>
      </c>
      <c r="W148" s="12" t="str">
        <f t="array" ref="W148">if(and(L148=0,Q148="NA"),"NA",if(L148=0,"no lice",if(Q148="NA","no collection",index(sea_lice!G:G,match(C148,sea_lice!A:A,0)))))</f>
        <v>NA</v>
      </c>
      <c r="X148" s="23">
        <v>147.0</v>
      </c>
    </row>
    <row r="149">
      <c r="A149" s="9" t="s">
        <v>855</v>
      </c>
      <c r="B149" s="6">
        <v>5256.0</v>
      </c>
      <c r="C149" s="12" t="str">
        <f t="shared" si="1"/>
        <v>U5256</v>
      </c>
      <c r="D149" s="13" t="s">
        <v>819</v>
      </c>
      <c r="E149" s="14">
        <v>43382.0</v>
      </c>
      <c r="F149" s="9" t="s">
        <v>53</v>
      </c>
      <c r="G149" s="9" t="s">
        <v>54</v>
      </c>
      <c r="H149" s="9">
        <v>7.1</v>
      </c>
      <c r="I149" s="13">
        <v>87.0</v>
      </c>
      <c r="J149" s="13">
        <v>92.0</v>
      </c>
      <c r="K149" s="17">
        <f t="shared" si="4"/>
        <v>0.9117900879</v>
      </c>
      <c r="L149" s="9">
        <v>0.0</v>
      </c>
      <c r="M149" s="9" t="s">
        <v>57</v>
      </c>
      <c r="O149" s="9" t="s">
        <v>221</v>
      </c>
      <c r="P149" s="9" t="s">
        <v>60</v>
      </c>
      <c r="Q149" s="9" t="s">
        <v>63</v>
      </c>
      <c r="R149" s="9" t="s">
        <v>63</v>
      </c>
      <c r="S149" s="9" t="s">
        <v>64</v>
      </c>
      <c r="T149" t="str">
        <f t="shared" si="3"/>
        <v>N</v>
      </c>
      <c r="W149" s="12" t="str">
        <f t="array" ref="W149">if(and(L149=0,Q149="NA"),"NA",if(L149=0,"no lice",if(Q149="NA","no collection",index(sea_lice!G:G,match(C149,sea_lice!A:A,0)))))</f>
        <v>NA</v>
      </c>
      <c r="X149" s="23">
        <v>148.0</v>
      </c>
    </row>
    <row r="150">
      <c r="A150" s="9" t="s">
        <v>862</v>
      </c>
      <c r="B150" s="6">
        <v>5257.0</v>
      </c>
      <c r="C150" s="12" t="str">
        <f t="shared" si="1"/>
        <v>U5257</v>
      </c>
      <c r="D150" s="13" t="s">
        <v>819</v>
      </c>
      <c r="E150" s="14">
        <v>43382.0</v>
      </c>
      <c r="F150" s="9" t="s">
        <v>53</v>
      </c>
      <c r="G150" s="9" t="s">
        <v>54</v>
      </c>
      <c r="H150" s="9">
        <v>5.2</v>
      </c>
      <c r="I150" s="13">
        <v>78.0</v>
      </c>
      <c r="J150" s="13" t="s">
        <v>63</v>
      </c>
      <c r="K150" s="17" t="str">
        <f t="shared" si="4"/>
        <v/>
      </c>
      <c r="L150" s="9">
        <v>0.0</v>
      </c>
      <c r="M150" s="9" t="s">
        <v>57</v>
      </c>
      <c r="O150" s="9" t="s">
        <v>221</v>
      </c>
      <c r="P150" s="9" t="s">
        <v>60</v>
      </c>
      <c r="Q150" s="9" t="s">
        <v>63</v>
      </c>
      <c r="R150" s="9" t="s">
        <v>63</v>
      </c>
      <c r="S150" s="9" t="s">
        <v>64</v>
      </c>
      <c r="T150" t="str">
        <f t="shared" si="3"/>
        <v>N</v>
      </c>
      <c r="W150" s="12" t="str">
        <f t="array" ref="W150">if(and(L150=0,Q150="NA"),"NA",if(L150=0,"no lice",if(Q150="NA","no collection",index(sea_lice!G:G,match(C150,sea_lice!A:A,0)))))</f>
        <v>NA</v>
      </c>
      <c r="X150" s="23">
        <v>149.0</v>
      </c>
    </row>
    <row r="151">
      <c r="A151" s="9" t="s">
        <v>867</v>
      </c>
      <c r="B151" s="6">
        <v>5262.0</v>
      </c>
      <c r="C151" s="12" t="str">
        <f t="shared" si="1"/>
        <v>U5262</v>
      </c>
      <c r="D151" s="13" t="s">
        <v>868</v>
      </c>
      <c r="E151" s="14">
        <v>43382.0</v>
      </c>
      <c r="F151" s="9" t="s">
        <v>53</v>
      </c>
      <c r="G151" s="9" t="s">
        <v>54</v>
      </c>
      <c r="H151" s="9">
        <v>15.5</v>
      </c>
      <c r="I151" s="13">
        <v>116.0</v>
      </c>
      <c r="J151" s="13">
        <v>123.0</v>
      </c>
      <c r="K151" s="17">
        <f t="shared" ref="K151:K817" si="5">iferror((10^5)*H151/(J151^3))</f>
        <v>0.8329450735</v>
      </c>
      <c r="L151" s="9">
        <v>0.0</v>
      </c>
      <c r="M151" s="9" t="s">
        <v>57</v>
      </c>
      <c r="O151" s="9" t="s">
        <v>638</v>
      </c>
      <c r="P151" s="9" t="s">
        <v>60</v>
      </c>
      <c r="Q151" s="9" t="s">
        <v>63</v>
      </c>
      <c r="R151" s="9" t="s">
        <v>63</v>
      </c>
      <c r="S151" s="9" t="s">
        <v>64</v>
      </c>
      <c r="T151" t="str">
        <f t="shared" si="3"/>
        <v>N</v>
      </c>
      <c r="W151" s="12" t="str">
        <f t="array" ref="W151">if(and(L151=0,Q151="NA"),"NA",if(L151=0,"no lice",if(Q151="NA","no collection",index(sea_lice!G:G,match(C151,sea_lice!A:A,0)))))</f>
        <v>NA</v>
      </c>
      <c r="X151" s="23">
        <v>150.0</v>
      </c>
    </row>
    <row r="152">
      <c r="A152" s="9" t="s">
        <v>874</v>
      </c>
      <c r="B152" s="6">
        <v>5263.0</v>
      </c>
      <c r="C152" s="12" t="str">
        <f t="shared" si="1"/>
        <v>U5263</v>
      </c>
      <c r="D152" s="13" t="s">
        <v>868</v>
      </c>
      <c r="E152" s="14">
        <v>43382.0</v>
      </c>
      <c r="F152" s="9" t="s">
        <v>53</v>
      </c>
      <c r="G152" s="9" t="s">
        <v>54</v>
      </c>
      <c r="H152" s="9">
        <v>14.2</v>
      </c>
      <c r="I152" s="13">
        <v>113.0</v>
      </c>
      <c r="J152" s="13">
        <v>118.0</v>
      </c>
      <c r="K152" s="17">
        <f t="shared" si="5"/>
        <v>0.8642558392</v>
      </c>
      <c r="L152" s="9">
        <v>0.0</v>
      </c>
      <c r="M152" s="9" t="s">
        <v>57</v>
      </c>
      <c r="O152" s="9" t="s">
        <v>638</v>
      </c>
      <c r="P152" s="9" t="s">
        <v>60</v>
      </c>
      <c r="Q152" s="9" t="s">
        <v>63</v>
      </c>
      <c r="R152" s="9" t="s">
        <v>63</v>
      </c>
      <c r="S152" s="9" t="s">
        <v>64</v>
      </c>
      <c r="T152" t="str">
        <f t="shared" si="3"/>
        <v>N</v>
      </c>
      <c r="W152" s="12" t="str">
        <f t="array" ref="W152">if(and(L152=0,Q152="NA"),"NA",if(L152=0,"no lice",if(Q152="NA","no collection",index(sea_lice!G:G,match(C152,sea_lice!A:A,0)))))</f>
        <v>NA</v>
      </c>
      <c r="X152" s="23">
        <v>151.0</v>
      </c>
    </row>
    <row r="153">
      <c r="A153" s="9" t="s">
        <v>879</v>
      </c>
      <c r="B153" s="6">
        <v>5264.0</v>
      </c>
      <c r="C153" s="12" t="str">
        <f t="shared" si="1"/>
        <v>U5264</v>
      </c>
      <c r="D153" s="13" t="s">
        <v>868</v>
      </c>
      <c r="E153" s="14">
        <v>43382.0</v>
      </c>
      <c r="F153" s="9" t="s">
        <v>53</v>
      </c>
      <c r="G153" s="9" t="s">
        <v>54</v>
      </c>
      <c r="H153" s="9">
        <v>15.3</v>
      </c>
      <c r="I153" s="13">
        <v>117.0</v>
      </c>
      <c r="J153" s="13">
        <v>123.0</v>
      </c>
      <c r="K153" s="17">
        <f t="shared" si="5"/>
        <v>0.8221973951</v>
      </c>
      <c r="L153" s="9">
        <v>1.0</v>
      </c>
      <c r="M153" s="9" t="s">
        <v>57</v>
      </c>
      <c r="O153" s="9" t="s">
        <v>638</v>
      </c>
      <c r="P153" s="9" t="s">
        <v>60</v>
      </c>
      <c r="Q153" s="9" t="s">
        <v>63</v>
      </c>
      <c r="R153" s="9" t="s">
        <v>63</v>
      </c>
      <c r="S153" s="9" t="s">
        <v>64</v>
      </c>
      <c r="T153" t="str">
        <f t="shared" si="3"/>
        <v>N</v>
      </c>
      <c r="W153" s="12" t="str">
        <f t="array" ref="W153">if(and(L153=0,Q153="NA"),"NA",if(L153=0,"no lice",if(Q153="NA","no collection",index(sea_lice!G:G,match(C153,sea_lice!A:A,0)))))</f>
        <v>no collection</v>
      </c>
      <c r="X153" s="23">
        <v>152.0</v>
      </c>
    </row>
    <row r="154">
      <c r="A154" s="9" t="s">
        <v>883</v>
      </c>
      <c r="B154" s="6">
        <v>5265.0</v>
      </c>
      <c r="C154" s="12" t="str">
        <f t="shared" si="1"/>
        <v>U5265</v>
      </c>
      <c r="D154" s="13" t="s">
        <v>868</v>
      </c>
      <c r="E154" s="14">
        <v>43382.0</v>
      </c>
      <c r="F154" s="9" t="s">
        <v>53</v>
      </c>
      <c r="G154" s="9" t="s">
        <v>54</v>
      </c>
      <c r="H154" s="9">
        <v>14.8</v>
      </c>
      <c r="I154" s="13">
        <v>110.0</v>
      </c>
      <c r="J154" s="13">
        <v>115.0</v>
      </c>
      <c r="K154" s="17">
        <f t="shared" si="5"/>
        <v>0.973124024</v>
      </c>
      <c r="L154" s="9">
        <v>2.0</v>
      </c>
      <c r="M154" s="9" t="s">
        <v>57</v>
      </c>
      <c r="O154" s="9" t="s">
        <v>638</v>
      </c>
      <c r="P154" s="9" t="s">
        <v>60</v>
      </c>
      <c r="Q154" s="9" t="s">
        <v>63</v>
      </c>
      <c r="R154" s="9" t="s">
        <v>63</v>
      </c>
      <c r="S154" s="9" t="s">
        <v>64</v>
      </c>
      <c r="T154" t="str">
        <f t="shared" si="3"/>
        <v>N</v>
      </c>
      <c r="W154" s="12" t="str">
        <f t="array" ref="W154">if(and(L154=0,Q154="NA"),"NA",if(L154=0,"no lice",if(Q154="NA","no collection",index(sea_lice!G:G,match(C154,sea_lice!A:A,0)))))</f>
        <v>no collection</v>
      </c>
      <c r="X154" s="23">
        <v>153.0</v>
      </c>
    </row>
    <row r="155">
      <c r="A155" s="9" t="s">
        <v>888</v>
      </c>
      <c r="B155" s="6">
        <v>5266.0</v>
      </c>
      <c r="C155" s="12" t="str">
        <f t="shared" si="1"/>
        <v>U5266</v>
      </c>
      <c r="D155" s="13" t="s">
        <v>868</v>
      </c>
      <c r="E155" s="14">
        <v>43382.0</v>
      </c>
      <c r="F155" s="9" t="s">
        <v>53</v>
      </c>
      <c r="G155" s="9" t="s">
        <v>54</v>
      </c>
      <c r="H155" s="9">
        <v>11.2</v>
      </c>
      <c r="I155" s="13">
        <v>102.0</v>
      </c>
      <c r="J155" s="13">
        <v>107.0</v>
      </c>
      <c r="K155" s="17">
        <f t="shared" si="5"/>
        <v>0.9142536221</v>
      </c>
      <c r="L155" s="9">
        <v>1.0</v>
      </c>
      <c r="M155" s="9" t="s">
        <v>57</v>
      </c>
      <c r="O155" s="9" t="s">
        <v>638</v>
      </c>
      <c r="P155" s="9" t="s">
        <v>60</v>
      </c>
      <c r="Q155" s="9" t="s">
        <v>63</v>
      </c>
      <c r="R155" s="9" t="s">
        <v>63</v>
      </c>
      <c r="S155" s="9" t="s">
        <v>64</v>
      </c>
      <c r="T155" t="str">
        <f t="shared" si="3"/>
        <v>N</v>
      </c>
      <c r="W155" s="12" t="str">
        <f t="array" ref="W155">if(and(L155=0,Q155="NA"),"NA",if(L155=0,"no lice",if(Q155="NA","no collection",index(sea_lice!G:G,match(C155,sea_lice!A:A,0)))))</f>
        <v>no collection</v>
      </c>
      <c r="X155" s="23">
        <v>154.0</v>
      </c>
    </row>
    <row r="156">
      <c r="A156" s="9" t="s">
        <v>896</v>
      </c>
      <c r="B156" s="6">
        <v>5267.0</v>
      </c>
      <c r="C156" s="12" t="str">
        <f t="shared" si="1"/>
        <v>U5267</v>
      </c>
      <c r="D156" s="13" t="s">
        <v>868</v>
      </c>
      <c r="E156" s="14">
        <v>43382.0</v>
      </c>
      <c r="F156" s="9" t="s">
        <v>53</v>
      </c>
      <c r="G156" s="9" t="s">
        <v>54</v>
      </c>
      <c r="H156" s="9">
        <v>14.2</v>
      </c>
      <c r="I156" s="13">
        <v>109.0</v>
      </c>
      <c r="J156" s="13">
        <v>114.0</v>
      </c>
      <c r="K156" s="17">
        <f t="shared" si="5"/>
        <v>0.958459553</v>
      </c>
      <c r="L156" s="9">
        <v>1.0</v>
      </c>
      <c r="M156" s="9" t="s">
        <v>57</v>
      </c>
      <c r="O156" s="9" t="s">
        <v>638</v>
      </c>
      <c r="P156" s="9" t="s">
        <v>60</v>
      </c>
      <c r="Q156" s="9" t="s">
        <v>63</v>
      </c>
      <c r="R156" s="9" t="s">
        <v>63</v>
      </c>
      <c r="S156" s="9" t="s">
        <v>64</v>
      </c>
      <c r="T156" t="str">
        <f t="shared" si="3"/>
        <v>N</v>
      </c>
      <c r="W156" s="12" t="str">
        <f t="array" ref="W156">if(and(L156=0,Q156="NA"),"NA",if(L156=0,"no lice",if(Q156="NA","no collection",index(sea_lice!G:G,match(C156,sea_lice!A:A,0)))))</f>
        <v>no collection</v>
      </c>
      <c r="X156" s="23">
        <v>155.0</v>
      </c>
    </row>
    <row r="157">
      <c r="A157" s="9" t="s">
        <v>902</v>
      </c>
      <c r="B157" s="6">
        <v>5268.0</v>
      </c>
      <c r="C157" s="12" t="str">
        <f t="shared" si="1"/>
        <v>U5268</v>
      </c>
      <c r="D157" s="13" t="s">
        <v>868</v>
      </c>
      <c r="E157" s="14">
        <v>43382.0</v>
      </c>
      <c r="F157" s="9" t="s">
        <v>53</v>
      </c>
      <c r="G157" s="9" t="s">
        <v>54</v>
      </c>
      <c r="H157" s="9">
        <v>12.3</v>
      </c>
      <c r="I157" s="13">
        <v>105.0</v>
      </c>
      <c r="J157" s="13">
        <v>110.0</v>
      </c>
      <c r="K157" s="17">
        <f t="shared" si="5"/>
        <v>0.9241172051</v>
      </c>
      <c r="L157" s="9">
        <v>0.0</v>
      </c>
      <c r="M157" s="9" t="s">
        <v>57</v>
      </c>
      <c r="O157" s="9" t="s">
        <v>638</v>
      </c>
      <c r="P157" s="9" t="s">
        <v>60</v>
      </c>
      <c r="Q157" s="9" t="s">
        <v>63</v>
      </c>
      <c r="R157" s="9" t="s">
        <v>63</v>
      </c>
      <c r="S157" s="9" t="s">
        <v>64</v>
      </c>
      <c r="T157" t="str">
        <f t="shared" si="3"/>
        <v>N</v>
      </c>
      <c r="W157" s="12" t="str">
        <f t="array" ref="W157">if(and(L157=0,Q157="NA"),"NA",if(L157=0,"no lice",if(Q157="NA","no collection",index(sea_lice!G:G,match(C157,sea_lice!A:A,0)))))</f>
        <v>NA</v>
      </c>
      <c r="X157" s="23">
        <v>156.0</v>
      </c>
    </row>
    <row r="158">
      <c r="A158" s="9" t="s">
        <v>909</v>
      </c>
      <c r="B158" s="6">
        <v>5269.0</v>
      </c>
      <c r="C158" s="12" t="str">
        <f t="shared" si="1"/>
        <v>U5269</v>
      </c>
      <c r="D158" s="13" t="s">
        <v>868</v>
      </c>
      <c r="E158" s="14">
        <v>43382.0</v>
      </c>
      <c r="F158" s="9" t="s">
        <v>53</v>
      </c>
      <c r="G158" s="9" t="s">
        <v>54</v>
      </c>
      <c r="H158" s="9">
        <v>14.5</v>
      </c>
      <c r="I158" s="13">
        <v>106.0</v>
      </c>
      <c r="J158" s="13">
        <v>112.0</v>
      </c>
      <c r="K158" s="17">
        <f t="shared" si="5"/>
        <v>1.032081359</v>
      </c>
      <c r="L158" s="9">
        <v>0.0</v>
      </c>
      <c r="M158" s="9" t="s">
        <v>57</v>
      </c>
      <c r="O158" s="9" t="s">
        <v>638</v>
      </c>
      <c r="P158" s="9" t="s">
        <v>60</v>
      </c>
      <c r="Q158" s="9" t="s">
        <v>63</v>
      </c>
      <c r="R158" s="9" t="s">
        <v>63</v>
      </c>
      <c r="S158" s="9" t="s">
        <v>64</v>
      </c>
      <c r="T158" t="str">
        <f t="shared" si="3"/>
        <v>N</v>
      </c>
      <c r="W158" s="12" t="str">
        <f t="array" ref="W158">if(and(L158=0,Q158="NA"),"NA",if(L158=0,"no lice",if(Q158="NA","no collection",index(sea_lice!G:G,match(C158,sea_lice!A:A,0)))))</f>
        <v>NA</v>
      </c>
      <c r="X158" s="23">
        <v>157.0</v>
      </c>
    </row>
    <row r="159">
      <c r="A159" s="9" t="s">
        <v>915</v>
      </c>
      <c r="B159" s="6">
        <v>5270.0</v>
      </c>
      <c r="C159" s="12" t="str">
        <f t="shared" si="1"/>
        <v>U5270</v>
      </c>
      <c r="D159" s="13" t="s">
        <v>868</v>
      </c>
      <c r="E159" s="14">
        <v>43382.0</v>
      </c>
      <c r="F159" s="9" t="s">
        <v>53</v>
      </c>
      <c r="G159" s="9" t="s">
        <v>54</v>
      </c>
      <c r="H159" s="9">
        <v>9.7</v>
      </c>
      <c r="I159" s="13">
        <v>94.0</v>
      </c>
      <c r="J159" s="13" t="s">
        <v>63</v>
      </c>
      <c r="K159" s="17" t="str">
        <f t="shared" si="5"/>
        <v/>
      </c>
      <c r="L159" s="9">
        <v>0.0</v>
      </c>
      <c r="M159" s="9" t="s">
        <v>57</v>
      </c>
      <c r="O159" s="9" t="s">
        <v>638</v>
      </c>
      <c r="P159" s="9" t="s">
        <v>60</v>
      </c>
      <c r="Q159" s="9" t="s">
        <v>63</v>
      </c>
      <c r="R159" s="9" t="s">
        <v>63</v>
      </c>
      <c r="S159" s="9" t="s">
        <v>64</v>
      </c>
      <c r="T159" t="str">
        <f t="shared" si="3"/>
        <v>N</v>
      </c>
      <c r="W159" s="12" t="str">
        <f t="array" ref="W159">if(and(L159=0,Q159="NA"),"NA",if(L159=0,"no lice",if(Q159="NA","no collection",index(sea_lice!G:G,match(C159,sea_lice!A:A,0)))))</f>
        <v>NA</v>
      </c>
      <c r="X159" s="23">
        <v>158.0</v>
      </c>
    </row>
    <row r="160">
      <c r="A160" s="9" t="s">
        <v>920</v>
      </c>
      <c r="B160" s="6">
        <v>5271.0</v>
      </c>
      <c r="C160" s="12" t="str">
        <f t="shared" si="1"/>
        <v>U5271</v>
      </c>
      <c r="D160" s="13" t="s">
        <v>868</v>
      </c>
      <c r="E160" s="14">
        <v>43382.0</v>
      </c>
      <c r="F160" s="9" t="s">
        <v>53</v>
      </c>
      <c r="G160" s="9" t="s">
        <v>54</v>
      </c>
      <c r="H160" s="9">
        <v>14.5</v>
      </c>
      <c r="I160" s="13">
        <v>110.0</v>
      </c>
      <c r="J160" s="13">
        <v>115.0</v>
      </c>
      <c r="K160" s="17">
        <f t="shared" si="5"/>
        <v>0.953398537</v>
      </c>
      <c r="L160" s="9">
        <v>0.0</v>
      </c>
      <c r="M160" s="9" t="s">
        <v>57</v>
      </c>
      <c r="O160" s="9" t="s">
        <v>638</v>
      </c>
      <c r="P160" s="9" t="s">
        <v>60</v>
      </c>
      <c r="Q160" s="9" t="s">
        <v>63</v>
      </c>
      <c r="R160" s="9" t="s">
        <v>63</v>
      </c>
      <c r="S160" s="9" t="s">
        <v>64</v>
      </c>
      <c r="T160" t="str">
        <f t="shared" si="3"/>
        <v>N</v>
      </c>
      <c r="W160" s="12" t="str">
        <f t="array" ref="W160">if(and(L160=0,Q160="NA"),"NA",if(L160=0,"no lice",if(Q160="NA","no collection",index(sea_lice!G:G,match(C160,sea_lice!A:A,0)))))</f>
        <v>NA</v>
      </c>
      <c r="X160" s="23">
        <v>159.0</v>
      </c>
    </row>
    <row r="161">
      <c r="A161" s="9" t="s">
        <v>925</v>
      </c>
      <c r="B161" s="6">
        <v>5272.0</v>
      </c>
      <c r="C161" s="12" t="str">
        <f t="shared" si="1"/>
        <v>U5272</v>
      </c>
      <c r="D161" s="13" t="s">
        <v>926</v>
      </c>
      <c r="E161" s="14">
        <v>43382.0</v>
      </c>
      <c r="F161" s="9" t="s">
        <v>53</v>
      </c>
      <c r="G161" s="9" t="s">
        <v>54</v>
      </c>
      <c r="H161" s="9">
        <v>3.6</v>
      </c>
      <c r="I161" s="13">
        <v>69.0</v>
      </c>
      <c r="J161" s="13">
        <v>72.0</v>
      </c>
      <c r="K161" s="17">
        <f t="shared" si="5"/>
        <v>0.9645061728</v>
      </c>
      <c r="L161" s="9">
        <v>0.0</v>
      </c>
      <c r="M161" s="9" t="s">
        <v>57</v>
      </c>
      <c r="O161" s="9" t="s">
        <v>638</v>
      </c>
      <c r="P161" s="9" t="s">
        <v>60</v>
      </c>
      <c r="Q161" s="9" t="s">
        <v>63</v>
      </c>
      <c r="R161" s="9" t="s">
        <v>63</v>
      </c>
      <c r="S161" s="9" t="s">
        <v>64</v>
      </c>
      <c r="T161" t="str">
        <f t="shared" si="3"/>
        <v>N</v>
      </c>
      <c r="W161" s="12" t="str">
        <f t="array" ref="W161">if(and(L161=0,Q161="NA"),"NA",if(L161=0,"no lice",if(Q161="NA","no collection",index(sea_lice!G:G,match(C161,sea_lice!A:A,0)))))</f>
        <v>NA</v>
      </c>
      <c r="X161" s="23">
        <v>160.0</v>
      </c>
    </row>
    <row r="162">
      <c r="A162" s="9" t="s">
        <v>932</v>
      </c>
      <c r="B162" s="6">
        <v>5273.0</v>
      </c>
      <c r="C162" s="12" t="str">
        <f t="shared" si="1"/>
        <v>U5273</v>
      </c>
      <c r="D162" s="13" t="s">
        <v>926</v>
      </c>
      <c r="E162" s="14">
        <v>43382.0</v>
      </c>
      <c r="F162" s="9" t="s">
        <v>53</v>
      </c>
      <c r="G162" s="9" t="s">
        <v>54</v>
      </c>
      <c r="H162" s="9">
        <v>3.2</v>
      </c>
      <c r="I162" s="13">
        <v>67.0</v>
      </c>
      <c r="J162" s="13" t="s">
        <v>63</v>
      </c>
      <c r="K162" s="17" t="str">
        <f t="shared" si="5"/>
        <v/>
      </c>
      <c r="L162" s="9">
        <v>0.0</v>
      </c>
      <c r="M162" s="9" t="s">
        <v>57</v>
      </c>
      <c r="O162" s="9" t="s">
        <v>638</v>
      </c>
      <c r="P162" s="9" t="s">
        <v>60</v>
      </c>
      <c r="Q162" s="9" t="s">
        <v>63</v>
      </c>
      <c r="R162" s="9" t="s">
        <v>63</v>
      </c>
      <c r="S162" s="9" t="s">
        <v>64</v>
      </c>
      <c r="T162" t="str">
        <f t="shared" si="3"/>
        <v>N</v>
      </c>
      <c r="W162" s="12" t="str">
        <f t="array" ref="W162">if(and(L162=0,Q162="NA"),"NA",if(L162=0,"no lice",if(Q162="NA","no collection",index(sea_lice!G:G,match(C162,sea_lice!A:A,0)))))</f>
        <v>NA</v>
      </c>
      <c r="X162" s="23">
        <v>161.0</v>
      </c>
    </row>
    <row r="163">
      <c r="A163" s="9" t="s">
        <v>939</v>
      </c>
      <c r="B163" s="6">
        <v>5237.0</v>
      </c>
      <c r="C163" s="12" t="str">
        <f t="shared" si="1"/>
        <v>U5237</v>
      </c>
      <c r="D163" s="13" t="s">
        <v>926</v>
      </c>
      <c r="E163" s="14">
        <v>43382.0</v>
      </c>
      <c r="F163" s="9" t="s">
        <v>53</v>
      </c>
      <c r="G163" s="9" t="s">
        <v>54</v>
      </c>
      <c r="H163" s="9">
        <v>4.0</v>
      </c>
      <c r="I163" s="13">
        <v>69.0</v>
      </c>
      <c r="J163" s="13">
        <v>73.0</v>
      </c>
      <c r="K163" s="17">
        <f t="shared" si="5"/>
        <v>1.028232699</v>
      </c>
      <c r="L163" s="9">
        <v>1.0</v>
      </c>
      <c r="M163" s="9" t="s">
        <v>57</v>
      </c>
      <c r="O163" s="9" t="s">
        <v>638</v>
      </c>
      <c r="P163" s="9" t="s">
        <v>60</v>
      </c>
      <c r="Q163" s="9" t="s">
        <v>63</v>
      </c>
      <c r="R163" s="9" t="s">
        <v>63</v>
      </c>
      <c r="S163" s="9" t="s">
        <v>64</v>
      </c>
      <c r="T163" t="str">
        <f t="shared" si="3"/>
        <v>N</v>
      </c>
      <c r="W163" s="12" t="str">
        <f t="array" ref="W163">if(and(L163=0,Q163="NA"),"NA",if(L163=0,"no lice",if(Q163="NA","no collection",index(sea_lice!G:G,match(C163,sea_lice!A:A,0)))))</f>
        <v>no collection</v>
      </c>
      <c r="X163" s="23">
        <v>162.0</v>
      </c>
    </row>
    <row r="164">
      <c r="A164" s="9" t="s">
        <v>945</v>
      </c>
      <c r="B164" s="6">
        <v>5238.0</v>
      </c>
      <c r="C164" s="12" t="str">
        <f t="shared" si="1"/>
        <v>U5238</v>
      </c>
      <c r="D164" s="13" t="s">
        <v>926</v>
      </c>
      <c r="E164" s="14">
        <v>43382.0</v>
      </c>
      <c r="F164" s="9" t="s">
        <v>53</v>
      </c>
      <c r="G164" s="9" t="s">
        <v>54</v>
      </c>
      <c r="H164" s="9">
        <v>3.0</v>
      </c>
      <c r="I164" s="13">
        <v>61.0</v>
      </c>
      <c r="J164" s="13">
        <v>65.0</v>
      </c>
      <c r="K164" s="17">
        <f t="shared" si="5"/>
        <v>1.092398726</v>
      </c>
      <c r="L164" s="9">
        <v>0.0</v>
      </c>
      <c r="M164" s="9" t="s">
        <v>57</v>
      </c>
      <c r="O164" s="9" t="s">
        <v>638</v>
      </c>
      <c r="P164" s="9" t="s">
        <v>60</v>
      </c>
      <c r="Q164" s="9" t="s">
        <v>63</v>
      </c>
      <c r="R164" s="9" t="s">
        <v>63</v>
      </c>
      <c r="S164" s="9" t="s">
        <v>64</v>
      </c>
      <c r="T164" t="str">
        <f t="shared" si="3"/>
        <v>N</v>
      </c>
      <c r="W164" s="12" t="str">
        <f t="array" ref="W164">if(and(L164=0,Q164="NA"),"NA",if(L164=0,"no lice",if(Q164="NA","no collection",index(sea_lice!G:G,match(C164,sea_lice!A:A,0)))))</f>
        <v>NA</v>
      </c>
      <c r="X164" s="23">
        <v>163.0</v>
      </c>
    </row>
    <row r="165">
      <c r="A165" s="9" t="s">
        <v>951</v>
      </c>
      <c r="B165" s="6">
        <v>5239.0</v>
      </c>
      <c r="C165" s="12" t="str">
        <f t="shared" si="1"/>
        <v>U5239</v>
      </c>
      <c r="D165" s="13" t="s">
        <v>926</v>
      </c>
      <c r="E165" s="14">
        <v>43382.0</v>
      </c>
      <c r="F165" s="9" t="s">
        <v>53</v>
      </c>
      <c r="G165" s="9" t="s">
        <v>54</v>
      </c>
      <c r="H165" s="9">
        <v>4.1</v>
      </c>
      <c r="I165" s="13">
        <v>72.0</v>
      </c>
      <c r="J165" s="13" t="s">
        <v>63</v>
      </c>
      <c r="K165" s="17" t="str">
        <f t="shared" si="5"/>
        <v/>
      </c>
      <c r="L165" s="9">
        <v>0.0</v>
      </c>
      <c r="M165" s="9" t="s">
        <v>57</v>
      </c>
      <c r="O165" s="9" t="s">
        <v>638</v>
      </c>
      <c r="P165" s="9" t="s">
        <v>60</v>
      </c>
      <c r="Q165" s="9" t="s">
        <v>63</v>
      </c>
      <c r="R165" s="9" t="s">
        <v>63</v>
      </c>
      <c r="S165" s="9" t="s">
        <v>64</v>
      </c>
      <c r="T165" t="str">
        <f t="shared" si="3"/>
        <v>N</v>
      </c>
      <c r="W165" s="12" t="str">
        <f t="array" ref="W165">if(and(L165=0,Q165="NA"),"NA",if(L165=0,"no lice",if(Q165="NA","no collection",index(sea_lice!G:G,match(C165,sea_lice!A:A,0)))))</f>
        <v>NA</v>
      </c>
      <c r="X165" s="23">
        <v>164.0</v>
      </c>
    </row>
    <row r="166">
      <c r="A166" s="9" t="s">
        <v>957</v>
      </c>
      <c r="B166" s="6">
        <v>5240.0</v>
      </c>
      <c r="C166" s="12" t="str">
        <f t="shared" si="1"/>
        <v>U5240</v>
      </c>
      <c r="D166" s="13" t="s">
        <v>926</v>
      </c>
      <c r="E166" s="14">
        <v>43383.0</v>
      </c>
      <c r="F166" s="9" t="s">
        <v>53</v>
      </c>
      <c r="G166" s="9" t="s">
        <v>54</v>
      </c>
      <c r="H166" s="9">
        <v>3.9</v>
      </c>
      <c r="I166" s="13">
        <v>65.0</v>
      </c>
      <c r="J166" s="13" t="s">
        <v>63</v>
      </c>
      <c r="K166" s="17" t="str">
        <f t="shared" si="5"/>
        <v/>
      </c>
      <c r="L166" s="9">
        <v>1.0</v>
      </c>
      <c r="M166" s="9" t="s">
        <v>57</v>
      </c>
      <c r="O166" s="9" t="s">
        <v>638</v>
      </c>
      <c r="P166" s="9" t="s">
        <v>60</v>
      </c>
      <c r="Q166" s="9" t="s">
        <v>63</v>
      </c>
      <c r="R166" s="9" t="s">
        <v>63</v>
      </c>
      <c r="S166" s="9" t="s">
        <v>64</v>
      </c>
      <c r="T166" t="str">
        <f t="shared" si="3"/>
        <v>N</v>
      </c>
      <c r="W166" s="12" t="str">
        <f t="array" ref="W166">if(and(L166=0,Q166="NA"),"NA",if(L166=0,"no lice",if(Q166="NA","no collection",index(sea_lice!G:G,match(C166,sea_lice!A:A,0)))))</f>
        <v>no collection</v>
      </c>
      <c r="X166" s="23">
        <v>165.0</v>
      </c>
    </row>
    <row r="167">
      <c r="A167" s="9" t="s">
        <v>964</v>
      </c>
      <c r="B167" s="6">
        <v>5241.0</v>
      </c>
      <c r="C167" s="12" t="str">
        <f t="shared" si="1"/>
        <v>U5241</v>
      </c>
      <c r="D167" s="13" t="s">
        <v>926</v>
      </c>
      <c r="E167" s="14">
        <v>43383.0</v>
      </c>
      <c r="F167" s="9" t="s">
        <v>53</v>
      </c>
      <c r="G167" s="9" t="s">
        <v>54</v>
      </c>
      <c r="H167" s="9">
        <v>3.8</v>
      </c>
      <c r="I167" s="13">
        <v>75.0</v>
      </c>
      <c r="J167" s="13">
        <v>79.0</v>
      </c>
      <c r="K167" s="17">
        <f t="shared" si="5"/>
        <v>0.7707301045</v>
      </c>
      <c r="L167" s="9">
        <v>1.0</v>
      </c>
      <c r="M167" s="9" t="s">
        <v>57</v>
      </c>
      <c r="N167" s="9" t="s">
        <v>965</v>
      </c>
      <c r="O167" s="9" t="s">
        <v>638</v>
      </c>
      <c r="P167" s="9" t="s">
        <v>60</v>
      </c>
      <c r="Q167" s="9" t="s">
        <v>63</v>
      </c>
      <c r="R167" s="9" t="s">
        <v>63</v>
      </c>
      <c r="S167" s="9" t="s">
        <v>64</v>
      </c>
      <c r="T167" t="str">
        <f t="shared" si="3"/>
        <v>N</v>
      </c>
      <c r="W167" s="12" t="str">
        <f t="array" ref="W167">if(and(L167=0,Q167="NA"),"NA",if(L167=0,"no lice",if(Q167="NA","no collection",index(sea_lice!G:G,match(C167,sea_lice!A:A,0)))))</f>
        <v>no collection</v>
      </c>
      <c r="X167" s="23">
        <v>166.0</v>
      </c>
    </row>
    <row r="168">
      <c r="A168" s="9" t="s">
        <v>968</v>
      </c>
      <c r="B168" s="6">
        <v>5242.0</v>
      </c>
      <c r="C168" s="12" t="str">
        <f t="shared" si="1"/>
        <v>U5242</v>
      </c>
      <c r="D168" s="13" t="s">
        <v>926</v>
      </c>
      <c r="E168" s="14">
        <v>43383.0</v>
      </c>
      <c r="F168" s="9" t="s">
        <v>53</v>
      </c>
      <c r="G168" s="9" t="s">
        <v>54</v>
      </c>
      <c r="H168" s="9">
        <v>3.3</v>
      </c>
      <c r="I168" s="13">
        <v>67.0</v>
      </c>
      <c r="J168" s="13" t="s">
        <v>63</v>
      </c>
      <c r="K168" s="17" t="str">
        <f t="shared" si="5"/>
        <v/>
      </c>
      <c r="L168" s="9">
        <v>1.0</v>
      </c>
      <c r="M168" s="9" t="s">
        <v>57</v>
      </c>
      <c r="O168" s="9" t="s">
        <v>638</v>
      </c>
      <c r="P168" s="9" t="s">
        <v>60</v>
      </c>
      <c r="Q168" s="9" t="s">
        <v>63</v>
      </c>
      <c r="R168" s="9" t="s">
        <v>63</v>
      </c>
      <c r="S168" s="9" t="s">
        <v>64</v>
      </c>
      <c r="T168" t="str">
        <f t="shared" si="3"/>
        <v>N</v>
      </c>
      <c r="W168" s="12" t="str">
        <f t="array" ref="W168">if(and(L168=0,Q168="NA"),"NA",if(L168=0,"no lice",if(Q168="NA","no collection",index(sea_lice!G:G,match(C168,sea_lice!A:A,0)))))</f>
        <v>no collection</v>
      </c>
      <c r="X168" s="23">
        <v>167.0</v>
      </c>
    </row>
    <row r="169">
      <c r="A169" s="9" t="s">
        <v>973</v>
      </c>
      <c r="B169" s="6">
        <v>5243.0</v>
      </c>
      <c r="C169" s="12" t="str">
        <f t="shared" si="1"/>
        <v>U5243</v>
      </c>
      <c r="D169" s="13" t="s">
        <v>926</v>
      </c>
      <c r="E169" s="14">
        <v>43383.0</v>
      </c>
      <c r="F169" s="9" t="s">
        <v>53</v>
      </c>
      <c r="G169" s="9" t="s">
        <v>54</v>
      </c>
      <c r="H169" s="9">
        <v>2.4</v>
      </c>
      <c r="I169" s="13">
        <v>61.0</v>
      </c>
      <c r="J169" s="13" t="s">
        <v>63</v>
      </c>
      <c r="K169" s="17" t="str">
        <f t="shared" si="5"/>
        <v/>
      </c>
      <c r="L169" s="9">
        <v>1.0</v>
      </c>
      <c r="M169" s="9" t="s">
        <v>57</v>
      </c>
      <c r="O169" s="9" t="s">
        <v>638</v>
      </c>
      <c r="P169" s="9" t="s">
        <v>60</v>
      </c>
      <c r="Q169" s="9" t="s">
        <v>63</v>
      </c>
      <c r="R169" s="9" t="s">
        <v>63</v>
      </c>
      <c r="S169" s="9" t="s">
        <v>64</v>
      </c>
      <c r="T169" t="str">
        <f t="shared" si="3"/>
        <v>N</v>
      </c>
      <c r="W169" s="12" t="str">
        <f t="array" ref="W169">if(and(L169=0,Q169="NA"),"NA",if(L169=0,"no lice",if(Q169="NA","no collection",index(sea_lice!G:G,match(C169,sea_lice!A:A,0)))))</f>
        <v>no collection</v>
      </c>
      <c r="X169" s="23">
        <v>168.0</v>
      </c>
    </row>
    <row r="170">
      <c r="A170" s="9" t="s">
        <v>980</v>
      </c>
      <c r="B170" s="6">
        <v>5244.0</v>
      </c>
      <c r="C170" s="12" t="str">
        <f t="shared" si="1"/>
        <v>U5244</v>
      </c>
      <c r="D170" s="13" t="s">
        <v>926</v>
      </c>
      <c r="E170" s="14">
        <v>43383.0</v>
      </c>
      <c r="F170" s="9" t="s">
        <v>53</v>
      </c>
      <c r="G170" s="9" t="s">
        <v>54</v>
      </c>
      <c r="H170" s="9">
        <v>2.5</v>
      </c>
      <c r="I170" s="13">
        <v>63.0</v>
      </c>
      <c r="J170" s="13">
        <v>66.0</v>
      </c>
      <c r="K170" s="17">
        <f t="shared" si="5"/>
        <v>0.8695773159</v>
      </c>
      <c r="L170" s="9">
        <v>0.0</v>
      </c>
      <c r="M170" s="9" t="s">
        <v>57</v>
      </c>
      <c r="O170" s="9" t="s">
        <v>638</v>
      </c>
      <c r="P170" s="9" t="s">
        <v>60</v>
      </c>
      <c r="Q170" s="9" t="s">
        <v>63</v>
      </c>
      <c r="R170" s="9" t="s">
        <v>63</v>
      </c>
      <c r="S170" s="9" t="s">
        <v>64</v>
      </c>
      <c r="T170" t="str">
        <f t="shared" si="3"/>
        <v>N</v>
      </c>
      <c r="W170" s="12" t="str">
        <f t="array" ref="W170">if(and(L170=0,Q170="NA"),"NA",if(L170=0,"no lice",if(Q170="NA","no collection",index(sea_lice!G:G,match(C170,sea_lice!A:A,0)))))</f>
        <v>NA</v>
      </c>
      <c r="X170" s="23">
        <v>169.0</v>
      </c>
    </row>
    <row r="171">
      <c r="A171" s="9" t="s">
        <v>987</v>
      </c>
      <c r="B171" s="6">
        <v>5287.0</v>
      </c>
      <c r="C171" s="12" t="str">
        <f t="shared" si="1"/>
        <v>U5287</v>
      </c>
      <c r="D171" s="13" t="s">
        <v>989</v>
      </c>
      <c r="E171" s="14">
        <v>43383.0</v>
      </c>
      <c r="F171" s="9" t="s">
        <v>53</v>
      </c>
      <c r="G171" s="9" t="s">
        <v>54</v>
      </c>
      <c r="H171" s="9">
        <v>13.8</v>
      </c>
      <c r="I171" s="13">
        <v>111.0</v>
      </c>
      <c r="J171" s="13">
        <v>114.0</v>
      </c>
      <c r="K171" s="17">
        <f t="shared" si="5"/>
        <v>0.9314606924</v>
      </c>
      <c r="L171" s="9">
        <v>1.0</v>
      </c>
      <c r="M171" s="9" t="s">
        <v>57</v>
      </c>
      <c r="O171" s="9" t="s">
        <v>638</v>
      </c>
      <c r="P171" s="9" t="s">
        <v>60</v>
      </c>
      <c r="Q171" s="9" t="s">
        <v>63</v>
      </c>
      <c r="R171" s="9" t="s">
        <v>63</v>
      </c>
      <c r="S171" s="9" t="s">
        <v>64</v>
      </c>
      <c r="T171" t="str">
        <f t="shared" si="3"/>
        <v>N</v>
      </c>
      <c r="W171" s="12" t="str">
        <f t="array" ref="W171">if(and(L171=0,Q171="NA"),"NA",if(L171=0,"no lice",if(Q171="NA","no collection",index(sea_lice!G:G,match(C171,sea_lice!A:A,0)))))</f>
        <v>no collection</v>
      </c>
      <c r="X171" s="23">
        <v>170.0</v>
      </c>
    </row>
    <row r="172">
      <c r="A172" s="9" t="s">
        <v>994</v>
      </c>
      <c r="B172" s="6">
        <v>5288.0</v>
      </c>
      <c r="C172" s="12" t="str">
        <f t="shared" si="1"/>
        <v>U5288</v>
      </c>
      <c r="D172" s="13" t="s">
        <v>989</v>
      </c>
      <c r="E172" s="14">
        <v>43383.0</v>
      </c>
      <c r="F172" s="9" t="s">
        <v>53</v>
      </c>
      <c r="G172" s="9" t="s">
        <v>54</v>
      </c>
      <c r="H172" s="9">
        <v>11.4</v>
      </c>
      <c r="I172" s="13">
        <v>103.0</v>
      </c>
      <c r="J172" s="13" t="s">
        <v>63</v>
      </c>
      <c r="K172" s="17" t="str">
        <f t="shared" si="5"/>
        <v/>
      </c>
      <c r="L172" s="9">
        <v>0.0</v>
      </c>
      <c r="M172" s="9" t="s">
        <v>57</v>
      </c>
      <c r="O172" s="9" t="s">
        <v>638</v>
      </c>
      <c r="P172" s="9" t="s">
        <v>60</v>
      </c>
      <c r="Q172" s="9" t="s">
        <v>63</v>
      </c>
      <c r="R172" s="9" t="s">
        <v>63</v>
      </c>
      <c r="S172" s="9" t="s">
        <v>64</v>
      </c>
      <c r="T172" t="str">
        <f t="shared" si="3"/>
        <v>N</v>
      </c>
      <c r="W172" s="12" t="str">
        <f t="array" ref="W172">if(and(L172=0,Q172="NA"),"NA",if(L172=0,"no lice",if(Q172="NA","no collection",index(sea_lice!G:G,match(C172,sea_lice!A:A,0)))))</f>
        <v>NA</v>
      </c>
      <c r="X172" s="23">
        <v>171.0</v>
      </c>
    </row>
    <row r="173">
      <c r="A173" s="9" t="s">
        <v>999</v>
      </c>
      <c r="B173" s="6">
        <v>5289.0</v>
      </c>
      <c r="C173" s="12" t="str">
        <f t="shared" si="1"/>
        <v>U5289</v>
      </c>
      <c r="D173" s="13" t="s">
        <v>989</v>
      </c>
      <c r="E173" s="14">
        <v>43383.0</v>
      </c>
      <c r="F173" s="9" t="s">
        <v>53</v>
      </c>
      <c r="G173" s="9" t="s">
        <v>54</v>
      </c>
      <c r="H173" s="9">
        <v>15.2</v>
      </c>
      <c r="I173" s="13">
        <v>114.0</v>
      </c>
      <c r="J173" s="13">
        <v>120.0</v>
      </c>
      <c r="K173" s="17">
        <f t="shared" si="5"/>
        <v>0.8796296296</v>
      </c>
      <c r="L173" s="9">
        <v>1.0</v>
      </c>
      <c r="M173" s="9" t="s">
        <v>57</v>
      </c>
      <c r="O173" s="9" t="s">
        <v>638</v>
      </c>
      <c r="P173" s="9" t="s">
        <v>60</v>
      </c>
      <c r="Q173" s="9" t="s">
        <v>63</v>
      </c>
      <c r="R173" s="9" t="s">
        <v>63</v>
      </c>
      <c r="S173" s="9" t="s">
        <v>64</v>
      </c>
      <c r="T173" t="str">
        <f t="shared" si="3"/>
        <v>N</v>
      </c>
      <c r="W173" s="12" t="str">
        <f t="array" ref="W173">if(and(L173=0,Q173="NA"),"NA",if(L173=0,"no lice",if(Q173="NA","no collection",index(sea_lice!G:G,match(C173,sea_lice!A:A,0)))))</f>
        <v>no collection</v>
      </c>
      <c r="X173" s="23">
        <v>172.0</v>
      </c>
    </row>
    <row r="174">
      <c r="A174" s="9" t="s">
        <v>1004</v>
      </c>
      <c r="B174" s="6">
        <v>5290.0</v>
      </c>
      <c r="C174" s="12" t="str">
        <f t="shared" si="1"/>
        <v>U5290</v>
      </c>
      <c r="D174" s="13" t="s">
        <v>989</v>
      </c>
      <c r="E174" s="14">
        <v>43383.0</v>
      </c>
      <c r="F174" s="9" t="s">
        <v>53</v>
      </c>
      <c r="G174" s="9" t="s">
        <v>54</v>
      </c>
      <c r="H174" s="9">
        <v>11.1</v>
      </c>
      <c r="I174" s="13">
        <v>104.0</v>
      </c>
      <c r="J174" s="13">
        <v>108.0</v>
      </c>
      <c r="K174" s="17">
        <f t="shared" si="5"/>
        <v>0.8811537875</v>
      </c>
      <c r="L174" s="9">
        <v>0.0</v>
      </c>
      <c r="M174" s="9" t="s">
        <v>57</v>
      </c>
      <c r="O174" s="9" t="s">
        <v>638</v>
      </c>
      <c r="P174" s="9" t="s">
        <v>60</v>
      </c>
      <c r="Q174" s="9" t="s">
        <v>63</v>
      </c>
      <c r="R174" s="9" t="s">
        <v>63</v>
      </c>
      <c r="S174" s="9" t="s">
        <v>64</v>
      </c>
      <c r="T174" t="str">
        <f t="shared" si="3"/>
        <v>N</v>
      </c>
      <c r="W174" s="12" t="str">
        <f t="array" ref="W174">if(and(L174=0,Q174="NA"),"NA",if(L174=0,"no lice",if(Q174="NA","no collection",index(sea_lice!G:G,match(C174,sea_lice!A:A,0)))))</f>
        <v>NA</v>
      </c>
      <c r="X174" s="23">
        <v>173.0</v>
      </c>
    </row>
    <row r="175">
      <c r="A175" s="9" t="s">
        <v>1010</v>
      </c>
      <c r="B175" s="6">
        <v>5291.0</v>
      </c>
      <c r="C175" s="12" t="str">
        <f t="shared" si="1"/>
        <v>U5291</v>
      </c>
      <c r="D175" s="13" t="s">
        <v>989</v>
      </c>
      <c r="E175" s="14">
        <v>43383.0</v>
      </c>
      <c r="F175" s="9" t="s">
        <v>53</v>
      </c>
      <c r="G175" s="9" t="s">
        <v>54</v>
      </c>
      <c r="H175" s="9">
        <v>12.1</v>
      </c>
      <c r="I175" s="13">
        <v>108.0</v>
      </c>
      <c r="J175" s="13" t="s">
        <v>63</v>
      </c>
      <c r="K175" s="17" t="str">
        <f t="shared" si="5"/>
        <v/>
      </c>
      <c r="L175" s="9">
        <v>1.0</v>
      </c>
      <c r="M175" s="9" t="s">
        <v>57</v>
      </c>
      <c r="O175" s="9" t="s">
        <v>638</v>
      </c>
      <c r="P175" s="9" t="s">
        <v>60</v>
      </c>
      <c r="Q175" s="9" t="s">
        <v>63</v>
      </c>
      <c r="R175" s="9" t="s">
        <v>63</v>
      </c>
      <c r="S175" s="9" t="s">
        <v>64</v>
      </c>
      <c r="T175" t="str">
        <f t="shared" si="3"/>
        <v>N</v>
      </c>
      <c r="W175" s="12" t="str">
        <f t="array" ref="W175">if(and(L175=0,Q175="NA"),"NA",if(L175=0,"no lice",if(Q175="NA","no collection",index(sea_lice!G:G,match(C175,sea_lice!A:A,0)))))</f>
        <v>no collection</v>
      </c>
      <c r="X175" s="23">
        <v>174.0</v>
      </c>
    </row>
    <row r="176">
      <c r="A176" s="9" t="s">
        <v>1015</v>
      </c>
      <c r="B176" s="6">
        <v>5292.0</v>
      </c>
      <c r="C176" s="12" t="str">
        <f t="shared" si="1"/>
        <v>U5292</v>
      </c>
      <c r="D176" s="13" t="s">
        <v>989</v>
      </c>
      <c r="E176" s="14">
        <v>43383.0</v>
      </c>
      <c r="F176" s="9" t="s">
        <v>53</v>
      </c>
      <c r="G176" s="9" t="s">
        <v>54</v>
      </c>
      <c r="H176" s="9">
        <v>10.6</v>
      </c>
      <c r="I176" s="13">
        <v>106.0</v>
      </c>
      <c r="J176" s="13">
        <v>110.0</v>
      </c>
      <c r="K176" s="17">
        <f t="shared" si="5"/>
        <v>0.796393689</v>
      </c>
      <c r="L176" s="9">
        <v>0.0</v>
      </c>
      <c r="M176" s="9" t="s">
        <v>57</v>
      </c>
      <c r="O176" s="9" t="s">
        <v>638</v>
      </c>
      <c r="P176" s="9" t="s">
        <v>60</v>
      </c>
      <c r="Q176" s="9" t="s">
        <v>63</v>
      </c>
      <c r="R176" s="9" t="s">
        <v>63</v>
      </c>
      <c r="S176" s="9" t="s">
        <v>64</v>
      </c>
      <c r="T176" t="str">
        <f t="shared" si="3"/>
        <v>N</v>
      </c>
      <c r="W176" s="12" t="str">
        <f t="array" ref="W176">if(and(L176=0,Q176="NA"),"NA",if(L176=0,"no lice",if(Q176="NA","no collection",index(sea_lice!G:G,match(C176,sea_lice!A:A,0)))))</f>
        <v>NA</v>
      </c>
      <c r="X176" s="23">
        <v>175.0</v>
      </c>
    </row>
    <row r="177">
      <c r="A177" s="9" t="s">
        <v>1020</v>
      </c>
      <c r="B177" s="6">
        <v>5293.0</v>
      </c>
      <c r="C177" s="12" t="str">
        <f t="shared" si="1"/>
        <v>U5293</v>
      </c>
      <c r="D177" s="13" t="s">
        <v>989</v>
      </c>
      <c r="E177" s="14">
        <v>43383.0</v>
      </c>
      <c r="F177" s="9" t="s">
        <v>53</v>
      </c>
      <c r="G177" s="9" t="s">
        <v>54</v>
      </c>
      <c r="H177" s="9">
        <v>11.0</v>
      </c>
      <c r="I177" s="13">
        <v>103.0</v>
      </c>
      <c r="J177" s="13">
        <v>106.0</v>
      </c>
      <c r="K177" s="17">
        <f t="shared" si="5"/>
        <v>0.9235812113</v>
      </c>
      <c r="L177" s="9">
        <v>0.0</v>
      </c>
      <c r="M177" s="9" t="s">
        <v>57</v>
      </c>
      <c r="O177" s="9" t="s">
        <v>638</v>
      </c>
      <c r="P177" s="9" t="s">
        <v>60</v>
      </c>
      <c r="Q177" s="9" t="s">
        <v>63</v>
      </c>
      <c r="R177" s="9" t="s">
        <v>63</v>
      </c>
      <c r="S177" s="9" t="s">
        <v>64</v>
      </c>
      <c r="T177" t="str">
        <f t="shared" si="3"/>
        <v>N</v>
      </c>
      <c r="W177" s="12" t="str">
        <f t="array" ref="W177">if(and(L177=0,Q177="NA"),"NA",if(L177=0,"no lice",if(Q177="NA","no collection",index(sea_lice!G:G,match(C177,sea_lice!A:A,0)))))</f>
        <v>NA</v>
      </c>
      <c r="X177" s="23">
        <v>176.0</v>
      </c>
    </row>
    <row r="178">
      <c r="A178" s="9" t="s">
        <v>1026</v>
      </c>
      <c r="B178" s="6">
        <v>5294.0</v>
      </c>
      <c r="C178" s="12" t="str">
        <f t="shared" si="1"/>
        <v>U5294</v>
      </c>
      <c r="D178" s="13" t="s">
        <v>989</v>
      </c>
      <c r="E178" s="14">
        <v>43383.0</v>
      </c>
      <c r="F178" s="9" t="s">
        <v>53</v>
      </c>
      <c r="G178" s="9" t="s">
        <v>54</v>
      </c>
      <c r="H178" s="9">
        <v>13.7</v>
      </c>
      <c r="I178" s="13">
        <v>109.0</v>
      </c>
      <c r="J178" s="13">
        <v>114.0</v>
      </c>
      <c r="K178" s="17">
        <f t="shared" si="5"/>
        <v>0.9247109772</v>
      </c>
      <c r="L178" s="9">
        <v>0.0</v>
      </c>
      <c r="M178" s="9" t="s">
        <v>57</v>
      </c>
      <c r="O178" s="9" t="s">
        <v>638</v>
      </c>
      <c r="P178" s="9" t="s">
        <v>60</v>
      </c>
      <c r="Q178" s="9" t="s">
        <v>63</v>
      </c>
      <c r="R178" s="9" t="s">
        <v>63</v>
      </c>
      <c r="S178" s="9" t="s">
        <v>64</v>
      </c>
      <c r="T178" t="str">
        <f t="shared" si="3"/>
        <v>N</v>
      </c>
      <c r="W178" s="12" t="str">
        <f t="array" ref="W178">if(and(L178=0,Q178="NA"),"NA",if(L178=0,"no lice",if(Q178="NA","no collection",index(sea_lice!G:G,match(C178,sea_lice!A:A,0)))))</f>
        <v>NA</v>
      </c>
      <c r="X178" s="23">
        <v>177.0</v>
      </c>
    </row>
    <row r="179">
      <c r="A179" s="9" t="s">
        <v>1030</v>
      </c>
      <c r="B179" s="6">
        <v>5295.0</v>
      </c>
      <c r="C179" s="12" t="str">
        <f t="shared" si="1"/>
        <v>U5295</v>
      </c>
      <c r="D179" s="13" t="s">
        <v>989</v>
      </c>
      <c r="E179" s="14">
        <v>43383.0</v>
      </c>
      <c r="F179" s="9" t="s">
        <v>53</v>
      </c>
      <c r="G179" s="9" t="s">
        <v>54</v>
      </c>
      <c r="H179" s="9">
        <v>12.4</v>
      </c>
      <c r="I179" s="13">
        <v>101.0</v>
      </c>
      <c r="J179" s="13">
        <v>110.0</v>
      </c>
      <c r="K179" s="17">
        <f t="shared" si="5"/>
        <v>0.9316303531</v>
      </c>
      <c r="L179" s="9">
        <v>0.0</v>
      </c>
      <c r="M179" s="9" t="s">
        <v>57</v>
      </c>
      <c r="O179" s="9" t="s">
        <v>638</v>
      </c>
      <c r="P179" s="9" t="s">
        <v>60</v>
      </c>
      <c r="Q179" s="9" t="s">
        <v>63</v>
      </c>
      <c r="R179" s="9" t="s">
        <v>63</v>
      </c>
      <c r="S179" s="9" t="s">
        <v>64</v>
      </c>
      <c r="T179" t="str">
        <f t="shared" si="3"/>
        <v>N</v>
      </c>
      <c r="W179" s="12" t="str">
        <f t="array" ref="W179">if(and(L179=0,Q179="NA"),"NA",if(L179=0,"no lice",if(Q179="NA","no collection",index(sea_lice!G:G,match(C179,sea_lice!A:A,0)))))</f>
        <v>NA</v>
      </c>
      <c r="X179" s="23">
        <v>178.0</v>
      </c>
    </row>
    <row r="180">
      <c r="A180" s="9" t="s">
        <v>1036</v>
      </c>
      <c r="B180" s="6">
        <v>5296.0</v>
      </c>
      <c r="C180" s="12" t="str">
        <f t="shared" si="1"/>
        <v>U5296</v>
      </c>
      <c r="D180" s="13" t="s">
        <v>989</v>
      </c>
      <c r="E180" s="14">
        <v>43383.0</v>
      </c>
      <c r="F180" s="9" t="s">
        <v>53</v>
      </c>
      <c r="G180" s="9" t="s">
        <v>54</v>
      </c>
      <c r="H180" s="9">
        <v>12.8</v>
      </c>
      <c r="I180" s="13">
        <v>106.0</v>
      </c>
      <c r="J180" s="13">
        <v>111.0</v>
      </c>
      <c r="K180" s="17">
        <f t="shared" si="5"/>
        <v>0.9359249681</v>
      </c>
      <c r="L180" s="9">
        <v>2.0</v>
      </c>
      <c r="M180" s="9" t="s">
        <v>57</v>
      </c>
      <c r="O180" s="9" t="s">
        <v>638</v>
      </c>
      <c r="P180" s="9" t="s">
        <v>60</v>
      </c>
      <c r="Q180" s="9" t="s">
        <v>63</v>
      </c>
      <c r="R180" s="9" t="s">
        <v>63</v>
      </c>
      <c r="S180" s="9" t="s">
        <v>64</v>
      </c>
      <c r="T180" t="str">
        <f t="shared" si="3"/>
        <v>N</v>
      </c>
      <c r="W180" s="12" t="str">
        <f t="array" ref="W180">if(and(L180=0,Q180="NA"),"NA",if(L180=0,"no lice",if(Q180="NA","no collection",index(sea_lice!G:G,match(C180,sea_lice!A:A,0)))))</f>
        <v>no collection</v>
      </c>
      <c r="X180" s="23">
        <v>179.0</v>
      </c>
    </row>
    <row r="181">
      <c r="A181" s="9" t="s">
        <v>1042</v>
      </c>
      <c r="B181" s="6">
        <v>5258.0</v>
      </c>
      <c r="C181" s="12" t="str">
        <f t="shared" si="1"/>
        <v>U5258</v>
      </c>
      <c r="D181" s="13" t="s">
        <v>1045</v>
      </c>
      <c r="E181" s="14">
        <v>43383.0</v>
      </c>
      <c r="F181" s="9" t="s">
        <v>53</v>
      </c>
      <c r="G181" s="9" t="s">
        <v>54</v>
      </c>
      <c r="H181" s="9">
        <v>8.5</v>
      </c>
      <c r="I181" s="13">
        <v>91.0</v>
      </c>
      <c r="J181" s="13" t="s">
        <v>63</v>
      </c>
      <c r="K181" s="17" t="str">
        <f t="shared" si="5"/>
        <v/>
      </c>
      <c r="L181" s="9">
        <v>0.0</v>
      </c>
      <c r="M181" s="9" t="s">
        <v>57</v>
      </c>
      <c r="O181" s="9" t="s">
        <v>221</v>
      </c>
      <c r="P181" s="9" t="s">
        <v>60</v>
      </c>
      <c r="Q181" s="9" t="s">
        <v>63</v>
      </c>
      <c r="R181" s="9" t="s">
        <v>63</v>
      </c>
      <c r="S181" s="9" t="s">
        <v>64</v>
      </c>
      <c r="T181" t="str">
        <f t="shared" si="3"/>
        <v>N</v>
      </c>
      <c r="W181" s="12" t="str">
        <f t="array" ref="W181">if(and(L181=0,Q181="NA"),"NA",if(L181=0,"no lice",if(Q181="NA","no collection",index(sea_lice!G:G,match(C181,sea_lice!A:A,0)))))</f>
        <v>NA</v>
      </c>
      <c r="X181" s="23">
        <v>180.0</v>
      </c>
    </row>
    <row r="182">
      <c r="A182" s="9" t="s">
        <v>1052</v>
      </c>
      <c r="B182" s="6">
        <v>5259.0</v>
      </c>
      <c r="C182" s="12" t="str">
        <f t="shared" si="1"/>
        <v>U5259</v>
      </c>
      <c r="D182" s="13" t="s">
        <v>1045</v>
      </c>
      <c r="E182" s="14">
        <v>43383.0</v>
      </c>
      <c r="F182" s="9" t="s">
        <v>53</v>
      </c>
      <c r="G182" s="9" t="s">
        <v>54</v>
      </c>
      <c r="H182" s="9">
        <v>7.9</v>
      </c>
      <c r="I182" s="13">
        <v>87.0</v>
      </c>
      <c r="J182" s="13" t="s">
        <v>63</v>
      </c>
      <c r="K182" s="17" t="str">
        <f t="shared" si="5"/>
        <v/>
      </c>
      <c r="L182" s="9">
        <v>3.0</v>
      </c>
      <c r="M182" s="9" t="s">
        <v>57</v>
      </c>
      <c r="O182" s="9" t="s">
        <v>221</v>
      </c>
      <c r="P182" s="9" t="s">
        <v>60</v>
      </c>
      <c r="Q182" s="9" t="s">
        <v>63</v>
      </c>
      <c r="R182" s="9" t="s">
        <v>63</v>
      </c>
      <c r="S182" s="9" t="s">
        <v>64</v>
      </c>
      <c r="T182" t="str">
        <f t="shared" si="3"/>
        <v>N</v>
      </c>
      <c r="W182" s="12" t="str">
        <f t="array" ref="W182">if(and(L182=0,Q182="NA"),"NA",if(L182=0,"no lice",if(Q182="NA","no collection",index(sea_lice!G:G,match(C182,sea_lice!A:A,0)))))</f>
        <v>no collection</v>
      </c>
      <c r="X182" s="23">
        <v>181.0</v>
      </c>
    </row>
    <row r="183">
      <c r="A183" s="9" t="s">
        <v>1058</v>
      </c>
      <c r="B183" s="6">
        <v>5260.0</v>
      </c>
      <c r="C183" s="12" t="str">
        <f t="shared" si="1"/>
        <v>U5260</v>
      </c>
      <c r="D183" s="13" t="s">
        <v>1045</v>
      </c>
      <c r="E183" s="14">
        <v>43383.0</v>
      </c>
      <c r="F183" s="9" t="s">
        <v>53</v>
      </c>
      <c r="G183" s="9" t="s">
        <v>54</v>
      </c>
      <c r="H183" s="9">
        <v>9.1</v>
      </c>
      <c r="I183" s="13">
        <v>95.0</v>
      </c>
      <c r="J183" s="13">
        <v>100.0</v>
      </c>
      <c r="K183" s="17">
        <f t="shared" si="5"/>
        <v>0.91</v>
      </c>
      <c r="L183" s="9">
        <v>2.0</v>
      </c>
      <c r="M183" s="9" t="s">
        <v>57</v>
      </c>
      <c r="O183" s="9" t="s">
        <v>221</v>
      </c>
      <c r="P183" s="9" t="s">
        <v>60</v>
      </c>
      <c r="Q183" s="9" t="s">
        <v>63</v>
      </c>
      <c r="R183" s="9" t="s">
        <v>63</v>
      </c>
      <c r="S183" s="9" t="s">
        <v>64</v>
      </c>
      <c r="T183" t="str">
        <f t="shared" si="3"/>
        <v>N</v>
      </c>
      <c r="W183" s="12" t="str">
        <f t="array" ref="W183">if(and(L183=0,Q183="NA"),"NA",if(L183=0,"no lice",if(Q183="NA","no collection",index(sea_lice!G:G,match(C183,sea_lice!A:A,0)))))</f>
        <v>no collection</v>
      </c>
      <c r="X183" s="23">
        <v>182.0</v>
      </c>
    </row>
    <row r="184">
      <c r="A184" s="9" t="s">
        <v>1065</v>
      </c>
      <c r="B184" s="6">
        <v>5261.0</v>
      </c>
      <c r="C184" s="12" t="str">
        <f t="shared" si="1"/>
        <v>U5261</v>
      </c>
      <c r="D184" s="13" t="s">
        <v>1045</v>
      </c>
      <c r="E184" s="14">
        <v>43383.0</v>
      </c>
      <c r="F184" s="9" t="s">
        <v>53</v>
      </c>
      <c r="G184" s="9" t="s">
        <v>54</v>
      </c>
      <c r="H184" s="9">
        <v>7.8</v>
      </c>
      <c r="I184" s="13">
        <v>91.0</v>
      </c>
      <c r="J184" s="13" t="s">
        <v>63</v>
      </c>
      <c r="K184" s="17" t="str">
        <f t="shared" si="5"/>
        <v/>
      </c>
      <c r="L184" s="9">
        <v>0.0</v>
      </c>
      <c r="M184" s="9" t="s">
        <v>57</v>
      </c>
      <c r="O184" s="9" t="s">
        <v>221</v>
      </c>
      <c r="P184" s="9" t="s">
        <v>60</v>
      </c>
      <c r="Q184" s="9" t="s">
        <v>63</v>
      </c>
      <c r="R184" s="9" t="s">
        <v>63</v>
      </c>
      <c r="S184" s="9" t="s">
        <v>64</v>
      </c>
      <c r="T184" t="str">
        <f t="shared" si="3"/>
        <v>N</v>
      </c>
      <c r="W184" s="12" t="str">
        <f t="array" ref="W184">if(and(L184=0,Q184="NA"),"NA",if(L184=0,"no lice",if(Q184="NA","no collection",index(sea_lice!G:G,match(C184,sea_lice!A:A,0)))))</f>
        <v>NA</v>
      </c>
      <c r="X184" s="23">
        <v>183.0</v>
      </c>
    </row>
    <row r="185">
      <c r="A185" s="9" t="s">
        <v>1072</v>
      </c>
      <c r="B185" s="6">
        <v>5274.0</v>
      </c>
      <c r="C185" s="12" t="str">
        <f t="shared" si="1"/>
        <v>U5274</v>
      </c>
      <c r="D185" s="13" t="s">
        <v>1045</v>
      </c>
      <c r="E185" s="14">
        <v>43383.0</v>
      </c>
      <c r="F185" s="9" t="s">
        <v>53</v>
      </c>
      <c r="G185" s="9" t="s">
        <v>54</v>
      </c>
      <c r="H185" s="9">
        <v>7.8</v>
      </c>
      <c r="I185" s="13">
        <v>92.0</v>
      </c>
      <c r="J185" s="13" t="s">
        <v>63</v>
      </c>
      <c r="K185" s="17" t="str">
        <f t="shared" si="5"/>
        <v/>
      </c>
      <c r="L185" s="9">
        <v>0.0</v>
      </c>
      <c r="M185" s="9" t="s">
        <v>57</v>
      </c>
      <c r="O185" s="9" t="s">
        <v>221</v>
      </c>
      <c r="P185" s="9" t="s">
        <v>60</v>
      </c>
      <c r="Q185" s="9" t="s">
        <v>63</v>
      </c>
      <c r="R185" s="9" t="s">
        <v>63</v>
      </c>
      <c r="S185" s="9" t="s">
        <v>64</v>
      </c>
      <c r="T185" t="str">
        <f t="shared" si="3"/>
        <v>N</v>
      </c>
      <c r="W185" s="12" t="str">
        <f t="array" ref="W185">if(and(L185=0,Q185="NA"),"NA",if(L185=0,"no lice",if(Q185="NA","no collection",index(sea_lice!G:G,match(C185,sea_lice!A:A,0)))))</f>
        <v>NA</v>
      </c>
      <c r="X185" s="23">
        <v>184.0</v>
      </c>
    </row>
    <row r="186">
      <c r="A186" s="9" t="s">
        <v>1080</v>
      </c>
      <c r="B186" s="6">
        <v>5275.0</v>
      </c>
      <c r="C186" s="12" t="str">
        <f t="shared" si="1"/>
        <v>U5275</v>
      </c>
      <c r="D186" s="13" t="s">
        <v>1045</v>
      </c>
      <c r="E186" s="14">
        <v>43383.0</v>
      </c>
      <c r="F186" s="9" t="s">
        <v>53</v>
      </c>
      <c r="G186" s="9" t="s">
        <v>54</v>
      </c>
      <c r="H186" s="9">
        <v>6.9</v>
      </c>
      <c r="I186" s="13">
        <v>88.0</v>
      </c>
      <c r="J186" s="13">
        <v>92.0</v>
      </c>
      <c r="K186" s="17">
        <f t="shared" si="5"/>
        <v>0.8861058601</v>
      </c>
      <c r="L186" s="9">
        <v>3.0</v>
      </c>
      <c r="M186" s="9" t="s">
        <v>57</v>
      </c>
      <c r="O186" s="9" t="s">
        <v>221</v>
      </c>
      <c r="P186" s="9" t="s">
        <v>60</v>
      </c>
      <c r="Q186" s="9" t="s">
        <v>63</v>
      </c>
      <c r="R186" s="9" t="s">
        <v>63</v>
      </c>
      <c r="S186" s="9" t="s">
        <v>64</v>
      </c>
      <c r="T186" t="str">
        <f t="shared" si="3"/>
        <v>N</v>
      </c>
      <c r="W186" s="12" t="str">
        <f t="array" ref="W186">if(and(L186=0,Q186="NA"),"NA",if(L186=0,"no lice",if(Q186="NA","no collection",index(sea_lice!G:G,match(C186,sea_lice!A:A,0)))))</f>
        <v>no collection</v>
      </c>
      <c r="X186" s="23">
        <v>185.0</v>
      </c>
    </row>
    <row r="187">
      <c r="A187" s="9" t="s">
        <v>1088</v>
      </c>
      <c r="B187" s="6">
        <v>5276.0</v>
      </c>
      <c r="C187" s="12" t="str">
        <f t="shared" si="1"/>
        <v>U5276</v>
      </c>
      <c r="D187" s="13" t="s">
        <v>1045</v>
      </c>
      <c r="E187" s="14">
        <v>43383.0</v>
      </c>
      <c r="F187" s="9" t="s">
        <v>53</v>
      </c>
      <c r="G187" s="9" t="s">
        <v>54</v>
      </c>
      <c r="H187" s="9">
        <v>9.9</v>
      </c>
      <c r="I187" s="13">
        <v>97.0</v>
      </c>
      <c r="J187" s="13" t="s">
        <v>63</v>
      </c>
      <c r="K187" s="17" t="str">
        <f t="shared" si="5"/>
        <v/>
      </c>
      <c r="L187" s="9">
        <v>0.0</v>
      </c>
      <c r="M187" s="9" t="s">
        <v>57</v>
      </c>
      <c r="O187" s="9" t="s">
        <v>221</v>
      </c>
      <c r="P187" s="9" t="s">
        <v>60</v>
      </c>
      <c r="Q187" s="9" t="s">
        <v>63</v>
      </c>
      <c r="R187" s="9" t="s">
        <v>63</v>
      </c>
      <c r="S187" s="9" t="s">
        <v>64</v>
      </c>
      <c r="T187" t="str">
        <f t="shared" si="3"/>
        <v>N</v>
      </c>
      <c r="W187" s="12" t="str">
        <f t="array" ref="W187">if(and(L187=0,Q187="NA"),"NA",if(L187=0,"no lice",if(Q187="NA","no collection",index(sea_lice!G:G,match(C187,sea_lice!A:A,0)))))</f>
        <v>NA</v>
      </c>
      <c r="X187" s="23">
        <v>186.0</v>
      </c>
    </row>
    <row r="188">
      <c r="A188" s="9" t="s">
        <v>1098</v>
      </c>
      <c r="B188" s="6">
        <v>5277.0</v>
      </c>
      <c r="C188" s="12" t="str">
        <f t="shared" si="1"/>
        <v>U5277</v>
      </c>
      <c r="D188" s="13" t="s">
        <v>1099</v>
      </c>
      <c r="E188" s="14">
        <v>43383.0</v>
      </c>
      <c r="F188" s="9" t="s">
        <v>53</v>
      </c>
      <c r="G188" s="9" t="s">
        <v>54</v>
      </c>
      <c r="H188" s="9">
        <v>10.6</v>
      </c>
      <c r="I188" s="13">
        <v>105.0</v>
      </c>
      <c r="J188" s="13">
        <v>110.0</v>
      </c>
      <c r="K188" s="17">
        <f t="shared" si="5"/>
        <v>0.796393689</v>
      </c>
      <c r="L188" s="9">
        <v>0.0</v>
      </c>
      <c r="M188" s="9" t="s">
        <v>57</v>
      </c>
      <c r="O188" s="9" t="s">
        <v>221</v>
      </c>
      <c r="P188" s="9" t="s">
        <v>60</v>
      </c>
      <c r="Q188" s="9" t="s">
        <v>63</v>
      </c>
      <c r="R188" s="9" t="s">
        <v>63</v>
      </c>
      <c r="S188" s="9" t="s">
        <v>64</v>
      </c>
      <c r="T188" t="str">
        <f t="shared" si="3"/>
        <v>N</v>
      </c>
      <c r="W188" s="12" t="str">
        <f t="array" ref="W188">if(and(L188=0,Q188="NA"),"NA",if(L188=0,"no lice",if(Q188="NA","no collection",index(sea_lice!G:G,match(C188,sea_lice!A:A,0)))))</f>
        <v>NA</v>
      </c>
      <c r="X188" s="23">
        <v>187.0</v>
      </c>
    </row>
    <row r="189">
      <c r="A189" s="9" t="s">
        <v>1107</v>
      </c>
      <c r="B189" s="6">
        <v>5278.0</v>
      </c>
      <c r="C189" s="12" t="str">
        <f t="shared" si="1"/>
        <v>U5278</v>
      </c>
      <c r="D189" s="13" t="s">
        <v>1099</v>
      </c>
      <c r="E189" s="14">
        <v>43383.0</v>
      </c>
      <c r="F189" s="9" t="s">
        <v>53</v>
      </c>
      <c r="G189" s="9" t="s">
        <v>54</v>
      </c>
      <c r="H189" s="9">
        <v>17.0</v>
      </c>
      <c r="I189" s="13">
        <v>117.0</v>
      </c>
      <c r="J189" s="13">
        <v>121.0</v>
      </c>
      <c r="K189" s="17">
        <f t="shared" si="5"/>
        <v>0.9596056811</v>
      </c>
      <c r="L189" s="9">
        <v>0.0</v>
      </c>
      <c r="M189" s="9" t="s">
        <v>57</v>
      </c>
      <c r="O189" s="9" t="s">
        <v>221</v>
      </c>
      <c r="P189" s="9" t="s">
        <v>60</v>
      </c>
      <c r="Q189" s="9" t="s">
        <v>63</v>
      </c>
      <c r="R189" s="9" t="s">
        <v>63</v>
      </c>
      <c r="S189" s="9" t="s">
        <v>64</v>
      </c>
      <c r="T189" t="str">
        <f t="shared" si="3"/>
        <v>N</v>
      </c>
      <c r="W189" s="12" t="str">
        <f t="array" ref="W189">if(and(L189=0,Q189="NA"),"NA",if(L189=0,"no lice",if(Q189="NA","no collection",index(sea_lice!G:G,match(C189,sea_lice!A:A,0)))))</f>
        <v>NA</v>
      </c>
      <c r="X189" s="23">
        <v>188.0</v>
      </c>
    </row>
    <row r="190">
      <c r="A190" s="9" t="s">
        <v>1114</v>
      </c>
      <c r="B190" s="6">
        <v>5279.0</v>
      </c>
      <c r="C190" s="12" t="str">
        <f t="shared" si="1"/>
        <v>U5279</v>
      </c>
      <c r="D190" s="13" t="s">
        <v>1099</v>
      </c>
      <c r="E190" s="14">
        <v>43383.0</v>
      </c>
      <c r="F190" s="9" t="s">
        <v>53</v>
      </c>
      <c r="G190" s="9" t="s">
        <v>54</v>
      </c>
      <c r="H190" s="9">
        <v>13.6</v>
      </c>
      <c r="I190" s="13">
        <v>112.0</v>
      </c>
      <c r="J190" s="13">
        <v>117.0</v>
      </c>
      <c r="K190" s="17">
        <f t="shared" si="5"/>
        <v>0.8491439567</v>
      </c>
      <c r="L190" s="9">
        <v>0.0</v>
      </c>
      <c r="M190" s="9" t="s">
        <v>57</v>
      </c>
      <c r="O190" s="9" t="s">
        <v>221</v>
      </c>
      <c r="P190" s="9" t="s">
        <v>60</v>
      </c>
      <c r="Q190" s="9" t="s">
        <v>63</v>
      </c>
      <c r="R190" s="9" t="s">
        <v>63</v>
      </c>
      <c r="S190" s="9" t="s">
        <v>64</v>
      </c>
      <c r="T190" t="str">
        <f t="shared" si="3"/>
        <v>N</v>
      </c>
      <c r="W190" s="12" t="str">
        <f t="array" ref="W190">if(and(L190=0,Q190="NA"),"NA",if(L190=0,"no lice",if(Q190="NA","no collection",index(sea_lice!G:G,match(C190,sea_lice!A:A,0)))))</f>
        <v>NA</v>
      </c>
      <c r="X190" s="23">
        <v>189.0</v>
      </c>
    </row>
    <row r="191">
      <c r="A191" s="9" t="s">
        <v>1122</v>
      </c>
      <c r="B191" s="6">
        <v>5280.0</v>
      </c>
      <c r="C191" s="12" t="str">
        <f t="shared" si="1"/>
        <v>U5280</v>
      </c>
      <c r="D191" s="13" t="s">
        <v>1099</v>
      </c>
      <c r="E191" s="14">
        <v>43383.0</v>
      </c>
      <c r="F191" s="9" t="s">
        <v>53</v>
      </c>
      <c r="G191" s="9" t="s">
        <v>54</v>
      </c>
      <c r="H191" s="9">
        <v>13.0</v>
      </c>
      <c r="I191" s="13">
        <v>105.0</v>
      </c>
      <c r="J191" s="13">
        <v>109.0</v>
      </c>
      <c r="K191" s="17">
        <f t="shared" si="5"/>
        <v>1.003838524</v>
      </c>
      <c r="L191" s="9">
        <v>0.0</v>
      </c>
      <c r="M191" s="9" t="s">
        <v>57</v>
      </c>
      <c r="O191" s="9" t="s">
        <v>221</v>
      </c>
      <c r="P191" s="9" t="s">
        <v>60</v>
      </c>
      <c r="Q191" s="9" t="s">
        <v>63</v>
      </c>
      <c r="R191" s="9" t="s">
        <v>63</v>
      </c>
      <c r="S191" s="9" t="s">
        <v>64</v>
      </c>
      <c r="T191" t="str">
        <f t="shared" si="3"/>
        <v>N</v>
      </c>
      <c r="W191" s="12" t="str">
        <f t="array" ref="W191">if(and(L191=0,Q191="NA"),"NA",if(L191=0,"no lice",if(Q191="NA","no collection",index(sea_lice!G:G,match(C191,sea_lice!A:A,0)))))</f>
        <v>NA</v>
      </c>
      <c r="X191" s="23">
        <v>190.0</v>
      </c>
    </row>
    <row r="192">
      <c r="A192" s="9" t="s">
        <v>1129</v>
      </c>
      <c r="B192" s="6">
        <v>5281.0</v>
      </c>
      <c r="C192" s="12" t="str">
        <f t="shared" si="1"/>
        <v>U5281</v>
      </c>
      <c r="D192" s="13" t="s">
        <v>1099</v>
      </c>
      <c r="E192" s="14">
        <v>43383.0</v>
      </c>
      <c r="F192" s="9" t="s">
        <v>53</v>
      </c>
      <c r="G192" s="9" t="s">
        <v>54</v>
      </c>
      <c r="H192" s="9">
        <v>14.2</v>
      </c>
      <c r="I192" s="13">
        <v>111.0</v>
      </c>
      <c r="J192" s="13">
        <v>115.0</v>
      </c>
      <c r="K192" s="17">
        <f t="shared" si="5"/>
        <v>0.9336730501</v>
      </c>
      <c r="L192" s="9">
        <v>0.0</v>
      </c>
      <c r="M192" s="9" t="s">
        <v>57</v>
      </c>
      <c r="O192" s="9" t="s">
        <v>221</v>
      </c>
      <c r="P192" s="9" t="s">
        <v>60</v>
      </c>
      <c r="Q192" s="9" t="s">
        <v>63</v>
      </c>
      <c r="R192" s="9" t="s">
        <v>63</v>
      </c>
      <c r="S192" s="9" t="s">
        <v>64</v>
      </c>
      <c r="T192" t="str">
        <f t="shared" si="3"/>
        <v>N</v>
      </c>
      <c r="W192" s="12" t="str">
        <f t="array" ref="W192">if(and(L192=0,Q192="NA"),"NA",if(L192=0,"no lice",if(Q192="NA","no collection",index(sea_lice!G:G,match(C192,sea_lice!A:A,0)))))</f>
        <v>NA</v>
      </c>
      <c r="X192" s="23">
        <v>191.0</v>
      </c>
    </row>
    <row r="193">
      <c r="A193" s="9" t="s">
        <v>1136</v>
      </c>
      <c r="B193" s="6">
        <v>5282.0</v>
      </c>
      <c r="C193" s="12" t="str">
        <f t="shared" si="1"/>
        <v>U5282</v>
      </c>
      <c r="D193" s="13" t="s">
        <v>1099</v>
      </c>
      <c r="E193" s="14">
        <v>43383.0</v>
      </c>
      <c r="F193" s="9" t="s">
        <v>53</v>
      </c>
      <c r="G193" s="9" t="s">
        <v>54</v>
      </c>
      <c r="H193" s="9">
        <v>14.7</v>
      </c>
      <c r="I193" s="13">
        <v>111.0</v>
      </c>
      <c r="J193" s="13">
        <v>115.0</v>
      </c>
      <c r="K193" s="17">
        <f t="shared" si="5"/>
        <v>0.9665488617</v>
      </c>
      <c r="L193" s="9">
        <v>0.0</v>
      </c>
      <c r="M193" s="9" t="s">
        <v>57</v>
      </c>
      <c r="O193" s="9" t="s">
        <v>221</v>
      </c>
      <c r="P193" s="9" t="s">
        <v>60</v>
      </c>
      <c r="Q193" s="9" t="s">
        <v>63</v>
      </c>
      <c r="R193" s="9" t="s">
        <v>63</v>
      </c>
      <c r="S193" s="9" t="s">
        <v>64</v>
      </c>
      <c r="T193" t="str">
        <f t="shared" si="3"/>
        <v>N</v>
      </c>
      <c r="W193" s="12" t="str">
        <f t="array" ref="W193">if(and(L193=0,Q193="NA"),"NA",if(L193=0,"no lice",if(Q193="NA","no collection",index(sea_lice!G:G,match(C193,sea_lice!A:A,0)))))</f>
        <v>NA</v>
      </c>
      <c r="X193" s="23">
        <v>192.0</v>
      </c>
    </row>
    <row r="194">
      <c r="A194" s="9" t="s">
        <v>1144</v>
      </c>
      <c r="B194" s="6">
        <v>5283.0</v>
      </c>
      <c r="C194" s="12" t="str">
        <f t="shared" si="1"/>
        <v>U5283</v>
      </c>
      <c r="D194" s="13" t="s">
        <v>1099</v>
      </c>
      <c r="E194" s="14">
        <v>43384.0</v>
      </c>
      <c r="F194" s="9" t="s">
        <v>53</v>
      </c>
      <c r="G194" s="9" t="s">
        <v>54</v>
      </c>
      <c r="H194" s="9">
        <v>13.7</v>
      </c>
      <c r="I194" s="13">
        <v>110.0</v>
      </c>
      <c r="J194" s="13">
        <v>115.0</v>
      </c>
      <c r="K194" s="17">
        <f t="shared" si="5"/>
        <v>0.9007972384</v>
      </c>
      <c r="L194" s="9">
        <v>2.0</v>
      </c>
      <c r="M194" s="9" t="s">
        <v>57</v>
      </c>
      <c r="O194" s="9" t="s">
        <v>221</v>
      </c>
      <c r="P194" s="9" t="s">
        <v>60</v>
      </c>
      <c r="Q194" s="9" t="s">
        <v>63</v>
      </c>
      <c r="R194" s="9" t="s">
        <v>63</v>
      </c>
      <c r="S194" s="9" t="s">
        <v>64</v>
      </c>
      <c r="T194" t="str">
        <f t="shared" si="3"/>
        <v>N</v>
      </c>
      <c r="W194" s="12" t="str">
        <f t="array" ref="W194">if(and(L194=0,Q194="NA"),"NA",if(L194=0,"no lice",if(Q194="NA","no collection",index(sea_lice!G:G,match(C194,sea_lice!A:A,0)))))</f>
        <v>no collection</v>
      </c>
      <c r="X194" s="23">
        <v>193.0</v>
      </c>
    </row>
    <row r="195">
      <c r="A195" s="9" t="s">
        <v>1152</v>
      </c>
      <c r="B195" s="6">
        <v>5284.0</v>
      </c>
      <c r="C195" s="12" t="str">
        <f t="shared" si="1"/>
        <v>U5284</v>
      </c>
      <c r="D195" s="13" t="s">
        <v>1099</v>
      </c>
      <c r="E195" s="14">
        <v>43384.0</v>
      </c>
      <c r="F195" s="9" t="s">
        <v>53</v>
      </c>
      <c r="G195" s="9" t="s">
        <v>54</v>
      </c>
      <c r="H195" s="9">
        <v>12.4</v>
      </c>
      <c r="I195" s="13">
        <v>103.0</v>
      </c>
      <c r="J195" s="13">
        <v>107.0</v>
      </c>
      <c r="K195" s="17">
        <f t="shared" si="5"/>
        <v>1.012209367</v>
      </c>
      <c r="L195" s="9">
        <v>0.0</v>
      </c>
      <c r="M195" s="9" t="s">
        <v>57</v>
      </c>
      <c r="O195" s="9" t="s">
        <v>221</v>
      </c>
      <c r="P195" s="9" t="s">
        <v>60</v>
      </c>
      <c r="Q195" s="9" t="s">
        <v>63</v>
      </c>
      <c r="R195" s="9" t="s">
        <v>63</v>
      </c>
      <c r="S195" s="9" t="s">
        <v>64</v>
      </c>
      <c r="T195" t="str">
        <f t="shared" si="3"/>
        <v>N</v>
      </c>
      <c r="W195" s="12" t="str">
        <f t="array" ref="W195">if(and(L195=0,Q195="NA"),"NA",if(L195=0,"no lice",if(Q195="NA","no collection",index(sea_lice!G:G,match(C195,sea_lice!A:A,0)))))</f>
        <v>NA</v>
      </c>
      <c r="X195" s="23">
        <v>194.0</v>
      </c>
    </row>
    <row r="196">
      <c r="A196" s="9" t="s">
        <v>1158</v>
      </c>
      <c r="B196" s="6">
        <v>5285.0</v>
      </c>
      <c r="C196" s="12" t="str">
        <f t="shared" si="1"/>
        <v>U5285</v>
      </c>
      <c r="D196" s="13" t="s">
        <v>1099</v>
      </c>
      <c r="E196" s="14">
        <v>43384.0</v>
      </c>
      <c r="F196" s="9" t="s">
        <v>53</v>
      </c>
      <c r="G196" s="9" t="s">
        <v>54</v>
      </c>
      <c r="H196" s="9">
        <v>15.7</v>
      </c>
      <c r="I196" s="13">
        <v>113.0</v>
      </c>
      <c r="J196" s="13">
        <v>117.0</v>
      </c>
      <c r="K196" s="17">
        <f t="shared" si="5"/>
        <v>0.9802617736</v>
      </c>
      <c r="L196" s="9">
        <v>0.0</v>
      </c>
      <c r="M196" s="9" t="s">
        <v>57</v>
      </c>
      <c r="N196" s="9" t="s">
        <v>284</v>
      </c>
      <c r="O196" s="9" t="s">
        <v>221</v>
      </c>
      <c r="P196" s="9" t="s">
        <v>60</v>
      </c>
      <c r="Q196" s="9" t="s">
        <v>63</v>
      </c>
      <c r="R196" s="9" t="s">
        <v>63</v>
      </c>
      <c r="S196" s="9" t="s">
        <v>64</v>
      </c>
      <c r="T196" t="str">
        <f t="shared" si="3"/>
        <v>N</v>
      </c>
      <c r="W196" s="12" t="str">
        <f t="array" ref="W196">if(and(L196=0,Q196="NA"),"NA",if(L196=0,"no lice",if(Q196="NA","no collection",index(sea_lice!G:G,match(C196,sea_lice!A:A,0)))))</f>
        <v>NA</v>
      </c>
      <c r="X196" s="23">
        <v>195.0</v>
      </c>
    </row>
    <row r="197">
      <c r="A197" s="9" t="s">
        <v>1163</v>
      </c>
      <c r="B197" s="6">
        <v>5286.0</v>
      </c>
      <c r="C197" s="12" t="str">
        <f t="shared" si="1"/>
        <v>U5286</v>
      </c>
      <c r="D197" s="13" t="s">
        <v>1099</v>
      </c>
      <c r="E197" s="14">
        <v>43384.0</v>
      </c>
      <c r="F197" s="9" t="s">
        <v>53</v>
      </c>
      <c r="G197" s="9" t="s">
        <v>54</v>
      </c>
      <c r="H197" s="9">
        <v>14.6</v>
      </c>
      <c r="I197" s="13">
        <v>111.0</v>
      </c>
      <c r="J197" s="13">
        <v>115.0</v>
      </c>
      <c r="K197" s="17">
        <f t="shared" si="5"/>
        <v>0.9599736994</v>
      </c>
      <c r="L197" s="9">
        <v>0.0</v>
      </c>
      <c r="M197" s="9" t="s">
        <v>57</v>
      </c>
      <c r="O197" s="9" t="s">
        <v>221</v>
      </c>
      <c r="P197" s="9" t="s">
        <v>60</v>
      </c>
      <c r="Q197" s="9" t="s">
        <v>63</v>
      </c>
      <c r="R197" s="9" t="s">
        <v>63</v>
      </c>
      <c r="S197" s="9" t="s">
        <v>64</v>
      </c>
      <c r="T197" t="str">
        <f t="shared" si="3"/>
        <v>N</v>
      </c>
      <c r="W197" s="12" t="str">
        <f t="array" ref="W197">if(and(L197=0,Q197="NA"),"NA",if(L197=0,"no lice",if(Q197="NA","no collection",index(sea_lice!G:G,match(C197,sea_lice!A:A,0)))))</f>
        <v>NA</v>
      </c>
      <c r="X197" s="23">
        <v>196.0</v>
      </c>
    </row>
    <row r="198">
      <c r="A198" s="9" t="s">
        <v>1170</v>
      </c>
      <c r="B198" s="6">
        <v>5337.0</v>
      </c>
      <c r="C198" s="12" t="str">
        <f t="shared" si="1"/>
        <v>U5337</v>
      </c>
      <c r="D198" s="13" t="s">
        <v>1172</v>
      </c>
      <c r="E198" s="14">
        <v>43384.0</v>
      </c>
      <c r="F198" s="9" t="s">
        <v>53</v>
      </c>
      <c r="G198" s="9" t="s">
        <v>54</v>
      </c>
      <c r="H198" s="9">
        <v>13.5</v>
      </c>
      <c r="I198" s="13">
        <v>110.0</v>
      </c>
      <c r="J198" s="13" t="s">
        <v>63</v>
      </c>
      <c r="K198" s="17" t="str">
        <f t="shared" si="5"/>
        <v/>
      </c>
      <c r="L198" s="9">
        <v>0.0</v>
      </c>
      <c r="M198" s="9" t="s">
        <v>57</v>
      </c>
      <c r="O198" s="9" t="s">
        <v>221</v>
      </c>
      <c r="P198" s="9" t="s">
        <v>60</v>
      </c>
      <c r="Q198" s="9" t="s">
        <v>63</v>
      </c>
      <c r="R198" s="9" t="s">
        <v>63</v>
      </c>
      <c r="S198" s="9" t="s">
        <v>64</v>
      </c>
      <c r="T198" t="str">
        <f t="shared" si="3"/>
        <v>N</v>
      </c>
      <c r="W198" s="12" t="str">
        <f t="array" ref="W198">if(and(L198=0,Q198="NA"),"NA",if(L198=0,"no lice",if(Q198="NA","no collection",index(sea_lice!G:G,match(C198,sea_lice!A:A,0)))))</f>
        <v>NA</v>
      </c>
      <c r="X198" s="23">
        <v>197.0</v>
      </c>
    </row>
    <row r="199">
      <c r="A199" s="9" t="s">
        <v>1177</v>
      </c>
      <c r="B199" s="6">
        <v>5338.0</v>
      </c>
      <c r="C199" s="12" t="str">
        <f t="shared" si="1"/>
        <v>U5338</v>
      </c>
      <c r="D199" s="13" t="s">
        <v>1172</v>
      </c>
      <c r="E199" s="14">
        <v>43384.0</v>
      </c>
      <c r="F199" s="9" t="s">
        <v>53</v>
      </c>
      <c r="G199" s="9" t="s">
        <v>54</v>
      </c>
      <c r="H199" s="9">
        <v>11.5</v>
      </c>
      <c r="I199" s="13">
        <v>106.0</v>
      </c>
      <c r="J199" s="13">
        <v>110.0</v>
      </c>
      <c r="K199" s="17">
        <f t="shared" si="5"/>
        <v>0.864012021</v>
      </c>
      <c r="L199" s="9">
        <v>1.0</v>
      </c>
      <c r="M199" s="9" t="s">
        <v>57</v>
      </c>
      <c r="O199" s="9" t="s">
        <v>221</v>
      </c>
      <c r="P199" s="9" t="s">
        <v>60</v>
      </c>
      <c r="Q199" s="9" t="s">
        <v>63</v>
      </c>
      <c r="R199" s="9" t="s">
        <v>63</v>
      </c>
      <c r="S199" s="9" t="s">
        <v>64</v>
      </c>
      <c r="T199" t="str">
        <f t="shared" si="3"/>
        <v>N</v>
      </c>
      <c r="W199" s="12" t="str">
        <f t="array" ref="W199">if(and(L199=0,Q199="NA"),"NA",if(L199=0,"no lice",if(Q199="NA","no collection",index(sea_lice!G:G,match(C199,sea_lice!A:A,0)))))</f>
        <v>no collection</v>
      </c>
      <c r="X199" s="23">
        <v>198.0</v>
      </c>
    </row>
    <row r="200">
      <c r="A200" s="9" t="s">
        <v>1179</v>
      </c>
      <c r="B200" s="6">
        <v>5339.0</v>
      </c>
      <c r="C200" s="12" t="str">
        <f t="shared" si="1"/>
        <v>U5339</v>
      </c>
      <c r="D200" s="13" t="s">
        <v>1172</v>
      </c>
      <c r="E200" s="14">
        <v>43384.0</v>
      </c>
      <c r="F200" s="9" t="s">
        <v>53</v>
      </c>
      <c r="G200" s="9" t="s">
        <v>54</v>
      </c>
      <c r="H200" s="9">
        <v>12.1</v>
      </c>
      <c r="I200" s="13">
        <v>108.0</v>
      </c>
      <c r="J200" s="13">
        <v>112.0</v>
      </c>
      <c r="K200" s="17">
        <f t="shared" si="5"/>
        <v>0.8612540999</v>
      </c>
      <c r="L200" s="9">
        <v>2.0</v>
      </c>
      <c r="M200" s="9" t="s">
        <v>57</v>
      </c>
      <c r="O200" s="9" t="s">
        <v>221</v>
      </c>
      <c r="P200" s="9" t="s">
        <v>60</v>
      </c>
      <c r="Q200" s="9" t="s">
        <v>63</v>
      </c>
      <c r="R200" s="9" t="s">
        <v>63</v>
      </c>
      <c r="S200" s="9" t="s">
        <v>64</v>
      </c>
      <c r="T200" t="str">
        <f t="shared" si="3"/>
        <v>N</v>
      </c>
      <c r="W200" s="12" t="str">
        <f t="array" ref="W200">if(and(L200=0,Q200="NA"),"NA",if(L200=0,"no lice",if(Q200="NA","no collection",index(sea_lice!G:G,match(C200,sea_lice!A:A,0)))))</f>
        <v>no collection</v>
      </c>
      <c r="X200" s="23">
        <v>199.0</v>
      </c>
    </row>
    <row r="201">
      <c r="A201" s="9" t="s">
        <v>1181</v>
      </c>
      <c r="B201" s="6">
        <v>5340.0</v>
      </c>
      <c r="C201" s="12" t="str">
        <f t="shared" si="1"/>
        <v>U5340</v>
      </c>
      <c r="D201" s="13" t="s">
        <v>1172</v>
      </c>
      <c r="E201" s="14">
        <v>43384.0</v>
      </c>
      <c r="F201" s="9" t="s">
        <v>53</v>
      </c>
      <c r="G201" s="9" t="s">
        <v>54</v>
      </c>
      <c r="H201" s="9">
        <v>10.1</v>
      </c>
      <c r="I201" s="13">
        <v>105.0</v>
      </c>
      <c r="J201" s="13">
        <v>109.0</v>
      </c>
      <c r="K201" s="17">
        <f t="shared" si="5"/>
        <v>0.7799053149</v>
      </c>
      <c r="L201" s="9">
        <v>1.0</v>
      </c>
      <c r="M201" s="9" t="s">
        <v>57</v>
      </c>
      <c r="O201" s="9" t="s">
        <v>221</v>
      </c>
      <c r="P201" s="9" t="s">
        <v>60</v>
      </c>
      <c r="Q201" s="9" t="s">
        <v>63</v>
      </c>
      <c r="R201" s="9" t="s">
        <v>63</v>
      </c>
      <c r="S201" s="9" t="s">
        <v>64</v>
      </c>
      <c r="T201" t="str">
        <f t="shared" si="3"/>
        <v>N</v>
      </c>
      <c r="W201" s="12" t="str">
        <f t="array" ref="W201">if(and(L201=0,Q201="NA"),"NA",if(L201=0,"no lice",if(Q201="NA","no collection",index(sea_lice!G:G,match(C201,sea_lice!A:A,0)))))</f>
        <v>no collection</v>
      </c>
      <c r="X201" s="23">
        <v>200.0</v>
      </c>
    </row>
    <row r="202">
      <c r="A202" s="9" t="s">
        <v>1184</v>
      </c>
      <c r="B202" s="6">
        <v>5297.0</v>
      </c>
      <c r="C202" s="12" t="str">
        <f t="shared" si="1"/>
        <v>U5297</v>
      </c>
      <c r="D202" s="13" t="s">
        <v>1185</v>
      </c>
      <c r="E202" s="14">
        <v>43384.0</v>
      </c>
      <c r="F202" s="9" t="s">
        <v>53</v>
      </c>
      <c r="G202" s="9" t="s">
        <v>54</v>
      </c>
      <c r="H202" s="9">
        <v>20.5</v>
      </c>
      <c r="I202" s="13">
        <v>122.0</v>
      </c>
      <c r="J202" s="13">
        <v>127.0</v>
      </c>
      <c r="K202" s="17">
        <f t="shared" si="5"/>
        <v>1.000789403</v>
      </c>
      <c r="L202" s="9">
        <v>0.0</v>
      </c>
      <c r="M202" s="9" t="s">
        <v>57</v>
      </c>
      <c r="N202" s="9" t="s">
        <v>1187</v>
      </c>
      <c r="O202" s="9" t="s">
        <v>638</v>
      </c>
      <c r="P202" s="9" t="s">
        <v>60</v>
      </c>
      <c r="Q202" s="9" t="s">
        <v>63</v>
      </c>
      <c r="R202" s="9" t="s">
        <v>63</v>
      </c>
      <c r="S202" s="9" t="s">
        <v>64</v>
      </c>
      <c r="T202" t="str">
        <f t="shared" si="3"/>
        <v>N</v>
      </c>
      <c r="W202" s="12" t="str">
        <f t="array" ref="W202">if(and(L202=0,Q202="NA"),"NA",if(L202=0,"no lice",if(Q202="NA","no collection",index(sea_lice!G:G,match(C202,sea_lice!A:A,0)))))</f>
        <v>NA</v>
      </c>
      <c r="X202" s="23">
        <v>201.0</v>
      </c>
    </row>
    <row r="203">
      <c r="A203" s="9" t="s">
        <v>1191</v>
      </c>
      <c r="B203" s="6">
        <v>5298.0</v>
      </c>
      <c r="C203" s="12" t="str">
        <f t="shared" si="1"/>
        <v>U5298</v>
      </c>
      <c r="D203" s="13" t="s">
        <v>1185</v>
      </c>
      <c r="E203" s="14">
        <v>43384.0</v>
      </c>
      <c r="F203" s="9" t="s">
        <v>53</v>
      </c>
      <c r="G203" s="9" t="s">
        <v>54</v>
      </c>
      <c r="H203" s="9">
        <v>15.9</v>
      </c>
      <c r="I203" s="13">
        <v>116.0</v>
      </c>
      <c r="J203" s="13">
        <v>120.0</v>
      </c>
      <c r="K203" s="17">
        <f t="shared" si="5"/>
        <v>0.9201388889</v>
      </c>
      <c r="L203" s="9">
        <v>0.0</v>
      </c>
      <c r="M203" s="9" t="s">
        <v>57</v>
      </c>
      <c r="O203" s="9" t="s">
        <v>638</v>
      </c>
      <c r="P203" s="9" t="s">
        <v>60</v>
      </c>
      <c r="Q203" s="9" t="s">
        <v>63</v>
      </c>
      <c r="R203" s="9" t="s">
        <v>63</v>
      </c>
      <c r="S203" s="9" t="s">
        <v>64</v>
      </c>
      <c r="T203" t="str">
        <f t="shared" si="3"/>
        <v>N</v>
      </c>
      <c r="W203" s="12" t="str">
        <f t="array" ref="W203">if(and(L203=0,Q203="NA"),"NA",if(L203=0,"no lice",if(Q203="NA","no collection",index(sea_lice!G:G,match(C203,sea_lice!A:A,0)))))</f>
        <v>NA</v>
      </c>
      <c r="X203" s="23">
        <v>202.0</v>
      </c>
    </row>
    <row r="204">
      <c r="A204" s="9" t="s">
        <v>1193</v>
      </c>
      <c r="B204" s="6">
        <v>5299.0</v>
      </c>
      <c r="C204" s="12" t="str">
        <f t="shared" si="1"/>
        <v>U5299</v>
      </c>
      <c r="D204" s="13" t="s">
        <v>1185</v>
      </c>
      <c r="E204" s="14">
        <v>43384.0</v>
      </c>
      <c r="F204" s="9" t="s">
        <v>53</v>
      </c>
      <c r="G204" s="9" t="s">
        <v>54</v>
      </c>
      <c r="H204" s="9">
        <v>21.6</v>
      </c>
      <c r="I204" s="13">
        <v>130.0</v>
      </c>
      <c r="J204" s="13">
        <v>136.0</v>
      </c>
      <c r="K204" s="17">
        <f t="shared" si="5"/>
        <v>0.8586912274</v>
      </c>
      <c r="L204" s="9">
        <v>0.0</v>
      </c>
      <c r="M204" s="9" t="s">
        <v>57</v>
      </c>
      <c r="O204" s="9" t="s">
        <v>638</v>
      </c>
      <c r="P204" s="9" t="s">
        <v>60</v>
      </c>
      <c r="Q204" s="9" t="s">
        <v>63</v>
      </c>
      <c r="R204" s="9" t="s">
        <v>63</v>
      </c>
      <c r="S204" s="9" t="s">
        <v>64</v>
      </c>
      <c r="T204" t="str">
        <f t="shared" si="3"/>
        <v>N</v>
      </c>
      <c r="W204" s="12" t="str">
        <f t="array" ref="W204">if(and(L204=0,Q204="NA"),"NA",if(L204=0,"no lice",if(Q204="NA","no collection",index(sea_lice!G:G,match(C204,sea_lice!A:A,0)))))</f>
        <v>NA</v>
      </c>
      <c r="X204" s="23">
        <v>203.0</v>
      </c>
    </row>
    <row r="205">
      <c r="A205" s="9" t="s">
        <v>1194</v>
      </c>
      <c r="B205" s="6">
        <v>5300.0</v>
      </c>
      <c r="C205" s="12" t="str">
        <f t="shared" si="1"/>
        <v>U5300</v>
      </c>
      <c r="D205" s="13" t="s">
        <v>1185</v>
      </c>
      <c r="E205" s="14">
        <v>43384.0</v>
      </c>
      <c r="F205" s="9" t="s">
        <v>53</v>
      </c>
      <c r="G205" s="9" t="s">
        <v>54</v>
      </c>
      <c r="H205" s="9">
        <v>20.5</v>
      </c>
      <c r="I205" s="13">
        <v>125.0</v>
      </c>
      <c r="J205" s="9">
        <v>129.0</v>
      </c>
      <c r="K205" s="17">
        <f t="shared" si="5"/>
        <v>0.954959009</v>
      </c>
      <c r="L205" s="9">
        <v>0.0</v>
      </c>
      <c r="M205" s="9" t="s">
        <v>57</v>
      </c>
      <c r="O205" s="9" t="s">
        <v>638</v>
      </c>
      <c r="P205" s="9" t="s">
        <v>60</v>
      </c>
      <c r="Q205" s="9" t="s">
        <v>63</v>
      </c>
      <c r="R205" s="9" t="s">
        <v>63</v>
      </c>
      <c r="S205" s="9" t="s">
        <v>64</v>
      </c>
      <c r="T205" t="str">
        <f t="shared" si="3"/>
        <v>N</v>
      </c>
      <c r="W205" s="12" t="str">
        <f t="array" ref="W205">if(and(L205=0,Q205="NA"),"NA",if(L205=0,"no lice",if(Q205="NA","no collection",index(sea_lice!G:G,match(C205,sea_lice!A:A,0)))))</f>
        <v>NA</v>
      </c>
      <c r="X205" s="23">
        <v>204.0</v>
      </c>
    </row>
    <row r="206">
      <c r="A206" s="9" t="s">
        <v>1196</v>
      </c>
      <c r="B206" s="6">
        <v>5301.0</v>
      </c>
      <c r="C206" s="12" t="str">
        <f t="shared" si="1"/>
        <v>U5301</v>
      </c>
      <c r="D206" s="13" t="s">
        <v>1185</v>
      </c>
      <c r="E206" s="14">
        <v>43384.0</v>
      </c>
      <c r="F206" s="9" t="s">
        <v>53</v>
      </c>
      <c r="G206" s="9" t="s">
        <v>54</v>
      </c>
      <c r="H206" s="9">
        <v>19.1</v>
      </c>
      <c r="I206" s="13">
        <v>125.0</v>
      </c>
      <c r="J206" s="9">
        <v>129.0</v>
      </c>
      <c r="K206" s="17">
        <f t="shared" si="5"/>
        <v>0.8897422962</v>
      </c>
      <c r="L206" s="9">
        <v>0.0</v>
      </c>
      <c r="M206" s="9" t="s">
        <v>57</v>
      </c>
      <c r="O206" s="9" t="s">
        <v>638</v>
      </c>
      <c r="P206" s="9" t="s">
        <v>60</v>
      </c>
      <c r="Q206" s="9" t="s">
        <v>63</v>
      </c>
      <c r="R206" s="9" t="s">
        <v>63</v>
      </c>
      <c r="S206" s="9" t="s">
        <v>64</v>
      </c>
      <c r="T206" t="str">
        <f t="shared" si="3"/>
        <v>N</v>
      </c>
      <c r="W206" s="12" t="str">
        <f t="array" ref="W206">if(and(L206=0,Q206="NA"),"NA",if(L206=0,"no lice",if(Q206="NA","no collection",index(sea_lice!G:G,match(C206,sea_lice!A:A,0)))))</f>
        <v>NA</v>
      </c>
      <c r="X206" s="23">
        <v>205.0</v>
      </c>
    </row>
    <row r="207">
      <c r="A207" s="9" t="s">
        <v>1198</v>
      </c>
      <c r="B207" s="6">
        <v>5327.0</v>
      </c>
      <c r="C207" s="12" t="str">
        <f t="shared" si="1"/>
        <v>U5327</v>
      </c>
      <c r="D207" s="13" t="s">
        <v>1185</v>
      </c>
      <c r="E207" s="14">
        <v>43384.0</v>
      </c>
      <c r="F207" s="9" t="s">
        <v>53</v>
      </c>
      <c r="G207" s="9" t="s">
        <v>54</v>
      </c>
      <c r="H207" s="9">
        <v>25.2</v>
      </c>
      <c r="I207" s="13">
        <v>132.0</v>
      </c>
      <c r="J207" s="9">
        <v>137.0</v>
      </c>
      <c r="K207" s="17">
        <f t="shared" si="5"/>
        <v>0.980028802</v>
      </c>
      <c r="L207" s="9">
        <v>0.0</v>
      </c>
      <c r="M207" s="9" t="s">
        <v>57</v>
      </c>
      <c r="O207" s="9" t="s">
        <v>638</v>
      </c>
      <c r="P207" s="9" t="s">
        <v>60</v>
      </c>
      <c r="Q207" s="9" t="s">
        <v>63</v>
      </c>
      <c r="R207" s="9" t="s">
        <v>63</v>
      </c>
      <c r="S207" s="9" t="s">
        <v>64</v>
      </c>
      <c r="T207" t="str">
        <f t="shared" si="3"/>
        <v>N</v>
      </c>
      <c r="W207" s="12" t="str">
        <f t="array" ref="W207">if(and(L207=0,Q207="NA"),"NA",if(L207=0,"no lice",if(Q207="NA","no collection",index(sea_lice!G:G,match(C207,sea_lice!A:A,0)))))</f>
        <v>NA</v>
      </c>
      <c r="X207" s="23">
        <v>206.0</v>
      </c>
    </row>
    <row r="208">
      <c r="A208" s="9" t="s">
        <v>1199</v>
      </c>
      <c r="B208" s="6">
        <v>5328.0</v>
      </c>
      <c r="C208" s="12" t="str">
        <f t="shared" si="1"/>
        <v>U5328</v>
      </c>
      <c r="D208" s="13" t="s">
        <v>1185</v>
      </c>
      <c r="E208" s="14">
        <v>43384.0</v>
      </c>
      <c r="F208" s="9" t="s">
        <v>53</v>
      </c>
      <c r="G208" s="9" t="s">
        <v>54</v>
      </c>
      <c r="H208" s="9">
        <v>21.9</v>
      </c>
      <c r="I208" s="13">
        <v>124.0</v>
      </c>
      <c r="J208" s="9">
        <v>129.0</v>
      </c>
      <c r="K208" s="17">
        <f t="shared" si="5"/>
        <v>1.020175722</v>
      </c>
      <c r="L208" s="9">
        <v>0.0</v>
      </c>
      <c r="M208" s="9" t="s">
        <v>57</v>
      </c>
      <c r="O208" s="9" t="s">
        <v>638</v>
      </c>
      <c r="P208" s="9" t="s">
        <v>60</v>
      </c>
      <c r="Q208" s="9" t="s">
        <v>63</v>
      </c>
      <c r="R208" s="9" t="s">
        <v>63</v>
      </c>
      <c r="S208" s="9" t="s">
        <v>64</v>
      </c>
      <c r="T208" t="str">
        <f t="shared" si="3"/>
        <v>N</v>
      </c>
      <c r="W208" s="12" t="str">
        <f t="array" ref="W208">if(and(L208=0,Q208="NA"),"NA",if(L208=0,"no lice",if(Q208="NA","no collection",index(sea_lice!G:G,match(C208,sea_lice!A:A,0)))))</f>
        <v>NA</v>
      </c>
      <c r="X208" s="23">
        <v>207.0</v>
      </c>
    </row>
    <row r="209">
      <c r="A209" s="9" t="s">
        <v>1201</v>
      </c>
      <c r="B209" s="6">
        <v>5329.0</v>
      </c>
      <c r="C209" s="12" t="str">
        <f t="shared" si="1"/>
        <v>U5329</v>
      </c>
      <c r="D209" s="13" t="s">
        <v>1185</v>
      </c>
      <c r="E209" s="14">
        <v>43384.0</v>
      </c>
      <c r="F209" s="9" t="s">
        <v>53</v>
      </c>
      <c r="G209" s="9" t="s">
        <v>54</v>
      </c>
      <c r="H209" s="9">
        <v>20.0</v>
      </c>
      <c r="I209" s="13">
        <v>125.0</v>
      </c>
      <c r="J209" s="9">
        <v>131.0</v>
      </c>
      <c r="K209" s="17">
        <f t="shared" si="5"/>
        <v>0.8896437021</v>
      </c>
      <c r="L209" s="9">
        <v>0.0</v>
      </c>
      <c r="M209" s="9" t="s">
        <v>57</v>
      </c>
      <c r="O209" s="9" t="s">
        <v>638</v>
      </c>
      <c r="P209" s="9" t="s">
        <v>60</v>
      </c>
      <c r="Q209" s="9" t="s">
        <v>63</v>
      </c>
      <c r="R209" s="9" t="s">
        <v>63</v>
      </c>
      <c r="S209" s="9" t="s">
        <v>64</v>
      </c>
      <c r="T209" t="str">
        <f t="shared" si="3"/>
        <v>N</v>
      </c>
      <c r="W209" s="12" t="str">
        <f t="array" ref="W209">if(and(L209=0,Q209="NA"),"NA",if(L209=0,"no lice",if(Q209="NA","no collection",index(sea_lice!G:G,match(C209,sea_lice!A:A,0)))))</f>
        <v>NA</v>
      </c>
      <c r="X209" s="23">
        <v>208.0</v>
      </c>
    </row>
    <row r="210">
      <c r="A210" s="9" t="s">
        <v>1203</v>
      </c>
      <c r="B210" s="6">
        <v>5330.0</v>
      </c>
      <c r="C210" s="12" t="str">
        <f t="shared" si="1"/>
        <v>U5330</v>
      </c>
      <c r="D210" s="13" t="s">
        <v>1185</v>
      </c>
      <c r="E210" s="14">
        <v>43384.0</v>
      </c>
      <c r="F210" s="9" t="s">
        <v>53</v>
      </c>
      <c r="G210" s="9" t="s">
        <v>54</v>
      </c>
      <c r="H210" s="9">
        <v>23.1</v>
      </c>
      <c r="I210" s="13">
        <v>129.0</v>
      </c>
      <c r="J210" s="9" t="s">
        <v>63</v>
      </c>
      <c r="K210" s="17" t="str">
        <f t="shared" si="5"/>
        <v/>
      </c>
      <c r="L210" s="9">
        <v>0.0</v>
      </c>
      <c r="M210" s="9" t="s">
        <v>57</v>
      </c>
      <c r="O210" s="9" t="s">
        <v>638</v>
      </c>
      <c r="P210" s="9" t="s">
        <v>60</v>
      </c>
      <c r="Q210" s="9" t="s">
        <v>63</v>
      </c>
      <c r="R210" s="9" t="s">
        <v>63</v>
      </c>
      <c r="S210" s="9" t="s">
        <v>64</v>
      </c>
      <c r="T210" t="str">
        <f t="shared" si="3"/>
        <v>N</v>
      </c>
      <c r="W210" s="12" t="str">
        <f t="array" ref="W210">if(and(L210=0,Q210="NA"),"NA",if(L210=0,"no lice",if(Q210="NA","no collection",index(sea_lice!G:G,match(C210,sea_lice!A:A,0)))))</f>
        <v>NA</v>
      </c>
      <c r="X210" s="23">
        <v>209.0</v>
      </c>
    </row>
    <row r="211">
      <c r="A211" s="9" t="s">
        <v>1205</v>
      </c>
      <c r="B211" s="6">
        <v>5331.0</v>
      </c>
      <c r="C211" s="12" t="str">
        <f t="shared" si="1"/>
        <v>U5331</v>
      </c>
      <c r="D211" s="13" t="s">
        <v>1185</v>
      </c>
      <c r="E211" s="14">
        <v>43384.0</v>
      </c>
      <c r="F211" s="9" t="s">
        <v>53</v>
      </c>
      <c r="G211" s="9" t="s">
        <v>54</v>
      </c>
      <c r="H211" s="9">
        <v>20.9</v>
      </c>
      <c r="I211" s="13">
        <v>126.0</v>
      </c>
      <c r="J211" s="9">
        <v>130.0</v>
      </c>
      <c r="K211" s="17">
        <f t="shared" si="5"/>
        <v>0.9512972235</v>
      </c>
      <c r="L211" s="9">
        <v>0.0</v>
      </c>
      <c r="M211" s="9" t="s">
        <v>57</v>
      </c>
      <c r="O211" s="9" t="s">
        <v>638</v>
      </c>
      <c r="P211" s="9" t="s">
        <v>60</v>
      </c>
      <c r="Q211" s="9" t="s">
        <v>63</v>
      </c>
      <c r="R211" s="9" t="s">
        <v>63</v>
      </c>
      <c r="S211" s="9" t="s">
        <v>64</v>
      </c>
      <c r="T211" t="str">
        <f t="shared" si="3"/>
        <v>N</v>
      </c>
      <c r="W211" s="12" t="str">
        <f t="array" ref="W211">if(and(L211=0,Q211="NA"),"NA",if(L211=0,"no lice",if(Q211="NA","no collection",index(sea_lice!G:G,match(C211,sea_lice!A:A,0)))))</f>
        <v>NA</v>
      </c>
      <c r="X211" s="23">
        <v>210.0</v>
      </c>
    </row>
    <row r="212">
      <c r="A212" s="9" t="s">
        <v>1206</v>
      </c>
      <c r="B212" s="6">
        <v>5332.0</v>
      </c>
      <c r="C212" s="12" t="str">
        <f t="shared" si="1"/>
        <v>U5332</v>
      </c>
      <c r="D212" s="13" t="s">
        <v>1207</v>
      </c>
      <c r="E212" s="14">
        <v>43384.0</v>
      </c>
      <c r="F212" s="9" t="s">
        <v>53</v>
      </c>
      <c r="G212" s="9" t="s">
        <v>54</v>
      </c>
      <c r="H212" s="9">
        <v>16.0</v>
      </c>
      <c r="I212" s="13">
        <v>115.0</v>
      </c>
      <c r="J212" s="9">
        <v>120.0</v>
      </c>
      <c r="K212" s="17">
        <f t="shared" si="5"/>
        <v>0.9259259259</v>
      </c>
      <c r="L212" s="9">
        <v>1.0</v>
      </c>
      <c r="M212" s="9" t="s">
        <v>57</v>
      </c>
      <c r="O212" s="9" t="s">
        <v>638</v>
      </c>
      <c r="P212" s="9" t="s">
        <v>60</v>
      </c>
      <c r="Q212" s="9" t="s">
        <v>63</v>
      </c>
      <c r="R212" s="9" t="s">
        <v>63</v>
      </c>
      <c r="S212" s="9" t="s">
        <v>64</v>
      </c>
      <c r="T212" t="str">
        <f t="shared" si="3"/>
        <v>N</v>
      </c>
      <c r="W212" s="12" t="str">
        <f t="array" ref="W212">if(and(L212=0,Q212="NA"),"NA",if(L212=0,"no lice",if(Q212="NA","no collection",index(sea_lice!G:G,match(C212,sea_lice!A:A,0)))))</f>
        <v>no collection</v>
      </c>
      <c r="X212" s="23">
        <v>211.0</v>
      </c>
    </row>
    <row r="213">
      <c r="A213" s="9" t="s">
        <v>1210</v>
      </c>
      <c r="B213" s="6">
        <v>5333.0</v>
      </c>
      <c r="C213" s="12" t="str">
        <f t="shared" si="1"/>
        <v>U5333</v>
      </c>
      <c r="D213" s="13" t="s">
        <v>1207</v>
      </c>
      <c r="E213" s="14">
        <v>43384.0</v>
      </c>
      <c r="F213" s="9" t="s">
        <v>53</v>
      </c>
      <c r="G213" s="9" t="s">
        <v>54</v>
      </c>
      <c r="H213" s="9">
        <v>12.5</v>
      </c>
      <c r="I213" s="13">
        <v>106.0</v>
      </c>
      <c r="J213" s="9" t="s">
        <v>63</v>
      </c>
      <c r="K213" s="17" t="str">
        <f t="shared" si="5"/>
        <v/>
      </c>
      <c r="L213" s="9">
        <v>0.0</v>
      </c>
      <c r="M213" s="9" t="s">
        <v>57</v>
      </c>
      <c r="O213" s="9" t="s">
        <v>638</v>
      </c>
      <c r="P213" s="9" t="s">
        <v>60</v>
      </c>
      <c r="Q213" s="9" t="s">
        <v>63</v>
      </c>
      <c r="R213" s="9" t="s">
        <v>63</v>
      </c>
      <c r="S213" s="9" t="s">
        <v>64</v>
      </c>
      <c r="T213" t="str">
        <f t="shared" si="3"/>
        <v>N</v>
      </c>
      <c r="W213" s="12" t="str">
        <f t="array" ref="W213">if(and(L213=0,Q213="NA"),"NA",if(L213=0,"no lice",if(Q213="NA","no collection",index(sea_lice!G:G,match(C213,sea_lice!A:A,0)))))</f>
        <v>NA</v>
      </c>
      <c r="X213" s="23">
        <v>212.0</v>
      </c>
    </row>
    <row r="214">
      <c r="A214" s="9" t="s">
        <v>1212</v>
      </c>
      <c r="B214" s="6">
        <v>5334.0</v>
      </c>
      <c r="C214" s="12" t="str">
        <f t="shared" si="1"/>
        <v>U5334</v>
      </c>
      <c r="D214" s="13" t="s">
        <v>1207</v>
      </c>
      <c r="E214" s="14">
        <v>43384.0</v>
      </c>
      <c r="F214" s="9" t="s">
        <v>53</v>
      </c>
      <c r="G214" s="9" t="s">
        <v>54</v>
      </c>
      <c r="H214" s="9">
        <v>14.1</v>
      </c>
      <c r="I214" s="13">
        <v>105.0</v>
      </c>
      <c r="J214" s="9">
        <v>109.0</v>
      </c>
      <c r="K214" s="17">
        <f t="shared" si="5"/>
        <v>1.088778707</v>
      </c>
      <c r="L214" s="9">
        <v>2.0</v>
      </c>
      <c r="M214" s="9" t="s">
        <v>57</v>
      </c>
      <c r="N214" s="9" t="s">
        <v>1213</v>
      </c>
      <c r="O214" s="9" t="s">
        <v>638</v>
      </c>
      <c r="P214" s="9" t="s">
        <v>60</v>
      </c>
      <c r="Q214" s="9" t="s">
        <v>63</v>
      </c>
      <c r="R214" s="9" t="s">
        <v>63</v>
      </c>
      <c r="S214" s="9" t="s">
        <v>64</v>
      </c>
      <c r="T214" t="str">
        <f t="shared" si="3"/>
        <v>N</v>
      </c>
      <c r="W214" s="12" t="str">
        <f t="array" ref="W214">if(and(L214=0,Q214="NA"),"NA",if(L214=0,"no lice",if(Q214="NA","no collection",index(sea_lice!G:G,match(C214,sea_lice!A:A,0)))))</f>
        <v>no collection</v>
      </c>
      <c r="X214" s="23">
        <v>213.0</v>
      </c>
    </row>
    <row r="215">
      <c r="A215" s="9" t="s">
        <v>1214</v>
      </c>
      <c r="B215" s="6">
        <v>5335.0</v>
      </c>
      <c r="C215" s="12" t="str">
        <f t="shared" si="1"/>
        <v>U5335</v>
      </c>
      <c r="D215" s="13" t="s">
        <v>1207</v>
      </c>
      <c r="E215" s="14">
        <v>43385.0</v>
      </c>
      <c r="F215" s="9" t="s">
        <v>53</v>
      </c>
      <c r="G215" s="9" t="s">
        <v>54</v>
      </c>
      <c r="H215" s="9">
        <v>13.1</v>
      </c>
      <c r="I215" s="13">
        <v>108.0</v>
      </c>
      <c r="J215" s="9">
        <v>112.0</v>
      </c>
      <c r="K215" s="17">
        <f t="shared" si="5"/>
        <v>0.9324321246</v>
      </c>
      <c r="L215" s="9">
        <v>2.0</v>
      </c>
      <c r="M215" s="9" t="s">
        <v>57</v>
      </c>
      <c r="O215" s="9" t="s">
        <v>638</v>
      </c>
      <c r="P215" s="9" t="s">
        <v>60</v>
      </c>
      <c r="Q215" s="9" t="s">
        <v>63</v>
      </c>
      <c r="R215" s="9" t="s">
        <v>63</v>
      </c>
      <c r="S215" s="9" t="s">
        <v>64</v>
      </c>
      <c r="T215" t="str">
        <f t="shared" si="3"/>
        <v>N</v>
      </c>
      <c r="W215" s="12" t="str">
        <f t="array" ref="W215">if(and(L215=0,Q215="NA"),"NA",if(L215=0,"no lice",if(Q215="NA","no collection",index(sea_lice!G:G,match(C215,sea_lice!A:A,0)))))</f>
        <v>no collection</v>
      </c>
      <c r="X215" s="23">
        <v>214.0</v>
      </c>
    </row>
    <row r="216">
      <c r="A216" s="9" t="s">
        <v>1215</v>
      </c>
      <c r="B216" s="6">
        <v>5336.0</v>
      </c>
      <c r="C216" s="12" t="str">
        <f t="shared" si="1"/>
        <v>U5336</v>
      </c>
      <c r="D216" s="13" t="s">
        <v>1207</v>
      </c>
      <c r="E216" s="14">
        <v>43385.0</v>
      </c>
      <c r="F216" s="9" t="s">
        <v>53</v>
      </c>
      <c r="G216" s="9" t="s">
        <v>54</v>
      </c>
      <c r="H216" s="9">
        <v>16.0</v>
      </c>
      <c r="I216" s="13">
        <v>107.0</v>
      </c>
      <c r="J216" s="13">
        <v>113.0</v>
      </c>
      <c r="K216" s="17">
        <f t="shared" si="5"/>
        <v>1.10888026</v>
      </c>
      <c r="L216" s="9">
        <v>0.0</v>
      </c>
      <c r="M216" s="9" t="s">
        <v>57</v>
      </c>
      <c r="O216" s="9" t="s">
        <v>638</v>
      </c>
      <c r="P216" s="9" t="s">
        <v>60</v>
      </c>
      <c r="Q216" s="9" t="s">
        <v>63</v>
      </c>
      <c r="R216" s="9" t="s">
        <v>63</v>
      </c>
      <c r="S216" s="9" t="s">
        <v>64</v>
      </c>
      <c r="T216" t="str">
        <f t="shared" si="3"/>
        <v>N</v>
      </c>
      <c r="W216" s="12" t="str">
        <f t="array" ref="W216">if(and(L216=0,Q216="NA"),"NA",if(L216=0,"no lice",if(Q216="NA","no collection",index(sea_lice!G:G,match(C216,sea_lice!A:A,0)))))</f>
        <v>NA</v>
      </c>
      <c r="X216" s="23">
        <v>215.0</v>
      </c>
    </row>
    <row r="217">
      <c r="A217" s="9" t="s">
        <v>1216</v>
      </c>
      <c r="B217" s="6">
        <v>5362.0</v>
      </c>
      <c r="C217" s="12" t="str">
        <f t="shared" si="1"/>
        <v>U5362</v>
      </c>
      <c r="D217" s="13" t="s">
        <v>1207</v>
      </c>
      <c r="E217" s="14">
        <v>43385.0</v>
      </c>
      <c r="F217" s="9" t="s">
        <v>53</v>
      </c>
      <c r="G217" s="9" t="s">
        <v>54</v>
      </c>
      <c r="H217" s="9">
        <v>10.9</v>
      </c>
      <c r="I217" s="13">
        <v>99.0</v>
      </c>
      <c r="J217" s="13" t="s">
        <v>63</v>
      </c>
      <c r="K217" s="17" t="str">
        <f t="shared" si="5"/>
        <v/>
      </c>
      <c r="L217" s="9">
        <v>2.0</v>
      </c>
      <c r="M217" s="9" t="s">
        <v>57</v>
      </c>
      <c r="O217" s="9" t="s">
        <v>638</v>
      </c>
      <c r="P217" s="9" t="s">
        <v>60</v>
      </c>
      <c r="Q217" s="9" t="s">
        <v>63</v>
      </c>
      <c r="R217" s="9" t="s">
        <v>63</v>
      </c>
      <c r="S217" s="9" t="s">
        <v>64</v>
      </c>
      <c r="T217" t="str">
        <f t="shared" si="3"/>
        <v>N</v>
      </c>
      <c r="W217" s="12" t="str">
        <f t="array" ref="W217">if(and(L217=0,Q217="NA"),"NA",if(L217=0,"no lice",if(Q217="NA","no collection",index(sea_lice!G:G,match(C217,sea_lice!A:A,0)))))</f>
        <v>no collection</v>
      </c>
      <c r="X217" s="23">
        <v>216.0</v>
      </c>
    </row>
    <row r="218">
      <c r="A218" s="9" t="s">
        <v>1217</v>
      </c>
      <c r="B218" s="6">
        <v>5363.0</v>
      </c>
      <c r="C218" s="12" t="str">
        <f t="shared" si="1"/>
        <v>U5363</v>
      </c>
      <c r="D218" s="13" t="s">
        <v>1207</v>
      </c>
      <c r="E218" s="14">
        <v>43385.0</v>
      </c>
      <c r="F218" s="9" t="s">
        <v>53</v>
      </c>
      <c r="G218" s="9" t="s">
        <v>54</v>
      </c>
      <c r="H218" s="9">
        <v>10.3</v>
      </c>
      <c r="I218" s="13">
        <v>99.0</v>
      </c>
      <c r="J218" s="13">
        <v>103.0</v>
      </c>
      <c r="K218" s="17">
        <f t="shared" si="5"/>
        <v>0.9425959091</v>
      </c>
      <c r="L218" s="9">
        <v>0.0</v>
      </c>
      <c r="M218" s="9" t="s">
        <v>57</v>
      </c>
      <c r="O218" s="9" t="s">
        <v>638</v>
      </c>
      <c r="P218" s="9" t="s">
        <v>60</v>
      </c>
      <c r="Q218" s="9" t="s">
        <v>63</v>
      </c>
      <c r="R218" s="9" t="s">
        <v>63</v>
      </c>
      <c r="S218" s="9" t="s">
        <v>64</v>
      </c>
      <c r="T218" t="str">
        <f t="shared" si="3"/>
        <v>N</v>
      </c>
      <c r="W218" s="12" t="str">
        <f t="array" ref="W218">if(and(L218=0,Q218="NA"),"NA",if(L218=0,"no lice",if(Q218="NA","no collection",index(sea_lice!G:G,match(C218,sea_lice!A:A,0)))))</f>
        <v>NA</v>
      </c>
      <c r="X218" s="23">
        <v>217.0</v>
      </c>
    </row>
    <row r="219">
      <c r="A219" s="9" t="s">
        <v>1218</v>
      </c>
      <c r="B219" s="6">
        <v>5364.0</v>
      </c>
      <c r="C219" s="12" t="str">
        <f t="shared" si="1"/>
        <v>U5364</v>
      </c>
      <c r="D219" s="13" t="s">
        <v>1207</v>
      </c>
      <c r="E219" s="14">
        <v>43385.0</v>
      </c>
      <c r="F219" s="9" t="s">
        <v>53</v>
      </c>
      <c r="G219" s="9" t="s">
        <v>54</v>
      </c>
      <c r="H219" s="9">
        <v>12.2</v>
      </c>
      <c r="I219" s="13">
        <v>105.0</v>
      </c>
      <c r="J219" s="13">
        <v>110.0</v>
      </c>
      <c r="K219" s="17">
        <f t="shared" si="5"/>
        <v>0.9166040571</v>
      </c>
      <c r="L219" s="9">
        <v>2.0</v>
      </c>
      <c r="M219" s="9" t="s">
        <v>57</v>
      </c>
      <c r="O219" s="9" t="s">
        <v>638</v>
      </c>
      <c r="P219" s="9" t="s">
        <v>60</v>
      </c>
      <c r="Q219" s="9" t="s">
        <v>63</v>
      </c>
      <c r="R219" s="9" t="s">
        <v>63</v>
      </c>
      <c r="S219" s="9" t="s">
        <v>64</v>
      </c>
      <c r="T219" t="str">
        <f t="shared" si="3"/>
        <v>N</v>
      </c>
      <c r="W219" s="12" t="str">
        <f t="array" ref="W219">if(and(L219=0,Q219="NA"),"NA",if(L219=0,"no lice",if(Q219="NA","no collection",index(sea_lice!G:G,match(C219,sea_lice!A:A,0)))))</f>
        <v>no collection</v>
      </c>
      <c r="X219" s="23">
        <v>218.0</v>
      </c>
    </row>
    <row r="220">
      <c r="A220" s="9" t="s">
        <v>1219</v>
      </c>
      <c r="B220" s="6">
        <v>5365.0</v>
      </c>
      <c r="C220" s="12" t="str">
        <f t="shared" si="1"/>
        <v>U5365</v>
      </c>
      <c r="D220" s="13" t="s">
        <v>1207</v>
      </c>
      <c r="E220" s="14">
        <v>43385.0</v>
      </c>
      <c r="F220" s="9" t="s">
        <v>53</v>
      </c>
      <c r="G220" s="9" t="s">
        <v>54</v>
      </c>
      <c r="H220" s="9">
        <v>12.2</v>
      </c>
      <c r="I220" s="13">
        <v>104.0</v>
      </c>
      <c r="J220" s="13">
        <v>108.0</v>
      </c>
      <c r="K220" s="17">
        <f t="shared" si="5"/>
        <v>0.968475334</v>
      </c>
      <c r="L220" s="9">
        <v>3.0</v>
      </c>
      <c r="M220" s="9" t="s">
        <v>57</v>
      </c>
      <c r="N220" s="9" t="s">
        <v>1220</v>
      </c>
      <c r="O220" s="9" t="s">
        <v>638</v>
      </c>
      <c r="P220" s="9" t="s">
        <v>60</v>
      </c>
      <c r="Q220" s="9" t="s">
        <v>63</v>
      </c>
      <c r="R220" s="9" t="s">
        <v>63</v>
      </c>
      <c r="S220" s="9" t="s">
        <v>64</v>
      </c>
      <c r="T220" t="str">
        <f t="shared" si="3"/>
        <v>N</v>
      </c>
      <c r="W220" s="12" t="str">
        <f t="array" ref="W220">if(and(L220=0,Q220="NA"),"NA",if(L220=0,"no lice",if(Q220="NA","no collection",index(sea_lice!G:G,match(C220,sea_lice!A:A,0)))))</f>
        <v>no collection</v>
      </c>
      <c r="X220" s="23">
        <v>219.0</v>
      </c>
    </row>
    <row r="221">
      <c r="A221" s="9" t="s">
        <v>1221</v>
      </c>
      <c r="B221" s="6">
        <v>5366.0</v>
      </c>
      <c r="C221" s="12" t="str">
        <f t="shared" si="1"/>
        <v>U5366</v>
      </c>
      <c r="D221" s="13" t="s">
        <v>1222</v>
      </c>
      <c r="E221" s="14">
        <v>43385.0</v>
      </c>
      <c r="F221" s="9" t="s">
        <v>53</v>
      </c>
      <c r="G221" s="9" t="s">
        <v>54</v>
      </c>
      <c r="H221" s="9">
        <v>12.0</v>
      </c>
      <c r="I221" s="13">
        <v>105.0</v>
      </c>
      <c r="J221" s="13" t="s">
        <v>63</v>
      </c>
      <c r="K221" s="17" t="str">
        <f t="shared" si="5"/>
        <v/>
      </c>
      <c r="L221" s="9">
        <v>1.0</v>
      </c>
      <c r="M221" s="9" t="s">
        <v>57</v>
      </c>
      <c r="O221" s="9" t="s">
        <v>638</v>
      </c>
      <c r="P221" s="9" t="s">
        <v>60</v>
      </c>
      <c r="Q221" s="9" t="s">
        <v>63</v>
      </c>
      <c r="R221" s="9" t="s">
        <v>63</v>
      </c>
      <c r="S221" s="9" t="s">
        <v>64</v>
      </c>
      <c r="T221" t="str">
        <f t="shared" si="3"/>
        <v>N</v>
      </c>
      <c r="W221" s="12" t="str">
        <f t="array" ref="W221">if(and(L221=0,Q221="NA"),"NA",if(L221=0,"no lice",if(Q221="NA","no collection",index(sea_lice!G:G,match(C221,sea_lice!A:A,0)))))</f>
        <v>no collection</v>
      </c>
      <c r="X221" s="23">
        <v>220.0</v>
      </c>
    </row>
    <row r="222">
      <c r="A222" s="9" t="s">
        <v>1223</v>
      </c>
      <c r="B222" s="6">
        <v>5367.0</v>
      </c>
      <c r="C222" s="12" t="str">
        <f t="shared" si="1"/>
        <v>U5367</v>
      </c>
      <c r="D222" s="13" t="s">
        <v>1222</v>
      </c>
      <c r="E222" s="14">
        <v>43385.0</v>
      </c>
      <c r="F222" s="9" t="s">
        <v>53</v>
      </c>
      <c r="G222" s="9" t="s">
        <v>54</v>
      </c>
      <c r="H222" s="9">
        <v>13.6</v>
      </c>
      <c r="I222" s="13">
        <v>111.0</v>
      </c>
      <c r="J222" s="13" t="s">
        <v>63</v>
      </c>
      <c r="K222" s="17" t="str">
        <f t="shared" si="5"/>
        <v/>
      </c>
      <c r="L222" s="9">
        <v>0.0</v>
      </c>
      <c r="M222" s="9" t="s">
        <v>57</v>
      </c>
      <c r="O222" s="9" t="s">
        <v>638</v>
      </c>
      <c r="P222" s="9" t="s">
        <v>60</v>
      </c>
      <c r="Q222" s="9" t="s">
        <v>63</v>
      </c>
      <c r="R222" s="9" t="s">
        <v>63</v>
      </c>
      <c r="S222" s="9" t="s">
        <v>64</v>
      </c>
      <c r="T222" t="str">
        <f t="shared" si="3"/>
        <v>N</v>
      </c>
      <c r="W222" s="12" t="str">
        <f t="array" ref="W222">if(and(L222=0,Q222="NA"),"NA",if(L222=0,"no lice",if(Q222="NA","no collection",index(sea_lice!G:G,match(C222,sea_lice!A:A,0)))))</f>
        <v>NA</v>
      </c>
      <c r="X222" s="23">
        <v>221.0</v>
      </c>
    </row>
    <row r="223">
      <c r="A223" s="9" t="s">
        <v>1224</v>
      </c>
      <c r="B223" s="6">
        <v>5368.0</v>
      </c>
      <c r="C223" s="12" t="str">
        <f t="shared" si="1"/>
        <v>U5368</v>
      </c>
      <c r="D223" s="13" t="s">
        <v>1222</v>
      </c>
      <c r="E223" s="14">
        <v>43385.0</v>
      </c>
      <c r="F223" s="9" t="s">
        <v>53</v>
      </c>
      <c r="G223" s="9" t="s">
        <v>54</v>
      </c>
      <c r="H223" s="9">
        <v>13.6</v>
      </c>
      <c r="I223" s="13">
        <v>111.0</v>
      </c>
      <c r="J223" s="13">
        <v>115.0</v>
      </c>
      <c r="K223" s="17">
        <f t="shared" si="5"/>
        <v>0.8942220761</v>
      </c>
      <c r="L223" s="9">
        <v>0.0</v>
      </c>
      <c r="M223" s="9" t="s">
        <v>57</v>
      </c>
      <c r="O223" s="9" t="s">
        <v>638</v>
      </c>
      <c r="P223" s="9" t="s">
        <v>60</v>
      </c>
      <c r="Q223" s="9" t="s">
        <v>63</v>
      </c>
      <c r="R223" s="9" t="s">
        <v>63</v>
      </c>
      <c r="S223" s="9" t="s">
        <v>64</v>
      </c>
      <c r="T223" t="str">
        <f t="shared" si="3"/>
        <v>N</v>
      </c>
      <c r="W223" s="12" t="str">
        <f t="array" ref="W223">if(and(L223=0,Q223="NA"),"NA",if(L223=0,"no lice",if(Q223="NA","no collection",index(sea_lice!G:G,match(C223,sea_lice!A:A,0)))))</f>
        <v>NA</v>
      </c>
      <c r="X223" s="23">
        <v>222.0</v>
      </c>
    </row>
    <row r="224">
      <c r="A224" s="9" t="s">
        <v>1225</v>
      </c>
      <c r="B224" s="6">
        <v>5369.0</v>
      </c>
      <c r="C224" s="12" t="str">
        <f t="shared" si="1"/>
        <v>U5369</v>
      </c>
      <c r="D224" s="13" t="s">
        <v>1222</v>
      </c>
      <c r="E224" s="14">
        <v>43385.0</v>
      </c>
      <c r="F224" s="9" t="s">
        <v>53</v>
      </c>
      <c r="G224" s="9" t="s">
        <v>54</v>
      </c>
      <c r="H224" s="9">
        <v>11.2</v>
      </c>
      <c r="I224" s="13">
        <v>105.0</v>
      </c>
      <c r="J224" s="13">
        <v>109.0</v>
      </c>
      <c r="K224" s="17">
        <f t="shared" si="5"/>
        <v>0.8648454977</v>
      </c>
      <c r="L224" s="9">
        <v>1.0</v>
      </c>
      <c r="M224" s="9" t="s">
        <v>57</v>
      </c>
      <c r="O224" s="9" t="s">
        <v>638</v>
      </c>
      <c r="P224" s="9" t="s">
        <v>60</v>
      </c>
      <c r="Q224" s="9" t="s">
        <v>63</v>
      </c>
      <c r="R224" s="9" t="s">
        <v>63</v>
      </c>
      <c r="S224" s="9" t="s">
        <v>64</v>
      </c>
      <c r="T224" t="str">
        <f t="shared" si="3"/>
        <v>N</v>
      </c>
      <c r="W224" s="12" t="str">
        <f t="array" ref="W224">if(and(L224=0,Q224="NA"),"NA",if(L224=0,"no lice",if(Q224="NA","no collection",index(sea_lice!G:G,match(C224,sea_lice!A:A,0)))))</f>
        <v>no collection</v>
      </c>
      <c r="X224" s="23">
        <v>223.0</v>
      </c>
    </row>
    <row r="225">
      <c r="A225" s="9" t="s">
        <v>1226</v>
      </c>
      <c r="B225" s="6">
        <v>5370.0</v>
      </c>
      <c r="C225" s="12" t="str">
        <f t="shared" si="1"/>
        <v>U5370</v>
      </c>
      <c r="D225" s="13" t="s">
        <v>1222</v>
      </c>
      <c r="E225" s="14">
        <v>43385.0</v>
      </c>
      <c r="F225" s="9" t="s">
        <v>53</v>
      </c>
      <c r="G225" s="9" t="s">
        <v>54</v>
      </c>
      <c r="H225" s="9">
        <v>12.8</v>
      </c>
      <c r="I225" s="13">
        <v>108.0</v>
      </c>
      <c r="J225" s="13" t="s">
        <v>63</v>
      </c>
      <c r="K225" s="17" t="str">
        <f t="shared" si="5"/>
        <v/>
      </c>
      <c r="L225" s="9">
        <v>2.0</v>
      </c>
      <c r="M225" s="9" t="s">
        <v>57</v>
      </c>
      <c r="O225" s="9" t="s">
        <v>638</v>
      </c>
      <c r="P225" s="9" t="s">
        <v>60</v>
      </c>
      <c r="Q225" s="9" t="s">
        <v>63</v>
      </c>
      <c r="R225" s="9" t="s">
        <v>63</v>
      </c>
      <c r="S225" s="9" t="s">
        <v>64</v>
      </c>
      <c r="T225" t="str">
        <f t="shared" si="3"/>
        <v>N</v>
      </c>
      <c r="W225" s="12" t="str">
        <f t="array" ref="W225">if(and(L225=0,Q225="NA"),"NA",if(L225=0,"no lice",if(Q225="NA","no collection",index(sea_lice!G:G,match(C225,sea_lice!A:A,0)))))</f>
        <v>no collection</v>
      </c>
      <c r="X225" s="23">
        <v>224.0</v>
      </c>
    </row>
    <row r="226">
      <c r="A226" s="9" t="s">
        <v>1227</v>
      </c>
      <c r="B226" s="6">
        <v>5371.0</v>
      </c>
      <c r="C226" s="12" t="str">
        <f t="shared" si="1"/>
        <v>U5371</v>
      </c>
      <c r="D226" s="13" t="s">
        <v>1222</v>
      </c>
      <c r="E226" s="14">
        <v>43385.0</v>
      </c>
      <c r="F226" s="9" t="s">
        <v>53</v>
      </c>
      <c r="G226" s="9" t="s">
        <v>54</v>
      </c>
      <c r="H226" s="9">
        <v>11.4</v>
      </c>
      <c r="I226" s="13">
        <v>107.0</v>
      </c>
      <c r="J226" s="13">
        <v>111.0</v>
      </c>
      <c r="K226" s="17">
        <f t="shared" si="5"/>
        <v>0.8335581747</v>
      </c>
      <c r="L226" s="9">
        <v>1.0</v>
      </c>
      <c r="M226" s="9" t="s">
        <v>57</v>
      </c>
      <c r="O226" s="9" t="s">
        <v>638</v>
      </c>
      <c r="P226" s="9" t="s">
        <v>60</v>
      </c>
      <c r="Q226" s="9" t="s">
        <v>63</v>
      </c>
      <c r="R226" s="9" t="s">
        <v>63</v>
      </c>
      <c r="S226" s="9" t="s">
        <v>64</v>
      </c>
      <c r="T226" t="str">
        <f t="shared" si="3"/>
        <v>N</v>
      </c>
      <c r="W226" s="12" t="str">
        <f t="array" ref="W226">if(and(L226=0,Q226="NA"),"NA",if(L226=0,"no lice",if(Q226="NA","no collection",index(sea_lice!G:G,match(C226,sea_lice!A:A,0)))))</f>
        <v>no collection</v>
      </c>
      <c r="X226" s="23">
        <v>225.0</v>
      </c>
    </row>
    <row r="227">
      <c r="A227" s="9" t="s">
        <v>1228</v>
      </c>
      <c r="B227" s="6">
        <v>5372.0</v>
      </c>
      <c r="C227" s="12" t="str">
        <f t="shared" si="1"/>
        <v>U5372</v>
      </c>
      <c r="D227" s="13" t="s">
        <v>1222</v>
      </c>
      <c r="E227" s="14">
        <v>43385.0</v>
      </c>
      <c r="F227" s="9" t="s">
        <v>53</v>
      </c>
      <c r="G227" s="9" t="s">
        <v>54</v>
      </c>
      <c r="H227" s="9">
        <v>14.2</v>
      </c>
      <c r="I227" s="13">
        <v>108.0</v>
      </c>
      <c r="J227" s="13" t="s">
        <v>63</v>
      </c>
      <c r="K227" s="17" t="str">
        <f t="shared" si="5"/>
        <v/>
      </c>
      <c r="L227" s="9">
        <v>0.0</v>
      </c>
      <c r="M227" s="9" t="s">
        <v>57</v>
      </c>
      <c r="O227" s="9" t="s">
        <v>638</v>
      </c>
      <c r="P227" s="9" t="s">
        <v>60</v>
      </c>
      <c r="Q227" s="9" t="s">
        <v>63</v>
      </c>
      <c r="R227" s="9" t="s">
        <v>63</v>
      </c>
      <c r="S227" s="9" t="s">
        <v>64</v>
      </c>
      <c r="T227" t="str">
        <f t="shared" si="3"/>
        <v>N</v>
      </c>
      <c r="W227" s="12" t="str">
        <f t="array" ref="W227">if(and(L227=0,Q227="NA"),"NA",if(L227=0,"no lice",if(Q227="NA","no collection",index(sea_lice!G:G,match(C227,sea_lice!A:A,0)))))</f>
        <v>NA</v>
      </c>
      <c r="X227" s="23">
        <v>226.0</v>
      </c>
    </row>
    <row r="228">
      <c r="A228" s="9" t="s">
        <v>1229</v>
      </c>
      <c r="B228" s="6">
        <v>5373.0</v>
      </c>
      <c r="C228" s="12" t="str">
        <f t="shared" si="1"/>
        <v>U5373</v>
      </c>
      <c r="D228" s="13" t="s">
        <v>1222</v>
      </c>
      <c r="E228" s="14">
        <v>43385.0</v>
      </c>
      <c r="F228" s="9" t="s">
        <v>53</v>
      </c>
      <c r="G228" s="9" t="s">
        <v>54</v>
      </c>
      <c r="H228" s="9">
        <v>13.3</v>
      </c>
      <c r="I228" s="13">
        <v>112.0</v>
      </c>
      <c r="J228" s="13" t="s">
        <v>63</v>
      </c>
      <c r="K228" s="17" t="str">
        <f t="shared" si="5"/>
        <v/>
      </c>
      <c r="L228" s="9">
        <v>0.0</v>
      </c>
      <c r="M228" s="9" t="s">
        <v>57</v>
      </c>
      <c r="O228" s="9" t="s">
        <v>638</v>
      </c>
      <c r="P228" s="9" t="s">
        <v>60</v>
      </c>
      <c r="Q228" s="9" t="s">
        <v>63</v>
      </c>
      <c r="R228" s="9" t="s">
        <v>63</v>
      </c>
      <c r="S228" s="9" t="s">
        <v>64</v>
      </c>
      <c r="T228" t="str">
        <f t="shared" si="3"/>
        <v>N</v>
      </c>
      <c r="W228" s="12" t="str">
        <f t="array" ref="W228">if(and(L228=0,Q228="NA"),"NA",if(L228=0,"no lice",if(Q228="NA","no collection",index(sea_lice!G:G,match(C228,sea_lice!A:A,0)))))</f>
        <v>NA</v>
      </c>
      <c r="X228" s="23">
        <v>227.0</v>
      </c>
    </row>
    <row r="229">
      <c r="A229" s="9" t="s">
        <v>1231</v>
      </c>
      <c r="B229" s="6">
        <v>5374.0</v>
      </c>
      <c r="C229" s="12" t="str">
        <f t="shared" si="1"/>
        <v>U5374</v>
      </c>
      <c r="D229" s="13" t="s">
        <v>1222</v>
      </c>
      <c r="E229" s="14">
        <v>43385.0</v>
      </c>
      <c r="F229" s="9" t="s">
        <v>53</v>
      </c>
      <c r="G229" s="9" t="s">
        <v>54</v>
      </c>
      <c r="H229" s="9">
        <v>15.1</v>
      </c>
      <c r="I229" s="13">
        <v>113.0</v>
      </c>
      <c r="J229" s="13" t="s">
        <v>63</v>
      </c>
      <c r="K229" s="17" t="str">
        <f t="shared" si="5"/>
        <v/>
      </c>
      <c r="L229" s="9">
        <v>0.0</v>
      </c>
      <c r="M229" s="9" t="s">
        <v>57</v>
      </c>
      <c r="O229" s="9" t="s">
        <v>638</v>
      </c>
      <c r="P229" s="9" t="s">
        <v>60</v>
      </c>
      <c r="Q229" s="9" t="s">
        <v>63</v>
      </c>
      <c r="R229" s="9" t="s">
        <v>63</v>
      </c>
      <c r="S229" s="9" t="s">
        <v>64</v>
      </c>
      <c r="T229" t="str">
        <f t="shared" si="3"/>
        <v>N</v>
      </c>
      <c r="W229" s="12" t="str">
        <f t="array" ref="W229">if(and(L229=0,Q229="NA"),"NA",if(L229=0,"no lice",if(Q229="NA","no collection",index(sea_lice!G:G,match(C229,sea_lice!A:A,0)))))</f>
        <v>NA</v>
      </c>
      <c r="X229" s="23">
        <v>228.0</v>
      </c>
    </row>
    <row r="230">
      <c r="A230" s="9" t="s">
        <v>1233</v>
      </c>
      <c r="B230" s="6">
        <v>5375.0</v>
      </c>
      <c r="C230" s="12" t="str">
        <f t="shared" si="1"/>
        <v>U5375</v>
      </c>
      <c r="D230" s="13" t="s">
        <v>1234</v>
      </c>
      <c r="E230" s="14">
        <v>43388.0</v>
      </c>
      <c r="F230" s="9" t="s">
        <v>53</v>
      </c>
      <c r="G230" s="9" t="s">
        <v>54</v>
      </c>
      <c r="H230" s="9">
        <v>12.3</v>
      </c>
      <c r="I230" s="13">
        <v>105.0</v>
      </c>
      <c r="J230" s="13" t="s">
        <v>63</v>
      </c>
      <c r="K230" s="17" t="str">
        <f t="shared" si="5"/>
        <v/>
      </c>
      <c r="L230" s="9">
        <v>1.0</v>
      </c>
      <c r="M230" s="9" t="s">
        <v>57</v>
      </c>
      <c r="O230" s="9" t="s">
        <v>638</v>
      </c>
      <c r="P230" s="9" t="s">
        <v>60</v>
      </c>
      <c r="Q230" s="9" t="s">
        <v>63</v>
      </c>
      <c r="R230" s="9" t="s">
        <v>63</v>
      </c>
      <c r="S230" s="9" t="s">
        <v>64</v>
      </c>
      <c r="T230" t="str">
        <f t="shared" si="3"/>
        <v>N</v>
      </c>
      <c r="W230" s="12" t="str">
        <f t="array" ref="W230">if(and(L230=0,Q230="NA"),"NA",if(L230=0,"no lice",if(Q230="NA","no collection",index(sea_lice!G:G,match(C230,sea_lice!A:A,0)))))</f>
        <v>no collection</v>
      </c>
      <c r="X230" s="23">
        <v>229.0</v>
      </c>
    </row>
    <row r="231">
      <c r="A231" s="9" t="s">
        <v>1235</v>
      </c>
      <c r="B231" s="6">
        <v>5376.0</v>
      </c>
      <c r="C231" s="12" t="str">
        <f t="shared" si="1"/>
        <v>U5376</v>
      </c>
      <c r="D231" s="13" t="s">
        <v>1234</v>
      </c>
      <c r="E231" s="14">
        <v>43388.0</v>
      </c>
      <c r="F231" s="9" t="s">
        <v>53</v>
      </c>
      <c r="G231" s="9" t="s">
        <v>54</v>
      </c>
      <c r="H231" s="9">
        <v>10.8</v>
      </c>
      <c r="I231" s="13">
        <v>101.0</v>
      </c>
      <c r="J231" s="13" t="s">
        <v>63</v>
      </c>
      <c r="K231" s="17" t="str">
        <f t="shared" si="5"/>
        <v/>
      </c>
      <c r="L231" s="9">
        <v>0.0</v>
      </c>
      <c r="M231" s="9" t="s">
        <v>57</v>
      </c>
      <c r="O231" s="9" t="s">
        <v>638</v>
      </c>
      <c r="P231" s="9" t="s">
        <v>60</v>
      </c>
      <c r="Q231" s="9" t="s">
        <v>63</v>
      </c>
      <c r="R231" s="9" t="s">
        <v>63</v>
      </c>
      <c r="S231" s="9" t="s">
        <v>64</v>
      </c>
      <c r="T231" t="str">
        <f t="shared" si="3"/>
        <v>N</v>
      </c>
      <c r="W231" s="12" t="str">
        <f t="array" ref="W231">if(and(L231=0,Q231="NA"),"NA",if(L231=0,"no lice",if(Q231="NA","no collection",index(sea_lice!G:G,match(C231,sea_lice!A:A,0)))))</f>
        <v>NA</v>
      </c>
      <c r="X231" s="23">
        <v>230.0</v>
      </c>
    </row>
    <row r="232">
      <c r="A232" s="9" t="s">
        <v>1237</v>
      </c>
      <c r="B232" s="6">
        <v>5377.0</v>
      </c>
      <c r="C232" s="12" t="str">
        <f t="shared" si="1"/>
        <v>U5377</v>
      </c>
      <c r="D232" s="13" t="s">
        <v>1234</v>
      </c>
      <c r="E232" s="14">
        <v>43388.0</v>
      </c>
      <c r="F232" s="9" t="s">
        <v>53</v>
      </c>
      <c r="G232" s="9" t="s">
        <v>54</v>
      </c>
      <c r="H232" s="9">
        <v>16.7</v>
      </c>
      <c r="I232" s="13">
        <v>118.0</v>
      </c>
      <c r="J232" s="13">
        <v>124.0</v>
      </c>
      <c r="K232" s="17">
        <f t="shared" si="5"/>
        <v>0.8758937263</v>
      </c>
      <c r="L232" s="9">
        <v>0.0</v>
      </c>
      <c r="M232" s="9" t="s">
        <v>57</v>
      </c>
      <c r="O232" s="9" t="s">
        <v>638</v>
      </c>
      <c r="P232" s="9" t="s">
        <v>60</v>
      </c>
      <c r="Q232" s="9" t="s">
        <v>63</v>
      </c>
      <c r="R232" s="9" t="s">
        <v>63</v>
      </c>
      <c r="S232" s="9" t="s">
        <v>64</v>
      </c>
      <c r="T232" t="str">
        <f t="shared" si="3"/>
        <v>N</v>
      </c>
      <c r="W232" s="12" t="str">
        <f t="array" ref="W232">if(and(L232=0,Q232="NA"),"NA",if(L232=0,"no lice",if(Q232="NA","no collection",index(sea_lice!G:G,match(C232,sea_lice!A:A,0)))))</f>
        <v>NA</v>
      </c>
      <c r="X232" s="23">
        <v>231.0</v>
      </c>
    </row>
    <row r="233">
      <c r="A233" s="9" t="s">
        <v>1239</v>
      </c>
      <c r="B233" s="6">
        <v>5378.0</v>
      </c>
      <c r="C233" s="12" t="str">
        <f t="shared" si="1"/>
        <v>U5378</v>
      </c>
      <c r="D233" s="13" t="s">
        <v>1234</v>
      </c>
      <c r="E233" s="14">
        <v>43388.0</v>
      </c>
      <c r="F233" s="9" t="s">
        <v>53</v>
      </c>
      <c r="G233" s="9" t="s">
        <v>54</v>
      </c>
      <c r="H233" s="9">
        <v>15.5</v>
      </c>
      <c r="I233" s="13">
        <v>114.0</v>
      </c>
      <c r="J233" s="13">
        <v>119.0</v>
      </c>
      <c r="K233" s="17">
        <f t="shared" si="5"/>
        <v>0.919794512</v>
      </c>
      <c r="L233" s="9">
        <v>0.0</v>
      </c>
      <c r="M233" s="9" t="s">
        <v>57</v>
      </c>
      <c r="O233" s="9" t="s">
        <v>638</v>
      </c>
      <c r="P233" s="9" t="s">
        <v>60</v>
      </c>
      <c r="Q233" s="9" t="s">
        <v>63</v>
      </c>
      <c r="R233" s="9" t="s">
        <v>63</v>
      </c>
      <c r="S233" s="9" t="s">
        <v>64</v>
      </c>
      <c r="T233" t="str">
        <f t="shared" si="3"/>
        <v>N</v>
      </c>
      <c r="W233" s="12" t="str">
        <f t="array" ref="W233">if(and(L233=0,Q233="NA"),"NA",if(L233=0,"no lice",if(Q233="NA","no collection",index(sea_lice!G:G,match(C233,sea_lice!A:A,0)))))</f>
        <v>NA</v>
      </c>
      <c r="X233" s="23">
        <v>232.0</v>
      </c>
    </row>
    <row r="234">
      <c r="A234" s="9" t="s">
        <v>1241</v>
      </c>
      <c r="B234" s="6">
        <v>5379.0</v>
      </c>
      <c r="C234" s="12" t="str">
        <f t="shared" si="1"/>
        <v>U5379</v>
      </c>
      <c r="D234" s="13" t="s">
        <v>1234</v>
      </c>
      <c r="E234" s="14">
        <v>43388.0</v>
      </c>
      <c r="F234" s="9" t="s">
        <v>53</v>
      </c>
      <c r="G234" s="9" t="s">
        <v>54</v>
      </c>
      <c r="H234" s="9">
        <v>12.6</v>
      </c>
      <c r="I234" s="13">
        <v>108.0</v>
      </c>
      <c r="J234" s="13" t="s">
        <v>63</v>
      </c>
      <c r="K234" s="17" t="str">
        <f t="shared" si="5"/>
        <v/>
      </c>
      <c r="L234" s="9">
        <v>0.0</v>
      </c>
      <c r="M234" s="9" t="s">
        <v>57</v>
      </c>
      <c r="N234" s="9" t="s">
        <v>1242</v>
      </c>
      <c r="O234" s="9" t="s">
        <v>638</v>
      </c>
      <c r="P234" s="9" t="s">
        <v>60</v>
      </c>
      <c r="Q234" s="9" t="s">
        <v>63</v>
      </c>
      <c r="R234" s="9" t="s">
        <v>63</v>
      </c>
      <c r="S234" s="9" t="s">
        <v>64</v>
      </c>
      <c r="T234" t="str">
        <f t="shared" si="3"/>
        <v>N</v>
      </c>
      <c r="W234" s="12" t="str">
        <f t="array" ref="W234">if(and(L234=0,Q234="NA"),"NA",if(L234=0,"no lice",if(Q234="NA","no collection",index(sea_lice!G:G,match(C234,sea_lice!A:A,0)))))</f>
        <v>NA</v>
      </c>
      <c r="X234" s="23">
        <v>233.0</v>
      </c>
    </row>
    <row r="235">
      <c r="A235" s="9" t="s">
        <v>1243</v>
      </c>
      <c r="B235" s="6">
        <v>5380.0</v>
      </c>
      <c r="C235" s="12" t="str">
        <f t="shared" si="1"/>
        <v>U5380</v>
      </c>
      <c r="D235" s="13" t="s">
        <v>1234</v>
      </c>
      <c r="E235" s="14">
        <v>43388.0</v>
      </c>
      <c r="F235" s="9" t="s">
        <v>53</v>
      </c>
      <c r="G235" s="9" t="s">
        <v>54</v>
      </c>
      <c r="H235" s="9">
        <v>14.2</v>
      </c>
      <c r="I235" s="13">
        <v>108.0</v>
      </c>
      <c r="J235" s="13" t="s">
        <v>63</v>
      </c>
      <c r="K235" s="17" t="str">
        <f t="shared" si="5"/>
        <v/>
      </c>
      <c r="L235" s="9">
        <v>0.0</v>
      </c>
      <c r="M235" s="9" t="s">
        <v>57</v>
      </c>
      <c r="O235" s="9" t="s">
        <v>638</v>
      </c>
      <c r="P235" s="9" t="s">
        <v>60</v>
      </c>
      <c r="Q235" s="9" t="s">
        <v>63</v>
      </c>
      <c r="R235" s="9" t="s">
        <v>63</v>
      </c>
      <c r="S235" s="9" t="s">
        <v>64</v>
      </c>
      <c r="T235" t="str">
        <f t="shared" si="3"/>
        <v>N</v>
      </c>
      <c r="W235" s="12" t="str">
        <f t="array" ref="W235">if(and(L235=0,Q235="NA"),"NA",if(L235=0,"no lice",if(Q235="NA","no collection",index(sea_lice!G:G,match(C235,sea_lice!A:A,0)))))</f>
        <v>NA</v>
      </c>
      <c r="X235" s="23">
        <v>234.0</v>
      </c>
    </row>
    <row r="236">
      <c r="A236" s="9" t="s">
        <v>1245</v>
      </c>
      <c r="B236" s="6">
        <v>5381.0</v>
      </c>
      <c r="C236" s="12" t="str">
        <f t="shared" si="1"/>
        <v>U5381</v>
      </c>
      <c r="D236" s="13" t="s">
        <v>1234</v>
      </c>
      <c r="E236" s="14">
        <v>43388.0</v>
      </c>
      <c r="F236" s="9" t="s">
        <v>53</v>
      </c>
      <c r="G236" s="9" t="s">
        <v>54</v>
      </c>
      <c r="H236" s="9">
        <v>13.3</v>
      </c>
      <c r="I236" s="13">
        <v>112.0</v>
      </c>
      <c r="J236" s="13">
        <v>116.0</v>
      </c>
      <c r="K236" s="17">
        <f t="shared" si="5"/>
        <v>0.8520747058</v>
      </c>
      <c r="L236" s="9">
        <v>0.0</v>
      </c>
      <c r="M236" s="9" t="s">
        <v>57</v>
      </c>
      <c r="O236" s="9" t="s">
        <v>638</v>
      </c>
      <c r="P236" s="9" t="s">
        <v>60</v>
      </c>
      <c r="Q236" s="9" t="s">
        <v>63</v>
      </c>
      <c r="R236" s="9" t="s">
        <v>63</v>
      </c>
      <c r="S236" s="9" t="s">
        <v>64</v>
      </c>
      <c r="T236" t="str">
        <f t="shared" si="3"/>
        <v>N</v>
      </c>
      <c r="W236" s="12" t="str">
        <f t="array" ref="W236">if(and(L236=0,Q236="NA"),"NA",if(L236=0,"no lice",if(Q236="NA","no collection",index(sea_lice!G:G,match(C236,sea_lice!A:A,0)))))</f>
        <v>NA</v>
      </c>
      <c r="X236" s="23">
        <v>235.0</v>
      </c>
    </row>
    <row r="237">
      <c r="A237" s="9" t="s">
        <v>1247</v>
      </c>
      <c r="B237" s="6">
        <v>5382.0</v>
      </c>
      <c r="C237" s="12" t="str">
        <f t="shared" si="1"/>
        <v>U5382</v>
      </c>
      <c r="D237" s="13" t="s">
        <v>1234</v>
      </c>
      <c r="E237" s="14">
        <v>43388.0</v>
      </c>
      <c r="F237" s="9" t="s">
        <v>53</v>
      </c>
      <c r="G237" s="9" t="s">
        <v>54</v>
      </c>
      <c r="H237" s="9">
        <v>12.5</v>
      </c>
      <c r="I237" s="13">
        <v>106.0</v>
      </c>
      <c r="J237" s="13">
        <v>110.0</v>
      </c>
      <c r="K237" s="17">
        <f t="shared" si="5"/>
        <v>0.9391435011</v>
      </c>
      <c r="L237" s="9">
        <v>0.0</v>
      </c>
      <c r="M237" s="9" t="s">
        <v>57</v>
      </c>
      <c r="O237" s="9" t="s">
        <v>638</v>
      </c>
      <c r="P237" s="9" t="s">
        <v>60</v>
      </c>
      <c r="Q237" s="9" t="s">
        <v>63</v>
      </c>
      <c r="R237" s="9" t="s">
        <v>63</v>
      </c>
      <c r="S237" s="9" t="s">
        <v>64</v>
      </c>
      <c r="T237" t="str">
        <f t="shared" si="3"/>
        <v>N</v>
      </c>
      <c r="W237" s="12" t="str">
        <f t="array" ref="W237">if(and(L237=0,Q237="NA"),"NA",if(L237=0,"no lice",if(Q237="NA","no collection",index(sea_lice!G:G,match(C237,sea_lice!A:A,0)))))</f>
        <v>NA</v>
      </c>
      <c r="X237" s="23">
        <v>236.0</v>
      </c>
    </row>
    <row r="238">
      <c r="A238" s="9" t="s">
        <v>1248</v>
      </c>
      <c r="B238" s="6">
        <v>5383.0</v>
      </c>
      <c r="C238" s="12" t="str">
        <f t="shared" si="1"/>
        <v>U5383</v>
      </c>
      <c r="D238" s="13" t="s">
        <v>1234</v>
      </c>
      <c r="E238" s="14">
        <v>43388.0</v>
      </c>
      <c r="F238" s="9" t="s">
        <v>53</v>
      </c>
      <c r="G238" s="9" t="s">
        <v>54</v>
      </c>
      <c r="H238" s="9">
        <v>12.3</v>
      </c>
      <c r="I238" s="13">
        <v>107.0</v>
      </c>
      <c r="J238" s="13">
        <v>112.0</v>
      </c>
      <c r="K238" s="17">
        <f t="shared" si="5"/>
        <v>0.8754897048</v>
      </c>
      <c r="L238" s="9">
        <v>0.0</v>
      </c>
      <c r="M238" s="9" t="s">
        <v>57</v>
      </c>
      <c r="O238" s="9" t="s">
        <v>638</v>
      </c>
      <c r="P238" s="9" t="s">
        <v>60</v>
      </c>
      <c r="Q238" s="9" t="s">
        <v>63</v>
      </c>
      <c r="R238" s="9" t="s">
        <v>63</v>
      </c>
      <c r="S238" s="9" t="s">
        <v>64</v>
      </c>
      <c r="T238" t="str">
        <f t="shared" si="3"/>
        <v>N</v>
      </c>
      <c r="W238" s="12" t="str">
        <f t="array" ref="W238">if(and(L238=0,Q238="NA"),"NA",if(L238=0,"no lice",if(Q238="NA","no collection",index(sea_lice!G:G,match(C238,sea_lice!A:A,0)))))</f>
        <v>NA</v>
      </c>
      <c r="X238" s="23">
        <v>237.0</v>
      </c>
    </row>
    <row r="239">
      <c r="A239" s="9" t="s">
        <v>1250</v>
      </c>
      <c r="B239" s="6">
        <v>5384.0</v>
      </c>
      <c r="C239" s="12" t="str">
        <f t="shared" si="1"/>
        <v>U5384</v>
      </c>
      <c r="D239" s="13" t="s">
        <v>1234</v>
      </c>
      <c r="E239" s="14">
        <v>43388.0</v>
      </c>
      <c r="F239" s="9" t="s">
        <v>53</v>
      </c>
      <c r="G239" s="9" t="s">
        <v>54</v>
      </c>
      <c r="H239" s="9">
        <v>13.0</v>
      </c>
      <c r="I239" s="13">
        <v>103.0</v>
      </c>
      <c r="J239" s="13">
        <v>109.0</v>
      </c>
      <c r="K239" s="17">
        <f t="shared" si="5"/>
        <v>1.003838524</v>
      </c>
      <c r="L239" s="9">
        <v>1.0</v>
      </c>
      <c r="M239" s="9" t="s">
        <v>57</v>
      </c>
      <c r="O239" s="9" t="s">
        <v>638</v>
      </c>
      <c r="P239" s="9" t="s">
        <v>60</v>
      </c>
      <c r="Q239" s="9" t="s">
        <v>63</v>
      </c>
      <c r="R239" s="9" t="s">
        <v>63</v>
      </c>
      <c r="S239" s="9" t="s">
        <v>64</v>
      </c>
      <c r="T239" t="str">
        <f t="shared" si="3"/>
        <v>N</v>
      </c>
      <c r="W239" s="12" t="str">
        <f t="array" ref="W239">if(and(L239=0,Q239="NA"),"NA",if(L239=0,"no lice",if(Q239="NA","no collection",index(sea_lice!G:G,match(C239,sea_lice!A:A,0)))))</f>
        <v>no collection</v>
      </c>
      <c r="X239" s="23">
        <v>238.0</v>
      </c>
    </row>
    <row r="240">
      <c r="A240" s="9" t="s">
        <v>1252</v>
      </c>
      <c r="B240" s="6">
        <v>5385.0</v>
      </c>
      <c r="C240" s="12" t="str">
        <f t="shared" si="1"/>
        <v>U5385</v>
      </c>
      <c r="D240" s="13" t="s">
        <v>1253</v>
      </c>
      <c r="E240" s="14">
        <v>43388.0</v>
      </c>
      <c r="F240" s="9" t="s">
        <v>53</v>
      </c>
      <c r="G240" s="9" t="s">
        <v>54</v>
      </c>
      <c r="H240" s="9">
        <v>8.9</v>
      </c>
      <c r="I240" s="13">
        <v>97.0</v>
      </c>
      <c r="J240" s="13" t="s">
        <v>63</v>
      </c>
      <c r="K240" s="17" t="str">
        <f t="shared" si="5"/>
        <v/>
      </c>
      <c r="L240" s="9">
        <v>0.0</v>
      </c>
      <c r="M240" s="9" t="s">
        <v>57</v>
      </c>
      <c r="N240" s="9" t="s">
        <v>1213</v>
      </c>
      <c r="O240" s="9" t="s">
        <v>638</v>
      </c>
      <c r="P240" s="9" t="s">
        <v>60</v>
      </c>
      <c r="Q240" s="9" t="s">
        <v>63</v>
      </c>
      <c r="R240" s="9" t="s">
        <v>63</v>
      </c>
      <c r="S240" s="9" t="s">
        <v>64</v>
      </c>
      <c r="T240" t="str">
        <f t="shared" si="3"/>
        <v>N</v>
      </c>
      <c r="W240" s="12" t="str">
        <f t="array" ref="W240">if(and(L240=0,Q240="NA"),"NA",if(L240=0,"no lice",if(Q240="NA","no collection",index(sea_lice!G:G,match(C240,sea_lice!A:A,0)))))</f>
        <v>NA</v>
      </c>
      <c r="X240" s="23">
        <v>239.0</v>
      </c>
    </row>
    <row r="241">
      <c r="A241" s="9" t="s">
        <v>1255</v>
      </c>
      <c r="B241" s="6">
        <v>5386.0</v>
      </c>
      <c r="C241" s="12" t="str">
        <f t="shared" si="1"/>
        <v>U5386</v>
      </c>
      <c r="D241" s="13" t="s">
        <v>1253</v>
      </c>
      <c r="E241" s="14">
        <v>43388.0</v>
      </c>
      <c r="F241" s="9" t="s">
        <v>53</v>
      </c>
      <c r="G241" s="9" t="s">
        <v>54</v>
      </c>
      <c r="H241" s="9">
        <v>8.3</v>
      </c>
      <c r="I241" s="13">
        <v>88.0</v>
      </c>
      <c r="J241" s="13">
        <v>91.0</v>
      </c>
      <c r="K241" s="17">
        <f t="shared" si="5"/>
        <v>1.101422427</v>
      </c>
      <c r="L241" s="9">
        <v>2.0</v>
      </c>
      <c r="M241" s="9" t="s">
        <v>57</v>
      </c>
      <c r="O241" s="9" t="s">
        <v>638</v>
      </c>
      <c r="P241" s="9" t="s">
        <v>60</v>
      </c>
      <c r="Q241" s="9" t="s">
        <v>63</v>
      </c>
      <c r="R241" s="9" t="s">
        <v>63</v>
      </c>
      <c r="S241" s="9" t="s">
        <v>64</v>
      </c>
      <c r="T241" t="str">
        <f t="shared" si="3"/>
        <v>N</v>
      </c>
      <c r="W241" s="12" t="str">
        <f t="array" ref="W241">if(and(L241=0,Q241="NA"),"NA",if(L241=0,"no lice",if(Q241="NA","no collection",index(sea_lice!G:G,match(C241,sea_lice!A:A,0)))))</f>
        <v>no collection</v>
      </c>
      <c r="X241" s="23">
        <v>240.0</v>
      </c>
    </row>
    <row r="242">
      <c r="A242" s="9" t="s">
        <v>1257</v>
      </c>
      <c r="B242" s="6">
        <v>5387.0</v>
      </c>
      <c r="C242" s="12" t="str">
        <f t="shared" si="1"/>
        <v>U5387</v>
      </c>
      <c r="D242" s="13" t="s">
        <v>1253</v>
      </c>
      <c r="E242" s="14">
        <v>43388.0</v>
      </c>
      <c r="F242" s="9" t="s">
        <v>53</v>
      </c>
      <c r="G242" s="9" t="s">
        <v>54</v>
      </c>
      <c r="H242" s="9">
        <v>14.6</v>
      </c>
      <c r="I242" s="13">
        <v>110.0</v>
      </c>
      <c r="J242" s="13">
        <v>114.0</v>
      </c>
      <c r="K242" s="17">
        <f t="shared" si="5"/>
        <v>0.9854584137</v>
      </c>
      <c r="L242" s="9">
        <v>0.0</v>
      </c>
      <c r="M242" s="9" t="s">
        <v>57</v>
      </c>
      <c r="O242" s="9" t="s">
        <v>638</v>
      </c>
      <c r="P242" s="9" t="s">
        <v>60</v>
      </c>
      <c r="Q242" s="9" t="s">
        <v>63</v>
      </c>
      <c r="R242" s="9" t="s">
        <v>63</v>
      </c>
      <c r="S242" s="9" t="s">
        <v>64</v>
      </c>
      <c r="T242" t="str">
        <f t="shared" si="3"/>
        <v>N</v>
      </c>
      <c r="W242" s="12" t="str">
        <f t="array" ref="W242">if(and(L242=0,Q242="NA"),"NA",if(L242=0,"no lice",if(Q242="NA","no collection",index(sea_lice!G:G,match(C242,sea_lice!A:A,0)))))</f>
        <v>NA</v>
      </c>
      <c r="X242" s="23">
        <v>241.0</v>
      </c>
    </row>
    <row r="243">
      <c r="A243" s="9" t="s">
        <v>1258</v>
      </c>
      <c r="B243" s="6">
        <v>5388.0</v>
      </c>
      <c r="C243" s="12" t="str">
        <f t="shared" si="1"/>
        <v>U5388</v>
      </c>
      <c r="D243" s="13" t="s">
        <v>1253</v>
      </c>
      <c r="E243" s="14">
        <v>43388.0</v>
      </c>
      <c r="F243" s="9" t="s">
        <v>53</v>
      </c>
      <c r="G243" s="9" t="s">
        <v>54</v>
      </c>
      <c r="H243" s="9">
        <v>8.2</v>
      </c>
      <c r="I243" s="13">
        <v>94.0</v>
      </c>
      <c r="J243" s="13">
        <v>98.0</v>
      </c>
      <c r="K243" s="17">
        <f t="shared" si="5"/>
        <v>0.8712356246</v>
      </c>
      <c r="L243" s="9">
        <v>0.0</v>
      </c>
      <c r="M243" s="9" t="s">
        <v>57</v>
      </c>
      <c r="N243" s="9" t="s">
        <v>1260</v>
      </c>
      <c r="O243" s="9" t="s">
        <v>638</v>
      </c>
      <c r="P243" s="9" t="s">
        <v>60</v>
      </c>
      <c r="Q243" s="9" t="s">
        <v>63</v>
      </c>
      <c r="R243" s="9" t="s">
        <v>63</v>
      </c>
      <c r="S243" s="9" t="s">
        <v>64</v>
      </c>
      <c r="T243" t="str">
        <f t="shared" si="3"/>
        <v>N</v>
      </c>
      <c r="W243" s="12" t="str">
        <f t="array" ref="W243">if(and(L243=0,Q243="NA"),"NA",if(L243=0,"no lice",if(Q243="NA","no collection",index(sea_lice!G:G,match(C243,sea_lice!A:A,0)))))</f>
        <v>NA</v>
      </c>
      <c r="X243" s="23">
        <v>242.0</v>
      </c>
    </row>
    <row r="244">
      <c r="A244" s="9" t="s">
        <v>1261</v>
      </c>
      <c r="B244" s="6">
        <v>5341.0</v>
      </c>
      <c r="C244" s="12" t="str">
        <f t="shared" si="1"/>
        <v>U5341</v>
      </c>
      <c r="D244" s="13" t="s">
        <v>1172</v>
      </c>
      <c r="E244" s="14">
        <v>43388.0</v>
      </c>
      <c r="F244" s="9" t="s">
        <v>53</v>
      </c>
      <c r="G244" s="9" t="s">
        <v>54</v>
      </c>
      <c r="H244" s="9">
        <v>11.2</v>
      </c>
      <c r="I244" s="13">
        <v>103.0</v>
      </c>
      <c r="J244" s="13">
        <v>107.0</v>
      </c>
      <c r="K244" s="17">
        <f t="shared" si="5"/>
        <v>0.9142536221</v>
      </c>
      <c r="L244" s="9">
        <v>0.0</v>
      </c>
      <c r="M244" s="9" t="s">
        <v>57</v>
      </c>
      <c r="O244" s="9" t="s">
        <v>221</v>
      </c>
      <c r="P244" s="9" t="s">
        <v>60</v>
      </c>
      <c r="Q244" s="9" t="s">
        <v>63</v>
      </c>
      <c r="R244" s="9" t="s">
        <v>63</v>
      </c>
      <c r="S244" s="9" t="s">
        <v>64</v>
      </c>
      <c r="T244" t="str">
        <f>if(isblank(A245),"",if(or(and(countif(A:A,A245)&gt;1,A245&lt;&gt;"NA"),countif(B:B,B244)&gt;1),"Y","N"))</f>
        <v>N</v>
      </c>
      <c r="W244" s="12" t="str">
        <f t="array" ref="W244">if(and(L244=0,Q244="NA"),"NA",if(L244=0,"no lice",if(Q244="NA","no collection",index(sea_lice!G:G,match(C244,sea_lice!A:A,0)))))</f>
        <v>NA</v>
      </c>
      <c r="X244" s="23">
        <v>243.0</v>
      </c>
    </row>
    <row r="245">
      <c r="A245" s="9" t="s">
        <v>1263</v>
      </c>
      <c r="B245" s="6">
        <v>5342.0</v>
      </c>
      <c r="C245" s="12" t="str">
        <f t="shared" si="1"/>
        <v>U5342</v>
      </c>
      <c r="D245" s="13" t="s">
        <v>1172</v>
      </c>
      <c r="E245" s="14">
        <v>43388.0</v>
      </c>
      <c r="F245" s="9" t="s">
        <v>53</v>
      </c>
      <c r="G245" s="9" t="s">
        <v>54</v>
      </c>
      <c r="H245" s="9">
        <v>10.0</v>
      </c>
      <c r="I245" s="13">
        <v>98.0</v>
      </c>
      <c r="J245" s="13">
        <v>102.0</v>
      </c>
      <c r="K245" s="17">
        <f t="shared" si="5"/>
        <v>0.9423223345</v>
      </c>
      <c r="L245" s="9">
        <v>4.0</v>
      </c>
      <c r="M245" s="9" t="s">
        <v>57</v>
      </c>
      <c r="O245" s="9" t="s">
        <v>221</v>
      </c>
      <c r="P245" s="9" t="s">
        <v>60</v>
      </c>
      <c r="Q245" s="9" t="s">
        <v>63</v>
      </c>
      <c r="R245" s="9" t="s">
        <v>63</v>
      </c>
      <c r="S245" s="9" t="s">
        <v>64</v>
      </c>
      <c r="T245" t="str">
        <f t="shared" ref="T245:T259" si="6">if(isblank(A245:A246),"",if(or(and(countif(A:A,A245:A246)&gt;1,A245:A246&lt;&gt;"NA"),countif(B:B,B245)&gt;1),"Y","N"))</f>
        <v>N</v>
      </c>
      <c r="W245" s="12" t="str">
        <f t="array" ref="W245">if(and(L245=0,Q245="NA"),"NA",if(L245=0,"no lice",if(Q245="NA","no collection",index(sea_lice!G:G,match(C245,sea_lice!A:A,0)))))</f>
        <v>no collection</v>
      </c>
      <c r="X245" s="23">
        <v>244.0</v>
      </c>
    </row>
    <row r="246">
      <c r="A246" s="9" t="s">
        <v>1265</v>
      </c>
      <c r="B246" s="6">
        <v>5343.0</v>
      </c>
      <c r="C246" s="12" t="str">
        <f t="shared" si="1"/>
        <v>U5343</v>
      </c>
      <c r="D246" s="13" t="s">
        <v>1172</v>
      </c>
      <c r="E246" s="14">
        <v>43388.0</v>
      </c>
      <c r="F246" s="9" t="s">
        <v>53</v>
      </c>
      <c r="G246" s="9" t="s">
        <v>54</v>
      </c>
      <c r="H246" s="9">
        <v>11.1</v>
      </c>
      <c r="I246" s="13">
        <v>103.0</v>
      </c>
      <c r="J246" s="13">
        <v>108.0</v>
      </c>
      <c r="K246" s="17">
        <f t="shared" si="5"/>
        <v>0.8811537875</v>
      </c>
      <c r="L246" s="9">
        <v>1.0</v>
      </c>
      <c r="M246" s="9" t="s">
        <v>57</v>
      </c>
      <c r="O246" s="9" t="s">
        <v>221</v>
      </c>
      <c r="P246" s="9" t="s">
        <v>60</v>
      </c>
      <c r="Q246" s="9" t="s">
        <v>63</v>
      </c>
      <c r="R246" s="9" t="s">
        <v>63</v>
      </c>
      <c r="S246" s="9" t="s">
        <v>64</v>
      </c>
      <c r="T246" t="str">
        <f t="shared" si="6"/>
        <v>N</v>
      </c>
      <c r="W246" s="12" t="str">
        <f t="array" ref="W246">if(and(L246=0,Q246="NA"),"NA",if(L246=0,"no lice",if(Q246="NA","no collection",index(sea_lice!G:G,match(C246,sea_lice!A:A,0)))))</f>
        <v>no collection</v>
      </c>
      <c r="X246" s="23">
        <v>245.0</v>
      </c>
    </row>
    <row r="247">
      <c r="A247" s="9" t="s">
        <v>1267</v>
      </c>
      <c r="B247" s="6">
        <v>5344.0</v>
      </c>
      <c r="C247" s="12" t="str">
        <f t="shared" si="1"/>
        <v>U5344</v>
      </c>
      <c r="D247" s="13" t="s">
        <v>1172</v>
      </c>
      <c r="E247" s="14">
        <v>43388.0</v>
      </c>
      <c r="F247" s="9" t="s">
        <v>53</v>
      </c>
      <c r="G247" s="9" t="s">
        <v>54</v>
      </c>
      <c r="H247" s="9">
        <v>12.9</v>
      </c>
      <c r="I247" s="13">
        <v>109.0</v>
      </c>
      <c r="J247" s="13">
        <v>114.0</v>
      </c>
      <c r="K247" s="17">
        <f t="shared" si="5"/>
        <v>0.8707132559</v>
      </c>
      <c r="L247" s="9">
        <v>0.0</v>
      </c>
      <c r="M247" s="9" t="s">
        <v>57</v>
      </c>
      <c r="O247" s="9" t="s">
        <v>221</v>
      </c>
      <c r="P247" s="9" t="s">
        <v>60</v>
      </c>
      <c r="Q247" s="9" t="s">
        <v>63</v>
      </c>
      <c r="R247" s="9" t="s">
        <v>63</v>
      </c>
      <c r="S247" s="9" t="s">
        <v>64</v>
      </c>
      <c r="T247" t="str">
        <f t="shared" si="6"/>
        <v>N</v>
      </c>
      <c r="W247" s="12" t="str">
        <f t="array" ref="W247">if(and(L247=0,Q247="NA"),"NA",if(L247=0,"no lice",if(Q247="NA","no collection",index(sea_lice!G:G,match(C247,sea_lice!A:A,0)))))</f>
        <v>NA</v>
      </c>
      <c r="X247" s="23">
        <v>246.0</v>
      </c>
    </row>
    <row r="248">
      <c r="A248" s="9" t="s">
        <v>1268</v>
      </c>
      <c r="B248" s="6">
        <v>5345.0</v>
      </c>
      <c r="C248" s="12" t="str">
        <f t="shared" si="1"/>
        <v>U5345</v>
      </c>
      <c r="D248" s="13" t="s">
        <v>1172</v>
      </c>
      <c r="E248" s="14">
        <v>43388.0</v>
      </c>
      <c r="F248" s="9" t="s">
        <v>53</v>
      </c>
      <c r="G248" s="9" t="s">
        <v>54</v>
      </c>
      <c r="H248" s="9">
        <v>12.1</v>
      </c>
      <c r="I248" s="13">
        <v>106.0</v>
      </c>
      <c r="J248" s="13">
        <v>110.0</v>
      </c>
      <c r="K248" s="17">
        <f t="shared" si="5"/>
        <v>0.9090909091</v>
      </c>
      <c r="L248" s="9">
        <v>0.0</v>
      </c>
      <c r="M248" s="9" t="s">
        <v>57</v>
      </c>
      <c r="O248" s="9" t="s">
        <v>221</v>
      </c>
      <c r="P248" s="9" t="s">
        <v>60</v>
      </c>
      <c r="Q248" s="9" t="s">
        <v>63</v>
      </c>
      <c r="R248" s="9" t="s">
        <v>63</v>
      </c>
      <c r="S248" s="9" t="s">
        <v>64</v>
      </c>
      <c r="T248" t="str">
        <f t="shared" si="6"/>
        <v>N</v>
      </c>
      <c r="W248" s="12" t="str">
        <f t="array" ref="W248">if(and(L248=0,Q248="NA"),"NA",if(L248=0,"no lice",if(Q248="NA","no collection",index(sea_lice!G:G,match(C248,sea_lice!A:A,0)))))</f>
        <v>NA</v>
      </c>
      <c r="X248" s="23">
        <v>247.0</v>
      </c>
    </row>
    <row r="249">
      <c r="A249" s="9" t="s">
        <v>1270</v>
      </c>
      <c r="B249" s="6">
        <v>5346.0</v>
      </c>
      <c r="C249" s="12" t="str">
        <f t="shared" si="1"/>
        <v>U5346</v>
      </c>
      <c r="D249" s="13" t="s">
        <v>1172</v>
      </c>
      <c r="E249" s="14">
        <v>43388.0</v>
      </c>
      <c r="F249" s="9" t="s">
        <v>53</v>
      </c>
      <c r="G249" s="9" t="s">
        <v>54</v>
      </c>
      <c r="H249" s="9">
        <v>9.8</v>
      </c>
      <c r="I249" s="13">
        <v>103.0</v>
      </c>
      <c r="J249" s="13">
        <v>108.0</v>
      </c>
      <c r="K249" s="17">
        <f t="shared" si="5"/>
        <v>0.7779555962</v>
      </c>
      <c r="L249" s="9">
        <v>1.0</v>
      </c>
      <c r="M249" s="9" t="s">
        <v>57</v>
      </c>
      <c r="O249" s="9" t="s">
        <v>221</v>
      </c>
      <c r="P249" s="9" t="s">
        <v>60</v>
      </c>
      <c r="Q249" s="9" t="s">
        <v>63</v>
      </c>
      <c r="R249" s="9" t="s">
        <v>63</v>
      </c>
      <c r="S249" s="9" t="s">
        <v>64</v>
      </c>
      <c r="T249" t="str">
        <f t="shared" si="6"/>
        <v>N</v>
      </c>
      <c r="W249" s="12" t="str">
        <f t="array" ref="W249">if(and(L249=0,Q249="NA"),"NA",if(L249=0,"no lice",if(Q249="NA","no collection",index(sea_lice!G:G,match(C249,sea_lice!A:A,0)))))</f>
        <v>no collection</v>
      </c>
      <c r="X249" s="23">
        <v>248.0</v>
      </c>
    </row>
    <row r="250">
      <c r="A250" s="9" t="s">
        <v>1271</v>
      </c>
      <c r="B250" s="6">
        <v>5347.0</v>
      </c>
      <c r="C250" s="12" t="str">
        <f t="shared" si="1"/>
        <v>U5347</v>
      </c>
      <c r="D250" s="13" t="s">
        <v>1272</v>
      </c>
      <c r="E250" s="14">
        <v>43388.0</v>
      </c>
      <c r="F250" s="9" t="s">
        <v>53</v>
      </c>
      <c r="G250" s="9" t="s">
        <v>54</v>
      </c>
      <c r="H250" s="9">
        <v>14.8</v>
      </c>
      <c r="I250" s="13">
        <v>116.0</v>
      </c>
      <c r="J250" s="13">
        <v>120.0</v>
      </c>
      <c r="K250" s="17">
        <f t="shared" si="5"/>
        <v>0.8564814815</v>
      </c>
      <c r="L250" s="9">
        <v>1.0</v>
      </c>
      <c r="M250" s="9" t="s">
        <v>57</v>
      </c>
      <c r="O250" s="9" t="s">
        <v>221</v>
      </c>
      <c r="P250" s="9" t="s">
        <v>60</v>
      </c>
      <c r="Q250" s="9" t="s">
        <v>63</v>
      </c>
      <c r="R250" s="9" t="s">
        <v>63</v>
      </c>
      <c r="S250" s="9" t="s">
        <v>64</v>
      </c>
      <c r="T250" t="str">
        <f t="shared" si="6"/>
        <v>N</v>
      </c>
      <c r="W250" s="12" t="str">
        <f t="array" ref="W250">if(and(L250=0,Q250="NA"),"NA",if(L250=0,"no lice",if(Q250="NA","no collection",index(sea_lice!G:G,match(C250,sea_lice!A:A,0)))))</f>
        <v>no collection</v>
      </c>
      <c r="X250" s="23">
        <v>249.0</v>
      </c>
    </row>
    <row r="251">
      <c r="A251" s="9" t="s">
        <v>1274</v>
      </c>
      <c r="B251" s="6">
        <v>5348.0</v>
      </c>
      <c r="C251" s="12" t="str">
        <f t="shared" si="1"/>
        <v>U5348</v>
      </c>
      <c r="D251" s="13" t="s">
        <v>1272</v>
      </c>
      <c r="E251" s="14">
        <v>43388.0</v>
      </c>
      <c r="F251" s="9" t="s">
        <v>53</v>
      </c>
      <c r="G251" s="9" t="s">
        <v>54</v>
      </c>
      <c r="H251" s="9">
        <v>13.2</v>
      </c>
      <c r="I251" s="13">
        <v>112.0</v>
      </c>
      <c r="J251" s="13">
        <v>115.0</v>
      </c>
      <c r="K251" s="17">
        <f t="shared" si="5"/>
        <v>0.8679214268</v>
      </c>
      <c r="L251" s="9">
        <v>0.0</v>
      </c>
      <c r="M251" s="9" t="s">
        <v>57</v>
      </c>
      <c r="O251" s="9" t="s">
        <v>221</v>
      </c>
      <c r="P251" s="9" t="s">
        <v>60</v>
      </c>
      <c r="Q251" s="9" t="s">
        <v>63</v>
      </c>
      <c r="R251" s="9" t="s">
        <v>63</v>
      </c>
      <c r="S251" s="9" t="s">
        <v>64</v>
      </c>
      <c r="T251" t="str">
        <f t="shared" si="6"/>
        <v>N</v>
      </c>
      <c r="W251" s="12" t="str">
        <f t="array" ref="W251">if(and(L251=0,Q251="NA"),"NA",if(L251=0,"no lice",if(Q251="NA","no collection",index(sea_lice!G:G,match(C251,sea_lice!A:A,0)))))</f>
        <v>NA</v>
      </c>
      <c r="X251" s="23">
        <v>250.0</v>
      </c>
    </row>
    <row r="252">
      <c r="A252" s="9" t="s">
        <v>1277</v>
      </c>
      <c r="B252" s="6">
        <v>5349.0</v>
      </c>
      <c r="C252" s="12" t="str">
        <f t="shared" si="1"/>
        <v>U5349</v>
      </c>
      <c r="D252" s="13" t="s">
        <v>1272</v>
      </c>
      <c r="E252" s="14">
        <v>43388.0</v>
      </c>
      <c r="F252" s="9" t="s">
        <v>53</v>
      </c>
      <c r="G252" s="9" t="s">
        <v>54</v>
      </c>
      <c r="H252" s="9">
        <v>16.6</v>
      </c>
      <c r="I252" s="13">
        <v>119.0</v>
      </c>
      <c r="J252" s="13">
        <v>124.0</v>
      </c>
      <c r="K252" s="17">
        <f t="shared" si="5"/>
        <v>0.8706488537</v>
      </c>
      <c r="L252" s="9">
        <v>0.0</v>
      </c>
      <c r="M252" s="9" t="s">
        <v>57</v>
      </c>
      <c r="O252" s="9" t="s">
        <v>221</v>
      </c>
      <c r="P252" s="9" t="s">
        <v>60</v>
      </c>
      <c r="Q252" s="9" t="s">
        <v>63</v>
      </c>
      <c r="R252" s="9" t="s">
        <v>63</v>
      </c>
      <c r="S252" s="9" t="s">
        <v>64</v>
      </c>
      <c r="T252" t="str">
        <f t="shared" si="6"/>
        <v>N</v>
      </c>
      <c r="W252" s="12" t="str">
        <f t="array" ref="W252">if(and(L252=0,Q252="NA"),"NA",if(L252=0,"no lice",if(Q252="NA","no collection",index(sea_lice!G:G,match(C252,sea_lice!A:A,0)))))</f>
        <v>NA</v>
      </c>
      <c r="X252" s="23">
        <v>251.0</v>
      </c>
    </row>
    <row r="253">
      <c r="A253" s="9" t="s">
        <v>1281</v>
      </c>
      <c r="B253" s="6">
        <v>5350.0</v>
      </c>
      <c r="C253" s="12" t="str">
        <f t="shared" si="1"/>
        <v>U5350</v>
      </c>
      <c r="D253" s="13" t="s">
        <v>1272</v>
      </c>
      <c r="E253" s="14">
        <v>43388.0</v>
      </c>
      <c r="F253" s="9" t="s">
        <v>53</v>
      </c>
      <c r="G253" s="9" t="s">
        <v>54</v>
      </c>
      <c r="H253" s="9">
        <v>20.1</v>
      </c>
      <c r="I253" s="13">
        <v>125.0</v>
      </c>
      <c r="J253" s="13">
        <v>130.0</v>
      </c>
      <c r="K253" s="17">
        <f t="shared" si="5"/>
        <v>0.9148839326</v>
      </c>
      <c r="L253" s="9">
        <v>0.0</v>
      </c>
      <c r="M253" s="9" t="s">
        <v>57</v>
      </c>
      <c r="O253" s="9" t="s">
        <v>221</v>
      </c>
      <c r="P253" s="9" t="s">
        <v>60</v>
      </c>
      <c r="Q253" s="9" t="s">
        <v>63</v>
      </c>
      <c r="R253" s="9" t="s">
        <v>63</v>
      </c>
      <c r="S253" s="9" t="s">
        <v>64</v>
      </c>
      <c r="T253" t="str">
        <f t="shared" si="6"/>
        <v>N</v>
      </c>
      <c r="W253" s="12" t="str">
        <f t="array" ref="W253">if(and(L253=0,Q253="NA"),"NA",if(L253=0,"no lice",if(Q253="NA","no collection",index(sea_lice!G:G,match(C253,sea_lice!A:A,0)))))</f>
        <v>NA</v>
      </c>
      <c r="X253" s="23">
        <v>252.0</v>
      </c>
    </row>
    <row r="254">
      <c r="A254" s="9" t="s">
        <v>1285</v>
      </c>
      <c r="B254" s="6">
        <v>5351.0</v>
      </c>
      <c r="C254" s="12" t="str">
        <f t="shared" si="1"/>
        <v>U5351</v>
      </c>
      <c r="D254" s="13" t="s">
        <v>1272</v>
      </c>
      <c r="E254" s="14">
        <v>43388.0</v>
      </c>
      <c r="F254" s="9" t="s">
        <v>53</v>
      </c>
      <c r="G254" s="9" t="s">
        <v>54</v>
      </c>
      <c r="H254" s="9">
        <v>15.6</v>
      </c>
      <c r="I254" s="13">
        <v>112.0</v>
      </c>
      <c r="J254" s="13">
        <v>117.0</v>
      </c>
      <c r="K254" s="17">
        <f t="shared" si="5"/>
        <v>0.974018068</v>
      </c>
      <c r="L254" s="9">
        <v>1.0</v>
      </c>
      <c r="M254" s="9" t="s">
        <v>57</v>
      </c>
      <c r="O254" s="9" t="s">
        <v>221</v>
      </c>
      <c r="P254" s="9" t="s">
        <v>60</v>
      </c>
      <c r="Q254" s="9" t="s">
        <v>63</v>
      </c>
      <c r="R254" s="9" t="s">
        <v>63</v>
      </c>
      <c r="S254" s="9" t="s">
        <v>64</v>
      </c>
      <c r="T254" t="str">
        <f t="shared" si="6"/>
        <v>N</v>
      </c>
      <c r="W254" s="12" t="str">
        <f t="array" ref="W254">if(and(L254=0,Q254="NA"),"NA",if(L254=0,"no lice",if(Q254="NA","no collection",index(sea_lice!G:G,match(C254,sea_lice!A:A,0)))))</f>
        <v>no collection</v>
      </c>
      <c r="X254" s="23">
        <v>253.0</v>
      </c>
    </row>
    <row r="255">
      <c r="A255" s="9" t="s">
        <v>1288</v>
      </c>
      <c r="B255" s="6">
        <v>5352.0</v>
      </c>
      <c r="C255" s="12" t="str">
        <f t="shared" si="1"/>
        <v>U5352</v>
      </c>
      <c r="D255" s="13" t="s">
        <v>1272</v>
      </c>
      <c r="E255" s="14">
        <v>43388.0</v>
      </c>
      <c r="F255" s="9" t="s">
        <v>53</v>
      </c>
      <c r="G255" s="9" t="s">
        <v>54</v>
      </c>
      <c r="H255" s="9">
        <v>23.0</v>
      </c>
      <c r="I255" s="13">
        <v>126.0</v>
      </c>
      <c r="J255" s="13">
        <v>131.0</v>
      </c>
      <c r="K255" s="17">
        <f t="shared" si="5"/>
        <v>1.023090257</v>
      </c>
      <c r="L255" s="9">
        <v>0.0</v>
      </c>
      <c r="M255" s="9" t="s">
        <v>57</v>
      </c>
      <c r="O255" s="9" t="s">
        <v>221</v>
      </c>
      <c r="P255" s="9" t="s">
        <v>60</v>
      </c>
      <c r="Q255" s="9" t="s">
        <v>63</v>
      </c>
      <c r="R255" s="9" t="s">
        <v>63</v>
      </c>
      <c r="S255" s="9" t="s">
        <v>64</v>
      </c>
      <c r="T255" t="str">
        <f t="shared" si="6"/>
        <v>N</v>
      </c>
      <c r="W255" s="12" t="str">
        <f t="array" ref="W255">if(and(L255=0,Q255="NA"),"NA",if(L255=0,"no lice",if(Q255="NA","no collection",index(sea_lice!G:G,match(C255,sea_lice!A:A,0)))))</f>
        <v>NA</v>
      </c>
      <c r="X255" s="23">
        <v>254.0</v>
      </c>
    </row>
    <row r="256">
      <c r="A256" s="9" t="s">
        <v>1293</v>
      </c>
      <c r="B256" s="6">
        <v>5353.0</v>
      </c>
      <c r="C256" s="12" t="str">
        <f t="shared" si="1"/>
        <v>U5353</v>
      </c>
      <c r="D256" s="13" t="s">
        <v>1272</v>
      </c>
      <c r="E256" s="14">
        <v>43388.0</v>
      </c>
      <c r="F256" s="9" t="s">
        <v>53</v>
      </c>
      <c r="G256" s="9" t="s">
        <v>54</v>
      </c>
      <c r="H256" s="9">
        <v>17.6</v>
      </c>
      <c r="I256" s="13">
        <v>123.0</v>
      </c>
      <c r="J256" s="13">
        <v>128.0</v>
      </c>
      <c r="K256" s="17">
        <f t="shared" si="5"/>
        <v>0.8392333984</v>
      </c>
      <c r="L256" s="9">
        <v>0.0</v>
      </c>
      <c r="M256" s="9" t="s">
        <v>57</v>
      </c>
      <c r="O256" s="9" t="s">
        <v>221</v>
      </c>
      <c r="P256" s="9" t="s">
        <v>60</v>
      </c>
      <c r="Q256" s="9" t="s">
        <v>63</v>
      </c>
      <c r="R256" s="9" t="s">
        <v>63</v>
      </c>
      <c r="S256" s="9" t="s">
        <v>64</v>
      </c>
      <c r="T256" t="str">
        <f t="shared" si="6"/>
        <v>N</v>
      </c>
      <c r="W256" s="12" t="str">
        <f t="array" ref="W256">if(and(L256=0,Q256="NA"),"NA",if(L256=0,"no lice",if(Q256="NA","no collection",index(sea_lice!G:G,match(C256,sea_lice!A:A,0)))))</f>
        <v>NA</v>
      </c>
      <c r="X256" s="23">
        <v>255.0</v>
      </c>
    </row>
    <row r="257">
      <c r="A257" s="9" t="s">
        <v>1298</v>
      </c>
      <c r="B257" s="6">
        <v>5354.0</v>
      </c>
      <c r="C257" s="12" t="str">
        <f t="shared" si="1"/>
        <v>U5354</v>
      </c>
      <c r="D257" s="13" t="s">
        <v>1272</v>
      </c>
      <c r="E257" s="14">
        <v>43388.0</v>
      </c>
      <c r="F257" s="9" t="s">
        <v>53</v>
      </c>
      <c r="G257" s="9" t="s">
        <v>54</v>
      </c>
      <c r="H257" s="9">
        <v>15.8</v>
      </c>
      <c r="I257" s="13">
        <v>119.0</v>
      </c>
      <c r="J257" s="13">
        <v>123.0</v>
      </c>
      <c r="K257" s="17">
        <f t="shared" si="5"/>
        <v>0.849066591</v>
      </c>
      <c r="L257" s="9">
        <v>0.0</v>
      </c>
      <c r="M257" s="9" t="s">
        <v>57</v>
      </c>
      <c r="O257" s="9" t="s">
        <v>221</v>
      </c>
      <c r="P257" s="9" t="s">
        <v>60</v>
      </c>
      <c r="Q257" s="9" t="s">
        <v>63</v>
      </c>
      <c r="R257" s="9" t="s">
        <v>63</v>
      </c>
      <c r="S257" s="9" t="s">
        <v>64</v>
      </c>
      <c r="T257" t="str">
        <f t="shared" si="6"/>
        <v>N</v>
      </c>
      <c r="W257" s="12" t="str">
        <f t="array" ref="W257">if(and(L257=0,Q257="NA"),"NA",if(L257=0,"no lice",if(Q257="NA","no collection",index(sea_lice!G:G,match(C257,sea_lice!A:A,0)))))</f>
        <v>NA</v>
      </c>
      <c r="X257" s="23">
        <v>256.0</v>
      </c>
    </row>
    <row r="258">
      <c r="A258" s="9" t="s">
        <v>1303</v>
      </c>
      <c r="B258" s="6">
        <v>5355.0</v>
      </c>
      <c r="C258" s="12" t="str">
        <f t="shared" si="1"/>
        <v>U5355</v>
      </c>
      <c r="D258" s="13" t="s">
        <v>1272</v>
      </c>
      <c r="E258" s="14">
        <v>43388.0</v>
      </c>
      <c r="F258" s="9" t="s">
        <v>53</v>
      </c>
      <c r="G258" s="9" t="s">
        <v>54</v>
      </c>
      <c r="H258" s="9">
        <v>18.4</v>
      </c>
      <c r="I258" s="13">
        <v>118.0</v>
      </c>
      <c r="J258" s="13">
        <v>122.0</v>
      </c>
      <c r="K258" s="17">
        <f t="shared" si="5"/>
        <v>1.013300673</v>
      </c>
      <c r="L258" s="9">
        <v>0.0</v>
      </c>
      <c r="M258" s="9" t="s">
        <v>57</v>
      </c>
      <c r="O258" s="9" t="s">
        <v>221</v>
      </c>
      <c r="P258" s="9" t="s">
        <v>60</v>
      </c>
      <c r="Q258" s="9" t="s">
        <v>63</v>
      </c>
      <c r="R258" s="9" t="s">
        <v>63</v>
      </c>
      <c r="S258" s="9" t="s">
        <v>64</v>
      </c>
      <c r="T258" t="str">
        <f t="shared" si="6"/>
        <v>N</v>
      </c>
      <c r="W258" s="12" t="str">
        <f t="array" ref="W258">if(and(L258=0,Q258="NA"),"NA",if(L258=0,"no lice",if(Q258="NA","no collection",index(sea_lice!G:G,match(C258,sea_lice!A:A,0)))))</f>
        <v>NA</v>
      </c>
      <c r="X258" s="23">
        <v>257.0</v>
      </c>
    </row>
    <row r="259">
      <c r="A259" s="9" t="s">
        <v>1308</v>
      </c>
      <c r="B259" s="6">
        <v>5356.0</v>
      </c>
      <c r="C259" s="12" t="str">
        <f t="shared" si="1"/>
        <v>U5356</v>
      </c>
      <c r="D259" s="13" t="s">
        <v>1272</v>
      </c>
      <c r="E259" s="14">
        <v>43388.0</v>
      </c>
      <c r="F259" s="9" t="s">
        <v>53</v>
      </c>
      <c r="G259" s="9" t="s">
        <v>54</v>
      </c>
      <c r="H259" s="9">
        <v>12.6</v>
      </c>
      <c r="I259" s="13">
        <v>110.0</v>
      </c>
      <c r="J259" s="13">
        <v>114.0</v>
      </c>
      <c r="K259" s="17">
        <f t="shared" si="5"/>
        <v>0.8504641104</v>
      </c>
      <c r="L259" s="9">
        <v>0.0</v>
      </c>
      <c r="M259" s="9" t="s">
        <v>57</v>
      </c>
      <c r="O259" s="9" t="s">
        <v>221</v>
      </c>
      <c r="P259" s="9" t="s">
        <v>60</v>
      </c>
      <c r="Q259" s="9" t="s">
        <v>63</v>
      </c>
      <c r="R259" s="9" t="s">
        <v>63</v>
      </c>
      <c r="S259" s="9" t="s">
        <v>64</v>
      </c>
      <c r="T259" t="str">
        <f t="shared" si="6"/>
        <v>N</v>
      </c>
      <c r="W259" s="12" t="str">
        <f t="array" ref="W259">if(and(L259=0,Q259="NA"),"NA",if(L259=0,"no lice",if(Q259="NA","no collection",index(sea_lice!G:G,match(C259,sea_lice!A:A,0)))))</f>
        <v>NA</v>
      </c>
      <c r="X259" s="23">
        <v>258.0</v>
      </c>
    </row>
    <row r="260">
      <c r="A260" s="9" t="s">
        <v>1314</v>
      </c>
      <c r="B260" s="6">
        <v>5302.0</v>
      </c>
      <c r="C260" s="12" t="str">
        <f t="shared" si="1"/>
        <v>U5302</v>
      </c>
      <c r="D260" s="13" t="s">
        <v>1316</v>
      </c>
      <c r="E260" s="14">
        <v>43389.0</v>
      </c>
      <c r="F260" s="9" t="s">
        <v>53</v>
      </c>
      <c r="G260" s="9" t="s">
        <v>54</v>
      </c>
      <c r="H260" s="9">
        <v>7.4</v>
      </c>
      <c r="I260" s="13">
        <v>90.0</v>
      </c>
      <c r="J260" s="13">
        <v>94.0</v>
      </c>
      <c r="K260" s="17">
        <f t="shared" si="5"/>
        <v>0.8909393872</v>
      </c>
      <c r="L260" s="9">
        <v>1.0</v>
      </c>
      <c r="M260" s="9" t="s">
        <v>57</v>
      </c>
      <c r="O260" s="9" t="s">
        <v>64</v>
      </c>
      <c r="P260" s="9" t="s">
        <v>60</v>
      </c>
      <c r="Q260" s="9" t="s">
        <v>63</v>
      </c>
      <c r="R260" s="9" t="s">
        <v>63</v>
      </c>
      <c r="S260" s="9" t="s">
        <v>221</v>
      </c>
      <c r="T260" t="str">
        <f t="shared" ref="T260:T353" si="7">if(isblank(A260),"",if(or(and(countif(A:A,A260)&gt;1,A260&lt;&gt;"NA"),countif(B:B,B260)&gt;1),"Y","N"))</f>
        <v>N</v>
      </c>
      <c r="W260" s="12" t="str">
        <f t="array" ref="W260">if(and(L260=0,Q260="NA"),"NA",if(L260=0,"no lice",if(Q260="NA","no collection",index(sea_lice!G:G,match(C260,sea_lice!A:A,0)))))</f>
        <v>no collection</v>
      </c>
      <c r="X260" s="23">
        <v>259.0</v>
      </c>
    </row>
    <row r="261">
      <c r="A261" s="9" t="s">
        <v>1319</v>
      </c>
      <c r="B261" s="6">
        <v>5303.0</v>
      </c>
      <c r="C261" s="12" t="str">
        <f t="shared" si="1"/>
        <v>U5303</v>
      </c>
      <c r="D261" s="13" t="s">
        <v>1316</v>
      </c>
      <c r="E261" s="14">
        <v>43389.0</v>
      </c>
      <c r="F261" s="9" t="s">
        <v>53</v>
      </c>
      <c r="G261" s="9" t="s">
        <v>54</v>
      </c>
      <c r="H261" s="9">
        <v>6.8</v>
      </c>
      <c r="I261" s="13">
        <v>86.0</v>
      </c>
      <c r="J261" s="13">
        <v>90.0</v>
      </c>
      <c r="K261" s="17">
        <f t="shared" si="5"/>
        <v>0.9327846365</v>
      </c>
      <c r="L261" s="9">
        <v>1.0</v>
      </c>
      <c r="M261" s="9" t="s">
        <v>57</v>
      </c>
      <c r="O261" s="9" t="s">
        <v>64</v>
      </c>
      <c r="P261" s="9" t="s">
        <v>60</v>
      </c>
      <c r="Q261" s="9" t="s">
        <v>63</v>
      </c>
      <c r="R261" s="9" t="s">
        <v>63</v>
      </c>
      <c r="S261" s="9" t="s">
        <v>221</v>
      </c>
      <c r="T261" t="str">
        <f t="shared" si="7"/>
        <v>N</v>
      </c>
      <c r="W261" s="12" t="str">
        <f t="array" ref="W261">if(and(L261=0,Q261="NA"),"NA",if(L261=0,"no lice",if(Q261="NA","no collection",index(sea_lice!G:G,match(C261,sea_lice!A:A,0)))))</f>
        <v>no collection</v>
      </c>
      <c r="X261" s="23">
        <v>260.0</v>
      </c>
    </row>
    <row r="262">
      <c r="A262" s="9" t="s">
        <v>1321</v>
      </c>
      <c r="B262" s="6">
        <v>5304.0</v>
      </c>
      <c r="C262" s="12" t="str">
        <f t="shared" si="1"/>
        <v>U5304</v>
      </c>
      <c r="D262" s="13" t="s">
        <v>1316</v>
      </c>
      <c r="E262" s="14">
        <v>43389.0</v>
      </c>
      <c r="F262" s="9" t="s">
        <v>53</v>
      </c>
      <c r="G262" s="9" t="s">
        <v>54</v>
      </c>
      <c r="H262" s="9">
        <v>6.0</v>
      </c>
      <c r="I262" s="13">
        <v>81.0</v>
      </c>
      <c r="J262" s="13">
        <v>85.0</v>
      </c>
      <c r="K262" s="17">
        <f t="shared" si="5"/>
        <v>0.9769997965</v>
      </c>
      <c r="L262" s="9">
        <v>1.0</v>
      </c>
      <c r="M262" s="9" t="s">
        <v>57</v>
      </c>
      <c r="O262" s="9" t="s">
        <v>64</v>
      </c>
      <c r="P262" s="9" t="s">
        <v>60</v>
      </c>
      <c r="Q262" s="9" t="s">
        <v>63</v>
      </c>
      <c r="R262" s="9" t="s">
        <v>63</v>
      </c>
      <c r="S262" s="9" t="s">
        <v>221</v>
      </c>
      <c r="T262" t="str">
        <f t="shared" si="7"/>
        <v>N</v>
      </c>
      <c r="W262" s="12" t="str">
        <f t="array" ref="W262">if(and(L262=0,Q262="NA"),"NA",if(L262=0,"no lice",if(Q262="NA","no collection",index(sea_lice!G:G,match(C262,sea_lice!A:A,0)))))</f>
        <v>no collection</v>
      </c>
      <c r="X262" s="23">
        <v>261.0</v>
      </c>
    </row>
    <row r="263">
      <c r="A263" s="9" t="s">
        <v>1323</v>
      </c>
      <c r="B263" s="6">
        <v>5305.0</v>
      </c>
      <c r="C263" s="12" t="str">
        <f t="shared" si="1"/>
        <v>U5305</v>
      </c>
      <c r="D263" s="13" t="s">
        <v>1316</v>
      </c>
      <c r="E263" s="14">
        <v>43389.0</v>
      </c>
      <c r="F263" s="9" t="s">
        <v>53</v>
      </c>
      <c r="G263" s="9" t="s">
        <v>54</v>
      </c>
      <c r="H263" s="9">
        <v>10.8</v>
      </c>
      <c r="I263" s="13">
        <v>102.0</v>
      </c>
      <c r="J263" s="13">
        <v>107.0</v>
      </c>
      <c r="K263" s="17">
        <f t="shared" si="5"/>
        <v>0.881601707</v>
      </c>
      <c r="L263" s="9">
        <v>0.0</v>
      </c>
      <c r="M263" s="9" t="s">
        <v>57</v>
      </c>
      <c r="O263" s="9" t="s">
        <v>64</v>
      </c>
      <c r="P263" s="9" t="s">
        <v>60</v>
      </c>
      <c r="Q263" s="9" t="s">
        <v>63</v>
      </c>
      <c r="R263" s="9" t="s">
        <v>63</v>
      </c>
      <c r="S263" s="9" t="s">
        <v>221</v>
      </c>
      <c r="T263" t="str">
        <f t="shared" si="7"/>
        <v>N</v>
      </c>
      <c r="W263" s="12" t="str">
        <f t="array" ref="W263">if(and(L263=0,Q263="NA"),"NA",if(L263=0,"no lice",if(Q263="NA","no collection",index(sea_lice!G:G,match(C263,sea_lice!A:A,0)))))</f>
        <v>NA</v>
      </c>
      <c r="X263" s="23">
        <v>262.0</v>
      </c>
    </row>
    <row r="264">
      <c r="A264" s="9" t="s">
        <v>1349</v>
      </c>
      <c r="B264" s="6">
        <v>5306.0</v>
      </c>
      <c r="C264" s="12" t="str">
        <f t="shared" si="1"/>
        <v>U5306</v>
      </c>
      <c r="D264" s="13" t="s">
        <v>1316</v>
      </c>
      <c r="E264" s="14">
        <v>43389.0</v>
      </c>
      <c r="F264" s="9" t="s">
        <v>53</v>
      </c>
      <c r="G264" s="9" t="s">
        <v>54</v>
      </c>
      <c r="H264" s="9">
        <v>7.3</v>
      </c>
      <c r="I264" s="13">
        <v>90.0</v>
      </c>
      <c r="J264" s="13">
        <v>94.0</v>
      </c>
      <c r="K264" s="17">
        <f t="shared" si="5"/>
        <v>0.8788996658</v>
      </c>
      <c r="L264" s="9">
        <v>1.0</v>
      </c>
      <c r="M264" s="9" t="s">
        <v>57</v>
      </c>
      <c r="O264" s="9" t="s">
        <v>64</v>
      </c>
      <c r="P264" s="9" t="s">
        <v>60</v>
      </c>
      <c r="Q264" s="9" t="s">
        <v>63</v>
      </c>
      <c r="R264" s="9" t="s">
        <v>63</v>
      </c>
      <c r="S264" s="9" t="s">
        <v>221</v>
      </c>
      <c r="T264" t="str">
        <f t="shared" si="7"/>
        <v>N</v>
      </c>
      <c r="W264" s="12" t="str">
        <f t="array" ref="W264">if(and(L264=0,Q264="NA"),"NA",if(L264=0,"no lice",if(Q264="NA","no collection",index(sea_lice!G:G,match(C264,sea_lice!A:A,0)))))</f>
        <v>no collection</v>
      </c>
      <c r="X264" s="23">
        <v>263.0</v>
      </c>
    </row>
    <row r="265">
      <c r="A265" s="9" t="s">
        <v>1354</v>
      </c>
      <c r="B265" s="6">
        <v>5307.0</v>
      </c>
      <c r="C265" s="12" t="str">
        <f t="shared" si="1"/>
        <v>U5307</v>
      </c>
      <c r="D265" s="13" t="s">
        <v>1316</v>
      </c>
      <c r="E265" s="14">
        <v>43389.0</v>
      </c>
      <c r="F265" s="9" t="s">
        <v>53</v>
      </c>
      <c r="G265" s="9" t="s">
        <v>54</v>
      </c>
      <c r="H265" s="9">
        <v>5.2</v>
      </c>
      <c r="I265" s="13">
        <v>78.0</v>
      </c>
      <c r="J265" s="13">
        <v>82.0</v>
      </c>
      <c r="K265" s="17">
        <f t="shared" si="5"/>
        <v>0.9431087767</v>
      </c>
      <c r="L265" s="9">
        <v>0.0</v>
      </c>
      <c r="M265" s="9" t="s">
        <v>57</v>
      </c>
      <c r="O265" s="9" t="s">
        <v>64</v>
      </c>
      <c r="P265" s="9" t="s">
        <v>60</v>
      </c>
      <c r="Q265" s="9" t="s">
        <v>63</v>
      </c>
      <c r="R265" s="9" t="s">
        <v>63</v>
      </c>
      <c r="S265" s="9" t="s">
        <v>221</v>
      </c>
      <c r="T265" t="str">
        <f t="shared" si="7"/>
        <v>N</v>
      </c>
      <c r="W265" s="12" t="str">
        <f t="array" ref="W265">if(and(L265=0,Q265="NA"),"NA",if(L265=0,"no lice",if(Q265="NA","no collection",index(sea_lice!G:G,match(C265,sea_lice!A:A,0)))))</f>
        <v>NA</v>
      </c>
      <c r="X265" s="23">
        <v>264.0</v>
      </c>
    </row>
    <row r="266">
      <c r="A266" s="9" t="s">
        <v>1373</v>
      </c>
      <c r="B266" s="6">
        <v>5308.0</v>
      </c>
      <c r="C266" s="12" t="str">
        <f t="shared" si="1"/>
        <v>U5308</v>
      </c>
      <c r="D266" s="13" t="s">
        <v>1316</v>
      </c>
      <c r="E266" s="14">
        <v>43389.0</v>
      </c>
      <c r="F266" s="9" t="s">
        <v>53</v>
      </c>
      <c r="G266" s="9" t="s">
        <v>54</v>
      </c>
      <c r="H266" s="9">
        <v>5.5</v>
      </c>
      <c r="I266" s="13">
        <v>81.0</v>
      </c>
      <c r="J266" s="13">
        <v>85.0</v>
      </c>
      <c r="K266" s="17">
        <f t="shared" si="5"/>
        <v>0.8955831468</v>
      </c>
      <c r="L266" s="9">
        <v>0.0</v>
      </c>
      <c r="M266" s="9" t="s">
        <v>57</v>
      </c>
      <c r="O266" s="9" t="s">
        <v>64</v>
      </c>
      <c r="P266" s="9" t="s">
        <v>60</v>
      </c>
      <c r="Q266" s="9" t="s">
        <v>63</v>
      </c>
      <c r="R266" s="9" t="s">
        <v>63</v>
      </c>
      <c r="S266" s="9" t="s">
        <v>221</v>
      </c>
      <c r="T266" t="str">
        <f t="shared" si="7"/>
        <v>N</v>
      </c>
      <c r="W266" s="12" t="str">
        <f t="array" ref="W266">if(and(L266=0,Q266="NA"),"NA",if(L266=0,"no lice",if(Q266="NA","no collection",index(sea_lice!G:G,match(C266,sea_lice!A:A,0)))))</f>
        <v>NA</v>
      </c>
      <c r="X266" s="23">
        <v>265.0</v>
      </c>
    </row>
    <row r="267">
      <c r="A267" s="9" t="s">
        <v>1378</v>
      </c>
      <c r="B267" s="6">
        <v>5309.0</v>
      </c>
      <c r="C267" s="12" t="str">
        <f t="shared" si="1"/>
        <v>U5309</v>
      </c>
      <c r="D267" s="13" t="s">
        <v>1316</v>
      </c>
      <c r="E267" s="14">
        <v>43389.0</v>
      </c>
      <c r="F267" s="9" t="s">
        <v>53</v>
      </c>
      <c r="G267" s="9" t="s">
        <v>54</v>
      </c>
      <c r="H267" s="9">
        <v>7.1</v>
      </c>
      <c r="I267" s="13">
        <v>90.0</v>
      </c>
      <c r="J267" s="13">
        <v>95.0</v>
      </c>
      <c r="K267" s="17">
        <f t="shared" si="5"/>
        <v>0.8281090538</v>
      </c>
      <c r="L267" s="9">
        <v>0.0</v>
      </c>
      <c r="M267" s="9" t="s">
        <v>57</v>
      </c>
      <c r="O267" s="9" t="s">
        <v>64</v>
      </c>
      <c r="P267" s="9" t="s">
        <v>60</v>
      </c>
      <c r="Q267" s="9" t="s">
        <v>63</v>
      </c>
      <c r="R267" s="9" t="s">
        <v>63</v>
      </c>
      <c r="S267" s="9" t="s">
        <v>221</v>
      </c>
      <c r="T267" t="str">
        <f t="shared" si="7"/>
        <v>N</v>
      </c>
      <c r="W267" s="12" t="str">
        <f t="array" ref="W267">if(and(L267=0,Q267="NA"),"NA",if(L267=0,"no lice",if(Q267="NA","no collection",index(sea_lice!G:G,match(C267,sea_lice!A:A,0)))))</f>
        <v>NA</v>
      </c>
      <c r="X267" s="23">
        <v>266.0</v>
      </c>
    </row>
    <row r="268">
      <c r="A268" s="9" t="s">
        <v>1384</v>
      </c>
      <c r="B268" s="6">
        <v>5310.0</v>
      </c>
      <c r="C268" s="12" t="str">
        <f t="shared" si="1"/>
        <v>U5310</v>
      </c>
      <c r="D268" s="13" t="s">
        <v>1316</v>
      </c>
      <c r="E268" s="14">
        <v>43389.0</v>
      </c>
      <c r="F268" s="9" t="s">
        <v>53</v>
      </c>
      <c r="G268" s="9" t="s">
        <v>54</v>
      </c>
      <c r="H268" s="9">
        <v>7.6</v>
      </c>
      <c r="I268" s="13">
        <v>91.0</v>
      </c>
      <c r="J268" s="13">
        <v>95.0</v>
      </c>
      <c r="K268" s="17">
        <f t="shared" si="5"/>
        <v>0.8864265928</v>
      </c>
      <c r="L268" s="9">
        <v>0.0</v>
      </c>
      <c r="M268" s="9" t="s">
        <v>57</v>
      </c>
      <c r="O268" s="9" t="s">
        <v>64</v>
      </c>
      <c r="P268" s="9" t="s">
        <v>60</v>
      </c>
      <c r="Q268" s="9" t="s">
        <v>63</v>
      </c>
      <c r="R268" s="9" t="s">
        <v>63</v>
      </c>
      <c r="S268" s="9" t="s">
        <v>221</v>
      </c>
      <c r="T268" t="str">
        <f t="shared" si="7"/>
        <v>N</v>
      </c>
      <c r="W268" s="12" t="str">
        <f t="array" ref="W268">if(and(L268=0,Q268="NA"),"NA",if(L268=0,"no lice",if(Q268="NA","no collection",index(sea_lice!G:G,match(C268,sea_lice!A:A,0)))))</f>
        <v>NA</v>
      </c>
      <c r="X268" s="23">
        <v>267.0</v>
      </c>
    </row>
    <row r="269">
      <c r="A269" s="9" t="s">
        <v>1388</v>
      </c>
      <c r="B269" s="6">
        <v>5311.0</v>
      </c>
      <c r="C269" s="12" t="str">
        <f t="shared" si="1"/>
        <v>U5311</v>
      </c>
      <c r="D269" s="13" t="s">
        <v>1316</v>
      </c>
      <c r="E269" s="14">
        <v>43389.0</v>
      </c>
      <c r="F269" s="9" t="s">
        <v>53</v>
      </c>
      <c r="G269" s="9" t="s">
        <v>54</v>
      </c>
      <c r="H269" s="9">
        <v>7.2</v>
      </c>
      <c r="I269" s="13">
        <v>92.0</v>
      </c>
      <c r="J269" s="13">
        <v>97.0</v>
      </c>
      <c r="K269" s="17">
        <f t="shared" si="5"/>
        <v>0.7888915307</v>
      </c>
      <c r="L269" s="9">
        <v>0.0</v>
      </c>
      <c r="M269" s="9" t="s">
        <v>57</v>
      </c>
      <c r="O269" s="9" t="s">
        <v>64</v>
      </c>
      <c r="P269" s="9" t="s">
        <v>60</v>
      </c>
      <c r="Q269" s="9" t="s">
        <v>63</v>
      </c>
      <c r="R269" s="9" t="s">
        <v>63</v>
      </c>
      <c r="S269" s="9" t="s">
        <v>221</v>
      </c>
      <c r="T269" t="str">
        <f t="shared" si="7"/>
        <v>N</v>
      </c>
      <c r="W269" s="12" t="str">
        <f t="array" ref="W269">if(and(L269=0,Q269="NA"),"NA",if(L269=0,"no lice",if(Q269="NA","no collection",index(sea_lice!G:G,match(C269,sea_lice!A:A,0)))))</f>
        <v>NA</v>
      </c>
      <c r="X269" s="23">
        <v>268.0</v>
      </c>
    </row>
    <row r="270">
      <c r="A270" s="9" t="s">
        <v>1393</v>
      </c>
      <c r="B270" s="6">
        <v>5312.0</v>
      </c>
      <c r="C270" s="12" t="str">
        <f t="shared" si="1"/>
        <v>U5312</v>
      </c>
      <c r="D270" s="13" t="s">
        <v>1394</v>
      </c>
      <c r="E270" s="14">
        <v>43389.0</v>
      </c>
      <c r="F270" s="9" t="s">
        <v>53</v>
      </c>
      <c r="G270" s="9" t="s">
        <v>54</v>
      </c>
      <c r="H270" s="9">
        <v>10.4</v>
      </c>
      <c r="I270" s="13">
        <v>105.0</v>
      </c>
      <c r="J270" s="13">
        <v>109.0</v>
      </c>
      <c r="K270" s="17">
        <f t="shared" si="5"/>
        <v>0.8030708193</v>
      </c>
      <c r="L270" s="9">
        <v>1.0</v>
      </c>
      <c r="M270" s="9" t="s">
        <v>57</v>
      </c>
      <c r="O270" s="9" t="s">
        <v>64</v>
      </c>
      <c r="P270" s="9" t="s">
        <v>60</v>
      </c>
      <c r="Q270" s="9" t="s">
        <v>63</v>
      </c>
      <c r="R270" s="9" t="s">
        <v>63</v>
      </c>
      <c r="S270" s="9" t="s">
        <v>221</v>
      </c>
      <c r="T270" t="str">
        <f t="shared" si="7"/>
        <v>N</v>
      </c>
      <c r="W270" s="12" t="str">
        <f t="array" ref="W270">if(and(L270=0,Q270="NA"),"NA",if(L270=0,"no lice",if(Q270="NA","no collection",index(sea_lice!G:G,match(C270,sea_lice!A:A,0)))))</f>
        <v>no collection</v>
      </c>
      <c r="X270" s="23">
        <v>269.0</v>
      </c>
    </row>
    <row r="271">
      <c r="A271" s="9" t="s">
        <v>1410</v>
      </c>
      <c r="B271" s="6">
        <v>5313.0</v>
      </c>
      <c r="C271" s="12" t="str">
        <f t="shared" si="1"/>
        <v>U5313</v>
      </c>
      <c r="D271" s="13" t="s">
        <v>1394</v>
      </c>
      <c r="E271" s="14">
        <v>43389.0</v>
      </c>
      <c r="F271" s="9" t="s">
        <v>53</v>
      </c>
      <c r="G271" s="9" t="s">
        <v>54</v>
      </c>
      <c r="H271" s="9">
        <v>10.8</v>
      </c>
      <c r="I271" s="13">
        <v>101.0</v>
      </c>
      <c r="J271" s="13" t="s">
        <v>63</v>
      </c>
      <c r="K271" s="17" t="str">
        <f t="shared" si="5"/>
        <v/>
      </c>
      <c r="L271" s="9">
        <v>1.0</v>
      </c>
      <c r="M271" s="9" t="s">
        <v>57</v>
      </c>
      <c r="O271" s="9" t="s">
        <v>64</v>
      </c>
      <c r="P271" s="9" t="s">
        <v>60</v>
      </c>
      <c r="Q271" s="9" t="s">
        <v>63</v>
      </c>
      <c r="R271" s="9" t="s">
        <v>63</v>
      </c>
      <c r="S271" s="9" t="s">
        <v>221</v>
      </c>
      <c r="T271" t="str">
        <f t="shared" si="7"/>
        <v>N</v>
      </c>
      <c r="W271" s="12" t="str">
        <f t="array" ref="W271">if(and(L271=0,Q271="NA"),"NA",if(L271=0,"no lice",if(Q271="NA","no collection",index(sea_lice!G:G,match(C271,sea_lice!A:A,0)))))</f>
        <v>no collection</v>
      </c>
      <c r="X271" s="23">
        <v>270.0</v>
      </c>
    </row>
    <row r="272">
      <c r="A272" s="9" t="s">
        <v>1419</v>
      </c>
      <c r="B272" s="6">
        <v>5314.0</v>
      </c>
      <c r="C272" s="12" t="str">
        <f t="shared" si="1"/>
        <v>U5314</v>
      </c>
      <c r="D272" s="13" t="s">
        <v>1394</v>
      </c>
      <c r="E272" s="14">
        <v>43389.0</v>
      </c>
      <c r="F272" s="9" t="s">
        <v>53</v>
      </c>
      <c r="G272" s="9" t="s">
        <v>54</v>
      </c>
      <c r="H272" s="9">
        <v>12.4</v>
      </c>
      <c r="I272" s="13">
        <v>106.0</v>
      </c>
      <c r="J272" s="13">
        <v>110.0</v>
      </c>
      <c r="K272" s="17">
        <f t="shared" si="5"/>
        <v>0.9316303531</v>
      </c>
      <c r="L272" s="9">
        <v>0.0</v>
      </c>
      <c r="M272" s="9" t="s">
        <v>57</v>
      </c>
      <c r="O272" s="9" t="s">
        <v>64</v>
      </c>
      <c r="P272" s="9" t="s">
        <v>60</v>
      </c>
      <c r="Q272" s="9" t="s">
        <v>63</v>
      </c>
      <c r="R272" s="9" t="s">
        <v>63</v>
      </c>
      <c r="S272" s="9" t="s">
        <v>221</v>
      </c>
      <c r="T272" t="str">
        <f t="shared" si="7"/>
        <v>N</v>
      </c>
      <c r="W272" s="12" t="str">
        <f t="array" ref="W272">if(and(L272=0,Q272="NA"),"NA",if(L272=0,"no lice",if(Q272="NA","no collection",index(sea_lice!G:G,match(C272,sea_lice!A:A,0)))))</f>
        <v>NA</v>
      </c>
      <c r="X272" s="23">
        <v>271.0</v>
      </c>
    </row>
    <row r="273">
      <c r="A273" s="9" t="s">
        <v>1427</v>
      </c>
      <c r="B273" s="6">
        <v>5357.0</v>
      </c>
      <c r="C273" s="12" t="str">
        <f t="shared" si="1"/>
        <v>U5357</v>
      </c>
      <c r="D273" s="13" t="s">
        <v>1428</v>
      </c>
      <c r="E273" s="14">
        <v>43390.0</v>
      </c>
      <c r="F273" s="9" t="s">
        <v>53</v>
      </c>
      <c r="G273" s="9" t="s">
        <v>54</v>
      </c>
      <c r="H273" s="9">
        <v>17.3</v>
      </c>
      <c r="I273" s="13">
        <v>115.0</v>
      </c>
      <c r="J273" s="13">
        <v>119.0</v>
      </c>
      <c r="K273" s="17">
        <f t="shared" si="5"/>
        <v>1.026609359</v>
      </c>
      <c r="L273" s="9">
        <v>0.0</v>
      </c>
      <c r="M273" s="9" t="s">
        <v>57</v>
      </c>
      <c r="O273" s="9" t="s">
        <v>221</v>
      </c>
      <c r="P273" s="9" t="s">
        <v>60</v>
      </c>
      <c r="Q273" s="9" t="s">
        <v>63</v>
      </c>
      <c r="R273" s="9" t="s">
        <v>63</v>
      </c>
      <c r="S273" s="9" t="s">
        <v>638</v>
      </c>
      <c r="T273" t="str">
        <f t="shared" si="7"/>
        <v>N</v>
      </c>
      <c r="W273" s="12" t="str">
        <f t="array" ref="W273">if(and(L273=0,Q273="NA"),"NA",if(L273=0,"no lice",if(Q273="NA","no collection",index(sea_lice!G:G,match(C273,sea_lice!A:A,0)))))</f>
        <v>NA</v>
      </c>
      <c r="X273" s="23">
        <v>272.0</v>
      </c>
    </row>
    <row r="274">
      <c r="A274" s="9" t="s">
        <v>1434</v>
      </c>
      <c r="B274" s="6">
        <v>5358.0</v>
      </c>
      <c r="C274" s="12" t="str">
        <f t="shared" si="1"/>
        <v>U5358</v>
      </c>
      <c r="D274" s="13" t="s">
        <v>1428</v>
      </c>
      <c r="E274" s="14">
        <v>43390.0</v>
      </c>
      <c r="F274" s="9" t="s">
        <v>53</v>
      </c>
      <c r="G274" s="9" t="s">
        <v>54</v>
      </c>
      <c r="H274" s="9">
        <v>21.5</v>
      </c>
      <c r="I274" s="13">
        <v>128.0</v>
      </c>
      <c r="J274" s="13">
        <v>133.0</v>
      </c>
      <c r="K274" s="17">
        <f t="shared" si="5"/>
        <v>0.9138681403</v>
      </c>
      <c r="L274" s="9">
        <v>2.0</v>
      </c>
      <c r="M274" s="9" t="s">
        <v>57</v>
      </c>
      <c r="O274" s="9" t="s">
        <v>221</v>
      </c>
      <c r="P274" s="9" t="s">
        <v>60</v>
      </c>
      <c r="Q274" s="9" t="s">
        <v>63</v>
      </c>
      <c r="R274" s="9" t="s">
        <v>63</v>
      </c>
      <c r="S274" s="9" t="s">
        <v>638</v>
      </c>
      <c r="T274" t="str">
        <f t="shared" si="7"/>
        <v>N</v>
      </c>
      <c r="W274" s="12" t="str">
        <f t="array" ref="W274">if(and(L274=0,Q274="NA"),"NA",if(L274=0,"no lice",if(Q274="NA","no collection",index(sea_lice!G:G,match(C274,sea_lice!A:A,0)))))</f>
        <v>no collection</v>
      </c>
      <c r="X274" s="23">
        <v>273.0</v>
      </c>
    </row>
    <row r="275">
      <c r="A275" s="9" t="s">
        <v>1437</v>
      </c>
      <c r="B275" s="6">
        <v>5359.0</v>
      </c>
      <c r="C275" s="12" t="str">
        <f t="shared" si="1"/>
        <v>U5359</v>
      </c>
      <c r="D275" s="13" t="s">
        <v>1428</v>
      </c>
      <c r="E275" s="14">
        <v>43390.0</v>
      </c>
      <c r="F275" s="9" t="s">
        <v>53</v>
      </c>
      <c r="G275" s="9" t="s">
        <v>54</v>
      </c>
      <c r="H275" s="9">
        <v>28.9</v>
      </c>
      <c r="I275" s="13">
        <v>135.0</v>
      </c>
      <c r="J275" s="13">
        <v>139.0</v>
      </c>
      <c r="K275" s="17">
        <f t="shared" si="5"/>
        <v>1.076102009</v>
      </c>
      <c r="L275" s="9">
        <v>5.0</v>
      </c>
      <c r="M275" s="9" t="s">
        <v>57</v>
      </c>
      <c r="O275" s="9" t="s">
        <v>221</v>
      </c>
      <c r="P275" s="9" t="s">
        <v>60</v>
      </c>
      <c r="Q275" s="9" t="s">
        <v>63</v>
      </c>
      <c r="R275" s="9" t="s">
        <v>63</v>
      </c>
      <c r="S275" s="9" t="s">
        <v>638</v>
      </c>
      <c r="T275" t="str">
        <f t="shared" si="7"/>
        <v>N</v>
      </c>
      <c r="W275" s="12" t="str">
        <f t="array" ref="W275">if(and(L275=0,Q275="NA"),"NA",if(L275=0,"no lice",if(Q275="NA","no collection",index(sea_lice!G:G,match(C275,sea_lice!A:A,0)))))</f>
        <v>no collection</v>
      </c>
      <c r="X275" s="23">
        <v>274.0</v>
      </c>
    </row>
    <row r="276">
      <c r="A276" s="9" t="s">
        <v>1442</v>
      </c>
      <c r="B276" s="6">
        <v>5360.0</v>
      </c>
      <c r="C276" s="12" t="str">
        <f t="shared" si="1"/>
        <v>U5360</v>
      </c>
      <c r="D276" s="13" t="s">
        <v>1428</v>
      </c>
      <c r="E276" s="14">
        <v>43390.0</v>
      </c>
      <c r="F276" s="9" t="s">
        <v>53</v>
      </c>
      <c r="G276" s="9" t="s">
        <v>54</v>
      </c>
      <c r="H276" s="9">
        <v>18.8</v>
      </c>
      <c r="I276" s="13">
        <v>121.0</v>
      </c>
      <c r="J276" s="13">
        <v>126.0</v>
      </c>
      <c r="K276" s="17">
        <f t="shared" si="5"/>
        <v>0.9398233132</v>
      </c>
      <c r="L276" s="9">
        <v>3.0</v>
      </c>
      <c r="M276" s="9" t="s">
        <v>57</v>
      </c>
      <c r="O276" s="9" t="s">
        <v>221</v>
      </c>
      <c r="P276" s="9" t="s">
        <v>60</v>
      </c>
      <c r="Q276" s="9" t="s">
        <v>63</v>
      </c>
      <c r="R276" s="9" t="s">
        <v>63</v>
      </c>
      <c r="S276" s="9" t="s">
        <v>638</v>
      </c>
      <c r="T276" t="str">
        <f t="shared" si="7"/>
        <v>N</v>
      </c>
      <c r="W276" s="12" t="str">
        <f t="array" ref="W276">if(and(L276=0,Q276="NA"),"NA",if(L276=0,"no lice",if(Q276="NA","no collection",index(sea_lice!G:G,match(C276,sea_lice!A:A,0)))))</f>
        <v>no collection</v>
      </c>
      <c r="X276" s="23">
        <v>275.0</v>
      </c>
    </row>
    <row r="277">
      <c r="A277" s="9" t="s">
        <v>1445</v>
      </c>
      <c r="B277" s="6">
        <v>5361.0</v>
      </c>
      <c r="C277" s="12" t="str">
        <f t="shared" si="1"/>
        <v>U5361</v>
      </c>
      <c r="D277" s="13" t="s">
        <v>1428</v>
      </c>
      <c r="E277" s="14">
        <v>43390.0</v>
      </c>
      <c r="F277" s="9" t="s">
        <v>53</v>
      </c>
      <c r="G277" s="9" t="s">
        <v>54</v>
      </c>
      <c r="H277" s="9">
        <v>27.0</v>
      </c>
      <c r="I277" s="13">
        <v>135.0</v>
      </c>
      <c r="J277" s="13">
        <v>139.0</v>
      </c>
      <c r="K277" s="17">
        <f t="shared" si="5"/>
        <v>1.005354818</v>
      </c>
      <c r="L277" s="9">
        <v>3.0</v>
      </c>
      <c r="M277" s="9" t="s">
        <v>57</v>
      </c>
      <c r="O277" s="9" t="s">
        <v>221</v>
      </c>
      <c r="P277" s="9" t="s">
        <v>60</v>
      </c>
      <c r="Q277" s="9" t="s">
        <v>63</v>
      </c>
      <c r="R277" s="9" t="s">
        <v>63</v>
      </c>
      <c r="S277" s="9" t="s">
        <v>638</v>
      </c>
      <c r="T277" t="str">
        <f t="shared" si="7"/>
        <v>N</v>
      </c>
      <c r="W277" s="12" t="str">
        <f t="array" ref="W277">if(and(L277=0,Q277="NA"),"NA",if(L277=0,"no lice",if(Q277="NA","no collection",index(sea_lice!G:G,match(C277,sea_lice!A:A,0)))))</f>
        <v>no collection</v>
      </c>
      <c r="X277" s="23">
        <v>276.0</v>
      </c>
    </row>
    <row r="278">
      <c r="A278" s="9" t="s">
        <v>1450</v>
      </c>
      <c r="B278" s="6">
        <v>5412.0</v>
      </c>
      <c r="C278" s="12" t="str">
        <f t="shared" si="1"/>
        <v>U5412</v>
      </c>
      <c r="D278" s="13" t="s">
        <v>1428</v>
      </c>
      <c r="E278" s="14">
        <v>43390.0</v>
      </c>
      <c r="F278" s="9" t="s">
        <v>53</v>
      </c>
      <c r="G278" s="9" t="s">
        <v>54</v>
      </c>
      <c r="H278" s="9">
        <v>30.4</v>
      </c>
      <c r="I278" s="13">
        <v>137.0</v>
      </c>
      <c r="J278" s="13" t="s">
        <v>63</v>
      </c>
      <c r="K278" s="17" t="str">
        <f t="shared" si="5"/>
        <v/>
      </c>
      <c r="L278" s="9">
        <v>0.0</v>
      </c>
      <c r="M278" s="9" t="s">
        <v>57</v>
      </c>
      <c r="O278" s="9" t="s">
        <v>221</v>
      </c>
      <c r="P278" s="9" t="s">
        <v>60</v>
      </c>
      <c r="Q278" s="9" t="s">
        <v>63</v>
      </c>
      <c r="R278" s="9" t="s">
        <v>63</v>
      </c>
      <c r="S278" s="9" t="s">
        <v>638</v>
      </c>
      <c r="T278" t="str">
        <f t="shared" si="7"/>
        <v>N</v>
      </c>
      <c r="W278" s="12" t="str">
        <f t="array" ref="W278">if(and(L278=0,Q278="NA"),"NA",if(L278=0,"no lice",if(Q278="NA","no collection",index(sea_lice!G:G,match(C278,sea_lice!A:A,0)))))</f>
        <v>NA</v>
      </c>
      <c r="X278" s="23">
        <v>277.0</v>
      </c>
    </row>
    <row r="279">
      <c r="A279" s="9" t="s">
        <v>1454</v>
      </c>
      <c r="B279" s="6">
        <v>5413.0</v>
      </c>
      <c r="C279" s="12" t="str">
        <f t="shared" si="1"/>
        <v>U5413</v>
      </c>
      <c r="D279" s="13" t="s">
        <v>1428</v>
      </c>
      <c r="E279" s="14">
        <v>43390.0</v>
      </c>
      <c r="F279" s="9" t="s">
        <v>53</v>
      </c>
      <c r="G279" s="9" t="s">
        <v>54</v>
      </c>
      <c r="H279" s="9">
        <v>23.1</v>
      </c>
      <c r="I279" s="13">
        <v>125.0</v>
      </c>
      <c r="J279" s="13">
        <v>129.0</v>
      </c>
      <c r="K279" s="17">
        <f t="shared" si="5"/>
        <v>1.076075761</v>
      </c>
      <c r="L279" s="9">
        <v>0.0</v>
      </c>
      <c r="M279" s="9" t="s">
        <v>57</v>
      </c>
      <c r="N279" s="9" t="s">
        <v>1456</v>
      </c>
      <c r="O279" s="9" t="s">
        <v>221</v>
      </c>
      <c r="P279" s="9" t="s">
        <v>60</v>
      </c>
      <c r="Q279" s="9" t="s">
        <v>63</v>
      </c>
      <c r="R279" s="9" t="s">
        <v>63</v>
      </c>
      <c r="S279" s="9" t="s">
        <v>638</v>
      </c>
      <c r="T279" t="str">
        <f t="shared" si="7"/>
        <v>N</v>
      </c>
      <c r="W279" s="12" t="str">
        <f t="array" ref="W279">if(and(L279=0,Q279="NA"),"NA",if(L279=0,"no lice",if(Q279="NA","no collection",index(sea_lice!G:G,match(C279,sea_lice!A:A,0)))))</f>
        <v>NA</v>
      </c>
      <c r="X279" s="23">
        <v>278.0</v>
      </c>
    </row>
    <row r="280">
      <c r="A280" s="9" t="s">
        <v>1457</v>
      </c>
      <c r="B280" s="6">
        <v>5414.0</v>
      </c>
      <c r="C280" s="12" t="str">
        <f t="shared" si="1"/>
        <v>U5414</v>
      </c>
      <c r="D280" s="13" t="s">
        <v>1428</v>
      </c>
      <c r="E280" s="14">
        <v>43390.0</v>
      </c>
      <c r="F280" s="9" t="s">
        <v>53</v>
      </c>
      <c r="G280" s="9" t="s">
        <v>54</v>
      </c>
      <c r="H280" s="9">
        <v>29.1</v>
      </c>
      <c r="I280" s="13">
        <v>138.0</v>
      </c>
      <c r="J280" s="13">
        <v>144.0</v>
      </c>
      <c r="K280" s="17">
        <f t="shared" si="5"/>
        <v>0.9745531121</v>
      </c>
      <c r="L280" s="9">
        <v>4.0</v>
      </c>
      <c r="M280" s="9" t="s">
        <v>57</v>
      </c>
      <c r="O280" s="9" t="s">
        <v>221</v>
      </c>
      <c r="P280" s="9" t="s">
        <v>60</v>
      </c>
      <c r="Q280" s="9" t="s">
        <v>63</v>
      </c>
      <c r="R280" s="9" t="s">
        <v>63</v>
      </c>
      <c r="S280" s="9" t="s">
        <v>638</v>
      </c>
      <c r="T280" t="str">
        <f t="shared" si="7"/>
        <v>N</v>
      </c>
      <c r="W280" s="12" t="str">
        <f t="array" ref="W280">if(and(L280=0,Q280="NA"),"NA",if(L280=0,"no lice",if(Q280="NA","no collection",index(sea_lice!G:G,match(C280,sea_lice!A:A,0)))))</f>
        <v>no collection</v>
      </c>
      <c r="X280" s="23">
        <v>279.0</v>
      </c>
    </row>
    <row r="281">
      <c r="A281" s="9" t="s">
        <v>1460</v>
      </c>
      <c r="B281" s="6">
        <v>5415.0</v>
      </c>
      <c r="C281" s="12" t="str">
        <f t="shared" si="1"/>
        <v>U5415</v>
      </c>
      <c r="D281" s="13" t="s">
        <v>1428</v>
      </c>
      <c r="E281" s="14">
        <v>43390.0</v>
      </c>
      <c r="F281" s="9" t="s">
        <v>53</v>
      </c>
      <c r="G281" s="9" t="s">
        <v>54</v>
      </c>
      <c r="H281" s="9">
        <v>18.4</v>
      </c>
      <c r="I281" s="13">
        <v>115.0</v>
      </c>
      <c r="J281" s="13">
        <v>120.0</v>
      </c>
      <c r="K281" s="17">
        <f t="shared" si="5"/>
        <v>1.064814815</v>
      </c>
      <c r="L281" s="9">
        <v>0.0</v>
      </c>
      <c r="M281" s="9" t="s">
        <v>57</v>
      </c>
      <c r="O281" s="9" t="s">
        <v>221</v>
      </c>
      <c r="P281" s="9" t="s">
        <v>60</v>
      </c>
      <c r="Q281" s="9" t="s">
        <v>63</v>
      </c>
      <c r="R281" s="9" t="s">
        <v>63</v>
      </c>
      <c r="S281" s="9" t="s">
        <v>638</v>
      </c>
      <c r="T281" t="str">
        <f t="shared" si="7"/>
        <v>N</v>
      </c>
      <c r="W281" s="12" t="str">
        <f t="array" ref="W281">if(and(L281=0,Q281="NA"),"NA",if(L281=0,"no lice",if(Q281="NA","no collection",index(sea_lice!G:G,match(C281,sea_lice!A:A,0)))))</f>
        <v>NA</v>
      </c>
      <c r="X281" s="23">
        <v>280.0</v>
      </c>
    </row>
    <row r="282">
      <c r="A282" s="9" t="s">
        <v>1463</v>
      </c>
      <c r="B282" s="6">
        <v>5416.0</v>
      </c>
      <c r="C282" s="12" t="str">
        <f t="shared" si="1"/>
        <v>U5416</v>
      </c>
      <c r="D282" s="13" t="s">
        <v>1428</v>
      </c>
      <c r="E282" s="14">
        <v>43390.0</v>
      </c>
      <c r="F282" s="9" t="s">
        <v>53</v>
      </c>
      <c r="G282" s="9" t="s">
        <v>54</v>
      </c>
      <c r="H282" s="9">
        <v>32.1</v>
      </c>
      <c r="I282" s="13">
        <v>139.0</v>
      </c>
      <c r="J282" s="13">
        <v>145.0</v>
      </c>
      <c r="K282" s="17">
        <f t="shared" si="5"/>
        <v>1.0529337</v>
      </c>
      <c r="L282" s="9">
        <v>0.0</v>
      </c>
      <c r="M282" s="9" t="s">
        <v>57</v>
      </c>
      <c r="O282" s="9" t="s">
        <v>221</v>
      </c>
      <c r="P282" s="9" t="s">
        <v>60</v>
      </c>
      <c r="Q282" s="9" t="s">
        <v>63</v>
      </c>
      <c r="R282" s="9" t="s">
        <v>63</v>
      </c>
      <c r="S282" s="9" t="s">
        <v>638</v>
      </c>
      <c r="T282" t="str">
        <f t="shared" si="7"/>
        <v>N</v>
      </c>
      <c r="W282" s="12" t="str">
        <f t="array" ref="W282">if(and(L282=0,Q282="NA"),"NA",if(L282=0,"no lice",if(Q282="NA","no collection",index(sea_lice!G:G,match(C282,sea_lice!A:A,0)))))</f>
        <v>NA</v>
      </c>
      <c r="X282" s="23">
        <v>281.0</v>
      </c>
    </row>
    <row r="283">
      <c r="A283" s="9" t="s">
        <v>1466</v>
      </c>
      <c r="B283" s="6">
        <v>5417.0</v>
      </c>
      <c r="C283" s="12" t="str">
        <f t="shared" si="1"/>
        <v>U5417</v>
      </c>
      <c r="D283" s="13" t="s">
        <v>1467</v>
      </c>
      <c r="E283" s="14">
        <v>43390.0</v>
      </c>
      <c r="F283" s="9" t="s">
        <v>53</v>
      </c>
      <c r="G283" s="9" t="s">
        <v>54</v>
      </c>
      <c r="H283" s="9">
        <v>19.5</v>
      </c>
      <c r="I283" s="13">
        <v>117.0</v>
      </c>
      <c r="J283" s="13">
        <v>122.0</v>
      </c>
      <c r="K283" s="17">
        <f t="shared" si="5"/>
        <v>1.07387843</v>
      </c>
      <c r="L283" s="9">
        <v>0.0</v>
      </c>
      <c r="M283" s="9" t="s">
        <v>57</v>
      </c>
      <c r="O283" s="9" t="s">
        <v>221</v>
      </c>
      <c r="P283" s="9" t="s">
        <v>60</v>
      </c>
      <c r="Q283" s="9" t="s">
        <v>63</v>
      </c>
      <c r="R283" s="9" t="s">
        <v>63</v>
      </c>
      <c r="S283" s="9" t="s">
        <v>638</v>
      </c>
      <c r="T283" t="str">
        <f t="shared" si="7"/>
        <v>N</v>
      </c>
      <c r="W283" s="12" t="str">
        <f t="array" ref="W283">if(and(L283=0,Q283="NA"),"NA",if(L283=0,"no lice",if(Q283="NA","no collection",index(sea_lice!G:G,match(C283,sea_lice!A:A,0)))))</f>
        <v>NA</v>
      </c>
      <c r="X283" s="23">
        <v>282.0</v>
      </c>
    </row>
    <row r="284">
      <c r="A284" s="9" t="s">
        <v>1470</v>
      </c>
      <c r="B284" s="6">
        <v>5418.0</v>
      </c>
      <c r="C284" s="12" t="str">
        <f t="shared" si="1"/>
        <v>U5418</v>
      </c>
      <c r="D284" s="13" t="s">
        <v>1467</v>
      </c>
      <c r="E284" s="14">
        <v>43390.0</v>
      </c>
      <c r="F284" s="9" t="s">
        <v>53</v>
      </c>
      <c r="G284" s="9" t="s">
        <v>268</v>
      </c>
      <c r="H284" s="9">
        <v>15.7</v>
      </c>
      <c r="I284" s="13">
        <v>106.0</v>
      </c>
      <c r="J284" s="13">
        <v>113.0</v>
      </c>
      <c r="K284" s="17">
        <f t="shared" si="5"/>
        <v>1.088088755</v>
      </c>
      <c r="L284" s="9">
        <v>0.0</v>
      </c>
      <c r="M284" s="9" t="s">
        <v>57</v>
      </c>
      <c r="O284" s="9" t="s">
        <v>221</v>
      </c>
      <c r="P284" s="9" t="s">
        <v>60</v>
      </c>
      <c r="Q284" s="9" t="s">
        <v>63</v>
      </c>
      <c r="R284" s="9" t="s">
        <v>63</v>
      </c>
      <c r="S284" s="9" t="s">
        <v>638</v>
      </c>
      <c r="T284" t="str">
        <f t="shared" si="7"/>
        <v>N</v>
      </c>
      <c r="W284" s="12" t="str">
        <f t="array" ref="W284">if(and(L284=0,Q284="NA"),"NA",if(L284=0,"no lice",if(Q284="NA","no collection",index(sea_lice!G:G,match(C284,sea_lice!A:A,0)))))</f>
        <v>NA</v>
      </c>
      <c r="X284" s="23">
        <v>283.0</v>
      </c>
    </row>
    <row r="285">
      <c r="A285" s="9" t="s">
        <v>1474</v>
      </c>
      <c r="B285" s="6">
        <v>5419.0</v>
      </c>
      <c r="C285" s="12" t="str">
        <f t="shared" si="1"/>
        <v>U5419</v>
      </c>
      <c r="D285" s="13" t="s">
        <v>1467</v>
      </c>
      <c r="E285" s="14">
        <v>43390.0</v>
      </c>
      <c r="F285" s="9" t="s">
        <v>53</v>
      </c>
      <c r="G285" s="9" t="s">
        <v>54</v>
      </c>
      <c r="H285" s="9">
        <v>12.6</v>
      </c>
      <c r="I285" s="13">
        <v>108.0</v>
      </c>
      <c r="J285" s="13">
        <v>113.0</v>
      </c>
      <c r="K285" s="17">
        <f t="shared" si="5"/>
        <v>0.8732432045</v>
      </c>
      <c r="L285" s="9">
        <v>0.0</v>
      </c>
      <c r="M285" s="9" t="s">
        <v>57</v>
      </c>
      <c r="O285" s="9" t="s">
        <v>221</v>
      </c>
      <c r="P285" s="9" t="s">
        <v>60</v>
      </c>
      <c r="Q285" s="9" t="s">
        <v>63</v>
      </c>
      <c r="R285" s="9" t="s">
        <v>63</v>
      </c>
      <c r="S285" s="9" t="s">
        <v>638</v>
      </c>
      <c r="T285" t="str">
        <f t="shared" si="7"/>
        <v>N</v>
      </c>
      <c r="W285" s="12" t="str">
        <f t="array" ref="W285">if(and(L285=0,Q285="NA"),"NA",if(L285=0,"no lice",if(Q285="NA","no collection",index(sea_lice!G:G,match(C285,sea_lice!A:A,0)))))</f>
        <v>NA</v>
      </c>
      <c r="X285" s="23">
        <v>284.0</v>
      </c>
    </row>
    <row r="286">
      <c r="A286" s="9" t="s">
        <v>1480</v>
      </c>
      <c r="B286" s="6">
        <v>5420.0</v>
      </c>
      <c r="C286" s="12" t="str">
        <f t="shared" si="1"/>
        <v>U5420</v>
      </c>
      <c r="D286" s="13" t="s">
        <v>1467</v>
      </c>
      <c r="E286" s="14">
        <v>43390.0</v>
      </c>
      <c r="F286" s="9" t="s">
        <v>53</v>
      </c>
      <c r="G286" s="9" t="s">
        <v>268</v>
      </c>
      <c r="H286" s="9">
        <v>13.5</v>
      </c>
      <c r="I286" s="13">
        <v>108.0</v>
      </c>
      <c r="J286" s="13">
        <v>112.0</v>
      </c>
      <c r="K286" s="17">
        <f t="shared" si="5"/>
        <v>0.9609033345</v>
      </c>
      <c r="L286" s="9">
        <v>0.0</v>
      </c>
      <c r="M286" s="9" t="s">
        <v>57</v>
      </c>
      <c r="O286" s="9" t="s">
        <v>221</v>
      </c>
      <c r="P286" s="9" t="s">
        <v>60</v>
      </c>
      <c r="Q286" s="9" t="s">
        <v>63</v>
      </c>
      <c r="R286" s="9" t="s">
        <v>63</v>
      </c>
      <c r="S286" s="9" t="s">
        <v>638</v>
      </c>
      <c r="T286" t="str">
        <f t="shared" si="7"/>
        <v>N</v>
      </c>
      <c r="W286" s="12" t="str">
        <f t="array" ref="W286">if(and(L286=0,Q286="NA"),"NA",if(L286=0,"no lice",if(Q286="NA","no collection",index(sea_lice!G:G,match(C286,sea_lice!A:A,0)))))</f>
        <v>NA</v>
      </c>
      <c r="X286" s="23">
        <v>285.0</v>
      </c>
    </row>
    <row r="287">
      <c r="A287" s="9" t="s">
        <v>1484</v>
      </c>
      <c r="B287" s="6">
        <v>5421.0</v>
      </c>
      <c r="C287" s="12" t="str">
        <f t="shared" si="1"/>
        <v>U5421</v>
      </c>
      <c r="D287" s="13" t="s">
        <v>1467</v>
      </c>
      <c r="E287" s="14">
        <v>43390.0</v>
      </c>
      <c r="F287" s="9" t="s">
        <v>53</v>
      </c>
      <c r="G287" s="9" t="s">
        <v>54</v>
      </c>
      <c r="H287" s="9">
        <v>15.8</v>
      </c>
      <c r="I287" s="13">
        <v>114.0</v>
      </c>
      <c r="J287" s="13">
        <v>118.0</v>
      </c>
      <c r="K287" s="17">
        <f t="shared" si="5"/>
        <v>0.9616367788</v>
      </c>
      <c r="L287" s="9">
        <v>0.0</v>
      </c>
      <c r="M287" s="9" t="s">
        <v>57</v>
      </c>
      <c r="O287" s="9" t="s">
        <v>221</v>
      </c>
      <c r="P287" s="9" t="s">
        <v>60</v>
      </c>
      <c r="Q287" s="9" t="s">
        <v>63</v>
      </c>
      <c r="R287" s="9" t="s">
        <v>63</v>
      </c>
      <c r="S287" s="9" t="s">
        <v>638</v>
      </c>
      <c r="T287" t="str">
        <f t="shared" si="7"/>
        <v>N</v>
      </c>
      <c r="W287" s="12" t="str">
        <f t="array" ref="W287">if(and(L287=0,Q287="NA"),"NA",if(L287=0,"no lice",if(Q287="NA","no collection",index(sea_lice!G:G,match(C287,sea_lice!A:A,0)))))</f>
        <v>NA</v>
      </c>
      <c r="X287" s="23">
        <v>286.0</v>
      </c>
    </row>
    <row r="288">
      <c r="A288" s="9" t="s">
        <v>1490</v>
      </c>
      <c r="B288" s="6">
        <v>5389.0</v>
      </c>
      <c r="C288" s="12" t="str">
        <f t="shared" si="1"/>
        <v>U5389</v>
      </c>
      <c r="D288" s="13" t="s">
        <v>1253</v>
      </c>
      <c r="E288" s="14">
        <v>43390.0</v>
      </c>
      <c r="F288" s="9" t="s">
        <v>53</v>
      </c>
      <c r="G288" s="9" t="s">
        <v>54</v>
      </c>
      <c r="H288" s="9">
        <v>9.4</v>
      </c>
      <c r="I288" s="13">
        <v>96.0</v>
      </c>
      <c r="J288" s="13">
        <v>100.0</v>
      </c>
      <c r="K288" s="17">
        <f t="shared" si="5"/>
        <v>0.94</v>
      </c>
      <c r="L288" s="9">
        <v>1.0</v>
      </c>
      <c r="M288" s="9" t="s">
        <v>57</v>
      </c>
      <c r="O288" s="9" t="s">
        <v>638</v>
      </c>
      <c r="P288" s="9" t="s">
        <v>60</v>
      </c>
      <c r="Q288" s="9" t="s">
        <v>63</v>
      </c>
      <c r="R288" s="9" t="s">
        <v>63</v>
      </c>
      <c r="S288" s="9" t="s">
        <v>221</v>
      </c>
      <c r="T288" t="str">
        <f t="shared" si="7"/>
        <v>N</v>
      </c>
      <c r="W288" s="12" t="str">
        <f t="array" ref="W288">if(and(L288=0,Q288="NA"),"NA",if(L288=0,"no lice",if(Q288="NA","no collection",index(sea_lice!G:G,match(C288,sea_lice!A:A,0)))))</f>
        <v>no collection</v>
      </c>
      <c r="X288" s="23">
        <v>287.0</v>
      </c>
    </row>
    <row r="289">
      <c r="A289" s="9" t="s">
        <v>1495</v>
      </c>
      <c r="B289" s="6">
        <v>5390.0</v>
      </c>
      <c r="C289" s="12" t="str">
        <f t="shared" si="1"/>
        <v>U5390</v>
      </c>
      <c r="D289" s="13" t="s">
        <v>1496</v>
      </c>
      <c r="E289" s="14">
        <v>43390.0</v>
      </c>
      <c r="F289" s="9" t="s">
        <v>53</v>
      </c>
      <c r="G289" s="9" t="s">
        <v>54</v>
      </c>
      <c r="H289" s="9">
        <v>14.0</v>
      </c>
      <c r="I289" s="13">
        <v>102.0</v>
      </c>
      <c r="J289" s="13" t="s">
        <v>63</v>
      </c>
      <c r="K289" s="17" t="str">
        <f t="shared" si="5"/>
        <v/>
      </c>
      <c r="L289" s="9">
        <v>0.0</v>
      </c>
      <c r="M289" s="9" t="s">
        <v>57</v>
      </c>
      <c r="O289" s="9" t="s">
        <v>638</v>
      </c>
      <c r="P289" s="9" t="s">
        <v>60</v>
      </c>
      <c r="Q289" s="9" t="s">
        <v>63</v>
      </c>
      <c r="R289" s="9" t="s">
        <v>63</v>
      </c>
      <c r="S289" s="9" t="s">
        <v>221</v>
      </c>
      <c r="T289" t="str">
        <f t="shared" si="7"/>
        <v>N</v>
      </c>
      <c r="W289" s="12" t="str">
        <f t="array" ref="W289">if(and(L289=0,Q289="NA"),"NA",if(L289=0,"no lice",if(Q289="NA","no collection",index(sea_lice!G:G,match(C289,sea_lice!A:A,0)))))</f>
        <v>NA</v>
      </c>
      <c r="X289" s="23">
        <v>288.0</v>
      </c>
    </row>
    <row r="290">
      <c r="A290" s="9" t="s">
        <v>1500</v>
      </c>
      <c r="B290" s="6">
        <v>5391.0</v>
      </c>
      <c r="C290" s="12" t="str">
        <f t="shared" si="1"/>
        <v>U5391</v>
      </c>
      <c r="D290" s="13" t="s">
        <v>1502</v>
      </c>
      <c r="E290" s="14">
        <v>43390.0</v>
      </c>
      <c r="F290" s="9" t="s">
        <v>53</v>
      </c>
      <c r="G290" s="9" t="s">
        <v>54</v>
      </c>
      <c r="H290" s="9">
        <v>8.8</v>
      </c>
      <c r="I290" s="13">
        <v>96.0</v>
      </c>
      <c r="J290" s="13" t="s">
        <v>63</v>
      </c>
      <c r="K290" s="17" t="str">
        <f t="shared" si="5"/>
        <v/>
      </c>
      <c r="L290" s="9">
        <v>1.0</v>
      </c>
      <c r="M290" s="9" t="s">
        <v>57</v>
      </c>
      <c r="O290" s="9" t="s">
        <v>638</v>
      </c>
      <c r="P290" s="9" t="s">
        <v>60</v>
      </c>
      <c r="Q290" s="9" t="s">
        <v>63</v>
      </c>
      <c r="R290" s="9" t="s">
        <v>63</v>
      </c>
      <c r="S290" s="9" t="s">
        <v>221</v>
      </c>
      <c r="T290" t="str">
        <f t="shared" si="7"/>
        <v>N</v>
      </c>
      <c r="W290" s="12" t="str">
        <f t="array" ref="W290">if(and(L290=0,Q290="NA"),"NA",if(L290=0,"no lice",if(Q290="NA","no collection",index(sea_lice!G:G,match(C290,sea_lice!A:A,0)))))</f>
        <v>no collection</v>
      </c>
      <c r="X290" s="23">
        <v>289.0</v>
      </c>
    </row>
    <row r="291">
      <c r="A291" s="9" t="s">
        <v>1506</v>
      </c>
      <c r="B291" s="6">
        <v>5392.0</v>
      </c>
      <c r="C291" s="12" t="str">
        <f t="shared" si="1"/>
        <v>U5392</v>
      </c>
      <c r="D291" s="13" t="s">
        <v>1507</v>
      </c>
      <c r="E291" s="14">
        <v>43390.0</v>
      </c>
      <c r="F291" s="9" t="s">
        <v>53</v>
      </c>
      <c r="G291" s="9" t="s">
        <v>54</v>
      </c>
      <c r="H291" s="9">
        <v>12.0</v>
      </c>
      <c r="I291" s="13">
        <v>107.0</v>
      </c>
      <c r="J291" s="13" t="s">
        <v>63</v>
      </c>
      <c r="K291" s="17" t="str">
        <f t="shared" si="5"/>
        <v/>
      </c>
      <c r="L291" s="9">
        <v>0.0</v>
      </c>
      <c r="M291" s="9" t="s">
        <v>57</v>
      </c>
      <c r="O291" s="9" t="s">
        <v>638</v>
      </c>
      <c r="P291" s="9" t="s">
        <v>60</v>
      </c>
      <c r="Q291" s="9" t="s">
        <v>63</v>
      </c>
      <c r="R291" s="9" t="s">
        <v>63</v>
      </c>
      <c r="S291" s="9" t="s">
        <v>221</v>
      </c>
      <c r="T291" t="str">
        <f t="shared" si="7"/>
        <v>N</v>
      </c>
      <c r="W291" s="12" t="str">
        <f t="array" ref="W291">if(and(L291=0,Q291="NA"),"NA",if(L291=0,"no lice",if(Q291="NA","no collection",index(sea_lice!G:G,match(C291,sea_lice!A:A,0)))))</f>
        <v>NA</v>
      </c>
      <c r="X291" s="23">
        <v>290.0</v>
      </c>
    </row>
    <row r="292">
      <c r="A292" s="9" t="s">
        <v>1511</v>
      </c>
      <c r="B292" s="6">
        <v>5393.0</v>
      </c>
      <c r="C292" s="12" t="str">
        <f t="shared" si="1"/>
        <v>U5393</v>
      </c>
      <c r="D292" s="13" t="s">
        <v>1512</v>
      </c>
      <c r="E292" s="14">
        <v>43390.0</v>
      </c>
      <c r="F292" s="9" t="s">
        <v>53</v>
      </c>
      <c r="G292" s="9" t="s">
        <v>54</v>
      </c>
      <c r="H292" s="9">
        <v>8.4</v>
      </c>
      <c r="I292" s="13">
        <v>97.0</v>
      </c>
      <c r="J292" s="13">
        <v>102.0</v>
      </c>
      <c r="K292" s="17">
        <f t="shared" si="5"/>
        <v>0.791550761</v>
      </c>
      <c r="L292" s="9">
        <v>1.0</v>
      </c>
      <c r="M292" s="9" t="s">
        <v>57</v>
      </c>
      <c r="O292" s="9" t="s">
        <v>638</v>
      </c>
      <c r="P292" s="9" t="s">
        <v>60</v>
      </c>
      <c r="Q292" s="9" t="s">
        <v>63</v>
      </c>
      <c r="R292" s="9" t="s">
        <v>63</v>
      </c>
      <c r="S292" s="9" t="s">
        <v>221</v>
      </c>
      <c r="T292" t="str">
        <f t="shared" si="7"/>
        <v>N</v>
      </c>
      <c r="W292" s="12" t="str">
        <f t="array" ref="W292">if(and(L292=0,Q292="NA"),"NA",if(L292=0,"no lice",if(Q292="NA","no collection",index(sea_lice!G:G,match(C292,sea_lice!A:A,0)))))</f>
        <v>no collection</v>
      </c>
      <c r="X292" s="23">
        <v>291.0</v>
      </c>
    </row>
    <row r="293">
      <c r="A293" s="9" t="s">
        <v>1517</v>
      </c>
      <c r="B293" s="6">
        <v>5394.0</v>
      </c>
      <c r="C293" s="12" t="str">
        <f t="shared" si="1"/>
        <v>U5394</v>
      </c>
      <c r="D293" s="13" t="s">
        <v>1518</v>
      </c>
      <c r="E293" s="14">
        <v>43390.0</v>
      </c>
      <c r="F293" s="9" t="s">
        <v>53</v>
      </c>
      <c r="G293" s="9" t="s">
        <v>54</v>
      </c>
      <c r="H293" s="9">
        <v>9.1</v>
      </c>
      <c r="I293" s="13">
        <v>97.0</v>
      </c>
      <c r="J293" s="13" t="s">
        <v>63</v>
      </c>
      <c r="K293" s="17" t="str">
        <f t="shared" si="5"/>
        <v/>
      </c>
      <c r="L293" s="9">
        <v>0.0</v>
      </c>
      <c r="M293" s="9" t="s">
        <v>57</v>
      </c>
      <c r="O293" s="9" t="s">
        <v>638</v>
      </c>
      <c r="P293" s="9" t="s">
        <v>60</v>
      </c>
      <c r="Q293" s="9" t="s">
        <v>63</v>
      </c>
      <c r="R293" s="9" t="s">
        <v>63</v>
      </c>
      <c r="S293" s="9" t="s">
        <v>221</v>
      </c>
      <c r="T293" t="str">
        <f t="shared" si="7"/>
        <v>N</v>
      </c>
      <c r="W293" s="12" t="str">
        <f t="array" ref="W293">if(and(L293=0,Q293="NA"),"NA",if(L293=0,"no lice",if(Q293="NA","no collection",index(sea_lice!G:G,match(C293,sea_lice!A:A,0)))))</f>
        <v>NA</v>
      </c>
      <c r="X293" s="23">
        <v>292.0</v>
      </c>
    </row>
    <row r="294">
      <c r="A294" s="9" t="s">
        <v>1522</v>
      </c>
      <c r="B294" s="6">
        <v>5395.0</v>
      </c>
      <c r="C294" s="12" t="str">
        <f t="shared" si="1"/>
        <v>U5395</v>
      </c>
      <c r="D294" s="13" t="s">
        <v>1523</v>
      </c>
      <c r="E294" s="14">
        <v>43390.0</v>
      </c>
      <c r="F294" s="9" t="s">
        <v>53</v>
      </c>
      <c r="G294" s="9" t="s">
        <v>54</v>
      </c>
      <c r="H294" s="9">
        <v>18.6</v>
      </c>
      <c r="I294" s="13">
        <v>115.0</v>
      </c>
      <c r="J294" s="13">
        <v>120.0</v>
      </c>
      <c r="K294" s="17">
        <f t="shared" si="5"/>
        <v>1.076388889</v>
      </c>
      <c r="L294" s="9">
        <v>0.0</v>
      </c>
      <c r="M294" s="9" t="s">
        <v>57</v>
      </c>
      <c r="O294" s="9" t="s">
        <v>638</v>
      </c>
      <c r="P294" s="9" t="s">
        <v>60</v>
      </c>
      <c r="Q294" s="9" t="s">
        <v>63</v>
      </c>
      <c r="R294" s="9" t="s">
        <v>63</v>
      </c>
      <c r="S294" s="9" t="s">
        <v>221</v>
      </c>
      <c r="T294" t="str">
        <f t="shared" si="7"/>
        <v>N</v>
      </c>
      <c r="W294" s="12" t="str">
        <f t="array" ref="W294">if(and(L294=0,Q294="NA"),"NA",if(L294=0,"no lice",if(Q294="NA","no collection",index(sea_lice!G:G,match(C294,sea_lice!A:A,0)))))</f>
        <v>NA</v>
      </c>
      <c r="X294" s="23">
        <v>293.0</v>
      </c>
    </row>
    <row r="295">
      <c r="A295" s="9" t="s">
        <v>1527</v>
      </c>
      <c r="B295" s="6">
        <v>5396.0</v>
      </c>
      <c r="C295" s="12" t="str">
        <f t="shared" si="1"/>
        <v>U5396</v>
      </c>
      <c r="D295" s="13" t="s">
        <v>1528</v>
      </c>
      <c r="E295" s="14">
        <v>43390.0</v>
      </c>
      <c r="F295" s="9" t="s">
        <v>53</v>
      </c>
      <c r="G295" s="9" t="s">
        <v>54</v>
      </c>
      <c r="H295" s="9">
        <v>12.4</v>
      </c>
      <c r="I295" s="13">
        <v>109.0</v>
      </c>
      <c r="J295" s="13">
        <v>113.0</v>
      </c>
      <c r="K295" s="17">
        <f t="shared" si="5"/>
        <v>0.8593822012</v>
      </c>
      <c r="L295" s="9">
        <v>0.0</v>
      </c>
      <c r="M295" s="9" t="s">
        <v>57</v>
      </c>
      <c r="O295" s="9" t="s">
        <v>638</v>
      </c>
      <c r="P295" s="9" t="s">
        <v>60</v>
      </c>
      <c r="Q295" s="9" t="s">
        <v>63</v>
      </c>
      <c r="R295" s="9" t="s">
        <v>63</v>
      </c>
      <c r="S295" s="9" t="s">
        <v>221</v>
      </c>
      <c r="T295" t="str">
        <f t="shared" si="7"/>
        <v>N</v>
      </c>
      <c r="W295" s="12" t="str">
        <f t="array" ref="W295">if(and(L295=0,Q295="NA"),"NA",if(L295=0,"no lice",if(Q295="NA","no collection",index(sea_lice!G:G,match(C295,sea_lice!A:A,0)))))</f>
        <v>NA</v>
      </c>
      <c r="X295" s="23">
        <v>294.0</v>
      </c>
    </row>
    <row r="296">
      <c r="A296" s="9" t="s">
        <v>1533</v>
      </c>
      <c r="B296" s="6">
        <v>5397.0</v>
      </c>
      <c r="C296" s="12" t="str">
        <f t="shared" si="1"/>
        <v>U5397</v>
      </c>
      <c r="D296" s="13" t="s">
        <v>1535</v>
      </c>
      <c r="E296" s="14">
        <v>43390.0</v>
      </c>
      <c r="F296" s="9" t="s">
        <v>53</v>
      </c>
      <c r="G296" s="9" t="s">
        <v>54</v>
      </c>
      <c r="H296" s="9">
        <v>13.4</v>
      </c>
      <c r="I296" s="13">
        <v>111.0</v>
      </c>
      <c r="J296" s="13">
        <v>115.0</v>
      </c>
      <c r="K296" s="17">
        <f t="shared" si="5"/>
        <v>0.8810717515</v>
      </c>
      <c r="L296" s="9">
        <v>0.0</v>
      </c>
      <c r="M296" s="9" t="s">
        <v>57</v>
      </c>
      <c r="O296" s="9" t="s">
        <v>638</v>
      </c>
      <c r="P296" s="9" t="s">
        <v>60</v>
      </c>
      <c r="Q296" s="9" t="s">
        <v>63</v>
      </c>
      <c r="R296" s="9" t="s">
        <v>63</v>
      </c>
      <c r="S296" s="9" t="s">
        <v>221</v>
      </c>
      <c r="T296" t="str">
        <f t="shared" si="7"/>
        <v>N</v>
      </c>
      <c r="W296" s="12" t="str">
        <f t="array" ref="W296">if(and(L296=0,Q296="NA"),"NA",if(L296=0,"no lice",if(Q296="NA","no collection",index(sea_lice!G:G,match(C296,sea_lice!A:A,0)))))</f>
        <v>NA</v>
      </c>
      <c r="X296" s="23">
        <v>295.0</v>
      </c>
    </row>
    <row r="297">
      <c r="A297" s="9" t="s">
        <v>1541</v>
      </c>
      <c r="B297" s="6">
        <v>5398.0</v>
      </c>
      <c r="C297" s="12" t="str">
        <f t="shared" si="1"/>
        <v>U5398</v>
      </c>
      <c r="D297" s="13" t="s">
        <v>1543</v>
      </c>
      <c r="E297" s="14">
        <v>43390.0</v>
      </c>
      <c r="F297" s="9" t="s">
        <v>53</v>
      </c>
      <c r="G297" s="9" t="s">
        <v>54</v>
      </c>
      <c r="H297" s="9">
        <v>12.3</v>
      </c>
      <c r="I297" s="13">
        <v>108.0</v>
      </c>
      <c r="J297" s="13">
        <v>111.0</v>
      </c>
      <c r="K297" s="17">
        <f t="shared" si="5"/>
        <v>0.899365399</v>
      </c>
      <c r="L297" s="9">
        <v>0.0</v>
      </c>
      <c r="M297" s="9" t="s">
        <v>57</v>
      </c>
      <c r="O297" s="9" t="s">
        <v>638</v>
      </c>
      <c r="P297" s="9" t="s">
        <v>60</v>
      </c>
      <c r="Q297" s="9" t="s">
        <v>63</v>
      </c>
      <c r="R297" s="9" t="s">
        <v>63</v>
      </c>
      <c r="S297" s="9" t="s">
        <v>221</v>
      </c>
      <c r="T297" t="str">
        <f t="shared" si="7"/>
        <v>N</v>
      </c>
      <c r="W297" s="12" t="str">
        <f t="array" ref="W297">if(and(L297=0,Q297="NA"),"NA",if(L297=0,"no lice",if(Q297="NA","no collection",index(sea_lice!G:G,match(C297,sea_lice!A:A,0)))))</f>
        <v>NA</v>
      </c>
      <c r="X297" s="23">
        <v>296.0</v>
      </c>
    </row>
    <row r="298">
      <c r="A298" s="9" t="s">
        <v>1546</v>
      </c>
      <c r="B298" s="6">
        <v>5399.0</v>
      </c>
      <c r="C298" s="12" t="str">
        <f t="shared" si="1"/>
        <v>U5399</v>
      </c>
      <c r="D298" s="13" t="s">
        <v>1548</v>
      </c>
      <c r="E298" s="14">
        <v>43390.0</v>
      </c>
      <c r="F298" s="9" t="s">
        <v>53</v>
      </c>
      <c r="G298" s="9" t="s">
        <v>54</v>
      </c>
      <c r="H298" s="9">
        <v>12.9</v>
      </c>
      <c r="I298" s="13">
        <v>111.0</v>
      </c>
      <c r="J298" s="13">
        <v>116.0</v>
      </c>
      <c r="K298" s="17">
        <f t="shared" si="5"/>
        <v>0.8264483989</v>
      </c>
      <c r="L298" s="9">
        <v>0.0</v>
      </c>
      <c r="M298" s="9" t="s">
        <v>57</v>
      </c>
      <c r="O298" s="9" t="s">
        <v>638</v>
      </c>
      <c r="P298" s="9" t="s">
        <v>60</v>
      </c>
      <c r="Q298" s="9" t="s">
        <v>63</v>
      </c>
      <c r="R298" s="9" t="s">
        <v>63</v>
      </c>
      <c r="S298" s="9" t="s">
        <v>221</v>
      </c>
      <c r="T298" t="str">
        <f t="shared" si="7"/>
        <v>N</v>
      </c>
      <c r="W298" s="12" t="str">
        <f t="array" ref="W298">if(and(L298=0,Q298="NA"),"NA",if(L298=0,"no lice",if(Q298="NA","no collection",index(sea_lice!G:G,match(C298,sea_lice!A:A,0)))))</f>
        <v>NA</v>
      </c>
      <c r="X298" s="23">
        <v>297.0</v>
      </c>
    </row>
    <row r="299">
      <c r="A299" s="9" t="s">
        <v>1551</v>
      </c>
      <c r="B299" s="6">
        <v>5400.0</v>
      </c>
      <c r="C299" s="12" t="str">
        <f t="shared" si="1"/>
        <v>U5400</v>
      </c>
      <c r="D299" s="13" t="s">
        <v>1553</v>
      </c>
      <c r="E299" s="14">
        <v>43390.0</v>
      </c>
      <c r="F299" s="9" t="s">
        <v>53</v>
      </c>
      <c r="G299" s="9" t="s">
        <v>54</v>
      </c>
      <c r="H299" s="9">
        <v>14.9</v>
      </c>
      <c r="I299" s="13">
        <v>116.0</v>
      </c>
      <c r="J299" s="13">
        <v>120.0</v>
      </c>
      <c r="K299" s="17">
        <f t="shared" si="5"/>
        <v>0.8622685185</v>
      </c>
      <c r="L299" s="9">
        <v>0.0</v>
      </c>
      <c r="M299" s="9" t="s">
        <v>57</v>
      </c>
      <c r="O299" s="9" t="s">
        <v>638</v>
      </c>
      <c r="P299" s="9" t="s">
        <v>60</v>
      </c>
      <c r="Q299" s="9" t="s">
        <v>63</v>
      </c>
      <c r="R299" s="9" t="s">
        <v>63</v>
      </c>
      <c r="S299" s="9" t="s">
        <v>221</v>
      </c>
      <c r="T299" t="str">
        <f t="shared" si="7"/>
        <v>N</v>
      </c>
      <c r="W299" s="12" t="str">
        <f t="array" ref="W299">if(and(L299=0,Q299="NA"),"NA",if(L299=0,"no lice",if(Q299="NA","no collection",index(sea_lice!G:G,match(C299,sea_lice!A:A,0)))))</f>
        <v>NA</v>
      </c>
      <c r="X299" s="23">
        <v>298.0</v>
      </c>
    </row>
    <row r="300">
      <c r="A300" s="9" t="s">
        <v>1559</v>
      </c>
      <c r="B300" s="6">
        <v>5401.0</v>
      </c>
      <c r="C300" s="12" t="str">
        <f t="shared" si="1"/>
        <v>U5401</v>
      </c>
      <c r="D300" s="13" t="s">
        <v>1562</v>
      </c>
      <c r="E300" s="14">
        <v>43390.0</v>
      </c>
      <c r="F300" s="9" t="s">
        <v>53</v>
      </c>
      <c r="G300" s="9" t="s">
        <v>54</v>
      </c>
      <c r="H300" s="9">
        <v>13.7</v>
      </c>
      <c r="I300" s="13">
        <v>114.0</v>
      </c>
      <c r="J300" s="13">
        <v>118.0</v>
      </c>
      <c r="K300" s="17">
        <f t="shared" si="5"/>
        <v>0.8338242956</v>
      </c>
      <c r="L300" s="9">
        <v>1.0</v>
      </c>
      <c r="M300" s="9" t="s">
        <v>57</v>
      </c>
      <c r="O300" s="9" t="s">
        <v>638</v>
      </c>
      <c r="P300" s="9" t="s">
        <v>60</v>
      </c>
      <c r="Q300" s="9" t="s">
        <v>63</v>
      </c>
      <c r="R300" s="9" t="s">
        <v>63</v>
      </c>
      <c r="S300" s="9" t="s">
        <v>221</v>
      </c>
      <c r="T300" t="str">
        <f t="shared" si="7"/>
        <v>N</v>
      </c>
      <c r="W300" s="12" t="str">
        <f t="array" ref="W300">if(and(L300=0,Q300="NA"),"NA",if(L300=0,"no lice",if(Q300="NA","no collection",index(sea_lice!G:G,match(C300,sea_lice!A:A,0)))))</f>
        <v>no collection</v>
      </c>
      <c r="X300" s="23">
        <v>299.0</v>
      </c>
    </row>
    <row r="301">
      <c r="A301" s="9" t="s">
        <v>1569</v>
      </c>
      <c r="B301" s="6">
        <v>5402.0</v>
      </c>
      <c r="C301" s="12" t="str">
        <f t="shared" si="1"/>
        <v>U5402</v>
      </c>
      <c r="D301" s="13" t="s">
        <v>1570</v>
      </c>
      <c r="E301" s="14">
        <v>43390.0</v>
      </c>
      <c r="F301" s="9" t="s">
        <v>53</v>
      </c>
      <c r="G301" s="9" t="s">
        <v>54</v>
      </c>
      <c r="H301" s="9">
        <v>13.9</v>
      </c>
      <c r="I301" s="13">
        <v>113.0</v>
      </c>
      <c r="J301" s="13">
        <v>117.0</v>
      </c>
      <c r="K301" s="17">
        <f t="shared" si="5"/>
        <v>0.8678750734</v>
      </c>
      <c r="L301" s="9">
        <v>2.0</v>
      </c>
      <c r="M301" s="9" t="s">
        <v>57</v>
      </c>
      <c r="O301" s="9" t="s">
        <v>638</v>
      </c>
      <c r="P301" s="9" t="s">
        <v>60</v>
      </c>
      <c r="Q301" s="9" t="s">
        <v>63</v>
      </c>
      <c r="R301" s="9" t="s">
        <v>63</v>
      </c>
      <c r="S301" s="9" t="s">
        <v>221</v>
      </c>
      <c r="T301" t="str">
        <f t="shared" si="7"/>
        <v>N</v>
      </c>
      <c r="W301" s="12" t="str">
        <f t="array" ref="W301">if(and(L301=0,Q301="NA"),"NA",if(L301=0,"no lice",if(Q301="NA","no collection",index(sea_lice!G:G,match(C301,sea_lice!A:A,0)))))</f>
        <v>no collection</v>
      </c>
      <c r="X301" s="23">
        <v>300.0</v>
      </c>
    </row>
    <row r="302">
      <c r="A302" s="9" t="s">
        <v>1575</v>
      </c>
      <c r="B302" s="6">
        <v>5403.0</v>
      </c>
      <c r="C302" s="12" t="str">
        <f t="shared" si="1"/>
        <v>U5403</v>
      </c>
      <c r="D302" s="13" t="s">
        <v>1577</v>
      </c>
      <c r="E302" s="14">
        <v>43390.0</v>
      </c>
      <c r="F302" s="9" t="s">
        <v>53</v>
      </c>
      <c r="G302" s="9" t="s">
        <v>54</v>
      </c>
      <c r="H302" s="9">
        <v>14.9</v>
      </c>
      <c r="I302" s="13">
        <v>114.0</v>
      </c>
      <c r="J302" s="13">
        <v>119.0</v>
      </c>
      <c r="K302" s="17">
        <f t="shared" si="5"/>
        <v>0.8841895631</v>
      </c>
      <c r="L302" s="9">
        <v>0.0</v>
      </c>
      <c r="M302" s="9" t="s">
        <v>57</v>
      </c>
      <c r="O302" s="9" t="s">
        <v>638</v>
      </c>
      <c r="P302" s="9" t="s">
        <v>60</v>
      </c>
      <c r="Q302" s="9" t="s">
        <v>63</v>
      </c>
      <c r="R302" s="9" t="s">
        <v>63</v>
      </c>
      <c r="S302" s="9" t="s">
        <v>221</v>
      </c>
      <c r="T302" t="str">
        <f t="shared" si="7"/>
        <v>N</v>
      </c>
      <c r="W302" s="12" t="str">
        <f t="array" ref="W302">if(and(L302=0,Q302="NA"),"NA",if(L302=0,"no lice",if(Q302="NA","no collection",index(sea_lice!G:G,match(C302,sea_lice!A:A,0)))))</f>
        <v>NA</v>
      </c>
      <c r="X302" s="23">
        <v>301.0</v>
      </c>
    </row>
    <row r="303">
      <c r="A303" s="9" t="s">
        <v>1581</v>
      </c>
      <c r="B303" s="6">
        <v>5404.0</v>
      </c>
      <c r="C303" s="12" t="str">
        <f t="shared" si="1"/>
        <v>U5404</v>
      </c>
      <c r="D303" s="13" t="s">
        <v>1582</v>
      </c>
      <c r="E303" s="14">
        <v>43390.0</v>
      </c>
      <c r="F303" s="9" t="s">
        <v>53</v>
      </c>
      <c r="G303" s="9" t="s">
        <v>54</v>
      </c>
      <c r="H303" s="9">
        <v>13.6</v>
      </c>
      <c r="I303" s="13">
        <v>110.0</v>
      </c>
      <c r="J303" s="13">
        <v>114.0</v>
      </c>
      <c r="K303" s="17">
        <f t="shared" si="5"/>
        <v>0.917961262</v>
      </c>
      <c r="L303" s="9">
        <v>0.0</v>
      </c>
      <c r="M303" s="9" t="s">
        <v>57</v>
      </c>
      <c r="O303" s="9" t="s">
        <v>638</v>
      </c>
      <c r="P303" s="9" t="s">
        <v>60</v>
      </c>
      <c r="Q303" s="9" t="s">
        <v>63</v>
      </c>
      <c r="R303" s="9" t="s">
        <v>63</v>
      </c>
      <c r="S303" s="9" t="s">
        <v>221</v>
      </c>
      <c r="T303" t="str">
        <f t="shared" si="7"/>
        <v>N</v>
      </c>
      <c r="W303" s="12" t="str">
        <f t="array" ref="W303">if(and(L303=0,Q303="NA"),"NA",if(L303=0,"no lice",if(Q303="NA","no collection",index(sea_lice!G:G,match(C303,sea_lice!A:A,0)))))</f>
        <v>NA</v>
      </c>
      <c r="X303" s="23">
        <v>302.0</v>
      </c>
    </row>
    <row r="304">
      <c r="A304" s="9" t="s">
        <v>1590</v>
      </c>
      <c r="B304" s="6">
        <v>5405.0</v>
      </c>
      <c r="C304" s="12" t="str">
        <f t="shared" si="1"/>
        <v>U5405</v>
      </c>
      <c r="D304" s="13" t="s">
        <v>1496</v>
      </c>
      <c r="E304" s="14">
        <v>43390.0</v>
      </c>
      <c r="F304" s="9" t="s">
        <v>53</v>
      </c>
      <c r="G304" s="9" t="s">
        <v>54</v>
      </c>
      <c r="H304" s="9">
        <v>7.1</v>
      </c>
      <c r="I304" s="13">
        <v>90.0</v>
      </c>
      <c r="J304" s="13">
        <v>94.0</v>
      </c>
      <c r="K304" s="17">
        <f t="shared" si="5"/>
        <v>0.8548202229</v>
      </c>
      <c r="L304" s="9">
        <v>0.0</v>
      </c>
      <c r="M304" s="9" t="s">
        <v>57</v>
      </c>
      <c r="O304" s="9" t="s">
        <v>638</v>
      </c>
      <c r="P304" s="9" t="s">
        <v>60</v>
      </c>
      <c r="Q304" s="9" t="s">
        <v>63</v>
      </c>
      <c r="R304" s="9" t="s">
        <v>63</v>
      </c>
      <c r="S304" s="9" t="s">
        <v>221</v>
      </c>
      <c r="T304" t="str">
        <f t="shared" si="7"/>
        <v>N</v>
      </c>
      <c r="W304" s="12" t="str">
        <f t="array" ref="W304">if(and(L304=0,Q304="NA"),"NA",if(L304=0,"no lice",if(Q304="NA","no collection",index(sea_lice!G:G,match(C304,sea_lice!A:A,0)))))</f>
        <v>NA</v>
      </c>
      <c r="X304" s="23">
        <v>303.0</v>
      </c>
    </row>
    <row r="305">
      <c r="A305" s="9" t="s">
        <v>1595</v>
      </c>
      <c r="B305" s="6">
        <v>5315.0</v>
      </c>
      <c r="C305" s="12" t="str">
        <f t="shared" si="1"/>
        <v>U5315</v>
      </c>
      <c r="D305" s="13" t="s">
        <v>1394</v>
      </c>
      <c r="E305" s="14">
        <v>43391.0</v>
      </c>
      <c r="F305" s="9" t="s">
        <v>53</v>
      </c>
      <c r="G305" s="9" t="s">
        <v>54</v>
      </c>
      <c r="H305" s="9">
        <v>13.4</v>
      </c>
      <c r="I305" s="13">
        <v>108.0</v>
      </c>
      <c r="J305" s="13">
        <v>112.0</v>
      </c>
      <c r="K305" s="17">
        <f t="shared" si="5"/>
        <v>0.9537855321</v>
      </c>
      <c r="L305" s="9">
        <v>0.0</v>
      </c>
      <c r="M305" s="9" t="s">
        <v>57</v>
      </c>
      <c r="O305" s="9" t="s">
        <v>64</v>
      </c>
      <c r="P305" s="9" t="s">
        <v>60</v>
      </c>
      <c r="Q305" s="9" t="s">
        <v>63</v>
      </c>
      <c r="R305" s="9" t="s">
        <v>63</v>
      </c>
      <c r="S305" s="9" t="s">
        <v>221</v>
      </c>
      <c r="T305" t="str">
        <f t="shared" si="7"/>
        <v>N</v>
      </c>
      <c r="W305" s="12" t="str">
        <f t="array" ref="W305">if(and(L305=0,Q305="NA"),"NA",if(L305=0,"no lice",if(Q305="NA","no collection",index(sea_lice!G:G,match(C305,sea_lice!A:A,0)))))</f>
        <v>NA</v>
      </c>
      <c r="X305" s="23">
        <v>304.0</v>
      </c>
    </row>
    <row r="306">
      <c r="A306" s="9" t="s">
        <v>1601</v>
      </c>
      <c r="B306" s="6">
        <v>5316.0</v>
      </c>
      <c r="C306" s="12" t="str">
        <f t="shared" si="1"/>
        <v>U5316</v>
      </c>
      <c r="D306" s="13" t="s">
        <v>1394</v>
      </c>
      <c r="E306" s="14">
        <v>43391.0</v>
      </c>
      <c r="F306" s="9" t="s">
        <v>53</v>
      </c>
      <c r="G306" s="9" t="s">
        <v>54</v>
      </c>
      <c r="H306" s="9">
        <v>10.0</v>
      </c>
      <c r="I306" s="13">
        <v>97.0</v>
      </c>
      <c r="J306" s="13">
        <v>101.0</v>
      </c>
      <c r="K306" s="17">
        <f t="shared" si="5"/>
        <v>0.9705901479</v>
      </c>
      <c r="L306" s="9">
        <v>0.0</v>
      </c>
      <c r="M306" s="9" t="s">
        <v>57</v>
      </c>
      <c r="N306" s="9" t="s">
        <v>1603</v>
      </c>
      <c r="O306" s="9" t="s">
        <v>64</v>
      </c>
      <c r="P306" s="9" t="s">
        <v>60</v>
      </c>
      <c r="Q306" s="9" t="s">
        <v>63</v>
      </c>
      <c r="R306" s="9" t="s">
        <v>63</v>
      </c>
      <c r="S306" s="9" t="s">
        <v>221</v>
      </c>
      <c r="T306" t="str">
        <f t="shared" si="7"/>
        <v>N</v>
      </c>
      <c r="W306" s="12" t="str">
        <f t="array" ref="W306">if(and(L306=0,Q306="NA"),"NA",if(L306=0,"no lice",if(Q306="NA","no collection",index(sea_lice!G:G,match(C306,sea_lice!A:A,0)))))</f>
        <v>NA</v>
      </c>
      <c r="X306" s="23">
        <v>305.0</v>
      </c>
    </row>
    <row r="307">
      <c r="A307" s="9" t="s">
        <v>1605</v>
      </c>
      <c r="B307" s="6">
        <v>5317.0</v>
      </c>
      <c r="C307" s="12" t="str">
        <f t="shared" si="1"/>
        <v>U5317</v>
      </c>
      <c r="D307" s="13" t="s">
        <v>1394</v>
      </c>
      <c r="E307" s="14">
        <v>43391.0</v>
      </c>
      <c r="F307" s="9" t="s">
        <v>53</v>
      </c>
      <c r="G307" s="9" t="s">
        <v>54</v>
      </c>
      <c r="H307" s="9">
        <v>12.1</v>
      </c>
      <c r="I307" s="13">
        <v>105.0</v>
      </c>
      <c r="J307" s="13">
        <v>110.0</v>
      </c>
      <c r="K307" s="17">
        <f t="shared" si="5"/>
        <v>0.9090909091</v>
      </c>
      <c r="L307" s="9">
        <v>2.0</v>
      </c>
      <c r="M307" s="9" t="s">
        <v>57</v>
      </c>
      <c r="O307" s="9" t="s">
        <v>64</v>
      </c>
      <c r="P307" s="9" t="s">
        <v>60</v>
      </c>
      <c r="Q307" s="9" t="s">
        <v>63</v>
      </c>
      <c r="R307" s="9" t="s">
        <v>63</v>
      </c>
      <c r="S307" s="9" t="s">
        <v>221</v>
      </c>
      <c r="T307" t="str">
        <f t="shared" si="7"/>
        <v>N</v>
      </c>
      <c r="W307" s="12" t="str">
        <f t="array" ref="W307">if(and(L307=0,Q307="NA"),"NA",if(L307=0,"no lice",if(Q307="NA","no collection",index(sea_lice!G:G,match(C307,sea_lice!A:A,0)))))</f>
        <v>no collection</v>
      </c>
      <c r="X307" s="23">
        <v>306.0</v>
      </c>
    </row>
    <row r="308">
      <c r="A308" s="9" t="s">
        <v>1611</v>
      </c>
      <c r="B308" s="6">
        <v>5318.0</v>
      </c>
      <c r="C308" s="12" t="str">
        <f t="shared" si="1"/>
        <v>U5318</v>
      </c>
      <c r="D308" s="13" t="s">
        <v>1394</v>
      </c>
      <c r="E308" s="14">
        <v>43391.0</v>
      </c>
      <c r="F308" s="9" t="s">
        <v>53</v>
      </c>
      <c r="G308" s="9" t="s">
        <v>54</v>
      </c>
      <c r="H308" s="9">
        <v>11.8</v>
      </c>
      <c r="I308" s="13">
        <v>103.0</v>
      </c>
      <c r="J308" s="13">
        <v>108.0</v>
      </c>
      <c r="K308" s="17">
        <f t="shared" si="5"/>
        <v>0.9367220444</v>
      </c>
      <c r="L308" s="9">
        <v>1.0</v>
      </c>
      <c r="M308" s="9" t="s">
        <v>57</v>
      </c>
      <c r="O308" s="9" t="s">
        <v>64</v>
      </c>
      <c r="P308" s="9" t="s">
        <v>60</v>
      </c>
      <c r="Q308" s="9" t="s">
        <v>63</v>
      </c>
      <c r="R308" s="9" t="s">
        <v>63</v>
      </c>
      <c r="S308" s="9" t="s">
        <v>221</v>
      </c>
      <c r="T308" t="str">
        <f t="shared" si="7"/>
        <v>N</v>
      </c>
      <c r="W308" s="12" t="str">
        <f t="array" ref="W308">if(and(L308=0,Q308="NA"),"NA",if(L308=0,"no lice",if(Q308="NA","no collection",index(sea_lice!G:G,match(C308,sea_lice!A:A,0)))))</f>
        <v>no collection</v>
      </c>
      <c r="X308" s="23">
        <v>307.0</v>
      </c>
    </row>
    <row r="309">
      <c r="A309" s="9" t="s">
        <v>1617</v>
      </c>
      <c r="B309" s="6">
        <v>5319.0</v>
      </c>
      <c r="C309" s="12" t="str">
        <f t="shared" si="1"/>
        <v>U5319</v>
      </c>
      <c r="D309" s="13" t="s">
        <v>1394</v>
      </c>
      <c r="E309" s="14">
        <v>43391.0</v>
      </c>
      <c r="F309" s="9" t="s">
        <v>53</v>
      </c>
      <c r="G309" s="9" t="s">
        <v>54</v>
      </c>
      <c r="H309" s="9">
        <v>16.5</v>
      </c>
      <c r="I309" s="13">
        <v>108.0</v>
      </c>
      <c r="J309" s="13">
        <v>123.0</v>
      </c>
      <c r="K309" s="17">
        <f t="shared" si="5"/>
        <v>0.8866834653</v>
      </c>
      <c r="L309" s="9">
        <v>0.0</v>
      </c>
      <c r="M309" s="9" t="s">
        <v>57</v>
      </c>
      <c r="O309" s="9" t="s">
        <v>64</v>
      </c>
      <c r="P309" s="9" t="s">
        <v>60</v>
      </c>
      <c r="Q309" s="9" t="s">
        <v>63</v>
      </c>
      <c r="R309" s="9" t="s">
        <v>63</v>
      </c>
      <c r="S309" s="9" t="s">
        <v>221</v>
      </c>
      <c r="T309" t="str">
        <f t="shared" si="7"/>
        <v>N</v>
      </c>
      <c r="W309" s="12" t="str">
        <f t="array" ref="W309">if(and(L309=0,Q309="NA"),"NA",if(L309=0,"no lice",if(Q309="NA","no collection",index(sea_lice!G:G,match(C309,sea_lice!A:A,0)))))</f>
        <v>NA</v>
      </c>
      <c r="X309" s="23">
        <v>308.0</v>
      </c>
    </row>
    <row r="310">
      <c r="A310" s="9" t="s">
        <v>1622</v>
      </c>
      <c r="B310" s="6">
        <v>5320.0</v>
      </c>
      <c r="C310" s="12" t="str">
        <f t="shared" si="1"/>
        <v>U5320</v>
      </c>
      <c r="D310" s="13" t="s">
        <v>1394</v>
      </c>
      <c r="E310" s="14">
        <v>43391.0</v>
      </c>
      <c r="F310" s="9" t="s">
        <v>53</v>
      </c>
      <c r="G310" s="9" t="s">
        <v>54</v>
      </c>
      <c r="H310" s="9">
        <v>10.0</v>
      </c>
      <c r="I310" s="13">
        <v>99.0</v>
      </c>
      <c r="J310" s="13">
        <v>103.0</v>
      </c>
      <c r="K310" s="17">
        <f t="shared" si="5"/>
        <v>0.9151416594</v>
      </c>
      <c r="L310" s="9">
        <v>0.0</v>
      </c>
      <c r="M310" s="9" t="s">
        <v>57</v>
      </c>
      <c r="O310" s="9" t="s">
        <v>64</v>
      </c>
      <c r="P310" s="9" t="s">
        <v>60</v>
      </c>
      <c r="Q310" s="9" t="s">
        <v>63</v>
      </c>
      <c r="R310" s="9" t="s">
        <v>63</v>
      </c>
      <c r="S310" s="9" t="s">
        <v>221</v>
      </c>
      <c r="T310" t="str">
        <f t="shared" si="7"/>
        <v>N</v>
      </c>
      <c r="W310" s="12" t="str">
        <f t="array" ref="W310">if(and(L310=0,Q310="NA"),"NA",if(L310=0,"no lice",if(Q310="NA","no collection",index(sea_lice!G:G,match(C310,sea_lice!A:A,0)))))</f>
        <v>NA</v>
      </c>
      <c r="X310" s="23">
        <v>309.0</v>
      </c>
    </row>
    <row r="311">
      <c r="A311" s="9" t="s">
        <v>1628</v>
      </c>
      <c r="B311" s="6">
        <v>5321.0</v>
      </c>
      <c r="C311" s="12" t="str">
        <f t="shared" si="1"/>
        <v>U5321</v>
      </c>
      <c r="D311" s="13" t="s">
        <v>1394</v>
      </c>
      <c r="E311" s="14">
        <v>43391.0</v>
      </c>
      <c r="F311" s="9" t="s">
        <v>53</v>
      </c>
      <c r="G311" s="9" t="s">
        <v>54</v>
      </c>
      <c r="H311" s="9">
        <v>10.8</v>
      </c>
      <c r="I311" s="13">
        <v>102.0</v>
      </c>
      <c r="J311" s="13" t="s">
        <v>63</v>
      </c>
      <c r="K311" s="17" t="str">
        <f t="shared" si="5"/>
        <v/>
      </c>
      <c r="L311" s="9">
        <v>1.0</v>
      </c>
      <c r="M311" s="9" t="s">
        <v>57</v>
      </c>
      <c r="O311" s="9" t="s">
        <v>64</v>
      </c>
      <c r="P311" s="9" t="s">
        <v>60</v>
      </c>
      <c r="Q311" s="9" t="s">
        <v>63</v>
      </c>
      <c r="R311" s="9" t="s">
        <v>63</v>
      </c>
      <c r="S311" s="9" t="s">
        <v>221</v>
      </c>
      <c r="T311" t="str">
        <f t="shared" si="7"/>
        <v>N</v>
      </c>
      <c r="W311" s="12" t="str">
        <f t="array" ref="W311">if(and(L311=0,Q311="NA"),"NA",if(L311=0,"no lice",if(Q311="NA","no collection",index(sea_lice!G:G,match(C311,sea_lice!A:A,0)))))</f>
        <v>no collection</v>
      </c>
      <c r="X311" s="23">
        <v>310.0</v>
      </c>
    </row>
    <row r="312">
      <c r="A312" s="9" t="s">
        <v>1631</v>
      </c>
      <c r="B312" s="6">
        <v>5406.0</v>
      </c>
      <c r="C312" s="12" t="str">
        <f t="shared" si="1"/>
        <v>U5406</v>
      </c>
      <c r="D312" s="13" t="s">
        <v>1496</v>
      </c>
      <c r="E312" s="14">
        <v>43391.0</v>
      </c>
      <c r="F312" s="9" t="s">
        <v>53</v>
      </c>
      <c r="G312" s="9" t="s">
        <v>54</v>
      </c>
      <c r="H312" s="9">
        <v>4.7</v>
      </c>
      <c r="I312" s="13">
        <v>80.0</v>
      </c>
      <c r="J312" s="13" t="s">
        <v>63</v>
      </c>
      <c r="K312" s="17" t="str">
        <f t="shared" si="5"/>
        <v/>
      </c>
      <c r="L312" s="9">
        <v>0.0</v>
      </c>
      <c r="M312" s="9" t="s">
        <v>57</v>
      </c>
      <c r="O312" s="9" t="s">
        <v>638</v>
      </c>
      <c r="P312" s="9" t="s">
        <v>60</v>
      </c>
      <c r="Q312" s="9" t="s">
        <v>63</v>
      </c>
      <c r="R312" s="9" t="s">
        <v>63</v>
      </c>
      <c r="S312" s="9" t="s">
        <v>221</v>
      </c>
      <c r="T312" t="str">
        <f t="shared" si="7"/>
        <v>N</v>
      </c>
      <c r="W312" s="12" t="str">
        <f t="array" ref="W312">if(and(L312=0,Q312="NA"),"NA",if(L312=0,"no lice",if(Q312="NA","no collection",index(sea_lice!G:G,match(C312,sea_lice!A:A,0)))))</f>
        <v>NA</v>
      </c>
      <c r="X312" s="23">
        <v>311.0</v>
      </c>
    </row>
    <row r="313">
      <c r="A313" s="9" t="s">
        <v>1634</v>
      </c>
      <c r="B313" s="6">
        <v>5407.0</v>
      </c>
      <c r="C313" s="12" t="str">
        <f t="shared" si="1"/>
        <v>U5407</v>
      </c>
      <c r="D313" s="13" t="s">
        <v>1496</v>
      </c>
      <c r="E313" s="14">
        <v>43391.0</v>
      </c>
      <c r="F313" s="9" t="s">
        <v>53</v>
      </c>
      <c r="G313" s="9" t="s">
        <v>54</v>
      </c>
      <c r="H313" s="9">
        <v>5.9</v>
      </c>
      <c r="I313" s="13">
        <v>83.0</v>
      </c>
      <c r="J313" s="13" t="s">
        <v>63</v>
      </c>
      <c r="K313" s="17" t="str">
        <f t="shared" si="5"/>
        <v/>
      </c>
      <c r="L313" s="9">
        <v>0.0</v>
      </c>
      <c r="M313" s="9" t="s">
        <v>57</v>
      </c>
      <c r="O313" s="9" t="s">
        <v>638</v>
      </c>
      <c r="P313" s="9" t="s">
        <v>60</v>
      </c>
      <c r="Q313" s="9" t="s">
        <v>63</v>
      </c>
      <c r="R313" s="9" t="s">
        <v>63</v>
      </c>
      <c r="S313" s="9" t="s">
        <v>221</v>
      </c>
      <c r="T313" t="str">
        <f t="shared" si="7"/>
        <v>N</v>
      </c>
      <c r="W313" s="12" t="str">
        <f t="array" ref="W313">if(and(L313=0,Q313="NA"),"NA",if(L313=0,"no lice",if(Q313="NA","no collection",index(sea_lice!G:G,match(C313,sea_lice!A:A,0)))))</f>
        <v>NA</v>
      </c>
      <c r="X313" s="23">
        <v>312.0</v>
      </c>
    </row>
    <row r="314">
      <c r="A314" s="9" t="s">
        <v>1637</v>
      </c>
      <c r="B314" s="6">
        <v>5408.0</v>
      </c>
      <c r="C314" s="12" t="str">
        <f t="shared" si="1"/>
        <v>U5408</v>
      </c>
      <c r="D314" s="13" t="s">
        <v>1496</v>
      </c>
      <c r="E314" s="14">
        <v>43391.0</v>
      </c>
      <c r="F314" s="9" t="s">
        <v>53</v>
      </c>
      <c r="G314" s="9" t="s">
        <v>54</v>
      </c>
      <c r="H314" s="9">
        <v>8.8</v>
      </c>
      <c r="I314" s="13">
        <v>98.0</v>
      </c>
      <c r="J314" s="13">
        <v>102.0</v>
      </c>
      <c r="K314" s="17">
        <f t="shared" si="5"/>
        <v>0.8292436544</v>
      </c>
      <c r="L314" s="9">
        <v>1.0</v>
      </c>
      <c r="M314" s="9" t="s">
        <v>57</v>
      </c>
      <c r="O314" s="9" t="s">
        <v>638</v>
      </c>
      <c r="P314" s="9" t="s">
        <v>60</v>
      </c>
      <c r="Q314" s="9" t="s">
        <v>63</v>
      </c>
      <c r="R314" s="9" t="s">
        <v>63</v>
      </c>
      <c r="S314" s="9" t="s">
        <v>221</v>
      </c>
      <c r="T314" t="str">
        <f t="shared" si="7"/>
        <v>N</v>
      </c>
      <c r="W314" s="12" t="str">
        <f t="array" ref="W314">if(and(L314=0,Q314="NA"),"NA",if(L314=0,"no lice",if(Q314="NA","no collection",index(sea_lice!G:G,match(C314,sea_lice!A:A,0)))))</f>
        <v>no collection</v>
      </c>
      <c r="X314" s="23">
        <v>313.0</v>
      </c>
    </row>
    <row r="315">
      <c r="A315" s="9" t="s">
        <v>1640</v>
      </c>
      <c r="B315" s="6">
        <v>5409.0</v>
      </c>
      <c r="C315" s="12" t="str">
        <f t="shared" si="1"/>
        <v>U5409</v>
      </c>
      <c r="D315" s="13" t="s">
        <v>1496</v>
      </c>
      <c r="E315" s="14">
        <v>43391.0</v>
      </c>
      <c r="F315" s="9" t="s">
        <v>53</v>
      </c>
      <c r="G315" s="9" t="s">
        <v>54</v>
      </c>
      <c r="H315" s="9">
        <v>5.7</v>
      </c>
      <c r="I315" s="13">
        <v>82.0</v>
      </c>
      <c r="J315" s="13">
        <v>85.0</v>
      </c>
      <c r="K315" s="17">
        <f t="shared" si="5"/>
        <v>0.9281498066</v>
      </c>
      <c r="L315" s="9">
        <v>0.0</v>
      </c>
      <c r="M315" s="9" t="s">
        <v>57</v>
      </c>
      <c r="O315" s="9" t="s">
        <v>638</v>
      </c>
      <c r="P315" s="9" t="s">
        <v>60</v>
      </c>
      <c r="Q315" s="9" t="s">
        <v>63</v>
      </c>
      <c r="R315" s="9" t="s">
        <v>63</v>
      </c>
      <c r="S315" s="9" t="s">
        <v>221</v>
      </c>
      <c r="T315" t="str">
        <f t="shared" si="7"/>
        <v>N</v>
      </c>
      <c r="W315" s="12" t="str">
        <f t="array" ref="W315">if(and(L315=0,Q315="NA"),"NA",if(L315=0,"no lice",if(Q315="NA","no collection",index(sea_lice!G:G,match(C315,sea_lice!A:A,0)))))</f>
        <v>NA</v>
      </c>
      <c r="X315" s="23">
        <v>314.0</v>
      </c>
    </row>
    <row r="316">
      <c r="A316" s="9" t="s">
        <v>1645</v>
      </c>
      <c r="B316" s="6">
        <v>5410.0</v>
      </c>
      <c r="C316" s="12" t="str">
        <f t="shared" si="1"/>
        <v>U5410</v>
      </c>
      <c r="D316" s="13" t="s">
        <v>1496</v>
      </c>
      <c r="E316" s="14">
        <v>43391.0</v>
      </c>
      <c r="F316" s="9" t="s">
        <v>53</v>
      </c>
      <c r="G316" s="9" t="s">
        <v>54</v>
      </c>
      <c r="H316" s="9">
        <v>6.1</v>
      </c>
      <c r="I316" s="13">
        <v>81.0</v>
      </c>
      <c r="J316" s="13">
        <v>85.0</v>
      </c>
      <c r="K316" s="17">
        <f t="shared" si="5"/>
        <v>0.9932831264</v>
      </c>
      <c r="L316" s="9">
        <v>0.0</v>
      </c>
      <c r="M316" s="9" t="s">
        <v>57</v>
      </c>
      <c r="O316" s="9" t="s">
        <v>638</v>
      </c>
      <c r="P316" s="9" t="s">
        <v>60</v>
      </c>
      <c r="Q316" s="9" t="s">
        <v>63</v>
      </c>
      <c r="R316" s="9" t="s">
        <v>63</v>
      </c>
      <c r="S316" s="9" t="s">
        <v>221</v>
      </c>
      <c r="T316" t="str">
        <f t="shared" si="7"/>
        <v>N</v>
      </c>
      <c r="W316" s="12" t="str">
        <f t="array" ref="W316">if(and(L316=0,Q316="NA"),"NA",if(L316=0,"no lice",if(Q316="NA","no collection",index(sea_lice!G:G,match(C316,sea_lice!A:A,0)))))</f>
        <v>NA</v>
      </c>
      <c r="X316" s="23">
        <v>315.0</v>
      </c>
    </row>
    <row r="317">
      <c r="A317" s="9" t="s">
        <v>1651</v>
      </c>
      <c r="B317" s="6">
        <v>5411.0</v>
      </c>
      <c r="C317" s="12" t="str">
        <f t="shared" si="1"/>
        <v>U5411</v>
      </c>
      <c r="D317" s="13" t="s">
        <v>1496</v>
      </c>
      <c r="E317" s="14">
        <v>43391.0</v>
      </c>
      <c r="F317" s="9" t="s">
        <v>53</v>
      </c>
      <c r="G317" s="9" t="s">
        <v>54</v>
      </c>
      <c r="H317" s="9">
        <v>5.1</v>
      </c>
      <c r="I317" s="13">
        <v>81.0</v>
      </c>
      <c r="J317" s="13">
        <v>85.0</v>
      </c>
      <c r="K317" s="17">
        <f t="shared" si="5"/>
        <v>0.830449827</v>
      </c>
      <c r="L317" s="9">
        <v>0.0</v>
      </c>
      <c r="M317" s="9" t="s">
        <v>57</v>
      </c>
      <c r="O317" s="9" t="s">
        <v>638</v>
      </c>
      <c r="P317" s="9" t="s">
        <v>60</v>
      </c>
      <c r="Q317" s="9" t="s">
        <v>63</v>
      </c>
      <c r="R317" s="9" t="s">
        <v>63</v>
      </c>
      <c r="S317" s="9" t="s">
        <v>221</v>
      </c>
      <c r="T317" t="str">
        <f t="shared" si="7"/>
        <v>N</v>
      </c>
      <c r="W317" s="12" t="str">
        <f t="array" ref="W317">if(and(L317=0,Q317="NA"),"NA",if(L317=0,"no lice",if(Q317="NA","no collection",index(sea_lice!G:G,match(C317,sea_lice!A:A,0)))))</f>
        <v>NA</v>
      </c>
      <c r="X317" s="23">
        <v>316.0</v>
      </c>
    </row>
    <row r="318">
      <c r="A318" s="9" t="s">
        <v>1657</v>
      </c>
      <c r="B318" s="6">
        <v>5437.0</v>
      </c>
      <c r="C318" s="12" t="str">
        <f t="shared" si="1"/>
        <v>U5437</v>
      </c>
      <c r="D318" s="13" t="s">
        <v>1496</v>
      </c>
      <c r="E318" s="14">
        <v>43391.0</v>
      </c>
      <c r="F318" s="9" t="s">
        <v>53</v>
      </c>
      <c r="G318" s="9" t="s">
        <v>54</v>
      </c>
      <c r="H318" s="9">
        <v>5.5</v>
      </c>
      <c r="I318" s="13">
        <v>85.0</v>
      </c>
      <c r="J318" s="13">
        <v>89.0</v>
      </c>
      <c r="K318" s="17">
        <f t="shared" si="5"/>
        <v>0.7801761496</v>
      </c>
      <c r="L318" s="9">
        <v>0.0</v>
      </c>
      <c r="M318" s="9" t="s">
        <v>57</v>
      </c>
      <c r="O318" s="9" t="s">
        <v>638</v>
      </c>
      <c r="P318" s="9" t="s">
        <v>60</v>
      </c>
      <c r="Q318" s="9" t="s">
        <v>63</v>
      </c>
      <c r="R318" s="9" t="s">
        <v>63</v>
      </c>
      <c r="S318" s="9" t="s">
        <v>221</v>
      </c>
      <c r="T318" t="str">
        <f t="shared" si="7"/>
        <v>N</v>
      </c>
      <c r="W318" s="12" t="str">
        <f t="array" ref="W318">if(and(L318=0,Q318="NA"),"NA",if(L318=0,"no lice",if(Q318="NA","no collection",index(sea_lice!G:G,match(C318,sea_lice!A:A,0)))))</f>
        <v>NA</v>
      </c>
      <c r="X318" s="23">
        <v>317.0</v>
      </c>
    </row>
    <row r="319">
      <c r="A319" s="9" t="s">
        <v>1662</v>
      </c>
      <c r="B319" s="6">
        <v>5438.0</v>
      </c>
      <c r="C319" s="12" t="str">
        <f t="shared" si="1"/>
        <v>U5438</v>
      </c>
      <c r="D319" s="13" t="s">
        <v>1496</v>
      </c>
      <c r="E319" s="14">
        <v>43391.0</v>
      </c>
      <c r="F319" s="9" t="s">
        <v>53</v>
      </c>
      <c r="G319" s="9" t="s">
        <v>54</v>
      </c>
      <c r="H319" s="9">
        <v>5.7</v>
      </c>
      <c r="I319" s="13">
        <v>83.0</v>
      </c>
      <c r="J319" s="13">
        <v>87.0</v>
      </c>
      <c r="K319" s="17">
        <f t="shared" si="5"/>
        <v>0.8655997011</v>
      </c>
      <c r="L319" s="9">
        <v>0.0</v>
      </c>
      <c r="M319" s="9" t="s">
        <v>57</v>
      </c>
      <c r="O319" s="9" t="s">
        <v>638</v>
      </c>
      <c r="P319" s="9" t="s">
        <v>60</v>
      </c>
      <c r="Q319" s="9" t="s">
        <v>63</v>
      </c>
      <c r="R319" s="9" t="s">
        <v>63</v>
      </c>
      <c r="S319" s="9" t="s">
        <v>221</v>
      </c>
      <c r="T319" t="str">
        <f t="shared" si="7"/>
        <v>N</v>
      </c>
      <c r="W319" s="12" t="str">
        <f t="array" ref="W319">if(and(L319=0,Q319="NA"),"NA",if(L319=0,"no lice",if(Q319="NA","no collection",index(sea_lice!G:G,match(C319,sea_lice!A:A,0)))))</f>
        <v>NA</v>
      </c>
      <c r="X319" s="23">
        <v>318.0</v>
      </c>
    </row>
    <row r="320">
      <c r="A320" s="9" t="s">
        <v>1668</v>
      </c>
      <c r="B320" s="6">
        <v>5439.0</v>
      </c>
      <c r="C320" s="12" t="str">
        <f t="shared" si="1"/>
        <v>U5439</v>
      </c>
      <c r="D320" s="13" t="s">
        <v>1496</v>
      </c>
      <c r="E320" s="14">
        <v>43391.0</v>
      </c>
      <c r="F320" s="9" t="s">
        <v>53</v>
      </c>
      <c r="G320" s="9" t="s">
        <v>54</v>
      </c>
      <c r="H320" s="9">
        <v>4.8</v>
      </c>
      <c r="I320" s="13">
        <v>74.0</v>
      </c>
      <c r="J320" s="13">
        <v>77.0</v>
      </c>
      <c r="K320" s="17">
        <f t="shared" si="5"/>
        <v>1.051402637</v>
      </c>
      <c r="L320" s="9">
        <v>0.0</v>
      </c>
      <c r="M320" s="9" t="s">
        <v>57</v>
      </c>
      <c r="O320" s="9" t="s">
        <v>638</v>
      </c>
      <c r="P320" s="9" t="s">
        <v>60</v>
      </c>
      <c r="Q320" s="9" t="s">
        <v>63</v>
      </c>
      <c r="R320" s="9" t="s">
        <v>63</v>
      </c>
      <c r="S320" s="9" t="s">
        <v>221</v>
      </c>
      <c r="T320" t="str">
        <f t="shared" si="7"/>
        <v>N</v>
      </c>
      <c r="W320" s="12" t="str">
        <f t="array" ref="W320">if(and(L320=0,Q320="NA"),"NA",if(L320=0,"no lice",if(Q320="NA","no collection",index(sea_lice!G:G,match(C320,sea_lice!A:A,0)))))</f>
        <v>NA</v>
      </c>
      <c r="X320" s="23">
        <v>319.0</v>
      </c>
    </row>
    <row r="321">
      <c r="A321" s="9" t="s">
        <v>1673</v>
      </c>
      <c r="B321" s="6">
        <v>5440.0</v>
      </c>
      <c r="C321" s="12" t="str">
        <f t="shared" si="1"/>
        <v>U5440</v>
      </c>
      <c r="D321" s="13" t="s">
        <v>1535</v>
      </c>
      <c r="E321" s="14">
        <v>43391.0</v>
      </c>
      <c r="F321" s="9" t="s">
        <v>53</v>
      </c>
      <c r="G321" s="9" t="s">
        <v>54</v>
      </c>
      <c r="H321" s="9">
        <v>23.8</v>
      </c>
      <c r="I321" s="13">
        <v>131.0</v>
      </c>
      <c r="J321" s="13">
        <v>137.0</v>
      </c>
      <c r="K321" s="17">
        <f t="shared" si="5"/>
        <v>0.9255827574</v>
      </c>
      <c r="L321" s="9">
        <v>1.0</v>
      </c>
      <c r="M321" s="9" t="s">
        <v>57</v>
      </c>
      <c r="O321" s="9" t="s">
        <v>638</v>
      </c>
      <c r="P321" s="9" t="s">
        <v>60</v>
      </c>
      <c r="Q321" s="9" t="s">
        <v>63</v>
      </c>
      <c r="R321" s="9" t="s">
        <v>63</v>
      </c>
      <c r="S321" s="9" t="s">
        <v>221</v>
      </c>
      <c r="T321" t="str">
        <f t="shared" si="7"/>
        <v>N</v>
      </c>
      <c r="W321" s="12" t="str">
        <f t="array" ref="W321">if(and(L321=0,Q321="NA"),"NA",if(L321=0,"no lice",if(Q321="NA","no collection",index(sea_lice!G:G,match(C321,sea_lice!A:A,0)))))</f>
        <v>no collection</v>
      </c>
      <c r="X321" s="23">
        <v>320.0</v>
      </c>
    </row>
    <row r="322">
      <c r="A322" s="9" t="s">
        <v>1679</v>
      </c>
      <c r="B322" s="6">
        <v>5441.0</v>
      </c>
      <c r="C322" s="12" t="str">
        <f t="shared" si="1"/>
        <v>U5441</v>
      </c>
      <c r="D322" s="13" t="s">
        <v>1535</v>
      </c>
      <c r="E322" s="14">
        <v>43391.0</v>
      </c>
      <c r="F322" s="9" t="s">
        <v>53</v>
      </c>
      <c r="G322" s="9" t="s">
        <v>54</v>
      </c>
      <c r="H322" s="9">
        <v>23.9</v>
      </c>
      <c r="I322" s="13">
        <v>128.0</v>
      </c>
      <c r="J322" s="13">
        <v>134.0</v>
      </c>
      <c r="K322" s="17">
        <f t="shared" si="5"/>
        <v>0.9933070225</v>
      </c>
      <c r="L322" s="9">
        <v>0.0</v>
      </c>
      <c r="M322" s="9" t="s">
        <v>57</v>
      </c>
      <c r="O322" s="9" t="s">
        <v>638</v>
      </c>
      <c r="P322" s="9" t="s">
        <v>60</v>
      </c>
      <c r="Q322" s="9" t="s">
        <v>63</v>
      </c>
      <c r="R322" s="9" t="s">
        <v>63</v>
      </c>
      <c r="S322" s="9" t="s">
        <v>221</v>
      </c>
      <c r="T322" t="str">
        <f t="shared" si="7"/>
        <v>N</v>
      </c>
      <c r="W322" s="12" t="str">
        <f t="array" ref="W322">if(and(L322=0,Q322="NA"),"NA",if(L322=0,"no lice",if(Q322="NA","no collection",index(sea_lice!G:G,match(C322,sea_lice!A:A,0)))))</f>
        <v>NA</v>
      </c>
      <c r="X322" s="23">
        <v>321.0</v>
      </c>
    </row>
    <row r="323">
      <c r="A323" s="9" t="s">
        <v>1685</v>
      </c>
      <c r="B323" s="6">
        <v>5442.0</v>
      </c>
      <c r="C323" s="12" t="str">
        <f t="shared" si="1"/>
        <v>U5442</v>
      </c>
      <c r="D323" s="13" t="s">
        <v>1535</v>
      </c>
      <c r="E323" s="14">
        <v>43391.0</v>
      </c>
      <c r="F323" s="9" t="s">
        <v>53</v>
      </c>
      <c r="G323" s="9" t="s">
        <v>54</v>
      </c>
      <c r="H323" s="9">
        <v>24.9</v>
      </c>
      <c r="I323" s="13">
        <v>128.0</v>
      </c>
      <c r="J323" s="13">
        <v>134.0</v>
      </c>
      <c r="K323" s="17">
        <f t="shared" si="5"/>
        <v>1.034867986</v>
      </c>
      <c r="L323" s="9">
        <v>3.0</v>
      </c>
      <c r="M323" s="9" t="s">
        <v>57</v>
      </c>
      <c r="O323" s="9" t="s">
        <v>638</v>
      </c>
      <c r="P323" s="9" t="s">
        <v>60</v>
      </c>
      <c r="Q323" s="9" t="s">
        <v>63</v>
      </c>
      <c r="R323" s="9" t="s">
        <v>63</v>
      </c>
      <c r="S323" s="9" t="s">
        <v>221</v>
      </c>
      <c r="T323" t="str">
        <f t="shared" si="7"/>
        <v>N</v>
      </c>
      <c r="W323" s="12" t="str">
        <f t="array" ref="W323">if(and(L323=0,Q323="NA"),"NA",if(L323=0,"no lice",if(Q323="NA","no collection",index(sea_lice!G:G,match(C323,sea_lice!A:A,0)))))</f>
        <v>no collection</v>
      </c>
      <c r="X323" s="23">
        <v>322.0</v>
      </c>
    </row>
    <row r="324">
      <c r="A324" s="9" t="s">
        <v>1689</v>
      </c>
      <c r="B324" s="6">
        <v>5443.0</v>
      </c>
      <c r="C324" s="12" t="str">
        <f t="shared" si="1"/>
        <v>U5443</v>
      </c>
      <c r="D324" s="13" t="s">
        <v>1535</v>
      </c>
      <c r="E324" s="14">
        <v>43391.0</v>
      </c>
      <c r="F324" s="9" t="s">
        <v>53</v>
      </c>
      <c r="G324" s="9" t="s">
        <v>54</v>
      </c>
      <c r="H324" s="9">
        <v>30.3</v>
      </c>
      <c r="I324" s="13">
        <v>133.0</v>
      </c>
      <c r="J324" s="13">
        <v>140.0</v>
      </c>
      <c r="K324" s="17">
        <f t="shared" si="5"/>
        <v>1.104227405</v>
      </c>
      <c r="L324" s="9">
        <v>4.0</v>
      </c>
      <c r="M324" s="9" t="s">
        <v>57</v>
      </c>
      <c r="O324" s="9" t="s">
        <v>638</v>
      </c>
      <c r="P324" s="9" t="s">
        <v>60</v>
      </c>
      <c r="Q324" s="9" t="s">
        <v>63</v>
      </c>
      <c r="R324" s="9" t="s">
        <v>63</v>
      </c>
      <c r="S324" s="9" t="s">
        <v>221</v>
      </c>
      <c r="T324" t="str">
        <f t="shared" si="7"/>
        <v>N</v>
      </c>
      <c r="W324" s="12" t="str">
        <f t="array" ref="W324">if(and(L324=0,Q324="NA"),"NA",if(L324=0,"no lice",if(Q324="NA","no collection",index(sea_lice!G:G,match(C324,sea_lice!A:A,0)))))</f>
        <v>no collection</v>
      </c>
      <c r="X324" s="23">
        <v>323.0</v>
      </c>
    </row>
    <row r="325">
      <c r="A325" s="9" t="s">
        <v>1694</v>
      </c>
      <c r="B325" s="6">
        <v>5444.0</v>
      </c>
      <c r="C325" s="12" t="str">
        <f t="shared" si="1"/>
        <v>U5444</v>
      </c>
      <c r="D325" s="13" t="s">
        <v>1535</v>
      </c>
      <c r="E325" s="14">
        <v>43391.0</v>
      </c>
      <c r="F325" s="9" t="s">
        <v>53</v>
      </c>
      <c r="G325" s="9" t="s">
        <v>54</v>
      </c>
      <c r="H325" s="9">
        <v>34.5</v>
      </c>
      <c r="I325" s="13">
        <v>141.0</v>
      </c>
      <c r="J325" s="13">
        <v>147.0</v>
      </c>
      <c r="K325" s="17">
        <f t="shared" si="5"/>
        <v>1.086093191</v>
      </c>
      <c r="L325" s="9">
        <v>2.0</v>
      </c>
      <c r="M325" s="9" t="s">
        <v>57</v>
      </c>
      <c r="O325" s="9" t="s">
        <v>638</v>
      </c>
      <c r="P325" s="9" t="s">
        <v>60</v>
      </c>
      <c r="Q325" s="9" t="s">
        <v>63</v>
      </c>
      <c r="R325" s="9" t="s">
        <v>63</v>
      </c>
      <c r="S325" s="9" t="s">
        <v>221</v>
      </c>
      <c r="T325" t="str">
        <f t="shared" si="7"/>
        <v>N</v>
      </c>
      <c r="W325" s="12" t="str">
        <f t="array" ref="W325">if(and(L325=0,Q325="NA"),"NA",if(L325=0,"no lice",if(Q325="NA","no collection",index(sea_lice!G:G,match(C325,sea_lice!A:A,0)))))</f>
        <v>no collection</v>
      </c>
      <c r="X325" s="23">
        <v>324.0</v>
      </c>
    </row>
    <row r="326">
      <c r="A326" s="9" t="s">
        <v>1700</v>
      </c>
      <c r="B326" s="6">
        <v>5445.0</v>
      </c>
      <c r="C326" s="12" t="str">
        <f t="shared" si="1"/>
        <v>U5445</v>
      </c>
      <c r="D326" s="13" t="s">
        <v>1535</v>
      </c>
      <c r="E326" s="14">
        <v>43391.0</v>
      </c>
      <c r="F326" s="9" t="s">
        <v>53</v>
      </c>
      <c r="G326" s="9" t="s">
        <v>54</v>
      </c>
      <c r="H326" s="9">
        <v>20.0</v>
      </c>
      <c r="I326" s="13">
        <v>127.0</v>
      </c>
      <c r="J326" s="13">
        <v>133.0</v>
      </c>
      <c r="K326" s="17">
        <f t="shared" si="5"/>
        <v>0.850109898</v>
      </c>
      <c r="L326" s="9">
        <v>0.0</v>
      </c>
      <c r="M326" s="9" t="s">
        <v>57</v>
      </c>
      <c r="O326" s="9" t="s">
        <v>638</v>
      </c>
      <c r="P326" s="9" t="s">
        <v>60</v>
      </c>
      <c r="Q326" s="9" t="s">
        <v>63</v>
      </c>
      <c r="R326" s="9" t="s">
        <v>63</v>
      </c>
      <c r="S326" s="9" t="s">
        <v>221</v>
      </c>
      <c r="T326" t="str">
        <f t="shared" si="7"/>
        <v>N</v>
      </c>
      <c r="W326" s="12" t="str">
        <f t="array" ref="W326">if(and(L326=0,Q326="NA"),"NA",if(L326=0,"no lice",if(Q326="NA","no collection",index(sea_lice!G:G,match(C326,sea_lice!A:A,0)))))</f>
        <v>NA</v>
      </c>
      <c r="X326" s="23">
        <v>325.0</v>
      </c>
    </row>
    <row r="327">
      <c r="A327" s="9" t="s">
        <v>1705</v>
      </c>
      <c r="B327" s="6">
        <v>5446.0</v>
      </c>
      <c r="C327" s="12" t="str">
        <f t="shared" si="1"/>
        <v>U5446</v>
      </c>
      <c r="D327" s="13" t="s">
        <v>1535</v>
      </c>
      <c r="E327" s="14">
        <v>43391.0</v>
      </c>
      <c r="F327" s="9" t="s">
        <v>53</v>
      </c>
      <c r="G327" s="9" t="s">
        <v>54</v>
      </c>
      <c r="H327" s="9">
        <v>30.4</v>
      </c>
      <c r="I327" s="13">
        <v>137.0</v>
      </c>
      <c r="J327" s="13">
        <v>145.0</v>
      </c>
      <c r="K327" s="17">
        <f t="shared" si="5"/>
        <v>0.9971708557</v>
      </c>
      <c r="L327" s="9">
        <v>0.0</v>
      </c>
      <c r="M327" s="9" t="s">
        <v>57</v>
      </c>
      <c r="O327" s="9" t="s">
        <v>638</v>
      </c>
      <c r="P327" s="9" t="s">
        <v>60</v>
      </c>
      <c r="Q327" s="9" t="s">
        <v>63</v>
      </c>
      <c r="R327" s="9" t="s">
        <v>63</v>
      </c>
      <c r="S327" s="9" t="s">
        <v>221</v>
      </c>
      <c r="T327" t="str">
        <f t="shared" si="7"/>
        <v>N</v>
      </c>
      <c r="W327" s="12" t="str">
        <f t="array" ref="W327">if(and(L327=0,Q327="NA"),"NA",if(L327=0,"no lice",if(Q327="NA","no collection",index(sea_lice!G:G,match(C327,sea_lice!A:A,0)))))</f>
        <v>NA</v>
      </c>
      <c r="X327" s="23">
        <v>326.0</v>
      </c>
    </row>
    <row r="328">
      <c r="A328" s="9" t="s">
        <v>1710</v>
      </c>
      <c r="B328" s="6">
        <v>5447.0</v>
      </c>
      <c r="C328" s="12" t="str">
        <f t="shared" si="1"/>
        <v>U5447</v>
      </c>
      <c r="D328" s="13" t="s">
        <v>1535</v>
      </c>
      <c r="E328" s="14">
        <v>43391.0</v>
      </c>
      <c r="F328" s="9" t="s">
        <v>53</v>
      </c>
      <c r="G328" s="9" t="s">
        <v>54</v>
      </c>
      <c r="H328" s="9">
        <v>24.5</v>
      </c>
      <c r="I328" s="13">
        <v>124.0</v>
      </c>
      <c r="J328" s="13">
        <v>129.0</v>
      </c>
      <c r="K328" s="17">
        <f t="shared" si="5"/>
        <v>1.141292474</v>
      </c>
      <c r="L328" s="9">
        <v>0.0</v>
      </c>
      <c r="M328" s="9" t="s">
        <v>57</v>
      </c>
      <c r="O328" s="9" t="s">
        <v>638</v>
      </c>
      <c r="P328" s="9" t="s">
        <v>60</v>
      </c>
      <c r="Q328" s="9" t="s">
        <v>63</v>
      </c>
      <c r="R328" s="9" t="s">
        <v>63</v>
      </c>
      <c r="S328" s="9" t="s">
        <v>221</v>
      </c>
      <c r="T328" t="str">
        <f t="shared" si="7"/>
        <v>N</v>
      </c>
      <c r="W328" s="12" t="str">
        <f t="array" ref="W328">if(and(L328=0,Q328="NA"),"NA",if(L328=0,"no lice",if(Q328="NA","no collection",index(sea_lice!G:G,match(C328,sea_lice!A:A,0)))))</f>
        <v>NA</v>
      </c>
      <c r="X328" s="23">
        <v>327.0</v>
      </c>
    </row>
    <row r="329">
      <c r="A329" s="9" t="s">
        <v>1716</v>
      </c>
      <c r="B329" s="6">
        <v>5448.0</v>
      </c>
      <c r="C329" s="12" t="str">
        <f t="shared" si="1"/>
        <v>U5448</v>
      </c>
      <c r="D329" s="13" t="s">
        <v>1535</v>
      </c>
      <c r="E329" s="14">
        <v>43391.0</v>
      </c>
      <c r="F329" s="9" t="s">
        <v>53</v>
      </c>
      <c r="G329" s="9" t="s">
        <v>54</v>
      </c>
      <c r="H329" s="9">
        <v>32.6</v>
      </c>
      <c r="I329" s="13">
        <v>141.0</v>
      </c>
      <c r="J329" s="13">
        <v>146.0</v>
      </c>
      <c r="K329" s="17">
        <f t="shared" si="5"/>
        <v>1.047512062</v>
      </c>
      <c r="L329" s="9">
        <v>2.0</v>
      </c>
      <c r="M329" s="9" t="s">
        <v>57</v>
      </c>
      <c r="O329" s="9" t="s">
        <v>638</v>
      </c>
      <c r="P329" s="9" t="s">
        <v>60</v>
      </c>
      <c r="Q329" s="9" t="s">
        <v>63</v>
      </c>
      <c r="R329" s="9" t="s">
        <v>63</v>
      </c>
      <c r="S329" s="9" t="s">
        <v>221</v>
      </c>
      <c r="T329" t="str">
        <f t="shared" si="7"/>
        <v>N</v>
      </c>
      <c r="W329" s="12" t="str">
        <f t="array" ref="W329">if(and(L329=0,Q329="NA"),"NA",if(L329=0,"no lice",if(Q329="NA","no collection",index(sea_lice!G:G,match(C329,sea_lice!A:A,0)))))</f>
        <v>no collection</v>
      </c>
      <c r="X329" s="23">
        <v>328.0</v>
      </c>
    </row>
    <row r="330">
      <c r="A330" s="9" t="s">
        <v>1720</v>
      </c>
      <c r="B330" s="6">
        <v>5449.0</v>
      </c>
      <c r="C330" s="12" t="str">
        <f t="shared" si="1"/>
        <v>U5449</v>
      </c>
      <c r="D330" s="13" t="s">
        <v>1535</v>
      </c>
      <c r="E330" s="14">
        <v>43391.0</v>
      </c>
      <c r="F330" s="9" t="s">
        <v>53</v>
      </c>
      <c r="G330" s="9" t="s">
        <v>54</v>
      </c>
      <c r="H330" s="9">
        <v>18.7</v>
      </c>
      <c r="I330" s="13">
        <v>117.0</v>
      </c>
      <c r="J330" s="13">
        <v>123.0</v>
      </c>
      <c r="K330" s="17">
        <f t="shared" si="5"/>
        <v>1.004907927</v>
      </c>
      <c r="L330" s="9">
        <v>0.0</v>
      </c>
      <c r="M330" s="9" t="s">
        <v>57</v>
      </c>
      <c r="O330" s="9" t="s">
        <v>638</v>
      </c>
      <c r="P330" s="9" t="s">
        <v>60</v>
      </c>
      <c r="Q330" s="9" t="s">
        <v>63</v>
      </c>
      <c r="R330" s="9" t="s">
        <v>63</v>
      </c>
      <c r="S330" s="9" t="s">
        <v>221</v>
      </c>
      <c r="T330" t="str">
        <f t="shared" si="7"/>
        <v>N</v>
      </c>
      <c r="W330" s="12" t="str">
        <f t="array" ref="W330">if(and(L330=0,Q330="NA"),"NA",if(L330=0,"no lice",if(Q330="NA","no collection",index(sea_lice!G:G,match(C330,sea_lice!A:A,0)))))</f>
        <v>NA</v>
      </c>
      <c r="X330" s="23">
        <v>329.0</v>
      </c>
    </row>
    <row r="331">
      <c r="B331" s="6">
        <v>16798.0</v>
      </c>
      <c r="C331" s="12" t="str">
        <f t="shared" si="1"/>
        <v>U16798</v>
      </c>
      <c r="D331" s="14" t="str">
        <f t="array" ref="D331">iferror(index('2018_ufns'!E:E,match(C331,'2018_ufns'!B:B,0)))</f>
        <v>P1080</v>
      </c>
      <c r="E331" s="14">
        <v>43392.0</v>
      </c>
      <c r="F331" s="9" t="s">
        <v>53</v>
      </c>
      <c r="G331" s="9" t="s">
        <v>54</v>
      </c>
      <c r="H331" s="9">
        <v>6.3</v>
      </c>
      <c r="I331" s="13">
        <v>88.0</v>
      </c>
      <c r="J331" s="13" t="s">
        <v>63</v>
      </c>
      <c r="K331" s="17" t="str">
        <f t="shared" si="5"/>
        <v/>
      </c>
      <c r="L331" s="9">
        <v>0.0</v>
      </c>
      <c r="O331" s="9" t="s">
        <v>638</v>
      </c>
      <c r="P331" s="9" t="s">
        <v>1729</v>
      </c>
      <c r="Q331" s="9" t="s">
        <v>150</v>
      </c>
      <c r="R331" s="9" t="s">
        <v>63</v>
      </c>
      <c r="S331" s="9" t="s">
        <v>221</v>
      </c>
      <c r="T331" t="str">
        <f t="shared" si="7"/>
        <v/>
      </c>
      <c r="W331" s="12" t="str">
        <f t="array" ref="W331">if(and(L331=0,Q331="NA"),"NA",if(L331=0,"no lice",if(Q331="NA","no collection",index(sea_lice!G:G,match(C331,sea_lice!A:A,0)))))</f>
        <v>no lice</v>
      </c>
      <c r="X331" s="23">
        <v>330.0</v>
      </c>
    </row>
    <row r="332">
      <c r="B332" s="6">
        <v>16797.0</v>
      </c>
      <c r="C332" s="12" t="str">
        <f t="shared" si="1"/>
        <v>U16797</v>
      </c>
      <c r="D332" s="14" t="str">
        <f t="array" ref="D332">iferror(index('2018_ufns'!E:E,match(C332,'2018_ufns'!B:B,0)))</f>
        <v>P1080</v>
      </c>
      <c r="E332" s="14">
        <v>43392.0</v>
      </c>
      <c r="F332" s="9" t="s">
        <v>53</v>
      </c>
      <c r="G332" s="9" t="s">
        <v>54</v>
      </c>
      <c r="H332" s="9">
        <v>7.0</v>
      </c>
      <c r="I332" s="13">
        <v>87.0</v>
      </c>
      <c r="J332" s="13">
        <v>92.0</v>
      </c>
      <c r="K332" s="17">
        <f t="shared" si="5"/>
        <v>0.898947974</v>
      </c>
      <c r="L332" s="9">
        <v>2.0</v>
      </c>
      <c r="O332" s="9" t="s">
        <v>638</v>
      </c>
      <c r="P332" s="9" t="s">
        <v>1729</v>
      </c>
      <c r="Q332" s="9" t="s">
        <v>150</v>
      </c>
      <c r="R332" s="9" t="s">
        <v>63</v>
      </c>
      <c r="S332" s="9" t="s">
        <v>221</v>
      </c>
      <c r="T332" t="str">
        <f t="shared" si="7"/>
        <v/>
      </c>
      <c r="W332" s="12" t="str">
        <f t="array" ref="W332">if(and(L332=0,Q332="NA"),"NA",if(L332=0,"no lice",if(Q332="NA","no collection",index(sea_lice!G:G,match(C332,sea_lice!A:A,0)))))</f>
        <v>BSL6-6</v>
      </c>
      <c r="X332" s="23">
        <v>331.0</v>
      </c>
    </row>
    <row r="333">
      <c r="B333" s="6">
        <v>16800.0</v>
      </c>
      <c r="C333" s="12" t="str">
        <f t="shared" si="1"/>
        <v>U16800</v>
      </c>
      <c r="D333" s="14" t="str">
        <f t="array" ref="D333">iferror(index('2018_ufns'!E:E,match(C333,'2018_ufns'!B:B,0)))</f>
        <v>P1080</v>
      </c>
      <c r="E333" s="14">
        <v>43392.0</v>
      </c>
      <c r="F333" s="9" t="s">
        <v>53</v>
      </c>
      <c r="G333" s="9" t="s">
        <v>54</v>
      </c>
      <c r="H333" s="9">
        <v>6.6</v>
      </c>
      <c r="I333" s="13">
        <v>88.0</v>
      </c>
      <c r="J333" s="13">
        <v>91.0</v>
      </c>
      <c r="K333" s="17">
        <f t="shared" si="5"/>
        <v>0.875829882</v>
      </c>
      <c r="L333" s="9">
        <v>1.0</v>
      </c>
      <c r="O333" s="9" t="s">
        <v>638</v>
      </c>
      <c r="P333" s="9" t="s">
        <v>1729</v>
      </c>
      <c r="Q333" s="9" t="s">
        <v>150</v>
      </c>
      <c r="R333" s="9" t="s">
        <v>63</v>
      </c>
      <c r="S333" s="9" t="s">
        <v>221</v>
      </c>
      <c r="T333" t="str">
        <f t="shared" si="7"/>
        <v/>
      </c>
      <c r="W333" s="12" t="str">
        <f t="array" ref="W333">if(and(L333=0,Q333="NA"),"NA",if(L333=0,"no lice",if(Q333="NA","no collection",index(sea_lice!G:G,match(C333,sea_lice!A:A,0)))))</f>
        <v>BSL6-7</v>
      </c>
      <c r="X333" s="23">
        <v>332.0</v>
      </c>
    </row>
    <row r="334">
      <c r="B334" s="6">
        <v>16795.0</v>
      </c>
      <c r="C334" s="12" t="str">
        <f t="shared" si="1"/>
        <v>U16795</v>
      </c>
      <c r="D334" s="14" t="str">
        <f t="array" ref="D334">iferror(index('2018_ufns'!E:E,match(C334,'2018_ufns'!B:B,0)))</f>
        <v>P1080</v>
      </c>
      <c r="E334" s="14">
        <v>43392.0</v>
      </c>
      <c r="F334" s="9" t="s">
        <v>53</v>
      </c>
      <c r="G334" s="9" t="s">
        <v>54</v>
      </c>
      <c r="H334" s="9">
        <v>6.3</v>
      </c>
      <c r="I334" s="13">
        <v>84.0</v>
      </c>
      <c r="J334" s="13" t="s">
        <v>63</v>
      </c>
      <c r="K334" s="17" t="str">
        <f t="shared" si="5"/>
        <v/>
      </c>
      <c r="L334" s="9">
        <v>0.0</v>
      </c>
      <c r="O334" s="9" t="s">
        <v>638</v>
      </c>
      <c r="P334" s="9" t="s">
        <v>1729</v>
      </c>
      <c r="Q334" s="9" t="s">
        <v>150</v>
      </c>
      <c r="R334" s="9" t="s">
        <v>63</v>
      </c>
      <c r="S334" s="9" t="s">
        <v>221</v>
      </c>
      <c r="T334" t="str">
        <f t="shared" si="7"/>
        <v/>
      </c>
      <c r="W334" s="12" t="str">
        <f t="array" ref="W334">if(and(L334=0,Q334="NA"),"NA",if(L334=0,"no lice",if(Q334="NA","no collection",index(sea_lice!G:G,match(C334,sea_lice!A:A,0)))))</f>
        <v>no lice</v>
      </c>
      <c r="X334" s="23">
        <v>333.0</v>
      </c>
    </row>
    <row r="335">
      <c r="B335" s="6">
        <v>16793.0</v>
      </c>
      <c r="C335" s="12" t="str">
        <f t="shared" si="1"/>
        <v>U16793</v>
      </c>
      <c r="D335" s="14" t="str">
        <f t="array" ref="D335">iferror(index('2018_ufns'!E:E,match(C335,'2018_ufns'!B:B,0)))</f>
        <v>P1080</v>
      </c>
      <c r="E335" s="14">
        <v>43392.0</v>
      </c>
      <c r="F335" s="9" t="s">
        <v>53</v>
      </c>
      <c r="G335" s="9" t="s">
        <v>54</v>
      </c>
      <c r="H335" s="9">
        <v>7.8</v>
      </c>
      <c r="I335" s="13">
        <v>92.0</v>
      </c>
      <c r="J335" s="13">
        <v>96.0</v>
      </c>
      <c r="K335" s="17">
        <f t="shared" si="5"/>
        <v>0.8816189236</v>
      </c>
      <c r="L335" s="9">
        <v>0.0</v>
      </c>
      <c r="O335" s="9" t="s">
        <v>638</v>
      </c>
      <c r="P335" s="9" t="s">
        <v>1729</v>
      </c>
      <c r="Q335" s="9" t="s">
        <v>150</v>
      </c>
      <c r="R335" s="9" t="s">
        <v>63</v>
      </c>
      <c r="S335" s="9" t="s">
        <v>221</v>
      </c>
      <c r="T335" t="str">
        <f t="shared" si="7"/>
        <v/>
      </c>
      <c r="W335" s="12" t="str">
        <f t="array" ref="W335">if(and(L335=0,Q335="NA"),"NA",if(L335=0,"no lice",if(Q335="NA","no collection",index(sea_lice!G:G,match(C335,sea_lice!A:A,0)))))</f>
        <v>no lice</v>
      </c>
      <c r="X335" s="23">
        <v>334.0</v>
      </c>
    </row>
    <row r="336">
      <c r="B336" s="6">
        <v>16796.0</v>
      </c>
      <c r="C336" s="12" t="str">
        <f t="shared" si="1"/>
        <v>U16796</v>
      </c>
      <c r="D336" s="14" t="str">
        <f t="array" ref="D336">iferror(index('2018_ufns'!E:E,match(C336,'2018_ufns'!B:B,0)))</f>
        <v>P1080</v>
      </c>
      <c r="E336" s="14">
        <v>43392.0</v>
      </c>
      <c r="F336" s="9" t="s">
        <v>53</v>
      </c>
      <c r="G336" s="9" t="s">
        <v>54</v>
      </c>
      <c r="H336" s="9">
        <v>7.7</v>
      </c>
      <c r="I336" s="13">
        <v>91.0</v>
      </c>
      <c r="J336" s="13">
        <v>96.0</v>
      </c>
      <c r="K336" s="17">
        <f t="shared" si="5"/>
        <v>0.8703161169</v>
      </c>
      <c r="L336" s="9">
        <v>0.0</v>
      </c>
      <c r="O336" s="9" t="s">
        <v>638</v>
      </c>
      <c r="P336" s="9" t="s">
        <v>1729</v>
      </c>
      <c r="Q336" s="9" t="s">
        <v>150</v>
      </c>
      <c r="R336" s="9" t="s">
        <v>63</v>
      </c>
      <c r="S336" s="9" t="s">
        <v>221</v>
      </c>
      <c r="T336" t="str">
        <f t="shared" si="7"/>
        <v/>
      </c>
      <c r="W336" s="12" t="str">
        <f t="array" ref="W336">if(and(L336=0,Q336="NA"),"NA",if(L336=0,"no lice",if(Q336="NA","no collection",index(sea_lice!G:G,match(C336,sea_lice!A:A,0)))))</f>
        <v>no lice</v>
      </c>
      <c r="X336" s="23">
        <v>335.0</v>
      </c>
    </row>
    <row r="337">
      <c r="B337" s="6">
        <v>16799.0</v>
      </c>
      <c r="C337" s="12" t="str">
        <f t="shared" si="1"/>
        <v>U16799</v>
      </c>
      <c r="D337" s="14" t="str">
        <f t="array" ref="D337">iferror(index('2018_ufns'!E:E,match(C337,'2018_ufns'!B:B,0)))</f>
        <v>P1080</v>
      </c>
      <c r="E337" s="14">
        <v>43392.0</v>
      </c>
      <c r="F337" s="9" t="s">
        <v>53</v>
      </c>
      <c r="G337" s="9" t="s">
        <v>54</v>
      </c>
      <c r="H337" s="9">
        <v>5.4</v>
      </c>
      <c r="I337" s="13">
        <v>87.0</v>
      </c>
      <c r="J337" s="13">
        <v>91.0</v>
      </c>
      <c r="K337" s="17">
        <f t="shared" si="5"/>
        <v>0.7165880853</v>
      </c>
      <c r="L337" s="9">
        <v>0.0</v>
      </c>
      <c r="O337" s="9" t="s">
        <v>638</v>
      </c>
      <c r="P337" s="9" t="s">
        <v>1729</v>
      </c>
      <c r="Q337" s="9" t="s">
        <v>150</v>
      </c>
      <c r="R337" s="9" t="s">
        <v>63</v>
      </c>
      <c r="S337" s="9" t="s">
        <v>221</v>
      </c>
      <c r="T337" t="str">
        <f t="shared" si="7"/>
        <v/>
      </c>
      <c r="W337" s="12" t="str">
        <f t="array" ref="W337">if(and(L337=0,Q337="NA"),"NA",if(L337=0,"no lice",if(Q337="NA","no collection",index(sea_lice!G:G,match(C337,sea_lice!A:A,0)))))</f>
        <v>no lice</v>
      </c>
      <c r="X337" s="23">
        <v>336.0</v>
      </c>
    </row>
    <row r="338">
      <c r="B338" s="6">
        <v>16794.0</v>
      </c>
      <c r="C338" s="12" t="str">
        <f t="shared" si="1"/>
        <v>U16794</v>
      </c>
      <c r="D338" s="14" t="str">
        <f t="array" ref="D338">iferror(index('2018_ufns'!E:E,match(C338,'2018_ufns'!B:B,0)))</f>
        <v>P1080</v>
      </c>
      <c r="E338" s="14">
        <v>43392.0</v>
      </c>
      <c r="F338" s="9" t="s">
        <v>53</v>
      </c>
      <c r="G338" s="9" t="s">
        <v>54</v>
      </c>
      <c r="H338" s="9">
        <v>10.4</v>
      </c>
      <c r="I338" s="13">
        <v>97.0</v>
      </c>
      <c r="J338" s="13">
        <v>103.0</v>
      </c>
      <c r="K338" s="17">
        <f t="shared" si="5"/>
        <v>0.9517473257</v>
      </c>
      <c r="L338" s="9">
        <v>0.0</v>
      </c>
      <c r="O338" s="9" t="s">
        <v>638</v>
      </c>
      <c r="P338" s="9" t="s">
        <v>1729</v>
      </c>
      <c r="Q338" s="9" t="s">
        <v>150</v>
      </c>
      <c r="R338" s="9" t="s">
        <v>63</v>
      </c>
      <c r="S338" s="9" t="s">
        <v>221</v>
      </c>
      <c r="T338" t="str">
        <f t="shared" si="7"/>
        <v/>
      </c>
      <c r="W338" s="12" t="str">
        <f t="array" ref="W338">if(and(L338=0,Q338="NA"),"NA",if(L338=0,"no lice",if(Q338="NA","no collection",index(sea_lice!G:G,match(C338,sea_lice!A:A,0)))))</f>
        <v>no lice</v>
      </c>
      <c r="X338" s="23">
        <v>337.0</v>
      </c>
    </row>
    <row r="339">
      <c r="B339" s="6">
        <v>16792.0</v>
      </c>
      <c r="C339" s="12" t="str">
        <f t="shared" si="1"/>
        <v>U16792</v>
      </c>
      <c r="D339" s="14" t="str">
        <f t="array" ref="D339">iferror(index('2018_ufns'!E:E,match(C339,'2018_ufns'!B:B,0)))</f>
        <v>P1080</v>
      </c>
      <c r="E339" s="14">
        <v>43392.0</v>
      </c>
      <c r="F339" s="9" t="s">
        <v>53</v>
      </c>
      <c r="G339" s="9" t="s">
        <v>54</v>
      </c>
      <c r="H339" s="9">
        <v>6.8</v>
      </c>
      <c r="I339" s="13">
        <v>85.0</v>
      </c>
      <c r="J339" s="13">
        <v>89.0</v>
      </c>
      <c r="K339" s="17">
        <f t="shared" si="5"/>
        <v>0.9645814213</v>
      </c>
      <c r="L339" s="9">
        <v>0.0</v>
      </c>
      <c r="O339" s="9" t="s">
        <v>638</v>
      </c>
      <c r="P339" s="9" t="s">
        <v>1729</v>
      </c>
      <c r="Q339" s="9" t="s">
        <v>150</v>
      </c>
      <c r="R339" s="9" t="s">
        <v>63</v>
      </c>
      <c r="S339" s="9" t="s">
        <v>221</v>
      </c>
      <c r="T339" t="str">
        <f t="shared" si="7"/>
        <v/>
      </c>
      <c r="W339" s="12" t="str">
        <f t="array" ref="W339">if(and(L339=0,Q339="NA"),"NA",if(L339=0,"no lice",if(Q339="NA","no collection",index(sea_lice!G:G,match(C339,sea_lice!A:A,0)))))</f>
        <v>no lice</v>
      </c>
      <c r="X339" s="23">
        <v>338.0</v>
      </c>
    </row>
    <row r="340">
      <c r="B340" s="6">
        <v>16791.0</v>
      </c>
      <c r="C340" s="12" t="str">
        <f t="shared" si="1"/>
        <v>U16791</v>
      </c>
      <c r="D340" s="14" t="str">
        <f t="array" ref="D340">iferror(index('2018_ufns'!E:E,match(C340,'2018_ufns'!B:B,0)))</f>
        <v>P1080</v>
      </c>
      <c r="E340" s="14">
        <v>43392.0</v>
      </c>
      <c r="F340" s="9" t="s">
        <v>53</v>
      </c>
      <c r="G340" s="9" t="s">
        <v>54</v>
      </c>
      <c r="H340" s="9">
        <v>6.1</v>
      </c>
      <c r="I340" s="13">
        <v>84.0</v>
      </c>
      <c r="J340" s="13" t="s">
        <v>63</v>
      </c>
      <c r="K340" s="17" t="str">
        <f t="shared" si="5"/>
        <v/>
      </c>
      <c r="L340" s="9">
        <v>0.0</v>
      </c>
      <c r="O340" s="9" t="s">
        <v>638</v>
      </c>
      <c r="P340" s="9" t="s">
        <v>1729</v>
      </c>
      <c r="Q340" s="9" t="s">
        <v>150</v>
      </c>
      <c r="R340" s="9" t="s">
        <v>63</v>
      </c>
      <c r="S340" s="9" t="s">
        <v>221</v>
      </c>
      <c r="T340" t="str">
        <f t="shared" si="7"/>
        <v/>
      </c>
      <c r="W340" s="12" t="str">
        <f t="array" ref="W340">if(and(L340=0,Q340="NA"),"NA",if(L340=0,"no lice",if(Q340="NA","no collection",index(sea_lice!G:G,match(C340,sea_lice!A:A,0)))))</f>
        <v>no lice</v>
      </c>
      <c r="X340" s="23">
        <v>339.0</v>
      </c>
    </row>
    <row r="341">
      <c r="A341" s="9" t="s">
        <v>1780</v>
      </c>
      <c r="B341" s="6">
        <v>5422.0</v>
      </c>
      <c r="C341" s="12" t="str">
        <f t="shared" si="1"/>
        <v>U5422</v>
      </c>
      <c r="D341" s="13" t="s">
        <v>1502</v>
      </c>
      <c r="E341" s="14">
        <v>43391.0</v>
      </c>
      <c r="F341" s="9" t="s">
        <v>53</v>
      </c>
      <c r="G341" s="9" t="s">
        <v>54</v>
      </c>
      <c r="H341" s="9">
        <v>3.0</v>
      </c>
      <c r="I341" s="13">
        <v>60.0</v>
      </c>
      <c r="J341" s="13" t="s">
        <v>63</v>
      </c>
      <c r="K341" s="17" t="str">
        <f t="shared" si="5"/>
        <v/>
      </c>
      <c r="L341" s="9">
        <v>1.0</v>
      </c>
      <c r="M341" s="9" t="s">
        <v>57</v>
      </c>
      <c r="O341" s="9" t="s">
        <v>221</v>
      </c>
      <c r="P341" s="9" t="s">
        <v>60</v>
      </c>
      <c r="Q341" s="9" t="s">
        <v>63</v>
      </c>
      <c r="R341" s="9" t="s">
        <v>63</v>
      </c>
      <c r="S341" s="9" t="s">
        <v>638</v>
      </c>
      <c r="T341" t="str">
        <f t="shared" si="7"/>
        <v>N</v>
      </c>
      <c r="W341" s="12" t="str">
        <f t="array" ref="W341">if(and(L341=0,Q341="NA"),"NA",if(L341=0,"no lice",if(Q341="NA","no collection",index(sea_lice!G:G,match(C341,sea_lice!A:A,0)))))</f>
        <v>no collection</v>
      </c>
      <c r="X341" s="23">
        <v>340.0</v>
      </c>
    </row>
    <row r="342">
      <c r="A342" s="9" t="s">
        <v>1783</v>
      </c>
      <c r="B342" s="6">
        <v>5423.0</v>
      </c>
      <c r="C342" s="12" t="str">
        <f t="shared" si="1"/>
        <v>U5423</v>
      </c>
      <c r="D342" s="13" t="s">
        <v>1502</v>
      </c>
      <c r="E342" s="14">
        <v>43391.0</v>
      </c>
      <c r="F342" s="9" t="s">
        <v>53</v>
      </c>
      <c r="G342" s="9" t="s">
        <v>54</v>
      </c>
      <c r="H342" s="9">
        <v>4.9</v>
      </c>
      <c r="I342" s="13">
        <v>77.0</v>
      </c>
      <c r="J342" s="13" t="s">
        <v>63</v>
      </c>
      <c r="K342" s="17" t="str">
        <f t="shared" si="5"/>
        <v/>
      </c>
      <c r="L342" s="9">
        <v>0.0</v>
      </c>
      <c r="M342" s="9" t="s">
        <v>57</v>
      </c>
      <c r="O342" s="9" t="s">
        <v>221</v>
      </c>
      <c r="P342" s="9" t="s">
        <v>60</v>
      </c>
      <c r="Q342" s="9" t="s">
        <v>63</v>
      </c>
      <c r="R342" s="9" t="s">
        <v>63</v>
      </c>
      <c r="S342" s="9" t="s">
        <v>638</v>
      </c>
      <c r="T342" t="str">
        <f t="shared" si="7"/>
        <v>N</v>
      </c>
      <c r="W342" s="12" t="str">
        <f t="array" ref="W342">if(and(L342=0,Q342="NA"),"NA",if(L342=0,"no lice",if(Q342="NA","no collection",index(sea_lice!G:G,match(C342,sea_lice!A:A,0)))))</f>
        <v>NA</v>
      </c>
      <c r="X342" s="23">
        <v>341.0</v>
      </c>
    </row>
    <row r="343">
      <c r="A343" s="9" t="s">
        <v>1789</v>
      </c>
      <c r="B343" s="6">
        <v>5424.0</v>
      </c>
      <c r="C343" s="12" t="str">
        <f t="shared" si="1"/>
        <v>U5424</v>
      </c>
      <c r="D343" s="13" t="s">
        <v>1502</v>
      </c>
      <c r="E343" s="14">
        <v>43391.0</v>
      </c>
      <c r="F343" s="9" t="s">
        <v>53</v>
      </c>
      <c r="G343" s="9" t="s">
        <v>54</v>
      </c>
      <c r="H343" s="9">
        <v>6.3</v>
      </c>
      <c r="I343" s="13">
        <v>83.0</v>
      </c>
      <c r="J343" s="13">
        <v>88.0</v>
      </c>
      <c r="K343" s="17">
        <f t="shared" si="5"/>
        <v>0.9244693839</v>
      </c>
      <c r="L343" s="9">
        <v>0.0</v>
      </c>
      <c r="M343" s="9" t="s">
        <v>57</v>
      </c>
      <c r="O343" s="9" t="s">
        <v>221</v>
      </c>
      <c r="P343" s="9" t="s">
        <v>60</v>
      </c>
      <c r="Q343" s="9" t="s">
        <v>63</v>
      </c>
      <c r="R343" s="9" t="s">
        <v>63</v>
      </c>
      <c r="S343" s="9" t="s">
        <v>638</v>
      </c>
      <c r="T343" t="str">
        <f t="shared" si="7"/>
        <v>N</v>
      </c>
      <c r="W343" s="12" t="str">
        <f t="array" ref="W343">if(and(L343=0,Q343="NA"),"NA",if(L343=0,"no lice",if(Q343="NA","no collection",index(sea_lice!G:G,match(C343,sea_lice!A:A,0)))))</f>
        <v>NA</v>
      </c>
      <c r="X343" s="23">
        <v>342.0</v>
      </c>
    </row>
    <row r="344">
      <c r="A344" s="9" t="s">
        <v>1794</v>
      </c>
      <c r="B344" s="6">
        <v>5425.0</v>
      </c>
      <c r="C344" s="12" t="str">
        <f t="shared" si="1"/>
        <v>U5425</v>
      </c>
      <c r="D344" s="13" t="s">
        <v>1502</v>
      </c>
      <c r="E344" s="14">
        <v>43391.0</v>
      </c>
      <c r="F344" s="9" t="s">
        <v>53</v>
      </c>
      <c r="G344" s="9" t="s">
        <v>54</v>
      </c>
      <c r="H344" s="9">
        <v>3.7</v>
      </c>
      <c r="I344" s="13">
        <v>69.0</v>
      </c>
      <c r="J344" s="13" t="s">
        <v>63</v>
      </c>
      <c r="K344" s="17" t="str">
        <f t="shared" si="5"/>
        <v/>
      </c>
      <c r="L344" s="9">
        <v>0.0</v>
      </c>
      <c r="M344" s="9" t="s">
        <v>57</v>
      </c>
      <c r="O344" s="9" t="s">
        <v>221</v>
      </c>
      <c r="P344" s="9" t="s">
        <v>60</v>
      </c>
      <c r="Q344" s="9" t="s">
        <v>63</v>
      </c>
      <c r="R344" s="9" t="s">
        <v>63</v>
      </c>
      <c r="S344" s="9" t="s">
        <v>638</v>
      </c>
      <c r="T344" t="str">
        <f t="shared" si="7"/>
        <v>N</v>
      </c>
      <c r="W344" s="12" t="str">
        <f t="array" ref="W344">if(and(L344=0,Q344="NA"),"NA",if(L344=0,"no lice",if(Q344="NA","no collection",index(sea_lice!G:G,match(C344,sea_lice!A:A,0)))))</f>
        <v>NA</v>
      </c>
      <c r="X344" s="23">
        <v>343.0</v>
      </c>
    </row>
    <row r="345">
      <c r="A345" s="9" t="s">
        <v>1800</v>
      </c>
      <c r="B345" s="6">
        <v>5426.0</v>
      </c>
      <c r="C345" s="12" t="str">
        <f t="shared" si="1"/>
        <v>U5426</v>
      </c>
      <c r="D345" s="13" t="s">
        <v>1502</v>
      </c>
      <c r="E345" s="14">
        <v>43391.0</v>
      </c>
      <c r="F345" s="9" t="s">
        <v>53</v>
      </c>
      <c r="G345" s="9" t="s">
        <v>54</v>
      </c>
      <c r="H345" s="9">
        <v>4.4</v>
      </c>
      <c r="I345" s="13">
        <v>71.0</v>
      </c>
      <c r="J345" s="13" t="s">
        <v>63</v>
      </c>
      <c r="K345" s="17" t="str">
        <f t="shared" si="5"/>
        <v/>
      </c>
      <c r="L345" s="9">
        <v>0.0</v>
      </c>
      <c r="M345" s="9" t="s">
        <v>57</v>
      </c>
      <c r="O345" s="9" t="s">
        <v>221</v>
      </c>
      <c r="P345" s="9" t="s">
        <v>60</v>
      </c>
      <c r="Q345" s="9" t="s">
        <v>63</v>
      </c>
      <c r="R345" s="9" t="s">
        <v>63</v>
      </c>
      <c r="S345" s="9" t="s">
        <v>638</v>
      </c>
      <c r="T345" t="str">
        <f t="shared" si="7"/>
        <v>N</v>
      </c>
      <c r="W345" s="12" t="str">
        <f t="array" ref="W345">if(and(L345=0,Q345="NA"),"NA",if(L345=0,"no lice",if(Q345="NA","no collection",index(sea_lice!G:G,match(C345,sea_lice!A:A,0)))))</f>
        <v>NA</v>
      </c>
      <c r="X345" s="23">
        <v>344.0</v>
      </c>
    </row>
    <row r="346">
      <c r="A346" s="9" t="s">
        <v>1807</v>
      </c>
      <c r="B346" s="6">
        <v>5427.0</v>
      </c>
      <c r="C346" s="12" t="str">
        <f t="shared" si="1"/>
        <v>U5427</v>
      </c>
      <c r="D346" s="13" t="s">
        <v>1502</v>
      </c>
      <c r="E346" s="14">
        <v>43391.0</v>
      </c>
      <c r="F346" s="9" t="s">
        <v>53</v>
      </c>
      <c r="G346" s="9" t="s">
        <v>54</v>
      </c>
      <c r="H346" s="9">
        <v>3.9</v>
      </c>
      <c r="I346" s="13">
        <v>67.0</v>
      </c>
      <c r="J346" s="13" t="s">
        <v>63</v>
      </c>
      <c r="K346" s="17" t="str">
        <f t="shared" si="5"/>
        <v/>
      </c>
      <c r="L346" s="9">
        <v>0.0</v>
      </c>
      <c r="M346" s="9" t="s">
        <v>57</v>
      </c>
      <c r="O346" s="9" t="s">
        <v>221</v>
      </c>
      <c r="P346" s="9" t="s">
        <v>60</v>
      </c>
      <c r="Q346" s="9" t="s">
        <v>63</v>
      </c>
      <c r="R346" s="9" t="s">
        <v>63</v>
      </c>
      <c r="S346" s="9" t="s">
        <v>638</v>
      </c>
      <c r="T346" t="str">
        <f t="shared" si="7"/>
        <v>N</v>
      </c>
      <c r="W346" s="12" t="str">
        <f t="array" ref="W346">if(and(L346=0,Q346="NA"),"NA",if(L346=0,"no lice",if(Q346="NA","no collection",index(sea_lice!G:G,match(C346,sea_lice!A:A,0)))))</f>
        <v>NA</v>
      </c>
      <c r="X346" s="23">
        <v>345.0</v>
      </c>
    </row>
    <row r="347">
      <c r="A347" s="9" t="s">
        <v>1813</v>
      </c>
      <c r="B347" s="6">
        <v>5428.0</v>
      </c>
      <c r="C347" s="12" t="str">
        <f t="shared" si="1"/>
        <v>U5428</v>
      </c>
      <c r="D347" s="13" t="s">
        <v>1502</v>
      </c>
      <c r="E347" s="14">
        <v>43391.0</v>
      </c>
      <c r="F347" s="9" t="s">
        <v>53</v>
      </c>
      <c r="G347" s="9" t="s">
        <v>268</v>
      </c>
      <c r="H347" s="9">
        <v>2.7</v>
      </c>
      <c r="I347" s="13">
        <v>65.0</v>
      </c>
      <c r="J347" s="13">
        <v>68.0</v>
      </c>
      <c r="K347" s="17">
        <f t="shared" si="5"/>
        <v>0.8586912274</v>
      </c>
      <c r="L347" s="9">
        <v>0.0</v>
      </c>
      <c r="M347" s="9" t="s">
        <v>57</v>
      </c>
      <c r="O347" s="9" t="s">
        <v>221</v>
      </c>
      <c r="P347" s="9" t="s">
        <v>60</v>
      </c>
      <c r="Q347" s="9" t="s">
        <v>63</v>
      </c>
      <c r="R347" s="9" t="s">
        <v>63</v>
      </c>
      <c r="S347" s="9" t="s">
        <v>638</v>
      </c>
      <c r="T347" t="str">
        <f t="shared" si="7"/>
        <v>N</v>
      </c>
      <c r="W347" s="12" t="str">
        <f t="array" ref="W347">if(and(L347=0,Q347="NA"),"NA",if(L347=0,"no lice",if(Q347="NA","no collection",index(sea_lice!G:G,match(C347,sea_lice!A:A,0)))))</f>
        <v>NA</v>
      </c>
      <c r="X347" s="23">
        <v>346.0</v>
      </c>
    </row>
    <row r="348">
      <c r="A348" s="9" t="s">
        <v>1820</v>
      </c>
      <c r="B348" s="6">
        <v>5429.0</v>
      </c>
      <c r="C348" s="12" t="str">
        <f t="shared" si="1"/>
        <v>U5429</v>
      </c>
      <c r="D348" s="13" t="s">
        <v>1502</v>
      </c>
      <c r="E348" s="14">
        <v>43391.0</v>
      </c>
      <c r="F348" s="9" t="s">
        <v>53</v>
      </c>
      <c r="G348" s="9" t="s">
        <v>54</v>
      </c>
      <c r="H348" s="9">
        <v>3.8</v>
      </c>
      <c r="I348" s="13">
        <v>69.0</v>
      </c>
      <c r="J348" s="13" t="s">
        <v>63</v>
      </c>
      <c r="K348" s="17" t="str">
        <f t="shared" si="5"/>
        <v/>
      </c>
      <c r="L348" s="9">
        <v>0.0</v>
      </c>
      <c r="M348" s="9" t="s">
        <v>57</v>
      </c>
      <c r="O348" s="9" t="s">
        <v>221</v>
      </c>
      <c r="P348" s="9" t="s">
        <v>60</v>
      </c>
      <c r="Q348" s="9" t="s">
        <v>63</v>
      </c>
      <c r="R348" s="9" t="s">
        <v>63</v>
      </c>
      <c r="S348" s="9" t="s">
        <v>638</v>
      </c>
      <c r="T348" t="str">
        <f t="shared" si="7"/>
        <v>N</v>
      </c>
      <c r="W348" s="12" t="str">
        <f t="array" ref="W348">if(and(L348=0,Q348="NA"),"NA",if(L348=0,"no lice",if(Q348="NA","no collection",index(sea_lice!G:G,match(C348,sea_lice!A:A,0)))))</f>
        <v>NA</v>
      </c>
      <c r="X348" s="23">
        <v>347.0</v>
      </c>
    </row>
    <row r="349">
      <c r="A349" s="9" t="s">
        <v>1826</v>
      </c>
      <c r="B349" s="6">
        <v>5430.0</v>
      </c>
      <c r="C349" s="12" t="str">
        <f t="shared" si="1"/>
        <v>U5430</v>
      </c>
      <c r="D349" s="13" t="s">
        <v>1502</v>
      </c>
      <c r="E349" s="14">
        <v>43391.0</v>
      </c>
      <c r="F349" s="9" t="s">
        <v>53</v>
      </c>
      <c r="G349" s="9" t="s">
        <v>54</v>
      </c>
      <c r="H349" s="9">
        <v>3.5</v>
      </c>
      <c r="I349" s="13">
        <v>69.0</v>
      </c>
      <c r="J349" s="13" t="s">
        <v>63</v>
      </c>
      <c r="K349" s="17" t="str">
        <f t="shared" si="5"/>
        <v/>
      </c>
      <c r="L349" s="9">
        <v>0.0</v>
      </c>
      <c r="M349" s="9" t="s">
        <v>57</v>
      </c>
      <c r="O349" s="9" t="s">
        <v>221</v>
      </c>
      <c r="P349" s="9" t="s">
        <v>60</v>
      </c>
      <c r="Q349" s="9" t="s">
        <v>63</v>
      </c>
      <c r="R349" s="9" t="s">
        <v>63</v>
      </c>
      <c r="S349" s="9" t="s">
        <v>638</v>
      </c>
      <c r="T349" t="str">
        <f t="shared" si="7"/>
        <v>N</v>
      </c>
      <c r="W349" s="12" t="str">
        <f t="array" ref="W349">if(and(L349=0,Q349="NA"),"NA",if(L349=0,"no lice",if(Q349="NA","no collection",index(sea_lice!G:G,match(C349,sea_lice!A:A,0)))))</f>
        <v>NA</v>
      </c>
      <c r="X349" s="23">
        <v>348.0</v>
      </c>
    </row>
    <row r="350">
      <c r="A350" s="9" t="s">
        <v>1831</v>
      </c>
      <c r="B350" s="6">
        <v>5431.0</v>
      </c>
      <c r="C350" s="12" t="str">
        <f t="shared" si="1"/>
        <v>U5431</v>
      </c>
      <c r="D350" s="13" t="s">
        <v>1502</v>
      </c>
      <c r="E350" s="14">
        <v>43391.0</v>
      </c>
      <c r="F350" s="9" t="s">
        <v>53</v>
      </c>
      <c r="G350" s="9" t="s">
        <v>54</v>
      </c>
      <c r="H350" s="9">
        <v>1.9</v>
      </c>
      <c r="I350" s="13">
        <v>53.0</v>
      </c>
      <c r="J350" s="13" t="s">
        <v>63</v>
      </c>
      <c r="K350" s="17" t="str">
        <f t="shared" si="5"/>
        <v/>
      </c>
      <c r="L350" s="9">
        <v>0.0</v>
      </c>
      <c r="M350" s="9" t="s">
        <v>57</v>
      </c>
      <c r="O350" s="9" t="s">
        <v>221</v>
      </c>
      <c r="P350" s="9" t="s">
        <v>60</v>
      </c>
      <c r="Q350" s="9" t="s">
        <v>63</v>
      </c>
      <c r="R350" s="9" t="s">
        <v>63</v>
      </c>
      <c r="S350" s="9" t="s">
        <v>638</v>
      </c>
      <c r="T350" t="str">
        <f t="shared" si="7"/>
        <v>N</v>
      </c>
      <c r="W350" s="12" t="str">
        <f t="array" ref="W350">if(and(L350=0,Q350="NA"),"NA",if(L350=0,"no lice",if(Q350="NA","no collection",index(sea_lice!G:G,match(C350,sea_lice!A:A,0)))))</f>
        <v>NA</v>
      </c>
      <c r="X350" s="23">
        <v>349.0</v>
      </c>
    </row>
    <row r="351">
      <c r="A351" s="9" t="s">
        <v>1834</v>
      </c>
      <c r="B351" s="6">
        <v>5432.0</v>
      </c>
      <c r="C351" s="12" t="str">
        <f t="shared" si="1"/>
        <v>U5432</v>
      </c>
      <c r="D351" s="13" t="s">
        <v>1528</v>
      </c>
      <c r="E351" s="14">
        <v>43391.0</v>
      </c>
      <c r="F351" s="9" t="s">
        <v>53</v>
      </c>
      <c r="G351" s="9" t="s">
        <v>54</v>
      </c>
      <c r="H351" s="9">
        <v>24.8</v>
      </c>
      <c r="I351" s="13">
        <v>128.0</v>
      </c>
      <c r="J351" s="13">
        <v>134.0</v>
      </c>
      <c r="K351" s="17">
        <f t="shared" si="5"/>
        <v>1.030711889</v>
      </c>
      <c r="L351" s="9">
        <v>3.0</v>
      </c>
      <c r="M351" s="9" t="s">
        <v>57</v>
      </c>
      <c r="O351" s="9" t="s">
        <v>221</v>
      </c>
      <c r="P351" s="9" t="s">
        <v>60</v>
      </c>
      <c r="Q351" s="9" t="s">
        <v>63</v>
      </c>
      <c r="R351" s="9" t="s">
        <v>63</v>
      </c>
      <c r="S351" s="9" t="s">
        <v>638</v>
      </c>
      <c r="T351" t="str">
        <f t="shared" si="7"/>
        <v>N</v>
      </c>
      <c r="W351" s="12" t="str">
        <f t="array" ref="W351">if(and(L351=0,Q351="NA"),"NA",if(L351=0,"no lice",if(Q351="NA","no collection",index(sea_lice!G:G,match(C351,sea_lice!A:A,0)))))</f>
        <v>no collection</v>
      </c>
      <c r="X351" s="23">
        <v>350.0</v>
      </c>
    </row>
    <row r="352">
      <c r="A352" s="9" t="s">
        <v>1837</v>
      </c>
      <c r="B352" s="6">
        <v>5433.0</v>
      </c>
      <c r="C352" s="12" t="str">
        <f t="shared" si="1"/>
        <v>U5433</v>
      </c>
      <c r="D352" s="13" t="s">
        <v>1528</v>
      </c>
      <c r="E352" s="14">
        <v>43391.0</v>
      </c>
      <c r="F352" s="9" t="s">
        <v>53</v>
      </c>
      <c r="G352" s="9" t="s">
        <v>54</v>
      </c>
      <c r="H352" s="9">
        <v>25.2</v>
      </c>
      <c r="I352" s="13">
        <v>129.0</v>
      </c>
      <c r="J352" s="13">
        <v>134.0</v>
      </c>
      <c r="K352" s="17">
        <f t="shared" si="5"/>
        <v>1.047336275</v>
      </c>
      <c r="L352" s="9">
        <v>0.0</v>
      </c>
      <c r="M352" s="9" t="s">
        <v>57</v>
      </c>
      <c r="O352" s="9" t="s">
        <v>221</v>
      </c>
      <c r="P352" s="9" t="s">
        <v>60</v>
      </c>
      <c r="Q352" s="9" t="s">
        <v>63</v>
      </c>
      <c r="R352" s="9" t="s">
        <v>63</v>
      </c>
      <c r="S352" s="9" t="s">
        <v>638</v>
      </c>
      <c r="T352" t="str">
        <f t="shared" si="7"/>
        <v>N</v>
      </c>
      <c r="W352" s="12" t="str">
        <f t="array" ref="W352">if(and(L352=0,Q352="NA"),"NA",if(L352=0,"no lice",if(Q352="NA","no collection",index(sea_lice!G:G,match(C352,sea_lice!A:A,0)))))</f>
        <v>NA</v>
      </c>
      <c r="X352" s="23">
        <v>351.0</v>
      </c>
    </row>
    <row r="353">
      <c r="A353" s="9" t="s">
        <v>1842</v>
      </c>
      <c r="B353" s="6">
        <v>5434.0</v>
      </c>
      <c r="C353" s="12" t="str">
        <f t="shared" si="1"/>
        <v>U5434</v>
      </c>
      <c r="D353" s="13" t="s">
        <v>1528</v>
      </c>
      <c r="E353" s="14">
        <v>43391.0</v>
      </c>
      <c r="F353" s="9" t="s">
        <v>53</v>
      </c>
      <c r="G353" s="9" t="s">
        <v>54</v>
      </c>
      <c r="H353" s="9">
        <v>28.2</v>
      </c>
      <c r="I353" s="13">
        <v>138.0</v>
      </c>
      <c r="J353" s="13">
        <v>144.0</v>
      </c>
      <c r="K353" s="17">
        <f t="shared" si="5"/>
        <v>0.9444122942</v>
      </c>
      <c r="L353" s="9">
        <v>1.0</v>
      </c>
      <c r="M353" s="9" t="s">
        <v>57</v>
      </c>
      <c r="O353" s="9" t="s">
        <v>221</v>
      </c>
      <c r="P353" s="9" t="s">
        <v>60</v>
      </c>
      <c r="Q353" s="9" t="s">
        <v>63</v>
      </c>
      <c r="R353" s="9" t="s">
        <v>63</v>
      </c>
      <c r="S353" s="9" t="s">
        <v>638</v>
      </c>
      <c r="T353" t="str">
        <f t="shared" si="7"/>
        <v>N</v>
      </c>
      <c r="W353" s="12" t="str">
        <f t="array" ref="W353">if(and(L353=0,Q353="NA"),"NA",if(L353=0,"no lice",if(Q353="NA","no collection",index(sea_lice!G:G,match(C353,sea_lice!A:A,0)))))</f>
        <v>no collection</v>
      </c>
      <c r="X353" s="23">
        <v>352.0</v>
      </c>
    </row>
    <row r="354">
      <c r="A354" s="9" t="s">
        <v>1851</v>
      </c>
      <c r="B354" s="6">
        <v>5435.0</v>
      </c>
      <c r="C354" s="12" t="str">
        <f t="shared" si="1"/>
        <v>U5435</v>
      </c>
      <c r="D354" s="13" t="s">
        <v>1528</v>
      </c>
      <c r="E354" s="14">
        <v>43391.0</v>
      </c>
      <c r="F354" s="9" t="s">
        <v>53</v>
      </c>
      <c r="G354" s="9" t="s">
        <v>54</v>
      </c>
      <c r="H354" s="9">
        <v>25.6</v>
      </c>
      <c r="I354" s="13">
        <v>126.0</v>
      </c>
      <c r="J354" s="13">
        <v>130.0</v>
      </c>
      <c r="K354" s="17">
        <f t="shared" si="5"/>
        <v>1.165225307</v>
      </c>
      <c r="L354" s="9">
        <v>0.0</v>
      </c>
      <c r="M354" s="9" t="s">
        <v>57</v>
      </c>
      <c r="N354" s="9" t="s">
        <v>1856</v>
      </c>
      <c r="O354" s="9" t="s">
        <v>221</v>
      </c>
      <c r="P354" s="9" t="s">
        <v>60</v>
      </c>
      <c r="Q354" s="9" t="s">
        <v>63</v>
      </c>
      <c r="R354" s="9" t="s">
        <v>63</v>
      </c>
      <c r="S354" s="9" t="s">
        <v>638</v>
      </c>
      <c r="T354" t="str">
        <f>if(isblank(A355),"",if(or(and(countif(A:A,A355)&gt;1,A355&lt;&gt;"NA"),countif(B:B,B354)&gt;1),"Y","N"))</f>
        <v>N</v>
      </c>
      <c r="W354" s="12" t="str">
        <f t="array" ref="W354">if(and(L354=0,Q354="NA"),"NA",if(L354=0,"no lice",if(Q354="NA","no collection",index(sea_lice!G:G,match(C354,sea_lice!A:A,0)))))</f>
        <v>NA</v>
      </c>
      <c r="X354" s="23">
        <v>353.0</v>
      </c>
    </row>
    <row r="355">
      <c r="A355" s="9" t="s">
        <v>1862</v>
      </c>
      <c r="B355" s="6">
        <v>5436.0</v>
      </c>
      <c r="C355" s="12" t="str">
        <f t="shared" si="1"/>
        <v>U5436</v>
      </c>
      <c r="D355" s="13" t="s">
        <v>1528</v>
      </c>
      <c r="E355" s="14">
        <v>43391.0</v>
      </c>
      <c r="F355" s="9" t="s">
        <v>53</v>
      </c>
      <c r="G355" s="9" t="s">
        <v>54</v>
      </c>
      <c r="H355" s="9">
        <v>20.9</v>
      </c>
      <c r="I355" s="13">
        <v>124.0</v>
      </c>
      <c r="J355" s="13">
        <v>129.0</v>
      </c>
      <c r="K355" s="17">
        <f t="shared" si="5"/>
        <v>0.9735923555</v>
      </c>
      <c r="L355" s="9">
        <v>0.0</v>
      </c>
      <c r="M355" s="9" t="s">
        <v>57</v>
      </c>
      <c r="N355" s="9" t="s">
        <v>1456</v>
      </c>
      <c r="O355" s="9" t="s">
        <v>221</v>
      </c>
      <c r="P355" s="9" t="s">
        <v>60</v>
      </c>
      <c r="Q355" s="9" t="s">
        <v>63</v>
      </c>
      <c r="R355" s="9" t="s">
        <v>63</v>
      </c>
      <c r="S355" s="9" t="s">
        <v>638</v>
      </c>
      <c r="T355" t="str">
        <f t="shared" ref="T355:T357" si="8">if(isblank(A355:A356),"",if(or(and(countif(A:A,A355:A356)&gt;1,A355:A356&lt;&gt;"NA"),countif(B:B,B355)&gt;1),"Y","N"))</f>
        <v>N</v>
      </c>
      <c r="W355" s="12" t="str">
        <f t="array" ref="W355">if(and(L355=0,Q355="NA"),"NA",if(L355=0,"no lice",if(Q355="NA","no collection",index(sea_lice!G:G,match(C355,sea_lice!A:A,0)))))</f>
        <v>NA</v>
      </c>
      <c r="X355" s="23">
        <v>354.0</v>
      </c>
    </row>
    <row r="356">
      <c r="A356" s="9" t="s">
        <v>1868</v>
      </c>
      <c r="B356" s="6">
        <v>5462.0</v>
      </c>
      <c r="C356" s="12" t="str">
        <f t="shared" si="1"/>
        <v>U5462</v>
      </c>
      <c r="D356" s="13" t="s">
        <v>1528</v>
      </c>
      <c r="E356" s="14">
        <v>43391.0</v>
      </c>
      <c r="F356" s="9" t="s">
        <v>53</v>
      </c>
      <c r="G356" s="9" t="s">
        <v>54</v>
      </c>
      <c r="H356" s="9">
        <v>26.1</v>
      </c>
      <c r="I356" s="13">
        <v>135.0</v>
      </c>
      <c r="J356" s="13" t="s">
        <v>63</v>
      </c>
      <c r="K356" s="17" t="str">
        <f t="shared" si="5"/>
        <v/>
      </c>
      <c r="L356" s="9">
        <v>0.0</v>
      </c>
      <c r="M356" s="9" t="s">
        <v>57</v>
      </c>
      <c r="O356" s="9" t="s">
        <v>221</v>
      </c>
      <c r="P356" s="9" t="s">
        <v>60</v>
      </c>
      <c r="Q356" s="9" t="s">
        <v>63</v>
      </c>
      <c r="R356" s="9" t="s">
        <v>63</v>
      </c>
      <c r="S356" s="9" t="s">
        <v>638</v>
      </c>
      <c r="T356" t="str">
        <f t="shared" si="8"/>
        <v>N</v>
      </c>
      <c r="W356" s="12" t="str">
        <f t="array" ref="W356">if(and(L356=0,Q356="NA"),"NA",if(L356=0,"no lice",if(Q356="NA","no collection",index(sea_lice!G:G,match(C356,sea_lice!A:A,0)))))</f>
        <v>NA</v>
      </c>
      <c r="X356" s="23">
        <v>355.0</v>
      </c>
    </row>
    <row r="357">
      <c r="A357" s="9" t="s">
        <v>1873</v>
      </c>
      <c r="B357" s="6">
        <v>5463.0</v>
      </c>
      <c r="C357" s="12" t="str">
        <f t="shared" si="1"/>
        <v>U5463</v>
      </c>
      <c r="D357" s="13" t="s">
        <v>1528</v>
      </c>
      <c r="E357" s="14">
        <v>43391.0</v>
      </c>
      <c r="F357" s="9" t="s">
        <v>53</v>
      </c>
      <c r="G357" s="9" t="s">
        <v>54</v>
      </c>
      <c r="H357" s="9">
        <v>17.8</v>
      </c>
      <c r="I357" s="13">
        <v>121.0</v>
      </c>
      <c r="J357" s="13">
        <v>126.0</v>
      </c>
      <c r="K357" s="17">
        <f t="shared" si="5"/>
        <v>0.8898327115</v>
      </c>
      <c r="L357" s="9">
        <v>0.0</v>
      </c>
      <c r="M357" s="9" t="s">
        <v>57</v>
      </c>
      <c r="N357" s="9" t="s">
        <v>284</v>
      </c>
      <c r="O357" s="9" t="s">
        <v>221</v>
      </c>
      <c r="P357" s="9" t="s">
        <v>60</v>
      </c>
      <c r="Q357" s="9" t="s">
        <v>63</v>
      </c>
      <c r="R357" s="9" t="s">
        <v>63</v>
      </c>
      <c r="S357" s="9" t="s">
        <v>638</v>
      </c>
      <c r="T357" t="str">
        <f t="shared" si="8"/>
        <v>N</v>
      </c>
      <c r="W357" s="12" t="str">
        <f t="array" ref="W357">if(and(L357=0,Q357="NA"),"NA",if(L357=0,"no lice",if(Q357="NA","no collection",index(sea_lice!G:G,match(C357,sea_lice!A:A,0)))))</f>
        <v>NA</v>
      </c>
      <c r="X357" s="23">
        <v>356.0</v>
      </c>
    </row>
    <row r="358">
      <c r="A358" s="9" t="s">
        <v>1879</v>
      </c>
      <c r="B358" s="6">
        <v>5464.0</v>
      </c>
      <c r="C358" s="12" t="str">
        <f t="shared" si="1"/>
        <v>U5464</v>
      </c>
      <c r="D358" s="13" t="s">
        <v>1528</v>
      </c>
      <c r="E358" s="14">
        <v>43391.0</v>
      </c>
      <c r="F358" s="9" t="s">
        <v>53</v>
      </c>
      <c r="G358" s="9" t="s">
        <v>54</v>
      </c>
      <c r="H358" s="9">
        <v>22.1</v>
      </c>
      <c r="I358" s="13">
        <v>126.0</v>
      </c>
      <c r="J358" s="13">
        <v>132.0</v>
      </c>
      <c r="K358" s="17">
        <f t="shared" si="5"/>
        <v>0.960882934</v>
      </c>
      <c r="L358" s="9">
        <v>0.0</v>
      </c>
      <c r="M358" s="9" t="s">
        <v>57</v>
      </c>
      <c r="O358" s="9" t="s">
        <v>221</v>
      </c>
      <c r="P358" s="9" t="s">
        <v>60</v>
      </c>
      <c r="Q358" s="9" t="s">
        <v>63</v>
      </c>
      <c r="R358" s="9" t="s">
        <v>63</v>
      </c>
      <c r="S358" s="9" t="s">
        <v>638</v>
      </c>
      <c r="T358" t="str">
        <f>if(isblank(A358),"",if(or(and(countif(A:A,A358)&gt;1,A358&lt;&gt;"NA"),countif(B:B,B358)&gt;1),"Y","N"))</f>
        <v>N</v>
      </c>
      <c r="W358" s="12" t="str">
        <f t="array" ref="W358">if(and(L358=0,Q358="NA"),"NA",if(L358=0,"no lice",if(Q358="NA","no collection",index(sea_lice!G:G,match(C358,sea_lice!A:A,0)))))</f>
        <v>NA</v>
      </c>
      <c r="X358" s="23">
        <v>357.0</v>
      </c>
    </row>
    <row r="359">
      <c r="A359" s="9" t="s">
        <v>1884</v>
      </c>
      <c r="B359" s="6">
        <v>5465.0</v>
      </c>
      <c r="C359" s="12" t="str">
        <f t="shared" si="1"/>
        <v>U5465</v>
      </c>
      <c r="D359" s="13" t="s">
        <v>1528</v>
      </c>
      <c r="E359" s="14">
        <v>43395.0</v>
      </c>
      <c r="F359" s="9" t="s">
        <v>53</v>
      </c>
      <c r="G359" s="9" t="s">
        <v>54</v>
      </c>
      <c r="H359" s="9">
        <v>23.9</v>
      </c>
      <c r="I359" s="13">
        <v>125.0</v>
      </c>
      <c r="J359" s="13">
        <v>131.0</v>
      </c>
      <c r="K359" s="17">
        <f t="shared" si="5"/>
        <v>1.063124224</v>
      </c>
      <c r="L359" s="9">
        <v>0.0</v>
      </c>
      <c r="M359" s="9" t="s">
        <v>57</v>
      </c>
      <c r="O359" s="9" t="s">
        <v>221</v>
      </c>
      <c r="P359" s="9" t="s">
        <v>60</v>
      </c>
      <c r="Q359" s="9" t="s">
        <v>63</v>
      </c>
      <c r="R359" s="9" t="s">
        <v>63</v>
      </c>
      <c r="S359" s="9" t="s">
        <v>638</v>
      </c>
      <c r="T359" t="str">
        <f>if(isblank(A354:A360),"",if(or(and(countif(A:A,A354:A360)&gt;1,A354:A360&lt;&gt;"NA"),countif(B:B,B359)&gt;1),"Y","N"))</f>
        <v>N</v>
      </c>
      <c r="W359" s="12" t="str">
        <f t="array" ref="W359">if(and(L359=0,Q359="NA"),"NA",if(L359=0,"no lice",if(Q359="NA","no collection",index(sea_lice!G:G,match(C359,sea_lice!A:A,0)))))</f>
        <v>NA</v>
      </c>
      <c r="X359" s="23">
        <v>358.0</v>
      </c>
    </row>
    <row r="360">
      <c r="A360" s="9" t="s">
        <v>1890</v>
      </c>
      <c r="B360" s="6">
        <v>5466.0</v>
      </c>
      <c r="C360" s="12" t="str">
        <f t="shared" si="1"/>
        <v>U5466</v>
      </c>
      <c r="D360" s="13" t="s">
        <v>1528</v>
      </c>
      <c r="E360" s="14">
        <v>43395.0</v>
      </c>
      <c r="F360" s="9" t="s">
        <v>53</v>
      </c>
      <c r="G360" s="9" t="s">
        <v>54</v>
      </c>
      <c r="H360" s="9">
        <v>23.5</v>
      </c>
      <c r="I360" s="13">
        <v>129.0</v>
      </c>
      <c r="J360" s="13">
        <v>135.0</v>
      </c>
      <c r="K360" s="17">
        <f t="shared" si="5"/>
        <v>0.9551389524</v>
      </c>
      <c r="L360" s="9">
        <v>0.0</v>
      </c>
      <c r="M360" s="9" t="s">
        <v>57</v>
      </c>
      <c r="O360" s="9" t="s">
        <v>221</v>
      </c>
      <c r="P360" s="9" t="s">
        <v>60</v>
      </c>
      <c r="Q360" s="9" t="s">
        <v>63</v>
      </c>
      <c r="R360" s="9" t="s">
        <v>63</v>
      </c>
      <c r="S360" s="9" t="s">
        <v>638</v>
      </c>
      <c r="T360" t="str">
        <f t="shared" ref="T360:T941" si="9">if(isblank(B360),"",if(or(and(countif(A:A,A360)&gt;1,A360&lt;&gt;"NA"),countif(B:B,B360)&gt;1),"Y","N"))</f>
        <v>N</v>
      </c>
      <c r="W360" s="12" t="str">
        <f t="array" ref="W360">if(and(L360=0,Q360="NA"),"NA",if(L360=0,"no lice",if(Q360="NA","no collection",index(sea_lice!G:G,match(C360,sea_lice!A:A,0)))))</f>
        <v>NA</v>
      </c>
      <c r="X360" s="23">
        <v>359.0</v>
      </c>
    </row>
    <row r="361">
      <c r="B361" s="6">
        <v>16753.0</v>
      </c>
      <c r="C361" s="12" t="str">
        <f t="shared" si="1"/>
        <v>U16753</v>
      </c>
      <c r="D361" s="14" t="str">
        <f t="array" ref="D361">iferror(index('2018_ufns'!E:E,match(C361,'2018_ufns'!B:B,0)))</f>
        <v>P1076</v>
      </c>
      <c r="E361" s="14">
        <v>43395.0</v>
      </c>
      <c r="F361" s="9" t="s">
        <v>53</v>
      </c>
      <c r="G361" s="9" t="s">
        <v>54</v>
      </c>
      <c r="H361" s="9">
        <v>21.3</v>
      </c>
      <c r="I361" s="13">
        <v>125.0</v>
      </c>
      <c r="J361" s="13">
        <v>130.0</v>
      </c>
      <c r="K361" s="17">
        <f t="shared" si="5"/>
        <v>0.9695038689</v>
      </c>
      <c r="L361" s="9">
        <v>1.0</v>
      </c>
      <c r="O361" s="9" t="s">
        <v>221</v>
      </c>
      <c r="P361" s="9" t="s">
        <v>1729</v>
      </c>
      <c r="Q361" s="9" t="s">
        <v>150</v>
      </c>
      <c r="R361" s="9" t="s">
        <v>63</v>
      </c>
      <c r="S361" s="9" t="s">
        <v>638</v>
      </c>
      <c r="T361" t="str">
        <f t="shared" si="9"/>
        <v>N</v>
      </c>
      <c r="W361" s="12" t="str">
        <f t="array" ref="W361">if(and(L361=0,Q361="NA"),"NA",if(L361=0,"no lice",if(Q361="NA","no collection",index(sea_lice!G:G,match(C361,sea_lice!A:A,0)))))</f>
        <v>BSL6-10</v>
      </c>
      <c r="X361" s="23">
        <v>360.0</v>
      </c>
    </row>
    <row r="362">
      <c r="B362" s="6">
        <v>16751.0</v>
      </c>
      <c r="C362" s="12" t="str">
        <f t="shared" si="1"/>
        <v>U16751</v>
      </c>
      <c r="D362" s="14" t="str">
        <f t="array" ref="D362">iferror(index('2018_ufns'!E:E,match(C362,'2018_ufns'!B:B,0)))</f>
        <v>P1076</v>
      </c>
      <c r="E362" s="14">
        <v>43395.0</v>
      </c>
      <c r="F362" s="9" t="s">
        <v>53</v>
      </c>
      <c r="G362" s="9" t="s">
        <v>54</v>
      </c>
      <c r="H362" s="9">
        <v>23.8</v>
      </c>
      <c r="I362" s="13">
        <v>128.0</v>
      </c>
      <c r="J362" s="13">
        <v>134.0</v>
      </c>
      <c r="K362" s="17">
        <f t="shared" si="5"/>
        <v>0.9891509261</v>
      </c>
      <c r="L362" s="9">
        <v>1.0</v>
      </c>
      <c r="O362" s="9" t="s">
        <v>221</v>
      </c>
      <c r="P362" s="9" t="s">
        <v>1729</v>
      </c>
      <c r="Q362" s="9" t="s">
        <v>150</v>
      </c>
      <c r="R362" s="9" t="s">
        <v>63</v>
      </c>
      <c r="S362" s="9" t="s">
        <v>638</v>
      </c>
      <c r="T362" t="str">
        <f t="shared" si="9"/>
        <v>N</v>
      </c>
      <c r="W362" s="12" t="str">
        <f t="array" ref="W362">if(and(L362=0,Q362="NA"),"NA",if(L362=0,"no lice",if(Q362="NA","no collection",index(sea_lice!G:G,match(C362,sea_lice!A:A,0)))))</f>
        <v>BSL6-12</v>
      </c>
      <c r="X362" s="23">
        <v>361.0</v>
      </c>
    </row>
    <row r="363">
      <c r="B363" s="6">
        <v>16752.0</v>
      </c>
      <c r="C363" s="12" t="str">
        <f t="shared" si="1"/>
        <v>U16752</v>
      </c>
      <c r="D363" s="14" t="str">
        <f t="array" ref="D363">iferror(index('2018_ufns'!E:E,match(C363,'2018_ufns'!B:B,0)))</f>
        <v>P1076</v>
      </c>
      <c r="E363" s="14">
        <v>43395.0</v>
      </c>
      <c r="F363" s="9" t="s">
        <v>53</v>
      </c>
      <c r="G363" s="9" t="s">
        <v>54</v>
      </c>
      <c r="H363" s="9">
        <v>25.6</v>
      </c>
      <c r="I363" s="13">
        <v>137.0</v>
      </c>
      <c r="J363" s="13">
        <v>143.0</v>
      </c>
      <c r="K363" s="17">
        <f t="shared" si="5"/>
        <v>0.8754510197</v>
      </c>
      <c r="L363" s="9">
        <v>1.0</v>
      </c>
      <c r="O363" s="9" t="s">
        <v>221</v>
      </c>
      <c r="P363" s="9" t="s">
        <v>1729</v>
      </c>
      <c r="Q363" s="9" t="s">
        <v>150</v>
      </c>
      <c r="R363" s="9" t="s">
        <v>63</v>
      </c>
      <c r="S363" s="9" t="s">
        <v>638</v>
      </c>
      <c r="T363" t="str">
        <f t="shared" si="9"/>
        <v>N</v>
      </c>
      <c r="W363" s="12" t="str">
        <f t="array" ref="W363">if(and(L363=0,Q363="NA"),"NA",if(L363=0,"no lice",if(Q363="NA","no collection",index(sea_lice!G:G,match(C363,sea_lice!A:A,0)))))</f>
        <v>BSL6-13</v>
      </c>
      <c r="X363" s="23">
        <v>362.0</v>
      </c>
    </row>
    <row r="364">
      <c r="B364" s="6">
        <v>16756.0</v>
      </c>
      <c r="C364" s="12" t="str">
        <f t="shared" si="1"/>
        <v>U16756</v>
      </c>
      <c r="D364" s="14" t="str">
        <f t="array" ref="D364">iferror(index('2018_ufns'!E:E,match(C364,'2018_ufns'!B:B,0)))</f>
        <v>P1076</v>
      </c>
      <c r="E364" s="14">
        <v>43395.0</v>
      </c>
      <c r="F364" s="9" t="s">
        <v>53</v>
      </c>
      <c r="G364" s="9" t="s">
        <v>54</v>
      </c>
      <c r="H364" s="9">
        <v>21.9</v>
      </c>
      <c r="I364" s="13">
        <v>128.0</v>
      </c>
      <c r="J364" s="13">
        <v>133.0</v>
      </c>
      <c r="K364" s="17">
        <f t="shared" si="5"/>
        <v>0.9308703383</v>
      </c>
      <c r="L364" s="9">
        <v>0.0</v>
      </c>
      <c r="O364" s="9" t="s">
        <v>221</v>
      </c>
      <c r="P364" s="9" t="s">
        <v>1729</v>
      </c>
      <c r="Q364" s="9" t="s">
        <v>150</v>
      </c>
      <c r="R364" s="9" t="s">
        <v>63</v>
      </c>
      <c r="S364" s="9" t="s">
        <v>638</v>
      </c>
      <c r="T364" t="str">
        <f t="shared" si="9"/>
        <v>N</v>
      </c>
      <c r="W364" s="12" t="str">
        <f t="array" ref="W364">if(and(L364=0,Q364="NA"),"NA",if(L364=0,"no lice",if(Q364="NA","no collection",index(sea_lice!G:G,match(C364,sea_lice!A:A,0)))))</f>
        <v>no lice</v>
      </c>
      <c r="X364" s="23">
        <v>363.0</v>
      </c>
    </row>
    <row r="365">
      <c r="B365" s="6">
        <v>16754.0</v>
      </c>
      <c r="C365" s="12" t="str">
        <f t="shared" si="1"/>
        <v>U16754</v>
      </c>
      <c r="D365" s="14" t="str">
        <f t="array" ref="D365">iferror(index('2018_ufns'!E:E,match(C365,'2018_ufns'!B:B,0)))</f>
        <v>P1076</v>
      </c>
      <c r="E365" s="14">
        <v>43395.0</v>
      </c>
      <c r="F365" s="9" t="s">
        <v>53</v>
      </c>
      <c r="G365" s="9" t="s">
        <v>54</v>
      </c>
      <c r="H365" s="9">
        <v>20.1</v>
      </c>
      <c r="I365" s="13">
        <v>125.0</v>
      </c>
      <c r="J365" s="13">
        <v>129.0</v>
      </c>
      <c r="K365" s="17">
        <f t="shared" si="5"/>
        <v>0.9363256625</v>
      </c>
      <c r="L365" s="9">
        <v>0.0</v>
      </c>
      <c r="O365" s="9" t="s">
        <v>221</v>
      </c>
      <c r="P365" s="9" t="s">
        <v>1729</v>
      </c>
      <c r="Q365" s="9" t="s">
        <v>150</v>
      </c>
      <c r="R365" s="9" t="s">
        <v>63</v>
      </c>
      <c r="S365" s="9" t="s">
        <v>638</v>
      </c>
      <c r="T365" t="str">
        <f t="shared" si="9"/>
        <v>N</v>
      </c>
      <c r="W365" s="12" t="str">
        <f t="array" ref="W365">if(and(L365=0,Q365="NA"),"NA",if(L365=0,"no lice",if(Q365="NA","no collection",index(sea_lice!G:G,match(C365,sea_lice!A:A,0)))))</f>
        <v>no lice</v>
      </c>
      <c r="X365" s="23">
        <v>364.0</v>
      </c>
    </row>
    <row r="366">
      <c r="B366" s="6">
        <v>16755.0</v>
      </c>
      <c r="C366" s="12" t="str">
        <f t="shared" si="1"/>
        <v>U16755</v>
      </c>
      <c r="D366" s="14" t="str">
        <f t="array" ref="D366">iferror(index('2018_ufns'!E:E,match(C366,'2018_ufns'!B:B,0)))</f>
        <v>P1076</v>
      </c>
      <c r="E366" s="14">
        <v>43395.0</v>
      </c>
      <c r="F366" s="9" t="s">
        <v>53</v>
      </c>
      <c r="G366" s="9" t="s">
        <v>54</v>
      </c>
      <c r="H366" s="9">
        <v>16.7</v>
      </c>
      <c r="I366" s="13">
        <v>113.0</v>
      </c>
      <c r="J366" s="13">
        <v>118.0</v>
      </c>
      <c r="K366" s="17">
        <f t="shared" si="5"/>
        <v>1.016413557</v>
      </c>
      <c r="L366" s="9">
        <v>0.0</v>
      </c>
      <c r="O366" s="9" t="s">
        <v>221</v>
      </c>
      <c r="P366" s="9" t="s">
        <v>1729</v>
      </c>
      <c r="Q366" s="9" t="s">
        <v>150</v>
      </c>
      <c r="R366" s="9" t="s">
        <v>63</v>
      </c>
      <c r="S366" s="9" t="s">
        <v>638</v>
      </c>
      <c r="T366" t="str">
        <f t="shared" si="9"/>
        <v>N</v>
      </c>
      <c r="W366" s="12" t="str">
        <f t="array" ref="W366">if(and(L366=0,Q366="NA"),"NA",if(L366=0,"no lice",if(Q366="NA","no collection",index(sea_lice!G:G,match(C366,sea_lice!A:A,0)))))</f>
        <v>no lice</v>
      </c>
      <c r="X366" s="23">
        <v>365.0</v>
      </c>
    </row>
    <row r="367">
      <c r="B367" s="6">
        <v>16757.0</v>
      </c>
      <c r="C367" s="12" t="str">
        <f t="shared" si="1"/>
        <v>U16757</v>
      </c>
      <c r="D367" s="14" t="str">
        <f t="array" ref="D367">iferror(index('2018_ufns'!E:E,match(C367,'2018_ufns'!B:B,0)))</f>
        <v>P1076</v>
      </c>
      <c r="E367" s="14">
        <v>43395.0</v>
      </c>
      <c r="F367" s="9" t="s">
        <v>53</v>
      </c>
      <c r="G367" s="9" t="s">
        <v>54</v>
      </c>
      <c r="H367" s="9">
        <v>25.8</v>
      </c>
      <c r="I367" s="13">
        <v>131.0</v>
      </c>
      <c r="J367" s="13">
        <v>136.0</v>
      </c>
      <c r="K367" s="17">
        <f t="shared" si="5"/>
        <v>1.025658966</v>
      </c>
      <c r="L367" s="9">
        <v>0.0</v>
      </c>
      <c r="O367" s="9" t="s">
        <v>221</v>
      </c>
      <c r="P367" s="9" t="s">
        <v>1729</v>
      </c>
      <c r="Q367" s="9" t="s">
        <v>150</v>
      </c>
      <c r="R367" s="9" t="s">
        <v>63</v>
      </c>
      <c r="S367" s="9" t="s">
        <v>638</v>
      </c>
      <c r="T367" t="str">
        <f t="shared" si="9"/>
        <v>N</v>
      </c>
      <c r="W367" s="12" t="str">
        <f t="array" ref="W367">if(and(L367=0,Q367="NA"),"NA",if(L367=0,"no lice",if(Q367="NA","no collection",index(sea_lice!G:G,match(C367,sea_lice!A:A,0)))))</f>
        <v>no lice</v>
      </c>
      <c r="X367" s="23">
        <v>366.0</v>
      </c>
    </row>
    <row r="368">
      <c r="B368" s="6">
        <v>16758.0</v>
      </c>
      <c r="C368" s="12" t="str">
        <f t="shared" si="1"/>
        <v>U16758</v>
      </c>
      <c r="D368" s="14" t="str">
        <f t="array" ref="D368">iferror(index('2018_ufns'!E:E,match(C368,'2018_ufns'!B:B,0)))</f>
        <v>P1076</v>
      </c>
      <c r="E368" s="14">
        <v>43395.0</v>
      </c>
      <c r="F368" s="9" t="s">
        <v>53</v>
      </c>
      <c r="G368" s="9" t="s">
        <v>54</v>
      </c>
      <c r="H368" s="9">
        <v>17.9</v>
      </c>
      <c r="I368" s="13">
        <v>116.0</v>
      </c>
      <c r="J368" s="13">
        <v>121.0</v>
      </c>
      <c r="K368" s="17">
        <f t="shared" si="5"/>
        <v>1.010408335</v>
      </c>
      <c r="L368" s="9">
        <v>0.0</v>
      </c>
      <c r="O368" s="9" t="s">
        <v>221</v>
      </c>
      <c r="P368" s="9" t="s">
        <v>1729</v>
      </c>
      <c r="Q368" s="9" t="s">
        <v>150</v>
      </c>
      <c r="R368" s="9" t="s">
        <v>63</v>
      </c>
      <c r="S368" s="9" t="s">
        <v>638</v>
      </c>
      <c r="T368" t="str">
        <f t="shared" si="9"/>
        <v>N</v>
      </c>
      <c r="W368" s="12" t="str">
        <f t="array" ref="W368">if(and(L368=0,Q368="NA"),"NA",if(L368=0,"no lice",if(Q368="NA","no collection",index(sea_lice!G:G,match(C368,sea_lice!A:A,0)))))</f>
        <v>no lice</v>
      </c>
      <c r="X368" s="23">
        <v>367.0</v>
      </c>
    </row>
    <row r="369">
      <c r="B369" s="6">
        <v>16701.0</v>
      </c>
      <c r="C369" s="12" t="str">
        <f t="shared" si="1"/>
        <v>U16701</v>
      </c>
      <c r="D369" s="14" t="str">
        <f t="array" ref="D369">iferror(index('2018_ufns'!E:E,match(C369,'2018_ufns'!B:B,0)))</f>
        <v>P1071</v>
      </c>
      <c r="E369" s="14">
        <v>43395.0</v>
      </c>
      <c r="F369" s="9" t="s">
        <v>53</v>
      </c>
      <c r="G369" s="9" t="s">
        <v>54</v>
      </c>
      <c r="H369" s="9">
        <v>9.2</v>
      </c>
      <c r="I369" s="13">
        <v>98.0</v>
      </c>
      <c r="J369" s="13" t="s">
        <v>63</v>
      </c>
      <c r="K369" s="17" t="str">
        <f t="shared" si="5"/>
        <v/>
      </c>
      <c r="L369" s="9">
        <v>0.0</v>
      </c>
      <c r="O369" s="9" t="s">
        <v>221</v>
      </c>
      <c r="P369" s="9" t="s">
        <v>1729</v>
      </c>
      <c r="Q369" s="9" t="s">
        <v>150</v>
      </c>
      <c r="R369" s="9" t="s">
        <v>63</v>
      </c>
      <c r="S369" s="9" t="s">
        <v>638</v>
      </c>
      <c r="T369" t="str">
        <f t="shared" si="9"/>
        <v>N</v>
      </c>
      <c r="W369" s="12" t="str">
        <f t="array" ref="W369">if(and(L369=0,Q369="NA"),"NA",if(L369=0,"no lice",if(Q369="NA","no collection",index(sea_lice!G:G,match(C369,sea_lice!A:A,0)))))</f>
        <v>no lice</v>
      </c>
      <c r="X369" s="23">
        <v>368.0</v>
      </c>
    </row>
    <row r="370">
      <c r="B370" s="6">
        <v>16702.0</v>
      </c>
      <c r="C370" s="12" t="str">
        <f t="shared" si="1"/>
        <v>U16702</v>
      </c>
      <c r="D370" s="14" t="str">
        <f t="array" ref="D370">iferror(index('2018_ufns'!E:E,match(C370,'2018_ufns'!B:B,0)))</f>
        <v>P1071</v>
      </c>
      <c r="E370" s="14">
        <v>43395.0</v>
      </c>
      <c r="F370" s="9" t="s">
        <v>53</v>
      </c>
      <c r="G370" s="9" t="s">
        <v>54</v>
      </c>
      <c r="H370" s="9">
        <v>7.3</v>
      </c>
      <c r="I370" s="13">
        <v>84.0</v>
      </c>
      <c r="J370" s="13">
        <v>89.0</v>
      </c>
      <c r="K370" s="17">
        <f t="shared" si="5"/>
        <v>1.035506526</v>
      </c>
      <c r="L370" s="9">
        <v>0.0</v>
      </c>
      <c r="O370" s="9" t="s">
        <v>221</v>
      </c>
      <c r="P370" s="9" t="s">
        <v>1729</v>
      </c>
      <c r="Q370" s="9" t="s">
        <v>150</v>
      </c>
      <c r="R370" s="9" t="s">
        <v>63</v>
      </c>
      <c r="S370" s="9" t="s">
        <v>638</v>
      </c>
      <c r="T370" t="str">
        <f t="shared" si="9"/>
        <v>N</v>
      </c>
      <c r="W370" s="12" t="str">
        <f t="array" ref="W370">if(and(L370=0,Q370="NA"),"NA",if(L370=0,"no lice",if(Q370="NA","no collection",index(sea_lice!G:G,match(C370,sea_lice!A:A,0)))))</f>
        <v>no lice</v>
      </c>
      <c r="X370" s="23">
        <v>369.0</v>
      </c>
    </row>
    <row r="371">
      <c r="B371" s="6">
        <v>16703.0</v>
      </c>
      <c r="C371" s="12" t="str">
        <f t="shared" si="1"/>
        <v>U16703</v>
      </c>
      <c r="D371" s="14" t="str">
        <f t="array" ref="D371">iferror(index('2018_ufns'!E:E,match(C371,'2018_ufns'!B:B,0)))</f>
        <v>P1071</v>
      </c>
      <c r="E371" s="14">
        <v>43395.0</v>
      </c>
      <c r="F371" s="9" t="s">
        <v>53</v>
      </c>
      <c r="G371" s="9" t="s">
        <v>54</v>
      </c>
      <c r="H371" s="9">
        <v>7.5</v>
      </c>
      <c r="I371" s="13">
        <v>90.0</v>
      </c>
      <c r="J371" s="13" t="s">
        <v>63</v>
      </c>
      <c r="K371" s="17" t="str">
        <f t="shared" si="5"/>
        <v/>
      </c>
      <c r="L371" s="9">
        <v>0.0</v>
      </c>
      <c r="O371" s="9" t="s">
        <v>221</v>
      </c>
      <c r="P371" s="9" t="s">
        <v>1729</v>
      </c>
      <c r="Q371" s="9" t="s">
        <v>150</v>
      </c>
      <c r="R371" s="9" t="s">
        <v>63</v>
      </c>
      <c r="S371" s="9" t="s">
        <v>638</v>
      </c>
      <c r="T371" t="str">
        <f t="shared" si="9"/>
        <v>N</v>
      </c>
      <c r="W371" s="12" t="str">
        <f t="array" ref="W371">if(and(L371=0,Q371="NA"),"NA",if(L371=0,"no lice",if(Q371="NA","no collection",index(sea_lice!G:G,match(C371,sea_lice!A:A,0)))))</f>
        <v>no lice</v>
      </c>
      <c r="X371" s="23">
        <v>370.0</v>
      </c>
    </row>
    <row r="372">
      <c r="B372" s="6">
        <v>16705.0</v>
      </c>
      <c r="C372" s="12" t="str">
        <f t="shared" si="1"/>
        <v>U16705</v>
      </c>
      <c r="D372" s="14" t="str">
        <f t="array" ref="D372">iferror(index('2018_ufns'!E:E,match(C372,'2018_ufns'!B:B,0)))</f>
        <v>P1071</v>
      </c>
      <c r="E372" s="14">
        <v>43395.0</v>
      </c>
      <c r="F372" s="9" t="s">
        <v>53</v>
      </c>
      <c r="G372" s="9" t="s">
        <v>54</v>
      </c>
      <c r="H372" s="9">
        <v>11.0</v>
      </c>
      <c r="I372" s="13">
        <v>101.0</v>
      </c>
      <c r="J372" s="13">
        <v>106.0</v>
      </c>
      <c r="K372" s="17">
        <f t="shared" si="5"/>
        <v>0.9235812113</v>
      </c>
      <c r="L372" s="9">
        <v>1.0</v>
      </c>
      <c r="O372" s="9" t="s">
        <v>221</v>
      </c>
      <c r="P372" s="9" t="s">
        <v>1729</v>
      </c>
      <c r="Q372" s="9" t="s">
        <v>150</v>
      </c>
      <c r="R372" s="9" t="s">
        <v>63</v>
      </c>
      <c r="S372" s="9" t="s">
        <v>638</v>
      </c>
      <c r="T372" t="str">
        <f t="shared" si="9"/>
        <v>N</v>
      </c>
      <c r="W372" s="12" t="str">
        <f t="array" ref="W372">if(and(L372=0,Q372="NA"),"NA",if(L372=0,"no lice",if(Q372="NA","no collection",index(sea_lice!G:G,match(C372,sea_lice!A:A,0)))))</f>
        <v>BSL6-16</v>
      </c>
      <c r="X372" s="23">
        <v>371.0</v>
      </c>
    </row>
    <row r="373">
      <c r="B373" s="6">
        <v>16704.0</v>
      </c>
      <c r="C373" s="12" t="str">
        <f t="shared" si="1"/>
        <v>U16704</v>
      </c>
      <c r="D373" s="14" t="str">
        <f t="array" ref="D373">iferror(index('2018_ufns'!E:E,match(C373,'2018_ufns'!B:B,0)))</f>
        <v>P1071</v>
      </c>
      <c r="E373" s="14">
        <v>43395.0</v>
      </c>
      <c r="F373" s="9" t="s">
        <v>53</v>
      </c>
      <c r="G373" s="9" t="s">
        <v>54</v>
      </c>
      <c r="H373" s="9">
        <v>14.4</v>
      </c>
      <c r="I373" s="13">
        <v>109.0</v>
      </c>
      <c r="J373" s="13">
        <v>114.0</v>
      </c>
      <c r="K373" s="17">
        <f t="shared" si="5"/>
        <v>0.9719589833</v>
      </c>
      <c r="L373" s="9">
        <v>0.0</v>
      </c>
      <c r="O373" s="9" t="s">
        <v>221</v>
      </c>
      <c r="P373" s="9" t="s">
        <v>1729</v>
      </c>
      <c r="Q373" s="9" t="s">
        <v>150</v>
      </c>
      <c r="R373" s="9" t="s">
        <v>63</v>
      </c>
      <c r="S373" s="9" t="s">
        <v>638</v>
      </c>
      <c r="T373" t="str">
        <f t="shared" si="9"/>
        <v>N</v>
      </c>
      <c r="W373" s="12" t="str">
        <f t="array" ref="W373">if(and(L373=0,Q373="NA"),"NA",if(L373=0,"no lice",if(Q373="NA","no collection",index(sea_lice!G:G,match(C373,sea_lice!A:A,0)))))</f>
        <v>no lice</v>
      </c>
      <c r="X373" s="23">
        <v>372.0</v>
      </c>
    </row>
    <row r="374">
      <c r="B374" s="6">
        <v>16706.0</v>
      </c>
      <c r="C374" s="12" t="str">
        <f t="shared" si="1"/>
        <v>U16706</v>
      </c>
      <c r="D374" s="14" t="str">
        <f t="array" ref="D374">iferror(index('2018_ufns'!E:E,match(C374,'2018_ufns'!B:B,0)))</f>
        <v>P1071</v>
      </c>
      <c r="E374" s="14">
        <v>43395.0</v>
      </c>
      <c r="F374" s="9" t="s">
        <v>53</v>
      </c>
      <c r="G374" s="9" t="s">
        <v>54</v>
      </c>
      <c r="H374" s="9">
        <v>7.6</v>
      </c>
      <c r="I374" s="13">
        <v>89.0</v>
      </c>
      <c r="J374" s="13">
        <v>94.0</v>
      </c>
      <c r="K374" s="17">
        <f t="shared" si="5"/>
        <v>0.9150188301</v>
      </c>
      <c r="L374" s="9">
        <v>1.0</v>
      </c>
      <c r="O374" s="9" t="s">
        <v>221</v>
      </c>
      <c r="P374" s="9" t="s">
        <v>1729</v>
      </c>
      <c r="Q374" s="9" t="s">
        <v>150</v>
      </c>
      <c r="R374" s="9" t="s">
        <v>63</v>
      </c>
      <c r="S374" s="9" t="s">
        <v>638</v>
      </c>
      <c r="T374" t="str">
        <f t="shared" si="9"/>
        <v>N</v>
      </c>
      <c r="W374" s="12" t="str">
        <f t="array" ref="W374">if(and(L374=0,Q374="NA"),"NA",if(L374=0,"no lice",if(Q374="NA","no collection",index(sea_lice!G:G,match(C374,sea_lice!A:A,0)))))</f>
        <v>BSL6-18</v>
      </c>
      <c r="X374" s="23">
        <v>373.0</v>
      </c>
    </row>
    <row r="375">
      <c r="B375" s="6">
        <v>16893.0</v>
      </c>
      <c r="C375" s="12" t="str">
        <f t="shared" si="1"/>
        <v>U16893</v>
      </c>
      <c r="D375" s="14" t="str">
        <f t="array" ref="D375">iferror(index('2018_ufns'!E:E,match(C375,'2018_ufns'!B:B,0)))</f>
        <v>P1090</v>
      </c>
      <c r="E375" s="14">
        <v>43395.0</v>
      </c>
      <c r="F375" s="9" t="s">
        <v>53</v>
      </c>
      <c r="G375" s="9" t="s">
        <v>54</v>
      </c>
      <c r="H375" s="9">
        <v>18.8</v>
      </c>
      <c r="I375" s="13">
        <v>121.0</v>
      </c>
      <c r="J375" s="13" t="s">
        <v>63</v>
      </c>
      <c r="K375" s="17" t="str">
        <f t="shared" si="5"/>
        <v/>
      </c>
      <c r="L375" s="9">
        <v>0.0</v>
      </c>
      <c r="O375" s="9" t="s">
        <v>638</v>
      </c>
      <c r="P375" s="9" t="s">
        <v>1729</v>
      </c>
      <c r="Q375" s="9" t="s">
        <v>150</v>
      </c>
      <c r="R375" s="9" t="s">
        <v>63</v>
      </c>
      <c r="S375" s="9" t="s">
        <v>638</v>
      </c>
      <c r="T375" t="str">
        <f t="shared" si="9"/>
        <v>N</v>
      </c>
      <c r="W375" s="12" t="str">
        <f t="array" ref="W375">if(and(L375=0,Q375="NA"),"NA",if(L375=0,"no lice",if(Q375="NA","no collection",index(sea_lice!G:G,match(C375,sea_lice!A:A,0)))))</f>
        <v>no lice</v>
      </c>
      <c r="X375" s="23">
        <v>374.0</v>
      </c>
    </row>
    <row r="376">
      <c r="B376" s="6">
        <v>16897.0</v>
      </c>
      <c r="C376" s="12" t="str">
        <f t="shared" si="1"/>
        <v>U16897</v>
      </c>
      <c r="D376" s="14" t="str">
        <f t="array" ref="D376">iferror(index('2018_ufns'!E:E,match(C376,'2018_ufns'!B:B,0)))</f>
        <v>P1090</v>
      </c>
      <c r="E376" s="14">
        <v>43395.0</v>
      </c>
      <c r="F376" s="9" t="s">
        <v>53</v>
      </c>
      <c r="G376" s="9" t="s">
        <v>54</v>
      </c>
      <c r="H376" s="9">
        <v>8.7</v>
      </c>
      <c r="I376" s="13">
        <v>95.0</v>
      </c>
      <c r="J376" s="13">
        <v>100.0</v>
      </c>
      <c r="K376" s="17">
        <f t="shared" si="5"/>
        <v>0.87</v>
      </c>
      <c r="L376" s="9">
        <v>1.0</v>
      </c>
      <c r="O376" s="9" t="s">
        <v>638</v>
      </c>
      <c r="P376" s="9" t="s">
        <v>1729</v>
      </c>
      <c r="Q376" s="9" t="s">
        <v>150</v>
      </c>
      <c r="R376" s="9" t="s">
        <v>63</v>
      </c>
      <c r="S376" s="9" t="s">
        <v>638</v>
      </c>
      <c r="T376" t="str">
        <f t="shared" si="9"/>
        <v>N</v>
      </c>
      <c r="W376" s="12" t="str">
        <f t="array" ref="W376">if(and(L376=0,Q376="NA"),"NA",if(L376=0,"no lice",if(Q376="NA","no collection",index(sea_lice!G:G,match(C376,sea_lice!A:A,0)))))</f>
        <v>BSL6-8</v>
      </c>
      <c r="X376" s="23">
        <v>375.0</v>
      </c>
    </row>
    <row r="377">
      <c r="B377" s="6">
        <v>16891.0</v>
      </c>
      <c r="C377" s="12" t="str">
        <f t="shared" si="1"/>
        <v>U16891</v>
      </c>
      <c r="D377" s="14" t="str">
        <f t="array" ref="D377">iferror(index('2018_ufns'!E:E,match(C377,'2018_ufns'!B:B,0)))</f>
        <v>P1090</v>
      </c>
      <c r="E377" s="14">
        <v>43395.0</v>
      </c>
      <c r="F377" s="9" t="s">
        <v>53</v>
      </c>
      <c r="G377" s="9" t="s">
        <v>54</v>
      </c>
      <c r="H377" s="9">
        <v>7.8</v>
      </c>
      <c r="I377" s="13">
        <v>94.0</v>
      </c>
      <c r="J377" s="13">
        <v>99.0</v>
      </c>
      <c r="K377" s="17">
        <f t="shared" si="5"/>
        <v>0.8038759187</v>
      </c>
      <c r="L377" s="9">
        <v>0.0</v>
      </c>
      <c r="O377" s="9" t="s">
        <v>638</v>
      </c>
      <c r="P377" s="9" t="s">
        <v>1729</v>
      </c>
      <c r="Q377" s="9" t="s">
        <v>150</v>
      </c>
      <c r="R377" s="9" t="s">
        <v>63</v>
      </c>
      <c r="S377" s="9" t="s">
        <v>638</v>
      </c>
      <c r="T377" t="str">
        <f t="shared" si="9"/>
        <v>N</v>
      </c>
      <c r="W377" s="12" t="str">
        <f t="array" ref="W377">if(and(L377=0,Q377="NA"),"NA",if(L377=0,"no lice",if(Q377="NA","no collection",index(sea_lice!G:G,match(C377,sea_lice!A:A,0)))))</f>
        <v>no lice</v>
      </c>
      <c r="X377" s="23">
        <v>376.0</v>
      </c>
    </row>
    <row r="378">
      <c r="B378" s="6">
        <v>16892.0</v>
      </c>
      <c r="C378" s="12" t="str">
        <f t="shared" si="1"/>
        <v>U16892</v>
      </c>
      <c r="D378" s="14" t="str">
        <f t="array" ref="D378">iferror(index('2018_ufns'!E:E,match(C378,'2018_ufns'!B:B,0)))</f>
        <v>P1090</v>
      </c>
      <c r="E378" s="14">
        <v>43395.0</v>
      </c>
      <c r="F378" s="9" t="s">
        <v>53</v>
      </c>
      <c r="G378" s="9" t="s">
        <v>54</v>
      </c>
      <c r="H378" s="9">
        <v>19.0</v>
      </c>
      <c r="I378" s="13">
        <v>120.0</v>
      </c>
      <c r="J378" s="13">
        <v>126.0</v>
      </c>
      <c r="K378" s="17">
        <f t="shared" si="5"/>
        <v>0.9498214336</v>
      </c>
      <c r="L378" s="9">
        <v>0.0</v>
      </c>
      <c r="O378" s="9" t="s">
        <v>638</v>
      </c>
      <c r="P378" s="9" t="s">
        <v>1729</v>
      </c>
      <c r="Q378" s="9" t="s">
        <v>150</v>
      </c>
      <c r="R378" s="9" t="s">
        <v>63</v>
      </c>
      <c r="S378" s="9" t="s">
        <v>638</v>
      </c>
      <c r="T378" t="str">
        <f t="shared" si="9"/>
        <v>N</v>
      </c>
      <c r="W378" s="12" t="str">
        <f t="array" ref="W378">if(and(L378=0,Q378="NA"),"NA",if(L378=0,"no lice",if(Q378="NA","no collection",index(sea_lice!G:G,match(C378,sea_lice!A:A,0)))))</f>
        <v>no lice</v>
      </c>
      <c r="X378" s="23">
        <v>377.0</v>
      </c>
    </row>
    <row r="379">
      <c r="B379" s="6">
        <v>16899.0</v>
      </c>
      <c r="C379" s="12" t="str">
        <f t="shared" si="1"/>
        <v>U16899</v>
      </c>
      <c r="D379" s="14" t="str">
        <f t="array" ref="D379">iferror(index('2018_ufns'!E:E,match(C379,'2018_ufns'!B:B,0)))</f>
        <v>P1090</v>
      </c>
      <c r="E379" s="14">
        <v>43395.0</v>
      </c>
      <c r="F379" s="9" t="s">
        <v>53</v>
      </c>
      <c r="G379" s="9" t="s">
        <v>54</v>
      </c>
      <c r="H379" s="9">
        <v>8.2</v>
      </c>
      <c r="I379" s="13">
        <v>92.0</v>
      </c>
      <c r="J379" s="13">
        <v>97.0</v>
      </c>
      <c r="K379" s="17">
        <f t="shared" si="5"/>
        <v>0.8984597989</v>
      </c>
      <c r="L379" s="9">
        <v>1.0</v>
      </c>
      <c r="O379" s="9" t="s">
        <v>638</v>
      </c>
      <c r="P379" s="9" t="s">
        <v>1729</v>
      </c>
      <c r="Q379" s="9" t="s">
        <v>150</v>
      </c>
      <c r="R379" s="9" t="s">
        <v>63</v>
      </c>
      <c r="S379" s="9" t="s">
        <v>638</v>
      </c>
      <c r="T379" t="str">
        <f t="shared" si="9"/>
        <v>N</v>
      </c>
      <c r="W379" s="12" t="str">
        <f t="array" ref="W379">if(and(L379=0,Q379="NA"),"NA",if(L379=0,"no lice",if(Q379="NA","no collection",index(sea_lice!G:G,match(C379,sea_lice!A:A,0)))))</f>
        <v>BSL6-9</v>
      </c>
      <c r="X379" s="23">
        <v>378.0</v>
      </c>
    </row>
    <row r="380">
      <c r="B380" s="6">
        <v>16900.0</v>
      </c>
      <c r="C380" s="12" t="str">
        <f t="shared" si="1"/>
        <v>U16900</v>
      </c>
      <c r="D380" s="14" t="str">
        <f t="array" ref="D380">iferror(index('2018_ufns'!E:E,match(C380,'2018_ufns'!B:B,0)))</f>
        <v>P1090</v>
      </c>
      <c r="E380" s="14">
        <v>43395.0</v>
      </c>
      <c r="F380" s="9" t="s">
        <v>53</v>
      </c>
      <c r="G380" s="9" t="s">
        <v>54</v>
      </c>
      <c r="H380" s="9">
        <v>20.2</v>
      </c>
      <c r="I380" s="13">
        <v>127.0</v>
      </c>
      <c r="J380" s="13">
        <v>135.0</v>
      </c>
      <c r="K380" s="17">
        <f t="shared" si="5"/>
        <v>0.821013057</v>
      </c>
      <c r="L380" s="9">
        <v>4.0</v>
      </c>
      <c r="O380" s="9" t="s">
        <v>638</v>
      </c>
      <c r="P380" s="9" t="s">
        <v>1729</v>
      </c>
      <c r="Q380" s="9" t="s">
        <v>150</v>
      </c>
      <c r="R380" s="9" t="s">
        <v>63</v>
      </c>
      <c r="S380" s="9" t="s">
        <v>638</v>
      </c>
      <c r="T380" t="str">
        <f t="shared" si="9"/>
        <v>N</v>
      </c>
      <c r="W380" s="12" t="str">
        <f t="array" ref="W380">if(and(L380=0,Q380="NA"),"NA",if(L380=0,"no lice",if(Q380="NA","no collection",index(sea_lice!G:G,match(C380,sea_lice!A:A,0)))))</f>
        <v>BSL6-11</v>
      </c>
      <c r="X380" s="23">
        <v>379.0</v>
      </c>
    </row>
    <row r="381">
      <c r="B381" s="6">
        <v>16896.0</v>
      </c>
      <c r="C381" s="12" t="str">
        <f t="shared" si="1"/>
        <v>U16896</v>
      </c>
      <c r="D381" s="14" t="str">
        <f t="array" ref="D381">iferror(index('2018_ufns'!E:E,match(C381,'2018_ufns'!B:B,0)))</f>
        <v>P1090</v>
      </c>
      <c r="E381" s="14">
        <v>43395.0</v>
      </c>
      <c r="F381" s="9" t="s">
        <v>53</v>
      </c>
      <c r="G381" s="9" t="s">
        <v>54</v>
      </c>
      <c r="H381" s="9">
        <v>20.3</v>
      </c>
      <c r="I381" s="13">
        <v>123.0</v>
      </c>
      <c r="J381" s="13">
        <v>129.0</v>
      </c>
      <c r="K381" s="17">
        <f t="shared" si="5"/>
        <v>0.9456423357</v>
      </c>
      <c r="L381" s="9">
        <v>0.0</v>
      </c>
      <c r="O381" s="9" t="s">
        <v>638</v>
      </c>
      <c r="P381" s="9" t="s">
        <v>1729</v>
      </c>
      <c r="Q381" s="9" t="s">
        <v>150</v>
      </c>
      <c r="R381" s="9" t="s">
        <v>63</v>
      </c>
      <c r="S381" s="9" t="s">
        <v>638</v>
      </c>
      <c r="T381" t="str">
        <f t="shared" si="9"/>
        <v>N</v>
      </c>
      <c r="W381" s="12" t="str">
        <f t="array" ref="W381">if(and(L381=0,Q381="NA"),"NA",if(L381=0,"no lice",if(Q381="NA","no collection",index(sea_lice!G:G,match(C381,sea_lice!A:A,0)))))</f>
        <v>no lice</v>
      </c>
      <c r="X381" s="23">
        <v>380.0</v>
      </c>
    </row>
    <row r="382">
      <c r="B382" s="6">
        <v>16894.0</v>
      </c>
      <c r="C382" s="12" t="str">
        <f t="shared" si="1"/>
        <v>U16894</v>
      </c>
      <c r="D382" s="14" t="str">
        <f t="array" ref="D382">iferror(index('2018_ufns'!E:E,match(C382,'2018_ufns'!B:B,0)))</f>
        <v>P1090</v>
      </c>
      <c r="E382" s="14">
        <v>43395.0</v>
      </c>
      <c r="F382" s="9" t="s">
        <v>53</v>
      </c>
      <c r="G382" s="9" t="s">
        <v>54</v>
      </c>
      <c r="H382" s="9">
        <v>23.2</v>
      </c>
      <c r="I382" s="13">
        <v>129.0</v>
      </c>
      <c r="J382" s="13">
        <v>136.0</v>
      </c>
      <c r="K382" s="17">
        <f t="shared" si="5"/>
        <v>0.9222979849</v>
      </c>
      <c r="L382" s="9">
        <v>0.0</v>
      </c>
      <c r="O382" s="9" t="s">
        <v>638</v>
      </c>
      <c r="P382" s="9" t="s">
        <v>1729</v>
      </c>
      <c r="Q382" s="9" t="s">
        <v>150</v>
      </c>
      <c r="R382" s="9" t="s">
        <v>63</v>
      </c>
      <c r="S382" s="9" t="s">
        <v>638</v>
      </c>
      <c r="T382" t="str">
        <f t="shared" si="9"/>
        <v>N</v>
      </c>
      <c r="W382" s="12" t="str">
        <f t="array" ref="W382">if(and(L382=0,Q382="NA"),"NA",if(L382=0,"no lice",if(Q382="NA","no collection",index(sea_lice!G:G,match(C382,sea_lice!A:A,0)))))</f>
        <v>no lice</v>
      </c>
      <c r="X382" s="23">
        <v>381.0</v>
      </c>
    </row>
    <row r="383">
      <c r="B383" s="6">
        <v>16895.0</v>
      </c>
      <c r="C383" s="12" t="str">
        <f t="shared" si="1"/>
        <v>U16895</v>
      </c>
      <c r="D383" s="14" t="str">
        <f t="array" ref="D383">iferror(index('2018_ufns'!E:E,match(C383,'2018_ufns'!B:B,0)))</f>
        <v>P1090</v>
      </c>
      <c r="E383" s="14">
        <v>43395.0</v>
      </c>
      <c r="F383" s="9" t="s">
        <v>53</v>
      </c>
      <c r="G383" s="9" t="s">
        <v>54</v>
      </c>
      <c r="H383" s="9">
        <v>18.6</v>
      </c>
      <c r="I383" s="13">
        <v>116.0</v>
      </c>
      <c r="J383" s="13">
        <v>122.0</v>
      </c>
      <c r="K383" s="17">
        <f t="shared" si="5"/>
        <v>1.02431481</v>
      </c>
      <c r="L383" s="9">
        <v>0.0</v>
      </c>
      <c r="O383" s="9" t="s">
        <v>638</v>
      </c>
      <c r="P383" s="9" t="s">
        <v>1729</v>
      </c>
      <c r="Q383" s="9" t="s">
        <v>150</v>
      </c>
      <c r="R383" s="9" t="s">
        <v>63</v>
      </c>
      <c r="S383" s="9" t="s">
        <v>638</v>
      </c>
      <c r="T383" t="str">
        <f t="shared" si="9"/>
        <v>N</v>
      </c>
      <c r="W383" s="12" t="str">
        <f t="array" ref="W383">if(and(L383=0,Q383="NA"),"NA",if(L383=0,"no lice",if(Q383="NA","no collection",index(sea_lice!G:G,match(C383,sea_lice!A:A,0)))))</f>
        <v>no lice</v>
      </c>
      <c r="X383" s="23">
        <v>382.0</v>
      </c>
    </row>
    <row r="384">
      <c r="B384" s="6">
        <v>16898.0</v>
      </c>
      <c r="C384" s="12" t="str">
        <f t="shared" si="1"/>
        <v>U16898</v>
      </c>
      <c r="D384" s="14" t="str">
        <f t="array" ref="D384">iferror(index('2018_ufns'!E:E,match(C384,'2018_ufns'!B:B,0)))</f>
        <v>P1090</v>
      </c>
      <c r="E384" s="14">
        <v>43395.0</v>
      </c>
      <c r="F384" s="9" t="s">
        <v>53</v>
      </c>
      <c r="G384" s="9" t="s">
        <v>54</v>
      </c>
      <c r="H384" s="9">
        <v>8.8</v>
      </c>
      <c r="I384" s="13">
        <v>97.0</v>
      </c>
      <c r="J384" s="13">
        <v>102.0</v>
      </c>
      <c r="K384" s="17">
        <f t="shared" si="5"/>
        <v>0.8292436544</v>
      </c>
      <c r="L384" s="9">
        <v>0.0</v>
      </c>
      <c r="O384" s="9" t="s">
        <v>638</v>
      </c>
      <c r="P384" s="9" t="s">
        <v>1729</v>
      </c>
      <c r="Q384" s="9" t="s">
        <v>150</v>
      </c>
      <c r="R384" s="9" t="s">
        <v>63</v>
      </c>
      <c r="S384" s="9" t="s">
        <v>638</v>
      </c>
      <c r="T384" t="str">
        <f t="shared" si="9"/>
        <v>N</v>
      </c>
      <c r="W384" s="12" t="str">
        <f t="array" ref="W384">if(and(L384=0,Q384="NA"),"NA",if(L384=0,"no lice",if(Q384="NA","no collection",index(sea_lice!G:G,match(C384,sea_lice!A:A,0)))))</f>
        <v>no lice</v>
      </c>
      <c r="X384" s="23">
        <v>383.0</v>
      </c>
    </row>
    <row r="385">
      <c r="B385" s="6">
        <v>16761.0</v>
      </c>
      <c r="C385" s="12" t="str">
        <f t="shared" si="1"/>
        <v>U16761</v>
      </c>
      <c r="D385" s="14" t="str">
        <f t="array" ref="D385">iferror(index('2018_ufns'!E:E,match(C385,'2018_ufns'!B:B,0)))</f>
        <v>P1077</v>
      </c>
      <c r="E385" s="14">
        <v>43395.0</v>
      </c>
      <c r="F385" s="9" t="s">
        <v>53</v>
      </c>
      <c r="G385" s="9" t="s">
        <v>54</v>
      </c>
      <c r="H385" s="9">
        <v>17.3</v>
      </c>
      <c r="I385" s="13">
        <v>114.0</v>
      </c>
      <c r="J385" s="13">
        <v>119.0</v>
      </c>
      <c r="K385" s="17">
        <f t="shared" si="5"/>
        <v>1.026609359</v>
      </c>
      <c r="L385" s="9">
        <v>2.0</v>
      </c>
      <c r="N385" s="9" t="s">
        <v>2006</v>
      </c>
      <c r="O385" s="9" t="s">
        <v>638</v>
      </c>
      <c r="P385" s="9" t="s">
        <v>1729</v>
      </c>
      <c r="Q385" s="9" t="s">
        <v>150</v>
      </c>
      <c r="R385" s="9" t="s">
        <v>63</v>
      </c>
      <c r="S385" s="9" t="s">
        <v>638</v>
      </c>
      <c r="T385" t="str">
        <f t="shared" si="9"/>
        <v>N</v>
      </c>
      <c r="W385" s="12" t="str">
        <f t="array" ref="W385">if(and(L385=0,Q385="NA"),"NA",if(L385=0,"no lice",if(Q385="NA","no collection",index(sea_lice!G:G,match(C385,sea_lice!A:A,0)))))</f>
        <v>BSL6-14</v>
      </c>
      <c r="X385" s="23">
        <v>384.0</v>
      </c>
    </row>
    <row r="386">
      <c r="B386" s="6">
        <v>16766.0</v>
      </c>
      <c r="C386" s="12" t="str">
        <f t="shared" si="1"/>
        <v>U16766</v>
      </c>
      <c r="D386" s="14" t="str">
        <f t="array" ref="D386">iferror(index('2018_ufns'!E:E,match(C386,'2018_ufns'!B:B,0)))</f>
        <v>P1077</v>
      </c>
      <c r="E386" s="14">
        <v>43395.0</v>
      </c>
      <c r="F386" s="9" t="s">
        <v>53</v>
      </c>
      <c r="G386" s="9" t="s">
        <v>54</v>
      </c>
      <c r="H386" s="9">
        <v>8.0</v>
      </c>
      <c r="I386" s="13">
        <v>92.0</v>
      </c>
      <c r="J386" s="13">
        <v>97.0</v>
      </c>
      <c r="K386" s="17">
        <f t="shared" si="5"/>
        <v>0.8765461452</v>
      </c>
      <c r="L386" s="9">
        <v>0.0</v>
      </c>
      <c r="O386" s="9" t="s">
        <v>638</v>
      </c>
      <c r="P386" s="9" t="s">
        <v>1729</v>
      </c>
      <c r="Q386" s="9" t="s">
        <v>150</v>
      </c>
      <c r="R386" s="9" t="s">
        <v>63</v>
      </c>
      <c r="S386" s="9" t="s">
        <v>638</v>
      </c>
      <c r="T386" t="str">
        <f t="shared" si="9"/>
        <v>N</v>
      </c>
      <c r="W386" s="12" t="str">
        <f t="array" ref="W386">if(and(L386=0,Q386="NA"),"NA",if(L386=0,"no lice",if(Q386="NA","no collection",index(sea_lice!G:G,match(C386,sea_lice!A:A,0)))))</f>
        <v>no lice</v>
      </c>
      <c r="X386" s="23">
        <v>385.0</v>
      </c>
    </row>
    <row r="387">
      <c r="B387" s="6">
        <v>16763.0</v>
      </c>
      <c r="C387" s="12" t="str">
        <f t="shared" si="1"/>
        <v>U16763</v>
      </c>
      <c r="D387" s="14" t="str">
        <f t="array" ref="D387">iferror(index('2018_ufns'!E:E,match(C387,'2018_ufns'!B:B,0)))</f>
        <v>P1077</v>
      </c>
      <c r="E387" s="14">
        <v>43395.0</v>
      </c>
      <c r="F387" s="9" t="s">
        <v>53</v>
      </c>
      <c r="G387" s="9" t="s">
        <v>54</v>
      </c>
      <c r="H387" s="9">
        <v>6.5</v>
      </c>
      <c r="I387" s="13">
        <v>86.0</v>
      </c>
      <c r="J387" s="13">
        <v>91.0</v>
      </c>
      <c r="K387" s="17">
        <f t="shared" si="5"/>
        <v>0.8625597323</v>
      </c>
      <c r="L387" s="9">
        <v>1.0</v>
      </c>
      <c r="O387" s="9" t="s">
        <v>638</v>
      </c>
      <c r="P387" s="9" t="s">
        <v>1729</v>
      </c>
      <c r="Q387" s="9" t="s">
        <v>150</v>
      </c>
      <c r="R387" s="9" t="s">
        <v>63</v>
      </c>
      <c r="S387" s="9" t="s">
        <v>638</v>
      </c>
      <c r="T387" t="str">
        <f t="shared" si="9"/>
        <v>N</v>
      </c>
      <c r="W387" s="12" t="str">
        <f t="array" ref="W387">if(and(L387=0,Q387="NA"),"NA",if(L387=0,"no lice",if(Q387="NA","no collection",index(sea_lice!G:G,match(C387,sea_lice!A:A,0)))))</f>
        <v>BSL6-15</v>
      </c>
      <c r="X387" s="23">
        <v>386.0</v>
      </c>
    </row>
    <row r="388">
      <c r="B388" s="6">
        <v>16765.0</v>
      </c>
      <c r="C388" s="12" t="str">
        <f t="shared" si="1"/>
        <v>U16765</v>
      </c>
      <c r="D388" s="14" t="str">
        <f t="array" ref="D388">iferror(index('2018_ufns'!E:E,match(C388,'2018_ufns'!B:B,0)))</f>
        <v>P1077</v>
      </c>
      <c r="E388" s="14">
        <v>43395.0</v>
      </c>
      <c r="F388" s="9" t="s">
        <v>53</v>
      </c>
      <c r="G388" s="9" t="s">
        <v>54</v>
      </c>
      <c r="H388" s="9">
        <v>7.2</v>
      </c>
      <c r="I388" s="13">
        <v>88.0</v>
      </c>
      <c r="J388" s="13">
        <v>93.0</v>
      </c>
      <c r="K388" s="17">
        <f t="shared" si="5"/>
        <v>0.8951249259</v>
      </c>
      <c r="L388" s="9">
        <v>2.0</v>
      </c>
      <c r="O388" s="9" t="s">
        <v>638</v>
      </c>
      <c r="P388" s="9" t="s">
        <v>1729</v>
      </c>
      <c r="Q388" s="9" t="s">
        <v>150</v>
      </c>
      <c r="R388" s="9" t="s">
        <v>63</v>
      </c>
      <c r="S388" s="9" t="s">
        <v>638</v>
      </c>
      <c r="T388" t="str">
        <f t="shared" si="9"/>
        <v>N</v>
      </c>
      <c r="W388" s="12" t="str">
        <f t="array" ref="W388">if(and(L388=0,Q388="NA"),"NA",if(L388=0,"no lice",if(Q388="NA","no collection",index(sea_lice!G:G,match(C388,sea_lice!A:A,0)))))</f>
        <v>BSL6-17</v>
      </c>
      <c r="X388" s="23">
        <v>387.0</v>
      </c>
    </row>
    <row r="389">
      <c r="B389" s="6">
        <v>16767.0</v>
      </c>
      <c r="C389" s="12" t="str">
        <f t="shared" si="1"/>
        <v>U16767</v>
      </c>
      <c r="D389" s="14" t="str">
        <f t="array" ref="D389">iferror(index('2018_ufns'!E:E,match(C389,'2018_ufns'!B:B,0)))</f>
        <v>P1077</v>
      </c>
      <c r="E389" s="14">
        <v>43395.0</v>
      </c>
      <c r="F389" s="9" t="s">
        <v>53</v>
      </c>
      <c r="G389" s="9" t="s">
        <v>54</v>
      </c>
      <c r="H389" s="9">
        <v>7.0</v>
      </c>
      <c r="I389" s="13">
        <v>90.0</v>
      </c>
      <c r="J389" s="13">
        <v>95.0</v>
      </c>
      <c r="K389" s="17">
        <f t="shared" si="5"/>
        <v>0.816445546</v>
      </c>
      <c r="L389" s="9">
        <v>0.0</v>
      </c>
      <c r="O389" s="9" t="s">
        <v>638</v>
      </c>
      <c r="P389" s="9" t="s">
        <v>1729</v>
      </c>
      <c r="Q389" s="9" t="s">
        <v>150</v>
      </c>
      <c r="R389" s="9" t="s">
        <v>63</v>
      </c>
      <c r="S389" s="9" t="s">
        <v>638</v>
      </c>
      <c r="T389" t="str">
        <f t="shared" si="9"/>
        <v>N</v>
      </c>
      <c r="W389" s="12" t="str">
        <f t="array" ref="W389">if(and(L389=0,Q389="NA"),"NA",if(L389=0,"no lice",if(Q389="NA","no collection",index(sea_lice!G:G,match(C389,sea_lice!A:A,0)))))</f>
        <v>no lice</v>
      </c>
      <c r="X389" s="23">
        <v>388.0</v>
      </c>
    </row>
    <row r="390">
      <c r="B390" s="6">
        <v>16762.0</v>
      </c>
      <c r="C390" s="12" t="str">
        <f t="shared" si="1"/>
        <v>U16762</v>
      </c>
      <c r="D390" s="14" t="str">
        <f t="array" ref="D390">iferror(index('2018_ufns'!E:E,match(C390,'2018_ufns'!B:B,0)))</f>
        <v>P1077</v>
      </c>
      <c r="E390" s="14">
        <v>43395.0</v>
      </c>
      <c r="F390" s="9" t="s">
        <v>53</v>
      </c>
      <c r="G390" s="9" t="s">
        <v>54</v>
      </c>
      <c r="H390" s="9">
        <v>9.4</v>
      </c>
      <c r="I390" s="13">
        <v>96.0</v>
      </c>
      <c r="J390" s="13">
        <v>100.0</v>
      </c>
      <c r="K390" s="17">
        <f t="shared" si="5"/>
        <v>0.94</v>
      </c>
      <c r="L390" s="9">
        <v>0.0</v>
      </c>
      <c r="O390" s="9" t="s">
        <v>638</v>
      </c>
      <c r="P390" s="9" t="s">
        <v>1729</v>
      </c>
      <c r="Q390" s="9" t="s">
        <v>150</v>
      </c>
      <c r="R390" s="9" t="s">
        <v>63</v>
      </c>
      <c r="S390" s="9" t="s">
        <v>638</v>
      </c>
      <c r="T390" t="str">
        <f t="shared" si="9"/>
        <v>N</v>
      </c>
      <c r="W390" s="12" t="str">
        <f t="array" ref="W390">if(and(L390=0,Q390="NA"),"NA",if(L390=0,"no lice",if(Q390="NA","no collection",index(sea_lice!G:G,match(C390,sea_lice!A:A,0)))))</f>
        <v>no lice</v>
      </c>
      <c r="X390" s="23">
        <v>389.0</v>
      </c>
    </row>
    <row r="391">
      <c r="B391" s="6">
        <v>16764.0</v>
      </c>
      <c r="C391" s="12" t="str">
        <f t="shared" si="1"/>
        <v>U16764</v>
      </c>
      <c r="D391" s="14" t="str">
        <f t="array" ref="D391">iferror(index('2018_ufns'!E:E,match(C391,'2018_ufns'!B:B,0)))</f>
        <v>P1077</v>
      </c>
      <c r="E391" s="14">
        <v>43395.0</v>
      </c>
      <c r="F391" s="9" t="s">
        <v>53</v>
      </c>
      <c r="G391" s="9" t="s">
        <v>54</v>
      </c>
      <c r="H391" s="9">
        <v>8.3</v>
      </c>
      <c r="I391" s="13">
        <v>94.0</v>
      </c>
      <c r="J391" s="13">
        <v>98.0</v>
      </c>
      <c r="K391" s="17">
        <f t="shared" si="5"/>
        <v>0.8818604493</v>
      </c>
      <c r="L391" s="9">
        <v>0.0</v>
      </c>
      <c r="O391" s="9" t="s">
        <v>638</v>
      </c>
      <c r="P391" s="9" t="s">
        <v>1729</v>
      </c>
      <c r="Q391" s="9" t="s">
        <v>150</v>
      </c>
      <c r="R391" s="9" t="s">
        <v>63</v>
      </c>
      <c r="S391" s="9" t="s">
        <v>638</v>
      </c>
      <c r="T391" t="str">
        <f t="shared" si="9"/>
        <v>N</v>
      </c>
      <c r="W391" s="12" t="str">
        <f t="array" ref="W391">if(and(L391=0,Q391="NA"),"NA",if(L391=0,"no lice",if(Q391="NA","no collection",index(sea_lice!G:G,match(C391,sea_lice!A:A,0)))))</f>
        <v>no lice</v>
      </c>
      <c r="X391" s="23">
        <v>390.0</v>
      </c>
    </row>
    <row r="392">
      <c r="B392" s="6">
        <v>16707.0</v>
      </c>
      <c r="C392" s="12" t="str">
        <f t="shared" si="1"/>
        <v>U16707</v>
      </c>
      <c r="D392" s="14" t="str">
        <f t="array" ref="D392">iferror(index('2018_ufns'!E:E,match(C392,'2018_ufns'!B:B,0)))</f>
        <v>P1071</v>
      </c>
      <c r="E392" s="14">
        <v>43396.0</v>
      </c>
      <c r="F392" s="9" t="s">
        <v>53</v>
      </c>
      <c r="G392" s="9" t="s">
        <v>54</v>
      </c>
      <c r="H392" s="9">
        <v>6.3</v>
      </c>
      <c r="I392" s="13">
        <v>84.0</v>
      </c>
      <c r="J392" s="13">
        <v>88.0</v>
      </c>
      <c r="K392" s="17">
        <f t="shared" si="5"/>
        <v>0.9244693839</v>
      </c>
      <c r="L392" s="9">
        <v>1.0</v>
      </c>
      <c r="O392" s="9" t="s">
        <v>221</v>
      </c>
      <c r="P392" s="9" t="s">
        <v>1729</v>
      </c>
      <c r="Q392" s="9" t="s">
        <v>150</v>
      </c>
      <c r="R392" s="9" t="s">
        <v>63</v>
      </c>
      <c r="S392" s="9" t="s">
        <v>638</v>
      </c>
      <c r="T392" t="str">
        <f t="shared" si="9"/>
        <v>N</v>
      </c>
      <c r="W392" s="12" t="str">
        <f t="array" ref="W392">if(and(L392=0,Q392="NA"),"NA",if(L392=0,"no lice",if(Q392="NA","no collection",index(sea_lice!G:G,match(C392,sea_lice!A:A,0)))))</f>
        <v>BSL6-19</v>
      </c>
      <c r="X392" s="23">
        <v>391.0</v>
      </c>
    </row>
    <row r="393">
      <c r="B393" s="6">
        <v>16708.0</v>
      </c>
      <c r="C393" s="12" t="str">
        <f t="shared" si="1"/>
        <v>U16708</v>
      </c>
      <c r="D393" s="14" t="str">
        <f t="array" ref="D393">iferror(index('2018_ufns'!E:E,match(C393,'2018_ufns'!B:B,0)))</f>
        <v>P1071</v>
      </c>
      <c r="E393" s="14">
        <v>43396.0</v>
      </c>
      <c r="F393" s="9" t="s">
        <v>53</v>
      </c>
      <c r="G393" s="9" t="s">
        <v>54</v>
      </c>
      <c r="H393" s="9">
        <v>8.2</v>
      </c>
      <c r="I393" s="13">
        <v>93.0</v>
      </c>
      <c r="J393" s="13">
        <v>97.0</v>
      </c>
      <c r="K393" s="17">
        <f t="shared" si="5"/>
        <v>0.8984597989</v>
      </c>
      <c r="L393" s="9">
        <v>0.0</v>
      </c>
      <c r="O393" s="9" t="s">
        <v>221</v>
      </c>
      <c r="P393" s="9" t="s">
        <v>1729</v>
      </c>
      <c r="Q393" s="9" t="s">
        <v>150</v>
      </c>
      <c r="R393" s="9" t="s">
        <v>63</v>
      </c>
      <c r="S393" s="9" t="s">
        <v>638</v>
      </c>
      <c r="T393" t="str">
        <f t="shared" si="9"/>
        <v>N</v>
      </c>
      <c r="W393" s="12" t="str">
        <f t="array" ref="W393">if(and(L393=0,Q393="NA"),"NA",if(L393=0,"no lice",if(Q393="NA","no collection",index(sea_lice!G:G,match(C393,sea_lice!A:A,0)))))</f>
        <v>no lice</v>
      </c>
      <c r="X393" s="23">
        <v>392.0</v>
      </c>
    </row>
    <row r="394">
      <c r="B394" s="6">
        <v>16709.0</v>
      </c>
      <c r="C394" s="12" t="str">
        <f t="shared" si="1"/>
        <v>U16709</v>
      </c>
      <c r="D394" s="14" t="str">
        <f t="array" ref="D394">iferror(index('2018_ufns'!E:E,match(C394,'2018_ufns'!B:B,0)))</f>
        <v>P1071</v>
      </c>
      <c r="E394" s="14">
        <v>43396.0</v>
      </c>
      <c r="F394" s="9" t="s">
        <v>53</v>
      </c>
      <c r="G394" s="9" t="s">
        <v>54</v>
      </c>
      <c r="H394" s="9">
        <v>9.9</v>
      </c>
      <c r="I394" s="13">
        <v>97.0</v>
      </c>
      <c r="J394" s="13">
        <v>101.0</v>
      </c>
      <c r="K394" s="17">
        <f t="shared" si="5"/>
        <v>0.9608842464</v>
      </c>
      <c r="L394" s="9">
        <v>0.0</v>
      </c>
      <c r="O394" s="9" t="s">
        <v>221</v>
      </c>
      <c r="P394" s="9" t="s">
        <v>1729</v>
      </c>
      <c r="Q394" s="9" t="s">
        <v>150</v>
      </c>
      <c r="R394" s="9" t="s">
        <v>63</v>
      </c>
      <c r="S394" s="9" t="s">
        <v>638</v>
      </c>
      <c r="T394" t="str">
        <f t="shared" si="9"/>
        <v>N</v>
      </c>
      <c r="W394" s="12" t="str">
        <f t="array" ref="W394">if(and(L394=0,Q394="NA"),"NA",if(L394=0,"no lice",if(Q394="NA","no collection",index(sea_lice!G:G,match(C394,sea_lice!A:A,0)))))</f>
        <v>no lice</v>
      </c>
      <c r="X394" s="23">
        <v>393.0</v>
      </c>
    </row>
    <row r="395">
      <c r="B395" s="6">
        <v>16710.0</v>
      </c>
      <c r="C395" s="12" t="str">
        <f t="shared" si="1"/>
        <v>U16710</v>
      </c>
      <c r="D395" s="14" t="str">
        <f t="array" ref="D395">iferror(index('2018_ufns'!E:E,match(C395,'2018_ufns'!B:B,0)))</f>
        <v>P1071</v>
      </c>
      <c r="E395" s="14">
        <v>43396.0</v>
      </c>
      <c r="F395" s="9" t="s">
        <v>53</v>
      </c>
      <c r="G395" s="9" t="s">
        <v>54</v>
      </c>
      <c r="H395" s="9">
        <v>6.9</v>
      </c>
      <c r="I395" s="13">
        <v>88.0</v>
      </c>
      <c r="J395" s="13">
        <v>92.0</v>
      </c>
      <c r="K395" s="17">
        <f t="shared" si="5"/>
        <v>0.8861058601</v>
      </c>
      <c r="L395" s="9">
        <v>0.0</v>
      </c>
      <c r="O395" s="9" t="s">
        <v>221</v>
      </c>
      <c r="P395" s="9" t="s">
        <v>1729</v>
      </c>
      <c r="Q395" s="9" t="s">
        <v>150</v>
      </c>
      <c r="R395" s="9" t="s">
        <v>63</v>
      </c>
      <c r="S395" s="9" t="s">
        <v>638</v>
      </c>
      <c r="T395" t="str">
        <f t="shared" si="9"/>
        <v>N</v>
      </c>
      <c r="W395" s="12" t="str">
        <f t="array" ref="W395">if(and(L395=0,Q395="NA"),"NA",if(L395=0,"no lice",if(Q395="NA","no collection",index(sea_lice!G:G,match(C395,sea_lice!A:A,0)))))</f>
        <v>no lice</v>
      </c>
      <c r="X395" s="23">
        <v>394.0</v>
      </c>
    </row>
    <row r="396">
      <c r="B396" s="6">
        <v>16921.0</v>
      </c>
      <c r="C396" s="12" t="str">
        <f t="shared" si="1"/>
        <v>U16921</v>
      </c>
      <c r="D396" s="14" t="str">
        <f t="array" ref="D396">iferror(index('2018_ufns'!E:E,match(C396,'2018_ufns'!B:B,0)))</f>
        <v>P1093</v>
      </c>
      <c r="E396" s="14">
        <v>43396.0</v>
      </c>
      <c r="F396" s="9" t="s">
        <v>53</v>
      </c>
      <c r="G396" s="9" t="s">
        <v>54</v>
      </c>
      <c r="H396" s="9">
        <v>6.9</v>
      </c>
      <c r="I396" s="13">
        <v>85.0</v>
      </c>
      <c r="J396" s="13">
        <v>90.0</v>
      </c>
      <c r="K396" s="17">
        <f t="shared" si="5"/>
        <v>0.9465020576</v>
      </c>
      <c r="L396" s="9">
        <v>0.0</v>
      </c>
      <c r="O396" s="9" t="s">
        <v>221</v>
      </c>
      <c r="P396" s="9" t="s">
        <v>1729</v>
      </c>
      <c r="Q396" s="9" t="s">
        <v>150</v>
      </c>
      <c r="R396" s="9" t="s">
        <v>63</v>
      </c>
      <c r="S396" s="9" t="s">
        <v>638</v>
      </c>
      <c r="T396" t="str">
        <f t="shared" si="9"/>
        <v>N</v>
      </c>
      <c r="W396" s="12" t="str">
        <f t="array" ref="W396">if(and(L396=0,Q396="NA"),"NA",if(L396=0,"no lice",if(Q396="NA","no collection",index(sea_lice!G:G,match(C396,sea_lice!A:A,0)))))</f>
        <v>no lice</v>
      </c>
      <c r="X396" s="23">
        <v>395.0</v>
      </c>
    </row>
    <row r="397">
      <c r="B397" s="6">
        <v>16922.0</v>
      </c>
      <c r="C397" s="12" t="str">
        <f t="shared" si="1"/>
        <v>U16922</v>
      </c>
      <c r="D397" s="14" t="str">
        <f t="array" ref="D397">iferror(index('2018_ufns'!E:E,match(C397,'2018_ufns'!B:B,0)))</f>
        <v>P1093</v>
      </c>
      <c r="E397" s="14">
        <v>43396.0</v>
      </c>
      <c r="F397" s="9" t="s">
        <v>53</v>
      </c>
      <c r="G397" s="9" t="s">
        <v>54</v>
      </c>
      <c r="H397" s="9">
        <v>8.0</v>
      </c>
      <c r="I397" s="13">
        <v>90.0</v>
      </c>
      <c r="J397" s="13" t="s">
        <v>63</v>
      </c>
      <c r="K397" s="17" t="str">
        <f t="shared" si="5"/>
        <v/>
      </c>
      <c r="L397" s="9">
        <v>0.0</v>
      </c>
      <c r="O397" s="9" t="s">
        <v>221</v>
      </c>
      <c r="P397" s="9" t="s">
        <v>1729</v>
      </c>
      <c r="Q397" s="9" t="s">
        <v>150</v>
      </c>
      <c r="R397" s="9" t="s">
        <v>63</v>
      </c>
      <c r="S397" s="9" t="s">
        <v>638</v>
      </c>
      <c r="T397" t="str">
        <f t="shared" si="9"/>
        <v>N</v>
      </c>
      <c r="W397" s="12" t="str">
        <f t="array" ref="W397">if(and(L397=0,Q397="NA"),"NA",if(L397=0,"no lice",if(Q397="NA","no collection",index(sea_lice!G:G,match(C397,sea_lice!A:A,0)))))</f>
        <v>no lice</v>
      </c>
      <c r="X397" s="23">
        <v>396.0</v>
      </c>
    </row>
    <row r="398">
      <c r="B398" s="6">
        <v>16923.0</v>
      </c>
      <c r="C398" s="12" t="str">
        <f t="shared" si="1"/>
        <v>U16923</v>
      </c>
      <c r="D398" s="14" t="str">
        <f t="array" ref="D398">iferror(index('2018_ufns'!E:E,match(C398,'2018_ufns'!B:B,0)))</f>
        <v>P1093</v>
      </c>
      <c r="E398" s="14">
        <v>43396.0</v>
      </c>
      <c r="F398" s="9" t="s">
        <v>53</v>
      </c>
      <c r="G398" s="9" t="s">
        <v>54</v>
      </c>
      <c r="H398" s="9">
        <v>8.4</v>
      </c>
      <c r="I398" s="13">
        <v>93.0</v>
      </c>
      <c r="J398" s="13" t="s">
        <v>63</v>
      </c>
      <c r="K398" s="17" t="str">
        <f t="shared" si="5"/>
        <v/>
      </c>
      <c r="L398" s="9">
        <v>3.0</v>
      </c>
      <c r="O398" s="9" t="s">
        <v>221</v>
      </c>
      <c r="P398" s="9" t="s">
        <v>1729</v>
      </c>
      <c r="Q398" s="9" t="s">
        <v>150</v>
      </c>
      <c r="R398" s="9" t="s">
        <v>63</v>
      </c>
      <c r="S398" s="9" t="s">
        <v>638</v>
      </c>
      <c r="T398" t="str">
        <f t="shared" si="9"/>
        <v>N</v>
      </c>
      <c r="W398" s="12" t="str">
        <f t="array" ref="W398">if(and(L398=0,Q398="NA"),"NA",if(L398=0,"no lice",if(Q398="NA","no collection",index(sea_lice!G:G,match(C398,sea_lice!A:A,0)))))</f>
        <v>BSL6-22</v>
      </c>
      <c r="X398" s="23">
        <v>397.0</v>
      </c>
    </row>
    <row r="399">
      <c r="B399" s="6">
        <v>17351.0</v>
      </c>
      <c r="C399" s="12" t="str">
        <f t="shared" si="1"/>
        <v>U17351</v>
      </c>
      <c r="D399" s="14" t="str">
        <f t="array" ref="D399">iferror(index('2018_ufns'!E:E,match(C399,'2018_ufns'!B:B,0)))</f>
        <v>P1136</v>
      </c>
      <c r="E399" s="14">
        <v>43396.0</v>
      </c>
      <c r="F399" s="9" t="s">
        <v>53</v>
      </c>
      <c r="G399" s="9" t="s">
        <v>54</v>
      </c>
      <c r="H399" s="9">
        <v>22.4</v>
      </c>
      <c r="I399" s="13">
        <v>127.0</v>
      </c>
      <c r="J399" s="13">
        <v>133.0</v>
      </c>
      <c r="K399" s="17">
        <f t="shared" si="5"/>
        <v>0.9521230857</v>
      </c>
      <c r="L399" s="9">
        <v>3.0</v>
      </c>
      <c r="N399" s="9" t="s">
        <v>2103</v>
      </c>
      <c r="O399" s="9" t="s">
        <v>221</v>
      </c>
      <c r="P399" s="9" t="s">
        <v>1729</v>
      </c>
      <c r="Q399" s="9" t="s">
        <v>150</v>
      </c>
      <c r="R399" s="9" t="s">
        <v>63</v>
      </c>
      <c r="S399" s="9" t="s">
        <v>638</v>
      </c>
      <c r="T399" t="str">
        <f t="shared" si="9"/>
        <v>N</v>
      </c>
      <c r="W399" s="12" t="str">
        <f t="array" ref="W399">if(and(L399=0,Q399="NA"),"NA",if(L399=0,"no lice",if(Q399="NA","no collection",index(sea_lice!G:G,match(C399,sea_lice!A:A,0)))))</f>
        <v>BSL6-24</v>
      </c>
      <c r="X399" s="23">
        <v>398.0</v>
      </c>
    </row>
    <row r="400">
      <c r="B400" s="6">
        <v>17352.0</v>
      </c>
      <c r="C400" s="12" t="str">
        <f t="shared" si="1"/>
        <v>U17352</v>
      </c>
      <c r="D400" s="14" t="str">
        <f t="array" ref="D400">iferror(index('2018_ufns'!E:E,match(C400,'2018_ufns'!B:B,0)))</f>
        <v>P1136</v>
      </c>
      <c r="E400" s="14">
        <v>43396.0</v>
      </c>
      <c r="F400" s="9" t="s">
        <v>53</v>
      </c>
      <c r="G400" s="9" t="s">
        <v>54</v>
      </c>
      <c r="H400" s="9">
        <v>12.4</v>
      </c>
      <c r="I400" s="13">
        <v>106.0</v>
      </c>
      <c r="J400" s="13">
        <v>111.0</v>
      </c>
      <c r="K400" s="17">
        <f t="shared" si="5"/>
        <v>0.9066773128</v>
      </c>
      <c r="L400" s="9">
        <v>0.0</v>
      </c>
      <c r="O400" s="9" t="s">
        <v>221</v>
      </c>
      <c r="P400" s="9" t="s">
        <v>1729</v>
      </c>
      <c r="Q400" s="9" t="s">
        <v>150</v>
      </c>
      <c r="R400" s="9" t="s">
        <v>63</v>
      </c>
      <c r="S400" s="9" t="s">
        <v>638</v>
      </c>
      <c r="T400" t="str">
        <f t="shared" si="9"/>
        <v>N</v>
      </c>
      <c r="W400" s="12" t="str">
        <f t="array" ref="W400">if(and(L400=0,Q400="NA"),"NA",if(L400=0,"no lice",if(Q400="NA","no collection",index(sea_lice!G:G,match(C400,sea_lice!A:A,0)))))</f>
        <v>no lice</v>
      </c>
      <c r="X400" s="23">
        <v>399.0</v>
      </c>
    </row>
    <row r="401">
      <c r="B401" s="6">
        <v>17353.0</v>
      </c>
      <c r="C401" s="12" t="str">
        <f t="shared" si="1"/>
        <v>U17353</v>
      </c>
      <c r="D401" s="14" t="str">
        <f t="array" ref="D401">iferror(index('2018_ufns'!E:E,match(C401,'2018_ufns'!B:B,0)))</f>
        <v>P1136</v>
      </c>
      <c r="E401" s="14">
        <v>43396.0</v>
      </c>
      <c r="F401" s="9" t="s">
        <v>53</v>
      </c>
      <c r="G401" s="9" t="s">
        <v>54</v>
      </c>
      <c r="H401" s="9">
        <v>20.2</v>
      </c>
      <c r="I401" s="13">
        <v>123.0</v>
      </c>
      <c r="J401" s="13">
        <v>128.0</v>
      </c>
      <c r="K401" s="17">
        <f t="shared" si="5"/>
        <v>0.9632110596</v>
      </c>
      <c r="L401" s="9">
        <v>0.0</v>
      </c>
      <c r="O401" s="9" t="s">
        <v>221</v>
      </c>
      <c r="P401" s="9" t="s">
        <v>1729</v>
      </c>
      <c r="Q401" s="9" t="s">
        <v>150</v>
      </c>
      <c r="R401" s="9" t="s">
        <v>63</v>
      </c>
      <c r="S401" s="9" t="s">
        <v>638</v>
      </c>
      <c r="T401" t="str">
        <f t="shared" si="9"/>
        <v>N</v>
      </c>
      <c r="W401" s="12" t="str">
        <f t="array" ref="W401">if(and(L401=0,Q401="NA"),"NA",if(L401=0,"no lice",if(Q401="NA","no collection",index(sea_lice!G:G,match(C401,sea_lice!A:A,0)))))</f>
        <v>no lice</v>
      </c>
      <c r="X401" s="23">
        <v>400.0</v>
      </c>
    </row>
    <row r="402">
      <c r="B402" s="6">
        <v>17354.0</v>
      </c>
      <c r="C402" s="12" t="str">
        <f t="shared" si="1"/>
        <v>U17354</v>
      </c>
      <c r="D402" s="14" t="str">
        <f t="array" ref="D402">iferror(index('2018_ufns'!E:E,match(C402,'2018_ufns'!B:B,0)))</f>
        <v>P1136</v>
      </c>
      <c r="E402" s="14">
        <v>43396.0</v>
      </c>
      <c r="F402" s="9" t="s">
        <v>53</v>
      </c>
      <c r="G402" s="9" t="s">
        <v>54</v>
      </c>
      <c r="H402" s="9">
        <v>12.8</v>
      </c>
      <c r="I402" s="13">
        <v>106.0</v>
      </c>
      <c r="J402" s="13">
        <v>111.0</v>
      </c>
      <c r="K402" s="17">
        <f t="shared" si="5"/>
        <v>0.9359249681</v>
      </c>
      <c r="L402" s="9">
        <v>0.0</v>
      </c>
      <c r="O402" s="9" t="s">
        <v>221</v>
      </c>
      <c r="P402" s="9" t="s">
        <v>1729</v>
      </c>
      <c r="Q402" s="9" t="s">
        <v>150</v>
      </c>
      <c r="R402" s="9" t="s">
        <v>63</v>
      </c>
      <c r="S402" s="9" t="s">
        <v>638</v>
      </c>
      <c r="T402" t="str">
        <f t="shared" si="9"/>
        <v>N</v>
      </c>
      <c r="W402" s="12" t="str">
        <f t="array" ref="W402">if(and(L402=0,Q402="NA"),"NA",if(L402=0,"no lice",if(Q402="NA","no collection",index(sea_lice!G:G,match(C402,sea_lice!A:A,0)))))</f>
        <v>no lice</v>
      </c>
      <c r="X402" s="23">
        <v>401.0</v>
      </c>
    </row>
    <row r="403">
      <c r="B403" s="6">
        <v>17355.0</v>
      </c>
      <c r="C403" s="12" t="str">
        <f t="shared" si="1"/>
        <v>U17355</v>
      </c>
      <c r="D403" s="14" t="str">
        <f t="array" ref="D403">iferror(index('2018_ufns'!E:E,match(C403,'2018_ufns'!B:B,0)))</f>
        <v>P1136</v>
      </c>
      <c r="E403" s="14">
        <v>43396.0</v>
      </c>
      <c r="F403" s="9" t="s">
        <v>53</v>
      </c>
      <c r="G403" s="9" t="s">
        <v>54</v>
      </c>
      <c r="H403" s="9">
        <v>16.9</v>
      </c>
      <c r="I403" s="13">
        <v>114.0</v>
      </c>
      <c r="J403" s="13">
        <v>119.0</v>
      </c>
      <c r="K403" s="17">
        <f t="shared" si="5"/>
        <v>1.002872726</v>
      </c>
      <c r="L403" s="9">
        <v>0.0</v>
      </c>
      <c r="O403" s="9" t="s">
        <v>221</v>
      </c>
      <c r="P403" s="9" t="s">
        <v>1729</v>
      </c>
      <c r="Q403" s="9" t="s">
        <v>150</v>
      </c>
      <c r="R403" s="9" t="s">
        <v>63</v>
      </c>
      <c r="S403" s="9" t="s">
        <v>638</v>
      </c>
      <c r="T403" t="str">
        <f t="shared" si="9"/>
        <v>N</v>
      </c>
      <c r="W403" s="12" t="str">
        <f t="array" ref="W403">if(and(L403=0,Q403="NA"),"NA",if(L403=0,"no lice",if(Q403="NA","no collection",index(sea_lice!G:G,match(C403,sea_lice!A:A,0)))))</f>
        <v>no lice</v>
      </c>
      <c r="X403" s="23">
        <v>402.0</v>
      </c>
    </row>
    <row r="404">
      <c r="B404" s="6">
        <v>17356.0</v>
      </c>
      <c r="C404" s="12" t="str">
        <f t="shared" si="1"/>
        <v>U17356</v>
      </c>
      <c r="D404" s="14" t="str">
        <f t="array" ref="D404">iferror(index('2018_ufns'!E:E,match(C404,'2018_ufns'!B:B,0)))</f>
        <v>P1136</v>
      </c>
      <c r="E404" s="14">
        <v>43396.0</v>
      </c>
      <c r="F404" s="9" t="s">
        <v>53</v>
      </c>
      <c r="G404" s="9" t="s">
        <v>54</v>
      </c>
      <c r="H404" s="9">
        <v>25.3</v>
      </c>
      <c r="I404" s="13">
        <v>133.0</v>
      </c>
      <c r="J404" s="13">
        <v>138.0</v>
      </c>
      <c r="K404" s="17">
        <f t="shared" si="5"/>
        <v>0.9626829098</v>
      </c>
      <c r="L404" s="9">
        <v>0.0</v>
      </c>
      <c r="O404" s="9" t="s">
        <v>221</v>
      </c>
      <c r="P404" s="9" t="s">
        <v>1729</v>
      </c>
      <c r="Q404" s="9" t="s">
        <v>150</v>
      </c>
      <c r="R404" s="9" t="s">
        <v>63</v>
      </c>
      <c r="S404" s="9" t="s">
        <v>638</v>
      </c>
      <c r="T404" t="str">
        <f t="shared" si="9"/>
        <v>N</v>
      </c>
      <c r="W404" s="12" t="str">
        <f t="array" ref="W404">if(and(L404=0,Q404="NA"),"NA",if(L404=0,"no lice",if(Q404="NA","no collection",index(sea_lice!G:G,match(C404,sea_lice!A:A,0)))))</f>
        <v>no lice</v>
      </c>
      <c r="X404" s="23">
        <v>403.0</v>
      </c>
    </row>
    <row r="405">
      <c r="B405" s="6">
        <v>17357.0</v>
      </c>
      <c r="C405" s="12" t="str">
        <f t="shared" si="1"/>
        <v>U17357</v>
      </c>
      <c r="D405" s="14" t="str">
        <f t="array" ref="D405">iferror(index('2018_ufns'!E:E,match(C405,'2018_ufns'!B:B,0)))</f>
        <v>P1136</v>
      </c>
      <c r="E405" s="14">
        <v>43396.0</v>
      </c>
      <c r="F405" s="9" t="s">
        <v>53</v>
      </c>
      <c r="G405" s="9" t="s">
        <v>54</v>
      </c>
      <c r="H405" s="9">
        <v>21.2</v>
      </c>
      <c r="I405" s="13">
        <v>124.0</v>
      </c>
      <c r="J405" s="13">
        <v>129.0</v>
      </c>
      <c r="K405" s="17">
        <f t="shared" si="5"/>
        <v>0.9875673654</v>
      </c>
      <c r="L405" s="9">
        <v>0.0</v>
      </c>
      <c r="O405" s="9" t="s">
        <v>221</v>
      </c>
      <c r="P405" s="9" t="s">
        <v>1729</v>
      </c>
      <c r="Q405" s="9" t="s">
        <v>150</v>
      </c>
      <c r="R405" s="9" t="s">
        <v>63</v>
      </c>
      <c r="S405" s="9" t="s">
        <v>638</v>
      </c>
      <c r="T405" t="str">
        <f t="shared" si="9"/>
        <v>N</v>
      </c>
      <c r="W405" s="12" t="str">
        <f t="array" ref="W405">if(and(L405=0,Q405="NA"),"NA",if(L405=0,"no lice",if(Q405="NA","no collection",index(sea_lice!G:G,match(C405,sea_lice!A:A,0)))))</f>
        <v>no lice</v>
      </c>
      <c r="X405" s="23">
        <v>404.0</v>
      </c>
    </row>
    <row r="406">
      <c r="B406" s="6">
        <v>17358.0</v>
      </c>
      <c r="C406" s="12" t="str">
        <f t="shared" si="1"/>
        <v>U17358</v>
      </c>
      <c r="D406" s="14" t="str">
        <f t="array" ref="D406">iferror(index('2018_ufns'!E:E,match(C406,'2018_ufns'!B:B,0)))</f>
        <v>P1136</v>
      </c>
      <c r="E406" s="14">
        <v>43396.0</v>
      </c>
      <c r="F406" s="9" t="s">
        <v>53</v>
      </c>
      <c r="G406" s="9" t="s">
        <v>54</v>
      </c>
      <c r="H406" s="9">
        <v>12.9</v>
      </c>
      <c r="I406" s="13">
        <v>105.0</v>
      </c>
      <c r="J406" s="13">
        <v>111.0</v>
      </c>
      <c r="K406" s="17">
        <f t="shared" si="5"/>
        <v>0.9432368819</v>
      </c>
      <c r="L406" s="9">
        <v>0.0</v>
      </c>
      <c r="O406" s="9" t="s">
        <v>221</v>
      </c>
      <c r="P406" s="9" t="s">
        <v>1729</v>
      </c>
      <c r="Q406" s="9" t="s">
        <v>150</v>
      </c>
      <c r="R406" s="9" t="s">
        <v>63</v>
      </c>
      <c r="S406" s="9" t="s">
        <v>638</v>
      </c>
      <c r="T406" t="str">
        <f t="shared" si="9"/>
        <v>N</v>
      </c>
      <c r="W406" s="12" t="str">
        <f t="array" ref="W406">if(and(L406=0,Q406="NA"),"NA",if(L406=0,"no lice",if(Q406="NA","no collection",index(sea_lice!G:G,match(C406,sea_lice!A:A,0)))))</f>
        <v>no lice</v>
      </c>
      <c r="X406" s="23">
        <v>405.0</v>
      </c>
    </row>
    <row r="407">
      <c r="B407" s="6">
        <v>17359.0</v>
      </c>
      <c r="C407" s="12" t="str">
        <f t="shared" si="1"/>
        <v>U17359</v>
      </c>
      <c r="D407" s="14" t="str">
        <f t="array" ref="D407">iferror(index('2018_ufns'!E:E,match(C407,'2018_ufns'!B:B,0)))</f>
        <v>P1136</v>
      </c>
      <c r="E407" s="14">
        <v>43396.0</v>
      </c>
      <c r="F407" s="9" t="s">
        <v>53</v>
      </c>
      <c r="G407" s="9" t="s">
        <v>54</v>
      </c>
      <c r="H407" s="9">
        <v>19.3</v>
      </c>
      <c r="I407" s="13">
        <v>118.0</v>
      </c>
      <c r="J407" s="13">
        <v>124.0</v>
      </c>
      <c r="K407" s="17">
        <f t="shared" si="5"/>
        <v>1.012260414</v>
      </c>
      <c r="L407" s="9">
        <v>0.0</v>
      </c>
      <c r="O407" s="9" t="s">
        <v>221</v>
      </c>
      <c r="P407" s="9" t="s">
        <v>1729</v>
      </c>
      <c r="Q407" s="9" t="s">
        <v>150</v>
      </c>
      <c r="R407" s="9" t="s">
        <v>63</v>
      </c>
      <c r="S407" s="9" t="s">
        <v>638</v>
      </c>
      <c r="T407" t="str">
        <f t="shared" si="9"/>
        <v>N</v>
      </c>
      <c r="W407" s="12" t="str">
        <f t="array" ref="W407">if(and(L407=0,Q407="NA"),"NA",if(L407=0,"no lice",if(Q407="NA","no collection",index(sea_lice!G:G,match(C407,sea_lice!A:A,0)))))</f>
        <v>no lice</v>
      </c>
      <c r="X407" s="23">
        <v>406.0</v>
      </c>
    </row>
    <row r="408">
      <c r="B408" s="6">
        <v>17360.0</v>
      </c>
      <c r="C408" s="12" t="str">
        <f t="shared" si="1"/>
        <v>U17360</v>
      </c>
      <c r="D408" s="14" t="str">
        <f t="array" ref="D408">iferror(index('2018_ufns'!E:E,match(C408,'2018_ufns'!B:B,0)))</f>
        <v>P1136</v>
      </c>
      <c r="E408" s="14">
        <v>43396.0</v>
      </c>
      <c r="F408" s="9" t="s">
        <v>53</v>
      </c>
      <c r="G408" s="9" t="s">
        <v>54</v>
      </c>
      <c r="H408" s="9">
        <v>17.3</v>
      </c>
      <c r="I408" s="13">
        <v>115.0</v>
      </c>
      <c r="J408" s="13">
        <v>121.0</v>
      </c>
      <c r="K408" s="17">
        <f t="shared" si="5"/>
        <v>0.976539899</v>
      </c>
      <c r="L408" s="9">
        <v>0.0</v>
      </c>
      <c r="O408" s="9" t="s">
        <v>221</v>
      </c>
      <c r="P408" s="9" t="s">
        <v>1729</v>
      </c>
      <c r="Q408" s="9" t="s">
        <v>150</v>
      </c>
      <c r="R408" s="9" t="s">
        <v>63</v>
      </c>
      <c r="S408" s="9" t="s">
        <v>638</v>
      </c>
      <c r="T408" t="str">
        <f t="shared" si="9"/>
        <v>N</v>
      </c>
      <c r="W408" s="12" t="str">
        <f t="array" ref="W408">if(and(L408=0,Q408="NA"),"NA",if(L408=0,"no lice",if(Q408="NA","no collection",index(sea_lice!G:G,match(C408,sea_lice!A:A,0)))))</f>
        <v>no lice</v>
      </c>
      <c r="X408" s="23">
        <v>407.0</v>
      </c>
    </row>
    <row r="409">
      <c r="B409" s="6">
        <v>16954.0</v>
      </c>
      <c r="C409" s="12" t="str">
        <f t="shared" si="1"/>
        <v>U16954</v>
      </c>
      <c r="D409" s="14" t="str">
        <f t="array" ref="D409">iferror(index('2018_ufns'!E:E,match(C409,'2018_ufns'!B:B,0)))</f>
        <v>P1096</v>
      </c>
      <c r="E409" s="14">
        <v>43396.0</v>
      </c>
      <c r="F409" s="9" t="s">
        <v>53</v>
      </c>
      <c r="G409" s="9" t="s">
        <v>54</v>
      </c>
      <c r="H409" s="9">
        <v>21.4</v>
      </c>
      <c r="I409" s="13">
        <v>127.0</v>
      </c>
      <c r="J409" s="13">
        <v>133.0</v>
      </c>
      <c r="K409" s="17">
        <f t="shared" si="5"/>
        <v>0.9096175908</v>
      </c>
      <c r="L409" s="9">
        <v>0.0</v>
      </c>
      <c r="O409" s="9" t="s">
        <v>638</v>
      </c>
      <c r="P409" s="9" t="s">
        <v>1729</v>
      </c>
      <c r="Q409" s="9" t="s">
        <v>150</v>
      </c>
      <c r="R409" s="9" t="s">
        <v>63</v>
      </c>
      <c r="S409" s="9" t="s">
        <v>638</v>
      </c>
      <c r="T409" t="str">
        <f t="shared" si="9"/>
        <v>N</v>
      </c>
      <c r="W409" s="12" t="str">
        <f t="array" ref="W409">if(and(L409=0,Q409="NA"),"NA",if(L409=0,"no lice",if(Q409="NA","no collection",index(sea_lice!G:G,match(C409,sea_lice!A:A,0)))))</f>
        <v>no lice</v>
      </c>
      <c r="X409" s="23">
        <v>408.0</v>
      </c>
    </row>
    <row r="410">
      <c r="B410" s="6">
        <v>16953.0</v>
      </c>
      <c r="C410" s="12" t="str">
        <f t="shared" si="1"/>
        <v>U16953</v>
      </c>
      <c r="D410" s="14" t="str">
        <f t="array" ref="D410">iferror(index('2018_ufns'!E:E,match(C410,'2018_ufns'!B:B,0)))</f>
        <v>P1096</v>
      </c>
      <c r="E410" s="14">
        <v>43396.0</v>
      </c>
      <c r="F410" s="9" t="s">
        <v>53</v>
      </c>
      <c r="G410" s="9" t="s">
        <v>54</v>
      </c>
      <c r="H410" s="9">
        <v>24.4</v>
      </c>
      <c r="I410" s="13">
        <v>132.0</v>
      </c>
      <c r="J410" s="13">
        <v>139.0</v>
      </c>
      <c r="K410" s="17">
        <f t="shared" si="5"/>
        <v>0.9085428722</v>
      </c>
      <c r="L410" s="9">
        <v>1.0</v>
      </c>
      <c r="O410" s="9" t="s">
        <v>638</v>
      </c>
      <c r="P410" s="9" t="s">
        <v>1729</v>
      </c>
      <c r="Q410" s="9" t="s">
        <v>150</v>
      </c>
      <c r="R410" s="9" t="s">
        <v>63</v>
      </c>
      <c r="S410" s="9" t="s">
        <v>638</v>
      </c>
      <c r="T410" t="str">
        <f t="shared" si="9"/>
        <v>N</v>
      </c>
      <c r="W410" s="12" t="str">
        <f t="array" ref="W410">if(and(L410=0,Q410="NA"),"NA",if(L410=0,"no lice",if(Q410="NA","no collection",index(sea_lice!G:G,match(C410,sea_lice!A:A,0)))))</f>
        <v>BSL6-20</v>
      </c>
      <c r="X410" s="23">
        <v>409.0</v>
      </c>
    </row>
    <row r="411">
      <c r="B411" s="6">
        <v>16952.0</v>
      </c>
      <c r="C411" s="12" t="str">
        <f t="shared" si="1"/>
        <v>U16952</v>
      </c>
      <c r="D411" s="14" t="str">
        <f t="array" ref="D411">iferror(index('2018_ufns'!E:E,match(C411,'2018_ufns'!B:B,0)))</f>
        <v>P1096</v>
      </c>
      <c r="E411" s="14">
        <v>43396.0</v>
      </c>
      <c r="F411" s="9" t="s">
        <v>53</v>
      </c>
      <c r="G411" s="9" t="s">
        <v>54</v>
      </c>
      <c r="H411" s="9">
        <v>17.7</v>
      </c>
      <c r="I411" s="13">
        <v>119.0</v>
      </c>
      <c r="J411" s="13">
        <v>125.0</v>
      </c>
      <c r="K411" s="17">
        <f t="shared" si="5"/>
        <v>0.90624</v>
      </c>
      <c r="L411" s="9">
        <v>0.0</v>
      </c>
      <c r="N411" s="9" t="s">
        <v>2105</v>
      </c>
      <c r="O411" s="9" t="s">
        <v>638</v>
      </c>
      <c r="P411" s="9" t="s">
        <v>1729</v>
      </c>
      <c r="Q411" s="9" t="s">
        <v>150</v>
      </c>
      <c r="R411" s="9" t="s">
        <v>63</v>
      </c>
      <c r="S411" s="9" t="s">
        <v>638</v>
      </c>
      <c r="T411" t="str">
        <f t="shared" si="9"/>
        <v>N</v>
      </c>
      <c r="W411" s="12" t="str">
        <f t="array" ref="W411">if(and(L411=0,Q411="NA"),"NA",if(L411=0,"no lice",if(Q411="NA","no collection",index(sea_lice!G:G,match(C411,sea_lice!A:A,0)))))</f>
        <v>no lice</v>
      </c>
      <c r="X411" s="23">
        <v>410.0</v>
      </c>
    </row>
    <row r="412">
      <c r="B412" s="6">
        <v>16951.0</v>
      </c>
      <c r="C412" s="12" t="str">
        <f t="shared" si="1"/>
        <v>U16951</v>
      </c>
      <c r="D412" s="14" t="str">
        <f t="array" ref="D412">iferror(index('2018_ufns'!E:E,match(C412,'2018_ufns'!B:B,0)))</f>
        <v>P1096</v>
      </c>
      <c r="E412" s="14">
        <v>43396.0</v>
      </c>
      <c r="F412" s="9" t="s">
        <v>53</v>
      </c>
      <c r="G412" s="9" t="s">
        <v>54</v>
      </c>
      <c r="H412" s="9">
        <v>12.6</v>
      </c>
      <c r="I412" s="13">
        <v>104.0</v>
      </c>
      <c r="J412" s="13">
        <v>109.0</v>
      </c>
      <c r="K412" s="17">
        <f t="shared" si="5"/>
        <v>0.9729511849</v>
      </c>
      <c r="L412" s="9">
        <v>2.0</v>
      </c>
      <c r="O412" s="9" t="s">
        <v>638</v>
      </c>
      <c r="P412" s="9" t="s">
        <v>1729</v>
      </c>
      <c r="Q412" s="9" t="s">
        <v>150</v>
      </c>
      <c r="R412" s="9" t="s">
        <v>63</v>
      </c>
      <c r="S412" s="9" t="s">
        <v>638</v>
      </c>
      <c r="T412" t="str">
        <f t="shared" si="9"/>
        <v>N</v>
      </c>
      <c r="W412" s="12" t="str">
        <f t="array" ref="W412">if(and(L412=0,Q412="NA"),"NA",if(L412=0,"no lice",if(Q412="NA","no collection",index(sea_lice!G:G,match(C412,sea_lice!A:A,0)))))</f>
        <v>BSL6-21</v>
      </c>
      <c r="X412" s="23">
        <v>411.0</v>
      </c>
    </row>
    <row r="413">
      <c r="B413" s="6">
        <v>16955.0</v>
      </c>
      <c r="C413" s="12" t="str">
        <f t="shared" si="1"/>
        <v>U16955</v>
      </c>
      <c r="D413" s="14" t="str">
        <f t="array" ref="D413">iferror(index('2018_ufns'!E:E,match(C413,'2018_ufns'!B:B,0)))</f>
        <v>P1096</v>
      </c>
      <c r="E413" s="14">
        <v>43396.0</v>
      </c>
      <c r="F413" s="9" t="s">
        <v>53</v>
      </c>
      <c r="G413" s="9" t="s">
        <v>54</v>
      </c>
      <c r="H413" s="9">
        <v>20.4</v>
      </c>
      <c r="I413" s="13">
        <v>124.0</v>
      </c>
      <c r="J413" s="13">
        <v>130.0</v>
      </c>
      <c r="K413" s="17">
        <f t="shared" si="5"/>
        <v>0.9285389167</v>
      </c>
      <c r="L413" s="9">
        <v>0.0</v>
      </c>
      <c r="O413" s="9" t="s">
        <v>638</v>
      </c>
      <c r="P413" s="9" t="s">
        <v>1729</v>
      </c>
      <c r="Q413" s="9" t="s">
        <v>150</v>
      </c>
      <c r="R413" s="9" t="s">
        <v>63</v>
      </c>
      <c r="S413" s="9" t="s">
        <v>638</v>
      </c>
      <c r="T413" t="str">
        <f t="shared" si="9"/>
        <v>N</v>
      </c>
      <c r="W413" s="12" t="str">
        <f t="array" ref="W413">if(and(L413=0,Q413="NA"),"NA",if(L413=0,"no lice",if(Q413="NA","no collection",index(sea_lice!G:G,match(C413,sea_lice!A:A,0)))))</f>
        <v>no lice</v>
      </c>
      <c r="X413" s="23">
        <v>412.0</v>
      </c>
    </row>
    <row r="414">
      <c r="B414" s="6">
        <v>17429.0</v>
      </c>
      <c r="C414" s="12" t="str">
        <f t="shared" si="1"/>
        <v>U17429</v>
      </c>
      <c r="D414" s="14" t="str">
        <f t="array" ref="D414">iferror(index('2018_ufns'!E:E,match(C414,'2018_ufns'!B:B,0)))</f>
        <v>P1143</v>
      </c>
      <c r="E414" s="14">
        <v>43396.0</v>
      </c>
      <c r="F414" s="9" t="s">
        <v>53</v>
      </c>
      <c r="G414" s="9" t="s">
        <v>54</v>
      </c>
      <c r="H414" s="9">
        <v>7.9</v>
      </c>
      <c r="I414" s="13">
        <v>92.0</v>
      </c>
      <c r="J414" s="13">
        <v>97.0</v>
      </c>
      <c r="K414" s="17">
        <f t="shared" si="5"/>
        <v>0.8655893184</v>
      </c>
      <c r="L414" s="9">
        <v>1.0</v>
      </c>
      <c r="O414" s="9" t="s">
        <v>638</v>
      </c>
      <c r="P414" s="9" t="s">
        <v>1729</v>
      </c>
      <c r="Q414" s="9" t="s">
        <v>150</v>
      </c>
      <c r="R414" s="9" t="s">
        <v>63</v>
      </c>
      <c r="S414" s="9" t="s">
        <v>638</v>
      </c>
      <c r="T414" t="str">
        <f t="shared" si="9"/>
        <v>N</v>
      </c>
      <c r="W414" s="12" t="str">
        <f t="array" ref="W414">if(and(L414=0,Q414="NA"),"NA",if(L414=0,"no lice",if(Q414="NA","no collection",index(sea_lice!G:G,match(C414,sea_lice!A:A,0)))))</f>
        <v>BSL6-23</v>
      </c>
      <c r="X414" s="23">
        <v>413.0</v>
      </c>
    </row>
    <row r="415">
      <c r="B415" s="6">
        <v>17425.0</v>
      </c>
      <c r="C415" s="12" t="str">
        <f t="shared" si="1"/>
        <v>U17425</v>
      </c>
      <c r="D415" s="14" t="str">
        <f t="array" ref="D415">iferror(index('2018_ufns'!E:E,match(C415,'2018_ufns'!B:B,0)))</f>
        <v>P1143</v>
      </c>
      <c r="E415" s="14">
        <v>43396.0</v>
      </c>
      <c r="F415" s="9" t="s">
        <v>53</v>
      </c>
      <c r="G415" s="9" t="s">
        <v>54</v>
      </c>
      <c r="H415" s="9">
        <v>13.1</v>
      </c>
      <c r="I415" s="13">
        <v>111.0</v>
      </c>
      <c r="J415" s="13">
        <v>117.0</v>
      </c>
      <c r="K415" s="17">
        <f t="shared" si="5"/>
        <v>0.8179254289</v>
      </c>
      <c r="L415" s="9">
        <v>0.0</v>
      </c>
      <c r="N415" s="9" t="s">
        <v>2106</v>
      </c>
      <c r="O415" s="9" t="s">
        <v>638</v>
      </c>
      <c r="P415" s="9" t="s">
        <v>1729</v>
      </c>
      <c r="Q415" s="9" t="s">
        <v>150</v>
      </c>
      <c r="R415" s="9" t="s">
        <v>63</v>
      </c>
      <c r="S415" s="9" t="s">
        <v>638</v>
      </c>
      <c r="T415" t="str">
        <f t="shared" si="9"/>
        <v>N</v>
      </c>
      <c r="W415" s="12" t="str">
        <f t="array" ref="W415">if(and(L415=0,Q415="NA"),"NA",if(L415=0,"no lice",if(Q415="NA","no collection",index(sea_lice!G:G,match(C415,sea_lice!A:A,0)))))</f>
        <v>no lice</v>
      </c>
      <c r="X415" s="23">
        <v>414.0</v>
      </c>
    </row>
    <row r="416">
      <c r="B416" s="6">
        <v>17422.0</v>
      </c>
      <c r="C416" s="12" t="str">
        <f t="shared" si="1"/>
        <v>U17422</v>
      </c>
      <c r="D416" s="14" t="str">
        <f t="array" ref="D416">iferror(index('2018_ufns'!E:E,match(C416,'2018_ufns'!B:B,0)))</f>
        <v>P1143</v>
      </c>
      <c r="E416" s="14">
        <v>43396.0</v>
      </c>
      <c r="F416" s="9" t="s">
        <v>53</v>
      </c>
      <c r="G416" s="9" t="s">
        <v>54</v>
      </c>
      <c r="H416" s="9">
        <v>13.3</v>
      </c>
      <c r="I416" s="13">
        <v>111.0</v>
      </c>
      <c r="J416" s="13">
        <v>117.0</v>
      </c>
      <c r="K416" s="17">
        <f t="shared" si="5"/>
        <v>0.8304128401</v>
      </c>
      <c r="L416" s="9">
        <v>0.0</v>
      </c>
      <c r="O416" s="9" t="s">
        <v>638</v>
      </c>
      <c r="P416" s="9" t="s">
        <v>1729</v>
      </c>
      <c r="Q416" s="9" t="s">
        <v>150</v>
      </c>
      <c r="R416" s="9" t="s">
        <v>63</v>
      </c>
      <c r="S416" s="9" t="s">
        <v>638</v>
      </c>
      <c r="T416" t="str">
        <f t="shared" si="9"/>
        <v>N</v>
      </c>
      <c r="W416" s="12" t="str">
        <f t="array" ref="W416">if(and(L416=0,Q416="NA"),"NA",if(L416=0,"no lice",if(Q416="NA","no collection",index(sea_lice!G:G,match(C416,sea_lice!A:A,0)))))</f>
        <v>no lice</v>
      </c>
      <c r="X416" s="23">
        <v>415.0</v>
      </c>
    </row>
    <row r="417">
      <c r="B417" s="36">
        <v>17423.0</v>
      </c>
      <c r="C417" s="12" t="str">
        <f t="shared" si="1"/>
        <v>U17423</v>
      </c>
      <c r="D417" s="14" t="str">
        <f t="array" ref="D417">iferror(index('2018_ufns'!E:E,match(C417,'2018_ufns'!B:B,0)))</f>
        <v>P1143</v>
      </c>
      <c r="E417" s="14">
        <v>43396.0</v>
      </c>
      <c r="F417" s="9" t="s">
        <v>53</v>
      </c>
      <c r="G417" s="9" t="s">
        <v>54</v>
      </c>
      <c r="H417" s="26">
        <v>13.2</v>
      </c>
      <c r="I417" s="37">
        <v>107.0</v>
      </c>
      <c r="J417" s="37">
        <v>112.0</v>
      </c>
      <c r="K417" s="17">
        <f t="shared" si="5"/>
        <v>0.9395499271</v>
      </c>
      <c r="L417" s="9">
        <v>0.0</v>
      </c>
      <c r="M417" s="26"/>
      <c r="N417" s="38"/>
      <c r="O417" s="9" t="s">
        <v>638</v>
      </c>
      <c r="P417" s="9" t="s">
        <v>1729</v>
      </c>
      <c r="Q417" s="9" t="s">
        <v>150</v>
      </c>
      <c r="R417" s="9" t="s">
        <v>63</v>
      </c>
      <c r="S417" s="9" t="s">
        <v>638</v>
      </c>
      <c r="T417" t="str">
        <f t="shared" si="9"/>
        <v>N</v>
      </c>
      <c r="U417" s="38"/>
      <c r="V417" s="38"/>
      <c r="W417" s="12" t="str">
        <f t="array" ref="W417">if(and(L417=0,Q417="NA"),"NA",if(L417=0,"no lice",if(Q417="NA","no collection",index(sea_lice!G:G,match(C417,sea_lice!A:A,0)))))</f>
        <v>no lice</v>
      </c>
      <c r="X417" s="23">
        <v>416.0</v>
      </c>
    </row>
    <row r="418">
      <c r="B418" s="6">
        <v>17426.0</v>
      </c>
      <c r="C418" s="12" t="str">
        <f t="shared" si="1"/>
        <v>U17426</v>
      </c>
      <c r="D418" s="14" t="str">
        <f t="array" ref="D418">iferror(index('2018_ufns'!E:E,match(C418,'2018_ufns'!B:B,0)))</f>
        <v>P1143</v>
      </c>
      <c r="E418" s="14">
        <v>43396.0</v>
      </c>
      <c r="F418" s="9" t="s">
        <v>53</v>
      </c>
      <c r="G418" s="9" t="s">
        <v>54</v>
      </c>
      <c r="H418" s="9">
        <v>19.5</v>
      </c>
      <c r="I418" s="13">
        <v>123.0</v>
      </c>
      <c r="J418" s="13">
        <v>129.0</v>
      </c>
      <c r="K418" s="17">
        <f t="shared" si="5"/>
        <v>0.9083756427</v>
      </c>
      <c r="L418" s="9">
        <v>0.0</v>
      </c>
      <c r="O418" s="9" t="s">
        <v>638</v>
      </c>
      <c r="P418" s="9" t="s">
        <v>1729</v>
      </c>
      <c r="Q418" s="9" t="s">
        <v>150</v>
      </c>
      <c r="R418" s="9" t="s">
        <v>63</v>
      </c>
      <c r="S418" s="9" t="s">
        <v>638</v>
      </c>
      <c r="T418" t="str">
        <f t="shared" si="9"/>
        <v>N</v>
      </c>
      <c r="U418" s="38"/>
      <c r="V418" s="38"/>
      <c r="W418" s="12" t="str">
        <f t="array" ref="W418">if(and(L418=0,Q418="NA"),"NA",if(L418=0,"no lice",if(Q418="NA","no collection",index(sea_lice!G:G,match(C418,sea_lice!A:A,0)))))</f>
        <v>no lice</v>
      </c>
      <c r="X418" s="23">
        <v>417.0</v>
      </c>
    </row>
    <row r="419">
      <c r="B419" s="6">
        <v>17421.0</v>
      </c>
      <c r="C419" s="12" t="str">
        <f t="shared" si="1"/>
        <v>U17421</v>
      </c>
      <c r="D419" s="14" t="str">
        <f t="array" ref="D419">iferror(index('2018_ufns'!E:E,match(C419,'2018_ufns'!B:B,0)))</f>
        <v>P1143</v>
      </c>
      <c r="E419" s="14">
        <v>43396.0</v>
      </c>
      <c r="F419" s="9" t="s">
        <v>53</v>
      </c>
      <c r="G419" s="9" t="s">
        <v>54</v>
      </c>
      <c r="H419" s="9">
        <v>15.2</v>
      </c>
      <c r="I419" s="13">
        <v>113.0</v>
      </c>
      <c r="J419" s="13">
        <v>118.0</v>
      </c>
      <c r="K419" s="17">
        <f t="shared" si="5"/>
        <v>0.9251189265</v>
      </c>
      <c r="L419" s="9">
        <v>1.0</v>
      </c>
      <c r="O419" s="9" t="s">
        <v>638</v>
      </c>
      <c r="P419" s="9" t="s">
        <v>1729</v>
      </c>
      <c r="Q419" s="9" t="s">
        <v>150</v>
      </c>
      <c r="R419" s="9" t="s">
        <v>63</v>
      </c>
      <c r="S419" s="9" t="s">
        <v>638</v>
      </c>
      <c r="T419" t="str">
        <f t="shared" si="9"/>
        <v>N</v>
      </c>
      <c r="U419" s="38"/>
      <c r="V419" s="38"/>
      <c r="W419" s="12" t="str">
        <f t="array" ref="W419">if(and(L419=0,Q419="NA"),"NA",if(L419=0,"no lice",if(Q419="NA","no collection",index(sea_lice!G:G,match(C419,sea_lice!A:A,0)))))</f>
        <v>BSL6-25</v>
      </c>
      <c r="X419" s="23">
        <v>418.0</v>
      </c>
    </row>
    <row r="420">
      <c r="B420" s="6">
        <v>17430.0</v>
      </c>
      <c r="C420" s="12" t="str">
        <f t="shared" si="1"/>
        <v>U17430</v>
      </c>
      <c r="D420" s="14" t="str">
        <f t="array" ref="D420">iferror(index('2018_ufns'!E:E,match(C420,'2018_ufns'!B:B,0)))</f>
        <v>P1143</v>
      </c>
      <c r="E420" s="14">
        <v>43396.0</v>
      </c>
      <c r="F420" s="9" t="s">
        <v>53</v>
      </c>
      <c r="G420" s="9" t="s">
        <v>54</v>
      </c>
      <c r="H420" s="9">
        <v>10.5</v>
      </c>
      <c r="I420" s="13">
        <v>102.0</v>
      </c>
      <c r="J420" s="13">
        <v>108.0</v>
      </c>
      <c r="K420" s="17">
        <f t="shared" si="5"/>
        <v>0.8335238531</v>
      </c>
      <c r="L420" s="9">
        <v>1.0</v>
      </c>
      <c r="O420" s="9" t="s">
        <v>638</v>
      </c>
      <c r="P420" s="9" t="s">
        <v>1729</v>
      </c>
      <c r="Q420" s="9" t="s">
        <v>150</v>
      </c>
      <c r="R420" s="9" t="s">
        <v>63</v>
      </c>
      <c r="S420" s="9" t="s">
        <v>638</v>
      </c>
      <c r="T420" t="str">
        <f t="shared" si="9"/>
        <v>N</v>
      </c>
      <c r="U420" s="38"/>
      <c r="V420" s="38"/>
      <c r="W420" s="12" t="str">
        <f t="array" ref="W420">if(and(L420=0,Q420="NA"),"NA",if(L420=0,"no lice",if(Q420="NA","no collection",index(sea_lice!G:G,match(C420,sea_lice!A:A,0)))))</f>
        <v>BSL6-26</v>
      </c>
      <c r="X420" s="23">
        <v>419.0</v>
      </c>
    </row>
    <row r="421">
      <c r="B421" s="6">
        <v>17424.0</v>
      </c>
      <c r="C421" s="12" t="str">
        <f t="shared" si="1"/>
        <v>U17424</v>
      </c>
      <c r="D421" s="14" t="str">
        <f t="array" ref="D421">iferror(index('2018_ufns'!E:E,match(C421,'2018_ufns'!B:B,0)))</f>
        <v>P1143</v>
      </c>
      <c r="E421" s="14">
        <v>43396.0</v>
      </c>
      <c r="F421" s="9" t="s">
        <v>53</v>
      </c>
      <c r="G421" s="9" t="s">
        <v>54</v>
      </c>
      <c r="H421" s="9">
        <v>11.6</v>
      </c>
      <c r="I421" s="13">
        <v>106.0</v>
      </c>
      <c r="J421" s="13">
        <v>111.0</v>
      </c>
      <c r="K421" s="17">
        <f t="shared" si="5"/>
        <v>0.8481820023</v>
      </c>
      <c r="L421" s="9">
        <v>1.0</v>
      </c>
      <c r="O421" s="9" t="s">
        <v>638</v>
      </c>
      <c r="P421" s="9" t="s">
        <v>1729</v>
      </c>
      <c r="Q421" s="9" t="s">
        <v>150</v>
      </c>
      <c r="R421" s="9" t="s">
        <v>63</v>
      </c>
      <c r="S421" s="9" t="s">
        <v>638</v>
      </c>
      <c r="T421" t="str">
        <f t="shared" si="9"/>
        <v>N</v>
      </c>
      <c r="U421" s="38"/>
      <c r="V421" s="38"/>
      <c r="W421" s="12" t="str">
        <f t="array" ref="W421">if(and(L421=0,Q421="NA"),"NA",if(L421=0,"no lice",if(Q421="NA","no collection",index(sea_lice!G:G,match(C421,sea_lice!A:A,0)))))</f>
        <v>BSL6-27</v>
      </c>
      <c r="X421" s="23">
        <v>420.0</v>
      </c>
    </row>
    <row r="422">
      <c r="B422" s="6">
        <v>17427.0</v>
      </c>
      <c r="C422" s="12" t="str">
        <f t="shared" si="1"/>
        <v>U17427</v>
      </c>
      <c r="D422" s="14" t="str">
        <f t="array" ref="D422">iferror(index('2018_ufns'!E:E,match(C422,'2018_ufns'!B:B,0)))</f>
        <v>P1143</v>
      </c>
      <c r="E422" s="14">
        <v>43396.0</v>
      </c>
      <c r="F422" s="9" t="s">
        <v>53</v>
      </c>
      <c r="G422" s="9" t="s">
        <v>54</v>
      </c>
      <c r="H422" s="9">
        <v>10.0</v>
      </c>
      <c r="I422" s="13">
        <v>100.0</v>
      </c>
      <c r="J422" s="13">
        <v>105.0</v>
      </c>
      <c r="K422" s="17">
        <f t="shared" si="5"/>
        <v>0.8638375985</v>
      </c>
      <c r="L422" s="9">
        <v>0.0</v>
      </c>
      <c r="O422" s="9" t="s">
        <v>638</v>
      </c>
      <c r="P422" s="9" t="s">
        <v>1729</v>
      </c>
      <c r="Q422" s="9" t="s">
        <v>150</v>
      </c>
      <c r="R422" s="9" t="s">
        <v>63</v>
      </c>
      <c r="S422" s="9" t="s">
        <v>638</v>
      </c>
      <c r="T422" t="str">
        <f t="shared" si="9"/>
        <v>N</v>
      </c>
      <c r="W422" s="12" t="str">
        <f t="array" ref="W422">if(and(L422=0,Q422="NA"),"NA",if(L422=0,"no lice",if(Q422="NA","no collection",index(sea_lice!G:G,match(C422,sea_lice!A:A,0)))))</f>
        <v>no lice</v>
      </c>
      <c r="X422" s="23">
        <v>421.0</v>
      </c>
    </row>
    <row r="423">
      <c r="B423" s="6">
        <v>17428.0</v>
      </c>
      <c r="C423" s="12" t="str">
        <f t="shared" si="1"/>
        <v>U17428</v>
      </c>
      <c r="D423" s="14" t="str">
        <f t="array" ref="D423">iferror(index('2018_ufns'!E:E,match(C423,'2018_ufns'!B:B,0)))</f>
        <v>P1143</v>
      </c>
      <c r="E423" s="14">
        <v>43397.0</v>
      </c>
      <c r="F423" s="9" t="s">
        <v>53</v>
      </c>
      <c r="G423" s="9" t="s">
        <v>54</v>
      </c>
      <c r="H423" s="9">
        <v>21.9</v>
      </c>
      <c r="I423" s="13">
        <v>129.0</v>
      </c>
      <c r="J423" s="13">
        <v>135.0</v>
      </c>
      <c r="K423" s="17">
        <f t="shared" si="5"/>
        <v>0.8901082152</v>
      </c>
      <c r="L423" s="9">
        <v>0.0</v>
      </c>
      <c r="O423" s="9" t="s">
        <v>638</v>
      </c>
      <c r="P423" s="9" t="s">
        <v>1729</v>
      </c>
      <c r="Q423" s="9" t="s">
        <v>150</v>
      </c>
      <c r="R423" s="9" t="s">
        <v>63</v>
      </c>
      <c r="S423" s="9" t="s">
        <v>638</v>
      </c>
      <c r="T423" t="str">
        <f t="shared" si="9"/>
        <v>N</v>
      </c>
      <c r="W423" s="12" t="str">
        <f t="array" ref="W423">if(and(L423=0,Q423="NA"),"NA",if(L423=0,"no lice",if(Q423="NA","no collection",index(sea_lice!G:G,match(C423,sea_lice!A:A,0)))))</f>
        <v>no lice</v>
      </c>
      <c r="X423" s="23">
        <v>422.0</v>
      </c>
    </row>
    <row r="424">
      <c r="B424" s="6">
        <v>17197.0</v>
      </c>
      <c r="C424" s="12" t="str">
        <f t="shared" si="1"/>
        <v>U17197</v>
      </c>
      <c r="D424" s="14" t="str">
        <f t="array" ref="D424">iferror(index('2018_ufns'!E:E,match(C424,'2018_ufns'!B:B,0)))</f>
        <v>P1120</v>
      </c>
      <c r="E424" s="14">
        <v>43397.0</v>
      </c>
      <c r="F424" s="9" t="s">
        <v>53</v>
      </c>
      <c r="G424" s="9" t="s">
        <v>54</v>
      </c>
      <c r="H424" s="9">
        <v>10.2</v>
      </c>
      <c r="I424" s="13">
        <v>99.0</v>
      </c>
      <c r="J424" s="13">
        <v>104.0</v>
      </c>
      <c r="K424" s="17">
        <f t="shared" si="5"/>
        <v>0.9067762858</v>
      </c>
      <c r="L424" s="9">
        <v>2.0</v>
      </c>
      <c r="O424" s="9" t="s">
        <v>638</v>
      </c>
      <c r="P424" s="9" t="s">
        <v>1729</v>
      </c>
      <c r="Q424" s="9" t="s">
        <v>150</v>
      </c>
      <c r="R424" s="9" t="s">
        <v>63</v>
      </c>
      <c r="S424" s="9" t="s">
        <v>638</v>
      </c>
      <c r="T424" t="str">
        <f t="shared" si="9"/>
        <v>N</v>
      </c>
      <c r="W424" s="12" t="str">
        <f t="array" ref="W424">if(and(L424=0,Q424="NA"),"NA",if(L424=0,"no lice",if(Q424="NA","no collection",index(sea_lice!G:G,match(C424,sea_lice!A:A,0)))))</f>
        <v>BSL6-28</v>
      </c>
      <c r="X424" s="23">
        <v>423.0</v>
      </c>
    </row>
    <row r="425">
      <c r="B425" s="6">
        <v>17198.0</v>
      </c>
      <c r="C425" s="12" t="str">
        <f t="shared" si="1"/>
        <v>U17198</v>
      </c>
      <c r="D425" s="14" t="str">
        <f t="array" ref="D425">iferror(index('2018_ufns'!E:E,match(C425,'2018_ufns'!B:B,0)))</f>
        <v>P1120</v>
      </c>
      <c r="E425" s="14">
        <v>43397.0</v>
      </c>
      <c r="F425" s="9" t="s">
        <v>53</v>
      </c>
      <c r="G425" s="9" t="s">
        <v>54</v>
      </c>
      <c r="H425" s="9">
        <v>16.2</v>
      </c>
      <c r="I425" s="13">
        <v>115.0</v>
      </c>
      <c r="J425" s="13">
        <v>120.0</v>
      </c>
      <c r="K425" s="17">
        <f t="shared" si="5"/>
        <v>0.9375</v>
      </c>
      <c r="L425" s="9">
        <v>0.0</v>
      </c>
      <c r="O425" s="9" t="s">
        <v>638</v>
      </c>
      <c r="P425" s="9" t="s">
        <v>1729</v>
      </c>
      <c r="Q425" s="9" t="s">
        <v>150</v>
      </c>
      <c r="R425" s="9" t="s">
        <v>63</v>
      </c>
      <c r="S425" s="9" t="s">
        <v>638</v>
      </c>
      <c r="T425" t="str">
        <f t="shared" si="9"/>
        <v>N</v>
      </c>
      <c r="W425" s="12" t="str">
        <f t="array" ref="W425">if(and(L425=0,Q425="NA"),"NA",if(L425=0,"no lice",if(Q425="NA","no collection",index(sea_lice!G:G,match(C425,sea_lice!A:A,0)))))</f>
        <v>no lice</v>
      </c>
      <c r="X425" s="23">
        <v>424.0</v>
      </c>
    </row>
    <row r="426">
      <c r="B426" s="6">
        <v>17199.0</v>
      </c>
      <c r="C426" s="12" t="str">
        <f t="shared" si="1"/>
        <v>U17199</v>
      </c>
      <c r="D426" s="14" t="str">
        <f t="array" ref="D426">iferror(index('2018_ufns'!E:E,match(C426,'2018_ufns'!B:B,0)))</f>
        <v>P1120</v>
      </c>
      <c r="E426" s="14">
        <v>43397.0</v>
      </c>
      <c r="F426" s="9" t="s">
        <v>53</v>
      </c>
      <c r="G426" s="9" t="s">
        <v>54</v>
      </c>
      <c r="H426" s="9">
        <v>12.4</v>
      </c>
      <c r="I426" s="13">
        <v>105.0</v>
      </c>
      <c r="J426" s="13">
        <v>110.0</v>
      </c>
      <c r="K426" s="17">
        <f t="shared" si="5"/>
        <v>0.9316303531</v>
      </c>
      <c r="L426" s="9">
        <v>0.0</v>
      </c>
      <c r="O426" s="9" t="s">
        <v>638</v>
      </c>
      <c r="P426" s="9" t="s">
        <v>1729</v>
      </c>
      <c r="Q426" s="9" t="s">
        <v>150</v>
      </c>
      <c r="R426" s="9" t="s">
        <v>63</v>
      </c>
      <c r="S426" s="9" t="s">
        <v>638</v>
      </c>
      <c r="T426" t="str">
        <f t="shared" si="9"/>
        <v>N</v>
      </c>
      <c r="W426" s="12" t="str">
        <f t="array" ref="W426">if(and(L426=0,Q426="NA"),"NA",if(L426=0,"no lice",if(Q426="NA","no collection",index(sea_lice!G:G,match(C426,sea_lice!A:A,0)))))</f>
        <v>no lice</v>
      </c>
      <c r="X426" s="23">
        <v>425.0</v>
      </c>
    </row>
    <row r="427">
      <c r="B427" s="6">
        <v>17192.0</v>
      </c>
      <c r="C427" s="12" t="str">
        <f t="shared" si="1"/>
        <v>U17192</v>
      </c>
      <c r="D427" s="14" t="str">
        <f t="array" ref="D427">iferror(index('2018_ufns'!E:E,match(C427,'2018_ufns'!B:B,0)))</f>
        <v>P1120</v>
      </c>
      <c r="E427" s="14">
        <v>43397.0</v>
      </c>
      <c r="F427" s="9" t="s">
        <v>53</v>
      </c>
      <c r="G427" s="9" t="s">
        <v>54</v>
      </c>
      <c r="H427" s="9">
        <v>11.4</v>
      </c>
      <c r="I427" s="13">
        <v>106.0</v>
      </c>
      <c r="J427" s="13">
        <v>112.0</v>
      </c>
      <c r="K427" s="17">
        <f t="shared" si="5"/>
        <v>0.8114294825</v>
      </c>
      <c r="L427" s="9">
        <v>0.0</v>
      </c>
      <c r="O427" s="9" t="s">
        <v>638</v>
      </c>
      <c r="P427" s="9" t="s">
        <v>1729</v>
      </c>
      <c r="Q427" s="9" t="s">
        <v>150</v>
      </c>
      <c r="R427" s="9" t="s">
        <v>63</v>
      </c>
      <c r="S427" s="9" t="s">
        <v>638</v>
      </c>
      <c r="T427" t="str">
        <f t="shared" si="9"/>
        <v>N</v>
      </c>
      <c r="W427" s="12" t="str">
        <f t="array" ref="W427">if(and(L427=0,Q427="NA"),"NA",if(L427=0,"no lice",if(Q427="NA","no collection",index(sea_lice!G:G,match(C427,sea_lice!A:A,0)))))</f>
        <v>no lice</v>
      </c>
      <c r="X427" s="23">
        <v>426.0</v>
      </c>
    </row>
    <row r="428">
      <c r="B428" s="6">
        <v>17191.0</v>
      </c>
      <c r="C428" s="12" t="str">
        <f t="shared" si="1"/>
        <v>U17191</v>
      </c>
      <c r="D428" s="14" t="str">
        <f t="array" ref="D428">iferror(index('2018_ufns'!E:E,match(C428,'2018_ufns'!B:B,0)))</f>
        <v>P1120</v>
      </c>
      <c r="E428" s="14">
        <v>43397.0</v>
      </c>
      <c r="F428" s="9" t="s">
        <v>53</v>
      </c>
      <c r="G428" s="9" t="s">
        <v>54</v>
      </c>
      <c r="H428" s="9">
        <v>18.3</v>
      </c>
      <c r="I428" s="13">
        <v>124.0</v>
      </c>
      <c r="J428" s="13">
        <v>129.0</v>
      </c>
      <c r="K428" s="17">
        <f t="shared" si="5"/>
        <v>0.8524756031</v>
      </c>
      <c r="L428" s="9">
        <v>0.0</v>
      </c>
      <c r="O428" s="9" t="s">
        <v>638</v>
      </c>
      <c r="P428" s="9" t="s">
        <v>1729</v>
      </c>
      <c r="Q428" s="9" t="s">
        <v>150</v>
      </c>
      <c r="R428" s="9" t="s">
        <v>63</v>
      </c>
      <c r="S428" s="9" t="s">
        <v>638</v>
      </c>
      <c r="T428" t="str">
        <f t="shared" si="9"/>
        <v>N</v>
      </c>
      <c r="W428" s="12" t="str">
        <f t="array" ref="W428">if(and(L428=0,Q428="NA"),"NA",if(L428=0,"no lice",if(Q428="NA","no collection",index(sea_lice!G:G,match(C428,sea_lice!A:A,0)))))</f>
        <v>no lice</v>
      </c>
      <c r="X428" s="23">
        <v>427.0</v>
      </c>
    </row>
    <row r="429">
      <c r="B429" s="6">
        <v>17193.0</v>
      </c>
      <c r="C429" s="12" t="str">
        <f t="shared" si="1"/>
        <v>U17193</v>
      </c>
      <c r="D429" s="14" t="str">
        <f t="array" ref="D429">iferror(index('2018_ufns'!E:E,match(C429,'2018_ufns'!B:B,0)))</f>
        <v>P1120</v>
      </c>
      <c r="E429" s="14">
        <v>43397.0</v>
      </c>
      <c r="F429" s="9" t="s">
        <v>53</v>
      </c>
      <c r="G429" s="9" t="s">
        <v>54</v>
      </c>
      <c r="H429" s="9">
        <v>11.9</v>
      </c>
      <c r="I429" s="13">
        <v>103.0</v>
      </c>
      <c r="J429" s="13">
        <v>109.0</v>
      </c>
      <c r="K429" s="17">
        <f t="shared" si="5"/>
        <v>0.9188983413</v>
      </c>
      <c r="L429" s="9">
        <v>0.0</v>
      </c>
      <c r="O429" s="9" t="s">
        <v>638</v>
      </c>
      <c r="P429" s="9" t="s">
        <v>1729</v>
      </c>
      <c r="Q429" s="9" t="s">
        <v>150</v>
      </c>
      <c r="R429" s="9" t="s">
        <v>63</v>
      </c>
      <c r="S429" s="9" t="s">
        <v>638</v>
      </c>
      <c r="T429" t="str">
        <f t="shared" si="9"/>
        <v>N</v>
      </c>
      <c r="W429" s="12" t="str">
        <f t="array" ref="W429">if(and(L429=0,Q429="NA"),"NA",if(L429=0,"no lice",if(Q429="NA","no collection",index(sea_lice!G:G,match(C429,sea_lice!A:A,0)))))</f>
        <v>no lice</v>
      </c>
      <c r="X429" s="23">
        <v>428.0</v>
      </c>
    </row>
    <row r="430">
      <c r="B430" s="6">
        <v>17196.0</v>
      </c>
      <c r="C430" s="12" t="str">
        <f t="shared" si="1"/>
        <v>U17196</v>
      </c>
      <c r="D430" s="14" t="str">
        <f t="array" ref="D430">iferror(index('2018_ufns'!E:E,match(C430,'2018_ufns'!B:B,0)))</f>
        <v>P1120</v>
      </c>
      <c r="E430" s="14">
        <v>43397.0</v>
      </c>
      <c r="F430" s="9" t="s">
        <v>53</v>
      </c>
      <c r="G430" s="9" t="s">
        <v>54</v>
      </c>
      <c r="H430" s="9">
        <v>17.7</v>
      </c>
      <c r="I430" s="13">
        <v>118.0</v>
      </c>
      <c r="J430" s="13">
        <v>124.0</v>
      </c>
      <c r="K430" s="17">
        <f t="shared" si="5"/>
        <v>0.9283424524</v>
      </c>
      <c r="L430" s="9">
        <v>0.0</v>
      </c>
      <c r="O430" s="9" t="s">
        <v>638</v>
      </c>
      <c r="P430" s="9" t="s">
        <v>1729</v>
      </c>
      <c r="Q430" s="9" t="s">
        <v>150</v>
      </c>
      <c r="R430" s="9" t="s">
        <v>63</v>
      </c>
      <c r="S430" s="9" t="s">
        <v>638</v>
      </c>
      <c r="T430" t="str">
        <f t="shared" si="9"/>
        <v>N</v>
      </c>
      <c r="W430" s="12" t="str">
        <f t="array" ref="W430">if(and(L430=0,Q430="NA"),"NA",if(L430=0,"no lice",if(Q430="NA","no collection",index(sea_lice!G:G,match(C430,sea_lice!A:A,0)))))</f>
        <v>no lice</v>
      </c>
      <c r="X430" s="23">
        <v>429.0</v>
      </c>
    </row>
    <row r="431">
      <c r="B431" s="6">
        <v>17195.0</v>
      </c>
      <c r="C431" s="12" t="str">
        <f t="shared" si="1"/>
        <v>U17195</v>
      </c>
      <c r="D431" s="14" t="str">
        <f t="array" ref="D431">iferror(index('2018_ufns'!E:E,match(C431,'2018_ufns'!B:B,0)))</f>
        <v>P1120</v>
      </c>
      <c r="E431" s="14">
        <v>43397.0</v>
      </c>
      <c r="F431" s="9" t="s">
        <v>53</v>
      </c>
      <c r="G431" s="9" t="s">
        <v>54</v>
      </c>
      <c r="H431" s="9">
        <v>12.3</v>
      </c>
      <c r="I431" s="13">
        <v>105.0</v>
      </c>
      <c r="J431" s="13" t="s">
        <v>63</v>
      </c>
      <c r="K431" s="17" t="str">
        <f t="shared" si="5"/>
        <v/>
      </c>
      <c r="L431" s="9">
        <v>0.0</v>
      </c>
      <c r="N431" s="9" t="s">
        <v>2107</v>
      </c>
      <c r="O431" s="9" t="s">
        <v>638</v>
      </c>
      <c r="P431" s="9" t="s">
        <v>1729</v>
      </c>
      <c r="Q431" s="9" t="s">
        <v>150</v>
      </c>
      <c r="R431" s="9" t="s">
        <v>63</v>
      </c>
      <c r="S431" s="9" t="s">
        <v>638</v>
      </c>
      <c r="T431" t="str">
        <f t="shared" si="9"/>
        <v>N</v>
      </c>
      <c r="W431" s="12" t="str">
        <f t="array" ref="W431">if(and(L431=0,Q431="NA"),"NA",if(L431=0,"no lice",if(Q431="NA","no collection",index(sea_lice!G:G,match(C431,sea_lice!A:A,0)))))</f>
        <v>no lice</v>
      </c>
      <c r="X431" s="23">
        <v>430.0</v>
      </c>
    </row>
    <row r="432">
      <c r="B432" s="6">
        <v>17194.0</v>
      </c>
      <c r="C432" s="12" t="str">
        <f t="shared" si="1"/>
        <v>U17194</v>
      </c>
      <c r="D432" s="14" t="str">
        <f t="array" ref="D432">iferror(index('2018_ufns'!E:E,match(C432,'2018_ufns'!B:B,0)))</f>
        <v>P1120</v>
      </c>
      <c r="E432" s="14">
        <v>43397.0</v>
      </c>
      <c r="F432" s="9" t="s">
        <v>53</v>
      </c>
      <c r="G432" s="9" t="s">
        <v>54</v>
      </c>
      <c r="H432" s="9">
        <v>9.8</v>
      </c>
      <c r="I432" s="13">
        <v>103.0</v>
      </c>
      <c r="J432" s="13">
        <v>109.0</v>
      </c>
      <c r="K432" s="17">
        <f t="shared" si="5"/>
        <v>0.7567398105</v>
      </c>
      <c r="L432" s="9">
        <v>0.0</v>
      </c>
      <c r="O432" s="9" t="s">
        <v>638</v>
      </c>
      <c r="P432" s="9" t="s">
        <v>1729</v>
      </c>
      <c r="Q432" s="9" t="s">
        <v>150</v>
      </c>
      <c r="R432" s="9" t="s">
        <v>63</v>
      </c>
      <c r="S432" s="9" t="s">
        <v>638</v>
      </c>
      <c r="T432" t="str">
        <f t="shared" si="9"/>
        <v>N</v>
      </c>
      <c r="W432" s="12" t="str">
        <f t="array" ref="W432">if(and(L432=0,Q432="NA"),"NA",if(L432=0,"no lice",if(Q432="NA","no collection",index(sea_lice!G:G,match(C432,sea_lice!A:A,0)))))</f>
        <v>no lice</v>
      </c>
      <c r="X432" s="23">
        <v>431.0</v>
      </c>
    </row>
    <row r="433">
      <c r="B433" s="6">
        <v>17200.0</v>
      </c>
      <c r="C433" s="12" t="str">
        <f t="shared" si="1"/>
        <v>U17200</v>
      </c>
      <c r="D433" s="14" t="str">
        <f t="array" ref="D433">iferror(index('2018_ufns'!E:E,match(C433,'2018_ufns'!B:B,0)))</f>
        <v>P1120</v>
      </c>
      <c r="E433" s="14">
        <v>43397.0</v>
      </c>
      <c r="F433" s="9" t="s">
        <v>53</v>
      </c>
      <c r="G433" s="9" t="s">
        <v>54</v>
      </c>
      <c r="H433" s="9">
        <v>31.6</v>
      </c>
      <c r="I433" s="13">
        <v>146.0</v>
      </c>
      <c r="J433" s="13">
        <v>151.0</v>
      </c>
      <c r="K433" s="17">
        <f t="shared" si="5"/>
        <v>0.9178173027</v>
      </c>
      <c r="L433" s="9">
        <v>0.0</v>
      </c>
      <c r="O433" s="9" t="s">
        <v>638</v>
      </c>
      <c r="P433" s="9" t="s">
        <v>1729</v>
      </c>
      <c r="Q433" s="9" t="s">
        <v>150</v>
      </c>
      <c r="R433" s="9" t="s">
        <v>63</v>
      </c>
      <c r="S433" s="9" t="s">
        <v>638</v>
      </c>
      <c r="T433" t="str">
        <f t="shared" si="9"/>
        <v>N</v>
      </c>
      <c r="W433" s="12" t="str">
        <f t="array" ref="W433">if(and(L433=0,Q433="NA"),"NA",if(L433=0,"no lice",if(Q433="NA","no collection",index(sea_lice!G:G,match(C433,sea_lice!A:A,0)))))</f>
        <v>no lice</v>
      </c>
      <c r="X433" s="23">
        <v>432.0</v>
      </c>
    </row>
    <row r="434">
      <c r="B434" s="6">
        <v>16992.0</v>
      </c>
      <c r="C434" s="12" t="str">
        <f t="shared" si="1"/>
        <v>U16992</v>
      </c>
      <c r="D434" s="14" t="str">
        <f t="array" ref="D434">iferror(index('2018_ufns'!E:E,match(C434,'2018_ufns'!B:B,0)))</f>
        <v>P1100</v>
      </c>
      <c r="E434" s="14">
        <v>43397.0</v>
      </c>
      <c r="F434" s="9" t="s">
        <v>53</v>
      </c>
      <c r="G434" s="9" t="s">
        <v>54</v>
      </c>
      <c r="H434" s="9">
        <v>11.2</v>
      </c>
      <c r="I434" s="13">
        <v>99.0</v>
      </c>
      <c r="J434" s="13">
        <v>103.0</v>
      </c>
      <c r="K434" s="17">
        <f t="shared" si="5"/>
        <v>1.024958658</v>
      </c>
      <c r="L434" s="9">
        <v>0.0</v>
      </c>
      <c r="O434" s="9" t="s">
        <v>638</v>
      </c>
      <c r="P434" s="9" t="s">
        <v>1729</v>
      </c>
      <c r="Q434" s="9" t="s">
        <v>150</v>
      </c>
      <c r="R434" s="9" t="s">
        <v>63</v>
      </c>
      <c r="S434" s="9" t="s">
        <v>638</v>
      </c>
      <c r="T434" t="str">
        <f t="shared" si="9"/>
        <v>N</v>
      </c>
      <c r="W434" s="12" t="str">
        <f t="array" ref="W434">if(and(L434=0,Q434="NA"),"NA",if(L434=0,"no lice",if(Q434="NA","no collection",index(sea_lice!G:G,match(C434,sea_lice!A:A,0)))))</f>
        <v>no lice</v>
      </c>
      <c r="X434" s="23">
        <v>433.0</v>
      </c>
    </row>
    <row r="435">
      <c r="B435" s="6">
        <v>16993.0</v>
      </c>
      <c r="C435" s="12" t="str">
        <f t="shared" si="1"/>
        <v>U16993</v>
      </c>
      <c r="D435" s="14" t="str">
        <f t="array" ref="D435">iferror(index('2018_ufns'!E:E,match(C435,'2018_ufns'!B:B,0)))</f>
        <v>P1100</v>
      </c>
      <c r="E435" s="14">
        <v>43397.0</v>
      </c>
      <c r="F435" s="9" t="s">
        <v>53</v>
      </c>
      <c r="G435" s="9" t="s">
        <v>54</v>
      </c>
      <c r="H435" s="9">
        <v>10.7</v>
      </c>
      <c r="I435" s="13">
        <v>94.0</v>
      </c>
      <c r="J435" s="13">
        <v>101.0</v>
      </c>
      <c r="K435" s="17">
        <f t="shared" si="5"/>
        <v>1.038531458</v>
      </c>
      <c r="L435" s="9">
        <v>1.0</v>
      </c>
      <c r="O435" s="9" t="s">
        <v>638</v>
      </c>
      <c r="P435" s="9" t="s">
        <v>1729</v>
      </c>
      <c r="Q435" s="9" t="s">
        <v>150</v>
      </c>
      <c r="R435" s="9" t="s">
        <v>63</v>
      </c>
      <c r="S435" s="9" t="s">
        <v>638</v>
      </c>
      <c r="T435" t="str">
        <f t="shared" si="9"/>
        <v>N</v>
      </c>
      <c r="W435" s="12" t="str">
        <f t="array" ref="W435">if(and(L435=0,Q435="NA"),"NA",if(L435=0,"no lice",if(Q435="NA","no collection",index(sea_lice!G:G,match(C435,sea_lice!A:A,0)))))</f>
        <v>BSL6-29</v>
      </c>
      <c r="X435" s="23">
        <v>434.0</v>
      </c>
    </row>
    <row r="436">
      <c r="B436" s="9">
        <v>16998.0</v>
      </c>
      <c r="C436" s="12" t="str">
        <f t="shared" si="1"/>
        <v>U16998</v>
      </c>
      <c r="D436" s="14" t="str">
        <f t="array" ref="D436">iferror(index('2018_ufns'!E:E,match(C436,'2018_ufns'!B:B,0)))</f>
        <v>P1100</v>
      </c>
      <c r="E436" s="14">
        <v>43398.0</v>
      </c>
      <c r="F436" s="9" t="s">
        <v>53</v>
      </c>
      <c r="G436" s="9" t="s">
        <v>54</v>
      </c>
      <c r="H436" s="9">
        <v>13.5</v>
      </c>
      <c r="I436" s="13">
        <v>106.0</v>
      </c>
      <c r="J436" s="13">
        <v>111.0</v>
      </c>
      <c r="K436" s="17">
        <f t="shared" si="5"/>
        <v>0.9871083648</v>
      </c>
      <c r="L436" s="9">
        <v>0.0</v>
      </c>
      <c r="O436" s="9" t="s">
        <v>638</v>
      </c>
      <c r="P436" s="9" t="s">
        <v>1729</v>
      </c>
      <c r="Q436" s="9" t="s">
        <v>150</v>
      </c>
      <c r="R436" s="9" t="s">
        <v>63</v>
      </c>
      <c r="S436" s="9" t="s">
        <v>638</v>
      </c>
      <c r="T436" t="str">
        <f t="shared" si="9"/>
        <v>N</v>
      </c>
      <c r="W436" s="12" t="str">
        <f t="array" ref="W436">if(and(L436=0,Q436="NA"),"NA",if(L436=0,"no lice",if(Q436="NA","no collection",index(sea_lice!G:G,match(C436,sea_lice!A:A,0)))))</f>
        <v>no lice</v>
      </c>
      <c r="X436" s="23">
        <v>435.0</v>
      </c>
    </row>
    <row r="437">
      <c r="B437" s="9">
        <v>17000.0</v>
      </c>
      <c r="C437" s="12" t="str">
        <f t="shared" si="1"/>
        <v>U17000</v>
      </c>
      <c r="D437" s="14" t="str">
        <f t="array" ref="D437">iferror(index('2018_ufns'!E:E,match(C437,'2018_ufns'!B:B,0)))</f>
        <v>P1100</v>
      </c>
      <c r="E437" s="14">
        <v>43398.0</v>
      </c>
      <c r="F437" s="9" t="s">
        <v>53</v>
      </c>
      <c r="G437" s="9" t="s">
        <v>54</v>
      </c>
      <c r="H437" s="9">
        <v>10.9</v>
      </c>
      <c r="I437" s="13">
        <v>100.0</v>
      </c>
      <c r="J437" s="13">
        <v>104.0</v>
      </c>
      <c r="K437" s="17">
        <f t="shared" si="5"/>
        <v>0.969006031</v>
      </c>
      <c r="L437" s="9">
        <v>0.0</v>
      </c>
      <c r="O437" s="9" t="s">
        <v>638</v>
      </c>
      <c r="P437" s="9" t="s">
        <v>1729</v>
      </c>
      <c r="Q437" s="9" t="s">
        <v>150</v>
      </c>
      <c r="R437" s="9" t="s">
        <v>63</v>
      </c>
      <c r="S437" s="9" t="s">
        <v>638</v>
      </c>
      <c r="T437" t="str">
        <f t="shared" si="9"/>
        <v>N</v>
      </c>
      <c r="W437" s="12" t="str">
        <f t="array" ref="W437">if(and(L437=0,Q437="NA"),"NA",if(L437=0,"no lice",if(Q437="NA","no collection",index(sea_lice!G:G,match(C437,sea_lice!A:A,0)))))</f>
        <v>no lice</v>
      </c>
      <c r="X437" s="23">
        <v>436.0</v>
      </c>
    </row>
    <row r="438">
      <c r="B438" s="9">
        <v>16996.0</v>
      </c>
      <c r="C438" s="12" t="str">
        <f t="shared" si="1"/>
        <v>U16996</v>
      </c>
      <c r="D438" s="14" t="str">
        <f t="array" ref="D438">iferror(index('2018_ufns'!E:E,match(C438,'2018_ufns'!B:B,0)))</f>
        <v>P1100</v>
      </c>
      <c r="E438" s="14">
        <v>43398.0</v>
      </c>
      <c r="F438" s="9" t="s">
        <v>53</v>
      </c>
      <c r="G438" s="9" t="s">
        <v>54</v>
      </c>
      <c r="H438" s="9">
        <v>9.4</v>
      </c>
      <c r="I438" s="13">
        <v>94.0</v>
      </c>
      <c r="J438" s="13" t="s">
        <v>63</v>
      </c>
      <c r="K438" s="17" t="str">
        <f t="shared" si="5"/>
        <v/>
      </c>
      <c r="L438" s="9">
        <v>0.0</v>
      </c>
      <c r="O438" s="9" t="s">
        <v>638</v>
      </c>
      <c r="P438" s="9" t="s">
        <v>1729</v>
      </c>
      <c r="Q438" s="9" t="s">
        <v>150</v>
      </c>
      <c r="R438" s="9" t="s">
        <v>63</v>
      </c>
      <c r="S438" s="9" t="s">
        <v>638</v>
      </c>
      <c r="T438" t="str">
        <f t="shared" si="9"/>
        <v>N</v>
      </c>
      <c r="W438" s="12" t="str">
        <f t="array" ref="W438">if(and(L438=0,Q438="NA"),"NA",if(L438=0,"no lice",if(Q438="NA","no collection",index(sea_lice!G:G,match(C438,sea_lice!A:A,0)))))</f>
        <v>no lice</v>
      </c>
      <c r="X438" s="23">
        <v>437.0</v>
      </c>
    </row>
    <row r="439">
      <c r="B439" s="9">
        <v>16994.0</v>
      </c>
      <c r="C439" s="12" t="str">
        <f t="shared" si="1"/>
        <v>U16994</v>
      </c>
      <c r="D439" s="14" t="str">
        <f t="array" ref="D439">iferror(index('2018_ufns'!E:E,match(C439,'2018_ufns'!B:B,0)))</f>
        <v>P1100</v>
      </c>
      <c r="E439" s="14">
        <v>43398.0</v>
      </c>
      <c r="F439" s="9" t="s">
        <v>53</v>
      </c>
      <c r="G439" s="9" t="s">
        <v>54</v>
      </c>
      <c r="H439" s="9">
        <v>10.5</v>
      </c>
      <c r="I439" s="13">
        <v>98.0</v>
      </c>
      <c r="J439" s="13">
        <v>103.0</v>
      </c>
      <c r="K439" s="17">
        <f t="shared" si="5"/>
        <v>0.9608987423</v>
      </c>
      <c r="L439" s="9">
        <v>0.0</v>
      </c>
      <c r="O439" s="9" t="s">
        <v>638</v>
      </c>
      <c r="P439" s="9" t="s">
        <v>1729</v>
      </c>
      <c r="Q439" s="9" t="s">
        <v>150</v>
      </c>
      <c r="R439" s="9" t="s">
        <v>63</v>
      </c>
      <c r="S439" s="9" t="s">
        <v>638</v>
      </c>
      <c r="T439" t="str">
        <f t="shared" si="9"/>
        <v>N</v>
      </c>
      <c r="W439" s="12" t="str">
        <f t="array" ref="W439">if(and(L439=0,Q439="NA"),"NA",if(L439=0,"no lice",if(Q439="NA","no collection",index(sea_lice!G:G,match(C439,sea_lice!A:A,0)))))</f>
        <v>no lice</v>
      </c>
      <c r="X439" s="23">
        <v>438.0</v>
      </c>
    </row>
    <row r="440">
      <c r="B440" s="9">
        <v>16999.0</v>
      </c>
      <c r="C440" s="12" t="str">
        <f t="shared" si="1"/>
        <v>U16999</v>
      </c>
      <c r="D440" s="14" t="str">
        <f t="array" ref="D440">iferror(index('2018_ufns'!E:E,match(C440,'2018_ufns'!B:B,0)))</f>
        <v>P1100</v>
      </c>
      <c r="E440" s="14">
        <v>43398.0</v>
      </c>
      <c r="F440" s="9" t="s">
        <v>53</v>
      </c>
      <c r="G440" s="9" t="s">
        <v>54</v>
      </c>
      <c r="H440" s="9">
        <v>12.5</v>
      </c>
      <c r="I440" s="13">
        <v>100.0</v>
      </c>
      <c r="J440" s="13" t="s">
        <v>63</v>
      </c>
      <c r="K440" s="17" t="str">
        <f t="shared" si="5"/>
        <v/>
      </c>
      <c r="L440" s="9">
        <v>0.0</v>
      </c>
      <c r="O440" s="9" t="s">
        <v>638</v>
      </c>
      <c r="P440" s="9" t="s">
        <v>1729</v>
      </c>
      <c r="Q440" s="9" t="s">
        <v>150</v>
      </c>
      <c r="R440" s="9" t="s">
        <v>63</v>
      </c>
      <c r="S440" s="9" t="s">
        <v>638</v>
      </c>
      <c r="T440" t="str">
        <f t="shared" si="9"/>
        <v>N</v>
      </c>
      <c r="W440" s="12" t="str">
        <f t="array" ref="W440">if(and(L440=0,Q440="NA"),"NA",if(L440=0,"no lice",if(Q440="NA","no collection",index(sea_lice!G:G,match(C440,sea_lice!A:A,0)))))</f>
        <v>no lice</v>
      </c>
      <c r="X440" s="23">
        <v>439.0</v>
      </c>
    </row>
    <row r="441">
      <c r="B441" s="9">
        <v>16997.0</v>
      </c>
      <c r="C441" s="12" t="str">
        <f t="shared" si="1"/>
        <v>U16997</v>
      </c>
      <c r="D441" s="14" t="str">
        <f t="array" ref="D441">iferror(index('2018_ufns'!E:E,match(C441,'2018_ufns'!B:B,0)))</f>
        <v>P1100</v>
      </c>
      <c r="E441" s="14">
        <v>43398.0</v>
      </c>
      <c r="F441" s="9" t="s">
        <v>53</v>
      </c>
      <c r="G441" s="9" t="s">
        <v>54</v>
      </c>
      <c r="H441" s="9">
        <v>9.8</v>
      </c>
      <c r="I441" s="13">
        <v>96.0</v>
      </c>
      <c r="J441" s="13">
        <v>100.0</v>
      </c>
      <c r="K441" s="17">
        <f t="shared" si="5"/>
        <v>0.98</v>
      </c>
      <c r="L441" s="9">
        <v>0.0</v>
      </c>
      <c r="O441" s="9" t="s">
        <v>638</v>
      </c>
      <c r="P441" s="9" t="s">
        <v>1729</v>
      </c>
      <c r="Q441" s="9" t="s">
        <v>150</v>
      </c>
      <c r="R441" s="9" t="s">
        <v>63</v>
      </c>
      <c r="S441" s="9" t="s">
        <v>638</v>
      </c>
      <c r="T441" t="str">
        <f t="shared" si="9"/>
        <v>N</v>
      </c>
      <c r="W441" s="12" t="str">
        <f t="array" ref="W441">if(and(L441=0,Q441="NA"),"NA",if(L441=0,"no lice",if(Q441="NA","no collection",index(sea_lice!G:G,match(C441,sea_lice!A:A,0)))))</f>
        <v>no lice</v>
      </c>
      <c r="X441" s="23">
        <v>440.0</v>
      </c>
    </row>
    <row r="442">
      <c r="B442" s="39">
        <v>16991.0</v>
      </c>
      <c r="C442" s="12" t="str">
        <f t="shared" si="1"/>
        <v>U16991</v>
      </c>
      <c r="D442" s="14" t="str">
        <f t="array" ref="D442">iferror(index('2018_ufns'!E:E,match(C442,'2018_ufns'!B:B,0)))</f>
        <v>P1100</v>
      </c>
      <c r="E442" s="14">
        <v>43398.0</v>
      </c>
      <c r="F442" s="40" t="s">
        <v>53</v>
      </c>
      <c r="G442" s="40" t="s">
        <v>54</v>
      </c>
      <c r="H442" s="41">
        <v>8.5</v>
      </c>
      <c r="I442" s="42">
        <v>91.0</v>
      </c>
      <c r="J442" s="42" t="s">
        <v>63</v>
      </c>
      <c r="K442" s="17" t="str">
        <f t="shared" si="5"/>
        <v/>
      </c>
      <c r="L442" s="41">
        <v>0.0</v>
      </c>
      <c r="N442" s="40"/>
      <c r="O442" s="40" t="s">
        <v>638</v>
      </c>
      <c r="P442" s="40" t="s">
        <v>1729</v>
      </c>
      <c r="Q442" s="9" t="s">
        <v>150</v>
      </c>
      <c r="R442" s="40" t="s">
        <v>63</v>
      </c>
      <c r="S442" s="9" t="s">
        <v>638</v>
      </c>
      <c r="T442" t="str">
        <f t="shared" si="9"/>
        <v>N</v>
      </c>
      <c r="W442" s="12" t="str">
        <f t="array" ref="W442">if(and(L442=0,Q442="NA"),"NA",if(L442=0,"no lice",if(Q442="NA","no collection",index(sea_lice!G:G,match(C442,sea_lice!A:A,0)))))</f>
        <v>no lice</v>
      </c>
      <c r="X442" s="23">
        <v>441.0</v>
      </c>
    </row>
    <row r="443">
      <c r="B443" s="39">
        <v>16995.0</v>
      </c>
      <c r="C443" s="12" t="str">
        <f t="shared" si="1"/>
        <v>U16995</v>
      </c>
      <c r="D443" s="14" t="str">
        <f t="array" ref="D443">iferror(index('2018_ufns'!E:E,match(C443,'2018_ufns'!B:B,0)))</f>
        <v>P1100</v>
      </c>
      <c r="E443" s="14">
        <v>43398.0</v>
      </c>
      <c r="F443" s="40" t="s">
        <v>53</v>
      </c>
      <c r="G443" s="40" t="s">
        <v>54</v>
      </c>
      <c r="H443" s="41">
        <v>11.5</v>
      </c>
      <c r="I443" s="42">
        <v>101.0</v>
      </c>
      <c r="J443" s="42" t="s">
        <v>63</v>
      </c>
      <c r="K443" s="17" t="str">
        <f t="shared" si="5"/>
        <v/>
      </c>
      <c r="L443" s="41">
        <v>0.0</v>
      </c>
      <c r="N443" s="40"/>
      <c r="O443" s="40" t="s">
        <v>638</v>
      </c>
      <c r="P443" s="40" t="s">
        <v>1729</v>
      </c>
      <c r="Q443" s="9" t="s">
        <v>150</v>
      </c>
      <c r="R443" s="40" t="s">
        <v>63</v>
      </c>
      <c r="S443" s="9" t="s">
        <v>638</v>
      </c>
      <c r="T443" t="str">
        <f t="shared" si="9"/>
        <v>N</v>
      </c>
      <c r="W443" s="12" t="str">
        <f t="array" ref="W443">if(and(L443=0,Q443="NA"),"NA",if(L443=0,"no lice",if(Q443="NA","no collection",index(sea_lice!G:G,match(C443,sea_lice!A:A,0)))))</f>
        <v>no lice</v>
      </c>
      <c r="X443" s="23">
        <v>442.0</v>
      </c>
    </row>
    <row r="444">
      <c r="B444" s="39">
        <v>17265.0</v>
      </c>
      <c r="C444" s="12" t="str">
        <f t="shared" si="1"/>
        <v>U17265</v>
      </c>
      <c r="D444" s="14" t="str">
        <f t="array" ref="D444">iferror(index('2018_ufns'!E:E,match(C444,'2018_ufns'!B:B,0)))</f>
        <v>P1127</v>
      </c>
      <c r="E444" s="14">
        <v>43398.0</v>
      </c>
      <c r="F444" s="40" t="s">
        <v>53</v>
      </c>
      <c r="G444" s="40" t="s">
        <v>54</v>
      </c>
      <c r="H444" s="41">
        <v>21.6</v>
      </c>
      <c r="I444" s="42">
        <v>132.0</v>
      </c>
      <c r="J444" s="42">
        <v>136.0</v>
      </c>
      <c r="K444" s="17">
        <f t="shared" si="5"/>
        <v>0.8586912274</v>
      </c>
      <c r="L444" s="41">
        <v>0.0</v>
      </c>
      <c r="N444" s="40" t="s">
        <v>2108</v>
      </c>
      <c r="O444" s="40" t="s">
        <v>638</v>
      </c>
      <c r="P444" s="40" t="s">
        <v>1729</v>
      </c>
      <c r="Q444" s="9" t="s">
        <v>150</v>
      </c>
      <c r="R444" s="40" t="s">
        <v>63</v>
      </c>
      <c r="S444" s="9" t="s">
        <v>638</v>
      </c>
      <c r="T444" t="str">
        <f t="shared" si="9"/>
        <v>N</v>
      </c>
      <c r="W444" s="12" t="str">
        <f t="array" ref="W444">if(and(L444=0,Q444="NA"),"NA",if(L444=0,"no lice",if(Q444="NA","no collection",index(sea_lice!G:G,match(C444,sea_lice!A:A,0)))))</f>
        <v>no lice</v>
      </c>
      <c r="X444" s="23">
        <v>443.0</v>
      </c>
    </row>
    <row r="445">
      <c r="B445" s="39">
        <v>17264.0</v>
      </c>
      <c r="C445" s="12" t="str">
        <f t="shared" si="1"/>
        <v>U17264</v>
      </c>
      <c r="D445" s="14" t="str">
        <f t="array" ref="D445">iferror(index('2018_ufns'!E:E,match(C445,'2018_ufns'!B:B,0)))</f>
        <v>P1127</v>
      </c>
      <c r="E445" s="14">
        <v>43398.0</v>
      </c>
      <c r="F445" s="40" t="s">
        <v>53</v>
      </c>
      <c r="G445" s="40" t="s">
        <v>54</v>
      </c>
      <c r="H445" s="41">
        <v>11.8</v>
      </c>
      <c r="I445" s="42">
        <v>105.0</v>
      </c>
      <c r="J445" s="42">
        <v>111.0</v>
      </c>
      <c r="K445" s="17">
        <f t="shared" si="5"/>
        <v>0.8628058299</v>
      </c>
      <c r="L445" s="41">
        <v>0.0</v>
      </c>
      <c r="N445" s="40"/>
      <c r="O445" s="40" t="s">
        <v>638</v>
      </c>
      <c r="P445" s="40" t="s">
        <v>1729</v>
      </c>
      <c r="Q445" s="9" t="s">
        <v>150</v>
      </c>
      <c r="R445" s="40" t="s">
        <v>63</v>
      </c>
      <c r="S445" s="9" t="s">
        <v>638</v>
      </c>
      <c r="T445" t="str">
        <f t="shared" si="9"/>
        <v>N</v>
      </c>
      <c r="W445" s="12" t="str">
        <f t="array" ref="W445">if(and(L445=0,Q445="NA"),"NA",if(L445=0,"no lice",if(Q445="NA","no collection",index(sea_lice!G:G,match(C445,sea_lice!A:A,0)))))</f>
        <v>no lice</v>
      </c>
      <c r="X445" s="23">
        <v>444.0</v>
      </c>
    </row>
    <row r="446">
      <c r="B446" s="39">
        <v>17263.0</v>
      </c>
      <c r="C446" s="12" t="str">
        <f t="shared" si="1"/>
        <v>U17263</v>
      </c>
      <c r="D446" s="14" t="str">
        <f t="array" ref="D446">iferror(index('2018_ufns'!E:E,match(C446,'2018_ufns'!B:B,0)))</f>
        <v>P1127</v>
      </c>
      <c r="E446" s="14">
        <v>43398.0</v>
      </c>
      <c r="F446" s="40" t="s">
        <v>53</v>
      </c>
      <c r="G446" s="40" t="s">
        <v>54</v>
      </c>
      <c r="H446" s="41">
        <v>11.1</v>
      </c>
      <c r="I446" s="42">
        <v>105.0</v>
      </c>
      <c r="J446" s="42" t="s">
        <v>63</v>
      </c>
      <c r="K446" s="17" t="str">
        <f t="shared" si="5"/>
        <v/>
      </c>
      <c r="L446" s="41">
        <v>0.0</v>
      </c>
      <c r="N446" s="40"/>
      <c r="O446" s="40" t="s">
        <v>638</v>
      </c>
      <c r="P446" s="40" t="s">
        <v>1729</v>
      </c>
      <c r="Q446" s="9" t="s">
        <v>150</v>
      </c>
      <c r="R446" s="40" t="s">
        <v>63</v>
      </c>
      <c r="S446" s="9" t="s">
        <v>638</v>
      </c>
      <c r="T446" t="str">
        <f t="shared" si="9"/>
        <v>N</v>
      </c>
      <c r="W446" s="12" t="str">
        <f t="array" ref="W446">if(and(L446=0,Q446="NA"),"NA",if(L446=0,"no lice",if(Q446="NA","no collection",index(sea_lice!G:G,match(C446,sea_lice!A:A,0)))))</f>
        <v>no lice</v>
      </c>
      <c r="X446" s="23">
        <v>445.0</v>
      </c>
    </row>
    <row r="447">
      <c r="B447" s="39">
        <v>17270.0</v>
      </c>
      <c r="C447" s="12" t="str">
        <f t="shared" si="1"/>
        <v>U17270</v>
      </c>
      <c r="D447" s="14" t="str">
        <f t="array" ref="D447">iferror(index('2018_ufns'!E:E,match(C447,'2018_ufns'!B:B,0)))</f>
        <v>P1127</v>
      </c>
      <c r="E447" s="14">
        <v>43398.0</v>
      </c>
      <c r="F447" s="40" t="s">
        <v>53</v>
      </c>
      <c r="G447" s="40" t="s">
        <v>54</v>
      </c>
      <c r="H447" s="41">
        <v>19.8</v>
      </c>
      <c r="I447" s="42">
        <v>125.0</v>
      </c>
      <c r="J447" s="42">
        <v>132.0</v>
      </c>
      <c r="K447" s="17">
        <f t="shared" si="5"/>
        <v>0.8608815427</v>
      </c>
      <c r="L447" s="41">
        <v>1.0</v>
      </c>
      <c r="N447" s="40"/>
      <c r="O447" s="40" t="s">
        <v>638</v>
      </c>
      <c r="P447" s="40" t="s">
        <v>1729</v>
      </c>
      <c r="Q447" s="9" t="s">
        <v>150</v>
      </c>
      <c r="R447" s="40" t="s">
        <v>63</v>
      </c>
      <c r="S447" s="9" t="s">
        <v>638</v>
      </c>
      <c r="T447" t="str">
        <f t="shared" si="9"/>
        <v>N</v>
      </c>
      <c r="W447" s="12" t="str">
        <f t="array" ref="W447">if(and(L447=0,Q447="NA"),"NA",if(L447=0,"no lice",if(Q447="NA","no collection",index(sea_lice!G:G,match(C447,sea_lice!A:A,0)))))</f>
        <v>BSL6-34</v>
      </c>
      <c r="X447" s="23">
        <v>446.0</v>
      </c>
    </row>
    <row r="448">
      <c r="B448" s="39">
        <v>17262.0</v>
      </c>
      <c r="C448" s="12" t="str">
        <f t="shared" si="1"/>
        <v>U17262</v>
      </c>
      <c r="D448" s="14" t="str">
        <f t="array" ref="D448">iferror(index('2018_ufns'!E:E,match(C448,'2018_ufns'!B:B,0)))</f>
        <v>P1127</v>
      </c>
      <c r="E448" s="14">
        <v>43398.0</v>
      </c>
      <c r="F448" s="40" t="s">
        <v>53</v>
      </c>
      <c r="G448" s="40" t="s">
        <v>54</v>
      </c>
      <c r="H448" s="41">
        <v>22.1</v>
      </c>
      <c r="I448" s="42">
        <v>125.0</v>
      </c>
      <c r="J448" s="42">
        <v>131.0</v>
      </c>
      <c r="K448" s="17">
        <f t="shared" si="5"/>
        <v>0.9830562909</v>
      </c>
      <c r="L448" s="41">
        <v>0.0</v>
      </c>
      <c r="N448" s="40"/>
      <c r="O448" s="40" t="s">
        <v>638</v>
      </c>
      <c r="P448" s="40" t="s">
        <v>1729</v>
      </c>
      <c r="Q448" s="9" t="s">
        <v>150</v>
      </c>
      <c r="R448" s="40" t="s">
        <v>63</v>
      </c>
      <c r="S448" s="9" t="s">
        <v>638</v>
      </c>
      <c r="T448" t="str">
        <f t="shared" si="9"/>
        <v>N</v>
      </c>
      <c r="W448" s="12" t="str">
        <f t="array" ref="W448">if(and(L448=0,Q448="NA"),"NA",if(L448=0,"no lice",if(Q448="NA","no collection",index(sea_lice!G:G,match(C448,sea_lice!A:A,0)))))</f>
        <v>no lice</v>
      </c>
      <c r="X448" s="23">
        <v>447.0</v>
      </c>
    </row>
    <row r="449">
      <c r="B449" s="39">
        <v>17261.0</v>
      </c>
      <c r="C449" s="12" t="str">
        <f t="shared" si="1"/>
        <v>U17261</v>
      </c>
      <c r="D449" s="14" t="str">
        <f t="array" ref="D449">iferror(index('2018_ufns'!E:E,match(C449,'2018_ufns'!B:B,0)))</f>
        <v>P1127</v>
      </c>
      <c r="E449" s="14">
        <v>43398.0</v>
      </c>
      <c r="F449" s="40" t="s">
        <v>53</v>
      </c>
      <c r="G449" s="40" t="s">
        <v>54</v>
      </c>
      <c r="H449" s="41">
        <v>15.2</v>
      </c>
      <c r="I449" s="42">
        <v>110.0</v>
      </c>
      <c r="J449" s="42">
        <v>116.0</v>
      </c>
      <c r="K449" s="17">
        <f t="shared" si="5"/>
        <v>0.9737996638</v>
      </c>
      <c r="L449" s="41">
        <v>0.0</v>
      </c>
      <c r="N449" s="40"/>
      <c r="O449" s="40" t="s">
        <v>638</v>
      </c>
      <c r="P449" s="40" t="s">
        <v>1729</v>
      </c>
      <c r="Q449" s="9" t="s">
        <v>150</v>
      </c>
      <c r="R449" s="40" t="s">
        <v>63</v>
      </c>
      <c r="S449" s="9" t="s">
        <v>638</v>
      </c>
      <c r="T449" t="str">
        <f t="shared" si="9"/>
        <v>N</v>
      </c>
      <c r="W449" s="12" t="str">
        <f t="array" ref="W449">if(and(L449=0,Q449="NA"),"NA",if(L449=0,"no lice",if(Q449="NA","no collection",index(sea_lice!G:G,match(C449,sea_lice!A:A,0)))))</f>
        <v>no lice</v>
      </c>
      <c r="X449" s="23">
        <v>448.0</v>
      </c>
    </row>
    <row r="450">
      <c r="B450" s="39">
        <v>17266.0</v>
      </c>
      <c r="C450" s="12" t="str">
        <f t="shared" si="1"/>
        <v>U17266</v>
      </c>
      <c r="D450" s="14" t="str">
        <f t="array" ref="D450">iferror(index('2018_ufns'!E:E,match(C450,'2018_ufns'!B:B,0)))</f>
        <v>P1127</v>
      </c>
      <c r="E450" s="14">
        <v>43398.0</v>
      </c>
      <c r="F450" s="40" t="s">
        <v>53</v>
      </c>
      <c r="G450" s="40" t="s">
        <v>54</v>
      </c>
      <c r="H450" s="41">
        <v>22.7</v>
      </c>
      <c r="I450" s="42">
        <v>126.0</v>
      </c>
      <c r="J450" s="42">
        <v>133.0</v>
      </c>
      <c r="K450" s="17">
        <f t="shared" si="5"/>
        <v>0.9648747342</v>
      </c>
      <c r="L450" s="41">
        <v>0.0</v>
      </c>
      <c r="N450" s="40"/>
      <c r="O450" s="40" t="s">
        <v>638</v>
      </c>
      <c r="P450" s="40" t="s">
        <v>1729</v>
      </c>
      <c r="Q450" s="9" t="s">
        <v>150</v>
      </c>
      <c r="R450" s="40" t="s">
        <v>63</v>
      </c>
      <c r="S450" s="9" t="s">
        <v>638</v>
      </c>
      <c r="T450" t="str">
        <f t="shared" si="9"/>
        <v>N</v>
      </c>
      <c r="W450" s="12" t="str">
        <f t="array" ref="W450">if(and(L450=0,Q450="NA"),"NA",if(L450=0,"no lice",if(Q450="NA","no collection",index(sea_lice!G:G,match(C450,sea_lice!A:A,0)))))</f>
        <v>no lice</v>
      </c>
      <c r="X450" s="23">
        <v>449.0</v>
      </c>
    </row>
    <row r="451">
      <c r="B451" s="39">
        <v>17267.0</v>
      </c>
      <c r="C451" s="12" t="str">
        <f t="shared" si="1"/>
        <v>U17267</v>
      </c>
      <c r="D451" s="14" t="str">
        <f t="array" ref="D451">iferror(index('2018_ufns'!E:E,match(C451,'2018_ufns'!B:B,0)))</f>
        <v>P1127</v>
      </c>
      <c r="E451" s="14">
        <v>43398.0</v>
      </c>
      <c r="F451" s="40" t="s">
        <v>53</v>
      </c>
      <c r="G451" s="40" t="s">
        <v>54</v>
      </c>
      <c r="H451" s="41">
        <v>24.9</v>
      </c>
      <c r="I451" s="42">
        <v>133.0</v>
      </c>
      <c r="J451" s="42">
        <v>140.0</v>
      </c>
      <c r="K451" s="17">
        <f t="shared" si="5"/>
        <v>0.9074344023</v>
      </c>
      <c r="L451" s="41">
        <v>0.0</v>
      </c>
      <c r="N451" s="40"/>
      <c r="O451" s="40" t="s">
        <v>638</v>
      </c>
      <c r="P451" s="40" t="s">
        <v>1729</v>
      </c>
      <c r="Q451" s="9" t="s">
        <v>150</v>
      </c>
      <c r="R451" s="40" t="s">
        <v>63</v>
      </c>
      <c r="S451" s="9" t="s">
        <v>638</v>
      </c>
      <c r="T451" t="str">
        <f t="shared" si="9"/>
        <v>N</v>
      </c>
      <c r="W451" s="12" t="str">
        <f t="array" ref="W451">if(and(L451=0,Q451="NA"),"NA",if(L451=0,"no lice",if(Q451="NA","no collection",index(sea_lice!G:G,match(C451,sea_lice!A:A,0)))))</f>
        <v>no lice</v>
      </c>
      <c r="X451" s="23">
        <v>450.0</v>
      </c>
    </row>
    <row r="452">
      <c r="B452" s="39">
        <v>17268.0</v>
      </c>
      <c r="C452" s="12" t="str">
        <f t="shared" si="1"/>
        <v>U17268</v>
      </c>
      <c r="D452" s="14" t="str">
        <f t="array" ref="D452">iferror(index('2018_ufns'!E:E,match(C452,'2018_ufns'!B:B,0)))</f>
        <v>P1127</v>
      </c>
      <c r="E452" s="14">
        <v>43398.0</v>
      </c>
      <c r="F452" s="40" t="s">
        <v>53</v>
      </c>
      <c r="G452" s="40" t="s">
        <v>54</v>
      </c>
      <c r="H452" s="41">
        <v>20.1</v>
      </c>
      <c r="I452" s="42">
        <v>121.0</v>
      </c>
      <c r="J452" s="42" t="s">
        <v>63</v>
      </c>
      <c r="K452" s="17" t="str">
        <f t="shared" si="5"/>
        <v/>
      </c>
      <c r="L452" s="41">
        <v>0.0</v>
      </c>
      <c r="N452" s="40"/>
      <c r="O452" s="40" t="s">
        <v>638</v>
      </c>
      <c r="P452" s="40" t="s">
        <v>1729</v>
      </c>
      <c r="Q452" s="9" t="s">
        <v>150</v>
      </c>
      <c r="R452" s="40" t="s">
        <v>63</v>
      </c>
      <c r="S452" s="9" t="s">
        <v>638</v>
      </c>
      <c r="T452" t="str">
        <f t="shared" si="9"/>
        <v>N</v>
      </c>
      <c r="W452" s="12" t="str">
        <f t="array" ref="W452">if(and(L452=0,Q452="NA"),"NA",if(L452=0,"no lice",if(Q452="NA","no collection",index(sea_lice!G:G,match(C452,sea_lice!A:A,0)))))</f>
        <v>no lice</v>
      </c>
      <c r="X452" s="23">
        <v>451.0</v>
      </c>
    </row>
    <row r="453">
      <c r="B453" s="39">
        <v>17269.0</v>
      </c>
      <c r="C453" s="12" t="str">
        <f t="shared" si="1"/>
        <v>U17269</v>
      </c>
      <c r="D453" s="14" t="str">
        <f t="array" ref="D453">iferror(index('2018_ufns'!E:E,match(C453,'2018_ufns'!B:B,0)))</f>
        <v>P1127</v>
      </c>
      <c r="E453" s="14">
        <v>43398.0</v>
      </c>
      <c r="F453" s="40" t="s">
        <v>53</v>
      </c>
      <c r="G453" s="40" t="s">
        <v>54</v>
      </c>
      <c r="H453" s="41">
        <v>16.5</v>
      </c>
      <c r="I453" s="42">
        <v>117.0</v>
      </c>
      <c r="J453" s="42">
        <v>123.0</v>
      </c>
      <c r="K453" s="17">
        <f t="shared" si="5"/>
        <v>0.8866834653</v>
      </c>
      <c r="L453" s="41">
        <v>0.0</v>
      </c>
      <c r="N453" s="40"/>
      <c r="O453" s="40" t="s">
        <v>638</v>
      </c>
      <c r="P453" s="40" t="s">
        <v>1729</v>
      </c>
      <c r="Q453" s="9" t="s">
        <v>150</v>
      </c>
      <c r="R453" s="40" t="s">
        <v>63</v>
      </c>
      <c r="S453" s="9" t="s">
        <v>638</v>
      </c>
      <c r="T453" t="str">
        <f t="shared" si="9"/>
        <v>N</v>
      </c>
      <c r="W453" s="12" t="str">
        <f t="array" ref="W453">if(and(L453=0,Q453="NA"),"NA",if(L453=0,"no lice",if(Q453="NA","no collection",index(sea_lice!G:G,match(C453,sea_lice!A:A,0)))))</f>
        <v>no lice</v>
      </c>
      <c r="X453" s="23">
        <v>452.0</v>
      </c>
    </row>
    <row r="454">
      <c r="B454" s="39">
        <v>17233.0</v>
      </c>
      <c r="C454" s="12" t="str">
        <f t="shared" si="1"/>
        <v>U17233</v>
      </c>
      <c r="D454" s="14" t="str">
        <f t="array" ref="D454">iferror(index('2018_ufns'!E:E,match(C454,'2018_ufns'!B:B,0)))</f>
        <v>P1124</v>
      </c>
      <c r="E454" s="14">
        <v>43398.0</v>
      </c>
      <c r="F454" s="40" t="s">
        <v>53</v>
      </c>
      <c r="G454" s="40" t="s">
        <v>54</v>
      </c>
      <c r="H454" s="41">
        <v>12.4</v>
      </c>
      <c r="I454" s="42">
        <v>106.0</v>
      </c>
      <c r="J454" s="42">
        <v>111.0</v>
      </c>
      <c r="K454" s="17">
        <f t="shared" si="5"/>
        <v>0.9066773128</v>
      </c>
      <c r="L454" s="41">
        <v>0.0</v>
      </c>
      <c r="N454" s="40"/>
      <c r="O454" s="40" t="s">
        <v>638</v>
      </c>
      <c r="P454" s="40" t="s">
        <v>1729</v>
      </c>
      <c r="Q454" s="9" t="s">
        <v>150</v>
      </c>
      <c r="R454" s="40" t="s">
        <v>63</v>
      </c>
      <c r="S454" s="9" t="s">
        <v>638</v>
      </c>
      <c r="T454" t="str">
        <f t="shared" si="9"/>
        <v>N</v>
      </c>
      <c r="W454" s="12" t="str">
        <f t="array" ref="W454">if(and(L454=0,Q454="NA"),"NA",if(L454=0,"no lice",if(Q454="NA","no collection",index(sea_lice!G:G,match(C454,sea_lice!A:A,0)))))</f>
        <v>no lice</v>
      </c>
      <c r="X454" s="23">
        <v>453.0</v>
      </c>
    </row>
    <row r="455">
      <c r="B455" s="6">
        <v>16931.0</v>
      </c>
      <c r="C455" s="12" t="str">
        <f t="shared" si="1"/>
        <v>U16931</v>
      </c>
      <c r="D455" s="14" t="str">
        <f t="array" ref="D455">iferror(index('2018_ufns'!E:E,match(C455,'2018_ufns'!B:B,0)))</f>
        <v>P1094</v>
      </c>
      <c r="E455" s="14">
        <v>43398.0</v>
      </c>
      <c r="F455" s="40" t="s">
        <v>53</v>
      </c>
      <c r="G455" s="40" t="s">
        <v>54</v>
      </c>
      <c r="H455" s="9">
        <v>25.8</v>
      </c>
      <c r="I455" s="13">
        <v>133.0</v>
      </c>
      <c r="J455" s="13">
        <v>139.0</v>
      </c>
      <c r="K455" s="17">
        <f t="shared" si="5"/>
        <v>0.9606723813</v>
      </c>
      <c r="L455" s="9">
        <v>0.0</v>
      </c>
      <c r="O455" s="9" t="s">
        <v>221</v>
      </c>
      <c r="P455" s="40" t="s">
        <v>1729</v>
      </c>
      <c r="Q455" s="9" t="s">
        <v>150</v>
      </c>
      <c r="R455" s="40" t="s">
        <v>63</v>
      </c>
      <c r="S455" s="9" t="s">
        <v>638</v>
      </c>
      <c r="T455" t="str">
        <f t="shared" si="9"/>
        <v>N</v>
      </c>
      <c r="W455" s="12" t="str">
        <f t="array" ref="W455">if(and(L455=0,Q455="NA"),"NA",if(L455=0,"no lice",if(Q455="NA","no collection",index(sea_lice!G:G,match(C455,sea_lice!A:A,0)))))</f>
        <v>no lice</v>
      </c>
      <c r="X455" s="23">
        <v>454.0</v>
      </c>
    </row>
    <row r="456">
      <c r="B456" s="6">
        <v>16932.0</v>
      </c>
      <c r="C456" s="12" t="str">
        <f t="shared" si="1"/>
        <v>U16932</v>
      </c>
      <c r="D456" s="14" t="str">
        <f t="array" ref="D456">iferror(index('2018_ufns'!E:E,match(C456,'2018_ufns'!B:B,0)))</f>
        <v>P1094</v>
      </c>
      <c r="E456" s="14">
        <v>43398.0</v>
      </c>
      <c r="F456" s="40" t="s">
        <v>53</v>
      </c>
      <c r="G456" s="40" t="s">
        <v>54</v>
      </c>
      <c r="H456" s="9">
        <v>16.1</v>
      </c>
      <c r="I456" s="13">
        <v>119.0</v>
      </c>
      <c r="J456" s="13">
        <v>126.0</v>
      </c>
      <c r="K456" s="17">
        <f t="shared" si="5"/>
        <v>0.8048486884</v>
      </c>
      <c r="L456" s="9">
        <v>0.0</v>
      </c>
      <c r="O456" s="9" t="s">
        <v>221</v>
      </c>
      <c r="P456" s="40" t="s">
        <v>1729</v>
      </c>
      <c r="Q456" s="9" t="s">
        <v>150</v>
      </c>
      <c r="R456" s="40" t="s">
        <v>63</v>
      </c>
      <c r="S456" s="9" t="s">
        <v>638</v>
      </c>
      <c r="T456" t="str">
        <f t="shared" si="9"/>
        <v>N</v>
      </c>
      <c r="W456" s="12" t="str">
        <f t="array" ref="W456">if(and(L456=0,Q456="NA"),"NA",if(L456=0,"no lice",if(Q456="NA","no collection",index(sea_lice!G:G,match(C456,sea_lice!A:A,0)))))</f>
        <v>no lice</v>
      </c>
      <c r="X456" s="23">
        <v>455.0</v>
      </c>
    </row>
    <row r="457">
      <c r="B457" s="6">
        <v>16933.0</v>
      </c>
      <c r="C457" s="12" t="str">
        <f t="shared" si="1"/>
        <v>U16933</v>
      </c>
      <c r="D457" s="14" t="str">
        <f t="array" ref="D457">iferror(index('2018_ufns'!E:E,match(C457,'2018_ufns'!B:B,0)))</f>
        <v>P1094</v>
      </c>
      <c r="E457" s="14">
        <v>43398.0</v>
      </c>
      <c r="F457" s="40" t="s">
        <v>53</v>
      </c>
      <c r="G457" s="40" t="s">
        <v>54</v>
      </c>
      <c r="H457" s="9">
        <v>17.9</v>
      </c>
      <c r="I457" s="13">
        <v>119.0</v>
      </c>
      <c r="J457" s="13">
        <v>126.0</v>
      </c>
      <c r="K457" s="17">
        <f t="shared" si="5"/>
        <v>0.8948317716</v>
      </c>
      <c r="L457" s="9">
        <v>1.0</v>
      </c>
      <c r="O457" s="9" t="s">
        <v>221</v>
      </c>
      <c r="P457" s="40" t="s">
        <v>1729</v>
      </c>
      <c r="Q457" s="9" t="s">
        <v>150</v>
      </c>
      <c r="R457" s="40" t="s">
        <v>63</v>
      </c>
      <c r="S457" s="9" t="s">
        <v>638</v>
      </c>
      <c r="T457" t="str">
        <f t="shared" si="9"/>
        <v>N</v>
      </c>
      <c r="W457" s="12" t="str">
        <f t="array" ref="W457">if(and(L457=0,Q457="NA"),"NA",if(L457=0,"no lice",if(Q457="NA","no collection",index(sea_lice!G:G,match(C457,sea_lice!A:A,0)))))</f>
        <v>BSL6-30</v>
      </c>
      <c r="X457" s="23">
        <v>456.0</v>
      </c>
    </row>
    <row r="458">
      <c r="B458" s="6">
        <v>16934.0</v>
      </c>
      <c r="C458" s="12" t="str">
        <f t="shared" si="1"/>
        <v>U16934</v>
      </c>
      <c r="D458" s="14" t="str">
        <f t="array" ref="D458">iferror(index('2018_ufns'!E:E,match(C458,'2018_ufns'!B:B,0)))</f>
        <v>P1094</v>
      </c>
      <c r="E458" s="14">
        <v>43398.0</v>
      </c>
      <c r="F458" s="40" t="s">
        <v>53</v>
      </c>
      <c r="G458" s="40" t="s">
        <v>54</v>
      </c>
      <c r="H458" s="9">
        <v>21.2</v>
      </c>
      <c r="I458" s="13">
        <v>126.0</v>
      </c>
      <c r="J458" s="13">
        <v>130.0</v>
      </c>
      <c r="K458" s="17">
        <f t="shared" si="5"/>
        <v>0.9649522076</v>
      </c>
      <c r="L458" s="9">
        <v>0.0</v>
      </c>
      <c r="O458" s="9" t="s">
        <v>221</v>
      </c>
      <c r="P458" s="40" t="s">
        <v>1729</v>
      </c>
      <c r="Q458" s="9" t="s">
        <v>150</v>
      </c>
      <c r="R458" s="40" t="s">
        <v>63</v>
      </c>
      <c r="S458" s="9" t="s">
        <v>638</v>
      </c>
      <c r="T458" t="str">
        <f t="shared" si="9"/>
        <v>N</v>
      </c>
      <c r="W458" s="12" t="str">
        <f t="array" ref="W458">if(and(L458=0,Q458="NA"),"NA",if(L458=0,"no lice",if(Q458="NA","no collection",index(sea_lice!G:G,match(C458,sea_lice!A:A,0)))))</f>
        <v>no lice</v>
      </c>
      <c r="X458" s="23">
        <v>457.0</v>
      </c>
    </row>
    <row r="459">
      <c r="B459" s="6">
        <v>16935.0</v>
      </c>
      <c r="C459" s="12" t="str">
        <f t="shared" si="1"/>
        <v>U16935</v>
      </c>
      <c r="D459" s="14" t="str">
        <f t="array" ref="D459">iferror(index('2018_ufns'!E:E,match(C459,'2018_ufns'!B:B,0)))</f>
        <v>P1094</v>
      </c>
      <c r="E459" s="14">
        <v>43398.0</v>
      </c>
      <c r="F459" s="40" t="s">
        <v>53</v>
      </c>
      <c r="G459" s="33" t="s">
        <v>268</v>
      </c>
      <c r="H459" s="9">
        <v>16.2</v>
      </c>
      <c r="I459" s="13">
        <v>110.0</v>
      </c>
      <c r="J459" s="13">
        <v>115.0</v>
      </c>
      <c r="K459" s="17">
        <f t="shared" si="5"/>
        <v>1.065176297</v>
      </c>
      <c r="L459" s="9">
        <v>0.0</v>
      </c>
      <c r="O459" s="9" t="s">
        <v>221</v>
      </c>
      <c r="P459" s="40" t="s">
        <v>1729</v>
      </c>
      <c r="Q459" s="9" t="s">
        <v>150</v>
      </c>
      <c r="R459" s="40" t="s">
        <v>63</v>
      </c>
      <c r="S459" s="9" t="s">
        <v>638</v>
      </c>
      <c r="T459" t="str">
        <f t="shared" si="9"/>
        <v>N</v>
      </c>
      <c r="W459" s="12" t="str">
        <f t="array" ref="W459">if(and(L459=0,Q459="NA"),"NA",if(L459=0,"no lice",if(Q459="NA","no collection",index(sea_lice!G:G,match(C459,sea_lice!A:A,0)))))</f>
        <v>no lice</v>
      </c>
      <c r="X459" s="23">
        <v>458.0</v>
      </c>
    </row>
    <row r="460">
      <c r="B460" s="6">
        <v>16936.0</v>
      </c>
      <c r="C460" s="12" t="str">
        <f t="shared" si="1"/>
        <v>U16936</v>
      </c>
      <c r="D460" s="14" t="str">
        <f t="array" ref="D460">iferror(index('2018_ufns'!E:E,match(C460,'2018_ufns'!B:B,0)))</f>
        <v>P1094</v>
      </c>
      <c r="E460" s="14">
        <v>43398.0</v>
      </c>
      <c r="F460" s="40" t="s">
        <v>53</v>
      </c>
      <c r="G460" s="40" t="s">
        <v>54</v>
      </c>
      <c r="H460" s="9">
        <v>20.9</v>
      </c>
      <c r="I460" s="13">
        <v>120.0</v>
      </c>
      <c r="J460" s="13">
        <v>126.0</v>
      </c>
      <c r="K460" s="17">
        <f t="shared" si="5"/>
        <v>1.044803577</v>
      </c>
      <c r="L460" s="9">
        <v>1.0</v>
      </c>
      <c r="O460" s="9" t="s">
        <v>221</v>
      </c>
      <c r="P460" s="40" t="s">
        <v>1729</v>
      </c>
      <c r="Q460" s="9" t="s">
        <v>150</v>
      </c>
      <c r="R460" s="40" t="s">
        <v>63</v>
      </c>
      <c r="S460" s="9" t="s">
        <v>638</v>
      </c>
      <c r="T460" t="str">
        <f t="shared" si="9"/>
        <v>N</v>
      </c>
      <c r="W460" s="12" t="str">
        <f t="array" ref="W460">if(and(L460=0,Q460="NA"),"NA",if(L460=0,"no lice",if(Q460="NA","no collection",index(sea_lice!G:G,match(C460,sea_lice!A:A,0)))))</f>
        <v>BSL6-31</v>
      </c>
      <c r="X460" s="23">
        <v>459.0</v>
      </c>
    </row>
    <row r="461">
      <c r="B461" s="6">
        <v>16937.0</v>
      </c>
      <c r="C461" s="12" t="str">
        <f t="shared" si="1"/>
        <v>U16937</v>
      </c>
      <c r="D461" s="14" t="str">
        <f t="array" ref="D461">iferror(index('2018_ufns'!E:E,match(C461,'2018_ufns'!B:B,0)))</f>
        <v>P1094</v>
      </c>
      <c r="E461" s="14">
        <v>43398.0</v>
      </c>
      <c r="F461" s="40" t="s">
        <v>53</v>
      </c>
      <c r="G461" s="40" t="s">
        <v>54</v>
      </c>
      <c r="H461" s="9">
        <v>22.8</v>
      </c>
      <c r="I461" s="13">
        <v>127.0</v>
      </c>
      <c r="J461" s="13">
        <v>132.0</v>
      </c>
      <c r="K461" s="17">
        <f t="shared" si="5"/>
        <v>0.9913181401</v>
      </c>
      <c r="L461" s="9">
        <v>0.0</v>
      </c>
      <c r="O461" s="9" t="s">
        <v>221</v>
      </c>
      <c r="P461" s="40" t="s">
        <v>1729</v>
      </c>
      <c r="Q461" s="9" t="s">
        <v>150</v>
      </c>
      <c r="R461" s="40" t="s">
        <v>63</v>
      </c>
      <c r="S461" s="9" t="s">
        <v>638</v>
      </c>
      <c r="T461" t="str">
        <f t="shared" si="9"/>
        <v>N</v>
      </c>
      <c r="W461" s="12" t="str">
        <f t="array" ref="W461">if(and(L461=0,Q461="NA"),"NA",if(L461=0,"no lice",if(Q461="NA","no collection",index(sea_lice!G:G,match(C461,sea_lice!A:A,0)))))</f>
        <v>no lice</v>
      </c>
      <c r="X461" s="23">
        <v>460.0</v>
      </c>
    </row>
    <row r="462">
      <c r="B462" s="6">
        <v>17941.0</v>
      </c>
      <c r="C462" s="12" t="str">
        <f t="shared" si="1"/>
        <v>U17941</v>
      </c>
      <c r="D462" s="14" t="str">
        <f t="array" ref="D462">iferror(index('2018_ufns'!E:E,match(C462,'2018_ufns'!B:B,0)))</f>
        <v>P1195</v>
      </c>
      <c r="E462" s="14">
        <v>43398.0</v>
      </c>
      <c r="F462" s="40" t="s">
        <v>53</v>
      </c>
      <c r="G462" s="40" t="s">
        <v>54</v>
      </c>
      <c r="H462" s="9">
        <v>7.7</v>
      </c>
      <c r="I462" s="13">
        <v>89.0</v>
      </c>
      <c r="J462" s="13">
        <v>95.0</v>
      </c>
      <c r="K462" s="17">
        <f t="shared" si="5"/>
        <v>0.8980901006</v>
      </c>
      <c r="L462" s="9">
        <v>1.0</v>
      </c>
      <c r="O462" s="9" t="s">
        <v>221</v>
      </c>
      <c r="P462" s="40" t="s">
        <v>1729</v>
      </c>
      <c r="Q462" s="9" t="s">
        <v>150</v>
      </c>
      <c r="R462" s="40" t="s">
        <v>63</v>
      </c>
      <c r="S462" s="9" t="s">
        <v>638</v>
      </c>
      <c r="T462" t="str">
        <f t="shared" si="9"/>
        <v>N</v>
      </c>
      <c r="W462" s="12" t="str">
        <f t="array" ref="W462">if(and(L462=0,Q462="NA"),"NA",if(L462=0,"no lice",if(Q462="NA","no collection",index(sea_lice!G:G,match(C462,sea_lice!A:A,0)))))</f>
        <v>BSL6-32</v>
      </c>
      <c r="X462" s="23">
        <v>461.0</v>
      </c>
    </row>
    <row r="463">
      <c r="B463" s="6">
        <v>17942.0</v>
      </c>
      <c r="C463" s="12" t="str">
        <f t="shared" si="1"/>
        <v>U17942</v>
      </c>
      <c r="D463" s="14" t="str">
        <f t="array" ref="D463">iferror(index('2018_ufns'!E:E,match(C463,'2018_ufns'!B:B,0)))</f>
        <v>P1195</v>
      </c>
      <c r="E463" s="14">
        <v>43398.0</v>
      </c>
      <c r="F463" s="40" t="s">
        <v>53</v>
      </c>
      <c r="G463" s="40" t="s">
        <v>54</v>
      </c>
      <c r="H463" s="9">
        <v>9.9</v>
      </c>
      <c r="I463" s="13">
        <v>95.0</v>
      </c>
      <c r="J463" s="13">
        <v>100.0</v>
      </c>
      <c r="K463" s="17">
        <f t="shared" si="5"/>
        <v>0.99</v>
      </c>
      <c r="L463" s="9">
        <v>0.0</v>
      </c>
      <c r="O463" s="9" t="s">
        <v>221</v>
      </c>
      <c r="P463" s="40" t="s">
        <v>1729</v>
      </c>
      <c r="Q463" s="9" t="s">
        <v>150</v>
      </c>
      <c r="R463" s="40" t="s">
        <v>63</v>
      </c>
      <c r="S463" s="9" t="s">
        <v>638</v>
      </c>
      <c r="T463" t="str">
        <f t="shared" si="9"/>
        <v>N</v>
      </c>
      <c r="W463" s="12" t="str">
        <f t="array" ref="W463">if(and(L463=0,Q463="NA"),"NA",if(L463=0,"no lice",if(Q463="NA","no collection",index(sea_lice!G:G,match(C463,sea_lice!A:A,0)))))</f>
        <v>no lice</v>
      </c>
      <c r="X463" s="23">
        <v>462.0</v>
      </c>
    </row>
    <row r="464">
      <c r="B464" s="6">
        <v>17943.0</v>
      </c>
      <c r="C464" s="12" t="str">
        <f t="shared" si="1"/>
        <v>U17943</v>
      </c>
      <c r="D464" s="14" t="str">
        <f t="array" ref="D464">iferror(index('2018_ufns'!E:E,match(C464,'2018_ufns'!B:B,0)))</f>
        <v>P1195</v>
      </c>
      <c r="E464" s="14">
        <v>43398.0</v>
      </c>
      <c r="F464" s="40" t="s">
        <v>53</v>
      </c>
      <c r="G464" s="40" t="s">
        <v>54</v>
      </c>
      <c r="H464" s="9">
        <v>7.3</v>
      </c>
      <c r="I464" s="13">
        <v>92.0</v>
      </c>
      <c r="J464" s="13">
        <v>97.0</v>
      </c>
      <c r="K464" s="17">
        <f t="shared" si="5"/>
        <v>0.7998483575</v>
      </c>
      <c r="L464" s="9">
        <v>1.0</v>
      </c>
      <c r="O464" s="9" t="s">
        <v>221</v>
      </c>
      <c r="P464" s="40" t="s">
        <v>1729</v>
      </c>
      <c r="Q464" s="9" t="s">
        <v>150</v>
      </c>
      <c r="R464" s="40" t="s">
        <v>63</v>
      </c>
      <c r="S464" s="9" t="s">
        <v>638</v>
      </c>
      <c r="T464" t="str">
        <f t="shared" si="9"/>
        <v>N</v>
      </c>
      <c r="W464" s="12" t="str">
        <f t="array" ref="W464">if(and(L464=0,Q464="NA"),"NA",if(L464=0,"no lice",if(Q464="NA","no collection",index(sea_lice!G:G,match(C464,sea_lice!A:A,0)))))</f>
        <v>BSL6-33</v>
      </c>
      <c r="X464" s="23">
        <v>463.0</v>
      </c>
    </row>
    <row r="465">
      <c r="B465" s="6">
        <v>17944.0</v>
      </c>
      <c r="C465" s="12" t="str">
        <f t="shared" si="1"/>
        <v>U17944</v>
      </c>
      <c r="D465" s="14" t="str">
        <f t="array" ref="D465">iferror(index('2018_ufns'!E:E,match(C465,'2018_ufns'!B:B,0)))</f>
        <v>P1195</v>
      </c>
      <c r="E465" s="14">
        <v>43398.0</v>
      </c>
      <c r="F465" s="40" t="s">
        <v>53</v>
      </c>
      <c r="G465" s="40" t="s">
        <v>54</v>
      </c>
      <c r="H465" s="9">
        <v>7.0</v>
      </c>
      <c r="I465" s="13">
        <v>83.0</v>
      </c>
      <c r="J465" s="13">
        <v>87.0</v>
      </c>
      <c r="K465" s="17">
        <f t="shared" si="5"/>
        <v>1.063017177</v>
      </c>
      <c r="L465" s="9">
        <v>0.0</v>
      </c>
      <c r="O465" s="9" t="s">
        <v>221</v>
      </c>
      <c r="P465" s="40" t="s">
        <v>1729</v>
      </c>
      <c r="Q465" s="9" t="s">
        <v>150</v>
      </c>
      <c r="R465" s="40" t="s">
        <v>63</v>
      </c>
      <c r="S465" s="9" t="s">
        <v>638</v>
      </c>
      <c r="T465" t="str">
        <f t="shared" si="9"/>
        <v>N</v>
      </c>
      <c r="W465" s="12" t="str">
        <f t="array" ref="W465">if(and(L465=0,Q465="NA"),"NA",if(L465=0,"no lice",if(Q465="NA","no collection",index(sea_lice!G:G,match(C465,sea_lice!A:A,0)))))</f>
        <v>no lice</v>
      </c>
      <c r="X465" s="23">
        <v>464.0</v>
      </c>
    </row>
    <row r="466">
      <c r="B466" s="6">
        <v>17411.0</v>
      </c>
      <c r="C466" s="12" t="str">
        <f t="shared" si="1"/>
        <v>U17411</v>
      </c>
      <c r="D466" s="14" t="str">
        <f t="array" ref="D466">iferror(index('2018_ufns'!E:E,match(C466,'2018_ufns'!B:B,0)))</f>
        <v>P1142</v>
      </c>
      <c r="E466" s="14">
        <v>43398.0</v>
      </c>
      <c r="F466" s="40" t="s">
        <v>53</v>
      </c>
      <c r="G466" s="40" t="s">
        <v>54</v>
      </c>
      <c r="H466" s="9">
        <v>11.1</v>
      </c>
      <c r="I466" s="13">
        <v>104.0</v>
      </c>
      <c r="J466" s="13">
        <v>109.0</v>
      </c>
      <c r="K466" s="17">
        <f t="shared" si="5"/>
        <v>0.8571236629</v>
      </c>
      <c r="L466" s="9">
        <v>0.0</v>
      </c>
      <c r="O466" s="9" t="s">
        <v>221</v>
      </c>
      <c r="P466" s="40" t="s">
        <v>1729</v>
      </c>
      <c r="Q466" s="9" t="s">
        <v>150</v>
      </c>
      <c r="R466" s="40" t="s">
        <v>63</v>
      </c>
      <c r="S466" s="9" t="s">
        <v>638</v>
      </c>
      <c r="T466" t="str">
        <f t="shared" si="9"/>
        <v>N</v>
      </c>
      <c r="W466" s="12" t="str">
        <f t="array" ref="W466">if(and(L466=0,Q466="NA"),"NA",if(L466=0,"no lice",if(Q466="NA","no collection",index(sea_lice!G:G,match(C466,sea_lice!A:A,0)))))</f>
        <v>no lice</v>
      </c>
      <c r="X466" s="23">
        <v>465.0</v>
      </c>
    </row>
    <row r="467">
      <c r="B467" s="6">
        <v>17412.0</v>
      </c>
      <c r="C467" s="12" t="str">
        <f t="shared" si="1"/>
        <v>U17412</v>
      </c>
      <c r="D467" s="14" t="str">
        <f t="array" ref="D467">iferror(index('2018_ufns'!E:E,match(C467,'2018_ufns'!B:B,0)))</f>
        <v>P1142</v>
      </c>
      <c r="E467" s="14">
        <v>43398.0</v>
      </c>
      <c r="F467" s="40" t="s">
        <v>53</v>
      </c>
      <c r="G467" s="40" t="s">
        <v>54</v>
      </c>
      <c r="H467" s="9">
        <v>10.7</v>
      </c>
      <c r="I467" s="13">
        <v>100.0</v>
      </c>
      <c r="J467" s="13">
        <v>106.0</v>
      </c>
      <c r="K467" s="17">
        <f t="shared" si="5"/>
        <v>0.8983926328</v>
      </c>
      <c r="L467" s="9">
        <v>0.0</v>
      </c>
      <c r="O467" s="9" t="s">
        <v>221</v>
      </c>
      <c r="P467" s="40" t="s">
        <v>1729</v>
      </c>
      <c r="Q467" s="9" t="s">
        <v>150</v>
      </c>
      <c r="R467" s="40" t="s">
        <v>63</v>
      </c>
      <c r="S467" s="9" t="s">
        <v>638</v>
      </c>
      <c r="T467" t="str">
        <f t="shared" si="9"/>
        <v>N</v>
      </c>
      <c r="W467" s="12" t="str">
        <f t="array" ref="W467">if(and(L467=0,Q467="NA"),"NA",if(L467=0,"no lice",if(Q467="NA","no collection",index(sea_lice!G:G,match(C467,sea_lice!A:A,0)))))</f>
        <v>no lice</v>
      </c>
      <c r="X467" s="23">
        <v>466.0</v>
      </c>
    </row>
    <row r="468">
      <c r="B468" s="6">
        <v>17413.0</v>
      </c>
      <c r="C468" s="12" t="str">
        <f t="shared" si="1"/>
        <v>U17413</v>
      </c>
      <c r="D468" s="14" t="str">
        <f t="array" ref="D468">iferror(index('2018_ufns'!E:E,match(C468,'2018_ufns'!B:B,0)))</f>
        <v>P1142</v>
      </c>
      <c r="E468" s="14">
        <v>43398.0</v>
      </c>
      <c r="F468" s="40" t="s">
        <v>53</v>
      </c>
      <c r="G468" s="40" t="s">
        <v>54</v>
      </c>
      <c r="H468" s="9">
        <v>9.6</v>
      </c>
      <c r="I468" s="13">
        <v>98.0</v>
      </c>
      <c r="J468" s="13">
        <v>102.0</v>
      </c>
      <c r="K468" s="17">
        <f t="shared" si="5"/>
        <v>0.9046294412</v>
      </c>
      <c r="L468" s="9">
        <v>0.0</v>
      </c>
      <c r="O468" s="9" t="s">
        <v>221</v>
      </c>
      <c r="P468" s="40" t="s">
        <v>1729</v>
      </c>
      <c r="Q468" s="9" t="s">
        <v>150</v>
      </c>
      <c r="R468" s="40" t="s">
        <v>63</v>
      </c>
      <c r="S468" s="9" t="s">
        <v>638</v>
      </c>
      <c r="T468" t="str">
        <f t="shared" si="9"/>
        <v>N</v>
      </c>
      <c r="W468" s="12" t="str">
        <f t="array" ref="W468">if(and(L468=0,Q468="NA"),"NA",if(L468=0,"no lice",if(Q468="NA","no collection",index(sea_lice!G:G,match(C468,sea_lice!A:A,0)))))</f>
        <v>no lice</v>
      </c>
      <c r="X468" s="23">
        <v>467.0</v>
      </c>
    </row>
    <row r="469">
      <c r="B469" s="6">
        <v>17414.0</v>
      </c>
      <c r="C469" s="12" t="str">
        <f t="shared" si="1"/>
        <v>U17414</v>
      </c>
      <c r="D469" s="14" t="str">
        <f t="array" ref="D469">iferror(index('2018_ufns'!E:E,match(C469,'2018_ufns'!B:B,0)))</f>
        <v>P1142</v>
      </c>
      <c r="E469" s="14">
        <v>43398.0</v>
      </c>
      <c r="F469" s="40" t="s">
        <v>53</v>
      </c>
      <c r="G469" s="40" t="s">
        <v>54</v>
      </c>
      <c r="H469" s="9">
        <v>12.3</v>
      </c>
      <c r="I469" s="13">
        <v>109.0</v>
      </c>
      <c r="J469" s="13">
        <v>115.0</v>
      </c>
      <c r="K469" s="17">
        <f t="shared" si="5"/>
        <v>0.8087449659</v>
      </c>
      <c r="L469" s="9">
        <v>0.0</v>
      </c>
      <c r="O469" s="9" t="s">
        <v>221</v>
      </c>
      <c r="P469" s="40" t="s">
        <v>1729</v>
      </c>
      <c r="Q469" s="9" t="s">
        <v>150</v>
      </c>
      <c r="R469" s="40" t="s">
        <v>63</v>
      </c>
      <c r="S469" s="9" t="s">
        <v>638</v>
      </c>
      <c r="T469" t="str">
        <f t="shared" si="9"/>
        <v>N</v>
      </c>
      <c r="W469" s="12" t="str">
        <f t="array" ref="W469">if(and(L469=0,Q469="NA"),"NA",if(L469=0,"no lice",if(Q469="NA","no collection",index(sea_lice!G:G,match(C469,sea_lice!A:A,0)))))</f>
        <v>no lice</v>
      </c>
      <c r="X469" s="23">
        <v>468.0</v>
      </c>
    </row>
    <row r="470">
      <c r="B470" s="6">
        <v>17415.0</v>
      </c>
      <c r="C470" s="12" t="str">
        <f t="shared" si="1"/>
        <v>U17415</v>
      </c>
      <c r="D470" s="14" t="str">
        <f t="array" ref="D470">iferror(index('2018_ufns'!E:E,match(C470,'2018_ufns'!B:B,0)))</f>
        <v>P1142</v>
      </c>
      <c r="E470" s="14">
        <v>43398.0</v>
      </c>
      <c r="F470" s="40" t="s">
        <v>53</v>
      </c>
      <c r="G470" s="40" t="s">
        <v>54</v>
      </c>
      <c r="H470" s="9">
        <v>20.3</v>
      </c>
      <c r="I470" s="13">
        <v>127.0</v>
      </c>
      <c r="J470" s="13">
        <v>134.0</v>
      </c>
      <c r="K470" s="17">
        <f t="shared" si="5"/>
        <v>0.8436875547</v>
      </c>
      <c r="L470" s="9">
        <v>0.0</v>
      </c>
      <c r="O470" s="9" t="s">
        <v>221</v>
      </c>
      <c r="P470" s="40" t="s">
        <v>1729</v>
      </c>
      <c r="Q470" s="9" t="s">
        <v>150</v>
      </c>
      <c r="R470" s="40" t="s">
        <v>63</v>
      </c>
      <c r="S470" s="9" t="s">
        <v>638</v>
      </c>
      <c r="T470" t="str">
        <f t="shared" si="9"/>
        <v>N</v>
      </c>
      <c r="W470" s="12" t="str">
        <f t="array" ref="W470">if(and(L470=0,Q470="NA"),"NA",if(L470=0,"no lice",if(Q470="NA","no collection",index(sea_lice!G:G,match(C470,sea_lice!A:A,0)))))</f>
        <v>no lice</v>
      </c>
      <c r="X470" s="23">
        <v>469.0</v>
      </c>
    </row>
    <row r="471">
      <c r="B471" s="6">
        <v>17416.0</v>
      </c>
      <c r="C471" s="12" t="str">
        <f t="shared" si="1"/>
        <v>U17416</v>
      </c>
      <c r="D471" s="14" t="str">
        <f t="array" ref="D471">iferror(index('2018_ufns'!E:E,match(C471,'2018_ufns'!B:B,0)))</f>
        <v>P1142</v>
      </c>
      <c r="E471" s="14">
        <v>43398.0</v>
      </c>
      <c r="F471" s="40" t="s">
        <v>53</v>
      </c>
      <c r="G471" s="40" t="s">
        <v>54</v>
      </c>
      <c r="H471" s="9">
        <v>10.9</v>
      </c>
      <c r="I471" s="13">
        <v>103.0</v>
      </c>
      <c r="J471" s="13">
        <v>108.0</v>
      </c>
      <c r="K471" s="17">
        <f t="shared" si="5"/>
        <v>0.8652771427</v>
      </c>
      <c r="L471" s="9">
        <v>0.0</v>
      </c>
      <c r="O471" s="9" t="s">
        <v>221</v>
      </c>
      <c r="P471" s="40" t="s">
        <v>1729</v>
      </c>
      <c r="Q471" s="9" t="s">
        <v>150</v>
      </c>
      <c r="R471" s="40" t="s">
        <v>63</v>
      </c>
      <c r="S471" s="9" t="s">
        <v>638</v>
      </c>
      <c r="T471" t="str">
        <f t="shared" si="9"/>
        <v>N</v>
      </c>
      <c r="W471" s="12" t="str">
        <f t="array" ref="W471">if(and(L471=0,Q471="NA"),"NA",if(L471=0,"no lice",if(Q471="NA","no collection",index(sea_lice!G:G,match(C471,sea_lice!A:A,0)))))</f>
        <v>no lice</v>
      </c>
      <c r="X471" s="23">
        <v>470.0</v>
      </c>
    </row>
    <row r="472">
      <c r="B472" s="6">
        <v>16881.0</v>
      </c>
      <c r="C472" s="12" t="str">
        <f t="shared" si="1"/>
        <v>U16881</v>
      </c>
      <c r="D472" s="14" t="str">
        <f t="array" ref="D472">iferror(index('2018_ufns'!E:E,match(C472,'2018_ufns'!B:B,0)))</f>
        <v>P1089</v>
      </c>
      <c r="E472" s="14">
        <v>43398.0</v>
      </c>
      <c r="F472" s="40" t="s">
        <v>53</v>
      </c>
      <c r="G472" s="40" t="s">
        <v>54</v>
      </c>
      <c r="H472" s="9">
        <v>26.2</v>
      </c>
      <c r="I472" s="13">
        <v>135.0</v>
      </c>
      <c r="J472" s="13">
        <v>140.0</v>
      </c>
      <c r="K472" s="17">
        <f t="shared" si="5"/>
        <v>0.9548104956</v>
      </c>
      <c r="L472" s="9">
        <v>0.0</v>
      </c>
      <c r="O472" s="9" t="s">
        <v>221</v>
      </c>
      <c r="P472" s="40" t="s">
        <v>1729</v>
      </c>
      <c r="Q472" s="9" t="s">
        <v>150</v>
      </c>
      <c r="R472" s="40" t="s">
        <v>63</v>
      </c>
      <c r="S472" s="9" t="s">
        <v>638</v>
      </c>
      <c r="T472" t="str">
        <f t="shared" si="9"/>
        <v>N</v>
      </c>
      <c r="W472" s="12" t="str">
        <f t="array" ref="W472">if(and(L472=0,Q472="NA"),"NA",if(L472=0,"no lice",if(Q472="NA","no collection",index(sea_lice!G:G,match(C472,sea_lice!A:A,0)))))</f>
        <v>no lice</v>
      </c>
      <c r="X472" s="23">
        <v>471.0</v>
      </c>
    </row>
    <row r="473">
      <c r="B473" s="6">
        <v>16882.0</v>
      </c>
      <c r="C473" s="12" t="str">
        <f t="shared" si="1"/>
        <v>U16882</v>
      </c>
      <c r="D473" s="14" t="str">
        <f t="array" ref="D473">iferror(index('2018_ufns'!E:E,match(C473,'2018_ufns'!B:B,0)))</f>
        <v>P1089</v>
      </c>
      <c r="E473" s="14">
        <v>43398.0</v>
      </c>
      <c r="F473" s="40" t="s">
        <v>53</v>
      </c>
      <c r="G473" s="40" t="s">
        <v>54</v>
      </c>
      <c r="H473" s="9">
        <v>18.3</v>
      </c>
      <c r="I473" s="13">
        <v>110.0</v>
      </c>
      <c r="J473" s="13">
        <v>116.0</v>
      </c>
      <c r="K473" s="17">
        <f t="shared" si="5"/>
        <v>1.172403543</v>
      </c>
      <c r="L473" s="9">
        <v>1.0</v>
      </c>
      <c r="O473" s="9" t="s">
        <v>221</v>
      </c>
      <c r="P473" s="40" t="s">
        <v>1729</v>
      </c>
      <c r="Q473" s="9" t="s">
        <v>150</v>
      </c>
      <c r="R473" s="40" t="s">
        <v>63</v>
      </c>
      <c r="S473" s="9" t="s">
        <v>638</v>
      </c>
      <c r="T473" t="str">
        <f t="shared" si="9"/>
        <v>N</v>
      </c>
      <c r="W473" s="12" t="str">
        <f t="array" ref="W473">if(and(L473=0,Q473="NA"),"NA",if(L473=0,"no lice",if(Q473="NA","no collection",index(sea_lice!G:G,match(C473,sea_lice!A:A,0)))))</f>
        <v>BSL6-35</v>
      </c>
      <c r="X473" s="23">
        <v>472.0</v>
      </c>
    </row>
    <row r="474">
      <c r="B474" s="6">
        <v>16883.0</v>
      </c>
      <c r="C474" s="12" t="str">
        <f t="shared" si="1"/>
        <v>U16883</v>
      </c>
      <c r="D474" s="14" t="str">
        <f t="array" ref="D474">iferror(index('2018_ufns'!E:E,match(C474,'2018_ufns'!B:B,0)))</f>
        <v>P1089</v>
      </c>
      <c r="E474" s="14">
        <v>43399.0</v>
      </c>
      <c r="F474" s="40" t="s">
        <v>53</v>
      </c>
      <c r="G474" s="40" t="s">
        <v>54</v>
      </c>
      <c r="H474" s="9">
        <v>13.9</v>
      </c>
      <c r="I474" s="13">
        <v>105.0</v>
      </c>
      <c r="J474" s="13">
        <v>111.0</v>
      </c>
      <c r="K474" s="17">
        <f t="shared" si="5"/>
        <v>1.01635602</v>
      </c>
      <c r="L474" s="9">
        <v>0.0</v>
      </c>
      <c r="O474" s="9" t="s">
        <v>221</v>
      </c>
      <c r="P474" s="40" t="s">
        <v>1729</v>
      </c>
      <c r="Q474" s="9" t="s">
        <v>150</v>
      </c>
      <c r="R474" s="40" t="s">
        <v>63</v>
      </c>
      <c r="S474" s="9" t="s">
        <v>638</v>
      </c>
      <c r="T474" t="str">
        <f t="shared" si="9"/>
        <v>N</v>
      </c>
      <c r="W474" s="12" t="str">
        <f t="array" ref="W474">if(and(L474=0,Q474="NA"),"NA",if(L474=0,"no lice",if(Q474="NA","no collection",index(sea_lice!G:G,match(C474,sea_lice!A:A,0)))))</f>
        <v>no lice</v>
      </c>
      <c r="X474" s="23">
        <v>473.0</v>
      </c>
    </row>
    <row r="475">
      <c r="B475" s="6">
        <v>16884.0</v>
      </c>
      <c r="C475" s="12" t="str">
        <f t="shared" si="1"/>
        <v>U16884</v>
      </c>
      <c r="D475" s="14" t="str">
        <f t="array" ref="D475">iferror(index('2018_ufns'!E:E,match(C475,'2018_ufns'!B:B,0)))</f>
        <v>P1089</v>
      </c>
      <c r="E475" s="14">
        <v>43399.0</v>
      </c>
      <c r="F475" s="40" t="s">
        <v>53</v>
      </c>
      <c r="G475" s="40" t="s">
        <v>54</v>
      </c>
      <c r="H475" s="9">
        <v>22.2</v>
      </c>
      <c r="I475" s="13">
        <v>128.0</v>
      </c>
      <c r="J475" s="13">
        <v>133.0</v>
      </c>
      <c r="K475" s="17">
        <f t="shared" si="5"/>
        <v>0.9436219867</v>
      </c>
      <c r="L475" s="9">
        <v>0.0</v>
      </c>
      <c r="O475" s="9" t="s">
        <v>221</v>
      </c>
      <c r="P475" s="40" t="s">
        <v>1729</v>
      </c>
      <c r="Q475" s="9" t="s">
        <v>150</v>
      </c>
      <c r="R475" s="40" t="s">
        <v>63</v>
      </c>
      <c r="S475" s="9" t="s">
        <v>638</v>
      </c>
      <c r="T475" t="str">
        <f t="shared" si="9"/>
        <v>N</v>
      </c>
      <c r="W475" s="12" t="str">
        <f t="array" ref="W475">if(and(L475=0,Q475="NA"),"NA",if(L475=0,"no lice",if(Q475="NA","no collection",index(sea_lice!G:G,match(C475,sea_lice!A:A,0)))))</f>
        <v>no lice</v>
      </c>
      <c r="X475" s="23">
        <v>474.0</v>
      </c>
    </row>
    <row r="476">
      <c r="B476" s="6">
        <v>16885.0</v>
      </c>
      <c r="C476" s="12" t="str">
        <f t="shared" si="1"/>
        <v>U16885</v>
      </c>
      <c r="D476" s="14" t="str">
        <f t="array" ref="D476">iferror(index('2018_ufns'!E:E,match(C476,'2018_ufns'!B:B,0)))</f>
        <v>P1089</v>
      </c>
      <c r="E476" s="14">
        <v>43399.0</v>
      </c>
      <c r="F476" s="40" t="s">
        <v>53</v>
      </c>
      <c r="G476" s="40" t="s">
        <v>54</v>
      </c>
      <c r="H476" s="9">
        <v>10.3</v>
      </c>
      <c r="I476" s="13">
        <v>96.0</v>
      </c>
      <c r="J476" s="13">
        <v>100.0</v>
      </c>
      <c r="K476" s="17">
        <f t="shared" si="5"/>
        <v>1.03</v>
      </c>
      <c r="L476" s="9">
        <v>3.0</v>
      </c>
      <c r="O476" s="9" t="s">
        <v>221</v>
      </c>
      <c r="P476" s="40" t="s">
        <v>1729</v>
      </c>
      <c r="Q476" s="9" t="s">
        <v>150</v>
      </c>
      <c r="R476" s="40" t="s">
        <v>63</v>
      </c>
      <c r="S476" s="9" t="s">
        <v>638</v>
      </c>
      <c r="T476" t="str">
        <f t="shared" si="9"/>
        <v>N</v>
      </c>
      <c r="W476" s="12" t="str">
        <f t="array" ref="W476">if(and(L476=0,Q476="NA"),"NA",if(L476=0,"no lice",if(Q476="NA","no collection",index(sea_lice!G:G,match(C476,sea_lice!A:A,0)))))</f>
        <v>BSL6-36</v>
      </c>
      <c r="X476" s="23">
        <v>475.0</v>
      </c>
    </row>
    <row r="477">
      <c r="B477" s="6">
        <v>16889.0</v>
      </c>
      <c r="C477" s="12" t="str">
        <f t="shared" si="1"/>
        <v>U16889</v>
      </c>
      <c r="D477" s="14" t="str">
        <f t="array" ref="D477">iferror(index('2018_ufns'!E:E,match(C477,'2018_ufns'!B:B,0)))</f>
        <v>P1089</v>
      </c>
      <c r="E477" s="14">
        <v>43399.0</v>
      </c>
      <c r="F477" s="40" t="s">
        <v>53</v>
      </c>
      <c r="G477" s="40" t="s">
        <v>54</v>
      </c>
      <c r="H477" s="9">
        <v>24.1</v>
      </c>
      <c r="I477" s="13">
        <v>131.0</v>
      </c>
      <c r="J477" s="13">
        <v>136.0</v>
      </c>
      <c r="K477" s="17">
        <f t="shared" si="5"/>
        <v>0.9580767861</v>
      </c>
      <c r="L477" s="9">
        <v>0.0</v>
      </c>
      <c r="O477" s="9" t="s">
        <v>221</v>
      </c>
      <c r="P477" s="40" t="s">
        <v>1729</v>
      </c>
      <c r="Q477" s="9" t="s">
        <v>150</v>
      </c>
      <c r="R477" s="40" t="s">
        <v>63</v>
      </c>
      <c r="S477" s="9" t="s">
        <v>638</v>
      </c>
      <c r="T477" t="str">
        <f t="shared" si="9"/>
        <v>N</v>
      </c>
      <c r="W477" s="12" t="str">
        <f t="array" ref="W477">if(and(L477=0,Q477="NA"),"NA",if(L477=0,"no lice",if(Q477="NA","no collection",index(sea_lice!G:G,match(C477,sea_lice!A:A,0)))))</f>
        <v>no lice</v>
      </c>
      <c r="X477" s="23">
        <v>476.0</v>
      </c>
    </row>
    <row r="478">
      <c r="B478" s="6">
        <v>16886.0</v>
      </c>
      <c r="C478" s="12" t="str">
        <f t="shared" si="1"/>
        <v>U16886</v>
      </c>
      <c r="D478" s="14" t="str">
        <f t="array" ref="D478">iferror(index('2018_ufns'!E:E,match(C478,'2018_ufns'!B:B,0)))</f>
        <v>P1089</v>
      </c>
      <c r="E478" s="14">
        <v>43399.0</v>
      </c>
      <c r="F478" s="40" t="s">
        <v>53</v>
      </c>
      <c r="G478" s="40" t="s">
        <v>54</v>
      </c>
      <c r="H478" s="9">
        <v>14.9</v>
      </c>
      <c r="I478" s="13">
        <v>106.0</v>
      </c>
      <c r="J478" s="13">
        <v>111.0</v>
      </c>
      <c r="K478" s="17">
        <f t="shared" si="5"/>
        <v>1.089475158</v>
      </c>
      <c r="L478" s="9">
        <v>0.0</v>
      </c>
      <c r="O478" s="9" t="s">
        <v>221</v>
      </c>
      <c r="P478" s="40" t="s">
        <v>1729</v>
      </c>
      <c r="Q478" s="9" t="s">
        <v>150</v>
      </c>
      <c r="R478" s="40" t="s">
        <v>63</v>
      </c>
      <c r="S478" s="9" t="s">
        <v>638</v>
      </c>
      <c r="T478" t="str">
        <f t="shared" si="9"/>
        <v>N</v>
      </c>
      <c r="W478" s="12" t="str">
        <f t="array" ref="W478">if(and(L478=0,Q478="NA"),"NA",if(L478=0,"no lice",if(Q478="NA","no collection",index(sea_lice!G:G,match(C478,sea_lice!A:A,0)))))</f>
        <v>no lice</v>
      </c>
      <c r="X478" s="23">
        <v>477.0</v>
      </c>
    </row>
    <row r="479">
      <c r="B479" s="6">
        <v>16887.0</v>
      </c>
      <c r="C479" s="12" t="str">
        <f t="shared" si="1"/>
        <v>U16887</v>
      </c>
      <c r="D479" s="14" t="str">
        <f t="array" ref="D479">iferror(index('2018_ufns'!E:E,match(C479,'2018_ufns'!B:B,0)))</f>
        <v>P1089</v>
      </c>
      <c r="E479" s="14">
        <v>43399.0</v>
      </c>
      <c r="F479" s="40" t="s">
        <v>53</v>
      </c>
      <c r="G479" s="40" t="s">
        <v>54</v>
      </c>
      <c r="H479" s="9">
        <v>21.0</v>
      </c>
      <c r="I479" s="13">
        <v>122.0</v>
      </c>
      <c r="J479" s="13">
        <v>128.0</v>
      </c>
      <c r="K479" s="17">
        <f t="shared" si="5"/>
        <v>1.001358032</v>
      </c>
      <c r="L479" s="9">
        <v>0.0</v>
      </c>
      <c r="O479" s="9" t="s">
        <v>221</v>
      </c>
      <c r="P479" s="40" t="s">
        <v>1729</v>
      </c>
      <c r="Q479" s="9" t="s">
        <v>150</v>
      </c>
      <c r="R479" s="40" t="s">
        <v>63</v>
      </c>
      <c r="S479" s="9" t="s">
        <v>638</v>
      </c>
      <c r="T479" t="str">
        <f t="shared" si="9"/>
        <v>N</v>
      </c>
      <c r="W479" s="12" t="str">
        <f t="array" ref="W479">if(and(L479=0,Q479="NA"),"NA",if(L479=0,"no lice",if(Q479="NA","no collection",index(sea_lice!G:G,match(C479,sea_lice!A:A,0)))))</f>
        <v>no lice</v>
      </c>
      <c r="X479" s="23">
        <v>478.0</v>
      </c>
    </row>
    <row r="480">
      <c r="B480" s="6">
        <v>16888.0</v>
      </c>
      <c r="C480" s="12" t="str">
        <f t="shared" si="1"/>
        <v>U16888</v>
      </c>
      <c r="D480" s="14" t="str">
        <f t="array" ref="D480">iferror(index('2018_ufns'!E:E,match(C480,'2018_ufns'!B:B,0)))</f>
        <v>P1089</v>
      </c>
      <c r="E480" s="14">
        <v>43399.0</v>
      </c>
      <c r="F480" s="40" t="s">
        <v>53</v>
      </c>
      <c r="G480" s="40" t="s">
        <v>54</v>
      </c>
      <c r="H480" s="9">
        <v>31.4</v>
      </c>
      <c r="I480" s="13">
        <v>140.0</v>
      </c>
      <c r="J480" s="13">
        <v>147.0</v>
      </c>
      <c r="K480" s="17">
        <f t="shared" si="5"/>
        <v>0.9885022082</v>
      </c>
      <c r="L480" s="9">
        <v>0.0</v>
      </c>
      <c r="O480" s="9" t="s">
        <v>221</v>
      </c>
      <c r="P480" s="40" t="s">
        <v>1729</v>
      </c>
      <c r="Q480" s="9" t="s">
        <v>150</v>
      </c>
      <c r="R480" s="40" t="s">
        <v>63</v>
      </c>
      <c r="S480" s="9" t="s">
        <v>638</v>
      </c>
      <c r="T480" t="str">
        <f t="shared" si="9"/>
        <v>N</v>
      </c>
      <c r="W480" s="12" t="str">
        <f t="array" ref="W480">if(and(L480=0,Q480="NA"),"NA",if(L480=0,"no lice",if(Q480="NA","no collection",index(sea_lice!G:G,match(C480,sea_lice!A:A,0)))))</f>
        <v>no lice</v>
      </c>
      <c r="X480" s="23">
        <v>479.0</v>
      </c>
    </row>
    <row r="481">
      <c r="B481" s="6">
        <v>16890.0</v>
      </c>
      <c r="C481" s="12" t="str">
        <f t="shared" si="1"/>
        <v>U16890</v>
      </c>
      <c r="D481" s="14" t="str">
        <f t="array" ref="D481">iferror(index('2018_ufns'!E:E,match(C481,'2018_ufns'!B:B,0)))</f>
        <v>P1089</v>
      </c>
      <c r="E481" s="14">
        <v>43399.0</v>
      </c>
      <c r="F481" s="40" t="s">
        <v>53</v>
      </c>
      <c r="G481" s="40" t="s">
        <v>54</v>
      </c>
      <c r="H481" s="9">
        <v>25.4</v>
      </c>
      <c r="I481" s="13">
        <v>133.0</v>
      </c>
      <c r="J481" s="13">
        <v>140.0</v>
      </c>
      <c r="K481" s="17">
        <f t="shared" si="5"/>
        <v>0.9256559767</v>
      </c>
      <c r="L481" s="9">
        <v>1.0</v>
      </c>
      <c r="O481" s="9" t="s">
        <v>221</v>
      </c>
      <c r="P481" s="40" t="s">
        <v>1729</v>
      </c>
      <c r="Q481" s="9" t="s">
        <v>150</v>
      </c>
      <c r="R481" s="40" t="s">
        <v>63</v>
      </c>
      <c r="S481" s="9" t="s">
        <v>638</v>
      </c>
      <c r="T481" t="str">
        <f t="shared" si="9"/>
        <v>N</v>
      </c>
      <c r="W481" s="12" t="str">
        <f t="array" ref="W481">if(and(L481=0,Q481="NA"),"NA",if(L481=0,"no lice",if(Q481="NA","no collection",index(sea_lice!G:G,match(C481,sea_lice!A:A,0)))))</f>
        <v>BSL6-37</v>
      </c>
      <c r="X481" s="23">
        <v>480.0</v>
      </c>
    </row>
    <row r="482">
      <c r="B482" s="6">
        <v>16291.0</v>
      </c>
      <c r="C482" s="12" t="str">
        <f t="shared" si="1"/>
        <v>U16291</v>
      </c>
      <c r="D482" s="14" t="str">
        <f t="array" ref="D482">iferror(index('2018_ufns'!E:E,match(C482,'2018_ufns'!B:B,0)))</f>
        <v>P1030</v>
      </c>
      <c r="E482" s="14">
        <v>43399.0</v>
      </c>
      <c r="F482" s="40" t="s">
        <v>53</v>
      </c>
      <c r="G482" s="40" t="s">
        <v>54</v>
      </c>
      <c r="H482" s="9">
        <v>19.9</v>
      </c>
      <c r="I482" s="13">
        <v>119.0</v>
      </c>
      <c r="J482" s="13">
        <v>124.0</v>
      </c>
      <c r="K482" s="17">
        <f t="shared" si="5"/>
        <v>1.04372965</v>
      </c>
      <c r="L482" s="9">
        <v>0.0</v>
      </c>
      <c r="O482" s="9" t="s">
        <v>221</v>
      </c>
      <c r="P482" s="40" t="s">
        <v>1729</v>
      </c>
      <c r="Q482" s="9" t="s">
        <v>150</v>
      </c>
      <c r="R482" s="40" t="s">
        <v>63</v>
      </c>
      <c r="S482" s="9" t="s">
        <v>638</v>
      </c>
      <c r="T482" t="str">
        <f t="shared" si="9"/>
        <v>N</v>
      </c>
      <c r="W482" s="12" t="str">
        <f t="array" ref="W482">if(and(L482=0,Q482="NA"),"NA",if(L482=0,"no lice",if(Q482="NA","no collection",index(sea_lice!G:G,match(C482,sea_lice!A:A,0)))))</f>
        <v>no lice</v>
      </c>
      <c r="X482" s="23">
        <v>481.0</v>
      </c>
    </row>
    <row r="483">
      <c r="B483" s="6">
        <v>16292.0</v>
      </c>
      <c r="C483" s="12" t="str">
        <f t="shared" si="1"/>
        <v>U16292</v>
      </c>
      <c r="D483" s="14" t="str">
        <f t="array" ref="D483">iferror(index('2018_ufns'!E:E,match(C483,'2018_ufns'!B:B,0)))</f>
        <v>P1030</v>
      </c>
      <c r="E483" s="14">
        <v>43399.0</v>
      </c>
      <c r="F483" s="40" t="s">
        <v>53</v>
      </c>
      <c r="G483" s="40" t="s">
        <v>54</v>
      </c>
      <c r="H483" s="9">
        <v>14.9</v>
      </c>
      <c r="I483" s="13">
        <v>112.0</v>
      </c>
      <c r="J483" s="13">
        <v>118.0</v>
      </c>
      <c r="K483" s="17">
        <f t="shared" si="5"/>
        <v>0.9068600003</v>
      </c>
      <c r="L483" s="9">
        <v>0.0</v>
      </c>
      <c r="O483" s="9" t="s">
        <v>221</v>
      </c>
      <c r="P483" s="40" t="s">
        <v>1729</v>
      </c>
      <c r="Q483" s="9" t="s">
        <v>150</v>
      </c>
      <c r="R483" s="40" t="s">
        <v>63</v>
      </c>
      <c r="S483" s="9" t="s">
        <v>638</v>
      </c>
      <c r="T483" t="str">
        <f t="shared" si="9"/>
        <v>N</v>
      </c>
      <c r="W483" s="12" t="str">
        <f t="array" ref="W483">if(and(L483=0,Q483="NA"),"NA",if(L483=0,"no lice",if(Q483="NA","no collection",index(sea_lice!G:G,match(C483,sea_lice!A:A,0)))))</f>
        <v>no lice</v>
      </c>
      <c r="X483" s="23">
        <v>482.0</v>
      </c>
    </row>
    <row r="484">
      <c r="B484" s="6">
        <v>16293.0</v>
      </c>
      <c r="C484" s="12" t="str">
        <f t="shared" si="1"/>
        <v>U16293</v>
      </c>
      <c r="D484" s="14" t="str">
        <f t="array" ref="D484">iferror(index('2018_ufns'!E:E,match(C484,'2018_ufns'!B:B,0)))</f>
        <v>P1030</v>
      </c>
      <c r="E484" s="14">
        <v>43399.0</v>
      </c>
      <c r="F484" s="40" t="s">
        <v>53</v>
      </c>
      <c r="G484" s="40" t="s">
        <v>54</v>
      </c>
      <c r="H484" s="9">
        <v>12.9</v>
      </c>
      <c r="I484" s="13">
        <v>103.0</v>
      </c>
      <c r="J484" s="13">
        <v>108.0</v>
      </c>
      <c r="K484" s="17">
        <f t="shared" si="5"/>
        <v>1.024043591</v>
      </c>
      <c r="L484" s="9">
        <v>0.0</v>
      </c>
      <c r="O484" s="9" t="s">
        <v>221</v>
      </c>
      <c r="P484" s="40" t="s">
        <v>1729</v>
      </c>
      <c r="Q484" s="9" t="s">
        <v>150</v>
      </c>
      <c r="R484" s="40" t="s">
        <v>63</v>
      </c>
      <c r="S484" s="9" t="s">
        <v>638</v>
      </c>
      <c r="T484" t="str">
        <f t="shared" si="9"/>
        <v>N</v>
      </c>
      <c r="W484" s="12" t="str">
        <f t="array" ref="W484">if(and(L484=0,Q484="NA"),"NA",if(L484=0,"no lice",if(Q484="NA","no collection",index(sea_lice!G:G,match(C484,sea_lice!A:A,0)))))</f>
        <v>no lice</v>
      </c>
      <c r="X484" s="23">
        <v>483.0</v>
      </c>
    </row>
    <row r="485">
      <c r="B485" s="6">
        <v>16294.0</v>
      </c>
      <c r="C485" s="12" t="str">
        <f t="shared" si="1"/>
        <v>U16294</v>
      </c>
      <c r="D485" s="14" t="str">
        <f t="array" ref="D485">iferror(index('2018_ufns'!E:E,match(C485,'2018_ufns'!B:B,0)))</f>
        <v>P1030</v>
      </c>
      <c r="E485" s="14">
        <v>43399.0</v>
      </c>
      <c r="F485" s="40" t="s">
        <v>53</v>
      </c>
      <c r="G485" s="40" t="s">
        <v>54</v>
      </c>
      <c r="H485" s="9">
        <v>10.5</v>
      </c>
      <c r="I485" s="13">
        <v>97.0</v>
      </c>
      <c r="J485" s="13">
        <v>102.0</v>
      </c>
      <c r="K485" s="17">
        <f t="shared" si="5"/>
        <v>0.9894384513</v>
      </c>
      <c r="L485" s="9">
        <v>0.0</v>
      </c>
      <c r="O485" s="9" t="s">
        <v>221</v>
      </c>
      <c r="P485" s="40" t="s">
        <v>1729</v>
      </c>
      <c r="Q485" s="9" t="s">
        <v>150</v>
      </c>
      <c r="R485" s="40" t="s">
        <v>63</v>
      </c>
      <c r="S485" s="9" t="s">
        <v>638</v>
      </c>
      <c r="T485" t="str">
        <f t="shared" si="9"/>
        <v>N</v>
      </c>
      <c r="W485" s="12" t="str">
        <f t="array" ref="W485">if(and(L485=0,Q485="NA"),"NA",if(L485=0,"no lice",if(Q485="NA","no collection",index(sea_lice!G:G,match(C485,sea_lice!A:A,0)))))</f>
        <v>no lice</v>
      </c>
      <c r="X485" s="23">
        <v>484.0</v>
      </c>
    </row>
    <row r="486">
      <c r="B486" s="6">
        <v>16295.0</v>
      </c>
      <c r="C486" s="12" t="str">
        <f t="shared" si="1"/>
        <v>U16295</v>
      </c>
      <c r="D486" s="14" t="str">
        <f t="array" ref="D486">iferror(index('2018_ufns'!E:E,match(C486,'2018_ufns'!B:B,0)))</f>
        <v>P1030</v>
      </c>
      <c r="E486" s="14">
        <v>43399.0</v>
      </c>
      <c r="F486" s="40" t="s">
        <v>53</v>
      </c>
      <c r="G486" s="40" t="s">
        <v>54</v>
      </c>
      <c r="H486" s="9">
        <v>8.9</v>
      </c>
      <c r="I486" s="13">
        <v>92.0</v>
      </c>
      <c r="J486" s="13" t="s">
        <v>63</v>
      </c>
      <c r="K486" s="17" t="str">
        <f t="shared" si="5"/>
        <v/>
      </c>
      <c r="L486" s="9">
        <v>0.0</v>
      </c>
      <c r="O486" s="9" t="s">
        <v>221</v>
      </c>
      <c r="P486" s="40" t="s">
        <v>1729</v>
      </c>
      <c r="Q486" s="9" t="s">
        <v>150</v>
      </c>
      <c r="R486" s="40" t="s">
        <v>63</v>
      </c>
      <c r="S486" s="9" t="s">
        <v>638</v>
      </c>
      <c r="T486" t="str">
        <f t="shared" si="9"/>
        <v>N</v>
      </c>
      <c r="W486" s="12" t="str">
        <f t="array" ref="W486">if(and(L486=0,Q486="NA"),"NA",if(L486=0,"no lice",if(Q486="NA","no collection",index(sea_lice!G:G,match(C486,sea_lice!A:A,0)))))</f>
        <v>no lice</v>
      </c>
      <c r="X486" s="23">
        <v>485.0</v>
      </c>
    </row>
    <row r="487">
      <c r="B487" s="6">
        <v>16296.0</v>
      </c>
      <c r="C487" s="12" t="str">
        <f t="shared" si="1"/>
        <v>U16296</v>
      </c>
      <c r="D487" s="14" t="str">
        <f t="array" ref="D487">iferror(index('2018_ufns'!E:E,match(C487,'2018_ufns'!B:B,0)))</f>
        <v>P1030</v>
      </c>
      <c r="E487" s="14">
        <v>43399.0</v>
      </c>
      <c r="F487" s="40" t="s">
        <v>53</v>
      </c>
      <c r="G487" s="40" t="s">
        <v>54</v>
      </c>
      <c r="H487" s="9">
        <v>14.3</v>
      </c>
      <c r="I487" s="13">
        <v>109.0</v>
      </c>
      <c r="J487" s="13">
        <v>114.0</v>
      </c>
      <c r="K487" s="17">
        <f t="shared" si="5"/>
        <v>0.9652092682</v>
      </c>
      <c r="L487" s="9">
        <v>0.0</v>
      </c>
      <c r="O487" s="9" t="s">
        <v>221</v>
      </c>
      <c r="P487" s="40" t="s">
        <v>1729</v>
      </c>
      <c r="Q487" s="9" t="s">
        <v>150</v>
      </c>
      <c r="R487" s="40" t="s">
        <v>63</v>
      </c>
      <c r="S487" s="9" t="s">
        <v>638</v>
      </c>
      <c r="T487" t="str">
        <f t="shared" si="9"/>
        <v>N</v>
      </c>
      <c r="W487" s="12" t="str">
        <f t="array" ref="W487">if(and(L487=0,Q487="NA"),"NA",if(L487=0,"no lice",if(Q487="NA","no collection",index(sea_lice!G:G,match(C487,sea_lice!A:A,0)))))</f>
        <v>no lice</v>
      </c>
      <c r="X487" s="23">
        <v>486.0</v>
      </c>
    </row>
    <row r="488">
      <c r="B488" s="6">
        <v>16297.0</v>
      </c>
      <c r="C488" s="12" t="str">
        <f t="shared" si="1"/>
        <v>U16297</v>
      </c>
      <c r="D488" s="14" t="str">
        <f t="array" ref="D488">iferror(index('2018_ufns'!E:E,match(C488,'2018_ufns'!B:B,0)))</f>
        <v>P1030</v>
      </c>
      <c r="E488" s="14">
        <v>43399.0</v>
      </c>
      <c r="F488" s="40" t="s">
        <v>53</v>
      </c>
      <c r="G488" s="40" t="s">
        <v>54</v>
      </c>
      <c r="H488" s="9">
        <v>14.9</v>
      </c>
      <c r="I488" s="13">
        <v>107.0</v>
      </c>
      <c r="J488" s="13">
        <v>112.0</v>
      </c>
      <c r="K488" s="17">
        <f t="shared" si="5"/>
        <v>1.060552569</v>
      </c>
      <c r="L488" s="9">
        <v>0.0</v>
      </c>
      <c r="O488" s="9" t="s">
        <v>221</v>
      </c>
      <c r="P488" s="40" t="s">
        <v>1729</v>
      </c>
      <c r="Q488" s="9" t="s">
        <v>150</v>
      </c>
      <c r="R488" s="40" t="s">
        <v>63</v>
      </c>
      <c r="S488" s="9" t="s">
        <v>638</v>
      </c>
      <c r="T488" t="str">
        <f t="shared" si="9"/>
        <v>N</v>
      </c>
      <c r="W488" s="12" t="str">
        <f t="array" ref="W488">if(and(L488=0,Q488="NA"),"NA",if(L488=0,"no lice",if(Q488="NA","no collection",index(sea_lice!G:G,match(C488,sea_lice!A:A,0)))))</f>
        <v>no lice</v>
      </c>
      <c r="X488" s="23">
        <v>487.0</v>
      </c>
    </row>
    <row r="489">
      <c r="B489" s="6">
        <v>16298.0</v>
      </c>
      <c r="C489" s="12" t="str">
        <f t="shared" si="1"/>
        <v>U16298</v>
      </c>
      <c r="D489" s="14" t="str">
        <f t="array" ref="D489">iferror(index('2018_ufns'!E:E,match(C489,'2018_ufns'!B:B,0)))</f>
        <v>P1030</v>
      </c>
      <c r="E489" s="14">
        <v>43399.0</v>
      </c>
      <c r="F489" s="40" t="s">
        <v>53</v>
      </c>
      <c r="G489" s="40" t="s">
        <v>54</v>
      </c>
      <c r="H489" s="9">
        <v>6.5</v>
      </c>
      <c r="I489" s="13">
        <v>84.0</v>
      </c>
      <c r="J489" s="13">
        <v>89.0</v>
      </c>
      <c r="K489" s="17">
        <f t="shared" si="5"/>
        <v>0.9220263586</v>
      </c>
      <c r="L489" s="9">
        <v>1.0</v>
      </c>
      <c r="O489" s="9" t="s">
        <v>221</v>
      </c>
      <c r="P489" s="40" t="s">
        <v>1729</v>
      </c>
      <c r="Q489" s="9" t="s">
        <v>150</v>
      </c>
      <c r="R489" s="40" t="s">
        <v>63</v>
      </c>
      <c r="S489" s="9" t="s">
        <v>638</v>
      </c>
      <c r="T489" t="str">
        <f t="shared" si="9"/>
        <v>N</v>
      </c>
      <c r="W489" s="12" t="str">
        <f t="array" ref="W489">if(and(L489=0,Q489="NA"),"NA",if(L489=0,"no lice",if(Q489="NA","no collection",index(sea_lice!G:G,match(C489,sea_lice!A:A,0)))))</f>
        <v>BSL6-39</v>
      </c>
      <c r="X489" s="23">
        <v>488.0</v>
      </c>
    </row>
    <row r="490">
      <c r="B490" s="6">
        <v>16511.0</v>
      </c>
      <c r="C490" s="12" t="str">
        <f t="shared" si="1"/>
        <v>U16511</v>
      </c>
      <c r="D490" s="14" t="str">
        <f t="array" ref="D490">iferror(index('2018_ufns'!E:E,match(C490,'2018_ufns'!B:B,0)))</f>
        <v>P1052</v>
      </c>
      <c r="E490" s="14">
        <v>43399.0</v>
      </c>
      <c r="F490" s="40" t="s">
        <v>53</v>
      </c>
      <c r="G490" s="40" t="s">
        <v>54</v>
      </c>
      <c r="H490" s="9">
        <v>18.8</v>
      </c>
      <c r="I490" s="13">
        <v>117.0</v>
      </c>
      <c r="J490" s="13">
        <v>122.0</v>
      </c>
      <c r="K490" s="17">
        <f t="shared" si="5"/>
        <v>1.035328948</v>
      </c>
      <c r="L490" s="9">
        <v>0.0</v>
      </c>
      <c r="O490" s="9" t="s">
        <v>221</v>
      </c>
      <c r="P490" s="40" t="s">
        <v>1729</v>
      </c>
      <c r="Q490" s="9" t="s">
        <v>150</v>
      </c>
      <c r="R490" s="40" t="s">
        <v>63</v>
      </c>
      <c r="S490" s="9" t="s">
        <v>638</v>
      </c>
      <c r="T490" t="str">
        <f t="shared" si="9"/>
        <v>N</v>
      </c>
      <c r="W490" s="12" t="str">
        <f t="array" ref="W490">if(and(L490=0,Q490="NA"),"NA",if(L490=0,"no lice",if(Q490="NA","no collection",index(sea_lice!G:G,match(C490,sea_lice!A:A,0)))))</f>
        <v>no lice</v>
      </c>
      <c r="X490" s="23">
        <v>489.0</v>
      </c>
    </row>
    <row r="491">
      <c r="B491" s="6">
        <v>16512.0</v>
      </c>
      <c r="C491" s="12" t="str">
        <f t="shared" si="1"/>
        <v>U16512</v>
      </c>
      <c r="D491" s="14" t="str">
        <f t="array" ref="D491">iferror(index('2018_ufns'!E:E,match(C491,'2018_ufns'!B:B,0)))</f>
        <v>P1052</v>
      </c>
      <c r="E491" s="14">
        <v>43399.0</v>
      </c>
      <c r="F491" s="40" t="s">
        <v>53</v>
      </c>
      <c r="G491" s="40" t="s">
        <v>54</v>
      </c>
      <c r="H491" s="9">
        <v>10.5</v>
      </c>
      <c r="I491" s="13">
        <v>97.0</v>
      </c>
      <c r="J491" s="13">
        <v>101.0</v>
      </c>
      <c r="K491" s="17">
        <f t="shared" si="5"/>
        <v>1.019119655</v>
      </c>
      <c r="L491" s="9">
        <v>0.0</v>
      </c>
      <c r="O491" s="9" t="s">
        <v>221</v>
      </c>
      <c r="P491" s="40" t="s">
        <v>1729</v>
      </c>
      <c r="Q491" s="9" t="s">
        <v>150</v>
      </c>
      <c r="R491" s="40" t="s">
        <v>63</v>
      </c>
      <c r="S491" s="9" t="s">
        <v>638</v>
      </c>
      <c r="T491" t="str">
        <f t="shared" si="9"/>
        <v>N</v>
      </c>
      <c r="W491" s="12" t="str">
        <f t="array" ref="W491">if(and(L491=0,Q491="NA"),"NA",if(L491=0,"no lice",if(Q491="NA","no collection",index(sea_lice!G:G,match(C491,sea_lice!A:A,0)))))</f>
        <v>no lice</v>
      </c>
      <c r="X491" s="23">
        <v>490.0</v>
      </c>
    </row>
    <row r="492">
      <c r="B492" s="6">
        <v>17231.0</v>
      </c>
      <c r="C492" s="12" t="str">
        <f t="shared" si="1"/>
        <v>U17231</v>
      </c>
      <c r="D492" s="14" t="str">
        <f t="array" ref="D492">iferror(index('2018_ufns'!E:E,match(C492,'2018_ufns'!B:B,0)))</f>
        <v>P1124</v>
      </c>
      <c r="E492" s="14">
        <v>43399.0</v>
      </c>
      <c r="F492" s="40" t="s">
        <v>53</v>
      </c>
      <c r="G492" s="40" t="s">
        <v>54</v>
      </c>
      <c r="H492" s="9">
        <v>15.7</v>
      </c>
      <c r="I492" s="13">
        <v>113.0</v>
      </c>
      <c r="J492" s="13" t="s">
        <v>63</v>
      </c>
      <c r="K492" s="17" t="str">
        <f t="shared" si="5"/>
        <v/>
      </c>
      <c r="L492" s="9">
        <v>0.0</v>
      </c>
      <c r="O492" s="9" t="s">
        <v>638</v>
      </c>
      <c r="P492" s="40" t="s">
        <v>1729</v>
      </c>
      <c r="Q492" s="9" t="s">
        <v>150</v>
      </c>
      <c r="R492" s="40" t="s">
        <v>63</v>
      </c>
      <c r="S492" s="9" t="s">
        <v>638</v>
      </c>
      <c r="T492" t="str">
        <f t="shared" si="9"/>
        <v>N</v>
      </c>
      <c r="W492" s="12" t="str">
        <f t="array" ref="W492">if(and(L492=0,Q492="NA"),"NA",if(L492=0,"no lice",if(Q492="NA","no collection",index(sea_lice!G:G,match(C492,sea_lice!A:A,0)))))</f>
        <v>no lice</v>
      </c>
      <c r="X492" s="23">
        <v>491.0</v>
      </c>
    </row>
    <row r="493">
      <c r="B493" s="6">
        <v>17235.0</v>
      </c>
      <c r="C493" s="12" t="str">
        <f t="shared" si="1"/>
        <v>U17235</v>
      </c>
      <c r="D493" s="14" t="str">
        <f t="array" ref="D493">iferror(index('2018_ufns'!E:E,match(C493,'2018_ufns'!B:B,0)))</f>
        <v>P1124</v>
      </c>
      <c r="E493" s="14">
        <v>43399.0</v>
      </c>
      <c r="F493" s="40" t="s">
        <v>53</v>
      </c>
      <c r="G493" s="40" t="s">
        <v>54</v>
      </c>
      <c r="H493" s="9">
        <v>21.2</v>
      </c>
      <c r="I493" s="13">
        <v>123.0</v>
      </c>
      <c r="J493" s="13">
        <v>129.0</v>
      </c>
      <c r="K493" s="17">
        <f t="shared" si="5"/>
        <v>0.9875673654</v>
      </c>
      <c r="L493" s="9">
        <v>0.0</v>
      </c>
      <c r="O493" s="9" t="s">
        <v>638</v>
      </c>
      <c r="P493" s="40" t="s">
        <v>1729</v>
      </c>
      <c r="Q493" s="9" t="s">
        <v>150</v>
      </c>
      <c r="R493" s="40" t="s">
        <v>63</v>
      </c>
      <c r="S493" s="9" t="s">
        <v>638</v>
      </c>
      <c r="T493" t="str">
        <f t="shared" si="9"/>
        <v>N</v>
      </c>
      <c r="W493" s="12" t="str">
        <f t="array" ref="W493">if(and(L493=0,Q493="NA"),"NA",if(L493=0,"no lice",if(Q493="NA","no collection",index(sea_lice!G:G,match(C493,sea_lice!A:A,0)))))</f>
        <v>no lice</v>
      </c>
      <c r="X493" s="23">
        <v>492.0</v>
      </c>
    </row>
    <row r="494">
      <c r="B494" s="6">
        <v>17237.0</v>
      </c>
      <c r="C494" s="12" t="str">
        <f t="shared" si="1"/>
        <v>U17237</v>
      </c>
      <c r="D494" s="14" t="str">
        <f t="array" ref="D494">iferror(index('2018_ufns'!E:E,match(C494,'2018_ufns'!B:B,0)))</f>
        <v>P1124</v>
      </c>
      <c r="E494" s="14">
        <v>43399.0</v>
      </c>
      <c r="F494" s="40" t="s">
        <v>53</v>
      </c>
      <c r="G494" s="40" t="s">
        <v>54</v>
      </c>
      <c r="H494" s="9">
        <v>13.8</v>
      </c>
      <c r="I494" s="13">
        <v>109.0</v>
      </c>
      <c r="J494" s="13">
        <v>114.0</v>
      </c>
      <c r="K494" s="17">
        <f t="shared" si="5"/>
        <v>0.9314606924</v>
      </c>
      <c r="L494" s="9">
        <v>0.0</v>
      </c>
      <c r="O494" s="9" t="s">
        <v>638</v>
      </c>
      <c r="P494" s="40" t="s">
        <v>1729</v>
      </c>
      <c r="Q494" s="9" t="s">
        <v>150</v>
      </c>
      <c r="R494" s="40" t="s">
        <v>63</v>
      </c>
      <c r="S494" s="9" t="s">
        <v>638</v>
      </c>
      <c r="T494" t="str">
        <f t="shared" si="9"/>
        <v>N</v>
      </c>
      <c r="W494" s="12" t="str">
        <f t="array" ref="W494">if(and(L494=0,Q494="NA"),"NA",if(L494=0,"no lice",if(Q494="NA","no collection",index(sea_lice!G:G,match(C494,sea_lice!A:A,0)))))</f>
        <v>no lice</v>
      </c>
      <c r="X494" s="23">
        <v>493.0</v>
      </c>
    </row>
    <row r="495">
      <c r="B495" s="6">
        <v>17238.0</v>
      </c>
      <c r="C495" s="12" t="str">
        <f t="shared" si="1"/>
        <v>U17238</v>
      </c>
      <c r="D495" s="14" t="str">
        <f t="array" ref="D495">iferror(index('2018_ufns'!E:E,match(C495,'2018_ufns'!B:B,0)))</f>
        <v>P1124</v>
      </c>
      <c r="E495" s="14">
        <v>43399.0</v>
      </c>
      <c r="F495" s="40" t="s">
        <v>53</v>
      </c>
      <c r="G495" s="40" t="s">
        <v>54</v>
      </c>
      <c r="H495" s="9">
        <v>14.9</v>
      </c>
      <c r="I495" s="13">
        <v>109.0</v>
      </c>
      <c r="J495" s="13">
        <v>115.0</v>
      </c>
      <c r="K495" s="17">
        <f t="shared" si="5"/>
        <v>0.9796991863</v>
      </c>
      <c r="L495" s="9">
        <v>0.0</v>
      </c>
      <c r="O495" s="9" t="s">
        <v>638</v>
      </c>
      <c r="P495" s="40" t="s">
        <v>1729</v>
      </c>
      <c r="Q495" s="9" t="s">
        <v>150</v>
      </c>
      <c r="R495" s="40" t="s">
        <v>63</v>
      </c>
      <c r="S495" s="9" t="s">
        <v>638</v>
      </c>
      <c r="T495" t="str">
        <f t="shared" si="9"/>
        <v>N</v>
      </c>
      <c r="W495" s="12" t="str">
        <f t="array" ref="W495">if(and(L495=0,Q495="NA"),"NA",if(L495=0,"no lice",if(Q495="NA","no collection",index(sea_lice!G:G,match(C495,sea_lice!A:A,0)))))</f>
        <v>no lice</v>
      </c>
      <c r="X495" s="23">
        <v>494.0</v>
      </c>
    </row>
    <row r="496">
      <c r="B496" s="6">
        <v>17234.0</v>
      </c>
      <c r="C496" s="12" t="str">
        <f t="shared" si="1"/>
        <v>U17234</v>
      </c>
      <c r="D496" s="14" t="str">
        <f t="array" ref="D496">iferror(index('2018_ufns'!E:E,match(C496,'2018_ufns'!B:B,0)))</f>
        <v>P1124</v>
      </c>
      <c r="E496" s="14">
        <v>43399.0</v>
      </c>
      <c r="F496" s="40" t="s">
        <v>53</v>
      </c>
      <c r="G496" s="40" t="s">
        <v>54</v>
      </c>
      <c r="H496" s="9">
        <v>19.9</v>
      </c>
      <c r="I496" s="13">
        <v>121.0</v>
      </c>
      <c r="J496" s="13">
        <v>127.0</v>
      </c>
      <c r="K496" s="17">
        <f t="shared" si="5"/>
        <v>0.971498006</v>
      </c>
      <c r="L496" s="9">
        <v>0.0</v>
      </c>
      <c r="O496" s="9" t="s">
        <v>638</v>
      </c>
      <c r="P496" s="40" t="s">
        <v>1729</v>
      </c>
      <c r="Q496" s="9" t="s">
        <v>150</v>
      </c>
      <c r="R496" s="40" t="s">
        <v>63</v>
      </c>
      <c r="S496" s="9" t="s">
        <v>638</v>
      </c>
      <c r="T496" t="str">
        <f t="shared" si="9"/>
        <v>N</v>
      </c>
      <c r="W496" s="12" t="str">
        <f t="array" ref="W496">if(and(L496=0,Q496="NA"),"NA",if(L496=0,"no lice",if(Q496="NA","no collection",index(sea_lice!G:G,match(C496,sea_lice!A:A,0)))))</f>
        <v>no lice</v>
      </c>
      <c r="X496" s="23">
        <v>495.0</v>
      </c>
    </row>
    <row r="497">
      <c r="B497" s="6">
        <v>17232.0</v>
      </c>
      <c r="C497" s="12" t="str">
        <f t="shared" si="1"/>
        <v>U17232</v>
      </c>
      <c r="D497" s="14" t="str">
        <f t="array" ref="D497">iferror(index('2018_ufns'!E:E,match(C497,'2018_ufns'!B:B,0)))</f>
        <v>P1124</v>
      </c>
      <c r="E497" s="14">
        <v>43399.0</v>
      </c>
      <c r="F497" s="40" t="s">
        <v>53</v>
      </c>
      <c r="G497" s="40" t="s">
        <v>54</v>
      </c>
      <c r="H497" s="9">
        <v>31.6</v>
      </c>
      <c r="I497" s="13">
        <v>142.0</v>
      </c>
      <c r="J497" s="13">
        <v>146.0</v>
      </c>
      <c r="K497" s="17">
        <f t="shared" si="5"/>
        <v>1.015379791</v>
      </c>
      <c r="L497" s="9">
        <v>0.0</v>
      </c>
      <c r="O497" s="9" t="s">
        <v>638</v>
      </c>
      <c r="P497" s="40" t="s">
        <v>1729</v>
      </c>
      <c r="Q497" s="9" t="s">
        <v>150</v>
      </c>
      <c r="R497" s="40" t="s">
        <v>63</v>
      </c>
      <c r="S497" s="9" t="s">
        <v>638</v>
      </c>
      <c r="T497" t="str">
        <f t="shared" si="9"/>
        <v>N</v>
      </c>
      <c r="W497" s="12" t="str">
        <f t="array" ref="W497">if(and(L497=0,Q497="NA"),"NA",if(L497=0,"no lice",if(Q497="NA","no collection",index(sea_lice!G:G,match(C497,sea_lice!A:A,0)))))</f>
        <v>no lice</v>
      </c>
      <c r="X497" s="23">
        <v>496.0</v>
      </c>
    </row>
    <row r="498">
      <c r="B498" s="6">
        <v>17240.0</v>
      </c>
      <c r="C498" s="12" t="str">
        <f t="shared" si="1"/>
        <v>U17240</v>
      </c>
      <c r="D498" s="14" t="str">
        <f t="array" ref="D498">iferror(index('2018_ufns'!E:E,match(C498,'2018_ufns'!B:B,0)))</f>
        <v>P1124</v>
      </c>
      <c r="E498" s="14">
        <v>43399.0</v>
      </c>
      <c r="F498" s="40" t="s">
        <v>53</v>
      </c>
      <c r="G498" s="40" t="s">
        <v>54</v>
      </c>
      <c r="H498" s="9">
        <v>18.1</v>
      </c>
      <c r="I498" s="13">
        <v>118.0</v>
      </c>
      <c r="J498" s="13">
        <v>124.0</v>
      </c>
      <c r="K498" s="17">
        <f t="shared" si="5"/>
        <v>0.9493219429</v>
      </c>
      <c r="L498" s="9">
        <v>1.0</v>
      </c>
      <c r="O498" s="9" t="s">
        <v>638</v>
      </c>
      <c r="P498" s="40" t="s">
        <v>1729</v>
      </c>
      <c r="Q498" s="9" t="s">
        <v>150</v>
      </c>
      <c r="R498" s="40" t="s">
        <v>63</v>
      </c>
      <c r="S498" s="9" t="s">
        <v>638</v>
      </c>
      <c r="T498" t="str">
        <f t="shared" si="9"/>
        <v>N</v>
      </c>
      <c r="W498" s="12" t="str">
        <f t="array" ref="W498">if(and(L498=0,Q498="NA"),"NA",if(L498=0,"no lice",if(Q498="NA","no collection",index(sea_lice!G:G,match(C498,sea_lice!A:A,0)))))</f>
        <v>BSL6-38</v>
      </c>
      <c r="X498" s="23">
        <v>497.0</v>
      </c>
    </row>
    <row r="499">
      <c r="B499" s="6">
        <v>17239.0</v>
      </c>
      <c r="C499" s="12" t="str">
        <f t="shared" si="1"/>
        <v>U17239</v>
      </c>
      <c r="D499" s="14" t="str">
        <f t="array" ref="D499">iferror(index('2018_ufns'!E:E,match(C499,'2018_ufns'!B:B,0)))</f>
        <v>P1124</v>
      </c>
      <c r="E499" s="14">
        <v>43399.0</v>
      </c>
      <c r="F499" s="40" t="s">
        <v>53</v>
      </c>
      <c r="G499" s="40" t="s">
        <v>54</v>
      </c>
      <c r="H499" s="9">
        <v>14.3</v>
      </c>
      <c r="I499" s="13">
        <v>106.0</v>
      </c>
      <c r="J499" s="13">
        <v>112.0</v>
      </c>
      <c r="K499" s="17">
        <f t="shared" si="5"/>
        <v>1.017845754</v>
      </c>
      <c r="L499" s="9">
        <v>0.0</v>
      </c>
      <c r="O499" s="9" t="s">
        <v>638</v>
      </c>
      <c r="P499" s="40" t="s">
        <v>1729</v>
      </c>
      <c r="Q499" s="9" t="s">
        <v>150</v>
      </c>
      <c r="R499" s="40" t="s">
        <v>63</v>
      </c>
      <c r="S499" s="9" t="s">
        <v>638</v>
      </c>
      <c r="T499" t="str">
        <f t="shared" si="9"/>
        <v>N</v>
      </c>
      <c r="W499" s="12" t="str">
        <f t="array" ref="W499">if(and(L499=0,Q499="NA"),"NA",if(L499=0,"no lice",if(Q499="NA","no collection",index(sea_lice!G:G,match(C499,sea_lice!A:A,0)))))</f>
        <v>no lice</v>
      </c>
      <c r="X499" s="23">
        <v>498.0</v>
      </c>
    </row>
    <row r="500">
      <c r="B500" s="6">
        <v>17236.0</v>
      </c>
      <c r="C500" s="12" t="str">
        <f t="shared" si="1"/>
        <v>U17236</v>
      </c>
      <c r="D500" s="14" t="str">
        <f t="array" ref="D500">iferror(index('2018_ufns'!E:E,match(C500,'2018_ufns'!B:B,0)))</f>
        <v>P1124</v>
      </c>
      <c r="E500" s="14">
        <v>43399.0</v>
      </c>
      <c r="F500" s="40" t="s">
        <v>53</v>
      </c>
      <c r="G500" s="40" t="s">
        <v>54</v>
      </c>
      <c r="H500" s="9">
        <v>19.7</v>
      </c>
      <c r="I500" s="13">
        <v>123.0</v>
      </c>
      <c r="J500" s="13">
        <v>128.0</v>
      </c>
      <c r="K500" s="17">
        <f t="shared" si="5"/>
        <v>0.9393692017</v>
      </c>
      <c r="L500" s="9">
        <v>0.0</v>
      </c>
      <c r="O500" s="9" t="s">
        <v>638</v>
      </c>
      <c r="P500" s="40" t="s">
        <v>1729</v>
      </c>
      <c r="Q500" s="9" t="s">
        <v>150</v>
      </c>
      <c r="R500" s="40" t="s">
        <v>63</v>
      </c>
      <c r="S500" s="9" t="s">
        <v>638</v>
      </c>
      <c r="T500" t="str">
        <f t="shared" si="9"/>
        <v>N</v>
      </c>
      <c r="W500" s="12" t="str">
        <f t="array" ref="W500">if(and(L500=0,Q500="NA"),"NA",if(L500=0,"no lice",if(Q500="NA","no collection",index(sea_lice!G:G,match(C500,sea_lice!A:A,0)))))</f>
        <v>no lice</v>
      </c>
      <c r="X500" s="23">
        <v>499.0</v>
      </c>
    </row>
    <row r="501">
      <c r="B501" s="6">
        <v>17092.0</v>
      </c>
      <c r="C501" s="12" t="str">
        <f t="shared" si="1"/>
        <v>U17092</v>
      </c>
      <c r="D501" s="14" t="str">
        <f t="array" ref="D501">iferror(index('2018_ufns'!E:E,match(C501,'2018_ufns'!B:B,0)))</f>
        <v>P1110</v>
      </c>
      <c r="E501" s="14">
        <v>43399.0</v>
      </c>
      <c r="F501" s="40" t="s">
        <v>53</v>
      </c>
      <c r="G501" s="40" t="s">
        <v>54</v>
      </c>
      <c r="H501" s="9">
        <v>27.7</v>
      </c>
      <c r="I501" s="13">
        <v>133.0</v>
      </c>
      <c r="J501" s="13">
        <v>139.0</v>
      </c>
      <c r="K501" s="17">
        <f t="shared" si="5"/>
        <v>1.031419572</v>
      </c>
      <c r="L501" s="9">
        <v>1.0</v>
      </c>
      <c r="O501" s="9" t="s">
        <v>638</v>
      </c>
      <c r="P501" s="40" t="s">
        <v>1729</v>
      </c>
      <c r="Q501" s="33" t="s">
        <v>62</v>
      </c>
      <c r="R501" s="40" t="s">
        <v>63</v>
      </c>
      <c r="S501" s="9" t="s">
        <v>638</v>
      </c>
      <c r="T501" t="str">
        <f t="shared" si="9"/>
        <v>N</v>
      </c>
      <c r="W501" s="12" t="str">
        <f t="array" ref="W501">if(and(L501=0,Q501="NA"),"NA",if(L501=0,"no lice",if(Q501="NA","no collection",index(sea_lice!G:G,match(C501,sea_lice!A:A,0)))))</f>
        <v>BSL2-47</v>
      </c>
      <c r="X501" s="23">
        <v>500.0</v>
      </c>
    </row>
    <row r="502">
      <c r="B502" s="6">
        <v>17099.0</v>
      </c>
      <c r="C502" s="12" t="str">
        <f t="shared" si="1"/>
        <v>U17099</v>
      </c>
      <c r="D502" s="14" t="str">
        <f t="array" ref="D502">iferror(index('2018_ufns'!E:E,match(C502,'2018_ufns'!B:B,0)))</f>
        <v>P1110</v>
      </c>
      <c r="E502" s="14">
        <v>43399.0</v>
      </c>
      <c r="F502" s="40" t="s">
        <v>53</v>
      </c>
      <c r="G502" s="40" t="s">
        <v>54</v>
      </c>
      <c r="H502" s="9">
        <v>14.8</v>
      </c>
      <c r="I502" s="13">
        <v>111.0</v>
      </c>
      <c r="J502" s="13">
        <v>107.0</v>
      </c>
      <c r="K502" s="17">
        <f t="shared" si="5"/>
        <v>1.208120858</v>
      </c>
      <c r="L502" s="9">
        <v>0.0</v>
      </c>
      <c r="O502" s="9" t="s">
        <v>638</v>
      </c>
      <c r="P502" s="40" t="s">
        <v>1729</v>
      </c>
      <c r="Q502" s="33" t="s">
        <v>62</v>
      </c>
      <c r="R502" s="40" t="s">
        <v>63</v>
      </c>
      <c r="S502" s="9" t="s">
        <v>638</v>
      </c>
      <c r="T502" t="str">
        <f t="shared" si="9"/>
        <v>N</v>
      </c>
      <c r="W502" s="12" t="str">
        <f t="array" ref="W502">if(and(L502=0,Q502="NA"),"NA",if(L502=0,"no lice",if(Q502="NA","no collection",index(sea_lice!G:G,match(C502,sea_lice!A:A,0)))))</f>
        <v>no lice</v>
      </c>
      <c r="X502" s="23">
        <v>501.0</v>
      </c>
    </row>
    <row r="503">
      <c r="B503" s="6">
        <v>17100.0</v>
      </c>
      <c r="C503" s="12" t="str">
        <f t="shared" si="1"/>
        <v>U17100</v>
      </c>
      <c r="D503" s="14" t="str">
        <f t="array" ref="D503">iferror(index('2018_ufns'!E:E,match(C503,'2018_ufns'!B:B,0)))</f>
        <v>P1110</v>
      </c>
      <c r="E503" s="14">
        <v>43399.0</v>
      </c>
      <c r="F503" s="40" t="s">
        <v>53</v>
      </c>
      <c r="G503" s="40" t="s">
        <v>54</v>
      </c>
      <c r="H503" s="9">
        <v>14.8</v>
      </c>
      <c r="I503" s="13">
        <v>111.0</v>
      </c>
      <c r="J503" s="13">
        <v>117.0</v>
      </c>
      <c r="K503" s="17">
        <f t="shared" si="5"/>
        <v>0.9240684235</v>
      </c>
      <c r="L503" s="9">
        <v>0.0</v>
      </c>
      <c r="O503" s="9" t="s">
        <v>638</v>
      </c>
      <c r="P503" s="40" t="s">
        <v>1729</v>
      </c>
      <c r="Q503" s="33" t="s">
        <v>62</v>
      </c>
      <c r="R503" s="40" t="s">
        <v>63</v>
      </c>
      <c r="S503" s="9" t="s">
        <v>638</v>
      </c>
      <c r="T503" t="str">
        <f t="shared" si="9"/>
        <v>N</v>
      </c>
      <c r="W503" s="12" t="str">
        <f t="array" ref="W503">if(and(L503=0,Q503="NA"),"NA",if(L503=0,"no lice",if(Q503="NA","no collection",index(sea_lice!G:G,match(C503,sea_lice!A:A,0)))))</f>
        <v>no lice</v>
      </c>
      <c r="X503" s="23">
        <v>502.0</v>
      </c>
    </row>
    <row r="504">
      <c r="B504" s="6">
        <v>17097.0</v>
      </c>
      <c r="C504" s="12" t="str">
        <f t="shared" si="1"/>
        <v>U17097</v>
      </c>
      <c r="D504" s="14" t="str">
        <f t="array" ref="D504">iferror(index('2018_ufns'!E:E,match(C504,'2018_ufns'!B:B,0)))</f>
        <v>P1110</v>
      </c>
      <c r="E504" s="14">
        <v>43399.0</v>
      </c>
      <c r="F504" s="40" t="s">
        <v>53</v>
      </c>
      <c r="G504" s="40" t="s">
        <v>54</v>
      </c>
      <c r="H504" s="9">
        <v>9.7</v>
      </c>
      <c r="I504" s="13">
        <v>95.0</v>
      </c>
      <c r="J504" s="13">
        <v>101.0</v>
      </c>
      <c r="K504" s="17">
        <f t="shared" si="5"/>
        <v>0.9414724435</v>
      </c>
      <c r="L504" s="9">
        <v>0.0</v>
      </c>
      <c r="O504" s="9" t="s">
        <v>638</v>
      </c>
      <c r="P504" s="40" t="s">
        <v>1729</v>
      </c>
      <c r="Q504" s="33" t="s">
        <v>62</v>
      </c>
      <c r="R504" s="40" t="s">
        <v>63</v>
      </c>
      <c r="S504" s="9" t="s">
        <v>638</v>
      </c>
      <c r="T504" t="str">
        <f t="shared" si="9"/>
        <v>N</v>
      </c>
      <c r="W504" s="12" t="str">
        <f t="array" ref="W504">if(and(L504=0,Q504="NA"),"NA",if(L504=0,"no lice",if(Q504="NA","no collection",index(sea_lice!G:G,match(C504,sea_lice!A:A,0)))))</f>
        <v>no lice</v>
      </c>
      <c r="X504" s="23">
        <v>503.0</v>
      </c>
    </row>
    <row r="505">
      <c r="B505" s="6">
        <v>17098.0</v>
      </c>
      <c r="C505" s="12" t="str">
        <f t="shared" si="1"/>
        <v>U17098</v>
      </c>
      <c r="D505" s="14" t="str">
        <f t="array" ref="D505">iferror(index('2018_ufns'!E:E,match(C505,'2018_ufns'!B:B,0)))</f>
        <v>P1110</v>
      </c>
      <c r="E505" s="14">
        <v>43399.0</v>
      </c>
      <c r="F505" s="40" t="s">
        <v>53</v>
      </c>
      <c r="G505" s="40" t="s">
        <v>54</v>
      </c>
      <c r="H505" s="9">
        <v>15.4</v>
      </c>
      <c r="I505" s="13">
        <v>107.0</v>
      </c>
      <c r="J505" s="13">
        <v>112.0</v>
      </c>
      <c r="K505" s="17">
        <f t="shared" si="5"/>
        <v>1.096141582</v>
      </c>
      <c r="L505" s="9">
        <v>0.0</v>
      </c>
      <c r="O505" s="9" t="s">
        <v>638</v>
      </c>
      <c r="P505" s="40" t="s">
        <v>1729</v>
      </c>
      <c r="Q505" s="33" t="s">
        <v>62</v>
      </c>
      <c r="R505" s="40" t="s">
        <v>63</v>
      </c>
      <c r="S505" s="9" t="s">
        <v>638</v>
      </c>
      <c r="T505" t="str">
        <f t="shared" si="9"/>
        <v>N</v>
      </c>
      <c r="W505" s="12" t="str">
        <f t="array" ref="W505">if(and(L505=0,Q505="NA"),"NA",if(L505=0,"no lice",if(Q505="NA","no collection",index(sea_lice!G:G,match(C505,sea_lice!A:A,0)))))</f>
        <v>no lice</v>
      </c>
      <c r="X505" s="23">
        <v>504.0</v>
      </c>
    </row>
    <row r="506">
      <c r="B506" s="6">
        <v>17091.0</v>
      </c>
      <c r="C506" s="12" t="str">
        <f t="shared" si="1"/>
        <v>U17091</v>
      </c>
      <c r="D506" s="14" t="str">
        <f t="array" ref="D506">iferror(index('2018_ufns'!E:E,match(C506,'2018_ufns'!B:B,0)))</f>
        <v>P1110</v>
      </c>
      <c r="E506" s="14">
        <v>43399.0</v>
      </c>
      <c r="F506" s="40" t="s">
        <v>53</v>
      </c>
      <c r="G506" s="40" t="s">
        <v>54</v>
      </c>
      <c r="H506" s="9">
        <v>11.3</v>
      </c>
      <c r="I506" s="13">
        <v>100.0</v>
      </c>
      <c r="J506" s="13">
        <v>105.0</v>
      </c>
      <c r="K506" s="17">
        <f t="shared" si="5"/>
        <v>0.9761364863</v>
      </c>
      <c r="L506" s="9">
        <v>0.0</v>
      </c>
      <c r="O506" s="9" t="s">
        <v>638</v>
      </c>
      <c r="P506" s="40" t="s">
        <v>1729</v>
      </c>
      <c r="Q506" s="33" t="s">
        <v>62</v>
      </c>
      <c r="R506" s="40" t="s">
        <v>63</v>
      </c>
      <c r="S506" s="9" t="s">
        <v>638</v>
      </c>
      <c r="T506" t="str">
        <f t="shared" si="9"/>
        <v>N</v>
      </c>
      <c r="W506" s="12" t="str">
        <f t="array" ref="W506">if(and(L506=0,Q506="NA"),"NA",if(L506=0,"no lice",if(Q506="NA","no collection",index(sea_lice!G:G,match(C506,sea_lice!A:A,0)))))</f>
        <v>no lice</v>
      </c>
      <c r="X506" s="23">
        <v>505.0</v>
      </c>
    </row>
    <row r="507">
      <c r="B507" s="6">
        <v>16513.0</v>
      </c>
      <c r="C507" s="12" t="str">
        <f t="shared" si="1"/>
        <v>U16513</v>
      </c>
      <c r="D507" s="14" t="str">
        <f t="array" ref="D507">iferror(index('2018_ufns'!E:E,match(C507,'2018_ufns'!B:B,0)))</f>
        <v>P1052</v>
      </c>
      <c r="E507" s="14">
        <v>43402.0</v>
      </c>
      <c r="F507" s="40" t="s">
        <v>53</v>
      </c>
      <c r="G507" s="40" t="s">
        <v>54</v>
      </c>
      <c r="H507" s="9">
        <v>8.8</v>
      </c>
      <c r="I507" s="13">
        <v>92.0</v>
      </c>
      <c r="J507" s="13" t="s">
        <v>63</v>
      </c>
      <c r="K507" s="17" t="str">
        <f t="shared" si="5"/>
        <v/>
      </c>
      <c r="L507" s="9">
        <v>0.0</v>
      </c>
      <c r="O507" s="9" t="s">
        <v>221</v>
      </c>
      <c r="P507" s="40" t="s">
        <v>1729</v>
      </c>
      <c r="Q507" s="33" t="s">
        <v>150</v>
      </c>
      <c r="R507" s="40" t="s">
        <v>63</v>
      </c>
      <c r="S507" s="9" t="s">
        <v>638</v>
      </c>
      <c r="T507" t="str">
        <f t="shared" si="9"/>
        <v>N</v>
      </c>
      <c r="W507" s="12" t="str">
        <f t="array" ref="W507">if(and(L507=0,Q507="NA"),"NA",if(L507=0,"no lice",if(Q507="NA","no collection",index(sea_lice!G:G,match(C507,sea_lice!A:A,0)))))</f>
        <v>no lice</v>
      </c>
      <c r="X507" s="23">
        <v>506.0</v>
      </c>
    </row>
    <row r="508">
      <c r="B508" s="6">
        <v>16514.0</v>
      </c>
      <c r="C508" s="12" t="str">
        <f t="shared" si="1"/>
        <v>U16514</v>
      </c>
      <c r="D508" s="14" t="str">
        <f t="array" ref="D508">iferror(index('2018_ufns'!E:E,match(C508,'2018_ufns'!B:B,0)))</f>
        <v>P1052</v>
      </c>
      <c r="E508" s="14">
        <v>43402.0</v>
      </c>
      <c r="F508" s="40" t="s">
        <v>53</v>
      </c>
      <c r="G508" s="40" t="s">
        <v>54</v>
      </c>
      <c r="H508" s="9">
        <v>11.2</v>
      </c>
      <c r="I508" s="13">
        <v>102.0</v>
      </c>
      <c r="J508" s="13" t="s">
        <v>63</v>
      </c>
      <c r="K508" s="17" t="str">
        <f t="shared" si="5"/>
        <v/>
      </c>
      <c r="L508" s="9">
        <v>0.0</v>
      </c>
      <c r="O508" s="9" t="s">
        <v>221</v>
      </c>
      <c r="P508" s="40" t="s">
        <v>1729</v>
      </c>
      <c r="Q508" s="33" t="s">
        <v>150</v>
      </c>
      <c r="R508" s="40" t="s">
        <v>63</v>
      </c>
      <c r="S508" s="9" t="s">
        <v>638</v>
      </c>
      <c r="T508" t="str">
        <f t="shared" si="9"/>
        <v>N</v>
      </c>
      <c r="W508" s="12" t="str">
        <f t="array" ref="W508">if(and(L508=0,Q508="NA"),"NA",if(L508=0,"no lice",if(Q508="NA","no collection",index(sea_lice!G:G,match(C508,sea_lice!A:A,0)))))</f>
        <v>no lice</v>
      </c>
      <c r="X508" s="23">
        <v>507.0</v>
      </c>
    </row>
    <row r="509">
      <c r="B509" s="6">
        <v>16515.0</v>
      </c>
      <c r="C509" s="12" t="str">
        <f t="shared" si="1"/>
        <v>U16515</v>
      </c>
      <c r="D509" s="14" t="str">
        <f t="array" ref="D509">iferror(index('2018_ufns'!E:E,match(C509,'2018_ufns'!B:B,0)))</f>
        <v>P1052</v>
      </c>
      <c r="E509" s="14">
        <v>43402.0</v>
      </c>
      <c r="F509" s="40" t="s">
        <v>53</v>
      </c>
      <c r="G509" s="40" t="s">
        <v>54</v>
      </c>
      <c r="H509" s="9">
        <v>10.6</v>
      </c>
      <c r="I509" s="13">
        <v>97.0</v>
      </c>
      <c r="J509" s="13" t="s">
        <v>63</v>
      </c>
      <c r="K509" s="17" t="str">
        <f t="shared" si="5"/>
        <v/>
      </c>
      <c r="L509" s="9">
        <v>0.0</v>
      </c>
      <c r="O509" s="9" t="s">
        <v>221</v>
      </c>
      <c r="P509" s="40" t="s">
        <v>1729</v>
      </c>
      <c r="Q509" s="33" t="s">
        <v>150</v>
      </c>
      <c r="R509" s="40" t="s">
        <v>63</v>
      </c>
      <c r="S509" s="9" t="s">
        <v>638</v>
      </c>
      <c r="T509" t="str">
        <f t="shared" si="9"/>
        <v>N</v>
      </c>
      <c r="W509" s="12" t="str">
        <f t="array" ref="W509">if(and(L509=0,Q509="NA"),"NA",if(L509=0,"no lice",if(Q509="NA","no collection",index(sea_lice!G:G,match(C509,sea_lice!A:A,0)))))</f>
        <v>no lice</v>
      </c>
      <c r="X509" s="23">
        <v>508.0</v>
      </c>
    </row>
    <row r="510">
      <c r="B510" s="6">
        <v>16516.0</v>
      </c>
      <c r="C510" s="12" t="str">
        <f t="shared" si="1"/>
        <v>U16516</v>
      </c>
      <c r="D510" s="14" t="str">
        <f t="array" ref="D510">iferror(index('2018_ufns'!E:E,match(C510,'2018_ufns'!B:B,0)))</f>
        <v>P1052</v>
      </c>
      <c r="E510" s="14">
        <v>43402.0</v>
      </c>
      <c r="F510" s="40" t="s">
        <v>53</v>
      </c>
      <c r="G510" s="40" t="s">
        <v>54</v>
      </c>
      <c r="H510" s="9">
        <v>7.3</v>
      </c>
      <c r="I510" s="13">
        <v>91.0</v>
      </c>
      <c r="J510" s="13">
        <v>96.0</v>
      </c>
      <c r="K510" s="17">
        <f t="shared" si="5"/>
        <v>0.82510489</v>
      </c>
      <c r="L510" s="9">
        <v>0.0</v>
      </c>
      <c r="O510" s="9" t="s">
        <v>221</v>
      </c>
      <c r="P510" s="40" t="s">
        <v>1729</v>
      </c>
      <c r="Q510" s="33" t="s">
        <v>150</v>
      </c>
      <c r="R510" s="40" t="s">
        <v>63</v>
      </c>
      <c r="S510" s="9" t="s">
        <v>638</v>
      </c>
      <c r="T510" t="str">
        <f t="shared" si="9"/>
        <v>N</v>
      </c>
      <c r="W510" s="12" t="str">
        <f t="array" ref="W510">if(and(L510=0,Q510="NA"),"NA",if(L510=0,"no lice",if(Q510="NA","no collection",index(sea_lice!G:G,match(C510,sea_lice!A:A,0)))))</f>
        <v>no lice</v>
      </c>
      <c r="X510" s="23">
        <v>509.0</v>
      </c>
    </row>
    <row r="511">
      <c r="B511" s="6">
        <v>16517.0</v>
      </c>
      <c r="C511" s="12" t="str">
        <f t="shared" si="1"/>
        <v>U16517</v>
      </c>
      <c r="D511" s="14" t="str">
        <f t="array" ref="D511">iferror(index('2018_ufns'!E:E,match(C511,'2018_ufns'!B:B,0)))</f>
        <v>P1052</v>
      </c>
      <c r="E511" s="14">
        <v>43402.0</v>
      </c>
      <c r="F511" s="40" t="s">
        <v>53</v>
      </c>
      <c r="G511" s="40" t="s">
        <v>54</v>
      </c>
      <c r="H511" s="9">
        <v>18.5</v>
      </c>
      <c r="I511" s="13">
        <v>119.0</v>
      </c>
      <c r="J511" s="13">
        <v>125.0</v>
      </c>
      <c r="K511" s="17">
        <f t="shared" si="5"/>
        <v>0.9472</v>
      </c>
      <c r="L511" s="9">
        <v>0.0</v>
      </c>
      <c r="N511" s="9" t="s">
        <v>2109</v>
      </c>
      <c r="O511" s="9" t="s">
        <v>221</v>
      </c>
      <c r="P511" s="40" t="s">
        <v>1729</v>
      </c>
      <c r="Q511" s="33" t="s">
        <v>150</v>
      </c>
      <c r="R511" s="40" t="s">
        <v>63</v>
      </c>
      <c r="S511" s="9" t="s">
        <v>638</v>
      </c>
      <c r="T511" t="str">
        <f t="shared" si="9"/>
        <v>N</v>
      </c>
      <c r="W511" s="12" t="str">
        <f t="array" ref="W511">if(and(L511=0,Q511="NA"),"NA",if(L511=0,"no lice",if(Q511="NA","no collection",index(sea_lice!G:G,match(C511,sea_lice!A:A,0)))))</f>
        <v>no lice</v>
      </c>
      <c r="X511" s="23">
        <v>510.0</v>
      </c>
    </row>
    <row r="512">
      <c r="B512" s="6">
        <v>16518.0</v>
      </c>
      <c r="C512" s="12" t="str">
        <f t="shared" si="1"/>
        <v>U16518</v>
      </c>
      <c r="D512" s="14" t="str">
        <f t="array" ref="D512">iferror(index('2018_ufns'!E:E,match(C512,'2018_ufns'!B:B,0)))</f>
        <v>P1052</v>
      </c>
      <c r="E512" s="14">
        <v>43402.0</v>
      </c>
      <c r="F512" s="40" t="s">
        <v>53</v>
      </c>
      <c r="G512" s="40" t="s">
        <v>54</v>
      </c>
      <c r="H512" s="9">
        <v>8.0</v>
      </c>
      <c r="I512" s="13">
        <v>89.0</v>
      </c>
      <c r="J512" s="13">
        <v>94.0</v>
      </c>
      <c r="K512" s="17">
        <f t="shared" si="5"/>
        <v>0.9631777159</v>
      </c>
      <c r="L512" s="9">
        <v>0.0</v>
      </c>
      <c r="O512" s="9" t="s">
        <v>221</v>
      </c>
      <c r="P512" s="40" t="s">
        <v>1729</v>
      </c>
      <c r="Q512" s="33" t="s">
        <v>150</v>
      </c>
      <c r="R512" s="40" t="s">
        <v>63</v>
      </c>
      <c r="S512" s="9" t="s">
        <v>638</v>
      </c>
      <c r="T512" t="str">
        <f t="shared" si="9"/>
        <v>N</v>
      </c>
      <c r="W512" s="12" t="str">
        <f t="array" ref="W512">if(and(L512=0,Q512="NA"),"NA",if(L512=0,"no lice",if(Q512="NA","no collection",index(sea_lice!G:G,match(C512,sea_lice!A:A,0)))))</f>
        <v>no lice</v>
      </c>
      <c r="X512" s="23">
        <v>511.0</v>
      </c>
    </row>
    <row r="513">
      <c r="B513" s="6">
        <v>16519.0</v>
      </c>
      <c r="C513" s="12" t="str">
        <f t="shared" si="1"/>
        <v>U16519</v>
      </c>
      <c r="D513" s="14" t="str">
        <f t="array" ref="D513">iferror(index('2018_ufns'!E:E,match(C513,'2018_ufns'!B:B,0)))</f>
        <v>P1052</v>
      </c>
      <c r="E513" s="14">
        <v>43402.0</v>
      </c>
      <c r="F513" s="40" t="s">
        <v>53</v>
      </c>
      <c r="G513" s="40" t="s">
        <v>54</v>
      </c>
      <c r="H513" s="9">
        <v>9.8</v>
      </c>
      <c r="I513" s="13">
        <v>96.0</v>
      </c>
      <c r="J513" s="13" t="s">
        <v>63</v>
      </c>
      <c r="K513" s="17" t="str">
        <f t="shared" si="5"/>
        <v/>
      </c>
      <c r="L513" s="9">
        <v>0.0</v>
      </c>
      <c r="O513" s="9" t="s">
        <v>221</v>
      </c>
      <c r="P513" s="40" t="s">
        <v>1729</v>
      </c>
      <c r="Q513" s="33" t="s">
        <v>150</v>
      </c>
      <c r="R513" s="40" t="s">
        <v>63</v>
      </c>
      <c r="S513" s="9" t="s">
        <v>638</v>
      </c>
      <c r="T513" t="str">
        <f t="shared" si="9"/>
        <v>N</v>
      </c>
      <c r="W513" s="12" t="str">
        <f t="array" ref="W513">if(and(L513=0,Q513="NA"),"NA",if(L513=0,"no lice",if(Q513="NA","no collection",index(sea_lice!G:G,match(C513,sea_lice!A:A,0)))))</f>
        <v>no lice</v>
      </c>
      <c r="X513" s="23">
        <v>512.0</v>
      </c>
    </row>
    <row r="514">
      <c r="B514" s="6">
        <v>16520.0</v>
      </c>
      <c r="C514" s="12" t="str">
        <f t="shared" si="1"/>
        <v>U16520</v>
      </c>
      <c r="D514" s="14" t="str">
        <f t="array" ref="D514">iferror(index('2018_ufns'!E:E,match(C514,'2018_ufns'!B:B,0)))</f>
        <v>P1052</v>
      </c>
      <c r="E514" s="14">
        <v>43402.0</v>
      </c>
      <c r="F514" s="40" t="s">
        <v>53</v>
      </c>
      <c r="G514" s="40" t="s">
        <v>54</v>
      </c>
      <c r="H514" s="9">
        <v>11.9</v>
      </c>
      <c r="I514" s="13">
        <v>101.0</v>
      </c>
      <c r="J514" s="13" t="s">
        <v>63</v>
      </c>
      <c r="K514" s="17" t="str">
        <f t="shared" si="5"/>
        <v/>
      </c>
      <c r="L514" s="9">
        <v>0.0</v>
      </c>
      <c r="O514" s="9" t="s">
        <v>221</v>
      </c>
      <c r="P514" s="40" t="s">
        <v>1729</v>
      </c>
      <c r="Q514" s="33" t="s">
        <v>150</v>
      </c>
      <c r="R514" s="40" t="s">
        <v>63</v>
      </c>
      <c r="S514" s="9" t="s">
        <v>638</v>
      </c>
      <c r="T514" t="str">
        <f t="shared" si="9"/>
        <v>N</v>
      </c>
      <c r="W514" s="12" t="str">
        <f t="array" ref="W514">if(and(L514=0,Q514="NA"),"NA",if(L514=0,"no lice",if(Q514="NA","no collection",index(sea_lice!G:G,match(C514,sea_lice!A:A,0)))))</f>
        <v>no lice</v>
      </c>
      <c r="X514" s="23">
        <v>513.0</v>
      </c>
    </row>
    <row r="515">
      <c r="B515" s="6">
        <v>16011.0</v>
      </c>
      <c r="C515" s="12" t="str">
        <f t="shared" si="1"/>
        <v>U16011</v>
      </c>
      <c r="D515" s="14" t="str">
        <f t="array" ref="D515">iferror(index('2018_ufns'!E:E,match(C515,'2018_ufns'!B:B,0)))</f>
        <v>P1002</v>
      </c>
      <c r="E515" s="14">
        <v>43402.0</v>
      </c>
      <c r="F515" s="40" t="s">
        <v>53</v>
      </c>
      <c r="G515" s="40" t="s">
        <v>54</v>
      </c>
      <c r="H515" s="9">
        <v>17.9</v>
      </c>
      <c r="I515" s="13">
        <v>119.0</v>
      </c>
      <c r="J515" s="13">
        <v>124.0</v>
      </c>
      <c r="K515" s="17">
        <f t="shared" si="5"/>
        <v>0.9388321976</v>
      </c>
      <c r="L515" s="9">
        <v>0.0</v>
      </c>
      <c r="O515" s="9" t="s">
        <v>221</v>
      </c>
      <c r="P515" s="40" t="s">
        <v>1729</v>
      </c>
      <c r="Q515" s="33" t="s">
        <v>62</v>
      </c>
      <c r="R515" s="40" t="s">
        <v>63</v>
      </c>
      <c r="S515" s="9" t="s">
        <v>638</v>
      </c>
      <c r="T515" t="str">
        <f t="shared" si="9"/>
        <v>N</v>
      </c>
      <c r="W515" s="12" t="str">
        <f t="array" ref="W515">if(and(L515=0,Q515="NA"),"NA",if(L515=0,"no lice",if(Q515="NA","no collection",index(sea_lice!G:G,match(C515,sea_lice!A:A,0)))))</f>
        <v>no lice</v>
      </c>
      <c r="X515" s="23">
        <v>514.0</v>
      </c>
    </row>
    <row r="516">
      <c r="B516" s="6">
        <v>16012.0</v>
      </c>
      <c r="C516" s="12" t="str">
        <f t="shared" si="1"/>
        <v>U16012</v>
      </c>
      <c r="D516" s="14" t="str">
        <f t="array" ref="D516">iferror(index('2018_ufns'!E:E,match(C516,'2018_ufns'!B:B,0)))</f>
        <v>P1002</v>
      </c>
      <c r="E516" s="14">
        <v>43402.0</v>
      </c>
      <c r="F516" s="40" t="s">
        <v>53</v>
      </c>
      <c r="G516" s="40" t="s">
        <v>54</v>
      </c>
      <c r="H516" s="9">
        <v>15.4</v>
      </c>
      <c r="I516" s="13">
        <v>109.0</v>
      </c>
      <c r="J516" s="13">
        <v>115.0</v>
      </c>
      <c r="K516" s="17">
        <f t="shared" si="5"/>
        <v>1.012574998</v>
      </c>
      <c r="L516" s="9">
        <v>0.0</v>
      </c>
      <c r="O516" s="9" t="s">
        <v>221</v>
      </c>
      <c r="P516" s="40" t="s">
        <v>1729</v>
      </c>
      <c r="Q516" s="33" t="s">
        <v>62</v>
      </c>
      <c r="R516" s="40" t="s">
        <v>63</v>
      </c>
      <c r="S516" s="9" t="s">
        <v>638</v>
      </c>
      <c r="T516" t="str">
        <f t="shared" si="9"/>
        <v>N</v>
      </c>
      <c r="W516" s="12" t="str">
        <f t="array" ref="W516">if(and(L516=0,Q516="NA"),"NA",if(L516=0,"no lice",if(Q516="NA","no collection",index(sea_lice!G:G,match(C516,sea_lice!A:A,0)))))</f>
        <v>no lice</v>
      </c>
      <c r="X516" s="23">
        <v>515.0</v>
      </c>
    </row>
    <row r="517">
      <c r="B517" s="6">
        <v>16013.0</v>
      </c>
      <c r="C517" s="12" t="str">
        <f t="shared" si="1"/>
        <v>U16013</v>
      </c>
      <c r="D517" s="14" t="str">
        <f t="array" ref="D517">iferror(index('2018_ufns'!E:E,match(C517,'2018_ufns'!B:B,0)))</f>
        <v>P1002</v>
      </c>
      <c r="E517" s="14">
        <v>43402.0</v>
      </c>
      <c r="F517" s="40" t="s">
        <v>53</v>
      </c>
      <c r="G517" s="40" t="s">
        <v>54</v>
      </c>
      <c r="H517" s="9">
        <v>18.7</v>
      </c>
      <c r="I517" s="13">
        <v>117.0</v>
      </c>
      <c r="J517" s="13">
        <v>122.0</v>
      </c>
      <c r="K517" s="17">
        <f t="shared" si="5"/>
        <v>1.029821879</v>
      </c>
      <c r="L517" s="9">
        <v>0.0</v>
      </c>
      <c r="O517" s="9" t="s">
        <v>221</v>
      </c>
      <c r="P517" s="40" t="s">
        <v>1729</v>
      </c>
      <c r="Q517" s="33" t="s">
        <v>62</v>
      </c>
      <c r="R517" s="40" t="s">
        <v>63</v>
      </c>
      <c r="S517" s="9" t="s">
        <v>638</v>
      </c>
      <c r="T517" t="str">
        <f t="shared" si="9"/>
        <v>N</v>
      </c>
      <c r="W517" s="12" t="str">
        <f t="array" ref="W517">if(and(L517=0,Q517="NA"),"NA",if(L517=0,"no lice",if(Q517="NA","no collection",index(sea_lice!G:G,match(C517,sea_lice!A:A,0)))))</f>
        <v>no lice</v>
      </c>
      <c r="X517" s="23">
        <v>516.0</v>
      </c>
    </row>
    <row r="518">
      <c r="B518" s="6">
        <v>16014.0</v>
      </c>
      <c r="C518" s="12" t="str">
        <f t="shared" si="1"/>
        <v>U16014</v>
      </c>
      <c r="D518" s="14" t="str">
        <f t="array" ref="D518">iferror(index('2018_ufns'!E:E,match(C518,'2018_ufns'!B:B,0)))</f>
        <v>P1002</v>
      </c>
      <c r="E518" s="14">
        <v>43402.0</v>
      </c>
      <c r="F518" s="40" t="s">
        <v>53</v>
      </c>
      <c r="G518" s="40" t="s">
        <v>54</v>
      </c>
      <c r="H518" s="9">
        <v>13.1</v>
      </c>
      <c r="I518" s="13">
        <v>107.0</v>
      </c>
      <c r="J518" s="13">
        <v>112.0</v>
      </c>
      <c r="K518" s="17">
        <f t="shared" si="5"/>
        <v>0.9324321246</v>
      </c>
      <c r="L518" s="9">
        <v>1.0</v>
      </c>
      <c r="O518" s="9" t="s">
        <v>221</v>
      </c>
      <c r="P518" s="40" t="s">
        <v>1729</v>
      </c>
      <c r="Q518" s="33" t="s">
        <v>62</v>
      </c>
      <c r="R518" s="40" t="s">
        <v>63</v>
      </c>
      <c r="S518" s="9" t="s">
        <v>638</v>
      </c>
      <c r="T518" t="str">
        <f t="shared" si="9"/>
        <v>N</v>
      </c>
      <c r="W518" s="12" t="str">
        <f t="array" ref="W518">if(and(L518=0,Q518="NA"),"NA",if(L518=0,"no lice",if(Q518="NA","no collection",index(sea_lice!G:G,match(C518,sea_lice!A:A,0)))))</f>
        <v>BSL2-54</v>
      </c>
      <c r="X518" s="23">
        <v>517.0</v>
      </c>
    </row>
    <row r="519">
      <c r="B519" s="6">
        <v>16015.0</v>
      </c>
      <c r="C519" s="12" t="str">
        <f t="shared" si="1"/>
        <v>U16015</v>
      </c>
      <c r="D519" s="14" t="str">
        <f t="array" ref="D519">iferror(index('2018_ufns'!E:E,match(C519,'2018_ufns'!B:B,0)))</f>
        <v>P1002</v>
      </c>
      <c r="E519" s="14">
        <v>43402.0</v>
      </c>
      <c r="F519" s="40" t="s">
        <v>53</v>
      </c>
      <c r="G519" s="40" t="s">
        <v>54</v>
      </c>
      <c r="H519" s="9">
        <v>7.9</v>
      </c>
      <c r="I519" s="13">
        <v>94.0</v>
      </c>
      <c r="J519" s="13">
        <v>98.0</v>
      </c>
      <c r="K519" s="17">
        <f t="shared" si="5"/>
        <v>0.8393611505</v>
      </c>
      <c r="L519" s="9">
        <v>0.0</v>
      </c>
      <c r="O519" s="9" t="s">
        <v>221</v>
      </c>
      <c r="P519" s="40" t="s">
        <v>1729</v>
      </c>
      <c r="Q519" s="33" t="s">
        <v>62</v>
      </c>
      <c r="R519" s="40" t="s">
        <v>63</v>
      </c>
      <c r="S519" s="9" t="s">
        <v>638</v>
      </c>
      <c r="T519" t="str">
        <f t="shared" si="9"/>
        <v>N</v>
      </c>
      <c r="W519" s="12" t="str">
        <f t="array" ref="W519">if(and(L519=0,Q519="NA"),"NA",if(L519=0,"no lice",if(Q519="NA","no collection",index(sea_lice!G:G,match(C519,sea_lice!A:A,0)))))</f>
        <v>no lice</v>
      </c>
      <c r="X519" s="23">
        <v>518.0</v>
      </c>
    </row>
    <row r="520">
      <c r="B520" s="6">
        <v>16016.0</v>
      </c>
      <c r="C520" s="12" t="str">
        <f t="shared" si="1"/>
        <v>U16016</v>
      </c>
      <c r="D520" s="14" t="str">
        <f t="array" ref="D520">iferror(index('2018_ufns'!E:E,match(C520,'2018_ufns'!B:B,0)))</f>
        <v>P1002</v>
      </c>
      <c r="E520" s="14">
        <v>43402.0</v>
      </c>
      <c r="F520" s="40" t="s">
        <v>53</v>
      </c>
      <c r="G520" s="40" t="s">
        <v>54</v>
      </c>
      <c r="H520" s="9">
        <v>13.6</v>
      </c>
      <c r="I520" s="13">
        <v>107.0</v>
      </c>
      <c r="J520" s="13">
        <v>112.0</v>
      </c>
      <c r="K520" s="17">
        <f t="shared" si="5"/>
        <v>0.968021137</v>
      </c>
      <c r="L520" s="9">
        <v>0.0</v>
      </c>
      <c r="O520" s="9" t="s">
        <v>221</v>
      </c>
      <c r="P520" s="40" t="s">
        <v>1729</v>
      </c>
      <c r="Q520" s="33" t="s">
        <v>62</v>
      </c>
      <c r="R520" s="40" t="s">
        <v>63</v>
      </c>
      <c r="S520" s="9" t="s">
        <v>638</v>
      </c>
      <c r="T520" t="str">
        <f t="shared" si="9"/>
        <v>N</v>
      </c>
      <c r="W520" s="12" t="str">
        <f t="array" ref="W520">if(and(L520=0,Q520="NA"),"NA",if(L520=0,"no lice",if(Q520="NA","no collection",index(sea_lice!G:G,match(C520,sea_lice!A:A,0)))))</f>
        <v>no lice</v>
      </c>
      <c r="X520" s="23">
        <v>519.0</v>
      </c>
    </row>
    <row r="521">
      <c r="B521" s="6">
        <v>16017.0</v>
      </c>
      <c r="C521" s="12" t="str">
        <f t="shared" si="1"/>
        <v>U16017</v>
      </c>
      <c r="D521" s="14" t="str">
        <f t="array" ref="D521">iferror(index('2018_ufns'!E:E,match(C521,'2018_ufns'!B:B,0)))</f>
        <v>P1002</v>
      </c>
      <c r="E521" s="14">
        <v>43402.0</v>
      </c>
      <c r="F521" s="40" t="s">
        <v>53</v>
      </c>
      <c r="G521" s="40" t="s">
        <v>54</v>
      </c>
      <c r="H521" s="9">
        <v>12.4</v>
      </c>
      <c r="I521" s="13">
        <v>104.0</v>
      </c>
      <c r="J521" s="13">
        <v>108.0</v>
      </c>
      <c r="K521" s="17">
        <f t="shared" si="5"/>
        <v>0.9843519789</v>
      </c>
      <c r="L521" s="9">
        <v>2.0</v>
      </c>
      <c r="O521" s="9" t="s">
        <v>221</v>
      </c>
      <c r="P521" s="40" t="s">
        <v>1729</v>
      </c>
      <c r="Q521" s="33" t="s">
        <v>62</v>
      </c>
      <c r="R521" s="40" t="s">
        <v>63</v>
      </c>
      <c r="S521" s="9" t="s">
        <v>638</v>
      </c>
      <c r="T521" t="str">
        <f t="shared" si="9"/>
        <v>N</v>
      </c>
      <c r="W521" s="12" t="str">
        <f t="array" ref="W521">if(and(L521=0,Q521="NA"),"NA",if(L521=0,"no lice",if(Q521="NA","no collection",index(sea_lice!G:G,match(C521,sea_lice!A:A,0)))))</f>
        <v>BSL2-56</v>
      </c>
      <c r="X521" s="23">
        <v>520.0</v>
      </c>
    </row>
    <row r="522">
      <c r="B522" s="6">
        <v>16018.0</v>
      </c>
      <c r="C522" s="12" t="str">
        <f t="shared" si="1"/>
        <v>U16018</v>
      </c>
      <c r="D522" s="14" t="str">
        <f t="array" ref="D522">iferror(index('2018_ufns'!E:E,match(C522,'2018_ufns'!B:B,0)))</f>
        <v>P1002</v>
      </c>
      <c r="E522" s="14">
        <v>43402.0</v>
      </c>
      <c r="F522" s="40" t="s">
        <v>53</v>
      </c>
      <c r="G522" s="40" t="s">
        <v>54</v>
      </c>
      <c r="H522" s="9">
        <v>11.7</v>
      </c>
      <c r="I522" s="13">
        <v>102.0</v>
      </c>
      <c r="J522" s="13">
        <v>106.0</v>
      </c>
      <c r="K522" s="17">
        <f t="shared" si="5"/>
        <v>0.9823545611</v>
      </c>
      <c r="L522" s="9">
        <v>0.0</v>
      </c>
      <c r="O522" s="9" t="s">
        <v>221</v>
      </c>
      <c r="P522" s="40" t="s">
        <v>1729</v>
      </c>
      <c r="Q522" s="33" t="s">
        <v>62</v>
      </c>
      <c r="R522" s="40" t="s">
        <v>63</v>
      </c>
      <c r="S522" s="9" t="s">
        <v>638</v>
      </c>
      <c r="T522" t="str">
        <f t="shared" si="9"/>
        <v>N</v>
      </c>
      <c r="W522" s="12" t="str">
        <f t="array" ref="W522">if(and(L522=0,Q522="NA"),"NA",if(L522=0,"no lice",if(Q522="NA","no collection",index(sea_lice!G:G,match(C522,sea_lice!A:A,0)))))</f>
        <v>no lice</v>
      </c>
      <c r="X522" s="23">
        <v>521.0</v>
      </c>
    </row>
    <row r="523">
      <c r="B523" s="6">
        <v>16019.0</v>
      </c>
      <c r="C523" s="12" t="str">
        <f t="shared" si="1"/>
        <v>U16019</v>
      </c>
      <c r="D523" s="14" t="str">
        <f t="array" ref="D523">iferror(index('2018_ufns'!E:E,match(C523,'2018_ufns'!B:B,0)))</f>
        <v>P1002</v>
      </c>
      <c r="E523" s="14">
        <v>43402.0</v>
      </c>
      <c r="F523" s="40" t="s">
        <v>53</v>
      </c>
      <c r="G523" s="40" t="s">
        <v>54</v>
      </c>
      <c r="H523" s="9">
        <v>15.5</v>
      </c>
      <c r="I523" s="13">
        <v>113.0</v>
      </c>
      <c r="J523" s="13">
        <v>118.0</v>
      </c>
      <c r="K523" s="17">
        <f t="shared" si="5"/>
        <v>0.9433778527</v>
      </c>
      <c r="L523" s="9">
        <v>0.0</v>
      </c>
      <c r="O523" s="9" t="s">
        <v>221</v>
      </c>
      <c r="P523" s="40" t="s">
        <v>1729</v>
      </c>
      <c r="Q523" s="33" t="s">
        <v>62</v>
      </c>
      <c r="R523" s="40" t="s">
        <v>63</v>
      </c>
      <c r="S523" s="9" t="s">
        <v>638</v>
      </c>
      <c r="T523" t="str">
        <f t="shared" si="9"/>
        <v>N</v>
      </c>
      <c r="W523" s="12" t="str">
        <f t="array" ref="W523">if(and(L523=0,Q523="NA"),"NA",if(L523=0,"no lice",if(Q523="NA","no collection",index(sea_lice!G:G,match(C523,sea_lice!A:A,0)))))</f>
        <v>no lice</v>
      </c>
      <c r="X523" s="23">
        <v>522.0</v>
      </c>
    </row>
    <row r="524">
      <c r="B524" s="6">
        <v>16020.0</v>
      </c>
      <c r="C524" s="12" t="str">
        <f t="shared" si="1"/>
        <v>U16020</v>
      </c>
      <c r="D524" s="14" t="str">
        <f t="array" ref="D524">iferror(index('2018_ufns'!E:E,match(C524,'2018_ufns'!B:B,0)))</f>
        <v>P1002</v>
      </c>
      <c r="E524" s="14">
        <v>43402.0</v>
      </c>
      <c r="F524" s="40" t="s">
        <v>53</v>
      </c>
      <c r="G524" s="40" t="s">
        <v>54</v>
      </c>
      <c r="H524" s="9">
        <v>17.2</v>
      </c>
      <c r="I524" s="13">
        <v>117.0</v>
      </c>
      <c r="J524" s="13">
        <v>123.0</v>
      </c>
      <c r="K524" s="17">
        <f t="shared" si="5"/>
        <v>0.9243003396</v>
      </c>
      <c r="L524" s="9">
        <v>0.0</v>
      </c>
      <c r="O524" s="9" t="s">
        <v>221</v>
      </c>
      <c r="P524" s="40" t="s">
        <v>1729</v>
      </c>
      <c r="Q524" s="33" t="s">
        <v>62</v>
      </c>
      <c r="R524" s="40" t="s">
        <v>63</v>
      </c>
      <c r="S524" s="9" t="s">
        <v>638</v>
      </c>
      <c r="T524" t="str">
        <f t="shared" si="9"/>
        <v>N</v>
      </c>
      <c r="W524" s="12" t="str">
        <f t="array" ref="W524">if(and(L524=0,Q524="NA"),"NA",if(L524=0,"no lice",if(Q524="NA","no collection",index(sea_lice!G:G,match(C524,sea_lice!A:A,0)))))</f>
        <v>no lice</v>
      </c>
      <c r="X524" s="23">
        <v>523.0</v>
      </c>
    </row>
    <row r="525">
      <c r="B525" s="6">
        <v>17095.0</v>
      </c>
      <c r="C525" s="12" t="str">
        <f t="shared" si="1"/>
        <v>U17095</v>
      </c>
      <c r="D525" s="14" t="str">
        <f t="array" ref="D525">iferror(index('2018_ufns'!E:E,match(C525,'2018_ufns'!B:B,0)))</f>
        <v>P1110</v>
      </c>
      <c r="E525" s="14">
        <v>43402.0</v>
      </c>
      <c r="F525" s="40" t="s">
        <v>53</v>
      </c>
      <c r="G525" s="40" t="s">
        <v>54</v>
      </c>
      <c r="H525" s="9">
        <v>14.2</v>
      </c>
      <c r="I525" s="13">
        <v>108.0</v>
      </c>
      <c r="J525" s="13">
        <v>114.0</v>
      </c>
      <c r="K525" s="17">
        <f t="shared" si="5"/>
        <v>0.958459553</v>
      </c>
      <c r="L525" s="9">
        <v>0.0</v>
      </c>
      <c r="O525" s="9" t="s">
        <v>638</v>
      </c>
      <c r="P525" s="40" t="s">
        <v>1729</v>
      </c>
      <c r="Q525" s="33" t="s">
        <v>62</v>
      </c>
      <c r="R525" s="40" t="s">
        <v>63</v>
      </c>
      <c r="S525" s="9" t="s">
        <v>638</v>
      </c>
      <c r="T525" t="str">
        <f t="shared" si="9"/>
        <v>N</v>
      </c>
      <c r="W525" s="12" t="str">
        <f t="array" ref="W525">if(and(L525=0,Q525="NA"),"NA",if(L525=0,"no lice",if(Q525="NA","no collection",index(sea_lice!G:G,match(C525,sea_lice!A:A,0)))))</f>
        <v>no lice</v>
      </c>
      <c r="X525" s="23">
        <v>524.0</v>
      </c>
    </row>
    <row r="526">
      <c r="B526" s="6">
        <v>17096.0</v>
      </c>
      <c r="C526" s="12" t="str">
        <f t="shared" si="1"/>
        <v>U17096</v>
      </c>
      <c r="D526" s="14" t="str">
        <f t="array" ref="D526">iferror(index('2018_ufns'!E:E,match(C526,'2018_ufns'!B:B,0)))</f>
        <v>P1110</v>
      </c>
      <c r="E526" s="14">
        <v>43402.0</v>
      </c>
      <c r="F526" s="40" t="s">
        <v>53</v>
      </c>
      <c r="G526" s="40" t="s">
        <v>54</v>
      </c>
      <c r="H526" s="9">
        <v>11.2</v>
      </c>
      <c r="I526" s="13">
        <v>107.0</v>
      </c>
      <c r="J526" s="13">
        <v>112.0</v>
      </c>
      <c r="K526" s="17">
        <f t="shared" si="5"/>
        <v>0.7971938776</v>
      </c>
      <c r="L526" s="9">
        <v>1.0</v>
      </c>
      <c r="O526" s="9" t="s">
        <v>638</v>
      </c>
      <c r="P526" s="40" t="s">
        <v>1729</v>
      </c>
      <c r="Q526" s="33" t="s">
        <v>62</v>
      </c>
      <c r="R526" s="40" t="s">
        <v>63</v>
      </c>
      <c r="S526" s="9" t="s">
        <v>638</v>
      </c>
      <c r="T526" t="str">
        <f t="shared" si="9"/>
        <v>N</v>
      </c>
      <c r="W526" s="12" t="str">
        <f t="array" ref="W526">if(and(L526=0,Q526="NA"),"NA",if(L526=0,"no lice",if(Q526="NA","no collection",index(sea_lice!G:G,match(C526,sea_lice!A:A,0)))))</f>
        <v>BSL2-49</v>
      </c>
      <c r="X526" s="23">
        <v>525.0</v>
      </c>
    </row>
    <row r="527">
      <c r="B527" s="6">
        <v>17094.0</v>
      </c>
      <c r="C527" s="12" t="str">
        <f t="shared" si="1"/>
        <v>U17094</v>
      </c>
      <c r="D527" s="14" t="str">
        <f t="array" ref="D527">iferror(index('2018_ufns'!E:E,match(C527,'2018_ufns'!B:B,0)))</f>
        <v>P1110</v>
      </c>
      <c r="E527" s="14">
        <v>43402.0</v>
      </c>
      <c r="F527" s="40" t="s">
        <v>53</v>
      </c>
      <c r="G527" s="40" t="s">
        <v>54</v>
      </c>
      <c r="H527" s="9">
        <v>13.7</v>
      </c>
      <c r="I527" s="13">
        <v>106.0</v>
      </c>
      <c r="J527" s="13">
        <v>112.0</v>
      </c>
      <c r="K527" s="17">
        <f t="shared" si="5"/>
        <v>0.9751389395</v>
      </c>
      <c r="L527" s="9">
        <v>1.0</v>
      </c>
      <c r="O527" s="9" t="s">
        <v>638</v>
      </c>
      <c r="P527" s="40" t="s">
        <v>1729</v>
      </c>
      <c r="Q527" s="33" t="s">
        <v>62</v>
      </c>
      <c r="R527" s="40" t="s">
        <v>63</v>
      </c>
      <c r="S527" s="9" t="s">
        <v>638</v>
      </c>
      <c r="T527" t="str">
        <f t="shared" si="9"/>
        <v>N</v>
      </c>
      <c r="W527" s="12" t="str">
        <f t="array" ref="W527">if(and(L527=0,Q527="NA"),"NA",if(L527=0,"no lice",if(Q527="NA","no collection",index(sea_lice!G:G,match(C527,sea_lice!A:A,0)))))</f>
        <v>BSL2-52</v>
      </c>
      <c r="X527" s="23">
        <v>526.0</v>
      </c>
    </row>
    <row r="528">
      <c r="B528" s="6">
        <v>17093.0</v>
      </c>
      <c r="C528" s="12" t="str">
        <f t="shared" si="1"/>
        <v>U17093</v>
      </c>
      <c r="D528" s="14" t="str">
        <f t="array" ref="D528">iferror(index('2018_ufns'!E:E,match(C528,'2018_ufns'!B:B,0)))</f>
        <v>P1110</v>
      </c>
      <c r="E528" s="14">
        <v>43402.0</v>
      </c>
      <c r="F528" s="40" t="s">
        <v>53</v>
      </c>
      <c r="G528" s="40" t="s">
        <v>54</v>
      </c>
      <c r="H528" s="9">
        <v>13.6</v>
      </c>
      <c r="I528" s="13">
        <v>100.0</v>
      </c>
      <c r="J528" s="13">
        <v>105.0</v>
      </c>
      <c r="K528" s="17">
        <f t="shared" si="5"/>
        <v>1.174819134</v>
      </c>
      <c r="L528" s="9">
        <v>0.0</v>
      </c>
      <c r="O528" s="9" t="s">
        <v>638</v>
      </c>
      <c r="P528" s="40" t="s">
        <v>1729</v>
      </c>
      <c r="Q528" s="33" t="s">
        <v>62</v>
      </c>
      <c r="R528" s="40" t="s">
        <v>63</v>
      </c>
      <c r="S528" s="9" t="s">
        <v>638</v>
      </c>
      <c r="T528" t="str">
        <f t="shared" si="9"/>
        <v>N</v>
      </c>
      <c r="W528" s="12" t="str">
        <f t="array" ref="W528">if(and(L528=0,Q528="NA"),"NA",if(L528=0,"no lice",if(Q528="NA","no collection",index(sea_lice!G:G,match(C528,sea_lice!A:A,0)))))</f>
        <v>no lice</v>
      </c>
      <c r="X528" s="23">
        <v>527.0</v>
      </c>
    </row>
    <row r="529">
      <c r="B529" s="6">
        <v>16151.0</v>
      </c>
      <c r="C529" s="12" t="str">
        <f t="shared" si="1"/>
        <v>U16151</v>
      </c>
      <c r="D529" s="14" t="str">
        <f t="array" ref="D529">iferror(index('2018_ufns'!E:E,match(C529,'2018_ufns'!B:B,0)))</f>
        <v>P1016</v>
      </c>
      <c r="E529" s="14">
        <v>43402.0</v>
      </c>
      <c r="F529" s="40" t="s">
        <v>53</v>
      </c>
      <c r="G529" s="40" t="s">
        <v>54</v>
      </c>
      <c r="H529" s="9">
        <v>9.1</v>
      </c>
      <c r="I529" s="13">
        <v>100.0</v>
      </c>
      <c r="J529" s="13" t="s">
        <v>63</v>
      </c>
      <c r="K529" s="17" t="str">
        <f t="shared" si="5"/>
        <v/>
      </c>
      <c r="L529" s="9">
        <v>0.0</v>
      </c>
      <c r="O529" s="9" t="s">
        <v>638</v>
      </c>
      <c r="P529" s="40" t="s">
        <v>1729</v>
      </c>
      <c r="Q529" s="33" t="s">
        <v>150</v>
      </c>
      <c r="R529" s="40" t="s">
        <v>63</v>
      </c>
      <c r="S529" s="9" t="s">
        <v>638</v>
      </c>
      <c r="T529" t="str">
        <f t="shared" si="9"/>
        <v>N</v>
      </c>
      <c r="W529" s="12" t="str">
        <f t="array" ref="W529">if(and(L529=0,Q529="NA"),"NA",if(L529=0,"no lice",if(Q529="NA","no collection",index(sea_lice!G:G,match(C529,sea_lice!A:A,0)))))</f>
        <v>no lice</v>
      </c>
      <c r="X529" s="23">
        <v>528.0</v>
      </c>
    </row>
    <row r="530">
      <c r="B530" s="6">
        <v>16157.0</v>
      </c>
      <c r="C530" s="12" t="str">
        <f t="shared" si="1"/>
        <v>U16157</v>
      </c>
      <c r="D530" s="14" t="str">
        <f t="array" ref="D530">iferror(index('2018_ufns'!E:E,match(C530,'2018_ufns'!B:B,0)))</f>
        <v>P1016</v>
      </c>
      <c r="E530" s="14">
        <v>43402.0</v>
      </c>
      <c r="F530" s="40" t="s">
        <v>53</v>
      </c>
      <c r="G530" s="40" t="s">
        <v>54</v>
      </c>
      <c r="H530" s="9">
        <v>17.4</v>
      </c>
      <c r="I530" s="13">
        <v>113.0</v>
      </c>
      <c r="J530" s="13">
        <v>119.0</v>
      </c>
      <c r="K530" s="17">
        <f t="shared" si="5"/>
        <v>1.032543517</v>
      </c>
      <c r="L530" s="9">
        <v>0.0</v>
      </c>
      <c r="O530" s="9" t="s">
        <v>638</v>
      </c>
      <c r="P530" s="40" t="s">
        <v>1729</v>
      </c>
      <c r="Q530" s="33" t="s">
        <v>150</v>
      </c>
      <c r="R530" s="40" t="s">
        <v>63</v>
      </c>
      <c r="S530" s="9" t="s">
        <v>638</v>
      </c>
      <c r="T530" t="str">
        <f t="shared" si="9"/>
        <v>N</v>
      </c>
      <c r="W530" s="12" t="str">
        <f t="array" ref="W530">if(and(L530=0,Q530="NA"),"NA",if(L530=0,"no lice",if(Q530="NA","no collection",index(sea_lice!G:G,match(C530,sea_lice!A:A,0)))))</f>
        <v>no lice</v>
      </c>
      <c r="X530" s="23">
        <v>529.0</v>
      </c>
    </row>
    <row r="531">
      <c r="B531" s="6">
        <v>16158.0</v>
      </c>
      <c r="C531" s="12" t="str">
        <f t="shared" si="1"/>
        <v>U16158</v>
      </c>
      <c r="D531" s="14" t="str">
        <f t="array" ref="D531">iferror(index('2018_ufns'!E:E,match(C531,'2018_ufns'!B:B,0)))</f>
        <v>P1016</v>
      </c>
      <c r="E531" s="14">
        <v>43402.0</v>
      </c>
      <c r="F531" s="40" t="s">
        <v>53</v>
      </c>
      <c r="G531" s="40" t="s">
        <v>54</v>
      </c>
      <c r="H531" s="9">
        <v>7.0</v>
      </c>
      <c r="I531" s="13">
        <v>87.0</v>
      </c>
      <c r="J531" s="13" t="s">
        <v>63</v>
      </c>
      <c r="K531" s="17" t="str">
        <f t="shared" si="5"/>
        <v/>
      </c>
      <c r="L531" s="9">
        <v>0.0</v>
      </c>
      <c r="O531" s="9" t="s">
        <v>638</v>
      </c>
      <c r="P531" s="40" t="s">
        <v>1729</v>
      </c>
      <c r="Q531" s="33" t="s">
        <v>150</v>
      </c>
      <c r="R531" s="40" t="s">
        <v>63</v>
      </c>
      <c r="S531" s="9" t="s">
        <v>638</v>
      </c>
      <c r="T531" t="str">
        <f t="shared" si="9"/>
        <v>N</v>
      </c>
      <c r="W531" s="12" t="str">
        <f t="array" ref="W531">if(and(L531=0,Q531="NA"),"NA",if(L531=0,"no lice",if(Q531="NA","no collection",index(sea_lice!G:G,match(C531,sea_lice!A:A,0)))))</f>
        <v>no lice</v>
      </c>
      <c r="X531" s="23">
        <v>530.0</v>
      </c>
    </row>
    <row r="532">
      <c r="B532" s="6">
        <v>16159.0</v>
      </c>
      <c r="C532" s="12" t="str">
        <f t="shared" si="1"/>
        <v>U16159</v>
      </c>
      <c r="D532" s="14" t="str">
        <f t="array" ref="D532">iferror(index('2018_ufns'!E:E,match(C532,'2018_ufns'!B:B,0)))</f>
        <v>P1016</v>
      </c>
      <c r="E532" s="14">
        <v>43402.0</v>
      </c>
      <c r="F532" s="40" t="s">
        <v>53</v>
      </c>
      <c r="G532" s="40" t="s">
        <v>54</v>
      </c>
      <c r="H532" s="9">
        <v>5.4</v>
      </c>
      <c r="I532" s="13">
        <v>83.0</v>
      </c>
      <c r="J532" s="13">
        <v>88.0</v>
      </c>
      <c r="K532" s="17">
        <f t="shared" si="5"/>
        <v>0.7924023291</v>
      </c>
      <c r="L532" s="9">
        <v>0.0</v>
      </c>
      <c r="O532" s="9" t="s">
        <v>638</v>
      </c>
      <c r="P532" s="40" t="s">
        <v>1729</v>
      </c>
      <c r="Q532" s="33" t="s">
        <v>150</v>
      </c>
      <c r="R532" s="40" t="s">
        <v>63</v>
      </c>
      <c r="S532" s="9" t="s">
        <v>638</v>
      </c>
      <c r="T532" t="str">
        <f t="shared" si="9"/>
        <v>N</v>
      </c>
      <c r="W532" s="12" t="str">
        <f t="array" ref="W532">if(and(L532=0,Q532="NA"),"NA",if(L532=0,"no lice",if(Q532="NA","no collection",index(sea_lice!G:G,match(C532,sea_lice!A:A,0)))))</f>
        <v>no lice</v>
      </c>
      <c r="X532" s="23">
        <v>531.0</v>
      </c>
    </row>
    <row r="533">
      <c r="B533" s="6">
        <v>16152.0</v>
      </c>
      <c r="C533" s="12" t="str">
        <f t="shared" si="1"/>
        <v>U16152</v>
      </c>
      <c r="D533" s="14" t="str">
        <f t="array" ref="D533">iferror(index('2018_ufns'!E:E,match(C533,'2018_ufns'!B:B,0)))</f>
        <v>P1016</v>
      </c>
      <c r="E533" s="14">
        <v>43402.0</v>
      </c>
      <c r="F533" s="40" t="s">
        <v>53</v>
      </c>
      <c r="G533" s="40" t="s">
        <v>54</v>
      </c>
      <c r="H533" s="9">
        <v>8.7</v>
      </c>
      <c r="I533" s="13">
        <v>93.0</v>
      </c>
      <c r="J533" s="13">
        <v>98.0</v>
      </c>
      <c r="K533" s="17">
        <f t="shared" si="5"/>
        <v>0.9243597481</v>
      </c>
      <c r="L533" s="9">
        <v>0.0</v>
      </c>
      <c r="O533" s="9" t="s">
        <v>638</v>
      </c>
      <c r="P533" s="40" t="s">
        <v>1729</v>
      </c>
      <c r="Q533" s="33" t="s">
        <v>150</v>
      </c>
      <c r="R533" s="40" t="s">
        <v>63</v>
      </c>
      <c r="S533" s="9" t="s">
        <v>638</v>
      </c>
      <c r="T533" t="str">
        <f t="shared" si="9"/>
        <v>N</v>
      </c>
      <c r="W533" s="12" t="str">
        <f t="array" ref="W533">if(and(L533=0,Q533="NA"),"NA",if(L533=0,"no lice",if(Q533="NA","no collection",index(sea_lice!G:G,match(C533,sea_lice!A:A,0)))))</f>
        <v>no lice</v>
      </c>
      <c r="X533" s="23">
        <v>532.0</v>
      </c>
    </row>
    <row r="534">
      <c r="B534" s="6">
        <v>16160.0</v>
      </c>
      <c r="C534" s="12" t="str">
        <f t="shared" si="1"/>
        <v>U16160</v>
      </c>
      <c r="D534" s="14" t="str">
        <f t="array" ref="D534">iferror(index('2018_ufns'!E:E,match(C534,'2018_ufns'!B:B,0)))</f>
        <v>P1016</v>
      </c>
      <c r="E534" s="14">
        <v>43402.0</v>
      </c>
      <c r="F534" s="40" t="s">
        <v>53</v>
      </c>
      <c r="G534" s="40" t="s">
        <v>54</v>
      </c>
      <c r="H534" s="9">
        <v>7.1</v>
      </c>
      <c r="I534" s="13">
        <v>90.0</v>
      </c>
      <c r="J534" s="13">
        <v>95.0</v>
      </c>
      <c r="K534" s="17">
        <f t="shared" si="5"/>
        <v>0.8281090538</v>
      </c>
      <c r="L534" s="9">
        <v>0.0</v>
      </c>
      <c r="O534" s="9" t="s">
        <v>638</v>
      </c>
      <c r="P534" s="40" t="s">
        <v>1729</v>
      </c>
      <c r="Q534" s="33" t="s">
        <v>150</v>
      </c>
      <c r="R534" s="40" t="s">
        <v>63</v>
      </c>
      <c r="S534" s="9" t="s">
        <v>638</v>
      </c>
      <c r="T534" t="str">
        <f t="shared" si="9"/>
        <v>N</v>
      </c>
      <c r="W534" s="12" t="str">
        <f t="array" ref="W534">if(and(L534=0,Q534="NA"),"NA",if(L534=0,"no lice",if(Q534="NA","no collection",index(sea_lice!G:G,match(C534,sea_lice!A:A,0)))))</f>
        <v>no lice</v>
      </c>
      <c r="X534" s="23">
        <v>533.0</v>
      </c>
    </row>
    <row r="535">
      <c r="B535" s="6">
        <v>16153.0</v>
      </c>
      <c r="C535" s="12" t="str">
        <f t="shared" si="1"/>
        <v>U16153</v>
      </c>
      <c r="D535" s="14" t="str">
        <f t="array" ref="D535">iferror(index('2018_ufns'!E:E,match(C535,'2018_ufns'!B:B,0)))</f>
        <v>P1016</v>
      </c>
      <c r="E535" s="14">
        <v>43402.0</v>
      </c>
      <c r="F535" s="40" t="s">
        <v>53</v>
      </c>
      <c r="G535" s="40" t="s">
        <v>54</v>
      </c>
      <c r="H535" s="9">
        <v>9.8</v>
      </c>
      <c r="I535" s="13">
        <v>99.0</v>
      </c>
      <c r="J535" s="13">
        <v>104.0</v>
      </c>
      <c r="K535" s="17">
        <f t="shared" si="5"/>
        <v>0.8712164315</v>
      </c>
      <c r="L535" s="9">
        <v>0.0</v>
      </c>
      <c r="N535" s="9" t="s">
        <v>2111</v>
      </c>
      <c r="O535" s="9" t="s">
        <v>638</v>
      </c>
      <c r="P535" s="40" t="s">
        <v>1729</v>
      </c>
      <c r="Q535" s="33" t="s">
        <v>150</v>
      </c>
      <c r="R535" s="40" t="s">
        <v>63</v>
      </c>
      <c r="S535" s="9" t="s">
        <v>638</v>
      </c>
      <c r="T535" t="str">
        <f t="shared" si="9"/>
        <v>N</v>
      </c>
      <c r="W535" s="12" t="str">
        <f t="array" ref="W535">if(and(L535=0,Q535="NA"),"NA",if(L535=0,"no lice",if(Q535="NA","no collection",index(sea_lice!G:G,match(C535,sea_lice!A:A,0)))))</f>
        <v>no lice</v>
      </c>
      <c r="X535" s="23">
        <v>534.0</v>
      </c>
    </row>
    <row r="536">
      <c r="B536" s="6">
        <v>16156.0</v>
      </c>
      <c r="C536" s="12" t="str">
        <f t="shared" si="1"/>
        <v>U16156</v>
      </c>
      <c r="D536" s="14" t="str">
        <f t="array" ref="D536">iferror(index('2018_ufns'!E:E,match(C536,'2018_ufns'!B:B,0)))</f>
        <v>P1016</v>
      </c>
      <c r="E536" s="14">
        <v>43402.0</v>
      </c>
      <c r="F536" s="40" t="s">
        <v>53</v>
      </c>
      <c r="G536" s="40" t="s">
        <v>54</v>
      </c>
      <c r="H536" s="9">
        <v>6.3</v>
      </c>
      <c r="I536" s="13">
        <v>86.0</v>
      </c>
      <c r="J536" s="13">
        <v>88.0</v>
      </c>
      <c r="K536" s="17">
        <f t="shared" si="5"/>
        <v>0.9244693839</v>
      </c>
      <c r="L536" s="9">
        <v>0.0</v>
      </c>
      <c r="O536" s="9" t="s">
        <v>638</v>
      </c>
      <c r="P536" s="40" t="s">
        <v>1729</v>
      </c>
      <c r="Q536" s="33" t="s">
        <v>150</v>
      </c>
      <c r="R536" s="40" t="s">
        <v>63</v>
      </c>
      <c r="S536" s="9" t="s">
        <v>638</v>
      </c>
      <c r="T536" t="str">
        <f t="shared" si="9"/>
        <v>N</v>
      </c>
      <c r="W536" s="12" t="str">
        <f t="array" ref="W536">if(and(L536=0,Q536="NA"),"NA",if(L536=0,"no lice",if(Q536="NA","no collection",index(sea_lice!G:G,match(C536,sea_lice!A:A,0)))))</f>
        <v>no lice</v>
      </c>
      <c r="X536" s="23">
        <v>535.0</v>
      </c>
    </row>
    <row r="537">
      <c r="B537" s="6">
        <v>16155.0</v>
      </c>
      <c r="C537" s="12" t="str">
        <f t="shared" si="1"/>
        <v>U16155</v>
      </c>
      <c r="D537" s="14" t="str">
        <f t="array" ref="D537">iferror(index('2018_ufns'!E:E,match(C537,'2018_ufns'!B:B,0)))</f>
        <v>P1016</v>
      </c>
      <c r="E537" s="14">
        <v>43402.0</v>
      </c>
      <c r="F537" s="40" t="s">
        <v>53</v>
      </c>
      <c r="G537" s="40" t="s">
        <v>54</v>
      </c>
      <c r="H537" s="9">
        <v>16.8</v>
      </c>
      <c r="I537" s="13">
        <v>115.0</v>
      </c>
      <c r="J537" s="13">
        <v>121.0</v>
      </c>
      <c r="K537" s="17">
        <f t="shared" si="5"/>
        <v>0.9483162025</v>
      </c>
      <c r="L537" s="9">
        <v>0.0</v>
      </c>
      <c r="O537" s="9" t="s">
        <v>638</v>
      </c>
      <c r="P537" s="40" t="s">
        <v>1729</v>
      </c>
      <c r="Q537" s="33" t="s">
        <v>150</v>
      </c>
      <c r="R537" s="40" t="s">
        <v>63</v>
      </c>
      <c r="S537" s="9" t="s">
        <v>638</v>
      </c>
      <c r="T537" t="str">
        <f t="shared" si="9"/>
        <v>N</v>
      </c>
      <c r="W537" s="12" t="str">
        <f t="array" ref="W537">if(and(L537=0,Q537="NA"),"NA",if(L537=0,"no lice",if(Q537="NA","no collection",index(sea_lice!G:G,match(C537,sea_lice!A:A,0)))))</f>
        <v>no lice</v>
      </c>
      <c r="X537" s="23">
        <v>536.0</v>
      </c>
    </row>
    <row r="538">
      <c r="B538" s="6">
        <v>16154.0</v>
      </c>
      <c r="C538" s="12" t="str">
        <f t="shared" si="1"/>
        <v>U16154</v>
      </c>
      <c r="D538" s="14" t="str">
        <f t="array" ref="D538">iferror(index('2018_ufns'!E:E,match(C538,'2018_ufns'!B:B,0)))</f>
        <v>P1016</v>
      </c>
      <c r="E538" s="14">
        <v>43402.0</v>
      </c>
      <c r="F538" s="40" t="s">
        <v>53</v>
      </c>
      <c r="G538" s="40" t="s">
        <v>54</v>
      </c>
      <c r="H538" s="9">
        <v>21.4</v>
      </c>
      <c r="I538" s="13">
        <v>127.0</v>
      </c>
      <c r="J538" s="13">
        <v>133.0</v>
      </c>
      <c r="K538" s="17">
        <f t="shared" si="5"/>
        <v>0.9096175908</v>
      </c>
      <c r="L538" s="9">
        <v>0.0</v>
      </c>
      <c r="O538" s="9" t="s">
        <v>638</v>
      </c>
      <c r="P538" s="40" t="s">
        <v>1729</v>
      </c>
      <c r="Q538" s="33" t="s">
        <v>150</v>
      </c>
      <c r="R538" s="40" t="s">
        <v>63</v>
      </c>
      <c r="S538" s="9" t="s">
        <v>638</v>
      </c>
      <c r="T538" t="str">
        <f t="shared" si="9"/>
        <v>N</v>
      </c>
      <c r="W538" s="12" t="str">
        <f t="array" ref="W538">if(and(L538=0,Q538="NA"),"NA",if(L538=0,"no lice",if(Q538="NA","no collection",index(sea_lice!G:G,match(C538,sea_lice!A:A,0)))))</f>
        <v>no lice</v>
      </c>
      <c r="X538" s="23">
        <v>537.0</v>
      </c>
    </row>
    <row r="539">
      <c r="B539" s="6">
        <v>16342.0</v>
      </c>
      <c r="C539" s="12" t="str">
        <f t="shared" si="1"/>
        <v>U16342</v>
      </c>
      <c r="D539" s="14" t="str">
        <f t="array" ref="D539">iferror(index('2018_ufns'!E:E,match(C539,'2018_ufns'!B:B,0)))</f>
        <v>P1035</v>
      </c>
      <c r="E539" s="14">
        <v>43402.0</v>
      </c>
      <c r="F539" s="40" t="s">
        <v>53</v>
      </c>
      <c r="G539" s="40" t="s">
        <v>54</v>
      </c>
      <c r="H539" s="9">
        <v>7.9</v>
      </c>
      <c r="I539" s="13">
        <v>91.0</v>
      </c>
      <c r="J539" s="13">
        <v>95.0</v>
      </c>
      <c r="K539" s="17">
        <f t="shared" si="5"/>
        <v>0.9214171162</v>
      </c>
      <c r="L539" s="9">
        <v>0.0</v>
      </c>
      <c r="O539" s="9" t="s">
        <v>638</v>
      </c>
      <c r="P539" s="40" t="s">
        <v>1729</v>
      </c>
      <c r="Q539" s="33" t="s">
        <v>150</v>
      </c>
      <c r="R539" s="40" t="s">
        <v>63</v>
      </c>
      <c r="S539" s="9" t="s">
        <v>638</v>
      </c>
      <c r="T539" t="str">
        <f t="shared" si="9"/>
        <v>N</v>
      </c>
      <c r="W539" s="12" t="str">
        <f t="array" ref="W539">if(and(L539=0,Q539="NA"),"NA",if(L539=0,"no lice",if(Q539="NA","no collection",index(sea_lice!G:G,match(C539,sea_lice!A:A,0)))))</f>
        <v>no lice</v>
      </c>
      <c r="X539" s="23">
        <v>538.0</v>
      </c>
    </row>
    <row r="540">
      <c r="B540" s="6">
        <v>16350.0</v>
      </c>
      <c r="C540" s="12" t="str">
        <f t="shared" si="1"/>
        <v>U16350</v>
      </c>
      <c r="D540" s="14" t="str">
        <f t="array" ref="D540">iferror(index('2018_ufns'!E:E,match(C540,'2018_ufns'!B:B,0)))</f>
        <v>P1035</v>
      </c>
      <c r="E540" s="14">
        <v>43402.0</v>
      </c>
      <c r="F540" s="40" t="s">
        <v>53</v>
      </c>
      <c r="G540" s="40" t="s">
        <v>54</v>
      </c>
      <c r="H540" s="9">
        <v>29.5</v>
      </c>
      <c r="I540" s="13">
        <v>138.0</v>
      </c>
      <c r="J540" s="13">
        <v>142.0</v>
      </c>
      <c r="K540" s="17">
        <f t="shared" si="5"/>
        <v>1.030284065</v>
      </c>
      <c r="L540" s="9">
        <v>0.0</v>
      </c>
      <c r="O540" s="9" t="s">
        <v>638</v>
      </c>
      <c r="P540" s="40" t="s">
        <v>1729</v>
      </c>
      <c r="Q540" s="33" t="s">
        <v>150</v>
      </c>
      <c r="R540" s="40" t="s">
        <v>63</v>
      </c>
      <c r="S540" s="9" t="s">
        <v>638</v>
      </c>
      <c r="T540" t="str">
        <f t="shared" si="9"/>
        <v>N</v>
      </c>
      <c r="W540" s="12" t="str">
        <f t="array" ref="W540">if(and(L540=0,Q540="NA"),"NA",if(L540=0,"no lice",if(Q540="NA","no collection",index(sea_lice!G:G,match(C540,sea_lice!A:A,0)))))</f>
        <v>no lice</v>
      </c>
      <c r="X540" s="23">
        <v>539.0</v>
      </c>
    </row>
    <row r="541">
      <c r="B541" s="6">
        <v>16344.0</v>
      </c>
      <c r="C541" s="12" t="str">
        <f t="shared" si="1"/>
        <v>U16344</v>
      </c>
      <c r="D541" s="14" t="str">
        <f t="array" ref="D541">iferror(index('2018_ufns'!E:E,match(C541,'2018_ufns'!B:B,0)))</f>
        <v>P1035</v>
      </c>
      <c r="E541" s="14">
        <v>43402.0</v>
      </c>
      <c r="F541" s="40" t="s">
        <v>53</v>
      </c>
      <c r="G541" s="40" t="s">
        <v>54</v>
      </c>
      <c r="H541" s="9">
        <v>42.2</v>
      </c>
      <c r="I541" s="13">
        <v>157.0</v>
      </c>
      <c r="J541" s="13">
        <v>164.0</v>
      </c>
      <c r="K541" s="17">
        <f t="shared" si="5"/>
        <v>0.9567113071</v>
      </c>
      <c r="L541" s="9">
        <v>1.0</v>
      </c>
      <c r="O541" s="9" t="s">
        <v>638</v>
      </c>
      <c r="P541" s="40" t="s">
        <v>1729</v>
      </c>
      <c r="Q541" s="33" t="s">
        <v>150</v>
      </c>
      <c r="R541" s="40" t="s">
        <v>63</v>
      </c>
      <c r="S541" s="9" t="s">
        <v>638</v>
      </c>
      <c r="T541" t="str">
        <f t="shared" si="9"/>
        <v>N</v>
      </c>
      <c r="W541" s="12" t="str">
        <f t="array" ref="W541">if(and(L541=0,Q541="NA"),"NA",if(L541=0,"no lice",if(Q541="NA","no collection",index(sea_lice!G:G,match(C541,sea_lice!A:A,0)))))</f>
        <v>BSL6-40</v>
      </c>
      <c r="X541" s="23">
        <v>540.0</v>
      </c>
    </row>
    <row r="542">
      <c r="B542" s="6">
        <v>16341.0</v>
      </c>
      <c r="C542" s="12" t="str">
        <f t="shared" si="1"/>
        <v>U16341</v>
      </c>
      <c r="D542" s="14" t="str">
        <f t="array" ref="D542">iferror(index('2018_ufns'!E:E,match(C542,'2018_ufns'!B:B,0)))</f>
        <v>P1035</v>
      </c>
      <c r="E542" s="14">
        <v>43402.0</v>
      </c>
      <c r="F542" s="40" t="s">
        <v>53</v>
      </c>
      <c r="G542" s="40" t="s">
        <v>54</v>
      </c>
      <c r="H542" s="9">
        <v>7.1</v>
      </c>
      <c r="I542" s="13">
        <v>86.0</v>
      </c>
      <c r="J542" s="13" t="s">
        <v>63</v>
      </c>
      <c r="K542" s="17" t="str">
        <f t="shared" si="5"/>
        <v/>
      </c>
      <c r="L542" s="9">
        <v>1.0</v>
      </c>
      <c r="O542" s="9" t="s">
        <v>638</v>
      </c>
      <c r="P542" s="40" t="s">
        <v>1729</v>
      </c>
      <c r="Q542" s="33" t="s">
        <v>150</v>
      </c>
      <c r="R542" s="40" t="s">
        <v>63</v>
      </c>
      <c r="S542" s="9" t="s">
        <v>638</v>
      </c>
      <c r="T542" t="str">
        <f t="shared" si="9"/>
        <v>N</v>
      </c>
      <c r="W542" s="12" t="str">
        <f t="array" ref="W542">if(and(L542=0,Q542="NA"),"NA",if(L542=0,"no lice",if(Q542="NA","no collection",index(sea_lice!G:G,match(C542,sea_lice!A:A,0)))))</f>
        <v>BSL6-41</v>
      </c>
      <c r="X542" s="23">
        <v>541.0</v>
      </c>
    </row>
    <row r="543">
      <c r="B543" s="6">
        <v>16343.0</v>
      </c>
      <c r="C543" s="12" t="str">
        <f t="shared" si="1"/>
        <v>U16343</v>
      </c>
      <c r="D543" s="14" t="str">
        <f t="array" ref="D543">iferror(index('2018_ufns'!E:E,match(C543,'2018_ufns'!B:B,0)))</f>
        <v>P1035</v>
      </c>
      <c r="E543" s="14">
        <v>43402.0</v>
      </c>
      <c r="F543" s="40" t="s">
        <v>53</v>
      </c>
      <c r="G543" s="40" t="s">
        <v>54</v>
      </c>
      <c r="H543" s="9">
        <v>12.9</v>
      </c>
      <c r="I543" s="13">
        <v>109.0</v>
      </c>
      <c r="J543" s="13">
        <v>115.0</v>
      </c>
      <c r="K543" s="17">
        <f t="shared" si="5"/>
        <v>0.8481959398</v>
      </c>
      <c r="L543" s="9">
        <v>0.0</v>
      </c>
      <c r="O543" s="9" t="s">
        <v>638</v>
      </c>
      <c r="P543" s="40" t="s">
        <v>1729</v>
      </c>
      <c r="Q543" s="33" t="s">
        <v>150</v>
      </c>
      <c r="R543" s="40" t="s">
        <v>63</v>
      </c>
      <c r="S543" s="9" t="s">
        <v>638</v>
      </c>
      <c r="T543" t="str">
        <f t="shared" si="9"/>
        <v>N</v>
      </c>
      <c r="W543" s="12" t="str">
        <f t="array" ref="W543">if(and(L543=0,Q543="NA"),"NA",if(L543=0,"no lice",if(Q543="NA","no collection",index(sea_lice!G:G,match(C543,sea_lice!A:A,0)))))</f>
        <v>no lice</v>
      </c>
      <c r="X543" s="23">
        <v>542.0</v>
      </c>
    </row>
    <row r="544">
      <c r="B544" s="6">
        <v>16971.0</v>
      </c>
      <c r="C544" s="12" t="str">
        <f t="shared" si="1"/>
        <v>U16971</v>
      </c>
      <c r="D544" s="14" t="str">
        <f t="array" ref="D544">iferror(index('2018_ufns'!E:E,match(C544,'2018_ufns'!B:B,0)))</f>
        <v>P1098</v>
      </c>
      <c r="E544" s="14">
        <v>43404.0</v>
      </c>
      <c r="F544" s="40" t="s">
        <v>53</v>
      </c>
      <c r="G544" s="40" t="s">
        <v>54</v>
      </c>
      <c r="H544" s="9">
        <v>9.2</v>
      </c>
      <c r="I544" s="13">
        <v>90.0</v>
      </c>
      <c r="J544" s="13" t="s">
        <v>63</v>
      </c>
      <c r="K544" s="17" t="str">
        <f t="shared" si="5"/>
        <v/>
      </c>
      <c r="L544" s="9">
        <v>1.0</v>
      </c>
      <c r="O544" s="9" t="s">
        <v>221</v>
      </c>
      <c r="P544" s="40" t="s">
        <v>1729</v>
      </c>
      <c r="Q544" s="33" t="s">
        <v>150</v>
      </c>
      <c r="R544" s="40" t="s">
        <v>63</v>
      </c>
      <c r="S544" s="9" t="s">
        <v>638</v>
      </c>
      <c r="T544" t="str">
        <f t="shared" si="9"/>
        <v>N</v>
      </c>
      <c r="W544" s="12" t="str">
        <f t="array" ref="W544">if(and(L544=0,Q544="NA"),"NA",if(L544=0,"no lice",if(Q544="NA","no collection",index(sea_lice!G:G,match(C544,sea_lice!A:A,0)))))</f>
        <v>BSL6-42</v>
      </c>
      <c r="X544" s="23">
        <v>543.0</v>
      </c>
    </row>
    <row r="545">
      <c r="B545" s="6">
        <v>16972.0</v>
      </c>
      <c r="C545" s="12" t="str">
        <f t="shared" si="1"/>
        <v>U16972</v>
      </c>
      <c r="D545" s="14" t="str">
        <f t="array" ref="D545">iferror(index('2018_ufns'!E:E,match(C545,'2018_ufns'!B:B,0)))</f>
        <v>P1098</v>
      </c>
      <c r="E545" s="14">
        <v>43404.0</v>
      </c>
      <c r="F545" s="40" t="s">
        <v>53</v>
      </c>
      <c r="G545" s="40" t="s">
        <v>54</v>
      </c>
      <c r="H545" s="9">
        <v>9.0</v>
      </c>
      <c r="I545" s="13">
        <v>95.0</v>
      </c>
      <c r="J545" s="13" t="s">
        <v>63</v>
      </c>
      <c r="K545" s="17" t="str">
        <f t="shared" si="5"/>
        <v/>
      </c>
      <c r="L545" s="9">
        <v>0.0</v>
      </c>
      <c r="O545" s="40" t="s">
        <v>221</v>
      </c>
      <c r="P545" s="40" t="s">
        <v>1729</v>
      </c>
      <c r="Q545" s="33" t="s">
        <v>150</v>
      </c>
      <c r="R545" s="40" t="s">
        <v>63</v>
      </c>
      <c r="S545" s="9" t="s">
        <v>638</v>
      </c>
      <c r="T545" t="str">
        <f t="shared" si="9"/>
        <v>N</v>
      </c>
      <c r="W545" s="12" t="str">
        <f t="array" ref="W545">if(and(L545=0,Q545="NA"),"NA",if(L545=0,"no lice",if(Q545="NA","no collection",index(sea_lice!G:G,match(C545,sea_lice!A:A,0)))))</f>
        <v>no lice</v>
      </c>
      <c r="X545" s="23">
        <v>544.0</v>
      </c>
    </row>
    <row r="546">
      <c r="B546" s="6">
        <v>16973.0</v>
      </c>
      <c r="C546" s="12" t="str">
        <f t="shared" si="1"/>
        <v>U16973</v>
      </c>
      <c r="D546" s="14" t="str">
        <f t="array" ref="D546">iferror(index('2018_ufns'!E:E,match(C546,'2018_ufns'!B:B,0)))</f>
        <v>P1098</v>
      </c>
      <c r="E546" s="14">
        <v>43404.0</v>
      </c>
      <c r="F546" s="40" t="s">
        <v>53</v>
      </c>
      <c r="G546" s="40" t="s">
        <v>54</v>
      </c>
      <c r="H546" s="9">
        <v>8.6</v>
      </c>
      <c r="I546" s="13">
        <v>93.0</v>
      </c>
      <c r="J546" s="13">
        <v>97.0</v>
      </c>
      <c r="K546" s="17">
        <f t="shared" si="5"/>
        <v>0.9422871061</v>
      </c>
      <c r="L546" s="9">
        <v>0.0</v>
      </c>
      <c r="O546" s="40" t="s">
        <v>221</v>
      </c>
      <c r="P546" s="40" t="s">
        <v>1729</v>
      </c>
      <c r="Q546" s="33" t="s">
        <v>150</v>
      </c>
      <c r="R546" s="40" t="s">
        <v>63</v>
      </c>
      <c r="S546" s="9" t="s">
        <v>638</v>
      </c>
      <c r="T546" t="str">
        <f t="shared" si="9"/>
        <v>N</v>
      </c>
      <c r="W546" s="12" t="str">
        <f t="array" ref="W546">if(and(L546=0,Q546="NA"),"NA",if(L546=0,"no lice",if(Q546="NA","no collection",index(sea_lice!G:G,match(C546,sea_lice!A:A,0)))))</f>
        <v>no lice</v>
      </c>
      <c r="X546" s="23">
        <v>545.0</v>
      </c>
    </row>
    <row r="547">
      <c r="B547" s="6">
        <v>16974.0</v>
      </c>
      <c r="C547" s="12" t="str">
        <f t="shared" si="1"/>
        <v>U16974</v>
      </c>
      <c r="D547" s="14" t="str">
        <f t="array" ref="D547">iferror(index('2018_ufns'!E:E,match(C547,'2018_ufns'!B:B,0)))</f>
        <v>P1098</v>
      </c>
      <c r="E547" s="14">
        <v>43404.0</v>
      </c>
      <c r="F547" s="40" t="s">
        <v>53</v>
      </c>
      <c r="G547" s="40" t="s">
        <v>54</v>
      </c>
      <c r="H547" s="9">
        <v>4.8</v>
      </c>
      <c r="I547" s="13">
        <v>80.0</v>
      </c>
      <c r="J547" s="13">
        <v>86.0</v>
      </c>
      <c r="K547" s="17">
        <f t="shared" si="5"/>
        <v>0.7546505339</v>
      </c>
      <c r="L547" s="9">
        <v>0.0</v>
      </c>
      <c r="O547" s="40" t="s">
        <v>221</v>
      </c>
      <c r="P547" s="40" t="s">
        <v>1729</v>
      </c>
      <c r="Q547" s="33" t="s">
        <v>150</v>
      </c>
      <c r="R547" s="40" t="s">
        <v>63</v>
      </c>
      <c r="S547" s="9" t="s">
        <v>638</v>
      </c>
      <c r="T547" t="str">
        <f t="shared" si="9"/>
        <v>N</v>
      </c>
      <c r="W547" s="12" t="str">
        <f t="array" ref="W547">if(and(L547=0,Q547="NA"),"NA",if(L547=0,"no lice",if(Q547="NA","no collection",index(sea_lice!G:G,match(C547,sea_lice!A:A,0)))))</f>
        <v>no lice</v>
      </c>
      <c r="X547" s="23">
        <v>546.0</v>
      </c>
    </row>
    <row r="548">
      <c r="B548" s="6">
        <v>16979.0</v>
      </c>
      <c r="C548" s="12" t="str">
        <f t="shared" si="1"/>
        <v>U16979</v>
      </c>
      <c r="D548" s="14" t="str">
        <f t="array" ref="D548">iferror(index('2018_ufns'!E:E,match(C548,'2018_ufns'!B:B,0)))</f>
        <v>P1098</v>
      </c>
      <c r="E548" s="14">
        <v>43404.0</v>
      </c>
      <c r="F548" s="40" t="s">
        <v>53</v>
      </c>
      <c r="G548" s="40" t="s">
        <v>54</v>
      </c>
      <c r="H548" s="9">
        <v>10.0</v>
      </c>
      <c r="I548" s="13">
        <v>96.0</v>
      </c>
      <c r="J548" s="13">
        <v>100.0</v>
      </c>
      <c r="K548" s="17">
        <f t="shared" si="5"/>
        <v>1</v>
      </c>
      <c r="L548" s="9">
        <v>0.0</v>
      </c>
      <c r="O548" s="40" t="s">
        <v>221</v>
      </c>
      <c r="P548" s="40" t="s">
        <v>1729</v>
      </c>
      <c r="Q548" s="33" t="s">
        <v>150</v>
      </c>
      <c r="R548" s="40" t="s">
        <v>63</v>
      </c>
      <c r="S548" s="9" t="s">
        <v>638</v>
      </c>
      <c r="T548" t="str">
        <f t="shared" si="9"/>
        <v>N</v>
      </c>
      <c r="W548" s="12" t="str">
        <f t="array" ref="W548">if(and(L548=0,Q548="NA"),"NA",if(L548=0,"no lice",if(Q548="NA","no collection",index(sea_lice!G:G,match(C548,sea_lice!A:A,0)))))</f>
        <v>no lice</v>
      </c>
      <c r="X548" s="23">
        <v>547.0</v>
      </c>
    </row>
    <row r="549">
      <c r="B549" s="6">
        <v>16975.0</v>
      </c>
      <c r="C549" s="12" t="str">
        <f t="shared" si="1"/>
        <v>U16975</v>
      </c>
      <c r="D549" s="14" t="str">
        <f t="array" ref="D549">iferror(index('2018_ufns'!E:E,match(C549,'2018_ufns'!B:B,0)))</f>
        <v>P1098</v>
      </c>
      <c r="E549" s="14">
        <v>43404.0</v>
      </c>
      <c r="F549" s="40" t="s">
        <v>53</v>
      </c>
      <c r="G549" s="40" t="s">
        <v>54</v>
      </c>
      <c r="H549" s="9">
        <v>13.0</v>
      </c>
      <c r="I549" s="13">
        <v>102.0</v>
      </c>
      <c r="J549" s="13">
        <v>107.0</v>
      </c>
      <c r="K549" s="17">
        <f t="shared" si="5"/>
        <v>1.06118724</v>
      </c>
      <c r="L549" s="9">
        <v>0.0</v>
      </c>
      <c r="N549" s="9" t="s">
        <v>2109</v>
      </c>
      <c r="O549" s="40" t="s">
        <v>221</v>
      </c>
      <c r="P549" s="40" t="s">
        <v>1729</v>
      </c>
      <c r="Q549" s="33" t="s">
        <v>150</v>
      </c>
      <c r="R549" s="40" t="s">
        <v>63</v>
      </c>
      <c r="S549" s="9" t="s">
        <v>638</v>
      </c>
      <c r="T549" t="str">
        <f t="shared" si="9"/>
        <v>N</v>
      </c>
      <c r="W549" s="12" t="str">
        <f t="array" ref="W549">if(and(L549=0,Q549="NA"),"NA",if(L549=0,"no lice",if(Q549="NA","no collection",index(sea_lice!G:G,match(C549,sea_lice!A:A,0)))))</f>
        <v>no lice</v>
      </c>
      <c r="X549" s="23">
        <v>548.0</v>
      </c>
    </row>
    <row r="550">
      <c r="B550" s="6">
        <v>16976.0</v>
      </c>
      <c r="C550" s="12" t="str">
        <f t="shared" si="1"/>
        <v>U16976</v>
      </c>
      <c r="D550" s="14" t="str">
        <f t="array" ref="D550">iferror(index('2018_ufns'!E:E,match(C550,'2018_ufns'!B:B,0)))</f>
        <v>P1098</v>
      </c>
      <c r="E550" s="14">
        <v>43404.0</v>
      </c>
      <c r="F550" s="40" t="s">
        <v>53</v>
      </c>
      <c r="G550" s="40" t="s">
        <v>54</v>
      </c>
      <c r="H550" s="9">
        <v>8.4</v>
      </c>
      <c r="I550" s="13">
        <v>92.0</v>
      </c>
      <c r="J550" s="13">
        <v>97.0</v>
      </c>
      <c r="K550" s="17">
        <f t="shared" si="5"/>
        <v>0.9203734525</v>
      </c>
      <c r="L550" s="9">
        <v>0.0</v>
      </c>
      <c r="O550" s="40" t="s">
        <v>221</v>
      </c>
      <c r="P550" s="40" t="s">
        <v>1729</v>
      </c>
      <c r="Q550" s="33" t="s">
        <v>150</v>
      </c>
      <c r="R550" s="40" t="s">
        <v>63</v>
      </c>
      <c r="S550" s="9" t="s">
        <v>638</v>
      </c>
      <c r="T550" t="str">
        <f t="shared" si="9"/>
        <v>N</v>
      </c>
      <c r="W550" s="12" t="str">
        <f t="array" ref="W550">if(and(L550=0,Q550="NA"),"NA",if(L550=0,"no lice",if(Q550="NA","no collection",index(sea_lice!G:G,match(C550,sea_lice!A:A,0)))))</f>
        <v>no lice</v>
      </c>
      <c r="X550" s="23">
        <v>549.0</v>
      </c>
    </row>
    <row r="551">
      <c r="B551" s="6">
        <v>16977.0</v>
      </c>
      <c r="C551" s="12" t="str">
        <f t="shared" si="1"/>
        <v>U16977</v>
      </c>
      <c r="D551" s="14" t="str">
        <f t="array" ref="D551">iferror(index('2018_ufns'!E:E,match(C551,'2018_ufns'!B:B,0)))</f>
        <v>P1098</v>
      </c>
      <c r="E551" s="14">
        <v>43404.0</v>
      </c>
      <c r="F551" s="40" t="s">
        <v>53</v>
      </c>
      <c r="G551" s="40" t="s">
        <v>54</v>
      </c>
      <c r="H551" s="9">
        <v>11.5</v>
      </c>
      <c r="I551" s="13">
        <v>103.0</v>
      </c>
      <c r="J551" s="13" t="s">
        <v>63</v>
      </c>
      <c r="K551" s="17" t="str">
        <f t="shared" si="5"/>
        <v/>
      </c>
      <c r="L551" s="9">
        <v>0.0</v>
      </c>
      <c r="O551" s="40" t="s">
        <v>221</v>
      </c>
      <c r="P551" s="40" t="s">
        <v>1729</v>
      </c>
      <c r="Q551" s="33" t="s">
        <v>150</v>
      </c>
      <c r="R551" s="40" t="s">
        <v>63</v>
      </c>
      <c r="S551" s="9" t="s">
        <v>638</v>
      </c>
      <c r="T551" t="str">
        <f t="shared" si="9"/>
        <v>N</v>
      </c>
      <c r="W551" s="12" t="str">
        <f t="array" ref="W551">if(and(L551=0,Q551="NA"),"NA",if(L551=0,"no lice",if(Q551="NA","no collection",index(sea_lice!G:G,match(C551,sea_lice!A:A,0)))))</f>
        <v>no lice</v>
      </c>
      <c r="X551" s="23">
        <v>550.0</v>
      </c>
    </row>
    <row r="552">
      <c r="B552" s="6">
        <v>16980.0</v>
      </c>
      <c r="C552" s="12" t="str">
        <f t="shared" si="1"/>
        <v>U16980</v>
      </c>
      <c r="D552" s="14" t="str">
        <f t="array" ref="D552">iferror(index('2018_ufns'!E:E,match(C552,'2018_ufns'!B:B,0)))</f>
        <v>P1098</v>
      </c>
      <c r="E552" s="14">
        <v>43404.0</v>
      </c>
      <c r="F552" s="40" t="s">
        <v>53</v>
      </c>
      <c r="G552" s="40" t="s">
        <v>54</v>
      </c>
      <c r="H552" s="9">
        <v>8.8</v>
      </c>
      <c r="I552" s="13">
        <v>93.0</v>
      </c>
      <c r="J552" s="13">
        <v>98.0</v>
      </c>
      <c r="K552" s="17">
        <f t="shared" si="5"/>
        <v>0.9349845728</v>
      </c>
      <c r="L552" s="9">
        <v>0.0</v>
      </c>
      <c r="O552" s="40" t="s">
        <v>221</v>
      </c>
      <c r="P552" s="40" t="s">
        <v>1729</v>
      </c>
      <c r="Q552" s="33" t="s">
        <v>150</v>
      </c>
      <c r="R552" s="40" t="s">
        <v>63</v>
      </c>
      <c r="S552" s="9" t="s">
        <v>638</v>
      </c>
      <c r="T552" t="str">
        <f t="shared" si="9"/>
        <v>N</v>
      </c>
      <c r="W552" s="12" t="str">
        <f t="array" ref="W552">if(and(L552=0,Q552="NA"),"NA",if(L552=0,"no lice",if(Q552="NA","no collection",index(sea_lice!G:G,match(C552,sea_lice!A:A,0)))))</f>
        <v>no lice</v>
      </c>
      <c r="X552" s="23">
        <v>551.0</v>
      </c>
    </row>
    <row r="553">
      <c r="B553" s="6">
        <v>16978.0</v>
      </c>
      <c r="C553" s="12" t="str">
        <f t="shared" si="1"/>
        <v>U16978</v>
      </c>
      <c r="D553" s="14" t="str">
        <f t="array" ref="D553">iferror(index('2018_ufns'!E:E,match(C553,'2018_ufns'!B:B,0)))</f>
        <v>P1098</v>
      </c>
      <c r="E553" s="14">
        <v>43404.0</v>
      </c>
      <c r="F553" s="40" t="s">
        <v>53</v>
      </c>
      <c r="G553" s="40" t="s">
        <v>54</v>
      </c>
      <c r="H553" s="9">
        <v>7.7</v>
      </c>
      <c r="I553" s="13">
        <v>89.0</v>
      </c>
      <c r="J553" s="13">
        <v>94.0</v>
      </c>
      <c r="K553" s="17">
        <f t="shared" si="5"/>
        <v>0.9270585516</v>
      </c>
      <c r="L553" s="9">
        <v>1.0</v>
      </c>
      <c r="O553" s="40" t="s">
        <v>221</v>
      </c>
      <c r="P553" s="40" t="s">
        <v>1729</v>
      </c>
      <c r="Q553" s="33" t="s">
        <v>150</v>
      </c>
      <c r="R553" s="40" t="s">
        <v>63</v>
      </c>
      <c r="S553" s="9" t="s">
        <v>638</v>
      </c>
      <c r="T553" t="str">
        <f t="shared" si="9"/>
        <v>N</v>
      </c>
      <c r="W553" s="12" t="str">
        <f t="array" ref="W553">if(and(L553=0,Q553="NA"),"NA",if(L553=0,"no lice",if(Q553="NA","no collection",index(sea_lice!G:G,match(C553,sea_lice!A:A,0)))))</f>
        <v>BSL6-44</v>
      </c>
      <c r="X553" s="23">
        <v>552.0</v>
      </c>
    </row>
    <row r="554">
      <c r="B554" s="6">
        <v>16661.0</v>
      </c>
      <c r="C554" s="12" t="str">
        <f t="shared" si="1"/>
        <v>U16661</v>
      </c>
      <c r="D554" s="14" t="str">
        <f t="array" ref="D554">iferror(index('2018_ufns'!E:E,match(C554,'2018_ufns'!B:B,0)))</f>
        <v>P1067</v>
      </c>
      <c r="E554" s="14">
        <v>43404.0</v>
      </c>
      <c r="F554" s="40" t="s">
        <v>53</v>
      </c>
      <c r="G554" s="40" t="s">
        <v>54</v>
      </c>
      <c r="H554" s="9">
        <v>14.3</v>
      </c>
      <c r="I554" s="13">
        <v>112.0</v>
      </c>
      <c r="J554" s="13">
        <v>117.0</v>
      </c>
      <c r="K554" s="17">
        <f t="shared" si="5"/>
        <v>0.8928498957</v>
      </c>
      <c r="L554" s="9">
        <v>0.0</v>
      </c>
      <c r="O554" s="40" t="s">
        <v>221</v>
      </c>
      <c r="P554" s="40" t="s">
        <v>1729</v>
      </c>
      <c r="Q554" s="33" t="s">
        <v>150</v>
      </c>
      <c r="R554" s="40" t="s">
        <v>63</v>
      </c>
      <c r="S554" s="9" t="s">
        <v>638</v>
      </c>
      <c r="T554" t="str">
        <f t="shared" si="9"/>
        <v>N</v>
      </c>
      <c r="W554" s="12" t="str">
        <f t="array" ref="W554">if(and(L554=0,Q554="NA"),"NA",if(L554=0,"no lice",if(Q554="NA","no collection",index(sea_lice!G:G,match(C554,sea_lice!A:A,0)))))</f>
        <v>no lice</v>
      </c>
      <c r="X554" s="23">
        <v>553.0</v>
      </c>
    </row>
    <row r="555">
      <c r="B555" s="6">
        <v>16662.0</v>
      </c>
      <c r="C555" s="12" t="str">
        <f t="shared" si="1"/>
        <v>U16662</v>
      </c>
      <c r="D555" s="14" t="str">
        <f t="array" ref="D555">iferror(index('2018_ufns'!E:E,match(C555,'2018_ufns'!B:B,0)))</f>
        <v>P1067</v>
      </c>
      <c r="E555" s="14">
        <v>43404.0</v>
      </c>
      <c r="F555" s="40" t="s">
        <v>53</v>
      </c>
      <c r="G555" s="40" t="s">
        <v>54</v>
      </c>
      <c r="H555" s="9">
        <v>9.7</v>
      </c>
      <c r="I555" s="13">
        <v>97.0</v>
      </c>
      <c r="J555" s="13">
        <v>102.0</v>
      </c>
      <c r="K555" s="17">
        <f t="shared" si="5"/>
        <v>0.9140526645</v>
      </c>
      <c r="L555" s="9">
        <v>1.0</v>
      </c>
      <c r="O555" s="40" t="s">
        <v>221</v>
      </c>
      <c r="P555" s="40" t="s">
        <v>1729</v>
      </c>
      <c r="Q555" s="33" t="s">
        <v>150</v>
      </c>
      <c r="R555" s="40" t="s">
        <v>63</v>
      </c>
      <c r="S555" s="9" t="s">
        <v>638</v>
      </c>
      <c r="T555" t="str">
        <f t="shared" si="9"/>
        <v>N</v>
      </c>
      <c r="W555" s="12" t="str">
        <f t="array" ref="W555">if(and(L555=0,Q555="NA"),"NA",if(L555=0,"no lice",if(Q555="NA","no collection",index(sea_lice!G:G,match(C555,sea_lice!A:A,0)))))</f>
        <v>BSL6-45</v>
      </c>
      <c r="X555" s="23">
        <v>554.0</v>
      </c>
    </row>
    <row r="556">
      <c r="B556" s="6">
        <v>16663.0</v>
      </c>
      <c r="C556" s="12" t="str">
        <f t="shared" si="1"/>
        <v>U16663</v>
      </c>
      <c r="D556" s="14" t="str">
        <f t="array" ref="D556">iferror(index('2018_ufns'!E:E,match(C556,'2018_ufns'!B:B,0)))</f>
        <v>P1067</v>
      </c>
      <c r="E556" s="14">
        <v>43404.0</v>
      </c>
      <c r="F556" s="40" t="s">
        <v>53</v>
      </c>
      <c r="G556" s="40" t="s">
        <v>54</v>
      </c>
      <c r="H556" s="9">
        <v>5.6</v>
      </c>
      <c r="I556" s="13">
        <v>83.0</v>
      </c>
      <c r="J556" s="13">
        <v>88.0</v>
      </c>
      <c r="K556" s="17">
        <f t="shared" si="5"/>
        <v>0.8217505635</v>
      </c>
      <c r="L556" s="9">
        <v>0.0</v>
      </c>
      <c r="O556" s="40" t="s">
        <v>221</v>
      </c>
      <c r="P556" s="40" t="s">
        <v>1729</v>
      </c>
      <c r="Q556" s="33" t="s">
        <v>150</v>
      </c>
      <c r="R556" s="40" t="s">
        <v>63</v>
      </c>
      <c r="S556" s="9" t="s">
        <v>638</v>
      </c>
      <c r="T556" t="str">
        <f t="shared" si="9"/>
        <v>N</v>
      </c>
      <c r="W556" s="12" t="str">
        <f t="array" ref="W556">if(and(L556=0,Q556="NA"),"NA",if(L556=0,"no lice",if(Q556="NA","no collection",index(sea_lice!G:G,match(C556,sea_lice!A:A,0)))))</f>
        <v>no lice</v>
      </c>
      <c r="X556" s="23">
        <v>555.0</v>
      </c>
    </row>
    <row r="557">
      <c r="B557" s="6">
        <v>16667.0</v>
      </c>
      <c r="C557" s="12" t="str">
        <f t="shared" si="1"/>
        <v>U16667</v>
      </c>
      <c r="D557" s="14" t="str">
        <f t="array" ref="D557">iferror(index('2018_ufns'!E:E,match(C557,'2018_ufns'!B:B,0)))</f>
        <v>P1067</v>
      </c>
      <c r="E557" s="14">
        <v>43404.0</v>
      </c>
      <c r="F557" s="40" t="s">
        <v>53</v>
      </c>
      <c r="G557" s="40" t="s">
        <v>54</v>
      </c>
      <c r="H557" s="9">
        <v>8.1</v>
      </c>
      <c r="I557" s="13">
        <v>93.0</v>
      </c>
      <c r="J557" s="13">
        <v>97.0</v>
      </c>
      <c r="K557" s="17">
        <f t="shared" si="5"/>
        <v>0.887502972</v>
      </c>
      <c r="L557" s="9">
        <v>0.0</v>
      </c>
      <c r="O557" s="40" t="s">
        <v>221</v>
      </c>
      <c r="P557" s="40" t="s">
        <v>1729</v>
      </c>
      <c r="Q557" s="33" t="s">
        <v>150</v>
      </c>
      <c r="R557" s="40" t="s">
        <v>63</v>
      </c>
      <c r="S557" s="9" t="s">
        <v>638</v>
      </c>
      <c r="T557" t="str">
        <f t="shared" si="9"/>
        <v>N</v>
      </c>
      <c r="W557" s="12" t="str">
        <f t="array" ref="W557">if(and(L557=0,Q557="NA"),"NA",if(L557=0,"no lice",if(Q557="NA","no collection",index(sea_lice!G:G,match(C557,sea_lice!A:A,0)))))</f>
        <v>no lice</v>
      </c>
      <c r="X557" s="23">
        <v>556.0</v>
      </c>
    </row>
    <row r="558">
      <c r="B558" s="6">
        <v>16664.0</v>
      </c>
      <c r="C558" s="12" t="str">
        <f t="shared" si="1"/>
        <v>U16664</v>
      </c>
      <c r="D558" s="14" t="str">
        <f t="array" ref="D558">iferror(index('2018_ufns'!E:E,match(C558,'2018_ufns'!B:B,0)))</f>
        <v>P1067</v>
      </c>
      <c r="E558" s="14">
        <v>43404.0</v>
      </c>
      <c r="F558" s="40" t="s">
        <v>53</v>
      </c>
      <c r="G558" s="40" t="s">
        <v>54</v>
      </c>
      <c r="H558" s="9">
        <v>9.0</v>
      </c>
      <c r="I558" s="13">
        <v>95.0</v>
      </c>
      <c r="J558" s="13">
        <v>101.0</v>
      </c>
      <c r="K558" s="17">
        <f t="shared" si="5"/>
        <v>0.8735311331</v>
      </c>
      <c r="L558" s="9">
        <v>0.0</v>
      </c>
      <c r="O558" s="40" t="s">
        <v>221</v>
      </c>
      <c r="P558" s="40" t="s">
        <v>1729</v>
      </c>
      <c r="Q558" s="33" t="s">
        <v>150</v>
      </c>
      <c r="R558" s="40" t="s">
        <v>63</v>
      </c>
      <c r="S558" s="9" t="s">
        <v>638</v>
      </c>
      <c r="T558" t="str">
        <f t="shared" si="9"/>
        <v>N</v>
      </c>
      <c r="W558" s="12" t="str">
        <f t="array" ref="W558">if(and(L558=0,Q558="NA"),"NA",if(L558=0,"no lice",if(Q558="NA","no collection",index(sea_lice!G:G,match(C558,sea_lice!A:A,0)))))</f>
        <v>no lice</v>
      </c>
      <c r="X558" s="23">
        <v>557.0</v>
      </c>
    </row>
    <row r="559">
      <c r="B559" s="6">
        <v>16665.0</v>
      </c>
      <c r="C559" s="12" t="str">
        <f t="shared" si="1"/>
        <v>U16665</v>
      </c>
      <c r="D559" s="14" t="str">
        <f t="array" ref="D559">iferror(index('2018_ufns'!E:E,match(C559,'2018_ufns'!B:B,0)))</f>
        <v>P1067</v>
      </c>
      <c r="E559" s="14">
        <v>43404.0</v>
      </c>
      <c r="F559" s="40" t="s">
        <v>53</v>
      </c>
      <c r="G559" s="40" t="s">
        <v>54</v>
      </c>
      <c r="H559" s="9">
        <v>6.3</v>
      </c>
      <c r="I559" s="13">
        <v>89.0</v>
      </c>
      <c r="J559" s="13" t="s">
        <v>63</v>
      </c>
      <c r="K559" s="17" t="str">
        <f t="shared" si="5"/>
        <v/>
      </c>
      <c r="L559" s="9">
        <v>0.0</v>
      </c>
      <c r="O559" s="40" t="s">
        <v>221</v>
      </c>
      <c r="P559" s="40" t="s">
        <v>1729</v>
      </c>
      <c r="Q559" s="33" t="s">
        <v>150</v>
      </c>
      <c r="R559" s="40" t="s">
        <v>63</v>
      </c>
      <c r="S559" s="9" t="s">
        <v>638</v>
      </c>
      <c r="T559" t="str">
        <f t="shared" si="9"/>
        <v>N</v>
      </c>
      <c r="W559" s="12" t="str">
        <f t="array" ref="W559">if(and(L559=0,Q559="NA"),"NA",if(L559=0,"no lice",if(Q559="NA","no collection",index(sea_lice!G:G,match(C559,sea_lice!A:A,0)))))</f>
        <v>no lice</v>
      </c>
      <c r="X559" s="23">
        <v>558.0</v>
      </c>
    </row>
    <row r="560">
      <c r="B560" s="6">
        <v>16666.0</v>
      </c>
      <c r="C560" s="12" t="str">
        <f t="shared" si="1"/>
        <v>U16666</v>
      </c>
      <c r="D560" s="14" t="str">
        <f t="array" ref="D560">iferror(index('2018_ufns'!E:E,match(C560,'2018_ufns'!B:B,0)))</f>
        <v>P1067</v>
      </c>
      <c r="E560" s="14">
        <v>43404.0</v>
      </c>
      <c r="F560" s="40" t="s">
        <v>53</v>
      </c>
      <c r="G560" s="40" t="s">
        <v>54</v>
      </c>
      <c r="H560" s="9">
        <v>10.9</v>
      </c>
      <c r="I560" s="13">
        <v>98.0</v>
      </c>
      <c r="J560" s="13">
        <v>104.0</v>
      </c>
      <c r="K560" s="17">
        <f t="shared" si="5"/>
        <v>0.969006031</v>
      </c>
      <c r="L560" s="9">
        <v>0.0</v>
      </c>
      <c r="O560" s="40" t="s">
        <v>221</v>
      </c>
      <c r="P560" s="40" t="s">
        <v>1729</v>
      </c>
      <c r="Q560" s="33" t="s">
        <v>150</v>
      </c>
      <c r="R560" s="40" t="s">
        <v>63</v>
      </c>
      <c r="S560" s="9" t="s">
        <v>638</v>
      </c>
      <c r="T560" t="str">
        <f t="shared" si="9"/>
        <v>N</v>
      </c>
      <c r="W560" s="12" t="str">
        <f t="array" ref="W560">if(and(L560=0,Q560="NA"),"NA",if(L560=0,"no lice",if(Q560="NA","no collection",index(sea_lice!G:G,match(C560,sea_lice!A:A,0)))))</f>
        <v>no lice</v>
      </c>
      <c r="X560" s="23">
        <v>559.0</v>
      </c>
    </row>
    <row r="561">
      <c r="B561" s="6">
        <v>16669.0</v>
      </c>
      <c r="C561" s="12" t="str">
        <f t="shared" si="1"/>
        <v>U16669</v>
      </c>
      <c r="D561" s="14" t="str">
        <f t="array" ref="D561">iferror(index('2018_ufns'!E:E,match(C561,'2018_ufns'!B:B,0)))</f>
        <v>P1067</v>
      </c>
      <c r="E561" s="14">
        <v>43404.0</v>
      </c>
      <c r="F561" s="40" t="s">
        <v>53</v>
      </c>
      <c r="G561" s="40" t="s">
        <v>54</v>
      </c>
      <c r="H561" s="9">
        <v>9.5</v>
      </c>
      <c r="I561" s="13">
        <v>96.0</v>
      </c>
      <c r="J561" s="13">
        <v>99.0</v>
      </c>
      <c r="K561" s="17">
        <f t="shared" si="5"/>
        <v>0.9790796445</v>
      </c>
      <c r="L561" s="9">
        <v>0.0</v>
      </c>
      <c r="O561" s="40" t="s">
        <v>221</v>
      </c>
      <c r="P561" s="40" t="s">
        <v>1729</v>
      </c>
      <c r="Q561" s="33" t="s">
        <v>150</v>
      </c>
      <c r="R561" s="40" t="s">
        <v>63</v>
      </c>
      <c r="S561" s="9" t="s">
        <v>638</v>
      </c>
      <c r="T561" t="str">
        <f t="shared" si="9"/>
        <v>N</v>
      </c>
      <c r="W561" s="12" t="str">
        <f t="array" ref="W561">if(and(L561=0,Q561="NA"),"NA",if(L561=0,"no lice",if(Q561="NA","no collection",index(sea_lice!G:G,match(C561,sea_lice!A:A,0)))))</f>
        <v>no lice</v>
      </c>
      <c r="X561" s="23">
        <v>560.0</v>
      </c>
    </row>
    <row r="562">
      <c r="B562" s="6">
        <v>16668.0</v>
      </c>
      <c r="C562" s="12" t="str">
        <f t="shared" si="1"/>
        <v>U16668</v>
      </c>
      <c r="D562" s="14" t="str">
        <f t="array" ref="D562">iferror(index('2018_ufns'!E:E,match(C562,'2018_ufns'!B:B,0)))</f>
        <v>P1067</v>
      </c>
      <c r="E562" s="14">
        <v>43404.0</v>
      </c>
      <c r="F562" s="40" t="s">
        <v>53</v>
      </c>
      <c r="G562" s="40" t="s">
        <v>54</v>
      </c>
      <c r="H562" s="9">
        <v>10.8</v>
      </c>
      <c r="I562" s="13">
        <v>99.0</v>
      </c>
      <c r="J562" s="13" t="s">
        <v>63</v>
      </c>
      <c r="K562" s="17" t="str">
        <f t="shared" si="5"/>
        <v/>
      </c>
      <c r="L562" s="9">
        <v>0.0</v>
      </c>
      <c r="O562" s="40" t="s">
        <v>221</v>
      </c>
      <c r="P562" s="40" t="s">
        <v>1729</v>
      </c>
      <c r="Q562" s="33" t="s">
        <v>150</v>
      </c>
      <c r="R562" s="40" t="s">
        <v>63</v>
      </c>
      <c r="S562" s="9" t="s">
        <v>638</v>
      </c>
      <c r="T562" t="str">
        <f t="shared" si="9"/>
        <v>N</v>
      </c>
      <c r="W562" s="12" t="str">
        <f t="array" ref="W562">if(and(L562=0,Q562="NA"),"NA",if(L562=0,"no lice",if(Q562="NA","no collection",index(sea_lice!G:G,match(C562,sea_lice!A:A,0)))))</f>
        <v>no lice</v>
      </c>
      <c r="X562" s="23">
        <v>561.0</v>
      </c>
    </row>
    <row r="563">
      <c r="B563" s="6">
        <v>16670.0</v>
      </c>
      <c r="C563" s="12" t="str">
        <f t="shared" si="1"/>
        <v>U16670</v>
      </c>
      <c r="D563" s="14" t="str">
        <f t="array" ref="D563">iferror(index('2018_ufns'!E:E,match(C563,'2018_ufns'!B:B,0)))</f>
        <v>P1067</v>
      </c>
      <c r="E563" s="14">
        <v>43404.0</v>
      </c>
      <c r="F563" s="40" t="s">
        <v>53</v>
      </c>
      <c r="G563" s="40" t="s">
        <v>54</v>
      </c>
      <c r="H563" s="9">
        <v>7.9</v>
      </c>
      <c r="I563" s="13">
        <v>92.0</v>
      </c>
      <c r="J563" s="13" t="s">
        <v>63</v>
      </c>
      <c r="K563" s="17" t="str">
        <f t="shared" si="5"/>
        <v/>
      </c>
      <c r="L563" s="9">
        <v>0.0</v>
      </c>
      <c r="O563" s="40" t="s">
        <v>221</v>
      </c>
      <c r="P563" s="40" t="s">
        <v>1729</v>
      </c>
      <c r="Q563" s="33" t="s">
        <v>150</v>
      </c>
      <c r="R563" s="40" t="s">
        <v>63</v>
      </c>
      <c r="S563" s="9" t="s">
        <v>638</v>
      </c>
      <c r="T563" t="str">
        <f t="shared" si="9"/>
        <v>N</v>
      </c>
      <c r="W563" s="12" t="str">
        <f t="array" ref="W563">if(and(L563=0,Q563="NA"),"NA",if(L563=0,"no lice",if(Q563="NA","no collection",index(sea_lice!G:G,match(C563,sea_lice!A:A,0)))))</f>
        <v>no lice</v>
      </c>
      <c r="X563" s="23">
        <v>562.0</v>
      </c>
    </row>
    <row r="564">
      <c r="B564" s="6">
        <v>16345.0</v>
      </c>
      <c r="C564" s="12" t="str">
        <f t="shared" si="1"/>
        <v>U16345</v>
      </c>
      <c r="D564" s="14" t="str">
        <f t="array" ref="D564">iferror(index('2018_ufns'!E:E,match(C564,'2018_ufns'!B:B,0)))</f>
        <v>P1035</v>
      </c>
      <c r="E564" s="14">
        <v>43404.0</v>
      </c>
      <c r="F564" s="40" t="s">
        <v>53</v>
      </c>
      <c r="G564" s="40" t="s">
        <v>54</v>
      </c>
      <c r="H564" s="9">
        <v>13.6</v>
      </c>
      <c r="I564" s="13">
        <v>102.0</v>
      </c>
      <c r="J564" s="13">
        <v>107.0</v>
      </c>
      <c r="K564" s="17">
        <f t="shared" si="5"/>
        <v>1.110165113</v>
      </c>
      <c r="L564" s="9">
        <v>0.0</v>
      </c>
      <c r="O564" s="9" t="s">
        <v>638</v>
      </c>
      <c r="P564" s="40" t="s">
        <v>1729</v>
      </c>
      <c r="Q564" s="33" t="s">
        <v>150</v>
      </c>
      <c r="R564" s="40" t="s">
        <v>63</v>
      </c>
      <c r="S564" s="9" t="s">
        <v>221</v>
      </c>
      <c r="T564" t="str">
        <f t="shared" si="9"/>
        <v>N</v>
      </c>
      <c r="W564" s="12" t="str">
        <f t="array" ref="W564">if(and(L564=0,Q564="NA"),"NA",if(L564=0,"no lice",if(Q564="NA","no collection",index(sea_lice!G:G,match(C564,sea_lice!A:A,0)))))</f>
        <v>no lice</v>
      </c>
      <c r="X564" s="23">
        <v>563.0</v>
      </c>
    </row>
    <row r="565">
      <c r="B565" s="6">
        <v>16346.0</v>
      </c>
      <c r="C565" s="12" t="str">
        <f t="shared" si="1"/>
        <v>U16346</v>
      </c>
      <c r="D565" s="14" t="str">
        <f t="array" ref="D565">iferror(index('2018_ufns'!E:E,match(C565,'2018_ufns'!B:B,0)))</f>
        <v>P1035</v>
      </c>
      <c r="E565" s="14">
        <v>43404.0</v>
      </c>
      <c r="F565" s="40" t="s">
        <v>53</v>
      </c>
      <c r="G565" s="40" t="s">
        <v>54</v>
      </c>
      <c r="H565" s="9">
        <v>29.5</v>
      </c>
      <c r="I565" s="13">
        <v>133.0</v>
      </c>
      <c r="J565" s="13">
        <v>139.0</v>
      </c>
      <c r="K565" s="17">
        <f t="shared" si="5"/>
        <v>1.098443227</v>
      </c>
      <c r="L565" s="9">
        <v>0.0</v>
      </c>
      <c r="O565" s="9" t="s">
        <v>638</v>
      </c>
      <c r="P565" s="40" t="s">
        <v>1729</v>
      </c>
      <c r="Q565" s="33" t="s">
        <v>150</v>
      </c>
      <c r="R565" s="40" t="s">
        <v>63</v>
      </c>
      <c r="S565" s="9" t="s">
        <v>221</v>
      </c>
      <c r="T565" t="str">
        <f t="shared" si="9"/>
        <v>N</v>
      </c>
      <c r="W565" s="12" t="str">
        <f t="array" ref="W565">if(and(L565=0,Q565="NA"),"NA",if(L565=0,"no lice",if(Q565="NA","no collection",index(sea_lice!G:G,match(C565,sea_lice!A:A,0)))))</f>
        <v>no lice</v>
      </c>
      <c r="X565" s="23">
        <v>564.0</v>
      </c>
    </row>
    <row r="566">
      <c r="B566" s="6">
        <v>16349.0</v>
      </c>
      <c r="C566" s="12" t="str">
        <f t="shared" si="1"/>
        <v>U16349</v>
      </c>
      <c r="D566" s="14" t="str">
        <f t="array" ref="D566">iferror(index('2018_ufns'!E:E,match(C566,'2018_ufns'!B:B,0)))</f>
        <v>P1035</v>
      </c>
      <c r="E566" s="14">
        <v>43404.0</v>
      </c>
      <c r="F566" s="40" t="s">
        <v>53</v>
      </c>
      <c r="G566" s="40" t="s">
        <v>54</v>
      </c>
      <c r="H566" s="9">
        <v>11.8</v>
      </c>
      <c r="I566" s="13">
        <v>98.0</v>
      </c>
      <c r="J566" s="13">
        <v>103.0</v>
      </c>
      <c r="K566" s="17">
        <f t="shared" si="5"/>
        <v>1.079867158</v>
      </c>
      <c r="L566" s="9">
        <v>0.0</v>
      </c>
      <c r="O566" s="9" t="s">
        <v>638</v>
      </c>
      <c r="P566" s="40" t="s">
        <v>1729</v>
      </c>
      <c r="Q566" s="33" t="s">
        <v>150</v>
      </c>
      <c r="R566" s="40" t="s">
        <v>63</v>
      </c>
      <c r="S566" s="9" t="s">
        <v>221</v>
      </c>
      <c r="T566" t="str">
        <f t="shared" si="9"/>
        <v>N</v>
      </c>
      <c r="W566" s="12" t="str">
        <f t="array" ref="W566">if(and(L566=0,Q566="NA"),"NA",if(L566=0,"no lice",if(Q566="NA","no collection",index(sea_lice!G:G,match(C566,sea_lice!A:A,0)))))</f>
        <v>no lice</v>
      </c>
      <c r="X566" s="23">
        <v>565.0</v>
      </c>
    </row>
    <row r="567">
      <c r="B567" s="6">
        <v>16348.0</v>
      </c>
      <c r="C567" s="12" t="str">
        <f t="shared" si="1"/>
        <v>U16348</v>
      </c>
      <c r="D567" s="14" t="str">
        <f t="array" ref="D567">iferror(index('2018_ufns'!E:E,match(C567,'2018_ufns'!B:B,0)))</f>
        <v>P1035</v>
      </c>
      <c r="E567" s="14">
        <v>43404.0</v>
      </c>
      <c r="F567" s="33" t="s">
        <v>31</v>
      </c>
      <c r="G567" s="33" t="s">
        <v>268</v>
      </c>
      <c r="H567" s="9">
        <v>30.4</v>
      </c>
      <c r="I567" s="13">
        <v>138.0</v>
      </c>
      <c r="J567" s="13">
        <v>145.0</v>
      </c>
      <c r="K567" s="17">
        <f t="shared" si="5"/>
        <v>0.9971708557</v>
      </c>
      <c r="L567" s="9">
        <v>0.0</v>
      </c>
      <c r="M567" s="9" t="s">
        <v>2113</v>
      </c>
      <c r="O567" s="9" t="s">
        <v>638</v>
      </c>
      <c r="P567" s="40" t="s">
        <v>1729</v>
      </c>
      <c r="Q567" s="33" t="s">
        <v>150</v>
      </c>
      <c r="R567" s="40" t="s">
        <v>63</v>
      </c>
      <c r="S567" s="9" t="s">
        <v>221</v>
      </c>
      <c r="T567" t="str">
        <f t="shared" si="9"/>
        <v>N</v>
      </c>
      <c r="W567" s="12" t="str">
        <f t="array" ref="W567">if(and(L567=0,Q567="NA"),"NA",if(L567=0,"no lice",if(Q567="NA","no collection",index(sea_lice!G:G,match(C567,sea_lice!A:A,0)))))</f>
        <v>no lice</v>
      </c>
      <c r="X567" s="23">
        <v>566.0</v>
      </c>
    </row>
    <row r="568">
      <c r="B568" s="6">
        <v>16347.0</v>
      </c>
      <c r="C568" s="12" t="str">
        <f t="shared" si="1"/>
        <v>U16347</v>
      </c>
      <c r="D568" s="14" t="str">
        <f t="array" ref="D568">iferror(index('2018_ufns'!E:E,match(C568,'2018_ufns'!B:B,0)))</f>
        <v>P1035</v>
      </c>
      <c r="E568" s="14">
        <v>43404.0</v>
      </c>
      <c r="F568" s="40" t="s">
        <v>53</v>
      </c>
      <c r="G568" s="40" t="s">
        <v>54</v>
      </c>
      <c r="H568" s="9">
        <v>32.2</v>
      </c>
      <c r="I568" s="13">
        <v>139.0</v>
      </c>
      <c r="J568" s="13">
        <v>145.0</v>
      </c>
      <c r="K568" s="17">
        <f t="shared" si="5"/>
        <v>1.056213867</v>
      </c>
      <c r="L568" s="9">
        <v>0.0</v>
      </c>
      <c r="O568" s="9" t="s">
        <v>638</v>
      </c>
      <c r="P568" s="40" t="s">
        <v>1729</v>
      </c>
      <c r="Q568" s="33" t="s">
        <v>150</v>
      </c>
      <c r="R568" s="40" t="s">
        <v>63</v>
      </c>
      <c r="S568" s="9" t="s">
        <v>221</v>
      </c>
      <c r="T568" t="str">
        <f t="shared" si="9"/>
        <v>N</v>
      </c>
      <c r="W568" s="12" t="str">
        <f t="array" ref="W568">if(and(L568=0,Q568="NA"),"NA",if(L568=0,"no lice",if(Q568="NA","no collection",index(sea_lice!G:G,match(C568,sea_lice!A:A,0)))))</f>
        <v>no lice</v>
      </c>
      <c r="X568" s="23">
        <v>567.0</v>
      </c>
    </row>
    <row r="569">
      <c r="B569" s="6">
        <v>16717.0</v>
      </c>
      <c r="C569" s="12" t="str">
        <f t="shared" si="1"/>
        <v>U16717</v>
      </c>
      <c r="D569" s="14" t="str">
        <f t="array" ref="D569">iferror(index('2018_ufns'!E:E,match(C569,'2018_ufns'!B:B,0)))</f>
        <v>P1072</v>
      </c>
      <c r="E569" s="14">
        <v>43404.0</v>
      </c>
      <c r="F569" s="40" t="s">
        <v>53</v>
      </c>
      <c r="G569" s="40" t="s">
        <v>54</v>
      </c>
      <c r="H569" s="9">
        <v>18.5</v>
      </c>
      <c r="I569" s="13">
        <v>121.0</v>
      </c>
      <c r="J569" s="13">
        <v>126.0</v>
      </c>
      <c r="K569" s="17">
        <f t="shared" si="5"/>
        <v>0.9248261327</v>
      </c>
      <c r="L569" s="9">
        <v>0.0</v>
      </c>
      <c r="O569" s="9" t="s">
        <v>638</v>
      </c>
      <c r="P569" s="40" t="s">
        <v>1729</v>
      </c>
      <c r="Q569" s="33" t="s">
        <v>150</v>
      </c>
      <c r="R569" s="40" t="s">
        <v>63</v>
      </c>
      <c r="S569" s="9" t="s">
        <v>221</v>
      </c>
      <c r="T569" t="str">
        <f t="shared" si="9"/>
        <v>N</v>
      </c>
      <c r="W569" s="12" t="str">
        <f t="array" ref="W569">if(and(L569=0,Q569="NA"),"NA",if(L569=0,"no lice",if(Q569="NA","no collection",index(sea_lice!G:G,match(C569,sea_lice!A:A,0)))))</f>
        <v>no lice</v>
      </c>
      <c r="X569" s="23">
        <v>568.0</v>
      </c>
    </row>
    <row r="570">
      <c r="B570" s="6">
        <v>16718.0</v>
      </c>
      <c r="C570" s="12" t="str">
        <f t="shared" si="1"/>
        <v>U16718</v>
      </c>
      <c r="D570" s="14" t="str">
        <f t="array" ref="D570">iferror(index('2018_ufns'!E:E,match(C570,'2018_ufns'!B:B,0)))</f>
        <v>P1072</v>
      </c>
      <c r="E570" s="14">
        <v>43404.0</v>
      </c>
      <c r="F570" s="40" t="s">
        <v>53</v>
      </c>
      <c r="G570" s="40" t="s">
        <v>54</v>
      </c>
      <c r="H570" s="9">
        <v>9.0</v>
      </c>
      <c r="I570" s="13">
        <v>97.0</v>
      </c>
      <c r="J570" s="13" t="s">
        <v>63</v>
      </c>
      <c r="K570" s="17" t="str">
        <f t="shared" si="5"/>
        <v/>
      </c>
      <c r="L570" s="9">
        <v>0.0</v>
      </c>
      <c r="O570" s="9" t="s">
        <v>638</v>
      </c>
      <c r="P570" s="40" t="s">
        <v>1729</v>
      </c>
      <c r="Q570" s="33" t="s">
        <v>150</v>
      </c>
      <c r="R570" s="40" t="s">
        <v>63</v>
      </c>
      <c r="S570" s="9" t="s">
        <v>221</v>
      </c>
      <c r="T570" t="str">
        <f t="shared" si="9"/>
        <v>N</v>
      </c>
      <c r="W570" s="12" t="str">
        <f t="array" ref="W570">if(and(L570=0,Q570="NA"),"NA",if(L570=0,"no lice",if(Q570="NA","no collection",index(sea_lice!G:G,match(C570,sea_lice!A:A,0)))))</f>
        <v>no lice</v>
      </c>
      <c r="X570" s="23">
        <v>569.0</v>
      </c>
    </row>
    <row r="571">
      <c r="B571" s="6">
        <v>16716.0</v>
      </c>
      <c r="C571" s="12" t="str">
        <f t="shared" si="1"/>
        <v>U16716</v>
      </c>
      <c r="D571" s="14" t="str">
        <f t="array" ref="D571">iferror(index('2018_ufns'!E:E,match(C571,'2018_ufns'!B:B,0)))</f>
        <v>P1072</v>
      </c>
      <c r="E571" s="14">
        <v>43404.0</v>
      </c>
      <c r="F571" s="40" t="s">
        <v>53</v>
      </c>
      <c r="G571" s="40" t="s">
        <v>54</v>
      </c>
      <c r="H571" s="9">
        <v>12.0</v>
      </c>
      <c r="I571" s="13">
        <v>104.0</v>
      </c>
      <c r="J571" s="13">
        <v>109.0</v>
      </c>
      <c r="K571" s="17">
        <f t="shared" si="5"/>
        <v>0.9266201761</v>
      </c>
      <c r="L571" s="9">
        <v>0.0</v>
      </c>
      <c r="O571" s="9" t="s">
        <v>638</v>
      </c>
      <c r="P571" s="40" t="s">
        <v>1729</v>
      </c>
      <c r="Q571" s="33" t="s">
        <v>150</v>
      </c>
      <c r="R571" s="40" t="s">
        <v>63</v>
      </c>
      <c r="S571" s="9" t="s">
        <v>221</v>
      </c>
      <c r="T571" t="str">
        <f t="shared" si="9"/>
        <v>N</v>
      </c>
      <c r="W571" s="12" t="str">
        <f t="array" ref="W571">if(and(L571=0,Q571="NA"),"NA",if(L571=0,"no lice",if(Q571="NA","no collection",index(sea_lice!G:G,match(C571,sea_lice!A:A,0)))))</f>
        <v>no lice</v>
      </c>
      <c r="X571" s="23">
        <v>570.0</v>
      </c>
    </row>
    <row r="572">
      <c r="B572" s="6">
        <v>16719.0</v>
      </c>
      <c r="C572" s="12" t="str">
        <f t="shared" si="1"/>
        <v>U16719</v>
      </c>
      <c r="D572" s="14" t="str">
        <f t="array" ref="D572">iferror(index('2018_ufns'!E:E,match(C572,'2018_ufns'!B:B,0)))</f>
        <v>P1072</v>
      </c>
      <c r="E572" s="14">
        <v>43404.0</v>
      </c>
      <c r="F572" s="40" t="s">
        <v>53</v>
      </c>
      <c r="G572" s="40" t="s">
        <v>54</v>
      </c>
      <c r="H572" s="9">
        <v>8.3</v>
      </c>
      <c r="I572" s="13">
        <v>95.0</v>
      </c>
      <c r="J572" s="13">
        <v>99.0</v>
      </c>
      <c r="K572" s="17">
        <f t="shared" si="5"/>
        <v>0.8554064263</v>
      </c>
      <c r="L572" s="9">
        <v>1.0</v>
      </c>
      <c r="O572" s="9" t="s">
        <v>638</v>
      </c>
      <c r="P572" s="40" t="s">
        <v>1729</v>
      </c>
      <c r="Q572" s="33" t="s">
        <v>150</v>
      </c>
      <c r="R572" s="40" t="s">
        <v>63</v>
      </c>
      <c r="S572" s="9" t="s">
        <v>221</v>
      </c>
      <c r="T572" t="str">
        <f t="shared" si="9"/>
        <v>N</v>
      </c>
      <c r="W572" s="12" t="str">
        <f t="array" ref="W572">if(and(L572=0,Q572="NA"),"NA",if(L572=0,"no lice",if(Q572="NA","no collection",index(sea_lice!G:G,match(C572,sea_lice!A:A,0)))))</f>
        <v>BSL6-43</v>
      </c>
      <c r="X572" s="23">
        <v>571.0</v>
      </c>
    </row>
    <row r="573">
      <c r="B573" s="6">
        <v>16720.0</v>
      </c>
      <c r="C573" s="12" t="str">
        <f t="shared" si="1"/>
        <v>U16720</v>
      </c>
      <c r="D573" s="14" t="str">
        <f t="array" ref="D573">iferror(index('2018_ufns'!E:E,match(C573,'2018_ufns'!B:B,0)))</f>
        <v>P1072</v>
      </c>
      <c r="E573" s="14">
        <v>43404.0</v>
      </c>
      <c r="F573" s="40" t="s">
        <v>53</v>
      </c>
      <c r="G573" s="40" t="s">
        <v>54</v>
      </c>
      <c r="H573" s="9">
        <v>9.1</v>
      </c>
      <c r="I573" s="13">
        <v>91.0</v>
      </c>
      <c r="J573" s="13">
        <v>96.0</v>
      </c>
      <c r="K573" s="17">
        <f t="shared" si="5"/>
        <v>1.028555411</v>
      </c>
      <c r="L573" s="9">
        <v>0.0</v>
      </c>
      <c r="O573" s="9" t="s">
        <v>638</v>
      </c>
      <c r="P573" s="40" t="s">
        <v>1729</v>
      </c>
      <c r="Q573" s="33" t="s">
        <v>150</v>
      </c>
      <c r="R573" s="40" t="s">
        <v>63</v>
      </c>
      <c r="S573" s="9" t="s">
        <v>221</v>
      </c>
      <c r="T573" t="str">
        <f t="shared" si="9"/>
        <v>N</v>
      </c>
      <c r="W573" s="12" t="str">
        <f t="array" ref="W573">if(and(L573=0,Q573="NA"),"NA",if(L573=0,"no lice",if(Q573="NA","no collection",index(sea_lice!G:G,match(C573,sea_lice!A:A,0)))))</f>
        <v>no lice</v>
      </c>
      <c r="X573" s="23">
        <v>572.0</v>
      </c>
    </row>
    <row r="574">
      <c r="B574" s="6">
        <v>16711.0</v>
      </c>
      <c r="C574" s="12" t="str">
        <f t="shared" si="1"/>
        <v>U16711</v>
      </c>
      <c r="D574" s="14" t="str">
        <f t="array" ref="D574">iferror(index('2018_ufns'!E:E,match(C574,'2018_ufns'!B:B,0)))</f>
        <v>P1072</v>
      </c>
      <c r="E574" s="14">
        <v>43404.0</v>
      </c>
      <c r="F574" s="40" t="s">
        <v>53</v>
      </c>
      <c r="G574" s="40" t="s">
        <v>54</v>
      </c>
      <c r="H574" s="9">
        <v>13.7</v>
      </c>
      <c r="I574" s="13">
        <v>109.0</v>
      </c>
      <c r="J574" s="13" t="s">
        <v>63</v>
      </c>
      <c r="K574" s="17" t="str">
        <f t="shared" si="5"/>
        <v/>
      </c>
      <c r="L574" s="9">
        <v>0.0</v>
      </c>
      <c r="O574" s="9" t="s">
        <v>638</v>
      </c>
      <c r="P574" s="40" t="s">
        <v>1729</v>
      </c>
      <c r="Q574" s="33" t="s">
        <v>150</v>
      </c>
      <c r="R574" s="40" t="s">
        <v>63</v>
      </c>
      <c r="S574" s="9" t="s">
        <v>221</v>
      </c>
      <c r="T574" t="str">
        <f t="shared" si="9"/>
        <v>N</v>
      </c>
      <c r="W574" s="12" t="str">
        <f t="array" ref="W574">if(and(L574=0,Q574="NA"),"NA",if(L574=0,"no lice",if(Q574="NA","no collection",index(sea_lice!G:G,match(C574,sea_lice!A:A,0)))))</f>
        <v>no lice</v>
      </c>
      <c r="X574" s="23">
        <v>573.0</v>
      </c>
    </row>
    <row r="575">
      <c r="B575" s="6">
        <v>16714.0</v>
      </c>
      <c r="C575" s="12" t="str">
        <f t="shared" si="1"/>
        <v>U16714</v>
      </c>
      <c r="D575" s="14" t="str">
        <f t="array" ref="D575">iferror(index('2018_ufns'!E:E,match(C575,'2018_ufns'!B:B,0)))</f>
        <v>P1072</v>
      </c>
      <c r="E575" s="14">
        <v>43404.0</v>
      </c>
      <c r="F575" s="40" t="s">
        <v>53</v>
      </c>
      <c r="G575" s="40" t="s">
        <v>54</v>
      </c>
      <c r="H575" s="9">
        <v>8.0</v>
      </c>
      <c r="I575" s="13">
        <v>92.0</v>
      </c>
      <c r="J575" s="13">
        <v>97.0</v>
      </c>
      <c r="K575" s="17">
        <f t="shared" si="5"/>
        <v>0.8765461452</v>
      </c>
      <c r="L575" s="9">
        <v>0.0</v>
      </c>
      <c r="O575" s="9" t="s">
        <v>638</v>
      </c>
      <c r="P575" s="40" t="s">
        <v>1729</v>
      </c>
      <c r="Q575" s="33" t="s">
        <v>150</v>
      </c>
      <c r="R575" s="40" t="s">
        <v>63</v>
      </c>
      <c r="S575" s="9" t="s">
        <v>221</v>
      </c>
      <c r="T575" t="str">
        <f t="shared" si="9"/>
        <v>N</v>
      </c>
      <c r="W575" s="12" t="str">
        <f t="array" ref="W575">if(and(L575=0,Q575="NA"),"NA",if(L575=0,"no lice",if(Q575="NA","no collection",index(sea_lice!G:G,match(C575,sea_lice!A:A,0)))))</f>
        <v>no lice</v>
      </c>
      <c r="X575" s="23">
        <v>574.0</v>
      </c>
    </row>
    <row r="576">
      <c r="B576" s="6">
        <v>16712.0</v>
      </c>
      <c r="C576" s="12" t="str">
        <f t="shared" si="1"/>
        <v>U16712</v>
      </c>
      <c r="D576" s="14" t="str">
        <f t="array" ref="D576">iferror(index('2018_ufns'!E:E,match(C576,'2018_ufns'!B:B,0)))</f>
        <v>P1072</v>
      </c>
      <c r="E576" s="14">
        <v>43404.0</v>
      </c>
      <c r="F576" s="40" t="s">
        <v>53</v>
      </c>
      <c r="G576" s="40" t="s">
        <v>54</v>
      </c>
      <c r="H576" s="9">
        <v>17.2</v>
      </c>
      <c r="I576" s="13">
        <v>117.0</v>
      </c>
      <c r="J576" s="13">
        <v>122.0</v>
      </c>
      <c r="K576" s="17">
        <f t="shared" si="5"/>
        <v>0.9472158463</v>
      </c>
      <c r="L576" s="9">
        <v>0.0</v>
      </c>
      <c r="O576" s="9" t="s">
        <v>638</v>
      </c>
      <c r="P576" s="40" t="s">
        <v>1729</v>
      </c>
      <c r="Q576" s="33" t="s">
        <v>150</v>
      </c>
      <c r="R576" s="40" t="s">
        <v>63</v>
      </c>
      <c r="S576" s="9" t="s">
        <v>221</v>
      </c>
      <c r="T576" t="str">
        <f t="shared" si="9"/>
        <v>N</v>
      </c>
      <c r="W576" s="12" t="str">
        <f t="array" ref="W576">if(and(L576=0,Q576="NA"),"NA",if(L576=0,"no lice",if(Q576="NA","no collection",index(sea_lice!G:G,match(C576,sea_lice!A:A,0)))))</f>
        <v>no lice</v>
      </c>
      <c r="X576" s="23">
        <v>575.0</v>
      </c>
    </row>
    <row r="577">
      <c r="B577" s="6">
        <v>16713.0</v>
      </c>
      <c r="C577" s="12" t="str">
        <f t="shared" si="1"/>
        <v>U16713</v>
      </c>
      <c r="D577" s="14" t="str">
        <f t="array" ref="D577">iferror(index('2018_ufns'!E:E,match(C577,'2018_ufns'!B:B,0)))</f>
        <v>P1072</v>
      </c>
      <c r="E577" s="14">
        <v>43404.0</v>
      </c>
      <c r="F577" s="40" t="s">
        <v>53</v>
      </c>
      <c r="G577" s="40" t="s">
        <v>54</v>
      </c>
      <c r="H577" s="9">
        <v>9.8</v>
      </c>
      <c r="I577" s="13">
        <v>99.0</v>
      </c>
      <c r="J577" s="13">
        <v>103.0</v>
      </c>
      <c r="K577" s="17">
        <f t="shared" si="5"/>
        <v>0.8968388262</v>
      </c>
      <c r="L577" s="9">
        <v>0.0</v>
      </c>
      <c r="O577" s="9" t="s">
        <v>638</v>
      </c>
      <c r="P577" s="40" t="s">
        <v>1729</v>
      </c>
      <c r="Q577" s="33" t="s">
        <v>150</v>
      </c>
      <c r="R577" s="40" t="s">
        <v>63</v>
      </c>
      <c r="S577" s="9" t="s">
        <v>221</v>
      </c>
      <c r="T577" t="str">
        <f t="shared" si="9"/>
        <v>N</v>
      </c>
      <c r="W577" s="12" t="str">
        <f t="array" ref="W577">if(and(L577=0,Q577="NA"),"NA",if(L577=0,"no lice",if(Q577="NA","no collection",index(sea_lice!G:G,match(C577,sea_lice!A:A,0)))))</f>
        <v>no lice</v>
      </c>
      <c r="X577" s="23">
        <v>576.0</v>
      </c>
    </row>
    <row r="578">
      <c r="B578" s="6">
        <v>16715.0</v>
      </c>
      <c r="C578" s="12" t="str">
        <f t="shared" si="1"/>
        <v>U16715</v>
      </c>
      <c r="D578" s="14" t="str">
        <f t="array" ref="D578">iferror(index('2018_ufns'!E:E,match(C578,'2018_ufns'!B:B,0)))</f>
        <v>P1072</v>
      </c>
      <c r="E578" s="14">
        <v>43404.0</v>
      </c>
      <c r="F578" s="40" t="s">
        <v>53</v>
      </c>
      <c r="G578" s="40" t="s">
        <v>54</v>
      </c>
      <c r="H578" s="9">
        <v>7.7</v>
      </c>
      <c r="I578" s="13">
        <v>91.0</v>
      </c>
      <c r="J578" s="13" t="s">
        <v>63</v>
      </c>
      <c r="K578" s="17" t="str">
        <f t="shared" si="5"/>
        <v/>
      </c>
      <c r="L578" s="9">
        <v>0.0</v>
      </c>
      <c r="O578" s="9" t="s">
        <v>638</v>
      </c>
      <c r="P578" s="40" t="s">
        <v>1729</v>
      </c>
      <c r="Q578" s="33" t="s">
        <v>150</v>
      </c>
      <c r="R578" s="40" t="s">
        <v>63</v>
      </c>
      <c r="S578" s="9" t="s">
        <v>221</v>
      </c>
      <c r="T578" t="str">
        <f t="shared" si="9"/>
        <v>N</v>
      </c>
      <c r="W578" s="12" t="str">
        <f t="array" ref="W578">if(and(L578=0,Q578="NA"),"NA",if(L578=0,"no lice",if(Q578="NA","no collection",index(sea_lice!G:G,match(C578,sea_lice!A:A,0)))))</f>
        <v>no lice</v>
      </c>
      <c r="X578" s="23">
        <v>577.0</v>
      </c>
    </row>
    <row r="579">
      <c r="B579" s="6">
        <v>16502.0</v>
      </c>
      <c r="C579" s="12" t="str">
        <f t="shared" si="1"/>
        <v>U16502</v>
      </c>
      <c r="D579" s="14" t="str">
        <f t="array" ref="D579">iferror(index('2018_ufns'!E:E,match(C579,'2018_ufns'!B:B,0)))</f>
        <v>P1051</v>
      </c>
      <c r="E579" s="14">
        <v>43404.0</v>
      </c>
      <c r="F579" s="40" t="s">
        <v>53</v>
      </c>
      <c r="G579" s="40" t="s">
        <v>54</v>
      </c>
      <c r="H579" s="9">
        <v>18.2</v>
      </c>
      <c r="I579" s="13">
        <v>119.0</v>
      </c>
      <c r="J579" s="13" t="s">
        <v>63</v>
      </c>
      <c r="K579" s="17" t="str">
        <f t="shared" si="5"/>
        <v/>
      </c>
      <c r="L579" s="9">
        <v>0.0</v>
      </c>
      <c r="O579" s="9" t="s">
        <v>638</v>
      </c>
      <c r="P579" s="40" t="s">
        <v>1729</v>
      </c>
      <c r="Q579" s="33" t="s">
        <v>150</v>
      </c>
      <c r="R579" s="40" t="s">
        <v>63</v>
      </c>
      <c r="S579" s="9" t="s">
        <v>221</v>
      </c>
      <c r="T579" t="str">
        <f t="shared" si="9"/>
        <v>N</v>
      </c>
      <c r="W579" s="12" t="str">
        <f t="array" ref="W579">if(and(L579=0,Q579="NA"),"NA",if(L579=0,"no lice",if(Q579="NA","no collection",index(sea_lice!G:G,match(C579,sea_lice!A:A,0)))))</f>
        <v>no lice</v>
      </c>
      <c r="X579" s="23">
        <v>578.0</v>
      </c>
    </row>
    <row r="580">
      <c r="B580" s="6">
        <v>16501.0</v>
      </c>
      <c r="C580" s="12" t="str">
        <f t="shared" si="1"/>
        <v>U16501</v>
      </c>
      <c r="D580" s="14" t="str">
        <f t="array" ref="D580">iferror(index('2018_ufns'!E:E,match(C580,'2018_ufns'!B:B,0)))</f>
        <v>P1051</v>
      </c>
      <c r="E580" s="14">
        <v>43404.0</v>
      </c>
      <c r="F580" s="40" t="s">
        <v>53</v>
      </c>
      <c r="G580" s="40" t="s">
        <v>54</v>
      </c>
      <c r="H580" s="9">
        <v>22.2</v>
      </c>
      <c r="I580" s="13">
        <v>122.0</v>
      </c>
      <c r="J580" s="13">
        <v>125.0</v>
      </c>
      <c r="K580" s="17">
        <f t="shared" si="5"/>
        <v>1.13664</v>
      </c>
      <c r="L580" s="9">
        <v>0.0</v>
      </c>
      <c r="O580" s="9" t="s">
        <v>638</v>
      </c>
      <c r="P580" s="40" t="s">
        <v>1729</v>
      </c>
      <c r="Q580" s="33" t="s">
        <v>150</v>
      </c>
      <c r="R580" s="40" t="s">
        <v>63</v>
      </c>
      <c r="S580" s="9" t="s">
        <v>221</v>
      </c>
      <c r="T580" t="str">
        <f t="shared" si="9"/>
        <v>N</v>
      </c>
      <c r="W580" s="12" t="str">
        <f t="array" ref="W580">if(and(L580=0,Q580="NA"),"NA",if(L580=0,"no lice",if(Q580="NA","no collection",index(sea_lice!G:G,match(C580,sea_lice!A:A,0)))))</f>
        <v>no lice</v>
      </c>
      <c r="X580" s="23">
        <v>579.0</v>
      </c>
    </row>
    <row r="581">
      <c r="B581" s="6">
        <v>16504.0</v>
      </c>
      <c r="C581" s="12" t="str">
        <f t="shared" si="1"/>
        <v>U16504</v>
      </c>
      <c r="D581" s="14" t="str">
        <f t="array" ref="D581">iferror(index('2018_ufns'!E:E,match(C581,'2018_ufns'!B:B,0)))</f>
        <v>P1051</v>
      </c>
      <c r="E581" s="14">
        <v>43404.0</v>
      </c>
      <c r="F581" s="40" t="s">
        <v>53</v>
      </c>
      <c r="G581" s="40" t="s">
        <v>54</v>
      </c>
      <c r="H581" s="9">
        <v>16.3</v>
      </c>
      <c r="I581" s="13">
        <v>113.0</v>
      </c>
      <c r="J581" s="13">
        <v>120.0</v>
      </c>
      <c r="K581" s="17">
        <f t="shared" si="5"/>
        <v>0.943287037</v>
      </c>
      <c r="L581" s="9">
        <v>0.0</v>
      </c>
      <c r="O581" s="9" t="s">
        <v>638</v>
      </c>
      <c r="P581" s="40" t="s">
        <v>1729</v>
      </c>
      <c r="Q581" s="33" t="s">
        <v>150</v>
      </c>
      <c r="R581" s="40" t="s">
        <v>63</v>
      </c>
      <c r="S581" s="9" t="s">
        <v>221</v>
      </c>
      <c r="T581" t="str">
        <f t="shared" si="9"/>
        <v>N</v>
      </c>
      <c r="W581" s="12" t="str">
        <f t="array" ref="W581">if(and(L581=0,Q581="NA"),"NA",if(L581=0,"no lice",if(Q581="NA","no collection",index(sea_lice!G:G,match(C581,sea_lice!A:A,0)))))</f>
        <v>no lice</v>
      </c>
      <c r="X581" s="23">
        <v>580.0</v>
      </c>
    </row>
    <row r="582">
      <c r="B582" s="6">
        <v>16508.0</v>
      </c>
      <c r="C582" s="12" t="str">
        <f t="shared" si="1"/>
        <v>U16508</v>
      </c>
      <c r="D582" s="14" t="str">
        <f t="array" ref="D582">iferror(index('2018_ufns'!E:E,match(C582,'2018_ufns'!B:B,0)))</f>
        <v>P1051</v>
      </c>
      <c r="E582" s="14">
        <v>43404.0</v>
      </c>
      <c r="F582" s="40" t="s">
        <v>53</v>
      </c>
      <c r="G582" s="40" t="s">
        <v>54</v>
      </c>
      <c r="H582" s="9">
        <v>11.7</v>
      </c>
      <c r="I582" s="13">
        <v>100.0</v>
      </c>
      <c r="J582" s="13">
        <v>105.0</v>
      </c>
      <c r="K582" s="17">
        <f t="shared" si="5"/>
        <v>1.01068999</v>
      </c>
      <c r="L582" s="9">
        <v>0.0</v>
      </c>
      <c r="O582" s="9" t="s">
        <v>638</v>
      </c>
      <c r="P582" s="40" t="s">
        <v>1729</v>
      </c>
      <c r="Q582" s="33" t="s">
        <v>150</v>
      </c>
      <c r="R582" s="40" t="s">
        <v>63</v>
      </c>
      <c r="S582" s="9" t="s">
        <v>221</v>
      </c>
      <c r="T582" t="str">
        <f t="shared" si="9"/>
        <v>N</v>
      </c>
      <c r="W582" s="12" t="str">
        <f t="array" ref="W582">if(and(L582=0,Q582="NA"),"NA",if(L582=0,"no lice",if(Q582="NA","no collection",index(sea_lice!G:G,match(C582,sea_lice!A:A,0)))))</f>
        <v>no lice</v>
      </c>
      <c r="X582" s="23">
        <v>581.0</v>
      </c>
    </row>
    <row r="583">
      <c r="B583" s="6">
        <v>16509.0</v>
      </c>
      <c r="C583" s="12" t="str">
        <f t="shared" si="1"/>
        <v>U16509</v>
      </c>
      <c r="D583" s="14" t="str">
        <f t="array" ref="D583">iferror(index('2018_ufns'!E:E,match(C583,'2018_ufns'!B:B,0)))</f>
        <v>P1051</v>
      </c>
      <c r="E583" s="14">
        <v>43404.0</v>
      </c>
      <c r="F583" s="40" t="s">
        <v>53</v>
      </c>
      <c r="G583" s="40" t="s">
        <v>54</v>
      </c>
      <c r="H583" s="9">
        <v>10.1</v>
      </c>
      <c r="I583" s="13">
        <v>87.0</v>
      </c>
      <c r="J583" s="13">
        <v>92.0</v>
      </c>
      <c r="K583" s="17">
        <f t="shared" si="5"/>
        <v>1.297053505</v>
      </c>
      <c r="L583" s="9">
        <v>3.0</v>
      </c>
      <c r="O583" s="9" t="s">
        <v>638</v>
      </c>
      <c r="P583" s="40" t="s">
        <v>1729</v>
      </c>
      <c r="Q583" s="33" t="s">
        <v>150</v>
      </c>
      <c r="R583" s="40" t="s">
        <v>63</v>
      </c>
      <c r="S583" s="9" t="s">
        <v>221</v>
      </c>
      <c r="T583" t="str">
        <f t="shared" si="9"/>
        <v>N</v>
      </c>
      <c r="W583" s="12" t="str">
        <f t="array" ref="W583">if(and(L583=0,Q583="NA"),"NA",if(L583=0,"no lice",if(Q583="NA","no collection",index(sea_lice!G:G,match(C583,sea_lice!A:A,0)))))</f>
        <v>BSL6-46</v>
      </c>
      <c r="X583" s="23">
        <v>582.0</v>
      </c>
    </row>
    <row r="584">
      <c r="B584" s="6">
        <v>16167.0</v>
      </c>
      <c r="C584" s="12" t="str">
        <f t="shared" si="1"/>
        <v>U16167</v>
      </c>
      <c r="D584" s="14" t="str">
        <f t="array" ref="D584">iferror(index('2018_ufns'!E:E,match(C584,'2018_ufns'!B:B,0)))</f>
        <v>P1017</v>
      </c>
      <c r="E584" s="14">
        <v>43405.0</v>
      </c>
      <c r="F584" s="40" t="s">
        <v>53</v>
      </c>
      <c r="G584" s="40" t="s">
        <v>54</v>
      </c>
      <c r="H584" s="9">
        <v>21.6</v>
      </c>
      <c r="I584" s="13">
        <v>121.0</v>
      </c>
      <c r="J584" s="13">
        <v>127.0</v>
      </c>
      <c r="K584" s="17">
        <f t="shared" si="5"/>
        <v>1.054490298</v>
      </c>
      <c r="L584" s="9">
        <v>0.0</v>
      </c>
      <c r="O584" s="9" t="s">
        <v>221</v>
      </c>
      <c r="P584" s="40" t="s">
        <v>1729</v>
      </c>
      <c r="Q584" s="33" t="s">
        <v>150</v>
      </c>
      <c r="R584" s="40" t="s">
        <v>63</v>
      </c>
      <c r="S584" s="9" t="s">
        <v>638</v>
      </c>
      <c r="T584" t="str">
        <f t="shared" si="9"/>
        <v>N</v>
      </c>
      <c r="W584" s="12" t="str">
        <f t="array" ref="W584">if(and(L584=0,Q584="NA"),"NA",if(L584=0,"no lice",if(Q584="NA","no collection",index(sea_lice!G:G,match(C584,sea_lice!A:A,0)))))</f>
        <v>no lice</v>
      </c>
      <c r="X584" s="23">
        <v>583.0</v>
      </c>
    </row>
    <row r="585">
      <c r="B585" s="6">
        <v>16169.0</v>
      </c>
      <c r="C585" s="12" t="str">
        <f t="shared" si="1"/>
        <v>U16169</v>
      </c>
      <c r="D585" s="14" t="str">
        <f t="array" ref="D585">iferror(index('2018_ufns'!E:E,match(C585,'2018_ufns'!B:B,0)))</f>
        <v>P1017</v>
      </c>
      <c r="E585" s="45">
        <v>43405.0</v>
      </c>
      <c r="F585" s="40" t="s">
        <v>53</v>
      </c>
      <c r="G585" s="40" t="s">
        <v>54</v>
      </c>
      <c r="H585" s="9">
        <v>27.5</v>
      </c>
      <c r="I585" s="13">
        <v>136.0</v>
      </c>
      <c r="J585" s="13">
        <v>142.0</v>
      </c>
      <c r="K585" s="17">
        <f t="shared" si="5"/>
        <v>0.9604342979</v>
      </c>
      <c r="L585" s="9">
        <v>0.0</v>
      </c>
      <c r="O585" s="9" t="s">
        <v>221</v>
      </c>
      <c r="P585" s="40" t="s">
        <v>1729</v>
      </c>
      <c r="Q585" s="33" t="s">
        <v>150</v>
      </c>
      <c r="R585" s="40" t="s">
        <v>63</v>
      </c>
      <c r="S585" s="9" t="s">
        <v>638</v>
      </c>
      <c r="T585" t="str">
        <f t="shared" si="9"/>
        <v>N</v>
      </c>
      <c r="W585" s="12" t="str">
        <f t="array" ref="W585">if(and(L585=0,Q585="NA"),"NA",if(L585=0,"no lice",if(Q585="NA","no collection",index(sea_lice!G:G,match(C585,sea_lice!A:A,0)))))</f>
        <v>no lice</v>
      </c>
      <c r="X585" s="23">
        <v>584.0</v>
      </c>
    </row>
    <row r="586">
      <c r="B586" s="6">
        <v>16170.0</v>
      </c>
      <c r="C586" s="12" t="str">
        <f t="shared" si="1"/>
        <v>U16170</v>
      </c>
      <c r="D586" s="14" t="str">
        <f t="array" ref="D586">iferror(index('2018_ufns'!E:E,match(C586,'2018_ufns'!B:B,0)))</f>
        <v>P1017</v>
      </c>
      <c r="E586" s="45">
        <v>43405.0</v>
      </c>
      <c r="F586" s="40" t="s">
        <v>53</v>
      </c>
      <c r="G586" s="40" t="s">
        <v>54</v>
      </c>
      <c r="H586" s="9">
        <v>46.6</v>
      </c>
      <c r="I586" s="13">
        <v>153.0</v>
      </c>
      <c r="J586" s="13">
        <v>159.0</v>
      </c>
      <c r="K586" s="17">
        <f t="shared" si="5"/>
        <v>1.159296551</v>
      </c>
      <c r="L586" s="9">
        <v>0.0</v>
      </c>
      <c r="O586" s="9" t="s">
        <v>221</v>
      </c>
      <c r="P586" s="40" t="s">
        <v>1729</v>
      </c>
      <c r="Q586" s="33" t="s">
        <v>150</v>
      </c>
      <c r="R586" s="40" t="s">
        <v>63</v>
      </c>
      <c r="S586" s="9" t="s">
        <v>638</v>
      </c>
      <c r="T586" t="str">
        <f t="shared" si="9"/>
        <v>N</v>
      </c>
      <c r="W586" s="12" t="str">
        <f t="array" ref="W586">if(and(L586=0,Q586="NA"),"NA",if(L586=0,"no lice",if(Q586="NA","no collection",index(sea_lice!G:G,match(C586,sea_lice!A:A,0)))))</f>
        <v>no lice</v>
      </c>
      <c r="X586" s="23">
        <v>585.0</v>
      </c>
    </row>
    <row r="587">
      <c r="B587" s="6">
        <v>16166.0</v>
      </c>
      <c r="C587" s="12" t="str">
        <f t="shared" si="1"/>
        <v>U16166</v>
      </c>
      <c r="D587" s="14" t="str">
        <f t="array" ref="D587">iferror(index('2018_ufns'!E:E,match(C587,'2018_ufns'!B:B,0)))</f>
        <v>P1017</v>
      </c>
      <c r="E587" s="45">
        <v>43405.0</v>
      </c>
      <c r="F587" s="40" t="s">
        <v>53</v>
      </c>
      <c r="G587" s="40" t="s">
        <v>54</v>
      </c>
      <c r="H587" s="9">
        <v>31.6</v>
      </c>
      <c r="I587" s="13">
        <v>139.0</v>
      </c>
      <c r="J587" s="13">
        <v>144.0</v>
      </c>
      <c r="K587" s="17">
        <f t="shared" si="5"/>
        <v>1.058277606</v>
      </c>
      <c r="L587" s="9">
        <v>0.0</v>
      </c>
      <c r="O587" s="9" t="s">
        <v>221</v>
      </c>
      <c r="P587" s="40" t="s">
        <v>1729</v>
      </c>
      <c r="Q587" s="33" t="s">
        <v>150</v>
      </c>
      <c r="R587" s="40" t="s">
        <v>63</v>
      </c>
      <c r="S587" s="9" t="s">
        <v>638</v>
      </c>
      <c r="T587" t="str">
        <f t="shared" si="9"/>
        <v>N</v>
      </c>
      <c r="W587" s="12" t="str">
        <f t="array" ref="W587">if(and(L587=0,Q587="NA"),"NA",if(L587=0,"no lice",if(Q587="NA","no collection",index(sea_lice!G:G,match(C587,sea_lice!A:A,0)))))</f>
        <v>no lice</v>
      </c>
      <c r="X587" s="23">
        <v>586.0</v>
      </c>
    </row>
    <row r="588">
      <c r="B588" s="6">
        <v>16164.0</v>
      </c>
      <c r="C588" s="12" t="str">
        <f t="shared" si="1"/>
        <v>U16164</v>
      </c>
      <c r="D588" s="14" t="str">
        <f t="array" ref="D588">iferror(index('2018_ufns'!E:E,match(C588,'2018_ufns'!B:B,0)))</f>
        <v>P1017</v>
      </c>
      <c r="E588" s="45">
        <v>43405.0</v>
      </c>
      <c r="F588" s="40" t="s">
        <v>53</v>
      </c>
      <c r="G588" s="40" t="s">
        <v>54</v>
      </c>
      <c r="H588" s="9">
        <v>6.7</v>
      </c>
      <c r="I588" s="13">
        <v>84.0</v>
      </c>
      <c r="J588" s="13" t="s">
        <v>63</v>
      </c>
      <c r="K588" s="17" t="str">
        <f t="shared" si="5"/>
        <v/>
      </c>
      <c r="L588" s="9">
        <v>1.0</v>
      </c>
      <c r="O588" s="9" t="s">
        <v>221</v>
      </c>
      <c r="P588" s="40" t="s">
        <v>1729</v>
      </c>
      <c r="Q588" s="33" t="s">
        <v>150</v>
      </c>
      <c r="R588" s="40" t="s">
        <v>63</v>
      </c>
      <c r="S588" s="9" t="s">
        <v>638</v>
      </c>
      <c r="T588" t="str">
        <f t="shared" si="9"/>
        <v>N</v>
      </c>
      <c r="W588" s="12" t="str">
        <f t="array" ref="W588">if(and(L588=0,Q588="NA"),"NA",if(L588=0,"no lice",if(Q588="NA","no collection",index(sea_lice!G:G,match(C588,sea_lice!A:A,0)))))</f>
        <v>BSL6-50</v>
      </c>
      <c r="X588" s="23">
        <v>587.0</v>
      </c>
    </row>
    <row r="589">
      <c r="B589" s="6">
        <v>16162.0</v>
      </c>
      <c r="C589" s="12" t="str">
        <f t="shared" si="1"/>
        <v>U16162</v>
      </c>
      <c r="D589" s="14" t="str">
        <f t="array" ref="D589">iferror(index('2018_ufns'!E:E,match(C589,'2018_ufns'!B:B,0)))</f>
        <v>P1017</v>
      </c>
      <c r="E589" s="45">
        <v>43405.0</v>
      </c>
      <c r="F589" s="40" t="s">
        <v>53</v>
      </c>
      <c r="G589" s="40" t="s">
        <v>54</v>
      </c>
      <c r="H589" s="9">
        <v>34.9</v>
      </c>
      <c r="I589" s="13">
        <v>144.0</v>
      </c>
      <c r="J589" s="13">
        <v>150.0</v>
      </c>
      <c r="K589" s="17">
        <f t="shared" si="5"/>
        <v>1.034074074</v>
      </c>
      <c r="L589" s="9">
        <v>0.0</v>
      </c>
      <c r="O589" s="9" t="s">
        <v>221</v>
      </c>
      <c r="P589" s="40" t="s">
        <v>1729</v>
      </c>
      <c r="Q589" s="33" t="s">
        <v>150</v>
      </c>
      <c r="R589" s="40" t="s">
        <v>63</v>
      </c>
      <c r="S589" s="9" t="s">
        <v>638</v>
      </c>
      <c r="T589" t="str">
        <f t="shared" si="9"/>
        <v>N</v>
      </c>
      <c r="W589" s="12" t="str">
        <f t="array" ref="W589">if(and(L589=0,Q589="NA"),"NA",if(L589=0,"no lice",if(Q589="NA","no collection",index(sea_lice!G:G,match(C589,sea_lice!A:A,0)))))</f>
        <v>no lice</v>
      </c>
      <c r="X589" s="23">
        <v>588.0</v>
      </c>
    </row>
    <row r="590">
      <c r="B590" s="6">
        <v>16168.0</v>
      </c>
      <c r="C590" s="12" t="str">
        <f t="shared" si="1"/>
        <v>U16168</v>
      </c>
      <c r="D590" s="14" t="str">
        <f t="array" ref="D590">iferror(index('2018_ufns'!E:E,match(C590,'2018_ufns'!B:B,0)))</f>
        <v>P1017</v>
      </c>
      <c r="E590" s="45">
        <v>43405.0</v>
      </c>
      <c r="F590" s="40" t="s">
        <v>53</v>
      </c>
      <c r="G590" s="40" t="s">
        <v>54</v>
      </c>
      <c r="H590" s="9">
        <v>8.3</v>
      </c>
      <c r="I590" s="13">
        <v>87.0</v>
      </c>
      <c r="J590" s="13">
        <v>92.0</v>
      </c>
      <c r="K590" s="17">
        <f t="shared" si="5"/>
        <v>1.065895455</v>
      </c>
      <c r="L590" s="9">
        <v>0.0</v>
      </c>
      <c r="O590" s="9" t="s">
        <v>221</v>
      </c>
      <c r="P590" s="40" t="s">
        <v>1729</v>
      </c>
      <c r="Q590" s="33" t="s">
        <v>150</v>
      </c>
      <c r="R590" s="40" t="s">
        <v>63</v>
      </c>
      <c r="S590" s="9" t="s">
        <v>638</v>
      </c>
      <c r="T590" t="str">
        <f t="shared" si="9"/>
        <v>N</v>
      </c>
      <c r="W590" s="12" t="str">
        <f t="array" ref="W590">if(and(L590=0,Q590="NA"),"NA",if(L590=0,"no lice",if(Q590="NA","no collection",index(sea_lice!G:G,match(C590,sea_lice!A:A,0)))))</f>
        <v>no lice</v>
      </c>
      <c r="X590" s="23">
        <v>589.0</v>
      </c>
    </row>
    <row r="591">
      <c r="B591" s="6">
        <v>16163.0</v>
      </c>
      <c r="C591" s="12" t="str">
        <f t="shared" si="1"/>
        <v>U16163</v>
      </c>
      <c r="D591" s="14" t="str">
        <f t="array" ref="D591">iferror(index('2018_ufns'!E:E,match(C591,'2018_ufns'!B:B,0)))</f>
        <v>P1017</v>
      </c>
      <c r="E591" s="45">
        <v>43405.0</v>
      </c>
      <c r="F591" s="40" t="s">
        <v>53</v>
      </c>
      <c r="G591" s="40" t="s">
        <v>54</v>
      </c>
      <c r="H591" s="9">
        <v>9.6</v>
      </c>
      <c r="I591" s="13">
        <v>98.0</v>
      </c>
      <c r="J591" s="13">
        <v>103.0</v>
      </c>
      <c r="K591" s="17">
        <f t="shared" si="5"/>
        <v>0.878535993</v>
      </c>
      <c r="L591" s="9">
        <v>0.0</v>
      </c>
      <c r="O591" s="9" t="s">
        <v>221</v>
      </c>
      <c r="P591" s="40" t="s">
        <v>1729</v>
      </c>
      <c r="Q591" s="33" t="s">
        <v>150</v>
      </c>
      <c r="R591" s="40" t="s">
        <v>63</v>
      </c>
      <c r="S591" s="9" t="s">
        <v>638</v>
      </c>
      <c r="T591" t="str">
        <f t="shared" si="9"/>
        <v>N</v>
      </c>
      <c r="W591" s="12" t="str">
        <f t="array" ref="W591">if(and(L591=0,Q591="NA"),"NA",if(L591=0,"no lice",if(Q591="NA","no collection",index(sea_lice!G:G,match(C591,sea_lice!A:A,0)))))</f>
        <v>no lice</v>
      </c>
      <c r="X591" s="23">
        <v>590.0</v>
      </c>
    </row>
    <row r="592">
      <c r="B592" s="6">
        <v>16161.0</v>
      </c>
      <c r="C592" s="12" t="str">
        <f t="shared" si="1"/>
        <v>U16161</v>
      </c>
      <c r="D592" s="14" t="str">
        <f t="array" ref="D592">iferror(index('2018_ufns'!E:E,match(C592,'2018_ufns'!B:B,0)))</f>
        <v>P1017</v>
      </c>
      <c r="E592" s="45">
        <v>43405.0</v>
      </c>
      <c r="F592" s="40" t="s">
        <v>53</v>
      </c>
      <c r="G592" s="40" t="s">
        <v>54</v>
      </c>
      <c r="H592" s="9">
        <v>33.9</v>
      </c>
      <c r="I592" s="13">
        <v>144.0</v>
      </c>
      <c r="J592" s="13">
        <v>150.0</v>
      </c>
      <c r="K592" s="17">
        <f t="shared" si="5"/>
        <v>1.004444444</v>
      </c>
      <c r="L592" s="9">
        <v>0.0</v>
      </c>
      <c r="O592" s="9" t="s">
        <v>221</v>
      </c>
      <c r="P592" s="40" t="s">
        <v>1729</v>
      </c>
      <c r="Q592" s="33" t="s">
        <v>150</v>
      </c>
      <c r="R592" s="40" t="s">
        <v>63</v>
      </c>
      <c r="S592" s="9" t="s">
        <v>638</v>
      </c>
      <c r="T592" t="str">
        <f t="shared" si="9"/>
        <v>N</v>
      </c>
      <c r="W592" s="12" t="str">
        <f t="array" ref="W592">if(and(L592=0,Q592="NA"),"NA",if(L592=0,"no lice",if(Q592="NA","no collection",index(sea_lice!G:G,match(C592,sea_lice!A:A,0)))))</f>
        <v>no lice</v>
      </c>
      <c r="X592" s="23">
        <v>591.0</v>
      </c>
    </row>
    <row r="593">
      <c r="B593" s="6">
        <v>16165.0</v>
      </c>
      <c r="C593" s="12" t="str">
        <f t="shared" si="1"/>
        <v>U16165</v>
      </c>
      <c r="D593" s="14" t="str">
        <f t="array" ref="D593">iferror(index('2018_ufns'!E:E,match(C593,'2018_ufns'!B:B,0)))</f>
        <v>P1017</v>
      </c>
      <c r="E593" s="45">
        <v>43405.0</v>
      </c>
      <c r="F593" s="40" t="s">
        <v>53</v>
      </c>
      <c r="G593" s="40" t="s">
        <v>54</v>
      </c>
      <c r="H593" s="9">
        <v>28.9</v>
      </c>
      <c r="I593" s="13">
        <v>136.0</v>
      </c>
      <c r="J593" s="13">
        <v>141.0</v>
      </c>
      <c r="K593" s="17">
        <f t="shared" si="5"/>
        <v>1.030956889</v>
      </c>
      <c r="L593" s="9">
        <v>0.0</v>
      </c>
      <c r="O593" s="9" t="s">
        <v>221</v>
      </c>
      <c r="P593" s="40" t="s">
        <v>1729</v>
      </c>
      <c r="Q593" s="33" t="s">
        <v>150</v>
      </c>
      <c r="R593" s="40" t="s">
        <v>63</v>
      </c>
      <c r="S593" s="9" t="s">
        <v>638</v>
      </c>
      <c r="T593" t="str">
        <f t="shared" si="9"/>
        <v>N</v>
      </c>
      <c r="W593" s="12" t="str">
        <f t="array" ref="W593">if(and(L593=0,Q593="NA"),"NA",if(L593=0,"no lice",if(Q593="NA","no collection",index(sea_lice!G:G,match(C593,sea_lice!A:A,0)))))</f>
        <v>no lice</v>
      </c>
      <c r="X593" s="23">
        <v>592.0</v>
      </c>
    </row>
    <row r="594">
      <c r="B594" s="6">
        <v>16194.0</v>
      </c>
      <c r="C594" s="12" t="str">
        <f t="shared" si="1"/>
        <v>U16194</v>
      </c>
      <c r="D594" s="14" t="str">
        <f t="array" ref="D594">iferror(index('2018_ufns'!E:E,match(C594,'2018_ufns'!B:B,0)))</f>
        <v>P1020</v>
      </c>
      <c r="E594" s="45">
        <v>43405.0</v>
      </c>
      <c r="F594" s="40" t="s">
        <v>53</v>
      </c>
      <c r="G594" s="40" t="s">
        <v>54</v>
      </c>
      <c r="H594" s="9">
        <v>11.2</v>
      </c>
      <c r="I594" s="13">
        <v>100.0</v>
      </c>
      <c r="J594" s="13">
        <v>105.0</v>
      </c>
      <c r="K594" s="17">
        <f t="shared" si="5"/>
        <v>0.9674981104</v>
      </c>
      <c r="L594" s="9">
        <v>0.0</v>
      </c>
      <c r="O594" s="9" t="s">
        <v>221</v>
      </c>
      <c r="P594" s="40" t="s">
        <v>1729</v>
      </c>
      <c r="Q594" s="33" t="s">
        <v>150</v>
      </c>
      <c r="R594" s="40" t="s">
        <v>63</v>
      </c>
      <c r="S594" s="9" t="s">
        <v>638</v>
      </c>
      <c r="T594" t="str">
        <f t="shared" si="9"/>
        <v>N</v>
      </c>
      <c r="W594" s="12" t="str">
        <f t="array" ref="W594">if(and(L594=0,Q594="NA"),"NA",if(L594=0,"no lice",if(Q594="NA","no collection",index(sea_lice!G:G,match(C594,sea_lice!A:A,0)))))</f>
        <v>no lice</v>
      </c>
      <c r="X594" s="23">
        <v>593.0</v>
      </c>
    </row>
    <row r="595">
      <c r="B595" s="6">
        <v>16191.0</v>
      </c>
      <c r="C595" s="12" t="str">
        <f t="shared" si="1"/>
        <v>U16191</v>
      </c>
      <c r="D595" s="14" t="str">
        <f t="array" ref="D595">iferror(index('2018_ufns'!E:E,match(C595,'2018_ufns'!B:B,0)))</f>
        <v>P1020</v>
      </c>
      <c r="E595" s="45">
        <v>43405.0</v>
      </c>
      <c r="F595" s="40" t="s">
        <v>53</v>
      </c>
      <c r="G595" s="40" t="s">
        <v>54</v>
      </c>
      <c r="H595" s="9">
        <v>21.5</v>
      </c>
      <c r="I595" s="13">
        <v>123.0</v>
      </c>
      <c r="J595" s="13">
        <v>128.0</v>
      </c>
      <c r="K595" s="17">
        <f t="shared" si="5"/>
        <v>1.02519989</v>
      </c>
      <c r="L595" s="9">
        <v>0.0</v>
      </c>
      <c r="O595" s="9" t="s">
        <v>221</v>
      </c>
      <c r="P595" s="40" t="s">
        <v>1729</v>
      </c>
      <c r="Q595" s="33" t="s">
        <v>150</v>
      </c>
      <c r="R595" s="40" t="s">
        <v>63</v>
      </c>
      <c r="S595" s="9" t="s">
        <v>638</v>
      </c>
      <c r="T595" t="str">
        <f t="shared" si="9"/>
        <v>N</v>
      </c>
      <c r="W595" s="12" t="str">
        <f t="array" ref="W595">if(and(L595=0,Q595="NA"),"NA",if(L595=0,"no lice",if(Q595="NA","no collection",index(sea_lice!G:G,match(C595,sea_lice!A:A,0)))))</f>
        <v>no lice</v>
      </c>
      <c r="X595" s="23">
        <v>594.0</v>
      </c>
    </row>
    <row r="596">
      <c r="B596" s="6">
        <v>16192.0</v>
      </c>
      <c r="C596" s="12" t="str">
        <f t="shared" si="1"/>
        <v>U16192</v>
      </c>
      <c r="D596" s="14" t="str">
        <f t="array" ref="D596">iferror(index('2018_ufns'!E:E,match(C596,'2018_ufns'!B:B,0)))</f>
        <v>P1020</v>
      </c>
      <c r="E596" s="45">
        <v>43405.0</v>
      </c>
      <c r="F596" s="40" t="s">
        <v>53</v>
      </c>
      <c r="G596" s="40" t="s">
        <v>54</v>
      </c>
      <c r="H596" s="9">
        <v>16.5</v>
      </c>
      <c r="I596" s="13">
        <v>120.0</v>
      </c>
      <c r="J596" s="13">
        <v>125.0</v>
      </c>
      <c r="K596" s="17">
        <f t="shared" si="5"/>
        <v>0.8448</v>
      </c>
      <c r="L596" s="9">
        <v>0.0</v>
      </c>
      <c r="O596" s="9" t="s">
        <v>221</v>
      </c>
      <c r="P596" s="40" t="s">
        <v>1729</v>
      </c>
      <c r="Q596" s="33" t="s">
        <v>150</v>
      </c>
      <c r="R596" s="40" t="s">
        <v>63</v>
      </c>
      <c r="S596" s="9" t="s">
        <v>638</v>
      </c>
      <c r="T596" t="str">
        <f t="shared" si="9"/>
        <v>N</v>
      </c>
      <c r="W596" s="12" t="str">
        <f t="array" ref="W596">if(and(L596=0,Q596="NA"),"NA",if(L596=0,"no lice",if(Q596="NA","no collection",index(sea_lice!G:G,match(C596,sea_lice!A:A,0)))))</f>
        <v>no lice</v>
      </c>
      <c r="X596" s="23">
        <v>595.0</v>
      </c>
    </row>
    <row r="597">
      <c r="B597" s="6">
        <v>16193.0</v>
      </c>
      <c r="C597" s="12" t="str">
        <f t="shared" si="1"/>
        <v>U16193</v>
      </c>
      <c r="D597" s="14" t="str">
        <f t="array" ref="D597">iferror(index('2018_ufns'!E:E,match(C597,'2018_ufns'!B:B,0)))</f>
        <v>P1020</v>
      </c>
      <c r="E597" s="45">
        <v>43405.0</v>
      </c>
      <c r="F597" s="40" t="s">
        <v>53</v>
      </c>
      <c r="G597" s="40" t="s">
        <v>54</v>
      </c>
      <c r="H597" s="9">
        <v>15.8</v>
      </c>
      <c r="I597" s="13">
        <v>114.0</v>
      </c>
      <c r="J597" s="13">
        <v>120.0</v>
      </c>
      <c r="K597" s="17">
        <f t="shared" si="5"/>
        <v>0.9143518519</v>
      </c>
      <c r="L597" s="9">
        <v>0.0</v>
      </c>
      <c r="O597" s="9" t="s">
        <v>221</v>
      </c>
      <c r="P597" s="40" t="s">
        <v>1729</v>
      </c>
      <c r="Q597" s="33" t="s">
        <v>150</v>
      </c>
      <c r="R597" s="40" t="s">
        <v>63</v>
      </c>
      <c r="S597" s="9" t="s">
        <v>638</v>
      </c>
      <c r="T597" t="str">
        <f t="shared" si="9"/>
        <v>N</v>
      </c>
      <c r="W597" s="12" t="str">
        <f t="array" ref="W597">if(and(L597=0,Q597="NA"),"NA",if(L597=0,"no lice",if(Q597="NA","no collection",index(sea_lice!G:G,match(C597,sea_lice!A:A,0)))))</f>
        <v>no lice</v>
      </c>
      <c r="X597" s="23">
        <v>596.0</v>
      </c>
    </row>
    <row r="598">
      <c r="B598" s="6">
        <v>16195.0</v>
      </c>
      <c r="C598" s="12" t="str">
        <f t="shared" si="1"/>
        <v>U16195</v>
      </c>
      <c r="D598" s="14" t="str">
        <f t="array" ref="D598">iferror(index('2018_ufns'!E:E,match(C598,'2018_ufns'!B:B,0)))</f>
        <v>P1020</v>
      </c>
      <c r="E598" s="45">
        <v>43405.0</v>
      </c>
      <c r="F598" s="40" t="s">
        <v>53</v>
      </c>
      <c r="G598" s="40" t="s">
        <v>54</v>
      </c>
      <c r="H598" s="9">
        <v>17.3</v>
      </c>
      <c r="I598" s="13">
        <v>118.0</v>
      </c>
      <c r="J598" s="13">
        <v>124.0</v>
      </c>
      <c r="K598" s="17">
        <f t="shared" si="5"/>
        <v>0.907362962</v>
      </c>
      <c r="L598" s="9">
        <v>0.0</v>
      </c>
      <c r="O598" s="9" t="s">
        <v>221</v>
      </c>
      <c r="P598" s="40" t="s">
        <v>1729</v>
      </c>
      <c r="Q598" s="33" t="s">
        <v>150</v>
      </c>
      <c r="R598" s="40" t="s">
        <v>63</v>
      </c>
      <c r="S598" s="9" t="s">
        <v>638</v>
      </c>
      <c r="T598" t="str">
        <f t="shared" si="9"/>
        <v>N</v>
      </c>
      <c r="W598" s="12" t="str">
        <f t="array" ref="W598">if(and(L598=0,Q598="NA"),"NA",if(L598=0,"no lice",if(Q598="NA","no collection",index(sea_lice!G:G,match(C598,sea_lice!A:A,0)))))</f>
        <v>no lice</v>
      </c>
      <c r="X598" s="23">
        <v>597.0</v>
      </c>
    </row>
    <row r="599">
      <c r="B599" s="6">
        <v>16196.0</v>
      </c>
      <c r="C599" s="12" t="str">
        <f t="shared" si="1"/>
        <v>U16196</v>
      </c>
      <c r="D599" s="14" t="str">
        <f t="array" ref="D599">iferror(index('2018_ufns'!E:E,match(C599,'2018_ufns'!B:B,0)))</f>
        <v>P1020</v>
      </c>
      <c r="E599" s="45">
        <v>43405.0</v>
      </c>
      <c r="F599" s="40" t="s">
        <v>53</v>
      </c>
      <c r="G599" s="40" t="s">
        <v>54</v>
      </c>
      <c r="H599" s="9">
        <v>14.8</v>
      </c>
      <c r="I599" s="13">
        <v>111.0</v>
      </c>
      <c r="J599" s="13">
        <v>116.0</v>
      </c>
      <c r="K599" s="17">
        <f t="shared" si="5"/>
        <v>0.9481733568</v>
      </c>
      <c r="L599" s="9">
        <v>0.0</v>
      </c>
      <c r="O599" s="9" t="s">
        <v>221</v>
      </c>
      <c r="P599" s="40" t="s">
        <v>1729</v>
      </c>
      <c r="Q599" s="33" t="s">
        <v>150</v>
      </c>
      <c r="R599" s="40" t="s">
        <v>63</v>
      </c>
      <c r="S599" s="9" t="s">
        <v>638</v>
      </c>
      <c r="T599" t="str">
        <f t="shared" si="9"/>
        <v>N</v>
      </c>
      <c r="W599" s="12" t="str">
        <f t="array" ref="W599">if(and(L599=0,Q599="NA"),"NA",if(L599=0,"no lice",if(Q599="NA","no collection",index(sea_lice!G:G,match(C599,sea_lice!A:A,0)))))</f>
        <v>no lice</v>
      </c>
      <c r="X599" s="23">
        <v>598.0</v>
      </c>
    </row>
    <row r="600">
      <c r="B600" s="6">
        <v>16197.0</v>
      </c>
      <c r="C600" s="12" t="str">
        <f t="shared" si="1"/>
        <v>U16197</v>
      </c>
      <c r="D600" s="14" t="str">
        <f t="array" ref="D600">iferror(index('2018_ufns'!E:E,match(C600,'2018_ufns'!B:B,0)))</f>
        <v>P1020</v>
      </c>
      <c r="E600" s="45">
        <v>43405.0</v>
      </c>
      <c r="F600" s="40" t="s">
        <v>53</v>
      </c>
      <c r="G600" s="40" t="s">
        <v>54</v>
      </c>
      <c r="H600" s="9">
        <v>15.2</v>
      </c>
      <c r="I600" s="13">
        <v>109.0</v>
      </c>
      <c r="J600" s="13">
        <v>114.0</v>
      </c>
      <c r="K600" s="17">
        <f t="shared" si="5"/>
        <v>1.025956705</v>
      </c>
      <c r="L600" s="9">
        <v>0.0</v>
      </c>
      <c r="O600" s="9" t="s">
        <v>221</v>
      </c>
      <c r="P600" s="40" t="s">
        <v>1729</v>
      </c>
      <c r="Q600" s="33" t="s">
        <v>150</v>
      </c>
      <c r="R600" s="40" t="s">
        <v>63</v>
      </c>
      <c r="S600" s="9" t="s">
        <v>638</v>
      </c>
      <c r="T600" t="str">
        <f t="shared" si="9"/>
        <v>N</v>
      </c>
      <c r="W600" s="12" t="str">
        <f t="array" ref="W600">if(and(L600=0,Q600="NA"),"NA",if(L600=0,"no lice",if(Q600="NA","no collection",index(sea_lice!G:G,match(C600,sea_lice!A:A,0)))))</f>
        <v>no lice</v>
      </c>
      <c r="X600" s="23">
        <v>599.0</v>
      </c>
    </row>
    <row r="601">
      <c r="B601" s="6">
        <v>16506.0</v>
      </c>
      <c r="C601" s="12" t="str">
        <f t="shared" si="1"/>
        <v>U16506</v>
      </c>
      <c r="D601" s="14" t="str">
        <f t="array" ref="D601">iferror(index('2018_ufns'!E:E,match(C601,'2018_ufns'!B:B,0)))</f>
        <v>P1051</v>
      </c>
      <c r="E601" s="45">
        <v>43405.0</v>
      </c>
      <c r="F601" s="40" t="s">
        <v>53</v>
      </c>
      <c r="G601" s="40" t="s">
        <v>54</v>
      </c>
      <c r="H601" s="9">
        <v>12.8</v>
      </c>
      <c r="I601" s="13">
        <v>107.0</v>
      </c>
      <c r="J601" s="13">
        <v>113.0</v>
      </c>
      <c r="K601" s="17">
        <f t="shared" si="5"/>
        <v>0.8871042077</v>
      </c>
      <c r="L601" s="9">
        <v>1.0</v>
      </c>
      <c r="O601" s="9" t="s">
        <v>638</v>
      </c>
      <c r="P601" s="40" t="s">
        <v>1729</v>
      </c>
      <c r="Q601" s="33" t="s">
        <v>150</v>
      </c>
      <c r="R601" s="40" t="s">
        <v>63</v>
      </c>
      <c r="S601" s="9" t="s">
        <v>221</v>
      </c>
      <c r="T601" t="str">
        <f t="shared" si="9"/>
        <v>N</v>
      </c>
      <c r="W601" s="12" t="str">
        <f t="array" ref="W601">if(and(L601=0,Q601="NA"),"NA",if(L601=0,"no lice",if(Q601="NA","no collection",index(sea_lice!G:G,match(C601,sea_lice!A:A,0)))))</f>
        <v>BSL6-47</v>
      </c>
      <c r="X601" s="23">
        <v>600.0</v>
      </c>
    </row>
    <row r="602">
      <c r="B602" s="6">
        <v>16510.0</v>
      </c>
      <c r="C602" s="12" t="str">
        <f t="shared" si="1"/>
        <v>U16510</v>
      </c>
      <c r="D602" s="14" t="str">
        <f t="array" ref="D602">iferror(index('2018_ufns'!E:E,match(C602,'2018_ufns'!B:B,0)))</f>
        <v>P1051</v>
      </c>
      <c r="E602" s="45">
        <v>43405.0</v>
      </c>
      <c r="F602" s="40" t="s">
        <v>53</v>
      </c>
      <c r="G602" s="40" t="s">
        <v>54</v>
      </c>
      <c r="H602" s="9">
        <v>15.8</v>
      </c>
      <c r="I602" s="13">
        <v>112.0</v>
      </c>
      <c r="J602" s="13">
        <v>118.0</v>
      </c>
      <c r="K602" s="17">
        <f t="shared" si="5"/>
        <v>0.9616367788</v>
      </c>
      <c r="L602" s="9">
        <v>2.0</v>
      </c>
      <c r="O602" s="9" t="s">
        <v>638</v>
      </c>
      <c r="P602" s="40" t="s">
        <v>1729</v>
      </c>
      <c r="Q602" s="33" t="s">
        <v>150</v>
      </c>
      <c r="R602" s="40" t="s">
        <v>63</v>
      </c>
      <c r="S602" s="9" t="s">
        <v>221</v>
      </c>
      <c r="T602" t="str">
        <f t="shared" si="9"/>
        <v>N</v>
      </c>
      <c r="W602" s="12" t="str">
        <f t="array" ref="W602">if(and(L602=0,Q602="NA"),"NA",if(L602=0,"no lice",if(Q602="NA","no collection",index(sea_lice!G:G,match(C602,sea_lice!A:A,0)))))</f>
        <v>BSL6-48</v>
      </c>
      <c r="X602" s="23">
        <v>601.0</v>
      </c>
    </row>
    <row r="603">
      <c r="B603" s="6">
        <v>16507.0</v>
      </c>
      <c r="C603" s="12" t="str">
        <f t="shared" si="1"/>
        <v>U16507</v>
      </c>
      <c r="D603" s="14" t="str">
        <f t="array" ref="D603">iferror(index('2018_ufns'!E:E,match(C603,'2018_ufns'!B:B,0)))</f>
        <v>P1051</v>
      </c>
      <c r="E603" s="45">
        <v>43405.0</v>
      </c>
      <c r="F603" s="40" t="s">
        <v>53</v>
      </c>
      <c r="G603" s="40" t="s">
        <v>54</v>
      </c>
      <c r="H603" s="9">
        <v>16.6</v>
      </c>
      <c r="I603" s="13">
        <v>113.0</v>
      </c>
      <c r="J603" s="13">
        <v>117.0</v>
      </c>
      <c r="K603" s="17">
        <f t="shared" si="5"/>
        <v>1.036455124</v>
      </c>
      <c r="L603" s="9">
        <v>1.0</v>
      </c>
      <c r="O603" s="9" t="s">
        <v>638</v>
      </c>
      <c r="P603" s="40" t="s">
        <v>1729</v>
      </c>
      <c r="Q603" s="33" t="s">
        <v>150</v>
      </c>
      <c r="R603" s="40" t="s">
        <v>63</v>
      </c>
      <c r="S603" s="9" t="s">
        <v>221</v>
      </c>
      <c r="T603" t="str">
        <f t="shared" si="9"/>
        <v>N</v>
      </c>
      <c r="W603" s="12" t="str">
        <f t="array" ref="W603">if(and(L603=0,Q603="NA"),"NA",if(L603=0,"no lice",if(Q603="NA","no collection",index(sea_lice!G:G,match(C603,sea_lice!A:A,0)))))</f>
        <v>BSL6-49</v>
      </c>
      <c r="X603" s="23">
        <v>602.0</v>
      </c>
    </row>
    <row r="604">
      <c r="B604" s="6">
        <v>16503.0</v>
      </c>
      <c r="C604" s="12" t="str">
        <f t="shared" si="1"/>
        <v>U16503</v>
      </c>
      <c r="D604" s="14" t="str">
        <f t="array" ref="D604">iferror(index('2018_ufns'!E:E,match(C604,'2018_ufns'!B:B,0)))</f>
        <v>P1051</v>
      </c>
      <c r="E604" s="45">
        <v>43405.0</v>
      </c>
      <c r="F604" s="40" t="s">
        <v>53</v>
      </c>
      <c r="G604" s="40" t="s">
        <v>54</v>
      </c>
      <c r="H604" s="9">
        <v>10.0</v>
      </c>
      <c r="I604" s="13">
        <v>100.0</v>
      </c>
      <c r="J604" s="13" t="s">
        <v>63</v>
      </c>
      <c r="K604" s="17" t="str">
        <f t="shared" si="5"/>
        <v/>
      </c>
      <c r="L604" s="9">
        <v>1.0</v>
      </c>
      <c r="O604" s="9" t="s">
        <v>638</v>
      </c>
      <c r="P604" s="40" t="s">
        <v>1729</v>
      </c>
      <c r="Q604" s="33" t="s">
        <v>150</v>
      </c>
      <c r="R604" s="40" t="s">
        <v>63</v>
      </c>
      <c r="S604" s="9" t="s">
        <v>221</v>
      </c>
      <c r="T604" t="str">
        <f t="shared" si="9"/>
        <v>N</v>
      </c>
      <c r="W604" s="12" t="str">
        <f t="array" ref="W604">if(and(L604=0,Q604="NA"),"NA",if(L604=0,"no lice",if(Q604="NA","no collection",index(sea_lice!G:G,match(C604,sea_lice!A:A,0)))))</f>
        <v>BSL6-51</v>
      </c>
      <c r="X604" s="23">
        <v>603.0</v>
      </c>
    </row>
    <row r="605">
      <c r="B605" s="6">
        <v>16505.0</v>
      </c>
      <c r="C605" s="12" t="str">
        <f t="shared" si="1"/>
        <v>U16505</v>
      </c>
      <c r="D605" s="14" t="str">
        <f t="array" ref="D605">iferror(index('2018_ufns'!E:E,match(C605,'2018_ufns'!B:B,0)))</f>
        <v>P1051</v>
      </c>
      <c r="E605" s="45">
        <v>43405.0</v>
      </c>
      <c r="F605" s="40" t="s">
        <v>53</v>
      </c>
      <c r="G605" s="40" t="s">
        <v>54</v>
      </c>
      <c r="H605" s="9">
        <v>24.0</v>
      </c>
      <c r="I605" s="13">
        <v>129.0</v>
      </c>
      <c r="J605" s="13">
        <v>136.0</v>
      </c>
      <c r="K605" s="17">
        <f t="shared" si="5"/>
        <v>0.9541013637</v>
      </c>
      <c r="L605" s="9">
        <v>0.0</v>
      </c>
      <c r="O605" s="9" t="s">
        <v>638</v>
      </c>
      <c r="P605" s="40" t="s">
        <v>1729</v>
      </c>
      <c r="Q605" s="33" t="s">
        <v>150</v>
      </c>
      <c r="R605" s="40" t="s">
        <v>63</v>
      </c>
      <c r="S605" s="9" t="s">
        <v>221</v>
      </c>
      <c r="T605" t="str">
        <f t="shared" si="9"/>
        <v>N</v>
      </c>
      <c r="W605" s="12" t="str">
        <f t="array" ref="W605">if(and(L605=0,Q605="NA"),"NA",if(L605=0,"no lice",if(Q605="NA","no collection",index(sea_lice!G:G,match(C605,sea_lice!A:A,0)))))</f>
        <v>no lice</v>
      </c>
      <c r="X605" s="23">
        <v>604.0</v>
      </c>
    </row>
    <row r="606">
      <c r="B606" s="6">
        <v>16806.0</v>
      </c>
      <c r="C606" s="12" t="str">
        <f t="shared" si="1"/>
        <v>U16806</v>
      </c>
      <c r="D606" s="14" t="str">
        <f t="array" ref="D606">iferror(index('2018_ufns'!E:E,match(C606,'2018_ufns'!B:B,0)))</f>
        <v>P1081</v>
      </c>
      <c r="E606" s="45">
        <v>43405.0</v>
      </c>
      <c r="F606" s="40" t="s">
        <v>53</v>
      </c>
      <c r="G606" s="40" t="s">
        <v>54</v>
      </c>
      <c r="H606" s="9">
        <v>7.3</v>
      </c>
      <c r="I606" s="13">
        <v>88.0</v>
      </c>
      <c r="J606" s="13">
        <v>92.0</v>
      </c>
      <c r="K606" s="17">
        <f t="shared" si="5"/>
        <v>0.9374743158</v>
      </c>
      <c r="L606" s="9">
        <v>0.0</v>
      </c>
      <c r="O606" s="9" t="s">
        <v>638</v>
      </c>
      <c r="P606" s="40" t="s">
        <v>1729</v>
      </c>
      <c r="Q606" s="33" t="s">
        <v>150</v>
      </c>
      <c r="R606" s="40" t="s">
        <v>63</v>
      </c>
      <c r="S606" s="9" t="s">
        <v>221</v>
      </c>
      <c r="T606" t="str">
        <f t="shared" si="9"/>
        <v>N</v>
      </c>
      <c r="W606" s="12" t="str">
        <f t="array" ref="W606">if(and(L606=0,Q606="NA"),"NA",if(L606=0,"no lice",if(Q606="NA","no collection",index(sea_lice!G:G,match(C606,sea_lice!A:A,0)))))</f>
        <v>no lice</v>
      </c>
      <c r="X606" s="23">
        <v>605.0</v>
      </c>
    </row>
    <row r="607">
      <c r="B607" s="6">
        <v>16810.0</v>
      </c>
      <c r="C607" s="12" t="str">
        <f t="shared" si="1"/>
        <v>U16810</v>
      </c>
      <c r="D607" s="14" t="str">
        <f t="array" ref="D607">iferror(index('2018_ufns'!E:E,match(C607,'2018_ufns'!B:B,0)))</f>
        <v>P1081</v>
      </c>
      <c r="E607" s="45">
        <v>43405.0</v>
      </c>
      <c r="F607" s="40" t="s">
        <v>53</v>
      </c>
      <c r="G607" s="40" t="s">
        <v>54</v>
      </c>
      <c r="H607" s="9">
        <v>8.1</v>
      </c>
      <c r="I607" s="13">
        <v>95.0</v>
      </c>
      <c r="J607" s="13">
        <v>99.0</v>
      </c>
      <c r="K607" s="17">
        <f t="shared" si="5"/>
        <v>0.8347942232</v>
      </c>
      <c r="L607" s="9">
        <v>0.0</v>
      </c>
      <c r="O607" s="9" t="s">
        <v>638</v>
      </c>
      <c r="P607" s="40" t="s">
        <v>1729</v>
      </c>
      <c r="Q607" s="33" t="s">
        <v>150</v>
      </c>
      <c r="R607" s="40" t="s">
        <v>63</v>
      </c>
      <c r="S607" s="9" t="s">
        <v>221</v>
      </c>
      <c r="T607" t="str">
        <f t="shared" si="9"/>
        <v>N</v>
      </c>
      <c r="W607" s="12" t="str">
        <f t="array" ref="W607">if(and(L607=0,Q607="NA"),"NA",if(L607=0,"no lice",if(Q607="NA","no collection",index(sea_lice!G:G,match(C607,sea_lice!A:A,0)))))</f>
        <v>no lice</v>
      </c>
      <c r="X607" s="23">
        <v>606.0</v>
      </c>
    </row>
    <row r="608">
      <c r="B608" s="6">
        <v>16808.0</v>
      </c>
      <c r="C608" s="12" t="str">
        <f t="shared" si="1"/>
        <v>U16808</v>
      </c>
      <c r="D608" s="14" t="str">
        <f t="array" ref="D608">iferror(index('2018_ufns'!E:E,match(C608,'2018_ufns'!B:B,0)))</f>
        <v>P1081</v>
      </c>
      <c r="E608" s="45">
        <v>43405.0</v>
      </c>
      <c r="F608" s="40" t="s">
        <v>53</v>
      </c>
      <c r="G608" s="40" t="s">
        <v>54</v>
      </c>
      <c r="H608" s="9">
        <v>13.7</v>
      </c>
      <c r="I608" s="13">
        <v>108.0</v>
      </c>
      <c r="J608" s="13">
        <v>113.0</v>
      </c>
      <c r="K608" s="17">
        <f t="shared" si="5"/>
        <v>0.9494787223</v>
      </c>
      <c r="L608" s="9">
        <v>0.0</v>
      </c>
      <c r="O608" s="9" t="s">
        <v>638</v>
      </c>
      <c r="P608" s="40" t="s">
        <v>1729</v>
      </c>
      <c r="Q608" s="33" t="s">
        <v>150</v>
      </c>
      <c r="R608" s="40" t="s">
        <v>63</v>
      </c>
      <c r="S608" s="9" t="s">
        <v>221</v>
      </c>
      <c r="T608" t="str">
        <f t="shared" si="9"/>
        <v>N</v>
      </c>
      <c r="W608" s="12" t="str">
        <f t="array" ref="W608">if(and(L608=0,Q608="NA"),"NA",if(L608=0,"no lice",if(Q608="NA","no collection",index(sea_lice!G:G,match(C608,sea_lice!A:A,0)))))</f>
        <v>no lice</v>
      </c>
      <c r="X608" s="23">
        <v>607.0</v>
      </c>
    </row>
    <row r="609">
      <c r="B609" s="6">
        <v>16809.0</v>
      </c>
      <c r="C609" s="12" t="str">
        <f t="shared" si="1"/>
        <v>U16809</v>
      </c>
      <c r="D609" s="14" t="str">
        <f t="array" ref="D609">iferror(index('2018_ufns'!E:E,match(C609,'2018_ufns'!B:B,0)))</f>
        <v>P1081</v>
      </c>
      <c r="E609" s="45">
        <v>43405.0</v>
      </c>
      <c r="F609" s="40" t="s">
        <v>53</v>
      </c>
      <c r="G609" s="40" t="s">
        <v>54</v>
      </c>
      <c r="H609" s="9">
        <v>10.8</v>
      </c>
      <c r="I609" s="13">
        <v>103.0</v>
      </c>
      <c r="J609" s="13">
        <v>109.0</v>
      </c>
      <c r="K609" s="17">
        <f t="shared" si="5"/>
        <v>0.8339581585</v>
      </c>
      <c r="L609" s="9">
        <v>1.0</v>
      </c>
      <c r="O609" s="9" t="s">
        <v>638</v>
      </c>
      <c r="P609" s="40" t="s">
        <v>1729</v>
      </c>
      <c r="Q609" s="33" t="s">
        <v>150</v>
      </c>
      <c r="R609" s="40" t="s">
        <v>63</v>
      </c>
      <c r="S609" s="9" t="s">
        <v>221</v>
      </c>
      <c r="T609" t="str">
        <f t="shared" si="9"/>
        <v>N</v>
      </c>
      <c r="W609" s="12" t="str">
        <f t="array" ref="W609">if(and(L609=0,Q609="NA"),"NA",if(L609=0,"no lice",if(Q609="NA","no collection",index(sea_lice!G:G,match(C609,sea_lice!A:A,0)))))</f>
        <v>BSL6-52</v>
      </c>
      <c r="X609" s="23">
        <v>608.0</v>
      </c>
    </row>
    <row r="610">
      <c r="B610" s="6">
        <v>16803.0</v>
      </c>
      <c r="C610" s="12" t="str">
        <f t="shared" si="1"/>
        <v>U16803</v>
      </c>
      <c r="D610" s="14" t="str">
        <f t="array" ref="D610">iferror(index('2018_ufns'!E:E,match(C610,'2018_ufns'!B:B,0)))</f>
        <v>P1081</v>
      </c>
      <c r="E610" s="45">
        <v>43405.0</v>
      </c>
      <c r="F610" s="40" t="s">
        <v>53</v>
      </c>
      <c r="G610" s="40" t="s">
        <v>54</v>
      </c>
      <c r="H610" s="9">
        <v>12.3</v>
      </c>
      <c r="I610" s="13">
        <v>103.0</v>
      </c>
      <c r="J610" s="13">
        <v>108.0</v>
      </c>
      <c r="K610" s="17">
        <f t="shared" si="5"/>
        <v>0.9764136565</v>
      </c>
      <c r="L610" s="9">
        <v>1.0</v>
      </c>
      <c r="O610" s="9" t="s">
        <v>638</v>
      </c>
      <c r="P610" s="40" t="s">
        <v>1729</v>
      </c>
      <c r="Q610" s="33" t="s">
        <v>150</v>
      </c>
      <c r="R610" s="40" t="s">
        <v>63</v>
      </c>
      <c r="S610" s="9" t="s">
        <v>221</v>
      </c>
      <c r="T610" t="str">
        <f t="shared" si="9"/>
        <v>N</v>
      </c>
      <c r="W610" s="12" t="str">
        <f t="array" ref="W610">if(and(L610=0,Q610="NA"),"NA",if(L610=0,"no lice",if(Q610="NA","no collection",index(sea_lice!G:G,match(C610,sea_lice!A:A,0)))))</f>
        <v>BSL6-53</v>
      </c>
      <c r="X610" s="23">
        <v>609.0</v>
      </c>
    </row>
    <row r="611">
      <c r="B611" s="6">
        <v>16805.0</v>
      </c>
      <c r="C611" s="12" t="str">
        <f t="shared" si="1"/>
        <v>U16805</v>
      </c>
      <c r="D611" s="14" t="str">
        <f t="array" ref="D611">iferror(index('2018_ufns'!E:E,match(C611,'2018_ufns'!B:B,0)))</f>
        <v>P1081</v>
      </c>
      <c r="E611" s="45">
        <v>43405.0</v>
      </c>
      <c r="F611" s="40" t="s">
        <v>53</v>
      </c>
      <c r="G611" s="40" t="s">
        <v>54</v>
      </c>
      <c r="H611" s="9">
        <v>10.4</v>
      </c>
      <c r="I611" s="13">
        <v>98.0</v>
      </c>
      <c r="J611" s="13">
        <v>103.0</v>
      </c>
      <c r="K611" s="17">
        <f t="shared" si="5"/>
        <v>0.9517473257</v>
      </c>
      <c r="L611" s="9">
        <v>0.0</v>
      </c>
      <c r="O611" s="9" t="s">
        <v>638</v>
      </c>
      <c r="P611" s="40" t="s">
        <v>1729</v>
      </c>
      <c r="Q611" s="33" t="s">
        <v>150</v>
      </c>
      <c r="R611" s="40" t="s">
        <v>63</v>
      </c>
      <c r="S611" s="9" t="s">
        <v>221</v>
      </c>
      <c r="T611" t="str">
        <f t="shared" si="9"/>
        <v>N</v>
      </c>
      <c r="W611" s="12" t="str">
        <f t="array" ref="W611">if(and(L611=0,Q611="NA"),"NA",if(L611=0,"no lice",if(Q611="NA","no collection",index(sea_lice!G:G,match(C611,sea_lice!A:A,0)))))</f>
        <v>no lice</v>
      </c>
      <c r="X611" s="23">
        <v>610.0</v>
      </c>
    </row>
    <row r="612">
      <c r="B612" s="6">
        <v>16801.0</v>
      </c>
      <c r="C612" s="12" t="str">
        <f t="shared" si="1"/>
        <v>U16801</v>
      </c>
      <c r="D612" s="14" t="str">
        <f t="array" ref="D612">iferror(index('2018_ufns'!E:E,match(C612,'2018_ufns'!B:B,0)))</f>
        <v>P1081</v>
      </c>
      <c r="E612" s="45">
        <v>43405.0</v>
      </c>
      <c r="F612" s="40" t="s">
        <v>53</v>
      </c>
      <c r="G612" s="40" t="s">
        <v>54</v>
      </c>
      <c r="H612" s="9">
        <v>7.8</v>
      </c>
      <c r="I612" s="13">
        <v>90.0</v>
      </c>
      <c r="J612" s="13">
        <v>94.0</v>
      </c>
      <c r="K612" s="17">
        <f t="shared" si="5"/>
        <v>0.939098273</v>
      </c>
      <c r="L612" s="9">
        <v>0.0</v>
      </c>
      <c r="O612" s="9" t="s">
        <v>638</v>
      </c>
      <c r="P612" s="40" t="s">
        <v>1729</v>
      </c>
      <c r="Q612" s="33" t="s">
        <v>150</v>
      </c>
      <c r="R612" s="40" t="s">
        <v>63</v>
      </c>
      <c r="S612" s="9" t="s">
        <v>221</v>
      </c>
      <c r="T612" t="str">
        <f t="shared" si="9"/>
        <v>N</v>
      </c>
      <c r="W612" s="12" t="str">
        <f t="array" ref="W612">if(and(L612=0,Q612="NA"),"NA",if(L612=0,"no lice",if(Q612="NA","no collection",index(sea_lice!G:G,match(C612,sea_lice!A:A,0)))))</f>
        <v>no lice</v>
      </c>
      <c r="X612" s="23">
        <v>611.0</v>
      </c>
    </row>
    <row r="613">
      <c r="B613" s="6">
        <v>16807.0</v>
      </c>
      <c r="C613" s="12" t="str">
        <f t="shared" si="1"/>
        <v>U16807</v>
      </c>
      <c r="D613" s="14" t="str">
        <f t="array" ref="D613">iferror(index('2018_ufns'!E:E,match(C613,'2018_ufns'!B:B,0)))</f>
        <v>P1081</v>
      </c>
      <c r="E613" s="45">
        <v>43405.0</v>
      </c>
      <c r="F613" s="40" t="s">
        <v>53</v>
      </c>
      <c r="G613" s="40" t="s">
        <v>54</v>
      </c>
      <c r="H613" s="9">
        <v>10.1</v>
      </c>
      <c r="I613" s="13">
        <v>96.0</v>
      </c>
      <c r="J613" s="13">
        <v>100.0</v>
      </c>
      <c r="K613" s="17">
        <f t="shared" si="5"/>
        <v>1.01</v>
      </c>
      <c r="L613" s="9">
        <v>0.0</v>
      </c>
      <c r="O613" s="9" t="s">
        <v>638</v>
      </c>
      <c r="P613" s="40" t="s">
        <v>1729</v>
      </c>
      <c r="Q613" s="33" t="s">
        <v>150</v>
      </c>
      <c r="R613" s="40" t="s">
        <v>63</v>
      </c>
      <c r="S613" s="9" t="s">
        <v>221</v>
      </c>
      <c r="T613" t="str">
        <f t="shared" si="9"/>
        <v>N</v>
      </c>
      <c r="W613" s="12" t="str">
        <f t="array" ref="W613">if(and(L613=0,Q613="NA"),"NA",if(L613=0,"no lice",if(Q613="NA","no collection",index(sea_lice!G:G,match(C613,sea_lice!A:A,0)))))</f>
        <v>no lice</v>
      </c>
      <c r="X613" s="23">
        <v>612.0</v>
      </c>
    </row>
    <row r="614">
      <c r="B614" s="6">
        <v>16804.0</v>
      </c>
      <c r="C614" s="12" t="str">
        <f t="shared" si="1"/>
        <v>U16804</v>
      </c>
      <c r="D614" s="14" t="str">
        <f t="array" ref="D614">iferror(index('2018_ufns'!E:E,match(C614,'2018_ufns'!B:B,0)))</f>
        <v>P1081</v>
      </c>
      <c r="E614" s="45">
        <v>43405.0</v>
      </c>
      <c r="F614" s="40" t="s">
        <v>53</v>
      </c>
      <c r="G614" s="40" t="s">
        <v>54</v>
      </c>
      <c r="H614" s="9">
        <v>11.6</v>
      </c>
      <c r="I614" s="13">
        <v>101.0</v>
      </c>
      <c r="J614" s="13" t="s">
        <v>63</v>
      </c>
      <c r="K614" s="17" t="str">
        <f t="shared" si="5"/>
        <v/>
      </c>
      <c r="L614" s="9">
        <v>0.0</v>
      </c>
      <c r="O614" s="9" t="s">
        <v>638</v>
      </c>
      <c r="P614" s="40" t="s">
        <v>1729</v>
      </c>
      <c r="Q614" s="33" t="s">
        <v>150</v>
      </c>
      <c r="R614" s="40" t="s">
        <v>63</v>
      </c>
      <c r="S614" s="9" t="s">
        <v>221</v>
      </c>
      <c r="T614" t="str">
        <f t="shared" si="9"/>
        <v>N</v>
      </c>
      <c r="W614" s="12" t="str">
        <f t="array" ref="W614">if(and(L614=0,Q614="NA"),"NA",if(L614=0,"no lice",if(Q614="NA","no collection",index(sea_lice!G:G,match(C614,sea_lice!A:A,0)))))</f>
        <v>no lice</v>
      </c>
      <c r="X614" s="23">
        <v>613.0</v>
      </c>
    </row>
    <row r="615">
      <c r="B615" s="6">
        <v>16802.0</v>
      </c>
      <c r="C615" s="12" t="str">
        <f t="shared" si="1"/>
        <v>U16802</v>
      </c>
      <c r="D615" s="14" t="str">
        <f t="array" ref="D615">iferror(index('2018_ufns'!E:E,match(C615,'2018_ufns'!B:B,0)))</f>
        <v>P1081</v>
      </c>
      <c r="E615" s="45">
        <v>43405.0</v>
      </c>
      <c r="F615" s="40" t="s">
        <v>53</v>
      </c>
      <c r="G615" s="40" t="s">
        <v>54</v>
      </c>
      <c r="H615" s="9">
        <v>8.2</v>
      </c>
      <c r="I615" s="13">
        <v>92.0</v>
      </c>
      <c r="J615" s="13" t="s">
        <v>63</v>
      </c>
      <c r="K615" s="17" t="str">
        <f t="shared" si="5"/>
        <v/>
      </c>
      <c r="L615" s="9">
        <v>0.0</v>
      </c>
      <c r="O615" s="9" t="s">
        <v>638</v>
      </c>
      <c r="P615" s="40" t="s">
        <v>1729</v>
      </c>
      <c r="Q615" s="33" t="s">
        <v>150</v>
      </c>
      <c r="R615" s="40" t="s">
        <v>63</v>
      </c>
      <c r="S615" s="9" t="s">
        <v>221</v>
      </c>
      <c r="T615" t="str">
        <f t="shared" si="9"/>
        <v>N</v>
      </c>
      <c r="W615" s="12" t="str">
        <f t="array" ref="W615">if(and(L615=0,Q615="NA"),"NA",if(L615=0,"no lice",if(Q615="NA","no collection",index(sea_lice!G:G,match(C615,sea_lice!A:A,0)))))</f>
        <v>no lice</v>
      </c>
      <c r="X615" s="23">
        <v>614.0</v>
      </c>
    </row>
    <row r="616">
      <c r="B616" s="6">
        <v>16198.0</v>
      </c>
      <c r="C616" s="12" t="str">
        <f t="shared" si="1"/>
        <v>U16198</v>
      </c>
      <c r="D616" s="14" t="str">
        <f t="array" ref="D616">iferror(index('2018_ufns'!E:E,match(C616,'2018_ufns'!B:B,0)))</f>
        <v>P1020</v>
      </c>
      <c r="E616" s="14">
        <v>43406.0</v>
      </c>
      <c r="F616" s="40" t="s">
        <v>53</v>
      </c>
      <c r="G616" s="40" t="s">
        <v>54</v>
      </c>
      <c r="H616" s="9">
        <v>15.4</v>
      </c>
      <c r="I616" s="13">
        <v>112.0</v>
      </c>
      <c r="J616" s="13" t="s">
        <v>63</v>
      </c>
      <c r="K616" s="17" t="str">
        <f t="shared" si="5"/>
        <v/>
      </c>
      <c r="L616" s="9">
        <v>0.0</v>
      </c>
      <c r="O616" s="9" t="s">
        <v>221</v>
      </c>
      <c r="P616" s="40" t="s">
        <v>1729</v>
      </c>
      <c r="Q616" s="33" t="s">
        <v>150</v>
      </c>
      <c r="R616" s="40" t="s">
        <v>63</v>
      </c>
      <c r="S616" s="9" t="s">
        <v>638</v>
      </c>
      <c r="T616" t="str">
        <f t="shared" si="9"/>
        <v>N</v>
      </c>
      <c r="W616" s="12" t="str">
        <f t="array" ref="W616">if(and(L616=0,Q616="NA"),"NA",if(L616=0,"no lice",if(Q616="NA","no collection",index(sea_lice!G:G,match(C616,sea_lice!A:A,0)))))</f>
        <v>no lice</v>
      </c>
      <c r="X616" s="23">
        <v>615.0</v>
      </c>
    </row>
    <row r="617">
      <c r="B617" s="6">
        <v>16199.0</v>
      </c>
      <c r="C617" s="12" t="str">
        <f t="shared" si="1"/>
        <v>U16199</v>
      </c>
      <c r="D617" s="14" t="str">
        <f t="array" ref="D617">iferror(index('2018_ufns'!E:E,match(C617,'2018_ufns'!B:B,0)))</f>
        <v>P1020</v>
      </c>
      <c r="E617" s="14">
        <v>43406.0</v>
      </c>
      <c r="F617" s="40" t="s">
        <v>53</v>
      </c>
      <c r="G617" s="40" t="s">
        <v>54</v>
      </c>
      <c r="H617" s="9">
        <v>13.8</v>
      </c>
      <c r="I617" s="13">
        <v>107.0</v>
      </c>
      <c r="J617" s="13">
        <v>111.0</v>
      </c>
      <c r="K617" s="17">
        <f t="shared" si="5"/>
        <v>1.009044106</v>
      </c>
      <c r="L617" s="9">
        <v>0.0</v>
      </c>
      <c r="O617" s="9" t="s">
        <v>221</v>
      </c>
      <c r="P617" s="40" t="s">
        <v>1729</v>
      </c>
      <c r="Q617" s="33" t="s">
        <v>150</v>
      </c>
      <c r="R617" s="40" t="s">
        <v>63</v>
      </c>
      <c r="S617" s="9" t="s">
        <v>638</v>
      </c>
      <c r="T617" t="str">
        <f t="shared" si="9"/>
        <v>N</v>
      </c>
      <c r="W617" s="12" t="str">
        <f t="array" ref="W617">if(and(L617=0,Q617="NA"),"NA",if(L617=0,"no lice",if(Q617="NA","no collection",index(sea_lice!G:G,match(C617,sea_lice!A:A,0)))))</f>
        <v>no lice</v>
      </c>
      <c r="X617" s="23">
        <v>616.0</v>
      </c>
    </row>
    <row r="618">
      <c r="B618" s="6">
        <v>16200.0</v>
      </c>
      <c r="C618" s="12" t="str">
        <f t="shared" si="1"/>
        <v>U16200</v>
      </c>
      <c r="D618" s="14" t="str">
        <f t="array" ref="D618">iferror(index('2018_ufns'!E:E,match(C618,'2018_ufns'!B:B,0)))</f>
        <v>P1020</v>
      </c>
      <c r="E618" s="14">
        <v>43406.0</v>
      </c>
      <c r="F618" s="9" t="s">
        <v>31</v>
      </c>
      <c r="G618" s="9" t="s">
        <v>268</v>
      </c>
      <c r="H618" s="9">
        <v>32.1</v>
      </c>
      <c r="I618" s="13">
        <v>139.0</v>
      </c>
      <c r="J618" s="13">
        <v>145.0</v>
      </c>
      <c r="K618" s="17">
        <f t="shared" si="5"/>
        <v>1.0529337</v>
      </c>
      <c r="L618" s="9">
        <v>0.0</v>
      </c>
      <c r="O618" s="9" t="s">
        <v>221</v>
      </c>
      <c r="P618" s="40" t="s">
        <v>1729</v>
      </c>
      <c r="Q618" s="33" t="s">
        <v>150</v>
      </c>
      <c r="R618" s="40" t="s">
        <v>63</v>
      </c>
      <c r="S618" s="9" t="s">
        <v>638</v>
      </c>
      <c r="T618" t="str">
        <f t="shared" si="9"/>
        <v>N</v>
      </c>
      <c r="W618" s="12" t="str">
        <f t="array" ref="W618">if(and(L618=0,Q618="NA"),"NA",if(L618=0,"no lice",if(Q618="NA","no collection",index(sea_lice!G:G,match(C618,sea_lice!A:A,0)))))</f>
        <v>no lice</v>
      </c>
      <c r="X618" s="23">
        <v>617.0</v>
      </c>
    </row>
    <row r="619">
      <c r="B619" s="6">
        <v>16141.0</v>
      </c>
      <c r="C619" s="12" t="str">
        <f t="shared" si="1"/>
        <v>U16141</v>
      </c>
      <c r="D619" s="14" t="str">
        <f t="array" ref="D619">iferror(index('2018_ufns'!E:E,match(C619,'2018_ufns'!B:B,0)))</f>
        <v>P1015</v>
      </c>
      <c r="E619" s="14">
        <v>43406.0</v>
      </c>
      <c r="F619" s="40" t="s">
        <v>53</v>
      </c>
      <c r="G619" s="40" t="s">
        <v>54</v>
      </c>
      <c r="H619" s="9">
        <v>9.1</v>
      </c>
      <c r="I619" s="13">
        <v>95.0</v>
      </c>
      <c r="J619" s="13">
        <v>100.0</v>
      </c>
      <c r="K619" s="17">
        <f t="shared" si="5"/>
        <v>0.91</v>
      </c>
      <c r="L619" s="9">
        <v>0.0</v>
      </c>
      <c r="O619" s="9" t="s">
        <v>221</v>
      </c>
      <c r="P619" s="40" t="s">
        <v>1729</v>
      </c>
      <c r="Q619" s="33" t="s">
        <v>150</v>
      </c>
      <c r="R619" s="40" t="s">
        <v>63</v>
      </c>
      <c r="S619" s="9" t="s">
        <v>638</v>
      </c>
      <c r="T619" t="str">
        <f t="shared" si="9"/>
        <v>N</v>
      </c>
      <c r="W619" s="12" t="str">
        <f t="array" ref="W619">if(and(L619=0,Q619="NA"),"NA",if(L619=0,"no lice",if(Q619="NA","no collection",index(sea_lice!G:G,match(C619,sea_lice!A:A,0)))))</f>
        <v>no lice</v>
      </c>
      <c r="X619" s="23">
        <v>618.0</v>
      </c>
    </row>
    <row r="620">
      <c r="B620" s="6">
        <v>16142.0</v>
      </c>
      <c r="C620" s="12" t="str">
        <f t="shared" si="1"/>
        <v>U16142</v>
      </c>
      <c r="D620" s="14" t="str">
        <f t="array" ref="D620">iferror(index('2018_ufns'!E:E,match(C620,'2018_ufns'!B:B,0)))</f>
        <v>P1015</v>
      </c>
      <c r="E620" s="14">
        <v>43406.0</v>
      </c>
      <c r="F620" s="40" t="s">
        <v>53</v>
      </c>
      <c r="G620" s="40" t="s">
        <v>54</v>
      </c>
      <c r="H620" s="9">
        <v>7.4</v>
      </c>
      <c r="I620" s="13">
        <v>88.0</v>
      </c>
      <c r="J620" s="13">
        <v>92.0</v>
      </c>
      <c r="K620" s="17">
        <f t="shared" si="5"/>
        <v>0.9503164297</v>
      </c>
      <c r="L620" s="9">
        <v>0.0</v>
      </c>
      <c r="O620" s="9" t="s">
        <v>221</v>
      </c>
      <c r="P620" s="40" t="s">
        <v>1729</v>
      </c>
      <c r="Q620" s="33" t="s">
        <v>150</v>
      </c>
      <c r="R620" s="40" t="s">
        <v>63</v>
      </c>
      <c r="S620" s="9" t="s">
        <v>638</v>
      </c>
      <c r="T620" t="str">
        <f t="shared" si="9"/>
        <v>N</v>
      </c>
      <c r="W620" s="12" t="str">
        <f t="array" ref="W620">if(and(L620=0,Q620="NA"),"NA",if(L620=0,"no lice",if(Q620="NA","no collection",index(sea_lice!G:G,match(C620,sea_lice!A:A,0)))))</f>
        <v>no lice</v>
      </c>
      <c r="X620" s="23">
        <v>619.0</v>
      </c>
    </row>
    <row r="621">
      <c r="B621" s="6">
        <v>16143.0</v>
      </c>
      <c r="C621" s="12" t="str">
        <f t="shared" si="1"/>
        <v>U16143</v>
      </c>
      <c r="D621" s="14" t="str">
        <f t="array" ref="D621">iferror(index('2018_ufns'!E:E,match(C621,'2018_ufns'!B:B,0)))</f>
        <v>P1015</v>
      </c>
      <c r="E621" s="14">
        <v>43406.0</v>
      </c>
      <c r="F621" s="40" t="s">
        <v>53</v>
      </c>
      <c r="G621" s="40" t="s">
        <v>54</v>
      </c>
      <c r="H621" s="9">
        <v>8.0</v>
      </c>
      <c r="I621" s="13">
        <v>86.0</v>
      </c>
      <c r="J621" s="13">
        <v>91.0</v>
      </c>
      <c r="K621" s="17">
        <f t="shared" si="5"/>
        <v>1.061611978</v>
      </c>
      <c r="L621" s="9">
        <v>0.0</v>
      </c>
      <c r="O621" s="9" t="s">
        <v>221</v>
      </c>
      <c r="P621" s="40" t="s">
        <v>1729</v>
      </c>
      <c r="Q621" s="33" t="s">
        <v>150</v>
      </c>
      <c r="R621" s="40" t="s">
        <v>63</v>
      </c>
      <c r="S621" s="9" t="s">
        <v>638</v>
      </c>
      <c r="T621" t="str">
        <f t="shared" si="9"/>
        <v>N</v>
      </c>
      <c r="W621" s="12" t="str">
        <f t="array" ref="W621">if(and(L621=0,Q621="NA"),"NA",if(L621=0,"no lice",if(Q621="NA","no collection",index(sea_lice!G:G,match(C621,sea_lice!A:A,0)))))</f>
        <v>no lice</v>
      </c>
      <c r="X621" s="23">
        <v>620.0</v>
      </c>
    </row>
    <row r="622">
      <c r="B622" s="6">
        <v>16144.0</v>
      </c>
      <c r="C622" s="12" t="str">
        <f t="shared" si="1"/>
        <v>U16144</v>
      </c>
      <c r="D622" s="14" t="str">
        <f t="array" ref="D622">iferror(index('2018_ufns'!E:E,match(C622,'2018_ufns'!B:B,0)))</f>
        <v>P1015</v>
      </c>
      <c r="E622" s="14">
        <v>43406.0</v>
      </c>
      <c r="F622" s="40" t="s">
        <v>53</v>
      </c>
      <c r="G622" s="40" t="s">
        <v>54</v>
      </c>
      <c r="H622" s="9">
        <v>6.6</v>
      </c>
      <c r="I622" s="13">
        <v>84.0</v>
      </c>
      <c r="J622" s="13">
        <v>89.0</v>
      </c>
      <c r="K622" s="17">
        <f t="shared" si="5"/>
        <v>0.9362113795</v>
      </c>
      <c r="L622" s="9">
        <v>0.0</v>
      </c>
      <c r="O622" s="9" t="s">
        <v>221</v>
      </c>
      <c r="P622" s="40" t="s">
        <v>1729</v>
      </c>
      <c r="Q622" s="33" t="s">
        <v>150</v>
      </c>
      <c r="R622" s="40" t="s">
        <v>63</v>
      </c>
      <c r="S622" s="9" t="s">
        <v>638</v>
      </c>
      <c r="T622" t="str">
        <f t="shared" si="9"/>
        <v>N</v>
      </c>
      <c r="W622" s="12" t="str">
        <f t="array" ref="W622">if(and(L622=0,Q622="NA"),"NA",if(L622=0,"no lice",if(Q622="NA","no collection",index(sea_lice!G:G,match(C622,sea_lice!A:A,0)))))</f>
        <v>no lice</v>
      </c>
      <c r="X622" s="23">
        <v>621.0</v>
      </c>
    </row>
    <row r="623">
      <c r="B623" s="6">
        <v>16145.0</v>
      </c>
      <c r="C623" s="12" t="str">
        <f t="shared" si="1"/>
        <v>U16145</v>
      </c>
      <c r="D623" s="14" t="str">
        <f t="array" ref="D623">iferror(index('2018_ufns'!E:E,match(C623,'2018_ufns'!B:B,0)))</f>
        <v>P1015</v>
      </c>
      <c r="E623" s="14">
        <v>43406.0</v>
      </c>
      <c r="F623" s="40" t="s">
        <v>53</v>
      </c>
      <c r="G623" s="40" t="s">
        <v>54</v>
      </c>
      <c r="H623" s="9">
        <v>9.1</v>
      </c>
      <c r="I623" s="13">
        <v>95.0</v>
      </c>
      <c r="J623" s="13">
        <v>100.0</v>
      </c>
      <c r="K623" s="17">
        <f t="shared" si="5"/>
        <v>0.91</v>
      </c>
      <c r="L623" s="9">
        <v>0.0</v>
      </c>
      <c r="O623" s="9" t="s">
        <v>221</v>
      </c>
      <c r="P623" s="40" t="s">
        <v>1729</v>
      </c>
      <c r="Q623" s="33" t="s">
        <v>150</v>
      </c>
      <c r="R623" s="40" t="s">
        <v>63</v>
      </c>
      <c r="S623" s="9" t="s">
        <v>638</v>
      </c>
      <c r="T623" t="str">
        <f t="shared" si="9"/>
        <v>N</v>
      </c>
      <c r="W623" s="12" t="str">
        <f t="array" ref="W623">if(and(L623=0,Q623="NA"),"NA",if(L623=0,"no lice",if(Q623="NA","no collection",index(sea_lice!G:G,match(C623,sea_lice!A:A,0)))))</f>
        <v>no lice</v>
      </c>
      <c r="X623" s="23">
        <v>622.0</v>
      </c>
    </row>
    <row r="624">
      <c r="B624" s="6">
        <v>16146.0</v>
      </c>
      <c r="C624" s="12" t="str">
        <f t="shared" si="1"/>
        <v>U16146</v>
      </c>
      <c r="D624" s="14" t="str">
        <f t="array" ref="D624">iferror(index('2018_ufns'!E:E,match(C624,'2018_ufns'!B:B,0)))</f>
        <v>P1015</v>
      </c>
      <c r="E624" s="14">
        <v>43406.0</v>
      </c>
      <c r="F624" s="40" t="s">
        <v>53</v>
      </c>
      <c r="G624" s="40" t="s">
        <v>54</v>
      </c>
      <c r="H624" s="9">
        <v>7.0</v>
      </c>
      <c r="I624" s="13">
        <v>87.0</v>
      </c>
      <c r="J624" s="13">
        <v>92.0</v>
      </c>
      <c r="K624" s="17">
        <f t="shared" si="5"/>
        <v>0.898947974</v>
      </c>
      <c r="L624" s="9">
        <v>0.0</v>
      </c>
      <c r="O624" s="9" t="s">
        <v>221</v>
      </c>
      <c r="P624" s="40" t="s">
        <v>1729</v>
      </c>
      <c r="Q624" s="33" t="s">
        <v>150</v>
      </c>
      <c r="R624" s="40" t="s">
        <v>63</v>
      </c>
      <c r="S624" s="9" t="s">
        <v>638</v>
      </c>
      <c r="T624" t="str">
        <f t="shared" si="9"/>
        <v>N</v>
      </c>
      <c r="W624" s="12" t="str">
        <f t="array" ref="W624">if(and(L624=0,Q624="NA"),"NA",if(L624=0,"no lice",if(Q624="NA","no collection",index(sea_lice!G:G,match(C624,sea_lice!A:A,0)))))</f>
        <v>no lice</v>
      </c>
      <c r="X624" s="23">
        <v>623.0</v>
      </c>
    </row>
    <row r="625">
      <c r="B625" s="6">
        <v>16147.0</v>
      </c>
      <c r="C625" s="12" t="str">
        <f t="shared" si="1"/>
        <v>U16147</v>
      </c>
      <c r="D625" s="14" t="str">
        <f t="array" ref="D625">iferror(index('2018_ufns'!E:E,match(C625,'2018_ufns'!B:B,0)))</f>
        <v>P1015</v>
      </c>
      <c r="E625" s="14">
        <v>43406.0</v>
      </c>
      <c r="F625" s="40" t="s">
        <v>53</v>
      </c>
      <c r="G625" s="40" t="s">
        <v>54</v>
      </c>
      <c r="H625" s="9">
        <v>10.9</v>
      </c>
      <c r="I625" s="13">
        <v>98.0</v>
      </c>
      <c r="J625" s="13" t="s">
        <v>63</v>
      </c>
      <c r="K625" s="17" t="str">
        <f t="shared" si="5"/>
        <v/>
      </c>
      <c r="L625" s="9">
        <v>0.0</v>
      </c>
      <c r="O625" s="9" t="s">
        <v>221</v>
      </c>
      <c r="P625" s="40" t="s">
        <v>1729</v>
      </c>
      <c r="Q625" s="33" t="s">
        <v>150</v>
      </c>
      <c r="R625" s="40" t="s">
        <v>63</v>
      </c>
      <c r="S625" s="9" t="s">
        <v>638</v>
      </c>
      <c r="T625" t="str">
        <f t="shared" si="9"/>
        <v>N</v>
      </c>
      <c r="W625" s="12" t="str">
        <f t="array" ref="W625">if(and(L625=0,Q625="NA"),"NA",if(L625=0,"no lice",if(Q625="NA","no collection",index(sea_lice!G:G,match(C625,sea_lice!A:A,0)))))</f>
        <v>no lice</v>
      </c>
      <c r="X625" s="23">
        <v>624.0</v>
      </c>
    </row>
    <row r="626">
      <c r="B626" s="6">
        <v>16148.0</v>
      </c>
      <c r="C626" s="12" t="str">
        <f t="shared" si="1"/>
        <v>U16148</v>
      </c>
      <c r="D626" s="14" t="str">
        <f t="array" ref="D626">iferror(index('2018_ufns'!E:E,match(C626,'2018_ufns'!B:B,0)))</f>
        <v>P1015</v>
      </c>
      <c r="E626" s="14">
        <v>43406.0</v>
      </c>
      <c r="F626" s="40" t="s">
        <v>53</v>
      </c>
      <c r="G626" s="40" t="s">
        <v>54</v>
      </c>
      <c r="H626" s="9">
        <v>6.6</v>
      </c>
      <c r="I626" s="13">
        <v>85.0</v>
      </c>
      <c r="J626" s="13">
        <v>90.0</v>
      </c>
      <c r="K626" s="17">
        <f t="shared" si="5"/>
        <v>0.9053497942</v>
      </c>
      <c r="L626" s="9">
        <v>0.0</v>
      </c>
      <c r="O626" s="9" t="s">
        <v>221</v>
      </c>
      <c r="P626" s="40" t="s">
        <v>1729</v>
      </c>
      <c r="Q626" s="33" t="s">
        <v>150</v>
      </c>
      <c r="R626" s="40" t="s">
        <v>63</v>
      </c>
      <c r="S626" s="9" t="s">
        <v>638</v>
      </c>
      <c r="T626" t="str">
        <f t="shared" si="9"/>
        <v>N</v>
      </c>
      <c r="W626" s="12" t="str">
        <f t="array" ref="W626">if(and(L626=0,Q626="NA"),"NA",if(L626=0,"no lice",if(Q626="NA","no collection",index(sea_lice!G:G,match(C626,sea_lice!A:A,0)))))</f>
        <v>no lice</v>
      </c>
      <c r="X626" s="23">
        <v>625.0</v>
      </c>
    </row>
    <row r="627">
      <c r="B627" s="6">
        <v>16149.0</v>
      </c>
      <c r="C627" s="12" t="str">
        <f t="shared" si="1"/>
        <v>U16149</v>
      </c>
      <c r="D627" s="14" t="str">
        <f t="array" ref="D627">iferror(index('2018_ufns'!E:E,match(C627,'2018_ufns'!B:B,0)))</f>
        <v>P1015</v>
      </c>
      <c r="E627" s="14">
        <v>43406.0</v>
      </c>
      <c r="F627" s="40" t="s">
        <v>53</v>
      </c>
      <c r="G627" s="40" t="s">
        <v>54</v>
      </c>
      <c r="H627" s="9">
        <v>8.8</v>
      </c>
      <c r="I627" s="13">
        <v>93.0</v>
      </c>
      <c r="J627" s="13" t="s">
        <v>63</v>
      </c>
      <c r="K627" s="17" t="str">
        <f t="shared" si="5"/>
        <v/>
      </c>
      <c r="L627" s="9">
        <v>0.0</v>
      </c>
      <c r="O627" s="9" t="s">
        <v>221</v>
      </c>
      <c r="P627" s="40" t="s">
        <v>1729</v>
      </c>
      <c r="Q627" s="33" t="s">
        <v>150</v>
      </c>
      <c r="R627" s="40" t="s">
        <v>63</v>
      </c>
      <c r="S627" s="9" t="s">
        <v>638</v>
      </c>
      <c r="T627" t="str">
        <f t="shared" si="9"/>
        <v>N</v>
      </c>
      <c r="W627" s="12" t="str">
        <f t="array" ref="W627">if(and(L627=0,Q627="NA"),"NA",if(L627=0,"no lice",if(Q627="NA","no collection",index(sea_lice!G:G,match(C627,sea_lice!A:A,0)))))</f>
        <v>no lice</v>
      </c>
      <c r="X627" s="23">
        <v>626.0</v>
      </c>
    </row>
    <row r="628">
      <c r="B628" s="6">
        <v>16150.0</v>
      </c>
      <c r="C628" s="12" t="str">
        <f t="shared" si="1"/>
        <v>U16150</v>
      </c>
      <c r="D628" s="14" t="str">
        <f t="array" ref="D628">iferror(index('2018_ufns'!E:E,match(C628,'2018_ufns'!B:B,0)))</f>
        <v>P1015</v>
      </c>
      <c r="E628" s="14">
        <v>43406.0</v>
      </c>
      <c r="F628" s="40" t="s">
        <v>53</v>
      </c>
      <c r="G628" s="40" t="s">
        <v>54</v>
      </c>
      <c r="H628" s="9">
        <v>7.8</v>
      </c>
      <c r="I628" s="13">
        <v>91.0</v>
      </c>
      <c r="J628" s="13">
        <v>96.0</v>
      </c>
      <c r="K628" s="17">
        <f t="shared" si="5"/>
        <v>0.8816189236</v>
      </c>
      <c r="L628" s="9">
        <v>0.0</v>
      </c>
      <c r="O628" s="9" t="s">
        <v>221</v>
      </c>
      <c r="P628" s="40" t="s">
        <v>1729</v>
      </c>
      <c r="Q628" s="33" t="s">
        <v>150</v>
      </c>
      <c r="R628" s="40" t="s">
        <v>63</v>
      </c>
      <c r="S628" s="9" t="s">
        <v>638</v>
      </c>
      <c r="T628" t="str">
        <f t="shared" si="9"/>
        <v>N</v>
      </c>
      <c r="W628" s="12" t="str">
        <f t="array" ref="W628">if(and(L628=0,Q628="NA"),"NA",if(L628=0,"no lice",if(Q628="NA","no collection",index(sea_lice!G:G,match(C628,sea_lice!A:A,0)))))</f>
        <v>no lice</v>
      </c>
      <c r="X628" s="23">
        <v>627.0</v>
      </c>
    </row>
    <row r="629">
      <c r="B629" s="6">
        <v>16351.0</v>
      </c>
      <c r="C629" s="12" t="str">
        <f t="shared" si="1"/>
        <v>U16351</v>
      </c>
      <c r="D629" s="14" t="str">
        <f t="array" ref="D629">iferror(index('2018_ufns'!E:E,match(C629,'2018_ufns'!B:B,0)))</f>
        <v>P1036</v>
      </c>
      <c r="E629" s="14">
        <v>43406.0</v>
      </c>
      <c r="F629" s="40" t="s">
        <v>53</v>
      </c>
      <c r="G629" s="40" t="s">
        <v>54</v>
      </c>
      <c r="H629" s="9">
        <v>13.1</v>
      </c>
      <c r="I629" s="13">
        <v>105.0</v>
      </c>
      <c r="J629" s="13">
        <v>110.0</v>
      </c>
      <c r="K629" s="17">
        <f t="shared" si="5"/>
        <v>0.9842223892</v>
      </c>
      <c r="L629" s="9">
        <v>0.0</v>
      </c>
      <c r="O629" s="9" t="s">
        <v>221</v>
      </c>
      <c r="P629" s="40" t="s">
        <v>1729</v>
      </c>
      <c r="Q629" s="33" t="s">
        <v>150</v>
      </c>
      <c r="R629" s="40" t="s">
        <v>63</v>
      </c>
      <c r="S629" s="9" t="s">
        <v>638</v>
      </c>
      <c r="T629" t="str">
        <f t="shared" si="9"/>
        <v>N</v>
      </c>
      <c r="W629" s="12" t="str">
        <f t="array" ref="W629">if(and(L629=0,Q629="NA"),"NA",if(L629=0,"no lice",if(Q629="NA","no collection",index(sea_lice!G:G,match(C629,sea_lice!A:A,0)))))</f>
        <v>no lice</v>
      </c>
      <c r="X629" s="23">
        <v>628.0</v>
      </c>
    </row>
    <row r="630">
      <c r="B630" s="6">
        <v>16352.0</v>
      </c>
      <c r="C630" s="12" t="str">
        <f t="shared" si="1"/>
        <v>U16352</v>
      </c>
      <c r="D630" s="14" t="str">
        <f t="array" ref="D630">iferror(index('2018_ufns'!E:E,match(C630,'2018_ufns'!B:B,0)))</f>
        <v>P1036</v>
      </c>
      <c r="E630" s="14">
        <v>43406.0</v>
      </c>
      <c r="F630" s="40" t="s">
        <v>53</v>
      </c>
      <c r="G630" s="40" t="s">
        <v>54</v>
      </c>
      <c r="H630" s="9">
        <v>4.6</v>
      </c>
      <c r="I630" s="13">
        <v>77.0</v>
      </c>
      <c r="J630" s="13">
        <v>82.0</v>
      </c>
      <c r="K630" s="17">
        <f t="shared" si="5"/>
        <v>0.8342885332</v>
      </c>
      <c r="L630" s="9">
        <v>0.0</v>
      </c>
      <c r="O630" s="9" t="s">
        <v>221</v>
      </c>
      <c r="P630" s="40" t="s">
        <v>1729</v>
      </c>
      <c r="Q630" s="33" t="s">
        <v>150</v>
      </c>
      <c r="R630" s="40" t="s">
        <v>63</v>
      </c>
      <c r="S630" s="9" t="s">
        <v>638</v>
      </c>
      <c r="T630" t="str">
        <f t="shared" si="9"/>
        <v>N</v>
      </c>
      <c r="W630" s="12" t="str">
        <f t="array" ref="W630">if(and(L630=0,Q630="NA"),"NA",if(L630=0,"no lice",if(Q630="NA","no collection",index(sea_lice!G:G,match(C630,sea_lice!A:A,0)))))</f>
        <v>no lice</v>
      </c>
      <c r="X630" s="23">
        <v>629.0</v>
      </c>
    </row>
    <row r="631">
      <c r="B631" s="6">
        <v>16353.0</v>
      </c>
      <c r="C631" s="12" t="str">
        <f t="shared" si="1"/>
        <v>U16353</v>
      </c>
      <c r="D631" s="14" t="str">
        <f t="array" ref="D631">iferror(index('2018_ufns'!E:E,match(C631,'2018_ufns'!B:B,0)))</f>
        <v>P1036</v>
      </c>
      <c r="E631" s="14">
        <v>43406.0</v>
      </c>
      <c r="F631" s="40" t="s">
        <v>53</v>
      </c>
      <c r="G631" s="40" t="s">
        <v>54</v>
      </c>
      <c r="H631" s="9">
        <v>9.8</v>
      </c>
      <c r="I631" s="13">
        <v>96.0</v>
      </c>
      <c r="J631" s="13">
        <v>101.0</v>
      </c>
      <c r="K631" s="17">
        <f t="shared" si="5"/>
        <v>0.951178345</v>
      </c>
      <c r="L631" s="9">
        <v>0.0</v>
      </c>
      <c r="O631" s="9" t="s">
        <v>221</v>
      </c>
      <c r="P631" s="40" t="s">
        <v>1729</v>
      </c>
      <c r="Q631" s="33" t="s">
        <v>150</v>
      </c>
      <c r="R631" s="40" t="s">
        <v>63</v>
      </c>
      <c r="S631" s="9" t="s">
        <v>638</v>
      </c>
      <c r="T631" t="str">
        <f t="shared" si="9"/>
        <v>N</v>
      </c>
      <c r="W631" s="12" t="str">
        <f t="array" ref="W631">if(and(L631=0,Q631="NA"),"NA",if(L631=0,"no lice",if(Q631="NA","no collection",index(sea_lice!G:G,match(C631,sea_lice!A:A,0)))))</f>
        <v>no lice</v>
      </c>
      <c r="X631" s="23">
        <v>630.0</v>
      </c>
    </row>
    <row r="632">
      <c r="B632" s="6">
        <v>16354.0</v>
      </c>
      <c r="C632" s="12" t="str">
        <f t="shared" si="1"/>
        <v>U16354</v>
      </c>
      <c r="D632" s="14" t="str">
        <f t="array" ref="D632">iferror(index('2018_ufns'!E:E,match(C632,'2018_ufns'!B:B,0)))</f>
        <v>P1036</v>
      </c>
      <c r="E632" s="14">
        <v>43406.0</v>
      </c>
      <c r="F632" s="40" t="s">
        <v>53</v>
      </c>
      <c r="G632" s="40" t="s">
        <v>54</v>
      </c>
      <c r="H632" s="9">
        <v>6.2</v>
      </c>
      <c r="I632" s="13">
        <v>83.0</v>
      </c>
      <c r="J632" s="13">
        <v>88.0</v>
      </c>
      <c r="K632" s="17">
        <f t="shared" si="5"/>
        <v>0.9097952667</v>
      </c>
      <c r="L632" s="9">
        <v>0.0</v>
      </c>
      <c r="O632" s="9" t="s">
        <v>221</v>
      </c>
      <c r="P632" s="40" t="s">
        <v>1729</v>
      </c>
      <c r="Q632" s="33" t="s">
        <v>150</v>
      </c>
      <c r="R632" s="40" t="s">
        <v>63</v>
      </c>
      <c r="S632" s="9" t="s">
        <v>638</v>
      </c>
      <c r="T632" t="str">
        <f t="shared" si="9"/>
        <v>N</v>
      </c>
      <c r="W632" s="12" t="str">
        <f t="array" ref="W632">if(and(L632=0,Q632="NA"),"NA",if(L632=0,"no lice",if(Q632="NA","no collection",index(sea_lice!G:G,match(C632,sea_lice!A:A,0)))))</f>
        <v>no lice</v>
      </c>
      <c r="X632" s="23">
        <v>631.0</v>
      </c>
    </row>
    <row r="633">
      <c r="B633" s="6">
        <v>16355.0</v>
      </c>
      <c r="C633" s="12" t="str">
        <f t="shared" si="1"/>
        <v>U16355</v>
      </c>
      <c r="D633" s="14" t="str">
        <f t="array" ref="D633">iferror(index('2018_ufns'!E:E,match(C633,'2018_ufns'!B:B,0)))</f>
        <v>P1036</v>
      </c>
      <c r="E633" s="14">
        <v>43406.0</v>
      </c>
      <c r="F633" s="40" t="s">
        <v>53</v>
      </c>
      <c r="G633" s="40" t="s">
        <v>54</v>
      </c>
      <c r="H633" s="9">
        <v>7.2</v>
      </c>
      <c r="I633" s="13">
        <v>83.0</v>
      </c>
      <c r="J633" s="13">
        <v>88.0</v>
      </c>
      <c r="K633" s="17">
        <f t="shared" si="5"/>
        <v>1.056536439</v>
      </c>
      <c r="L633" s="9">
        <v>0.0</v>
      </c>
      <c r="O633" s="9" t="s">
        <v>221</v>
      </c>
      <c r="P633" s="40" t="s">
        <v>1729</v>
      </c>
      <c r="Q633" s="33" t="s">
        <v>150</v>
      </c>
      <c r="R633" s="40" t="s">
        <v>63</v>
      </c>
      <c r="S633" s="9" t="s">
        <v>638</v>
      </c>
      <c r="T633" t="str">
        <f t="shared" si="9"/>
        <v>N</v>
      </c>
      <c r="W633" s="12" t="str">
        <f t="array" ref="W633">if(and(L633=0,Q633="NA"),"NA",if(L633=0,"no lice",if(Q633="NA","no collection",index(sea_lice!G:G,match(C633,sea_lice!A:A,0)))))</f>
        <v>no lice</v>
      </c>
      <c r="X633" s="23">
        <v>632.0</v>
      </c>
    </row>
    <row r="634">
      <c r="B634" s="6">
        <v>16356.0</v>
      </c>
      <c r="C634" s="12" t="str">
        <f t="shared" si="1"/>
        <v>U16356</v>
      </c>
      <c r="D634" s="14" t="str">
        <f t="array" ref="D634">iferror(index('2018_ufns'!E:E,match(C634,'2018_ufns'!B:B,0)))</f>
        <v>P1036</v>
      </c>
      <c r="E634" s="14">
        <v>43406.0</v>
      </c>
      <c r="F634" s="40" t="s">
        <v>53</v>
      </c>
      <c r="G634" s="40" t="s">
        <v>54</v>
      </c>
      <c r="H634" s="9">
        <v>7.4</v>
      </c>
      <c r="I634" s="13">
        <v>90.0</v>
      </c>
      <c r="J634" s="13" t="s">
        <v>63</v>
      </c>
      <c r="K634" s="17" t="str">
        <f t="shared" si="5"/>
        <v/>
      </c>
      <c r="L634" s="9">
        <v>0.0</v>
      </c>
      <c r="O634" s="9" t="s">
        <v>221</v>
      </c>
      <c r="P634" s="40" t="s">
        <v>1729</v>
      </c>
      <c r="Q634" s="33" t="s">
        <v>150</v>
      </c>
      <c r="R634" s="40" t="s">
        <v>63</v>
      </c>
      <c r="S634" s="9" t="s">
        <v>638</v>
      </c>
      <c r="T634" t="str">
        <f t="shared" si="9"/>
        <v>N</v>
      </c>
      <c r="W634" s="12" t="str">
        <f t="array" ref="W634">if(and(L634=0,Q634="NA"),"NA",if(L634=0,"no lice",if(Q634="NA","no collection",index(sea_lice!G:G,match(C634,sea_lice!A:A,0)))))</f>
        <v>no lice</v>
      </c>
      <c r="X634" s="23">
        <v>633.0</v>
      </c>
    </row>
    <row r="635">
      <c r="B635" s="6">
        <v>16183.0</v>
      </c>
      <c r="C635" s="12" t="str">
        <f t="shared" si="1"/>
        <v>U16183</v>
      </c>
      <c r="D635" s="14" t="str">
        <f t="array" ref="D635">iferror(index('2018_ufns'!E:E,match(C635,'2018_ufns'!B:B,0)))</f>
        <v>P1019</v>
      </c>
      <c r="E635" s="14">
        <v>43406.0</v>
      </c>
      <c r="F635" s="40" t="s">
        <v>53</v>
      </c>
      <c r="G635" s="40" t="s">
        <v>54</v>
      </c>
      <c r="H635" s="9">
        <v>7.5</v>
      </c>
      <c r="I635" s="13">
        <v>88.0</v>
      </c>
      <c r="J635" s="13">
        <v>92.0</v>
      </c>
      <c r="K635" s="17">
        <f t="shared" si="5"/>
        <v>0.9631585436</v>
      </c>
      <c r="L635" s="9">
        <v>0.0</v>
      </c>
      <c r="O635" s="9" t="s">
        <v>638</v>
      </c>
      <c r="P635" s="40" t="s">
        <v>1729</v>
      </c>
      <c r="Q635" s="33" t="s">
        <v>150</v>
      </c>
      <c r="R635" s="40" t="s">
        <v>63</v>
      </c>
      <c r="S635" s="9" t="s">
        <v>221</v>
      </c>
      <c r="T635" t="str">
        <f t="shared" si="9"/>
        <v>N</v>
      </c>
      <c r="W635" s="12" t="str">
        <f t="array" ref="W635">if(and(L635=0,Q635="NA"),"NA",if(L635=0,"no lice",if(Q635="NA","no collection",index(sea_lice!G:G,match(C635,sea_lice!A:A,0)))))</f>
        <v>no lice</v>
      </c>
      <c r="X635" s="23">
        <v>634.0</v>
      </c>
    </row>
    <row r="636">
      <c r="B636" s="6">
        <v>16190.0</v>
      </c>
      <c r="C636" s="12" t="str">
        <f t="shared" si="1"/>
        <v>U16190</v>
      </c>
      <c r="D636" s="14" t="str">
        <f t="array" ref="D636">iferror(index('2018_ufns'!E:E,match(C636,'2018_ufns'!B:B,0)))</f>
        <v>P1019</v>
      </c>
      <c r="E636" s="14">
        <v>43406.0</v>
      </c>
      <c r="F636" s="40" t="s">
        <v>53</v>
      </c>
      <c r="G636" s="40" t="s">
        <v>54</v>
      </c>
      <c r="H636" s="9">
        <v>7.5</v>
      </c>
      <c r="I636" s="13">
        <v>86.0</v>
      </c>
      <c r="J636" s="13">
        <v>91.0</v>
      </c>
      <c r="K636" s="17">
        <f t="shared" si="5"/>
        <v>0.9952612295</v>
      </c>
      <c r="L636" s="9">
        <v>0.0</v>
      </c>
      <c r="O636" s="9" t="s">
        <v>638</v>
      </c>
      <c r="P636" s="40" t="s">
        <v>1729</v>
      </c>
      <c r="Q636" s="33" t="s">
        <v>150</v>
      </c>
      <c r="R636" s="40" t="s">
        <v>63</v>
      </c>
      <c r="S636" s="9" t="s">
        <v>221</v>
      </c>
      <c r="T636" t="str">
        <f t="shared" si="9"/>
        <v>N</v>
      </c>
      <c r="W636" s="12" t="str">
        <f t="array" ref="W636">if(and(L636=0,Q636="NA"),"NA",if(L636=0,"no lice",if(Q636="NA","no collection",index(sea_lice!G:G,match(C636,sea_lice!A:A,0)))))</f>
        <v>no lice</v>
      </c>
      <c r="X636" s="23">
        <v>635.0</v>
      </c>
    </row>
    <row r="637">
      <c r="B637" s="6">
        <v>16187.0</v>
      </c>
      <c r="C637" s="12" t="str">
        <f t="shared" si="1"/>
        <v>U16187</v>
      </c>
      <c r="D637" s="14" t="str">
        <f t="array" ref="D637">iferror(index('2018_ufns'!E:E,match(C637,'2018_ufns'!B:B,0)))</f>
        <v>P1019</v>
      </c>
      <c r="E637" s="14">
        <v>43406.0</v>
      </c>
      <c r="F637" s="40" t="s">
        <v>53</v>
      </c>
      <c r="G637" s="40" t="s">
        <v>54</v>
      </c>
      <c r="H637" s="9">
        <v>5.2</v>
      </c>
      <c r="I637" s="13">
        <v>78.0</v>
      </c>
      <c r="J637" s="13">
        <v>83.0</v>
      </c>
      <c r="K637" s="17">
        <f t="shared" si="5"/>
        <v>0.9094295603</v>
      </c>
      <c r="L637" s="9">
        <v>0.0</v>
      </c>
      <c r="N637" s="9" t="s">
        <v>2108</v>
      </c>
      <c r="O637" s="9" t="s">
        <v>638</v>
      </c>
      <c r="P637" s="40" t="s">
        <v>1729</v>
      </c>
      <c r="Q637" s="33" t="s">
        <v>150</v>
      </c>
      <c r="R637" s="40" t="s">
        <v>63</v>
      </c>
      <c r="S637" s="9" t="s">
        <v>221</v>
      </c>
      <c r="T637" t="str">
        <f t="shared" si="9"/>
        <v>N</v>
      </c>
      <c r="W637" s="12" t="str">
        <f t="array" ref="W637">if(and(L637=0,Q637="NA"),"NA",if(L637=0,"no lice",if(Q637="NA","no collection",index(sea_lice!G:G,match(C637,sea_lice!A:A,0)))))</f>
        <v>no lice</v>
      </c>
      <c r="X637" s="23">
        <v>636.0</v>
      </c>
    </row>
    <row r="638">
      <c r="B638" s="6">
        <v>16189.0</v>
      </c>
      <c r="C638" s="12" t="str">
        <f t="shared" si="1"/>
        <v>U16189</v>
      </c>
      <c r="D638" s="14" t="str">
        <f t="array" ref="D638">iferror(index('2018_ufns'!E:E,match(C638,'2018_ufns'!B:B,0)))</f>
        <v>P1019</v>
      </c>
      <c r="E638" s="14">
        <v>43406.0</v>
      </c>
      <c r="F638" s="40" t="s">
        <v>53</v>
      </c>
      <c r="G638" s="40" t="s">
        <v>54</v>
      </c>
      <c r="H638" s="9">
        <v>6.3</v>
      </c>
      <c r="I638" s="13">
        <v>80.0</v>
      </c>
      <c r="J638" s="13">
        <v>86.0</v>
      </c>
      <c r="K638" s="17">
        <f t="shared" si="5"/>
        <v>0.9904788258</v>
      </c>
      <c r="L638" s="9">
        <v>0.0</v>
      </c>
      <c r="O638" s="9" t="s">
        <v>638</v>
      </c>
      <c r="P638" s="40" t="s">
        <v>1729</v>
      </c>
      <c r="Q638" s="33" t="s">
        <v>150</v>
      </c>
      <c r="R638" s="40" t="s">
        <v>63</v>
      </c>
      <c r="S638" s="9" t="s">
        <v>221</v>
      </c>
      <c r="T638" t="str">
        <f t="shared" si="9"/>
        <v>N</v>
      </c>
      <c r="W638" s="12" t="str">
        <f t="array" ref="W638">if(and(L638=0,Q638="NA"),"NA",if(L638=0,"no lice",if(Q638="NA","no collection",index(sea_lice!G:G,match(C638,sea_lice!A:A,0)))))</f>
        <v>no lice</v>
      </c>
      <c r="X638" s="23">
        <v>637.0</v>
      </c>
    </row>
    <row r="639">
      <c r="B639" s="6">
        <v>16188.0</v>
      </c>
      <c r="C639" s="12" t="str">
        <f t="shared" si="1"/>
        <v>U16188</v>
      </c>
      <c r="D639" s="14" t="str">
        <f t="array" ref="D639">iferror(index('2018_ufns'!E:E,match(C639,'2018_ufns'!B:B,0)))</f>
        <v>P1019</v>
      </c>
      <c r="E639" s="14">
        <v>43406.0</v>
      </c>
      <c r="F639" s="40" t="s">
        <v>53</v>
      </c>
      <c r="G639" s="40" t="s">
        <v>54</v>
      </c>
      <c r="H639" s="9">
        <v>8.0</v>
      </c>
      <c r="I639" s="13">
        <v>86.0</v>
      </c>
      <c r="J639" s="13">
        <v>91.0</v>
      </c>
      <c r="K639" s="17">
        <f t="shared" si="5"/>
        <v>1.061611978</v>
      </c>
      <c r="L639" s="9">
        <v>0.0</v>
      </c>
      <c r="O639" s="9" t="s">
        <v>638</v>
      </c>
      <c r="P639" s="40" t="s">
        <v>1729</v>
      </c>
      <c r="Q639" s="33" t="s">
        <v>150</v>
      </c>
      <c r="R639" s="40" t="s">
        <v>63</v>
      </c>
      <c r="S639" s="9" t="s">
        <v>221</v>
      </c>
      <c r="T639" t="str">
        <f t="shared" si="9"/>
        <v>N</v>
      </c>
      <c r="W639" s="12" t="str">
        <f t="array" ref="W639">if(and(L639=0,Q639="NA"),"NA",if(L639=0,"no lice",if(Q639="NA","no collection",index(sea_lice!G:G,match(C639,sea_lice!A:A,0)))))</f>
        <v>no lice</v>
      </c>
      <c r="X639" s="23">
        <v>638.0</v>
      </c>
    </row>
    <row r="640">
      <c r="B640" s="6">
        <v>16186.0</v>
      </c>
      <c r="C640" s="12" t="str">
        <f t="shared" si="1"/>
        <v>U16186</v>
      </c>
      <c r="D640" s="14" t="str">
        <f t="array" ref="D640">iferror(index('2018_ufns'!E:E,match(C640,'2018_ufns'!B:B,0)))</f>
        <v>P1019</v>
      </c>
      <c r="E640" s="14">
        <v>43406.0</v>
      </c>
      <c r="F640" s="40" t="s">
        <v>53</v>
      </c>
      <c r="G640" s="40" t="s">
        <v>54</v>
      </c>
      <c r="H640" s="9">
        <v>6.3</v>
      </c>
      <c r="I640" s="13">
        <v>84.0</v>
      </c>
      <c r="J640" s="13">
        <v>88.0</v>
      </c>
      <c r="K640" s="17">
        <f t="shared" si="5"/>
        <v>0.9244693839</v>
      </c>
      <c r="L640" s="9">
        <v>0.0</v>
      </c>
      <c r="O640" s="9" t="s">
        <v>638</v>
      </c>
      <c r="P640" s="40" t="s">
        <v>1729</v>
      </c>
      <c r="Q640" s="33" t="s">
        <v>150</v>
      </c>
      <c r="R640" s="40" t="s">
        <v>63</v>
      </c>
      <c r="S640" s="9" t="s">
        <v>221</v>
      </c>
      <c r="T640" t="str">
        <f t="shared" si="9"/>
        <v>N</v>
      </c>
      <c r="W640" s="12" t="str">
        <f t="array" ref="W640">if(and(L640=0,Q640="NA"),"NA",if(L640=0,"no lice",if(Q640="NA","no collection",index(sea_lice!G:G,match(C640,sea_lice!A:A,0)))))</f>
        <v>no lice</v>
      </c>
      <c r="X640" s="23">
        <v>639.0</v>
      </c>
    </row>
    <row r="641">
      <c r="B641" s="6">
        <v>16185.0</v>
      </c>
      <c r="C641" s="12" t="str">
        <f t="shared" si="1"/>
        <v>U16185</v>
      </c>
      <c r="D641" s="14" t="str">
        <f t="array" ref="D641">iferror(index('2018_ufns'!E:E,match(C641,'2018_ufns'!B:B,0)))</f>
        <v>P1019</v>
      </c>
      <c r="E641" s="14">
        <v>43406.0</v>
      </c>
      <c r="F641" s="40" t="s">
        <v>53</v>
      </c>
      <c r="G641" s="40" t="s">
        <v>54</v>
      </c>
      <c r="H641" s="9">
        <v>7.4</v>
      </c>
      <c r="I641" s="13">
        <v>86.0</v>
      </c>
      <c r="J641" s="13">
        <v>91.0</v>
      </c>
      <c r="K641" s="17">
        <f t="shared" si="5"/>
        <v>0.9819910798</v>
      </c>
      <c r="L641" s="9">
        <v>0.0</v>
      </c>
      <c r="O641" s="9" t="s">
        <v>638</v>
      </c>
      <c r="P641" s="40" t="s">
        <v>1729</v>
      </c>
      <c r="Q641" s="33" t="s">
        <v>150</v>
      </c>
      <c r="R641" s="40" t="s">
        <v>63</v>
      </c>
      <c r="S641" s="9" t="s">
        <v>221</v>
      </c>
      <c r="T641" t="str">
        <f t="shared" si="9"/>
        <v>N</v>
      </c>
      <c r="W641" s="12" t="str">
        <f t="array" ref="W641">if(and(L641=0,Q641="NA"),"NA",if(L641=0,"no lice",if(Q641="NA","no collection",index(sea_lice!G:G,match(C641,sea_lice!A:A,0)))))</f>
        <v>no lice</v>
      </c>
      <c r="X641" s="23">
        <v>640.0</v>
      </c>
    </row>
    <row r="642">
      <c r="B642" s="6">
        <v>16184.0</v>
      </c>
      <c r="C642" s="12" t="str">
        <f t="shared" si="1"/>
        <v>U16184</v>
      </c>
      <c r="D642" s="14" t="str">
        <f t="array" ref="D642">iferror(index('2018_ufns'!E:E,match(C642,'2018_ufns'!B:B,0)))</f>
        <v>P1019</v>
      </c>
      <c r="E642" s="14">
        <v>43406.0</v>
      </c>
      <c r="F642" s="40" t="s">
        <v>53</v>
      </c>
      <c r="G642" s="40" t="s">
        <v>54</v>
      </c>
      <c r="H642" s="9">
        <v>16.2</v>
      </c>
      <c r="I642" s="13">
        <v>111.0</v>
      </c>
      <c r="J642" s="13">
        <v>118.0</v>
      </c>
      <c r="K642" s="17">
        <f t="shared" si="5"/>
        <v>0.9859820137</v>
      </c>
      <c r="L642" s="9">
        <v>0.0</v>
      </c>
      <c r="O642" s="9" t="s">
        <v>638</v>
      </c>
      <c r="P642" s="40" t="s">
        <v>1729</v>
      </c>
      <c r="Q642" s="33" t="s">
        <v>150</v>
      </c>
      <c r="R642" s="40" t="s">
        <v>63</v>
      </c>
      <c r="S642" s="9" t="s">
        <v>221</v>
      </c>
      <c r="T642" t="str">
        <f t="shared" si="9"/>
        <v>N</v>
      </c>
      <c r="W642" s="12" t="str">
        <f t="array" ref="W642">if(and(L642=0,Q642="NA"),"NA",if(L642=0,"no lice",if(Q642="NA","no collection",index(sea_lice!G:G,match(C642,sea_lice!A:A,0)))))</f>
        <v>no lice</v>
      </c>
      <c r="X642" s="23">
        <v>641.0</v>
      </c>
    </row>
    <row r="643">
      <c r="B643" s="6">
        <v>16181.0</v>
      </c>
      <c r="C643" s="12" t="str">
        <f t="shared" si="1"/>
        <v>U16181</v>
      </c>
      <c r="D643" s="14" t="str">
        <f t="array" ref="D643">iferror(index('2018_ufns'!E:E,match(C643,'2018_ufns'!B:B,0)))</f>
        <v>P1019</v>
      </c>
      <c r="E643" s="14">
        <v>43406.0</v>
      </c>
      <c r="F643" s="40" t="s">
        <v>53</v>
      </c>
      <c r="G643" s="40" t="s">
        <v>54</v>
      </c>
      <c r="H643" s="9">
        <v>9.6</v>
      </c>
      <c r="I643" s="13">
        <v>92.0</v>
      </c>
      <c r="J643" s="13">
        <v>97.0</v>
      </c>
      <c r="K643" s="17">
        <f t="shared" si="5"/>
        <v>1.051855374</v>
      </c>
      <c r="L643" s="9">
        <v>0.0</v>
      </c>
      <c r="O643" s="9" t="s">
        <v>638</v>
      </c>
      <c r="P643" s="40" t="s">
        <v>1729</v>
      </c>
      <c r="Q643" s="33" t="s">
        <v>150</v>
      </c>
      <c r="R643" s="40" t="s">
        <v>63</v>
      </c>
      <c r="S643" s="9" t="s">
        <v>221</v>
      </c>
      <c r="T643" t="str">
        <f t="shared" si="9"/>
        <v>N</v>
      </c>
      <c r="W643" s="12" t="str">
        <f t="array" ref="W643">if(and(L643=0,Q643="NA"),"NA",if(L643=0,"no lice",if(Q643="NA","no collection",index(sea_lice!G:G,match(C643,sea_lice!A:A,0)))))</f>
        <v>no lice</v>
      </c>
      <c r="X643" s="23">
        <v>642.0</v>
      </c>
    </row>
    <row r="644">
      <c r="B644" s="6">
        <v>16182.0</v>
      </c>
      <c r="C644" s="12" t="str">
        <f t="shared" si="1"/>
        <v>U16182</v>
      </c>
      <c r="D644" s="14" t="str">
        <f t="array" ref="D644">iferror(index('2018_ufns'!E:E,match(C644,'2018_ufns'!B:B,0)))</f>
        <v>P1019</v>
      </c>
      <c r="E644" s="14">
        <v>43406.0</v>
      </c>
      <c r="F644" s="40" t="s">
        <v>53</v>
      </c>
      <c r="G644" s="40" t="s">
        <v>54</v>
      </c>
      <c r="H644" s="9">
        <v>10.3</v>
      </c>
      <c r="I644" s="13">
        <v>93.0</v>
      </c>
      <c r="J644" s="13">
        <v>98.0</v>
      </c>
      <c r="K644" s="17">
        <f t="shared" si="5"/>
        <v>1.094356943</v>
      </c>
      <c r="L644" s="9">
        <v>0.0</v>
      </c>
      <c r="O644" s="9" t="s">
        <v>638</v>
      </c>
      <c r="P644" s="40" t="s">
        <v>1729</v>
      </c>
      <c r="Q644" s="33" t="s">
        <v>150</v>
      </c>
      <c r="R644" s="40" t="s">
        <v>63</v>
      </c>
      <c r="S644" s="9" t="s">
        <v>221</v>
      </c>
      <c r="T644" t="str">
        <f t="shared" si="9"/>
        <v>N</v>
      </c>
      <c r="W644" s="12" t="str">
        <f t="array" ref="W644">if(and(L644=0,Q644="NA"),"NA",if(L644=0,"no lice",if(Q644="NA","no collection",index(sea_lice!G:G,match(C644,sea_lice!A:A,0)))))</f>
        <v>no lice</v>
      </c>
      <c r="X644" s="23">
        <v>643.0</v>
      </c>
    </row>
    <row r="645">
      <c r="B645" s="6">
        <v>16257.0</v>
      </c>
      <c r="C645" s="12" t="str">
        <f t="shared" si="1"/>
        <v>U16257</v>
      </c>
      <c r="D645" s="14" t="str">
        <f t="array" ref="D645">iferror(index('2018_ufns'!E:E,match(C645,'2018_ufns'!B:B,0)))</f>
        <v>P1026</v>
      </c>
      <c r="E645" s="14">
        <v>43406.0</v>
      </c>
      <c r="F645" s="40" t="s">
        <v>53</v>
      </c>
      <c r="G645" s="40" t="s">
        <v>54</v>
      </c>
      <c r="H645" s="9">
        <v>20.8</v>
      </c>
      <c r="I645" s="13">
        <v>122.0</v>
      </c>
      <c r="J645" s="13">
        <v>128.0</v>
      </c>
      <c r="K645" s="17">
        <f t="shared" si="5"/>
        <v>0.9918212891</v>
      </c>
      <c r="L645" s="9">
        <v>0.0</v>
      </c>
      <c r="O645" s="9" t="s">
        <v>638</v>
      </c>
      <c r="P645" s="40" t="s">
        <v>1729</v>
      </c>
      <c r="Q645" s="33" t="s">
        <v>150</v>
      </c>
      <c r="R645" s="40" t="s">
        <v>63</v>
      </c>
      <c r="S645" s="9" t="s">
        <v>221</v>
      </c>
      <c r="T645" t="str">
        <f t="shared" si="9"/>
        <v>N</v>
      </c>
      <c r="W645" s="12" t="str">
        <f t="array" ref="W645">if(and(L645=0,Q645="NA"),"NA",if(L645=0,"no lice",if(Q645="NA","no collection",index(sea_lice!G:G,match(C645,sea_lice!A:A,0)))))</f>
        <v>no lice</v>
      </c>
      <c r="X645" s="23">
        <v>644.0</v>
      </c>
    </row>
    <row r="646">
      <c r="B646" s="6">
        <v>16256.0</v>
      </c>
      <c r="C646" s="12" t="str">
        <f t="shared" si="1"/>
        <v>U16256</v>
      </c>
      <c r="D646" s="14" t="str">
        <f t="array" ref="D646">iferror(index('2018_ufns'!E:E,match(C646,'2018_ufns'!B:B,0)))</f>
        <v>P1026</v>
      </c>
      <c r="E646" s="14">
        <v>43406.0</v>
      </c>
      <c r="F646" s="40" t="s">
        <v>53</v>
      </c>
      <c r="G646" s="40" t="s">
        <v>54</v>
      </c>
      <c r="H646" s="9">
        <v>17.0</v>
      </c>
      <c r="I646" s="13">
        <v>113.0</v>
      </c>
      <c r="J646" s="13" t="s">
        <v>63</v>
      </c>
      <c r="K646" s="17" t="str">
        <f t="shared" si="5"/>
        <v/>
      </c>
      <c r="L646" s="9">
        <v>0.0</v>
      </c>
      <c r="O646" s="9" t="s">
        <v>638</v>
      </c>
      <c r="P646" s="40" t="s">
        <v>1729</v>
      </c>
      <c r="Q646" s="33" t="s">
        <v>150</v>
      </c>
      <c r="R646" s="40" t="s">
        <v>63</v>
      </c>
      <c r="S646" s="9" t="s">
        <v>221</v>
      </c>
      <c r="T646" t="str">
        <f t="shared" si="9"/>
        <v>N</v>
      </c>
      <c r="W646" s="12" t="str">
        <f t="array" ref="W646">if(and(L646=0,Q646="NA"),"NA",if(L646=0,"no lice",if(Q646="NA","no collection",index(sea_lice!G:G,match(C646,sea_lice!A:A,0)))))</f>
        <v>no lice</v>
      </c>
      <c r="X646" s="23">
        <v>645.0</v>
      </c>
    </row>
    <row r="647">
      <c r="B647" s="6">
        <v>16258.0</v>
      </c>
      <c r="C647" s="12" t="str">
        <f t="shared" si="1"/>
        <v>U16258</v>
      </c>
      <c r="D647" s="14" t="str">
        <f t="array" ref="D647">iferror(index('2018_ufns'!E:E,match(C647,'2018_ufns'!B:B,0)))</f>
        <v>P1026</v>
      </c>
      <c r="E647" s="14">
        <v>43406.0</v>
      </c>
      <c r="F647" s="40" t="s">
        <v>53</v>
      </c>
      <c r="G647" s="40" t="s">
        <v>54</v>
      </c>
      <c r="H647" s="9">
        <v>11.2</v>
      </c>
      <c r="I647" s="13">
        <v>101.0</v>
      </c>
      <c r="J647" s="13">
        <v>106.0</v>
      </c>
      <c r="K647" s="17">
        <f t="shared" si="5"/>
        <v>0.940373597</v>
      </c>
      <c r="L647" s="9">
        <v>0.0</v>
      </c>
      <c r="O647" s="9" t="s">
        <v>638</v>
      </c>
      <c r="P647" s="40" t="s">
        <v>1729</v>
      </c>
      <c r="Q647" s="33" t="s">
        <v>150</v>
      </c>
      <c r="R647" s="40" t="s">
        <v>63</v>
      </c>
      <c r="S647" s="9" t="s">
        <v>221</v>
      </c>
      <c r="T647" t="str">
        <f t="shared" si="9"/>
        <v>N</v>
      </c>
      <c r="W647" s="12" t="str">
        <f t="array" ref="W647">if(and(L647=0,Q647="NA"),"NA",if(L647=0,"no lice",if(Q647="NA","no collection",index(sea_lice!G:G,match(C647,sea_lice!A:A,0)))))</f>
        <v>no lice</v>
      </c>
      <c r="X647" s="23">
        <v>646.0</v>
      </c>
    </row>
    <row r="648">
      <c r="B648" s="6">
        <v>16252.0</v>
      </c>
      <c r="C648" s="12" t="str">
        <f t="shared" si="1"/>
        <v>U16252</v>
      </c>
      <c r="D648" s="14" t="str">
        <f t="array" ref="D648">iferror(index('2018_ufns'!E:E,match(C648,'2018_ufns'!B:B,0)))</f>
        <v>P1026</v>
      </c>
      <c r="E648" s="14">
        <v>43406.0</v>
      </c>
      <c r="F648" s="40" t="s">
        <v>53</v>
      </c>
      <c r="G648" s="40" t="s">
        <v>54</v>
      </c>
      <c r="H648" s="9">
        <v>20.0</v>
      </c>
      <c r="I648" s="13">
        <v>121.0</v>
      </c>
      <c r="J648" s="13">
        <v>125.0</v>
      </c>
      <c r="K648" s="17">
        <f t="shared" si="5"/>
        <v>1.024</v>
      </c>
      <c r="L648" s="9">
        <v>0.0</v>
      </c>
      <c r="O648" s="9" t="s">
        <v>638</v>
      </c>
      <c r="P648" s="40" t="s">
        <v>1729</v>
      </c>
      <c r="Q648" s="33" t="s">
        <v>150</v>
      </c>
      <c r="R648" s="40" t="s">
        <v>63</v>
      </c>
      <c r="S648" s="9" t="s">
        <v>221</v>
      </c>
      <c r="T648" t="str">
        <f t="shared" si="9"/>
        <v>N</v>
      </c>
      <c r="W648" s="12" t="str">
        <f t="array" ref="W648">if(and(L648=0,Q648="NA"),"NA",if(L648=0,"no lice",if(Q648="NA","no collection",index(sea_lice!G:G,match(C648,sea_lice!A:A,0)))))</f>
        <v>no lice</v>
      </c>
      <c r="X648" s="23">
        <v>647.0</v>
      </c>
    </row>
    <row r="649">
      <c r="B649" s="6">
        <v>16251.0</v>
      </c>
      <c r="C649" s="12" t="str">
        <f t="shared" si="1"/>
        <v>U16251</v>
      </c>
      <c r="D649" s="14" t="str">
        <f t="array" ref="D649">iferror(index('2018_ufns'!E:E,match(C649,'2018_ufns'!B:B,0)))</f>
        <v>P1026</v>
      </c>
      <c r="E649" s="14">
        <v>43406.0</v>
      </c>
      <c r="F649" s="40" t="s">
        <v>53</v>
      </c>
      <c r="G649" s="40" t="s">
        <v>54</v>
      </c>
      <c r="H649" s="9">
        <v>11.9</v>
      </c>
      <c r="I649" s="13">
        <v>103.0</v>
      </c>
      <c r="J649" s="13">
        <v>109.0</v>
      </c>
      <c r="K649" s="17">
        <f t="shared" si="5"/>
        <v>0.9188983413</v>
      </c>
      <c r="L649" s="9">
        <v>0.0</v>
      </c>
      <c r="O649" s="9" t="s">
        <v>638</v>
      </c>
      <c r="P649" s="40" t="s">
        <v>1729</v>
      </c>
      <c r="Q649" s="33" t="s">
        <v>150</v>
      </c>
      <c r="R649" s="40" t="s">
        <v>63</v>
      </c>
      <c r="S649" s="9" t="s">
        <v>221</v>
      </c>
      <c r="T649" t="str">
        <f t="shared" si="9"/>
        <v>N</v>
      </c>
      <c r="W649" s="12" t="str">
        <f t="array" ref="W649">if(and(L649=0,Q649="NA"),"NA",if(L649=0,"no lice",if(Q649="NA","no collection",index(sea_lice!G:G,match(C649,sea_lice!A:A,0)))))</f>
        <v>no lice</v>
      </c>
      <c r="X649" s="23">
        <v>648.0</v>
      </c>
    </row>
    <row r="650">
      <c r="B650" s="6">
        <v>16254.0</v>
      </c>
      <c r="C650" s="12" t="str">
        <f t="shared" si="1"/>
        <v>U16254</v>
      </c>
      <c r="D650" s="14" t="str">
        <f t="array" ref="D650">iferror(index('2018_ufns'!E:E,match(C650,'2018_ufns'!B:B,0)))</f>
        <v>P1026</v>
      </c>
      <c r="E650" s="14">
        <v>43406.0</v>
      </c>
      <c r="F650" s="40" t="s">
        <v>53</v>
      </c>
      <c r="G650" s="40" t="s">
        <v>54</v>
      </c>
      <c r="H650" s="9">
        <v>15.7</v>
      </c>
      <c r="I650" s="13">
        <v>115.0</v>
      </c>
      <c r="J650" s="13">
        <v>125.0</v>
      </c>
      <c r="K650" s="17">
        <f t="shared" si="5"/>
        <v>0.80384</v>
      </c>
      <c r="L650" s="9">
        <v>0.0</v>
      </c>
      <c r="O650" s="9" t="s">
        <v>638</v>
      </c>
      <c r="P650" s="40" t="s">
        <v>1729</v>
      </c>
      <c r="Q650" s="33" t="s">
        <v>150</v>
      </c>
      <c r="R650" s="40" t="s">
        <v>63</v>
      </c>
      <c r="S650" s="9" t="s">
        <v>221</v>
      </c>
      <c r="T650" t="str">
        <f t="shared" si="9"/>
        <v>N</v>
      </c>
      <c r="W650" s="12" t="str">
        <f t="array" ref="W650">if(and(L650=0,Q650="NA"),"NA",if(L650=0,"no lice",if(Q650="NA","no collection",index(sea_lice!G:G,match(C650,sea_lice!A:A,0)))))</f>
        <v>no lice</v>
      </c>
      <c r="X650" s="23">
        <v>649.0</v>
      </c>
    </row>
    <row r="651">
      <c r="B651" s="6">
        <v>16253.0</v>
      </c>
      <c r="C651" s="12" t="str">
        <f t="shared" si="1"/>
        <v>U16253</v>
      </c>
      <c r="D651" s="14" t="str">
        <f t="array" ref="D651">iferror(index('2018_ufns'!E:E,match(C651,'2018_ufns'!B:B,0)))</f>
        <v>P1026</v>
      </c>
      <c r="E651" s="14">
        <v>43406.0</v>
      </c>
      <c r="F651" s="40" t="s">
        <v>53</v>
      </c>
      <c r="G651" s="40" t="s">
        <v>54</v>
      </c>
      <c r="H651" s="9">
        <v>13.0</v>
      </c>
      <c r="I651" s="13">
        <v>109.0</v>
      </c>
      <c r="J651" s="13" t="s">
        <v>63</v>
      </c>
      <c r="K651" s="17" t="str">
        <f t="shared" si="5"/>
        <v/>
      </c>
      <c r="L651" s="9">
        <v>0.0</v>
      </c>
      <c r="O651" s="9" t="s">
        <v>638</v>
      </c>
      <c r="P651" s="40" t="s">
        <v>1729</v>
      </c>
      <c r="Q651" s="33" t="s">
        <v>150</v>
      </c>
      <c r="R651" s="40" t="s">
        <v>63</v>
      </c>
      <c r="S651" s="9" t="s">
        <v>221</v>
      </c>
      <c r="T651" t="str">
        <f t="shared" si="9"/>
        <v>N</v>
      </c>
      <c r="W651" s="12" t="str">
        <f t="array" ref="W651">if(and(L651=0,Q651="NA"),"NA",if(L651=0,"no lice",if(Q651="NA","no collection",index(sea_lice!G:G,match(C651,sea_lice!A:A,0)))))</f>
        <v>no lice</v>
      </c>
      <c r="X651" s="23">
        <v>650.0</v>
      </c>
    </row>
    <row r="652">
      <c r="B652" s="6">
        <v>16255.0</v>
      </c>
      <c r="C652" s="12" t="str">
        <f t="shared" si="1"/>
        <v>U16255</v>
      </c>
      <c r="D652" s="14" t="str">
        <f t="array" ref="D652">iferror(index('2018_ufns'!E:E,match(C652,'2018_ufns'!B:B,0)))</f>
        <v>P1026</v>
      </c>
      <c r="E652" s="14">
        <v>43406.0</v>
      </c>
      <c r="F652" s="40" t="s">
        <v>53</v>
      </c>
      <c r="G652" s="40" t="s">
        <v>54</v>
      </c>
      <c r="H652" s="9">
        <v>13.5</v>
      </c>
      <c r="I652" s="13">
        <v>110.0</v>
      </c>
      <c r="J652" s="13" t="s">
        <v>63</v>
      </c>
      <c r="K652" s="17" t="str">
        <f t="shared" si="5"/>
        <v/>
      </c>
      <c r="L652" s="9">
        <v>0.0</v>
      </c>
      <c r="O652" s="9" t="s">
        <v>638</v>
      </c>
      <c r="P652" s="40" t="s">
        <v>1729</v>
      </c>
      <c r="Q652" s="33" t="s">
        <v>150</v>
      </c>
      <c r="R652" s="40" t="s">
        <v>63</v>
      </c>
      <c r="S652" s="9" t="s">
        <v>221</v>
      </c>
      <c r="T652" t="str">
        <f t="shared" si="9"/>
        <v>N</v>
      </c>
      <c r="W652" s="12" t="str">
        <f t="array" ref="W652">if(and(L652=0,Q652="NA"),"NA",if(L652=0,"no lice",if(Q652="NA","no collection",index(sea_lice!G:G,match(C652,sea_lice!A:A,0)))))</f>
        <v>no lice</v>
      </c>
      <c r="X652" s="23">
        <v>651.0</v>
      </c>
    </row>
    <row r="653">
      <c r="B653" s="6">
        <v>16259.0</v>
      </c>
      <c r="C653" s="12" t="str">
        <f t="shared" si="1"/>
        <v>U16259</v>
      </c>
      <c r="D653" s="14" t="str">
        <f t="array" ref="D653">iferror(index('2018_ufns'!E:E,match(C653,'2018_ufns'!B:B,0)))</f>
        <v>P1026</v>
      </c>
      <c r="E653" s="14">
        <v>43406.0</v>
      </c>
      <c r="F653" s="40" t="s">
        <v>53</v>
      </c>
      <c r="G653" s="40" t="s">
        <v>54</v>
      </c>
      <c r="H653" s="9">
        <v>21.2</v>
      </c>
      <c r="I653" s="13">
        <v>126.0</v>
      </c>
      <c r="J653" s="13" t="s">
        <v>63</v>
      </c>
      <c r="K653" s="17" t="str">
        <f t="shared" si="5"/>
        <v/>
      </c>
      <c r="L653" s="9">
        <v>0.0</v>
      </c>
      <c r="O653" s="9" t="s">
        <v>638</v>
      </c>
      <c r="P653" s="40" t="s">
        <v>1729</v>
      </c>
      <c r="Q653" s="33" t="s">
        <v>150</v>
      </c>
      <c r="R653" s="40" t="s">
        <v>63</v>
      </c>
      <c r="S653" s="9" t="s">
        <v>221</v>
      </c>
      <c r="T653" t="str">
        <f t="shared" si="9"/>
        <v>N</v>
      </c>
      <c r="W653" s="12" t="str">
        <f t="array" ref="W653">if(and(L653=0,Q653="NA"),"NA",if(L653=0,"no lice",if(Q653="NA","no collection",index(sea_lice!G:G,match(C653,sea_lice!A:A,0)))))</f>
        <v>no lice</v>
      </c>
      <c r="X653" s="23">
        <v>652.0</v>
      </c>
    </row>
    <row r="654">
      <c r="B654" s="6">
        <v>16357.0</v>
      </c>
      <c r="C654" s="12" t="str">
        <f t="shared" si="1"/>
        <v>U16357</v>
      </c>
      <c r="D654" s="14" t="str">
        <f t="array" ref="D654">iferror(index('2018_ufns'!E:E,match(C654,'2018_ufns'!B:B,0)))</f>
        <v>P1036</v>
      </c>
      <c r="E654" s="14">
        <v>43409.0</v>
      </c>
      <c r="F654" s="40" t="s">
        <v>53</v>
      </c>
      <c r="G654" s="40" t="s">
        <v>54</v>
      </c>
      <c r="H654" s="9">
        <v>6.0</v>
      </c>
      <c r="I654" s="13">
        <v>87.0</v>
      </c>
      <c r="J654" s="13">
        <v>92.0</v>
      </c>
      <c r="K654" s="17">
        <f t="shared" si="5"/>
        <v>0.7705268349</v>
      </c>
      <c r="L654" s="9">
        <v>0.0</v>
      </c>
      <c r="N654" s="9" t="s">
        <v>2114</v>
      </c>
      <c r="O654" s="9" t="s">
        <v>221</v>
      </c>
      <c r="P654" s="40" t="s">
        <v>1729</v>
      </c>
      <c r="Q654" s="33" t="s">
        <v>150</v>
      </c>
      <c r="R654" s="40" t="s">
        <v>63</v>
      </c>
      <c r="S654" s="9" t="s">
        <v>638</v>
      </c>
      <c r="T654" t="str">
        <f t="shared" si="9"/>
        <v>N</v>
      </c>
      <c r="W654" s="12" t="str">
        <f t="array" ref="W654">if(and(L654=0,Q654="NA"),"NA",if(L654=0,"no lice",if(Q654="NA","no collection",index(sea_lice!G:G,match(C654,sea_lice!A:A,0)))))</f>
        <v>no lice</v>
      </c>
      <c r="X654" s="23">
        <v>653.0</v>
      </c>
    </row>
    <row r="655">
      <c r="B655" s="6">
        <v>16358.0</v>
      </c>
      <c r="C655" s="12" t="str">
        <f t="shared" si="1"/>
        <v>U16358</v>
      </c>
      <c r="D655" s="14" t="str">
        <f t="array" ref="D655">iferror(index('2018_ufns'!E:E,match(C655,'2018_ufns'!B:B,0)))</f>
        <v>P1036</v>
      </c>
      <c r="E655" s="14">
        <v>43409.0</v>
      </c>
      <c r="F655" s="40" t="s">
        <v>53</v>
      </c>
      <c r="G655" s="40" t="s">
        <v>54</v>
      </c>
      <c r="H655" s="9">
        <v>5.9</v>
      </c>
      <c r="I655" s="13">
        <v>83.0</v>
      </c>
      <c r="J655" s="13">
        <v>88.0</v>
      </c>
      <c r="K655" s="17">
        <f t="shared" si="5"/>
        <v>0.8657729151</v>
      </c>
      <c r="L655" s="9">
        <v>0.0</v>
      </c>
      <c r="O655" s="9" t="s">
        <v>221</v>
      </c>
      <c r="P655" s="40" t="s">
        <v>1729</v>
      </c>
      <c r="Q655" s="33" t="s">
        <v>150</v>
      </c>
      <c r="R655" s="40" t="s">
        <v>63</v>
      </c>
      <c r="S655" s="9" t="s">
        <v>638</v>
      </c>
      <c r="T655" t="str">
        <f t="shared" si="9"/>
        <v>N</v>
      </c>
      <c r="W655" s="12" t="str">
        <f t="array" ref="W655">if(and(L655=0,Q655="NA"),"NA",if(L655=0,"no lice",if(Q655="NA","no collection",index(sea_lice!G:G,match(C655,sea_lice!A:A,0)))))</f>
        <v>no lice</v>
      </c>
      <c r="X655" s="23">
        <v>654.0</v>
      </c>
    </row>
    <row r="656">
      <c r="B656" s="6">
        <v>16359.0</v>
      </c>
      <c r="C656" s="12" t="str">
        <f t="shared" si="1"/>
        <v>U16359</v>
      </c>
      <c r="D656" s="14" t="str">
        <f t="array" ref="D656">iferror(index('2018_ufns'!E:E,match(C656,'2018_ufns'!B:B,0)))</f>
        <v>P1036</v>
      </c>
      <c r="E656" s="14">
        <v>43409.0</v>
      </c>
      <c r="F656" s="40" t="s">
        <v>53</v>
      </c>
      <c r="G656" s="40" t="s">
        <v>54</v>
      </c>
      <c r="H656" s="9">
        <v>5.7</v>
      </c>
      <c r="I656" s="13">
        <v>84.0</v>
      </c>
      <c r="J656" s="13" t="s">
        <v>63</v>
      </c>
      <c r="K656" s="17" t="str">
        <f t="shared" si="5"/>
        <v/>
      </c>
      <c r="L656" s="9">
        <v>0.0</v>
      </c>
      <c r="O656" s="9" t="s">
        <v>221</v>
      </c>
      <c r="P656" s="40" t="s">
        <v>1729</v>
      </c>
      <c r="Q656" s="33" t="s">
        <v>150</v>
      </c>
      <c r="R656" s="40" t="s">
        <v>63</v>
      </c>
      <c r="S656" s="9" t="s">
        <v>638</v>
      </c>
      <c r="T656" t="str">
        <f t="shared" si="9"/>
        <v>N</v>
      </c>
      <c r="W656" s="12" t="str">
        <f t="array" ref="W656">if(and(L656=0,Q656="NA"),"NA",if(L656=0,"no lice",if(Q656="NA","no collection",index(sea_lice!G:G,match(C656,sea_lice!A:A,0)))))</f>
        <v>no lice</v>
      </c>
      <c r="X656" s="23">
        <v>655.0</v>
      </c>
    </row>
    <row r="657">
      <c r="B657" s="6">
        <v>16360.0</v>
      </c>
      <c r="C657" s="12" t="str">
        <f t="shared" si="1"/>
        <v>U16360</v>
      </c>
      <c r="D657" s="14" t="str">
        <f t="array" ref="D657">iferror(index('2018_ufns'!E:E,match(C657,'2018_ufns'!B:B,0)))</f>
        <v>P1036</v>
      </c>
      <c r="E657" s="14">
        <v>43409.0</v>
      </c>
      <c r="F657" s="40" t="s">
        <v>53</v>
      </c>
      <c r="G657" s="40" t="s">
        <v>54</v>
      </c>
      <c r="H657" s="9">
        <v>5.9</v>
      </c>
      <c r="I657" s="13">
        <v>82.0</v>
      </c>
      <c r="J657" s="13" t="s">
        <v>63</v>
      </c>
      <c r="K657" s="17" t="str">
        <f t="shared" si="5"/>
        <v/>
      </c>
      <c r="L657" s="9">
        <v>0.0</v>
      </c>
      <c r="O657" s="9" t="s">
        <v>221</v>
      </c>
      <c r="P657" s="40" t="s">
        <v>1729</v>
      </c>
      <c r="Q657" s="33" t="s">
        <v>150</v>
      </c>
      <c r="R657" s="40" t="s">
        <v>63</v>
      </c>
      <c r="S657" s="9" t="s">
        <v>638</v>
      </c>
      <c r="T657" t="str">
        <f t="shared" si="9"/>
        <v>N</v>
      </c>
      <c r="W657" s="12" t="str">
        <f t="array" ref="W657">if(and(L657=0,Q657="NA"),"NA",if(L657=0,"no lice",if(Q657="NA","no collection",index(sea_lice!G:G,match(C657,sea_lice!A:A,0)))))</f>
        <v>no lice</v>
      </c>
      <c r="X657" s="23">
        <v>656.0</v>
      </c>
    </row>
    <row r="658">
      <c r="B658" s="6">
        <v>16021.0</v>
      </c>
      <c r="C658" s="12" t="str">
        <f t="shared" si="1"/>
        <v>U16021</v>
      </c>
      <c r="D658" s="14" t="str">
        <f t="array" ref="D658">iferror(index('2018_ufns'!E:E,match(C658,'2018_ufns'!B:B,0)))</f>
        <v>P1003</v>
      </c>
      <c r="E658" s="14">
        <v>43409.0</v>
      </c>
      <c r="F658" s="40" t="s">
        <v>53</v>
      </c>
      <c r="G658" s="40" t="s">
        <v>54</v>
      </c>
      <c r="H658" s="9">
        <v>16.1</v>
      </c>
      <c r="I658" s="13">
        <v>110.0</v>
      </c>
      <c r="J658" s="13">
        <v>115.0</v>
      </c>
      <c r="K658" s="17">
        <f t="shared" si="5"/>
        <v>1.058601134</v>
      </c>
      <c r="L658" s="9">
        <v>0.0</v>
      </c>
      <c r="O658" s="9" t="s">
        <v>221</v>
      </c>
      <c r="P658" s="40" t="s">
        <v>1729</v>
      </c>
      <c r="Q658" s="33" t="s">
        <v>150</v>
      </c>
      <c r="R658" s="40" t="s">
        <v>63</v>
      </c>
      <c r="S658" s="9" t="s">
        <v>638</v>
      </c>
      <c r="T658" t="str">
        <f t="shared" si="9"/>
        <v>N</v>
      </c>
      <c r="W658" s="12" t="str">
        <f t="array" ref="W658">if(and(L658=0,Q658="NA"),"NA",if(L658=0,"no lice",if(Q658="NA","no collection",index(sea_lice!G:G,match(C658,sea_lice!A:A,0)))))</f>
        <v>no lice</v>
      </c>
      <c r="X658" s="23">
        <v>657.0</v>
      </c>
    </row>
    <row r="659">
      <c r="B659" s="6">
        <v>16022.0</v>
      </c>
      <c r="C659" s="12" t="str">
        <f t="shared" si="1"/>
        <v>U16022</v>
      </c>
      <c r="D659" s="14" t="str">
        <f t="array" ref="D659">iferror(index('2018_ufns'!E:E,match(C659,'2018_ufns'!B:B,0)))</f>
        <v>P1003</v>
      </c>
      <c r="E659" s="14">
        <v>43409.0</v>
      </c>
      <c r="F659" s="40" t="s">
        <v>53</v>
      </c>
      <c r="G659" s="40" t="s">
        <v>54</v>
      </c>
      <c r="H659" s="9">
        <v>15.3</v>
      </c>
      <c r="I659" s="13">
        <v>113.0</v>
      </c>
      <c r="J659" s="13">
        <v>118.0</v>
      </c>
      <c r="K659" s="17">
        <f t="shared" si="5"/>
        <v>0.9312052352</v>
      </c>
      <c r="L659" s="9">
        <v>0.0</v>
      </c>
      <c r="O659" s="9" t="s">
        <v>221</v>
      </c>
      <c r="P659" s="40" t="s">
        <v>1729</v>
      </c>
      <c r="Q659" s="33" t="s">
        <v>150</v>
      </c>
      <c r="R659" s="40" t="s">
        <v>63</v>
      </c>
      <c r="S659" s="9" t="s">
        <v>638</v>
      </c>
      <c r="T659" t="str">
        <f t="shared" si="9"/>
        <v>N</v>
      </c>
      <c r="W659" s="12" t="str">
        <f t="array" ref="W659">if(and(L659=0,Q659="NA"),"NA",if(L659=0,"no lice",if(Q659="NA","no collection",index(sea_lice!G:G,match(C659,sea_lice!A:A,0)))))</f>
        <v>no lice</v>
      </c>
      <c r="X659" s="23">
        <v>658.0</v>
      </c>
    </row>
    <row r="660">
      <c r="B660" s="6">
        <v>16023.0</v>
      </c>
      <c r="C660" s="12" t="str">
        <f t="shared" si="1"/>
        <v>U16023</v>
      </c>
      <c r="D660" s="14" t="str">
        <f t="array" ref="D660">iferror(index('2018_ufns'!E:E,match(C660,'2018_ufns'!B:B,0)))</f>
        <v>P1003</v>
      </c>
      <c r="E660" s="14">
        <v>43409.0</v>
      </c>
      <c r="F660" s="40" t="s">
        <v>53</v>
      </c>
      <c r="G660" s="40" t="s">
        <v>54</v>
      </c>
      <c r="H660" s="9">
        <v>12.0</v>
      </c>
      <c r="I660" s="13">
        <v>102.0</v>
      </c>
      <c r="J660" s="13">
        <v>108.0</v>
      </c>
      <c r="K660" s="17">
        <f t="shared" si="5"/>
        <v>0.9525986892</v>
      </c>
      <c r="L660" s="9">
        <v>0.0</v>
      </c>
      <c r="O660" s="9" t="s">
        <v>221</v>
      </c>
      <c r="P660" s="40" t="s">
        <v>1729</v>
      </c>
      <c r="Q660" s="33" t="s">
        <v>150</v>
      </c>
      <c r="R660" s="40" t="s">
        <v>63</v>
      </c>
      <c r="S660" s="9" t="s">
        <v>638</v>
      </c>
      <c r="T660" t="str">
        <f t="shared" si="9"/>
        <v>N</v>
      </c>
      <c r="W660" s="12" t="str">
        <f t="array" ref="W660">if(and(L660=0,Q660="NA"),"NA",if(L660=0,"no lice",if(Q660="NA","no collection",index(sea_lice!G:G,match(C660,sea_lice!A:A,0)))))</f>
        <v>no lice</v>
      </c>
      <c r="X660" s="23">
        <v>659.0</v>
      </c>
    </row>
    <row r="661">
      <c r="B661" s="6">
        <v>16024.0</v>
      </c>
      <c r="C661" s="12" t="str">
        <f t="shared" si="1"/>
        <v>U16024</v>
      </c>
      <c r="D661" s="14" t="str">
        <f t="array" ref="D661">iferror(index('2018_ufns'!E:E,match(C661,'2018_ufns'!B:B,0)))</f>
        <v>P1003</v>
      </c>
      <c r="E661" s="14">
        <v>43409.0</v>
      </c>
      <c r="F661" s="40" t="s">
        <v>53</v>
      </c>
      <c r="G661" s="40" t="s">
        <v>54</v>
      </c>
      <c r="H661" s="9">
        <v>20.7</v>
      </c>
      <c r="I661" s="13">
        <v>121.0</v>
      </c>
      <c r="J661" s="13">
        <v>127.0</v>
      </c>
      <c r="K661" s="17">
        <f t="shared" si="5"/>
        <v>1.010553202</v>
      </c>
      <c r="L661" s="9">
        <v>0.0</v>
      </c>
      <c r="O661" s="9" t="s">
        <v>221</v>
      </c>
      <c r="P661" s="40" t="s">
        <v>1729</v>
      </c>
      <c r="Q661" s="33" t="s">
        <v>150</v>
      </c>
      <c r="R661" s="40" t="s">
        <v>63</v>
      </c>
      <c r="S661" s="9" t="s">
        <v>638</v>
      </c>
      <c r="T661" t="str">
        <f t="shared" si="9"/>
        <v>N</v>
      </c>
      <c r="W661" s="12" t="str">
        <f t="array" ref="W661">if(and(L661=0,Q661="NA"),"NA",if(L661=0,"no lice",if(Q661="NA","no collection",index(sea_lice!G:G,match(C661,sea_lice!A:A,0)))))</f>
        <v>no lice</v>
      </c>
      <c r="X661" s="23">
        <v>660.0</v>
      </c>
    </row>
    <row r="662">
      <c r="B662" s="6">
        <v>16781.0</v>
      </c>
      <c r="C662" s="12" t="str">
        <f t="shared" si="1"/>
        <v>U16781</v>
      </c>
      <c r="D662" s="14" t="str">
        <f t="array" ref="D662">iferror(index('2018_ufns'!E:E,match(C662,'2018_ufns'!B:B,0)))</f>
        <v>P1079</v>
      </c>
      <c r="E662" s="14">
        <v>43409.0</v>
      </c>
      <c r="F662" s="40" t="s">
        <v>53</v>
      </c>
      <c r="G662" s="40" t="s">
        <v>54</v>
      </c>
      <c r="H662" s="9">
        <v>32.3</v>
      </c>
      <c r="I662" s="13">
        <v>139.0</v>
      </c>
      <c r="J662" s="13">
        <v>145.0</v>
      </c>
      <c r="K662" s="17">
        <f t="shared" si="5"/>
        <v>1.059494034</v>
      </c>
      <c r="L662" s="9">
        <v>0.0</v>
      </c>
      <c r="O662" s="9" t="s">
        <v>221</v>
      </c>
      <c r="P662" s="40" t="s">
        <v>1729</v>
      </c>
      <c r="Q662" s="33" t="s">
        <v>150</v>
      </c>
      <c r="R662" s="40" t="s">
        <v>63</v>
      </c>
      <c r="S662" s="9" t="s">
        <v>638</v>
      </c>
      <c r="T662" t="str">
        <f t="shared" si="9"/>
        <v>N</v>
      </c>
      <c r="W662" s="12" t="str">
        <f t="array" ref="W662">if(and(L662=0,Q662="NA"),"NA",if(L662=0,"no lice",if(Q662="NA","no collection",index(sea_lice!G:G,match(C662,sea_lice!A:A,0)))))</f>
        <v>no lice</v>
      </c>
      <c r="X662" s="23">
        <v>661.0</v>
      </c>
    </row>
    <row r="663">
      <c r="B663" s="6">
        <v>16782.0</v>
      </c>
      <c r="C663" s="12" t="str">
        <f t="shared" si="1"/>
        <v>U16782</v>
      </c>
      <c r="D663" s="14" t="str">
        <f t="array" ref="D663">iferror(index('2018_ufns'!E:E,match(C663,'2018_ufns'!B:B,0)))</f>
        <v>P1079</v>
      </c>
      <c r="E663" s="14">
        <v>43409.0</v>
      </c>
      <c r="F663" s="40" t="s">
        <v>53</v>
      </c>
      <c r="G663" s="40" t="s">
        <v>54</v>
      </c>
      <c r="H663" s="9">
        <v>31.2</v>
      </c>
      <c r="I663" s="13">
        <v>143.0</v>
      </c>
      <c r="J663" s="13">
        <v>149.0</v>
      </c>
      <c r="K663" s="17">
        <f t="shared" si="5"/>
        <v>0.9431826186</v>
      </c>
      <c r="L663" s="9">
        <v>0.0</v>
      </c>
      <c r="O663" s="9" t="s">
        <v>221</v>
      </c>
      <c r="P663" s="40" t="s">
        <v>1729</v>
      </c>
      <c r="Q663" s="33" t="s">
        <v>150</v>
      </c>
      <c r="R663" s="40" t="s">
        <v>63</v>
      </c>
      <c r="S663" s="9" t="s">
        <v>638</v>
      </c>
      <c r="T663" t="str">
        <f t="shared" si="9"/>
        <v>N</v>
      </c>
      <c r="W663" s="12" t="str">
        <f t="array" ref="W663">if(and(L663=0,Q663="NA"),"NA",if(L663=0,"no lice",if(Q663="NA","no collection",index(sea_lice!G:G,match(C663,sea_lice!A:A,0)))))</f>
        <v>no lice</v>
      </c>
      <c r="X663" s="23">
        <v>662.0</v>
      </c>
    </row>
    <row r="664">
      <c r="B664" s="6">
        <v>16783.0</v>
      </c>
      <c r="C664" s="12" t="str">
        <f t="shared" si="1"/>
        <v>U16783</v>
      </c>
      <c r="D664" s="14" t="str">
        <f t="array" ref="D664">iferror(index('2018_ufns'!E:E,match(C664,'2018_ufns'!B:B,0)))</f>
        <v>P1079</v>
      </c>
      <c r="E664" s="14">
        <v>43409.0</v>
      </c>
      <c r="F664" s="40" t="s">
        <v>53</v>
      </c>
      <c r="G664" s="40" t="s">
        <v>54</v>
      </c>
      <c r="H664" s="9">
        <v>77.2</v>
      </c>
      <c r="I664" s="13">
        <v>177.0</v>
      </c>
      <c r="J664" s="13" t="s">
        <v>63</v>
      </c>
      <c r="K664" s="17" t="str">
        <f t="shared" si="5"/>
        <v/>
      </c>
      <c r="L664" s="9">
        <v>0.0</v>
      </c>
      <c r="O664" s="9" t="s">
        <v>221</v>
      </c>
      <c r="P664" s="40" t="s">
        <v>1729</v>
      </c>
      <c r="Q664" s="33" t="s">
        <v>150</v>
      </c>
      <c r="R664" s="40" t="s">
        <v>63</v>
      </c>
      <c r="S664" s="9" t="s">
        <v>638</v>
      </c>
      <c r="T664" t="str">
        <f t="shared" si="9"/>
        <v>N</v>
      </c>
      <c r="W664" s="12" t="str">
        <f t="array" ref="W664">if(and(L664=0,Q664="NA"),"NA",if(L664=0,"no lice",if(Q664="NA","no collection",index(sea_lice!G:G,match(C664,sea_lice!A:A,0)))))</f>
        <v>no lice</v>
      </c>
      <c r="X664" s="23">
        <v>663.0</v>
      </c>
    </row>
    <row r="665">
      <c r="B665" s="6">
        <v>17891.0</v>
      </c>
      <c r="C665" s="12" t="str">
        <f t="shared" si="1"/>
        <v>U17891</v>
      </c>
      <c r="D665" s="14" t="str">
        <f t="array" ref="D665">iferror(index('2018_ufns'!E:E,match(C665,'2018_ufns'!B:B,0)))</f>
        <v>P1190</v>
      </c>
      <c r="E665" s="14">
        <v>43409.0</v>
      </c>
      <c r="F665" s="40" t="s">
        <v>53</v>
      </c>
      <c r="G665" s="40" t="s">
        <v>54</v>
      </c>
      <c r="H665" s="9">
        <v>28.4</v>
      </c>
      <c r="I665" s="13">
        <v>140.0</v>
      </c>
      <c r="J665" s="13">
        <v>147.0</v>
      </c>
      <c r="K665" s="17">
        <f t="shared" si="5"/>
        <v>0.8940593221</v>
      </c>
      <c r="L665" s="9">
        <v>0.0</v>
      </c>
      <c r="O665" s="9" t="s">
        <v>221</v>
      </c>
      <c r="P665" s="40" t="s">
        <v>1729</v>
      </c>
      <c r="Q665" s="33" t="s">
        <v>150</v>
      </c>
      <c r="R665" s="40" t="s">
        <v>63</v>
      </c>
      <c r="S665" s="9" t="s">
        <v>638</v>
      </c>
      <c r="T665" t="str">
        <f t="shared" si="9"/>
        <v>N</v>
      </c>
      <c r="W665" s="12" t="str">
        <f t="array" ref="W665">if(and(L665=0,Q665="NA"),"NA",if(L665=0,"no lice",if(Q665="NA","no collection",index(sea_lice!G:G,match(C665,sea_lice!A:A,0)))))</f>
        <v>no lice</v>
      </c>
      <c r="X665" s="23">
        <v>664.0</v>
      </c>
    </row>
    <row r="666">
      <c r="B666" s="6">
        <v>17291.0</v>
      </c>
      <c r="C666" s="12" t="str">
        <f t="shared" si="1"/>
        <v>U17291</v>
      </c>
      <c r="D666" s="14" t="str">
        <f t="array" ref="D666">iferror(index('2018_ufns'!E:E,match(C666,'2018_ufns'!B:B,0)))</f>
        <v>P1130</v>
      </c>
      <c r="E666" s="14">
        <v>43409.0</v>
      </c>
      <c r="F666" s="40" t="s">
        <v>53</v>
      </c>
      <c r="G666" s="40" t="s">
        <v>54</v>
      </c>
      <c r="H666" s="9">
        <v>13.6</v>
      </c>
      <c r="I666" s="13">
        <v>104.0</v>
      </c>
      <c r="J666" s="13">
        <v>109.0</v>
      </c>
      <c r="K666" s="17">
        <f t="shared" si="5"/>
        <v>1.050169533</v>
      </c>
      <c r="L666" s="9">
        <v>0.0</v>
      </c>
      <c r="O666" s="9" t="s">
        <v>221</v>
      </c>
      <c r="P666" s="40" t="s">
        <v>1729</v>
      </c>
      <c r="Q666" s="33" t="s">
        <v>150</v>
      </c>
      <c r="R666" s="40" t="s">
        <v>63</v>
      </c>
      <c r="S666" s="9" t="s">
        <v>638</v>
      </c>
      <c r="T666" t="str">
        <f t="shared" si="9"/>
        <v>N</v>
      </c>
      <c r="W666" s="12" t="str">
        <f t="array" ref="W666">if(and(L666=0,Q666="NA"),"NA",if(L666=0,"no lice",if(Q666="NA","no collection",index(sea_lice!G:G,match(C666,sea_lice!A:A,0)))))</f>
        <v>no lice</v>
      </c>
      <c r="X666" s="23">
        <v>665.0</v>
      </c>
    </row>
    <row r="667">
      <c r="B667" s="6">
        <v>16541.0</v>
      </c>
      <c r="C667" s="12" t="str">
        <f t="shared" si="1"/>
        <v>U16541</v>
      </c>
      <c r="D667" s="14" t="str">
        <f t="array" ref="D667">iferror(index('2018_ufns'!E:E,match(C667,'2018_ufns'!B:B,0)))</f>
        <v>P1055</v>
      </c>
      <c r="E667" s="14">
        <v>43409.0</v>
      </c>
      <c r="F667" s="40" t="s">
        <v>53</v>
      </c>
      <c r="G667" s="40" t="s">
        <v>54</v>
      </c>
      <c r="H667" s="9">
        <v>19.0</v>
      </c>
      <c r="I667" s="13">
        <v>119.0</v>
      </c>
      <c r="J667" s="13">
        <v>124.0</v>
      </c>
      <c r="K667" s="17">
        <f t="shared" si="5"/>
        <v>0.9965257964</v>
      </c>
      <c r="L667" s="9">
        <v>0.0</v>
      </c>
      <c r="O667" s="9" t="s">
        <v>221</v>
      </c>
      <c r="P667" s="40" t="s">
        <v>1729</v>
      </c>
      <c r="Q667" s="33" t="s">
        <v>150</v>
      </c>
      <c r="R667" s="40" t="s">
        <v>63</v>
      </c>
      <c r="S667" s="9" t="s">
        <v>638</v>
      </c>
      <c r="T667" t="str">
        <f t="shared" si="9"/>
        <v>N</v>
      </c>
      <c r="W667" s="12" t="str">
        <f t="array" ref="W667">if(and(L667=0,Q667="NA"),"NA",if(L667=0,"no lice",if(Q667="NA","no collection",index(sea_lice!G:G,match(C667,sea_lice!A:A,0)))))</f>
        <v>no lice</v>
      </c>
      <c r="X667" s="23">
        <v>666.0</v>
      </c>
    </row>
    <row r="668">
      <c r="B668" s="6">
        <v>16542.0</v>
      </c>
      <c r="C668" s="12" t="str">
        <f t="shared" si="1"/>
        <v>U16542</v>
      </c>
      <c r="D668" s="14" t="str">
        <f t="array" ref="D668">iferror(index('2018_ufns'!E:E,match(C668,'2018_ufns'!B:B,0)))</f>
        <v>P1055</v>
      </c>
      <c r="E668" s="14">
        <v>43409.0</v>
      </c>
      <c r="F668" s="40" t="s">
        <v>53</v>
      </c>
      <c r="G668" s="40" t="s">
        <v>54</v>
      </c>
      <c r="H668" s="9">
        <v>13.1</v>
      </c>
      <c r="I668" s="13">
        <v>109.0</v>
      </c>
      <c r="J668" s="13">
        <v>114.0</v>
      </c>
      <c r="K668" s="17">
        <f t="shared" si="5"/>
        <v>0.8842126862</v>
      </c>
      <c r="L668" s="9">
        <v>0.0</v>
      </c>
      <c r="O668" s="9" t="s">
        <v>221</v>
      </c>
      <c r="P668" s="40" t="s">
        <v>1729</v>
      </c>
      <c r="Q668" s="33" t="s">
        <v>150</v>
      </c>
      <c r="R668" s="40" t="s">
        <v>63</v>
      </c>
      <c r="S668" s="9" t="s">
        <v>638</v>
      </c>
      <c r="T668" t="str">
        <f t="shared" si="9"/>
        <v>N</v>
      </c>
      <c r="W668" s="12" t="str">
        <f t="array" ref="W668">if(and(L668=0,Q668="NA"),"NA",if(L668=0,"no lice",if(Q668="NA","no collection",index(sea_lice!G:G,match(C668,sea_lice!A:A,0)))))</f>
        <v>no lice</v>
      </c>
      <c r="X668" s="23">
        <v>667.0</v>
      </c>
    </row>
    <row r="669">
      <c r="B669" s="6">
        <v>16543.0</v>
      </c>
      <c r="C669" s="12" t="str">
        <f t="shared" si="1"/>
        <v>U16543</v>
      </c>
      <c r="D669" s="14" t="str">
        <f t="array" ref="D669">iferror(index('2018_ufns'!E:E,match(C669,'2018_ufns'!B:B,0)))</f>
        <v>P1055</v>
      </c>
      <c r="E669" s="14">
        <v>43409.0</v>
      </c>
      <c r="F669" s="40" t="s">
        <v>53</v>
      </c>
      <c r="G669" s="40" t="s">
        <v>54</v>
      </c>
      <c r="H669" s="9">
        <v>26.8</v>
      </c>
      <c r="I669" s="13">
        <v>135.0</v>
      </c>
      <c r="J669" s="13">
        <v>141.0</v>
      </c>
      <c r="K669" s="17">
        <f t="shared" si="5"/>
        <v>0.9560430662</v>
      </c>
      <c r="L669" s="9">
        <v>0.0</v>
      </c>
      <c r="O669" s="9" t="s">
        <v>221</v>
      </c>
      <c r="P669" s="40" t="s">
        <v>1729</v>
      </c>
      <c r="Q669" s="33" t="s">
        <v>150</v>
      </c>
      <c r="R669" s="40" t="s">
        <v>63</v>
      </c>
      <c r="S669" s="9" t="s">
        <v>638</v>
      </c>
      <c r="T669" t="str">
        <f t="shared" si="9"/>
        <v>N</v>
      </c>
      <c r="W669" s="12" t="str">
        <f t="array" ref="W669">if(and(L669=0,Q669="NA"),"NA",if(L669=0,"no lice",if(Q669="NA","no collection",index(sea_lice!G:G,match(C669,sea_lice!A:A,0)))))</f>
        <v>no lice</v>
      </c>
      <c r="X669" s="23">
        <v>668.0</v>
      </c>
    </row>
    <row r="670">
      <c r="B670" s="6">
        <v>17277.0</v>
      </c>
      <c r="C670" s="12" t="str">
        <f t="shared" si="1"/>
        <v>U17277</v>
      </c>
      <c r="D670" s="14" t="str">
        <f t="array" ref="D670">iferror(index('2018_ufns'!E:E,match(C670,'2018_ufns'!B:B,0)))</f>
        <v>P1128</v>
      </c>
      <c r="E670" s="14">
        <v>43409.0</v>
      </c>
      <c r="F670" s="40" t="s">
        <v>53</v>
      </c>
      <c r="G670" s="40" t="s">
        <v>54</v>
      </c>
      <c r="H670" s="9">
        <v>15.8</v>
      </c>
      <c r="I670" s="13">
        <v>115.0</v>
      </c>
      <c r="J670" s="13" t="s">
        <v>63</v>
      </c>
      <c r="K670" s="17" t="str">
        <f t="shared" si="5"/>
        <v/>
      </c>
      <c r="L670" s="9">
        <v>1.0</v>
      </c>
      <c r="O670" s="9" t="s">
        <v>638</v>
      </c>
      <c r="P670" s="40" t="s">
        <v>1729</v>
      </c>
      <c r="Q670" s="33" t="s">
        <v>150</v>
      </c>
      <c r="R670" s="40" t="s">
        <v>63</v>
      </c>
      <c r="S670" s="9" t="s">
        <v>221</v>
      </c>
      <c r="T670" t="str">
        <f t="shared" si="9"/>
        <v>N</v>
      </c>
      <c r="W670" s="12" t="str">
        <f t="array" ref="W670">if(and(L670=0,Q670="NA"),"NA",if(L670=0,"no lice",if(Q670="NA","no collection",index(sea_lice!G:G,match(C670,sea_lice!A:A,0)))))</f>
        <v>BSL6-54</v>
      </c>
      <c r="X670" s="23">
        <v>669.0</v>
      </c>
    </row>
    <row r="671">
      <c r="B671" s="6">
        <v>17271.0</v>
      </c>
      <c r="C671" s="12" t="str">
        <f t="shared" si="1"/>
        <v>U17271</v>
      </c>
      <c r="D671" s="14" t="str">
        <f t="array" ref="D671">iferror(index('2018_ufns'!E:E,match(C671,'2018_ufns'!B:B,0)))</f>
        <v>P1128</v>
      </c>
      <c r="E671" s="14">
        <v>43409.0</v>
      </c>
      <c r="F671" s="40" t="s">
        <v>53</v>
      </c>
      <c r="G671" s="40" t="s">
        <v>54</v>
      </c>
      <c r="H671" s="9">
        <v>17.7</v>
      </c>
      <c r="I671" s="13">
        <v>121.0</v>
      </c>
      <c r="J671" s="13" t="s">
        <v>63</v>
      </c>
      <c r="K671" s="17" t="str">
        <f t="shared" si="5"/>
        <v/>
      </c>
      <c r="L671" s="9">
        <v>0.0</v>
      </c>
      <c r="N671" s="9" t="s">
        <v>2115</v>
      </c>
      <c r="O671" s="9" t="s">
        <v>638</v>
      </c>
      <c r="P671" s="40" t="s">
        <v>1729</v>
      </c>
      <c r="Q671" s="33" t="s">
        <v>150</v>
      </c>
      <c r="R671" s="40" t="s">
        <v>63</v>
      </c>
      <c r="S671" s="9" t="s">
        <v>221</v>
      </c>
      <c r="T671" t="str">
        <f t="shared" si="9"/>
        <v>N</v>
      </c>
      <c r="W671" s="12" t="str">
        <f t="array" ref="W671">if(and(L671=0,Q671="NA"),"NA",if(L671=0,"no lice",if(Q671="NA","no collection",index(sea_lice!G:G,match(C671,sea_lice!A:A,0)))))</f>
        <v>no lice</v>
      </c>
      <c r="X671" s="23">
        <v>670.0</v>
      </c>
    </row>
    <row r="672">
      <c r="B672" s="6">
        <v>17276.0</v>
      </c>
      <c r="C672" s="12" t="str">
        <f t="shared" si="1"/>
        <v>U17276</v>
      </c>
      <c r="D672" s="14" t="str">
        <f t="array" ref="D672">iferror(index('2018_ufns'!E:E,match(C672,'2018_ufns'!B:B,0)))</f>
        <v>P1128</v>
      </c>
      <c r="E672" s="14">
        <v>43409.0</v>
      </c>
      <c r="F672" s="40" t="s">
        <v>53</v>
      </c>
      <c r="G672" s="40" t="s">
        <v>54</v>
      </c>
      <c r="H672" s="9">
        <v>20.9</v>
      </c>
      <c r="I672" s="13">
        <v>127.0</v>
      </c>
      <c r="J672" s="13">
        <v>132.0</v>
      </c>
      <c r="K672" s="17">
        <f t="shared" si="5"/>
        <v>0.9087082951</v>
      </c>
      <c r="L672" s="9">
        <v>0.0</v>
      </c>
      <c r="O672" s="9" t="s">
        <v>638</v>
      </c>
      <c r="P672" s="40" t="s">
        <v>1729</v>
      </c>
      <c r="Q672" s="33" t="s">
        <v>150</v>
      </c>
      <c r="R672" s="40" t="s">
        <v>63</v>
      </c>
      <c r="S672" s="9" t="s">
        <v>221</v>
      </c>
      <c r="T672" t="str">
        <f t="shared" si="9"/>
        <v>N</v>
      </c>
      <c r="W672" s="12" t="str">
        <f t="array" ref="W672">if(and(L672=0,Q672="NA"),"NA",if(L672=0,"no lice",if(Q672="NA","no collection",index(sea_lice!G:G,match(C672,sea_lice!A:A,0)))))</f>
        <v>no lice</v>
      </c>
      <c r="X672" s="23">
        <v>671.0</v>
      </c>
    </row>
    <row r="673">
      <c r="B673" s="6">
        <v>17280.0</v>
      </c>
      <c r="C673" s="12" t="str">
        <f t="shared" si="1"/>
        <v>U17280</v>
      </c>
      <c r="D673" s="14" t="str">
        <f t="array" ref="D673">iferror(index('2018_ufns'!E:E,match(C673,'2018_ufns'!B:B,0)))</f>
        <v>P1128</v>
      </c>
      <c r="E673" s="14">
        <v>43409.0</v>
      </c>
      <c r="F673" s="40" t="s">
        <v>53</v>
      </c>
      <c r="G673" s="40" t="s">
        <v>54</v>
      </c>
      <c r="H673" s="9">
        <v>16.0</v>
      </c>
      <c r="I673" s="13">
        <v>118.0</v>
      </c>
      <c r="J673" s="13">
        <v>124.0</v>
      </c>
      <c r="K673" s="17">
        <f t="shared" si="5"/>
        <v>0.839179618</v>
      </c>
      <c r="L673" s="9">
        <v>0.0</v>
      </c>
      <c r="O673" s="9" t="s">
        <v>638</v>
      </c>
      <c r="P673" s="40" t="s">
        <v>1729</v>
      </c>
      <c r="Q673" s="33" t="s">
        <v>150</v>
      </c>
      <c r="R673" s="40" t="s">
        <v>63</v>
      </c>
      <c r="S673" s="9" t="s">
        <v>221</v>
      </c>
      <c r="T673" t="str">
        <f t="shared" si="9"/>
        <v>N</v>
      </c>
      <c r="W673" s="12" t="str">
        <f t="array" ref="W673">if(and(L673=0,Q673="NA"),"NA",if(L673=0,"no lice",if(Q673="NA","no collection",index(sea_lice!G:G,match(C673,sea_lice!A:A,0)))))</f>
        <v>no lice</v>
      </c>
      <c r="X673" s="23">
        <v>672.0</v>
      </c>
    </row>
    <row r="674">
      <c r="B674" s="6">
        <v>17273.0</v>
      </c>
      <c r="C674" s="12" t="str">
        <f t="shared" si="1"/>
        <v>U17273</v>
      </c>
      <c r="D674" s="14" t="str">
        <f t="array" ref="D674">iferror(index('2018_ufns'!E:E,match(C674,'2018_ufns'!B:B,0)))</f>
        <v>P1128</v>
      </c>
      <c r="E674" s="14">
        <v>43409.0</v>
      </c>
      <c r="F674" s="40" t="s">
        <v>53</v>
      </c>
      <c r="G674" s="40" t="s">
        <v>54</v>
      </c>
      <c r="H674" s="9">
        <v>13.9</v>
      </c>
      <c r="I674" s="13">
        <v>108.0</v>
      </c>
      <c r="J674" s="13">
        <v>111.0</v>
      </c>
      <c r="K674" s="17">
        <f t="shared" si="5"/>
        <v>1.01635602</v>
      </c>
      <c r="L674" s="9">
        <v>0.0</v>
      </c>
      <c r="O674" s="9" t="s">
        <v>638</v>
      </c>
      <c r="P674" s="40" t="s">
        <v>1729</v>
      </c>
      <c r="Q674" s="33" t="s">
        <v>150</v>
      </c>
      <c r="R674" s="40" t="s">
        <v>63</v>
      </c>
      <c r="S674" s="9" t="s">
        <v>221</v>
      </c>
      <c r="T674" t="str">
        <f t="shared" si="9"/>
        <v>N</v>
      </c>
      <c r="W674" s="12" t="str">
        <f t="array" ref="W674">if(and(L674=0,Q674="NA"),"NA",if(L674=0,"no lice",if(Q674="NA","no collection",index(sea_lice!G:G,match(C674,sea_lice!A:A,0)))))</f>
        <v>no lice</v>
      </c>
      <c r="X674" s="23">
        <v>673.0</v>
      </c>
    </row>
    <row r="675">
      <c r="B675" s="6">
        <v>17274.0</v>
      </c>
      <c r="C675" s="12" t="str">
        <f t="shared" si="1"/>
        <v>U17274</v>
      </c>
      <c r="D675" s="14" t="str">
        <f t="array" ref="D675">iferror(index('2018_ufns'!E:E,match(C675,'2018_ufns'!B:B,0)))</f>
        <v>P1128</v>
      </c>
      <c r="E675" s="14">
        <v>43409.0</v>
      </c>
      <c r="F675" s="40" t="s">
        <v>53</v>
      </c>
      <c r="G675" s="40" t="s">
        <v>54</v>
      </c>
      <c r="H675" s="9">
        <v>17.0</v>
      </c>
      <c r="I675" s="13">
        <v>115.0</v>
      </c>
      <c r="J675" s="13">
        <v>119.0</v>
      </c>
      <c r="K675" s="17">
        <f t="shared" si="5"/>
        <v>1.008806884</v>
      </c>
      <c r="L675" s="9">
        <v>1.0</v>
      </c>
      <c r="O675" s="9" t="s">
        <v>638</v>
      </c>
      <c r="P675" s="40" t="s">
        <v>1729</v>
      </c>
      <c r="Q675" s="33" t="s">
        <v>150</v>
      </c>
      <c r="R675" s="40" t="s">
        <v>63</v>
      </c>
      <c r="S675" s="9" t="s">
        <v>221</v>
      </c>
      <c r="T675" t="str">
        <f t="shared" si="9"/>
        <v>N</v>
      </c>
      <c r="W675" s="12" t="str">
        <f t="array" ref="W675">if(and(L675=0,Q675="NA"),"NA",if(L675=0,"no lice",if(Q675="NA","no collection",index(sea_lice!G:G,match(C675,sea_lice!A:A,0)))))</f>
        <v>BSL6-55</v>
      </c>
      <c r="X675" s="23">
        <v>674.0</v>
      </c>
    </row>
    <row r="676">
      <c r="B676" s="6">
        <v>17275.0</v>
      </c>
      <c r="C676" s="12" t="str">
        <f t="shared" si="1"/>
        <v>U17275</v>
      </c>
      <c r="D676" s="14" t="str">
        <f t="array" ref="D676">iferror(index('2018_ufns'!E:E,match(C676,'2018_ufns'!B:B,0)))</f>
        <v>P1128</v>
      </c>
      <c r="E676" s="14">
        <v>43409.0</v>
      </c>
      <c r="F676" s="40" t="s">
        <v>53</v>
      </c>
      <c r="G676" s="40" t="s">
        <v>54</v>
      </c>
      <c r="H676" s="9">
        <v>16.7</v>
      </c>
      <c r="I676" s="13">
        <v>113.0</v>
      </c>
      <c r="J676" s="13">
        <v>120.0</v>
      </c>
      <c r="K676" s="17">
        <f t="shared" si="5"/>
        <v>0.9664351852</v>
      </c>
      <c r="L676" s="9">
        <v>0.0</v>
      </c>
      <c r="O676" s="9" t="s">
        <v>638</v>
      </c>
      <c r="P676" s="40" t="s">
        <v>1729</v>
      </c>
      <c r="Q676" s="33" t="s">
        <v>150</v>
      </c>
      <c r="R676" s="40" t="s">
        <v>63</v>
      </c>
      <c r="S676" s="9" t="s">
        <v>221</v>
      </c>
      <c r="T676" t="str">
        <f t="shared" si="9"/>
        <v>N</v>
      </c>
      <c r="W676" s="12" t="str">
        <f t="array" ref="W676">if(and(L676=0,Q676="NA"),"NA",if(L676=0,"no lice",if(Q676="NA","no collection",index(sea_lice!G:G,match(C676,sea_lice!A:A,0)))))</f>
        <v>no lice</v>
      </c>
      <c r="X676" s="23">
        <v>675.0</v>
      </c>
    </row>
    <row r="677">
      <c r="B677" s="6">
        <v>17272.0</v>
      </c>
      <c r="C677" s="12" t="str">
        <f t="shared" si="1"/>
        <v>U17272</v>
      </c>
      <c r="D677" s="14" t="str">
        <f t="array" ref="D677">iferror(index('2018_ufns'!E:E,match(C677,'2018_ufns'!B:B,0)))</f>
        <v>P1128</v>
      </c>
      <c r="E677" s="14">
        <v>43409.0</v>
      </c>
      <c r="F677" s="40" t="s">
        <v>53</v>
      </c>
      <c r="G677" s="40" t="s">
        <v>54</v>
      </c>
      <c r="H677" s="9">
        <v>22.5</v>
      </c>
      <c r="I677" s="13">
        <v>123.0</v>
      </c>
      <c r="J677" s="13">
        <v>130.0</v>
      </c>
      <c r="K677" s="17">
        <f t="shared" si="5"/>
        <v>1.024123805</v>
      </c>
      <c r="L677" s="9">
        <v>0.0</v>
      </c>
      <c r="O677" s="9" t="s">
        <v>638</v>
      </c>
      <c r="P677" s="40" t="s">
        <v>1729</v>
      </c>
      <c r="Q677" s="33" t="s">
        <v>150</v>
      </c>
      <c r="R677" s="40" t="s">
        <v>63</v>
      </c>
      <c r="S677" s="9" t="s">
        <v>221</v>
      </c>
      <c r="T677" t="str">
        <f t="shared" si="9"/>
        <v>N</v>
      </c>
      <c r="W677" s="12" t="str">
        <f t="array" ref="W677">if(and(L677=0,Q677="NA"),"NA",if(L677=0,"no lice",if(Q677="NA","no collection",index(sea_lice!G:G,match(C677,sea_lice!A:A,0)))))</f>
        <v>no lice</v>
      </c>
      <c r="X677" s="23">
        <v>676.0</v>
      </c>
    </row>
    <row r="678">
      <c r="B678" s="6">
        <v>17279.0</v>
      </c>
      <c r="C678" s="12" t="str">
        <f t="shared" si="1"/>
        <v>U17279</v>
      </c>
      <c r="D678" s="14" t="str">
        <f t="array" ref="D678">iferror(index('2018_ufns'!E:E,match(C678,'2018_ufns'!B:B,0)))</f>
        <v>P1128</v>
      </c>
      <c r="E678" s="14">
        <v>43409.0</v>
      </c>
      <c r="F678" s="40" t="s">
        <v>53</v>
      </c>
      <c r="G678" s="40" t="s">
        <v>54</v>
      </c>
      <c r="H678" s="9">
        <v>37.6</v>
      </c>
      <c r="I678" s="13">
        <v>151.0</v>
      </c>
      <c r="J678" s="13">
        <v>158.0</v>
      </c>
      <c r="K678" s="17">
        <f t="shared" si="5"/>
        <v>0.9532714451</v>
      </c>
      <c r="L678" s="9">
        <v>1.0</v>
      </c>
      <c r="O678" s="9" t="s">
        <v>638</v>
      </c>
      <c r="P678" s="40" t="s">
        <v>1729</v>
      </c>
      <c r="Q678" s="33" t="s">
        <v>150</v>
      </c>
      <c r="R678" s="40" t="s">
        <v>63</v>
      </c>
      <c r="S678" s="9" t="s">
        <v>221</v>
      </c>
      <c r="T678" t="str">
        <f t="shared" si="9"/>
        <v>N</v>
      </c>
      <c r="W678" s="12" t="str">
        <f t="array" ref="W678">if(and(L678=0,Q678="NA"),"NA",if(L678=0,"no lice",if(Q678="NA","no collection",index(sea_lice!G:G,match(C678,sea_lice!A:A,0)))))</f>
        <v>BSL6-56</v>
      </c>
      <c r="X678" s="23">
        <v>677.0</v>
      </c>
    </row>
    <row r="679">
      <c r="B679" s="6">
        <v>17278.0</v>
      </c>
      <c r="C679" s="12" t="str">
        <f t="shared" si="1"/>
        <v>U17278</v>
      </c>
      <c r="D679" s="14" t="str">
        <f t="array" ref="D679">iferror(index('2018_ufns'!E:E,match(C679,'2018_ufns'!B:B,0)))</f>
        <v>P1128</v>
      </c>
      <c r="E679" s="14">
        <v>43409.0</v>
      </c>
      <c r="F679" s="40" t="s">
        <v>53</v>
      </c>
      <c r="G679" s="40" t="s">
        <v>54</v>
      </c>
      <c r="H679" s="9">
        <v>14.3</v>
      </c>
      <c r="I679" s="13">
        <v>109.0</v>
      </c>
      <c r="J679" s="13">
        <v>124.0</v>
      </c>
      <c r="K679" s="17">
        <f t="shared" si="5"/>
        <v>0.7500167836</v>
      </c>
      <c r="L679" s="9">
        <v>0.0</v>
      </c>
      <c r="O679" s="9" t="s">
        <v>638</v>
      </c>
      <c r="P679" s="40" t="s">
        <v>1729</v>
      </c>
      <c r="Q679" s="33" t="s">
        <v>150</v>
      </c>
      <c r="R679" s="40" t="s">
        <v>63</v>
      </c>
      <c r="S679" s="9" t="s">
        <v>221</v>
      </c>
      <c r="T679" t="str">
        <f t="shared" si="9"/>
        <v>N</v>
      </c>
      <c r="W679" s="12" t="str">
        <f t="array" ref="W679">if(and(L679=0,Q679="NA"),"NA",if(L679=0,"no lice",if(Q679="NA","no collection",index(sea_lice!G:G,match(C679,sea_lice!A:A,0)))))</f>
        <v>no lice</v>
      </c>
      <c r="X679" s="23">
        <v>678.0</v>
      </c>
    </row>
    <row r="680">
      <c r="B680" s="6">
        <v>17041.0</v>
      </c>
      <c r="C680" s="12" t="str">
        <f t="shared" si="1"/>
        <v>U17041</v>
      </c>
      <c r="D680" s="14" t="str">
        <f t="array" ref="D680">iferror(index('2018_ufns'!E:E,match(C680,'2018_ufns'!B:B,0)))</f>
        <v>P1105</v>
      </c>
      <c r="E680" s="14">
        <v>43409.0</v>
      </c>
      <c r="F680" s="40" t="s">
        <v>53</v>
      </c>
      <c r="G680" s="40" t="s">
        <v>54</v>
      </c>
      <c r="H680" s="9">
        <v>23.7</v>
      </c>
      <c r="I680" s="13">
        <v>122.0</v>
      </c>
      <c r="J680" s="13">
        <v>129.0</v>
      </c>
      <c r="K680" s="17">
        <f t="shared" si="5"/>
        <v>1.104025781</v>
      </c>
      <c r="L680" s="9">
        <v>1.0</v>
      </c>
      <c r="O680" s="9" t="s">
        <v>638</v>
      </c>
      <c r="P680" s="40" t="s">
        <v>1729</v>
      </c>
      <c r="Q680" s="33" t="s">
        <v>62</v>
      </c>
      <c r="R680" s="40" t="s">
        <v>63</v>
      </c>
      <c r="S680" s="9" t="s">
        <v>221</v>
      </c>
      <c r="T680" t="str">
        <f t="shared" si="9"/>
        <v>N</v>
      </c>
      <c r="W680" s="12" t="str">
        <f t="array" ref="W680">if(and(L680=0,Q680="NA"),"NA",if(L680=0,"no lice",if(Q680="NA","no collection",index(sea_lice!G:G,match(C680,sea_lice!A:A,0)))))</f>
        <v>BSL2-58</v>
      </c>
      <c r="X680" s="23">
        <v>679.0</v>
      </c>
    </row>
    <row r="681">
      <c r="B681" s="6">
        <v>17072.0</v>
      </c>
      <c r="C681" s="12" t="str">
        <f t="shared" si="1"/>
        <v>U17072</v>
      </c>
      <c r="D681" s="14" t="str">
        <f t="array" ref="D681">iferror(index('2018_ufns'!E:E,match(C681,'2018_ufns'!B:B,0)))</f>
        <v>P1108</v>
      </c>
      <c r="E681" s="14">
        <v>43409.0</v>
      </c>
      <c r="F681" s="40" t="s">
        <v>53</v>
      </c>
      <c r="G681" s="40" t="s">
        <v>54</v>
      </c>
      <c r="H681" s="9">
        <v>13.4</v>
      </c>
      <c r="I681" s="13">
        <v>107.0</v>
      </c>
      <c r="J681" s="13">
        <v>110.0</v>
      </c>
      <c r="K681" s="17">
        <f t="shared" si="5"/>
        <v>1.006761833</v>
      </c>
      <c r="L681" s="9">
        <v>0.0</v>
      </c>
      <c r="O681" s="9" t="s">
        <v>638</v>
      </c>
      <c r="P681" s="40" t="s">
        <v>1729</v>
      </c>
      <c r="Q681" s="33" t="s">
        <v>150</v>
      </c>
      <c r="R681" s="40" t="s">
        <v>63</v>
      </c>
      <c r="S681" s="9" t="s">
        <v>221</v>
      </c>
      <c r="T681" t="str">
        <f t="shared" si="9"/>
        <v>N</v>
      </c>
      <c r="W681" s="12" t="str">
        <f t="array" ref="W681">if(and(L681=0,Q681="NA"),"NA",if(L681=0,"no lice",if(Q681="NA","no collection",index(sea_lice!G:G,match(C681,sea_lice!A:A,0)))))</f>
        <v>no lice</v>
      </c>
      <c r="X681" s="23">
        <v>680.0</v>
      </c>
    </row>
    <row r="682">
      <c r="B682" s="6">
        <v>17071.0</v>
      </c>
      <c r="C682" s="12" t="str">
        <f t="shared" si="1"/>
        <v>U17071</v>
      </c>
      <c r="D682" s="14" t="str">
        <f t="array" ref="D682">iferror(index('2018_ufns'!E:E,match(C682,'2018_ufns'!B:B,0)))</f>
        <v>P1108</v>
      </c>
      <c r="E682" s="14">
        <v>43409.0</v>
      </c>
      <c r="F682" s="40" t="s">
        <v>53</v>
      </c>
      <c r="G682" s="40" t="s">
        <v>54</v>
      </c>
      <c r="H682" s="9">
        <v>16.7</v>
      </c>
      <c r="I682" s="13">
        <v>120.0</v>
      </c>
      <c r="J682" s="13">
        <v>126.0</v>
      </c>
      <c r="K682" s="17">
        <f t="shared" si="5"/>
        <v>0.8348430495</v>
      </c>
      <c r="L682" s="9">
        <v>0.0</v>
      </c>
      <c r="O682" s="9" t="s">
        <v>638</v>
      </c>
      <c r="P682" s="40" t="s">
        <v>1729</v>
      </c>
      <c r="Q682" s="33" t="s">
        <v>150</v>
      </c>
      <c r="R682" s="40" t="s">
        <v>63</v>
      </c>
      <c r="S682" s="9" t="s">
        <v>221</v>
      </c>
      <c r="T682" t="str">
        <f t="shared" si="9"/>
        <v>N</v>
      </c>
      <c r="W682" s="12" t="str">
        <f t="array" ref="W682">if(and(L682=0,Q682="NA"),"NA",if(L682=0,"no lice",if(Q682="NA","no collection",index(sea_lice!G:G,match(C682,sea_lice!A:A,0)))))</f>
        <v>no lice</v>
      </c>
      <c r="X682" s="23">
        <v>681.0</v>
      </c>
    </row>
    <row r="683">
      <c r="B683" s="6">
        <v>16123.0</v>
      </c>
      <c r="C683" s="12" t="str">
        <f t="shared" si="1"/>
        <v>U16123</v>
      </c>
      <c r="D683" s="14" t="str">
        <f t="array" ref="D683">iferror(index('2018_ufns'!E:E,match(C683,'2018_ufns'!B:B,0)))</f>
        <v>P1013</v>
      </c>
      <c r="E683" s="14">
        <v>43409.0</v>
      </c>
      <c r="F683" s="40" t="s">
        <v>53</v>
      </c>
      <c r="G683" s="40" t="s">
        <v>54</v>
      </c>
      <c r="H683" s="9">
        <v>16.4</v>
      </c>
      <c r="I683" s="13">
        <v>109.0</v>
      </c>
      <c r="J683" s="13">
        <v>116.0</v>
      </c>
      <c r="K683" s="17">
        <f t="shared" si="5"/>
        <v>1.050678585</v>
      </c>
      <c r="L683" s="9">
        <v>0.0</v>
      </c>
      <c r="N683" s="9" t="s">
        <v>965</v>
      </c>
      <c r="O683" s="9" t="s">
        <v>638</v>
      </c>
      <c r="P683" s="40" t="s">
        <v>1729</v>
      </c>
      <c r="Q683" s="33" t="s">
        <v>150</v>
      </c>
      <c r="R683" s="40" t="s">
        <v>63</v>
      </c>
      <c r="S683" s="9" t="s">
        <v>221</v>
      </c>
      <c r="T683" t="str">
        <f t="shared" si="9"/>
        <v>N</v>
      </c>
      <c r="W683" s="12" t="str">
        <f t="array" ref="W683">if(and(L683=0,Q683="NA"),"NA",if(L683=0,"no lice",if(Q683="NA","no collection",index(sea_lice!G:G,match(C683,sea_lice!A:A,0)))))</f>
        <v>no lice</v>
      </c>
      <c r="X683" s="23">
        <v>682.0</v>
      </c>
    </row>
    <row r="684">
      <c r="B684" s="6">
        <v>16122.0</v>
      </c>
      <c r="C684" s="12" t="str">
        <f t="shared" si="1"/>
        <v>U16122</v>
      </c>
      <c r="D684" s="14" t="str">
        <f t="array" ref="D684">iferror(index('2018_ufns'!E:E,match(C684,'2018_ufns'!B:B,0)))</f>
        <v>P1013</v>
      </c>
      <c r="E684" s="14">
        <v>43409.0</v>
      </c>
      <c r="F684" s="40" t="s">
        <v>53</v>
      </c>
      <c r="G684" s="40" t="s">
        <v>54</v>
      </c>
      <c r="H684" s="9">
        <v>12.0</v>
      </c>
      <c r="I684" s="13">
        <v>103.0</v>
      </c>
      <c r="J684" s="13">
        <v>109.0</v>
      </c>
      <c r="K684" s="17">
        <f t="shared" si="5"/>
        <v>0.9266201761</v>
      </c>
      <c r="L684" s="9">
        <v>0.0</v>
      </c>
      <c r="O684" s="9" t="s">
        <v>638</v>
      </c>
      <c r="P684" s="40" t="s">
        <v>1729</v>
      </c>
      <c r="Q684" s="33" t="s">
        <v>150</v>
      </c>
      <c r="R684" s="40" t="s">
        <v>63</v>
      </c>
      <c r="S684" s="9" t="s">
        <v>221</v>
      </c>
      <c r="T684" t="str">
        <f t="shared" si="9"/>
        <v>N</v>
      </c>
      <c r="W684" s="12" t="str">
        <f t="array" ref="W684">if(and(L684=0,Q684="NA"),"NA",if(L684=0,"no lice",if(Q684="NA","no collection",index(sea_lice!G:G,match(C684,sea_lice!A:A,0)))))</f>
        <v>no lice</v>
      </c>
      <c r="X684" s="23">
        <v>683.0</v>
      </c>
    </row>
    <row r="685">
      <c r="B685" s="6">
        <v>16121.0</v>
      </c>
      <c r="C685" s="12" t="str">
        <f t="shared" si="1"/>
        <v>U16121</v>
      </c>
      <c r="D685" s="14" t="str">
        <f t="array" ref="D685">iferror(index('2018_ufns'!E:E,match(C685,'2018_ufns'!B:B,0)))</f>
        <v>P1013</v>
      </c>
      <c r="E685" s="14">
        <v>43409.0</v>
      </c>
      <c r="F685" s="40" t="s">
        <v>53</v>
      </c>
      <c r="G685" s="40" t="s">
        <v>54</v>
      </c>
      <c r="H685" s="9">
        <v>23.7</v>
      </c>
      <c r="I685" s="13">
        <v>119.0</v>
      </c>
      <c r="J685" s="13">
        <v>124.0</v>
      </c>
      <c r="K685" s="17">
        <f t="shared" si="5"/>
        <v>1.243034809</v>
      </c>
      <c r="L685" s="9">
        <v>0.0</v>
      </c>
      <c r="O685" s="9" t="s">
        <v>638</v>
      </c>
      <c r="P685" s="40" t="s">
        <v>1729</v>
      </c>
      <c r="Q685" s="33" t="s">
        <v>150</v>
      </c>
      <c r="R685" s="40" t="s">
        <v>63</v>
      </c>
      <c r="S685" s="9" t="s">
        <v>221</v>
      </c>
      <c r="T685" t="str">
        <f t="shared" si="9"/>
        <v>N</v>
      </c>
      <c r="W685" s="12" t="str">
        <f t="array" ref="W685">if(and(L685=0,Q685="NA"),"NA",if(L685=0,"no lice",if(Q685="NA","no collection",index(sea_lice!G:G,match(C685,sea_lice!A:A,0)))))</f>
        <v>no lice</v>
      </c>
      <c r="X685" s="23">
        <v>684.0</v>
      </c>
    </row>
    <row r="686">
      <c r="B686" s="6">
        <v>16453.0</v>
      </c>
      <c r="C686" s="12" t="str">
        <f t="shared" si="1"/>
        <v>U16453</v>
      </c>
      <c r="D686" s="14" t="str">
        <f t="array" ref="D686">iferror(index('2018_ufns'!E:E,match(C686,'2018_ufns'!B:B,0)))</f>
        <v>P1046</v>
      </c>
      <c r="E686" s="14">
        <v>43409.0</v>
      </c>
      <c r="F686" s="40" t="s">
        <v>53</v>
      </c>
      <c r="G686" s="40" t="s">
        <v>54</v>
      </c>
      <c r="H686" s="9">
        <v>8.4</v>
      </c>
      <c r="I686" s="13">
        <v>92.0</v>
      </c>
      <c r="J686" s="13">
        <v>97.0</v>
      </c>
      <c r="K686" s="17">
        <f t="shared" si="5"/>
        <v>0.9203734525</v>
      </c>
      <c r="L686" s="9">
        <v>0.0</v>
      </c>
      <c r="O686" s="9" t="s">
        <v>638</v>
      </c>
      <c r="P686" s="40" t="s">
        <v>1729</v>
      </c>
      <c r="Q686" s="33" t="s">
        <v>150</v>
      </c>
      <c r="R686" s="40" t="s">
        <v>63</v>
      </c>
      <c r="S686" s="9" t="s">
        <v>221</v>
      </c>
      <c r="T686" t="str">
        <f t="shared" si="9"/>
        <v>N</v>
      </c>
      <c r="W686" s="12" t="str">
        <f t="array" ref="W686">if(and(L686=0,Q686="NA"),"NA",if(L686=0,"no lice",if(Q686="NA","no collection",index(sea_lice!G:G,match(C686,sea_lice!A:A,0)))))</f>
        <v>no lice</v>
      </c>
      <c r="X686" s="23">
        <v>685.0</v>
      </c>
    </row>
    <row r="687">
      <c r="B687" s="6">
        <v>16454.0</v>
      </c>
      <c r="C687" s="12" t="str">
        <f t="shared" si="1"/>
        <v>U16454</v>
      </c>
      <c r="D687" s="14" t="str">
        <f t="array" ref="D687">iferror(index('2018_ufns'!E:E,match(C687,'2018_ufns'!B:B,0)))</f>
        <v>P1046</v>
      </c>
      <c r="E687" s="14">
        <v>43410.0</v>
      </c>
      <c r="F687" s="40" t="s">
        <v>53</v>
      </c>
      <c r="G687" s="40" t="s">
        <v>54</v>
      </c>
      <c r="H687" s="9">
        <v>8.6</v>
      </c>
      <c r="I687" s="13">
        <v>91.0</v>
      </c>
      <c r="J687" s="13" t="s">
        <v>63</v>
      </c>
      <c r="K687" s="17" t="str">
        <f t="shared" si="5"/>
        <v/>
      </c>
      <c r="L687" s="9">
        <v>0.0</v>
      </c>
      <c r="N687" s="9" t="s">
        <v>2116</v>
      </c>
      <c r="O687" s="9" t="s">
        <v>638</v>
      </c>
      <c r="P687" s="40" t="s">
        <v>1729</v>
      </c>
      <c r="Q687" s="33" t="s">
        <v>150</v>
      </c>
      <c r="R687" s="40" t="s">
        <v>63</v>
      </c>
      <c r="S687" s="9" t="s">
        <v>221</v>
      </c>
      <c r="T687" t="str">
        <f t="shared" si="9"/>
        <v>N</v>
      </c>
      <c r="W687" s="12" t="str">
        <f t="array" ref="W687">if(and(L687=0,Q687="NA"),"NA",if(L687=0,"no lice",if(Q687="NA","no collection",index(sea_lice!G:G,match(C687,sea_lice!A:A,0)))))</f>
        <v>no lice</v>
      </c>
      <c r="X687" s="23">
        <v>686.0</v>
      </c>
    </row>
    <row r="688">
      <c r="B688" s="6">
        <v>16451.0</v>
      </c>
      <c r="C688" s="12" t="str">
        <f t="shared" si="1"/>
        <v>U16451</v>
      </c>
      <c r="D688" s="14" t="str">
        <f t="array" ref="D688">iferror(index('2018_ufns'!E:E,match(C688,'2018_ufns'!B:B,0)))</f>
        <v>P1046</v>
      </c>
      <c r="E688" s="14">
        <v>43410.0</v>
      </c>
      <c r="F688" s="40" t="s">
        <v>53</v>
      </c>
      <c r="G688" s="40" t="s">
        <v>54</v>
      </c>
      <c r="H688" s="9">
        <v>11.3</v>
      </c>
      <c r="I688" s="13">
        <v>95.0</v>
      </c>
      <c r="J688" s="13">
        <v>102.0</v>
      </c>
      <c r="K688" s="17">
        <f t="shared" si="5"/>
        <v>1.064824238</v>
      </c>
      <c r="L688" s="9">
        <v>0.0</v>
      </c>
      <c r="O688" s="9" t="s">
        <v>638</v>
      </c>
      <c r="P688" s="40" t="s">
        <v>1729</v>
      </c>
      <c r="Q688" s="33" t="s">
        <v>150</v>
      </c>
      <c r="R688" s="40" t="s">
        <v>63</v>
      </c>
      <c r="S688" s="9" t="s">
        <v>221</v>
      </c>
      <c r="T688" t="str">
        <f t="shared" si="9"/>
        <v>N</v>
      </c>
      <c r="W688" s="12" t="str">
        <f t="array" ref="W688">if(and(L688=0,Q688="NA"),"NA",if(L688=0,"no lice",if(Q688="NA","no collection",index(sea_lice!G:G,match(C688,sea_lice!A:A,0)))))</f>
        <v>no lice</v>
      </c>
      <c r="X688" s="23">
        <v>687.0</v>
      </c>
    </row>
    <row r="689">
      <c r="B689" s="6">
        <v>16452.0</v>
      </c>
      <c r="C689" s="12" t="str">
        <f t="shared" si="1"/>
        <v>U16452</v>
      </c>
      <c r="D689" s="14" t="str">
        <f t="array" ref="D689">iferror(index('2018_ufns'!E:E,match(C689,'2018_ufns'!B:B,0)))</f>
        <v>P1046</v>
      </c>
      <c r="E689" s="14">
        <v>43410.0</v>
      </c>
      <c r="F689" s="40" t="s">
        <v>53</v>
      </c>
      <c r="G689" s="40" t="s">
        <v>54</v>
      </c>
      <c r="H689" s="9">
        <v>10.7</v>
      </c>
      <c r="I689" s="13">
        <v>95.0</v>
      </c>
      <c r="J689" s="13">
        <v>101.0</v>
      </c>
      <c r="K689" s="17">
        <f t="shared" si="5"/>
        <v>1.038531458</v>
      </c>
      <c r="L689" s="9">
        <v>0.0</v>
      </c>
      <c r="O689" s="9" t="s">
        <v>638</v>
      </c>
      <c r="P689" s="40" t="s">
        <v>1729</v>
      </c>
      <c r="Q689" s="33" t="s">
        <v>150</v>
      </c>
      <c r="R689" s="40" t="s">
        <v>63</v>
      </c>
      <c r="S689" s="9" t="s">
        <v>221</v>
      </c>
      <c r="T689" t="str">
        <f t="shared" si="9"/>
        <v>N</v>
      </c>
      <c r="W689" s="12" t="str">
        <f t="array" ref="W689">if(and(L689=0,Q689="NA"),"NA",if(L689=0,"no lice",if(Q689="NA","no collection",index(sea_lice!G:G,match(C689,sea_lice!A:A,0)))))</f>
        <v>no lice</v>
      </c>
      <c r="X689" s="23">
        <v>688.0</v>
      </c>
    </row>
    <row r="690">
      <c r="B690" s="6">
        <v>16581.0</v>
      </c>
      <c r="C690" s="12" t="str">
        <f t="shared" si="1"/>
        <v>U16581</v>
      </c>
      <c r="D690" s="14" t="str">
        <f t="array" ref="D690">iferror(index('2018_ufns'!E:E,match(C690,'2018_ufns'!B:B,0)))</f>
        <v>P1059</v>
      </c>
      <c r="E690" s="14">
        <v>43410.0</v>
      </c>
      <c r="F690" s="40" t="s">
        <v>53</v>
      </c>
      <c r="G690" s="40" t="s">
        <v>54</v>
      </c>
      <c r="H690" s="9">
        <v>16.7</v>
      </c>
      <c r="I690" s="13">
        <v>116.0</v>
      </c>
      <c r="J690" s="13">
        <v>120.0</v>
      </c>
      <c r="K690" s="17">
        <f t="shared" si="5"/>
        <v>0.9664351852</v>
      </c>
      <c r="L690" s="9">
        <v>0.0</v>
      </c>
      <c r="N690" s="9" t="s">
        <v>2117</v>
      </c>
      <c r="O690" s="9" t="s">
        <v>638</v>
      </c>
      <c r="P690" s="40" t="s">
        <v>1729</v>
      </c>
      <c r="Q690" s="33" t="s">
        <v>150</v>
      </c>
      <c r="R690" s="40" t="s">
        <v>63</v>
      </c>
      <c r="S690" s="9" t="s">
        <v>221</v>
      </c>
      <c r="T690" t="str">
        <f t="shared" si="9"/>
        <v>N</v>
      </c>
      <c r="W690" s="12" t="str">
        <f t="array" ref="W690">if(and(L690=0,Q690="NA"),"NA",if(L690=0,"no lice",if(Q690="NA","no collection",index(sea_lice!G:G,match(C690,sea_lice!A:A,0)))))</f>
        <v>no lice</v>
      </c>
      <c r="X690" s="23">
        <v>689.0</v>
      </c>
    </row>
    <row r="691">
      <c r="B691" s="6">
        <v>16585.0</v>
      </c>
      <c r="C691" s="12" t="str">
        <f t="shared" si="1"/>
        <v>U16585</v>
      </c>
      <c r="D691" s="14" t="str">
        <f t="array" ref="D691">iferror(index('2018_ufns'!E:E,match(C691,'2018_ufns'!B:B,0)))</f>
        <v>P1059</v>
      </c>
      <c r="E691" s="14">
        <v>43410.0</v>
      </c>
      <c r="F691" s="40" t="s">
        <v>53</v>
      </c>
      <c r="G691" s="40" t="s">
        <v>54</v>
      </c>
      <c r="H691" s="9">
        <v>14.1</v>
      </c>
      <c r="I691" s="13">
        <v>108.0</v>
      </c>
      <c r="J691" s="13">
        <v>112.0</v>
      </c>
      <c r="K691" s="17">
        <f t="shared" si="5"/>
        <v>1.003610149</v>
      </c>
      <c r="L691" s="9">
        <v>0.0</v>
      </c>
      <c r="O691" s="9" t="s">
        <v>638</v>
      </c>
      <c r="P691" s="40" t="s">
        <v>1729</v>
      </c>
      <c r="Q691" s="33" t="s">
        <v>150</v>
      </c>
      <c r="R691" s="40" t="s">
        <v>63</v>
      </c>
      <c r="S691" s="9" t="s">
        <v>221</v>
      </c>
      <c r="T691" t="str">
        <f t="shared" si="9"/>
        <v>N</v>
      </c>
      <c r="W691" s="12" t="str">
        <f t="array" ref="W691">if(and(L691=0,Q691="NA"),"NA",if(L691=0,"no lice",if(Q691="NA","no collection",index(sea_lice!G:G,match(C691,sea_lice!A:A,0)))))</f>
        <v>no lice</v>
      </c>
      <c r="X691" s="23">
        <v>690.0</v>
      </c>
    </row>
    <row r="692">
      <c r="B692" s="6">
        <v>16584.0</v>
      </c>
      <c r="C692" s="12" t="str">
        <f t="shared" si="1"/>
        <v>U16584</v>
      </c>
      <c r="D692" s="14" t="str">
        <f t="array" ref="D692">iferror(index('2018_ufns'!E:E,match(C692,'2018_ufns'!B:B,0)))</f>
        <v>P1059</v>
      </c>
      <c r="E692" s="14">
        <v>43410.0</v>
      </c>
      <c r="F692" s="40" t="s">
        <v>53</v>
      </c>
      <c r="G692" s="40" t="s">
        <v>54</v>
      </c>
      <c r="H692" s="9">
        <v>21.2</v>
      </c>
      <c r="I692" s="13">
        <v>129.0</v>
      </c>
      <c r="J692" s="13">
        <v>135.0</v>
      </c>
      <c r="K692" s="17">
        <f t="shared" si="5"/>
        <v>0.8616572677</v>
      </c>
      <c r="L692" s="9">
        <v>0.0</v>
      </c>
      <c r="N692" s="9" t="s">
        <v>2118</v>
      </c>
      <c r="O692" s="9" t="s">
        <v>638</v>
      </c>
      <c r="P692" s="40" t="s">
        <v>1729</v>
      </c>
      <c r="Q692" s="33" t="s">
        <v>150</v>
      </c>
      <c r="R692" s="40" t="s">
        <v>63</v>
      </c>
      <c r="S692" s="9" t="s">
        <v>221</v>
      </c>
      <c r="T692" t="str">
        <f t="shared" si="9"/>
        <v>N</v>
      </c>
      <c r="W692" s="12" t="str">
        <f t="array" ref="W692">if(and(L692=0,Q692="NA"),"NA",if(L692=0,"no lice",if(Q692="NA","no collection",index(sea_lice!G:G,match(C692,sea_lice!A:A,0)))))</f>
        <v>no lice</v>
      </c>
      <c r="X692" s="23">
        <v>691.0</v>
      </c>
    </row>
    <row r="693">
      <c r="B693" s="6">
        <v>16583.0</v>
      </c>
      <c r="C693" s="12" t="str">
        <f t="shared" si="1"/>
        <v>U16583</v>
      </c>
      <c r="D693" s="14" t="str">
        <f t="array" ref="D693">iferror(index('2018_ufns'!E:E,match(C693,'2018_ufns'!B:B,0)))</f>
        <v>P1059</v>
      </c>
      <c r="E693" s="14">
        <v>43410.0</v>
      </c>
      <c r="F693" s="40" t="s">
        <v>53</v>
      </c>
      <c r="G693" s="40" t="s">
        <v>54</v>
      </c>
      <c r="H693" s="9">
        <v>16.0</v>
      </c>
      <c r="I693" s="13">
        <v>123.0</v>
      </c>
      <c r="J693" s="13">
        <v>130.0</v>
      </c>
      <c r="K693" s="17">
        <f t="shared" si="5"/>
        <v>0.728265817</v>
      </c>
      <c r="L693" s="9">
        <v>2.0</v>
      </c>
      <c r="O693" s="9" t="s">
        <v>638</v>
      </c>
      <c r="P693" s="40" t="s">
        <v>1729</v>
      </c>
      <c r="Q693" s="33" t="s">
        <v>150</v>
      </c>
      <c r="R693" s="33" t="s">
        <v>2119</v>
      </c>
      <c r="S693" s="9" t="s">
        <v>221</v>
      </c>
      <c r="T693" t="str">
        <f t="shared" si="9"/>
        <v>N</v>
      </c>
      <c r="W693" s="12" t="str">
        <f t="array" ref="W693">if(and(L693=0,Q693="NA"),"NA",if(L693=0,"no lice",if(Q693="NA","no collection",index(sea_lice!G:G,match(C693,sea_lice!A:A,0)))))</f>
        <v>BSL6-58</v>
      </c>
      <c r="X693" s="23">
        <v>692.0</v>
      </c>
    </row>
    <row r="694">
      <c r="B694" s="6">
        <v>16582.0</v>
      </c>
      <c r="C694" s="12" t="str">
        <f t="shared" si="1"/>
        <v>U16582</v>
      </c>
      <c r="D694" s="14" t="str">
        <f t="array" ref="D694">iferror(index('2018_ufns'!E:E,match(C694,'2018_ufns'!B:B,0)))</f>
        <v>P1059</v>
      </c>
      <c r="E694" s="14">
        <v>43410.0</v>
      </c>
      <c r="F694" s="40" t="s">
        <v>53</v>
      </c>
      <c r="G694" s="40" t="s">
        <v>54</v>
      </c>
      <c r="H694" s="9">
        <v>21.0</v>
      </c>
      <c r="I694" s="13">
        <v>121.0</v>
      </c>
      <c r="J694" s="13">
        <v>126.0</v>
      </c>
      <c r="K694" s="17">
        <f t="shared" si="5"/>
        <v>1.049802637</v>
      </c>
      <c r="L694" s="9">
        <v>0.0</v>
      </c>
      <c r="O694" s="9" t="s">
        <v>638</v>
      </c>
      <c r="P694" s="40" t="s">
        <v>1729</v>
      </c>
      <c r="Q694" s="33" t="s">
        <v>150</v>
      </c>
      <c r="R694" s="33" t="s">
        <v>2119</v>
      </c>
      <c r="S694" s="9" t="s">
        <v>221</v>
      </c>
      <c r="T694" t="str">
        <f t="shared" si="9"/>
        <v>N</v>
      </c>
      <c r="W694" s="12" t="str">
        <f t="array" ref="W694">if(and(L694=0,Q694="NA"),"NA",if(L694=0,"no lice",if(Q694="NA","no collection",index(sea_lice!G:G,match(C694,sea_lice!A:A,0)))))</f>
        <v>no lice</v>
      </c>
      <c r="X694" s="23">
        <v>693.0</v>
      </c>
    </row>
    <row r="695">
      <c r="B695" s="6">
        <v>16901.0</v>
      </c>
      <c r="C695" s="12" t="str">
        <f t="shared" si="1"/>
        <v>U16901</v>
      </c>
      <c r="D695" s="14" t="str">
        <f t="array" ref="D695">iferror(index('2018_ufns'!E:E,match(C695,'2018_ufns'!B:B,0)))</f>
        <v>P1091</v>
      </c>
      <c r="E695" s="14">
        <v>43410.0</v>
      </c>
      <c r="F695" s="40" t="s">
        <v>53</v>
      </c>
      <c r="G695" s="40" t="s">
        <v>54</v>
      </c>
      <c r="H695" s="9">
        <v>30.0</v>
      </c>
      <c r="I695" s="13">
        <v>151.0</v>
      </c>
      <c r="J695" s="13">
        <v>158.0</v>
      </c>
      <c r="K695" s="17">
        <f t="shared" si="5"/>
        <v>0.7605889189</v>
      </c>
      <c r="L695" s="9">
        <v>0.0</v>
      </c>
      <c r="N695" s="9" t="s">
        <v>2120</v>
      </c>
      <c r="O695" s="9" t="s">
        <v>638</v>
      </c>
      <c r="P695" s="40" t="s">
        <v>1729</v>
      </c>
      <c r="Q695" s="33" t="s">
        <v>150</v>
      </c>
      <c r="R695" s="33" t="s">
        <v>2119</v>
      </c>
      <c r="S695" s="9" t="s">
        <v>221</v>
      </c>
      <c r="T695" t="str">
        <f t="shared" si="9"/>
        <v>N</v>
      </c>
      <c r="W695" s="12" t="str">
        <f t="array" ref="W695">if(and(L695=0,Q695="NA"),"NA",if(L695=0,"no lice",if(Q695="NA","no collection",index(sea_lice!G:G,match(C695,sea_lice!A:A,0)))))</f>
        <v>no lice</v>
      </c>
      <c r="X695" s="23">
        <v>694.0</v>
      </c>
    </row>
    <row r="696">
      <c r="B696" s="6">
        <v>17871.0</v>
      </c>
      <c r="C696" s="12" t="str">
        <f t="shared" si="1"/>
        <v>U17871</v>
      </c>
      <c r="D696" s="14" t="str">
        <f t="array" ref="D696">iferror(index('2018_ufns'!E:E,match(C696,'2018_ufns'!B:B,0)))</f>
        <v>P1188</v>
      </c>
      <c r="E696" s="14">
        <v>43410.0</v>
      </c>
      <c r="F696" s="40" t="s">
        <v>53</v>
      </c>
      <c r="G696" s="40" t="s">
        <v>54</v>
      </c>
      <c r="H696" s="9">
        <v>10.0</v>
      </c>
      <c r="I696" s="13">
        <v>100.0</v>
      </c>
      <c r="J696" s="13">
        <v>104.0</v>
      </c>
      <c r="K696" s="17">
        <f t="shared" si="5"/>
        <v>0.8889963587</v>
      </c>
      <c r="L696" s="9">
        <v>0.0</v>
      </c>
      <c r="O696" s="9" t="s">
        <v>638</v>
      </c>
      <c r="P696" s="40" t="s">
        <v>1729</v>
      </c>
      <c r="Q696" s="33" t="s">
        <v>150</v>
      </c>
      <c r="R696" s="33" t="s">
        <v>2119</v>
      </c>
      <c r="S696" s="9" t="s">
        <v>221</v>
      </c>
      <c r="T696" t="str">
        <f t="shared" si="9"/>
        <v>N</v>
      </c>
      <c r="W696" s="12" t="str">
        <f t="array" ref="W696">if(and(L696=0,Q696="NA"),"NA",if(L696=0,"no lice",if(Q696="NA","no collection",index(sea_lice!G:G,match(C696,sea_lice!A:A,0)))))</f>
        <v>no lice</v>
      </c>
      <c r="X696" s="23">
        <v>695.0</v>
      </c>
    </row>
    <row r="697">
      <c r="B697" s="6">
        <v>17661.0</v>
      </c>
      <c r="C697" s="12" t="str">
        <f t="shared" si="1"/>
        <v>U17661</v>
      </c>
      <c r="D697" s="14" t="str">
        <f t="array" ref="D697">iferror(index('2018_ufns'!E:E,match(C697,'2018_ufns'!B:B,0)))</f>
        <v>P1167</v>
      </c>
      <c r="E697" s="14">
        <v>43410.0</v>
      </c>
      <c r="F697" s="40" t="s">
        <v>53</v>
      </c>
      <c r="G697" s="40" t="s">
        <v>54</v>
      </c>
      <c r="H697" s="9">
        <v>12.0</v>
      </c>
      <c r="I697" s="13">
        <v>103.0</v>
      </c>
      <c r="J697" s="13">
        <v>107.0</v>
      </c>
      <c r="K697" s="17">
        <f t="shared" si="5"/>
        <v>0.9795574523</v>
      </c>
      <c r="L697" s="9">
        <v>0.0</v>
      </c>
      <c r="O697" s="9" t="s">
        <v>638</v>
      </c>
      <c r="P697" s="40" t="s">
        <v>1729</v>
      </c>
      <c r="Q697" s="33" t="s">
        <v>150</v>
      </c>
      <c r="R697" s="33" t="s">
        <v>2119</v>
      </c>
      <c r="S697" s="9" t="s">
        <v>221</v>
      </c>
      <c r="T697" t="str">
        <f t="shared" si="9"/>
        <v>N</v>
      </c>
      <c r="W697" s="12" t="str">
        <f t="array" ref="W697">if(and(L697=0,Q697="NA"),"NA",if(L697=0,"no lice",if(Q697="NA","no collection",index(sea_lice!G:G,match(C697,sea_lice!A:A,0)))))</f>
        <v>no lice</v>
      </c>
      <c r="X697" s="23">
        <v>696.0</v>
      </c>
    </row>
    <row r="698">
      <c r="B698" s="6">
        <v>17125.0</v>
      </c>
      <c r="C698" s="12" t="str">
        <f t="shared" si="1"/>
        <v>U17125</v>
      </c>
      <c r="D698" s="14" t="str">
        <f t="array" ref="D698">iferror(index('2018_ufns'!E:E,match(C698,'2018_ufns'!B:B,0)))</f>
        <v>P1113</v>
      </c>
      <c r="E698" s="14">
        <v>43410.0</v>
      </c>
      <c r="F698" s="40" t="s">
        <v>53</v>
      </c>
      <c r="G698" s="40" t="s">
        <v>54</v>
      </c>
      <c r="H698" s="9">
        <v>17.3</v>
      </c>
      <c r="I698" s="13">
        <v>115.0</v>
      </c>
      <c r="J698" s="13">
        <v>120.0</v>
      </c>
      <c r="K698" s="17">
        <f t="shared" si="5"/>
        <v>1.001157407</v>
      </c>
      <c r="L698" s="9">
        <v>1.0</v>
      </c>
      <c r="M698" s="9" t="s">
        <v>57</v>
      </c>
      <c r="O698" s="9" t="s">
        <v>638</v>
      </c>
      <c r="P698" s="40" t="s">
        <v>1729</v>
      </c>
      <c r="Q698" s="33" t="s">
        <v>150</v>
      </c>
      <c r="R698" s="33" t="s">
        <v>2119</v>
      </c>
      <c r="S698" s="9" t="s">
        <v>221</v>
      </c>
      <c r="T698" t="str">
        <f t="shared" si="9"/>
        <v>N</v>
      </c>
      <c r="W698" s="12" t="str">
        <f t="array" ref="W698">if(and(L698=0,Q698="NA"),"NA",if(L698=0,"no lice",if(Q698="NA","no collection",index(sea_lice!G:G,match(C698,sea_lice!A:A,0)))))</f>
        <v>BSL6-61</v>
      </c>
      <c r="X698" s="23">
        <v>697.0</v>
      </c>
    </row>
    <row r="699">
      <c r="B699" s="6">
        <v>17123.0</v>
      </c>
      <c r="C699" s="12" t="str">
        <f t="shared" si="1"/>
        <v>U17123</v>
      </c>
      <c r="D699" s="14" t="str">
        <f t="array" ref="D699">iferror(index('2018_ufns'!E:E,match(C699,'2018_ufns'!B:B,0)))</f>
        <v>P1113</v>
      </c>
      <c r="E699" s="14">
        <v>43410.0</v>
      </c>
      <c r="F699" s="40" t="s">
        <v>53</v>
      </c>
      <c r="G699" s="40" t="s">
        <v>54</v>
      </c>
      <c r="H699" s="9">
        <v>27.6</v>
      </c>
      <c r="I699" s="13">
        <v>130.0</v>
      </c>
      <c r="J699" s="13">
        <v>135.0</v>
      </c>
      <c r="K699" s="17">
        <f t="shared" si="5"/>
        <v>1.121780216</v>
      </c>
      <c r="L699" s="9">
        <v>0.0</v>
      </c>
      <c r="M699" s="9" t="s">
        <v>57</v>
      </c>
      <c r="O699" s="9" t="s">
        <v>638</v>
      </c>
      <c r="P699" s="40" t="s">
        <v>1729</v>
      </c>
      <c r="Q699" s="33" t="s">
        <v>150</v>
      </c>
      <c r="R699" s="33" t="s">
        <v>2119</v>
      </c>
      <c r="S699" s="9" t="s">
        <v>221</v>
      </c>
      <c r="T699" t="str">
        <f t="shared" si="9"/>
        <v>N</v>
      </c>
      <c r="W699" s="12" t="str">
        <f t="array" ref="W699">if(and(L699=0,Q699="NA"),"NA",if(L699=0,"no lice",if(Q699="NA","no collection",index(sea_lice!G:G,match(C699,sea_lice!A:A,0)))))</f>
        <v>no lice</v>
      </c>
      <c r="X699" s="23">
        <v>698.0</v>
      </c>
    </row>
    <row r="700">
      <c r="B700" s="6">
        <v>17122.0</v>
      </c>
      <c r="C700" s="12" t="str">
        <f t="shared" si="1"/>
        <v>U17122</v>
      </c>
      <c r="D700" s="14" t="str">
        <f t="array" ref="D700">iferror(index('2018_ufns'!E:E,match(C700,'2018_ufns'!B:B,0)))</f>
        <v>P1113</v>
      </c>
      <c r="E700" s="14">
        <v>43410.0</v>
      </c>
      <c r="F700" s="40" t="s">
        <v>53</v>
      </c>
      <c r="G700" s="40" t="s">
        <v>54</v>
      </c>
      <c r="H700" s="9">
        <v>38.1</v>
      </c>
      <c r="I700" s="13">
        <v>145.0</v>
      </c>
      <c r="J700" s="13">
        <v>149.0</v>
      </c>
      <c r="K700" s="17">
        <f t="shared" si="5"/>
        <v>1.151771082</v>
      </c>
      <c r="L700" s="9">
        <v>0.0</v>
      </c>
      <c r="M700" s="9" t="s">
        <v>57</v>
      </c>
      <c r="O700" s="9" t="s">
        <v>638</v>
      </c>
      <c r="P700" s="40" t="s">
        <v>1729</v>
      </c>
      <c r="Q700" s="33" t="s">
        <v>150</v>
      </c>
      <c r="R700" s="33" t="s">
        <v>2119</v>
      </c>
      <c r="S700" s="9" t="s">
        <v>221</v>
      </c>
      <c r="T700" t="str">
        <f t="shared" si="9"/>
        <v>N</v>
      </c>
      <c r="W700" s="12" t="str">
        <f t="array" ref="W700">if(and(L700=0,Q700="NA"),"NA",if(L700=0,"no lice",if(Q700="NA","no collection",index(sea_lice!G:G,match(C700,sea_lice!A:A,0)))))</f>
        <v>no lice</v>
      </c>
      <c r="X700" s="23">
        <v>699.0</v>
      </c>
    </row>
    <row r="701">
      <c r="B701" s="6">
        <v>17124.0</v>
      </c>
      <c r="C701" s="12" t="str">
        <f t="shared" si="1"/>
        <v>U17124</v>
      </c>
      <c r="D701" s="14" t="str">
        <f t="array" ref="D701">iferror(index('2018_ufns'!E:E,match(C701,'2018_ufns'!B:B,0)))</f>
        <v>P1113</v>
      </c>
      <c r="E701" s="14">
        <v>43410.0</v>
      </c>
      <c r="F701" s="40" t="s">
        <v>53</v>
      </c>
      <c r="G701" s="40" t="s">
        <v>54</v>
      </c>
      <c r="H701" s="9">
        <v>35.0</v>
      </c>
      <c r="I701" s="13">
        <v>140.0</v>
      </c>
      <c r="J701" s="13">
        <v>147.0</v>
      </c>
      <c r="K701" s="17">
        <f t="shared" si="5"/>
        <v>1.101833672</v>
      </c>
      <c r="L701" s="9">
        <v>0.0</v>
      </c>
      <c r="M701" s="9" t="s">
        <v>57</v>
      </c>
      <c r="O701" s="9" t="s">
        <v>638</v>
      </c>
      <c r="P701" s="40" t="s">
        <v>1729</v>
      </c>
      <c r="Q701" s="33" t="s">
        <v>150</v>
      </c>
      <c r="R701" s="33" t="s">
        <v>2119</v>
      </c>
      <c r="S701" s="9" t="s">
        <v>221</v>
      </c>
      <c r="T701" t="str">
        <f t="shared" si="9"/>
        <v>N</v>
      </c>
      <c r="W701" s="12" t="str">
        <f t="array" ref="W701">if(and(L701=0,Q701="NA"),"NA",if(L701=0,"no lice",if(Q701="NA","no collection",index(sea_lice!G:G,match(C701,sea_lice!A:A,0)))))</f>
        <v>no lice</v>
      </c>
      <c r="X701" s="23">
        <v>700.0</v>
      </c>
    </row>
    <row r="702">
      <c r="B702" s="6">
        <v>16544.0</v>
      </c>
      <c r="C702" s="12" t="str">
        <f t="shared" si="1"/>
        <v>U16544</v>
      </c>
      <c r="D702" s="14" t="str">
        <f t="array" ref="D702">iferror(index('2018_ufns'!E:E,match(C702,'2018_ufns'!B:B,0)))</f>
        <v>P1055</v>
      </c>
      <c r="E702" s="14">
        <v>43410.0</v>
      </c>
      <c r="F702" s="40" t="s">
        <v>53</v>
      </c>
      <c r="G702" s="40" t="s">
        <v>54</v>
      </c>
      <c r="H702" s="9">
        <v>19.2</v>
      </c>
      <c r="I702" s="13">
        <v>125.0</v>
      </c>
      <c r="J702" s="13">
        <v>130.0</v>
      </c>
      <c r="K702" s="17">
        <f t="shared" si="5"/>
        <v>0.8739189804</v>
      </c>
      <c r="L702" s="9">
        <v>0.0</v>
      </c>
      <c r="O702" s="9" t="s">
        <v>221</v>
      </c>
      <c r="P702" s="40" t="s">
        <v>1729</v>
      </c>
      <c r="Q702" s="33" t="s">
        <v>150</v>
      </c>
      <c r="R702" s="33" t="s">
        <v>2119</v>
      </c>
      <c r="S702" s="9" t="s">
        <v>638</v>
      </c>
      <c r="T702" t="str">
        <f t="shared" si="9"/>
        <v>N</v>
      </c>
      <c r="W702" s="12" t="str">
        <f t="array" ref="W702">if(and(L702=0,Q702="NA"),"NA",if(L702=0,"no lice",if(Q702="NA","no collection",index(sea_lice!G:G,match(C702,sea_lice!A:A,0)))))</f>
        <v>no lice</v>
      </c>
      <c r="X702" s="23">
        <v>701.0</v>
      </c>
    </row>
    <row r="703">
      <c r="B703" s="6">
        <v>16545.0</v>
      </c>
      <c r="C703" s="12" t="str">
        <f t="shared" si="1"/>
        <v>U16545</v>
      </c>
      <c r="D703" s="14" t="str">
        <f t="array" ref="D703">iferror(index('2018_ufns'!E:E,match(C703,'2018_ufns'!B:B,0)))</f>
        <v>P1055</v>
      </c>
      <c r="E703" s="14">
        <v>43410.0</v>
      </c>
      <c r="F703" s="40" t="s">
        <v>53</v>
      </c>
      <c r="G703" s="40" t="s">
        <v>54</v>
      </c>
      <c r="H703" s="9">
        <v>16.9</v>
      </c>
      <c r="I703" s="13">
        <v>124.0</v>
      </c>
      <c r="J703" s="13">
        <v>130.0</v>
      </c>
      <c r="K703" s="17">
        <f t="shared" si="5"/>
        <v>0.7692307692</v>
      </c>
      <c r="L703" s="9">
        <v>0.0</v>
      </c>
      <c r="O703" s="9" t="s">
        <v>221</v>
      </c>
      <c r="P703" s="40" t="s">
        <v>1729</v>
      </c>
      <c r="Q703" s="33" t="s">
        <v>150</v>
      </c>
      <c r="R703" s="33" t="s">
        <v>2119</v>
      </c>
      <c r="S703" s="9" t="s">
        <v>638</v>
      </c>
      <c r="T703" t="str">
        <f t="shared" si="9"/>
        <v>N</v>
      </c>
      <c r="W703" s="12" t="str">
        <f t="array" ref="W703">if(and(L703=0,Q703="NA"),"NA",if(L703=0,"no lice",if(Q703="NA","no collection",index(sea_lice!G:G,match(C703,sea_lice!A:A,0)))))</f>
        <v>no lice</v>
      </c>
      <c r="X703" s="23">
        <v>702.0</v>
      </c>
    </row>
    <row r="704">
      <c r="B704" s="6">
        <v>16546.0</v>
      </c>
      <c r="C704" s="12" t="str">
        <f t="shared" si="1"/>
        <v>U16546</v>
      </c>
      <c r="D704" s="14" t="str">
        <f t="array" ref="D704">iferror(index('2018_ufns'!E:E,match(C704,'2018_ufns'!B:B,0)))</f>
        <v>P1055</v>
      </c>
      <c r="E704" s="14">
        <v>43410.0</v>
      </c>
      <c r="F704" s="40" t="s">
        <v>53</v>
      </c>
      <c r="G704" s="40" t="s">
        <v>54</v>
      </c>
      <c r="H704" s="9">
        <v>13.9</v>
      </c>
      <c r="I704" s="13">
        <v>107.0</v>
      </c>
      <c r="J704" s="13" t="s">
        <v>63</v>
      </c>
      <c r="K704" s="17" t="str">
        <f t="shared" si="5"/>
        <v/>
      </c>
      <c r="L704" s="9">
        <v>1.0</v>
      </c>
      <c r="O704" s="9" t="s">
        <v>221</v>
      </c>
      <c r="P704" s="40" t="s">
        <v>1729</v>
      </c>
      <c r="Q704" s="33" t="s">
        <v>150</v>
      </c>
      <c r="R704" s="33" t="s">
        <v>2119</v>
      </c>
      <c r="S704" s="9" t="s">
        <v>638</v>
      </c>
      <c r="T704" t="str">
        <f t="shared" si="9"/>
        <v>N</v>
      </c>
      <c r="W704" s="12" t="str">
        <f t="array" ref="W704">if(and(L704=0,Q704="NA"),"NA",if(L704=0,"no lice",if(Q704="NA","no collection",index(sea_lice!G:G,match(C704,sea_lice!A:A,0)))))</f>
        <v>BSL6-57</v>
      </c>
      <c r="X704" s="23">
        <v>703.0</v>
      </c>
    </row>
    <row r="705">
      <c r="B705" s="6">
        <v>16547.0</v>
      </c>
      <c r="C705" s="12" t="str">
        <f t="shared" si="1"/>
        <v>U16547</v>
      </c>
      <c r="D705" s="14" t="str">
        <f t="array" ref="D705">iferror(index('2018_ufns'!E:E,match(C705,'2018_ufns'!B:B,0)))</f>
        <v>P1055</v>
      </c>
      <c r="E705" s="14">
        <v>43410.0</v>
      </c>
      <c r="F705" s="40" t="s">
        <v>53</v>
      </c>
      <c r="G705" s="40" t="s">
        <v>54</v>
      </c>
      <c r="H705" s="9">
        <v>12.3</v>
      </c>
      <c r="I705" s="9">
        <v>107.0</v>
      </c>
      <c r="J705" s="13">
        <v>112.0</v>
      </c>
      <c r="K705" s="17">
        <f t="shared" si="5"/>
        <v>0.8754897048</v>
      </c>
      <c r="L705" s="9">
        <v>0.0</v>
      </c>
      <c r="O705" s="9" t="s">
        <v>221</v>
      </c>
      <c r="P705" s="40" t="s">
        <v>1729</v>
      </c>
      <c r="Q705" s="33" t="s">
        <v>150</v>
      </c>
      <c r="R705" s="33" t="s">
        <v>2119</v>
      </c>
      <c r="S705" s="9" t="s">
        <v>638</v>
      </c>
      <c r="T705" t="str">
        <f t="shared" si="9"/>
        <v>N</v>
      </c>
      <c r="W705" s="12" t="str">
        <f t="array" ref="W705">if(and(L705=0,Q705="NA"),"NA",if(L705=0,"no lice",if(Q705="NA","no collection",index(sea_lice!G:G,match(C705,sea_lice!A:A,0)))))</f>
        <v>no lice</v>
      </c>
      <c r="X705" s="23">
        <v>704.0</v>
      </c>
    </row>
    <row r="706">
      <c r="B706" s="6">
        <v>16548.0</v>
      </c>
      <c r="C706" s="12" t="str">
        <f t="shared" si="1"/>
        <v>U16548</v>
      </c>
      <c r="D706" s="14" t="str">
        <f t="array" ref="D706">iferror(index('2018_ufns'!E:E,match(C706,'2018_ufns'!B:B,0)))</f>
        <v>P1055</v>
      </c>
      <c r="E706" s="14">
        <v>43410.0</v>
      </c>
      <c r="F706" s="40" t="s">
        <v>53</v>
      </c>
      <c r="G706" s="40" t="s">
        <v>54</v>
      </c>
      <c r="H706" s="9">
        <v>18.6</v>
      </c>
      <c r="I706" s="13">
        <v>127.0</v>
      </c>
      <c r="J706" s="13">
        <v>132.0</v>
      </c>
      <c r="K706" s="17">
        <f t="shared" si="5"/>
        <v>0.8087069037</v>
      </c>
      <c r="L706" s="9">
        <v>0.0</v>
      </c>
      <c r="O706" s="9" t="s">
        <v>221</v>
      </c>
      <c r="P706" s="40" t="s">
        <v>1729</v>
      </c>
      <c r="Q706" s="33" t="s">
        <v>150</v>
      </c>
      <c r="R706" s="33" t="s">
        <v>2119</v>
      </c>
      <c r="S706" s="9" t="s">
        <v>638</v>
      </c>
      <c r="T706" t="str">
        <f t="shared" si="9"/>
        <v>N</v>
      </c>
      <c r="W706" s="12" t="str">
        <f t="array" ref="W706">if(and(L706=0,Q706="NA"),"NA",if(L706=0,"no lice",if(Q706="NA","no collection",index(sea_lice!G:G,match(C706,sea_lice!A:A,0)))))</f>
        <v>no lice</v>
      </c>
      <c r="X706" s="23">
        <v>705.0</v>
      </c>
    </row>
    <row r="707">
      <c r="B707" s="6">
        <v>16549.0</v>
      </c>
      <c r="C707" s="12" t="str">
        <f t="shared" si="1"/>
        <v>U16549</v>
      </c>
      <c r="D707" s="14" t="str">
        <f t="array" ref="D707">iferror(index('2018_ufns'!E:E,match(C707,'2018_ufns'!B:B,0)))</f>
        <v>P1055</v>
      </c>
      <c r="E707" s="14">
        <v>43410.0</v>
      </c>
      <c r="F707" s="40" t="s">
        <v>53</v>
      </c>
      <c r="G707" s="40" t="s">
        <v>54</v>
      </c>
      <c r="H707" s="9">
        <v>16.1</v>
      </c>
      <c r="I707" s="13">
        <v>112.0</v>
      </c>
      <c r="J707" s="13">
        <v>118.0</v>
      </c>
      <c r="K707" s="17">
        <f t="shared" si="5"/>
        <v>0.979895705</v>
      </c>
      <c r="L707" s="9">
        <v>0.0</v>
      </c>
      <c r="O707" s="9" t="s">
        <v>221</v>
      </c>
      <c r="P707" s="40" t="s">
        <v>1729</v>
      </c>
      <c r="Q707" s="33" t="s">
        <v>150</v>
      </c>
      <c r="R707" s="33" t="s">
        <v>2119</v>
      </c>
      <c r="S707" s="9" t="s">
        <v>638</v>
      </c>
      <c r="T707" t="str">
        <f t="shared" si="9"/>
        <v>N</v>
      </c>
      <c r="W707" s="12" t="str">
        <f t="array" ref="W707">if(and(L707=0,Q707="NA"),"NA",if(L707=0,"no lice",if(Q707="NA","no collection",index(sea_lice!G:G,match(C707,sea_lice!A:A,0)))))</f>
        <v>no lice</v>
      </c>
      <c r="X707" s="23">
        <v>706.0</v>
      </c>
    </row>
    <row r="708">
      <c r="B708" s="6">
        <v>16550.0</v>
      </c>
      <c r="C708" s="12" t="str">
        <f t="shared" si="1"/>
        <v>U16550</v>
      </c>
      <c r="D708" s="14" t="str">
        <f t="array" ref="D708">iferror(index('2018_ufns'!E:E,match(C708,'2018_ufns'!B:B,0)))</f>
        <v>P1055</v>
      </c>
      <c r="E708" s="14">
        <v>43410.0</v>
      </c>
      <c r="F708" s="40" t="s">
        <v>53</v>
      </c>
      <c r="G708" s="40" t="s">
        <v>54</v>
      </c>
      <c r="H708" s="9">
        <v>13.5</v>
      </c>
      <c r="I708" s="13">
        <v>108.0</v>
      </c>
      <c r="J708" s="13">
        <v>113.0</v>
      </c>
      <c r="K708" s="17">
        <f t="shared" si="5"/>
        <v>0.9356177191</v>
      </c>
      <c r="L708" s="9">
        <v>0.0</v>
      </c>
      <c r="O708" s="9" t="s">
        <v>221</v>
      </c>
      <c r="P708" s="40" t="s">
        <v>1729</v>
      </c>
      <c r="Q708" s="33" t="s">
        <v>150</v>
      </c>
      <c r="R708" s="33" t="s">
        <v>2119</v>
      </c>
      <c r="S708" s="9" t="s">
        <v>638</v>
      </c>
      <c r="T708" t="str">
        <f t="shared" si="9"/>
        <v>N</v>
      </c>
      <c r="W708" s="12" t="str">
        <f t="array" ref="W708">if(and(L708=0,Q708="NA"),"NA",if(L708=0,"no lice",if(Q708="NA","no collection",index(sea_lice!G:G,match(C708,sea_lice!A:A,0)))))</f>
        <v>no lice</v>
      </c>
      <c r="X708" s="23">
        <v>707.0</v>
      </c>
    </row>
    <row r="709">
      <c r="B709" s="6">
        <v>16621.0</v>
      </c>
      <c r="C709" s="12" t="str">
        <f t="shared" si="1"/>
        <v>U16621</v>
      </c>
      <c r="D709" s="14" t="str">
        <f t="array" ref="D709">iferror(index('2018_ufns'!E:E,match(C709,'2018_ufns'!B:B,0)))</f>
        <v>P1063</v>
      </c>
      <c r="E709" s="14">
        <v>43410.0</v>
      </c>
      <c r="F709" s="40" t="s">
        <v>53</v>
      </c>
      <c r="G709" s="40" t="s">
        <v>54</v>
      </c>
      <c r="H709" s="9">
        <v>8.8</v>
      </c>
      <c r="I709" s="13">
        <v>93.0</v>
      </c>
      <c r="J709" s="13">
        <v>97.0</v>
      </c>
      <c r="K709" s="17">
        <f t="shared" si="5"/>
        <v>0.9642007597</v>
      </c>
      <c r="L709" s="9">
        <v>0.0</v>
      </c>
      <c r="O709" s="9" t="s">
        <v>221</v>
      </c>
      <c r="P709" s="40" t="s">
        <v>1729</v>
      </c>
      <c r="Q709" s="33" t="s">
        <v>150</v>
      </c>
      <c r="R709" s="33" t="s">
        <v>2119</v>
      </c>
      <c r="S709" s="9" t="s">
        <v>638</v>
      </c>
      <c r="T709" t="str">
        <f t="shared" si="9"/>
        <v>N</v>
      </c>
      <c r="W709" s="12" t="str">
        <f t="array" ref="W709">if(and(L709=0,Q709="NA"),"NA",if(L709=0,"no lice",if(Q709="NA","no collection",index(sea_lice!G:G,match(C709,sea_lice!A:A,0)))))</f>
        <v>no lice</v>
      </c>
      <c r="X709" s="23">
        <v>708.0</v>
      </c>
    </row>
    <row r="710">
      <c r="B710" s="6">
        <v>16622.0</v>
      </c>
      <c r="C710" s="12" t="str">
        <f t="shared" si="1"/>
        <v>U16622</v>
      </c>
      <c r="D710" s="14" t="str">
        <f t="array" ref="D710">iferror(index('2018_ufns'!E:E,match(C710,'2018_ufns'!B:B,0)))</f>
        <v>P1063</v>
      </c>
      <c r="E710" s="14">
        <v>43410.0</v>
      </c>
      <c r="F710" s="40" t="s">
        <v>53</v>
      </c>
      <c r="G710" s="40" t="s">
        <v>54</v>
      </c>
      <c r="H710" s="9">
        <v>8.0</v>
      </c>
      <c r="I710" s="13">
        <v>91.0</v>
      </c>
      <c r="J710" s="13" t="s">
        <v>63</v>
      </c>
      <c r="K710" s="17" t="str">
        <f t="shared" si="5"/>
        <v/>
      </c>
      <c r="L710" s="9">
        <v>0.0</v>
      </c>
      <c r="O710" s="9" t="s">
        <v>221</v>
      </c>
      <c r="P710" s="40" t="s">
        <v>1729</v>
      </c>
      <c r="Q710" s="33" t="s">
        <v>150</v>
      </c>
      <c r="R710" s="33" t="s">
        <v>2119</v>
      </c>
      <c r="S710" s="9" t="s">
        <v>638</v>
      </c>
      <c r="T710" t="str">
        <f t="shared" si="9"/>
        <v>N</v>
      </c>
      <c r="W710" s="12" t="str">
        <f t="array" ref="W710">if(and(L710=0,Q710="NA"),"NA",if(L710=0,"no lice",if(Q710="NA","no collection",index(sea_lice!G:G,match(C710,sea_lice!A:A,0)))))</f>
        <v>no lice</v>
      </c>
      <c r="X710" s="23">
        <v>709.0</v>
      </c>
    </row>
    <row r="711">
      <c r="B711" s="6">
        <v>16623.0</v>
      </c>
      <c r="C711" s="12" t="str">
        <f t="shared" si="1"/>
        <v>U16623</v>
      </c>
      <c r="D711" s="14" t="str">
        <f t="array" ref="D711">iferror(index('2018_ufns'!E:E,match(C711,'2018_ufns'!B:B,0)))</f>
        <v>P1063</v>
      </c>
      <c r="E711" s="14">
        <v>43410.0</v>
      </c>
      <c r="F711" s="40" t="s">
        <v>53</v>
      </c>
      <c r="G711" s="40" t="s">
        <v>54</v>
      </c>
      <c r="H711" s="9">
        <v>7.3</v>
      </c>
      <c r="I711" s="13">
        <v>90.0</v>
      </c>
      <c r="J711" s="13" t="s">
        <v>63</v>
      </c>
      <c r="K711" s="17" t="str">
        <f t="shared" si="5"/>
        <v/>
      </c>
      <c r="L711" s="9">
        <v>1.0</v>
      </c>
      <c r="O711" s="9" t="s">
        <v>221</v>
      </c>
      <c r="P711" s="40" t="s">
        <v>1729</v>
      </c>
      <c r="Q711" s="33" t="s">
        <v>150</v>
      </c>
      <c r="R711" s="33" t="s">
        <v>2119</v>
      </c>
      <c r="S711" s="9" t="s">
        <v>638</v>
      </c>
      <c r="T711" t="str">
        <f t="shared" si="9"/>
        <v>N</v>
      </c>
      <c r="W711" s="12" t="str">
        <f t="array" ref="W711">if(and(L711=0,Q711="NA"),"NA",if(L711=0,"no lice",if(Q711="NA","no collection",index(sea_lice!G:G,match(C711,sea_lice!A:A,0)))))</f>
        <v>BSL6-59</v>
      </c>
      <c r="X711" s="23">
        <v>710.0</v>
      </c>
    </row>
    <row r="712">
      <c r="B712" s="6">
        <v>16624.0</v>
      </c>
      <c r="C712" s="12" t="str">
        <f t="shared" si="1"/>
        <v>U16624</v>
      </c>
      <c r="D712" s="14" t="str">
        <f t="array" ref="D712">iferror(index('2018_ufns'!E:E,match(C712,'2018_ufns'!B:B,0)))</f>
        <v>P1063</v>
      </c>
      <c r="E712" s="14">
        <v>43410.0</v>
      </c>
      <c r="F712" s="40" t="s">
        <v>53</v>
      </c>
      <c r="G712" s="40" t="s">
        <v>54</v>
      </c>
      <c r="H712" s="9">
        <v>4.7</v>
      </c>
      <c r="I712" s="13">
        <v>80.0</v>
      </c>
      <c r="J712" s="13">
        <v>85.0</v>
      </c>
      <c r="K712" s="17">
        <f t="shared" si="5"/>
        <v>0.7653165072</v>
      </c>
      <c r="L712" s="9">
        <v>1.0</v>
      </c>
      <c r="O712" s="9" t="s">
        <v>221</v>
      </c>
      <c r="P712" s="40" t="s">
        <v>1729</v>
      </c>
      <c r="Q712" s="33" t="s">
        <v>150</v>
      </c>
      <c r="R712" s="33" t="s">
        <v>2119</v>
      </c>
      <c r="S712" s="9" t="s">
        <v>638</v>
      </c>
      <c r="T712" t="str">
        <f t="shared" si="9"/>
        <v>N</v>
      </c>
      <c r="W712" s="12" t="str">
        <f t="array" ref="W712">if(and(L712=0,Q712="NA"),"NA",if(L712=0,"no lice",if(Q712="NA","no collection",index(sea_lice!G:G,match(C712,sea_lice!A:A,0)))))</f>
        <v>BSL6-60</v>
      </c>
      <c r="X712" s="23">
        <v>711.0</v>
      </c>
    </row>
    <row r="713">
      <c r="B713" s="6">
        <v>16625.0</v>
      </c>
      <c r="C713" s="12" t="str">
        <f t="shared" si="1"/>
        <v>U16625</v>
      </c>
      <c r="D713" s="14" t="str">
        <f t="array" ref="D713">iferror(index('2018_ufns'!E:E,match(C713,'2018_ufns'!B:B,0)))</f>
        <v>P1063</v>
      </c>
      <c r="E713" s="14">
        <v>43410.0</v>
      </c>
      <c r="F713" s="40" t="s">
        <v>53</v>
      </c>
      <c r="G713" s="40" t="s">
        <v>54</v>
      </c>
      <c r="H713" s="9">
        <v>9.6</v>
      </c>
      <c r="I713" s="13">
        <v>88.0</v>
      </c>
      <c r="J713" s="13">
        <v>103.0</v>
      </c>
      <c r="K713" s="17">
        <f t="shared" si="5"/>
        <v>0.878535993</v>
      </c>
      <c r="L713" s="9">
        <v>0.0</v>
      </c>
      <c r="O713" s="9" t="s">
        <v>221</v>
      </c>
      <c r="P713" s="40" t="s">
        <v>1729</v>
      </c>
      <c r="Q713" s="33" t="s">
        <v>150</v>
      </c>
      <c r="R713" s="33" t="s">
        <v>2119</v>
      </c>
      <c r="S713" s="9" t="s">
        <v>638</v>
      </c>
      <c r="T713" t="str">
        <f t="shared" si="9"/>
        <v>N</v>
      </c>
      <c r="W713" s="12" t="str">
        <f t="array" ref="W713">if(and(L713=0,Q713="NA"),"NA",if(L713=0,"no lice",if(Q713="NA","no collection",index(sea_lice!G:G,match(C713,sea_lice!A:A,0)))))</f>
        <v>no lice</v>
      </c>
      <c r="X713" s="23">
        <v>712.0</v>
      </c>
    </row>
    <row r="714">
      <c r="B714" s="6">
        <v>16626.0</v>
      </c>
      <c r="C714" s="12" t="str">
        <f t="shared" si="1"/>
        <v>U16626</v>
      </c>
      <c r="D714" s="14" t="str">
        <f t="array" ref="D714">iferror(index('2018_ufns'!E:E,match(C714,'2018_ufns'!B:B,0)))</f>
        <v>P1063</v>
      </c>
      <c r="E714" s="14">
        <v>43410.0</v>
      </c>
      <c r="F714" s="40" t="s">
        <v>53</v>
      </c>
      <c r="G714" s="40" t="s">
        <v>54</v>
      </c>
      <c r="H714" s="9">
        <v>7.1</v>
      </c>
      <c r="I714" s="13">
        <v>86.0</v>
      </c>
      <c r="J714" s="13">
        <v>91.0</v>
      </c>
      <c r="K714" s="17">
        <f t="shared" si="5"/>
        <v>0.9421806306</v>
      </c>
      <c r="L714" s="9">
        <v>0.0</v>
      </c>
      <c r="O714" s="9" t="s">
        <v>221</v>
      </c>
      <c r="P714" s="40" t="s">
        <v>1729</v>
      </c>
      <c r="Q714" s="33" t="s">
        <v>150</v>
      </c>
      <c r="R714" s="33" t="s">
        <v>2119</v>
      </c>
      <c r="S714" s="9" t="s">
        <v>638</v>
      </c>
      <c r="T714" t="str">
        <f t="shared" si="9"/>
        <v>N</v>
      </c>
      <c r="W714" s="12" t="str">
        <f t="array" ref="W714">if(and(L714=0,Q714="NA"),"NA",if(L714=0,"no lice",if(Q714="NA","no collection",index(sea_lice!G:G,match(C714,sea_lice!A:A,0)))))</f>
        <v>no lice</v>
      </c>
      <c r="X714" s="23">
        <v>713.0</v>
      </c>
    </row>
    <row r="715">
      <c r="B715" s="6">
        <v>16911.0</v>
      </c>
      <c r="C715" s="12" t="str">
        <f t="shared" si="1"/>
        <v>U16911</v>
      </c>
      <c r="D715" s="14" t="str">
        <f t="array" ref="D715">iferror(index('2018_ufns'!E:E,match(C715,'2018_ufns'!B:B,0)))</f>
        <v>P1092</v>
      </c>
      <c r="E715" s="14">
        <v>43410.0</v>
      </c>
      <c r="F715" s="40" t="s">
        <v>53</v>
      </c>
      <c r="G715" s="40" t="s">
        <v>54</v>
      </c>
      <c r="H715" s="9">
        <v>15.8</v>
      </c>
      <c r="I715" s="13">
        <v>111.0</v>
      </c>
      <c r="J715" s="13">
        <v>115.0</v>
      </c>
      <c r="K715" s="17">
        <f t="shared" si="5"/>
        <v>1.038875647</v>
      </c>
      <c r="L715" s="9">
        <v>0.0</v>
      </c>
      <c r="M715" s="9" t="s">
        <v>57</v>
      </c>
      <c r="O715" s="9" t="s">
        <v>221</v>
      </c>
      <c r="P715" s="40" t="s">
        <v>1729</v>
      </c>
      <c r="Q715" s="33" t="s">
        <v>150</v>
      </c>
      <c r="R715" s="33" t="s">
        <v>2119</v>
      </c>
      <c r="S715" s="9" t="s">
        <v>638</v>
      </c>
      <c r="T715" t="str">
        <f t="shared" si="9"/>
        <v>N</v>
      </c>
      <c r="W715" s="12" t="str">
        <f t="array" ref="W715">if(and(L715=0,Q715="NA"),"NA",if(L715=0,"no lice",if(Q715="NA","no collection",index(sea_lice!G:G,match(C715,sea_lice!A:A,0)))))</f>
        <v>no lice</v>
      </c>
      <c r="X715" s="23">
        <v>714.0</v>
      </c>
    </row>
    <row r="716">
      <c r="B716" s="6">
        <v>16912.0</v>
      </c>
      <c r="C716" s="12" t="str">
        <f t="shared" si="1"/>
        <v>U16912</v>
      </c>
      <c r="D716" s="14" t="str">
        <f t="array" ref="D716">iferror(index('2018_ufns'!E:E,match(C716,'2018_ufns'!B:B,0)))</f>
        <v>P1092</v>
      </c>
      <c r="E716" s="14">
        <v>43410.0</v>
      </c>
      <c r="F716" s="40" t="s">
        <v>53</v>
      </c>
      <c r="G716" s="40" t="s">
        <v>54</v>
      </c>
      <c r="H716" s="9">
        <v>11.3</v>
      </c>
      <c r="I716" s="13">
        <v>104.0</v>
      </c>
      <c r="J716" s="13">
        <v>109.0</v>
      </c>
      <c r="K716" s="17">
        <f t="shared" si="5"/>
        <v>0.8725673325</v>
      </c>
      <c r="L716" s="9">
        <v>2.0</v>
      </c>
      <c r="M716" s="9" t="s">
        <v>57</v>
      </c>
      <c r="O716" s="9" t="s">
        <v>221</v>
      </c>
      <c r="P716" s="40" t="s">
        <v>1729</v>
      </c>
      <c r="Q716" s="33" t="s">
        <v>150</v>
      </c>
      <c r="R716" s="33" t="s">
        <v>2119</v>
      </c>
      <c r="S716" s="9" t="s">
        <v>638</v>
      </c>
      <c r="T716" t="str">
        <f t="shared" si="9"/>
        <v>N</v>
      </c>
      <c r="W716" s="12" t="str">
        <f t="array" ref="W716">if(and(L716=0,Q716="NA"),"NA",if(L716=0,"no lice",if(Q716="NA","no collection",index(sea_lice!G:G,match(C716,sea_lice!A:A,0)))))</f>
        <v>BSL6-62</v>
      </c>
      <c r="X716" s="23">
        <v>715.0</v>
      </c>
    </row>
    <row r="717">
      <c r="B717" s="6">
        <v>16913.0</v>
      </c>
      <c r="C717" s="12" t="str">
        <f t="shared" si="1"/>
        <v>U16913</v>
      </c>
      <c r="D717" s="14" t="str">
        <f t="array" ref="D717">iferror(index('2018_ufns'!E:E,match(C717,'2018_ufns'!B:B,0)))</f>
        <v>P1092</v>
      </c>
      <c r="E717" s="14">
        <v>43410.0</v>
      </c>
      <c r="F717" s="40" t="s">
        <v>53</v>
      </c>
      <c r="G717" s="40" t="s">
        <v>54</v>
      </c>
      <c r="H717" s="9">
        <v>10.6</v>
      </c>
      <c r="I717" s="13">
        <v>102.0</v>
      </c>
      <c r="J717" s="13">
        <v>106.0</v>
      </c>
      <c r="K717" s="17">
        <f t="shared" si="5"/>
        <v>0.88999644</v>
      </c>
      <c r="L717" s="9">
        <v>0.0</v>
      </c>
      <c r="M717" s="9" t="s">
        <v>57</v>
      </c>
      <c r="O717" s="9" t="s">
        <v>221</v>
      </c>
      <c r="P717" s="40" t="s">
        <v>1729</v>
      </c>
      <c r="Q717" s="33" t="s">
        <v>150</v>
      </c>
      <c r="R717" s="33" t="s">
        <v>2119</v>
      </c>
      <c r="S717" s="9" t="s">
        <v>638</v>
      </c>
      <c r="T717" t="str">
        <f t="shared" si="9"/>
        <v>N</v>
      </c>
      <c r="W717" s="12" t="str">
        <f t="array" ref="W717">if(and(L717=0,Q717="NA"),"NA",if(L717=0,"no lice",if(Q717="NA","no collection",index(sea_lice!G:G,match(C717,sea_lice!A:A,0)))))</f>
        <v>no lice</v>
      </c>
      <c r="X717" s="23">
        <v>716.0</v>
      </c>
    </row>
    <row r="718">
      <c r="B718" s="6">
        <v>16914.0</v>
      </c>
      <c r="C718" s="12" t="str">
        <f t="shared" si="1"/>
        <v>U16914</v>
      </c>
      <c r="D718" s="14" t="str">
        <f t="array" ref="D718">iferror(index('2018_ufns'!E:E,match(C718,'2018_ufns'!B:B,0)))</f>
        <v>P1092</v>
      </c>
      <c r="E718" s="14">
        <v>43410.0</v>
      </c>
      <c r="F718" s="40" t="s">
        <v>53</v>
      </c>
      <c r="G718" s="40" t="s">
        <v>54</v>
      </c>
      <c r="H718" s="9">
        <v>8.3</v>
      </c>
      <c r="I718" s="13">
        <v>97.0</v>
      </c>
      <c r="J718" s="13" t="s">
        <v>63</v>
      </c>
      <c r="K718" s="17" t="str">
        <f t="shared" si="5"/>
        <v/>
      </c>
      <c r="L718" s="9">
        <v>0.0</v>
      </c>
      <c r="M718" s="9" t="s">
        <v>57</v>
      </c>
      <c r="O718" s="9" t="s">
        <v>221</v>
      </c>
      <c r="P718" s="40" t="s">
        <v>1729</v>
      </c>
      <c r="Q718" s="33" t="s">
        <v>150</v>
      </c>
      <c r="R718" s="33" t="s">
        <v>2119</v>
      </c>
      <c r="S718" s="9" t="s">
        <v>638</v>
      </c>
      <c r="T718" t="str">
        <f t="shared" si="9"/>
        <v>N</v>
      </c>
      <c r="W718" s="12" t="str">
        <f t="array" ref="W718">if(and(L718=0,Q718="NA"),"NA",if(L718=0,"no lice",if(Q718="NA","no collection",index(sea_lice!G:G,match(C718,sea_lice!A:A,0)))))</f>
        <v>no lice</v>
      </c>
      <c r="X718" s="23">
        <v>717.0</v>
      </c>
    </row>
    <row r="719">
      <c r="B719" s="6">
        <v>16915.0</v>
      </c>
      <c r="C719" s="12" t="str">
        <f t="shared" si="1"/>
        <v>U16915</v>
      </c>
      <c r="D719" s="14" t="str">
        <f t="array" ref="D719">iferror(index('2018_ufns'!E:E,match(C719,'2018_ufns'!B:B,0)))</f>
        <v>P1092</v>
      </c>
      <c r="E719" s="14">
        <v>43410.0</v>
      </c>
      <c r="F719" s="40" t="s">
        <v>53</v>
      </c>
      <c r="G719" s="40" t="s">
        <v>54</v>
      </c>
      <c r="H719" s="9">
        <v>11.9</v>
      </c>
      <c r="I719" s="13">
        <v>107.0</v>
      </c>
      <c r="J719" s="13">
        <v>111.0</v>
      </c>
      <c r="K719" s="17">
        <f t="shared" si="5"/>
        <v>0.8701177437</v>
      </c>
      <c r="L719" s="9">
        <v>0.0</v>
      </c>
      <c r="M719" s="9" t="s">
        <v>57</v>
      </c>
      <c r="O719" s="9" t="s">
        <v>221</v>
      </c>
      <c r="P719" s="40" t="s">
        <v>1729</v>
      </c>
      <c r="Q719" s="33" t="s">
        <v>150</v>
      </c>
      <c r="R719" s="33" t="s">
        <v>2119</v>
      </c>
      <c r="S719" s="9" t="s">
        <v>638</v>
      </c>
      <c r="T719" t="str">
        <f t="shared" si="9"/>
        <v>N</v>
      </c>
      <c r="W719" s="12" t="str">
        <f t="array" ref="W719">if(and(L719=0,Q719="NA"),"NA",if(L719=0,"no lice",if(Q719="NA","no collection",index(sea_lice!G:G,match(C719,sea_lice!A:A,0)))))</f>
        <v>no lice</v>
      </c>
      <c r="X719" s="23">
        <v>718.0</v>
      </c>
    </row>
    <row r="720">
      <c r="B720" s="6">
        <v>16916.0</v>
      </c>
      <c r="C720" s="12" t="str">
        <f t="shared" si="1"/>
        <v>U16916</v>
      </c>
      <c r="D720" s="14" t="str">
        <f t="array" ref="D720">iferror(index('2018_ufns'!E:E,match(C720,'2018_ufns'!B:B,0)))</f>
        <v>P1092</v>
      </c>
      <c r="E720" s="14">
        <v>43410.0</v>
      </c>
      <c r="F720" s="40" t="s">
        <v>53</v>
      </c>
      <c r="G720" s="40" t="s">
        <v>54</v>
      </c>
      <c r="H720" s="9">
        <v>9.7</v>
      </c>
      <c r="I720" s="13">
        <v>98.0</v>
      </c>
      <c r="J720" s="13">
        <v>103.0</v>
      </c>
      <c r="K720" s="17">
        <f t="shared" si="5"/>
        <v>0.8876874096</v>
      </c>
      <c r="L720" s="9">
        <v>0.0</v>
      </c>
      <c r="M720" s="9" t="s">
        <v>57</v>
      </c>
      <c r="O720" s="9" t="s">
        <v>221</v>
      </c>
      <c r="P720" s="40" t="s">
        <v>1729</v>
      </c>
      <c r="Q720" s="33" t="s">
        <v>150</v>
      </c>
      <c r="R720" s="33" t="s">
        <v>2119</v>
      </c>
      <c r="S720" s="9" t="s">
        <v>638</v>
      </c>
      <c r="T720" t="str">
        <f t="shared" si="9"/>
        <v>N</v>
      </c>
      <c r="W720" s="12" t="str">
        <f t="array" ref="W720">if(and(L720=0,Q720="NA"),"NA",if(L720=0,"no lice",if(Q720="NA","no collection",index(sea_lice!G:G,match(C720,sea_lice!A:A,0)))))</f>
        <v>no lice</v>
      </c>
      <c r="X720" s="23">
        <v>719.0</v>
      </c>
    </row>
    <row r="721">
      <c r="B721" s="6">
        <v>16917.0</v>
      </c>
      <c r="C721" s="12" t="str">
        <f t="shared" si="1"/>
        <v>U16917</v>
      </c>
      <c r="D721" s="14" t="str">
        <f t="array" ref="D721">iferror(index('2018_ufns'!E:E,match(C721,'2018_ufns'!B:B,0)))</f>
        <v>P1092</v>
      </c>
      <c r="E721" s="14">
        <v>43410.0</v>
      </c>
      <c r="F721" s="40" t="s">
        <v>53</v>
      </c>
      <c r="G721" s="40" t="s">
        <v>54</v>
      </c>
      <c r="H721" s="9">
        <v>9.8</v>
      </c>
      <c r="I721" s="13">
        <v>99.0</v>
      </c>
      <c r="J721" s="13">
        <v>104.0</v>
      </c>
      <c r="K721" s="17">
        <f t="shared" si="5"/>
        <v>0.8712164315</v>
      </c>
      <c r="L721" s="9">
        <v>0.0</v>
      </c>
      <c r="M721" s="9" t="s">
        <v>57</v>
      </c>
      <c r="O721" s="9" t="s">
        <v>221</v>
      </c>
      <c r="P721" s="40" t="s">
        <v>1729</v>
      </c>
      <c r="Q721" s="33" t="s">
        <v>150</v>
      </c>
      <c r="R721" s="33" t="s">
        <v>2119</v>
      </c>
      <c r="S721" s="9" t="s">
        <v>638</v>
      </c>
      <c r="T721" t="str">
        <f t="shared" si="9"/>
        <v>N</v>
      </c>
      <c r="W721" s="12" t="str">
        <f t="array" ref="W721">if(and(L721=0,Q721="NA"),"NA",if(L721=0,"no lice",if(Q721="NA","no collection",index(sea_lice!G:G,match(C721,sea_lice!A:A,0)))))</f>
        <v>no lice</v>
      </c>
      <c r="X721" s="23">
        <v>720.0</v>
      </c>
    </row>
    <row r="722">
      <c r="B722" s="6">
        <v>16918.0</v>
      </c>
      <c r="C722" s="12" t="str">
        <f t="shared" si="1"/>
        <v>U16918</v>
      </c>
      <c r="D722" s="14" t="str">
        <f t="array" ref="D722">iferror(index('2018_ufns'!E:E,match(C722,'2018_ufns'!B:B,0)))</f>
        <v>P1092</v>
      </c>
      <c r="E722" s="14">
        <v>43411.0</v>
      </c>
      <c r="F722" s="40" t="s">
        <v>53</v>
      </c>
      <c r="G722" s="40" t="s">
        <v>54</v>
      </c>
      <c r="H722" s="9">
        <v>11.5</v>
      </c>
      <c r="I722" s="13">
        <v>105.0</v>
      </c>
      <c r="J722" s="13">
        <v>109.0</v>
      </c>
      <c r="K722" s="17">
        <f t="shared" si="5"/>
        <v>0.8880110021</v>
      </c>
      <c r="L722" s="9">
        <v>1.0</v>
      </c>
      <c r="M722" s="9" t="s">
        <v>57</v>
      </c>
      <c r="O722" s="9" t="s">
        <v>221</v>
      </c>
      <c r="P722" s="40" t="s">
        <v>1729</v>
      </c>
      <c r="Q722" s="33" t="s">
        <v>150</v>
      </c>
      <c r="R722" s="33" t="s">
        <v>2119</v>
      </c>
      <c r="S722" s="9" t="s">
        <v>638</v>
      </c>
      <c r="T722" t="str">
        <f t="shared" si="9"/>
        <v>N</v>
      </c>
      <c r="W722" s="12" t="str">
        <f t="array" ref="W722">if(and(L722=0,Q722="NA"),"NA",if(L722=0,"no lice",if(Q722="NA","no collection",index(sea_lice!G:G,match(C722,sea_lice!A:A,0)))))</f>
        <v>BSL6-63</v>
      </c>
      <c r="X722" s="23">
        <v>721.0</v>
      </c>
    </row>
    <row r="723">
      <c r="B723" s="6">
        <v>16919.0</v>
      </c>
      <c r="C723" s="12" t="str">
        <f t="shared" si="1"/>
        <v>U16919</v>
      </c>
      <c r="D723" s="14" t="str">
        <f t="array" ref="D723">iferror(index('2018_ufns'!E:E,match(C723,'2018_ufns'!B:B,0)))</f>
        <v>P1092</v>
      </c>
      <c r="E723" s="14">
        <v>43411.0</v>
      </c>
      <c r="F723" s="40" t="s">
        <v>53</v>
      </c>
      <c r="G723" s="40" t="s">
        <v>54</v>
      </c>
      <c r="H723" s="9">
        <v>14.6</v>
      </c>
      <c r="I723" s="13">
        <v>113.0</v>
      </c>
      <c r="J723" s="13">
        <v>117.0</v>
      </c>
      <c r="K723" s="17">
        <f t="shared" si="5"/>
        <v>0.9115810124</v>
      </c>
      <c r="L723" s="9">
        <v>1.0</v>
      </c>
      <c r="M723" s="9" t="s">
        <v>57</v>
      </c>
      <c r="N723" s="9" t="s">
        <v>2121</v>
      </c>
      <c r="O723" s="9" t="s">
        <v>221</v>
      </c>
      <c r="P723" s="40" t="s">
        <v>1729</v>
      </c>
      <c r="Q723" s="33" t="s">
        <v>150</v>
      </c>
      <c r="R723" s="33" t="s">
        <v>2119</v>
      </c>
      <c r="S723" s="9" t="s">
        <v>638</v>
      </c>
      <c r="T723" t="str">
        <f t="shared" si="9"/>
        <v>N</v>
      </c>
      <c r="W723" s="12" t="str">
        <f t="array" ref="W723">if(and(L723=0,Q723="NA"),"NA",if(L723=0,"no lice",if(Q723="NA","no collection",index(sea_lice!G:G,match(C723,sea_lice!A:A,0)))))</f>
        <v>BSL6-64</v>
      </c>
      <c r="X723" s="23">
        <v>722.0</v>
      </c>
    </row>
    <row r="724">
      <c r="B724" s="6">
        <v>16920.0</v>
      </c>
      <c r="C724" s="12" t="str">
        <f t="shared" si="1"/>
        <v>U16920</v>
      </c>
      <c r="D724" s="14" t="str">
        <f t="array" ref="D724">iferror(index('2018_ufns'!E:E,match(C724,'2018_ufns'!B:B,0)))</f>
        <v>P1092</v>
      </c>
      <c r="E724" s="14">
        <v>43411.0</v>
      </c>
      <c r="F724" s="40" t="s">
        <v>53</v>
      </c>
      <c r="G724" s="40" t="s">
        <v>54</v>
      </c>
      <c r="H724" s="9">
        <v>9.0</v>
      </c>
      <c r="I724" s="13">
        <v>99.0</v>
      </c>
      <c r="J724" s="13">
        <v>103.0</v>
      </c>
      <c r="K724" s="17">
        <f t="shared" si="5"/>
        <v>0.8236274934</v>
      </c>
      <c r="L724" s="9">
        <v>1.0</v>
      </c>
      <c r="M724" s="9" t="s">
        <v>57</v>
      </c>
      <c r="O724" s="9" t="s">
        <v>221</v>
      </c>
      <c r="P724" s="40" t="s">
        <v>1729</v>
      </c>
      <c r="Q724" s="33" t="s">
        <v>150</v>
      </c>
      <c r="R724" s="33" t="s">
        <v>2119</v>
      </c>
      <c r="S724" s="9" t="s">
        <v>638</v>
      </c>
      <c r="T724" t="str">
        <f t="shared" si="9"/>
        <v>N</v>
      </c>
      <c r="W724" s="12" t="str">
        <f t="array" ref="W724">if(and(L724=0,Q724="NA"),"NA",if(L724=0,"no lice",if(Q724="NA","no collection",index(sea_lice!G:G,match(C724,sea_lice!A:A,0)))))</f>
        <v>BSL6-65</v>
      </c>
      <c r="X724" s="23">
        <v>723.0</v>
      </c>
    </row>
    <row r="725">
      <c r="B725" s="6">
        <v>17441.0</v>
      </c>
      <c r="C725" s="12" t="str">
        <f t="shared" si="1"/>
        <v>U17441</v>
      </c>
      <c r="D725" s="14" t="str">
        <f t="array" ref="D725">iferror(index('2018_ufns'!E:E,match(C725,'2018_ufns'!B:B,0)))</f>
        <v>P1145</v>
      </c>
      <c r="E725" s="14">
        <v>43411.0</v>
      </c>
      <c r="F725" s="40" t="s">
        <v>53</v>
      </c>
      <c r="G725" s="40" t="s">
        <v>54</v>
      </c>
      <c r="H725" s="9">
        <v>15.4</v>
      </c>
      <c r="I725" s="13">
        <v>109.0</v>
      </c>
      <c r="J725" s="13">
        <v>114.0</v>
      </c>
      <c r="K725" s="17">
        <f t="shared" si="5"/>
        <v>1.039456135</v>
      </c>
      <c r="L725" s="9">
        <v>0.0</v>
      </c>
      <c r="M725" s="9" t="s">
        <v>57</v>
      </c>
      <c r="O725" s="9" t="s">
        <v>221</v>
      </c>
      <c r="P725" s="40" t="s">
        <v>1729</v>
      </c>
      <c r="Q725" s="33" t="s">
        <v>150</v>
      </c>
      <c r="R725" s="33" t="s">
        <v>2119</v>
      </c>
      <c r="S725" s="9" t="s">
        <v>638</v>
      </c>
      <c r="T725" t="str">
        <f t="shared" si="9"/>
        <v>N</v>
      </c>
      <c r="W725" s="12" t="str">
        <f t="array" ref="W725">if(and(L725=0,Q725="NA"),"NA",if(L725=0,"no lice",if(Q725="NA","no collection",index(sea_lice!G:G,match(C725,sea_lice!A:A,0)))))</f>
        <v>no lice</v>
      </c>
      <c r="X725" s="23">
        <v>724.0</v>
      </c>
    </row>
    <row r="726">
      <c r="B726" s="6">
        <v>17442.0</v>
      </c>
      <c r="C726" s="12" t="str">
        <f t="shared" si="1"/>
        <v>U17442</v>
      </c>
      <c r="D726" s="14" t="str">
        <f t="array" ref="D726">iferror(index('2018_ufns'!E:E,match(C726,'2018_ufns'!B:B,0)))</f>
        <v>P1145</v>
      </c>
      <c r="E726" s="14">
        <v>43411.0</v>
      </c>
      <c r="F726" s="40" t="s">
        <v>53</v>
      </c>
      <c r="G726" s="40" t="s">
        <v>54</v>
      </c>
      <c r="H726" s="9">
        <v>15.8</v>
      </c>
      <c r="I726" s="13">
        <v>113.0</v>
      </c>
      <c r="J726" s="13" t="s">
        <v>63</v>
      </c>
      <c r="K726" s="17" t="str">
        <f t="shared" si="5"/>
        <v/>
      </c>
      <c r="L726" s="9">
        <v>0.0</v>
      </c>
      <c r="M726" s="9" t="s">
        <v>57</v>
      </c>
      <c r="O726" s="9" t="s">
        <v>221</v>
      </c>
      <c r="P726" s="40" t="s">
        <v>1729</v>
      </c>
      <c r="Q726" s="33" t="s">
        <v>150</v>
      </c>
      <c r="R726" s="33" t="s">
        <v>2119</v>
      </c>
      <c r="S726" s="9" t="s">
        <v>638</v>
      </c>
      <c r="T726" t="str">
        <f t="shared" si="9"/>
        <v>N</v>
      </c>
      <c r="W726" s="12" t="str">
        <f t="array" ref="W726">if(and(L726=0,Q726="NA"),"NA",if(L726=0,"no lice",if(Q726="NA","no collection",index(sea_lice!G:G,match(C726,sea_lice!A:A,0)))))</f>
        <v>no lice</v>
      </c>
      <c r="X726" s="23">
        <v>725.0</v>
      </c>
    </row>
    <row r="727">
      <c r="B727" s="6">
        <v>17443.0</v>
      </c>
      <c r="C727" s="12" t="str">
        <f t="shared" si="1"/>
        <v>U17443</v>
      </c>
      <c r="D727" s="14" t="str">
        <f t="array" ref="D727">iferror(index('2018_ufns'!E:E,match(C727,'2018_ufns'!B:B,0)))</f>
        <v>P1145</v>
      </c>
      <c r="E727" s="14">
        <v>43411.0</v>
      </c>
      <c r="F727" s="40" t="s">
        <v>53</v>
      </c>
      <c r="G727" s="40" t="s">
        <v>54</v>
      </c>
      <c r="H727" s="9">
        <v>12.3</v>
      </c>
      <c r="I727" s="13">
        <v>100.0</v>
      </c>
      <c r="J727" s="13">
        <v>106.0</v>
      </c>
      <c r="K727" s="17">
        <f t="shared" si="5"/>
        <v>1.032731718</v>
      </c>
      <c r="L727" s="9">
        <v>0.0</v>
      </c>
      <c r="M727" s="9" t="s">
        <v>57</v>
      </c>
      <c r="O727" s="9" t="s">
        <v>221</v>
      </c>
      <c r="P727" s="40" t="s">
        <v>1729</v>
      </c>
      <c r="Q727" s="33" t="s">
        <v>150</v>
      </c>
      <c r="R727" s="33" t="s">
        <v>2119</v>
      </c>
      <c r="S727" s="9" t="s">
        <v>638</v>
      </c>
      <c r="T727" t="str">
        <f t="shared" si="9"/>
        <v>N</v>
      </c>
      <c r="W727" s="12" t="str">
        <f t="array" ref="W727">if(and(L727=0,Q727="NA"),"NA",if(L727=0,"no lice",if(Q727="NA","no collection",index(sea_lice!G:G,match(C727,sea_lice!A:A,0)))))</f>
        <v>no lice</v>
      </c>
      <c r="X727" s="23">
        <v>726.0</v>
      </c>
    </row>
    <row r="728">
      <c r="B728" s="6">
        <v>17444.0</v>
      </c>
      <c r="C728" s="12" t="str">
        <f t="shared" si="1"/>
        <v>U17444</v>
      </c>
      <c r="D728" s="14" t="str">
        <f t="array" ref="D728">iferror(index('2018_ufns'!E:E,match(C728,'2018_ufns'!B:B,0)))</f>
        <v>P1145</v>
      </c>
      <c r="E728" s="14">
        <v>43411.0</v>
      </c>
      <c r="F728" s="40" t="s">
        <v>53</v>
      </c>
      <c r="G728" s="40" t="s">
        <v>54</v>
      </c>
      <c r="H728" s="9">
        <v>13.3</v>
      </c>
      <c r="I728" s="13">
        <v>108.0</v>
      </c>
      <c r="J728" s="13">
        <v>113.0</v>
      </c>
      <c r="K728" s="17">
        <f t="shared" si="5"/>
        <v>0.9217567158</v>
      </c>
      <c r="L728" s="9">
        <v>0.0</v>
      </c>
      <c r="M728" s="9" t="s">
        <v>57</v>
      </c>
      <c r="O728" s="9" t="s">
        <v>221</v>
      </c>
      <c r="P728" s="40" t="s">
        <v>1729</v>
      </c>
      <c r="Q728" s="33" t="s">
        <v>150</v>
      </c>
      <c r="R728" s="33" t="s">
        <v>2119</v>
      </c>
      <c r="S728" s="9" t="s">
        <v>638</v>
      </c>
      <c r="T728" t="str">
        <f t="shared" si="9"/>
        <v>N</v>
      </c>
      <c r="W728" s="12" t="str">
        <f t="array" ref="W728">if(and(L728=0,Q728="NA"),"NA",if(L728=0,"no lice",if(Q728="NA","no collection",index(sea_lice!G:G,match(C728,sea_lice!A:A,0)))))</f>
        <v>no lice</v>
      </c>
      <c r="X728" s="23">
        <v>727.0</v>
      </c>
    </row>
    <row r="729">
      <c r="B729" s="6">
        <v>17445.0</v>
      </c>
      <c r="C729" s="12" t="str">
        <f t="shared" si="1"/>
        <v>U17445</v>
      </c>
      <c r="D729" s="14" t="str">
        <f t="array" ref="D729">iferror(index('2018_ufns'!E:E,match(C729,'2018_ufns'!B:B,0)))</f>
        <v>P1145</v>
      </c>
      <c r="E729" s="14">
        <v>43411.0</v>
      </c>
      <c r="F729" s="40" t="s">
        <v>53</v>
      </c>
      <c r="G729" s="40" t="s">
        <v>54</v>
      </c>
      <c r="H729" s="9">
        <v>14.0</v>
      </c>
      <c r="I729" s="13">
        <v>112.0</v>
      </c>
      <c r="J729" s="13" t="s">
        <v>63</v>
      </c>
      <c r="K729" s="17" t="str">
        <f t="shared" si="5"/>
        <v/>
      </c>
      <c r="L729" s="9">
        <v>0.0</v>
      </c>
      <c r="M729" s="9" t="s">
        <v>57</v>
      </c>
      <c r="O729" s="9" t="s">
        <v>221</v>
      </c>
      <c r="P729" s="40" t="s">
        <v>1729</v>
      </c>
      <c r="Q729" s="33" t="s">
        <v>150</v>
      </c>
      <c r="R729" s="33" t="s">
        <v>2119</v>
      </c>
      <c r="S729" s="9" t="s">
        <v>638</v>
      </c>
      <c r="T729" t="str">
        <f t="shared" si="9"/>
        <v>N</v>
      </c>
      <c r="W729" s="12" t="str">
        <f t="array" ref="W729">if(and(L729=0,Q729="NA"),"NA",if(L729=0,"no lice",if(Q729="NA","no collection",index(sea_lice!G:G,match(C729,sea_lice!A:A,0)))))</f>
        <v>no lice</v>
      </c>
      <c r="X729" s="23">
        <v>728.0</v>
      </c>
    </row>
    <row r="730">
      <c r="B730" s="6">
        <v>17446.0</v>
      </c>
      <c r="C730" s="12" t="str">
        <f t="shared" si="1"/>
        <v>U17446</v>
      </c>
      <c r="D730" s="14" t="str">
        <f t="array" ref="D730">iferror(index('2018_ufns'!E:E,match(C730,'2018_ufns'!B:B,0)))</f>
        <v>P1145</v>
      </c>
      <c r="E730" s="14">
        <v>43411.0</v>
      </c>
      <c r="F730" s="40" t="s">
        <v>53</v>
      </c>
      <c r="G730" s="40" t="s">
        <v>54</v>
      </c>
      <c r="H730" s="9">
        <v>10.7</v>
      </c>
      <c r="I730" s="13">
        <v>104.0</v>
      </c>
      <c r="J730" s="13">
        <v>108.0</v>
      </c>
      <c r="K730" s="17">
        <f t="shared" si="5"/>
        <v>0.8494004979</v>
      </c>
      <c r="L730" s="9">
        <v>0.0</v>
      </c>
      <c r="M730" s="9" t="s">
        <v>57</v>
      </c>
      <c r="O730" s="9" t="s">
        <v>221</v>
      </c>
      <c r="P730" s="40" t="s">
        <v>1729</v>
      </c>
      <c r="Q730" s="33" t="s">
        <v>150</v>
      </c>
      <c r="R730" s="33" t="s">
        <v>2119</v>
      </c>
      <c r="S730" s="9" t="s">
        <v>638</v>
      </c>
      <c r="T730" t="str">
        <f t="shared" si="9"/>
        <v>N</v>
      </c>
      <c r="W730" s="12" t="str">
        <f t="array" ref="W730">if(and(L730=0,Q730="NA"),"NA",if(L730=0,"no lice",if(Q730="NA","no collection",index(sea_lice!G:G,match(C730,sea_lice!A:A,0)))))</f>
        <v>no lice</v>
      </c>
      <c r="X730" s="23">
        <v>729.0</v>
      </c>
    </row>
    <row r="731">
      <c r="B731" s="6">
        <v>17447.0</v>
      </c>
      <c r="C731" s="12" t="str">
        <f t="shared" si="1"/>
        <v>U17447</v>
      </c>
      <c r="D731" s="14" t="str">
        <f t="array" ref="D731">iferror(index('2018_ufns'!E:E,match(C731,'2018_ufns'!B:B,0)))</f>
        <v>P1145</v>
      </c>
      <c r="E731" s="14">
        <v>43411.0</v>
      </c>
      <c r="F731" s="40" t="s">
        <v>53</v>
      </c>
      <c r="G731" s="40" t="s">
        <v>54</v>
      </c>
      <c r="H731" s="9">
        <v>11.8</v>
      </c>
      <c r="I731" s="13">
        <v>107.0</v>
      </c>
      <c r="J731" s="13">
        <v>111.0</v>
      </c>
      <c r="K731" s="17">
        <f t="shared" si="5"/>
        <v>0.8628058299</v>
      </c>
      <c r="L731" s="9">
        <v>0.0</v>
      </c>
      <c r="M731" s="9" t="s">
        <v>57</v>
      </c>
      <c r="O731" s="9" t="s">
        <v>221</v>
      </c>
      <c r="P731" s="40" t="s">
        <v>1729</v>
      </c>
      <c r="Q731" s="33" t="s">
        <v>150</v>
      </c>
      <c r="R731" s="33" t="s">
        <v>2119</v>
      </c>
      <c r="S731" s="9" t="s">
        <v>638</v>
      </c>
      <c r="T731" t="str">
        <f t="shared" si="9"/>
        <v>N</v>
      </c>
      <c r="W731" s="12" t="str">
        <f t="array" ref="W731">if(and(L731=0,Q731="NA"),"NA",if(L731=0,"no lice",if(Q731="NA","no collection",index(sea_lice!G:G,match(C731,sea_lice!A:A,0)))))</f>
        <v>no lice</v>
      </c>
      <c r="X731" s="23">
        <v>730.0</v>
      </c>
    </row>
    <row r="732">
      <c r="B732" s="6">
        <v>17121.0</v>
      </c>
      <c r="C732" s="12" t="str">
        <f t="shared" si="1"/>
        <v>U17121</v>
      </c>
      <c r="D732" s="14" t="str">
        <f t="array" ref="D732">iferror(index('2018_ufns'!E:E,match(C732,'2018_ufns'!B:B,0)))</f>
        <v>P1113</v>
      </c>
      <c r="E732" s="14">
        <v>43411.0</v>
      </c>
      <c r="F732" s="40" t="s">
        <v>53</v>
      </c>
      <c r="G732" s="40" t="s">
        <v>54</v>
      </c>
      <c r="H732" s="9">
        <v>35.1</v>
      </c>
      <c r="I732" s="13">
        <v>143.0</v>
      </c>
      <c r="J732" s="13">
        <v>149.0</v>
      </c>
      <c r="K732" s="17">
        <f t="shared" si="5"/>
        <v>1.061080446</v>
      </c>
      <c r="L732" s="9">
        <v>0.0</v>
      </c>
      <c r="M732" s="9" t="s">
        <v>57</v>
      </c>
      <c r="N732" s="9" t="s">
        <v>2122</v>
      </c>
      <c r="O732" s="9" t="s">
        <v>638</v>
      </c>
      <c r="P732" s="40" t="s">
        <v>1729</v>
      </c>
      <c r="Q732" s="33" t="s">
        <v>150</v>
      </c>
      <c r="R732" s="33" t="s">
        <v>2119</v>
      </c>
      <c r="S732" s="9" t="s">
        <v>221</v>
      </c>
      <c r="T732" t="str">
        <f t="shared" si="9"/>
        <v>N</v>
      </c>
      <c r="W732" s="12" t="str">
        <f t="array" ref="W732">if(and(L732=0,Q732="NA"),"NA",if(L732=0,"no lice",if(Q732="NA","no collection",index(sea_lice!G:G,match(C732,sea_lice!A:A,0)))))</f>
        <v>no lice</v>
      </c>
      <c r="X732" s="23">
        <v>731.0</v>
      </c>
    </row>
    <row r="733">
      <c r="B733" s="6">
        <v>17126.0</v>
      </c>
      <c r="C733" s="12" t="str">
        <f t="shared" si="1"/>
        <v>U17126</v>
      </c>
      <c r="D733" s="14" t="str">
        <f t="array" ref="D733">iferror(index('2018_ufns'!E:E,match(C733,'2018_ufns'!B:B,0)))</f>
        <v>P1113</v>
      </c>
      <c r="E733" s="14">
        <v>43411.0</v>
      </c>
      <c r="F733" s="40" t="s">
        <v>53</v>
      </c>
      <c r="G733" s="40" t="s">
        <v>54</v>
      </c>
      <c r="H733" s="9">
        <v>24.1</v>
      </c>
      <c r="I733" s="13">
        <v>132.0</v>
      </c>
      <c r="J733" s="13">
        <v>138.0</v>
      </c>
      <c r="K733" s="17">
        <f t="shared" si="5"/>
        <v>0.9170220603</v>
      </c>
      <c r="L733" s="9">
        <v>0.0</v>
      </c>
      <c r="M733" s="9" t="s">
        <v>57</v>
      </c>
      <c r="O733" s="9" t="s">
        <v>638</v>
      </c>
      <c r="P733" s="40" t="s">
        <v>1729</v>
      </c>
      <c r="Q733" s="33" t="s">
        <v>150</v>
      </c>
      <c r="R733" s="33" t="s">
        <v>2119</v>
      </c>
      <c r="S733" s="9" t="s">
        <v>221</v>
      </c>
      <c r="T733" t="str">
        <f t="shared" si="9"/>
        <v>N</v>
      </c>
      <c r="W733" s="12" t="str">
        <f t="array" ref="W733">if(and(L733=0,Q733="NA"),"NA",if(L733=0,"no lice",if(Q733="NA","no collection",index(sea_lice!G:G,match(C733,sea_lice!A:A,0)))))</f>
        <v>no lice</v>
      </c>
      <c r="X733" s="23">
        <v>732.0</v>
      </c>
    </row>
    <row r="734">
      <c r="B734" s="6">
        <v>16832.0</v>
      </c>
      <c r="C734" s="12" t="str">
        <f t="shared" si="1"/>
        <v>U16832</v>
      </c>
      <c r="D734" s="14" t="str">
        <f t="array" ref="D734">iferror(index('2018_ufns'!E:E,match(C734,'2018_ufns'!B:B,0)))</f>
        <v>P1084</v>
      </c>
      <c r="E734" s="14">
        <v>43411.0</v>
      </c>
      <c r="F734" s="40" t="s">
        <v>53</v>
      </c>
      <c r="G734" s="40" t="s">
        <v>54</v>
      </c>
      <c r="H734" s="9">
        <v>11.3</v>
      </c>
      <c r="I734" s="13">
        <v>102.0</v>
      </c>
      <c r="J734" s="13">
        <v>106.0</v>
      </c>
      <c r="K734" s="17">
        <f t="shared" si="5"/>
        <v>0.9487697898</v>
      </c>
      <c r="L734" s="9">
        <v>0.0</v>
      </c>
      <c r="M734" s="9" t="s">
        <v>57</v>
      </c>
      <c r="O734" s="9" t="s">
        <v>638</v>
      </c>
      <c r="P734" s="40" t="s">
        <v>1729</v>
      </c>
      <c r="Q734" s="33" t="s">
        <v>150</v>
      </c>
      <c r="R734" s="33" t="s">
        <v>2119</v>
      </c>
      <c r="S734" s="9" t="s">
        <v>221</v>
      </c>
      <c r="T734" t="str">
        <f t="shared" si="9"/>
        <v>N</v>
      </c>
      <c r="W734" s="12" t="str">
        <f t="array" ref="W734">if(and(L734=0,Q734="NA"),"NA",if(L734=0,"no lice",if(Q734="NA","no collection",index(sea_lice!G:G,match(C734,sea_lice!A:A,0)))))</f>
        <v>no lice</v>
      </c>
      <c r="X734" s="23">
        <v>733.0</v>
      </c>
    </row>
    <row r="735">
      <c r="B735" s="6">
        <v>16835.0</v>
      </c>
      <c r="C735" s="12" t="str">
        <f t="shared" si="1"/>
        <v>U16835</v>
      </c>
      <c r="D735" s="14" t="str">
        <f t="array" ref="D735">iferror(index('2018_ufns'!E:E,match(C735,'2018_ufns'!B:B,0)))</f>
        <v>P1084</v>
      </c>
      <c r="E735" s="14">
        <v>43411.0</v>
      </c>
      <c r="F735" s="40" t="s">
        <v>53</v>
      </c>
      <c r="G735" s="40" t="s">
        <v>54</v>
      </c>
      <c r="H735" s="9">
        <v>9.9</v>
      </c>
      <c r="I735" s="13">
        <v>96.0</v>
      </c>
      <c r="J735" s="13">
        <v>101.0</v>
      </c>
      <c r="K735" s="17">
        <f t="shared" si="5"/>
        <v>0.9608842464</v>
      </c>
      <c r="L735" s="9">
        <v>0.0</v>
      </c>
      <c r="M735" s="9" t="s">
        <v>57</v>
      </c>
      <c r="O735" s="9" t="s">
        <v>638</v>
      </c>
      <c r="P735" s="40" t="s">
        <v>1729</v>
      </c>
      <c r="Q735" s="33" t="s">
        <v>150</v>
      </c>
      <c r="R735" s="33" t="s">
        <v>2119</v>
      </c>
      <c r="S735" s="9" t="s">
        <v>221</v>
      </c>
      <c r="T735" t="str">
        <f t="shared" si="9"/>
        <v>N</v>
      </c>
      <c r="W735" s="12" t="str">
        <f t="array" ref="W735">if(and(L735=0,Q735="NA"),"NA",if(L735=0,"no lice",if(Q735="NA","no collection",index(sea_lice!G:G,match(C735,sea_lice!A:A,0)))))</f>
        <v>no lice</v>
      </c>
      <c r="X735" s="23">
        <v>734.0</v>
      </c>
    </row>
    <row r="736">
      <c r="B736" s="6">
        <v>16837.0</v>
      </c>
      <c r="C736" s="12" t="str">
        <f t="shared" si="1"/>
        <v>U16837</v>
      </c>
      <c r="D736" s="14" t="str">
        <f t="array" ref="D736">iferror(index('2018_ufns'!E:E,match(C736,'2018_ufns'!B:B,0)))</f>
        <v>P1084</v>
      </c>
      <c r="E736" s="14">
        <v>43411.0</v>
      </c>
      <c r="F736" s="40" t="s">
        <v>53</v>
      </c>
      <c r="G736" s="40" t="s">
        <v>54</v>
      </c>
      <c r="H736" s="9">
        <v>13.9</v>
      </c>
      <c r="I736" s="13">
        <v>110.0</v>
      </c>
      <c r="J736" s="13">
        <v>115.0</v>
      </c>
      <c r="K736" s="17">
        <f t="shared" si="5"/>
        <v>0.9139475631</v>
      </c>
      <c r="L736" s="9">
        <v>1.0</v>
      </c>
      <c r="M736" s="9" t="s">
        <v>57</v>
      </c>
      <c r="O736" s="9" t="s">
        <v>638</v>
      </c>
      <c r="P736" s="40" t="s">
        <v>1729</v>
      </c>
      <c r="Q736" s="33" t="s">
        <v>150</v>
      </c>
      <c r="R736" s="33" t="s">
        <v>2119</v>
      </c>
      <c r="S736" s="9" t="s">
        <v>221</v>
      </c>
      <c r="T736" t="str">
        <f t="shared" si="9"/>
        <v>N</v>
      </c>
      <c r="W736" s="12" t="str">
        <f t="array" ref="W736">if(and(L736=0,Q736="NA"),"NA",if(L736=0,"no lice",if(Q736="NA","no collection",index(sea_lice!G:G,match(C736,sea_lice!A:A,0)))))</f>
        <v>BSL6-66</v>
      </c>
      <c r="X736" s="23">
        <v>735.0</v>
      </c>
    </row>
    <row r="737">
      <c r="B737" s="6">
        <v>16838.0</v>
      </c>
      <c r="C737" s="12" t="str">
        <f t="shared" si="1"/>
        <v>U16838</v>
      </c>
      <c r="D737" s="14" t="str">
        <f t="array" ref="D737">iferror(index('2018_ufns'!E:E,match(C737,'2018_ufns'!B:B,0)))</f>
        <v>P1084</v>
      </c>
      <c r="E737" s="14">
        <v>43411.0</v>
      </c>
      <c r="F737" s="40" t="s">
        <v>53</v>
      </c>
      <c r="G737" s="40" t="s">
        <v>54</v>
      </c>
      <c r="H737" s="9">
        <v>13.6</v>
      </c>
      <c r="I737" s="13">
        <v>110.0</v>
      </c>
      <c r="J737" s="13">
        <v>115.0</v>
      </c>
      <c r="K737" s="17">
        <f t="shared" si="5"/>
        <v>0.8942220761</v>
      </c>
      <c r="L737" s="9">
        <v>0.0</v>
      </c>
      <c r="M737" s="9" t="s">
        <v>57</v>
      </c>
      <c r="O737" s="9" t="s">
        <v>638</v>
      </c>
      <c r="P737" s="40" t="s">
        <v>1729</v>
      </c>
      <c r="Q737" s="33" t="s">
        <v>150</v>
      </c>
      <c r="R737" s="33" t="s">
        <v>2119</v>
      </c>
      <c r="S737" s="9" t="s">
        <v>221</v>
      </c>
      <c r="T737" t="str">
        <f t="shared" si="9"/>
        <v>N</v>
      </c>
      <c r="W737" s="12" t="str">
        <f t="array" ref="W737">if(and(L737=0,Q737="NA"),"NA",if(L737=0,"no lice",if(Q737="NA","no collection",index(sea_lice!G:G,match(C737,sea_lice!A:A,0)))))</f>
        <v>no lice</v>
      </c>
      <c r="X737" s="23">
        <v>736.0</v>
      </c>
    </row>
    <row r="738">
      <c r="B738" s="6">
        <v>16836.0</v>
      </c>
      <c r="C738" s="12" t="str">
        <f t="shared" si="1"/>
        <v>U16836</v>
      </c>
      <c r="D738" s="14" t="str">
        <f t="array" ref="D738">iferror(index('2018_ufns'!E:E,match(C738,'2018_ufns'!B:B,0)))</f>
        <v>P1084</v>
      </c>
      <c r="E738" s="14">
        <v>43411.0</v>
      </c>
      <c r="F738" s="40" t="s">
        <v>53</v>
      </c>
      <c r="G738" s="40" t="s">
        <v>54</v>
      </c>
      <c r="H738" s="9">
        <v>15.6</v>
      </c>
      <c r="I738" s="13">
        <v>112.0</v>
      </c>
      <c r="J738" s="13">
        <v>118.0</v>
      </c>
      <c r="K738" s="17">
        <f t="shared" si="5"/>
        <v>0.9494641614</v>
      </c>
      <c r="L738" s="9">
        <v>0.0</v>
      </c>
      <c r="M738" s="9" t="s">
        <v>57</v>
      </c>
      <c r="O738" s="9" t="s">
        <v>638</v>
      </c>
      <c r="P738" s="40" t="s">
        <v>1729</v>
      </c>
      <c r="Q738" s="33" t="s">
        <v>150</v>
      </c>
      <c r="R738" s="33" t="s">
        <v>2119</v>
      </c>
      <c r="S738" s="9" t="s">
        <v>221</v>
      </c>
      <c r="T738" t="str">
        <f t="shared" si="9"/>
        <v>N</v>
      </c>
      <c r="W738" s="12" t="str">
        <f t="array" ref="W738">if(and(L738=0,Q738="NA"),"NA",if(L738=0,"no lice",if(Q738="NA","no collection",index(sea_lice!G:G,match(C738,sea_lice!A:A,0)))))</f>
        <v>no lice</v>
      </c>
      <c r="X738" s="23">
        <v>737.0</v>
      </c>
    </row>
    <row r="739">
      <c r="B739" s="6">
        <v>16839.0</v>
      </c>
      <c r="C739" s="12" t="str">
        <f t="shared" si="1"/>
        <v>U16839</v>
      </c>
      <c r="D739" s="14" t="str">
        <f t="array" ref="D739">iferror(index('2018_ufns'!E:E,match(C739,'2018_ufns'!B:B,0)))</f>
        <v>P1084</v>
      </c>
      <c r="E739" s="14">
        <v>43411.0</v>
      </c>
      <c r="F739" s="40" t="s">
        <v>53</v>
      </c>
      <c r="G739" s="40" t="s">
        <v>54</v>
      </c>
      <c r="H739" s="9">
        <v>12.3</v>
      </c>
      <c r="I739" s="13">
        <v>104.0</v>
      </c>
      <c r="J739" s="13">
        <v>109.0</v>
      </c>
      <c r="K739" s="17">
        <f t="shared" si="5"/>
        <v>0.9497856805</v>
      </c>
      <c r="L739" s="9">
        <v>1.0</v>
      </c>
      <c r="M739" s="9" t="s">
        <v>57</v>
      </c>
      <c r="O739" s="9" t="s">
        <v>638</v>
      </c>
      <c r="P739" s="40" t="s">
        <v>1729</v>
      </c>
      <c r="Q739" s="33" t="s">
        <v>150</v>
      </c>
      <c r="R739" s="33" t="s">
        <v>2119</v>
      </c>
      <c r="S739" s="9" t="s">
        <v>221</v>
      </c>
      <c r="T739" t="str">
        <f t="shared" si="9"/>
        <v>N</v>
      </c>
      <c r="W739" s="12" t="str">
        <f t="array" ref="W739">if(and(L739=0,Q739="NA"),"NA",if(L739=0,"no lice",if(Q739="NA","no collection",index(sea_lice!G:G,match(C739,sea_lice!A:A,0)))))</f>
        <v>BSL6-67</v>
      </c>
      <c r="X739" s="23">
        <v>738.0</v>
      </c>
    </row>
    <row r="740">
      <c r="B740" s="6">
        <v>16840.0</v>
      </c>
      <c r="C740" s="12" t="str">
        <f t="shared" si="1"/>
        <v>U16840</v>
      </c>
      <c r="D740" s="14" t="str">
        <f t="array" ref="D740">iferror(index('2018_ufns'!E:E,match(C740,'2018_ufns'!B:B,0)))</f>
        <v>P1084</v>
      </c>
      <c r="E740" s="14">
        <v>43411.0</v>
      </c>
      <c r="F740" s="40" t="s">
        <v>53</v>
      </c>
      <c r="G740" s="40" t="s">
        <v>54</v>
      </c>
      <c r="H740" s="9">
        <v>10.2</v>
      </c>
      <c r="I740" s="13">
        <v>99.0</v>
      </c>
      <c r="J740" s="13">
        <v>103.0</v>
      </c>
      <c r="K740" s="17">
        <f t="shared" si="5"/>
        <v>0.9334444925</v>
      </c>
      <c r="L740" s="9">
        <v>0.0</v>
      </c>
      <c r="M740" s="9" t="s">
        <v>57</v>
      </c>
      <c r="O740" s="9" t="s">
        <v>638</v>
      </c>
      <c r="P740" s="40" t="s">
        <v>1729</v>
      </c>
      <c r="Q740" s="33" t="s">
        <v>150</v>
      </c>
      <c r="R740" s="33" t="s">
        <v>2119</v>
      </c>
      <c r="S740" s="9" t="s">
        <v>221</v>
      </c>
      <c r="T740" t="str">
        <f t="shared" si="9"/>
        <v>N</v>
      </c>
      <c r="W740" s="12" t="str">
        <f t="array" ref="W740">if(and(L740=0,Q740="NA"),"NA",if(L740=0,"no lice",if(Q740="NA","no collection",index(sea_lice!G:G,match(C740,sea_lice!A:A,0)))))</f>
        <v>no lice</v>
      </c>
      <c r="X740" s="23">
        <v>739.0</v>
      </c>
    </row>
    <row r="741">
      <c r="B741" s="6">
        <v>16833.0</v>
      </c>
      <c r="C741" s="12" t="str">
        <f t="shared" si="1"/>
        <v>U16833</v>
      </c>
      <c r="D741" s="14" t="str">
        <f t="array" ref="D741">iferror(index('2018_ufns'!E:E,match(C741,'2018_ufns'!B:B,0)))</f>
        <v>P1084</v>
      </c>
      <c r="E741" s="14">
        <v>43411.0</v>
      </c>
      <c r="F741" s="40" t="s">
        <v>53</v>
      </c>
      <c r="G741" s="40" t="s">
        <v>54</v>
      </c>
      <c r="H741" s="9">
        <v>13.3</v>
      </c>
      <c r="I741" s="13">
        <v>104.0</v>
      </c>
      <c r="J741" s="13">
        <v>110.0</v>
      </c>
      <c r="K741" s="17">
        <f t="shared" si="5"/>
        <v>0.9992486852</v>
      </c>
      <c r="L741" s="9">
        <v>0.0</v>
      </c>
      <c r="M741" s="9" t="s">
        <v>57</v>
      </c>
      <c r="O741" s="9" t="s">
        <v>638</v>
      </c>
      <c r="P741" s="40" t="s">
        <v>1729</v>
      </c>
      <c r="Q741" s="33" t="s">
        <v>150</v>
      </c>
      <c r="R741" s="33" t="s">
        <v>2119</v>
      </c>
      <c r="S741" s="9" t="s">
        <v>221</v>
      </c>
      <c r="T741" t="str">
        <f t="shared" si="9"/>
        <v>N</v>
      </c>
      <c r="W741" s="12" t="str">
        <f t="array" ref="W741">if(and(L741=0,Q741="NA"),"NA",if(L741=0,"no lice",if(Q741="NA","no collection",index(sea_lice!G:G,match(C741,sea_lice!A:A,0)))))</f>
        <v>no lice</v>
      </c>
      <c r="X741" s="23">
        <v>740.0</v>
      </c>
    </row>
    <row r="742">
      <c r="B742" s="6">
        <v>16834.0</v>
      </c>
      <c r="C742" s="12" t="str">
        <f t="shared" si="1"/>
        <v>U16834</v>
      </c>
      <c r="D742" s="14" t="str">
        <f t="array" ref="D742">iferror(index('2018_ufns'!E:E,match(C742,'2018_ufns'!B:B,0)))</f>
        <v>P1084</v>
      </c>
      <c r="E742" s="14">
        <v>43411.0</v>
      </c>
      <c r="F742" s="40" t="s">
        <v>53</v>
      </c>
      <c r="G742" s="40" t="s">
        <v>54</v>
      </c>
      <c r="H742" s="9">
        <v>14.4</v>
      </c>
      <c r="I742" s="13">
        <v>109.0</v>
      </c>
      <c r="J742" s="13">
        <v>114.0</v>
      </c>
      <c r="K742" s="17">
        <f t="shared" si="5"/>
        <v>0.9719589833</v>
      </c>
      <c r="L742" s="9">
        <v>0.0</v>
      </c>
      <c r="M742" s="9" t="s">
        <v>57</v>
      </c>
      <c r="O742" s="9" t="s">
        <v>638</v>
      </c>
      <c r="P742" s="40" t="s">
        <v>1729</v>
      </c>
      <c r="Q742" s="33" t="s">
        <v>150</v>
      </c>
      <c r="R742" s="33" t="s">
        <v>2119</v>
      </c>
      <c r="S742" s="9" t="s">
        <v>221</v>
      </c>
      <c r="T742" t="str">
        <f t="shared" si="9"/>
        <v>N</v>
      </c>
      <c r="W742" s="12" t="str">
        <f t="array" ref="W742">if(and(L742=0,Q742="NA"),"NA",if(L742=0,"no lice",if(Q742="NA","no collection",index(sea_lice!G:G,match(C742,sea_lice!A:A,0)))))</f>
        <v>no lice</v>
      </c>
      <c r="X742" s="23">
        <v>741.0</v>
      </c>
    </row>
    <row r="743">
      <c r="B743" s="6">
        <v>16831.0</v>
      </c>
      <c r="C743" s="12" t="str">
        <f t="shared" si="1"/>
        <v>U16831</v>
      </c>
      <c r="D743" s="14" t="str">
        <f t="array" ref="D743">iferror(index('2018_ufns'!E:E,match(C743,'2018_ufns'!B:B,0)))</f>
        <v>P1084</v>
      </c>
      <c r="E743" s="14">
        <v>43411.0</v>
      </c>
      <c r="F743" s="40" t="s">
        <v>53</v>
      </c>
      <c r="G743" s="40" t="s">
        <v>54</v>
      </c>
      <c r="H743" s="9">
        <v>13.9</v>
      </c>
      <c r="I743" s="13">
        <v>108.0</v>
      </c>
      <c r="J743" s="13">
        <v>113.0</v>
      </c>
      <c r="K743" s="17">
        <f t="shared" si="5"/>
        <v>0.9633397256</v>
      </c>
      <c r="L743" s="9">
        <v>0.0</v>
      </c>
      <c r="M743" s="9" t="s">
        <v>57</v>
      </c>
      <c r="O743" s="9" t="s">
        <v>638</v>
      </c>
      <c r="P743" s="40" t="s">
        <v>1729</v>
      </c>
      <c r="Q743" s="33" t="s">
        <v>150</v>
      </c>
      <c r="R743" s="33" t="s">
        <v>2119</v>
      </c>
      <c r="S743" s="9" t="s">
        <v>221</v>
      </c>
      <c r="T743" t="str">
        <f t="shared" si="9"/>
        <v>N</v>
      </c>
      <c r="W743" s="12" t="str">
        <f t="array" ref="W743">if(and(L743=0,Q743="NA"),"NA",if(L743=0,"no lice",if(Q743="NA","no collection",index(sea_lice!G:G,match(C743,sea_lice!A:A,0)))))</f>
        <v>no lice</v>
      </c>
      <c r="X743" s="23">
        <v>742.0</v>
      </c>
    </row>
    <row r="744">
      <c r="B744" s="6">
        <v>16948.0</v>
      </c>
      <c r="C744" s="12" t="str">
        <f t="shared" si="1"/>
        <v>U16948</v>
      </c>
      <c r="D744" s="14" t="str">
        <f t="array" ref="D744">iferror(index('2018_ufns'!E:E,match(C744,'2018_ufns'!B:B,0)))</f>
        <v>P1095</v>
      </c>
      <c r="E744" s="14">
        <v>43411.0</v>
      </c>
      <c r="F744" s="40" t="s">
        <v>53</v>
      </c>
      <c r="G744" s="40" t="s">
        <v>54</v>
      </c>
      <c r="H744" s="9">
        <v>17.5</v>
      </c>
      <c r="I744" s="13">
        <v>116.0</v>
      </c>
      <c r="J744" s="13">
        <v>122.0</v>
      </c>
      <c r="K744" s="17">
        <f t="shared" si="5"/>
        <v>0.9637370529</v>
      </c>
      <c r="L744" s="9">
        <v>1.0</v>
      </c>
      <c r="M744" s="9" t="s">
        <v>57</v>
      </c>
      <c r="O744" s="9" t="s">
        <v>638</v>
      </c>
      <c r="P744" s="40" t="s">
        <v>1729</v>
      </c>
      <c r="Q744" s="33" t="s">
        <v>150</v>
      </c>
      <c r="R744" s="33" t="s">
        <v>2119</v>
      </c>
      <c r="S744" s="9" t="s">
        <v>221</v>
      </c>
      <c r="T744" t="str">
        <f t="shared" si="9"/>
        <v>N</v>
      </c>
      <c r="W744" s="12" t="str">
        <f t="array" ref="W744">if(and(L744=0,Q744="NA"),"NA",if(L744=0,"no lice",if(Q744="NA","no collection",index(sea_lice!G:G,match(C744,sea_lice!A:A,0)))))</f>
        <v>BSL6-68</v>
      </c>
      <c r="X744" s="23">
        <v>743.0</v>
      </c>
    </row>
    <row r="745">
      <c r="B745" s="6">
        <v>16942.0</v>
      </c>
      <c r="C745" s="12" t="str">
        <f t="shared" si="1"/>
        <v>U16942</v>
      </c>
      <c r="D745" s="14" t="str">
        <f t="array" ref="D745">iferror(index('2018_ufns'!E:E,match(C745,'2018_ufns'!B:B,0)))</f>
        <v>P1095</v>
      </c>
      <c r="E745" s="14">
        <v>43411.0</v>
      </c>
      <c r="F745" s="40" t="s">
        <v>53</v>
      </c>
      <c r="G745" s="40" t="s">
        <v>54</v>
      </c>
      <c r="H745" s="9">
        <v>25.4</v>
      </c>
      <c r="I745" s="13">
        <v>129.0</v>
      </c>
      <c r="J745" s="13">
        <v>134.0</v>
      </c>
      <c r="K745" s="17">
        <f t="shared" si="5"/>
        <v>1.055648467</v>
      </c>
      <c r="L745" s="9">
        <v>1.0</v>
      </c>
      <c r="M745" s="9" t="s">
        <v>57</v>
      </c>
      <c r="O745" s="9" t="s">
        <v>638</v>
      </c>
      <c r="P745" s="40" t="s">
        <v>1729</v>
      </c>
      <c r="Q745" s="33" t="s">
        <v>150</v>
      </c>
      <c r="R745" s="33" t="s">
        <v>2119</v>
      </c>
      <c r="S745" s="9" t="s">
        <v>221</v>
      </c>
      <c r="T745" t="str">
        <f t="shared" si="9"/>
        <v>N</v>
      </c>
      <c r="W745" s="12" t="str">
        <f t="array" ref="W745">if(and(L745=0,Q745="NA"),"NA",if(L745=0,"no lice",if(Q745="NA","no collection",index(sea_lice!G:G,match(C745,sea_lice!A:A,0)))))</f>
        <v>BSL6-69</v>
      </c>
      <c r="X745" s="23">
        <v>744.0</v>
      </c>
    </row>
    <row r="746">
      <c r="B746" s="6">
        <v>16950.0</v>
      </c>
      <c r="C746" s="12" t="str">
        <f t="shared" si="1"/>
        <v>U16950</v>
      </c>
      <c r="D746" s="14" t="str">
        <f t="array" ref="D746">iferror(index('2018_ufns'!E:E,match(C746,'2018_ufns'!B:B,0)))</f>
        <v>P1095</v>
      </c>
      <c r="E746" s="14">
        <v>43412.0</v>
      </c>
      <c r="F746" s="40" t="s">
        <v>53</v>
      </c>
      <c r="G746" s="40" t="s">
        <v>54</v>
      </c>
      <c r="H746" s="9">
        <v>23.6</v>
      </c>
      <c r="I746" s="13">
        <v>130.0</v>
      </c>
      <c r="J746" s="13">
        <v>136.0</v>
      </c>
      <c r="K746" s="17">
        <f t="shared" si="5"/>
        <v>0.9381996743</v>
      </c>
      <c r="L746" s="9">
        <v>1.0</v>
      </c>
      <c r="M746" s="9" t="s">
        <v>57</v>
      </c>
      <c r="O746" s="9" t="s">
        <v>638</v>
      </c>
      <c r="P746" s="40" t="s">
        <v>1729</v>
      </c>
      <c r="Q746" s="33" t="s">
        <v>150</v>
      </c>
      <c r="R746" s="33" t="s">
        <v>2119</v>
      </c>
      <c r="S746" s="9" t="s">
        <v>221</v>
      </c>
      <c r="T746" t="str">
        <f t="shared" si="9"/>
        <v>N</v>
      </c>
      <c r="W746" s="12" t="str">
        <f t="array" ref="W746">if(and(L746=0,Q746="NA"),"NA",if(L746=0,"no lice",if(Q746="NA","no collection",index(sea_lice!G:G,match(C746,sea_lice!A:A,0)))))</f>
        <v>BSL6-70</v>
      </c>
      <c r="X746" s="23">
        <v>745.0</v>
      </c>
    </row>
    <row r="747">
      <c r="B747" s="6">
        <v>16944.0</v>
      </c>
      <c r="C747" s="12" t="str">
        <f t="shared" si="1"/>
        <v>U16944</v>
      </c>
      <c r="D747" s="14" t="str">
        <f t="array" ref="D747">iferror(index('2018_ufns'!E:E,match(C747,'2018_ufns'!B:B,0)))</f>
        <v>P1095</v>
      </c>
      <c r="E747" s="14">
        <v>43412.0</v>
      </c>
      <c r="F747" s="40" t="s">
        <v>53</v>
      </c>
      <c r="G747" s="40" t="s">
        <v>54</v>
      </c>
      <c r="H747" s="9">
        <v>17.6</v>
      </c>
      <c r="I747" s="13">
        <v>120.0</v>
      </c>
      <c r="J747" s="13">
        <v>125.0</v>
      </c>
      <c r="K747" s="17">
        <f t="shared" si="5"/>
        <v>0.90112</v>
      </c>
      <c r="L747" s="9">
        <v>1.0</v>
      </c>
      <c r="M747" s="9" t="s">
        <v>57</v>
      </c>
      <c r="O747" s="9" t="s">
        <v>638</v>
      </c>
      <c r="P747" s="40" t="s">
        <v>1729</v>
      </c>
      <c r="Q747" s="33" t="s">
        <v>150</v>
      </c>
      <c r="R747" s="33" t="s">
        <v>2119</v>
      </c>
      <c r="S747" s="9" t="s">
        <v>221</v>
      </c>
      <c r="T747" t="str">
        <f t="shared" si="9"/>
        <v>N</v>
      </c>
      <c r="W747" s="12" t="str">
        <f t="array" ref="W747">if(and(L747=0,Q747="NA"),"NA",if(L747=0,"no lice",if(Q747="NA","no collection",index(sea_lice!G:G,match(C747,sea_lice!A:A,0)))))</f>
        <v>BSL6-71</v>
      </c>
      <c r="X747" s="23">
        <v>746.0</v>
      </c>
    </row>
    <row r="748">
      <c r="B748" s="6">
        <v>16945.0</v>
      </c>
      <c r="C748" s="12" t="str">
        <f t="shared" si="1"/>
        <v>U16945</v>
      </c>
      <c r="D748" s="14" t="str">
        <f t="array" ref="D748">iferror(index('2018_ufns'!E:E,match(C748,'2018_ufns'!B:B,0)))</f>
        <v>P1095</v>
      </c>
      <c r="E748" s="14">
        <v>43412.0</v>
      </c>
      <c r="F748" s="40" t="s">
        <v>53</v>
      </c>
      <c r="G748" s="40" t="s">
        <v>54</v>
      </c>
      <c r="H748" s="9">
        <v>13.1</v>
      </c>
      <c r="I748" s="13">
        <v>111.0</v>
      </c>
      <c r="J748" s="13">
        <v>116.0</v>
      </c>
      <c r="K748" s="17">
        <f t="shared" si="5"/>
        <v>0.8392615523</v>
      </c>
      <c r="L748" s="9">
        <v>1.0</v>
      </c>
      <c r="M748" s="9" t="s">
        <v>57</v>
      </c>
      <c r="O748" s="9" t="s">
        <v>638</v>
      </c>
      <c r="P748" s="40" t="s">
        <v>1729</v>
      </c>
      <c r="Q748" s="33" t="s">
        <v>150</v>
      </c>
      <c r="R748" s="33" t="s">
        <v>2119</v>
      </c>
      <c r="S748" s="9" t="s">
        <v>221</v>
      </c>
      <c r="T748" t="str">
        <f t="shared" si="9"/>
        <v>N</v>
      </c>
      <c r="W748" s="12" t="str">
        <f t="array" ref="W748">if(and(L748=0,Q748="NA"),"NA",if(L748=0,"no lice",if(Q748="NA","no collection",index(sea_lice!G:G,match(C748,sea_lice!A:A,0)))))</f>
        <v>BSL6-72</v>
      </c>
      <c r="X748" s="23">
        <v>747.0</v>
      </c>
    </row>
    <row r="749">
      <c r="B749" s="6">
        <v>16947.0</v>
      </c>
      <c r="C749" s="12" t="str">
        <f t="shared" si="1"/>
        <v>U16947</v>
      </c>
      <c r="D749" s="14" t="str">
        <f t="array" ref="D749">iferror(index('2018_ufns'!E:E,match(C749,'2018_ufns'!B:B,0)))</f>
        <v>P1095</v>
      </c>
      <c r="E749" s="14">
        <v>43412.0</v>
      </c>
      <c r="F749" s="40" t="s">
        <v>53</v>
      </c>
      <c r="G749" s="40" t="s">
        <v>54</v>
      </c>
      <c r="H749" s="9">
        <v>19.2</v>
      </c>
      <c r="I749" s="13">
        <v>121.0</v>
      </c>
      <c r="J749" s="13">
        <v>127.0</v>
      </c>
      <c r="K749" s="17">
        <f t="shared" si="5"/>
        <v>0.9373247093</v>
      </c>
      <c r="L749" s="9">
        <v>0.0</v>
      </c>
      <c r="M749" s="9" t="s">
        <v>57</v>
      </c>
      <c r="O749" s="9" t="s">
        <v>638</v>
      </c>
      <c r="P749" s="40" t="s">
        <v>1729</v>
      </c>
      <c r="Q749" s="33" t="s">
        <v>150</v>
      </c>
      <c r="R749" s="33" t="s">
        <v>2119</v>
      </c>
      <c r="S749" s="9" t="s">
        <v>221</v>
      </c>
      <c r="T749" t="str">
        <f t="shared" si="9"/>
        <v>N</v>
      </c>
      <c r="W749" s="12" t="str">
        <f t="array" ref="W749">if(and(L749=0,Q749="NA"),"NA",if(L749=0,"no lice",if(Q749="NA","no collection",index(sea_lice!G:G,match(C749,sea_lice!A:A,0)))))</f>
        <v>no lice</v>
      </c>
      <c r="X749" s="23">
        <v>748.0</v>
      </c>
    </row>
    <row r="750">
      <c r="B750" s="6">
        <v>16946.0</v>
      </c>
      <c r="C750" s="12" t="str">
        <f t="shared" si="1"/>
        <v>U16946</v>
      </c>
      <c r="D750" s="14" t="str">
        <f t="array" ref="D750">iferror(index('2018_ufns'!E:E,match(C750,'2018_ufns'!B:B,0)))</f>
        <v>P1095</v>
      </c>
      <c r="E750" s="14">
        <v>43412.0</v>
      </c>
      <c r="F750" s="40" t="s">
        <v>53</v>
      </c>
      <c r="G750" s="40" t="s">
        <v>54</v>
      </c>
      <c r="H750" s="9">
        <v>17.1</v>
      </c>
      <c r="I750" s="13">
        <v>117.0</v>
      </c>
      <c r="J750" s="13">
        <v>122.0</v>
      </c>
      <c r="K750" s="17">
        <f t="shared" si="5"/>
        <v>0.9417087774</v>
      </c>
      <c r="L750" s="9">
        <v>0.0</v>
      </c>
      <c r="M750" s="9" t="s">
        <v>57</v>
      </c>
      <c r="O750" s="9" t="s">
        <v>638</v>
      </c>
      <c r="P750" s="40" t="s">
        <v>1729</v>
      </c>
      <c r="Q750" s="33" t="s">
        <v>150</v>
      </c>
      <c r="R750" s="33" t="s">
        <v>2119</v>
      </c>
      <c r="S750" s="9" t="s">
        <v>221</v>
      </c>
      <c r="T750" t="str">
        <f t="shared" si="9"/>
        <v>N</v>
      </c>
      <c r="W750" s="12" t="str">
        <f t="array" ref="W750">if(and(L750=0,Q750="NA"),"NA",if(L750=0,"no lice",if(Q750="NA","no collection",index(sea_lice!G:G,match(C750,sea_lice!A:A,0)))))</f>
        <v>no lice</v>
      </c>
      <c r="X750" s="23">
        <v>749.0</v>
      </c>
    </row>
    <row r="751">
      <c r="B751" s="6">
        <v>16949.0</v>
      </c>
      <c r="C751" s="12" t="str">
        <f t="shared" si="1"/>
        <v>U16949</v>
      </c>
      <c r="D751" s="14" t="str">
        <f t="array" ref="D751">iferror(index('2018_ufns'!E:E,match(C751,'2018_ufns'!B:B,0)))</f>
        <v>P1095</v>
      </c>
      <c r="E751" s="14">
        <v>43412.0</v>
      </c>
      <c r="F751" s="40" t="s">
        <v>53</v>
      </c>
      <c r="G751" s="40" t="s">
        <v>54</v>
      </c>
      <c r="H751" s="9">
        <v>15.5</v>
      </c>
      <c r="I751" s="13">
        <v>114.0</v>
      </c>
      <c r="J751" s="13">
        <v>120.0</v>
      </c>
      <c r="K751" s="17">
        <f t="shared" si="5"/>
        <v>0.8969907407</v>
      </c>
      <c r="L751" s="9">
        <v>0.0</v>
      </c>
      <c r="M751" s="9" t="s">
        <v>57</v>
      </c>
      <c r="O751" s="9" t="s">
        <v>638</v>
      </c>
      <c r="P751" s="40" t="s">
        <v>1729</v>
      </c>
      <c r="Q751" s="33" t="s">
        <v>150</v>
      </c>
      <c r="R751" s="33" t="s">
        <v>2119</v>
      </c>
      <c r="S751" s="9" t="s">
        <v>221</v>
      </c>
      <c r="T751" t="str">
        <f t="shared" si="9"/>
        <v>N</v>
      </c>
      <c r="W751" s="12" t="str">
        <f t="array" ref="W751">if(and(L751=0,Q751="NA"),"NA",if(L751=0,"no lice",if(Q751="NA","no collection",index(sea_lice!G:G,match(C751,sea_lice!A:A,0)))))</f>
        <v>no lice</v>
      </c>
      <c r="X751" s="23">
        <v>750.0</v>
      </c>
    </row>
    <row r="752">
      <c r="B752" s="6">
        <v>16943.0</v>
      </c>
      <c r="C752" s="12" t="str">
        <f t="shared" si="1"/>
        <v>U16943</v>
      </c>
      <c r="D752" s="14" t="str">
        <f t="array" ref="D752">iferror(index('2018_ufns'!E:E,match(C752,'2018_ufns'!B:B,0)))</f>
        <v>P1095</v>
      </c>
      <c r="E752" s="14">
        <v>43412.0</v>
      </c>
      <c r="F752" s="40" t="s">
        <v>53</v>
      </c>
      <c r="G752" s="40" t="s">
        <v>54</v>
      </c>
      <c r="H752" s="9">
        <v>16.9</v>
      </c>
      <c r="I752" s="13">
        <v>117.0</v>
      </c>
      <c r="J752" s="13">
        <v>122.0</v>
      </c>
      <c r="K752" s="17">
        <f t="shared" si="5"/>
        <v>0.9306946396</v>
      </c>
      <c r="L752" s="9">
        <v>0.0</v>
      </c>
      <c r="M752" s="9" t="s">
        <v>57</v>
      </c>
      <c r="O752" s="9" t="s">
        <v>638</v>
      </c>
      <c r="P752" s="40" t="s">
        <v>1729</v>
      </c>
      <c r="Q752" s="33" t="s">
        <v>150</v>
      </c>
      <c r="R752" s="33" t="s">
        <v>2119</v>
      </c>
      <c r="S752" s="9" t="s">
        <v>221</v>
      </c>
      <c r="T752" t="str">
        <f t="shared" si="9"/>
        <v>N</v>
      </c>
      <c r="W752" s="12" t="str">
        <f t="array" ref="W752">if(and(L752=0,Q752="NA"),"NA",if(L752=0,"no lice",if(Q752="NA","no collection",index(sea_lice!G:G,match(C752,sea_lice!A:A,0)))))</f>
        <v>no lice</v>
      </c>
      <c r="X752" s="23">
        <v>751.0</v>
      </c>
    </row>
    <row r="753">
      <c r="B753" s="6">
        <v>16941.0</v>
      </c>
      <c r="C753" s="12" t="str">
        <f t="shared" si="1"/>
        <v>U16941</v>
      </c>
      <c r="D753" s="14" t="str">
        <f t="array" ref="D753">iferror(index('2018_ufns'!E:E,match(C753,'2018_ufns'!B:B,0)))</f>
        <v>P1095</v>
      </c>
      <c r="E753" s="14">
        <v>43412.0</v>
      </c>
      <c r="F753" s="40" t="s">
        <v>53</v>
      </c>
      <c r="G753" s="40" t="s">
        <v>54</v>
      </c>
      <c r="H753" s="9">
        <v>13.6</v>
      </c>
      <c r="I753" s="13">
        <v>112.0</v>
      </c>
      <c r="J753" s="13">
        <v>115.0</v>
      </c>
      <c r="K753" s="17">
        <f t="shared" si="5"/>
        <v>0.8942220761</v>
      </c>
      <c r="L753" s="9">
        <v>1.0</v>
      </c>
      <c r="M753" s="9" t="s">
        <v>57</v>
      </c>
      <c r="O753" s="9" t="s">
        <v>638</v>
      </c>
      <c r="P753" s="40" t="s">
        <v>1729</v>
      </c>
      <c r="Q753" s="33" t="s">
        <v>150</v>
      </c>
      <c r="R753" s="33" t="s">
        <v>2119</v>
      </c>
      <c r="S753" s="9" t="s">
        <v>221</v>
      </c>
      <c r="T753" t="str">
        <f t="shared" si="9"/>
        <v>N</v>
      </c>
      <c r="W753" s="12" t="str">
        <f t="array" ref="W753">if(and(L753=0,Q753="NA"),"NA",if(L753=0,"no lice",if(Q753="NA","no collection",index(sea_lice!G:G,match(C753,sea_lice!A:A,0)))))</f>
        <v>BSL6-73</v>
      </c>
      <c r="X753" s="23">
        <v>752.0</v>
      </c>
    </row>
    <row r="754">
      <c r="B754" s="6">
        <v>17448.0</v>
      </c>
      <c r="C754" s="12" t="str">
        <f t="shared" si="1"/>
        <v>U17448</v>
      </c>
      <c r="D754" s="14" t="str">
        <f t="array" ref="D754">iferror(index('2018_ufns'!E:E,match(C754,'2018_ufns'!B:B,0)))</f>
        <v>P1145</v>
      </c>
      <c r="E754" s="14">
        <v>43413.0</v>
      </c>
      <c r="F754" s="40" t="s">
        <v>53</v>
      </c>
      <c r="G754" s="40" t="s">
        <v>54</v>
      </c>
      <c r="H754" s="9">
        <v>6.5</v>
      </c>
      <c r="I754" s="13">
        <v>86.0</v>
      </c>
      <c r="J754" s="13">
        <v>90.0</v>
      </c>
      <c r="K754" s="17">
        <f t="shared" si="5"/>
        <v>0.8916323731</v>
      </c>
      <c r="L754" s="9">
        <v>0.0</v>
      </c>
      <c r="M754" s="9" t="s">
        <v>57</v>
      </c>
      <c r="O754" s="9" t="s">
        <v>221</v>
      </c>
      <c r="P754" s="40" t="s">
        <v>1729</v>
      </c>
      <c r="Q754" s="33" t="s">
        <v>150</v>
      </c>
      <c r="R754" s="33" t="s">
        <v>2119</v>
      </c>
      <c r="S754" s="9" t="s">
        <v>638</v>
      </c>
      <c r="T754" t="str">
        <f t="shared" si="9"/>
        <v>N</v>
      </c>
      <c r="W754" s="12" t="str">
        <f t="array" ref="W754">if(and(L754=0,Q754="NA"),"NA",if(L754=0,"no lice",if(Q754="NA","no collection",index(sea_lice!G:G,match(C754,sea_lice!A:A,0)))))</f>
        <v>no lice</v>
      </c>
      <c r="X754" s="23">
        <v>753.0</v>
      </c>
    </row>
    <row r="755">
      <c r="B755" s="6">
        <v>17449.0</v>
      </c>
      <c r="C755" s="12" t="str">
        <f t="shared" si="1"/>
        <v>U17449</v>
      </c>
      <c r="D755" s="14" t="str">
        <f t="array" ref="D755">iferror(index('2018_ufns'!E:E,match(C755,'2018_ufns'!B:B,0)))</f>
        <v>P1145</v>
      </c>
      <c r="E755" s="14">
        <v>43413.0</v>
      </c>
      <c r="F755" s="40" t="s">
        <v>53</v>
      </c>
      <c r="G755" s="40" t="s">
        <v>54</v>
      </c>
      <c r="H755" s="9">
        <v>10.3</v>
      </c>
      <c r="I755" s="13">
        <v>101.0</v>
      </c>
      <c r="J755" s="13" t="s">
        <v>63</v>
      </c>
      <c r="K755" s="17" t="str">
        <f t="shared" si="5"/>
        <v/>
      </c>
      <c r="L755" s="9">
        <v>0.0</v>
      </c>
      <c r="M755" s="9" t="s">
        <v>57</v>
      </c>
      <c r="O755" s="9" t="s">
        <v>221</v>
      </c>
      <c r="P755" s="40" t="s">
        <v>1729</v>
      </c>
      <c r="Q755" s="33" t="s">
        <v>150</v>
      </c>
      <c r="R755" s="33" t="s">
        <v>2119</v>
      </c>
      <c r="S755" s="9" t="s">
        <v>638</v>
      </c>
      <c r="T755" t="str">
        <f t="shared" si="9"/>
        <v>N</v>
      </c>
      <c r="W755" s="12" t="str">
        <f t="array" ref="W755">if(and(L755=0,Q755="NA"),"NA",if(L755=0,"no lice",if(Q755="NA","no collection",index(sea_lice!G:G,match(C755,sea_lice!A:A,0)))))</f>
        <v>no lice</v>
      </c>
      <c r="X755" s="23">
        <v>754.0</v>
      </c>
    </row>
    <row r="756">
      <c r="B756" s="6">
        <v>17450.0</v>
      </c>
      <c r="C756" s="12" t="str">
        <f t="shared" si="1"/>
        <v>U17450</v>
      </c>
      <c r="D756" s="14" t="str">
        <f t="array" ref="D756">iferror(index('2018_ufns'!E:E,match(C756,'2018_ufns'!B:B,0)))</f>
        <v>P1145</v>
      </c>
      <c r="E756" s="14">
        <v>43413.0</v>
      </c>
      <c r="F756" s="40" t="s">
        <v>53</v>
      </c>
      <c r="G756" s="40" t="s">
        <v>54</v>
      </c>
      <c r="H756" s="9">
        <v>10.7</v>
      </c>
      <c r="I756" s="13">
        <v>102.0</v>
      </c>
      <c r="J756" s="13">
        <v>106.0</v>
      </c>
      <c r="K756" s="17">
        <f t="shared" si="5"/>
        <v>0.8983926328</v>
      </c>
      <c r="L756" s="9">
        <v>0.0</v>
      </c>
      <c r="M756" s="9" t="s">
        <v>57</v>
      </c>
      <c r="O756" s="9" t="s">
        <v>221</v>
      </c>
      <c r="P756" s="40" t="s">
        <v>1729</v>
      </c>
      <c r="Q756" s="33" t="s">
        <v>150</v>
      </c>
      <c r="R756" s="33" t="s">
        <v>2119</v>
      </c>
      <c r="S756" s="9" t="s">
        <v>638</v>
      </c>
      <c r="T756" t="str">
        <f t="shared" si="9"/>
        <v>N</v>
      </c>
      <c r="W756" s="12" t="str">
        <f t="array" ref="W756">if(and(L756=0,Q756="NA"),"NA",if(L756=0,"no lice",if(Q756="NA","no collection",index(sea_lice!G:G,match(C756,sea_lice!A:A,0)))))</f>
        <v>no lice</v>
      </c>
      <c r="X756" s="23">
        <v>755.0</v>
      </c>
    </row>
    <row r="757">
      <c r="B757" s="6">
        <v>16821.0</v>
      </c>
      <c r="C757" s="12" t="str">
        <f t="shared" si="1"/>
        <v>U16821</v>
      </c>
      <c r="D757" s="14" t="str">
        <f t="array" ref="D757">iferror(index('2018_ufns'!E:E,match(C757,'2018_ufns'!B:B,0)))</f>
        <v>P1083</v>
      </c>
      <c r="E757" s="14">
        <v>43413.0</v>
      </c>
      <c r="F757" s="40" t="s">
        <v>53</v>
      </c>
      <c r="G757" s="40" t="s">
        <v>54</v>
      </c>
      <c r="H757" s="9">
        <v>14.1</v>
      </c>
      <c r="I757" s="13">
        <v>111.0</v>
      </c>
      <c r="J757" s="13">
        <v>116.0</v>
      </c>
      <c r="K757" s="17">
        <f t="shared" si="5"/>
        <v>0.9033273197</v>
      </c>
      <c r="L757" s="9">
        <v>0.0</v>
      </c>
      <c r="M757" s="9" t="s">
        <v>57</v>
      </c>
      <c r="O757" s="9" t="s">
        <v>221</v>
      </c>
      <c r="P757" s="40" t="s">
        <v>1729</v>
      </c>
      <c r="Q757" s="33" t="s">
        <v>150</v>
      </c>
      <c r="R757" s="33" t="s">
        <v>2119</v>
      </c>
      <c r="S757" s="9" t="s">
        <v>638</v>
      </c>
      <c r="T757" t="str">
        <f t="shared" si="9"/>
        <v>N</v>
      </c>
      <c r="W757" s="12" t="str">
        <f t="array" ref="W757">if(and(L757=0,Q757="NA"),"NA",if(L757=0,"no lice",if(Q757="NA","no collection",index(sea_lice!G:G,match(C757,sea_lice!A:A,0)))))</f>
        <v>no lice</v>
      </c>
      <c r="X757" s="23">
        <v>756.0</v>
      </c>
    </row>
    <row r="758">
      <c r="B758" s="6">
        <v>16822.0</v>
      </c>
      <c r="C758" s="12" t="str">
        <f t="shared" si="1"/>
        <v>U16822</v>
      </c>
      <c r="D758" s="14" t="str">
        <f t="array" ref="D758">iferror(index('2018_ufns'!E:E,match(C758,'2018_ufns'!B:B,0)))</f>
        <v>P1083</v>
      </c>
      <c r="E758" s="14">
        <v>43413.0</v>
      </c>
      <c r="F758" s="40" t="s">
        <v>53</v>
      </c>
      <c r="G758" s="40" t="s">
        <v>54</v>
      </c>
      <c r="H758" s="9">
        <v>9.1</v>
      </c>
      <c r="I758" s="13">
        <v>94.0</v>
      </c>
      <c r="J758" s="13">
        <v>99.0</v>
      </c>
      <c r="K758" s="17">
        <f t="shared" si="5"/>
        <v>0.9378552384</v>
      </c>
      <c r="L758" s="9">
        <v>0.0</v>
      </c>
      <c r="M758" s="9" t="s">
        <v>57</v>
      </c>
      <c r="O758" s="9" t="s">
        <v>221</v>
      </c>
      <c r="P758" s="40" t="s">
        <v>1729</v>
      </c>
      <c r="Q758" s="33" t="s">
        <v>150</v>
      </c>
      <c r="R758" s="33" t="s">
        <v>2119</v>
      </c>
      <c r="S758" s="9" t="s">
        <v>638</v>
      </c>
      <c r="T758" t="str">
        <f t="shared" si="9"/>
        <v>N</v>
      </c>
      <c r="W758" s="12" t="str">
        <f t="array" ref="W758">if(and(L758=0,Q758="NA"),"NA",if(L758=0,"no lice",if(Q758="NA","no collection",index(sea_lice!G:G,match(C758,sea_lice!A:A,0)))))</f>
        <v>no lice</v>
      </c>
      <c r="X758" s="23">
        <v>757.0</v>
      </c>
    </row>
    <row r="759">
      <c r="B759" s="6">
        <v>16823.0</v>
      </c>
      <c r="C759" s="12" t="str">
        <f t="shared" si="1"/>
        <v>U16823</v>
      </c>
      <c r="D759" s="14" t="str">
        <f t="array" ref="D759">iferror(index('2018_ufns'!E:E,match(C759,'2018_ufns'!B:B,0)))</f>
        <v>P1083</v>
      </c>
      <c r="E759" s="14">
        <v>43413.0</v>
      </c>
      <c r="F759" s="40" t="s">
        <v>53</v>
      </c>
      <c r="G759" s="40" t="s">
        <v>54</v>
      </c>
      <c r="H759" s="9">
        <v>20.2</v>
      </c>
      <c r="I759" s="13">
        <v>125.0</v>
      </c>
      <c r="J759" s="13">
        <v>130.0</v>
      </c>
      <c r="K759" s="17">
        <f t="shared" si="5"/>
        <v>0.919435594</v>
      </c>
      <c r="L759" s="9">
        <v>0.0</v>
      </c>
      <c r="M759" s="9" t="s">
        <v>57</v>
      </c>
      <c r="O759" s="9" t="s">
        <v>221</v>
      </c>
      <c r="P759" s="40" t="s">
        <v>1729</v>
      </c>
      <c r="Q759" s="33" t="s">
        <v>150</v>
      </c>
      <c r="R759" s="33" t="s">
        <v>2119</v>
      </c>
      <c r="S759" s="9" t="s">
        <v>638</v>
      </c>
      <c r="T759" t="str">
        <f t="shared" si="9"/>
        <v>N</v>
      </c>
      <c r="W759" s="12" t="str">
        <f t="array" ref="W759">if(and(L759=0,Q759="NA"),"NA",if(L759=0,"no lice",if(Q759="NA","no collection",index(sea_lice!G:G,match(C759,sea_lice!A:A,0)))))</f>
        <v>no lice</v>
      </c>
      <c r="X759" s="23">
        <v>758.0</v>
      </c>
    </row>
    <row r="760">
      <c r="B760" s="6">
        <v>16824.0</v>
      </c>
      <c r="C760" s="12" t="str">
        <f t="shared" si="1"/>
        <v>U16824</v>
      </c>
      <c r="D760" s="14" t="str">
        <f t="array" ref="D760">iferror(index('2018_ufns'!E:E,match(C760,'2018_ufns'!B:B,0)))</f>
        <v>P1083</v>
      </c>
      <c r="E760" s="14">
        <v>43413.0</v>
      </c>
      <c r="F760" s="40" t="s">
        <v>53</v>
      </c>
      <c r="G760" s="40" t="s">
        <v>54</v>
      </c>
      <c r="H760" s="9">
        <v>9.3</v>
      </c>
      <c r="I760" s="13">
        <v>99.0</v>
      </c>
      <c r="J760" s="13">
        <v>104.0</v>
      </c>
      <c r="K760" s="17">
        <f t="shared" si="5"/>
        <v>0.8267666136</v>
      </c>
      <c r="L760" s="9">
        <v>1.0</v>
      </c>
      <c r="M760" s="9" t="s">
        <v>57</v>
      </c>
      <c r="O760" s="9" t="s">
        <v>221</v>
      </c>
      <c r="P760" s="40" t="s">
        <v>1729</v>
      </c>
      <c r="Q760" s="33" t="s">
        <v>150</v>
      </c>
      <c r="R760" s="33" t="s">
        <v>2119</v>
      </c>
      <c r="S760" s="9" t="s">
        <v>638</v>
      </c>
      <c r="T760" t="str">
        <f t="shared" si="9"/>
        <v>N</v>
      </c>
      <c r="W760" s="12" t="str">
        <f t="array" ref="W760">if(and(L760=0,Q760="NA"),"NA",if(L760=0,"no lice",if(Q760="NA","no collection",index(sea_lice!G:G,match(C760,sea_lice!A:A,0)))))</f>
        <v>BSL6-77</v>
      </c>
      <c r="X760" s="23">
        <v>759.0</v>
      </c>
    </row>
    <row r="761">
      <c r="B761" s="6">
        <v>16825.0</v>
      </c>
      <c r="C761" s="12" t="str">
        <f t="shared" si="1"/>
        <v>U16825</v>
      </c>
      <c r="D761" s="14" t="str">
        <f t="array" ref="D761">iferror(index('2018_ufns'!E:E,match(C761,'2018_ufns'!B:B,0)))</f>
        <v>P1083</v>
      </c>
      <c r="E761" s="14">
        <v>43413.0</v>
      </c>
      <c r="F761" s="40" t="s">
        <v>53</v>
      </c>
      <c r="G761" s="40" t="s">
        <v>54</v>
      </c>
      <c r="H761" s="9">
        <v>11.2</v>
      </c>
      <c r="I761" s="13">
        <v>100.0</v>
      </c>
      <c r="J761" s="13">
        <v>104.0</v>
      </c>
      <c r="K761" s="17">
        <f t="shared" si="5"/>
        <v>0.9956759217</v>
      </c>
      <c r="L761" s="9">
        <v>0.0</v>
      </c>
      <c r="M761" s="9" t="s">
        <v>57</v>
      </c>
      <c r="O761" s="9" t="s">
        <v>221</v>
      </c>
      <c r="P761" s="40" t="s">
        <v>1729</v>
      </c>
      <c r="Q761" s="33" t="s">
        <v>150</v>
      </c>
      <c r="R761" s="33" t="s">
        <v>2119</v>
      </c>
      <c r="S761" s="9" t="s">
        <v>638</v>
      </c>
      <c r="T761" t="str">
        <f t="shared" si="9"/>
        <v>N</v>
      </c>
      <c r="W761" s="12" t="str">
        <f t="array" ref="W761">if(and(L761=0,Q761="NA"),"NA",if(L761=0,"no lice",if(Q761="NA","no collection",index(sea_lice!G:G,match(C761,sea_lice!A:A,0)))))</f>
        <v>no lice</v>
      </c>
      <c r="X761" s="23">
        <v>760.0</v>
      </c>
    </row>
    <row r="762">
      <c r="B762" s="6">
        <v>16826.0</v>
      </c>
      <c r="C762" s="12" t="str">
        <f t="shared" si="1"/>
        <v>U16826</v>
      </c>
      <c r="D762" s="14" t="str">
        <f t="array" ref="D762">iferror(index('2018_ufns'!E:E,match(C762,'2018_ufns'!B:B,0)))</f>
        <v>P1083</v>
      </c>
      <c r="E762" s="14">
        <v>43413.0</v>
      </c>
      <c r="F762" s="40" t="s">
        <v>53</v>
      </c>
      <c r="G762" s="40" t="s">
        <v>54</v>
      </c>
      <c r="H762" s="9">
        <v>12.5</v>
      </c>
      <c r="I762" s="13">
        <v>105.0</v>
      </c>
      <c r="J762" s="13" t="s">
        <v>63</v>
      </c>
      <c r="K762" s="17" t="str">
        <f t="shared" si="5"/>
        <v/>
      </c>
      <c r="L762" s="9">
        <v>0.0</v>
      </c>
      <c r="M762" s="9" t="s">
        <v>57</v>
      </c>
      <c r="O762" s="9" t="s">
        <v>221</v>
      </c>
      <c r="P762" s="40" t="s">
        <v>1729</v>
      </c>
      <c r="Q762" s="33" t="s">
        <v>150</v>
      </c>
      <c r="R762" s="33" t="s">
        <v>2119</v>
      </c>
      <c r="S762" s="9" t="s">
        <v>638</v>
      </c>
      <c r="T762" t="str">
        <f t="shared" si="9"/>
        <v>N</v>
      </c>
      <c r="W762" s="12" t="str">
        <f t="array" ref="W762">if(and(L762=0,Q762="NA"),"NA",if(L762=0,"no lice",if(Q762="NA","no collection",index(sea_lice!G:G,match(C762,sea_lice!A:A,0)))))</f>
        <v>no lice</v>
      </c>
      <c r="X762" s="23">
        <v>761.0</v>
      </c>
    </row>
    <row r="763">
      <c r="B763" s="6">
        <v>16827.0</v>
      </c>
      <c r="C763" s="12" t="str">
        <f t="shared" si="1"/>
        <v>U16827</v>
      </c>
      <c r="D763" s="14" t="str">
        <f t="array" ref="D763">iferror(index('2018_ufns'!E:E,match(C763,'2018_ufns'!B:B,0)))</f>
        <v>P1083</v>
      </c>
      <c r="E763" s="14">
        <v>43413.0</v>
      </c>
      <c r="F763" s="40" t="s">
        <v>53</v>
      </c>
      <c r="G763" s="40" t="s">
        <v>54</v>
      </c>
      <c r="H763" s="9">
        <v>7.9</v>
      </c>
      <c r="I763" s="13">
        <v>94.0</v>
      </c>
      <c r="J763" s="13">
        <v>99.0</v>
      </c>
      <c r="K763" s="17">
        <f t="shared" si="5"/>
        <v>0.8141820202</v>
      </c>
      <c r="L763" s="9">
        <v>1.0</v>
      </c>
      <c r="M763" s="9" t="s">
        <v>57</v>
      </c>
      <c r="O763" s="9" t="s">
        <v>221</v>
      </c>
      <c r="P763" s="40" t="s">
        <v>1729</v>
      </c>
      <c r="Q763" s="33" t="s">
        <v>150</v>
      </c>
      <c r="R763" s="33" t="s">
        <v>2119</v>
      </c>
      <c r="S763" s="9" t="s">
        <v>638</v>
      </c>
      <c r="T763" t="str">
        <f t="shared" si="9"/>
        <v>N</v>
      </c>
      <c r="W763" s="12" t="str">
        <f t="array" ref="W763">if(and(L763=0,Q763="NA"),"NA",if(L763=0,"no lice",if(Q763="NA","no collection",index(sea_lice!G:G,match(C763,sea_lice!A:A,0)))))</f>
        <v>BSL6-79</v>
      </c>
      <c r="X763" s="23">
        <v>762.0</v>
      </c>
    </row>
    <row r="764">
      <c r="B764" s="6">
        <v>16828.0</v>
      </c>
      <c r="C764" s="12" t="str">
        <f t="shared" si="1"/>
        <v>U16828</v>
      </c>
      <c r="D764" s="14" t="str">
        <f t="array" ref="D764">iferror(index('2018_ufns'!E:E,match(C764,'2018_ufns'!B:B,0)))</f>
        <v>P1083</v>
      </c>
      <c r="E764" s="14">
        <v>43413.0</v>
      </c>
      <c r="F764" s="40" t="s">
        <v>53</v>
      </c>
      <c r="G764" s="40" t="s">
        <v>54</v>
      </c>
      <c r="H764" s="9">
        <v>13.4</v>
      </c>
      <c r="I764" s="13">
        <v>109.0</v>
      </c>
      <c r="J764" s="13">
        <v>114.0</v>
      </c>
      <c r="K764" s="17">
        <f t="shared" si="5"/>
        <v>0.9044618317</v>
      </c>
      <c r="L764" s="9">
        <v>0.0</v>
      </c>
      <c r="M764" s="9" t="s">
        <v>57</v>
      </c>
      <c r="O764" s="9" t="s">
        <v>221</v>
      </c>
      <c r="P764" s="40" t="s">
        <v>1729</v>
      </c>
      <c r="Q764" s="33" t="s">
        <v>150</v>
      </c>
      <c r="R764" s="33" t="s">
        <v>2119</v>
      </c>
      <c r="S764" s="9" t="s">
        <v>638</v>
      </c>
      <c r="T764" t="str">
        <f t="shared" si="9"/>
        <v>N</v>
      </c>
      <c r="W764" s="12" t="str">
        <f t="array" ref="W764">if(and(L764=0,Q764="NA"),"NA",if(L764=0,"no lice",if(Q764="NA","no collection",index(sea_lice!G:G,match(C764,sea_lice!A:A,0)))))</f>
        <v>no lice</v>
      </c>
      <c r="X764" s="23">
        <v>763.0</v>
      </c>
    </row>
    <row r="765">
      <c r="B765" s="6">
        <v>16829.0</v>
      </c>
      <c r="C765" s="12" t="str">
        <f t="shared" si="1"/>
        <v>U16829</v>
      </c>
      <c r="D765" s="14" t="str">
        <f t="array" ref="D765">iferror(index('2018_ufns'!E:E,match(C765,'2018_ufns'!B:B,0)))</f>
        <v>P1083</v>
      </c>
      <c r="E765" s="14">
        <v>43413.0</v>
      </c>
      <c r="F765" s="40" t="s">
        <v>53</v>
      </c>
      <c r="G765" s="40" t="s">
        <v>54</v>
      </c>
      <c r="H765" s="9">
        <v>11.8</v>
      </c>
      <c r="I765" s="13">
        <v>103.0</v>
      </c>
      <c r="J765" s="13">
        <v>108.0</v>
      </c>
      <c r="K765" s="17">
        <f t="shared" si="5"/>
        <v>0.9367220444</v>
      </c>
      <c r="L765" s="9">
        <v>0.0</v>
      </c>
      <c r="M765" s="9" t="s">
        <v>57</v>
      </c>
      <c r="O765" s="9" t="s">
        <v>221</v>
      </c>
      <c r="P765" s="40" t="s">
        <v>1729</v>
      </c>
      <c r="Q765" s="33" t="s">
        <v>150</v>
      </c>
      <c r="R765" s="33" t="s">
        <v>2119</v>
      </c>
      <c r="S765" s="9" t="s">
        <v>638</v>
      </c>
      <c r="T765" t="str">
        <f t="shared" si="9"/>
        <v>N</v>
      </c>
      <c r="W765" s="12" t="str">
        <f t="array" ref="W765">if(and(L765=0,Q765="NA"),"NA",if(L765=0,"no lice",if(Q765="NA","no collection",index(sea_lice!G:G,match(C765,sea_lice!A:A,0)))))</f>
        <v>no lice</v>
      </c>
      <c r="X765" s="23">
        <v>764.0</v>
      </c>
    </row>
    <row r="766">
      <c r="B766" s="6">
        <v>16830.0</v>
      </c>
      <c r="C766" s="12" t="str">
        <f t="shared" si="1"/>
        <v>U16830</v>
      </c>
      <c r="D766" s="14" t="str">
        <f t="array" ref="D766">iferror(index('2018_ufns'!E:E,match(C766,'2018_ufns'!B:B,0)))</f>
        <v>P1083</v>
      </c>
      <c r="E766" s="14">
        <v>43413.0</v>
      </c>
      <c r="F766" s="40" t="s">
        <v>53</v>
      </c>
      <c r="G766" s="40" t="s">
        <v>54</v>
      </c>
      <c r="H766" s="9">
        <v>11.5</v>
      </c>
      <c r="I766" s="13">
        <v>103.0</v>
      </c>
      <c r="J766" s="13">
        <v>108.0</v>
      </c>
      <c r="K766" s="17">
        <f t="shared" si="5"/>
        <v>0.9129070772</v>
      </c>
      <c r="L766" s="9">
        <v>0.0</v>
      </c>
      <c r="M766" s="9" t="s">
        <v>57</v>
      </c>
      <c r="O766" s="9" t="s">
        <v>221</v>
      </c>
      <c r="P766" s="40" t="s">
        <v>1729</v>
      </c>
      <c r="Q766" s="33" t="s">
        <v>150</v>
      </c>
      <c r="R766" s="33" t="s">
        <v>2119</v>
      </c>
      <c r="S766" s="9" t="s">
        <v>638</v>
      </c>
      <c r="T766" t="str">
        <f t="shared" si="9"/>
        <v>N</v>
      </c>
      <c r="W766" s="12" t="str">
        <f t="array" ref="W766">if(and(L766=0,Q766="NA"),"NA",if(L766=0,"no lice",if(Q766="NA","no collection",index(sea_lice!G:G,match(C766,sea_lice!A:A,0)))))</f>
        <v>no lice</v>
      </c>
      <c r="X766" s="23">
        <v>765.0</v>
      </c>
    </row>
    <row r="767">
      <c r="B767" s="6">
        <v>17051.0</v>
      </c>
      <c r="C767" s="12" t="str">
        <f t="shared" si="1"/>
        <v>U17051</v>
      </c>
      <c r="D767" s="14" t="str">
        <f t="array" ref="D767">iferror(index('2018_ufns'!E:E,match(C767,'2018_ufns'!B:B,0)))</f>
        <v>P1106</v>
      </c>
      <c r="E767" s="14">
        <v>43413.0</v>
      </c>
      <c r="F767" s="40" t="s">
        <v>53</v>
      </c>
      <c r="G767" s="40" t="s">
        <v>54</v>
      </c>
      <c r="H767" s="9">
        <v>11.5</v>
      </c>
      <c r="I767" s="13">
        <v>104.0</v>
      </c>
      <c r="J767" s="13">
        <v>109.0</v>
      </c>
      <c r="K767" s="17">
        <f t="shared" si="5"/>
        <v>0.8880110021</v>
      </c>
      <c r="L767" s="9">
        <v>0.0</v>
      </c>
      <c r="M767" s="9" t="s">
        <v>57</v>
      </c>
      <c r="O767" s="9" t="s">
        <v>221</v>
      </c>
      <c r="P767" s="40" t="s">
        <v>1729</v>
      </c>
      <c r="Q767" s="33" t="s">
        <v>150</v>
      </c>
      <c r="R767" s="33" t="s">
        <v>2119</v>
      </c>
      <c r="S767" s="9" t="s">
        <v>638</v>
      </c>
      <c r="T767" t="str">
        <f t="shared" si="9"/>
        <v>N</v>
      </c>
      <c r="W767" s="12" t="str">
        <f t="array" ref="W767">if(and(L767=0,Q767="NA"),"NA",if(L767=0,"no lice",if(Q767="NA","no collection",index(sea_lice!G:G,match(C767,sea_lice!A:A,0)))))</f>
        <v>no lice</v>
      </c>
      <c r="X767" s="23">
        <v>766.0</v>
      </c>
    </row>
    <row r="768">
      <c r="B768" s="6">
        <v>17052.0</v>
      </c>
      <c r="C768" s="12" t="str">
        <f t="shared" si="1"/>
        <v>U17052</v>
      </c>
      <c r="D768" s="14" t="str">
        <f t="array" ref="D768">iferror(index('2018_ufns'!E:E,match(C768,'2018_ufns'!B:B,0)))</f>
        <v>P1106</v>
      </c>
      <c r="E768" s="14">
        <v>43413.0</v>
      </c>
      <c r="F768" s="40" t="s">
        <v>53</v>
      </c>
      <c r="G768" s="40" t="s">
        <v>54</v>
      </c>
      <c r="H768" s="9">
        <v>15.1</v>
      </c>
      <c r="I768" s="13">
        <v>111.0</v>
      </c>
      <c r="J768" s="13">
        <v>115.0</v>
      </c>
      <c r="K768" s="17">
        <f t="shared" si="5"/>
        <v>0.992849511</v>
      </c>
      <c r="L768" s="9">
        <v>0.0</v>
      </c>
      <c r="M768" s="9" t="s">
        <v>57</v>
      </c>
      <c r="O768" s="9" t="s">
        <v>221</v>
      </c>
      <c r="P768" s="40" t="s">
        <v>1729</v>
      </c>
      <c r="Q768" s="33" t="s">
        <v>150</v>
      </c>
      <c r="R768" s="33" t="s">
        <v>2119</v>
      </c>
      <c r="S768" s="9" t="s">
        <v>638</v>
      </c>
      <c r="T768" t="str">
        <f t="shared" si="9"/>
        <v>N</v>
      </c>
      <c r="W768" s="12" t="str">
        <f t="array" ref="W768">if(and(L768=0,Q768="NA"),"NA",if(L768=0,"no lice",if(Q768="NA","no collection",index(sea_lice!G:G,match(C768,sea_lice!A:A,0)))))</f>
        <v>no lice</v>
      </c>
      <c r="X768" s="23">
        <v>767.0</v>
      </c>
    </row>
    <row r="769">
      <c r="B769" s="6">
        <v>17053.0</v>
      </c>
      <c r="C769" s="12" t="str">
        <f t="shared" si="1"/>
        <v>U17053</v>
      </c>
      <c r="D769" s="14" t="str">
        <f t="array" ref="D769">iferror(index('2018_ufns'!E:E,match(C769,'2018_ufns'!B:B,0)))</f>
        <v>P1106</v>
      </c>
      <c r="E769" s="14">
        <v>43413.0</v>
      </c>
      <c r="F769" s="40" t="s">
        <v>53</v>
      </c>
      <c r="G769" s="40" t="s">
        <v>54</v>
      </c>
      <c r="H769" s="9">
        <v>7.7</v>
      </c>
      <c r="I769" s="13">
        <v>90.0</v>
      </c>
      <c r="J769" s="13">
        <v>95.0</v>
      </c>
      <c r="K769" s="17">
        <f t="shared" si="5"/>
        <v>0.8980901006</v>
      </c>
      <c r="L769" s="9">
        <v>0.0</v>
      </c>
      <c r="M769" s="9" t="s">
        <v>57</v>
      </c>
      <c r="O769" s="9" t="s">
        <v>221</v>
      </c>
      <c r="P769" s="40" t="s">
        <v>1729</v>
      </c>
      <c r="Q769" s="33" t="s">
        <v>150</v>
      </c>
      <c r="R769" s="33" t="s">
        <v>2119</v>
      </c>
      <c r="S769" s="9" t="s">
        <v>638</v>
      </c>
      <c r="T769" t="str">
        <f t="shared" si="9"/>
        <v>N</v>
      </c>
      <c r="W769" s="12" t="str">
        <f t="array" ref="W769">if(and(L769=0,Q769="NA"),"NA",if(L769=0,"no lice",if(Q769="NA","no collection",index(sea_lice!G:G,match(C769,sea_lice!A:A,0)))))</f>
        <v>no lice</v>
      </c>
      <c r="X769" s="23">
        <v>768.0</v>
      </c>
    </row>
    <row r="770">
      <c r="B770" s="6">
        <v>17054.0</v>
      </c>
      <c r="C770" s="12" t="str">
        <f t="shared" si="1"/>
        <v>U17054</v>
      </c>
      <c r="D770" s="14" t="str">
        <f t="array" ref="D770">iferror(index('2018_ufns'!E:E,match(C770,'2018_ufns'!B:B,0)))</f>
        <v>P1106</v>
      </c>
      <c r="E770" s="14">
        <v>43413.0</v>
      </c>
      <c r="F770" s="40" t="s">
        <v>53</v>
      </c>
      <c r="G770" s="40" t="s">
        <v>54</v>
      </c>
      <c r="H770" s="9">
        <v>6.3</v>
      </c>
      <c r="I770" s="13">
        <v>86.0</v>
      </c>
      <c r="J770" s="13" t="s">
        <v>63</v>
      </c>
      <c r="K770" s="17" t="str">
        <f t="shared" si="5"/>
        <v/>
      </c>
      <c r="L770" s="9">
        <v>0.0</v>
      </c>
      <c r="M770" s="9" t="s">
        <v>57</v>
      </c>
      <c r="O770" s="9" t="s">
        <v>221</v>
      </c>
      <c r="P770" s="40" t="s">
        <v>1729</v>
      </c>
      <c r="Q770" s="33" t="s">
        <v>150</v>
      </c>
      <c r="R770" s="33" t="s">
        <v>2119</v>
      </c>
      <c r="S770" s="9" t="s">
        <v>638</v>
      </c>
      <c r="T770" t="str">
        <f t="shared" si="9"/>
        <v>N</v>
      </c>
      <c r="W770" s="12" t="str">
        <f t="array" ref="W770">if(and(L770=0,Q770="NA"),"NA",if(L770=0,"no lice",if(Q770="NA","no collection",index(sea_lice!G:G,match(C770,sea_lice!A:A,0)))))</f>
        <v>no lice</v>
      </c>
      <c r="X770" s="23">
        <v>769.0</v>
      </c>
    </row>
    <row r="771">
      <c r="B771" s="6">
        <v>17055.0</v>
      </c>
      <c r="C771" s="12" t="str">
        <f t="shared" si="1"/>
        <v>U17055</v>
      </c>
      <c r="D771" s="14" t="str">
        <f t="array" ref="D771">iferror(index('2018_ufns'!E:E,match(C771,'2018_ufns'!B:B,0)))</f>
        <v>P1106</v>
      </c>
      <c r="E771" s="14">
        <v>43413.0</v>
      </c>
      <c r="F771" s="40" t="s">
        <v>53</v>
      </c>
      <c r="G771" s="40" t="s">
        <v>54</v>
      </c>
      <c r="H771" s="9">
        <v>16.8</v>
      </c>
      <c r="I771" s="13">
        <v>120.0</v>
      </c>
      <c r="J771" s="13">
        <v>125.0</v>
      </c>
      <c r="K771" s="17">
        <f t="shared" si="5"/>
        <v>0.86016</v>
      </c>
      <c r="L771" s="9">
        <v>0.0</v>
      </c>
      <c r="M771" s="9" t="s">
        <v>57</v>
      </c>
      <c r="O771" s="9" t="s">
        <v>221</v>
      </c>
      <c r="P771" s="40" t="s">
        <v>1729</v>
      </c>
      <c r="Q771" s="33" t="s">
        <v>150</v>
      </c>
      <c r="R771" s="33" t="s">
        <v>2119</v>
      </c>
      <c r="S771" s="9" t="s">
        <v>638</v>
      </c>
      <c r="T771" t="str">
        <f t="shared" si="9"/>
        <v>N</v>
      </c>
      <c r="W771" s="12" t="str">
        <f t="array" ref="W771">if(and(L771=0,Q771="NA"),"NA",if(L771=0,"no lice",if(Q771="NA","no collection",index(sea_lice!G:G,match(C771,sea_lice!A:A,0)))))</f>
        <v>no lice</v>
      </c>
      <c r="X771" s="23">
        <v>770.0</v>
      </c>
    </row>
    <row r="772">
      <c r="B772" s="6">
        <v>17056.0</v>
      </c>
      <c r="C772" s="12" t="str">
        <f t="shared" si="1"/>
        <v>U17056</v>
      </c>
      <c r="D772" s="14" t="str">
        <f t="array" ref="D772">iferror(index('2018_ufns'!E:E,match(C772,'2018_ufns'!B:B,0)))</f>
        <v>P1106</v>
      </c>
      <c r="E772" s="14">
        <v>43413.0</v>
      </c>
      <c r="F772" s="40" t="s">
        <v>53</v>
      </c>
      <c r="G772" s="40" t="s">
        <v>54</v>
      </c>
      <c r="H772" s="9">
        <v>10.8</v>
      </c>
      <c r="I772" s="13">
        <v>99.0</v>
      </c>
      <c r="J772" s="13">
        <v>103.0</v>
      </c>
      <c r="K772" s="17">
        <f t="shared" si="5"/>
        <v>0.9883529921</v>
      </c>
      <c r="L772" s="9">
        <v>0.0</v>
      </c>
      <c r="M772" s="9" t="s">
        <v>57</v>
      </c>
      <c r="O772" s="9" t="s">
        <v>221</v>
      </c>
      <c r="P772" s="40" t="s">
        <v>1729</v>
      </c>
      <c r="Q772" s="33" t="s">
        <v>150</v>
      </c>
      <c r="R772" s="33" t="s">
        <v>2119</v>
      </c>
      <c r="S772" s="9" t="s">
        <v>638</v>
      </c>
      <c r="T772" t="str">
        <f t="shared" si="9"/>
        <v>N</v>
      </c>
      <c r="W772" s="12" t="str">
        <f t="array" ref="W772">if(and(L772=0,Q772="NA"),"NA",if(L772=0,"no lice",if(Q772="NA","no collection",index(sea_lice!G:G,match(C772,sea_lice!A:A,0)))))</f>
        <v>no lice</v>
      </c>
      <c r="X772" s="23">
        <v>771.0</v>
      </c>
    </row>
    <row r="773">
      <c r="B773" s="6">
        <v>17057.0</v>
      </c>
      <c r="C773" s="12" t="str">
        <f t="shared" si="1"/>
        <v>U17057</v>
      </c>
      <c r="D773" s="14" t="str">
        <f t="array" ref="D773">iferror(index('2018_ufns'!E:E,match(C773,'2018_ufns'!B:B,0)))</f>
        <v>P1106</v>
      </c>
      <c r="E773" s="14">
        <v>43413.0</v>
      </c>
      <c r="F773" s="40" t="s">
        <v>53</v>
      </c>
      <c r="G773" s="40" t="s">
        <v>54</v>
      </c>
      <c r="H773" s="9">
        <v>5.3</v>
      </c>
      <c r="I773" s="13">
        <v>80.0</v>
      </c>
      <c r="J773" s="13">
        <v>85.0</v>
      </c>
      <c r="K773" s="17">
        <f t="shared" si="5"/>
        <v>0.8630164869</v>
      </c>
      <c r="L773" s="9">
        <v>0.0</v>
      </c>
      <c r="M773" s="9" t="s">
        <v>57</v>
      </c>
      <c r="O773" s="9" t="s">
        <v>221</v>
      </c>
      <c r="P773" s="40" t="s">
        <v>1729</v>
      </c>
      <c r="Q773" s="33" t="s">
        <v>150</v>
      </c>
      <c r="R773" s="33" t="s">
        <v>2119</v>
      </c>
      <c r="S773" s="9" t="s">
        <v>638</v>
      </c>
      <c r="T773" t="str">
        <f t="shared" si="9"/>
        <v>N</v>
      </c>
      <c r="W773" s="12" t="str">
        <f t="array" ref="W773">if(and(L773=0,Q773="NA"),"NA",if(L773=0,"no lice",if(Q773="NA","no collection",index(sea_lice!G:G,match(C773,sea_lice!A:A,0)))))</f>
        <v>no lice</v>
      </c>
      <c r="X773" s="23">
        <v>772.0</v>
      </c>
    </row>
    <row r="774">
      <c r="B774" s="6">
        <v>17736.0</v>
      </c>
      <c r="C774" s="12" t="str">
        <f t="shared" si="1"/>
        <v>U17736</v>
      </c>
      <c r="D774" s="14" t="str">
        <f t="array" ref="D774">iferror(index('2018_ufns'!E:E,match(C774,'2018_ufns'!B:B,0)))</f>
        <v>P1174</v>
      </c>
      <c r="E774" s="14">
        <v>43413.0</v>
      </c>
      <c r="F774" s="40" t="s">
        <v>53</v>
      </c>
      <c r="G774" s="40" t="s">
        <v>54</v>
      </c>
      <c r="H774" s="9">
        <v>14.1</v>
      </c>
      <c r="I774" s="13">
        <v>108.0</v>
      </c>
      <c r="J774" s="13">
        <v>114.0</v>
      </c>
      <c r="K774" s="17">
        <f t="shared" si="5"/>
        <v>0.9517098378</v>
      </c>
      <c r="L774" s="9">
        <v>0.0</v>
      </c>
      <c r="M774" s="9" t="s">
        <v>57</v>
      </c>
      <c r="O774" s="9" t="s">
        <v>638</v>
      </c>
      <c r="P774" s="40" t="s">
        <v>1729</v>
      </c>
      <c r="Q774" s="33" t="s">
        <v>150</v>
      </c>
      <c r="R774" s="33" t="s">
        <v>2119</v>
      </c>
      <c r="S774" s="9" t="s">
        <v>221</v>
      </c>
      <c r="T774" t="str">
        <f t="shared" si="9"/>
        <v>N</v>
      </c>
      <c r="W774" s="12" t="str">
        <f t="array" ref="W774">if(and(L774=0,Q774="NA"),"NA",if(L774=0,"no lice",if(Q774="NA","no collection",index(sea_lice!G:G,match(C774,sea_lice!A:A,0)))))</f>
        <v>no lice</v>
      </c>
      <c r="X774" s="23">
        <v>773.0</v>
      </c>
    </row>
    <row r="775">
      <c r="B775" s="6">
        <v>17740.0</v>
      </c>
      <c r="C775" s="12" t="str">
        <f t="shared" si="1"/>
        <v>U17740</v>
      </c>
      <c r="D775" s="14" t="str">
        <f t="array" ref="D775">iferror(index('2018_ufns'!E:E,match(C775,'2018_ufns'!B:B,0)))</f>
        <v>P1174</v>
      </c>
      <c r="E775" s="14">
        <v>43413.0</v>
      </c>
      <c r="F775" s="40" t="s">
        <v>53</v>
      </c>
      <c r="G775" s="40" t="s">
        <v>54</v>
      </c>
      <c r="H775" s="9">
        <v>21.1</v>
      </c>
      <c r="I775" s="13">
        <v>123.0</v>
      </c>
      <c r="J775" s="13">
        <v>128.0</v>
      </c>
      <c r="K775" s="17">
        <f t="shared" si="5"/>
        <v>1.006126404</v>
      </c>
      <c r="L775" s="9">
        <v>0.0</v>
      </c>
      <c r="M775" s="9" t="s">
        <v>57</v>
      </c>
      <c r="O775" s="9" t="s">
        <v>638</v>
      </c>
      <c r="P775" s="40" t="s">
        <v>1729</v>
      </c>
      <c r="Q775" s="33" t="s">
        <v>150</v>
      </c>
      <c r="R775" s="33" t="s">
        <v>2119</v>
      </c>
      <c r="S775" s="9" t="s">
        <v>221</v>
      </c>
      <c r="T775" t="str">
        <f t="shared" si="9"/>
        <v>N</v>
      </c>
      <c r="W775" s="12" t="str">
        <f t="array" ref="W775">if(and(L775=0,Q775="NA"),"NA",if(L775=0,"no lice",if(Q775="NA","no collection",index(sea_lice!G:G,match(C775,sea_lice!A:A,0)))))</f>
        <v>no lice</v>
      </c>
      <c r="X775" s="23">
        <v>774.0</v>
      </c>
    </row>
    <row r="776">
      <c r="B776" s="6">
        <v>17734.0</v>
      </c>
      <c r="C776" s="12" t="str">
        <f t="shared" si="1"/>
        <v>U17734</v>
      </c>
      <c r="D776" s="14" t="str">
        <f t="array" ref="D776">iferror(index('2018_ufns'!E:E,match(C776,'2018_ufns'!B:B,0)))</f>
        <v>P1174</v>
      </c>
      <c r="E776" s="14">
        <v>43413.0</v>
      </c>
      <c r="F776" s="40" t="s">
        <v>53</v>
      </c>
      <c r="G776" s="40" t="s">
        <v>54</v>
      </c>
      <c r="H776" s="9">
        <v>11.7</v>
      </c>
      <c r="I776" s="13">
        <v>106.0</v>
      </c>
      <c r="J776" s="13" t="s">
        <v>63</v>
      </c>
      <c r="K776" s="17" t="str">
        <f t="shared" si="5"/>
        <v/>
      </c>
      <c r="L776" s="9">
        <v>0.0</v>
      </c>
      <c r="M776" s="9" t="s">
        <v>57</v>
      </c>
      <c r="O776" s="9" t="s">
        <v>638</v>
      </c>
      <c r="P776" s="40" t="s">
        <v>1729</v>
      </c>
      <c r="Q776" s="33" t="s">
        <v>150</v>
      </c>
      <c r="R776" s="33" t="s">
        <v>2119</v>
      </c>
      <c r="S776" s="9" t="s">
        <v>221</v>
      </c>
      <c r="T776" t="str">
        <f t="shared" si="9"/>
        <v>N</v>
      </c>
      <c r="W776" s="12" t="str">
        <f t="array" ref="W776">if(and(L776=0,Q776="NA"),"NA",if(L776=0,"no lice",if(Q776="NA","no collection",index(sea_lice!G:G,match(C776,sea_lice!A:A,0)))))</f>
        <v>no lice</v>
      </c>
      <c r="X776" s="23">
        <v>775.0</v>
      </c>
    </row>
    <row r="777">
      <c r="B777" s="6">
        <v>17735.0</v>
      </c>
      <c r="C777" s="12" t="str">
        <f t="shared" si="1"/>
        <v>U17735</v>
      </c>
      <c r="D777" s="14" t="str">
        <f t="array" ref="D777">iferror(index('2018_ufns'!E:E,match(C777,'2018_ufns'!B:B,0)))</f>
        <v>P1174</v>
      </c>
      <c r="E777" s="14">
        <v>43413.0</v>
      </c>
      <c r="F777" s="40" t="s">
        <v>53</v>
      </c>
      <c r="G777" s="40" t="s">
        <v>54</v>
      </c>
      <c r="H777" s="9">
        <v>13.2</v>
      </c>
      <c r="I777" s="13">
        <v>109.0</v>
      </c>
      <c r="J777" s="13" t="s">
        <v>63</v>
      </c>
      <c r="K777" s="17" t="str">
        <f t="shared" si="5"/>
        <v/>
      </c>
      <c r="L777" s="9">
        <v>0.0</v>
      </c>
      <c r="M777" s="9" t="s">
        <v>57</v>
      </c>
      <c r="O777" s="9" t="s">
        <v>638</v>
      </c>
      <c r="P777" s="40" t="s">
        <v>1729</v>
      </c>
      <c r="Q777" s="33" t="s">
        <v>150</v>
      </c>
      <c r="R777" s="33" t="s">
        <v>2119</v>
      </c>
      <c r="S777" s="9" t="s">
        <v>221</v>
      </c>
      <c r="T777" t="str">
        <f t="shared" si="9"/>
        <v>N</v>
      </c>
      <c r="W777" s="12" t="str">
        <f t="array" ref="W777">if(and(L777=0,Q777="NA"),"NA",if(L777=0,"no lice",if(Q777="NA","no collection",index(sea_lice!G:G,match(C777,sea_lice!A:A,0)))))</f>
        <v>no lice</v>
      </c>
      <c r="X777" s="23">
        <v>776.0</v>
      </c>
    </row>
    <row r="778">
      <c r="B778" s="6">
        <v>17737.0</v>
      </c>
      <c r="C778" s="12" t="str">
        <f t="shared" si="1"/>
        <v>U17737</v>
      </c>
      <c r="D778" s="14" t="str">
        <f t="array" ref="D778">iferror(index('2018_ufns'!E:E,match(C778,'2018_ufns'!B:B,0)))</f>
        <v>P1174</v>
      </c>
      <c r="E778" s="14">
        <v>43413.0</v>
      </c>
      <c r="F778" s="40" t="s">
        <v>53</v>
      </c>
      <c r="G778" s="40" t="s">
        <v>54</v>
      </c>
      <c r="H778" s="9">
        <v>8.2</v>
      </c>
      <c r="I778" s="13">
        <v>92.0</v>
      </c>
      <c r="J778" s="13" t="s">
        <v>63</v>
      </c>
      <c r="K778" s="17" t="str">
        <f t="shared" si="5"/>
        <v/>
      </c>
      <c r="L778" s="9">
        <v>1.0</v>
      </c>
      <c r="M778" s="9" t="s">
        <v>57</v>
      </c>
      <c r="O778" s="9" t="s">
        <v>638</v>
      </c>
      <c r="P778" s="40" t="s">
        <v>1729</v>
      </c>
      <c r="Q778" s="33" t="s">
        <v>150</v>
      </c>
      <c r="R778" s="33" t="s">
        <v>2119</v>
      </c>
      <c r="S778" s="9" t="s">
        <v>221</v>
      </c>
      <c r="T778" t="str">
        <f t="shared" si="9"/>
        <v>N</v>
      </c>
      <c r="W778" s="12" t="str">
        <f t="array" ref="W778">if(and(L778=0,Q778="NA"),"NA",if(L778=0,"no lice",if(Q778="NA","no collection",index(sea_lice!G:G,match(C778,sea_lice!A:A,0)))))</f>
        <v>BSL6-74</v>
      </c>
      <c r="X778" s="23">
        <v>777.0</v>
      </c>
    </row>
    <row r="779">
      <c r="B779" s="6">
        <v>17733.0</v>
      </c>
      <c r="C779" s="12" t="str">
        <f t="shared" si="1"/>
        <v>U17733</v>
      </c>
      <c r="D779" s="14" t="str">
        <f t="array" ref="D779">iferror(index('2018_ufns'!E:E,match(C779,'2018_ufns'!B:B,0)))</f>
        <v>P1174</v>
      </c>
      <c r="E779" s="14">
        <v>43413.0</v>
      </c>
      <c r="F779" s="40" t="s">
        <v>53</v>
      </c>
      <c r="G779" s="40" t="s">
        <v>54</v>
      </c>
      <c r="H779" s="9">
        <v>12.3</v>
      </c>
      <c r="I779" s="13">
        <v>108.0</v>
      </c>
      <c r="J779" s="13">
        <v>113.0</v>
      </c>
      <c r="K779" s="17">
        <f t="shared" si="5"/>
        <v>0.8524516996</v>
      </c>
      <c r="L779" s="9">
        <v>1.0</v>
      </c>
      <c r="M779" s="9" t="s">
        <v>57</v>
      </c>
      <c r="O779" s="9" t="s">
        <v>638</v>
      </c>
      <c r="P779" s="40" t="s">
        <v>1729</v>
      </c>
      <c r="Q779" s="33" t="s">
        <v>150</v>
      </c>
      <c r="R779" s="33" t="s">
        <v>2119</v>
      </c>
      <c r="S779" s="9" t="s">
        <v>221</v>
      </c>
      <c r="T779" t="str">
        <f t="shared" si="9"/>
        <v>N</v>
      </c>
      <c r="W779" s="12" t="str">
        <f t="array" ref="W779">if(and(L779=0,Q779="NA"),"NA",if(L779=0,"no lice",if(Q779="NA","no collection",index(sea_lice!G:G,match(C779,sea_lice!A:A,0)))))</f>
        <v>BSL6-75</v>
      </c>
      <c r="X779" s="23">
        <v>778.0</v>
      </c>
    </row>
    <row r="780">
      <c r="B780" s="6">
        <v>17731.0</v>
      </c>
      <c r="C780" s="12" t="str">
        <f t="shared" si="1"/>
        <v>U17731</v>
      </c>
      <c r="D780" s="14" t="str">
        <f t="array" ref="D780">iferror(index('2018_ufns'!E:E,match(C780,'2018_ufns'!B:B,0)))</f>
        <v>P1174</v>
      </c>
      <c r="E780" s="14">
        <v>43413.0</v>
      </c>
      <c r="F780" s="40" t="s">
        <v>53</v>
      </c>
      <c r="G780" s="40" t="s">
        <v>54</v>
      </c>
      <c r="H780" s="9">
        <v>10.2</v>
      </c>
      <c r="I780" s="13">
        <v>96.0</v>
      </c>
      <c r="J780" s="13">
        <v>101.0</v>
      </c>
      <c r="K780" s="17">
        <f t="shared" si="5"/>
        <v>0.9900019509</v>
      </c>
      <c r="L780" s="9">
        <v>1.0</v>
      </c>
      <c r="M780" s="9" t="s">
        <v>57</v>
      </c>
      <c r="O780" s="9" t="s">
        <v>638</v>
      </c>
      <c r="P780" s="40" t="s">
        <v>1729</v>
      </c>
      <c r="Q780" s="33" t="s">
        <v>150</v>
      </c>
      <c r="R780" s="33" t="s">
        <v>2119</v>
      </c>
      <c r="S780" s="9" t="s">
        <v>221</v>
      </c>
      <c r="T780" t="str">
        <f t="shared" si="9"/>
        <v>N</v>
      </c>
      <c r="W780" s="12" t="str">
        <f t="array" ref="W780">if(and(L780=0,Q780="NA"),"NA",if(L780=0,"no lice",if(Q780="NA","no collection",index(sea_lice!G:G,match(C780,sea_lice!A:A,0)))))</f>
        <v>BSL6-76</v>
      </c>
      <c r="X780" s="23">
        <v>779.0</v>
      </c>
    </row>
    <row r="781">
      <c r="B781" s="6">
        <v>17739.0</v>
      </c>
      <c r="C781" s="12" t="str">
        <f t="shared" si="1"/>
        <v>U17739</v>
      </c>
      <c r="D781" s="14" t="str">
        <f t="array" ref="D781">iferror(index('2018_ufns'!E:E,match(C781,'2018_ufns'!B:B,0)))</f>
        <v>P1174</v>
      </c>
      <c r="E781" s="14">
        <v>43413.0</v>
      </c>
      <c r="F781" s="40" t="s">
        <v>53</v>
      </c>
      <c r="G781" s="40" t="s">
        <v>54</v>
      </c>
      <c r="H781" s="9">
        <v>13.3</v>
      </c>
      <c r="I781" s="13">
        <v>107.0</v>
      </c>
      <c r="J781" s="13">
        <v>112.0</v>
      </c>
      <c r="K781" s="17">
        <f t="shared" si="5"/>
        <v>0.9466677296</v>
      </c>
      <c r="L781" s="9">
        <v>0.0</v>
      </c>
      <c r="M781" s="9" t="s">
        <v>57</v>
      </c>
      <c r="O781" s="9" t="s">
        <v>638</v>
      </c>
      <c r="P781" s="40" t="s">
        <v>1729</v>
      </c>
      <c r="Q781" s="33" t="s">
        <v>150</v>
      </c>
      <c r="R781" s="33" t="s">
        <v>2119</v>
      </c>
      <c r="S781" s="9" t="s">
        <v>221</v>
      </c>
      <c r="T781" t="str">
        <f t="shared" si="9"/>
        <v>N</v>
      </c>
      <c r="W781" s="12" t="str">
        <f t="array" ref="W781">if(and(L781=0,Q781="NA"),"NA",if(L781=0,"no lice",if(Q781="NA","no collection",index(sea_lice!G:G,match(C781,sea_lice!A:A,0)))))</f>
        <v>no lice</v>
      </c>
      <c r="X781" s="23">
        <v>780.0</v>
      </c>
    </row>
    <row r="782">
      <c r="B782" s="6">
        <v>17732.0</v>
      </c>
      <c r="C782" s="12" t="str">
        <f t="shared" si="1"/>
        <v>U17732</v>
      </c>
      <c r="D782" s="14" t="str">
        <f t="array" ref="D782">iferror(index('2018_ufns'!E:E,match(C782,'2018_ufns'!B:B,0)))</f>
        <v>P1174</v>
      </c>
      <c r="E782" s="14">
        <v>43413.0</v>
      </c>
      <c r="F782" s="40" t="s">
        <v>53</v>
      </c>
      <c r="G782" s="40" t="s">
        <v>54</v>
      </c>
      <c r="H782" s="9">
        <v>14.3</v>
      </c>
      <c r="I782" s="13">
        <v>110.0</v>
      </c>
      <c r="J782" s="13">
        <v>115.0</v>
      </c>
      <c r="K782" s="17">
        <f t="shared" si="5"/>
        <v>0.9402482124</v>
      </c>
      <c r="L782" s="9">
        <v>1.0</v>
      </c>
      <c r="M782" s="9" t="s">
        <v>57</v>
      </c>
      <c r="O782" s="9" t="s">
        <v>638</v>
      </c>
      <c r="P782" s="40" t="s">
        <v>1729</v>
      </c>
      <c r="Q782" s="33" t="s">
        <v>150</v>
      </c>
      <c r="R782" s="33" t="s">
        <v>2119</v>
      </c>
      <c r="S782" s="9" t="s">
        <v>221</v>
      </c>
      <c r="T782" t="str">
        <f t="shared" si="9"/>
        <v>N</v>
      </c>
      <c r="W782" s="12" t="str">
        <f t="array" ref="W782">if(and(L782=0,Q782="NA"),"NA",if(L782=0,"no lice",if(Q782="NA","no collection",index(sea_lice!G:G,match(C782,sea_lice!A:A,0)))))</f>
        <v>BSL6-78</v>
      </c>
      <c r="X782" s="23">
        <v>781.0</v>
      </c>
    </row>
    <row r="783">
      <c r="B783" s="6">
        <v>17738.0</v>
      </c>
      <c r="C783" s="12" t="str">
        <f t="shared" si="1"/>
        <v>U17738</v>
      </c>
      <c r="D783" s="14" t="str">
        <f t="array" ref="D783">iferror(index('2018_ufns'!E:E,match(C783,'2018_ufns'!B:B,0)))</f>
        <v>P1174</v>
      </c>
      <c r="E783" s="14">
        <v>43413.0</v>
      </c>
      <c r="F783" s="40" t="s">
        <v>53</v>
      </c>
      <c r="G783" s="40" t="s">
        <v>54</v>
      </c>
      <c r="H783" s="9">
        <v>8.9</v>
      </c>
      <c r="I783" s="13">
        <v>93.0</v>
      </c>
      <c r="J783" s="13">
        <v>97.0</v>
      </c>
      <c r="K783" s="17">
        <f t="shared" si="5"/>
        <v>0.9751575866</v>
      </c>
      <c r="L783" s="9">
        <v>0.0</v>
      </c>
      <c r="M783" s="9" t="s">
        <v>57</v>
      </c>
      <c r="O783" s="9" t="s">
        <v>638</v>
      </c>
      <c r="P783" s="40" t="s">
        <v>1729</v>
      </c>
      <c r="Q783" s="33" t="s">
        <v>150</v>
      </c>
      <c r="R783" s="33" t="s">
        <v>2119</v>
      </c>
      <c r="S783" s="9" t="s">
        <v>221</v>
      </c>
      <c r="T783" t="str">
        <f t="shared" si="9"/>
        <v>N</v>
      </c>
      <c r="W783" s="12" t="str">
        <f t="array" ref="W783">if(and(L783=0,Q783="NA"),"NA",if(L783=0,"no lice",if(Q783="NA","no collection",index(sea_lice!G:G,match(C783,sea_lice!A:A,0)))))</f>
        <v>no lice</v>
      </c>
      <c r="X783" s="23">
        <v>782.0</v>
      </c>
    </row>
    <row r="784">
      <c r="B784" s="6">
        <v>16647.0</v>
      </c>
      <c r="C784" s="12" t="str">
        <f t="shared" si="1"/>
        <v>U16647</v>
      </c>
      <c r="D784" s="14" t="str">
        <f t="array" ref="D784">iferror(index('2018_ufns'!E:E,match(C784,'2018_ufns'!B:B,0)))</f>
        <v>P1065</v>
      </c>
      <c r="E784" s="14">
        <v>43413.0</v>
      </c>
      <c r="F784" s="40" t="s">
        <v>53</v>
      </c>
      <c r="G784" s="40" t="s">
        <v>54</v>
      </c>
      <c r="H784" s="9">
        <v>12.0</v>
      </c>
      <c r="I784" s="13">
        <v>107.0</v>
      </c>
      <c r="J784" s="13">
        <v>111.0</v>
      </c>
      <c r="K784" s="17">
        <f t="shared" si="5"/>
        <v>0.8774296576</v>
      </c>
      <c r="L784" s="9">
        <v>0.0</v>
      </c>
      <c r="M784" s="9" t="s">
        <v>57</v>
      </c>
      <c r="O784" s="9" t="s">
        <v>638</v>
      </c>
      <c r="P784" s="40" t="s">
        <v>1729</v>
      </c>
      <c r="Q784" s="33" t="s">
        <v>150</v>
      </c>
      <c r="R784" s="33" t="s">
        <v>2119</v>
      </c>
      <c r="S784" s="9" t="s">
        <v>221</v>
      </c>
      <c r="T784" t="str">
        <f t="shared" si="9"/>
        <v>N</v>
      </c>
      <c r="W784" s="12" t="str">
        <f t="array" ref="W784">if(and(L784=0,Q784="NA"),"NA",if(L784=0,"no lice",if(Q784="NA","no collection",index(sea_lice!G:G,match(C784,sea_lice!A:A,0)))))</f>
        <v>no lice</v>
      </c>
      <c r="X784" s="23">
        <v>783.0</v>
      </c>
    </row>
    <row r="785">
      <c r="B785" s="6">
        <v>16646.0</v>
      </c>
      <c r="C785" s="12" t="str">
        <f t="shared" si="1"/>
        <v>U16646</v>
      </c>
      <c r="D785" s="14" t="str">
        <f t="array" ref="D785">iferror(index('2018_ufns'!E:E,match(C785,'2018_ufns'!B:B,0)))</f>
        <v>P1065</v>
      </c>
      <c r="E785" s="14">
        <v>43413.0</v>
      </c>
      <c r="F785" s="40" t="s">
        <v>53</v>
      </c>
      <c r="G785" s="40" t="s">
        <v>54</v>
      </c>
      <c r="H785" s="9">
        <v>12.7</v>
      </c>
      <c r="I785" s="13">
        <v>107.0</v>
      </c>
      <c r="J785" s="13">
        <v>112.0</v>
      </c>
      <c r="K785" s="17">
        <f t="shared" si="5"/>
        <v>0.9039609147</v>
      </c>
      <c r="L785" s="9">
        <v>0.0</v>
      </c>
      <c r="M785" s="9" t="s">
        <v>57</v>
      </c>
      <c r="O785" s="9" t="s">
        <v>638</v>
      </c>
      <c r="P785" s="40" t="s">
        <v>1729</v>
      </c>
      <c r="Q785" s="33" t="s">
        <v>150</v>
      </c>
      <c r="R785" s="33" t="s">
        <v>2119</v>
      </c>
      <c r="S785" s="9" t="s">
        <v>221</v>
      </c>
      <c r="T785" t="str">
        <f t="shared" si="9"/>
        <v>N</v>
      </c>
      <c r="W785" s="12" t="str">
        <f t="array" ref="W785">if(and(L785=0,Q785="NA"),"NA",if(L785=0,"no lice",if(Q785="NA","no collection",index(sea_lice!G:G,match(C785,sea_lice!A:A,0)))))</f>
        <v>no lice</v>
      </c>
      <c r="X785" s="23">
        <v>784.0</v>
      </c>
    </row>
    <row r="786">
      <c r="B786" s="6">
        <v>16642.0</v>
      </c>
      <c r="C786" s="12" t="str">
        <f t="shared" si="1"/>
        <v>U16642</v>
      </c>
      <c r="D786" s="14" t="str">
        <f t="array" ref="D786">iferror(index('2018_ufns'!E:E,match(C786,'2018_ufns'!B:B,0)))</f>
        <v>P1065</v>
      </c>
      <c r="E786" s="14">
        <v>43413.0</v>
      </c>
      <c r="F786" s="40" t="s">
        <v>53</v>
      </c>
      <c r="G786" s="40" t="s">
        <v>54</v>
      </c>
      <c r="H786" s="9">
        <v>12.0</v>
      </c>
      <c r="I786" s="13">
        <v>104.0</v>
      </c>
      <c r="J786" s="13" t="s">
        <v>63</v>
      </c>
      <c r="K786" s="17" t="str">
        <f t="shared" si="5"/>
        <v/>
      </c>
      <c r="L786" s="9">
        <v>1.0</v>
      </c>
      <c r="M786" s="9" t="s">
        <v>57</v>
      </c>
      <c r="O786" s="9" t="s">
        <v>638</v>
      </c>
      <c r="P786" s="40" t="s">
        <v>1729</v>
      </c>
      <c r="Q786" s="33" t="s">
        <v>150</v>
      </c>
      <c r="R786" s="33" t="s">
        <v>2119</v>
      </c>
      <c r="S786" s="9" t="s">
        <v>221</v>
      </c>
      <c r="T786" t="str">
        <f t="shared" si="9"/>
        <v>N</v>
      </c>
      <c r="W786" s="12" t="str">
        <f t="array" ref="W786">if(and(L786=0,Q786="NA"),"NA",if(L786=0,"no lice",if(Q786="NA","no collection",index(sea_lice!G:G,match(C786,sea_lice!A:A,0)))))</f>
        <v>BSL6-80</v>
      </c>
      <c r="X786" s="23">
        <v>785.0</v>
      </c>
    </row>
    <row r="787">
      <c r="B787" s="6">
        <v>16643.0</v>
      </c>
      <c r="C787" s="12" t="str">
        <f t="shared" si="1"/>
        <v>U16643</v>
      </c>
      <c r="D787" s="14" t="str">
        <f t="array" ref="D787">iferror(index('2018_ufns'!E:E,match(C787,'2018_ufns'!B:B,0)))</f>
        <v>P1065</v>
      </c>
      <c r="E787" s="14">
        <v>43413.0</v>
      </c>
      <c r="F787" s="40" t="s">
        <v>53</v>
      </c>
      <c r="G787" s="40" t="s">
        <v>54</v>
      </c>
      <c r="H787" s="9">
        <v>12.2</v>
      </c>
      <c r="I787" s="13">
        <v>105.0</v>
      </c>
      <c r="J787" s="13">
        <v>110.0</v>
      </c>
      <c r="K787" s="17">
        <f t="shared" si="5"/>
        <v>0.9166040571</v>
      </c>
      <c r="L787" s="9">
        <v>0.0</v>
      </c>
      <c r="M787" s="9" t="s">
        <v>57</v>
      </c>
      <c r="O787" s="9" t="s">
        <v>638</v>
      </c>
      <c r="P787" s="40" t="s">
        <v>1729</v>
      </c>
      <c r="Q787" s="33" t="s">
        <v>150</v>
      </c>
      <c r="R787" s="33" t="s">
        <v>2119</v>
      </c>
      <c r="S787" s="9" t="s">
        <v>221</v>
      </c>
      <c r="T787" t="str">
        <f t="shared" si="9"/>
        <v>N</v>
      </c>
      <c r="W787" s="12" t="str">
        <f t="array" ref="W787">if(and(L787=0,Q787="NA"),"NA",if(L787=0,"no lice",if(Q787="NA","no collection",index(sea_lice!G:G,match(C787,sea_lice!A:A,0)))))</f>
        <v>no lice</v>
      </c>
      <c r="X787" s="23">
        <v>786.0</v>
      </c>
    </row>
    <row r="788">
      <c r="B788" s="6">
        <v>16641.0</v>
      </c>
      <c r="C788" s="12" t="str">
        <f t="shared" si="1"/>
        <v>U16641</v>
      </c>
      <c r="D788" s="14" t="str">
        <f t="array" ref="D788">iferror(index('2018_ufns'!E:E,match(C788,'2018_ufns'!B:B,0)))</f>
        <v>P1065</v>
      </c>
      <c r="E788" s="14">
        <v>43413.0</v>
      </c>
      <c r="F788" s="40" t="s">
        <v>53</v>
      </c>
      <c r="G788" s="40" t="s">
        <v>54</v>
      </c>
      <c r="H788" s="9">
        <v>13.1</v>
      </c>
      <c r="I788" s="13">
        <v>109.0</v>
      </c>
      <c r="J788" s="13">
        <v>114.0</v>
      </c>
      <c r="K788" s="17">
        <f t="shared" si="5"/>
        <v>0.8842126862</v>
      </c>
      <c r="L788" s="9">
        <v>3.0</v>
      </c>
      <c r="M788" s="9" t="s">
        <v>57</v>
      </c>
      <c r="O788" s="9" t="s">
        <v>638</v>
      </c>
      <c r="P788" s="40" t="s">
        <v>1729</v>
      </c>
      <c r="Q788" s="33" t="s">
        <v>150</v>
      </c>
      <c r="R788" s="33" t="s">
        <v>2119</v>
      </c>
      <c r="S788" s="9" t="s">
        <v>221</v>
      </c>
      <c r="T788" t="str">
        <f t="shared" si="9"/>
        <v>N</v>
      </c>
      <c r="W788" s="12" t="str">
        <f t="array" ref="W788">if(and(L788=0,Q788="NA"),"NA",if(L788=0,"no lice",if(Q788="NA","no collection",index(sea_lice!G:G,match(C788,sea_lice!A:A,0)))))</f>
        <v>BSL6-81</v>
      </c>
      <c r="X788" s="23">
        <v>787.0</v>
      </c>
    </row>
    <row r="789">
      <c r="B789" s="6">
        <v>16648.0</v>
      </c>
      <c r="C789" s="12" t="str">
        <f t="shared" si="1"/>
        <v>U16648</v>
      </c>
      <c r="D789" s="14" t="str">
        <f t="array" ref="D789">iferror(index('2018_ufns'!E:E,match(C789,'2018_ufns'!B:B,0)))</f>
        <v>P1065</v>
      </c>
      <c r="E789" s="14">
        <v>43413.0</v>
      </c>
      <c r="F789" s="40" t="s">
        <v>53</v>
      </c>
      <c r="G789" s="40" t="s">
        <v>54</v>
      </c>
      <c r="H789" s="9">
        <v>8.1</v>
      </c>
      <c r="I789" s="13">
        <v>94.0</v>
      </c>
      <c r="J789" s="13">
        <v>98.0</v>
      </c>
      <c r="K789" s="17">
        <f t="shared" si="5"/>
        <v>0.8606107999</v>
      </c>
      <c r="L789" s="9">
        <v>0.0</v>
      </c>
      <c r="M789" s="9" t="s">
        <v>57</v>
      </c>
      <c r="O789" s="9" t="s">
        <v>638</v>
      </c>
      <c r="P789" s="40" t="s">
        <v>1729</v>
      </c>
      <c r="Q789" s="33" t="s">
        <v>150</v>
      </c>
      <c r="R789" s="33" t="s">
        <v>2119</v>
      </c>
      <c r="S789" s="9" t="s">
        <v>221</v>
      </c>
      <c r="T789" t="str">
        <f t="shared" si="9"/>
        <v>N</v>
      </c>
      <c r="W789" s="12" t="str">
        <f t="array" ref="W789">if(and(L789=0,Q789="NA"),"NA",if(L789=0,"no lice",if(Q789="NA","no collection",index(sea_lice!G:G,match(C789,sea_lice!A:A,0)))))</f>
        <v>no lice</v>
      </c>
      <c r="X789" s="23">
        <v>788.0</v>
      </c>
    </row>
    <row r="790">
      <c r="B790" s="6">
        <v>16645.0</v>
      </c>
      <c r="C790" s="12" t="str">
        <f t="shared" si="1"/>
        <v>U16645</v>
      </c>
      <c r="D790" s="14" t="str">
        <f t="array" ref="D790">iferror(index('2018_ufns'!E:E,match(C790,'2018_ufns'!B:B,0)))</f>
        <v>P1065</v>
      </c>
      <c r="E790" s="14">
        <v>43413.0</v>
      </c>
      <c r="F790" s="40" t="s">
        <v>53</v>
      </c>
      <c r="G790" s="40" t="s">
        <v>54</v>
      </c>
      <c r="H790" s="9">
        <v>10.5</v>
      </c>
      <c r="I790" s="13">
        <v>102.0</v>
      </c>
      <c r="J790" s="13">
        <v>106.0</v>
      </c>
      <c r="K790" s="17">
        <f t="shared" si="5"/>
        <v>0.8816002472</v>
      </c>
      <c r="L790" s="9">
        <v>0.0</v>
      </c>
      <c r="M790" s="9" t="s">
        <v>57</v>
      </c>
      <c r="O790" s="9" t="s">
        <v>638</v>
      </c>
      <c r="P790" s="40" t="s">
        <v>1729</v>
      </c>
      <c r="Q790" s="33" t="s">
        <v>150</v>
      </c>
      <c r="R790" s="33" t="s">
        <v>2119</v>
      </c>
      <c r="S790" s="9" t="s">
        <v>221</v>
      </c>
      <c r="T790" t="str">
        <f t="shared" si="9"/>
        <v>N</v>
      </c>
      <c r="W790" s="12" t="str">
        <f t="array" ref="W790">if(and(L790=0,Q790="NA"),"NA",if(L790=0,"no lice",if(Q790="NA","no collection",index(sea_lice!G:G,match(C790,sea_lice!A:A,0)))))</f>
        <v>no lice</v>
      </c>
      <c r="X790" s="23">
        <v>789.0</v>
      </c>
    </row>
    <row r="791">
      <c r="B791" s="6">
        <v>16644.0</v>
      </c>
      <c r="C791" s="12" t="str">
        <f t="shared" si="1"/>
        <v>U16644</v>
      </c>
      <c r="D791" s="14" t="str">
        <f t="array" ref="D791">iferror(index('2018_ufns'!E:E,match(C791,'2018_ufns'!B:B,0)))</f>
        <v>P1065</v>
      </c>
      <c r="E791" s="14">
        <v>43413.0</v>
      </c>
      <c r="F791" s="40" t="s">
        <v>53</v>
      </c>
      <c r="G791" s="40" t="s">
        <v>54</v>
      </c>
      <c r="H791" s="9">
        <v>12.9</v>
      </c>
      <c r="I791" s="13">
        <v>109.0</v>
      </c>
      <c r="J791" s="13">
        <v>113.0</v>
      </c>
      <c r="K791" s="17">
        <f t="shared" si="5"/>
        <v>0.8940347093</v>
      </c>
      <c r="L791" s="9">
        <v>0.0</v>
      </c>
      <c r="M791" s="9" t="s">
        <v>57</v>
      </c>
      <c r="O791" s="9" t="s">
        <v>638</v>
      </c>
      <c r="P791" s="40" t="s">
        <v>1729</v>
      </c>
      <c r="Q791" s="33" t="s">
        <v>150</v>
      </c>
      <c r="R791" s="33" t="s">
        <v>2119</v>
      </c>
      <c r="S791" s="9" t="s">
        <v>221</v>
      </c>
      <c r="T791" t="str">
        <f t="shared" si="9"/>
        <v>N</v>
      </c>
      <c r="W791" s="12" t="str">
        <f t="array" ref="W791">if(and(L791=0,Q791="NA"),"NA",if(L791=0,"no lice",if(Q791="NA","no collection",index(sea_lice!G:G,match(C791,sea_lice!A:A,0)))))</f>
        <v>no lice</v>
      </c>
      <c r="X791" s="23">
        <v>790.0</v>
      </c>
    </row>
    <row r="792">
      <c r="B792" s="6">
        <v>16649.0</v>
      </c>
      <c r="C792" s="12" t="str">
        <f t="shared" si="1"/>
        <v>U16649</v>
      </c>
      <c r="D792" s="14" t="str">
        <f t="array" ref="D792">iferror(index('2018_ufns'!E:E,match(C792,'2018_ufns'!B:B,0)))</f>
        <v>P1065</v>
      </c>
      <c r="E792" s="14">
        <v>43413.0</v>
      </c>
      <c r="F792" s="40" t="s">
        <v>53</v>
      </c>
      <c r="G792" s="40" t="s">
        <v>54</v>
      </c>
      <c r="H792" s="9">
        <v>11.6</v>
      </c>
      <c r="I792" s="13">
        <v>104.0</v>
      </c>
      <c r="J792" s="13">
        <v>109.0</v>
      </c>
      <c r="K792" s="17">
        <f t="shared" si="5"/>
        <v>0.8957328369</v>
      </c>
      <c r="L792" s="9">
        <v>0.0</v>
      </c>
      <c r="M792" s="9" t="s">
        <v>57</v>
      </c>
      <c r="O792" s="9" t="s">
        <v>638</v>
      </c>
      <c r="P792" s="40" t="s">
        <v>1729</v>
      </c>
      <c r="Q792" s="33" t="s">
        <v>150</v>
      </c>
      <c r="R792" s="33" t="s">
        <v>2119</v>
      </c>
      <c r="S792" s="9" t="s">
        <v>221</v>
      </c>
      <c r="T792" t="str">
        <f t="shared" si="9"/>
        <v>N</v>
      </c>
      <c r="W792" s="12" t="str">
        <f t="array" ref="W792">if(and(L792=0,Q792="NA"),"NA",if(L792=0,"no lice",if(Q792="NA","no collection",index(sea_lice!G:G,match(C792,sea_lice!A:A,0)))))</f>
        <v>no lice</v>
      </c>
      <c r="X792" s="23">
        <v>791.0</v>
      </c>
    </row>
    <row r="793">
      <c r="B793" s="6">
        <v>16650.0</v>
      </c>
      <c r="C793" s="12" t="str">
        <f t="shared" si="1"/>
        <v>U16650</v>
      </c>
      <c r="D793" s="14" t="str">
        <f t="array" ref="D793">iferror(index('2018_ufns'!E:E,match(C793,'2018_ufns'!B:B,0)))</f>
        <v>P1065</v>
      </c>
      <c r="E793" s="14">
        <v>43413.0</v>
      </c>
      <c r="F793" s="40" t="s">
        <v>53</v>
      </c>
      <c r="G793" s="40" t="s">
        <v>54</v>
      </c>
      <c r="H793" s="9">
        <v>13.1</v>
      </c>
      <c r="I793" s="13">
        <v>108.0</v>
      </c>
      <c r="J793" s="13">
        <v>113.0</v>
      </c>
      <c r="K793" s="17">
        <f t="shared" si="5"/>
        <v>0.9078957126</v>
      </c>
      <c r="L793" s="9">
        <v>0.0</v>
      </c>
      <c r="M793" s="9" t="s">
        <v>57</v>
      </c>
      <c r="O793" s="9" t="s">
        <v>638</v>
      </c>
      <c r="P793" s="40" t="s">
        <v>1729</v>
      </c>
      <c r="Q793" s="33" t="s">
        <v>150</v>
      </c>
      <c r="R793" s="33" t="s">
        <v>2119</v>
      </c>
      <c r="S793" s="9" t="s">
        <v>221</v>
      </c>
      <c r="T793" t="str">
        <f t="shared" si="9"/>
        <v>N</v>
      </c>
      <c r="W793" s="12" t="str">
        <f t="array" ref="W793">if(and(L793=0,Q793="NA"),"NA",if(L793=0,"no lice",if(Q793="NA","no collection",index(sea_lice!G:G,match(C793,sea_lice!A:A,0)))))</f>
        <v>no lice</v>
      </c>
      <c r="X793" s="23">
        <v>792.0</v>
      </c>
    </row>
    <row r="794">
      <c r="B794" s="6">
        <v>17089.0</v>
      </c>
      <c r="C794" s="12" t="str">
        <f t="shared" si="1"/>
        <v>U17089</v>
      </c>
      <c r="D794" s="14" t="str">
        <f t="array" ref="D794">iferror(index('2018_ufns'!E:E,match(C794,'2018_ufns'!B:B,0)))</f>
        <v>P1109</v>
      </c>
      <c r="E794" s="14">
        <v>43417.0</v>
      </c>
      <c r="F794" s="40" t="s">
        <v>53</v>
      </c>
      <c r="G794" s="40" t="s">
        <v>54</v>
      </c>
      <c r="H794" s="9">
        <v>9.4</v>
      </c>
      <c r="I794" s="13">
        <v>98.0</v>
      </c>
      <c r="J794" s="13">
        <v>103.0</v>
      </c>
      <c r="K794" s="17">
        <f t="shared" si="5"/>
        <v>0.8602331598</v>
      </c>
      <c r="L794" s="9">
        <v>0.0</v>
      </c>
      <c r="M794" s="9" t="s">
        <v>57</v>
      </c>
      <c r="O794" s="9" t="s">
        <v>638</v>
      </c>
      <c r="P794" s="40" t="s">
        <v>1729</v>
      </c>
      <c r="Q794" s="33" t="s">
        <v>150</v>
      </c>
      <c r="R794" s="33" t="s">
        <v>2119</v>
      </c>
      <c r="S794" s="9" t="s">
        <v>221</v>
      </c>
      <c r="T794" t="str">
        <f t="shared" si="9"/>
        <v>N</v>
      </c>
      <c r="W794" s="12" t="str">
        <f t="array" ref="W794">if(and(L794=0,Q794="NA"),"NA",if(L794=0,"no lice",if(Q794="NA","no collection",index(sea_lice!G:G,match(C794,sea_lice!A:A,0)))))</f>
        <v>no lice</v>
      </c>
      <c r="X794" s="23">
        <v>793.0</v>
      </c>
    </row>
    <row r="795">
      <c r="B795" s="6">
        <v>17090.0</v>
      </c>
      <c r="C795" s="12" t="str">
        <f t="shared" si="1"/>
        <v>U17090</v>
      </c>
      <c r="D795" s="14" t="str">
        <f t="array" ref="D795">iferror(index('2018_ufns'!E:E,match(C795,'2018_ufns'!B:B,0)))</f>
        <v>P1109</v>
      </c>
      <c r="E795" s="14">
        <v>43417.0</v>
      </c>
      <c r="F795" s="40" t="s">
        <v>53</v>
      </c>
      <c r="G795" s="40" t="s">
        <v>54</v>
      </c>
      <c r="H795" s="9">
        <v>22.8</v>
      </c>
      <c r="I795" s="13">
        <v>130.0</v>
      </c>
      <c r="J795" s="13">
        <v>135.0</v>
      </c>
      <c r="K795" s="17">
        <f t="shared" si="5"/>
        <v>0.9266880049</v>
      </c>
      <c r="L795" s="9">
        <v>0.0</v>
      </c>
      <c r="M795" s="9" t="s">
        <v>57</v>
      </c>
      <c r="O795" s="9" t="s">
        <v>638</v>
      </c>
      <c r="P795" s="40" t="s">
        <v>1729</v>
      </c>
      <c r="Q795" s="33" t="s">
        <v>150</v>
      </c>
      <c r="R795" s="33" t="s">
        <v>2119</v>
      </c>
      <c r="S795" s="9" t="s">
        <v>221</v>
      </c>
      <c r="T795" t="str">
        <f t="shared" si="9"/>
        <v>N</v>
      </c>
      <c r="W795" s="12" t="str">
        <f t="array" ref="W795">if(and(L795=0,Q795="NA"),"NA",if(L795=0,"no lice",if(Q795="NA","no collection",index(sea_lice!G:G,match(C795,sea_lice!A:A,0)))))</f>
        <v>no lice</v>
      </c>
      <c r="X795" s="23">
        <v>794.0</v>
      </c>
    </row>
    <row r="796">
      <c r="B796" s="6">
        <v>17088.0</v>
      </c>
      <c r="C796" s="12" t="str">
        <f t="shared" si="1"/>
        <v>U17088</v>
      </c>
      <c r="D796" s="14" t="str">
        <f t="array" ref="D796">iferror(index('2018_ufns'!E:E,match(C796,'2018_ufns'!B:B,0)))</f>
        <v>P1109</v>
      </c>
      <c r="E796" s="14">
        <v>43417.0</v>
      </c>
      <c r="F796" s="40" t="s">
        <v>53</v>
      </c>
      <c r="G796" s="40" t="s">
        <v>54</v>
      </c>
      <c r="H796" s="9">
        <v>6.8</v>
      </c>
      <c r="I796" s="13">
        <v>90.0</v>
      </c>
      <c r="J796" s="13">
        <v>95.0</v>
      </c>
      <c r="K796" s="17">
        <f t="shared" si="5"/>
        <v>0.7931185304</v>
      </c>
      <c r="L796" s="9">
        <v>1.0</v>
      </c>
      <c r="M796" s="9" t="s">
        <v>57</v>
      </c>
      <c r="O796" s="9" t="s">
        <v>638</v>
      </c>
      <c r="P796" s="40" t="s">
        <v>1729</v>
      </c>
      <c r="Q796" s="33" t="s">
        <v>150</v>
      </c>
      <c r="R796" s="33" t="s">
        <v>2119</v>
      </c>
      <c r="S796" s="9" t="s">
        <v>221</v>
      </c>
      <c r="T796" t="str">
        <f t="shared" si="9"/>
        <v>N</v>
      </c>
      <c r="W796" s="12" t="str">
        <f t="array" ref="W796">if(and(L796=0,Q796="NA"),"NA",if(L796=0,"no lice",if(Q796="NA","no collection",index(sea_lice!G:G,match(C796,sea_lice!A:A,0)))))</f>
        <v>BSL6-82</v>
      </c>
      <c r="X796" s="23">
        <v>795.0</v>
      </c>
    </row>
    <row r="797">
      <c r="B797" s="6">
        <v>17087.0</v>
      </c>
      <c r="C797" s="12" t="str">
        <f t="shared" si="1"/>
        <v>U17087</v>
      </c>
      <c r="D797" s="14" t="str">
        <f t="array" ref="D797">iferror(index('2018_ufns'!E:E,match(C797,'2018_ufns'!B:B,0)))</f>
        <v>P1109</v>
      </c>
      <c r="E797" s="14">
        <v>43417.0</v>
      </c>
      <c r="F797" s="40" t="s">
        <v>53</v>
      </c>
      <c r="G797" s="40" t="s">
        <v>54</v>
      </c>
      <c r="H797" s="9">
        <v>17.2</v>
      </c>
      <c r="I797" s="13">
        <v>117.0</v>
      </c>
      <c r="J797" s="13">
        <v>123.0</v>
      </c>
      <c r="K797" s="17">
        <f t="shared" si="5"/>
        <v>0.9243003396</v>
      </c>
      <c r="L797" s="9">
        <v>0.0</v>
      </c>
      <c r="M797" s="9" t="s">
        <v>57</v>
      </c>
      <c r="O797" s="9" t="s">
        <v>638</v>
      </c>
      <c r="P797" s="40" t="s">
        <v>1729</v>
      </c>
      <c r="Q797" s="33" t="s">
        <v>150</v>
      </c>
      <c r="R797" s="33" t="s">
        <v>2119</v>
      </c>
      <c r="S797" s="9" t="s">
        <v>221</v>
      </c>
      <c r="T797" t="str">
        <f t="shared" si="9"/>
        <v>N</v>
      </c>
      <c r="W797" s="12" t="str">
        <f t="array" ref="W797">if(and(L797=0,Q797="NA"),"NA",if(L797=0,"no lice",if(Q797="NA","no collection",index(sea_lice!G:G,match(C797,sea_lice!A:A,0)))))</f>
        <v>no lice</v>
      </c>
      <c r="X797" s="23">
        <v>796.0</v>
      </c>
    </row>
    <row r="798">
      <c r="B798" s="6">
        <v>17086.0</v>
      </c>
      <c r="C798" s="12" t="str">
        <f t="shared" si="1"/>
        <v>U17086</v>
      </c>
      <c r="D798" s="14" t="str">
        <f t="array" ref="D798">iferror(index('2018_ufns'!E:E,match(C798,'2018_ufns'!B:B,0)))</f>
        <v>P1109</v>
      </c>
      <c r="E798" s="14">
        <v>43417.0</v>
      </c>
      <c r="F798" s="40" t="s">
        <v>53</v>
      </c>
      <c r="G798" s="40" t="s">
        <v>54</v>
      </c>
      <c r="H798" s="9">
        <v>7.5</v>
      </c>
      <c r="I798" s="13">
        <v>92.0</v>
      </c>
      <c r="J798" s="13">
        <v>97.0</v>
      </c>
      <c r="K798" s="17">
        <f t="shared" si="5"/>
        <v>0.8217620111</v>
      </c>
      <c r="L798" s="9">
        <v>0.0</v>
      </c>
      <c r="M798" s="9" t="s">
        <v>57</v>
      </c>
      <c r="O798" s="9" t="s">
        <v>638</v>
      </c>
      <c r="P798" s="40" t="s">
        <v>1729</v>
      </c>
      <c r="Q798" s="33" t="s">
        <v>150</v>
      </c>
      <c r="R798" s="33" t="s">
        <v>2119</v>
      </c>
      <c r="S798" s="9" t="s">
        <v>221</v>
      </c>
      <c r="T798" t="str">
        <f t="shared" si="9"/>
        <v>N</v>
      </c>
      <c r="W798" s="12" t="str">
        <f t="array" ref="W798">if(and(L798=0,Q798="NA"),"NA",if(L798=0,"no lice",if(Q798="NA","no collection",index(sea_lice!G:G,match(C798,sea_lice!A:A,0)))))</f>
        <v>no lice</v>
      </c>
      <c r="X798" s="23">
        <v>797.0</v>
      </c>
    </row>
    <row r="799">
      <c r="B799" s="6">
        <v>17085.0</v>
      </c>
      <c r="C799" s="12" t="str">
        <f t="shared" si="1"/>
        <v>U17085</v>
      </c>
      <c r="D799" s="14" t="str">
        <f t="array" ref="D799">iferror(index('2018_ufns'!E:E,match(C799,'2018_ufns'!B:B,0)))</f>
        <v>P1109</v>
      </c>
      <c r="E799" s="14">
        <v>43417.0</v>
      </c>
      <c r="F799" s="40" t="s">
        <v>53</v>
      </c>
      <c r="G799" s="40" t="s">
        <v>54</v>
      </c>
      <c r="H799" s="9">
        <v>24.0</v>
      </c>
      <c r="I799" s="13">
        <v>128.0</v>
      </c>
      <c r="J799" s="13">
        <v>134.0</v>
      </c>
      <c r="K799" s="17">
        <f t="shared" si="5"/>
        <v>0.9974631188</v>
      </c>
      <c r="L799" s="9">
        <v>0.0</v>
      </c>
      <c r="M799" s="9" t="s">
        <v>57</v>
      </c>
      <c r="O799" s="9" t="s">
        <v>638</v>
      </c>
      <c r="P799" s="40" t="s">
        <v>1729</v>
      </c>
      <c r="Q799" s="33" t="s">
        <v>150</v>
      </c>
      <c r="R799" s="33" t="s">
        <v>2119</v>
      </c>
      <c r="S799" s="9" t="s">
        <v>221</v>
      </c>
      <c r="T799" t="str">
        <f t="shared" si="9"/>
        <v>N</v>
      </c>
      <c r="W799" s="12" t="str">
        <f t="array" ref="W799">if(and(L799=0,Q799="NA"),"NA",if(L799=0,"no lice",if(Q799="NA","no collection",index(sea_lice!G:G,match(C799,sea_lice!A:A,0)))))</f>
        <v>no lice</v>
      </c>
      <c r="X799" s="23">
        <v>798.0</v>
      </c>
    </row>
    <row r="800">
      <c r="B800" s="6">
        <v>17084.0</v>
      </c>
      <c r="C800" s="12" t="str">
        <f t="shared" si="1"/>
        <v>U17084</v>
      </c>
      <c r="D800" s="14" t="str">
        <f t="array" ref="D800">iferror(index('2018_ufns'!E:E,match(C800,'2018_ufns'!B:B,0)))</f>
        <v>P1109</v>
      </c>
      <c r="E800" s="14">
        <v>43417.0</v>
      </c>
      <c r="F800" s="40" t="s">
        <v>53</v>
      </c>
      <c r="G800" s="40" t="s">
        <v>54</v>
      </c>
      <c r="H800" s="9">
        <v>24.6</v>
      </c>
      <c r="I800" s="13">
        <v>131.0</v>
      </c>
      <c r="J800" s="13">
        <v>136.0</v>
      </c>
      <c r="K800" s="17">
        <f t="shared" si="5"/>
        <v>0.9779538978</v>
      </c>
      <c r="L800" s="9">
        <v>0.0</v>
      </c>
      <c r="M800" s="9" t="s">
        <v>57</v>
      </c>
      <c r="O800" s="9" t="s">
        <v>638</v>
      </c>
      <c r="P800" s="40" t="s">
        <v>1729</v>
      </c>
      <c r="Q800" s="33" t="s">
        <v>150</v>
      </c>
      <c r="R800" s="33" t="s">
        <v>2119</v>
      </c>
      <c r="S800" s="9" t="s">
        <v>221</v>
      </c>
      <c r="T800" t="str">
        <f t="shared" si="9"/>
        <v>N</v>
      </c>
      <c r="W800" s="12" t="str">
        <f t="array" ref="W800">if(and(L800=0,Q800="NA"),"NA",if(L800=0,"no lice",if(Q800="NA","no collection",index(sea_lice!G:G,match(C800,sea_lice!A:A,0)))))</f>
        <v>no lice</v>
      </c>
      <c r="X800" s="23">
        <v>799.0</v>
      </c>
    </row>
    <row r="801">
      <c r="B801" s="6">
        <v>17081.0</v>
      </c>
      <c r="C801" s="12" t="str">
        <f t="shared" si="1"/>
        <v>U17081</v>
      </c>
      <c r="D801" s="14" t="str">
        <f t="array" ref="D801">iferror(index('2018_ufns'!E:E,match(C801,'2018_ufns'!B:B,0)))</f>
        <v>P1109</v>
      </c>
      <c r="E801" s="14">
        <v>43417.0</v>
      </c>
      <c r="F801" s="40" t="s">
        <v>53</v>
      </c>
      <c r="G801" s="40" t="s">
        <v>54</v>
      </c>
      <c r="H801" s="9">
        <v>8.9</v>
      </c>
      <c r="I801" s="13">
        <v>97.0</v>
      </c>
      <c r="J801" s="13">
        <v>103.0</v>
      </c>
      <c r="K801" s="17">
        <f t="shared" si="5"/>
        <v>0.8144760768</v>
      </c>
      <c r="L801" s="9">
        <v>0.0</v>
      </c>
      <c r="M801" s="9" t="s">
        <v>57</v>
      </c>
      <c r="O801" s="9" t="s">
        <v>638</v>
      </c>
      <c r="P801" s="40" t="s">
        <v>1729</v>
      </c>
      <c r="Q801" s="33" t="s">
        <v>150</v>
      </c>
      <c r="R801" s="33" t="s">
        <v>2119</v>
      </c>
      <c r="S801" s="9" t="s">
        <v>221</v>
      </c>
      <c r="T801" t="str">
        <f t="shared" si="9"/>
        <v>N</v>
      </c>
      <c r="W801" s="12" t="str">
        <f t="array" ref="W801">if(and(L801=0,Q801="NA"),"NA",if(L801=0,"no lice",if(Q801="NA","no collection",index(sea_lice!G:G,match(C801,sea_lice!A:A,0)))))</f>
        <v>no lice</v>
      </c>
      <c r="X801" s="23">
        <v>800.0</v>
      </c>
    </row>
    <row r="802">
      <c r="B802" s="6">
        <v>17082.0</v>
      </c>
      <c r="C802" s="12" t="str">
        <f t="shared" si="1"/>
        <v>U17082</v>
      </c>
      <c r="D802" s="14" t="str">
        <f t="array" ref="D802">iferror(index('2018_ufns'!E:E,match(C802,'2018_ufns'!B:B,0)))</f>
        <v>P1109</v>
      </c>
      <c r="E802" s="14">
        <v>43417.0</v>
      </c>
      <c r="F802" s="40" t="s">
        <v>53</v>
      </c>
      <c r="G802" s="40" t="s">
        <v>54</v>
      </c>
      <c r="H802" s="9">
        <v>7.9</v>
      </c>
      <c r="I802" s="13">
        <v>90.0</v>
      </c>
      <c r="J802" s="13">
        <v>94.0</v>
      </c>
      <c r="K802" s="17">
        <f t="shared" si="5"/>
        <v>0.9511379945</v>
      </c>
      <c r="L802" s="9">
        <v>0.0</v>
      </c>
      <c r="M802" s="9" t="s">
        <v>57</v>
      </c>
      <c r="O802" s="9" t="s">
        <v>638</v>
      </c>
      <c r="P802" s="40" t="s">
        <v>1729</v>
      </c>
      <c r="Q802" s="33" t="s">
        <v>150</v>
      </c>
      <c r="R802" s="33" t="s">
        <v>2119</v>
      </c>
      <c r="S802" s="9" t="s">
        <v>221</v>
      </c>
      <c r="T802" t="str">
        <f t="shared" si="9"/>
        <v>N</v>
      </c>
      <c r="W802" s="12" t="str">
        <f t="array" ref="W802">if(and(L802=0,Q802="NA"),"NA",if(L802=0,"no lice",if(Q802="NA","no collection",index(sea_lice!G:G,match(C802,sea_lice!A:A,0)))))</f>
        <v>no lice</v>
      </c>
      <c r="X802" s="23">
        <v>801.0</v>
      </c>
    </row>
    <row r="803">
      <c r="B803" s="6">
        <v>17083.0</v>
      </c>
      <c r="C803" s="12" t="str">
        <f t="shared" si="1"/>
        <v>U17083</v>
      </c>
      <c r="D803" s="14" t="str">
        <f t="array" ref="D803">iferror(index('2018_ufns'!E:E,match(C803,'2018_ufns'!B:B,0)))</f>
        <v>P1109</v>
      </c>
      <c r="E803" s="14">
        <v>43417.0</v>
      </c>
      <c r="F803" s="40" t="s">
        <v>53</v>
      </c>
      <c r="G803" s="40" t="s">
        <v>54</v>
      </c>
      <c r="H803" s="9">
        <v>7.9</v>
      </c>
      <c r="I803" s="13">
        <v>96.0</v>
      </c>
      <c r="J803" s="13">
        <v>100.0</v>
      </c>
      <c r="K803" s="17">
        <f t="shared" si="5"/>
        <v>0.79</v>
      </c>
      <c r="L803" s="9">
        <v>0.0</v>
      </c>
      <c r="M803" s="9" t="s">
        <v>57</v>
      </c>
      <c r="O803" s="9" t="s">
        <v>638</v>
      </c>
      <c r="P803" s="40" t="s">
        <v>1729</v>
      </c>
      <c r="Q803" s="33" t="s">
        <v>150</v>
      </c>
      <c r="R803" s="33" t="s">
        <v>2119</v>
      </c>
      <c r="S803" s="9" t="s">
        <v>221</v>
      </c>
      <c r="T803" t="str">
        <f t="shared" si="9"/>
        <v>N</v>
      </c>
      <c r="W803" s="12" t="str">
        <f t="array" ref="W803">if(and(L803=0,Q803="NA"),"NA",if(L803=0,"no lice",if(Q803="NA","no collection",index(sea_lice!G:G,match(C803,sea_lice!A:A,0)))))</f>
        <v>no lice</v>
      </c>
      <c r="X803" s="23">
        <v>802.0</v>
      </c>
    </row>
    <row r="804">
      <c r="B804" s="6">
        <v>17341.0</v>
      </c>
      <c r="C804" s="12" t="str">
        <f t="shared" si="1"/>
        <v>U17341</v>
      </c>
      <c r="D804" s="14" t="str">
        <f t="array" ref="D804">iferror(index('2018_ufns'!E:E,match(C804,'2018_ufns'!B:B,0)))</f>
        <v>P1135</v>
      </c>
      <c r="E804" s="14">
        <v>43417.0</v>
      </c>
      <c r="F804" s="40" t="s">
        <v>53</v>
      </c>
      <c r="G804" s="40" t="s">
        <v>54</v>
      </c>
      <c r="H804" s="9">
        <v>8.0</v>
      </c>
      <c r="I804" s="13">
        <v>93.0</v>
      </c>
      <c r="J804" s="13" t="s">
        <v>63</v>
      </c>
      <c r="K804" s="17" t="str">
        <f t="shared" si="5"/>
        <v/>
      </c>
      <c r="L804" s="9">
        <v>0.0</v>
      </c>
      <c r="M804" s="9" t="s">
        <v>57</v>
      </c>
      <c r="O804" s="9" t="s">
        <v>638</v>
      </c>
      <c r="P804" s="40" t="s">
        <v>1729</v>
      </c>
      <c r="Q804" s="33" t="s">
        <v>150</v>
      </c>
      <c r="R804" s="33" t="s">
        <v>2119</v>
      </c>
      <c r="S804" s="9" t="s">
        <v>221</v>
      </c>
      <c r="T804" t="str">
        <f t="shared" si="9"/>
        <v>N</v>
      </c>
      <c r="W804" s="12" t="str">
        <f t="array" ref="W804">if(and(L804=0,Q804="NA"),"NA",if(L804=0,"no lice",if(Q804="NA","no collection",index(sea_lice!G:G,match(C804,sea_lice!A:A,0)))))</f>
        <v>no lice</v>
      </c>
      <c r="X804" s="23">
        <v>803.0</v>
      </c>
    </row>
    <row r="805">
      <c r="B805" s="6">
        <v>17350.0</v>
      </c>
      <c r="C805" s="12" t="str">
        <f t="shared" si="1"/>
        <v>U17350</v>
      </c>
      <c r="D805" s="14" t="str">
        <f t="array" ref="D805">iferror(index('2018_ufns'!E:E,match(C805,'2018_ufns'!B:B,0)))</f>
        <v>P1135</v>
      </c>
      <c r="E805" s="14">
        <v>43417.0</v>
      </c>
      <c r="F805" s="40" t="s">
        <v>53</v>
      </c>
      <c r="G805" s="40" t="s">
        <v>54</v>
      </c>
      <c r="H805" s="9">
        <v>16.6</v>
      </c>
      <c r="I805" s="13">
        <v>112.0</v>
      </c>
      <c r="J805" s="13" t="s">
        <v>63</v>
      </c>
      <c r="K805" s="17" t="str">
        <f t="shared" si="5"/>
        <v/>
      </c>
      <c r="L805" s="9">
        <v>0.0</v>
      </c>
      <c r="M805" s="9" t="s">
        <v>57</v>
      </c>
      <c r="O805" s="9" t="s">
        <v>638</v>
      </c>
      <c r="P805" s="40" t="s">
        <v>1729</v>
      </c>
      <c r="Q805" s="33" t="s">
        <v>150</v>
      </c>
      <c r="R805" s="33" t="s">
        <v>2119</v>
      </c>
      <c r="S805" s="9" t="s">
        <v>221</v>
      </c>
      <c r="T805" t="str">
        <f t="shared" si="9"/>
        <v>N</v>
      </c>
      <c r="W805" s="12" t="str">
        <f t="array" ref="W805">if(and(L805=0,Q805="NA"),"NA",if(L805=0,"no lice",if(Q805="NA","no collection",index(sea_lice!G:G,match(C805,sea_lice!A:A,0)))))</f>
        <v>no lice</v>
      </c>
      <c r="X805" s="23">
        <v>804.0</v>
      </c>
    </row>
    <row r="806">
      <c r="B806" s="6">
        <v>17348.0</v>
      </c>
      <c r="C806" s="12" t="str">
        <f t="shared" si="1"/>
        <v>U17348</v>
      </c>
      <c r="D806" s="14" t="str">
        <f t="array" ref="D806">iferror(index('2018_ufns'!E:E,match(C806,'2018_ufns'!B:B,0)))</f>
        <v>P1135</v>
      </c>
      <c r="E806" s="14">
        <v>43417.0</v>
      </c>
      <c r="F806" s="40" t="s">
        <v>53</v>
      </c>
      <c r="G806" s="40" t="s">
        <v>54</v>
      </c>
      <c r="H806" s="9">
        <v>8.9</v>
      </c>
      <c r="I806" s="13">
        <v>95.0</v>
      </c>
      <c r="J806" s="13">
        <v>100.0</v>
      </c>
      <c r="K806" s="17">
        <f t="shared" si="5"/>
        <v>0.89</v>
      </c>
      <c r="L806" s="9">
        <v>0.0</v>
      </c>
      <c r="M806" s="9" t="s">
        <v>57</v>
      </c>
      <c r="O806" s="9" t="s">
        <v>638</v>
      </c>
      <c r="P806" s="40" t="s">
        <v>1729</v>
      </c>
      <c r="Q806" s="33" t="s">
        <v>150</v>
      </c>
      <c r="R806" s="33" t="s">
        <v>2119</v>
      </c>
      <c r="S806" s="9" t="s">
        <v>221</v>
      </c>
      <c r="T806" t="str">
        <f t="shared" si="9"/>
        <v>N</v>
      </c>
      <c r="W806" s="12" t="str">
        <f t="array" ref="W806">if(and(L806=0,Q806="NA"),"NA",if(L806=0,"no lice",if(Q806="NA","no collection",index(sea_lice!G:G,match(C806,sea_lice!A:A,0)))))</f>
        <v>no lice</v>
      </c>
      <c r="X806" s="23">
        <v>805.0</v>
      </c>
    </row>
    <row r="807">
      <c r="B807" s="6">
        <v>17347.0</v>
      </c>
      <c r="C807" s="12" t="str">
        <f t="shared" si="1"/>
        <v>U17347</v>
      </c>
      <c r="D807" s="14" t="str">
        <f t="array" ref="D807">iferror(index('2018_ufns'!E:E,match(C807,'2018_ufns'!B:B,0)))</f>
        <v>P1135</v>
      </c>
      <c r="E807" s="14">
        <v>43417.0</v>
      </c>
      <c r="F807" s="40" t="s">
        <v>53</v>
      </c>
      <c r="G807" s="40" t="s">
        <v>54</v>
      </c>
      <c r="H807" s="9">
        <v>5.3</v>
      </c>
      <c r="I807" s="13">
        <v>86.0</v>
      </c>
      <c r="J807" s="13">
        <v>90.0</v>
      </c>
      <c r="K807" s="17">
        <f t="shared" si="5"/>
        <v>0.7270233196</v>
      </c>
      <c r="L807" s="9">
        <v>1.0</v>
      </c>
      <c r="M807" s="9" t="s">
        <v>57</v>
      </c>
      <c r="O807" s="9" t="s">
        <v>638</v>
      </c>
      <c r="P807" s="40" t="s">
        <v>1729</v>
      </c>
      <c r="Q807" s="33" t="s">
        <v>150</v>
      </c>
      <c r="R807" s="33" t="s">
        <v>2119</v>
      </c>
      <c r="S807" s="9" t="s">
        <v>221</v>
      </c>
      <c r="T807" t="str">
        <f t="shared" si="9"/>
        <v>N</v>
      </c>
      <c r="W807" s="12" t="str">
        <f t="array" ref="W807">if(and(L807=0,Q807="NA"),"NA",if(L807=0,"no lice",if(Q807="NA","no collection",index(sea_lice!G:G,match(C807,sea_lice!A:A,0)))))</f>
        <v>BSL6-84</v>
      </c>
      <c r="X807" s="23">
        <v>806.0</v>
      </c>
    </row>
    <row r="808">
      <c r="B808" s="6">
        <v>17349.0</v>
      </c>
      <c r="C808" s="12" t="str">
        <f t="shared" si="1"/>
        <v>U17349</v>
      </c>
      <c r="D808" s="14" t="str">
        <f t="array" ref="D808">iferror(index('2018_ufns'!E:E,match(C808,'2018_ufns'!B:B,0)))</f>
        <v>P1135</v>
      </c>
      <c r="E808" s="14">
        <v>43417.0</v>
      </c>
      <c r="F808" s="40" t="s">
        <v>53</v>
      </c>
      <c r="G808" s="40" t="s">
        <v>54</v>
      </c>
      <c r="H808" s="9">
        <v>11.7</v>
      </c>
      <c r="I808" s="13">
        <v>103.0</v>
      </c>
      <c r="J808" s="13">
        <v>108.0</v>
      </c>
      <c r="K808" s="17">
        <f t="shared" si="5"/>
        <v>0.928783722</v>
      </c>
      <c r="L808" s="9">
        <v>1.0</v>
      </c>
      <c r="M808" s="9" t="s">
        <v>57</v>
      </c>
      <c r="O808" s="9" t="s">
        <v>638</v>
      </c>
      <c r="P808" s="40" t="s">
        <v>1729</v>
      </c>
      <c r="Q808" s="33" t="s">
        <v>150</v>
      </c>
      <c r="R808" s="33" t="s">
        <v>2119</v>
      </c>
      <c r="S808" s="9" t="s">
        <v>221</v>
      </c>
      <c r="T808" t="str">
        <f t="shared" si="9"/>
        <v>N</v>
      </c>
      <c r="W808" s="12" t="str">
        <f t="array" ref="W808">if(and(L808=0,Q808="NA"),"NA",if(L808=0,"no lice",if(Q808="NA","no collection",index(sea_lice!G:G,match(C808,sea_lice!A:A,0)))))</f>
        <v>BSL6-86</v>
      </c>
      <c r="X808" s="23">
        <v>807.0</v>
      </c>
    </row>
    <row r="809">
      <c r="A809" s="31"/>
      <c r="B809" s="6">
        <v>17343.0</v>
      </c>
      <c r="C809" s="12" t="str">
        <f t="shared" si="1"/>
        <v>U17343</v>
      </c>
      <c r="D809" s="14" t="str">
        <f t="array" ref="D809">iferror(index('2018_ufns'!E:E,match(C809,'2018_ufns'!B:B,0)))</f>
        <v>P1135</v>
      </c>
      <c r="E809" s="14">
        <v>43417.0</v>
      </c>
      <c r="F809" s="40" t="s">
        <v>53</v>
      </c>
      <c r="G809" s="40" t="s">
        <v>54</v>
      </c>
      <c r="H809" s="9">
        <v>11.2</v>
      </c>
      <c r="I809" s="13">
        <v>103.0</v>
      </c>
      <c r="J809" s="13">
        <v>109.0</v>
      </c>
      <c r="K809" s="17">
        <f t="shared" si="5"/>
        <v>0.8648454977</v>
      </c>
      <c r="L809" s="9">
        <v>0.0</v>
      </c>
      <c r="M809" s="9" t="s">
        <v>57</v>
      </c>
      <c r="O809" s="9" t="s">
        <v>638</v>
      </c>
      <c r="P809" s="40" t="s">
        <v>1729</v>
      </c>
      <c r="Q809" s="33" t="s">
        <v>150</v>
      </c>
      <c r="R809" s="33" t="s">
        <v>2119</v>
      </c>
      <c r="S809" s="9" t="s">
        <v>221</v>
      </c>
      <c r="T809" t="str">
        <f t="shared" si="9"/>
        <v>N</v>
      </c>
      <c r="W809" s="12" t="str">
        <f t="array" ref="W809">if(and(L809=0,Q809="NA"),"NA",if(L809=0,"no lice",if(Q809="NA","no collection",index(sea_lice!G:G,match(C809,sea_lice!A:A,0)))))</f>
        <v>no lice</v>
      </c>
      <c r="X809" s="23">
        <v>808.0</v>
      </c>
    </row>
    <row r="810">
      <c r="A810" s="31"/>
      <c r="B810" s="6">
        <v>17342.0</v>
      </c>
      <c r="C810" s="12" t="str">
        <f t="shared" si="1"/>
        <v>U17342</v>
      </c>
      <c r="D810" s="14" t="str">
        <f t="array" ref="D810">iferror(index('2018_ufns'!E:E,match(C810,'2018_ufns'!B:B,0)))</f>
        <v>P1135</v>
      </c>
      <c r="E810" s="14">
        <v>43417.0</v>
      </c>
      <c r="F810" s="40" t="s">
        <v>53</v>
      </c>
      <c r="G810" s="40" t="s">
        <v>54</v>
      </c>
      <c r="H810" s="9">
        <v>15.2</v>
      </c>
      <c r="I810" s="13">
        <v>115.0</v>
      </c>
      <c r="J810" s="13">
        <v>120.0</v>
      </c>
      <c r="K810" s="17">
        <f t="shared" si="5"/>
        <v>0.8796296296</v>
      </c>
      <c r="L810" s="9">
        <v>1.0</v>
      </c>
      <c r="M810" s="9" t="s">
        <v>57</v>
      </c>
      <c r="O810" s="9" t="s">
        <v>638</v>
      </c>
      <c r="P810" s="40" t="s">
        <v>1729</v>
      </c>
      <c r="Q810" s="33" t="s">
        <v>150</v>
      </c>
      <c r="R810" s="33" t="s">
        <v>2119</v>
      </c>
      <c r="S810" s="9" t="s">
        <v>221</v>
      </c>
      <c r="T810" t="str">
        <f t="shared" si="9"/>
        <v>N</v>
      </c>
      <c r="W810" s="12" t="str">
        <f t="array" ref="W810">if(and(L810=0,Q810="NA"),"NA",if(L810=0,"no lice",if(Q810="NA","no collection",index(sea_lice!G:G,match(C810,sea_lice!A:A,0)))))</f>
        <v>BSL6-87</v>
      </c>
      <c r="X810" s="23">
        <v>809.0</v>
      </c>
    </row>
    <row r="811">
      <c r="A811" s="31"/>
      <c r="B811" s="6">
        <v>17345.0</v>
      </c>
      <c r="C811" s="12" t="str">
        <f t="shared" si="1"/>
        <v>U17345</v>
      </c>
      <c r="D811" s="14" t="str">
        <f t="array" ref="D811">iferror(index('2018_ufns'!E:E,match(C811,'2018_ufns'!B:B,0)))</f>
        <v>P1135</v>
      </c>
      <c r="E811" s="14">
        <v>43417.0</v>
      </c>
      <c r="F811" s="40" t="s">
        <v>53</v>
      </c>
      <c r="G811" s="40" t="s">
        <v>54</v>
      </c>
      <c r="H811" s="9">
        <v>5.8</v>
      </c>
      <c r="I811" s="13">
        <v>87.0</v>
      </c>
      <c r="J811" s="13">
        <v>90.0</v>
      </c>
      <c r="K811" s="17">
        <f t="shared" si="5"/>
        <v>0.7956104252</v>
      </c>
      <c r="L811" s="9">
        <v>0.0</v>
      </c>
      <c r="M811" s="9" t="s">
        <v>57</v>
      </c>
      <c r="O811" s="9" t="s">
        <v>638</v>
      </c>
      <c r="P811" s="40" t="s">
        <v>1729</v>
      </c>
      <c r="Q811" s="33" t="s">
        <v>150</v>
      </c>
      <c r="R811" s="33" t="s">
        <v>2119</v>
      </c>
      <c r="S811" s="9" t="s">
        <v>221</v>
      </c>
      <c r="T811" t="str">
        <f t="shared" si="9"/>
        <v>N</v>
      </c>
      <c r="W811" s="12" t="str">
        <f t="array" ref="W811">if(and(L811=0,Q811="NA"),"NA",if(L811=0,"no lice",if(Q811="NA","no collection",index(sea_lice!G:G,match(C811,sea_lice!A:A,0)))))</f>
        <v>no lice</v>
      </c>
      <c r="X811" s="23">
        <v>810.0</v>
      </c>
    </row>
    <row r="812">
      <c r="A812" s="31"/>
      <c r="B812" s="6">
        <v>17058.0</v>
      </c>
      <c r="C812" s="12" t="str">
        <f t="shared" si="1"/>
        <v>U17058</v>
      </c>
      <c r="D812" s="14" t="str">
        <f t="array" ref="D812">iferror(index('2018_ufns'!E:E,match(C812,'2018_ufns'!B:B,0)))</f>
        <v>P1106</v>
      </c>
      <c r="E812" s="14">
        <v>43417.0</v>
      </c>
      <c r="F812" s="40" t="s">
        <v>53</v>
      </c>
      <c r="G812" s="40" t="s">
        <v>54</v>
      </c>
      <c r="H812" s="9">
        <v>5.5</v>
      </c>
      <c r="I812" s="13">
        <v>82.0</v>
      </c>
      <c r="J812" s="13" t="s">
        <v>63</v>
      </c>
      <c r="K812" s="17" t="str">
        <f t="shared" si="5"/>
        <v/>
      </c>
      <c r="L812" s="9">
        <v>1.0</v>
      </c>
      <c r="M812" s="9" t="s">
        <v>57</v>
      </c>
      <c r="O812" s="9" t="s">
        <v>221</v>
      </c>
      <c r="P812" s="40" t="s">
        <v>1729</v>
      </c>
      <c r="Q812" s="33" t="s">
        <v>150</v>
      </c>
      <c r="R812" s="33" t="s">
        <v>2119</v>
      </c>
      <c r="S812" s="9" t="s">
        <v>638</v>
      </c>
      <c r="T812" t="str">
        <f t="shared" si="9"/>
        <v>N</v>
      </c>
      <c r="W812" s="12" t="str">
        <f t="array" ref="W812">if(and(L812=0,Q812="NA"),"NA",if(L812=0,"no lice",if(Q812="NA","no collection",index(sea_lice!G:G,match(C812,sea_lice!A:A,0)))))</f>
        <v>BSL6-83</v>
      </c>
      <c r="X812" s="23">
        <v>811.0</v>
      </c>
    </row>
    <row r="813">
      <c r="A813" s="31"/>
      <c r="B813" s="6">
        <v>17059.0</v>
      </c>
      <c r="C813" s="12" t="str">
        <f t="shared" si="1"/>
        <v>U17059</v>
      </c>
      <c r="D813" s="14" t="str">
        <f t="array" ref="D813">iferror(index('2018_ufns'!E:E,match(C813,'2018_ufns'!B:B,0)))</f>
        <v>P1106</v>
      </c>
      <c r="E813" s="14">
        <v>43417.0</v>
      </c>
      <c r="F813" s="40" t="s">
        <v>53</v>
      </c>
      <c r="G813" s="40" t="s">
        <v>54</v>
      </c>
      <c r="H813" s="9">
        <v>17.0</v>
      </c>
      <c r="I813" s="13">
        <v>117.0</v>
      </c>
      <c r="J813" s="13">
        <v>121.0</v>
      </c>
      <c r="K813" s="17">
        <f t="shared" si="5"/>
        <v>0.9596056811</v>
      </c>
      <c r="L813" s="9">
        <v>0.0</v>
      </c>
      <c r="M813" s="9" t="s">
        <v>57</v>
      </c>
      <c r="O813" s="9" t="s">
        <v>221</v>
      </c>
      <c r="P813" s="40" t="s">
        <v>1729</v>
      </c>
      <c r="Q813" s="33" t="s">
        <v>150</v>
      </c>
      <c r="R813" s="33" t="s">
        <v>2119</v>
      </c>
      <c r="S813" s="9" t="s">
        <v>638</v>
      </c>
      <c r="T813" t="str">
        <f t="shared" si="9"/>
        <v>N</v>
      </c>
      <c r="W813" s="12" t="str">
        <f t="array" ref="W813">if(and(L813=0,Q813="NA"),"NA",if(L813=0,"no lice",if(Q813="NA","no collection",index(sea_lice!G:G,match(C813,sea_lice!A:A,0)))))</f>
        <v>no lice</v>
      </c>
      <c r="X813" s="23">
        <v>812.0</v>
      </c>
    </row>
    <row r="814">
      <c r="A814" s="31"/>
      <c r="B814" s="6">
        <v>17060.0</v>
      </c>
      <c r="C814" s="12" t="str">
        <f t="shared" si="1"/>
        <v>U17060</v>
      </c>
      <c r="D814" s="14" t="str">
        <f t="array" ref="D814">iferror(index('2018_ufns'!E:E,match(C814,'2018_ufns'!B:B,0)))</f>
        <v>P1106</v>
      </c>
      <c r="E814" s="14">
        <v>43417.0</v>
      </c>
      <c r="F814" s="40" t="s">
        <v>53</v>
      </c>
      <c r="G814" s="40" t="s">
        <v>54</v>
      </c>
      <c r="H814" s="9">
        <v>5.2</v>
      </c>
      <c r="I814" s="13">
        <v>81.0</v>
      </c>
      <c r="J814" s="13">
        <v>86.0</v>
      </c>
      <c r="K814" s="17">
        <f t="shared" si="5"/>
        <v>0.8175380784</v>
      </c>
      <c r="L814" s="9">
        <v>0.0</v>
      </c>
      <c r="M814" s="9" t="s">
        <v>57</v>
      </c>
      <c r="O814" s="9" t="s">
        <v>221</v>
      </c>
      <c r="P814" s="40" t="s">
        <v>1729</v>
      </c>
      <c r="Q814" s="33" t="s">
        <v>150</v>
      </c>
      <c r="R814" s="33" t="s">
        <v>2119</v>
      </c>
      <c r="S814" s="9" t="s">
        <v>638</v>
      </c>
      <c r="T814" t="str">
        <f t="shared" si="9"/>
        <v>N</v>
      </c>
      <c r="W814" s="12" t="str">
        <f t="array" ref="W814">if(and(L814=0,Q814="NA"),"NA",if(L814=0,"no lice",if(Q814="NA","no collection",index(sea_lice!G:G,match(C814,sea_lice!A:A,0)))))</f>
        <v>no lice</v>
      </c>
      <c r="X814" s="23">
        <v>813.0</v>
      </c>
    </row>
    <row r="815">
      <c r="A815" s="31"/>
      <c r="B815" s="6">
        <v>16081.0</v>
      </c>
      <c r="C815" s="12" t="str">
        <f t="shared" si="1"/>
        <v>U16081</v>
      </c>
      <c r="D815" s="14" t="str">
        <f t="array" ref="D815">iferror(index('2018_ufns'!E:E,match(C815,'2018_ufns'!B:B,0)))</f>
        <v>P1009</v>
      </c>
      <c r="E815" s="14">
        <v>43417.0</v>
      </c>
      <c r="F815" s="40" t="s">
        <v>53</v>
      </c>
      <c r="G815" s="40" t="s">
        <v>54</v>
      </c>
      <c r="H815" s="9">
        <v>3.0</v>
      </c>
      <c r="I815" s="13">
        <v>66.0</v>
      </c>
      <c r="J815" s="13">
        <v>70.0</v>
      </c>
      <c r="K815" s="17">
        <f t="shared" si="5"/>
        <v>0.8746355685</v>
      </c>
      <c r="L815" s="9">
        <v>1.0</v>
      </c>
      <c r="M815" s="9" t="s">
        <v>57</v>
      </c>
      <c r="O815" s="9" t="s">
        <v>221</v>
      </c>
      <c r="P815" s="40" t="s">
        <v>1729</v>
      </c>
      <c r="Q815" s="33" t="s">
        <v>150</v>
      </c>
      <c r="R815" s="33" t="s">
        <v>2119</v>
      </c>
      <c r="S815" s="9" t="s">
        <v>638</v>
      </c>
      <c r="T815" t="str">
        <f t="shared" si="9"/>
        <v>N</v>
      </c>
      <c r="W815" s="12" t="str">
        <f t="array" ref="W815">if(and(L815=0,Q815="NA"),"NA",if(L815=0,"no lice",if(Q815="NA","no collection",index(sea_lice!G:G,match(C815,sea_lice!A:A,0)))))</f>
        <v>BSL6-85</v>
      </c>
      <c r="X815" s="23">
        <v>814.0</v>
      </c>
    </row>
    <row r="816">
      <c r="A816" s="31"/>
      <c r="B816" s="6">
        <v>16082.0</v>
      </c>
      <c r="C816" s="12" t="str">
        <f t="shared" si="1"/>
        <v>U16082</v>
      </c>
      <c r="D816" s="14" t="str">
        <f t="array" ref="D816">iferror(index('2018_ufns'!E:E,match(C816,'2018_ufns'!B:B,0)))</f>
        <v>P1009</v>
      </c>
      <c r="E816" s="14">
        <v>43417.0</v>
      </c>
      <c r="F816" s="40" t="s">
        <v>53</v>
      </c>
      <c r="G816" s="40" t="s">
        <v>54</v>
      </c>
      <c r="H816" s="9">
        <v>3.5</v>
      </c>
      <c r="I816" s="13">
        <v>70.0</v>
      </c>
      <c r="J816" s="13">
        <v>74.0</v>
      </c>
      <c r="K816" s="17">
        <f t="shared" si="5"/>
        <v>0.8637198192</v>
      </c>
      <c r="L816" s="9">
        <v>0.0</v>
      </c>
      <c r="M816" s="9" t="s">
        <v>57</v>
      </c>
      <c r="O816" s="9" t="s">
        <v>221</v>
      </c>
      <c r="P816" s="40" t="s">
        <v>1729</v>
      </c>
      <c r="Q816" s="33" t="s">
        <v>150</v>
      </c>
      <c r="R816" s="33" t="s">
        <v>2119</v>
      </c>
      <c r="S816" s="9" t="s">
        <v>638</v>
      </c>
      <c r="T816" t="str">
        <f t="shared" si="9"/>
        <v>N</v>
      </c>
      <c r="W816" s="12" t="str">
        <f t="array" ref="W816">if(and(L816=0,Q816="NA"),"NA",if(L816=0,"no lice",if(Q816="NA","no collection",index(sea_lice!G:G,match(C816,sea_lice!A:A,0)))))</f>
        <v>no lice</v>
      </c>
      <c r="X816" s="23">
        <v>815.0</v>
      </c>
    </row>
    <row r="817">
      <c r="A817" s="31"/>
      <c r="B817" s="6">
        <v>16083.0</v>
      </c>
      <c r="C817" s="12" t="str">
        <f t="shared" si="1"/>
        <v>U16083</v>
      </c>
      <c r="D817" s="14" t="str">
        <f t="array" ref="D817">iferror(index('2018_ufns'!E:E,match(C817,'2018_ufns'!B:B,0)))</f>
        <v>P1009</v>
      </c>
      <c r="E817" s="14">
        <v>43417.0</v>
      </c>
      <c r="F817" s="40" t="s">
        <v>53</v>
      </c>
      <c r="G817" s="40" t="s">
        <v>54</v>
      </c>
      <c r="H817" s="9">
        <v>5.9</v>
      </c>
      <c r="I817" s="13">
        <v>84.0</v>
      </c>
      <c r="J817" s="13">
        <v>89.0</v>
      </c>
      <c r="K817" s="17">
        <f t="shared" si="5"/>
        <v>0.8369162332</v>
      </c>
      <c r="L817" s="9">
        <v>0.0</v>
      </c>
      <c r="M817" s="9" t="s">
        <v>57</v>
      </c>
      <c r="O817" s="9" t="s">
        <v>221</v>
      </c>
      <c r="P817" s="40" t="s">
        <v>1729</v>
      </c>
      <c r="Q817" s="33" t="s">
        <v>150</v>
      </c>
      <c r="R817" s="33" t="s">
        <v>2119</v>
      </c>
      <c r="S817" s="9" t="s">
        <v>638</v>
      </c>
      <c r="T817" t="str">
        <f t="shared" si="9"/>
        <v>N</v>
      </c>
      <c r="W817" s="12" t="str">
        <f t="array" ref="W817">if(and(L817=0,Q817="NA"),"NA",if(L817=0,"no lice",if(Q817="NA","no collection",index(sea_lice!G:G,match(C817,sea_lice!A:A,0)))))</f>
        <v>no lice</v>
      </c>
      <c r="X817" s="23">
        <v>816.0</v>
      </c>
    </row>
    <row r="818">
      <c r="A818" s="31"/>
      <c r="B818" s="6">
        <v>16084.0</v>
      </c>
      <c r="C818" s="12" t="str">
        <f t="shared" si="1"/>
        <v>U16084</v>
      </c>
      <c r="D818" s="14" t="str">
        <f t="array" ref="D818">iferror(index('2018_ufns'!E:E,match(C818,'2018_ufns'!B:B,0)))</f>
        <v>P1009</v>
      </c>
      <c r="E818" s="14">
        <v>43417.0</v>
      </c>
      <c r="F818" s="40" t="s">
        <v>53</v>
      </c>
      <c r="G818" s="40" t="s">
        <v>54</v>
      </c>
      <c r="H818" s="9">
        <v>3.0</v>
      </c>
      <c r="I818" s="13">
        <v>63.0</v>
      </c>
      <c r="J818" s="13" t="s">
        <v>63</v>
      </c>
      <c r="K818" s="17" t="str">
        <f>iferror((10^5)*H818/(J820^3))</f>
        <v/>
      </c>
      <c r="L818" s="9">
        <v>0.0</v>
      </c>
      <c r="M818" s="9" t="s">
        <v>57</v>
      </c>
      <c r="O818" s="9" t="s">
        <v>221</v>
      </c>
      <c r="P818" s="40" t="s">
        <v>1729</v>
      </c>
      <c r="Q818" s="33" t="s">
        <v>150</v>
      </c>
      <c r="R818" s="33" t="s">
        <v>2119</v>
      </c>
      <c r="S818" s="9" t="s">
        <v>638</v>
      </c>
      <c r="T818" t="str">
        <f t="shared" si="9"/>
        <v>N</v>
      </c>
      <c r="W818" s="12" t="str">
        <f t="array" ref="W818">if(and(L818=0,Q818="NA"),"NA",if(L818=0,"no lice",if(Q818="NA","no collection",index(sea_lice!G:G,match(C818,sea_lice!A:A,0)))))</f>
        <v>no lice</v>
      </c>
      <c r="X818" s="23">
        <v>817.0</v>
      </c>
    </row>
    <row r="819">
      <c r="A819" s="31"/>
      <c r="B819" s="6">
        <v>16085.0</v>
      </c>
      <c r="C819" s="12" t="str">
        <f t="shared" si="1"/>
        <v>U16085</v>
      </c>
      <c r="D819" s="14" t="str">
        <f t="array" ref="D819">iferror(index('2018_ufns'!E:E,match(C819,'2018_ufns'!B:B,0)))</f>
        <v>P1009</v>
      </c>
      <c r="E819" s="14">
        <v>43417.0</v>
      </c>
      <c r="F819" s="40" t="s">
        <v>53</v>
      </c>
      <c r="G819" s="40" t="s">
        <v>54</v>
      </c>
      <c r="H819" s="9">
        <v>4.5</v>
      </c>
      <c r="I819" s="13">
        <v>78.0</v>
      </c>
      <c r="J819" s="9">
        <v>80.0</v>
      </c>
      <c r="K819" s="17">
        <f t="shared" ref="K819:K1558" si="10">iferror((10^5)*H819/(J819^3))</f>
        <v>0.87890625</v>
      </c>
      <c r="L819" s="9">
        <v>0.0</v>
      </c>
      <c r="M819" s="9" t="s">
        <v>57</v>
      </c>
      <c r="O819" s="9" t="s">
        <v>221</v>
      </c>
      <c r="P819" s="40" t="s">
        <v>1729</v>
      </c>
      <c r="Q819" s="33" t="s">
        <v>150</v>
      </c>
      <c r="R819" s="33" t="s">
        <v>2119</v>
      </c>
      <c r="S819" s="9" t="s">
        <v>638</v>
      </c>
      <c r="T819" t="str">
        <f t="shared" si="9"/>
        <v>N</v>
      </c>
      <c r="W819" s="12" t="str">
        <f t="array" ref="W819">if(and(L819=0,Q819="NA"),"NA",if(L819=0,"no lice",if(Q819="NA","no collection",index(sea_lice!G:G,match(C819,sea_lice!A:A,0)))))</f>
        <v>no lice</v>
      </c>
      <c r="X819" s="23">
        <v>818.0</v>
      </c>
    </row>
    <row r="820">
      <c r="A820" s="31"/>
      <c r="B820" s="6">
        <v>16086.0</v>
      </c>
      <c r="C820" s="12" t="str">
        <f t="shared" si="1"/>
        <v>U16086</v>
      </c>
      <c r="D820" s="14" t="str">
        <f t="array" ref="D820">iferror(index('2018_ufns'!E:E,match(C820,'2018_ufns'!B:B,0)))</f>
        <v>P1009</v>
      </c>
      <c r="E820" s="14">
        <v>43417.0</v>
      </c>
      <c r="F820" s="40" t="s">
        <v>53</v>
      </c>
      <c r="G820" s="40" t="s">
        <v>54</v>
      </c>
      <c r="H820" s="9">
        <v>6.5</v>
      </c>
      <c r="I820" s="13">
        <v>85.0</v>
      </c>
      <c r="J820" s="13" t="s">
        <v>63</v>
      </c>
      <c r="K820" s="17" t="str">
        <f t="shared" si="10"/>
        <v/>
      </c>
      <c r="L820" s="9">
        <v>1.0</v>
      </c>
      <c r="M820" s="9" t="s">
        <v>57</v>
      </c>
      <c r="O820" s="9" t="s">
        <v>221</v>
      </c>
      <c r="P820" s="40" t="s">
        <v>1729</v>
      </c>
      <c r="Q820" s="33" t="s">
        <v>150</v>
      </c>
      <c r="R820" s="33" t="s">
        <v>2119</v>
      </c>
      <c r="S820" s="9" t="s">
        <v>638</v>
      </c>
      <c r="T820" t="str">
        <f t="shared" si="9"/>
        <v>N</v>
      </c>
      <c r="W820" s="12" t="str">
        <f t="array" ref="W820">if(and(L820=0,Q820="NA"),"NA",if(L820=0,"no lice",if(Q820="NA","no collection",index(sea_lice!G:G,match(C820,sea_lice!A:A,0)))))</f>
        <v>BSL6-88</v>
      </c>
      <c r="X820" s="23">
        <v>819.0</v>
      </c>
    </row>
    <row r="821">
      <c r="A821" s="31"/>
      <c r="B821" s="6">
        <v>16087.0</v>
      </c>
      <c r="C821" s="12" t="str">
        <f t="shared" si="1"/>
        <v>U16087</v>
      </c>
      <c r="D821" s="14" t="str">
        <f t="array" ref="D821">iferror(index('2018_ufns'!E:E,match(C821,'2018_ufns'!B:B,0)))</f>
        <v>P1009</v>
      </c>
      <c r="E821" s="14">
        <v>43418.0</v>
      </c>
      <c r="F821" s="40" t="s">
        <v>53</v>
      </c>
      <c r="G821" s="40" t="s">
        <v>54</v>
      </c>
      <c r="H821" s="9">
        <v>4.8</v>
      </c>
      <c r="I821" s="13">
        <v>79.0</v>
      </c>
      <c r="J821" s="13">
        <v>83.0</v>
      </c>
      <c r="K821" s="17">
        <f t="shared" si="10"/>
        <v>0.8394734403</v>
      </c>
      <c r="L821" s="9">
        <v>0.0</v>
      </c>
      <c r="M821" s="9" t="s">
        <v>57</v>
      </c>
      <c r="O821" s="9" t="s">
        <v>221</v>
      </c>
      <c r="P821" s="40" t="s">
        <v>1729</v>
      </c>
      <c r="Q821" s="33" t="s">
        <v>150</v>
      </c>
      <c r="R821" s="33" t="s">
        <v>2119</v>
      </c>
      <c r="S821" s="9" t="s">
        <v>638</v>
      </c>
      <c r="T821" t="str">
        <f t="shared" si="9"/>
        <v>N</v>
      </c>
      <c r="W821" s="12" t="str">
        <f t="array" ref="W821">if(and(L821=0,Q821="NA"),"NA",if(L821=0,"no lice",if(Q821="NA","no collection",index(sea_lice!G:G,match(C821,sea_lice!A:A,0)))))</f>
        <v>no lice</v>
      </c>
      <c r="X821" s="23">
        <v>820.0</v>
      </c>
    </row>
    <row r="822">
      <c r="A822" s="31"/>
      <c r="B822" s="6">
        <v>16088.0</v>
      </c>
      <c r="C822" s="12" t="str">
        <f t="shared" si="1"/>
        <v>U16088</v>
      </c>
      <c r="D822" s="14" t="str">
        <f t="array" ref="D822">iferror(index('2018_ufns'!E:E,match(C822,'2018_ufns'!B:B,0)))</f>
        <v>P1009</v>
      </c>
      <c r="E822" s="14">
        <v>43418.0</v>
      </c>
      <c r="F822" s="40" t="s">
        <v>53</v>
      </c>
      <c r="G822" s="40" t="s">
        <v>54</v>
      </c>
      <c r="H822" s="9">
        <v>4.6</v>
      </c>
      <c r="I822" s="13">
        <v>76.0</v>
      </c>
      <c r="J822" s="13">
        <v>80.0</v>
      </c>
      <c r="K822" s="17">
        <f t="shared" si="10"/>
        <v>0.8984375</v>
      </c>
      <c r="L822" s="9">
        <v>0.0</v>
      </c>
      <c r="M822" s="9" t="s">
        <v>57</v>
      </c>
      <c r="N822" s="9" t="s">
        <v>2124</v>
      </c>
      <c r="O822" s="9" t="s">
        <v>221</v>
      </c>
      <c r="P822" s="40" t="s">
        <v>1729</v>
      </c>
      <c r="Q822" s="33" t="s">
        <v>150</v>
      </c>
      <c r="R822" s="33" t="s">
        <v>2119</v>
      </c>
      <c r="S822" s="9" t="s">
        <v>638</v>
      </c>
      <c r="T822" t="str">
        <f t="shared" si="9"/>
        <v>N</v>
      </c>
      <c r="W822" s="12" t="str">
        <f t="array" ref="W822">if(and(L822=0,Q822="NA"),"NA",if(L822=0,"no lice",if(Q822="NA","no collection",index(sea_lice!G:G,match(C822,sea_lice!A:A,0)))))</f>
        <v>no lice</v>
      </c>
      <c r="X822" s="23">
        <v>821.0</v>
      </c>
    </row>
    <row r="823">
      <c r="A823" s="31"/>
      <c r="B823" s="6">
        <v>16089.0</v>
      </c>
      <c r="C823" s="12" t="str">
        <f t="shared" si="1"/>
        <v>U16089</v>
      </c>
      <c r="D823" s="14" t="str">
        <f t="array" ref="D823">iferror(index('2018_ufns'!E:E,match(C823,'2018_ufns'!B:B,0)))</f>
        <v>P1009</v>
      </c>
      <c r="E823" s="14">
        <v>43418.0</v>
      </c>
      <c r="F823" s="40" t="s">
        <v>53</v>
      </c>
      <c r="G823" s="40" t="s">
        <v>54</v>
      </c>
      <c r="H823" s="9">
        <v>5.1</v>
      </c>
      <c r="I823" s="13">
        <v>79.0</v>
      </c>
      <c r="J823" s="13">
        <v>83.0</v>
      </c>
      <c r="K823" s="17">
        <f t="shared" si="10"/>
        <v>0.8919405303</v>
      </c>
      <c r="L823" s="9">
        <v>0.0</v>
      </c>
      <c r="M823" s="9" t="s">
        <v>57</v>
      </c>
      <c r="O823" s="9" t="s">
        <v>221</v>
      </c>
      <c r="P823" s="40" t="s">
        <v>1729</v>
      </c>
      <c r="Q823" s="33" t="s">
        <v>150</v>
      </c>
      <c r="R823" s="33" t="s">
        <v>2119</v>
      </c>
      <c r="S823" s="9" t="s">
        <v>638</v>
      </c>
      <c r="T823" t="str">
        <f t="shared" si="9"/>
        <v>N</v>
      </c>
      <c r="W823" s="12" t="str">
        <f t="array" ref="W823">if(and(L823=0,Q823="NA"),"NA",if(L823=0,"no lice",if(Q823="NA","no collection",index(sea_lice!G:G,match(C823,sea_lice!A:A,0)))))</f>
        <v>no lice</v>
      </c>
      <c r="X823" s="23">
        <v>822.0</v>
      </c>
    </row>
    <row r="824">
      <c r="A824" s="31"/>
      <c r="B824" s="6">
        <v>16090.0</v>
      </c>
      <c r="C824" s="12" t="str">
        <f t="shared" si="1"/>
        <v>U16090</v>
      </c>
      <c r="D824" s="14" t="str">
        <f t="array" ref="D824">iferror(index('2018_ufns'!E:E,match(C824,'2018_ufns'!B:B,0)))</f>
        <v>P1009</v>
      </c>
      <c r="E824" s="14">
        <v>43418.0</v>
      </c>
      <c r="F824" s="40" t="s">
        <v>53</v>
      </c>
      <c r="G824" s="40" t="s">
        <v>54</v>
      </c>
      <c r="H824" s="9">
        <v>5.3</v>
      </c>
      <c r="I824" s="13">
        <v>82.0</v>
      </c>
      <c r="J824" s="9">
        <v>86.0</v>
      </c>
      <c r="K824" s="17">
        <f t="shared" si="10"/>
        <v>0.8332599645</v>
      </c>
      <c r="L824" s="9">
        <v>0.0</v>
      </c>
      <c r="M824" s="9" t="s">
        <v>57</v>
      </c>
      <c r="O824" s="9" t="s">
        <v>221</v>
      </c>
      <c r="P824" s="40" t="s">
        <v>1729</v>
      </c>
      <c r="Q824" s="33" t="s">
        <v>150</v>
      </c>
      <c r="R824" s="33" t="s">
        <v>2119</v>
      </c>
      <c r="S824" s="9" t="s">
        <v>638</v>
      </c>
      <c r="T824" t="str">
        <f t="shared" si="9"/>
        <v>N</v>
      </c>
      <c r="W824" s="12" t="str">
        <f t="array" ref="W824">if(and(L824=0,Q824="NA"),"NA",if(L824=0,"no lice",if(Q824="NA","no collection",index(sea_lice!G:G,match(C824,sea_lice!A:A,0)))))</f>
        <v>no lice</v>
      </c>
      <c r="X824" s="23">
        <v>823.0</v>
      </c>
    </row>
    <row r="825">
      <c r="A825" s="31"/>
      <c r="B825" s="6">
        <v>17141.0</v>
      </c>
      <c r="C825" s="12" t="str">
        <f t="shared" si="1"/>
        <v>U17141</v>
      </c>
      <c r="D825" s="14" t="str">
        <f t="array" ref="D825">iferror(index('2018_ufns'!E:E,match(C825,'2018_ufns'!B:B,0)))</f>
        <v>P1115</v>
      </c>
      <c r="E825" s="14">
        <v>43418.0</v>
      </c>
      <c r="F825" s="40" t="s">
        <v>53</v>
      </c>
      <c r="G825" s="40" t="s">
        <v>54</v>
      </c>
      <c r="H825" s="9">
        <v>11.6</v>
      </c>
      <c r="I825" s="13">
        <v>103.0</v>
      </c>
      <c r="J825" s="13">
        <v>108.0</v>
      </c>
      <c r="K825" s="17">
        <f t="shared" si="10"/>
        <v>0.9208453996</v>
      </c>
      <c r="L825" s="9">
        <v>0.0</v>
      </c>
      <c r="M825" s="9" t="s">
        <v>57</v>
      </c>
      <c r="O825" s="9" t="s">
        <v>221</v>
      </c>
      <c r="P825" s="40" t="s">
        <v>1729</v>
      </c>
      <c r="Q825" s="33" t="s">
        <v>150</v>
      </c>
      <c r="R825" s="33" t="s">
        <v>2119</v>
      </c>
      <c r="S825" s="9" t="s">
        <v>638</v>
      </c>
      <c r="T825" t="str">
        <f t="shared" si="9"/>
        <v>N</v>
      </c>
      <c r="W825" s="12" t="str">
        <f t="array" ref="W825">if(and(L825=0,Q825="NA"),"NA",if(L825=0,"no lice",if(Q825="NA","no collection",index(sea_lice!G:G,match(C825,sea_lice!A:A,0)))))</f>
        <v>no lice</v>
      </c>
      <c r="X825" s="23">
        <v>824.0</v>
      </c>
    </row>
    <row r="826">
      <c r="A826" s="31"/>
      <c r="B826" s="6">
        <v>17142.0</v>
      </c>
      <c r="C826" s="12" t="str">
        <f t="shared" si="1"/>
        <v>U17142</v>
      </c>
      <c r="D826" s="14" t="str">
        <f t="array" ref="D826">iferror(index('2018_ufns'!E:E,match(C826,'2018_ufns'!B:B,0)))</f>
        <v>P1115</v>
      </c>
      <c r="E826" s="14">
        <v>43418.0</v>
      </c>
      <c r="F826" s="40" t="s">
        <v>53</v>
      </c>
      <c r="G826" s="40" t="s">
        <v>54</v>
      </c>
      <c r="H826" s="9">
        <v>14.1</v>
      </c>
      <c r="I826" s="13">
        <v>109.0</v>
      </c>
      <c r="J826" s="9">
        <v>114.0</v>
      </c>
      <c r="K826" s="17">
        <f t="shared" si="10"/>
        <v>0.9517098378</v>
      </c>
      <c r="L826" s="9">
        <v>0.0</v>
      </c>
      <c r="M826" s="9" t="s">
        <v>57</v>
      </c>
      <c r="O826" s="9" t="s">
        <v>221</v>
      </c>
      <c r="P826" s="40" t="s">
        <v>1729</v>
      </c>
      <c r="Q826" s="33" t="s">
        <v>150</v>
      </c>
      <c r="R826" s="33" t="s">
        <v>2119</v>
      </c>
      <c r="S826" s="9" t="s">
        <v>638</v>
      </c>
      <c r="T826" t="str">
        <f t="shared" si="9"/>
        <v>N</v>
      </c>
      <c r="W826" s="12" t="str">
        <f t="array" ref="W826">if(and(L826=0,Q826="NA"),"NA",if(L826=0,"no lice",if(Q826="NA","no collection",index(sea_lice!G:G,match(C826,sea_lice!A:A,0)))))</f>
        <v>no lice</v>
      </c>
      <c r="X826" s="23">
        <v>825.0</v>
      </c>
    </row>
    <row r="827">
      <c r="A827" s="31"/>
      <c r="B827" s="6">
        <v>17143.0</v>
      </c>
      <c r="C827" s="12" t="str">
        <f t="shared" si="1"/>
        <v>U17143</v>
      </c>
      <c r="D827" s="14" t="str">
        <f t="array" ref="D827">iferror(index('2018_ufns'!E:E,match(C827,'2018_ufns'!B:B,0)))</f>
        <v>P1115</v>
      </c>
      <c r="E827" s="14">
        <v>43418.0</v>
      </c>
      <c r="F827" s="40" t="s">
        <v>53</v>
      </c>
      <c r="G827" s="40" t="s">
        <v>54</v>
      </c>
      <c r="H827" s="9">
        <v>5.9</v>
      </c>
      <c r="I827" s="13">
        <v>84.0</v>
      </c>
      <c r="J827" s="13">
        <v>88.0</v>
      </c>
      <c r="K827" s="17">
        <f t="shared" si="10"/>
        <v>0.8657729151</v>
      </c>
      <c r="L827" s="9">
        <v>0.0</v>
      </c>
      <c r="M827" s="9" t="s">
        <v>57</v>
      </c>
      <c r="O827" s="9" t="s">
        <v>221</v>
      </c>
      <c r="P827" s="40" t="s">
        <v>1729</v>
      </c>
      <c r="Q827" s="33" t="s">
        <v>150</v>
      </c>
      <c r="R827" s="33" t="s">
        <v>2119</v>
      </c>
      <c r="S827" s="9" t="s">
        <v>638</v>
      </c>
      <c r="T827" t="str">
        <f t="shared" si="9"/>
        <v>N</v>
      </c>
      <c r="W827" s="12" t="str">
        <f t="array" ref="W827">if(and(L827=0,Q827="NA"),"NA",if(L827=0,"no lice",if(Q827="NA","no collection",index(sea_lice!G:G,match(C827,sea_lice!A:A,0)))))</f>
        <v>no lice</v>
      </c>
      <c r="X827" s="23">
        <v>826.0</v>
      </c>
    </row>
    <row r="828">
      <c r="A828" s="47"/>
      <c r="B828" s="6">
        <v>17144.0</v>
      </c>
      <c r="C828" s="12" t="str">
        <f t="shared" si="1"/>
        <v>U17144</v>
      </c>
      <c r="D828" s="14" t="str">
        <f t="array" ref="D828">iferror(index('2018_ufns'!E:E,match(C828,'2018_ufns'!B:B,0)))</f>
        <v>P1115</v>
      </c>
      <c r="E828" s="14">
        <v>43418.0</v>
      </c>
      <c r="F828" s="40" t="s">
        <v>53</v>
      </c>
      <c r="G828" s="40" t="s">
        <v>54</v>
      </c>
      <c r="H828" s="9">
        <v>6.5</v>
      </c>
      <c r="I828" s="13">
        <v>87.0</v>
      </c>
      <c r="J828" s="13">
        <v>91.0</v>
      </c>
      <c r="K828" s="17">
        <f t="shared" si="10"/>
        <v>0.8625597323</v>
      </c>
      <c r="L828" s="9">
        <v>1.0</v>
      </c>
      <c r="M828" s="9" t="s">
        <v>57</v>
      </c>
      <c r="O828" s="9" t="s">
        <v>221</v>
      </c>
      <c r="P828" s="40" t="s">
        <v>1729</v>
      </c>
      <c r="Q828" s="33" t="s">
        <v>150</v>
      </c>
      <c r="R828" s="33" t="s">
        <v>2119</v>
      </c>
      <c r="S828" s="9" t="s">
        <v>638</v>
      </c>
      <c r="T828" t="str">
        <f t="shared" si="9"/>
        <v>N</v>
      </c>
      <c r="W828" s="12" t="str">
        <f t="array" ref="W828">if(and(L828=0,Q828="NA"),"NA",if(L828=0,"no lice",if(Q828="NA","no collection",index(sea_lice!G:G,match(C828,sea_lice!A:A,0)))))</f>
        <v>BSL6-89</v>
      </c>
      <c r="X828" s="23">
        <v>827.0</v>
      </c>
    </row>
    <row r="829">
      <c r="A829" s="47"/>
      <c r="B829" s="6">
        <v>17145.0</v>
      </c>
      <c r="C829" s="12" t="str">
        <f t="shared" si="1"/>
        <v>U17145</v>
      </c>
      <c r="D829" s="14" t="str">
        <f t="array" ref="D829">iferror(index('2018_ufns'!E:E,match(C829,'2018_ufns'!B:B,0)))</f>
        <v>P1115</v>
      </c>
      <c r="E829" s="14">
        <v>43418.0</v>
      </c>
      <c r="F829" s="40" t="s">
        <v>53</v>
      </c>
      <c r="G829" s="40" t="s">
        <v>54</v>
      </c>
      <c r="H829" s="9">
        <v>13.7</v>
      </c>
      <c r="I829" s="13">
        <v>109.0</v>
      </c>
      <c r="J829" s="13">
        <v>114.0</v>
      </c>
      <c r="K829" s="17">
        <f t="shared" si="10"/>
        <v>0.9247109772</v>
      </c>
      <c r="L829" s="9">
        <v>0.0</v>
      </c>
      <c r="M829" s="9" t="s">
        <v>57</v>
      </c>
      <c r="O829" s="9" t="s">
        <v>221</v>
      </c>
      <c r="P829" s="40" t="s">
        <v>1729</v>
      </c>
      <c r="Q829" s="33" t="s">
        <v>150</v>
      </c>
      <c r="R829" s="33" t="s">
        <v>2119</v>
      </c>
      <c r="S829" s="9" t="s">
        <v>638</v>
      </c>
      <c r="T829" t="str">
        <f t="shared" si="9"/>
        <v>N</v>
      </c>
      <c r="W829" s="12" t="str">
        <f t="array" ref="W829">if(and(L829=0,Q829="NA"),"NA",if(L829=0,"no lice",if(Q829="NA","no collection",index(sea_lice!G:G,match(C829,sea_lice!A:A,0)))))</f>
        <v>no lice</v>
      </c>
      <c r="X829" s="23">
        <v>828.0</v>
      </c>
    </row>
    <row r="830">
      <c r="A830" s="47"/>
      <c r="B830" s="6">
        <v>17146.0</v>
      </c>
      <c r="C830" s="12" t="str">
        <f t="shared" si="1"/>
        <v>U17146</v>
      </c>
      <c r="D830" s="14" t="str">
        <f t="array" ref="D830">iferror(index('2018_ufns'!E:E,match(C830,'2018_ufns'!B:B,0)))</f>
        <v>P1115</v>
      </c>
      <c r="E830" s="14">
        <v>43418.0</v>
      </c>
      <c r="F830" s="40" t="s">
        <v>53</v>
      </c>
      <c r="G830" s="40" t="s">
        <v>54</v>
      </c>
      <c r="H830" s="9">
        <v>8.5</v>
      </c>
      <c r="I830" s="13">
        <v>93.0</v>
      </c>
      <c r="J830" s="13">
        <v>98.0</v>
      </c>
      <c r="K830" s="17">
        <f t="shared" si="10"/>
        <v>0.9031100987</v>
      </c>
      <c r="L830" s="9">
        <v>0.0</v>
      </c>
      <c r="M830" s="9" t="s">
        <v>57</v>
      </c>
      <c r="O830" s="9" t="s">
        <v>221</v>
      </c>
      <c r="P830" s="40" t="s">
        <v>1729</v>
      </c>
      <c r="Q830" s="33" t="s">
        <v>150</v>
      </c>
      <c r="R830" s="33" t="s">
        <v>2119</v>
      </c>
      <c r="S830" s="9" t="s">
        <v>638</v>
      </c>
      <c r="T830" t="str">
        <f t="shared" si="9"/>
        <v>N</v>
      </c>
      <c r="W830" s="12" t="str">
        <f t="array" ref="W830">if(and(L830=0,Q830="NA"),"NA",if(L830=0,"no lice",if(Q830="NA","no collection",index(sea_lice!G:G,match(C830,sea_lice!A:A,0)))))</f>
        <v>no lice</v>
      </c>
      <c r="X830" s="23">
        <v>829.0</v>
      </c>
    </row>
    <row r="831">
      <c r="A831" s="47"/>
      <c r="B831" s="6">
        <v>17147.0</v>
      </c>
      <c r="C831" s="12" t="str">
        <f t="shared" si="1"/>
        <v>U17147</v>
      </c>
      <c r="D831" s="14" t="str">
        <f t="array" ref="D831">iferror(index('2018_ufns'!E:E,match(C831,'2018_ufns'!B:B,0)))</f>
        <v>P1115</v>
      </c>
      <c r="E831" s="14">
        <v>43418.0</v>
      </c>
      <c r="F831" s="40" t="s">
        <v>53</v>
      </c>
      <c r="G831" s="40" t="s">
        <v>54</v>
      </c>
      <c r="H831" s="9">
        <v>3.6</v>
      </c>
      <c r="I831" s="13">
        <v>71.0</v>
      </c>
      <c r="J831" s="13">
        <v>75.0</v>
      </c>
      <c r="K831" s="17">
        <f t="shared" si="10"/>
        <v>0.8533333333</v>
      </c>
      <c r="L831" s="9">
        <v>0.0</v>
      </c>
      <c r="M831" s="9" t="s">
        <v>57</v>
      </c>
      <c r="O831" s="9" t="s">
        <v>221</v>
      </c>
      <c r="P831" s="40" t="s">
        <v>1729</v>
      </c>
      <c r="Q831" s="33" t="s">
        <v>150</v>
      </c>
      <c r="R831" s="33" t="s">
        <v>2119</v>
      </c>
      <c r="S831" s="9" t="s">
        <v>638</v>
      </c>
      <c r="T831" t="str">
        <f t="shared" si="9"/>
        <v>N</v>
      </c>
      <c r="W831" s="12" t="str">
        <f t="array" ref="W831">if(and(L831=0,Q831="NA"),"NA",if(L831=0,"no lice",if(Q831="NA","no collection",index(sea_lice!G:G,match(C831,sea_lice!A:A,0)))))</f>
        <v>no lice</v>
      </c>
      <c r="X831" s="23">
        <v>830.0</v>
      </c>
    </row>
    <row r="832">
      <c r="A832" s="47"/>
      <c r="B832" s="6">
        <v>17148.0</v>
      </c>
      <c r="C832" s="12" t="str">
        <f t="shared" si="1"/>
        <v>U17148</v>
      </c>
      <c r="D832" s="14" t="str">
        <f t="array" ref="D832">iferror(index('2018_ufns'!E:E,match(C832,'2018_ufns'!B:B,0)))</f>
        <v>P1115</v>
      </c>
      <c r="E832" s="14">
        <v>43418.0</v>
      </c>
      <c r="F832" s="40" t="s">
        <v>53</v>
      </c>
      <c r="G832" s="40" t="s">
        <v>54</v>
      </c>
      <c r="H832" s="9">
        <v>14.8</v>
      </c>
      <c r="I832" s="13">
        <v>114.0</v>
      </c>
      <c r="J832" s="13">
        <v>119.0</v>
      </c>
      <c r="K832" s="17">
        <f t="shared" si="10"/>
        <v>0.878255405</v>
      </c>
      <c r="L832" s="9">
        <v>0.0</v>
      </c>
      <c r="M832" s="9" t="s">
        <v>57</v>
      </c>
      <c r="O832" s="9" t="s">
        <v>221</v>
      </c>
      <c r="P832" s="40" t="s">
        <v>1729</v>
      </c>
      <c r="Q832" s="33" t="s">
        <v>150</v>
      </c>
      <c r="R832" s="33" t="s">
        <v>2119</v>
      </c>
      <c r="S832" s="9" t="s">
        <v>638</v>
      </c>
      <c r="T832" t="str">
        <f t="shared" si="9"/>
        <v>N</v>
      </c>
      <c r="W832" s="12" t="str">
        <f t="array" ref="W832">if(and(L832=0,Q832="NA"),"NA",if(L832=0,"no lice",if(Q832="NA","no collection",index(sea_lice!G:G,match(C832,sea_lice!A:A,0)))))</f>
        <v>no lice</v>
      </c>
      <c r="X832" s="23">
        <v>831.0</v>
      </c>
    </row>
    <row r="833">
      <c r="A833" s="47"/>
      <c r="B833" s="6">
        <v>17149.0</v>
      </c>
      <c r="C833" s="12" t="str">
        <f t="shared" si="1"/>
        <v>U17149</v>
      </c>
      <c r="D833" s="14" t="str">
        <f t="array" ref="D833">iferror(index('2018_ufns'!E:E,match(C833,'2018_ufns'!B:B,0)))</f>
        <v>P1115</v>
      </c>
      <c r="E833" s="14">
        <v>43418.0</v>
      </c>
      <c r="F833" s="40" t="s">
        <v>53</v>
      </c>
      <c r="G833" s="40" t="s">
        <v>54</v>
      </c>
      <c r="H833" s="9">
        <v>6.4</v>
      </c>
      <c r="I833" s="13">
        <v>85.0</v>
      </c>
      <c r="J833" s="13">
        <v>89.0</v>
      </c>
      <c r="K833" s="17">
        <f t="shared" si="10"/>
        <v>0.9078413377</v>
      </c>
      <c r="L833" s="9">
        <v>0.0</v>
      </c>
      <c r="M833" s="9" t="s">
        <v>57</v>
      </c>
      <c r="O833" s="9" t="s">
        <v>221</v>
      </c>
      <c r="P833" s="40" t="s">
        <v>1729</v>
      </c>
      <c r="Q833" s="33" t="s">
        <v>150</v>
      </c>
      <c r="R833" s="33" t="s">
        <v>2119</v>
      </c>
      <c r="S833" s="9" t="s">
        <v>638</v>
      </c>
      <c r="T833" t="str">
        <f t="shared" si="9"/>
        <v>N</v>
      </c>
      <c r="W833" s="12" t="str">
        <f t="array" ref="W833">if(and(L833=0,Q833="NA"),"NA",if(L833=0,"no lice",if(Q833="NA","no collection",index(sea_lice!G:G,match(C833,sea_lice!A:A,0)))))</f>
        <v>no lice</v>
      </c>
      <c r="X833" s="23">
        <v>832.0</v>
      </c>
    </row>
    <row r="834">
      <c r="A834" s="47"/>
      <c r="B834" s="6">
        <v>17150.0</v>
      </c>
      <c r="C834" s="12" t="str">
        <f t="shared" si="1"/>
        <v>U17150</v>
      </c>
      <c r="D834" s="14" t="str">
        <f t="array" ref="D834">iferror(index('2018_ufns'!E:E,match(C834,'2018_ufns'!B:B,0)))</f>
        <v>P1115</v>
      </c>
      <c r="E834" s="14">
        <v>43418.0</v>
      </c>
      <c r="F834" s="40" t="s">
        <v>53</v>
      </c>
      <c r="G834" s="40" t="s">
        <v>54</v>
      </c>
      <c r="H834" s="9">
        <v>3.8</v>
      </c>
      <c r="I834" s="13">
        <v>76.0</v>
      </c>
      <c r="J834" s="13">
        <v>80.0</v>
      </c>
      <c r="K834" s="17">
        <f t="shared" si="10"/>
        <v>0.7421875</v>
      </c>
      <c r="L834" s="9">
        <v>0.0</v>
      </c>
      <c r="M834" s="9" t="s">
        <v>57</v>
      </c>
      <c r="O834" s="9" t="s">
        <v>221</v>
      </c>
      <c r="P834" s="40" t="s">
        <v>1729</v>
      </c>
      <c r="Q834" s="33" t="s">
        <v>150</v>
      </c>
      <c r="R834" s="33" t="s">
        <v>2119</v>
      </c>
      <c r="S834" s="9" t="s">
        <v>638</v>
      </c>
      <c r="T834" t="str">
        <f t="shared" si="9"/>
        <v>N</v>
      </c>
      <c r="W834" s="12" t="str">
        <f t="array" ref="W834">if(and(L834=0,Q834="NA"),"NA",if(L834=0,"no lice",if(Q834="NA","no collection",index(sea_lice!G:G,match(C834,sea_lice!A:A,0)))))</f>
        <v>no lice</v>
      </c>
      <c r="X834" s="23">
        <v>833.0</v>
      </c>
    </row>
    <row r="835">
      <c r="A835" s="47"/>
      <c r="B835" s="6">
        <v>17321.0</v>
      </c>
      <c r="C835" s="12" t="str">
        <f t="shared" si="1"/>
        <v>U17321</v>
      </c>
      <c r="D835" s="14" t="str">
        <f t="array" ref="D835">iferror(index('2018_ufns'!E:E,match(C835,'2018_ufns'!B:B,0)))</f>
        <v>P1133</v>
      </c>
      <c r="E835" s="14">
        <v>43418.0</v>
      </c>
      <c r="F835" s="40" t="s">
        <v>53</v>
      </c>
      <c r="G835" s="40" t="s">
        <v>54</v>
      </c>
      <c r="H835" s="9">
        <v>23.7</v>
      </c>
      <c r="I835" s="13">
        <v>126.0</v>
      </c>
      <c r="J835" s="13">
        <v>132.0</v>
      </c>
      <c r="K835" s="17">
        <f t="shared" si="10"/>
        <v>1.030449119</v>
      </c>
      <c r="L835" s="9">
        <v>0.0</v>
      </c>
      <c r="M835" s="9" t="s">
        <v>57</v>
      </c>
      <c r="O835" s="9" t="s">
        <v>221</v>
      </c>
      <c r="P835" s="40" t="s">
        <v>1729</v>
      </c>
      <c r="Q835" s="33" t="s">
        <v>62</v>
      </c>
      <c r="R835" s="33" t="s">
        <v>2119</v>
      </c>
      <c r="S835" s="9" t="s">
        <v>638</v>
      </c>
      <c r="T835" t="str">
        <f t="shared" si="9"/>
        <v>N</v>
      </c>
      <c r="W835" s="12" t="str">
        <f t="array" ref="W835">if(and(L835=0,Q835="NA"),"NA",if(L835=0,"no lice",if(Q835="NA","no collection",index(sea_lice!G:G,match(C835,sea_lice!A:A,0)))))</f>
        <v>no lice</v>
      </c>
      <c r="X835" s="23">
        <v>834.0</v>
      </c>
    </row>
    <row r="836">
      <c r="A836" s="47"/>
      <c r="B836" s="6">
        <v>17322.0</v>
      </c>
      <c r="C836" s="12" t="str">
        <f t="shared" si="1"/>
        <v>U17322</v>
      </c>
      <c r="D836" s="14" t="str">
        <f t="array" ref="D836">iferror(index('2018_ufns'!E:E,match(C836,'2018_ufns'!B:B,0)))</f>
        <v>P1133</v>
      </c>
      <c r="E836" s="14">
        <v>43418.0</v>
      </c>
      <c r="F836" s="40" t="s">
        <v>53</v>
      </c>
      <c r="G836" s="40" t="s">
        <v>54</v>
      </c>
      <c r="H836" s="9">
        <v>6.3</v>
      </c>
      <c r="I836" s="13">
        <v>83.0</v>
      </c>
      <c r="J836" s="13">
        <v>88.0</v>
      </c>
      <c r="K836" s="17">
        <f t="shared" si="10"/>
        <v>0.9244693839</v>
      </c>
      <c r="L836" s="9">
        <v>0.0</v>
      </c>
      <c r="M836" s="9" t="s">
        <v>57</v>
      </c>
      <c r="O836" s="9" t="s">
        <v>221</v>
      </c>
      <c r="P836" s="40" t="s">
        <v>1729</v>
      </c>
      <c r="Q836" s="33" t="s">
        <v>62</v>
      </c>
      <c r="R836" s="33" t="s">
        <v>2119</v>
      </c>
      <c r="S836" s="9" t="s">
        <v>638</v>
      </c>
      <c r="T836" t="str">
        <f t="shared" si="9"/>
        <v>N</v>
      </c>
      <c r="W836" s="12" t="str">
        <f t="array" ref="W836">if(and(L836=0,Q836="NA"),"NA",if(L836=0,"no lice",if(Q836="NA","no collection",index(sea_lice!G:G,match(C836,sea_lice!A:A,0)))))</f>
        <v>no lice</v>
      </c>
      <c r="X836" s="23">
        <v>835.0</v>
      </c>
    </row>
    <row r="837">
      <c r="A837" s="47"/>
      <c r="B837" s="6">
        <v>17323.0</v>
      </c>
      <c r="C837" s="12" t="str">
        <f t="shared" si="1"/>
        <v>U17323</v>
      </c>
      <c r="D837" s="14" t="str">
        <f t="array" ref="D837">iferror(index('2018_ufns'!E:E,match(C837,'2018_ufns'!B:B,0)))</f>
        <v>P1133</v>
      </c>
      <c r="E837" s="14">
        <v>43418.0</v>
      </c>
      <c r="F837" s="40" t="s">
        <v>53</v>
      </c>
      <c r="G837" s="40" t="s">
        <v>54</v>
      </c>
      <c r="H837" s="9">
        <v>3.7</v>
      </c>
      <c r="I837" s="13">
        <v>75.0</v>
      </c>
      <c r="J837" s="13">
        <v>79.0</v>
      </c>
      <c r="K837" s="17">
        <f t="shared" si="10"/>
        <v>0.7504477333</v>
      </c>
      <c r="L837" s="9">
        <v>0.0</v>
      </c>
      <c r="M837" s="9" t="s">
        <v>57</v>
      </c>
      <c r="O837" s="9" t="s">
        <v>221</v>
      </c>
      <c r="P837" s="40" t="s">
        <v>1729</v>
      </c>
      <c r="Q837" s="33" t="s">
        <v>62</v>
      </c>
      <c r="R837" s="33" t="s">
        <v>2119</v>
      </c>
      <c r="S837" s="9" t="s">
        <v>638</v>
      </c>
      <c r="T837" t="str">
        <f t="shared" si="9"/>
        <v>N</v>
      </c>
      <c r="W837" s="12" t="str">
        <f t="array" ref="W837">if(and(L837=0,Q837="NA"),"NA",if(L837=0,"no lice",if(Q837="NA","no collection",index(sea_lice!G:G,match(C837,sea_lice!A:A,0)))))</f>
        <v>no lice</v>
      </c>
      <c r="X837" s="23">
        <v>836.0</v>
      </c>
    </row>
    <row r="838">
      <c r="B838" s="6">
        <v>17324.0</v>
      </c>
      <c r="C838" s="12" t="str">
        <f t="shared" si="1"/>
        <v>U17324</v>
      </c>
      <c r="D838" s="14" t="str">
        <f t="array" ref="D838">iferror(index('2018_ufns'!E:E,match(C838,'2018_ufns'!B:B,0)))</f>
        <v>P1133</v>
      </c>
      <c r="E838" s="14">
        <v>43418.0</v>
      </c>
      <c r="F838" s="40" t="s">
        <v>53</v>
      </c>
      <c r="G838" s="40" t="s">
        <v>54</v>
      </c>
      <c r="H838" s="9">
        <v>14.1</v>
      </c>
      <c r="I838" s="13">
        <v>105.0</v>
      </c>
      <c r="J838" s="13">
        <v>110.0</v>
      </c>
      <c r="K838" s="17">
        <f t="shared" si="10"/>
        <v>1.059353869</v>
      </c>
      <c r="L838" s="9">
        <v>0.0</v>
      </c>
      <c r="M838" s="9" t="s">
        <v>57</v>
      </c>
      <c r="O838" s="9" t="s">
        <v>221</v>
      </c>
      <c r="P838" s="40" t="s">
        <v>1729</v>
      </c>
      <c r="Q838" s="33" t="s">
        <v>62</v>
      </c>
      <c r="R838" s="33" t="s">
        <v>2119</v>
      </c>
      <c r="S838" s="9" t="s">
        <v>638</v>
      </c>
      <c r="T838" t="str">
        <f t="shared" si="9"/>
        <v>N</v>
      </c>
      <c r="W838" s="12" t="str">
        <f t="array" ref="W838">if(and(L838=0,Q838="NA"),"NA",if(L838=0,"no lice",if(Q838="NA","no collection",index(sea_lice!G:G,match(C838,sea_lice!A:A,0)))))</f>
        <v>no lice</v>
      </c>
      <c r="X838" s="23">
        <v>837.0</v>
      </c>
    </row>
    <row r="839">
      <c r="A839" s="31"/>
      <c r="B839" s="6">
        <v>17325.0</v>
      </c>
      <c r="C839" s="12" t="str">
        <f t="shared" si="1"/>
        <v>U17325</v>
      </c>
      <c r="D839" s="14" t="str">
        <f t="array" ref="D839">iferror(index('2018_ufns'!E:E,match(C839,'2018_ufns'!B:B,0)))</f>
        <v>P1133</v>
      </c>
      <c r="E839" s="14">
        <v>43418.0</v>
      </c>
      <c r="F839" s="40" t="s">
        <v>53</v>
      </c>
      <c r="G839" s="40" t="s">
        <v>54</v>
      </c>
      <c r="H839" s="9">
        <v>5.5</v>
      </c>
      <c r="I839" s="13">
        <v>82.0</v>
      </c>
      <c r="J839" s="13">
        <v>86.0</v>
      </c>
      <c r="K839" s="17">
        <f t="shared" si="10"/>
        <v>0.8647037368</v>
      </c>
      <c r="L839" s="9">
        <v>0.0</v>
      </c>
      <c r="M839" s="9" t="s">
        <v>57</v>
      </c>
      <c r="O839" s="9" t="s">
        <v>221</v>
      </c>
      <c r="P839" s="40" t="s">
        <v>1729</v>
      </c>
      <c r="Q839" s="33" t="s">
        <v>62</v>
      </c>
      <c r="R839" s="33" t="s">
        <v>2119</v>
      </c>
      <c r="S839" s="9" t="s">
        <v>638</v>
      </c>
      <c r="T839" t="str">
        <f t="shared" si="9"/>
        <v>N</v>
      </c>
      <c r="W839" s="12" t="str">
        <f t="array" ref="W839">if(and(L839=0,Q839="NA"),"NA",if(L839=0,"no lice",if(Q839="NA","no collection",index(sea_lice!G:G,match(C839,sea_lice!A:A,0)))))</f>
        <v>no lice</v>
      </c>
      <c r="X839" s="23">
        <v>838.0</v>
      </c>
    </row>
    <row r="840">
      <c r="A840" s="31"/>
      <c r="B840" s="6">
        <v>17346.0</v>
      </c>
      <c r="C840" s="12" t="str">
        <f t="shared" si="1"/>
        <v>U17346</v>
      </c>
      <c r="D840" s="14" t="str">
        <f t="array" ref="D840">iferror(index('2018_ufns'!E:E,match(C840,'2018_ufns'!B:B,0)))</f>
        <v>P1135</v>
      </c>
      <c r="E840" s="14">
        <v>43419.0</v>
      </c>
      <c r="F840" s="40" t="s">
        <v>53</v>
      </c>
      <c r="G840" s="40" t="s">
        <v>54</v>
      </c>
      <c r="H840" s="9">
        <v>7.2</v>
      </c>
      <c r="I840" s="13">
        <v>87.0</v>
      </c>
      <c r="J840" s="13">
        <v>92.0</v>
      </c>
      <c r="K840" s="17">
        <f t="shared" si="10"/>
        <v>0.9246322019</v>
      </c>
      <c r="L840" s="9">
        <v>0.0</v>
      </c>
      <c r="M840" s="9" t="s">
        <v>57</v>
      </c>
      <c r="O840" s="9" t="s">
        <v>638</v>
      </c>
      <c r="P840" s="40" t="s">
        <v>1729</v>
      </c>
      <c r="Q840" s="33" t="s">
        <v>150</v>
      </c>
      <c r="R840" s="33" t="s">
        <v>2119</v>
      </c>
      <c r="S840" s="9" t="s">
        <v>221</v>
      </c>
      <c r="T840" t="str">
        <f t="shared" si="9"/>
        <v>N</v>
      </c>
      <c r="W840" s="12" t="str">
        <f t="array" ref="W840">if(and(L840=0,Q840="NA"),"NA",if(L840=0,"no lice",if(Q840="NA","no collection",index(sea_lice!G:G,match(C840,sea_lice!A:A,0)))))</f>
        <v>no lice</v>
      </c>
      <c r="X840" s="23">
        <v>839.0</v>
      </c>
    </row>
    <row r="841">
      <c r="A841" s="31"/>
      <c r="B841" s="6">
        <v>17344.0</v>
      </c>
      <c r="C841" s="12" t="str">
        <f t="shared" si="1"/>
        <v>U17344</v>
      </c>
      <c r="D841" s="14" t="str">
        <f t="array" ref="D841">iferror(index('2018_ufns'!E:E,match(C841,'2018_ufns'!B:B,0)))</f>
        <v>P1135</v>
      </c>
      <c r="E841" s="14">
        <v>43419.0</v>
      </c>
      <c r="F841" s="40" t="s">
        <v>53</v>
      </c>
      <c r="G841" s="40" t="s">
        <v>54</v>
      </c>
      <c r="H841" s="9">
        <v>7.0</v>
      </c>
      <c r="I841" s="13">
        <v>92.0</v>
      </c>
      <c r="J841" s="13">
        <v>98.0</v>
      </c>
      <c r="K841" s="17">
        <f t="shared" si="10"/>
        <v>0.7437377283</v>
      </c>
      <c r="L841" s="9">
        <v>0.0</v>
      </c>
      <c r="M841" s="9" t="s">
        <v>57</v>
      </c>
      <c r="O841" s="9" t="s">
        <v>638</v>
      </c>
      <c r="P841" s="40" t="s">
        <v>1729</v>
      </c>
      <c r="Q841" s="33" t="s">
        <v>150</v>
      </c>
      <c r="R841" s="33" t="s">
        <v>2119</v>
      </c>
      <c r="S841" s="9" t="s">
        <v>221</v>
      </c>
      <c r="T841" t="str">
        <f t="shared" si="9"/>
        <v>N</v>
      </c>
      <c r="W841" s="12" t="str">
        <f t="array" ref="W841">if(and(L841=0,Q841="NA"),"NA",if(L841=0,"no lice",if(Q841="NA","no collection",index(sea_lice!G:G,match(C841,sea_lice!A:A,0)))))</f>
        <v>no lice</v>
      </c>
      <c r="X841" s="23">
        <v>840.0</v>
      </c>
    </row>
    <row r="842">
      <c r="A842" s="31"/>
      <c r="B842" s="6">
        <v>17218.0</v>
      </c>
      <c r="C842" s="12" t="str">
        <f t="shared" si="1"/>
        <v>U17218</v>
      </c>
      <c r="D842" s="14" t="str">
        <f t="array" ref="D842">iferror(index('2018_ufns'!E:E,match(C842,'2018_ufns'!B:B,0)))</f>
        <v>P1122</v>
      </c>
      <c r="E842" s="14">
        <v>43419.0</v>
      </c>
      <c r="F842" s="40" t="s">
        <v>53</v>
      </c>
      <c r="G842" s="40" t="s">
        <v>54</v>
      </c>
      <c r="H842" s="9">
        <v>13.2</v>
      </c>
      <c r="I842" s="13">
        <v>107.0</v>
      </c>
      <c r="J842" s="13">
        <v>112.0</v>
      </c>
      <c r="K842" s="17">
        <f t="shared" si="10"/>
        <v>0.9395499271</v>
      </c>
      <c r="L842" s="9">
        <v>0.0</v>
      </c>
      <c r="M842" s="9" t="s">
        <v>57</v>
      </c>
      <c r="O842" s="9" t="s">
        <v>638</v>
      </c>
      <c r="P842" s="40" t="s">
        <v>1729</v>
      </c>
      <c r="Q842" s="33" t="s">
        <v>150</v>
      </c>
      <c r="R842" s="33" t="s">
        <v>2119</v>
      </c>
      <c r="S842" s="9" t="s">
        <v>221</v>
      </c>
      <c r="T842" t="str">
        <f t="shared" si="9"/>
        <v>N</v>
      </c>
      <c r="W842" s="12" t="str">
        <f t="array" ref="W842">if(and(L842=0,Q842="NA"),"NA",if(L842=0,"no lice",if(Q842="NA","no collection",index(sea_lice!G:G,match(C842,sea_lice!A:A,0)))))</f>
        <v>no lice</v>
      </c>
      <c r="X842" s="23">
        <v>841.0</v>
      </c>
    </row>
    <row r="843">
      <c r="A843" s="31"/>
      <c r="B843" s="6">
        <v>17215.0</v>
      </c>
      <c r="C843" s="12" t="str">
        <f t="shared" si="1"/>
        <v>U17215</v>
      </c>
      <c r="D843" s="14" t="str">
        <f t="array" ref="D843">iferror(index('2018_ufns'!E:E,match(C843,'2018_ufns'!B:B,0)))</f>
        <v>P1122</v>
      </c>
      <c r="E843" s="14">
        <v>43419.0</v>
      </c>
      <c r="F843" s="40" t="s">
        <v>53</v>
      </c>
      <c r="G843" s="40" t="s">
        <v>54</v>
      </c>
      <c r="H843" s="9">
        <v>7.2</v>
      </c>
      <c r="I843" s="13">
        <v>94.0</v>
      </c>
      <c r="J843" s="13">
        <v>99.0</v>
      </c>
      <c r="K843" s="17">
        <f t="shared" si="10"/>
        <v>0.7420393095</v>
      </c>
      <c r="L843" s="9">
        <v>1.0</v>
      </c>
      <c r="M843" s="9" t="s">
        <v>57</v>
      </c>
      <c r="O843" s="9" t="s">
        <v>638</v>
      </c>
      <c r="P843" s="40" t="s">
        <v>1729</v>
      </c>
      <c r="Q843" s="33" t="s">
        <v>150</v>
      </c>
      <c r="R843" s="33" t="s">
        <v>2119</v>
      </c>
      <c r="S843" s="9" t="s">
        <v>221</v>
      </c>
      <c r="T843" t="str">
        <f t="shared" si="9"/>
        <v>N</v>
      </c>
      <c r="W843" s="12" t="str">
        <f t="array" ref="W843">if(and(L843=0,Q843="NA"),"NA",if(L843=0,"no lice",if(Q843="NA","no collection",index(sea_lice!G:G,match(C843,sea_lice!A:A,0)))))</f>
        <v>BSL6-90</v>
      </c>
      <c r="X843" s="23">
        <v>842.0</v>
      </c>
    </row>
    <row r="844">
      <c r="A844" s="31"/>
      <c r="B844" s="6">
        <v>17219.0</v>
      </c>
      <c r="C844" s="12" t="str">
        <f t="shared" si="1"/>
        <v>U17219</v>
      </c>
      <c r="D844" s="14" t="str">
        <f t="array" ref="D844">iferror(index('2018_ufns'!E:E,match(C844,'2018_ufns'!B:B,0)))</f>
        <v>P1122</v>
      </c>
      <c r="E844" s="14">
        <v>43419.0</v>
      </c>
      <c r="F844" s="40" t="s">
        <v>53</v>
      </c>
      <c r="G844" s="40" t="s">
        <v>54</v>
      </c>
      <c r="H844" s="9">
        <v>6.4</v>
      </c>
      <c r="I844" s="13">
        <v>88.0</v>
      </c>
      <c r="J844" s="13">
        <v>93.0</v>
      </c>
      <c r="K844" s="17">
        <f t="shared" si="10"/>
        <v>0.7956666008</v>
      </c>
      <c r="L844" s="9">
        <v>0.0</v>
      </c>
      <c r="M844" s="9" t="s">
        <v>57</v>
      </c>
      <c r="O844" s="9" t="s">
        <v>638</v>
      </c>
      <c r="P844" s="40" t="s">
        <v>1729</v>
      </c>
      <c r="Q844" s="33" t="s">
        <v>150</v>
      </c>
      <c r="R844" s="33" t="s">
        <v>2119</v>
      </c>
      <c r="S844" s="9" t="s">
        <v>221</v>
      </c>
      <c r="T844" t="str">
        <f t="shared" si="9"/>
        <v>N</v>
      </c>
      <c r="W844" s="12" t="str">
        <f t="array" ref="W844">if(and(L844=0,Q844="NA"),"NA",if(L844=0,"no lice",if(Q844="NA","no collection",index(sea_lice!G:G,match(C844,sea_lice!A:A,0)))))</f>
        <v>no lice</v>
      </c>
      <c r="X844" s="23">
        <v>843.0</v>
      </c>
    </row>
    <row r="845">
      <c r="A845" s="31"/>
      <c r="B845" s="6">
        <v>17220.0</v>
      </c>
      <c r="C845" s="12" t="str">
        <f t="shared" si="1"/>
        <v>U17220</v>
      </c>
      <c r="D845" s="14" t="str">
        <f t="array" ref="D845">iferror(index('2018_ufns'!E:E,match(C845,'2018_ufns'!B:B,0)))</f>
        <v>P1122</v>
      </c>
      <c r="E845" s="14">
        <v>43419.0</v>
      </c>
      <c r="F845" s="40" t="s">
        <v>53</v>
      </c>
      <c r="G845" s="40" t="s">
        <v>54</v>
      </c>
      <c r="H845" s="9">
        <v>7.4</v>
      </c>
      <c r="I845" s="13">
        <v>93.0</v>
      </c>
      <c r="J845" s="13">
        <v>98.0</v>
      </c>
      <c r="K845" s="17">
        <f t="shared" si="10"/>
        <v>0.7862370271</v>
      </c>
      <c r="L845" s="9">
        <v>0.0</v>
      </c>
      <c r="M845" s="9" t="s">
        <v>57</v>
      </c>
      <c r="O845" s="9" t="s">
        <v>638</v>
      </c>
      <c r="P845" s="40" t="s">
        <v>1729</v>
      </c>
      <c r="Q845" s="33" t="s">
        <v>150</v>
      </c>
      <c r="R845" s="33" t="s">
        <v>2119</v>
      </c>
      <c r="S845" s="9" t="s">
        <v>221</v>
      </c>
      <c r="T845" t="str">
        <f t="shared" si="9"/>
        <v>N</v>
      </c>
      <c r="W845" s="12" t="str">
        <f t="array" ref="W845">if(and(L845=0,Q845="NA"),"NA",if(L845=0,"no lice",if(Q845="NA","no collection",index(sea_lice!G:G,match(C845,sea_lice!A:A,0)))))</f>
        <v>no lice</v>
      </c>
      <c r="X845" s="23">
        <v>844.0</v>
      </c>
    </row>
    <row r="846">
      <c r="A846" s="31"/>
      <c r="B846" s="6">
        <v>17211.0</v>
      </c>
      <c r="C846" s="12" t="str">
        <f t="shared" si="1"/>
        <v>U17211</v>
      </c>
      <c r="D846" s="14" t="str">
        <f t="array" ref="D846">iferror(index('2018_ufns'!E:E,match(C846,'2018_ufns'!B:B,0)))</f>
        <v>P1122</v>
      </c>
      <c r="E846" s="14">
        <v>43419.0</v>
      </c>
      <c r="F846" s="40" t="s">
        <v>53</v>
      </c>
      <c r="G846" s="40" t="s">
        <v>54</v>
      </c>
      <c r="H846" s="9">
        <v>3.9</v>
      </c>
      <c r="I846" s="13">
        <v>75.0</v>
      </c>
      <c r="J846" s="13">
        <v>78.0</v>
      </c>
      <c r="K846" s="17">
        <f t="shared" si="10"/>
        <v>0.8218277449</v>
      </c>
      <c r="L846" s="9">
        <v>0.0</v>
      </c>
      <c r="M846" s="9" t="s">
        <v>57</v>
      </c>
      <c r="O846" s="9" t="s">
        <v>638</v>
      </c>
      <c r="P846" s="40" t="s">
        <v>1729</v>
      </c>
      <c r="Q846" s="33" t="s">
        <v>150</v>
      </c>
      <c r="R846" s="33" t="s">
        <v>2119</v>
      </c>
      <c r="S846" s="9" t="s">
        <v>221</v>
      </c>
      <c r="T846" t="str">
        <f t="shared" si="9"/>
        <v>N</v>
      </c>
      <c r="W846" s="12" t="str">
        <f t="array" ref="W846">if(and(L846=0,Q846="NA"),"NA",if(L846=0,"no lice",if(Q846="NA","no collection",index(sea_lice!G:G,match(C846,sea_lice!A:A,0)))))</f>
        <v>no lice</v>
      </c>
      <c r="X846" s="23">
        <v>845.0</v>
      </c>
    </row>
    <row r="847">
      <c r="A847" s="31"/>
      <c r="B847" s="6">
        <v>17217.0</v>
      </c>
      <c r="C847" s="12" t="str">
        <f t="shared" si="1"/>
        <v>U17217</v>
      </c>
      <c r="D847" s="14" t="str">
        <f t="array" ref="D847">iferror(index('2018_ufns'!E:E,match(C847,'2018_ufns'!B:B,0)))</f>
        <v>P1122</v>
      </c>
      <c r="E847" s="14">
        <v>43419.0</v>
      </c>
      <c r="F847" s="40" t="s">
        <v>53</v>
      </c>
      <c r="G847" s="40" t="s">
        <v>54</v>
      </c>
      <c r="H847" s="9">
        <v>19.9</v>
      </c>
      <c r="I847" s="13">
        <v>122.0</v>
      </c>
      <c r="J847" s="13">
        <v>127.0</v>
      </c>
      <c r="K847" s="17">
        <f t="shared" si="10"/>
        <v>0.971498006</v>
      </c>
      <c r="L847" s="9">
        <v>0.0</v>
      </c>
      <c r="M847" s="9" t="s">
        <v>57</v>
      </c>
      <c r="O847" s="9" t="s">
        <v>638</v>
      </c>
      <c r="P847" s="40" t="s">
        <v>1729</v>
      </c>
      <c r="Q847" s="33" t="s">
        <v>150</v>
      </c>
      <c r="R847" s="33" t="s">
        <v>2119</v>
      </c>
      <c r="S847" s="9" t="s">
        <v>221</v>
      </c>
      <c r="T847" t="str">
        <f t="shared" si="9"/>
        <v>N</v>
      </c>
      <c r="W847" s="12" t="str">
        <f t="array" ref="W847">if(and(L847=0,Q847="NA"),"NA",if(L847=0,"no lice",if(Q847="NA","no collection",index(sea_lice!G:G,match(C847,sea_lice!A:A,0)))))</f>
        <v>no lice</v>
      </c>
      <c r="X847" s="23">
        <v>846.0</v>
      </c>
    </row>
    <row r="848">
      <c r="A848" s="31"/>
      <c r="B848" s="6">
        <v>17213.0</v>
      </c>
      <c r="C848" s="12" t="str">
        <f t="shared" si="1"/>
        <v>U17213</v>
      </c>
      <c r="D848" s="14" t="str">
        <f t="array" ref="D848">iferror(index('2018_ufns'!E:E,match(C848,'2018_ufns'!B:B,0)))</f>
        <v>P1122</v>
      </c>
      <c r="E848" s="14">
        <v>43419.0</v>
      </c>
      <c r="F848" s="40" t="s">
        <v>53</v>
      </c>
      <c r="G848" s="40" t="s">
        <v>54</v>
      </c>
      <c r="H848" s="9">
        <v>7.2</v>
      </c>
      <c r="I848" s="13">
        <v>91.0</v>
      </c>
      <c r="J848" s="13">
        <v>95.0</v>
      </c>
      <c r="K848" s="17">
        <f t="shared" si="10"/>
        <v>0.8397725616</v>
      </c>
      <c r="L848" s="9">
        <v>0.0</v>
      </c>
      <c r="M848" s="9" t="s">
        <v>57</v>
      </c>
      <c r="O848" s="9" t="s">
        <v>638</v>
      </c>
      <c r="P848" s="40" t="s">
        <v>1729</v>
      </c>
      <c r="Q848" s="33" t="s">
        <v>150</v>
      </c>
      <c r="R848" s="33" t="s">
        <v>2119</v>
      </c>
      <c r="S848" s="9" t="s">
        <v>221</v>
      </c>
      <c r="T848" t="str">
        <f t="shared" si="9"/>
        <v>N</v>
      </c>
      <c r="W848" s="12" t="str">
        <f t="array" ref="W848">if(and(L848=0,Q848="NA"),"NA",if(L848=0,"no lice",if(Q848="NA","no collection",index(sea_lice!G:G,match(C848,sea_lice!A:A,0)))))</f>
        <v>no lice</v>
      </c>
      <c r="X848" s="23">
        <v>847.0</v>
      </c>
    </row>
    <row r="849">
      <c r="A849" s="31"/>
      <c r="B849" s="6">
        <v>17212.0</v>
      </c>
      <c r="C849" s="12" t="str">
        <f t="shared" si="1"/>
        <v>U17212</v>
      </c>
      <c r="D849" s="14" t="str">
        <f t="array" ref="D849">iferror(index('2018_ufns'!E:E,match(C849,'2018_ufns'!B:B,0)))</f>
        <v>P1122</v>
      </c>
      <c r="E849" s="14">
        <v>43419.0</v>
      </c>
      <c r="F849" s="40" t="s">
        <v>53</v>
      </c>
      <c r="G849" s="40" t="s">
        <v>54</v>
      </c>
      <c r="H849" s="9">
        <v>7.3</v>
      </c>
      <c r="I849" s="13">
        <v>91.0</v>
      </c>
      <c r="J849" s="13">
        <v>96.0</v>
      </c>
      <c r="K849" s="17">
        <f t="shared" si="10"/>
        <v>0.82510489</v>
      </c>
      <c r="L849" s="9">
        <v>0.0</v>
      </c>
      <c r="M849" s="9" t="s">
        <v>57</v>
      </c>
      <c r="O849" s="9" t="s">
        <v>638</v>
      </c>
      <c r="P849" s="40" t="s">
        <v>1729</v>
      </c>
      <c r="Q849" s="33" t="s">
        <v>150</v>
      </c>
      <c r="R849" s="33" t="s">
        <v>2119</v>
      </c>
      <c r="S849" s="9" t="s">
        <v>221</v>
      </c>
      <c r="T849" t="str">
        <f t="shared" si="9"/>
        <v>N</v>
      </c>
      <c r="W849" s="12" t="str">
        <f t="array" ref="W849">if(and(L849=0,Q849="NA"),"NA",if(L849=0,"no lice",if(Q849="NA","no collection",index(sea_lice!G:G,match(C849,sea_lice!A:A,0)))))</f>
        <v>no lice</v>
      </c>
      <c r="X849" s="23">
        <v>848.0</v>
      </c>
    </row>
    <row r="850">
      <c r="A850" s="31"/>
      <c r="B850" s="6">
        <v>17216.0</v>
      </c>
      <c r="C850" s="12" t="str">
        <f t="shared" si="1"/>
        <v>U17216</v>
      </c>
      <c r="D850" s="14" t="str">
        <f t="array" ref="D850">iferror(index('2018_ufns'!E:E,match(C850,'2018_ufns'!B:B,0)))</f>
        <v>P1122</v>
      </c>
      <c r="E850" s="14">
        <v>43419.0</v>
      </c>
      <c r="F850" s="40" t="s">
        <v>53</v>
      </c>
      <c r="G850" s="40" t="s">
        <v>54</v>
      </c>
      <c r="H850" s="9">
        <v>4.0</v>
      </c>
      <c r="I850" s="13">
        <v>75.0</v>
      </c>
      <c r="J850" s="13">
        <v>80.0</v>
      </c>
      <c r="K850" s="17">
        <f t="shared" si="10"/>
        <v>0.78125</v>
      </c>
      <c r="L850" s="9">
        <v>0.0</v>
      </c>
      <c r="M850" s="9" t="s">
        <v>57</v>
      </c>
      <c r="O850" s="9" t="s">
        <v>638</v>
      </c>
      <c r="P850" s="40" t="s">
        <v>1729</v>
      </c>
      <c r="Q850" s="33" t="s">
        <v>150</v>
      </c>
      <c r="R850" s="33" t="s">
        <v>2119</v>
      </c>
      <c r="S850" s="9" t="s">
        <v>221</v>
      </c>
      <c r="T850" t="str">
        <f t="shared" si="9"/>
        <v>N</v>
      </c>
      <c r="W850" s="12" t="str">
        <f t="array" ref="W850">if(and(L850=0,Q850="NA"),"NA",if(L850=0,"no lice",if(Q850="NA","no collection",index(sea_lice!G:G,match(C850,sea_lice!A:A,0)))))</f>
        <v>no lice</v>
      </c>
      <c r="X850" s="23">
        <v>849.0</v>
      </c>
    </row>
    <row r="851">
      <c r="A851" s="31"/>
      <c r="B851" s="6">
        <v>17214.0</v>
      </c>
      <c r="C851" s="12" t="str">
        <f t="shared" si="1"/>
        <v>U17214</v>
      </c>
      <c r="D851" s="14" t="str">
        <f t="array" ref="D851">iferror(index('2018_ufns'!E:E,match(C851,'2018_ufns'!B:B,0)))</f>
        <v>P1122</v>
      </c>
      <c r="E851" s="14">
        <v>43419.0</v>
      </c>
      <c r="F851" s="40" t="s">
        <v>53</v>
      </c>
      <c r="G851" s="40" t="s">
        <v>54</v>
      </c>
      <c r="H851" s="9">
        <v>9.8</v>
      </c>
      <c r="I851" s="13">
        <v>100.0</v>
      </c>
      <c r="J851" s="13">
        <v>105.0</v>
      </c>
      <c r="K851" s="17">
        <f t="shared" si="10"/>
        <v>0.8465608466</v>
      </c>
      <c r="L851" s="9">
        <v>0.0</v>
      </c>
      <c r="M851" s="9" t="s">
        <v>57</v>
      </c>
      <c r="O851" s="9" t="s">
        <v>638</v>
      </c>
      <c r="P851" s="40" t="s">
        <v>1729</v>
      </c>
      <c r="Q851" s="33" t="s">
        <v>150</v>
      </c>
      <c r="R851" s="33" t="s">
        <v>2119</v>
      </c>
      <c r="S851" s="9" t="s">
        <v>221</v>
      </c>
      <c r="T851" t="str">
        <f t="shared" si="9"/>
        <v>N</v>
      </c>
      <c r="W851" s="12" t="str">
        <f t="array" ref="W851">if(and(L851=0,Q851="NA"),"NA",if(L851=0,"no lice",if(Q851="NA","no collection",index(sea_lice!G:G,match(C851,sea_lice!A:A,0)))))</f>
        <v>no lice</v>
      </c>
      <c r="X851" s="23">
        <v>850.0</v>
      </c>
    </row>
    <row r="852">
      <c r="A852" s="31"/>
      <c r="B852" s="6">
        <v>17170.0</v>
      </c>
      <c r="C852" s="12" t="str">
        <f t="shared" si="1"/>
        <v>U17170</v>
      </c>
      <c r="D852" s="14" t="str">
        <f t="array" ref="D852">iferror(index('2018_ufns'!E:E,match(C852,'2018_ufns'!B:B,0)))</f>
        <v>P1117</v>
      </c>
      <c r="E852" s="14">
        <v>43419.0</v>
      </c>
      <c r="F852" s="40" t="s">
        <v>53</v>
      </c>
      <c r="G852" s="40" t="s">
        <v>54</v>
      </c>
      <c r="H852" s="9">
        <v>8.5</v>
      </c>
      <c r="I852" s="13">
        <v>88.0</v>
      </c>
      <c r="J852" s="13">
        <v>92.0</v>
      </c>
      <c r="K852" s="17">
        <f t="shared" si="10"/>
        <v>1.091579683</v>
      </c>
      <c r="L852" s="9">
        <v>1.0</v>
      </c>
      <c r="M852" s="9" t="s">
        <v>57</v>
      </c>
      <c r="O852" s="9" t="s">
        <v>638</v>
      </c>
      <c r="P852" s="40" t="s">
        <v>1729</v>
      </c>
      <c r="Q852" s="33" t="s">
        <v>150</v>
      </c>
      <c r="R852" s="33" t="s">
        <v>2119</v>
      </c>
      <c r="S852" s="9" t="s">
        <v>221</v>
      </c>
      <c r="T852" t="str">
        <f t="shared" si="9"/>
        <v>N</v>
      </c>
      <c r="W852" s="12" t="str">
        <f t="array" ref="W852">if(and(L852=0,Q852="NA"),"NA",if(L852=0,"no lice",if(Q852="NA","no collection",index(sea_lice!G:G,match(C852,sea_lice!A:A,0)))))</f>
        <v>BSL6-91</v>
      </c>
      <c r="X852" s="23">
        <v>851.0</v>
      </c>
    </row>
    <row r="853">
      <c r="A853" s="31"/>
      <c r="B853" s="6">
        <v>17161.0</v>
      </c>
      <c r="C853" s="12" t="str">
        <f t="shared" si="1"/>
        <v>U17161</v>
      </c>
      <c r="D853" s="14" t="str">
        <f t="array" ref="D853">iferror(index('2018_ufns'!E:E,match(C853,'2018_ufns'!B:B,0)))</f>
        <v>P1117</v>
      </c>
      <c r="E853" s="14">
        <v>43419.0</v>
      </c>
      <c r="F853" s="40" t="s">
        <v>53</v>
      </c>
      <c r="G853" s="40" t="s">
        <v>54</v>
      </c>
      <c r="H853" s="9">
        <v>10.5</v>
      </c>
      <c r="I853" s="13">
        <v>102.0</v>
      </c>
      <c r="J853" s="13" t="s">
        <v>63</v>
      </c>
      <c r="K853" s="17" t="str">
        <f t="shared" si="10"/>
        <v/>
      </c>
      <c r="L853" s="9">
        <v>0.0</v>
      </c>
      <c r="M853" s="9" t="s">
        <v>57</v>
      </c>
      <c r="O853" s="9" t="s">
        <v>638</v>
      </c>
      <c r="P853" s="40" t="s">
        <v>1729</v>
      </c>
      <c r="Q853" s="33" t="s">
        <v>150</v>
      </c>
      <c r="R853" s="33" t="s">
        <v>2119</v>
      </c>
      <c r="S853" s="9" t="s">
        <v>221</v>
      </c>
      <c r="T853" t="str">
        <f t="shared" si="9"/>
        <v>N</v>
      </c>
      <c r="W853" s="12" t="str">
        <f t="array" ref="W853">if(and(L853=0,Q853="NA"),"NA",if(L853=0,"no lice",if(Q853="NA","no collection",index(sea_lice!G:G,match(C853,sea_lice!A:A,0)))))</f>
        <v>no lice</v>
      </c>
      <c r="X853" s="23">
        <v>852.0</v>
      </c>
    </row>
    <row r="854">
      <c r="B854" s="6">
        <v>17165.0</v>
      </c>
      <c r="C854" s="12" t="str">
        <f t="shared" si="1"/>
        <v>U17165</v>
      </c>
      <c r="D854" s="14" t="str">
        <f t="array" ref="D854">iferror(index('2018_ufns'!E:E,match(C854,'2018_ufns'!B:B,0)))</f>
        <v>P1117</v>
      </c>
      <c r="E854" s="14">
        <v>43419.0</v>
      </c>
      <c r="F854" s="40" t="s">
        <v>53</v>
      </c>
      <c r="G854" s="40" t="s">
        <v>54</v>
      </c>
      <c r="H854" s="9">
        <v>17.2</v>
      </c>
      <c r="I854" s="13">
        <v>118.0</v>
      </c>
      <c r="J854" s="13">
        <v>124.0</v>
      </c>
      <c r="K854" s="17">
        <f t="shared" si="10"/>
        <v>0.9021180894</v>
      </c>
      <c r="L854" s="9">
        <v>1.0</v>
      </c>
      <c r="M854" s="9" t="s">
        <v>57</v>
      </c>
      <c r="O854" s="9" t="s">
        <v>638</v>
      </c>
      <c r="P854" s="40" t="s">
        <v>1729</v>
      </c>
      <c r="Q854" s="33" t="s">
        <v>150</v>
      </c>
      <c r="R854" s="33" t="s">
        <v>2119</v>
      </c>
      <c r="S854" s="9" t="s">
        <v>221</v>
      </c>
      <c r="T854" t="str">
        <f t="shared" si="9"/>
        <v>N</v>
      </c>
      <c r="W854" s="12" t="str">
        <f t="array" ref="W854">if(and(L854=0,Q854="NA"),"NA",if(L854=0,"no lice",if(Q854="NA","no collection",index(sea_lice!G:G,match(C854,sea_lice!A:A,0)))))</f>
        <v>BSL6-93</v>
      </c>
      <c r="X854" s="23">
        <v>853.0</v>
      </c>
    </row>
    <row r="855">
      <c r="A855" s="31"/>
      <c r="B855" s="6">
        <v>17166.0</v>
      </c>
      <c r="C855" s="12" t="str">
        <f t="shared" si="1"/>
        <v>U17166</v>
      </c>
      <c r="D855" s="14" t="str">
        <f t="array" ref="D855">iferror(index('2018_ufns'!E:E,match(C855,'2018_ufns'!B:B,0)))</f>
        <v>P1117</v>
      </c>
      <c r="E855" s="14">
        <v>43419.0</v>
      </c>
      <c r="F855" s="40" t="s">
        <v>53</v>
      </c>
      <c r="G855" s="40" t="s">
        <v>54</v>
      </c>
      <c r="H855" s="9">
        <v>7.8</v>
      </c>
      <c r="I855" s="13">
        <v>96.0</v>
      </c>
      <c r="J855" s="13">
        <v>100.0</v>
      </c>
      <c r="K855" s="17">
        <f t="shared" si="10"/>
        <v>0.78</v>
      </c>
      <c r="L855" s="9">
        <v>2.0</v>
      </c>
      <c r="M855" s="9" t="s">
        <v>57</v>
      </c>
      <c r="O855" s="9" t="s">
        <v>638</v>
      </c>
      <c r="P855" s="40" t="s">
        <v>1729</v>
      </c>
      <c r="Q855" s="33" t="s">
        <v>150</v>
      </c>
      <c r="R855" s="33" t="s">
        <v>2119</v>
      </c>
      <c r="S855" s="9" t="s">
        <v>221</v>
      </c>
      <c r="T855" t="str">
        <f t="shared" si="9"/>
        <v>N</v>
      </c>
      <c r="W855" s="12" t="str">
        <f t="array" ref="W855">if(and(L855=0,Q855="NA"),"NA",if(L855=0,"no lice",if(Q855="NA","no collection",index(sea_lice!G:G,match(C855,sea_lice!A:A,0)))))</f>
        <v>BSL6-94</v>
      </c>
      <c r="X855" s="23">
        <v>854.0</v>
      </c>
    </row>
    <row r="856">
      <c r="A856" s="31"/>
      <c r="B856" s="6">
        <v>17167.0</v>
      </c>
      <c r="C856" s="12" t="str">
        <f t="shared" si="1"/>
        <v>U17167</v>
      </c>
      <c r="D856" s="14" t="str">
        <f t="array" ref="D856">iferror(index('2018_ufns'!E:E,match(C856,'2018_ufns'!B:B,0)))</f>
        <v>P1117</v>
      </c>
      <c r="E856" s="14">
        <v>43419.0</v>
      </c>
      <c r="F856" s="40" t="s">
        <v>53</v>
      </c>
      <c r="G856" s="40" t="s">
        <v>54</v>
      </c>
      <c r="H856" s="9">
        <v>9.9</v>
      </c>
      <c r="I856" s="13">
        <v>102.0</v>
      </c>
      <c r="J856" s="13">
        <v>107.0</v>
      </c>
      <c r="K856" s="17">
        <f t="shared" si="10"/>
        <v>0.8081348981</v>
      </c>
      <c r="L856" s="9">
        <v>2.0</v>
      </c>
      <c r="M856" s="9" t="s">
        <v>57</v>
      </c>
      <c r="O856" s="9" t="s">
        <v>638</v>
      </c>
      <c r="P856" s="40" t="s">
        <v>1729</v>
      </c>
      <c r="Q856" s="33" t="s">
        <v>150</v>
      </c>
      <c r="R856" s="33" t="s">
        <v>2119</v>
      </c>
      <c r="S856" s="9" t="s">
        <v>221</v>
      </c>
      <c r="T856" t="str">
        <f t="shared" si="9"/>
        <v>N</v>
      </c>
      <c r="W856" s="12" t="str">
        <f t="array" ref="W856">if(and(L856=0,Q856="NA"),"NA",if(L856=0,"no lice",if(Q856="NA","no collection",index(sea_lice!G:G,match(C856,sea_lice!A:A,0)))))</f>
        <v>BSL6-95</v>
      </c>
      <c r="X856" s="23">
        <v>855.0</v>
      </c>
    </row>
    <row r="857">
      <c r="A857" s="31"/>
      <c r="B857" s="6">
        <v>17169.0</v>
      </c>
      <c r="C857" s="12" t="str">
        <f t="shared" si="1"/>
        <v>U17169</v>
      </c>
      <c r="D857" s="14" t="str">
        <f t="array" ref="D857">iferror(index('2018_ufns'!E:E,match(C857,'2018_ufns'!B:B,0)))</f>
        <v>P1117</v>
      </c>
      <c r="E857" s="14">
        <v>43419.0</v>
      </c>
      <c r="F857" s="40" t="s">
        <v>53</v>
      </c>
      <c r="G857" s="40" t="s">
        <v>54</v>
      </c>
      <c r="H857" s="9">
        <v>5.7</v>
      </c>
      <c r="I857" s="13">
        <v>89.0</v>
      </c>
      <c r="J857" s="13">
        <v>94.0</v>
      </c>
      <c r="K857" s="17">
        <f t="shared" si="10"/>
        <v>0.6862641226</v>
      </c>
      <c r="L857" s="9">
        <v>1.0</v>
      </c>
      <c r="M857" s="9" t="s">
        <v>57</v>
      </c>
      <c r="N857" s="9" t="s">
        <v>2125</v>
      </c>
      <c r="O857" s="9" t="s">
        <v>638</v>
      </c>
      <c r="P857" s="40" t="s">
        <v>1729</v>
      </c>
      <c r="Q857" s="33" t="s">
        <v>150</v>
      </c>
      <c r="R857" s="33" t="s">
        <v>2119</v>
      </c>
      <c r="S857" s="9" t="s">
        <v>221</v>
      </c>
      <c r="T857" t="str">
        <f t="shared" si="9"/>
        <v>N</v>
      </c>
      <c r="W857" s="12" t="str">
        <f t="array" ref="W857">if(and(L857=0,Q857="NA"),"NA",if(L857=0,"no lice",if(Q857="NA","no collection",index(sea_lice!G:G,match(C857,sea_lice!A:A,0)))))</f>
        <v>BSL6-96</v>
      </c>
      <c r="X857" s="23">
        <v>856.0</v>
      </c>
    </row>
    <row r="858">
      <c r="A858" s="31"/>
      <c r="B858" s="6">
        <v>17168.0</v>
      </c>
      <c r="C858" s="12" t="str">
        <f t="shared" si="1"/>
        <v>U17168</v>
      </c>
      <c r="D858" s="14" t="str">
        <f t="array" ref="D858">iferror(index('2018_ufns'!E:E,match(C858,'2018_ufns'!B:B,0)))</f>
        <v>P1117</v>
      </c>
      <c r="E858" s="14">
        <v>43419.0</v>
      </c>
      <c r="F858" s="40" t="s">
        <v>53</v>
      </c>
      <c r="G858" s="40" t="s">
        <v>54</v>
      </c>
      <c r="H858" s="9">
        <v>5.1</v>
      </c>
      <c r="I858" s="13">
        <v>80.0</v>
      </c>
      <c r="J858" s="13">
        <v>85.0</v>
      </c>
      <c r="K858" s="17">
        <f t="shared" si="10"/>
        <v>0.830449827</v>
      </c>
      <c r="L858" s="9">
        <v>1.0</v>
      </c>
      <c r="M858" s="9" t="s">
        <v>57</v>
      </c>
      <c r="O858" s="9" t="s">
        <v>638</v>
      </c>
      <c r="P858" s="40" t="s">
        <v>1729</v>
      </c>
      <c r="Q858" s="33" t="s">
        <v>150</v>
      </c>
      <c r="R858" s="33" t="s">
        <v>2119</v>
      </c>
      <c r="S858" s="9" t="s">
        <v>221</v>
      </c>
      <c r="T858" t="str">
        <f t="shared" si="9"/>
        <v>N</v>
      </c>
      <c r="W858" s="12" t="str">
        <f t="array" ref="W858">if(and(L858=0,Q858="NA"),"NA",if(L858=0,"no lice",if(Q858="NA","no collection",index(sea_lice!G:G,match(C858,sea_lice!A:A,0)))))</f>
        <v>BSL6-97</v>
      </c>
      <c r="X858" s="23">
        <v>857.0</v>
      </c>
    </row>
    <row r="859">
      <c r="A859" s="31"/>
      <c r="B859" s="6">
        <v>17164.0</v>
      </c>
      <c r="C859" s="12" t="str">
        <f t="shared" si="1"/>
        <v>U17164</v>
      </c>
      <c r="D859" s="14" t="str">
        <f t="array" ref="D859">iferror(index('2018_ufns'!E:E,match(C859,'2018_ufns'!B:B,0)))</f>
        <v>P1117</v>
      </c>
      <c r="E859" s="14">
        <v>43419.0</v>
      </c>
      <c r="F859" s="40" t="s">
        <v>53</v>
      </c>
      <c r="G859" s="40" t="s">
        <v>54</v>
      </c>
      <c r="H859" s="9">
        <v>7.8</v>
      </c>
      <c r="I859" s="13">
        <v>93.0</v>
      </c>
      <c r="J859" s="13">
        <v>97.0</v>
      </c>
      <c r="K859" s="17">
        <f t="shared" si="10"/>
        <v>0.8546324916</v>
      </c>
      <c r="L859" s="9">
        <v>1.0</v>
      </c>
      <c r="M859" s="9" t="s">
        <v>57</v>
      </c>
      <c r="N859" s="9" t="s">
        <v>2125</v>
      </c>
      <c r="O859" s="9" t="s">
        <v>638</v>
      </c>
      <c r="P859" s="40" t="s">
        <v>1729</v>
      </c>
      <c r="Q859" s="33" t="s">
        <v>150</v>
      </c>
      <c r="R859" s="33" t="s">
        <v>2119</v>
      </c>
      <c r="S859" s="9" t="s">
        <v>221</v>
      </c>
      <c r="T859" t="str">
        <f t="shared" si="9"/>
        <v>N</v>
      </c>
      <c r="W859" s="12" t="str">
        <f t="array" ref="W859">if(and(L859=0,Q859="NA"),"NA",if(L859=0,"no lice",if(Q859="NA","no collection",index(sea_lice!G:G,match(C859,sea_lice!A:A,0)))))</f>
        <v>BSL6-98</v>
      </c>
      <c r="X859" s="23">
        <v>858.0</v>
      </c>
    </row>
    <row r="860">
      <c r="A860" s="31"/>
      <c r="B860" s="6">
        <v>17326.0</v>
      </c>
      <c r="C860" s="12" t="str">
        <f t="shared" si="1"/>
        <v>U17326</v>
      </c>
      <c r="D860" s="14" t="str">
        <f t="array" ref="D860">iferror(index('2018_ufns'!E:E,match(C860,'2018_ufns'!B:B,0)))</f>
        <v>P1133</v>
      </c>
      <c r="E860" s="14">
        <v>43419.0</v>
      </c>
      <c r="F860" s="40" t="s">
        <v>53</v>
      </c>
      <c r="G860" s="40" t="s">
        <v>54</v>
      </c>
      <c r="H860" s="9">
        <v>7.6</v>
      </c>
      <c r="I860" s="13">
        <v>92.0</v>
      </c>
      <c r="J860" s="13">
        <v>96.0</v>
      </c>
      <c r="K860" s="17">
        <f t="shared" si="10"/>
        <v>0.8590133102</v>
      </c>
      <c r="L860" s="9">
        <v>2.0</v>
      </c>
      <c r="M860" s="9" t="s">
        <v>57</v>
      </c>
      <c r="O860" s="9" t="s">
        <v>221</v>
      </c>
      <c r="P860" s="40" t="s">
        <v>1729</v>
      </c>
      <c r="Q860" s="33" t="s">
        <v>62</v>
      </c>
      <c r="R860" s="33" t="s">
        <v>2119</v>
      </c>
      <c r="S860" s="9" t="s">
        <v>638</v>
      </c>
      <c r="T860" t="str">
        <f t="shared" si="9"/>
        <v>N</v>
      </c>
      <c r="W860" s="12" t="str">
        <f t="array" ref="W860">if(and(L860=0,Q860="NA"),"NA",if(L860=0,"no lice",if(Q860="NA","no collection",index(sea_lice!G:G,match(C860,sea_lice!A:A,0)))))</f>
        <v>BSL2-60</v>
      </c>
      <c r="X860" s="23">
        <v>859.0</v>
      </c>
    </row>
    <row r="861">
      <c r="A861" s="31"/>
      <c r="B861" s="6">
        <v>17327.0</v>
      </c>
      <c r="C861" s="12" t="str">
        <f t="shared" si="1"/>
        <v>U17327</v>
      </c>
      <c r="D861" s="14" t="str">
        <f t="array" ref="D861">iferror(index('2018_ufns'!E:E,match(C861,'2018_ufns'!B:B,0)))</f>
        <v>P1133</v>
      </c>
      <c r="E861" s="14">
        <v>43419.0</v>
      </c>
      <c r="F861" s="40" t="s">
        <v>53</v>
      </c>
      <c r="G861" s="40" t="s">
        <v>54</v>
      </c>
      <c r="H861" s="9">
        <v>3.1</v>
      </c>
      <c r="I861" s="13">
        <v>70.0</v>
      </c>
      <c r="J861" s="13">
        <v>74.0</v>
      </c>
      <c r="K861" s="17">
        <f t="shared" si="10"/>
        <v>0.7650089827</v>
      </c>
      <c r="L861" s="9">
        <v>0.0</v>
      </c>
      <c r="M861" s="9" t="s">
        <v>57</v>
      </c>
      <c r="O861" s="9" t="s">
        <v>221</v>
      </c>
      <c r="P861" s="40" t="s">
        <v>1729</v>
      </c>
      <c r="Q861" s="33" t="s">
        <v>62</v>
      </c>
      <c r="R861" s="33" t="s">
        <v>2119</v>
      </c>
      <c r="S861" s="9" t="s">
        <v>638</v>
      </c>
      <c r="T861" t="str">
        <f t="shared" si="9"/>
        <v>N</v>
      </c>
      <c r="W861" s="12" t="str">
        <f t="array" ref="W861">if(and(L861=0,Q861="NA"),"NA",if(L861=0,"no lice",if(Q861="NA","no collection",index(sea_lice!G:G,match(C861,sea_lice!A:A,0)))))</f>
        <v>no lice</v>
      </c>
      <c r="X861" s="23">
        <v>860.0</v>
      </c>
    </row>
    <row r="862">
      <c r="A862" s="31"/>
      <c r="B862" s="6">
        <v>17328.0</v>
      </c>
      <c r="C862" s="12" t="str">
        <f t="shared" si="1"/>
        <v>U17328</v>
      </c>
      <c r="D862" s="14" t="str">
        <f t="array" ref="D862">iferror(index('2018_ufns'!E:E,match(C862,'2018_ufns'!B:B,0)))</f>
        <v>P1133</v>
      </c>
      <c r="E862" s="14">
        <v>43419.0</v>
      </c>
      <c r="F862" s="40" t="s">
        <v>53</v>
      </c>
      <c r="G862" s="40" t="s">
        <v>54</v>
      </c>
      <c r="H862" s="9">
        <v>16.3</v>
      </c>
      <c r="I862" s="13">
        <v>117.0</v>
      </c>
      <c r="J862" s="13">
        <v>122.0</v>
      </c>
      <c r="K862" s="17">
        <f t="shared" si="10"/>
        <v>0.8976522264</v>
      </c>
      <c r="L862" s="9">
        <v>0.0</v>
      </c>
      <c r="M862" s="9" t="s">
        <v>57</v>
      </c>
      <c r="N862" s="9" t="s">
        <v>2121</v>
      </c>
      <c r="O862" s="9" t="s">
        <v>221</v>
      </c>
      <c r="P862" s="40" t="s">
        <v>1729</v>
      </c>
      <c r="Q862" s="33" t="s">
        <v>62</v>
      </c>
      <c r="R862" s="33" t="s">
        <v>2119</v>
      </c>
      <c r="S862" s="9" t="s">
        <v>638</v>
      </c>
      <c r="T862" t="str">
        <f t="shared" si="9"/>
        <v>N</v>
      </c>
      <c r="W862" s="12" t="str">
        <f t="array" ref="W862">if(and(L862=0,Q862="NA"),"NA",if(L862=0,"no lice",if(Q862="NA","no collection",index(sea_lice!G:G,match(C862,sea_lice!A:A,0)))))</f>
        <v>no lice</v>
      </c>
      <c r="X862" s="23">
        <v>861.0</v>
      </c>
    </row>
    <row r="863">
      <c r="B863" s="6">
        <v>17329.0</v>
      </c>
      <c r="C863" s="12" t="str">
        <f t="shared" si="1"/>
        <v>U17329</v>
      </c>
      <c r="D863" s="14" t="str">
        <f t="array" ref="D863">iferror(index('2018_ufns'!E:E,match(C863,'2018_ufns'!B:B,0)))</f>
        <v>P1133</v>
      </c>
      <c r="E863" s="14">
        <v>43419.0</v>
      </c>
      <c r="F863" s="40" t="s">
        <v>53</v>
      </c>
      <c r="G863" s="40" t="s">
        <v>54</v>
      </c>
      <c r="H863" s="9">
        <v>3.8</v>
      </c>
      <c r="I863" s="13">
        <v>74.0</v>
      </c>
      <c r="J863" s="13">
        <v>78.0</v>
      </c>
      <c r="K863" s="17">
        <f t="shared" si="10"/>
        <v>0.8007552386</v>
      </c>
      <c r="L863" s="9">
        <v>0.0</v>
      </c>
      <c r="M863" s="9" t="s">
        <v>57</v>
      </c>
      <c r="O863" s="9" t="s">
        <v>221</v>
      </c>
      <c r="P863" s="40" t="s">
        <v>1729</v>
      </c>
      <c r="Q863" s="33" t="s">
        <v>62</v>
      </c>
      <c r="R863" s="33" t="s">
        <v>2119</v>
      </c>
      <c r="S863" s="9" t="s">
        <v>638</v>
      </c>
      <c r="T863" t="str">
        <f t="shared" si="9"/>
        <v>N</v>
      </c>
      <c r="W863" s="12" t="str">
        <f t="array" ref="W863">if(and(L863=0,Q863="NA"),"NA",if(L863=0,"no lice",if(Q863="NA","no collection",index(sea_lice!G:G,match(C863,sea_lice!A:A,0)))))</f>
        <v>no lice</v>
      </c>
      <c r="X863" s="23">
        <v>862.0</v>
      </c>
    </row>
    <row r="864">
      <c r="B864" s="6">
        <v>17330.0</v>
      </c>
      <c r="C864" s="12" t="str">
        <f t="shared" si="1"/>
        <v>U17330</v>
      </c>
      <c r="D864" s="14" t="str">
        <f t="array" ref="D864">iferror(index('2018_ufns'!E:E,match(C864,'2018_ufns'!B:B,0)))</f>
        <v>P1133</v>
      </c>
      <c r="E864" s="14">
        <v>43419.0</v>
      </c>
      <c r="F864" s="40" t="s">
        <v>53</v>
      </c>
      <c r="G864" s="40" t="s">
        <v>54</v>
      </c>
      <c r="H864" s="9">
        <v>4.3</v>
      </c>
      <c r="I864" s="13">
        <v>75.0</v>
      </c>
      <c r="J864" s="13" t="s">
        <v>63</v>
      </c>
      <c r="K864" s="17" t="str">
        <f t="shared" si="10"/>
        <v/>
      </c>
      <c r="L864" s="9">
        <v>0.0</v>
      </c>
      <c r="M864" s="9" t="s">
        <v>57</v>
      </c>
      <c r="O864" s="9" t="s">
        <v>221</v>
      </c>
      <c r="P864" s="40" t="s">
        <v>1729</v>
      </c>
      <c r="Q864" s="33" t="s">
        <v>62</v>
      </c>
      <c r="R864" s="33" t="s">
        <v>2119</v>
      </c>
      <c r="S864" s="9" t="s">
        <v>638</v>
      </c>
      <c r="T864" t="str">
        <f t="shared" si="9"/>
        <v>N</v>
      </c>
      <c r="W864" s="12" t="str">
        <f t="array" ref="W864">if(and(L864=0,Q864="NA"),"NA",if(L864=0,"no lice",if(Q864="NA","no collection",index(sea_lice!G:G,match(C864,sea_lice!A:A,0)))))</f>
        <v>no lice</v>
      </c>
      <c r="X864" s="23">
        <v>863.0</v>
      </c>
    </row>
    <row r="865">
      <c r="B865" s="6">
        <v>17021.0</v>
      </c>
      <c r="C865" s="12" t="str">
        <f t="shared" si="1"/>
        <v>U17021</v>
      </c>
      <c r="D865" s="14" t="str">
        <f t="array" ref="D865">iferror(index('2018_ufns'!E:E,match(C865,'2018_ufns'!B:B,0)))</f>
        <v>P1103</v>
      </c>
      <c r="E865" s="14">
        <v>43419.0</v>
      </c>
      <c r="F865" s="40" t="s">
        <v>53</v>
      </c>
      <c r="G865" s="40" t="s">
        <v>54</v>
      </c>
      <c r="H865" s="9">
        <v>7.3</v>
      </c>
      <c r="I865" s="13">
        <v>90.0</v>
      </c>
      <c r="J865" s="13">
        <v>95.0</v>
      </c>
      <c r="K865" s="17">
        <f t="shared" si="10"/>
        <v>0.8514360694</v>
      </c>
      <c r="L865" s="9">
        <v>0.0</v>
      </c>
      <c r="M865" s="9" t="s">
        <v>57</v>
      </c>
      <c r="O865" s="9" t="s">
        <v>221</v>
      </c>
      <c r="P865" s="40" t="s">
        <v>1729</v>
      </c>
      <c r="Q865" s="33" t="s">
        <v>150</v>
      </c>
      <c r="R865" s="33" t="s">
        <v>2119</v>
      </c>
      <c r="S865" s="9" t="s">
        <v>638</v>
      </c>
      <c r="T865" t="str">
        <f t="shared" si="9"/>
        <v>N</v>
      </c>
      <c r="W865" s="12" t="str">
        <f t="array" ref="W865">if(and(L865=0,Q865="NA"),"NA",if(L865=0,"no lice",if(Q865="NA","no collection",index(sea_lice!G:G,match(C865,sea_lice!A:A,0)))))</f>
        <v>no lice</v>
      </c>
      <c r="X865" s="23">
        <v>864.0</v>
      </c>
    </row>
    <row r="866">
      <c r="B866" s="6">
        <v>17022.0</v>
      </c>
      <c r="C866" s="12" t="str">
        <f t="shared" si="1"/>
        <v>U17022</v>
      </c>
      <c r="D866" s="14" t="str">
        <f t="array" ref="D866">iferror(index('2018_ufns'!E:E,match(C866,'2018_ufns'!B:B,0)))</f>
        <v>P1103</v>
      </c>
      <c r="E866" s="14">
        <v>43419.0</v>
      </c>
      <c r="F866" s="40" t="s">
        <v>53</v>
      </c>
      <c r="G866" s="40" t="s">
        <v>54</v>
      </c>
      <c r="H866" s="9">
        <v>10.3</v>
      </c>
      <c r="I866" s="13">
        <v>103.0</v>
      </c>
      <c r="J866" s="13" t="s">
        <v>63</v>
      </c>
      <c r="K866" s="17" t="str">
        <f t="shared" si="10"/>
        <v/>
      </c>
      <c r="L866" s="9">
        <v>0.0</v>
      </c>
      <c r="M866" s="9" t="s">
        <v>57</v>
      </c>
      <c r="O866" s="9" t="s">
        <v>221</v>
      </c>
      <c r="P866" s="40" t="s">
        <v>1729</v>
      </c>
      <c r="Q866" s="33" t="s">
        <v>150</v>
      </c>
      <c r="R866" s="33" t="s">
        <v>2119</v>
      </c>
      <c r="S866" s="9" t="s">
        <v>638</v>
      </c>
      <c r="T866" t="str">
        <f t="shared" si="9"/>
        <v>N</v>
      </c>
      <c r="W866" s="12" t="str">
        <f t="array" ref="W866">if(and(L866=0,Q866="NA"),"NA",if(L866=0,"no lice",if(Q866="NA","no collection",index(sea_lice!G:G,match(C866,sea_lice!A:A,0)))))</f>
        <v>no lice</v>
      </c>
      <c r="X866" s="23">
        <v>865.0</v>
      </c>
    </row>
    <row r="867">
      <c r="B867" s="6">
        <v>17023.0</v>
      </c>
      <c r="C867" s="12" t="str">
        <f t="shared" si="1"/>
        <v>U17023</v>
      </c>
      <c r="D867" s="14" t="str">
        <f t="array" ref="D867">iferror(index('2018_ufns'!E:E,match(C867,'2018_ufns'!B:B,0)))</f>
        <v>P1103</v>
      </c>
      <c r="E867" s="14">
        <v>43419.0</v>
      </c>
      <c r="F867" s="40" t="s">
        <v>53</v>
      </c>
      <c r="G867" s="40" t="s">
        <v>54</v>
      </c>
      <c r="H867" s="9">
        <v>14.3</v>
      </c>
      <c r="I867" s="13">
        <v>111.0</v>
      </c>
      <c r="J867" s="13">
        <v>115.0</v>
      </c>
      <c r="K867" s="17">
        <f t="shared" si="10"/>
        <v>0.9402482124</v>
      </c>
      <c r="L867" s="9">
        <v>0.0</v>
      </c>
      <c r="M867" s="9" t="s">
        <v>57</v>
      </c>
      <c r="O867" s="9" t="s">
        <v>221</v>
      </c>
      <c r="P867" s="40" t="s">
        <v>1729</v>
      </c>
      <c r="Q867" s="33" t="s">
        <v>150</v>
      </c>
      <c r="R867" s="33" t="s">
        <v>2119</v>
      </c>
      <c r="S867" s="9" t="s">
        <v>638</v>
      </c>
      <c r="T867" t="str">
        <f t="shared" si="9"/>
        <v>N</v>
      </c>
      <c r="W867" s="12" t="str">
        <f t="array" ref="W867">if(and(L867=0,Q867="NA"),"NA",if(L867=0,"no lice",if(Q867="NA","no collection",index(sea_lice!G:G,match(C867,sea_lice!A:A,0)))))</f>
        <v>no lice</v>
      </c>
      <c r="X867" s="23">
        <v>866.0</v>
      </c>
    </row>
    <row r="868">
      <c r="B868" s="6">
        <v>17024.0</v>
      </c>
      <c r="C868" s="12" t="str">
        <f t="shared" si="1"/>
        <v>U17024</v>
      </c>
      <c r="D868" s="14" t="str">
        <f t="array" ref="D868">iferror(index('2018_ufns'!E:E,match(C868,'2018_ufns'!B:B,0)))</f>
        <v>P1103</v>
      </c>
      <c r="E868" s="14">
        <v>43419.0</v>
      </c>
      <c r="F868" s="40" t="s">
        <v>53</v>
      </c>
      <c r="G868" s="40" t="s">
        <v>54</v>
      </c>
      <c r="H868" s="9">
        <v>17.6</v>
      </c>
      <c r="I868" s="13">
        <v>118.0</v>
      </c>
      <c r="J868" s="13">
        <v>123.0</v>
      </c>
      <c r="K868" s="17">
        <f t="shared" si="10"/>
        <v>0.9457956963</v>
      </c>
      <c r="L868" s="9">
        <v>0.0</v>
      </c>
      <c r="M868" s="9" t="s">
        <v>57</v>
      </c>
      <c r="O868" s="9" t="s">
        <v>221</v>
      </c>
      <c r="P868" s="40" t="s">
        <v>1729</v>
      </c>
      <c r="Q868" s="33" t="s">
        <v>150</v>
      </c>
      <c r="R868" s="33" t="s">
        <v>2119</v>
      </c>
      <c r="S868" s="9" t="s">
        <v>638</v>
      </c>
      <c r="T868" t="str">
        <f t="shared" si="9"/>
        <v>N</v>
      </c>
      <c r="W868" s="12" t="str">
        <f t="array" ref="W868">if(and(L868=0,Q868="NA"),"NA",if(L868=0,"no lice",if(Q868="NA","no collection",index(sea_lice!G:G,match(C868,sea_lice!A:A,0)))))</f>
        <v>no lice</v>
      </c>
      <c r="X868" s="23">
        <v>867.0</v>
      </c>
    </row>
    <row r="869">
      <c r="B869" s="6">
        <v>17026.0</v>
      </c>
      <c r="C869" s="12" t="str">
        <f t="shared" si="1"/>
        <v>U17026</v>
      </c>
      <c r="D869" s="14" t="str">
        <f t="array" ref="D869">iferror(index('2018_ufns'!E:E,match(C869,'2018_ufns'!B:B,0)))</f>
        <v>P1103</v>
      </c>
      <c r="E869" s="14">
        <v>43419.0</v>
      </c>
      <c r="F869" s="40" t="s">
        <v>53</v>
      </c>
      <c r="G869" s="40" t="s">
        <v>54</v>
      </c>
      <c r="H869" s="9">
        <v>13.1</v>
      </c>
      <c r="I869" s="13">
        <v>107.0</v>
      </c>
      <c r="J869" s="13">
        <v>111.0</v>
      </c>
      <c r="K869" s="17">
        <f t="shared" si="10"/>
        <v>0.9578607095</v>
      </c>
      <c r="L869" s="9">
        <v>0.0</v>
      </c>
      <c r="M869" s="9" t="s">
        <v>57</v>
      </c>
      <c r="O869" s="9" t="s">
        <v>221</v>
      </c>
      <c r="P869" s="40" t="s">
        <v>1729</v>
      </c>
      <c r="Q869" s="33" t="s">
        <v>150</v>
      </c>
      <c r="R869" s="33" t="s">
        <v>2119</v>
      </c>
      <c r="S869" s="9" t="s">
        <v>638</v>
      </c>
      <c r="T869" t="str">
        <f t="shared" si="9"/>
        <v>N</v>
      </c>
      <c r="W869" s="12" t="str">
        <f t="array" ref="W869">if(and(L869=0,Q869="NA"),"NA",if(L869=0,"no lice",if(Q869="NA","no collection",index(sea_lice!G:G,match(C869,sea_lice!A:A,0)))))</f>
        <v>no lice</v>
      </c>
      <c r="X869" s="23">
        <v>868.0</v>
      </c>
    </row>
    <row r="870">
      <c r="B870" s="6">
        <v>17025.0</v>
      </c>
      <c r="C870" s="12" t="str">
        <f t="shared" si="1"/>
        <v>U17025</v>
      </c>
      <c r="D870" s="14" t="str">
        <f t="array" ref="D870">iferror(index('2018_ufns'!E:E,match(C870,'2018_ufns'!B:B,0)))</f>
        <v>P1103</v>
      </c>
      <c r="E870" s="14">
        <v>43419.0</v>
      </c>
      <c r="F870" s="40" t="s">
        <v>53</v>
      </c>
      <c r="G870" s="40" t="s">
        <v>54</v>
      </c>
      <c r="H870" s="9">
        <v>30.7</v>
      </c>
      <c r="I870" s="13">
        <v>139.0</v>
      </c>
      <c r="J870" s="13">
        <v>145.0</v>
      </c>
      <c r="K870" s="17">
        <f t="shared" si="10"/>
        <v>1.007011358</v>
      </c>
      <c r="L870" s="9">
        <v>0.0</v>
      </c>
      <c r="M870" s="9" t="s">
        <v>57</v>
      </c>
      <c r="O870" s="9" t="s">
        <v>221</v>
      </c>
      <c r="P870" s="40" t="s">
        <v>1729</v>
      </c>
      <c r="Q870" s="33" t="s">
        <v>150</v>
      </c>
      <c r="R870" s="33" t="s">
        <v>2119</v>
      </c>
      <c r="S870" s="9" t="s">
        <v>638</v>
      </c>
      <c r="T870" t="str">
        <f t="shared" si="9"/>
        <v>N</v>
      </c>
      <c r="W870" s="12" t="str">
        <f t="array" ref="W870">if(and(L870=0,Q870="NA"),"NA",if(L870=0,"no lice",if(Q870="NA","no collection",index(sea_lice!G:G,match(C870,sea_lice!A:A,0)))))</f>
        <v>no lice</v>
      </c>
      <c r="X870" s="23">
        <v>869.0</v>
      </c>
    </row>
    <row r="871">
      <c r="B871" s="6">
        <v>17027.0</v>
      </c>
      <c r="C871" s="12" t="str">
        <f t="shared" si="1"/>
        <v>U17027</v>
      </c>
      <c r="D871" s="14" t="str">
        <f t="array" ref="D871">iferror(index('2018_ufns'!E:E,match(C871,'2018_ufns'!B:B,0)))</f>
        <v>P1103</v>
      </c>
      <c r="E871" s="14">
        <v>43419.0</v>
      </c>
      <c r="F871" s="40" t="s">
        <v>53</v>
      </c>
      <c r="G871" s="40" t="s">
        <v>54</v>
      </c>
      <c r="H871" s="9">
        <v>12.0</v>
      </c>
      <c r="I871" s="13">
        <v>100.0</v>
      </c>
      <c r="J871" s="13" t="s">
        <v>63</v>
      </c>
      <c r="K871" s="17" t="str">
        <f t="shared" si="10"/>
        <v/>
      </c>
      <c r="L871" s="9">
        <v>0.0</v>
      </c>
      <c r="M871" s="9" t="s">
        <v>57</v>
      </c>
      <c r="N871" s="9" t="s">
        <v>2126</v>
      </c>
      <c r="O871" s="9" t="s">
        <v>221</v>
      </c>
      <c r="P871" s="40" t="s">
        <v>1729</v>
      </c>
      <c r="Q871" s="33" t="s">
        <v>150</v>
      </c>
      <c r="R871" s="33" t="s">
        <v>2119</v>
      </c>
      <c r="S871" s="9" t="s">
        <v>638</v>
      </c>
      <c r="T871" t="str">
        <f t="shared" si="9"/>
        <v>N</v>
      </c>
      <c r="W871" s="12" t="str">
        <f t="array" ref="W871">if(and(L871=0,Q871="NA"),"NA",if(L871=0,"no lice",if(Q871="NA","no collection",index(sea_lice!G:G,match(C871,sea_lice!A:A,0)))))</f>
        <v>no lice</v>
      </c>
      <c r="X871" s="23">
        <v>870.0</v>
      </c>
    </row>
    <row r="872">
      <c r="B872" s="6">
        <v>17028.0</v>
      </c>
      <c r="C872" s="12" t="str">
        <f t="shared" si="1"/>
        <v>U17028</v>
      </c>
      <c r="D872" s="14" t="str">
        <f t="array" ref="D872">iferror(index('2018_ufns'!E:E,match(C872,'2018_ufns'!B:B,0)))</f>
        <v>P1103</v>
      </c>
      <c r="E872" s="14">
        <v>43419.0</v>
      </c>
      <c r="F872" s="40" t="s">
        <v>53</v>
      </c>
      <c r="G872" s="40" t="s">
        <v>54</v>
      </c>
      <c r="H872" s="9">
        <v>18.6</v>
      </c>
      <c r="I872" s="13">
        <v>121.0</v>
      </c>
      <c r="J872" s="13">
        <v>126.0</v>
      </c>
      <c r="K872" s="17">
        <f t="shared" si="10"/>
        <v>0.9298251929</v>
      </c>
      <c r="L872" s="9">
        <v>1.0</v>
      </c>
      <c r="M872" s="9" t="s">
        <v>57</v>
      </c>
      <c r="O872" s="9" t="s">
        <v>221</v>
      </c>
      <c r="P872" s="40" t="s">
        <v>1729</v>
      </c>
      <c r="Q872" s="33" t="s">
        <v>150</v>
      </c>
      <c r="R872" s="33" t="s">
        <v>2119</v>
      </c>
      <c r="S872" s="9" t="s">
        <v>638</v>
      </c>
      <c r="T872" t="str">
        <f t="shared" si="9"/>
        <v>N</v>
      </c>
      <c r="W872" s="12" t="str">
        <f t="array" ref="W872">if(and(L872=0,Q872="NA"),"NA",if(L872=0,"no lice",if(Q872="NA","no collection",index(sea_lice!G:G,match(C872,sea_lice!A:A,0)))))</f>
        <v>BSL6-92</v>
      </c>
      <c r="X872" s="23">
        <v>871.0</v>
      </c>
    </row>
    <row r="873">
      <c r="B873" s="6">
        <v>17029.0</v>
      </c>
      <c r="C873" s="12" t="str">
        <f t="shared" si="1"/>
        <v>U17029</v>
      </c>
      <c r="D873" s="14" t="str">
        <f t="array" ref="D873">iferror(index('2018_ufns'!E:E,match(C873,'2018_ufns'!B:B,0)))</f>
        <v>P1103</v>
      </c>
      <c r="E873" s="14">
        <v>43419.0</v>
      </c>
      <c r="F873" s="40" t="s">
        <v>53</v>
      </c>
      <c r="G873" s="40" t="s">
        <v>54</v>
      </c>
      <c r="H873" s="9">
        <v>12.6</v>
      </c>
      <c r="I873" s="13">
        <v>110.0</v>
      </c>
      <c r="J873" s="13">
        <v>115.0</v>
      </c>
      <c r="K873" s="17">
        <f t="shared" si="10"/>
        <v>0.8284704529</v>
      </c>
      <c r="L873" s="9">
        <v>0.0</v>
      </c>
      <c r="M873" s="9" t="s">
        <v>57</v>
      </c>
      <c r="O873" s="9" t="s">
        <v>221</v>
      </c>
      <c r="P873" s="40" t="s">
        <v>1729</v>
      </c>
      <c r="Q873" s="33" t="s">
        <v>150</v>
      </c>
      <c r="R873" s="33" t="s">
        <v>2119</v>
      </c>
      <c r="S873" s="9" t="s">
        <v>638</v>
      </c>
      <c r="T873" t="str">
        <f t="shared" si="9"/>
        <v>N</v>
      </c>
      <c r="W873" s="12" t="str">
        <f t="array" ref="W873">if(and(L873=0,Q873="NA"),"NA",if(L873=0,"no lice",if(Q873="NA","no collection",index(sea_lice!G:G,match(C873,sea_lice!A:A,0)))))</f>
        <v>no lice</v>
      </c>
      <c r="X873" s="23">
        <v>872.0</v>
      </c>
    </row>
    <row r="874">
      <c r="B874" s="6">
        <v>17030.0</v>
      </c>
      <c r="C874" s="12" t="str">
        <f t="shared" si="1"/>
        <v>U17030</v>
      </c>
      <c r="D874" s="14" t="str">
        <f t="array" ref="D874">iferror(index('2018_ufns'!E:E,match(C874,'2018_ufns'!B:B,0)))</f>
        <v>P1103</v>
      </c>
      <c r="E874" s="14">
        <v>43419.0</v>
      </c>
      <c r="F874" s="40" t="s">
        <v>53</v>
      </c>
      <c r="G874" s="40" t="s">
        <v>54</v>
      </c>
      <c r="H874" s="9">
        <v>18.2</v>
      </c>
      <c r="I874" s="13">
        <v>117.0</v>
      </c>
      <c r="J874" s="13" t="s">
        <v>63</v>
      </c>
      <c r="K874" s="17" t="str">
        <f t="shared" si="10"/>
        <v/>
      </c>
      <c r="L874" s="9">
        <v>0.0</v>
      </c>
      <c r="M874" s="9" t="s">
        <v>57</v>
      </c>
      <c r="O874" s="9" t="s">
        <v>221</v>
      </c>
      <c r="P874" s="40" t="s">
        <v>1729</v>
      </c>
      <c r="Q874" s="33" t="s">
        <v>150</v>
      </c>
      <c r="R874" s="33" t="s">
        <v>2119</v>
      </c>
      <c r="S874" s="9" t="s">
        <v>638</v>
      </c>
      <c r="T874" t="str">
        <f t="shared" si="9"/>
        <v>N</v>
      </c>
      <c r="W874" s="12" t="str">
        <f t="array" ref="W874">if(and(L874=0,Q874="NA"),"NA",if(L874=0,"no lice",if(Q874="NA","no collection",index(sea_lice!G:G,match(C874,sea_lice!A:A,0)))))</f>
        <v>no lice</v>
      </c>
      <c r="X874" s="23">
        <v>873.0</v>
      </c>
    </row>
    <row r="875">
      <c r="B875" s="6">
        <v>16461.0</v>
      </c>
      <c r="C875" s="12" t="str">
        <f t="shared" si="1"/>
        <v>U16461</v>
      </c>
      <c r="D875" s="14" t="str">
        <f t="array" ref="D875">iferror(index('2018_ufns'!E:E,match(C875,'2018_ufns'!B:B,0)))</f>
        <v>P1047</v>
      </c>
      <c r="E875" s="14">
        <v>43419.0</v>
      </c>
      <c r="F875" s="40" t="s">
        <v>53</v>
      </c>
      <c r="G875" s="40" t="s">
        <v>54</v>
      </c>
      <c r="H875" s="9">
        <v>7.9</v>
      </c>
      <c r="I875" s="13">
        <v>88.0</v>
      </c>
      <c r="J875" s="13">
        <v>92.0</v>
      </c>
      <c r="K875" s="17">
        <f t="shared" si="10"/>
        <v>1.014526999</v>
      </c>
      <c r="L875" s="9">
        <v>0.0</v>
      </c>
      <c r="M875" s="9" t="s">
        <v>57</v>
      </c>
      <c r="O875" s="9" t="s">
        <v>221</v>
      </c>
      <c r="P875" s="40" t="s">
        <v>1729</v>
      </c>
      <c r="Q875" s="33" t="s">
        <v>150</v>
      </c>
      <c r="R875" s="33" t="s">
        <v>2119</v>
      </c>
      <c r="S875" s="9" t="s">
        <v>638</v>
      </c>
      <c r="T875" t="str">
        <f t="shared" si="9"/>
        <v>N</v>
      </c>
      <c r="W875" s="12" t="str">
        <f t="array" ref="W875">if(and(L875=0,Q875="NA"),"NA",if(L875=0,"no lice",if(Q875="NA","no collection",index(sea_lice!G:G,match(C875,sea_lice!A:A,0)))))</f>
        <v>no lice</v>
      </c>
      <c r="X875" s="23">
        <v>874.0</v>
      </c>
    </row>
    <row r="876">
      <c r="B876" s="6">
        <v>16462.0</v>
      </c>
      <c r="C876" s="12" t="str">
        <f t="shared" si="1"/>
        <v>U16462</v>
      </c>
      <c r="D876" s="14" t="str">
        <f t="array" ref="D876">iferror(index('2018_ufns'!E:E,match(C876,'2018_ufns'!B:B,0)))</f>
        <v>P1047</v>
      </c>
      <c r="E876" s="14">
        <v>43419.0</v>
      </c>
      <c r="F876" s="40" t="s">
        <v>53</v>
      </c>
      <c r="G876" s="40" t="s">
        <v>54</v>
      </c>
      <c r="H876" s="9">
        <v>6.2</v>
      </c>
      <c r="I876" s="13">
        <v>84.0</v>
      </c>
      <c r="J876" s="13">
        <v>89.0</v>
      </c>
      <c r="K876" s="17">
        <f t="shared" si="10"/>
        <v>0.8794712959</v>
      </c>
      <c r="L876" s="9">
        <v>0.0</v>
      </c>
      <c r="M876" s="9" t="s">
        <v>57</v>
      </c>
      <c r="O876" s="9" t="s">
        <v>221</v>
      </c>
      <c r="P876" s="40" t="s">
        <v>1729</v>
      </c>
      <c r="Q876" s="33" t="s">
        <v>150</v>
      </c>
      <c r="R876" s="33" t="s">
        <v>2119</v>
      </c>
      <c r="S876" s="9" t="s">
        <v>638</v>
      </c>
      <c r="T876" t="str">
        <f t="shared" si="9"/>
        <v>N</v>
      </c>
      <c r="W876" s="12" t="str">
        <f t="array" ref="W876">if(and(L876=0,Q876="NA"),"NA",if(L876=0,"no lice",if(Q876="NA","no collection",index(sea_lice!G:G,match(C876,sea_lice!A:A,0)))))</f>
        <v>no lice</v>
      </c>
      <c r="X876" s="23">
        <v>875.0</v>
      </c>
    </row>
    <row r="877">
      <c r="B877" s="6">
        <v>16463.0</v>
      </c>
      <c r="C877" s="12" t="str">
        <f t="shared" si="1"/>
        <v>U16463</v>
      </c>
      <c r="D877" s="14" t="str">
        <f t="array" ref="D877">iferror(index('2018_ufns'!E:E,match(C877,'2018_ufns'!B:B,0)))</f>
        <v>P1047</v>
      </c>
      <c r="E877" s="14">
        <v>43419.0</v>
      </c>
      <c r="F877" s="40" t="s">
        <v>53</v>
      </c>
      <c r="G877" s="40" t="s">
        <v>54</v>
      </c>
      <c r="H877" s="9">
        <v>9.5</v>
      </c>
      <c r="I877" s="13">
        <v>93.0</v>
      </c>
      <c r="J877" s="13">
        <v>97.0</v>
      </c>
      <c r="K877" s="17">
        <f t="shared" si="10"/>
        <v>1.040898547</v>
      </c>
      <c r="L877" s="9">
        <v>0.0</v>
      </c>
      <c r="M877" s="9" t="s">
        <v>57</v>
      </c>
      <c r="O877" s="9" t="s">
        <v>221</v>
      </c>
      <c r="P877" s="40" t="s">
        <v>1729</v>
      </c>
      <c r="Q877" s="33" t="s">
        <v>150</v>
      </c>
      <c r="R877" s="33" t="s">
        <v>2119</v>
      </c>
      <c r="S877" s="9" t="s">
        <v>638</v>
      </c>
      <c r="T877" t="str">
        <f t="shared" si="9"/>
        <v>N</v>
      </c>
      <c r="W877" s="12" t="str">
        <f t="array" ref="W877">if(and(L877=0,Q877="NA"),"NA",if(L877=0,"no lice",if(Q877="NA","no collection",index(sea_lice!G:G,match(C877,sea_lice!A:A,0)))))</f>
        <v>no lice</v>
      </c>
      <c r="X877" s="23">
        <v>876.0</v>
      </c>
    </row>
    <row r="878">
      <c r="B878" s="6">
        <v>16464.0</v>
      </c>
      <c r="C878" s="12" t="str">
        <f t="shared" si="1"/>
        <v>U16464</v>
      </c>
      <c r="D878" s="14" t="str">
        <f t="array" ref="D878">iferror(index('2018_ufns'!E:E,match(C878,'2018_ufns'!B:B,0)))</f>
        <v>P1047</v>
      </c>
      <c r="E878" s="14">
        <v>43419.0</v>
      </c>
      <c r="F878" s="40" t="s">
        <v>53</v>
      </c>
      <c r="G878" s="40" t="s">
        <v>54</v>
      </c>
      <c r="H878" s="9">
        <v>10.4</v>
      </c>
      <c r="I878" s="13">
        <v>100.0</v>
      </c>
      <c r="J878" s="13">
        <v>105.0</v>
      </c>
      <c r="K878" s="17">
        <f t="shared" si="10"/>
        <v>0.8983911025</v>
      </c>
      <c r="L878" s="9">
        <v>0.0</v>
      </c>
      <c r="M878" s="9" t="s">
        <v>57</v>
      </c>
      <c r="O878" s="9" t="s">
        <v>221</v>
      </c>
      <c r="P878" s="40" t="s">
        <v>1729</v>
      </c>
      <c r="Q878" s="33" t="s">
        <v>150</v>
      </c>
      <c r="R878" s="33" t="s">
        <v>2119</v>
      </c>
      <c r="S878" s="9" t="s">
        <v>638</v>
      </c>
      <c r="T878" t="str">
        <f t="shared" si="9"/>
        <v>N</v>
      </c>
      <c r="W878" s="12" t="str">
        <f t="array" ref="W878">if(and(L878=0,Q878="NA"),"NA",if(L878=0,"no lice",if(Q878="NA","no collection",index(sea_lice!G:G,match(C878,sea_lice!A:A,0)))))</f>
        <v>no lice</v>
      </c>
      <c r="X878" s="23">
        <v>877.0</v>
      </c>
    </row>
    <row r="879">
      <c r="B879" s="6">
        <v>16465.0</v>
      </c>
      <c r="C879" s="12" t="str">
        <f t="shared" si="1"/>
        <v>U16465</v>
      </c>
      <c r="D879" s="14" t="str">
        <f t="array" ref="D879">iferror(index('2018_ufns'!E:E,match(C879,'2018_ufns'!B:B,0)))</f>
        <v>P1047</v>
      </c>
      <c r="E879" s="14">
        <v>43419.0</v>
      </c>
      <c r="F879" s="40" t="s">
        <v>53</v>
      </c>
      <c r="G879" s="40" t="s">
        <v>54</v>
      </c>
      <c r="H879" s="9">
        <v>6.3</v>
      </c>
      <c r="I879" s="13">
        <v>85.0</v>
      </c>
      <c r="J879" s="13">
        <v>90.0</v>
      </c>
      <c r="K879" s="17">
        <f t="shared" si="10"/>
        <v>0.8641975309</v>
      </c>
      <c r="L879" s="9">
        <v>0.0</v>
      </c>
      <c r="M879" s="9" t="s">
        <v>57</v>
      </c>
      <c r="O879" s="9" t="s">
        <v>221</v>
      </c>
      <c r="P879" s="40" t="s">
        <v>1729</v>
      </c>
      <c r="Q879" s="33" t="s">
        <v>150</v>
      </c>
      <c r="R879" s="33" t="s">
        <v>2119</v>
      </c>
      <c r="S879" s="9" t="s">
        <v>638</v>
      </c>
      <c r="T879" t="str">
        <f t="shared" si="9"/>
        <v>N</v>
      </c>
      <c r="W879" s="12" t="str">
        <f t="array" ref="W879">if(and(L879=0,Q879="NA"),"NA",if(L879=0,"no lice",if(Q879="NA","no collection",index(sea_lice!G:G,match(C879,sea_lice!A:A,0)))))</f>
        <v>no lice</v>
      </c>
      <c r="X879" s="23">
        <v>878.0</v>
      </c>
    </row>
    <row r="880">
      <c r="B880" s="6">
        <v>17163.0</v>
      </c>
      <c r="C880" s="12" t="str">
        <f t="shared" si="1"/>
        <v>U17163</v>
      </c>
      <c r="D880" s="14" t="str">
        <f t="array" ref="D880">iferror(index('2018_ufns'!E:E,match(C880,'2018_ufns'!B:B,0)))</f>
        <v>P1117</v>
      </c>
      <c r="E880" s="14">
        <v>43420.0</v>
      </c>
      <c r="F880" s="40" t="s">
        <v>53</v>
      </c>
      <c r="G880" s="40" t="s">
        <v>54</v>
      </c>
      <c r="H880" s="9">
        <v>14.2</v>
      </c>
      <c r="I880" s="13">
        <v>112.0</v>
      </c>
      <c r="J880" s="13">
        <v>118.0</v>
      </c>
      <c r="K880" s="17">
        <f t="shared" si="10"/>
        <v>0.8642558392</v>
      </c>
      <c r="L880" s="9">
        <v>0.0</v>
      </c>
      <c r="M880" s="9" t="s">
        <v>57</v>
      </c>
      <c r="O880" s="9" t="s">
        <v>638</v>
      </c>
      <c r="P880" s="40" t="s">
        <v>1729</v>
      </c>
      <c r="Q880" s="33" t="s">
        <v>150</v>
      </c>
      <c r="R880" s="33" t="s">
        <v>2119</v>
      </c>
      <c r="S880" s="9" t="s">
        <v>221</v>
      </c>
      <c r="T880" t="str">
        <f t="shared" si="9"/>
        <v>N</v>
      </c>
      <c r="W880" s="12" t="str">
        <f t="array" ref="W880">if(and(L880=0,Q880="NA"),"NA",if(L880=0,"no lice",if(Q880="NA","no collection",index(sea_lice!G:G,match(C880,sea_lice!A:A,0)))))</f>
        <v>no lice</v>
      </c>
      <c r="X880" s="23">
        <v>879.0</v>
      </c>
    </row>
    <row r="881">
      <c r="B881" s="6">
        <v>17162.0</v>
      </c>
      <c r="C881" s="12" t="str">
        <f t="shared" si="1"/>
        <v>U17162</v>
      </c>
      <c r="D881" s="14" t="str">
        <f t="array" ref="D881">iferror(index('2018_ufns'!E:E,match(C881,'2018_ufns'!B:B,0)))</f>
        <v>P1117</v>
      </c>
      <c r="E881" s="14">
        <v>43420.0</v>
      </c>
      <c r="F881" s="40" t="s">
        <v>53</v>
      </c>
      <c r="G881" s="40" t="s">
        <v>54</v>
      </c>
      <c r="H881" s="9">
        <v>9.2</v>
      </c>
      <c r="I881" s="13">
        <v>98.0</v>
      </c>
      <c r="J881" s="13">
        <v>103.0</v>
      </c>
      <c r="K881" s="17">
        <f t="shared" si="10"/>
        <v>0.8419303266</v>
      </c>
      <c r="L881" s="9">
        <v>0.0</v>
      </c>
      <c r="M881" s="9" t="s">
        <v>57</v>
      </c>
      <c r="O881" s="9" t="s">
        <v>638</v>
      </c>
      <c r="P881" s="40" t="s">
        <v>1729</v>
      </c>
      <c r="Q881" s="33" t="s">
        <v>150</v>
      </c>
      <c r="R881" s="33" t="s">
        <v>2119</v>
      </c>
      <c r="S881" s="9" t="s">
        <v>221</v>
      </c>
      <c r="T881" t="str">
        <f t="shared" si="9"/>
        <v>N</v>
      </c>
      <c r="W881" s="12" t="str">
        <f t="array" ref="W881">if(and(L881=0,Q881="NA"),"NA",if(L881=0,"no lice",if(Q881="NA","no collection",index(sea_lice!G:G,match(C881,sea_lice!A:A,0)))))</f>
        <v>no lice</v>
      </c>
      <c r="X881" s="23">
        <v>880.0</v>
      </c>
    </row>
    <row r="882">
      <c r="B882" s="6">
        <v>16261.0</v>
      </c>
      <c r="C882" s="12" t="str">
        <f t="shared" si="1"/>
        <v>U16261</v>
      </c>
      <c r="D882" s="14" t="str">
        <f t="array" ref="D882">iferror(index('2018_ufns'!E:E,match(C882,'2018_ufns'!B:B,0)))</f>
        <v>P1027</v>
      </c>
      <c r="E882" s="14">
        <v>43420.0</v>
      </c>
      <c r="F882" s="40" t="s">
        <v>53</v>
      </c>
      <c r="G882" s="40" t="s">
        <v>54</v>
      </c>
      <c r="H882" s="9">
        <v>14.9</v>
      </c>
      <c r="I882" s="13">
        <v>114.0</v>
      </c>
      <c r="J882" s="13" t="s">
        <v>63</v>
      </c>
      <c r="K882" s="17" t="str">
        <f t="shared" si="10"/>
        <v/>
      </c>
      <c r="L882" s="9">
        <v>0.0</v>
      </c>
      <c r="M882" s="9" t="s">
        <v>57</v>
      </c>
      <c r="O882" s="9" t="s">
        <v>638</v>
      </c>
      <c r="P882" s="40" t="s">
        <v>1729</v>
      </c>
      <c r="Q882" s="33" t="s">
        <v>150</v>
      </c>
      <c r="R882" s="33" t="s">
        <v>2119</v>
      </c>
      <c r="S882" s="9" t="s">
        <v>221</v>
      </c>
      <c r="T882" t="str">
        <f t="shared" si="9"/>
        <v>N</v>
      </c>
      <c r="W882" s="12" t="str">
        <f t="array" ref="W882">if(and(L882=0,Q882="NA"),"NA",if(L882=0,"no lice",if(Q882="NA","no collection",index(sea_lice!G:G,match(C882,sea_lice!A:A,0)))))</f>
        <v>no lice</v>
      </c>
      <c r="X882" s="23">
        <v>881.0</v>
      </c>
    </row>
    <row r="883">
      <c r="B883" s="6">
        <v>16262.0</v>
      </c>
      <c r="C883" s="12" t="str">
        <f t="shared" si="1"/>
        <v>U16262</v>
      </c>
      <c r="D883" s="14" t="str">
        <f t="array" ref="D883">iferror(index('2018_ufns'!E:E,match(C883,'2018_ufns'!B:B,0)))</f>
        <v>P1027</v>
      </c>
      <c r="E883" s="14">
        <v>43420.0</v>
      </c>
      <c r="F883" s="40" t="s">
        <v>53</v>
      </c>
      <c r="G883" s="40" t="s">
        <v>54</v>
      </c>
      <c r="H883" s="9">
        <v>7.7</v>
      </c>
      <c r="I883" s="13">
        <v>88.0</v>
      </c>
      <c r="J883" s="13" t="s">
        <v>63</v>
      </c>
      <c r="K883" s="17" t="str">
        <f t="shared" si="10"/>
        <v/>
      </c>
      <c r="L883" s="9">
        <v>0.0</v>
      </c>
      <c r="M883" s="9" t="s">
        <v>57</v>
      </c>
      <c r="O883" s="9" t="s">
        <v>638</v>
      </c>
      <c r="P883" s="40" t="s">
        <v>1729</v>
      </c>
      <c r="Q883" s="33" t="s">
        <v>150</v>
      </c>
      <c r="R883" s="33" t="s">
        <v>2119</v>
      </c>
      <c r="S883" s="9" t="s">
        <v>221</v>
      </c>
      <c r="T883" t="str">
        <f t="shared" si="9"/>
        <v>N</v>
      </c>
      <c r="W883" s="12" t="str">
        <f t="array" ref="W883">if(and(L883=0,Q883="NA"),"NA",if(L883=0,"no lice",if(Q883="NA","no collection",index(sea_lice!G:G,match(C883,sea_lice!A:A,0)))))</f>
        <v>no lice</v>
      </c>
      <c r="X883" s="23">
        <v>882.0</v>
      </c>
    </row>
    <row r="884">
      <c r="B884" s="6">
        <v>16263.0</v>
      </c>
      <c r="C884" s="12" t="str">
        <f t="shared" si="1"/>
        <v>U16263</v>
      </c>
      <c r="D884" s="14" t="str">
        <f t="array" ref="D884">iferror(index('2018_ufns'!E:E,match(C884,'2018_ufns'!B:B,0)))</f>
        <v>P1027</v>
      </c>
      <c r="E884" s="14">
        <v>43420.0</v>
      </c>
      <c r="F884" s="40" t="s">
        <v>53</v>
      </c>
      <c r="G884" s="40" t="s">
        <v>54</v>
      </c>
      <c r="H884" s="9">
        <v>6.6</v>
      </c>
      <c r="I884" s="13">
        <v>88.0</v>
      </c>
      <c r="J884" s="13" t="s">
        <v>63</v>
      </c>
      <c r="K884" s="17" t="str">
        <f t="shared" si="10"/>
        <v/>
      </c>
      <c r="L884" s="9">
        <v>0.0</v>
      </c>
      <c r="M884" s="9" t="s">
        <v>57</v>
      </c>
      <c r="N884" s="47"/>
      <c r="O884" s="9" t="s">
        <v>638</v>
      </c>
      <c r="P884" s="40" t="s">
        <v>1729</v>
      </c>
      <c r="Q884" s="33" t="s">
        <v>150</v>
      </c>
      <c r="R884" s="33" t="s">
        <v>2119</v>
      </c>
      <c r="S884" s="9" t="s">
        <v>221</v>
      </c>
      <c r="T884" t="str">
        <f t="shared" si="9"/>
        <v>N</v>
      </c>
      <c r="W884" s="12" t="str">
        <f t="array" ref="W884">if(and(L884=0,Q884="NA"),"NA",if(L884=0,"no lice",if(Q884="NA","no collection",index(sea_lice!G:G,match(C884,sea_lice!A:A,0)))))</f>
        <v>no lice</v>
      </c>
      <c r="X884" s="23">
        <v>883.0</v>
      </c>
    </row>
    <row r="885">
      <c r="B885" s="6">
        <v>16466.0</v>
      </c>
      <c r="C885" s="12" t="str">
        <f t="shared" si="1"/>
        <v>U16466</v>
      </c>
      <c r="D885" s="14" t="str">
        <f t="array" ref="D885">iferror(index('2018_ufns'!E:E,match(C885,'2018_ufns'!B:B,0)))</f>
        <v>P1047</v>
      </c>
      <c r="E885" s="14">
        <v>43423.0</v>
      </c>
      <c r="F885" s="40" t="s">
        <v>53</v>
      </c>
      <c r="G885" s="40" t="s">
        <v>54</v>
      </c>
      <c r="H885" s="9">
        <v>11.7</v>
      </c>
      <c r="I885" s="13">
        <v>107.0</v>
      </c>
      <c r="J885" s="13">
        <v>111.0</v>
      </c>
      <c r="K885" s="17">
        <f t="shared" si="10"/>
        <v>0.8554939161</v>
      </c>
      <c r="L885" s="9">
        <v>0.0</v>
      </c>
      <c r="M885" s="9" t="s">
        <v>57</v>
      </c>
      <c r="N885" s="47"/>
      <c r="O885" s="9" t="s">
        <v>221</v>
      </c>
      <c r="P885" s="40" t="s">
        <v>1729</v>
      </c>
      <c r="Q885" s="33" t="s">
        <v>150</v>
      </c>
      <c r="R885" s="33" t="s">
        <v>2119</v>
      </c>
      <c r="S885" s="9" t="s">
        <v>638</v>
      </c>
      <c r="T885" t="str">
        <f t="shared" si="9"/>
        <v>N</v>
      </c>
      <c r="W885" s="12" t="str">
        <f t="array" ref="W885">if(and(L885=0,Q885="NA"),"NA",if(L885=0,"no lice",if(Q885="NA","no collection",index(sea_lice!G:G,match(C885,sea_lice!A:A,0)))))</f>
        <v>no lice</v>
      </c>
      <c r="X885" s="23">
        <v>884.0</v>
      </c>
    </row>
    <row r="886">
      <c r="B886" s="6">
        <v>16467.0</v>
      </c>
      <c r="C886" s="12" t="str">
        <f t="shared" si="1"/>
        <v>U16467</v>
      </c>
      <c r="D886" s="14" t="str">
        <f t="array" ref="D886">iferror(index('2018_ufns'!E:E,match(C886,'2018_ufns'!B:B,0)))</f>
        <v>P1047</v>
      </c>
      <c r="E886" s="14">
        <v>43423.0</v>
      </c>
      <c r="F886" s="40" t="s">
        <v>53</v>
      </c>
      <c r="G886" s="40" t="s">
        <v>54</v>
      </c>
      <c r="H886" s="9">
        <v>8.2</v>
      </c>
      <c r="I886" s="13">
        <v>91.0</v>
      </c>
      <c r="J886" s="13" t="s">
        <v>63</v>
      </c>
      <c r="K886" s="17" t="str">
        <f t="shared" si="10"/>
        <v/>
      </c>
      <c r="L886" s="9">
        <v>0.0</v>
      </c>
      <c r="M886" s="9" t="s">
        <v>57</v>
      </c>
      <c r="N886" s="47"/>
      <c r="O886" s="9" t="s">
        <v>221</v>
      </c>
      <c r="P886" s="40" t="s">
        <v>1729</v>
      </c>
      <c r="Q886" s="33" t="s">
        <v>150</v>
      </c>
      <c r="R886" s="33" t="s">
        <v>2119</v>
      </c>
      <c r="S886" s="9" t="s">
        <v>638</v>
      </c>
      <c r="T886" t="str">
        <f t="shared" si="9"/>
        <v>N</v>
      </c>
      <c r="W886" s="12" t="str">
        <f t="array" ref="W886">if(and(L886=0,Q886="NA"),"NA",if(L886=0,"no lice",if(Q886="NA","no collection",index(sea_lice!G:G,match(C886,sea_lice!A:A,0)))))</f>
        <v>no lice</v>
      </c>
      <c r="X886" s="23">
        <v>885.0</v>
      </c>
    </row>
    <row r="887">
      <c r="B887" s="6">
        <v>16468.0</v>
      </c>
      <c r="C887" s="12" t="str">
        <f t="shared" si="1"/>
        <v>U16468</v>
      </c>
      <c r="D887" s="14" t="str">
        <f t="array" ref="D887">iferror(index('2018_ufns'!E:E,match(C887,'2018_ufns'!B:B,0)))</f>
        <v>P1047</v>
      </c>
      <c r="E887" s="14">
        <v>43423.0</v>
      </c>
      <c r="F887" s="40" t="s">
        <v>53</v>
      </c>
      <c r="G887" s="40" t="s">
        <v>54</v>
      </c>
      <c r="H887" s="9">
        <v>6.1</v>
      </c>
      <c r="I887" s="13">
        <v>86.0</v>
      </c>
      <c r="J887" s="13">
        <v>91.0</v>
      </c>
      <c r="K887" s="17">
        <f t="shared" si="10"/>
        <v>0.8094791334</v>
      </c>
      <c r="L887" s="9">
        <v>0.0</v>
      </c>
      <c r="M887" s="9" t="s">
        <v>57</v>
      </c>
      <c r="N887" s="47"/>
      <c r="O887" s="9" t="s">
        <v>221</v>
      </c>
      <c r="P887" s="40" t="s">
        <v>1729</v>
      </c>
      <c r="Q887" s="33" t="s">
        <v>150</v>
      </c>
      <c r="R887" s="33" t="s">
        <v>2119</v>
      </c>
      <c r="S887" s="9" t="s">
        <v>638</v>
      </c>
      <c r="T887" t="str">
        <f t="shared" si="9"/>
        <v>N</v>
      </c>
      <c r="W887" s="12" t="str">
        <f t="array" ref="W887">if(and(L887=0,Q887="NA"),"NA",if(L887=0,"no lice",if(Q887="NA","no collection",index(sea_lice!G:G,match(C887,sea_lice!A:A,0)))))</f>
        <v>no lice</v>
      </c>
      <c r="X887" s="23">
        <v>886.0</v>
      </c>
    </row>
    <row r="888">
      <c r="B888" s="6">
        <v>16469.0</v>
      </c>
      <c r="C888" s="12" t="str">
        <f t="shared" si="1"/>
        <v>U16469</v>
      </c>
      <c r="D888" s="14" t="str">
        <f t="array" ref="D888">iferror(index('2018_ufns'!E:E,match(C888,'2018_ufns'!B:B,0)))</f>
        <v>P1047</v>
      </c>
      <c r="E888" s="14">
        <v>43423.0</v>
      </c>
      <c r="F888" s="40" t="s">
        <v>53</v>
      </c>
      <c r="G888" s="40" t="s">
        <v>54</v>
      </c>
      <c r="H888" s="9">
        <v>5.0</v>
      </c>
      <c r="I888" s="13">
        <v>80.0</v>
      </c>
      <c r="J888" s="13">
        <v>84.0</v>
      </c>
      <c r="K888" s="17">
        <f t="shared" si="10"/>
        <v>0.8435914048</v>
      </c>
      <c r="L888" s="9">
        <v>0.0</v>
      </c>
      <c r="M888" s="9" t="s">
        <v>57</v>
      </c>
      <c r="N888" s="47"/>
      <c r="O888" s="9" t="s">
        <v>221</v>
      </c>
      <c r="P888" s="40" t="s">
        <v>1729</v>
      </c>
      <c r="Q888" s="33" t="s">
        <v>150</v>
      </c>
      <c r="R888" s="33" t="s">
        <v>2119</v>
      </c>
      <c r="S888" s="9" t="s">
        <v>638</v>
      </c>
      <c r="T888" t="str">
        <f t="shared" si="9"/>
        <v>N</v>
      </c>
      <c r="W888" s="12" t="str">
        <f t="array" ref="W888">if(and(L888=0,Q888="NA"),"NA",if(L888=0,"no lice",if(Q888="NA","no collection",index(sea_lice!G:G,match(C888,sea_lice!A:A,0)))))</f>
        <v>no lice</v>
      </c>
      <c r="X888" s="23">
        <v>887.0</v>
      </c>
    </row>
    <row r="889">
      <c r="B889" s="6">
        <v>16470.0</v>
      </c>
      <c r="C889" s="12" t="str">
        <f t="shared" si="1"/>
        <v>U16470</v>
      </c>
      <c r="D889" s="14" t="str">
        <f t="array" ref="D889">iferror(index('2018_ufns'!E:E,match(C889,'2018_ufns'!B:B,0)))</f>
        <v>P1047</v>
      </c>
      <c r="E889" s="14">
        <v>43423.0</v>
      </c>
      <c r="F889" s="40" t="s">
        <v>53</v>
      </c>
      <c r="G889" s="40" t="s">
        <v>54</v>
      </c>
      <c r="H889" s="9">
        <v>6.5</v>
      </c>
      <c r="I889" s="13">
        <v>85.0</v>
      </c>
      <c r="J889" s="13">
        <v>89.0</v>
      </c>
      <c r="K889" s="17">
        <f t="shared" si="10"/>
        <v>0.9220263586</v>
      </c>
      <c r="L889" s="9">
        <v>0.0</v>
      </c>
      <c r="M889" s="9" t="s">
        <v>57</v>
      </c>
      <c r="O889" s="9" t="s">
        <v>221</v>
      </c>
      <c r="P889" s="40" t="s">
        <v>1729</v>
      </c>
      <c r="Q889" s="33" t="s">
        <v>150</v>
      </c>
      <c r="R889" s="33" t="s">
        <v>2119</v>
      </c>
      <c r="S889" s="9" t="s">
        <v>638</v>
      </c>
      <c r="T889" t="str">
        <f t="shared" si="9"/>
        <v>N</v>
      </c>
      <c r="W889" s="12" t="str">
        <f t="array" ref="W889">if(and(L889=0,Q889="NA"),"NA",if(L889=0,"no lice",if(Q889="NA","no collection",index(sea_lice!G:G,match(C889,sea_lice!A:A,0)))))</f>
        <v>no lice</v>
      </c>
      <c r="X889" s="23">
        <v>888.0</v>
      </c>
    </row>
    <row r="890">
      <c r="B890" s="6">
        <v>16437.0</v>
      </c>
      <c r="C890" s="12" t="str">
        <f t="shared" si="1"/>
        <v>U16437</v>
      </c>
      <c r="D890" s="14" t="str">
        <f t="array" ref="D890">iferror(index('2018_ufns'!E:E,match(C890,'2018_ufns'!B:B,0)))</f>
        <v>P1044</v>
      </c>
      <c r="E890" s="14">
        <v>43423.0</v>
      </c>
      <c r="F890" s="40" t="s">
        <v>53</v>
      </c>
      <c r="G890" s="40" t="s">
        <v>54</v>
      </c>
      <c r="H890" s="9">
        <v>3.9</v>
      </c>
      <c r="I890" s="13">
        <v>70.0</v>
      </c>
      <c r="J890" s="13">
        <v>74.0</v>
      </c>
      <c r="K890" s="17">
        <f t="shared" si="10"/>
        <v>0.9624306556</v>
      </c>
      <c r="L890" s="9">
        <v>0.0</v>
      </c>
      <c r="M890" s="9" t="s">
        <v>57</v>
      </c>
      <c r="O890" s="9" t="s">
        <v>221</v>
      </c>
      <c r="P890" s="40" t="s">
        <v>1729</v>
      </c>
      <c r="Q890" s="33" t="s">
        <v>150</v>
      </c>
      <c r="R890" s="33" t="s">
        <v>2119</v>
      </c>
      <c r="S890" s="9" t="s">
        <v>638</v>
      </c>
      <c r="T890" t="str">
        <f t="shared" si="9"/>
        <v>N</v>
      </c>
      <c r="W890" s="12" t="str">
        <f t="array" ref="W890">if(and(L890=0,Q890="NA"),"NA",if(L890=0,"no lice",if(Q890="NA","no collection",index(sea_lice!G:G,match(C890,sea_lice!A:A,0)))))</f>
        <v>no lice</v>
      </c>
      <c r="X890" s="23">
        <v>889.0</v>
      </c>
    </row>
    <row r="891">
      <c r="B891" s="6">
        <v>16440.0</v>
      </c>
      <c r="C891" s="12" t="str">
        <f t="shared" si="1"/>
        <v>U16440</v>
      </c>
      <c r="D891" s="14" t="str">
        <f t="array" ref="D891">iferror(index('2018_ufns'!E:E,match(C891,'2018_ufns'!B:B,0)))</f>
        <v>P1044</v>
      </c>
      <c r="E891" s="14">
        <v>43423.0</v>
      </c>
      <c r="F891" s="40" t="s">
        <v>53</v>
      </c>
      <c r="G891" s="40" t="s">
        <v>54</v>
      </c>
      <c r="H891" s="9">
        <v>4.0</v>
      </c>
      <c r="I891" s="13">
        <v>71.0</v>
      </c>
      <c r="J891" s="13" t="s">
        <v>63</v>
      </c>
      <c r="K891" s="17" t="str">
        <f t="shared" si="10"/>
        <v/>
      </c>
      <c r="L891" s="9">
        <v>0.0</v>
      </c>
      <c r="M891" s="9" t="s">
        <v>57</v>
      </c>
      <c r="O891" s="9" t="s">
        <v>221</v>
      </c>
      <c r="P891" s="40" t="s">
        <v>1729</v>
      </c>
      <c r="Q891" s="33" t="s">
        <v>150</v>
      </c>
      <c r="R891" s="33" t="s">
        <v>2119</v>
      </c>
      <c r="S891" s="9" t="s">
        <v>638</v>
      </c>
      <c r="T891" t="str">
        <f t="shared" si="9"/>
        <v>N</v>
      </c>
      <c r="W891" s="12" t="str">
        <f t="array" ref="W891">if(and(L891=0,Q891="NA"),"NA",if(L891=0,"no lice",if(Q891="NA","no collection",index(sea_lice!G:G,match(C891,sea_lice!A:A,0)))))</f>
        <v>no lice</v>
      </c>
      <c r="X891" s="23">
        <v>890.0</v>
      </c>
    </row>
    <row r="892">
      <c r="B892" s="6">
        <v>16438.0</v>
      </c>
      <c r="C892" s="12" t="str">
        <f t="shared" si="1"/>
        <v>U16438</v>
      </c>
      <c r="D892" s="14" t="str">
        <f t="array" ref="D892">iferror(index('2018_ufns'!E:E,match(C892,'2018_ufns'!B:B,0)))</f>
        <v>P1044</v>
      </c>
      <c r="E892" s="14">
        <v>43423.0</v>
      </c>
      <c r="F892" s="40" t="s">
        <v>53</v>
      </c>
      <c r="G892" s="40" t="s">
        <v>54</v>
      </c>
      <c r="H892" s="9">
        <v>3.3</v>
      </c>
      <c r="I892" s="13">
        <v>62.0</v>
      </c>
      <c r="J892" s="13">
        <v>66.0</v>
      </c>
      <c r="K892" s="17">
        <f t="shared" si="10"/>
        <v>1.147842057</v>
      </c>
      <c r="L892" s="9">
        <v>2.0</v>
      </c>
      <c r="M892" s="9" t="s">
        <v>57</v>
      </c>
      <c r="O892" s="9" t="s">
        <v>221</v>
      </c>
      <c r="P892" s="40" t="s">
        <v>1729</v>
      </c>
      <c r="Q892" s="33" t="s">
        <v>150</v>
      </c>
      <c r="R892" s="33" t="s">
        <v>2119</v>
      </c>
      <c r="S892" s="9" t="s">
        <v>638</v>
      </c>
      <c r="T892" t="str">
        <f t="shared" si="9"/>
        <v>N</v>
      </c>
      <c r="W892" s="12" t="str">
        <f t="array" ref="W892">if(and(L892=0,Q892="NA"),"NA",if(L892=0,"no lice",if(Q892="NA","no collection",index(sea_lice!G:G,match(C892,sea_lice!A:A,0)))))</f>
        <v>BSL7-1</v>
      </c>
      <c r="X892" s="23">
        <v>891.0</v>
      </c>
    </row>
    <row r="893">
      <c r="B893" s="6">
        <v>16436.0</v>
      </c>
      <c r="C893" s="12" t="str">
        <f t="shared" si="1"/>
        <v>U16436</v>
      </c>
      <c r="D893" s="14" t="str">
        <f t="array" ref="D893">iferror(index('2018_ufns'!E:E,match(C893,'2018_ufns'!B:B,0)))</f>
        <v>P1044</v>
      </c>
      <c r="E893" s="14">
        <v>43423.0</v>
      </c>
      <c r="F893" s="40" t="s">
        <v>53</v>
      </c>
      <c r="G893" s="40" t="s">
        <v>54</v>
      </c>
      <c r="H893" s="9">
        <v>4.1</v>
      </c>
      <c r="I893" s="13">
        <v>74.0</v>
      </c>
      <c r="J893" s="13">
        <v>78.0</v>
      </c>
      <c r="K893" s="17">
        <f t="shared" si="10"/>
        <v>0.8639727575</v>
      </c>
      <c r="L893" s="9">
        <v>0.0</v>
      </c>
      <c r="M893" s="9" t="s">
        <v>57</v>
      </c>
      <c r="O893" s="9" t="s">
        <v>221</v>
      </c>
      <c r="P893" s="40" t="s">
        <v>1729</v>
      </c>
      <c r="Q893" s="33" t="s">
        <v>150</v>
      </c>
      <c r="R893" s="33" t="s">
        <v>2119</v>
      </c>
      <c r="S893" s="9" t="s">
        <v>638</v>
      </c>
      <c r="T893" t="str">
        <f t="shared" si="9"/>
        <v>N</v>
      </c>
      <c r="W893" s="12" t="str">
        <f t="array" ref="W893">if(and(L893=0,Q893="NA"),"NA",if(L893=0,"no lice",if(Q893="NA","no collection",index(sea_lice!G:G,match(C893,sea_lice!A:A,0)))))</f>
        <v>no lice</v>
      </c>
      <c r="X893" s="23">
        <v>892.0</v>
      </c>
    </row>
    <row r="894">
      <c r="B894" s="6">
        <v>16435.0</v>
      </c>
      <c r="C894" s="12" t="str">
        <f t="shared" si="1"/>
        <v>U16435</v>
      </c>
      <c r="D894" s="14" t="str">
        <f t="array" ref="D894">iferror(index('2018_ufns'!E:E,match(C894,'2018_ufns'!B:B,0)))</f>
        <v>P1044</v>
      </c>
      <c r="E894" s="14">
        <v>43423.0</v>
      </c>
      <c r="F894" s="40" t="s">
        <v>53</v>
      </c>
      <c r="G894" s="40" t="s">
        <v>54</v>
      </c>
      <c r="H894" s="9">
        <v>9.8</v>
      </c>
      <c r="I894" s="13">
        <v>94.0</v>
      </c>
      <c r="J894" s="13">
        <v>99.0</v>
      </c>
      <c r="K894" s="17">
        <f t="shared" si="10"/>
        <v>1.009997949</v>
      </c>
      <c r="L894" s="9">
        <v>0.0</v>
      </c>
      <c r="M894" s="9" t="s">
        <v>57</v>
      </c>
      <c r="O894" s="9" t="s">
        <v>221</v>
      </c>
      <c r="P894" s="40" t="s">
        <v>1729</v>
      </c>
      <c r="Q894" s="33" t="s">
        <v>150</v>
      </c>
      <c r="R894" s="33" t="s">
        <v>2119</v>
      </c>
      <c r="S894" s="9" t="s">
        <v>638</v>
      </c>
      <c r="T894" t="str">
        <f t="shared" si="9"/>
        <v>N</v>
      </c>
      <c r="W894" s="12" t="str">
        <f t="array" ref="W894">if(and(L894=0,Q894="NA"),"NA",if(L894=0,"no lice",if(Q894="NA","no collection",index(sea_lice!G:G,match(C894,sea_lice!A:A,0)))))</f>
        <v>no lice</v>
      </c>
      <c r="X894" s="23">
        <v>893.0</v>
      </c>
    </row>
    <row r="895">
      <c r="B895" s="6">
        <v>16439.0</v>
      </c>
      <c r="C895" s="12" t="str">
        <f t="shared" si="1"/>
        <v>U16439</v>
      </c>
      <c r="D895" s="14" t="str">
        <f t="array" ref="D895">iferror(index('2018_ufns'!E:E,match(C895,'2018_ufns'!B:B,0)))</f>
        <v>P1044</v>
      </c>
      <c r="E895" s="14">
        <v>43423.0</v>
      </c>
      <c r="F895" s="40" t="s">
        <v>53</v>
      </c>
      <c r="G895" s="40" t="s">
        <v>54</v>
      </c>
      <c r="H895" s="9">
        <v>2.2</v>
      </c>
      <c r="I895" s="13">
        <v>63.0</v>
      </c>
      <c r="J895" s="13">
        <v>67.0</v>
      </c>
      <c r="K895" s="17">
        <f t="shared" si="10"/>
        <v>0.7314729538</v>
      </c>
      <c r="L895" s="9">
        <v>0.0</v>
      </c>
      <c r="M895" s="9" t="s">
        <v>57</v>
      </c>
      <c r="O895" s="9" t="s">
        <v>221</v>
      </c>
      <c r="P895" s="40" t="s">
        <v>1729</v>
      </c>
      <c r="Q895" s="33" t="s">
        <v>150</v>
      </c>
      <c r="R895" s="33" t="s">
        <v>2119</v>
      </c>
      <c r="S895" s="9" t="s">
        <v>638</v>
      </c>
      <c r="T895" t="str">
        <f t="shared" si="9"/>
        <v>N</v>
      </c>
      <c r="W895" s="12" t="str">
        <f t="array" ref="W895">if(and(L895=0,Q895="NA"),"NA",if(L895=0,"no lice",if(Q895="NA","no collection",index(sea_lice!G:G,match(C895,sea_lice!A:A,0)))))</f>
        <v>no lice</v>
      </c>
      <c r="X895" s="23">
        <v>894.0</v>
      </c>
    </row>
    <row r="896">
      <c r="B896" s="6">
        <v>16433.0</v>
      </c>
      <c r="C896" s="12" t="str">
        <f t="shared" si="1"/>
        <v>U16433</v>
      </c>
      <c r="D896" s="14" t="str">
        <f t="array" ref="D896">iferror(index('2018_ufns'!E:E,match(C896,'2018_ufns'!B:B,0)))</f>
        <v>P1044</v>
      </c>
      <c r="E896" s="14">
        <v>43423.0</v>
      </c>
      <c r="F896" s="40" t="s">
        <v>53</v>
      </c>
      <c r="G896" s="40" t="s">
        <v>54</v>
      </c>
      <c r="H896" s="9">
        <v>3.5</v>
      </c>
      <c r="I896" s="13">
        <v>69.0</v>
      </c>
      <c r="J896" s="13">
        <v>73.0</v>
      </c>
      <c r="K896" s="17">
        <f t="shared" si="10"/>
        <v>0.8997036119</v>
      </c>
      <c r="L896" s="9">
        <v>0.0</v>
      </c>
      <c r="M896" s="9" t="s">
        <v>57</v>
      </c>
      <c r="O896" s="9" t="s">
        <v>221</v>
      </c>
      <c r="P896" s="40" t="s">
        <v>1729</v>
      </c>
      <c r="Q896" s="33" t="s">
        <v>150</v>
      </c>
      <c r="R896" s="33" t="s">
        <v>2119</v>
      </c>
      <c r="S896" s="9" t="s">
        <v>638</v>
      </c>
      <c r="T896" t="str">
        <f t="shared" si="9"/>
        <v>N</v>
      </c>
      <c r="W896" s="12" t="str">
        <f t="array" ref="W896">if(and(L896=0,Q896="NA"),"NA",if(L896=0,"no lice",if(Q896="NA","no collection",index(sea_lice!G:G,match(C896,sea_lice!A:A,0)))))</f>
        <v>no lice</v>
      </c>
      <c r="X896" s="23">
        <v>895.0</v>
      </c>
    </row>
    <row r="897">
      <c r="B897" s="6">
        <v>16264.0</v>
      </c>
      <c r="C897" s="12" t="str">
        <f t="shared" si="1"/>
        <v>U16264</v>
      </c>
      <c r="D897" s="14" t="str">
        <f t="array" ref="D897">iferror(index('2018_ufns'!E:E,match(C897,'2018_ufns'!B:B,0)))</f>
        <v>P1027</v>
      </c>
      <c r="E897" s="14">
        <v>43423.0</v>
      </c>
      <c r="F897" s="40" t="s">
        <v>53</v>
      </c>
      <c r="G897" s="40" t="s">
        <v>54</v>
      </c>
      <c r="H897" s="9">
        <v>14.0</v>
      </c>
      <c r="I897" s="13">
        <v>110.0</v>
      </c>
      <c r="J897" s="13">
        <v>116.0</v>
      </c>
      <c r="K897" s="17">
        <f t="shared" si="10"/>
        <v>0.896920743</v>
      </c>
      <c r="L897" s="9">
        <v>0.0</v>
      </c>
      <c r="M897" s="9" t="s">
        <v>57</v>
      </c>
      <c r="O897" s="9" t="s">
        <v>638</v>
      </c>
      <c r="P897" s="40" t="s">
        <v>1729</v>
      </c>
      <c r="Q897" s="33" t="s">
        <v>150</v>
      </c>
      <c r="R897" s="33" t="s">
        <v>2119</v>
      </c>
      <c r="S897" s="9" t="s">
        <v>221</v>
      </c>
      <c r="T897" t="str">
        <f t="shared" si="9"/>
        <v>N</v>
      </c>
      <c r="W897" s="12" t="str">
        <f t="array" ref="W897">if(and(L897=0,Q897="NA"),"NA",if(L897=0,"no lice",if(Q897="NA","no collection",index(sea_lice!G:G,match(C897,sea_lice!A:A,0)))))</f>
        <v>no lice</v>
      </c>
      <c r="X897" s="23">
        <v>896.0</v>
      </c>
    </row>
    <row r="898">
      <c r="B898" s="6">
        <v>16265.0</v>
      </c>
      <c r="C898" s="12" t="str">
        <f t="shared" si="1"/>
        <v>U16265</v>
      </c>
      <c r="D898" s="14" t="str">
        <f t="array" ref="D898">iferror(index('2018_ufns'!E:E,match(C898,'2018_ufns'!B:B,0)))</f>
        <v>P1027</v>
      </c>
      <c r="E898" s="14">
        <v>43423.0</v>
      </c>
      <c r="F898" s="40" t="s">
        <v>53</v>
      </c>
      <c r="G898" s="40" t="s">
        <v>54</v>
      </c>
      <c r="H898" s="9">
        <v>8.5</v>
      </c>
      <c r="I898" s="13">
        <v>93.0</v>
      </c>
      <c r="J898" s="13">
        <v>99.0</v>
      </c>
      <c r="K898" s="17">
        <f t="shared" si="10"/>
        <v>0.8760186293</v>
      </c>
      <c r="L898" s="9">
        <v>0.0</v>
      </c>
      <c r="M898" s="9" t="s">
        <v>57</v>
      </c>
      <c r="O898" s="9" t="s">
        <v>638</v>
      </c>
      <c r="P898" s="40" t="s">
        <v>1729</v>
      </c>
      <c r="Q898" s="33" t="s">
        <v>150</v>
      </c>
      <c r="R898" s="33" t="s">
        <v>2119</v>
      </c>
      <c r="S898" s="9" t="s">
        <v>221</v>
      </c>
      <c r="T898" t="str">
        <f t="shared" si="9"/>
        <v>N</v>
      </c>
      <c r="W898" s="12" t="str">
        <f t="array" ref="W898">if(and(L898=0,Q898="NA"),"NA",if(L898=0,"no lice",if(Q898="NA","no collection",index(sea_lice!G:G,match(C898,sea_lice!A:A,0)))))</f>
        <v>no lice</v>
      </c>
      <c r="X898" s="23">
        <v>897.0</v>
      </c>
    </row>
    <row r="899">
      <c r="B899" s="6">
        <v>16268.0</v>
      </c>
      <c r="C899" s="12" t="str">
        <f t="shared" si="1"/>
        <v>U16268</v>
      </c>
      <c r="D899" s="14" t="str">
        <f t="array" ref="D899">iferror(index('2018_ufns'!E:E,match(C899,'2018_ufns'!B:B,0)))</f>
        <v>P1027</v>
      </c>
      <c r="E899" s="14">
        <v>43423.0</v>
      </c>
      <c r="F899" s="40" t="s">
        <v>53</v>
      </c>
      <c r="G899" s="40" t="s">
        <v>54</v>
      </c>
      <c r="H899" s="9">
        <v>5.5</v>
      </c>
      <c r="I899" s="13">
        <v>80.0</v>
      </c>
      <c r="J899" s="13">
        <v>84.0</v>
      </c>
      <c r="K899" s="17">
        <f t="shared" si="10"/>
        <v>0.9279505453</v>
      </c>
      <c r="L899" s="9">
        <v>0.0</v>
      </c>
      <c r="M899" s="9" t="s">
        <v>57</v>
      </c>
      <c r="O899" s="9" t="s">
        <v>638</v>
      </c>
      <c r="P899" s="40" t="s">
        <v>1729</v>
      </c>
      <c r="Q899" s="33" t="s">
        <v>150</v>
      </c>
      <c r="R899" s="33" t="s">
        <v>2119</v>
      </c>
      <c r="S899" s="9" t="s">
        <v>221</v>
      </c>
      <c r="T899" t="str">
        <f t="shared" si="9"/>
        <v>N</v>
      </c>
      <c r="W899" s="12" t="str">
        <f t="array" ref="W899">if(and(L899=0,Q899="NA"),"NA",if(L899=0,"no lice",if(Q899="NA","no collection",index(sea_lice!G:G,match(C899,sea_lice!A:A,0)))))</f>
        <v>no lice</v>
      </c>
      <c r="X899" s="23">
        <v>898.0</v>
      </c>
    </row>
    <row r="900">
      <c r="B900" s="6">
        <v>16269.0</v>
      </c>
      <c r="C900" s="12" t="str">
        <f t="shared" si="1"/>
        <v>U16269</v>
      </c>
      <c r="D900" s="14" t="str">
        <f t="array" ref="D900">iferror(index('2018_ufns'!E:E,match(C900,'2018_ufns'!B:B,0)))</f>
        <v>P1027</v>
      </c>
      <c r="E900" s="14">
        <v>43423.0</v>
      </c>
      <c r="F900" s="40" t="s">
        <v>53</v>
      </c>
      <c r="G900" s="40" t="s">
        <v>54</v>
      </c>
      <c r="H900" s="9">
        <v>9.3</v>
      </c>
      <c r="I900" s="13">
        <v>95.0</v>
      </c>
      <c r="J900" s="13">
        <v>100.0</v>
      </c>
      <c r="K900" s="17">
        <f t="shared" si="10"/>
        <v>0.93</v>
      </c>
      <c r="L900" s="9">
        <v>0.0</v>
      </c>
      <c r="M900" s="9" t="s">
        <v>57</v>
      </c>
      <c r="O900" s="9" t="s">
        <v>638</v>
      </c>
      <c r="P900" s="40" t="s">
        <v>1729</v>
      </c>
      <c r="Q900" s="33" t="s">
        <v>150</v>
      </c>
      <c r="R900" s="33" t="s">
        <v>2119</v>
      </c>
      <c r="S900" s="9" t="s">
        <v>221</v>
      </c>
      <c r="T900" t="str">
        <f t="shared" si="9"/>
        <v>N</v>
      </c>
      <c r="W900" s="12" t="str">
        <f t="array" ref="W900">if(and(L900=0,Q900="NA"),"NA",if(L900=0,"no lice",if(Q900="NA","no collection",index(sea_lice!G:G,match(C900,sea_lice!A:A,0)))))</f>
        <v>no lice</v>
      </c>
      <c r="X900" s="23">
        <v>899.0</v>
      </c>
    </row>
    <row r="901">
      <c r="B901" s="6">
        <v>16266.0</v>
      </c>
      <c r="C901" s="12" t="str">
        <f t="shared" si="1"/>
        <v>U16266</v>
      </c>
      <c r="D901" s="14" t="str">
        <f t="array" ref="D901">iferror(index('2018_ufns'!E:E,match(C901,'2018_ufns'!B:B,0)))</f>
        <v>P1027</v>
      </c>
      <c r="E901" s="14">
        <v>43423.0</v>
      </c>
      <c r="F901" s="40" t="s">
        <v>53</v>
      </c>
      <c r="G901" s="40" t="s">
        <v>54</v>
      </c>
      <c r="H901" s="9">
        <v>9.2</v>
      </c>
      <c r="I901" s="13">
        <v>97.0</v>
      </c>
      <c r="J901" s="13">
        <v>102.0</v>
      </c>
      <c r="K901" s="17">
        <f t="shared" si="10"/>
        <v>0.8669365478</v>
      </c>
      <c r="L901" s="9">
        <v>0.0</v>
      </c>
      <c r="M901" s="9" t="s">
        <v>57</v>
      </c>
      <c r="O901" s="9" t="s">
        <v>638</v>
      </c>
      <c r="P901" s="40" t="s">
        <v>1729</v>
      </c>
      <c r="Q901" s="33" t="s">
        <v>150</v>
      </c>
      <c r="R901" s="33" t="s">
        <v>2119</v>
      </c>
      <c r="S901" s="9" t="s">
        <v>221</v>
      </c>
      <c r="T901" t="str">
        <f t="shared" si="9"/>
        <v>N</v>
      </c>
      <c r="W901" s="12" t="str">
        <f t="array" ref="W901">if(and(L901=0,Q901="NA"),"NA",if(L901=0,"no lice",if(Q901="NA","no collection",index(sea_lice!G:G,match(C901,sea_lice!A:A,0)))))</f>
        <v>no lice</v>
      </c>
      <c r="X901" s="23">
        <v>900.0</v>
      </c>
    </row>
    <row r="902">
      <c r="B902" s="6">
        <v>16270.0</v>
      </c>
      <c r="C902" s="12" t="str">
        <f t="shared" si="1"/>
        <v>U16270</v>
      </c>
      <c r="D902" s="14" t="str">
        <f t="array" ref="D902">iferror(index('2018_ufns'!E:E,match(C902,'2018_ufns'!B:B,0)))</f>
        <v>P1027</v>
      </c>
      <c r="E902" s="14">
        <v>43423.0</v>
      </c>
      <c r="F902" s="40" t="s">
        <v>53</v>
      </c>
      <c r="G902" s="40" t="s">
        <v>54</v>
      </c>
      <c r="H902" s="9">
        <v>8.2</v>
      </c>
      <c r="I902" s="13">
        <v>93.0</v>
      </c>
      <c r="J902" s="13">
        <v>97.0</v>
      </c>
      <c r="K902" s="17">
        <f t="shared" si="10"/>
        <v>0.8984597989</v>
      </c>
      <c r="L902" s="9">
        <v>2.0</v>
      </c>
      <c r="M902" s="9" t="s">
        <v>57</v>
      </c>
      <c r="O902" s="9" t="s">
        <v>638</v>
      </c>
      <c r="P902" s="40" t="s">
        <v>1729</v>
      </c>
      <c r="Q902" s="33" t="s">
        <v>150</v>
      </c>
      <c r="R902" s="33" t="s">
        <v>2119</v>
      </c>
      <c r="S902" s="9" t="s">
        <v>221</v>
      </c>
      <c r="T902" t="str">
        <f t="shared" si="9"/>
        <v>N</v>
      </c>
      <c r="W902" s="12" t="str">
        <f t="array" ref="W902">if(and(L902=0,Q902="NA"),"NA",if(L902=0,"no lice",if(Q902="NA","no collection",index(sea_lice!G:G,match(C902,sea_lice!A:A,0)))))</f>
        <v>BSL6-99</v>
      </c>
      <c r="X902" s="23">
        <v>901.0</v>
      </c>
    </row>
    <row r="903">
      <c r="B903" s="6">
        <v>16267.0</v>
      </c>
      <c r="C903" s="12" t="str">
        <f t="shared" si="1"/>
        <v>U16267</v>
      </c>
      <c r="D903" s="14" t="str">
        <f t="array" ref="D903">iferror(index('2018_ufns'!E:E,match(C903,'2018_ufns'!B:B,0)))</f>
        <v>P1027</v>
      </c>
      <c r="E903" s="14">
        <v>43423.0</v>
      </c>
      <c r="F903" s="40" t="s">
        <v>53</v>
      </c>
      <c r="G903" s="40" t="s">
        <v>54</v>
      </c>
      <c r="H903" s="9">
        <v>13.9</v>
      </c>
      <c r="I903" s="13">
        <v>110.0</v>
      </c>
      <c r="J903" s="13" t="s">
        <v>63</v>
      </c>
      <c r="K903" s="17" t="str">
        <f t="shared" si="10"/>
        <v/>
      </c>
      <c r="L903" s="9">
        <v>1.0</v>
      </c>
      <c r="M903" s="9" t="s">
        <v>57</v>
      </c>
      <c r="O903" s="9" t="s">
        <v>638</v>
      </c>
      <c r="P903" s="40" t="s">
        <v>1729</v>
      </c>
      <c r="Q903" s="33" t="s">
        <v>150</v>
      </c>
      <c r="R903" s="33" t="s">
        <v>2119</v>
      </c>
      <c r="S903" s="9" t="s">
        <v>221</v>
      </c>
      <c r="T903" t="str">
        <f t="shared" si="9"/>
        <v>N</v>
      </c>
      <c r="W903" s="12" t="str">
        <f t="array" ref="W903">if(and(L903=0,Q903="NA"),"NA",if(L903=0,"no lice",if(Q903="NA","no collection",index(sea_lice!G:G,match(C903,sea_lice!A:A,0)))))</f>
        <v>BSL6-100</v>
      </c>
      <c r="X903" s="23">
        <v>902.0</v>
      </c>
    </row>
    <row r="904">
      <c r="B904" s="6">
        <v>17382.0</v>
      </c>
      <c r="C904" s="12" t="str">
        <f t="shared" si="1"/>
        <v>U17382</v>
      </c>
      <c r="D904" s="14" t="str">
        <f t="array" ref="D904">iferror(index('2018_ufns'!E:E,match(C904,'2018_ufns'!B:B,0)))</f>
        <v>P1139</v>
      </c>
      <c r="E904" s="14">
        <v>43423.0</v>
      </c>
      <c r="F904" s="40" t="s">
        <v>53</v>
      </c>
      <c r="G904" s="40" t="s">
        <v>54</v>
      </c>
      <c r="H904" s="9">
        <v>6.8</v>
      </c>
      <c r="I904" s="13">
        <v>88.0</v>
      </c>
      <c r="J904" s="13">
        <v>93.0</v>
      </c>
      <c r="K904" s="17">
        <f t="shared" si="10"/>
        <v>0.8453957633</v>
      </c>
      <c r="L904" s="9">
        <v>0.0</v>
      </c>
      <c r="M904" s="9" t="s">
        <v>57</v>
      </c>
      <c r="O904" s="9" t="s">
        <v>638</v>
      </c>
      <c r="P904" s="40" t="s">
        <v>1729</v>
      </c>
      <c r="Q904" s="33" t="s">
        <v>150</v>
      </c>
      <c r="R904" s="33" t="s">
        <v>2119</v>
      </c>
      <c r="S904" s="9" t="s">
        <v>221</v>
      </c>
      <c r="T904" t="str">
        <f t="shared" si="9"/>
        <v>N</v>
      </c>
      <c r="W904" s="12" t="str">
        <f t="array" ref="W904">if(and(L904=0,Q904="NA"),"NA",if(L904=0,"no lice",if(Q904="NA","no collection",index(sea_lice!G:G,match(C904,sea_lice!A:A,0)))))</f>
        <v>no lice</v>
      </c>
      <c r="X904" s="23">
        <v>903.0</v>
      </c>
    </row>
    <row r="905">
      <c r="B905" s="6">
        <v>17381.0</v>
      </c>
      <c r="C905" s="12" t="str">
        <f t="shared" si="1"/>
        <v>U17381</v>
      </c>
      <c r="D905" s="14" t="str">
        <f t="array" ref="D905">iferror(index('2018_ufns'!E:E,match(C905,'2018_ufns'!B:B,0)))</f>
        <v>P1139</v>
      </c>
      <c r="E905" s="14">
        <v>43423.0</v>
      </c>
      <c r="F905" s="40" t="s">
        <v>53</v>
      </c>
      <c r="G905" s="40" t="s">
        <v>54</v>
      </c>
      <c r="H905" s="9">
        <v>17.6</v>
      </c>
      <c r="I905" s="13">
        <v>113.0</v>
      </c>
      <c r="J905" s="13">
        <v>118.0</v>
      </c>
      <c r="K905" s="17">
        <f t="shared" si="10"/>
        <v>1.071190336</v>
      </c>
      <c r="L905" s="9">
        <v>2.0</v>
      </c>
      <c r="M905" s="9" t="s">
        <v>57</v>
      </c>
      <c r="O905" s="9" t="s">
        <v>638</v>
      </c>
      <c r="P905" s="40" t="s">
        <v>1729</v>
      </c>
      <c r="Q905" s="33" t="s">
        <v>62</v>
      </c>
      <c r="R905" s="33" t="s">
        <v>2119</v>
      </c>
      <c r="S905" s="9" t="s">
        <v>221</v>
      </c>
      <c r="T905" t="str">
        <f t="shared" si="9"/>
        <v>N</v>
      </c>
      <c r="W905" s="12" t="str">
        <f t="array" ref="W905">if(and(L905=0,Q905="NA"),"NA",if(L905=0,"no lice",if(Q905="NA","no collection",index(sea_lice!G:G,match(C905,sea_lice!A:A,0)))))</f>
        <v>BSL2-61</v>
      </c>
      <c r="X905" s="23">
        <v>904.0</v>
      </c>
    </row>
    <row r="906">
      <c r="B906" s="6">
        <v>17383.0</v>
      </c>
      <c r="C906" s="12" t="str">
        <f t="shared" si="1"/>
        <v>U17383</v>
      </c>
      <c r="D906" s="14" t="str">
        <f t="array" ref="D906">iferror(index('2018_ufns'!E:E,match(C906,'2018_ufns'!B:B,0)))</f>
        <v>P1139</v>
      </c>
      <c r="E906" s="14">
        <v>43423.0</v>
      </c>
      <c r="F906" s="40" t="s">
        <v>53</v>
      </c>
      <c r="G906" s="40" t="s">
        <v>54</v>
      </c>
      <c r="H906" s="9">
        <v>8.0</v>
      </c>
      <c r="I906" s="13">
        <v>89.0</v>
      </c>
      <c r="J906" s="13">
        <v>93.0</v>
      </c>
      <c r="K906" s="17">
        <f t="shared" si="10"/>
        <v>0.994583251</v>
      </c>
      <c r="L906" s="9">
        <v>0.0</v>
      </c>
      <c r="M906" s="9" t="s">
        <v>57</v>
      </c>
      <c r="O906" s="9" t="s">
        <v>638</v>
      </c>
      <c r="P906" s="40" t="s">
        <v>1729</v>
      </c>
      <c r="Q906" s="33" t="s">
        <v>62</v>
      </c>
      <c r="R906" s="33" t="s">
        <v>2119</v>
      </c>
      <c r="S906" s="9" t="s">
        <v>221</v>
      </c>
      <c r="T906" t="str">
        <f t="shared" si="9"/>
        <v>N</v>
      </c>
      <c r="W906" s="12" t="str">
        <f t="array" ref="W906">if(and(L906=0,Q906="NA"),"NA",if(L906=0,"no lice",if(Q906="NA","no collection",index(sea_lice!G:G,match(C906,sea_lice!A:A,0)))))</f>
        <v>no lice</v>
      </c>
      <c r="X906" s="23">
        <v>905.0</v>
      </c>
    </row>
    <row r="907">
      <c r="B907" s="6">
        <v>17384.0</v>
      </c>
      <c r="C907" s="12" t="str">
        <f t="shared" si="1"/>
        <v>U17384</v>
      </c>
      <c r="D907" s="14" t="str">
        <f t="array" ref="D907">iferror(index('2018_ufns'!E:E,match(C907,'2018_ufns'!B:B,0)))</f>
        <v>P1139</v>
      </c>
      <c r="E907" s="14">
        <v>43423.0</v>
      </c>
      <c r="F907" s="40" t="s">
        <v>53</v>
      </c>
      <c r="G907" s="40" t="s">
        <v>54</v>
      </c>
      <c r="H907" s="9">
        <v>6.7</v>
      </c>
      <c r="I907" s="13">
        <v>92.0</v>
      </c>
      <c r="J907" s="13">
        <v>97.0</v>
      </c>
      <c r="K907" s="17">
        <f t="shared" si="10"/>
        <v>0.7341073966</v>
      </c>
      <c r="L907" s="9">
        <v>0.0</v>
      </c>
      <c r="M907" s="9" t="s">
        <v>57</v>
      </c>
      <c r="O907" s="9" t="s">
        <v>638</v>
      </c>
      <c r="P907" s="40" t="s">
        <v>1729</v>
      </c>
      <c r="Q907" s="33" t="s">
        <v>62</v>
      </c>
      <c r="R907" s="33" t="s">
        <v>2119</v>
      </c>
      <c r="S907" s="9" t="s">
        <v>221</v>
      </c>
      <c r="T907" t="str">
        <f t="shared" si="9"/>
        <v>N</v>
      </c>
      <c r="W907" s="12" t="str">
        <f t="array" ref="W907">if(and(L907=0,Q907="NA"),"NA",if(L907=0,"no lice",if(Q907="NA","no collection",index(sea_lice!G:G,match(C907,sea_lice!A:A,0)))))</f>
        <v>no lice</v>
      </c>
      <c r="X907" s="23">
        <v>906.0</v>
      </c>
    </row>
    <row r="908">
      <c r="B908" s="6">
        <v>17385.0</v>
      </c>
      <c r="C908" s="12" t="str">
        <f t="shared" si="1"/>
        <v>U17385</v>
      </c>
      <c r="D908" s="14" t="str">
        <f t="array" ref="D908">iferror(index('2018_ufns'!E:E,match(C908,'2018_ufns'!B:B,0)))</f>
        <v>P1139</v>
      </c>
      <c r="E908" s="14">
        <v>43423.0</v>
      </c>
      <c r="F908" s="40" t="s">
        <v>53</v>
      </c>
      <c r="G908" s="40" t="s">
        <v>54</v>
      </c>
      <c r="H908" s="9">
        <v>12.0</v>
      </c>
      <c r="I908" s="13">
        <v>104.0</v>
      </c>
      <c r="J908" s="13">
        <v>109.0</v>
      </c>
      <c r="K908" s="17">
        <f t="shared" si="10"/>
        <v>0.9266201761</v>
      </c>
      <c r="L908" s="9">
        <v>0.0</v>
      </c>
      <c r="M908" s="9" t="s">
        <v>57</v>
      </c>
      <c r="O908" s="9" t="s">
        <v>638</v>
      </c>
      <c r="P908" s="40" t="s">
        <v>1729</v>
      </c>
      <c r="Q908" s="33" t="s">
        <v>62</v>
      </c>
      <c r="R908" s="33" t="s">
        <v>2119</v>
      </c>
      <c r="S908" s="9" t="s">
        <v>221</v>
      </c>
      <c r="T908" t="str">
        <f t="shared" si="9"/>
        <v>N</v>
      </c>
      <c r="W908" s="12" t="str">
        <f t="array" ref="W908">if(and(L908=0,Q908="NA"),"NA",if(L908=0,"no lice",if(Q908="NA","no collection",index(sea_lice!G:G,match(C908,sea_lice!A:A,0)))))</f>
        <v>no lice</v>
      </c>
      <c r="X908" s="23">
        <v>907.0</v>
      </c>
    </row>
    <row r="909">
      <c r="B909" s="6">
        <v>17386.0</v>
      </c>
      <c r="C909" s="12" t="str">
        <f t="shared" si="1"/>
        <v>U17386</v>
      </c>
      <c r="D909" s="14" t="str">
        <f t="array" ref="D909">iferror(index('2018_ufns'!E:E,match(C909,'2018_ufns'!B:B,0)))</f>
        <v>P1139</v>
      </c>
      <c r="E909" s="14">
        <v>43423.0</v>
      </c>
      <c r="F909" s="40" t="s">
        <v>53</v>
      </c>
      <c r="G909" s="40" t="s">
        <v>54</v>
      </c>
      <c r="H909" s="9">
        <v>5.9</v>
      </c>
      <c r="I909" s="13">
        <v>82.0</v>
      </c>
      <c r="J909" s="13">
        <v>88.0</v>
      </c>
      <c r="K909" s="17">
        <f t="shared" si="10"/>
        <v>0.8657729151</v>
      </c>
      <c r="L909" s="9">
        <v>0.0</v>
      </c>
      <c r="M909" s="9" t="s">
        <v>57</v>
      </c>
      <c r="O909" s="9" t="s">
        <v>638</v>
      </c>
      <c r="P909" s="40" t="s">
        <v>1729</v>
      </c>
      <c r="Q909" s="33" t="s">
        <v>62</v>
      </c>
      <c r="R909" s="33" t="s">
        <v>2119</v>
      </c>
      <c r="S909" s="9" t="s">
        <v>221</v>
      </c>
      <c r="T909" t="str">
        <f t="shared" si="9"/>
        <v>N</v>
      </c>
      <c r="W909" s="12" t="str">
        <f t="array" ref="W909">if(and(L909=0,Q909="NA"),"NA",if(L909=0,"no lice",if(Q909="NA","no collection",index(sea_lice!G:G,match(C909,sea_lice!A:A,0)))))</f>
        <v>no lice</v>
      </c>
      <c r="X909" s="23">
        <v>908.0</v>
      </c>
    </row>
    <row r="910">
      <c r="B910" s="6">
        <v>17388.0</v>
      </c>
      <c r="C910" s="12" t="str">
        <f t="shared" si="1"/>
        <v>U17388</v>
      </c>
      <c r="D910" s="14" t="str">
        <f t="array" ref="D910">iferror(index('2018_ufns'!E:E,match(C910,'2018_ufns'!B:B,0)))</f>
        <v>P1139</v>
      </c>
      <c r="E910" s="14">
        <v>43425.0</v>
      </c>
      <c r="F910" s="40" t="s">
        <v>53</v>
      </c>
      <c r="G910" s="40" t="s">
        <v>54</v>
      </c>
      <c r="H910" s="9">
        <v>6.1</v>
      </c>
      <c r="I910" s="13">
        <v>88.0</v>
      </c>
      <c r="J910" s="13">
        <v>92.0</v>
      </c>
      <c r="K910" s="17">
        <f t="shared" si="10"/>
        <v>0.7833689488</v>
      </c>
      <c r="L910" s="9">
        <v>0.0</v>
      </c>
      <c r="M910" s="9" t="s">
        <v>57</v>
      </c>
      <c r="O910" s="9" t="s">
        <v>638</v>
      </c>
      <c r="P910" s="40" t="s">
        <v>1729</v>
      </c>
      <c r="Q910" s="33" t="s">
        <v>62</v>
      </c>
      <c r="R910" s="33" t="s">
        <v>2119</v>
      </c>
      <c r="S910" s="9" t="s">
        <v>221</v>
      </c>
      <c r="T910" t="str">
        <f t="shared" si="9"/>
        <v>N</v>
      </c>
      <c r="W910" s="12" t="str">
        <f t="array" ref="W910">if(and(L910=0,Q910="NA"),"NA",if(L910=0,"no lice",if(Q910="NA","no collection",index(sea_lice!G:G,match(C910,sea_lice!A:A,0)))))</f>
        <v>no lice</v>
      </c>
      <c r="X910" s="23">
        <v>909.0</v>
      </c>
    </row>
    <row r="911">
      <c r="B911" s="6">
        <v>17389.0</v>
      </c>
      <c r="C911" s="12" t="str">
        <f t="shared" si="1"/>
        <v>U17389</v>
      </c>
      <c r="D911" s="14" t="str">
        <f t="array" ref="D911">iferror(index('2018_ufns'!E:E,match(C911,'2018_ufns'!B:B,0)))</f>
        <v>P1139</v>
      </c>
      <c r="E911" s="14">
        <v>43427.0</v>
      </c>
      <c r="F911" s="40" t="s">
        <v>53</v>
      </c>
      <c r="G911" s="40" t="s">
        <v>54</v>
      </c>
      <c r="H911" s="9">
        <v>7.7</v>
      </c>
      <c r="I911" s="13">
        <v>87.0</v>
      </c>
      <c r="J911" s="13">
        <v>92.0</v>
      </c>
      <c r="K911" s="17">
        <f t="shared" si="10"/>
        <v>0.9888427714</v>
      </c>
      <c r="L911" s="9">
        <v>2.0</v>
      </c>
      <c r="M911" s="9" t="s">
        <v>57</v>
      </c>
      <c r="O911" s="9" t="s">
        <v>638</v>
      </c>
      <c r="P911" s="40" t="s">
        <v>1729</v>
      </c>
      <c r="Q911" s="33" t="s">
        <v>62</v>
      </c>
      <c r="R911" s="33" t="s">
        <v>2119</v>
      </c>
      <c r="S911" s="9" t="s">
        <v>221</v>
      </c>
      <c r="T911" t="str">
        <f t="shared" si="9"/>
        <v>N</v>
      </c>
      <c r="W911" s="12" t="str">
        <f t="array" ref="W911">if(and(L911=0,Q911="NA"),"NA",if(L911=0,"no lice",if(Q911="NA","no collection",index(sea_lice!G:G,match(C911,sea_lice!A:A,0)))))</f>
        <v>BSL2-63</v>
      </c>
      <c r="X911" s="23">
        <v>910.0</v>
      </c>
    </row>
    <row r="912">
      <c r="B912" s="6">
        <v>17387.0</v>
      </c>
      <c r="C912" s="12" t="str">
        <f t="shared" si="1"/>
        <v>U17387</v>
      </c>
      <c r="D912" s="14" t="str">
        <f t="array" ref="D912">iferror(index('2018_ufns'!E:E,match(C912,'2018_ufns'!B:B,0)))</f>
        <v>P1139</v>
      </c>
      <c r="E912" s="14">
        <v>43427.0</v>
      </c>
      <c r="F912" s="40" t="s">
        <v>53</v>
      </c>
      <c r="G912" s="40" t="s">
        <v>54</v>
      </c>
      <c r="H912" s="9">
        <v>5.9</v>
      </c>
      <c r="I912" s="13">
        <v>83.0</v>
      </c>
      <c r="J912" s="13">
        <v>87.0</v>
      </c>
      <c r="K912" s="17">
        <f t="shared" si="10"/>
        <v>0.8959716205</v>
      </c>
      <c r="L912" s="9">
        <v>0.0</v>
      </c>
      <c r="M912" s="9" t="s">
        <v>57</v>
      </c>
      <c r="O912" s="9" t="s">
        <v>638</v>
      </c>
      <c r="P912" s="40" t="s">
        <v>1729</v>
      </c>
      <c r="Q912" s="33" t="s">
        <v>62</v>
      </c>
      <c r="R912" s="33" t="s">
        <v>2119</v>
      </c>
      <c r="S912" s="9" t="s">
        <v>221</v>
      </c>
      <c r="T912" t="str">
        <f t="shared" si="9"/>
        <v>N</v>
      </c>
      <c r="W912" s="12" t="str">
        <f t="array" ref="W912">if(and(L912=0,Q912="NA"),"NA",if(L912=0,"no lice",if(Q912="NA","no collection",index(sea_lice!G:G,match(C912,sea_lice!A:A,0)))))</f>
        <v>no lice</v>
      </c>
      <c r="X912" s="23">
        <v>911.0</v>
      </c>
    </row>
    <row r="913">
      <c r="B913" s="6">
        <v>17390.0</v>
      </c>
      <c r="C913" s="12" t="str">
        <f t="shared" si="1"/>
        <v>U17390</v>
      </c>
      <c r="D913" s="14" t="str">
        <f t="array" ref="D913">iferror(index('2018_ufns'!E:E,match(C913,'2018_ufns'!B:B,0)))</f>
        <v>P1139</v>
      </c>
      <c r="E913" s="14">
        <v>43427.0</v>
      </c>
      <c r="F913" s="40" t="s">
        <v>53</v>
      </c>
      <c r="G913" s="40" t="s">
        <v>54</v>
      </c>
      <c r="H913" s="9">
        <v>3.3</v>
      </c>
      <c r="I913" s="13">
        <v>70.0</v>
      </c>
      <c r="J913" s="13" t="s">
        <v>63</v>
      </c>
      <c r="K913" s="17" t="str">
        <f t="shared" si="10"/>
        <v/>
      </c>
      <c r="L913" s="9">
        <v>0.0</v>
      </c>
      <c r="M913" s="9" t="s">
        <v>57</v>
      </c>
      <c r="N913" s="9" t="s">
        <v>2129</v>
      </c>
      <c r="O913" s="9" t="s">
        <v>638</v>
      </c>
      <c r="P913" s="40" t="s">
        <v>1729</v>
      </c>
      <c r="Q913" s="33" t="s">
        <v>62</v>
      </c>
      <c r="R913" s="33" t="s">
        <v>2119</v>
      </c>
      <c r="S913" s="9" t="s">
        <v>221</v>
      </c>
      <c r="T913" t="str">
        <f t="shared" si="9"/>
        <v>N</v>
      </c>
      <c r="W913" s="12" t="str">
        <f t="array" ref="W913">if(and(L913=0,Q913="NA"),"NA",if(L913=0,"no lice",if(Q913="NA","no collection",index(sea_lice!G:G,match(C913,sea_lice!A:A,0)))))</f>
        <v>no lice</v>
      </c>
      <c r="X913" s="23">
        <v>912.0</v>
      </c>
    </row>
    <row r="914">
      <c r="B914" s="6">
        <v>17711.0</v>
      </c>
      <c r="C914" s="12" t="str">
        <f t="shared" si="1"/>
        <v>U17711</v>
      </c>
      <c r="D914" s="14" t="str">
        <f t="array" ref="D914">iferror(index('2018_ufns'!E:E,match(C914,'2018_ufns'!B:B,0)))</f>
        <v>P1172</v>
      </c>
      <c r="E914" s="14">
        <v>43427.0</v>
      </c>
      <c r="F914" s="40" t="s">
        <v>53</v>
      </c>
      <c r="G914" s="40" t="s">
        <v>54</v>
      </c>
      <c r="H914" s="9">
        <v>11.0</v>
      </c>
      <c r="I914" s="13">
        <v>99.0</v>
      </c>
      <c r="J914" s="13" t="s">
        <v>63</v>
      </c>
      <c r="K914" s="17" t="str">
        <f t="shared" si="10"/>
        <v/>
      </c>
      <c r="L914" s="9">
        <v>1.0</v>
      </c>
      <c r="M914" s="9" t="s">
        <v>57</v>
      </c>
      <c r="O914" s="9" t="s">
        <v>638</v>
      </c>
      <c r="P914" s="40" t="s">
        <v>1729</v>
      </c>
      <c r="Q914" s="33" t="s">
        <v>150</v>
      </c>
      <c r="R914" s="33" t="s">
        <v>2119</v>
      </c>
      <c r="S914" s="9" t="s">
        <v>221</v>
      </c>
      <c r="T914" t="str">
        <f t="shared" si="9"/>
        <v>N</v>
      </c>
      <c r="W914" s="12" t="str">
        <f t="array" ref="W914">if(and(L914=0,Q914="NA"),"NA",if(L914=0,"no lice",if(Q914="NA","no collection",index(sea_lice!G:G,match(C914,sea_lice!A:A,0)))))</f>
        <v>BSL7-5</v>
      </c>
      <c r="X914" s="23">
        <v>913.0</v>
      </c>
    </row>
    <row r="915">
      <c r="B915" s="6">
        <v>17715.0</v>
      </c>
      <c r="C915" s="12" t="str">
        <f t="shared" si="1"/>
        <v>U17715</v>
      </c>
      <c r="D915" s="14" t="str">
        <f t="array" ref="D915">iferror(index('2018_ufns'!E:E,match(C915,'2018_ufns'!B:B,0)))</f>
        <v>P1172</v>
      </c>
      <c r="E915" s="14">
        <v>43427.0</v>
      </c>
      <c r="F915" s="40" t="s">
        <v>53</v>
      </c>
      <c r="G915" s="40" t="s">
        <v>54</v>
      </c>
      <c r="H915" s="9">
        <v>18.1</v>
      </c>
      <c r="I915" s="13">
        <v>116.0</v>
      </c>
      <c r="J915" s="13">
        <v>122.0</v>
      </c>
      <c r="K915" s="17">
        <f t="shared" si="10"/>
        <v>0.9967794661</v>
      </c>
      <c r="L915" s="9">
        <v>0.0</v>
      </c>
      <c r="M915" s="9" t="s">
        <v>57</v>
      </c>
      <c r="O915" s="9" t="s">
        <v>638</v>
      </c>
      <c r="P915" s="40" t="s">
        <v>1729</v>
      </c>
      <c r="Q915" s="33" t="s">
        <v>150</v>
      </c>
      <c r="R915" s="33" t="s">
        <v>2119</v>
      </c>
      <c r="S915" s="9" t="s">
        <v>221</v>
      </c>
      <c r="T915" t="str">
        <f t="shared" si="9"/>
        <v>N</v>
      </c>
      <c r="W915" s="12" t="str">
        <f t="array" ref="W915">if(and(L915=0,Q915="NA"),"NA",if(L915=0,"no lice",if(Q915="NA","no collection",index(sea_lice!G:G,match(C915,sea_lice!A:A,0)))))</f>
        <v>no lice</v>
      </c>
      <c r="X915" s="23">
        <v>914.0</v>
      </c>
    </row>
    <row r="916">
      <c r="B916" s="6">
        <v>17717.0</v>
      </c>
      <c r="C916" s="12" t="str">
        <f t="shared" si="1"/>
        <v>U17717</v>
      </c>
      <c r="D916" s="14" t="str">
        <f t="array" ref="D916">iferror(index('2018_ufns'!E:E,match(C916,'2018_ufns'!B:B,0)))</f>
        <v>P1172</v>
      </c>
      <c r="E916" s="14">
        <v>43427.0</v>
      </c>
      <c r="F916" s="40" t="s">
        <v>53</v>
      </c>
      <c r="G916" s="40" t="s">
        <v>54</v>
      </c>
      <c r="H916" s="9">
        <v>12.6</v>
      </c>
      <c r="I916" s="13">
        <v>107.0</v>
      </c>
      <c r="J916" s="13">
        <v>112.0</v>
      </c>
      <c r="K916" s="17">
        <f t="shared" si="10"/>
        <v>0.8968431122</v>
      </c>
      <c r="L916" s="9">
        <v>1.0</v>
      </c>
      <c r="M916" s="9" t="s">
        <v>57</v>
      </c>
      <c r="O916" s="9" t="s">
        <v>638</v>
      </c>
      <c r="P916" s="40" t="s">
        <v>1729</v>
      </c>
      <c r="Q916" s="33" t="s">
        <v>150</v>
      </c>
      <c r="R916" s="33" t="s">
        <v>2119</v>
      </c>
      <c r="S916" s="9" t="s">
        <v>221</v>
      </c>
      <c r="T916" t="str">
        <f t="shared" si="9"/>
        <v>N</v>
      </c>
      <c r="W916" s="12" t="str">
        <f t="array" ref="W916">if(and(L916=0,Q916="NA"),"NA",if(L916=0,"no lice",if(Q916="NA","no collection",index(sea_lice!G:G,match(C916,sea_lice!A:A,0)))))</f>
        <v>BSL7-9</v>
      </c>
      <c r="X916" s="23">
        <v>915.0</v>
      </c>
    </row>
    <row r="917">
      <c r="B917" s="6">
        <v>17719.0</v>
      </c>
      <c r="C917" s="12" t="str">
        <f t="shared" si="1"/>
        <v>U17719</v>
      </c>
      <c r="D917" s="14" t="str">
        <f t="array" ref="D917">iferror(index('2018_ufns'!E:E,match(C917,'2018_ufns'!B:B,0)))</f>
        <v>P1172</v>
      </c>
      <c r="E917" s="14">
        <v>43427.0</v>
      </c>
      <c r="F917" s="40" t="s">
        <v>53</v>
      </c>
      <c r="G917" s="40" t="s">
        <v>54</v>
      </c>
      <c r="H917" s="9">
        <v>14.3</v>
      </c>
      <c r="I917" s="13">
        <v>113.0</v>
      </c>
      <c r="J917" s="13">
        <v>117.0</v>
      </c>
      <c r="K917" s="17">
        <f t="shared" si="10"/>
        <v>0.8928498957</v>
      </c>
      <c r="L917" s="9">
        <v>0.0</v>
      </c>
      <c r="M917" s="9" t="s">
        <v>57</v>
      </c>
      <c r="O917" s="9" t="s">
        <v>638</v>
      </c>
      <c r="P917" s="40" t="s">
        <v>1729</v>
      </c>
      <c r="Q917" s="33" t="s">
        <v>150</v>
      </c>
      <c r="R917" s="33" t="s">
        <v>2119</v>
      </c>
      <c r="S917" s="9" t="s">
        <v>221</v>
      </c>
      <c r="T917" t="str">
        <f t="shared" si="9"/>
        <v>N</v>
      </c>
      <c r="W917" s="12" t="str">
        <f t="array" ref="W917">if(and(L917=0,Q917="NA"),"NA",if(L917=0,"no lice",if(Q917="NA","no collection",index(sea_lice!G:G,match(C917,sea_lice!A:A,0)))))</f>
        <v>no lice</v>
      </c>
      <c r="X917" s="23">
        <v>916.0</v>
      </c>
    </row>
    <row r="918">
      <c r="B918" s="6">
        <v>17713.0</v>
      </c>
      <c r="C918" s="12" t="str">
        <f t="shared" si="1"/>
        <v>U17713</v>
      </c>
      <c r="D918" s="14" t="str">
        <f t="array" ref="D918">iferror(index('2018_ufns'!E:E,match(C918,'2018_ufns'!B:B,0)))</f>
        <v>P1172</v>
      </c>
      <c r="E918" s="14">
        <v>43427.0</v>
      </c>
      <c r="F918" s="40" t="s">
        <v>53</v>
      </c>
      <c r="G918" s="40" t="s">
        <v>54</v>
      </c>
      <c r="H918" s="9">
        <v>15.2</v>
      </c>
      <c r="I918" s="13">
        <v>111.0</v>
      </c>
      <c r="J918" s="13">
        <v>116.0</v>
      </c>
      <c r="K918" s="17">
        <f t="shared" si="10"/>
        <v>0.9737996638</v>
      </c>
      <c r="L918" s="9">
        <v>1.0</v>
      </c>
      <c r="M918" s="9" t="s">
        <v>57</v>
      </c>
      <c r="O918" s="9" t="s">
        <v>638</v>
      </c>
      <c r="P918" s="40" t="s">
        <v>1729</v>
      </c>
      <c r="Q918" s="33" t="s">
        <v>150</v>
      </c>
      <c r="R918" s="33" t="s">
        <v>2119</v>
      </c>
      <c r="S918" s="9" t="s">
        <v>221</v>
      </c>
      <c r="T918" t="str">
        <f t="shared" si="9"/>
        <v>N</v>
      </c>
      <c r="W918" s="12" t="str">
        <f t="array" ref="W918">if(and(L918=0,Q918="NA"),"NA",if(L918=0,"no lice",if(Q918="NA","no collection",index(sea_lice!G:G,match(C918,sea_lice!A:A,0)))))</f>
        <v>BSL7-10</v>
      </c>
      <c r="X918" s="23">
        <v>917.0</v>
      </c>
    </row>
    <row r="919">
      <c r="B919" s="6">
        <v>17720.0</v>
      </c>
      <c r="C919" s="12" t="str">
        <f t="shared" si="1"/>
        <v>U17720</v>
      </c>
      <c r="D919" s="14" t="str">
        <f t="array" ref="D919">iferror(index('2018_ufns'!E:E,match(C919,'2018_ufns'!B:B,0)))</f>
        <v>P1172</v>
      </c>
      <c r="E919" s="14">
        <v>43427.0</v>
      </c>
      <c r="F919" s="40" t="s">
        <v>53</v>
      </c>
      <c r="G919" s="40" t="s">
        <v>54</v>
      </c>
      <c r="H919" s="9">
        <v>23.3</v>
      </c>
      <c r="I919" s="13">
        <v>132.0</v>
      </c>
      <c r="J919" s="13">
        <v>136.0</v>
      </c>
      <c r="K919" s="17">
        <f t="shared" si="10"/>
        <v>0.9262734073</v>
      </c>
      <c r="L919" s="9">
        <v>0.0</v>
      </c>
      <c r="M919" s="9" t="s">
        <v>57</v>
      </c>
      <c r="O919" s="9" t="s">
        <v>638</v>
      </c>
      <c r="P919" s="40" t="s">
        <v>1729</v>
      </c>
      <c r="Q919" s="33" t="s">
        <v>150</v>
      </c>
      <c r="R919" s="33" t="s">
        <v>2119</v>
      </c>
      <c r="S919" s="9" t="s">
        <v>221</v>
      </c>
      <c r="T919" t="str">
        <f t="shared" si="9"/>
        <v>N</v>
      </c>
      <c r="W919" s="12" t="str">
        <f t="array" ref="W919">if(and(L919=0,Q919="NA"),"NA",if(L919=0,"no lice",if(Q919="NA","no collection",index(sea_lice!G:G,match(C919,sea_lice!A:A,0)))))</f>
        <v>no lice</v>
      </c>
      <c r="X919" s="23">
        <v>918.0</v>
      </c>
    </row>
    <row r="920">
      <c r="B920" s="6">
        <v>17716.0</v>
      </c>
      <c r="C920" s="12" t="str">
        <f t="shared" si="1"/>
        <v>U17716</v>
      </c>
      <c r="D920" s="14" t="str">
        <f t="array" ref="D920">iferror(index('2018_ufns'!E:E,match(C920,'2018_ufns'!B:B,0)))</f>
        <v>P1172</v>
      </c>
      <c r="E920" s="14">
        <v>43427.0</v>
      </c>
      <c r="F920" s="40" t="s">
        <v>53</v>
      </c>
      <c r="G920" s="40" t="s">
        <v>54</v>
      </c>
      <c r="H920" s="9">
        <v>10.9</v>
      </c>
      <c r="I920" s="13">
        <v>101.0</v>
      </c>
      <c r="J920" s="13">
        <v>107.0</v>
      </c>
      <c r="K920" s="17">
        <f t="shared" si="10"/>
        <v>0.8897646858</v>
      </c>
      <c r="L920" s="9">
        <v>0.0</v>
      </c>
      <c r="M920" s="9" t="s">
        <v>57</v>
      </c>
      <c r="O920" s="9" t="s">
        <v>638</v>
      </c>
      <c r="P920" s="40" t="s">
        <v>1729</v>
      </c>
      <c r="Q920" s="33" t="s">
        <v>150</v>
      </c>
      <c r="R920" s="33" t="s">
        <v>2119</v>
      </c>
      <c r="S920" s="9" t="s">
        <v>221</v>
      </c>
      <c r="T920" t="str">
        <f t="shared" si="9"/>
        <v>N</v>
      </c>
      <c r="W920" s="12" t="str">
        <f t="array" ref="W920">if(and(L920=0,Q920="NA"),"NA",if(L920=0,"no lice",if(Q920="NA","no collection",index(sea_lice!G:G,match(C920,sea_lice!A:A,0)))))</f>
        <v>no lice</v>
      </c>
      <c r="X920" s="23">
        <v>919.0</v>
      </c>
    </row>
    <row r="921">
      <c r="B921" s="6">
        <v>17718.0</v>
      </c>
      <c r="C921" s="12" t="str">
        <f t="shared" si="1"/>
        <v>U17718</v>
      </c>
      <c r="D921" s="14" t="str">
        <f t="array" ref="D921">iferror(index('2018_ufns'!E:E,match(C921,'2018_ufns'!B:B,0)))</f>
        <v>P1172</v>
      </c>
      <c r="E921" s="14">
        <v>43427.0</v>
      </c>
      <c r="F921" s="40" t="s">
        <v>53</v>
      </c>
      <c r="G921" s="40" t="s">
        <v>54</v>
      </c>
      <c r="H921" s="9">
        <v>14.4</v>
      </c>
      <c r="I921" s="13">
        <v>112.0</v>
      </c>
      <c r="J921" s="13">
        <v>117.0</v>
      </c>
      <c r="K921" s="17">
        <f t="shared" si="10"/>
        <v>0.8990936013</v>
      </c>
      <c r="L921" s="9">
        <v>0.0</v>
      </c>
      <c r="M921" s="9" t="s">
        <v>57</v>
      </c>
      <c r="O921" s="9" t="s">
        <v>638</v>
      </c>
      <c r="P921" s="40" t="s">
        <v>1729</v>
      </c>
      <c r="Q921" s="33" t="s">
        <v>150</v>
      </c>
      <c r="R921" s="33" t="s">
        <v>2119</v>
      </c>
      <c r="S921" s="9" t="s">
        <v>221</v>
      </c>
      <c r="T921" t="str">
        <f t="shared" si="9"/>
        <v>N</v>
      </c>
      <c r="W921" s="12" t="str">
        <f t="array" ref="W921">if(and(L921=0,Q921="NA"),"NA",if(L921=0,"no lice",if(Q921="NA","no collection",index(sea_lice!G:G,match(C921,sea_lice!A:A,0)))))</f>
        <v>no lice</v>
      </c>
      <c r="X921" s="23">
        <v>920.0</v>
      </c>
    </row>
    <row r="922">
      <c r="B922" s="6">
        <v>17712.0</v>
      </c>
      <c r="C922" s="12" t="str">
        <f t="shared" si="1"/>
        <v>U17712</v>
      </c>
      <c r="D922" s="14" t="str">
        <f t="array" ref="D922">iferror(index('2018_ufns'!E:E,match(C922,'2018_ufns'!B:B,0)))</f>
        <v>P1172</v>
      </c>
      <c r="E922" s="14">
        <v>43427.0</v>
      </c>
      <c r="F922" s="40" t="s">
        <v>53</v>
      </c>
      <c r="G922" s="40" t="s">
        <v>54</v>
      </c>
      <c r="H922" s="9">
        <v>11.1</v>
      </c>
      <c r="I922" s="13">
        <v>102.0</v>
      </c>
      <c r="J922" s="13">
        <v>108.0</v>
      </c>
      <c r="K922" s="17">
        <f t="shared" si="10"/>
        <v>0.8811537875</v>
      </c>
      <c r="L922" s="9">
        <v>3.0</v>
      </c>
      <c r="M922" s="9" t="s">
        <v>57</v>
      </c>
      <c r="O922" s="9" t="s">
        <v>638</v>
      </c>
      <c r="P922" s="40" t="s">
        <v>1729</v>
      </c>
      <c r="Q922" s="33" t="s">
        <v>150</v>
      </c>
      <c r="R922" s="33" t="s">
        <v>2119</v>
      </c>
      <c r="S922" s="9" t="s">
        <v>221</v>
      </c>
      <c r="T922" t="str">
        <f t="shared" si="9"/>
        <v>N</v>
      </c>
      <c r="W922" s="12" t="str">
        <f t="array" ref="W922">if(and(L922=0,Q922="NA"),"NA",if(L922=0,"no lice",if(Q922="NA","no collection",index(sea_lice!G:G,match(C922,sea_lice!A:A,0)))))</f>
        <v>BSL7-12</v>
      </c>
      <c r="X922" s="23">
        <v>921.0</v>
      </c>
    </row>
    <row r="923">
      <c r="B923" s="6">
        <v>16432.0</v>
      </c>
      <c r="C923" s="12" t="str">
        <f t="shared" si="1"/>
        <v>U16432</v>
      </c>
      <c r="D923" s="14" t="str">
        <f t="array" ref="D923">iferror(index('2018_ufns'!E:E,match(C923,'2018_ufns'!B:B,0)))</f>
        <v>P1044</v>
      </c>
      <c r="E923" s="14">
        <v>43425.0</v>
      </c>
      <c r="F923" s="40" t="s">
        <v>53</v>
      </c>
      <c r="G923" s="40" t="s">
        <v>54</v>
      </c>
      <c r="H923" s="9">
        <v>4.5</v>
      </c>
      <c r="I923" s="13">
        <v>74.0</v>
      </c>
      <c r="J923" s="13" t="s">
        <v>63</v>
      </c>
      <c r="K923" s="17" t="str">
        <f t="shared" si="10"/>
        <v/>
      </c>
      <c r="L923" s="9">
        <v>0.0</v>
      </c>
      <c r="M923" s="9" t="s">
        <v>57</v>
      </c>
      <c r="O923" s="9" t="s">
        <v>221</v>
      </c>
      <c r="P923" s="40" t="s">
        <v>1729</v>
      </c>
      <c r="Q923" s="33" t="s">
        <v>150</v>
      </c>
      <c r="R923" s="33" t="s">
        <v>2119</v>
      </c>
      <c r="S923" s="9" t="s">
        <v>638</v>
      </c>
      <c r="T923" t="str">
        <f t="shared" si="9"/>
        <v>N</v>
      </c>
      <c r="W923" s="12" t="str">
        <f t="array" ref="W923">if(and(L923=0,Q923="NA"),"NA",if(L923=0,"no lice",if(Q923="NA","no collection",index(sea_lice!G:G,match(C923,sea_lice!A:A,0)))))</f>
        <v>no lice</v>
      </c>
      <c r="X923" s="23">
        <v>922.0</v>
      </c>
    </row>
    <row r="924">
      <c r="B924" s="6">
        <v>16434.0</v>
      </c>
      <c r="C924" s="12" t="str">
        <f t="shared" si="1"/>
        <v>U16434</v>
      </c>
      <c r="D924" s="14" t="str">
        <f t="array" ref="D924">iferror(index('2018_ufns'!E:E,match(C924,'2018_ufns'!B:B,0)))</f>
        <v>P1044</v>
      </c>
      <c r="E924" s="14">
        <v>43425.0</v>
      </c>
      <c r="F924" s="40" t="s">
        <v>53</v>
      </c>
      <c r="G924" s="40" t="s">
        <v>54</v>
      </c>
      <c r="H924" s="9">
        <v>3.7</v>
      </c>
      <c r="I924" s="13">
        <v>70.0</v>
      </c>
      <c r="J924" s="13">
        <v>75.0</v>
      </c>
      <c r="K924" s="17">
        <f t="shared" si="10"/>
        <v>0.877037037</v>
      </c>
      <c r="L924" s="9">
        <v>0.0</v>
      </c>
      <c r="M924" s="9" t="s">
        <v>57</v>
      </c>
      <c r="O924" s="9" t="s">
        <v>221</v>
      </c>
      <c r="P924" s="40" t="s">
        <v>1729</v>
      </c>
      <c r="Q924" s="33" t="s">
        <v>150</v>
      </c>
      <c r="R924" s="33" t="s">
        <v>2119</v>
      </c>
      <c r="S924" s="9" t="s">
        <v>638</v>
      </c>
      <c r="T924" t="str">
        <f t="shared" si="9"/>
        <v>N</v>
      </c>
      <c r="W924" s="12" t="str">
        <f t="array" ref="W924">if(and(L924=0,Q924="NA"),"NA",if(L924=0,"no lice",if(Q924="NA","no collection",index(sea_lice!G:G,match(C924,sea_lice!A:A,0)))))</f>
        <v>no lice</v>
      </c>
      <c r="X924" s="23">
        <v>923.0</v>
      </c>
    </row>
    <row r="925">
      <c r="B925" s="6">
        <v>16431.0</v>
      </c>
      <c r="C925" s="12" t="str">
        <f t="shared" si="1"/>
        <v>U16431</v>
      </c>
      <c r="D925" s="14" t="str">
        <f t="array" ref="D925">iferror(index('2018_ufns'!E:E,match(C925,'2018_ufns'!B:B,0)))</f>
        <v>P1044</v>
      </c>
      <c r="E925" s="14">
        <v>43425.0</v>
      </c>
      <c r="F925" s="40" t="s">
        <v>53</v>
      </c>
      <c r="G925" s="40" t="s">
        <v>54</v>
      </c>
      <c r="H925" s="9">
        <v>4.8</v>
      </c>
      <c r="I925" s="13">
        <v>75.0</v>
      </c>
      <c r="J925" s="13">
        <v>80.0</v>
      </c>
      <c r="K925" s="17">
        <f t="shared" si="10"/>
        <v>0.9375</v>
      </c>
      <c r="L925" s="9">
        <v>0.0</v>
      </c>
      <c r="M925" s="9" t="s">
        <v>57</v>
      </c>
      <c r="O925" s="9" t="s">
        <v>221</v>
      </c>
      <c r="P925" s="40" t="s">
        <v>1729</v>
      </c>
      <c r="Q925" s="33" t="s">
        <v>150</v>
      </c>
      <c r="R925" s="33" t="s">
        <v>2119</v>
      </c>
      <c r="S925" s="9" t="s">
        <v>638</v>
      </c>
      <c r="T925" t="str">
        <f t="shared" si="9"/>
        <v>N</v>
      </c>
      <c r="W925" s="12" t="str">
        <f t="array" ref="W925">if(and(L925=0,Q925="NA"),"NA",if(L925=0,"no lice",if(Q925="NA","no collection",index(sea_lice!G:G,match(C925,sea_lice!A:A,0)))))</f>
        <v>no lice</v>
      </c>
      <c r="X925" s="23">
        <v>924.0</v>
      </c>
    </row>
    <row r="926">
      <c r="B926" s="6">
        <v>17971.0</v>
      </c>
      <c r="C926" s="12" t="str">
        <f t="shared" si="1"/>
        <v>U17971</v>
      </c>
      <c r="D926" s="14" t="str">
        <f t="array" ref="D926">iferror(index('2018_ufns'!E:E,match(C926,'2018_ufns'!B:B,0)))</f>
        <v>P1198</v>
      </c>
      <c r="E926" s="14">
        <v>43425.0</v>
      </c>
      <c r="F926" s="40" t="s">
        <v>53</v>
      </c>
      <c r="G926" s="40" t="s">
        <v>54</v>
      </c>
      <c r="H926" s="9">
        <v>16.0</v>
      </c>
      <c r="I926" s="13">
        <v>116.0</v>
      </c>
      <c r="J926" s="13">
        <v>122.0</v>
      </c>
      <c r="K926" s="17">
        <f t="shared" si="10"/>
        <v>0.8811310198</v>
      </c>
      <c r="L926" s="9">
        <v>1.0</v>
      </c>
      <c r="M926" s="9" t="s">
        <v>57</v>
      </c>
      <c r="O926" s="9" t="s">
        <v>221</v>
      </c>
      <c r="P926" s="40" t="s">
        <v>1729</v>
      </c>
      <c r="Q926" s="33" t="s">
        <v>150</v>
      </c>
      <c r="R926" s="33" t="s">
        <v>2119</v>
      </c>
      <c r="S926" s="9" t="s">
        <v>638</v>
      </c>
      <c r="T926" t="str">
        <f t="shared" si="9"/>
        <v>N</v>
      </c>
      <c r="W926" s="12" t="str">
        <f t="array" ref="W926">if(and(L926=0,Q926="NA"),"NA",if(L926=0,"no lice",if(Q926="NA","no collection",index(sea_lice!G:G,match(C926,sea_lice!A:A,0)))))</f>
        <v>BSL7-2</v>
      </c>
      <c r="X926" s="23">
        <v>925.0</v>
      </c>
    </row>
    <row r="927">
      <c r="B927" s="6">
        <v>17972.0</v>
      </c>
      <c r="C927" s="12" t="str">
        <f t="shared" si="1"/>
        <v>U17972</v>
      </c>
      <c r="D927" s="14" t="str">
        <f t="array" ref="D927">iferror(index('2018_ufns'!E:E,match(C927,'2018_ufns'!B:B,0)))</f>
        <v>P1198</v>
      </c>
      <c r="E927" s="14">
        <v>43427.0</v>
      </c>
      <c r="F927" s="40" t="s">
        <v>53</v>
      </c>
      <c r="G927" s="40" t="s">
        <v>54</v>
      </c>
      <c r="H927" s="9">
        <v>17.5</v>
      </c>
      <c r="I927" s="13">
        <v>119.0</v>
      </c>
      <c r="J927" s="13">
        <v>124.0</v>
      </c>
      <c r="K927" s="17">
        <f t="shared" si="10"/>
        <v>0.9178527072</v>
      </c>
      <c r="L927" s="9">
        <v>0.0</v>
      </c>
      <c r="M927" s="9" t="s">
        <v>57</v>
      </c>
      <c r="O927" s="9" t="s">
        <v>221</v>
      </c>
      <c r="P927" s="40" t="s">
        <v>1729</v>
      </c>
      <c r="Q927" s="33" t="s">
        <v>150</v>
      </c>
      <c r="R927" s="33" t="s">
        <v>2119</v>
      </c>
      <c r="S927" s="9" t="s">
        <v>638</v>
      </c>
      <c r="T927" t="str">
        <f t="shared" si="9"/>
        <v>N</v>
      </c>
      <c r="W927" s="12" t="str">
        <f t="array" ref="W927">if(and(L927=0,Q927="NA"),"NA",if(L927=0,"no lice",if(Q927="NA","no collection",index(sea_lice!G:G,match(C927,sea_lice!A:A,0)))))</f>
        <v>no lice</v>
      </c>
      <c r="X927" s="23">
        <v>926.0</v>
      </c>
    </row>
    <row r="928">
      <c r="B928" s="6">
        <v>17973.0</v>
      </c>
      <c r="C928" s="12" t="str">
        <f t="shared" si="1"/>
        <v>U17973</v>
      </c>
      <c r="D928" s="14" t="str">
        <f t="array" ref="D928">iferror(index('2018_ufns'!E:E,match(C928,'2018_ufns'!B:B,0)))</f>
        <v>P1198</v>
      </c>
      <c r="E928" s="14">
        <v>43427.0</v>
      </c>
      <c r="F928" s="40" t="s">
        <v>53</v>
      </c>
      <c r="G928" s="40" t="s">
        <v>54</v>
      </c>
      <c r="H928" s="9">
        <v>16.0</v>
      </c>
      <c r="I928" s="13">
        <v>112.0</v>
      </c>
      <c r="J928" s="13">
        <v>116.0</v>
      </c>
      <c r="K928" s="17">
        <f t="shared" si="10"/>
        <v>1.025052278</v>
      </c>
      <c r="L928" s="9">
        <v>4.0</v>
      </c>
      <c r="M928" s="9" t="s">
        <v>57</v>
      </c>
      <c r="O928" s="9" t="s">
        <v>221</v>
      </c>
      <c r="P928" s="40" t="s">
        <v>1729</v>
      </c>
      <c r="Q928" s="33" t="s">
        <v>150</v>
      </c>
      <c r="R928" s="33" t="s">
        <v>2119</v>
      </c>
      <c r="S928" s="9" t="s">
        <v>638</v>
      </c>
      <c r="T928" t="str">
        <f t="shared" si="9"/>
        <v>N</v>
      </c>
      <c r="W928" s="12" t="str">
        <f t="array" ref="W928">if(and(L928=0,Q928="NA"),"NA",if(L928=0,"no lice",if(Q928="NA","no collection",index(sea_lice!G:G,match(C928,sea_lice!A:A,0)))))</f>
        <v>BSL7-3</v>
      </c>
      <c r="X928" s="23">
        <v>927.0</v>
      </c>
    </row>
    <row r="929">
      <c r="B929" s="6">
        <v>17974.0</v>
      </c>
      <c r="C929" s="12" t="str">
        <f t="shared" si="1"/>
        <v>U17974</v>
      </c>
      <c r="D929" s="14" t="str">
        <f t="array" ref="D929">iferror(index('2018_ufns'!E:E,match(C929,'2018_ufns'!B:B,0)))</f>
        <v>P1198</v>
      </c>
      <c r="E929" s="14">
        <v>43427.0</v>
      </c>
      <c r="F929" s="40" t="s">
        <v>53</v>
      </c>
      <c r="G929" s="40" t="s">
        <v>54</v>
      </c>
      <c r="H929" s="9">
        <v>10.6</v>
      </c>
      <c r="I929" s="13">
        <v>102.0</v>
      </c>
      <c r="J929" s="13">
        <v>106.0</v>
      </c>
      <c r="K929" s="17">
        <f t="shared" si="10"/>
        <v>0.88999644</v>
      </c>
      <c r="L929" s="9">
        <v>0.0</v>
      </c>
      <c r="M929" s="9" t="s">
        <v>57</v>
      </c>
      <c r="O929" s="9" t="s">
        <v>221</v>
      </c>
      <c r="P929" s="40" t="s">
        <v>1729</v>
      </c>
      <c r="Q929" s="33" t="s">
        <v>150</v>
      </c>
      <c r="R929" s="33" t="s">
        <v>2119</v>
      </c>
      <c r="S929" s="9" t="s">
        <v>638</v>
      </c>
      <c r="T929" t="str">
        <f t="shared" si="9"/>
        <v>N</v>
      </c>
      <c r="W929" s="12" t="str">
        <f t="array" ref="W929">if(and(L929=0,Q929="NA"),"NA",if(L929=0,"no lice",if(Q929="NA","no collection",index(sea_lice!G:G,match(C929,sea_lice!A:A,0)))))</f>
        <v>no lice</v>
      </c>
      <c r="X929" s="23">
        <v>928.0</v>
      </c>
    </row>
    <row r="930">
      <c r="B930" s="6">
        <v>17975.0</v>
      </c>
      <c r="C930" s="12" t="str">
        <f t="shared" si="1"/>
        <v>U17975</v>
      </c>
      <c r="D930" s="14" t="str">
        <f t="array" ref="D930">iferror(index('2018_ufns'!E:E,match(C930,'2018_ufns'!B:B,0)))</f>
        <v>P1198</v>
      </c>
      <c r="E930" s="14">
        <v>43427.0</v>
      </c>
      <c r="F930" s="40" t="s">
        <v>53</v>
      </c>
      <c r="G930" s="40" t="s">
        <v>54</v>
      </c>
      <c r="H930" s="9">
        <v>12.9</v>
      </c>
      <c r="I930" s="13">
        <v>105.0</v>
      </c>
      <c r="J930" s="13">
        <v>110.0</v>
      </c>
      <c r="K930" s="17">
        <f t="shared" si="10"/>
        <v>0.9691960932</v>
      </c>
      <c r="L930" s="9">
        <v>1.0</v>
      </c>
      <c r="M930" s="9" t="s">
        <v>57</v>
      </c>
      <c r="O930" s="9" t="s">
        <v>221</v>
      </c>
      <c r="P930" s="40" t="s">
        <v>1729</v>
      </c>
      <c r="Q930" s="33" t="s">
        <v>150</v>
      </c>
      <c r="R930" s="33" t="s">
        <v>2119</v>
      </c>
      <c r="S930" s="9" t="s">
        <v>638</v>
      </c>
      <c r="T930" t="str">
        <f t="shared" si="9"/>
        <v>N</v>
      </c>
      <c r="W930" s="12" t="str">
        <f t="array" ref="W930">if(and(L930=0,Q930="NA"),"NA",if(L930=0,"no lice",if(Q930="NA","no collection",index(sea_lice!G:G,match(C930,sea_lice!A:A,0)))))</f>
        <v>BSL7-4</v>
      </c>
      <c r="X930" s="23">
        <v>929.0</v>
      </c>
    </row>
    <row r="931">
      <c r="B931" s="6">
        <v>17976.0</v>
      </c>
      <c r="C931" s="12" t="str">
        <f t="shared" si="1"/>
        <v>U17976</v>
      </c>
      <c r="D931" s="14" t="str">
        <f t="array" ref="D931">iferror(index('2018_ufns'!E:E,match(C931,'2018_ufns'!B:B,0)))</f>
        <v>P1198</v>
      </c>
      <c r="E931" s="14">
        <v>43427.0</v>
      </c>
      <c r="F931" s="40" t="s">
        <v>53</v>
      </c>
      <c r="G931" s="40" t="s">
        <v>54</v>
      </c>
      <c r="H931" s="9">
        <v>14.3</v>
      </c>
      <c r="I931" s="13">
        <v>110.0</v>
      </c>
      <c r="J931" s="13">
        <v>115.0</v>
      </c>
      <c r="K931" s="17">
        <f t="shared" si="10"/>
        <v>0.9402482124</v>
      </c>
      <c r="L931" s="9">
        <v>1.0</v>
      </c>
      <c r="M931" s="9" t="s">
        <v>57</v>
      </c>
      <c r="O931" s="9" t="s">
        <v>221</v>
      </c>
      <c r="P931" s="40" t="s">
        <v>1729</v>
      </c>
      <c r="Q931" s="33" t="s">
        <v>150</v>
      </c>
      <c r="R931" s="33" t="s">
        <v>2119</v>
      </c>
      <c r="S931" s="9" t="s">
        <v>638</v>
      </c>
      <c r="T931" t="str">
        <f t="shared" si="9"/>
        <v>N</v>
      </c>
      <c r="W931" s="12" t="str">
        <f t="array" ref="W931">if(and(L931=0,Q931="NA"),"NA",if(L931=0,"no lice",if(Q931="NA","no collection",index(sea_lice!G:G,match(C931,sea_lice!A:A,0)))))</f>
        <v>BSL7-6</v>
      </c>
      <c r="X931" s="23">
        <v>930.0</v>
      </c>
    </row>
    <row r="932">
      <c r="B932" s="6">
        <v>17977.0</v>
      </c>
      <c r="C932" s="12" t="str">
        <f t="shared" si="1"/>
        <v>U17977</v>
      </c>
      <c r="D932" s="14" t="str">
        <f t="array" ref="D932">iferror(index('2018_ufns'!E:E,match(C932,'2018_ufns'!B:B,0)))</f>
        <v>P1198</v>
      </c>
      <c r="E932" s="14">
        <v>43427.0</v>
      </c>
      <c r="F932" s="40" t="s">
        <v>53</v>
      </c>
      <c r="G932" s="40" t="s">
        <v>54</v>
      </c>
      <c r="H932" s="9">
        <v>18.8</v>
      </c>
      <c r="I932" s="13">
        <v>122.0</v>
      </c>
      <c r="J932" s="13">
        <v>127.0</v>
      </c>
      <c r="K932" s="17">
        <f t="shared" si="10"/>
        <v>0.9177971112</v>
      </c>
      <c r="L932" s="9">
        <v>2.0</v>
      </c>
      <c r="M932" s="9" t="s">
        <v>57</v>
      </c>
      <c r="O932" s="9" t="s">
        <v>221</v>
      </c>
      <c r="P932" s="40" t="s">
        <v>1729</v>
      </c>
      <c r="Q932" s="33" t="s">
        <v>150</v>
      </c>
      <c r="R932" s="33" t="s">
        <v>2119</v>
      </c>
      <c r="S932" s="9" t="s">
        <v>638</v>
      </c>
      <c r="T932" t="str">
        <f t="shared" si="9"/>
        <v>N</v>
      </c>
      <c r="W932" s="12" t="str">
        <f t="array" ref="W932">if(and(L932=0,Q932="NA"),"NA",if(L932=0,"no lice",if(Q932="NA","no collection",index(sea_lice!G:G,match(C932,sea_lice!A:A,0)))))</f>
        <v>BSL7-7</v>
      </c>
      <c r="X932" s="23">
        <v>931.0</v>
      </c>
    </row>
    <row r="933">
      <c r="B933" s="6">
        <v>17978.0</v>
      </c>
      <c r="C933" s="12" t="str">
        <f t="shared" si="1"/>
        <v>U17978</v>
      </c>
      <c r="D933" s="14" t="str">
        <f t="array" ref="D933">iferror(index('2018_ufns'!E:E,match(C933,'2018_ufns'!B:B,0)))</f>
        <v>P1198</v>
      </c>
      <c r="E933" s="14">
        <v>43427.0</v>
      </c>
      <c r="F933" s="40" t="s">
        <v>53</v>
      </c>
      <c r="G933" s="40" t="s">
        <v>54</v>
      </c>
      <c r="H933" s="9">
        <v>13.8</v>
      </c>
      <c r="I933" s="13">
        <v>111.0</v>
      </c>
      <c r="J933" s="13">
        <v>116.0</v>
      </c>
      <c r="K933" s="17">
        <f t="shared" si="10"/>
        <v>0.8841075895</v>
      </c>
      <c r="L933" s="9">
        <v>0.0</v>
      </c>
      <c r="M933" s="9" t="s">
        <v>57</v>
      </c>
      <c r="O933" s="9" t="s">
        <v>221</v>
      </c>
      <c r="P933" s="40" t="s">
        <v>1729</v>
      </c>
      <c r="Q933" s="33" t="s">
        <v>150</v>
      </c>
      <c r="R933" s="33" t="s">
        <v>2119</v>
      </c>
      <c r="S933" s="9" t="s">
        <v>638</v>
      </c>
      <c r="T933" t="str">
        <f t="shared" si="9"/>
        <v>N</v>
      </c>
      <c r="W933" s="12" t="str">
        <f t="array" ref="W933">if(and(L933=0,Q933="NA"),"NA",if(L933=0,"no lice",if(Q933="NA","no collection",index(sea_lice!G:G,match(C933,sea_lice!A:A,0)))))</f>
        <v>no lice</v>
      </c>
      <c r="X933" s="23">
        <v>932.0</v>
      </c>
    </row>
    <row r="934">
      <c r="B934" s="6">
        <v>17979.0</v>
      </c>
      <c r="C934" s="12" t="str">
        <f t="shared" si="1"/>
        <v>U17979</v>
      </c>
      <c r="D934" s="14" t="str">
        <f t="array" ref="D934">iferror(index('2018_ufns'!E:E,match(C934,'2018_ufns'!B:B,0)))</f>
        <v>P1198</v>
      </c>
      <c r="E934" s="14">
        <v>43427.0</v>
      </c>
      <c r="F934" s="40" t="s">
        <v>53</v>
      </c>
      <c r="G934" s="40" t="s">
        <v>54</v>
      </c>
      <c r="H934" s="9">
        <v>12.8</v>
      </c>
      <c r="I934" s="13">
        <v>105.0</v>
      </c>
      <c r="J934" s="13">
        <v>110.0</v>
      </c>
      <c r="K934" s="17">
        <f t="shared" si="10"/>
        <v>0.9616829452</v>
      </c>
      <c r="L934" s="9">
        <v>2.0</v>
      </c>
      <c r="M934" s="9" t="s">
        <v>57</v>
      </c>
      <c r="O934" s="9" t="s">
        <v>221</v>
      </c>
      <c r="P934" s="40" t="s">
        <v>1729</v>
      </c>
      <c r="Q934" s="33" t="s">
        <v>150</v>
      </c>
      <c r="R934" s="33" t="s">
        <v>2119</v>
      </c>
      <c r="S934" s="9" t="s">
        <v>638</v>
      </c>
      <c r="T934" t="str">
        <f t="shared" si="9"/>
        <v>N</v>
      </c>
      <c r="W934" s="12" t="str">
        <f t="array" ref="W934">if(and(L934=0,Q934="NA"),"NA",if(L934=0,"no lice",if(Q934="NA","no collection",index(sea_lice!G:G,match(C934,sea_lice!A:A,0)))))</f>
        <v>BSL7-8</v>
      </c>
      <c r="X934" s="23">
        <v>933.0</v>
      </c>
    </row>
    <row r="935">
      <c r="B935" s="6">
        <v>17980.0</v>
      </c>
      <c r="C935" s="12" t="str">
        <f t="shared" si="1"/>
        <v>U17980</v>
      </c>
      <c r="D935" s="14" t="str">
        <f t="array" ref="D935">iferror(index('2018_ufns'!E:E,match(C935,'2018_ufns'!B:B,0)))</f>
        <v>P1198</v>
      </c>
      <c r="E935" s="14">
        <v>43427.0</v>
      </c>
      <c r="F935" s="40" t="s">
        <v>53</v>
      </c>
      <c r="G935" s="40" t="s">
        <v>54</v>
      </c>
      <c r="H935" s="9">
        <v>12.4</v>
      </c>
      <c r="I935" s="13">
        <v>102.0</v>
      </c>
      <c r="J935" s="13">
        <v>107.0</v>
      </c>
      <c r="K935" s="17">
        <f t="shared" si="10"/>
        <v>1.012209367</v>
      </c>
      <c r="L935" s="9">
        <v>0.0</v>
      </c>
      <c r="M935" s="9" t="s">
        <v>57</v>
      </c>
      <c r="O935" s="9" t="s">
        <v>221</v>
      </c>
      <c r="P935" s="40" t="s">
        <v>1729</v>
      </c>
      <c r="Q935" s="33" t="s">
        <v>150</v>
      </c>
      <c r="R935" s="33" t="s">
        <v>2119</v>
      </c>
      <c r="S935" s="9" t="s">
        <v>638</v>
      </c>
      <c r="T935" t="str">
        <f t="shared" si="9"/>
        <v>N</v>
      </c>
      <c r="W935" s="12" t="str">
        <f t="array" ref="W935">if(and(L935=0,Q935="NA"),"NA",if(L935=0,"no lice",if(Q935="NA","no collection",index(sea_lice!G:G,match(C935,sea_lice!A:A,0)))))</f>
        <v>no lice</v>
      </c>
      <c r="X935" s="23">
        <v>934.0</v>
      </c>
    </row>
    <row r="936">
      <c r="B936" s="6">
        <v>17561.0</v>
      </c>
      <c r="C936" s="12" t="str">
        <f t="shared" si="1"/>
        <v>U17561</v>
      </c>
      <c r="D936" s="14" t="str">
        <f t="array" ref="D936">iferror(index('2018_ufns'!E:E,match(C936,'2018_ufns'!B:B,0)))</f>
        <v>P1157</v>
      </c>
      <c r="E936" s="14">
        <v>43427.0</v>
      </c>
      <c r="F936" s="40" t="s">
        <v>53</v>
      </c>
      <c r="G936" s="40" t="s">
        <v>54</v>
      </c>
      <c r="H936" s="9">
        <v>11.5</v>
      </c>
      <c r="I936" s="13">
        <v>104.0</v>
      </c>
      <c r="J936" s="13">
        <v>109.0</v>
      </c>
      <c r="K936" s="17">
        <f t="shared" si="10"/>
        <v>0.8880110021</v>
      </c>
      <c r="L936" s="9">
        <v>0.0</v>
      </c>
      <c r="M936" s="9" t="s">
        <v>57</v>
      </c>
      <c r="O936" s="9" t="s">
        <v>221</v>
      </c>
      <c r="P936" s="40" t="s">
        <v>1729</v>
      </c>
      <c r="Q936" s="33" t="s">
        <v>150</v>
      </c>
      <c r="R936" s="33" t="s">
        <v>2119</v>
      </c>
      <c r="S936" s="9" t="s">
        <v>638</v>
      </c>
      <c r="T936" t="str">
        <f t="shared" si="9"/>
        <v>N</v>
      </c>
      <c r="W936" s="12" t="str">
        <f t="array" ref="W936">if(and(L936=0,Q936="NA"),"NA",if(L936=0,"no lice",if(Q936="NA","no collection",index(sea_lice!G:G,match(C936,sea_lice!A:A,0)))))</f>
        <v>no lice</v>
      </c>
      <c r="X936" s="23">
        <v>935.0</v>
      </c>
    </row>
    <row r="937">
      <c r="B937" s="6">
        <v>17562.0</v>
      </c>
      <c r="C937" s="12" t="str">
        <f t="shared" si="1"/>
        <v>U17562</v>
      </c>
      <c r="D937" s="14" t="str">
        <f t="array" ref="D937">iferror(index('2018_ufns'!E:E,match(C937,'2018_ufns'!B:B,0)))</f>
        <v>P1157</v>
      </c>
      <c r="E937" s="14">
        <v>43427.0</v>
      </c>
      <c r="F937" s="40" t="s">
        <v>53</v>
      </c>
      <c r="G937" s="40" t="s">
        <v>54</v>
      </c>
      <c r="H937" s="9">
        <v>7.5</v>
      </c>
      <c r="I937" s="13">
        <v>90.0</v>
      </c>
      <c r="J937" s="13">
        <v>94.0</v>
      </c>
      <c r="K937" s="17">
        <f t="shared" si="10"/>
        <v>0.9029791087</v>
      </c>
      <c r="L937" s="9">
        <v>0.0</v>
      </c>
      <c r="M937" s="9" t="s">
        <v>57</v>
      </c>
      <c r="O937" s="9" t="s">
        <v>221</v>
      </c>
      <c r="P937" s="40" t="s">
        <v>1729</v>
      </c>
      <c r="Q937" s="33" t="s">
        <v>150</v>
      </c>
      <c r="R937" s="33" t="s">
        <v>2119</v>
      </c>
      <c r="S937" s="9" t="s">
        <v>638</v>
      </c>
      <c r="T937" t="str">
        <f t="shared" si="9"/>
        <v>N</v>
      </c>
      <c r="W937" s="12" t="str">
        <f t="array" ref="W937">if(and(L937=0,Q937="NA"),"NA",if(L937=0,"no lice",if(Q937="NA","no collection",index(sea_lice!G:G,match(C937,sea_lice!A:A,0)))))</f>
        <v>no lice</v>
      </c>
      <c r="X937" s="23">
        <v>936.0</v>
      </c>
    </row>
    <row r="938">
      <c r="B938" s="6">
        <v>17563.0</v>
      </c>
      <c r="C938" s="12" t="str">
        <f t="shared" si="1"/>
        <v>U17563</v>
      </c>
      <c r="D938" s="14" t="str">
        <f t="array" ref="D938">iferror(index('2018_ufns'!E:E,match(C938,'2018_ufns'!B:B,0)))</f>
        <v>P1157</v>
      </c>
      <c r="E938" s="14">
        <v>43427.0</v>
      </c>
      <c r="F938" s="40" t="s">
        <v>53</v>
      </c>
      <c r="G938" s="40" t="s">
        <v>54</v>
      </c>
      <c r="H938" s="9">
        <v>21.4</v>
      </c>
      <c r="I938" s="13">
        <v>127.0</v>
      </c>
      <c r="J938" s="13">
        <v>132.0</v>
      </c>
      <c r="K938" s="17">
        <f t="shared" si="10"/>
        <v>0.930447728</v>
      </c>
      <c r="L938" s="9">
        <v>2.0</v>
      </c>
      <c r="M938" s="9" t="s">
        <v>57</v>
      </c>
      <c r="O938" s="9" t="s">
        <v>221</v>
      </c>
      <c r="P938" s="40" t="s">
        <v>1729</v>
      </c>
      <c r="Q938" s="33" t="s">
        <v>150</v>
      </c>
      <c r="R938" s="33" t="s">
        <v>2119</v>
      </c>
      <c r="S938" s="9" t="s">
        <v>638</v>
      </c>
      <c r="T938" t="str">
        <f t="shared" si="9"/>
        <v>N</v>
      </c>
      <c r="W938" s="12" t="str">
        <f t="array" ref="W938">if(and(L938=0,Q938="NA"),"NA",if(L938=0,"no lice",if(Q938="NA","no collection",index(sea_lice!G:G,match(C938,sea_lice!A:A,0)))))</f>
        <v>BSL7-11</v>
      </c>
      <c r="X938" s="23">
        <v>937.0</v>
      </c>
    </row>
    <row r="939">
      <c r="B939" s="6">
        <v>17564.0</v>
      </c>
      <c r="C939" s="12" t="str">
        <f t="shared" si="1"/>
        <v>U17564</v>
      </c>
      <c r="D939" s="14" t="str">
        <f t="array" ref="D939">iferror(index('2018_ufns'!E:E,match(C939,'2018_ufns'!B:B,0)))</f>
        <v>P1157</v>
      </c>
      <c r="E939" s="14">
        <v>43427.0</v>
      </c>
      <c r="F939" s="40" t="s">
        <v>53</v>
      </c>
      <c r="G939" s="40" t="s">
        <v>54</v>
      </c>
      <c r="H939" s="9">
        <v>8.6</v>
      </c>
      <c r="I939" s="13">
        <v>93.0</v>
      </c>
      <c r="J939" s="13">
        <v>98.0</v>
      </c>
      <c r="K939" s="17">
        <f t="shared" si="10"/>
        <v>0.9137349234</v>
      </c>
      <c r="L939" s="9">
        <v>0.0</v>
      </c>
      <c r="M939" s="9" t="s">
        <v>57</v>
      </c>
      <c r="O939" s="9" t="s">
        <v>221</v>
      </c>
      <c r="P939" s="40" t="s">
        <v>1729</v>
      </c>
      <c r="Q939" s="33" t="s">
        <v>150</v>
      </c>
      <c r="R939" s="33" t="s">
        <v>2119</v>
      </c>
      <c r="S939" s="9" t="s">
        <v>638</v>
      </c>
      <c r="T939" t="str">
        <f t="shared" si="9"/>
        <v>N</v>
      </c>
      <c r="W939" s="12" t="str">
        <f t="array" ref="W939">if(and(L939=0,Q939="NA"),"NA",if(L939=0,"no lice",if(Q939="NA","no collection",index(sea_lice!G:G,match(C939,sea_lice!A:A,0)))))</f>
        <v>no lice</v>
      </c>
      <c r="X939" s="23">
        <v>938.0</v>
      </c>
    </row>
    <row r="940">
      <c r="B940" s="6">
        <v>17565.0</v>
      </c>
      <c r="C940" s="12" t="str">
        <f t="shared" si="1"/>
        <v>U17565</v>
      </c>
      <c r="D940" s="14" t="str">
        <f t="array" ref="D940">iferror(index('2018_ufns'!E:E,match(C940,'2018_ufns'!B:B,0)))</f>
        <v>P1157</v>
      </c>
      <c r="E940" s="14">
        <v>43427.0</v>
      </c>
      <c r="F940" s="40" t="s">
        <v>53</v>
      </c>
      <c r="G940" s="40" t="s">
        <v>54</v>
      </c>
      <c r="H940" s="9">
        <v>13.7</v>
      </c>
      <c r="I940" s="13">
        <v>115.0</v>
      </c>
      <c r="J940" s="13">
        <v>120.0</v>
      </c>
      <c r="K940" s="17">
        <f t="shared" si="10"/>
        <v>0.7928240741</v>
      </c>
      <c r="L940" s="9">
        <v>0.0</v>
      </c>
      <c r="M940" s="9" t="s">
        <v>57</v>
      </c>
      <c r="O940" s="9" t="s">
        <v>221</v>
      </c>
      <c r="P940" s="40" t="s">
        <v>1729</v>
      </c>
      <c r="Q940" s="33" t="s">
        <v>150</v>
      </c>
      <c r="R940" s="33" t="s">
        <v>2119</v>
      </c>
      <c r="S940" s="9" t="s">
        <v>638</v>
      </c>
      <c r="T940" t="str">
        <f t="shared" si="9"/>
        <v>N</v>
      </c>
      <c r="W940" s="12" t="str">
        <f t="array" ref="W940">if(and(L940=0,Q940="NA"),"NA",if(L940=0,"no lice",if(Q940="NA","no collection",index(sea_lice!G:G,match(C940,sea_lice!A:A,0)))))</f>
        <v>no lice</v>
      </c>
      <c r="X940" s="23">
        <v>939.0</v>
      </c>
    </row>
    <row r="941">
      <c r="B941" s="6">
        <v>17566.0</v>
      </c>
      <c r="C941" s="12" t="str">
        <f t="shared" si="1"/>
        <v>U17566</v>
      </c>
      <c r="D941" s="14" t="str">
        <f t="array" ref="D941">iferror(index('2018_ufns'!E:E,match(C941,'2018_ufns'!B:B,0)))</f>
        <v>P1157</v>
      </c>
      <c r="E941" s="14">
        <v>43427.0</v>
      </c>
      <c r="F941" s="40" t="s">
        <v>53</v>
      </c>
      <c r="G941" s="40" t="s">
        <v>54</v>
      </c>
      <c r="H941" s="9">
        <v>12.8</v>
      </c>
      <c r="I941" s="13">
        <v>108.0</v>
      </c>
      <c r="J941" s="13">
        <v>114.0</v>
      </c>
      <c r="K941" s="17">
        <f t="shared" si="10"/>
        <v>0.8639635407</v>
      </c>
      <c r="L941" s="9">
        <v>1.0</v>
      </c>
      <c r="M941" s="9" t="s">
        <v>57</v>
      </c>
      <c r="O941" s="9" t="s">
        <v>221</v>
      </c>
      <c r="P941" s="40" t="s">
        <v>1729</v>
      </c>
      <c r="Q941" s="33" t="s">
        <v>150</v>
      </c>
      <c r="R941" s="33" t="s">
        <v>2119</v>
      </c>
      <c r="S941" s="9" t="s">
        <v>638</v>
      </c>
      <c r="T941" t="str">
        <f t="shared" si="9"/>
        <v>N</v>
      </c>
      <c r="W941" s="12" t="str">
        <f t="array" ref="W941">if(and(L941=0,Q941="NA"),"NA",if(L941=0,"no lice",if(Q941="NA","no collection",index(sea_lice!G:G,match(C941,sea_lice!A:A,0)))))</f>
        <v>BSL7-13</v>
      </c>
      <c r="X941" s="23">
        <v>940.0</v>
      </c>
    </row>
    <row r="942">
      <c r="B942" s="6">
        <v>17568.0</v>
      </c>
      <c r="C942" s="12" t="str">
        <f t="shared" si="1"/>
        <v>U17568</v>
      </c>
      <c r="D942" s="14" t="str">
        <f t="array" ref="D942">iferror(index('2018_ufns'!E:E,match(C942,'2018_ufns'!B:B,0)))</f>
        <v>P1157</v>
      </c>
      <c r="E942" s="14">
        <v>43427.0</v>
      </c>
      <c r="F942" s="40" t="s">
        <v>53</v>
      </c>
      <c r="G942" s="40" t="s">
        <v>54</v>
      </c>
      <c r="H942" s="9">
        <v>8.3</v>
      </c>
      <c r="I942" s="13">
        <v>92.0</v>
      </c>
      <c r="J942" s="13" t="s">
        <v>63</v>
      </c>
      <c r="K942" s="17" t="str">
        <f t="shared" si="10"/>
        <v/>
      </c>
      <c r="L942" s="9">
        <v>0.0</v>
      </c>
      <c r="M942" s="9" t="s">
        <v>57</v>
      </c>
      <c r="O942" s="9" t="s">
        <v>221</v>
      </c>
      <c r="P942" s="40" t="s">
        <v>1729</v>
      </c>
      <c r="Q942" s="33" t="s">
        <v>150</v>
      </c>
      <c r="R942" s="33" t="s">
        <v>2119</v>
      </c>
      <c r="S942" s="9" t="s">
        <v>638</v>
      </c>
      <c r="T942" t="str">
        <f>if(isblank(#REF!),"",if(or(and(countif(A:A,A942)&gt;1,A942&lt;&gt;"NA"),countif(B:B,#REF!)&gt;1),"Y","N"))</f>
        <v>N</v>
      </c>
      <c r="W942" s="12" t="str">
        <f t="array" ref="W942">if(and(L942=0,Q942="NA"),"NA",if(L942=0,"no lice",if(Q942="NA","no collection",index(sea_lice!G:G,match(C942,sea_lice!A:A,0)))))</f>
        <v>no lice</v>
      </c>
      <c r="X942" s="23">
        <v>941.0</v>
      </c>
    </row>
    <row r="943">
      <c r="B943" s="6">
        <v>17567.0</v>
      </c>
      <c r="C943" s="12" t="str">
        <f>if(isblank(B942),"",concatenate("U",B943))</f>
        <v>U17567</v>
      </c>
      <c r="D943" s="14" t="str">
        <f t="array" ref="D943">iferror(index('2018_ufns'!E:E,match(C943,'2018_ufns'!B:B,0)))</f>
        <v>P1157</v>
      </c>
      <c r="E943" s="14">
        <v>43427.0</v>
      </c>
      <c r="F943" s="40" t="s">
        <v>53</v>
      </c>
      <c r="G943" s="40" t="s">
        <v>54</v>
      </c>
      <c r="H943" s="9">
        <v>10.5</v>
      </c>
      <c r="I943" s="13">
        <v>102.0</v>
      </c>
      <c r="J943" s="13">
        <v>106.0</v>
      </c>
      <c r="K943" s="17">
        <f t="shared" si="10"/>
        <v>0.8816002472</v>
      </c>
      <c r="L943" s="9">
        <v>0.0</v>
      </c>
      <c r="M943" s="9" t="s">
        <v>57</v>
      </c>
      <c r="O943" s="9" t="s">
        <v>221</v>
      </c>
      <c r="P943" s="40" t="s">
        <v>1729</v>
      </c>
      <c r="Q943" s="33" t="s">
        <v>150</v>
      </c>
      <c r="R943" s="33" t="s">
        <v>2119</v>
      </c>
      <c r="S943" s="9" t="s">
        <v>638</v>
      </c>
      <c r="T943" t="str">
        <f>if(isblank(B942),"",if(or(and(countif(A:A,A943)&gt;1,A943&lt;&gt;"NA"),countif(B:B,B942)&gt;1),"Y","N"))</f>
        <v>N</v>
      </c>
      <c r="W943" s="12" t="str">
        <f t="array" ref="W943">if(and(L943=0,Q943="NA"),"NA",if(L943=0,"no lice",if(Q943="NA","no collection",index(sea_lice!G:G,match(C943,sea_lice!A:A,0)))))</f>
        <v>no lice</v>
      </c>
      <c r="X943" s="23">
        <v>942.0</v>
      </c>
    </row>
    <row r="944">
      <c r="B944" s="6">
        <v>17569.0</v>
      </c>
      <c r="C944" s="12" t="str">
        <f t="shared" ref="C944:C1558" si="11">if(isblank(B944),"",concatenate("U",B944))</f>
        <v>U17569</v>
      </c>
      <c r="D944" s="14" t="str">
        <f t="array" ref="D944">iferror(index('2018_ufns'!E:E,match(C944,'2018_ufns'!B:B,0)))</f>
        <v>P1157</v>
      </c>
      <c r="E944" s="14">
        <v>43427.0</v>
      </c>
      <c r="F944" s="40" t="s">
        <v>53</v>
      </c>
      <c r="G944" s="40" t="s">
        <v>54</v>
      </c>
      <c r="H944" s="9">
        <v>12.1</v>
      </c>
      <c r="I944" s="13">
        <v>104.0</v>
      </c>
      <c r="J944" s="13">
        <v>108.0</v>
      </c>
      <c r="K944" s="17">
        <f t="shared" si="10"/>
        <v>0.9605370116</v>
      </c>
      <c r="L944" s="9">
        <v>1.0</v>
      </c>
      <c r="M944" s="9" t="s">
        <v>57</v>
      </c>
      <c r="O944" s="9" t="s">
        <v>221</v>
      </c>
      <c r="P944" s="40" t="s">
        <v>1729</v>
      </c>
      <c r="Q944" s="33" t="s">
        <v>150</v>
      </c>
      <c r="R944" s="33" t="s">
        <v>2119</v>
      </c>
      <c r="S944" s="9" t="s">
        <v>638</v>
      </c>
      <c r="T944" t="str">
        <f t="shared" ref="T944:T1558" si="12">if(isblank(B944),"",if(or(and(countif(A:A,A944)&gt;1,A944&lt;&gt;"NA"),countif(B:B,B944)&gt;1),"Y","N"))</f>
        <v>N</v>
      </c>
      <c r="W944" s="12" t="str">
        <f t="array" ref="W944">if(and(L944=0,Q944="NA"),"NA",if(L944=0,"no lice",if(Q944="NA","no collection",index(sea_lice!G:G,match(C944,sea_lice!A:A,0)))))</f>
        <v>BSL7-14</v>
      </c>
      <c r="X944" s="23">
        <v>943.0</v>
      </c>
    </row>
    <row r="945">
      <c r="B945" s="6">
        <v>16065.0</v>
      </c>
      <c r="C945" s="12" t="str">
        <f t="shared" si="11"/>
        <v>U16065</v>
      </c>
      <c r="D945" s="14" t="str">
        <f t="array" ref="D945">iferror(index('2018_ufns'!E:E,match(C945,'2018_ufns'!B:B,0)))</f>
        <v>P1007</v>
      </c>
      <c r="E945" s="14">
        <v>43427.0</v>
      </c>
      <c r="F945" s="40" t="s">
        <v>53</v>
      </c>
      <c r="G945" s="40" t="s">
        <v>54</v>
      </c>
      <c r="H945" s="9">
        <v>17.2</v>
      </c>
      <c r="I945" s="13">
        <v>117.0</v>
      </c>
      <c r="J945" s="13">
        <v>122.0</v>
      </c>
      <c r="K945" s="17">
        <f t="shared" si="10"/>
        <v>0.9472158463</v>
      </c>
      <c r="L945" s="9">
        <v>0.0</v>
      </c>
      <c r="O945" s="9" t="s">
        <v>64</v>
      </c>
      <c r="P945" s="40" t="s">
        <v>1729</v>
      </c>
      <c r="Q945" s="9" t="s">
        <v>150</v>
      </c>
      <c r="R945" s="40" t="s">
        <v>63</v>
      </c>
      <c r="S945" s="9" t="s">
        <v>221</v>
      </c>
      <c r="T945" t="str">
        <f t="shared" si="12"/>
        <v>N</v>
      </c>
      <c r="W945" s="12" t="str">
        <f t="array" ref="W945">if(and(L945=0,Q945="NA"),"NA",if(L945=0,"no lice",if(Q945="NA","no collection",index(sea_lice!G:G,match(C945,sea_lice!A:A,0)))))</f>
        <v>no lice</v>
      </c>
      <c r="X945" s="23">
        <v>944.0</v>
      </c>
    </row>
    <row r="946">
      <c r="B946" s="6">
        <v>16069.0</v>
      </c>
      <c r="C946" s="12" t="str">
        <f t="shared" si="11"/>
        <v>U16069</v>
      </c>
      <c r="D946" s="14" t="str">
        <f t="array" ref="D946">iferror(index('2018_ufns'!E:E,match(C946,'2018_ufns'!B:B,0)))</f>
        <v>P1007</v>
      </c>
      <c r="E946" s="14">
        <v>43427.0</v>
      </c>
      <c r="F946" s="40" t="s">
        <v>53</v>
      </c>
      <c r="G946" s="40" t="s">
        <v>54</v>
      </c>
      <c r="H946" s="9">
        <v>18.9</v>
      </c>
      <c r="I946" s="13">
        <v>114.0</v>
      </c>
      <c r="J946" s="13">
        <v>120.0</v>
      </c>
      <c r="K946" s="17">
        <f t="shared" si="10"/>
        <v>1.09375</v>
      </c>
      <c r="L946" s="9">
        <v>0.0</v>
      </c>
      <c r="O946" s="9" t="s">
        <v>64</v>
      </c>
      <c r="P946" s="40" t="s">
        <v>1729</v>
      </c>
      <c r="Q946" s="9" t="s">
        <v>150</v>
      </c>
      <c r="R946" s="40" t="s">
        <v>63</v>
      </c>
      <c r="S946" s="9" t="s">
        <v>221</v>
      </c>
      <c r="T946" t="str">
        <f t="shared" si="12"/>
        <v>N</v>
      </c>
      <c r="W946" s="12" t="str">
        <f t="array" ref="W946">if(and(L946=0,Q946="NA"),"NA",if(L946=0,"no lice",if(Q946="NA","no collection",index(sea_lice!G:G,match(C946,sea_lice!A:A,0)))))</f>
        <v>no lice</v>
      </c>
      <c r="X946" s="23">
        <v>945.0</v>
      </c>
    </row>
    <row r="947">
      <c r="B947" s="6">
        <v>16064.0</v>
      </c>
      <c r="C947" s="12" t="str">
        <f t="shared" si="11"/>
        <v>U16064</v>
      </c>
      <c r="D947" s="14" t="str">
        <f t="array" ref="D947">iferror(index('2018_ufns'!E:E,match(C947,'2018_ufns'!B:B,0)))</f>
        <v>P1007</v>
      </c>
      <c r="E947" s="14">
        <v>43427.0</v>
      </c>
      <c r="F947" s="40" t="s">
        <v>53</v>
      </c>
      <c r="G947" s="40" t="s">
        <v>54</v>
      </c>
      <c r="H947" s="9">
        <v>18.9</v>
      </c>
      <c r="I947" s="13">
        <v>118.0</v>
      </c>
      <c r="J947" s="13">
        <v>123.0</v>
      </c>
      <c r="K947" s="17">
        <f t="shared" si="10"/>
        <v>1.015655606</v>
      </c>
      <c r="L947" s="9">
        <v>0.0</v>
      </c>
      <c r="O947" s="9" t="s">
        <v>64</v>
      </c>
      <c r="P947" s="40" t="s">
        <v>1729</v>
      </c>
      <c r="Q947" s="9" t="s">
        <v>150</v>
      </c>
      <c r="R947" s="40" t="s">
        <v>63</v>
      </c>
      <c r="S947" s="9" t="s">
        <v>221</v>
      </c>
      <c r="T947" t="str">
        <f t="shared" si="12"/>
        <v>N</v>
      </c>
      <c r="W947" s="12" t="str">
        <f t="array" ref="W947">if(and(L947=0,Q947="NA"),"NA",if(L947=0,"no lice",if(Q947="NA","no collection",index(sea_lice!G:G,match(C947,sea_lice!A:A,0)))))</f>
        <v>no lice</v>
      </c>
      <c r="X947" s="23">
        <v>946.0</v>
      </c>
    </row>
    <row r="948">
      <c r="B948" s="6">
        <v>16068.0</v>
      </c>
      <c r="C948" s="12" t="str">
        <f t="shared" si="11"/>
        <v>U16068</v>
      </c>
      <c r="D948" s="14" t="str">
        <f t="array" ref="D948">iferror(index('2018_ufns'!E:E,match(C948,'2018_ufns'!B:B,0)))</f>
        <v>P1007</v>
      </c>
      <c r="E948" s="14">
        <v>43427.0</v>
      </c>
      <c r="F948" s="40" t="s">
        <v>53</v>
      </c>
      <c r="G948" s="40" t="s">
        <v>54</v>
      </c>
      <c r="H948" s="9">
        <v>21.2</v>
      </c>
      <c r="I948" s="13">
        <v>120.0</v>
      </c>
      <c r="J948" s="13">
        <v>125.0</v>
      </c>
      <c r="K948" s="17">
        <f t="shared" si="10"/>
        <v>1.08544</v>
      </c>
      <c r="L948" s="9">
        <v>0.0</v>
      </c>
      <c r="O948" s="9" t="s">
        <v>64</v>
      </c>
      <c r="P948" s="40" t="s">
        <v>1729</v>
      </c>
      <c r="Q948" s="9" t="s">
        <v>150</v>
      </c>
      <c r="R948" s="40" t="s">
        <v>63</v>
      </c>
      <c r="S948" s="9" t="s">
        <v>221</v>
      </c>
      <c r="T948" t="str">
        <f t="shared" si="12"/>
        <v>N</v>
      </c>
      <c r="W948" s="12" t="str">
        <f t="array" ref="W948">if(and(L948=0,Q948="NA"),"NA",if(L948=0,"no lice",if(Q948="NA","no collection",index(sea_lice!G:G,match(C948,sea_lice!A:A,0)))))</f>
        <v>no lice</v>
      </c>
      <c r="X948" s="23">
        <v>947.0</v>
      </c>
    </row>
    <row r="949">
      <c r="B949" s="6">
        <v>16062.0</v>
      </c>
      <c r="C949" s="12" t="str">
        <f t="shared" si="11"/>
        <v>U16062</v>
      </c>
      <c r="D949" s="14" t="str">
        <f t="array" ref="D949">iferror(index('2018_ufns'!E:E,match(C949,'2018_ufns'!B:B,0)))</f>
        <v>P1007</v>
      </c>
      <c r="E949" s="14">
        <v>43427.0</v>
      </c>
      <c r="F949" s="40" t="s">
        <v>53</v>
      </c>
      <c r="G949" s="40" t="s">
        <v>54</v>
      </c>
      <c r="H949" s="9">
        <v>17.9</v>
      </c>
      <c r="I949" s="13">
        <v>118.0</v>
      </c>
      <c r="J949" s="13">
        <v>123.0</v>
      </c>
      <c r="K949" s="17">
        <f t="shared" si="10"/>
        <v>0.9619172139</v>
      </c>
      <c r="L949" s="9">
        <v>0.0</v>
      </c>
      <c r="O949" s="9" t="s">
        <v>64</v>
      </c>
      <c r="P949" s="40" t="s">
        <v>1729</v>
      </c>
      <c r="Q949" s="9" t="s">
        <v>150</v>
      </c>
      <c r="R949" s="40" t="s">
        <v>63</v>
      </c>
      <c r="S949" s="9" t="s">
        <v>221</v>
      </c>
      <c r="T949" t="str">
        <f t="shared" si="12"/>
        <v>N</v>
      </c>
      <c r="W949" s="12" t="str">
        <f t="array" ref="W949">if(and(L949=0,Q949="NA"),"NA",if(L949=0,"no lice",if(Q949="NA","no collection",index(sea_lice!G:G,match(C949,sea_lice!A:A,0)))))</f>
        <v>no lice</v>
      </c>
      <c r="X949" s="23">
        <v>948.0</v>
      </c>
    </row>
    <row r="950">
      <c r="B950" s="6">
        <v>16070.0</v>
      </c>
      <c r="C950" s="12" t="str">
        <f t="shared" si="11"/>
        <v>U16070</v>
      </c>
      <c r="D950" s="14" t="str">
        <f t="array" ref="D950">iferror(index('2018_ufns'!E:E,match(C950,'2018_ufns'!B:B,0)))</f>
        <v>P1007</v>
      </c>
      <c r="E950" s="14">
        <v>43427.0</v>
      </c>
      <c r="F950" s="40" t="s">
        <v>53</v>
      </c>
      <c r="G950" s="40" t="s">
        <v>54</v>
      </c>
      <c r="H950" s="9">
        <v>15.1</v>
      </c>
      <c r="I950" s="13">
        <v>108.0</v>
      </c>
      <c r="J950" s="13">
        <v>114.0</v>
      </c>
      <c r="K950" s="17">
        <f t="shared" si="10"/>
        <v>1.019206989</v>
      </c>
      <c r="L950" s="9">
        <v>1.0</v>
      </c>
      <c r="O950" s="9" t="s">
        <v>64</v>
      </c>
      <c r="P950" s="40" t="s">
        <v>1729</v>
      </c>
      <c r="Q950" s="9" t="s">
        <v>150</v>
      </c>
      <c r="R950" s="40" t="s">
        <v>63</v>
      </c>
      <c r="S950" s="9" t="s">
        <v>221</v>
      </c>
      <c r="T950" t="str">
        <f t="shared" si="12"/>
        <v>N</v>
      </c>
      <c r="W950" s="12" t="str">
        <f t="array" ref="W950">if(and(L950=0,Q950="NA"),"NA",if(L950=0,"no lice",if(Q950="NA","no collection",index(sea_lice!G:G,match(C950,sea_lice!A:A,0)))))</f>
        <v>BSL7-15</v>
      </c>
      <c r="X950" s="23">
        <v>949.0</v>
      </c>
    </row>
    <row r="951">
      <c r="B951" s="6">
        <v>16066.0</v>
      </c>
      <c r="C951" s="12" t="str">
        <f t="shared" si="11"/>
        <v>U16066</v>
      </c>
      <c r="D951" s="14" t="str">
        <f t="array" ref="D951">iferror(index('2018_ufns'!E:E,match(C951,'2018_ufns'!B:B,0)))</f>
        <v>P1007</v>
      </c>
      <c r="E951" s="14">
        <v>43427.0</v>
      </c>
      <c r="F951" s="40" t="s">
        <v>53</v>
      </c>
      <c r="G951" s="40" t="s">
        <v>54</v>
      </c>
      <c r="H951" s="9">
        <v>21.6</v>
      </c>
      <c r="I951" s="13">
        <v>119.0</v>
      </c>
      <c r="J951" s="13">
        <v>124.0</v>
      </c>
      <c r="K951" s="17">
        <f t="shared" si="10"/>
        <v>1.132892484</v>
      </c>
      <c r="L951" s="9">
        <v>2.0</v>
      </c>
      <c r="O951" s="9" t="s">
        <v>64</v>
      </c>
      <c r="P951" s="40" t="s">
        <v>1729</v>
      </c>
      <c r="Q951" s="9" t="s">
        <v>150</v>
      </c>
      <c r="R951" s="40" t="s">
        <v>63</v>
      </c>
      <c r="S951" s="9" t="s">
        <v>221</v>
      </c>
      <c r="T951" t="str">
        <f t="shared" si="12"/>
        <v>N</v>
      </c>
      <c r="W951" s="12" t="str">
        <f t="array" ref="W951">if(and(L951=0,Q951="NA"),"NA",if(L951=0,"no lice",if(Q951="NA","no collection",index(sea_lice!G:G,match(C951,sea_lice!A:A,0)))))</f>
        <v>BSL7-16</v>
      </c>
      <c r="X951" s="23">
        <v>950.0</v>
      </c>
    </row>
    <row r="952">
      <c r="B952" s="6">
        <v>16063.0</v>
      </c>
      <c r="C952" s="12" t="str">
        <f t="shared" si="11"/>
        <v>U16063</v>
      </c>
      <c r="D952" s="14" t="str">
        <f t="array" ref="D952">iferror(index('2018_ufns'!E:E,match(C952,'2018_ufns'!B:B,0)))</f>
        <v>P1007</v>
      </c>
      <c r="E952" s="14">
        <v>43427.0</v>
      </c>
      <c r="F952" s="40" t="s">
        <v>53</v>
      </c>
      <c r="G952" s="40" t="s">
        <v>54</v>
      </c>
      <c r="H952" s="9">
        <v>24.6</v>
      </c>
      <c r="I952" s="13">
        <v>130.0</v>
      </c>
      <c r="J952" s="13">
        <v>136.0</v>
      </c>
      <c r="K952" s="17">
        <f t="shared" si="10"/>
        <v>0.9779538978</v>
      </c>
      <c r="L952" s="9">
        <v>0.0</v>
      </c>
      <c r="O952" s="9" t="s">
        <v>64</v>
      </c>
      <c r="P952" s="40" t="s">
        <v>1729</v>
      </c>
      <c r="Q952" s="9" t="s">
        <v>150</v>
      </c>
      <c r="R952" s="40" t="s">
        <v>63</v>
      </c>
      <c r="S952" s="9" t="s">
        <v>221</v>
      </c>
      <c r="T952" t="str">
        <f t="shared" si="12"/>
        <v>N</v>
      </c>
      <c r="W952" s="12" t="str">
        <f t="array" ref="W952">if(and(L952=0,Q952="NA"),"NA",if(L952=0,"no lice",if(Q952="NA","no collection",index(sea_lice!G:G,match(C952,sea_lice!A:A,0)))))</f>
        <v>no lice</v>
      </c>
      <c r="X952" s="23">
        <v>951.0</v>
      </c>
    </row>
    <row r="953">
      <c r="B953" s="6">
        <v>16067.0</v>
      </c>
      <c r="C953" s="12" t="str">
        <f t="shared" si="11"/>
        <v>U16067</v>
      </c>
      <c r="D953" s="14" t="str">
        <f t="array" ref="D953">iferror(index('2018_ufns'!E:E,match(C953,'2018_ufns'!B:B,0)))</f>
        <v>P1007</v>
      </c>
      <c r="E953" s="14">
        <v>43427.0</v>
      </c>
      <c r="F953" s="40" t="s">
        <v>53</v>
      </c>
      <c r="G953" s="40" t="s">
        <v>54</v>
      </c>
      <c r="H953" s="9">
        <v>15.5</v>
      </c>
      <c r="I953" s="13">
        <v>117.0</v>
      </c>
      <c r="J953" s="13">
        <v>122.0</v>
      </c>
      <c r="K953" s="17">
        <f t="shared" si="10"/>
        <v>0.8535956754</v>
      </c>
      <c r="L953" s="9">
        <v>1.0</v>
      </c>
      <c r="O953" s="9" t="s">
        <v>64</v>
      </c>
      <c r="P953" s="40" t="s">
        <v>1729</v>
      </c>
      <c r="Q953" s="9" t="s">
        <v>150</v>
      </c>
      <c r="R953" s="40" t="s">
        <v>63</v>
      </c>
      <c r="S953" s="9" t="s">
        <v>221</v>
      </c>
      <c r="T953" t="str">
        <f t="shared" si="12"/>
        <v>N</v>
      </c>
      <c r="W953" s="12" t="str">
        <f t="array" ref="W953">if(and(L953=0,Q953="NA"),"NA",if(L953=0,"no lice",if(Q953="NA","no collection",index(sea_lice!G:G,match(C953,sea_lice!A:A,0)))))</f>
        <v>BSL7-17</v>
      </c>
      <c r="X953" s="23">
        <v>952.0</v>
      </c>
    </row>
    <row r="954">
      <c r="B954" s="6">
        <v>16061.0</v>
      </c>
      <c r="C954" s="12" t="str">
        <f t="shared" si="11"/>
        <v>U16061</v>
      </c>
      <c r="D954" s="14" t="str">
        <f t="array" ref="D954">iferror(index('2018_ufns'!E:E,match(C954,'2018_ufns'!B:B,0)))</f>
        <v>P1007</v>
      </c>
      <c r="E954" s="14">
        <v>43427.0</v>
      </c>
      <c r="F954" s="40" t="s">
        <v>53</v>
      </c>
      <c r="G954" s="40" t="s">
        <v>54</v>
      </c>
      <c r="H954" s="9">
        <v>24.1</v>
      </c>
      <c r="I954" s="13">
        <v>133.0</v>
      </c>
      <c r="J954" s="13">
        <v>139.0</v>
      </c>
      <c r="K954" s="17">
        <f t="shared" si="10"/>
        <v>0.8973722632</v>
      </c>
      <c r="L954" s="9">
        <v>0.0</v>
      </c>
      <c r="O954" s="9" t="s">
        <v>64</v>
      </c>
      <c r="P954" s="40" t="s">
        <v>1729</v>
      </c>
      <c r="Q954" s="9" t="s">
        <v>150</v>
      </c>
      <c r="R954" s="40" t="s">
        <v>63</v>
      </c>
      <c r="S954" s="9" t="s">
        <v>221</v>
      </c>
      <c r="T954" t="str">
        <f t="shared" si="12"/>
        <v>N</v>
      </c>
      <c r="W954" s="12" t="str">
        <f t="array" ref="W954">if(and(L954=0,Q954="NA"),"NA",if(L954=0,"no lice",if(Q954="NA","no collection",index(sea_lice!G:G,match(C954,sea_lice!A:A,0)))))</f>
        <v>no lice</v>
      </c>
      <c r="X954" s="23">
        <v>953.0</v>
      </c>
    </row>
    <row r="955">
      <c r="B955" s="6">
        <v>17714.0</v>
      </c>
      <c r="C955" s="12" t="str">
        <f t="shared" si="11"/>
        <v>U17714</v>
      </c>
      <c r="D955" s="14" t="str">
        <f t="array" ref="D955">iferror(index('2018_ufns'!E:E,match(C955,'2018_ufns'!B:B,0)))</f>
        <v>P1172</v>
      </c>
      <c r="E955" s="14">
        <v>43430.0</v>
      </c>
      <c r="F955" s="40" t="s">
        <v>53</v>
      </c>
      <c r="G955" s="40" t="s">
        <v>54</v>
      </c>
      <c r="H955" s="9">
        <v>13.4</v>
      </c>
      <c r="I955" s="13">
        <v>103.0</v>
      </c>
      <c r="J955" s="13">
        <v>109.0</v>
      </c>
      <c r="K955" s="17">
        <f t="shared" si="10"/>
        <v>1.034725863</v>
      </c>
      <c r="L955" s="9">
        <v>0.0</v>
      </c>
      <c r="M955" s="9" t="s">
        <v>57</v>
      </c>
      <c r="O955" s="9" t="s">
        <v>638</v>
      </c>
      <c r="P955" s="40" t="s">
        <v>1729</v>
      </c>
      <c r="Q955" s="9" t="s">
        <v>62</v>
      </c>
      <c r="R955" s="9" t="s">
        <v>2119</v>
      </c>
      <c r="S955" s="9" t="s">
        <v>221</v>
      </c>
      <c r="T955" t="str">
        <f t="shared" si="12"/>
        <v>N</v>
      </c>
      <c r="W955" s="12" t="str">
        <f t="array" ref="W955">if(and(L955=0,Q955="NA"),"NA",if(L955=0,"no lice",if(Q955="NA","no collection",index(sea_lice!G:G,match(C955,sea_lice!A:A,0)))))</f>
        <v>no lice</v>
      </c>
      <c r="X955" s="23">
        <v>954.0</v>
      </c>
    </row>
    <row r="956">
      <c r="B956" s="6">
        <v>17116.0</v>
      </c>
      <c r="C956" s="12" t="str">
        <f t="shared" si="11"/>
        <v>U17116</v>
      </c>
      <c r="D956" s="14" t="str">
        <f t="array" ref="D956">iferror(index('2018_ufns'!E:E,match(C956,'2018_ufns'!B:B,0)))</f>
        <v>P1112</v>
      </c>
      <c r="E956" s="14">
        <v>43430.0</v>
      </c>
      <c r="F956" s="40" t="s">
        <v>53</v>
      </c>
      <c r="G956" s="40" t="s">
        <v>54</v>
      </c>
      <c r="H956" s="9">
        <v>11.2</v>
      </c>
      <c r="I956" s="13">
        <v>104.0</v>
      </c>
      <c r="J956" s="13">
        <v>107.0</v>
      </c>
      <c r="K956" s="17">
        <f t="shared" si="10"/>
        <v>0.9142536221</v>
      </c>
      <c r="L956" s="9">
        <v>0.0</v>
      </c>
      <c r="M956" s="9" t="s">
        <v>57</v>
      </c>
      <c r="O956" s="9" t="s">
        <v>638</v>
      </c>
      <c r="P956" s="40" t="s">
        <v>1729</v>
      </c>
      <c r="Q956" s="9" t="s">
        <v>62</v>
      </c>
      <c r="R956" s="9" t="s">
        <v>2119</v>
      </c>
      <c r="S956" s="9" t="s">
        <v>221</v>
      </c>
      <c r="T956" t="str">
        <f t="shared" si="12"/>
        <v>N</v>
      </c>
      <c r="W956" s="12" t="str">
        <f t="array" ref="W956">if(and(L956=0,Q956="NA"),"NA",if(L956=0,"no lice",if(Q956="NA","no collection",index(sea_lice!G:G,match(C956,sea_lice!A:A,0)))))</f>
        <v>no lice</v>
      </c>
      <c r="X956" s="23">
        <v>955.0</v>
      </c>
    </row>
    <row r="957">
      <c r="B957" s="6">
        <v>17115.0</v>
      </c>
      <c r="C957" s="12" t="str">
        <f t="shared" si="11"/>
        <v>U17115</v>
      </c>
      <c r="D957" s="14" t="str">
        <f t="array" ref="D957">iferror(index('2018_ufns'!E:E,match(C957,'2018_ufns'!B:B,0)))</f>
        <v>P1112</v>
      </c>
      <c r="E957" s="14">
        <v>43430.0</v>
      </c>
      <c r="F957" s="40" t="s">
        <v>53</v>
      </c>
      <c r="G957" s="40" t="s">
        <v>54</v>
      </c>
      <c r="H957" s="9">
        <v>11.1</v>
      </c>
      <c r="I957" s="13">
        <v>102.0</v>
      </c>
      <c r="J957" s="13">
        <v>106.0</v>
      </c>
      <c r="K957" s="17">
        <f t="shared" si="10"/>
        <v>0.9319774042</v>
      </c>
      <c r="L957" s="9">
        <v>0.0</v>
      </c>
      <c r="M957" s="9" t="s">
        <v>57</v>
      </c>
      <c r="O957" s="9" t="s">
        <v>638</v>
      </c>
      <c r="P957" s="40" t="s">
        <v>1729</v>
      </c>
      <c r="Q957" s="9" t="s">
        <v>62</v>
      </c>
      <c r="R957" s="9" t="s">
        <v>2119</v>
      </c>
      <c r="S957" s="9" t="s">
        <v>221</v>
      </c>
      <c r="T957" t="str">
        <f t="shared" si="12"/>
        <v>N</v>
      </c>
      <c r="W957" s="12" t="str">
        <f t="array" ref="W957">if(and(L957=0,Q957="NA"),"NA",if(L957=0,"no lice",if(Q957="NA","no collection",index(sea_lice!G:G,match(C957,sea_lice!A:A,0)))))</f>
        <v>no lice</v>
      </c>
      <c r="X957" s="23">
        <v>956.0</v>
      </c>
    </row>
    <row r="958">
      <c r="B958" s="6">
        <v>17119.0</v>
      </c>
      <c r="C958" s="12" t="str">
        <f t="shared" si="11"/>
        <v>U17119</v>
      </c>
      <c r="D958" s="14" t="str">
        <f t="array" ref="D958">iferror(index('2018_ufns'!E:E,match(C958,'2018_ufns'!B:B,0)))</f>
        <v>P1112</v>
      </c>
      <c r="E958" s="14">
        <v>43430.0</v>
      </c>
      <c r="F958" s="40" t="s">
        <v>53</v>
      </c>
      <c r="G958" s="40" t="s">
        <v>54</v>
      </c>
      <c r="H958" s="9">
        <v>8.7</v>
      </c>
      <c r="I958" s="13">
        <v>96.0</v>
      </c>
      <c r="J958" s="13">
        <v>101.0</v>
      </c>
      <c r="K958" s="17">
        <f t="shared" si="10"/>
        <v>0.8444134287</v>
      </c>
      <c r="L958" s="9">
        <v>0.0</v>
      </c>
      <c r="M958" s="9" t="s">
        <v>57</v>
      </c>
      <c r="O958" s="9" t="s">
        <v>638</v>
      </c>
      <c r="P958" s="40" t="s">
        <v>1729</v>
      </c>
      <c r="Q958" s="9" t="s">
        <v>62</v>
      </c>
      <c r="R958" s="9" t="s">
        <v>2119</v>
      </c>
      <c r="S958" s="9" t="s">
        <v>221</v>
      </c>
      <c r="T958" t="str">
        <f t="shared" si="12"/>
        <v>N</v>
      </c>
      <c r="W958" s="12" t="str">
        <f t="array" ref="W958">if(and(L958=0,Q958="NA"),"NA",if(L958=0,"no lice",if(Q958="NA","no collection",index(sea_lice!G:G,match(C958,sea_lice!A:A,0)))))</f>
        <v>no lice</v>
      </c>
      <c r="X958" s="23">
        <v>957.0</v>
      </c>
    </row>
    <row r="959">
      <c r="B959" s="6">
        <v>17117.0</v>
      </c>
      <c r="C959" s="12" t="str">
        <f t="shared" si="11"/>
        <v>U17117</v>
      </c>
      <c r="D959" s="14" t="str">
        <f t="array" ref="D959">iferror(index('2018_ufns'!E:E,match(C959,'2018_ufns'!B:B,0)))</f>
        <v>P1112</v>
      </c>
      <c r="E959" s="14">
        <v>43430.0</v>
      </c>
      <c r="F959" s="40" t="s">
        <v>53</v>
      </c>
      <c r="G959" s="40" t="s">
        <v>54</v>
      </c>
      <c r="H959" s="9">
        <v>16.9</v>
      </c>
      <c r="I959" s="13">
        <v>116.0</v>
      </c>
      <c r="J959" s="13">
        <v>122.0</v>
      </c>
      <c r="K959" s="17">
        <f t="shared" si="10"/>
        <v>0.9306946396</v>
      </c>
      <c r="L959" s="9">
        <v>1.0</v>
      </c>
      <c r="M959" s="9" t="s">
        <v>57</v>
      </c>
      <c r="O959" s="9" t="s">
        <v>638</v>
      </c>
      <c r="P959" s="40" t="s">
        <v>1729</v>
      </c>
      <c r="Q959" s="9" t="s">
        <v>62</v>
      </c>
      <c r="R959" s="9" t="s">
        <v>2119</v>
      </c>
      <c r="S959" s="9" t="s">
        <v>221</v>
      </c>
      <c r="T959" t="str">
        <f t="shared" si="12"/>
        <v>N</v>
      </c>
      <c r="W959" s="12" t="str">
        <f t="array" ref="W959">if(and(L959=0,Q959="NA"),"NA",if(L959=0,"no lice",if(Q959="NA","no collection",index(sea_lice!G:G,match(C959,sea_lice!A:A,0)))))</f>
        <v>BSL2-65</v>
      </c>
      <c r="X959" s="23">
        <v>958.0</v>
      </c>
    </row>
    <row r="960">
      <c r="B960" s="6">
        <v>17111.0</v>
      </c>
      <c r="C960" s="12" t="str">
        <f t="shared" si="11"/>
        <v>U17111</v>
      </c>
      <c r="D960" s="14" t="str">
        <f t="array" ref="D960">iferror(index('2018_ufns'!E:E,match(C960,'2018_ufns'!B:B,0)))</f>
        <v>P1112</v>
      </c>
      <c r="E960" s="14">
        <v>43430.0</v>
      </c>
      <c r="F960" s="40" t="s">
        <v>53</v>
      </c>
      <c r="G960" s="40" t="s">
        <v>54</v>
      </c>
      <c r="H960" s="9">
        <v>14.4</v>
      </c>
      <c r="I960" s="13">
        <v>113.0</v>
      </c>
      <c r="J960" s="13">
        <v>118.0</v>
      </c>
      <c r="K960" s="17">
        <f t="shared" si="10"/>
        <v>0.8764284567</v>
      </c>
      <c r="L960" s="9">
        <v>1.0</v>
      </c>
      <c r="M960" s="9" t="s">
        <v>57</v>
      </c>
      <c r="O960" s="9" t="s">
        <v>638</v>
      </c>
      <c r="P960" s="40" t="s">
        <v>1729</v>
      </c>
      <c r="Q960" s="9" t="s">
        <v>62</v>
      </c>
      <c r="R960" s="9" t="s">
        <v>2119</v>
      </c>
      <c r="S960" s="9" t="s">
        <v>221</v>
      </c>
      <c r="T960" t="str">
        <f t="shared" si="12"/>
        <v>N</v>
      </c>
      <c r="W960" s="12" t="str">
        <f t="array" ref="W960">if(and(L960=0,Q960="NA"),"NA",if(L960=0,"no lice",if(Q960="NA","no collection",index(sea_lice!G:G,match(C960,sea_lice!A:A,0)))))</f>
        <v>BSL2-67</v>
      </c>
      <c r="X960" s="23">
        <v>959.0</v>
      </c>
    </row>
    <row r="961">
      <c r="B961" s="6">
        <v>17113.0</v>
      </c>
      <c r="C961" s="12" t="str">
        <f t="shared" si="11"/>
        <v>U17113</v>
      </c>
      <c r="D961" s="14" t="str">
        <f t="array" ref="D961">iferror(index('2018_ufns'!E:E,match(C961,'2018_ufns'!B:B,0)))</f>
        <v>P1112</v>
      </c>
      <c r="E961" s="14">
        <v>43430.0</v>
      </c>
      <c r="F961" s="40" t="s">
        <v>53</v>
      </c>
      <c r="G961" s="40" t="s">
        <v>54</v>
      </c>
      <c r="H961" s="9">
        <v>6.3</v>
      </c>
      <c r="I961" s="13">
        <v>85.0</v>
      </c>
      <c r="J961" s="13">
        <v>89.0</v>
      </c>
      <c r="K961" s="17">
        <f t="shared" si="10"/>
        <v>0.8936563168</v>
      </c>
      <c r="L961" s="9">
        <v>0.0</v>
      </c>
      <c r="M961" s="9" t="s">
        <v>57</v>
      </c>
      <c r="O961" s="9" t="s">
        <v>638</v>
      </c>
      <c r="P961" s="40" t="s">
        <v>1729</v>
      </c>
      <c r="Q961" s="9" t="s">
        <v>62</v>
      </c>
      <c r="R961" s="9" t="s">
        <v>2119</v>
      </c>
      <c r="S961" s="9" t="s">
        <v>221</v>
      </c>
      <c r="T961" t="str">
        <f t="shared" si="12"/>
        <v>N</v>
      </c>
      <c r="W961" s="12" t="str">
        <f t="array" ref="W961">if(and(L961=0,Q961="NA"),"NA",if(L961=0,"no lice",if(Q961="NA","no collection",index(sea_lice!G:G,match(C961,sea_lice!A:A,0)))))</f>
        <v>no lice</v>
      </c>
      <c r="X961" s="23">
        <v>960.0</v>
      </c>
    </row>
    <row r="962">
      <c r="B962" s="6">
        <v>17114.0</v>
      </c>
      <c r="C962" s="12" t="str">
        <f t="shared" si="11"/>
        <v>U17114</v>
      </c>
      <c r="D962" s="14" t="str">
        <f t="array" ref="D962">iferror(index('2018_ufns'!E:E,match(C962,'2018_ufns'!B:B,0)))</f>
        <v>P1112</v>
      </c>
      <c r="E962" s="14">
        <v>43430.0</v>
      </c>
      <c r="F962" s="40" t="s">
        <v>53</v>
      </c>
      <c r="G962" s="40" t="s">
        <v>54</v>
      </c>
      <c r="H962" s="9">
        <v>10.0</v>
      </c>
      <c r="I962" s="13">
        <v>101.0</v>
      </c>
      <c r="J962" s="13">
        <v>105.0</v>
      </c>
      <c r="K962" s="17">
        <f t="shared" si="10"/>
        <v>0.8638375985</v>
      </c>
      <c r="L962" s="9">
        <v>0.0</v>
      </c>
      <c r="M962" s="9" t="s">
        <v>57</v>
      </c>
      <c r="O962" s="9" t="s">
        <v>638</v>
      </c>
      <c r="P962" s="40" t="s">
        <v>1729</v>
      </c>
      <c r="Q962" s="9" t="s">
        <v>62</v>
      </c>
      <c r="R962" s="9" t="s">
        <v>2119</v>
      </c>
      <c r="S962" s="9" t="s">
        <v>221</v>
      </c>
      <c r="T962" t="str">
        <f t="shared" si="12"/>
        <v>N</v>
      </c>
      <c r="W962" s="12" t="str">
        <f t="array" ref="W962">if(and(L962=0,Q962="NA"),"NA",if(L962=0,"no lice",if(Q962="NA","no collection",index(sea_lice!G:G,match(C962,sea_lice!A:A,0)))))</f>
        <v>no lice</v>
      </c>
      <c r="X962" s="23">
        <v>961.0</v>
      </c>
    </row>
    <row r="963">
      <c r="B963" s="6">
        <v>17120.0</v>
      </c>
      <c r="C963" s="12" t="str">
        <f t="shared" si="11"/>
        <v>U17120</v>
      </c>
      <c r="D963" s="14" t="str">
        <f t="array" ref="D963">iferror(index('2018_ufns'!E:E,match(C963,'2018_ufns'!B:B,0)))</f>
        <v>P1112</v>
      </c>
      <c r="E963" s="14">
        <v>43430.0</v>
      </c>
      <c r="F963" s="40" t="s">
        <v>53</v>
      </c>
      <c r="G963" s="40" t="s">
        <v>54</v>
      </c>
      <c r="H963" s="9">
        <v>9.3</v>
      </c>
      <c r="I963" s="13">
        <v>97.0</v>
      </c>
      <c r="J963" s="13">
        <v>103.0</v>
      </c>
      <c r="K963" s="17">
        <f t="shared" si="10"/>
        <v>0.8510817432</v>
      </c>
      <c r="L963" s="9">
        <v>0.0</v>
      </c>
      <c r="M963" s="9" t="s">
        <v>57</v>
      </c>
      <c r="O963" s="9" t="s">
        <v>638</v>
      </c>
      <c r="P963" s="40" t="s">
        <v>1729</v>
      </c>
      <c r="Q963" s="9" t="s">
        <v>62</v>
      </c>
      <c r="R963" s="9" t="s">
        <v>2119</v>
      </c>
      <c r="S963" s="9" t="s">
        <v>221</v>
      </c>
      <c r="T963" t="str">
        <f t="shared" si="12"/>
        <v>N</v>
      </c>
      <c r="W963" s="12" t="str">
        <f t="array" ref="W963">if(and(L963=0,Q963="NA"),"NA",if(L963=0,"no lice",if(Q963="NA","no collection",index(sea_lice!G:G,match(C963,sea_lice!A:A,0)))))</f>
        <v>no lice</v>
      </c>
      <c r="X963" s="23">
        <v>962.0</v>
      </c>
    </row>
    <row r="964">
      <c r="B964" s="6">
        <v>17118.0</v>
      </c>
      <c r="C964" s="12" t="str">
        <f t="shared" si="11"/>
        <v>U17118</v>
      </c>
      <c r="D964" s="14" t="str">
        <f t="array" ref="D964">iferror(index('2018_ufns'!E:E,match(C964,'2018_ufns'!B:B,0)))</f>
        <v>P1112</v>
      </c>
      <c r="E964" s="14">
        <v>43430.0</v>
      </c>
      <c r="F964" s="40" t="s">
        <v>53</v>
      </c>
      <c r="G964" s="40" t="s">
        <v>54</v>
      </c>
      <c r="H964" s="9">
        <v>9.5</v>
      </c>
      <c r="I964" s="13">
        <v>96.0</v>
      </c>
      <c r="J964" s="13">
        <v>100.0</v>
      </c>
      <c r="K964" s="17">
        <f t="shared" si="10"/>
        <v>0.95</v>
      </c>
      <c r="L964" s="9">
        <v>1.0</v>
      </c>
      <c r="M964" s="9" t="s">
        <v>57</v>
      </c>
      <c r="O964" s="9" t="s">
        <v>638</v>
      </c>
      <c r="P964" s="40" t="s">
        <v>1729</v>
      </c>
      <c r="Q964" s="9" t="s">
        <v>62</v>
      </c>
      <c r="R964" s="9" t="s">
        <v>2119</v>
      </c>
      <c r="S964" s="9" t="s">
        <v>221</v>
      </c>
      <c r="T964" t="str">
        <f t="shared" si="12"/>
        <v>N</v>
      </c>
      <c r="W964" s="12" t="str">
        <f t="array" ref="W964">if(and(L964=0,Q964="NA"),"NA",if(L964=0,"no lice",if(Q964="NA","no collection",index(sea_lice!G:G,match(C964,sea_lice!A:A,0)))))</f>
        <v>BSL2-69</v>
      </c>
      <c r="X964" s="23">
        <v>963.0</v>
      </c>
    </row>
    <row r="965">
      <c r="B965" s="6">
        <v>17112.0</v>
      </c>
      <c r="C965" s="12" t="str">
        <f t="shared" si="11"/>
        <v>U17112</v>
      </c>
      <c r="D965" s="14" t="str">
        <f t="array" ref="D965">iferror(index('2018_ufns'!E:E,match(C965,'2018_ufns'!B:B,0)))</f>
        <v>P1112</v>
      </c>
      <c r="E965" s="14">
        <v>43430.0</v>
      </c>
      <c r="F965" s="40" t="s">
        <v>53</v>
      </c>
      <c r="G965" s="40" t="s">
        <v>54</v>
      </c>
      <c r="H965" s="9">
        <v>8.8</v>
      </c>
      <c r="I965" s="13">
        <v>94.0</v>
      </c>
      <c r="J965" s="13">
        <v>99.0</v>
      </c>
      <c r="K965" s="17">
        <f t="shared" si="10"/>
        <v>0.9069369339</v>
      </c>
      <c r="L965" s="9">
        <v>0.0</v>
      </c>
      <c r="M965" s="9" t="s">
        <v>57</v>
      </c>
      <c r="O965" s="9" t="s">
        <v>638</v>
      </c>
      <c r="P965" s="40" t="s">
        <v>1729</v>
      </c>
      <c r="Q965" s="9" t="s">
        <v>62</v>
      </c>
      <c r="R965" s="9" t="s">
        <v>2119</v>
      </c>
      <c r="S965" s="9" t="s">
        <v>221</v>
      </c>
      <c r="T965" t="str">
        <f t="shared" si="12"/>
        <v>N</v>
      </c>
      <c r="W965" s="12" t="str">
        <f t="array" ref="W965">if(and(L965=0,Q965="NA"),"NA",if(L965=0,"no lice",if(Q965="NA","no collection",index(sea_lice!G:G,match(C965,sea_lice!A:A,0)))))</f>
        <v>no lice</v>
      </c>
      <c r="X965" s="23">
        <v>964.0</v>
      </c>
    </row>
    <row r="966">
      <c r="B966" s="6">
        <v>17570.0</v>
      </c>
      <c r="C966" s="12" t="str">
        <f t="shared" si="11"/>
        <v>U17570</v>
      </c>
      <c r="D966" s="14" t="str">
        <f t="array" ref="D966">iferror(index('2018_ufns'!E:E,match(C966,'2018_ufns'!B:B,0)))</f>
        <v>P1157</v>
      </c>
      <c r="E966" s="14">
        <v>43430.0</v>
      </c>
      <c r="F966" s="40" t="s">
        <v>53</v>
      </c>
      <c r="G966" s="40" t="s">
        <v>54</v>
      </c>
      <c r="H966" s="9">
        <v>9.7</v>
      </c>
      <c r="I966" s="13">
        <v>99.0</v>
      </c>
      <c r="J966" s="13">
        <v>104.0</v>
      </c>
      <c r="K966" s="17">
        <f t="shared" si="10"/>
        <v>0.8623264679</v>
      </c>
      <c r="L966" s="9">
        <v>1.0</v>
      </c>
      <c r="M966" s="9" t="s">
        <v>57</v>
      </c>
      <c r="O966" s="9" t="s">
        <v>221</v>
      </c>
      <c r="P966" s="40" t="s">
        <v>1729</v>
      </c>
      <c r="Q966" s="9" t="s">
        <v>62</v>
      </c>
      <c r="R966" s="9" t="s">
        <v>2119</v>
      </c>
      <c r="S966" s="9" t="s">
        <v>638</v>
      </c>
      <c r="T966" t="str">
        <f t="shared" si="12"/>
        <v>N</v>
      </c>
      <c r="W966" s="12" t="str">
        <f t="array" ref="W966">if(and(L966=0,Q966="NA"),"NA",if(L966=0,"no lice",if(Q966="NA","no collection",index(sea_lice!G:G,match(C966,sea_lice!A:A,0)))))</f>
        <v>BSL7-18</v>
      </c>
      <c r="X966" s="23">
        <v>965.0</v>
      </c>
    </row>
    <row r="967">
      <c r="B967" s="6">
        <v>17631.0</v>
      </c>
      <c r="C967" s="12" t="str">
        <f t="shared" si="11"/>
        <v>U17631</v>
      </c>
      <c r="D967" s="14" t="str">
        <f t="array" ref="D967">iferror(index('2018_ufns'!E:E,match(C967,'2018_ufns'!B:B,0)))</f>
        <v>P1164</v>
      </c>
      <c r="E967" s="14">
        <v>43430.0</v>
      </c>
      <c r="F967" s="40" t="s">
        <v>53</v>
      </c>
      <c r="G967" s="40" t="s">
        <v>54</v>
      </c>
      <c r="H967" s="9">
        <v>12.7</v>
      </c>
      <c r="I967" s="13">
        <v>107.0</v>
      </c>
      <c r="J967" s="13">
        <v>111.0</v>
      </c>
      <c r="K967" s="17">
        <f t="shared" si="10"/>
        <v>0.9286130543</v>
      </c>
      <c r="L967" s="9">
        <v>2.0</v>
      </c>
      <c r="M967" s="9" t="s">
        <v>57</v>
      </c>
      <c r="O967" s="9" t="s">
        <v>221</v>
      </c>
      <c r="P967" s="40" t="s">
        <v>1729</v>
      </c>
      <c r="Q967" s="9" t="s">
        <v>62</v>
      </c>
      <c r="R967" s="9" t="s">
        <v>2119</v>
      </c>
      <c r="S967" s="9" t="s">
        <v>638</v>
      </c>
      <c r="T967" t="str">
        <f t="shared" si="12"/>
        <v>N</v>
      </c>
      <c r="W967" s="12" t="str">
        <f t="array" ref="W967">if(and(L967=0,Q967="NA"),"NA",if(L967=0,"no lice",if(Q967="NA","no collection",index(sea_lice!G:G,match(C967,sea_lice!A:A,0)))))</f>
        <v>BSL7-19</v>
      </c>
      <c r="X967" s="23">
        <v>966.0</v>
      </c>
    </row>
    <row r="968">
      <c r="B968" s="6">
        <v>17632.0</v>
      </c>
      <c r="C968" s="12" t="str">
        <f t="shared" si="11"/>
        <v>U17632</v>
      </c>
      <c r="D968" s="14" t="str">
        <f t="array" ref="D968">iferror(index('2018_ufns'!E:E,match(C968,'2018_ufns'!B:B,0)))</f>
        <v>P1164</v>
      </c>
      <c r="E968" s="14">
        <v>43430.0</v>
      </c>
      <c r="F968" s="40" t="s">
        <v>53</v>
      </c>
      <c r="G968" s="40" t="s">
        <v>54</v>
      </c>
      <c r="H968" s="9">
        <v>16.3</v>
      </c>
      <c r="I968" s="13">
        <v>112.0</v>
      </c>
      <c r="J968" s="13">
        <v>117.0</v>
      </c>
      <c r="K968" s="17">
        <f t="shared" si="10"/>
        <v>1.017724007</v>
      </c>
      <c r="L968" s="9">
        <v>0.0</v>
      </c>
      <c r="M968" s="9" t="s">
        <v>57</v>
      </c>
      <c r="O968" s="9" t="s">
        <v>221</v>
      </c>
      <c r="P968" s="40" t="s">
        <v>1729</v>
      </c>
      <c r="Q968" s="9" t="s">
        <v>62</v>
      </c>
      <c r="R968" s="9" t="s">
        <v>2119</v>
      </c>
      <c r="S968" s="9" t="s">
        <v>638</v>
      </c>
      <c r="T968" t="str">
        <f t="shared" si="12"/>
        <v>N</v>
      </c>
      <c r="W968" s="12" t="str">
        <f t="array" ref="W968">if(and(L968=0,Q968="NA"),"NA",if(L968=0,"no lice",if(Q968="NA","no collection",index(sea_lice!G:G,match(C968,sea_lice!A:A,0)))))</f>
        <v>no lice</v>
      </c>
      <c r="X968" s="23">
        <v>967.0</v>
      </c>
    </row>
    <row r="969">
      <c r="B969" s="6">
        <v>17633.0</v>
      </c>
      <c r="C969" s="12" t="str">
        <f t="shared" si="11"/>
        <v>U17633</v>
      </c>
      <c r="D969" s="14" t="str">
        <f t="array" ref="D969">iferror(index('2018_ufns'!E:E,match(C969,'2018_ufns'!B:B,0)))</f>
        <v>P1164</v>
      </c>
      <c r="E969" s="14">
        <v>43430.0</v>
      </c>
      <c r="F969" s="40" t="s">
        <v>53</v>
      </c>
      <c r="G969" s="40" t="s">
        <v>54</v>
      </c>
      <c r="H969" s="9">
        <v>14.3</v>
      </c>
      <c r="I969" s="13">
        <v>109.0</v>
      </c>
      <c r="J969" s="13">
        <v>114.0</v>
      </c>
      <c r="K969" s="17">
        <f t="shared" si="10"/>
        <v>0.9652092682</v>
      </c>
      <c r="L969" s="9">
        <v>6.0</v>
      </c>
      <c r="M969" s="9" t="s">
        <v>57</v>
      </c>
      <c r="O969" s="9" t="s">
        <v>221</v>
      </c>
      <c r="P969" s="40" t="s">
        <v>1729</v>
      </c>
      <c r="Q969" s="9" t="s">
        <v>62</v>
      </c>
      <c r="R969" s="9" t="s">
        <v>2119</v>
      </c>
      <c r="S969" s="9" t="s">
        <v>638</v>
      </c>
      <c r="T969" t="str">
        <f t="shared" si="12"/>
        <v>N</v>
      </c>
      <c r="W969" s="12" t="str">
        <f t="array" ref="W969">if(and(L969=0,Q969="NA"),"NA",if(L969=0,"no lice",if(Q969="NA","no collection",index(sea_lice!G:G,match(C969,sea_lice!A:A,0)))))</f>
        <v>BSL7-20</v>
      </c>
      <c r="X969" s="23">
        <v>968.0</v>
      </c>
    </row>
    <row r="970">
      <c r="B970" s="6">
        <v>17634.0</v>
      </c>
      <c r="C970" s="12" t="str">
        <f t="shared" si="11"/>
        <v>U17634</v>
      </c>
      <c r="D970" s="14" t="str">
        <f t="array" ref="D970">iferror(index('2018_ufns'!E:E,match(C970,'2018_ufns'!B:B,0)))</f>
        <v>P1164</v>
      </c>
      <c r="E970" s="14">
        <v>43430.0</v>
      </c>
      <c r="F970" s="40" t="s">
        <v>53</v>
      </c>
      <c r="G970" s="40" t="s">
        <v>54</v>
      </c>
      <c r="H970" s="9">
        <v>10.1</v>
      </c>
      <c r="I970" s="13">
        <v>98.0</v>
      </c>
      <c r="J970" s="13">
        <v>103.0</v>
      </c>
      <c r="K970" s="17">
        <f t="shared" si="10"/>
        <v>0.9242930759</v>
      </c>
      <c r="L970" s="9">
        <v>1.0</v>
      </c>
      <c r="M970" s="9" t="s">
        <v>57</v>
      </c>
      <c r="O970" s="9" t="s">
        <v>221</v>
      </c>
      <c r="P970" s="40" t="s">
        <v>1729</v>
      </c>
      <c r="Q970" s="9" t="s">
        <v>62</v>
      </c>
      <c r="R970" s="9" t="s">
        <v>2119</v>
      </c>
      <c r="S970" s="9" t="s">
        <v>638</v>
      </c>
      <c r="T970" t="str">
        <f t="shared" si="12"/>
        <v>N</v>
      </c>
      <c r="W970" s="12" t="str">
        <f t="array" ref="W970">if(and(L970=0,Q970="NA"),"NA",if(L970=0,"no lice",if(Q970="NA","no collection",index(sea_lice!G:G,match(C970,sea_lice!A:A,0)))))</f>
        <v>BSL7-21</v>
      </c>
      <c r="X970" s="23">
        <v>969.0</v>
      </c>
    </row>
    <row r="971">
      <c r="B971" s="6">
        <v>17635.0</v>
      </c>
      <c r="C971" s="12" t="str">
        <f t="shared" si="11"/>
        <v>U17635</v>
      </c>
      <c r="D971" s="14" t="str">
        <f t="array" ref="D971">iferror(index('2018_ufns'!E:E,match(C971,'2018_ufns'!B:B,0)))</f>
        <v>P1164</v>
      </c>
      <c r="E971" s="14">
        <v>43430.0</v>
      </c>
      <c r="F971" s="40" t="s">
        <v>53</v>
      </c>
      <c r="G971" s="40" t="s">
        <v>54</v>
      </c>
      <c r="H971" s="9">
        <v>9.9</v>
      </c>
      <c r="I971" s="13">
        <v>96.0</v>
      </c>
      <c r="J971" s="13">
        <v>104.0</v>
      </c>
      <c r="K971" s="17">
        <f t="shared" si="10"/>
        <v>0.8801063951</v>
      </c>
      <c r="L971" s="9">
        <v>3.0</v>
      </c>
      <c r="M971" s="9" t="s">
        <v>57</v>
      </c>
      <c r="O971" s="9" t="s">
        <v>221</v>
      </c>
      <c r="P971" s="40" t="s">
        <v>1729</v>
      </c>
      <c r="Q971" s="9" t="s">
        <v>62</v>
      </c>
      <c r="R971" s="9" t="s">
        <v>2119</v>
      </c>
      <c r="S971" s="9" t="s">
        <v>638</v>
      </c>
      <c r="T971" t="str">
        <f t="shared" si="12"/>
        <v>N</v>
      </c>
      <c r="W971" s="12" t="str">
        <f t="array" ref="W971">if(and(L971=0,Q971="NA"),"NA",if(L971=0,"no lice",if(Q971="NA","no collection",index(sea_lice!G:G,match(C971,sea_lice!A:A,0)))))</f>
        <v>BSL7-22</v>
      </c>
      <c r="X971" s="23">
        <v>970.0</v>
      </c>
    </row>
    <row r="972">
      <c r="B972" s="6">
        <v>17636.0</v>
      </c>
      <c r="C972" s="12" t="str">
        <f t="shared" si="11"/>
        <v>U17636</v>
      </c>
      <c r="D972" s="14" t="str">
        <f t="array" ref="D972">iferror(index('2018_ufns'!E:E,match(C972,'2018_ufns'!B:B,0)))</f>
        <v>P1164</v>
      </c>
      <c r="E972" s="14">
        <v>43430.0</v>
      </c>
      <c r="F972" s="40" t="s">
        <v>53</v>
      </c>
      <c r="G972" s="40" t="s">
        <v>54</v>
      </c>
      <c r="H972" s="9">
        <v>11.6</v>
      </c>
      <c r="I972" s="13">
        <v>103.0</v>
      </c>
      <c r="J972" s="13">
        <v>108.0</v>
      </c>
      <c r="K972" s="17">
        <f t="shared" si="10"/>
        <v>0.9208453996</v>
      </c>
      <c r="L972" s="9">
        <v>1.0</v>
      </c>
      <c r="M972" s="9" t="s">
        <v>57</v>
      </c>
      <c r="O972" s="9" t="s">
        <v>221</v>
      </c>
      <c r="P972" s="40" t="s">
        <v>1729</v>
      </c>
      <c r="Q972" s="9" t="s">
        <v>62</v>
      </c>
      <c r="R972" s="9" t="s">
        <v>2119</v>
      </c>
      <c r="S972" s="9" t="s">
        <v>638</v>
      </c>
      <c r="T972" t="str">
        <f t="shared" si="12"/>
        <v>N</v>
      </c>
      <c r="W972" s="12" t="str">
        <f t="array" ref="W972">if(and(L972=0,Q972="NA"),"NA",if(L972=0,"no lice",if(Q972="NA","no collection",index(sea_lice!G:G,match(C972,sea_lice!A:A,0)))))</f>
        <v>BSL7-23</v>
      </c>
      <c r="X972" s="23">
        <v>971.0</v>
      </c>
    </row>
    <row r="973">
      <c r="B973" s="6">
        <v>17637.0</v>
      </c>
      <c r="C973" s="12" t="str">
        <f t="shared" si="11"/>
        <v>U17637</v>
      </c>
      <c r="D973" s="14" t="str">
        <f t="array" ref="D973">iferror(index('2018_ufns'!E:E,match(C973,'2018_ufns'!B:B,0)))</f>
        <v>P1164</v>
      </c>
      <c r="E973" s="14">
        <v>43430.0</v>
      </c>
      <c r="F973" s="40" t="s">
        <v>53</v>
      </c>
      <c r="G973" s="40" t="s">
        <v>54</v>
      </c>
      <c r="H973" s="9">
        <v>19.2</v>
      </c>
      <c r="I973" s="13">
        <v>117.0</v>
      </c>
      <c r="J973" s="13">
        <v>122.0</v>
      </c>
      <c r="K973" s="17">
        <f t="shared" si="10"/>
        <v>1.057357224</v>
      </c>
      <c r="L973" s="9">
        <v>2.0</v>
      </c>
      <c r="M973" s="9" t="s">
        <v>57</v>
      </c>
      <c r="O973" s="9" t="s">
        <v>221</v>
      </c>
      <c r="P973" s="40" t="s">
        <v>1729</v>
      </c>
      <c r="Q973" s="9" t="s">
        <v>62</v>
      </c>
      <c r="R973" s="9" t="s">
        <v>2119</v>
      </c>
      <c r="S973" s="9" t="s">
        <v>638</v>
      </c>
      <c r="T973" t="str">
        <f t="shared" si="12"/>
        <v>N</v>
      </c>
      <c r="W973" s="12" t="str">
        <f t="array" ref="W973">if(and(L973=0,Q973="NA"),"NA",if(L973=0,"no lice",if(Q973="NA","no collection",index(sea_lice!G:G,match(C973,sea_lice!A:A,0)))))</f>
        <v>BSL7-24</v>
      </c>
      <c r="X973" s="23">
        <v>972.0</v>
      </c>
    </row>
    <row r="974">
      <c r="B974" s="6">
        <v>17638.0</v>
      </c>
      <c r="C974" s="12" t="str">
        <f t="shared" si="11"/>
        <v>U17638</v>
      </c>
      <c r="D974" s="14" t="str">
        <f t="array" ref="D974">iferror(index('2018_ufns'!E:E,match(C974,'2018_ufns'!B:B,0)))</f>
        <v>P1164</v>
      </c>
      <c r="E974" s="14">
        <v>43430.0</v>
      </c>
      <c r="F974" s="40" t="s">
        <v>53</v>
      </c>
      <c r="G974" s="40" t="s">
        <v>54</v>
      </c>
      <c r="H974" s="9">
        <v>11.3</v>
      </c>
      <c r="I974" s="13">
        <v>103.0</v>
      </c>
      <c r="J974" s="13">
        <v>108.0</v>
      </c>
      <c r="K974" s="17">
        <f t="shared" si="10"/>
        <v>0.8970304324</v>
      </c>
      <c r="L974" s="9">
        <v>1.0</v>
      </c>
      <c r="M974" s="9" t="s">
        <v>57</v>
      </c>
      <c r="N974" s="9" t="s">
        <v>2130</v>
      </c>
      <c r="O974" s="9" t="s">
        <v>221</v>
      </c>
      <c r="P974" s="40" t="s">
        <v>1729</v>
      </c>
      <c r="Q974" s="9" t="s">
        <v>62</v>
      </c>
      <c r="R974" s="9" t="s">
        <v>2119</v>
      </c>
      <c r="S974" s="9" t="s">
        <v>638</v>
      </c>
      <c r="T974" t="str">
        <f t="shared" si="12"/>
        <v>N</v>
      </c>
      <c r="W974" s="12" t="str">
        <f t="array" ref="W974">if(and(L974=0,Q974="NA"),"NA",if(L974=0,"no lice",if(Q974="NA","no collection",index(sea_lice!G:G,match(C974,sea_lice!A:A,0)))))</f>
        <v>BSL7-25</v>
      </c>
      <c r="X974" s="23">
        <v>973.0</v>
      </c>
    </row>
    <row r="975">
      <c r="B975" s="6">
        <v>17639.0</v>
      </c>
      <c r="C975" s="12" t="str">
        <f t="shared" si="11"/>
        <v>U17639</v>
      </c>
      <c r="D975" s="14" t="str">
        <f t="array" ref="D975">iferror(index('2018_ufns'!E:E,match(C975,'2018_ufns'!B:B,0)))</f>
        <v>P1164</v>
      </c>
      <c r="E975" s="14">
        <v>43430.0</v>
      </c>
      <c r="F975" s="40" t="s">
        <v>53</v>
      </c>
      <c r="G975" s="40" t="s">
        <v>54</v>
      </c>
      <c r="H975" s="9">
        <v>12.8</v>
      </c>
      <c r="I975" s="13">
        <v>108.0</v>
      </c>
      <c r="J975" s="13">
        <v>113.0</v>
      </c>
      <c r="K975" s="17">
        <f t="shared" si="10"/>
        <v>0.8871042077</v>
      </c>
      <c r="L975" s="9">
        <v>0.0</v>
      </c>
      <c r="M975" s="9" t="s">
        <v>57</v>
      </c>
      <c r="O975" s="9" t="s">
        <v>221</v>
      </c>
      <c r="P975" s="40" t="s">
        <v>1729</v>
      </c>
      <c r="Q975" s="9" t="s">
        <v>62</v>
      </c>
      <c r="R975" s="9" t="s">
        <v>2119</v>
      </c>
      <c r="S975" s="9" t="s">
        <v>638</v>
      </c>
      <c r="T975" t="str">
        <f t="shared" si="12"/>
        <v>N</v>
      </c>
      <c r="W975" s="12" t="str">
        <f t="array" ref="W975">if(and(L975=0,Q975="NA"),"NA",if(L975=0,"no lice",if(Q975="NA","no collection",index(sea_lice!G:G,match(C975,sea_lice!A:A,0)))))</f>
        <v>no lice</v>
      </c>
      <c r="X975" s="23">
        <v>974.0</v>
      </c>
    </row>
    <row r="976">
      <c r="B976" s="6">
        <v>17640.0</v>
      </c>
      <c r="C976" s="12" t="str">
        <f t="shared" si="11"/>
        <v>U17640</v>
      </c>
      <c r="D976" s="14" t="str">
        <f t="array" ref="D976">iferror(index('2018_ufns'!E:E,match(C976,'2018_ufns'!B:B,0)))</f>
        <v>P1164</v>
      </c>
      <c r="E976" s="14">
        <v>43430.0</v>
      </c>
      <c r="F976" s="40" t="s">
        <v>53</v>
      </c>
      <c r="G976" s="40" t="s">
        <v>54</v>
      </c>
      <c r="H976" s="9">
        <v>10.0</v>
      </c>
      <c r="I976" s="13">
        <v>98.0</v>
      </c>
      <c r="J976" s="13">
        <v>103.0</v>
      </c>
      <c r="K976" s="17">
        <f t="shared" si="10"/>
        <v>0.9151416594</v>
      </c>
      <c r="L976" s="9">
        <v>0.0</v>
      </c>
      <c r="M976" s="9" t="s">
        <v>57</v>
      </c>
      <c r="O976" s="9" t="s">
        <v>221</v>
      </c>
      <c r="P976" s="40" t="s">
        <v>1729</v>
      </c>
      <c r="Q976" s="9" t="s">
        <v>62</v>
      </c>
      <c r="R976" s="9" t="s">
        <v>2119</v>
      </c>
      <c r="S976" s="9" t="s">
        <v>638</v>
      </c>
      <c r="T976" t="str">
        <f t="shared" si="12"/>
        <v>N</v>
      </c>
      <c r="W976" s="12" t="str">
        <f t="array" ref="W976">if(and(L976=0,Q976="NA"),"NA",if(L976=0,"no lice",if(Q976="NA","no collection",index(sea_lice!G:G,match(C976,sea_lice!A:A,0)))))</f>
        <v>no lice</v>
      </c>
      <c r="X976" s="23">
        <v>975.0</v>
      </c>
    </row>
    <row r="977">
      <c r="B977" s="6">
        <v>17317.0</v>
      </c>
      <c r="C977" s="12" t="str">
        <f t="shared" si="11"/>
        <v>U17317</v>
      </c>
      <c r="D977" s="14" t="str">
        <f t="array" ref="D977">iferror(index('2018_ufns'!E:E,match(C977,'2018_ufns'!B:B,0)))</f>
        <v>P1132</v>
      </c>
      <c r="E977" s="14">
        <v>43431.0</v>
      </c>
      <c r="F977" s="40" t="s">
        <v>53</v>
      </c>
      <c r="G977" s="40" t="s">
        <v>54</v>
      </c>
      <c r="H977" s="9">
        <v>4.4</v>
      </c>
      <c r="I977" s="13">
        <v>81.0</v>
      </c>
      <c r="J977" s="13">
        <v>85.0</v>
      </c>
      <c r="K977" s="17">
        <f t="shared" si="10"/>
        <v>0.7164665174</v>
      </c>
      <c r="L977" s="9">
        <v>0.0</v>
      </c>
      <c r="M977" s="9" t="s">
        <v>57</v>
      </c>
      <c r="O977" s="9" t="s">
        <v>638</v>
      </c>
      <c r="P977" s="40" t="s">
        <v>1729</v>
      </c>
      <c r="Q977" s="9" t="s">
        <v>62</v>
      </c>
      <c r="R977" s="9" t="s">
        <v>2119</v>
      </c>
      <c r="S977" s="9" t="s">
        <v>64</v>
      </c>
      <c r="T977" t="str">
        <f t="shared" si="12"/>
        <v>N</v>
      </c>
      <c r="W977" s="12" t="str">
        <f t="array" ref="W977">if(and(L977=0,Q977="NA"),"NA",if(L977=0,"no lice",if(Q977="NA","no collection",index(sea_lice!G:G,match(C977,sea_lice!A:A,0)))))</f>
        <v>no lice</v>
      </c>
      <c r="X977" s="23">
        <v>976.0</v>
      </c>
    </row>
    <row r="978">
      <c r="B978" s="6">
        <v>17315.0</v>
      </c>
      <c r="C978" s="12" t="str">
        <f t="shared" si="11"/>
        <v>U17315</v>
      </c>
      <c r="D978" s="14" t="str">
        <f t="array" ref="D978">iferror(index('2018_ufns'!E:E,match(C978,'2018_ufns'!B:B,0)))</f>
        <v>P1132</v>
      </c>
      <c r="E978" s="14">
        <v>43431.0</v>
      </c>
      <c r="F978" s="40" t="s">
        <v>53</v>
      </c>
      <c r="G978" s="40" t="s">
        <v>54</v>
      </c>
      <c r="H978" s="9">
        <v>8.8</v>
      </c>
      <c r="I978" s="13">
        <v>91.0</v>
      </c>
      <c r="J978" s="13">
        <v>95.0</v>
      </c>
      <c r="K978" s="17">
        <f t="shared" si="10"/>
        <v>1.026388686</v>
      </c>
      <c r="L978" s="9">
        <v>0.0</v>
      </c>
      <c r="M978" s="9" t="s">
        <v>57</v>
      </c>
      <c r="O978" s="9" t="s">
        <v>638</v>
      </c>
      <c r="P978" s="40" t="s">
        <v>1729</v>
      </c>
      <c r="Q978" s="9" t="s">
        <v>62</v>
      </c>
      <c r="R978" s="9" t="s">
        <v>2119</v>
      </c>
      <c r="S978" s="9" t="s">
        <v>64</v>
      </c>
      <c r="T978" t="str">
        <f t="shared" si="12"/>
        <v>N</v>
      </c>
      <c r="W978" s="12" t="str">
        <f t="array" ref="W978">if(and(L978=0,Q978="NA"),"NA",if(L978=0,"no lice",if(Q978="NA","no collection",index(sea_lice!G:G,match(C978,sea_lice!A:A,0)))))</f>
        <v>no lice</v>
      </c>
      <c r="X978" s="23">
        <v>977.0</v>
      </c>
    </row>
    <row r="979">
      <c r="B979" s="6">
        <v>17316.0</v>
      </c>
      <c r="C979" s="12" t="str">
        <f t="shared" si="11"/>
        <v>U17316</v>
      </c>
      <c r="D979" s="14" t="str">
        <f t="array" ref="D979">iferror(index('2018_ufns'!E:E,match(C979,'2018_ufns'!B:B,0)))</f>
        <v>P1132</v>
      </c>
      <c r="E979" s="14">
        <v>43431.0</v>
      </c>
      <c r="F979" s="40" t="s">
        <v>53</v>
      </c>
      <c r="G979" s="40" t="s">
        <v>54</v>
      </c>
      <c r="H979" s="9">
        <v>6.5</v>
      </c>
      <c r="I979" s="13">
        <v>86.0</v>
      </c>
      <c r="J979" s="13">
        <v>92.0</v>
      </c>
      <c r="K979" s="17">
        <f t="shared" si="10"/>
        <v>0.8347374045</v>
      </c>
      <c r="L979" s="9">
        <v>0.0</v>
      </c>
      <c r="M979" s="9" t="s">
        <v>57</v>
      </c>
      <c r="O979" s="9" t="s">
        <v>638</v>
      </c>
      <c r="P979" s="40" t="s">
        <v>1729</v>
      </c>
      <c r="Q979" s="9" t="s">
        <v>62</v>
      </c>
      <c r="R979" s="9" t="s">
        <v>2119</v>
      </c>
      <c r="S979" s="9" t="s">
        <v>64</v>
      </c>
      <c r="T979" t="str">
        <f t="shared" si="12"/>
        <v>N</v>
      </c>
      <c r="W979" s="12" t="str">
        <f t="array" ref="W979">if(and(L979=0,Q979="NA"),"NA",if(L979=0,"no lice",if(Q979="NA","no collection",index(sea_lice!G:G,match(C979,sea_lice!A:A,0)))))</f>
        <v>no lice</v>
      </c>
      <c r="X979" s="23">
        <v>978.0</v>
      </c>
    </row>
    <row r="980">
      <c r="B980" s="6">
        <v>17319.0</v>
      </c>
      <c r="C980" s="12" t="str">
        <f t="shared" si="11"/>
        <v>U17319</v>
      </c>
      <c r="D980" s="14" t="str">
        <f t="array" ref="D980">iferror(index('2018_ufns'!E:E,match(C980,'2018_ufns'!B:B,0)))</f>
        <v>P1132</v>
      </c>
      <c r="E980" s="14">
        <v>43431.0</v>
      </c>
      <c r="F980" s="40" t="s">
        <v>53</v>
      </c>
      <c r="G980" s="40" t="s">
        <v>54</v>
      </c>
      <c r="H980" s="9">
        <v>9.3</v>
      </c>
      <c r="I980" s="13">
        <v>102.0</v>
      </c>
      <c r="J980" s="13" t="s">
        <v>63</v>
      </c>
      <c r="K980" s="17" t="str">
        <f t="shared" si="10"/>
        <v/>
      </c>
      <c r="L980" s="9">
        <v>1.0</v>
      </c>
      <c r="M980" s="9" t="s">
        <v>57</v>
      </c>
      <c r="O980" s="9" t="s">
        <v>638</v>
      </c>
      <c r="P980" s="40" t="s">
        <v>1729</v>
      </c>
      <c r="Q980" s="9" t="s">
        <v>62</v>
      </c>
      <c r="R980" s="9" t="s">
        <v>2119</v>
      </c>
      <c r="S980" s="9" t="s">
        <v>64</v>
      </c>
      <c r="T980" t="str">
        <f t="shared" si="12"/>
        <v>N</v>
      </c>
      <c r="W980" s="12" t="str">
        <f t="array" ref="W980">if(and(L980=0,Q980="NA"),"NA",if(L980=0,"no lice",if(Q980="NA","no collection",index(sea_lice!G:G,match(C980,sea_lice!A:A,0)))))</f>
        <v>BSL7-26</v>
      </c>
      <c r="X980" s="23">
        <v>979.0</v>
      </c>
    </row>
    <row r="981">
      <c r="B981" s="6">
        <v>17318.0</v>
      </c>
      <c r="C981" s="12" t="str">
        <f t="shared" si="11"/>
        <v>U17318</v>
      </c>
      <c r="D981" s="14" t="str">
        <f t="array" ref="D981">iferror(index('2018_ufns'!E:E,match(C981,'2018_ufns'!B:B,0)))</f>
        <v>P1132</v>
      </c>
      <c r="E981" s="14">
        <v>43431.0</v>
      </c>
      <c r="F981" s="40" t="s">
        <v>53</v>
      </c>
      <c r="G981" s="40" t="s">
        <v>54</v>
      </c>
      <c r="H981" s="9">
        <v>5.4</v>
      </c>
      <c r="I981" s="13">
        <v>78.0</v>
      </c>
      <c r="J981" s="13">
        <v>83.0</v>
      </c>
      <c r="K981" s="17">
        <f t="shared" si="10"/>
        <v>0.9444076203</v>
      </c>
      <c r="L981" s="9">
        <v>0.0</v>
      </c>
      <c r="M981" s="9" t="s">
        <v>57</v>
      </c>
      <c r="O981" s="9" t="s">
        <v>638</v>
      </c>
      <c r="P981" s="40" t="s">
        <v>1729</v>
      </c>
      <c r="Q981" s="9" t="s">
        <v>62</v>
      </c>
      <c r="R981" s="9" t="s">
        <v>2119</v>
      </c>
      <c r="S981" s="9" t="s">
        <v>64</v>
      </c>
      <c r="T981" t="str">
        <f t="shared" si="12"/>
        <v>N</v>
      </c>
      <c r="W981" s="12" t="str">
        <f t="array" ref="W981">if(and(L981=0,Q981="NA"),"NA",if(L981=0,"no lice",if(Q981="NA","no collection",index(sea_lice!G:G,match(C981,sea_lice!A:A,0)))))</f>
        <v>no lice</v>
      </c>
      <c r="X981" s="23">
        <v>980.0</v>
      </c>
    </row>
    <row r="982">
      <c r="B982" s="6">
        <v>17311.0</v>
      </c>
      <c r="C982" s="12" t="str">
        <f t="shared" si="11"/>
        <v>U17311</v>
      </c>
      <c r="D982" s="14" t="str">
        <f t="array" ref="D982">iferror(index('2018_ufns'!E:E,match(C982,'2018_ufns'!B:B,0)))</f>
        <v>P1132</v>
      </c>
      <c r="E982" s="14">
        <v>43431.0</v>
      </c>
      <c r="F982" s="40" t="s">
        <v>53</v>
      </c>
      <c r="G982" s="40" t="s">
        <v>54</v>
      </c>
      <c r="H982" s="9">
        <v>7.2</v>
      </c>
      <c r="I982" s="13">
        <v>94.0</v>
      </c>
      <c r="J982" s="13">
        <v>98.0</v>
      </c>
      <c r="K982" s="17">
        <f t="shared" si="10"/>
        <v>0.7649873777</v>
      </c>
      <c r="L982" s="9">
        <v>0.0</v>
      </c>
      <c r="M982" s="9" t="s">
        <v>57</v>
      </c>
      <c r="N982" s="9" t="s">
        <v>2131</v>
      </c>
      <c r="O982" s="9" t="s">
        <v>638</v>
      </c>
      <c r="P982" s="40" t="s">
        <v>1729</v>
      </c>
      <c r="Q982" s="9" t="s">
        <v>62</v>
      </c>
      <c r="R982" s="9" t="s">
        <v>2119</v>
      </c>
      <c r="S982" s="9" t="s">
        <v>64</v>
      </c>
      <c r="T982" t="str">
        <f t="shared" si="12"/>
        <v>N</v>
      </c>
      <c r="W982" s="12" t="str">
        <f t="array" ref="W982">if(and(L982=0,Q982="NA"),"NA",if(L982=0,"no lice",if(Q982="NA","no collection",index(sea_lice!G:G,match(C982,sea_lice!A:A,0)))))</f>
        <v>no lice</v>
      </c>
      <c r="X982" s="23">
        <v>981.0</v>
      </c>
    </row>
    <row r="983">
      <c r="B983" s="6">
        <v>17312.0</v>
      </c>
      <c r="C983" s="12" t="str">
        <f t="shared" si="11"/>
        <v>U17312</v>
      </c>
      <c r="D983" s="14" t="str">
        <f t="array" ref="D983">iferror(index('2018_ufns'!E:E,match(C983,'2018_ufns'!B:B,0)))</f>
        <v>P1132</v>
      </c>
      <c r="E983" s="14">
        <v>43431.0</v>
      </c>
      <c r="F983" s="40" t="s">
        <v>53</v>
      </c>
      <c r="G983" s="40" t="s">
        <v>54</v>
      </c>
      <c r="H983" s="9">
        <v>6.5</v>
      </c>
      <c r="I983" s="13">
        <v>85.0</v>
      </c>
      <c r="J983" s="13">
        <v>90.0</v>
      </c>
      <c r="K983" s="17">
        <f t="shared" si="10"/>
        <v>0.8916323731</v>
      </c>
      <c r="L983" s="9">
        <v>0.0</v>
      </c>
      <c r="M983" s="9" t="s">
        <v>57</v>
      </c>
      <c r="O983" s="9" t="s">
        <v>638</v>
      </c>
      <c r="P983" s="40" t="s">
        <v>1729</v>
      </c>
      <c r="Q983" s="9" t="s">
        <v>62</v>
      </c>
      <c r="R983" s="9" t="s">
        <v>2119</v>
      </c>
      <c r="S983" s="9" t="s">
        <v>64</v>
      </c>
      <c r="T983" t="str">
        <f t="shared" si="12"/>
        <v>N</v>
      </c>
      <c r="W983" s="12" t="str">
        <f t="array" ref="W983">if(and(L983=0,Q983="NA"),"NA",if(L983=0,"no lice",if(Q983="NA","no collection",index(sea_lice!G:G,match(C983,sea_lice!A:A,0)))))</f>
        <v>no lice</v>
      </c>
      <c r="X983" s="23">
        <v>982.0</v>
      </c>
    </row>
    <row r="984">
      <c r="B984" s="6">
        <v>17313.0</v>
      </c>
      <c r="C984" s="12" t="str">
        <f t="shared" si="11"/>
        <v>U17313</v>
      </c>
      <c r="D984" s="14" t="str">
        <f t="array" ref="D984">iferror(index('2018_ufns'!E:E,match(C984,'2018_ufns'!B:B,0)))</f>
        <v>P1132</v>
      </c>
      <c r="E984" s="14">
        <v>43431.0</v>
      </c>
      <c r="F984" s="40" t="s">
        <v>53</v>
      </c>
      <c r="G984" s="40" t="s">
        <v>54</v>
      </c>
      <c r="H984" s="9">
        <v>7.2</v>
      </c>
      <c r="I984" s="13">
        <v>91.0</v>
      </c>
      <c r="J984" s="13">
        <v>95.0</v>
      </c>
      <c r="K984" s="17">
        <f t="shared" si="10"/>
        <v>0.8397725616</v>
      </c>
      <c r="L984" s="9">
        <v>0.0</v>
      </c>
      <c r="M984" s="9" t="s">
        <v>57</v>
      </c>
      <c r="O984" s="9" t="s">
        <v>638</v>
      </c>
      <c r="P984" s="40" t="s">
        <v>1729</v>
      </c>
      <c r="Q984" s="9" t="s">
        <v>62</v>
      </c>
      <c r="R984" s="9" t="s">
        <v>2119</v>
      </c>
      <c r="S984" s="9" t="s">
        <v>64</v>
      </c>
      <c r="T984" t="str">
        <f t="shared" si="12"/>
        <v>N</v>
      </c>
      <c r="W984" s="12" t="str">
        <f t="array" ref="W984">if(and(L984=0,Q984="NA"),"NA",if(L984=0,"no lice",if(Q984="NA","no collection",index(sea_lice!G:G,match(C984,sea_lice!A:A,0)))))</f>
        <v>no lice</v>
      </c>
      <c r="X984" s="23">
        <v>983.0</v>
      </c>
    </row>
    <row r="985">
      <c r="B985" s="6">
        <v>17320.0</v>
      </c>
      <c r="C985" s="12" t="str">
        <f t="shared" si="11"/>
        <v>U17320</v>
      </c>
      <c r="D985" s="14" t="str">
        <f t="array" ref="D985">iferror(index('2018_ufns'!E:E,match(C985,'2018_ufns'!B:B,0)))</f>
        <v>P1132</v>
      </c>
      <c r="E985" s="14">
        <v>43431.0</v>
      </c>
      <c r="F985" s="40" t="s">
        <v>53</v>
      </c>
      <c r="G985" s="40" t="s">
        <v>54</v>
      </c>
      <c r="H985" s="9">
        <v>10.6</v>
      </c>
      <c r="I985" s="13">
        <v>103.0</v>
      </c>
      <c r="J985" s="13">
        <v>109.0</v>
      </c>
      <c r="K985" s="17">
        <f t="shared" si="10"/>
        <v>0.8185144889</v>
      </c>
      <c r="L985" s="9">
        <v>0.0</v>
      </c>
      <c r="M985" s="9" t="s">
        <v>57</v>
      </c>
      <c r="O985" s="9" t="s">
        <v>638</v>
      </c>
      <c r="P985" s="40" t="s">
        <v>1729</v>
      </c>
      <c r="Q985" s="9" t="s">
        <v>62</v>
      </c>
      <c r="R985" s="9" t="s">
        <v>2119</v>
      </c>
      <c r="S985" s="9" t="s">
        <v>64</v>
      </c>
      <c r="T985" t="str">
        <f t="shared" si="12"/>
        <v>N</v>
      </c>
      <c r="W985" s="12" t="str">
        <f t="array" ref="W985">if(and(L985=0,Q985="NA"),"NA",if(L985=0,"no lice",if(Q985="NA","no collection",index(sea_lice!G:G,match(C985,sea_lice!A:A,0)))))</f>
        <v>no lice</v>
      </c>
      <c r="X985" s="23">
        <v>984.0</v>
      </c>
    </row>
    <row r="986">
      <c r="B986" s="6">
        <v>17314.0</v>
      </c>
      <c r="C986" s="12" t="str">
        <f t="shared" si="11"/>
        <v>U17314</v>
      </c>
      <c r="D986" s="14" t="str">
        <f t="array" ref="D986">iferror(index('2018_ufns'!E:E,match(C986,'2018_ufns'!B:B,0)))</f>
        <v>P1132</v>
      </c>
      <c r="E986" s="14">
        <v>43431.0</v>
      </c>
      <c r="F986" s="40" t="s">
        <v>53</v>
      </c>
      <c r="G986" s="40" t="s">
        <v>54</v>
      </c>
      <c r="H986" s="9">
        <v>6.3</v>
      </c>
      <c r="I986" s="13">
        <v>88.0</v>
      </c>
      <c r="J986" s="13">
        <v>93.0</v>
      </c>
      <c r="K986" s="17">
        <f t="shared" si="10"/>
        <v>0.7832343101</v>
      </c>
      <c r="L986" s="9">
        <v>0.0</v>
      </c>
      <c r="M986" s="9" t="s">
        <v>57</v>
      </c>
      <c r="O986" s="9" t="s">
        <v>638</v>
      </c>
      <c r="P986" s="40" t="s">
        <v>1729</v>
      </c>
      <c r="Q986" s="9" t="s">
        <v>62</v>
      </c>
      <c r="R986" s="9" t="s">
        <v>2119</v>
      </c>
      <c r="S986" s="9" t="s">
        <v>64</v>
      </c>
      <c r="T986" t="str">
        <f t="shared" si="12"/>
        <v>N</v>
      </c>
      <c r="W986" s="12" t="str">
        <f t="array" ref="W986">if(and(L986=0,Q986="NA"),"NA",if(L986=0,"no lice",if(Q986="NA","no collection",index(sea_lice!G:G,match(C986,sea_lice!A:A,0)))))</f>
        <v>no lice</v>
      </c>
      <c r="X986" s="23">
        <v>985.0</v>
      </c>
    </row>
    <row r="987">
      <c r="B987" s="6">
        <v>16117.0</v>
      </c>
      <c r="C987" s="12" t="str">
        <f t="shared" si="11"/>
        <v>U16117</v>
      </c>
      <c r="D987" s="14" t="str">
        <f t="array" ref="D987">iferror(index('2018_ufns'!E:E,match(C987,'2018_ufns'!B:B,0)))</f>
        <v>P1012</v>
      </c>
      <c r="E987" s="14">
        <v>43431.0</v>
      </c>
      <c r="F987" s="40" t="s">
        <v>53</v>
      </c>
      <c r="G987" s="40" t="s">
        <v>54</v>
      </c>
      <c r="H987" s="9">
        <v>3.9</v>
      </c>
      <c r="I987" s="13">
        <v>71.0</v>
      </c>
      <c r="J987" s="13">
        <v>75.0</v>
      </c>
      <c r="K987" s="17">
        <f t="shared" si="10"/>
        <v>0.9244444444</v>
      </c>
      <c r="L987" s="9">
        <v>0.0</v>
      </c>
      <c r="O987" s="9" t="s">
        <v>638</v>
      </c>
      <c r="P987" s="40" t="s">
        <v>1729</v>
      </c>
      <c r="Q987" s="9" t="s">
        <v>62</v>
      </c>
      <c r="R987" s="9" t="s">
        <v>2119</v>
      </c>
      <c r="S987" s="9" t="s">
        <v>64</v>
      </c>
      <c r="T987" t="str">
        <f t="shared" si="12"/>
        <v>N</v>
      </c>
      <c r="W987" s="12" t="str">
        <f t="array" ref="W987">if(and(L987=0,Q987="NA"),"NA",if(L987=0,"no lice",if(Q987="NA","no collection",index(sea_lice!G:G,match(C987,sea_lice!A:A,0)))))</f>
        <v>no lice</v>
      </c>
      <c r="X987" s="23">
        <v>986.0</v>
      </c>
    </row>
    <row r="988">
      <c r="B988" s="6">
        <v>16114.0</v>
      </c>
      <c r="C988" s="12" t="str">
        <f t="shared" si="11"/>
        <v>U16114</v>
      </c>
      <c r="D988" s="14" t="str">
        <f t="array" ref="D988">iferror(index('2018_ufns'!E:E,match(C988,'2018_ufns'!B:B,0)))</f>
        <v>P1012</v>
      </c>
      <c r="E988" s="14">
        <v>43431.0</v>
      </c>
      <c r="F988" s="40" t="s">
        <v>53</v>
      </c>
      <c r="G988" s="40" t="s">
        <v>54</v>
      </c>
      <c r="H988" s="9">
        <v>15.2</v>
      </c>
      <c r="I988" s="13">
        <v>113.0</v>
      </c>
      <c r="J988" s="13">
        <v>117.0</v>
      </c>
      <c r="K988" s="17">
        <f t="shared" si="10"/>
        <v>0.9490432458</v>
      </c>
      <c r="L988" s="9">
        <v>0.0</v>
      </c>
      <c r="O988" s="9" t="s">
        <v>638</v>
      </c>
      <c r="P988" s="40" t="s">
        <v>1729</v>
      </c>
      <c r="Q988" s="9" t="s">
        <v>62</v>
      </c>
      <c r="R988" s="9" t="s">
        <v>2119</v>
      </c>
      <c r="S988" s="9" t="s">
        <v>64</v>
      </c>
      <c r="T988" t="str">
        <f t="shared" si="12"/>
        <v>N</v>
      </c>
      <c r="W988" s="12" t="str">
        <f t="array" ref="W988">if(and(L988=0,Q988="NA"),"NA",if(L988=0,"no lice",if(Q988="NA","no collection",index(sea_lice!G:G,match(C988,sea_lice!A:A,0)))))</f>
        <v>no lice</v>
      </c>
      <c r="X988" s="23">
        <v>987.0</v>
      </c>
    </row>
    <row r="989">
      <c r="B989" s="6">
        <v>16115.0</v>
      </c>
      <c r="C989" s="12" t="str">
        <f t="shared" si="11"/>
        <v>U16115</v>
      </c>
      <c r="D989" s="14" t="str">
        <f t="array" ref="D989">iferror(index('2018_ufns'!E:E,match(C989,'2018_ufns'!B:B,0)))</f>
        <v>P1012</v>
      </c>
      <c r="E989" s="14">
        <v>43431.0</v>
      </c>
      <c r="F989" s="40" t="s">
        <v>53</v>
      </c>
      <c r="G989" s="40" t="s">
        <v>54</v>
      </c>
      <c r="H989" s="9">
        <v>7.4</v>
      </c>
      <c r="I989" s="13">
        <v>87.0</v>
      </c>
      <c r="J989" s="13">
        <v>91.0</v>
      </c>
      <c r="K989" s="17">
        <f t="shared" si="10"/>
        <v>0.9819910798</v>
      </c>
      <c r="L989" s="9">
        <v>1.0</v>
      </c>
      <c r="O989" s="9" t="s">
        <v>638</v>
      </c>
      <c r="P989" s="40" t="s">
        <v>1729</v>
      </c>
      <c r="Q989" s="9" t="s">
        <v>62</v>
      </c>
      <c r="R989" s="9" t="s">
        <v>2119</v>
      </c>
      <c r="S989" s="9" t="s">
        <v>64</v>
      </c>
      <c r="T989" t="str">
        <f t="shared" si="12"/>
        <v>N</v>
      </c>
      <c r="W989" s="12" t="str">
        <f t="array" ref="W989">if(and(L989=0,Q989="NA"),"NA",if(L989=0,"no lice",if(Q989="NA","no collection",index(sea_lice!G:G,match(C989,sea_lice!A:A,0)))))</f>
        <v>BSL7-27</v>
      </c>
      <c r="X989" s="23">
        <v>988.0</v>
      </c>
    </row>
    <row r="990">
      <c r="B990" s="6">
        <v>16116.0</v>
      </c>
      <c r="C990" s="12" t="str">
        <f t="shared" si="11"/>
        <v>U16116</v>
      </c>
      <c r="D990" s="14" t="str">
        <f t="array" ref="D990">iferror(index('2018_ufns'!E:E,match(C990,'2018_ufns'!B:B,0)))</f>
        <v>P1012</v>
      </c>
      <c r="E990" s="14">
        <v>43431.0</v>
      </c>
      <c r="F990" s="40" t="s">
        <v>53</v>
      </c>
      <c r="G990" s="40" t="s">
        <v>54</v>
      </c>
      <c r="H990" s="9">
        <v>5.2</v>
      </c>
      <c r="I990" s="13">
        <v>79.0</v>
      </c>
      <c r="J990" s="13">
        <v>83.0</v>
      </c>
      <c r="K990" s="17">
        <f t="shared" si="10"/>
        <v>0.9094295603</v>
      </c>
      <c r="L990" s="9">
        <v>0.0</v>
      </c>
      <c r="O990" s="9" t="s">
        <v>638</v>
      </c>
      <c r="P990" s="40" t="s">
        <v>1729</v>
      </c>
      <c r="Q990" s="9" t="s">
        <v>62</v>
      </c>
      <c r="R990" s="9" t="s">
        <v>2119</v>
      </c>
      <c r="S990" s="9" t="s">
        <v>64</v>
      </c>
      <c r="T990" t="str">
        <f t="shared" si="12"/>
        <v>N</v>
      </c>
      <c r="W990" s="12" t="str">
        <f t="array" ref="W990">if(and(L990=0,Q990="NA"),"NA",if(L990=0,"no lice",if(Q990="NA","no collection",index(sea_lice!G:G,match(C990,sea_lice!A:A,0)))))</f>
        <v>no lice</v>
      </c>
      <c r="X990" s="23">
        <v>989.0</v>
      </c>
    </row>
    <row r="991">
      <c r="B991" s="6">
        <v>16118.0</v>
      </c>
      <c r="C991" s="12" t="str">
        <f t="shared" si="11"/>
        <v>U16118</v>
      </c>
      <c r="D991" s="14" t="str">
        <f t="array" ref="D991">iferror(index('2018_ufns'!E:E,match(C991,'2018_ufns'!B:B,0)))</f>
        <v>P1012</v>
      </c>
      <c r="E991" s="14">
        <v>43431.0</v>
      </c>
      <c r="F991" s="40" t="s">
        <v>53</v>
      </c>
      <c r="G991" s="40" t="s">
        <v>54</v>
      </c>
      <c r="H991" s="9">
        <v>9.2</v>
      </c>
      <c r="I991" s="13">
        <v>95.0</v>
      </c>
      <c r="J991" s="13">
        <v>101.0</v>
      </c>
      <c r="K991" s="17">
        <f t="shared" si="10"/>
        <v>0.8929429361</v>
      </c>
      <c r="L991" s="9">
        <v>0.0</v>
      </c>
      <c r="O991" s="9" t="s">
        <v>638</v>
      </c>
      <c r="P991" s="40" t="s">
        <v>1729</v>
      </c>
      <c r="Q991" s="9" t="s">
        <v>62</v>
      </c>
      <c r="R991" s="9" t="s">
        <v>2119</v>
      </c>
      <c r="S991" s="9" t="s">
        <v>64</v>
      </c>
      <c r="T991" t="str">
        <f t="shared" si="12"/>
        <v>N</v>
      </c>
      <c r="W991" s="12" t="str">
        <f t="array" ref="W991">if(and(L991=0,Q991="NA"),"NA",if(L991=0,"no lice",if(Q991="NA","no collection",index(sea_lice!G:G,match(C991,sea_lice!A:A,0)))))</f>
        <v>no lice</v>
      </c>
      <c r="X991" s="23">
        <v>990.0</v>
      </c>
    </row>
    <row r="992">
      <c r="B992" s="6">
        <v>16112.0</v>
      </c>
      <c r="C992" s="12" t="str">
        <f t="shared" si="11"/>
        <v>U16112</v>
      </c>
      <c r="D992" s="14" t="str">
        <f t="array" ref="D992">iferror(index('2018_ufns'!E:E,match(C992,'2018_ufns'!B:B,0)))</f>
        <v>P1012</v>
      </c>
      <c r="E992" s="14">
        <v>43431.0</v>
      </c>
      <c r="F992" s="40" t="s">
        <v>53</v>
      </c>
      <c r="G992" s="40" t="s">
        <v>54</v>
      </c>
      <c r="H992" s="9">
        <v>10.3</v>
      </c>
      <c r="I992" s="13">
        <v>98.0</v>
      </c>
      <c r="J992" s="13">
        <v>103.0</v>
      </c>
      <c r="K992" s="17">
        <f t="shared" si="10"/>
        <v>0.9425959091</v>
      </c>
      <c r="L992" s="9">
        <v>0.0</v>
      </c>
      <c r="O992" s="9" t="s">
        <v>638</v>
      </c>
      <c r="P992" s="40" t="s">
        <v>1729</v>
      </c>
      <c r="Q992" s="9" t="s">
        <v>62</v>
      </c>
      <c r="R992" s="9" t="s">
        <v>2119</v>
      </c>
      <c r="S992" s="9" t="s">
        <v>64</v>
      </c>
      <c r="T992" t="str">
        <f t="shared" si="12"/>
        <v>N</v>
      </c>
      <c r="W992" s="12" t="str">
        <f t="array" ref="W992">if(and(L992=0,Q992="NA"),"NA",if(L992=0,"no lice",if(Q992="NA","no collection",index(sea_lice!G:G,match(C992,sea_lice!A:A,0)))))</f>
        <v>no lice</v>
      </c>
      <c r="X992" s="23">
        <v>991.0</v>
      </c>
    </row>
    <row r="993">
      <c r="B993" s="6">
        <v>16113.0</v>
      </c>
      <c r="C993" s="12" t="str">
        <f t="shared" si="11"/>
        <v>U16113</v>
      </c>
      <c r="D993" s="14" t="str">
        <f t="array" ref="D993">iferror(index('2018_ufns'!E:E,match(C993,'2018_ufns'!B:B,0)))</f>
        <v>P1012</v>
      </c>
      <c r="E993" s="14">
        <v>43432.0</v>
      </c>
      <c r="F993" s="40" t="s">
        <v>53</v>
      </c>
      <c r="G993" s="40" t="s">
        <v>54</v>
      </c>
      <c r="H993" s="9">
        <v>4.5</v>
      </c>
      <c r="I993" s="13">
        <v>76.0</v>
      </c>
      <c r="J993" s="13">
        <v>81.0</v>
      </c>
      <c r="K993" s="17">
        <f t="shared" si="10"/>
        <v>0.8467543904</v>
      </c>
      <c r="L993" s="9">
        <v>0.0</v>
      </c>
      <c r="O993" s="9" t="s">
        <v>638</v>
      </c>
      <c r="P993" s="40" t="s">
        <v>1729</v>
      </c>
      <c r="Q993" s="9" t="s">
        <v>62</v>
      </c>
      <c r="R993" s="9" t="s">
        <v>2119</v>
      </c>
      <c r="S993" s="9" t="s">
        <v>64</v>
      </c>
      <c r="T993" t="str">
        <f t="shared" si="12"/>
        <v>N</v>
      </c>
      <c r="W993" s="12" t="str">
        <f t="array" ref="W993">if(and(L993=0,Q993="NA"),"NA",if(L993=0,"no lice",if(Q993="NA","no collection",index(sea_lice!G:G,match(C993,sea_lice!A:A,0)))))</f>
        <v>no lice</v>
      </c>
      <c r="X993" s="23">
        <v>992.0</v>
      </c>
    </row>
    <row r="994">
      <c r="B994" s="6">
        <v>16111.0</v>
      </c>
      <c r="C994" s="12" t="str">
        <f t="shared" si="11"/>
        <v>U16111</v>
      </c>
      <c r="D994" s="14" t="str">
        <f t="array" ref="D994">iferror(index('2018_ufns'!E:E,match(C994,'2018_ufns'!B:B,0)))</f>
        <v>P1012</v>
      </c>
      <c r="E994" s="14">
        <v>43432.0</v>
      </c>
      <c r="F994" s="40" t="s">
        <v>53</v>
      </c>
      <c r="G994" s="40" t="s">
        <v>54</v>
      </c>
      <c r="H994" s="9">
        <v>6.3</v>
      </c>
      <c r="I994" s="13">
        <v>81.0</v>
      </c>
      <c r="J994" s="13">
        <v>86.0</v>
      </c>
      <c r="K994" s="17">
        <f t="shared" si="10"/>
        <v>0.9904788258</v>
      </c>
      <c r="L994" s="9">
        <v>1.0</v>
      </c>
      <c r="O994" s="9" t="s">
        <v>638</v>
      </c>
      <c r="P994" s="40" t="s">
        <v>1729</v>
      </c>
      <c r="Q994" s="9" t="s">
        <v>62</v>
      </c>
      <c r="R994" s="9" t="s">
        <v>2119</v>
      </c>
      <c r="S994" s="9" t="s">
        <v>64</v>
      </c>
      <c r="T994" t="str">
        <f t="shared" si="12"/>
        <v>N</v>
      </c>
      <c r="W994" s="12" t="str">
        <f t="array" ref="W994">if(and(L994=0,Q994="NA"),"NA",if(L994=0,"no lice",if(Q994="NA","no collection",index(sea_lice!G:G,match(C994,sea_lice!A:A,0)))))</f>
        <v>BSL7-28</v>
      </c>
      <c r="X994" s="23">
        <v>993.0</v>
      </c>
    </row>
    <row r="995">
      <c r="B995" s="6">
        <v>16602.0</v>
      </c>
      <c r="C995" s="12" t="str">
        <f t="shared" si="11"/>
        <v>U16602</v>
      </c>
      <c r="D995" s="14" t="str">
        <f t="array" ref="D995">iferror(index('2018_ufns'!E:E,match(C995,'2018_ufns'!B:B,0)))</f>
        <v>P1061</v>
      </c>
      <c r="E995" s="14">
        <v>43432.0</v>
      </c>
      <c r="F995" s="40" t="s">
        <v>53</v>
      </c>
      <c r="G995" s="40" t="s">
        <v>54</v>
      </c>
      <c r="H995" s="9">
        <v>18.5</v>
      </c>
      <c r="I995" s="13">
        <v>118.0</v>
      </c>
      <c r="J995" s="13">
        <v>123.0</v>
      </c>
      <c r="K995" s="17">
        <f t="shared" si="10"/>
        <v>0.994160249</v>
      </c>
      <c r="L995" s="9">
        <v>0.0</v>
      </c>
      <c r="O995" s="9" t="s">
        <v>638</v>
      </c>
      <c r="P995" s="40" t="s">
        <v>1729</v>
      </c>
      <c r="Q995" s="9" t="s">
        <v>62</v>
      </c>
      <c r="R995" s="9" t="s">
        <v>2119</v>
      </c>
      <c r="S995" s="9" t="s">
        <v>64</v>
      </c>
      <c r="T995" t="str">
        <f t="shared" si="12"/>
        <v>N</v>
      </c>
      <c r="W995" s="12" t="str">
        <f t="array" ref="W995">if(and(L995=0,Q995="NA"),"NA",if(L995=0,"no lice",if(Q995="NA","no collection",index(sea_lice!G:G,match(C995,sea_lice!A:A,0)))))</f>
        <v>no lice</v>
      </c>
      <c r="X995" s="23">
        <v>994.0</v>
      </c>
    </row>
    <row r="996">
      <c r="B996" s="6">
        <v>16610.0</v>
      </c>
      <c r="C996" s="12" t="str">
        <f t="shared" si="11"/>
        <v>U16610</v>
      </c>
      <c r="D996" s="14" t="str">
        <f t="array" ref="D996">iferror(index('2018_ufns'!E:E,match(C996,'2018_ufns'!B:B,0)))</f>
        <v>P1061</v>
      </c>
      <c r="E996" s="14">
        <v>43432.0</v>
      </c>
      <c r="F996" s="40" t="s">
        <v>53</v>
      </c>
      <c r="G996" s="40" t="s">
        <v>54</v>
      </c>
      <c r="H996" s="9">
        <v>14.5</v>
      </c>
      <c r="I996" s="13">
        <v>112.0</v>
      </c>
      <c r="J996" s="13" t="s">
        <v>63</v>
      </c>
      <c r="K996" s="17" t="str">
        <f t="shared" si="10"/>
        <v/>
      </c>
      <c r="L996" s="9">
        <v>0.0</v>
      </c>
      <c r="O996" s="9" t="s">
        <v>638</v>
      </c>
      <c r="P996" s="40" t="s">
        <v>1729</v>
      </c>
      <c r="Q996" s="9" t="s">
        <v>62</v>
      </c>
      <c r="R996" s="9" t="s">
        <v>2119</v>
      </c>
      <c r="S996" s="9" t="s">
        <v>64</v>
      </c>
      <c r="T996" t="str">
        <f t="shared" si="12"/>
        <v>N</v>
      </c>
      <c r="W996" s="12" t="str">
        <f t="array" ref="W996">if(and(L996=0,Q996="NA"),"NA",if(L996=0,"no lice",if(Q996="NA","no collection",index(sea_lice!G:G,match(C996,sea_lice!A:A,0)))))</f>
        <v>no lice</v>
      </c>
      <c r="X996" s="23">
        <v>995.0</v>
      </c>
    </row>
    <row r="997">
      <c r="B997" s="6">
        <v>16608.0</v>
      </c>
      <c r="C997" s="12" t="str">
        <f t="shared" si="11"/>
        <v>U16608</v>
      </c>
      <c r="D997" s="14" t="str">
        <f t="array" ref="D997">iferror(index('2018_ufns'!E:E,match(C997,'2018_ufns'!B:B,0)))</f>
        <v>P1061</v>
      </c>
      <c r="E997" s="14">
        <v>43432.0</v>
      </c>
      <c r="F997" s="40" t="s">
        <v>53</v>
      </c>
      <c r="G997" s="40" t="s">
        <v>54</v>
      </c>
      <c r="H997" s="9">
        <v>19.5</v>
      </c>
      <c r="I997" s="13">
        <v>122.0</v>
      </c>
      <c r="J997" s="13">
        <v>125.0</v>
      </c>
      <c r="K997" s="17">
        <f t="shared" si="10"/>
        <v>0.9984</v>
      </c>
      <c r="L997" s="9">
        <v>0.0</v>
      </c>
      <c r="O997" s="9" t="s">
        <v>638</v>
      </c>
      <c r="P997" s="40" t="s">
        <v>1729</v>
      </c>
      <c r="Q997" s="9" t="s">
        <v>62</v>
      </c>
      <c r="R997" s="9" t="s">
        <v>2119</v>
      </c>
      <c r="S997" s="9" t="s">
        <v>64</v>
      </c>
      <c r="T997" t="str">
        <f t="shared" si="12"/>
        <v>N</v>
      </c>
      <c r="W997" s="12" t="str">
        <f t="array" ref="W997">if(and(L997=0,Q997="NA"),"NA",if(L997=0,"no lice",if(Q997="NA","no collection",index(sea_lice!G:G,match(C997,sea_lice!A:A,0)))))</f>
        <v>no lice</v>
      </c>
      <c r="X997" s="23">
        <v>996.0</v>
      </c>
    </row>
    <row r="998">
      <c r="B998" s="6">
        <v>16601.0</v>
      </c>
      <c r="C998" s="12" t="str">
        <f t="shared" si="11"/>
        <v>U16601</v>
      </c>
      <c r="D998" s="14" t="str">
        <f t="array" ref="D998">iferror(index('2018_ufns'!E:E,match(C998,'2018_ufns'!B:B,0)))</f>
        <v>P1061</v>
      </c>
      <c r="E998" s="14">
        <v>43432.0</v>
      </c>
      <c r="F998" s="40" t="s">
        <v>53</v>
      </c>
      <c r="G998" s="40" t="s">
        <v>54</v>
      </c>
      <c r="H998" s="9">
        <v>19.3</v>
      </c>
      <c r="I998" s="13">
        <v>120.0</v>
      </c>
      <c r="J998" s="13" t="s">
        <v>63</v>
      </c>
      <c r="K998" s="17" t="str">
        <f t="shared" si="10"/>
        <v/>
      </c>
      <c r="L998" s="9">
        <v>0.0</v>
      </c>
      <c r="O998" s="9" t="s">
        <v>638</v>
      </c>
      <c r="P998" s="40" t="s">
        <v>1729</v>
      </c>
      <c r="Q998" s="9" t="s">
        <v>62</v>
      </c>
      <c r="R998" s="9" t="s">
        <v>2119</v>
      </c>
      <c r="S998" s="9" t="s">
        <v>64</v>
      </c>
      <c r="T998" t="str">
        <f t="shared" si="12"/>
        <v>N</v>
      </c>
      <c r="W998" s="12" t="str">
        <f t="array" ref="W998">if(and(L998=0,Q998="NA"),"NA",if(L998=0,"no lice",if(Q998="NA","no collection",index(sea_lice!G:G,match(C998,sea_lice!A:A,0)))))</f>
        <v>no lice</v>
      </c>
      <c r="X998" s="23">
        <v>997.0</v>
      </c>
    </row>
    <row r="999">
      <c r="B999" s="6">
        <v>16605.0</v>
      </c>
      <c r="C999" s="12" t="str">
        <f t="shared" si="11"/>
        <v>U16605</v>
      </c>
      <c r="D999" s="14" t="str">
        <f t="array" ref="D999">iferror(index('2018_ufns'!E:E,match(C999,'2018_ufns'!B:B,0)))</f>
        <v>P1061</v>
      </c>
      <c r="E999" s="14">
        <v>43432.0</v>
      </c>
      <c r="F999" s="40" t="s">
        <v>53</v>
      </c>
      <c r="G999" s="40" t="s">
        <v>54</v>
      </c>
      <c r="H999" s="9">
        <v>15.5</v>
      </c>
      <c r="I999" s="13">
        <v>115.0</v>
      </c>
      <c r="J999" s="13">
        <v>119.0</v>
      </c>
      <c r="K999" s="17">
        <f t="shared" si="10"/>
        <v>0.919794512</v>
      </c>
      <c r="L999" s="9">
        <v>0.0</v>
      </c>
      <c r="O999" s="9" t="s">
        <v>638</v>
      </c>
      <c r="P999" s="40" t="s">
        <v>1729</v>
      </c>
      <c r="Q999" s="9" t="s">
        <v>62</v>
      </c>
      <c r="R999" s="9" t="s">
        <v>2119</v>
      </c>
      <c r="S999" s="9" t="s">
        <v>64</v>
      </c>
      <c r="T999" t="str">
        <f t="shared" si="12"/>
        <v>N</v>
      </c>
      <c r="W999" s="12" t="str">
        <f t="array" ref="W999">if(and(L999=0,Q999="NA"),"NA",if(L999=0,"no lice",if(Q999="NA","no collection",index(sea_lice!G:G,match(C999,sea_lice!A:A,0)))))</f>
        <v>no lice</v>
      </c>
      <c r="X999" s="23">
        <v>998.0</v>
      </c>
    </row>
    <row r="1000">
      <c r="B1000" s="6">
        <v>16604.0</v>
      </c>
      <c r="C1000" s="12" t="str">
        <f t="shared" si="11"/>
        <v>U16604</v>
      </c>
      <c r="D1000" s="14" t="str">
        <f t="array" ref="D1000">iferror(index('2018_ufns'!E:E,match(C1000,'2018_ufns'!B:B,0)))</f>
        <v>P1061</v>
      </c>
      <c r="E1000" s="14">
        <v>43432.0</v>
      </c>
      <c r="F1000" s="40" t="s">
        <v>53</v>
      </c>
      <c r="G1000" s="40" t="s">
        <v>54</v>
      </c>
      <c r="H1000" s="9">
        <v>21.9</v>
      </c>
      <c r="I1000" s="13">
        <v>122.0</v>
      </c>
      <c r="J1000" s="13">
        <v>127.0</v>
      </c>
      <c r="K1000" s="17">
        <f t="shared" si="10"/>
        <v>1.069135997</v>
      </c>
      <c r="L1000" s="9">
        <v>0.0</v>
      </c>
      <c r="O1000" s="9" t="s">
        <v>638</v>
      </c>
      <c r="P1000" s="40" t="s">
        <v>1729</v>
      </c>
      <c r="Q1000" s="9" t="s">
        <v>62</v>
      </c>
      <c r="R1000" s="9" t="s">
        <v>2119</v>
      </c>
      <c r="S1000" s="9" t="s">
        <v>64</v>
      </c>
      <c r="T1000" t="str">
        <f t="shared" si="12"/>
        <v>N</v>
      </c>
      <c r="W1000" s="12" t="str">
        <f t="array" ref="W1000">if(and(L1000=0,Q1000="NA"),"NA",if(L1000=0,"no lice",if(Q1000="NA","no collection",index(sea_lice!G:G,match(C1000,sea_lice!A:A,0)))))</f>
        <v>no lice</v>
      </c>
      <c r="X1000" s="23">
        <v>999.0</v>
      </c>
    </row>
    <row r="1001">
      <c r="B1001" s="6">
        <v>16606.0</v>
      </c>
      <c r="C1001" s="12" t="str">
        <f t="shared" si="11"/>
        <v>U16606</v>
      </c>
      <c r="D1001" s="14" t="str">
        <f t="array" ref="D1001">iferror(index('2018_ufns'!E:E,match(C1001,'2018_ufns'!B:B,0)))</f>
        <v>P1061</v>
      </c>
      <c r="E1001" s="14">
        <v>43432.0</v>
      </c>
      <c r="F1001" s="40" t="s">
        <v>53</v>
      </c>
      <c r="G1001" s="40" t="s">
        <v>54</v>
      </c>
      <c r="H1001" s="9">
        <v>20.9</v>
      </c>
      <c r="I1001" s="13">
        <v>127.0</v>
      </c>
      <c r="J1001" s="13">
        <v>133.0</v>
      </c>
      <c r="K1001" s="17">
        <f t="shared" si="10"/>
        <v>0.8883648434</v>
      </c>
      <c r="L1001" s="9">
        <v>0.0</v>
      </c>
      <c r="O1001" s="9" t="s">
        <v>638</v>
      </c>
      <c r="P1001" s="40" t="s">
        <v>1729</v>
      </c>
      <c r="Q1001" s="9" t="s">
        <v>62</v>
      </c>
      <c r="R1001" s="9" t="s">
        <v>2119</v>
      </c>
      <c r="S1001" s="9" t="s">
        <v>64</v>
      </c>
      <c r="T1001" t="str">
        <f t="shared" si="12"/>
        <v>N</v>
      </c>
      <c r="W1001" s="12" t="str">
        <f t="array" ref="W1001">if(and(L1001=0,Q1001="NA"),"NA",if(L1001=0,"no lice",if(Q1001="NA","no collection",index(sea_lice!G:G,match(C1001,sea_lice!A:A,0)))))</f>
        <v>no lice</v>
      </c>
      <c r="X1001" s="23">
        <v>1000.0</v>
      </c>
    </row>
    <row r="1002">
      <c r="B1002" s="6">
        <v>16603.0</v>
      </c>
      <c r="C1002" s="12" t="str">
        <f t="shared" si="11"/>
        <v>U16603</v>
      </c>
      <c r="D1002" s="14" t="str">
        <f t="array" ref="D1002">iferror(index('2018_ufns'!E:E,match(C1002,'2018_ufns'!B:B,0)))</f>
        <v>P1061</v>
      </c>
      <c r="E1002" s="14">
        <v>43432.0</v>
      </c>
      <c r="F1002" s="40" t="s">
        <v>53</v>
      </c>
      <c r="G1002" s="40" t="s">
        <v>54</v>
      </c>
      <c r="H1002" s="9">
        <v>10.1</v>
      </c>
      <c r="I1002" s="13">
        <v>99.0</v>
      </c>
      <c r="J1002" s="13">
        <v>103.0</v>
      </c>
      <c r="K1002" s="17">
        <f t="shared" si="10"/>
        <v>0.9242930759</v>
      </c>
      <c r="L1002" s="9">
        <v>0.0</v>
      </c>
      <c r="O1002" s="9" t="s">
        <v>638</v>
      </c>
      <c r="P1002" s="40" t="s">
        <v>1729</v>
      </c>
      <c r="Q1002" s="9" t="s">
        <v>62</v>
      </c>
      <c r="R1002" s="9" t="s">
        <v>2119</v>
      </c>
      <c r="S1002" s="9" t="s">
        <v>64</v>
      </c>
      <c r="T1002" t="str">
        <f t="shared" si="12"/>
        <v>N</v>
      </c>
      <c r="W1002" s="12" t="str">
        <f t="array" ref="W1002">if(and(L1002=0,Q1002="NA"),"NA",if(L1002=0,"no lice",if(Q1002="NA","no collection",index(sea_lice!G:G,match(C1002,sea_lice!A:A,0)))))</f>
        <v>no lice</v>
      </c>
      <c r="X1002" s="23">
        <v>1001.0</v>
      </c>
    </row>
    <row r="1003">
      <c r="B1003" s="6">
        <v>16609.0</v>
      </c>
      <c r="C1003" s="12" t="str">
        <f t="shared" si="11"/>
        <v>U16609</v>
      </c>
      <c r="D1003" s="14" t="str">
        <f t="array" ref="D1003">iferror(index('2018_ufns'!E:E,match(C1003,'2018_ufns'!B:B,0)))</f>
        <v>P1061</v>
      </c>
      <c r="E1003" s="14">
        <v>43432.0</v>
      </c>
      <c r="F1003" s="40" t="s">
        <v>53</v>
      </c>
      <c r="G1003" s="40" t="s">
        <v>54</v>
      </c>
      <c r="H1003" s="9">
        <v>19.5</v>
      </c>
      <c r="I1003" s="13">
        <v>119.0</v>
      </c>
      <c r="J1003" s="13">
        <v>124.0</v>
      </c>
      <c r="K1003" s="17">
        <f t="shared" si="10"/>
        <v>1.022750159</v>
      </c>
      <c r="L1003" s="9">
        <v>0.0</v>
      </c>
      <c r="O1003" s="9" t="s">
        <v>638</v>
      </c>
      <c r="P1003" s="40" t="s">
        <v>1729</v>
      </c>
      <c r="Q1003" s="9" t="s">
        <v>62</v>
      </c>
      <c r="R1003" s="9" t="s">
        <v>2119</v>
      </c>
      <c r="S1003" s="9" t="s">
        <v>64</v>
      </c>
      <c r="T1003" t="str">
        <f t="shared" si="12"/>
        <v>N</v>
      </c>
      <c r="W1003" s="12" t="str">
        <f t="array" ref="W1003">if(and(L1003=0,Q1003="NA"),"NA",if(L1003=0,"no lice",if(Q1003="NA","no collection",index(sea_lice!G:G,match(C1003,sea_lice!A:A,0)))))</f>
        <v>no lice</v>
      </c>
      <c r="X1003" s="23">
        <v>1002.0</v>
      </c>
    </row>
    <row r="1004">
      <c r="B1004" s="6">
        <v>16607.0</v>
      </c>
      <c r="C1004" s="12" t="str">
        <f t="shared" si="11"/>
        <v>U16607</v>
      </c>
      <c r="D1004" s="14" t="str">
        <f t="array" ref="D1004">iferror(index('2018_ufns'!E:E,match(C1004,'2018_ufns'!B:B,0)))</f>
        <v>P1061</v>
      </c>
      <c r="E1004" s="14">
        <v>43432.0</v>
      </c>
      <c r="F1004" s="40" t="s">
        <v>53</v>
      </c>
      <c r="G1004" s="40" t="s">
        <v>54</v>
      </c>
      <c r="H1004" s="9">
        <v>22.8</v>
      </c>
      <c r="I1004" s="13">
        <v>125.0</v>
      </c>
      <c r="J1004" s="13">
        <v>131.0</v>
      </c>
      <c r="K1004" s="17">
        <f t="shared" si="10"/>
        <v>1.01419382</v>
      </c>
      <c r="L1004" s="9">
        <v>0.0</v>
      </c>
      <c r="O1004" s="9" t="s">
        <v>638</v>
      </c>
      <c r="P1004" s="40" t="s">
        <v>1729</v>
      </c>
      <c r="Q1004" s="9" t="s">
        <v>62</v>
      </c>
      <c r="R1004" s="9" t="s">
        <v>2119</v>
      </c>
      <c r="S1004" s="9" t="s">
        <v>64</v>
      </c>
      <c r="T1004" t="str">
        <f t="shared" si="12"/>
        <v>N</v>
      </c>
      <c r="W1004" s="12" t="str">
        <f t="array" ref="W1004">if(and(L1004=0,Q1004="NA"),"NA",if(L1004=0,"no lice",if(Q1004="NA","no collection",index(sea_lice!G:G,match(C1004,sea_lice!A:A,0)))))</f>
        <v>no lice</v>
      </c>
      <c r="X1004" s="23">
        <v>1003.0</v>
      </c>
    </row>
    <row r="1005">
      <c r="B1005" s="6">
        <v>16981.0</v>
      </c>
      <c r="C1005" s="12" t="str">
        <f t="shared" si="11"/>
        <v>U16981</v>
      </c>
      <c r="D1005" s="14" t="str">
        <f t="array" ref="D1005">iferror(index('2018_ufns'!E:E,match(C1005,'2018_ufns'!B:B,0)))</f>
        <v>P1099</v>
      </c>
      <c r="E1005" s="14">
        <v>43437.0</v>
      </c>
      <c r="F1005" s="40" t="s">
        <v>53</v>
      </c>
      <c r="G1005" s="40" t="s">
        <v>54</v>
      </c>
      <c r="H1005" s="9">
        <v>17.2</v>
      </c>
      <c r="I1005" s="13">
        <v>117.0</v>
      </c>
      <c r="J1005" s="13">
        <v>120.0</v>
      </c>
      <c r="K1005" s="17">
        <f t="shared" si="10"/>
        <v>0.9953703704</v>
      </c>
      <c r="L1005" s="9">
        <v>2.0</v>
      </c>
      <c r="O1005" s="9" t="s">
        <v>638</v>
      </c>
      <c r="P1005" s="40" t="s">
        <v>1729</v>
      </c>
      <c r="Q1005" s="9" t="s">
        <v>150</v>
      </c>
      <c r="R1005" s="9" t="s">
        <v>2119</v>
      </c>
      <c r="S1005" s="9" t="s">
        <v>64</v>
      </c>
      <c r="T1005" t="str">
        <f t="shared" si="12"/>
        <v>N</v>
      </c>
      <c r="W1005" s="12" t="str">
        <f t="array" ref="W1005">if(and(L1005=0,Q1005="NA"),"NA",if(L1005=0,"no lice",if(Q1005="NA","no collection",index(sea_lice!G:G,match(C1005,sea_lice!A:A,0)))))</f>
        <v>BSL7-29</v>
      </c>
      <c r="X1005" s="23">
        <v>1004.0</v>
      </c>
    </row>
    <row r="1006">
      <c r="B1006" s="6">
        <v>16982.0</v>
      </c>
      <c r="C1006" s="12" t="str">
        <f t="shared" si="11"/>
        <v>U16982</v>
      </c>
      <c r="D1006" s="14" t="str">
        <f t="array" ref="D1006">iferror(index('2018_ufns'!E:E,match(C1006,'2018_ufns'!B:B,0)))</f>
        <v>P1099</v>
      </c>
      <c r="E1006" s="14">
        <v>43437.0</v>
      </c>
      <c r="F1006" s="40" t="s">
        <v>53</v>
      </c>
      <c r="G1006" s="40" t="s">
        <v>54</v>
      </c>
      <c r="H1006" s="9">
        <v>13.0</v>
      </c>
      <c r="I1006" s="13">
        <v>106.0</v>
      </c>
      <c r="J1006" s="13">
        <v>111.0</v>
      </c>
      <c r="K1006" s="17">
        <f t="shared" si="10"/>
        <v>0.9505487957</v>
      </c>
      <c r="L1006" s="9">
        <v>0.0</v>
      </c>
      <c r="O1006" s="9" t="s">
        <v>638</v>
      </c>
      <c r="P1006" s="40" t="s">
        <v>1729</v>
      </c>
      <c r="Q1006" s="9" t="s">
        <v>150</v>
      </c>
      <c r="R1006" s="9" t="s">
        <v>2119</v>
      </c>
      <c r="S1006" s="9" t="s">
        <v>64</v>
      </c>
      <c r="T1006" t="str">
        <f t="shared" si="12"/>
        <v>N</v>
      </c>
      <c r="W1006" s="12" t="str">
        <f t="array" ref="W1006">if(and(L1006=0,Q1006="NA"),"NA",if(L1006=0,"no lice",if(Q1006="NA","no collection",index(sea_lice!G:G,match(C1006,sea_lice!A:A,0)))))</f>
        <v>no lice</v>
      </c>
      <c r="X1006" s="23">
        <v>1005.0</v>
      </c>
    </row>
    <row r="1007">
      <c r="B1007" s="6">
        <v>16983.0</v>
      </c>
      <c r="C1007" s="12" t="str">
        <f t="shared" si="11"/>
        <v>U16983</v>
      </c>
      <c r="D1007" s="14" t="str">
        <f t="array" ref="D1007">iferror(index('2018_ufns'!E:E,match(C1007,'2018_ufns'!B:B,0)))</f>
        <v>P1099</v>
      </c>
      <c r="E1007" s="14">
        <v>43437.0</v>
      </c>
      <c r="F1007" s="40" t="s">
        <v>53</v>
      </c>
      <c r="G1007" s="40" t="s">
        <v>54</v>
      </c>
      <c r="H1007" s="9">
        <v>21.4</v>
      </c>
      <c r="I1007" s="13">
        <v>125.0</v>
      </c>
      <c r="J1007" s="13" t="s">
        <v>63</v>
      </c>
      <c r="K1007" s="17" t="str">
        <f t="shared" si="10"/>
        <v/>
      </c>
      <c r="L1007" s="9">
        <v>1.0</v>
      </c>
      <c r="O1007" s="9" t="s">
        <v>638</v>
      </c>
      <c r="P1007" s="40" t="s">
        <v>1729</v>
      </c>
      <c r="Q1007" s="9" t="s">
        <v>150</v>
      </c>
      <c r="R1007" s="9" t="s">
        <v>2119</v>
      </c>
      <c r="S1007" s="9" t="s">
        <v>64</v>
      </c>
      <c r="T1007" t="str">
        <f t="shared" si="12"/>
        <v>N</v>
      </c>
      <c r="W1007" s="12" t="str">
        <f t="array" ref="W1007">if(and(L1007=0,Q1007="NA"),"NA",if(L1007=0,"no lice",if(Q1007="NA","no collection",index(sea_lice!G:G,match(C1007,sea_lice!A:A,0)))))</f>
        <v>BSL7-30</v>
      </c>
      <c r="X1007" s="23">
        <v>1006.0</v>
      </c>
    </row>
    <row r="1008">
      <c r="B1008" s="6">
        <v>16984.0</v>
      </c>
      <c r="C1008" s="12" t="str">
        <f t="shared" si="11"/>
        <v>U16984</v>
      </c>
      <c r="D1008" s="14" t="str">
        <f t="array" ref="D1008">iferror(index('2018_ufns'!E:E,match(C1008,'2018_ufns'!B:B,0)))</f>
        <v>P1099</v>
      </c>
      <c r="E1008" s="14">
        <v>43437.0</v>
      </c>
      <c r="F1008" s="40" t="s">
        <v>53</v>
      </c>
      <c r="G1008" s="40" t="s">
        <v>54</v>
      </c>
      <c r="H1008" s="9">
        <v>16.9</v>
      </c>
      <c r="I1008" s="13">
        <v>115.0</v>
      </c>
      <c r="J1008" s="13">
        <v>125.0</v>
      </c>
      <c r="K1008" s="17">
        <f t="shared" si="10"/>
        <v>0.86528</v>
      </c>
      <c r="L1008" s="9">
        <v>2.0</v>
      </c>
      <c r="O1008" s="9" t="s">
        <v>638</v>
      </c>
      <c r="P1008" s="40" t="s">
        <v>1729</v>
      </c>
      <c r="Q1008" s="9" t="s">
        <v>150</v>
      </c>
      <c r="R1008" s="9" t="s">
        <v>2119</v>
      </c>
      <c r="S1008" s="9" t="s">
        <v>64</v>
      </c>
      <c r="T1008" t="str">
        <f t="shared" si="12"/>
        <v>N</v>
      </c>
      <c r="W1008" s="12" t="str">
        <f t="array" ref="W1008">if(and(L1008=0,Q1008="NA"),"NA",if(L1008=0,"no lice",if(Q1008="NA","no collection",index(sea_lice!G:G,match(C1008,sea_lice!A:A,0)))))</f>
        <v>BSL7-31</v>
      </c>
      <c r="X1008" s="23">
        <v>1007.0</v>
      </c>
    </row>
    <row r="1009">
      <c r="B1009" s="6">
        <v>16989.0</v>
      </c>
      <c r="C1009" s="12" t="str">
        <f t="shared" si="11"/>
        <v>U16989</v>
      </c>
      <c r="D1009" s="14" t="str">
        <f t="array" ref="D1009">iferror(index('2018_ufns'!E:E,match(C1009,'2018_ufns'!B:B,0)))</f>
        <v>P1099</v>
      </c>
      <c r="E1009" s="14">
        <v>43437.0</v>
      </c>
      <c r="F1009" s="40" t="s">
        <v>53</v>
      </c>
      <c r="G1009" s="40" t="s">
        <v>54</v>
      </c>
      <c r="H1009" s="9">
        <v>12.2</v>
      </c>
      <c r="I1009" s="13">
        <v>102.0</v>
      </c>
      <c r="J1009" s="13">
        <v>107.0</v>
      </c>
      <c r="K1009" s="17">
        <f t="shared" si="10"/>
        <v>0.9958834098</v>
      </c>
      <c r="L1009" s="9">
        <v>0.0</v>
      </c>
      <c r="O1009" s="9" t="s">
        <v>638</v>
      </c>
      <c r="P1009" s="40" t="s">
        <v>1729</v>
      </c>
      <c r="Q1009" s="9" t="s">
        <v>150</v>
      </c>
      <c r="R1009" s="9" t="s">
        <v>2119</v>
      </c>
      <c r="S1009" s="9" t="s">
        <v>64</v>
      </c>
      <c r="T1009" t="str">
        <f t="shared" si="12"/>
        <v>N</v>
      </c>
      <c r="W1009" s="12" t="str">
        <f t="array" ref="W1009">if(and(L1009=0,Q1009="NA"),"NA",if(L1009=0,"no lice",if(Q1009="NA","no collection",index(sea_lice!G:G,match(C1009,sea_lice!A:A,0)))))</f>
        <v>no lice</v>
      </c>
      <c r="X1009" s="23">
        <v>1008.0</v>
      </c>
    </row>
    <row r="1010">
      <c r="B1010" s="6">
        <v>16987.0</v>
      </c>
      <c r="C1010" s="12" t="str">
        <f t="shared" si="11"/>
        <v>U16987</v>
      </c>
      <c r="D1010" s="14" t="str">
        <f t="array" ref="D1010">iferror(index('2018_ufns'!E:E,match(C1010,'2018_ufns'!B:B,0)))</f>
        <v>P1099</v>
      </c>
      <c r="E1010" s="14">
        <v>43437.0</v>
      </c>
      <c r="F1010" s="40" t="s">
        <v>53</v>
      </c>
      <c r="G1010" s="40" t="s">
        <v>54</v>
      </c>
      <c r="H1010" s="9">
        <v>20.8</v>
      </c>
      <c r="I1010" s="13">
        <v>123.0</v>
      </c>
      <c r="J1010" s="13">
        <v>129.0</v>
      </c>
      <c r="K1010" s="17">
        <f t="shared" si="10"/>
        <v>0.9689340189</v>
      </c>
      <c r="L1010" s="9">
        <v>0.0</v>
      </c>
      <c r="O1010" s="9" t="s">
        <v>638</v>
      </c>
      <c r="P1010" s="40" t="s">
        <v>1729</v>
      </c>
      <c r="Q1010" s="9" t="s">
        <v>150</v>
      </c>
      <c r="R1010" s="9" t="s">
        <v>2119</v>
      </c>
      <c r="S1010" s="9" t="s">
        <v>64</v>
      </c>
      <c r="T1010" t="str">
        <f t="shared" si="12"/>
        <v>N</v>
      </c>
      <c r="W1010" s="12" t="str">
        <f t="array" ref="W1010">if(and(L1010=0,Q1010="NA"),"NA",if(L1010=0,"no lice",if(Q1010="NA","no collection",index(sea_lice!G:G,match(C1010,sea_lice!A:A,0)))))</f>
        <v>no lice</v>
      </c>
      <c r="X1010" s="23">
        <v>1009.0</v>
      </c>
    </row>
    <row r="1011">
      <c r="B1011" s="6">
        <v>16986.0</v>
      </c>
      <c r="C1011" s="12" t="str">
        <f t="shared" si="11"/>
        <v>U16986</v>
      </c>
      <c r="D1011" s="14" t="str">
        <f t="array" ref="D1011">iferror(index('2018_ufns'!E:E,match(C1011,'2018_ufns'!B:B,0)))</f>
        <v>P1099</v>
      </c>
      <c r="E1011" s="14">
        <v>43437.0</v>
      </c>
      <c r="F1011" s="40" t="s">
        <v>53</v>
      </c>
      <c r="G1011" s="40" t="s">
        <v>54</v>
      </c>
      <c r="H1011" s="9">
        <v>14.0</v>
      </c>
      <c r="I1011" s="13">
        <v>111.0</v>
      </c>
      <c r="J1011" s="13">
        <v>116.0</v>
      </c>
      <c r="K1011" s="17">
        <f t="shared" si="10"/>
        <v>0.896920743</v>
      </c>
      <c r="L1011" s="9">
        <v>0.0</v>
      </c>
      <c r="O1011" s="9" t="s">
        <v>638</v>
      </c>
      <c r="P1011" s="40" t="s">
        <v>1729</v>
      </c>
      <c r="Q1011" s="9" t="s">
        <v>150</v>
      </c>
      <c r="R1011" s="9" t="s">
        <v>2119</v>
      </c>
      <c r="S1011" s="9" t="s">
        <v>64</v>
      </c>
      <c r="T1011" t="str">
        <f t="shared" si="12"/>
        <v>N</v>
      </c>
      <c r="W1011" s="12" t="str">
        <f t="array" ref="W1011">if(and(L1011=0,Q1011="NA"),"NA",if(L1011=0,"no lice",if(Q1011="NA","no collection",index(sea_lice!G:G,match(C1011,sea_lice!A:A,0)))))</f>
        <v>no lice</v>
      </c>
      <c r="X1011" s="23">
        <v>1010.0</v>
      </c>
    </row>
    <row r="1012">
      <c r="B1012" s="6">
        <v>16990.0</v>
      </c>
      <c r="C1012" s="12" t="str">
        <f t="shared" si="11"/>
        <v>U16990</v>
      </c>
      <c r="D1012" s="14" t="str">
        <f t="array" ref="D1012">iferror(index('2018_ufns'!E:E,match(C1012,'2018_ufns'!B:B,0)))</f>
        <v>P1099</v>
      </c>
      <c r="E1012" s="14">
        <v>43437.0</v>
      </c>
      <c r="F1012" s="40" t="s">
        <v>53</v>
      </c>
      <c r="G1012" s="40" t="s">
        <v>54</v>
      </c>
      <c r="H1012" s="9">
        <v>24.4</v>
      </c>
      <c r="I1012" s="13">
        <v>131.0</v>
      </c>
      <c r="J1012" s="13">
        <v>137.0</v>
      </c>
      <c r="K1012" s="17">
        <f t="shared" si="10"/>
        <v>0.9489167765</v>
      </c>
      <c r="L1012" s="9">
        <v>1.0</v>
      </c>
      <c r="O1012" s="9" t="s">
        <v>638</v>
      </c>
      <c r="P1012" s="40" t="s">
        <v>1729</v>
      </c>
      <c r="Q1012" s="9" t="s">
        <v>150</v>
      </c>
      <c r="R1012" s="9" t="s">
        <v>2119</v>
      </c>
      <c r="S1012" s="9" t="s">
        <v>64</v>
      </c>
      <c r="T1012" t="str">
        <f t="shared" si="12"/>
        <v>N</v>
      </c>
      <c r="W1012" s="12" t="str">
        <f t="array" ref="W1012">if(and(L1012=0,Q1012="NA"),"NA",if(L1012=0,"no lice",if(Q1012="NA","no collection",index(sea_lice!G:G,match(C1012,sea_lice!A:A,0)))))</f>
        <v>BSL7-32</v>
      </c>
      <c r="X1012" s="23">
        <v>1011.0</v>
      </c>
    </row>
    <row r="1013">
      <c r="B1013" s="6">
        <v>16988.0</v>
      </c>
      <c r="C1013" s="12" t="str">
        <f t="shared" si="11"/>
        <v>U16988</v>
      </c>
      <c r="D1013" s="14" t="str">
        <f t="array" ref="D1013">iferror(index('2018_ufns'!E:E,match(C1013,'2018_ufns'!B:B,0)))</f>
        <v>P1099</v>
      </c>
      <c r="E1013" s="14">
        <v>43437.0</v>
      </c>
      <c r="F1013" s="40" t="s">
        <v>53</v>
      </c>
      <c r="G1013" s="40" t="s">
        <v>54</v>
      </c>
      <c r="H1013" s="9">
        <v>14.9</v>
      </c>
      <c r="I1013" s="13">
        <v>115.0</v>
      </c>
      <c r="J1013" s="13">
        <v>119.0</v>
      </c>
      <c r="K1013" s="17">
        <f t="shared" si="10"/>
        <v>0.8841895631</v>
      </c>
      <c r="L1013" s="9">
        <v>1.0</v>
      </c>
      <c r="O1013" s="9" t="s">
        <v>638</v>
      </c>
      <c r="P1013" s="40" t="s">
        <v>1729</v>
      </c>
      <c r="Q1013" s="9" t="s">
        <v>150</v>
      </c>
      <c r="R1013" s="9" t="s">
        <v>2119</v>
      </c>
      <c r="S1013" s="9" t="s">
        <v>64</v>
      </c>
      <c r="T1013" t="str">
        <f t="shared" si="12"/>
        <v>N</v>
      </c>
      <c r="W1013" s="12" t="str">
        <f t="array" ref="W1013">if(and(L1013=0,Q1013="NA"),"NA",if(L1013=0,"no lice",if(Q1013="NA","no collection",index(sea_lice!G:G,match(C1013,sea_lice!A:A,0)))))</f>
        <v>BSL7-33</v>
      </c>
      <c r="X1013" s="23">
        <v>1012.0</v>
      </c>
    </row>
    <row r="1014">
      <c r="B1014" s="6">
        <v>16985.0</v>
      </c>
      <c r="C1014" s="12" t="str">
        <f t="shared" si="11"/>
        <v>U16985</v>
      </c>
      <c r="D1014" s="14" t="str">
        <f t="array" ref="D1014">iferror(index('2018_ufns'!E:E,match(C1014,'2018_ufns'!B:B,0)))</f>
        <v>P1099</v>
      </c>
      <c r="E1014" s="14">
        <v>43437.0</v>
      </c>
      <c r="F1014" s="40" t="s">
        <v>53</v>
      </c>
      <c r="G1014" s="40" t="s">
        <v>54</v>
      </c>
      <c r="H1014" s="9">
        <v>18.3</v>
      </c>
      <c r="I1014" s="13">
        <v>119.0</v>
      </c>
      <c r="J1014" s="13" t="s">
        <v>63</v>
      </c>
      <c r="K1014" s="17" t="str">
        <f t="shared" si="10"/>
        <v/>
      </c>
      <c r="L1014" s="9">
        <v>0.0</v>
      </c>
      <c r="O1014" s="9" t="s">
        <v>638</v>
      </c>
      <c r="P1014" s="40" t="s">
        <v>1729</v>
      </c>
      <c r="Q1014" s="9" t="s">
        <v>150</v>
      </c>
      <c r="R1014" s="9" t="s">
        <v>2119</v>
      </c>
      <c r="S1014" s="9" t="s">
        <v>64</v>
      </c>
      <c r="T1014" t="str">
        <f t="shared" si="12"/>
        <v>N</v>
      </c>
      <c r="W1014" s="12" t="str">
        <f t="array" ref="W1014">if(and(L1014=0,Q1014="NA"),"NA",if(L1014=0,"no lice",if(Q1014="NA","no collection",index(sea_lice!G:G,match(C1014,sea_lice!A:A,0)))))</f>
        <v>no lice</v>
      </c>
      <c r="X1014" s="23">
        <v>1013.0</v>
      </c>
    </row>
    <row r="1015">
      <c r="B1015" s="6">
        <v>16231.0</v>
      </c>
      <c r="C1015" s="12" t="str">
        <f t="shared" si="11"/>
        <v>U16231</v>
      </c>
      <c r="D1015" s="14" t="str">
        <f t="array" ref="D1015">iferror(index('2018_ufns'!E:E,match(C1015,'2018_ufns'!B:B,0)))</f>
        <v>P1024</v>
      </c>
      <c r="E1015" s="14">
        <v>43437.0</v>
      </c>
      <c r="F1015" s="40" t="s">
        <v>53</v>
      </c>
      <c r="G1015" s="40" t="s">
        <v>54</v>
      </c>
      <c r="H1015" s="9">
        <v>9.5</v>
      </c>
      <c r="I1015" s="13">
        <v>94.0</v>
      </c>
      <c r="J1015" s="13" t="s">
        <v>63</v>
      </c>
      <c r="K1015" s="17" t="str">
        <f t="shared" si="10"/>
        <v/>
      </c>
      <c r="L1015" s="9">
        <v>0.0</v>
      </c>
      <c r="O1015" s="9" t="s">
        <v>638</v>
      </c>
      <c r="P1015" s="40" t="s">
        <v>1729</v>
      </c>
      <c r="Q1015" s="9" t="s">
        <v>150</v>
      </c>
      <c r="R1015" s="9" t="s">
        <v>2119</v>
      </c>
      <c r="S1015" s="9" t="s">
        <v>64</v>
      </c>
      <c r="T1015" t="str">
        <f t="shared" si="12"/>
        <v>N</v>
      </c>
      <c r="W1015" s="12" t="str">
        <f t="array" ref="W1015">if(and(L1015=0,Q1015="NA"),"NA",if(L1015=0,"no lice",if(Q1015="NA","no collection",index(sea_lice!G:G,match(C1015,sea_lice!A:A,0)))))</f>
        <v>no lice</v>
      </c>
      <c r="X1015" s="23">
        <v>1014.0</v>
      </c>
    </row>
    <row r="1016">
      <c r="B1016" s="6">
        <v>16232.0</v>
      </c>
      <c r="C1016" s="12" t="str">
        <f t="shared" si="11"/>
        <v>U16232</v>
      </c>
      <c r="D1016" s="14" t="str">
        <f t="array" ref="D1016">iferror(index('2018_ufns'!E:E,match(C1016,'2018_ufns'!B:B,0)))</f>
        <v>P1024</v>
      </c>
      <c r="E1016" s="14">
        <v>43437.0</v>
      </c>
      <c r="F1016" s="40" t="s">
        <v>53</v>
      </c>
      <c r="G1016" s="40" t="s">
        <v>54</v>
      </c>
      <c r="H1016" s="9">
        <v>5.3</v>
      </c>
      <c r="I1016" s="13">
        <v>80.0</v>
      </c>
      <c r="J1016" s="13" t="s">
        <v>63</v>
      </c>
      <c r="K1016" s="17" t="str">
        <f t="shared" si="10"/>
        <v/>
      </c>
      <c r="L1016" s="9">
        <v>0.0</v>
      </c>
      <c r="O1016" s="9" t="s">
        <v>638</v>
      </c>
      <c r="P1016" s="40" t="s">
        <v>1729</v>
      </c>
      <c r="Q1016" s="9" t="s">
        <v>150</v>
      </c>
      <c r="R1016" s="9" t="s">
        <v>2119</v>
      </c>
      <c r="S1016" s="9" t="s">
        <v>64</v>
      </c>
      <c r="T1016" t="str">
        <f t="shared" si="12"/>
        <v>N</v>
      </c>
      <c r="W1016" s="12" t="str">
        <f t="array" ref="W1016">if(and(L1016=0,Q1016="NA"),"NA",if(L1016=0,"no lice",if(Q1016="NA","no collection",index(sea_lice!G:G,match(C1016,sea_lice!A:A,0)))))</f>
        <v>no lice</v>
      </c>
      <c r="X1016" s="23">
        <v>1015.0</v>
      </c>
    </row>
    <row r="1017">
      <c r="B1017" s="6">
        <v>16234.0</v>
      </c>
      <c r="C1017" s="12" t="str">
        <f t="shared" si="11"/>
        <v>U16234</v>
      </c>
      <c r="D1017" s="14" t="str">
        <f t="array" ref="D1017">iferror(index('2018_ufns'!E:E,match(C1017,'2018_ufns'!B:B,0)))</f>
        <v>P1024</v>
      </c>
      <c r="E1017" s="14">
        <v>43437.0</v>
      </c>
      <c r="F1017" s="40" t="s">
        <v>53</v>
      </c>
      <c r="G1017" s="40" t="s">
        <v>54</v>
      </c>
      <c r="H1017" s="9">
        <v>5.0</v>
      </c>
      <c r="I1017" s="13">
        <v>83.0</v>
      </c>
      <c r="J1017" s="13">
        <v>87.0</v>
      </c>
      <c r="K1017" s="17">
        <f t="shared" si="10"/>
        <v>0.7592979835</v>
      </c>
      <c r="L1017" s="9">
        <v>1.0</v>
      </c>
      <c r="O1017" s="9" t="s">
        <v>638</v>
      </c>
      <c r="P1017" s="40" t="s">
        <v>1729</v>
      </c>
      <c r="Q1017" s="9" t="s">
        <v>150</v>
      </c>
      <c r="R1017" s="9" t="s">
        <v>2119</v>
      </c>
      <c r="S1017" s="9" t="s">
        <v>64</v>
      </c>
      <c r="T1017" t="str">
        <f t="shared" si="12"/>
        <v>N</v>
      </c>
      <c r="W1017" s="12" t="str">
        <f t="array" ref="W1017">if(and(L1017=0,Q1017="NA"),"NA",if(L1017=0,"no lice",if(Q1017="NA","no collection",index(sea_lice!G:G,match(C1017,sea_lice!A:A,0)))))</f>
        <v>BSL7-34</v>
      </c>
      <c r="X1017" s="23">
        <v>1016.0</v>
      </c>
    </row>
    <row r="1018">
      <c r="B1018" s="6">
        <v>16233.0</v>
      </c>
      <c r="C1018" s="12" t="str">
        <f t="shared" si="11"/>
        <v>U16233</v>
      </c>
      <c r="D1018" s="14" t="str">
        <f t="array" ref="D1018">iferror(index('2018_ufns'!E:E,match(C1018,'2018_ufns'!B:B,0)))</f>
        <v>P1024</v>
      </c>
      <c r="E1018" s="14">
        <v>43437.0</v>
      </c>
      <c r="F1018" s="40" t="s">
        <v>53</v>
      </c>
      <c r="G1018" s="40" t="s">
        <v>54</v>
      </c>
      <c r="H1018" s="9">
        <v>6.0</v>
      </c>
      <c r="I1018" s="13">
        <v>81.0</v>
      </c>
      <c r="J1018" s="13">
        <v>86.0</v>
      </c>
      <c r="K1018" s="17">
        <f t="shared" si="10"/>
        <v>0.9433131674</v>
      </c>
      <c r="L1018" s="9">
        <v>0.0</v>
      </c>
      <c r="O1018" s="9" t="s">
        <v>638</v>
      </c>
      <c r="P1018" s="40" t="s">
        <v>1729</v>
      </c>
      <c r="Q1018" s="9" t="s">
        <v>150</v>
      </c>
      <c r="R1018" s="9" t="s">
        <v>2119</v>
      </c>
      <c r="S1018" s="9" t="s">
        <v>64</v>
      </c>
      <c r="T1018" t="str">
        <f t="shared" si="12"/>
        <v>N</v>
      </c>
      <c r="W1018" s="12" t="str">
        <f t="array" ref="W1018">if(and(L1018=0,Q1018="NA"),"NA",if(L1018=0,"no lice",if(Q1018="NA","no collection",index(sea_lice!G:G,match(C1018,sea_lice!A:A,0)))))</f>
        <v>no lice</v>
      </c>
      <c r="X1018" s="23">
        <v>1017.0</v>
      </c>
    </row>
    <row r="1019">
      <c r="B1019" s="6">
        <v>16235.0</v>
      </c>
      <c r="C1019" s="12" t="str">
        <f t="shared" si="11"/>
        <v>U16235</v>
      </c>
      <c r="D1019" s="14" t="str">
        <f t="array" ref="D1019">iferror(index('2018_ufns'!E:E,match(C1019,'2018_ufns'!B:B,0)))</f>
        <v>P1024</v>
      </c>
      <c r="E1019" s="14">
        <v>43437.0</v>
      </c>
      <c r="F1019" s="40" t="s">
        <v>53</v>
      </c>
      <c r="G1019" s="40" t="s">
        <v>54</v>
      </c>
      <c r="H1019" s="9">
        <v>4.5</v>
      </c>
      <c r="I1019" s="13">
        <v>77.0</v>
      </c>
      <c r="J1019" s="13" t="s">
        <v>63</v>
      </c>
      <c r="K1019" s="17" t="str">
        <f t="shared" si="10"/>
        <v/>
      </c>
      <c r="L1019" s="9">
        <v>0.0</v>
      </c>
      <c r="O1019" s="9" t="s">
        <v>638</v>
      </c>
      <c r="P1019" s="40" t="s">
        <v>1729</v>
      </c>
      <c r="Q1019" s="9" t="s">
        <v>150</v>
      </c>
      <c r="R1019" s="9" t="s">
        <v>2119</v>
      </c>
      <c r="S1019" s="9" t="s">
        <v>64</v>
      </c>
      <c r="T1019" t="str">
        <f t="shared" si="12"/>
        <v>N</v>
      </c>
      <c r="W1019" s="12" t="str">
        <f t="array" ref="W1019">if(and(L1019=0,Q1019="NA"),"NA",if(L1019=0,"no lice",if(Q1019="NA","no collection",index(sea_lice!G:G,match(C1019,sea_lice!A:A,0)))))</f>
        <v>no lice</v>
      </c>
      <c r="X1019" s="23">
        <v>1018.0</v>
      </c>
    </row>
    <row r="1020">
      <c r="B1020" s="6">
        <v>16236.0</v>
      </c>
      <c r="C1020" s="12" t="str">
        <f t="shared" si="11"/>
        <v>U16236</v>
      </c>
      <c r="D1020" s="14" t="str">
        <f t="array" ref="D1020">iferror(index('2018_ufns'!E:E,match(C1020,'2018_ufns'!B:B,0)))</f>
        <v>P1024</v>
      </c>
      <c r="E1020" s="14">
        <v>43438.0</v>
      </c>
      <c r="F1020" s="40" t="s">
        <v>53</v>
      </c>
      <c r="G1020" s="40" t="s">
        <v>54</v>
      </c>
      <c r="H1020" s="9">
        <v>14.2</v>
      </c>
      <c r="I1020" s="13">
        <v>112.0</v>
      </c>
      <c r="J1020" s="13" t="s">
        <v>63</v>
      </c>
      <c r="K1020" s="17" t="str">
        <f t="shared" si="10"/>
        <v/>
      </c>
      <c r="L1020" s="9">
        <v>0.0</v>
      </c>
      <c r="O1020" s="9" t="s">
        <v>638</v>
      </c>
      <c r="P1020" s="40" t="s">
        <v>1729</v>
      </c>
      <c r="Q1020" s="9" t="s">
        <v>150</v>
      </c>
      <c r="R1020" s="9" t="s">
        <v>2119</v>
      </c>
      <c r="S1020" s="9" t="s">
        <v>64</v>
      </c>
      <c r="T1020" t="str">
        <f t="shared" si="12"/>
        <v>N</v>
      </c>
      <c r="W1020" s="12" t="str">
        <f t="array" ref="W1020">if(and(L1020=0,Q1020="NA"),"NA",if(L1020=0,"no lice",if(Q1020="NA","no collection",index(sea_lice!G:G,match(C1020,sea_lice!A:A,0)))))</f>
        <v>no lice</v>
      </c>
      <c r="X1020" s="23">
        <v>1019.0</v>
      </c>
    </row>
    <row r="1021">
      <c r="B1021" s="6">
        <v>16240.0</v>
      </c>
      <c r="C1021" s="12" t="str">
        <f t="shared" si="11"/>
        <v>U16240</v>
      </c>
      <c r="D1021" s="14" t="str">
        <f t="array" ref="D1021">iferror(index('2018_ufns'!E:E,match(C1021,'2018_ufns'!B:B,0)))</f>
        <v>P1024</v>
      </c>
      <c r="E1021" s="14">
        <v>43438.0</v>
      </c>
      <c r="F1021" s="40" t="s">
        <v>53</v>
      </c>
      <c r="G1021" s="40" t="s">
        <v>54</v>
      </c>
      <c r="H1021" s="9">
        <v>10.0</v>
      </c>
      <c r="I1021" s="13">
        <v>90.0</v>
      </c>
      <c r="J1021" s="13">
        <v>103.0</v>
      </c>
      <c r="K1021" s="17">
        <f t="shared" si="10"/>
        <v>0.9151416594</v>
      </c>
      <c r="L1021" s="9">
        <v>0.0</v>
      </c>
      <c r="O1021" s="9" t="s">
        <v>638</v>
      </c>
      <c r="P1021" s="40" t="s">
        <v>1729</v>
      </c>
      <c r="Q1021" s="9" t="s">
        <v>150</v>
      </c>
      <c r="R1021" s="9" t="s">
        <v>2119</v>
      </c>
      <c r="S1021" s="9" t="s">
        <v>64</v>
      </c>
      <c r="T1021" t="str">
        <f t="shared" si="12"/>
        <v>N</v>
      </c>
      <c r="W1021" s="12" t="str">
        <f t="array" ref="W1021">if(and(L1021=0,Q1021="NA"),"NA",if(L1021=0,"no lice",if(Q1021="NA","no collection",index(sea_lice!G:G,match(C1021,sea_lice!A:A,0)))))</f>
        <v>no lice</v>
      </c>
      <c r="X1021" s="23">
        <v>1020.0</v>
      </c>
    </row>
    <row r="1022">
      <c r="B1022" s="6">
        <v>16238.0</v>
      </c>
      <c r="C1022" s="12" t="str">
        <f t="shared" si="11"/>
        <v>U16238</v>
      </c>
      <c r="D1022" s="14" t="str">
        <f t="array" ref="D1022">iferror(index('2018_ufns'!E:E,match(C1022,'2018_ufns'!B:B,0)))</f>
        <v>P1024</v>
      </c>
      <c r="E1022" s="14">
        <v>43438.0</v>
      </c>
      <c r="F1022" s="40" t="s">
        <v>53</v>
      </c>
      <c r="G1022" s="40" t="s">
        <v>54</v>
      </c>
      <c r="H1022" s="9">
        <v>10.9</v>
      </c>
      <c r="I1022" s="13">
        <v>100.0</v>
      </c>
      <c r="J1022" s="13">
        <v>105.0</v>
      </c>
      <c r="K1022" s="17">
        <f t="shared" si="10"/>
        <v>0.9415829824</v>
      </c>
      <c r="L1022" s="9">
        <v>0.0</v>
      </c>
      <c r="O1022" s="9" t="s">
        <v>638</v>
      </c>
      <c r="P1022" s="40" t="s">
        <v>1729</v>
      </c>
      <c r="Q1022" s="9" t="s">
        <v>150</v>
      </c>
      <c r="R1022" s="9" t="s">
        <v>2119</v>
      </c>
      <c r="S1022" s="9" t="s">
        <v>64</v>
      </c>
      <c r="T1022" t="str">
        <f t="shared" si="12"/>
        <v>N</v>
      </c>
      <c r="W1022" s="12" t="str">
        <f t="array" ref="W1022">if(and(L1022=0,Q1022="NA"),"NA",if(L1022=0,"no lice",if(Q1022="NA","no collection",index(sea_lice!G:G,match(C1022,sea_lice!A:A,0)))))</f>
        <v>no lice</v>
      </c>
      <c r="X1022" s="23">
        <v>1021.0</v>
      </c>
    </row>
    <row r="1023">
      <c r="B1023" s="6">
        <v>16239.0</v>
      </c>
      <c r="C1023" s="12" t="str">
        <f t="shared" si="11"/>
        <v>U16239</v>
      </c>
      <c r="D1023" s="14" t="str">
        <f t="array" ref="D1023">iferror(index('2018_ufns'!E:E,match(C1023,'2018_ufns'!B:B,0)))</f>
        <v>P1024</v>
      </c>
      <c r="E1023" s="14">
        <v>43438.0</v>
      </c>
      <c r="F1023" s="40" t="s">
        <v>53</v>
      </c>
      <c r="G1023" s="40" t="s">
        <v>54</v>
      </c>
      <c r="H1023" s="9">
        <v>5.5</v>
      </c>
      <c r="I1023" s="13">
        <v>82.0</v>
      </c>
      <c r="J1023" s="13" t="s">
        <v>63</v>
      </c>
      <c r="K1023" s="17" t="str">
        <f t="shared" si="10"/>
        <v/>
      </c>
      <c r="L1023" s="9">
        <v>0.0</v>
      </c>
      <c r="O1023" s="9" t="s">
        <v>638</v>
      </c>
      <c r="P1023" s="40" t="s">
        <v>1729</v>
      </c>
      <c r="Q1023" s="9" t="s">
        <v>150</v>
      </c>
      <c r="R1023" s="9" t="s">
        <v>2119</v>
      </c>
      <c r="S1023" s="9" t="s">
        <v>64</v>
      </c>
      <c r="T1023" t="str">
        <f t="shared" si="12"/>
        <v>N</v>
      </c>
      <c r="W1023" s="12" t="str">
        <f t="array" ref="W1023">if(and(L1023=0,Q1023="NA"),"NA",if(L1023=0,"no lice",if(Q1023="NA","no collection",index(sea_lice!G:G,match(C1023,sea_lice!A:A,0)))))</f>
        <v>no lice</v>
      </c>
      <c r="X1023" s="23">
        <v>1022.0</v>
      </c>
    </row>
    <row r="1024">
      <c r="B1024" s="6">
        <v>16237.0</v>
      </c>
      <c r="C1024" s="12" t="str">
        <f t="shared" si="11"/>
        <v>U16237</v>
      </c>
      <c r="D1024" s="14" t="str">
        <f t="array" ref="D1024">iferror(index('2018_ufns'!E:E,match(C1024,'2018_ufns'!B:B,0)))</f>
        <v>P1024</v>
      </c>
      <c r="E1024" s="14">
        <v>43438.0</v>
      </c>
      <c r="F1024" s="40" t="s">
        <v>53</v>
      </c>
      <c r="G1024" s="40" t="s">
        <v>54</v>
      </c>
      <c r="H1024" s="9">
        <v>6.6</v>
      </c>
      <c r="I1024" s="13">
        <v>86.0</v>
      </c>
      <c r="J1024" s="13">
        <v>92.0</v>
      </c>
      <c r="K1024" s="17">
        <f t="shared" si="10"/>
        <v>0.8475795184</v>
      </c>
      <c r="L1024" s="9">
        <v>0.0</v>
      </c>
      <c r="O1024" s="9" t="s">
        <v>638</v>
      </c>
      <c r="P1024" s="40" t="s">
        <v>1729</v>
      </c>
      <c r="Q1024" s="9" t="s">
        <v>150</v>
      </c>
      <c r="R1024" s="9" t="s">
        <v>2119</v>
      </c>
      <c r="S1024" s="9" t="s">
        <v>64</v>
      </c>
      <c r="T1024" t="str">
        <f t="shared" si="12"/>
        <v>N</v>
      </c>
      <c r="W1024" s="12" t="str">
        <f t="array" ref="W1024">if(and(L1024=0,Q1024="NA"),"NA",if(L1024=0,"no lice",if(Q1024="NA","no collection",index(sea_lice!G:G,match(C1024,sea_lice!A:A,0)))))</f>
        <v>no lice</v>
      </c>
      <c r="X1024" s="23">
        <v>1023.0</v>
      </c>
    </row>
    <row r="1025">
      <c r="B1025" s="6">
        <v>16529.0</v>
      </c>
      <c r="C1025" s="12" t="str">
        <f t="shared" si="11"/>
        <v>U16529</v>
      </c>
      <c r="D1025" s="14" t="str">
        <f t="array" ref="D1025">iferror(index('2018_ufns'!E:E,match(C1025,'2018_ufns'!B:B,0)))</f>
        <v>P1053</v>
      </c>
      <c r="E1025" s="14">
        <v>43438.0</v>
      </c>
      <c r="F1025" s="40" t="s">
        <v>53</v>
      </c>
      <c r="G1025" s="40" t="s">
        <v>54</v>
      </c>
      <c r="H1025" s="9">
        <v>15.5</v>
      </c>
      <c r="I1025" s="13">
        <v>111.0</v>
      </c>
      <c r="J1025" s="13">
        <v>117.0</v>
      </c>
      <c r="K1025" s="17">
        <f t="shared" si="10"/>
        <v>0.9677743625</v>
      </c>
      <c r="L1025" s="9">
        <v>0.0</v>
      </c>
      <c r="O1025" s="9" t="s">
        <v>638</v>
      </c>
      <c r="P1025" s="40" t="s">
        <v>1729</v>
      </c>
      <c r="Q1025" s="9" t="s">
        <v>150</v>
      </c>
      <c r="R1025" s="9" t="s">
        <v>2119</v>
      </c>
      <c r="S1025" s="9" t="s">
        <v>64</v>
      </c>
      <c r="T1025" t="str">
        <f t="shared" si="12"/>
        <v>N</v>
      </c>
      <c r="W1025" s="12" t="str">
        <f t="array" ref="W1025">if(and(L1025=0,Q1025="NA"),"NA",if(L1025=0,"no lice",if(Q1025="NA","no collection",index(sea_lice!G:G,match(C1025,sea_lice!A:A,0)))))</f>
        <v>no lice</v>
      </c>
      <c r="X1025" s="23">
        <v>1024.0</v>
      </c>
    </row>
    <row r="1026">
      <c r="B1026" s="6">
        <v>16525.0</v>
      </c>
      <c r="C1026" s="12" t="str">
        <f t="shared" si="11"/>
        <v>U16525</v>
      </c>
      <c r="D1026" s="14" t="str">
        <f t="array" ref="D1026">iferror(index('2018_ufns'!E:E,match(C1026,'2018_ufns'!B:B,0)))</f>
        <v>P1053</v>
      </c>
      <c r="E1026" s="14">
        <v>43438.0</v>
      </c>
      <c r="F1026" s="40" t="s">
        <v>53</v>
      </c>
      <c r="G1026" s="40" t="s">
        <v>54</v>
      </c>
      <c r="H1026" s="9">
        <v>18.6</v>
      </c>
      <c r="I1026" s="13">
        <v>118.0</v>
      </c>
      <c r="J1026" s="13">
        <v>124.0</v>
      </c>
      <c r="K1026" s="17">
        <f t="shared" si="10"/>
        <v>0.9755463059</v>
      </c>
      <c r="L1026" s="9">
        <v>0.0</v>
      </c>
      <c r="O1026" s="9" t="s">
        <v>638</v>
      </c>
      <c r="P1026" s="40" t="s">
        <v>1729</v>
      </c>
      <c r="Q1026" s="9" t="s">
        <v>150</v>
      </c>
      <c r="R1026" s="9" t="s">
        <v>2119</v>
      </c>
      <c r="S1026" s="9" t="s">
        <v>64</v>
      </c>
      <c r="T1026" t="str">
        <f t="shared" si="12"/>
        <v>N</v>
      </c>
      <c r="W1026" s="12" t="str">
        <f t="array" ref="W1026">if(and(L1026=0,Q1026="NA"),"NA",if(L1026=0,"no lice",if(Q1026="NA","no collection",index(sea_lice!G:G,match(C1026,sea_lice!A:A,0)))))</f>
        <v>no lice</v>
      </c>
      <c r="X1026" s="23">
        <v>1025.0</v>
      </c>
    </row>
    <row r="1027">
      <c r="B1027" s="6">
        <v>16528.0</v>
      </c>
      <c r="C1027" s="12" t="str">
        <f t="shared" si="11"/>
        <v>U16528</v>
      </c>
      <c r="D1027" s="14" t="str">
        <f t="array" ref="D1027">iferror(index('2018_ufns'!E:E,match(C1027,'2018_ufns'!B:B,0)))</f>
        <v>P1053</v>
      </c>
      <c r="E1027" s="14">
        <v>43438.0</v>
      </c>
      <c r="F1027" s="40" t="s">
        <v>53</v>
      </c>
      <c r="G1027" s="40" t="s">
        <v>54</v>
      </c>
      <c r="H1027" s="9">
        <v>18.4</v>
      </c>
      <c r="I1027" s="13">
        <v>118.0</v>
      </c>
      <c r="J1027" s="13">
        <v>123.0</v>
      </c>
      <c r="K1027" s="17">
        <f t="shared" si="10"/>
        <v>0.9887864098</v>
      </c>
      <c r="L1027" s="9">
        <v>0.0</v>
      </c>
      <c r="O1027" s="9" t="s">
        <v>638</v>
      </c>
      <c r="P1027" s="40" t="s">
        <v>1729</v>
      </c>
      <c r="Q1027" s="9" t="s">
        <v>150</v>
      </c>
      <c r="R1027" s="9" t="s">
        <v>2119</v>
      </c>
      <c r="S1027" s="9" t="s">
        <v>64</v>
      </c>
      <c r="T1027" t="str">
        <f t="shared" si="12"/>
        <v>N</v>
      </c>
      <c r="W1027" s="12" t="str">
        <f t="array" ref="W1027">if(and(L1027=0,Q1027="NA"),"NA",if(L1027=0,"no lice",if(Q1027="NA","no collection",index(sea_lice!G:G,match(C1027,sea_lice!A:A,0)))))</f>
        <v>no lice</v>
      </c>
      <c r="X1027" s="23">
        <v>1026.0</v>
      </c>
    </row>
    <row r="1028">
      <c r="B1028" s="6">
        <v>16527.0</v>
      </c>
      <c r="C1028" s="12" t="str">
        <f t="shared" si="11"/>
        <v>U16527</v>
      </c>
      <c r="D1028" s="14" t="str">
        <f t="array" ref="D1028">iferror(index('2018_ufns'!E:E,match(C1028,'2018_ufns'!B:B,0)))</f>
        <v>P1053</v>
      </c>
      <c r="E1028" s="14">
        <v>43438.0</v>
      </c>
      <c r="F1028" s="40" t="s">
        <v>53</v>
      </c>
      <c r="G1028" s="40" t="s">
        <v>54</v>
      </c>
      <c r="H1028" s="9">
        <v>15.9</v>
      </c>
      <c r="I1028" s="13">
        <v>114.0</v>
      </c>
      <c r="J1028" s="13">
        <v>119.0</v>
      </c>
      <c r="K1028" s="17">
        <f t="shared" si="10"/>
        <v>0.9435311445</v>
      </c>
      <c r="L1028" s="9">
        <v>0.0</v>
      </c>
      <c r="O1028" s="9" t="s">
        <v>638</v>
      </c>
      <c r="P1028" s="40" t="s">
        <v>1729</v>
      </c>
      <c r="Q1028" s="9" t="s">
        <v>150</v>
      </c>
      <c r="R1028" s="9" t="s">
        <v>2119</v>
      </c>
      <c r="S1028" s="9" t="s">
        <v>64</v>
      </c>
      <c r="T1028" t="str">
        <f t="shared" si="12"/>
        <v>N</v>
      </c>
      <c r="W1028" s="12" t="str">
        <f t="array" ref="W1028">if(and(L1028=0,Q1028="NA"),"NA",if(L1028=0,"no lice",if(Q1028="NA","no collection",index(sea_lice!G:G,match(C1028,sea_lice!A:A,0)))))</f>
        <v>no lice</v>
      </c>
      <c r="X1028" s="23">
        <v>1027.0</v>
      </c>
    </row>
    <row r="1029">
      <c r="B1029" s="6">
        <v>16526.0</v>
      </c>
      <c r="C1029" s="12" t="str">
        <f t="shared" si="11"/>
        <v>U16526</v>
      </c>
      <c r="D1029" s="14" t="str">
        <f t="array" ref="D1029">iferror(index('2018_ufns'!E:E,match(C1029,'2018_ufns'!B:B,0)))</f>
        <v>P1053</v>
      </c>
      <c r="E1029" s="14">
        <v>43438.0</v>
      </c>
      <c r="F1029" s="40" t="s">
        <v>53</v>
      </c>
      <c r="G1029" s="40" t="s">
        <v>54</v>
      </c>
      <c r="H1029" s="9">
        <v>21.3</v>
      </c>
      <c r="I1029" s="13">
        <v>129.0</v>
      </c>
      <c r="J1029" s="13">
        <v>134.0</v>
      </c>
      <c r="K1029" s="17">
        <f t="shared" si="10"/>
        <v>0.8852485179</v>
      </c>
      <c r="L1029" s="9">
        <v>1.0</v>
      </c>
      <c r="O1029" s="9" t="s">
        <v>638</v>
      </c>
      <c r="P1029" s="40" t="s">
        <v>1729</v>
      </c>
      <c r="Q1029" s="9" t="s">
        <v>150</v>
      </c>
      <c r="R1029" s="9" t="s">
        <v>2119</v>
      </c>
      <c r="S1029" s="9" t="s">
        <v>64</v>
      </c>
      <c r="T1029" t="str">
        <f t="shared" si="12"/>
        <v>N</v>
      </c>
      <c r="W1029" s="12" t="str">
        <f t="array" ref="W1029">if(and(L1029=0,Q1029="NA"),"NA",if(L1029=0,"no lice",if(Q1029="NA","no collection",index(sea_lice!G:G,match(C1029,sea_lice!A:A,0)))))</f>
        <v>BSL7-35</v>
      </c>
      <c r="X1029" s="23">
        <v>1028.0</v>
      </c>
    </row>
    <row r="1030">
      <c r="B1030" s="6">
        <v>16523.0</v>
      </c>
      <c r="C1030" s="12" t="str">
        <f t="shared" si="11"/>
        <v>U16523</v>
      </c>
      <c r="D1030" s="14" t="str">
        <f t="array" ref="D1030">iferror(index('2018_ufns'!E:E,match(C1030,'2018_ufns'!B:B,0)))</f>
        <v>P1053</v>
      </c>
      <c r="E1030" s="14">
        <v>43438.0</v>
      </c>
      <c r="F1030" s="40" t="s">
        <v>53</v>
      </c>
      <c r="G1030" s="40" t="s">
        <v>54</v>
      </c>
      <c r="H1030" s="9">
        <v>14.7</v>
      </c>
      <c r="I1030" s="13">
        <v>110.0</v>
      </c>
      <c r="J1030" s="13">
        <v>115.0</v>
      </c>
      <c r="K1030" s="17">
        <f t="shared" si="10"/>
        <v>0.9665488617</v>
      </c>
      <c r="L1030" s="9">
        <v>0.0</v>
      </c>
      <c r="O1030" s="9" t="s">
        <v>638</v>
      </c>
      <c r="P1030" s="40" t="s">
        <v>1729</v>
      </c>
      <c r="Q1030" s="9" t="s">
        <v>150</v>
      </c>
      <c r="R1030" s="9" t="s">
        <v>2119</v>
      </c>
      <c r="S1030" s="9" t="s">
        <v>64</v>
      </c>
      <c r="T1030" t="str">
        <f t="shared" si="12"/>
        <v>N</v>
      </c>
      <c r="W1030" s="12" t="str">
        <f t="array" ref="W1030">if(and(L1030=0,Q1030="NA"),"NA",if(L1030=0,"no lice",if(Q1030="NA","no collection",index(sea_lice!G:G,match(C1030,sea_lice!A:A,0)))))</f>
        <v>no lice</v>
      </c>
      <c r="X1030" s="23">
        <v>1029.0</v>
      </c>
    </row>
    <row r="1031">
      <c r="B1031" s="6">
        <v>16522.0</v>
      </c>
      <c r="C1031" s="12" t="str">
        <f t="shared" si="11"/>
        <v>U16522</v>
      </c>
      <c r="D1031" s="14" t="str">
        <f t="array" ref="D1031">iferror(index('2018_ufns'!E:E,match(C1031,'2018_ufns'!B:B,0)))</f>
        <v>P1053</v>
      </c>
      <c r="E1031" s="14">
        <v>43438.0</v>
      </c>
      <c r="F1031" s="40" t="s">
        <v>53</v>
      </c>
      <c r="G1031" s="40" t="s">
        <v>54</v>
      </c>
      <c r="H1031" s="9">
        <v>14.0</v>
      </c>
      <c r="I1031" s="13">
        <v>112.0</v>
      </c>
      <c r="J1031" s="13">
        <v>118.0</v>
      </c>
      <c r="K1031" s="17">
        <f t="shared" si="10"/>
        <v>0.8520832218</v>
      </c>
      <c r="L1031" s="9">
        <v>0.0</v>
      </c>
      <c r="O1031" s="9" t="s">
        <v>638</v>
      </c>
      <c r="P1031" s="40" t="s">
        <v>1729</v>
      </c>
      <c r="Q1031" s="9" t="s">
        <v>150</v>
      </c>
      <c r="R1031" s="9" t="s">
        <v>2119</v>
      </c>
      <c r="S1031" s="9" t="s">
        <v>64</v>
      </c>
      <c r="T1031" t="str">
        <f t="shared" si="12"/>
        <v>N</v>
      </c>
      <c r="W1031" s="12" t="str">
        <f t="array" ref="W1031">if(and(L1031=0,Q1031="NA"),"NA",if(L1031=0,"no lice",if(Q1031="NA","no collection",index(sea_lice!G:G,match(C1031,sea_lice!A:A,0)))))</f>
        <v>no lice</v>
      </c>
      <c r="X1031" s="23">
        <v>1030.0</v>
      </c>
    </row>
    <row r="1032">
      <c r="B1032" s="6">
        <v>16524.0</v>
      </c>
      <c r="C1032" s="12" t="str">
        <f t="shared" si="11"/>
        <v>U16524</v>
      </c>
      <c r="D1032" s="14" t="str">
        <f t="array" ref="D1032">iferror(index('2018_ufns'!E:E,match(C1032,'2018_ufns'!B:B,0)))</f>
        <v>P1053</v>
      </c>
      <c r="E1032" s="14">
        <v>43438.0</v>
      </c>
      <c r="F1032" s="40" t="s">
        <v>53</v>
      </c>
      <c r="G1032" s="40" t="s">
        <v>54</v>
      </c>
      <c r="H1032" s="9">
        <v>10.3</v>
      </c>
      <c r="I1032" s="13">
        <v>96.0</v>
      </c>
      <c r="J1032" s="13">
        <v>101.0</v>
      </c>
      <c r="K1032" s="17">
        <f t="shared" si="10"/>
        <v>0.9997078524</v>
      </c>
      <c r="L1032" s="9">
        <v>0.0</v>
      </c>
      <c r="O1032" s="9" t="s">
        <v>638</v>
      </c>
      <c r="P1032" s="40" t="s">
        <v>1729</v>
      </c>
      <c r="Q1032" s="9" t="s">
        <v>150</v>
      </c>
      <c r="R1032" s="9" t="s">
        <v>2119</v>
      </c>
      <c r="S1032" s="9" t="s">
        <v>64</v>
      </c>
      <c r="T1032" t="str">
        <f t="shared" si="12"/>
        <v>N</v>
      </c>
      <c r="W1032" s="12" t="str">
        <f t="array" ref="W1032">if(and(L1032=0,Q1032="NA"),"NA",if(L1032=0,"no lice",if(Q1032="NA","no collection",index(sea_lice!G:G,match(C1032,sea_lice!A:A,0)))))</f>
        <v>no lice</v>
      </c>
      <c r="X1032" s="23">
        <v>1031.0</v>
      </c>
    </row>
    <row r="1033">
      <c r="B1033" s="6">
        <v>16530.0</v>
      </c>
      <c r="C1033" s="12" t="str">
        <f t="shared" si="11"/>
        <v>U16530</v>
      </c>
      <c r="D1033" s="14" t="str">
        <f t="array" ref="D1033">iferror(index('2018_ufns'!E:E,match(C1033,'2018_ufns'!B:B,0)))</f>
        <v>P1053</v>
      </c>
      <c r="E1033" s="14">
        <v>43439.0</v>
      </c>
      <c r="F1033" s="40" t="s">
        <v>53</v>
      </c>
      <c r="G1033" s="40" t="s">
        <v>54</v>
      </c>
      <c r="H1033" s="9">
        <v>12.4</v>
      </c>
      <c r="I1033" s="13">
        <v>105.0</v>
      </c>
      <c r="J1033" s="13">
        <v>111.0</v>
      </c>
      <c r="K1033" s="17">
        <f t="shared" si="10"/>
        <v>0.9066773128</v>
      </c>
      <c r="L1033" s="9">
        <v>0.0</v>
      </c>
      <c r="O1033" s="9" t="s">
        <v>638</v>
      </c>
      <c r="P1033" s="40" t="s">
        <v>1729</v>
      </c>
      <c r="Q1033" s="9" t="s">
        <v>150</v>
      </c>
      <c r="R1033" s="9" t="s">
        <v>2119</v>
      </c>
      <c r="S1033" s="9" t="s">
        <v>64</v>
      </c>
      <c r="T1033" t="str">
        <f t="shared" si="12"/>
        <v>N</v>
      </c>
      <c r="W1033" s="12" t="str">
        <f t="array" ref="W1033">if(and(L1033=0,Q1033="NA"),"NA",if(L1033=0,"no lice",if(Q1033="NA","no collection",index(sea_lice!G:G,match(C1033,sea_lice!A:A,0)))))</f>
        <v>no lice</v>
      </c>
      <c r="X1033" s="23">
        <v>1032.0</v>
      </c>
    </row>
    <row r="1034">
      <c r="B1034" s="6">
        <v>16521.0</v>
      </c>
      <c r="C1034" s="12" t="str">
        <f t="shared" si="11"/>
        <v>U16521</v>
      </c>
      <c r="D1034" s="14" t="str">
        <f t="array" ref="D1034">iferror(index('2018_ufns'!E:E,match(C1034,'2018_ufns'!B:B,0)))</f>
        <v>P1053</v>
      </c>
      <c r="E1034" s="14">
        <v>43439.0</v>
      </c>
      <c r="F1034" s="40" t="s">
        <v>53</v>
      </c>
      <c r="G1034" s="40" t="s">
        <v>54</v>
      </c>
      <c r="H1034" s="9">
        <v>11.1</v>
      </c>
      <c r="I1034" s="13">
        <v>104.0</v>
      </c>
      <c r="J1034" s="13">
        <v>110.0</v>
      </c>
      <c r="K1034" s="17">
        <f t="shared" si="10"/>
        <v>0.833959429</v>
      </c>
      <c r="L1034" s="9">
        <v>1.0</v>
      </c>
      <c r="O1034" s="9" t="s">
        <v>638</v>
      </c>
      <c r="P1034" s="40" t="s">
        <v>1729</v>
      </c>
      <c r="Q1034" s="9" t="s">
        <v>150</v>
      </c>
      <c r="R1034" s="9" t="s">
        <v>2119</v>
      </c>
      <c r="S1034" s="9" t="s">
        <v>64</v>
      </c>
      <c r="T1034" t="str">
        <f t="shared" si="12"/>
        <v>N</v>
      </c>
      <c r="W1034" s="12" t="str">
        <f t="array" ref="W1034">if(and(L1034=0,Q1034="NA"),"NA",if(L1034=0,"no lice",if(Q1034="NA","no collection",index(sea_lice!G:G,match(C1034,sea_lice!A:A,0)))))</f>
        <v>BSL7-36</v>
      </c>
      <c r="X1034" s="23">
        <v>1033.0</v>
      </c>
    </row>
    <row r="1035">
      <c r="B1035" s="6">
        <v>16491.0</v>
      </c>
      <c r="C1035" s="12" t="str">
        <f t="shared" si="11"/>
        <v>U16491</v>
      </c>
      <c r="D1035" s="14" t="str">
        <f t="array" ref="D1035">iferror(index('2018_ufns'!E:E,match(C1035,'2018_ufns'!B:B,0)))</f>
        <v>P1050</v>
      </c>
      <c r="E1035" s="14">
        <v>43439.0</v>
      </c>
      <c r="F1035" s="40" t="s">
        <v>53</v>
      </c>
      <c r="G1035" s="40" t="s">
        <v>54</v>
      </c>
      <c r="H1035" s="9">
        <v>12.3</v>
      </c>
      <c r="I1035" s="13">
        <v>104.0</v>
      </c>
      <c r="J1035" s="13">
        <v>109.0</v>
      </c>
      <c r="K1035" s="17">
        <f t="shared" si="10"/>
        <v>0.9497856805</v>
      </c>
      <c r="L1035" s="9">
        <v>1.0</v>
      </c>
      <c r="O1035" s="9" t="s">
        <v>638</v>
      </c>
      <c r="P1035" s="40" t="s">
        <v>1729</v>
      </c>
      <c r="Q1035" s="9" t="s">
        <v>150</v>
      </c>
      <c r="R1035" s="9" t="s">
        <v>2119</v>
      </c>
      <c r="S1035" s="9" t="s">
        <v>64</v>
      </c>
      <c r="T1035" t="str">
        <f t="shared" si="12"/>
        <v>N</v>
      </c>
      <c r="W1035" s="12" t="str">
        <f t="array" ref="W1035">if(and(L1035=0,Q1035="NA"),"NA",if(L1035=0,"no lice",if(Q1035="NA","no collection",index(sea_lice!G:G,match(C1035,sea_lice!A:A,0)))))</f>
        <v>BSL7-37</v>
      </c>
      <c r="X1035" s="23">
        <v>1034.0</v>
      </c>
    </row>
    <row r="1036">
      <c r="B1036" s="6">
        <v>16500.0</v>
      </c>
      <c r="C1036" s="12" t="str">
        <f t="shared" si="11"/>
        <v>U16500</v>
      </c>
      <c r="D1036" s="14" t="str">
        <f t="array" ref="D1036">iferror(index('2018_ufns'!E:E,match(C1036,'2018_ufns'!B:B,0)))</f>
        <v>P1050</v>
      </c>
      <c r="E1036" s="14">
        <v>43439.0</v>
      </c>
      <c r="F1036" s="40" t="s">
        <v>53</v>
      </c>
      <c r="G1036" s="40" t="s">
        <v>54</v>
      </c>
      <c r="H1036" s="9">
        <v>7.0</v>
      </c>
      <c r="I1036" s="13">
        <v>85.0</v>
      </c>
      <c r="J1036" s="13" t="s">
        <v>63</v>
      </c>
      <c r="K1036" s="17" t="str">
        <f t="shared" si="10"/>
        <v/>
      </c>
      <c r="L1036" s="9">
        <v>0.0</v>
      </c>
      <c r="O1036" s="9" t="s">
        <v>638</v>
      </c>
      <c r="P1036" s="40" t="s">
        <v>1729</v>
      </c>
      <c r="Q1036" s="9" t="s">
        <v>150</v>
      </c>
      <c r="R1036" s="9" t="s">
        <v>2119</v>
      </c>
      <c r="S1036" s="9" t="s">
        <v>64</v>
      </c>
      <c r="T1036" t="str">
        <f t="shared" si="12"/>
        <v>N</v>
      </c>
      <c r="W1036" s="12" t="str">
        <f t="array" ref="W1036">if(and(L1036=0,Q1036="NA"),"NA",if(L1036=0,"no lice",if(Q1036="NA","no collection",index(sea_lice!G:G,match(C1036,sea_lice!A:A,0)))))</f>
        <v>no lice</v>
      </c>
      <c r="X1036" s="23">
        <v>1035.0</v>
      </c>
    </row>
    <row r="1037">
      <c r="B1037" s="6">
        <v>16498.0</v>
      </c>
      <c r="C1037" s="12" t="str">
        <f t="shared" si="11"/>
        <v>U16498</v>
      </c>
      <c r="D1037" s="14" t="str">
        <f t="array" ref="D1037">iferror(index('2018_ufns'!E:E,match(C1037,'2018_ufns'!B:B,0)))</f>
        <v>P1050</v>
      </c>
      <c r="E1037" s="14">
        <v>43439.0</v>
      </c>
      <c r="F1037" s="40" t="s">
        <v>53</v>
      </c>
      <c r="G1037" s="40" t="s">
        <v>54</v>
      </c>
      <c r="H1037" s="9">
        <v>6.3</v>
      </c>
      <c r="I1037" s="13">
        <v>86.0</v>
      </c>
      <c r="J1037" s="13">
        <v>89.0</v>
      </c>
      <c r="K1037" s="17">
        <f t="shared" si="10"/>
        <v>0.8936563168</v>
      </c>
      <c r="L1037" s="9">
        <v>0.0</v>
      </c>
      <c r="O1037" s="9" t="s">
        <v>638</v>
      </c>
      <c r="P1037" s="40" t="s">
        <v>1729</v>
      </c>
      <c r="Q1037" s="9" t="s">
        <v>150</v>
      </c>
      <c r="R1037" s="9" t="s">
        <v>2119</v>
      </c>
      <c r="S1037" s="9" t="s">
        <v>64</v>
      </c>
      <c r="T1037" t="str">
        <f t="shared" si="12"/>
        <v>N</v>
      </c>
      <c r="W1037" s="12" t="str">
        <f t="array" ref="W1037">if(and(L1037=0,Q1037="NA"),"NA",if(L1037=0,"no lice",if(Q1037="NA","no collection",index(sea_lice!G:G,match(C1037,sea_lice!A:A,0)))))</f>
        <v>no lice</v>
      </c>
      <c r="X1037" s="23">
        <v>1036.0</v>
      </c>
    </row>
    <row r="1038">
      <c r="B1038" s="6">
        <v>16499.0</v>
      </c>
      <c r="C1038" s="12" t="str">
        <f t="shared" si="11"/>
        <v>U16499</v>
      </c>
      <c r="D1038" s="14" t="str">
        <f t="array" ref="D1038">iferror(index('2018_ufns'!E:E,match(C1038,'2018_ufns'!B:B,0)))</f>
        <v>P1050</v>
      </c>
      <c r="E1038" s="14">
        <v>43439.0</v>
      </c>
      <c r="F1038" s="40" t="s">
        <v>53</v>
      </c>
      <c r="G1038" s="40" t="s">
        <v>54</v>
      </c>
      <c r="H1038" s="9">
        <v>7.7</v>
      </c>
      <c r="I1038" s="13">
        <v>90.0</v>
      </c>
      <c r="J1038" s="13">
        <v>95.0</v>
      </c>
      <c r="K1038" s="17">
        <f t="shared" si="10"/>
        <v>0.8980901006</v>
      </c>
      <c r="L1038" s="9">
        <v>1.0</v>
      </c>
      <c r="O1038" s="9" t="s">
        <v>638</v>
      </c>
      <c r="P1038" s="40" t="s">
        <v>1729</v>
      </c>
      <c r="Q1038" s="9" t="s">
        <v>150</v>
      </c>
      <c r="R1038" s="9" t="s">
        <v>2119</v>
      </c>
      <c r="S1038" s="9" t="s">
        <v>64</v>
      </c>
      <c r="T1038" t="str">
        <f t="shared" si="12"/>
        <v>N</v>
      </c>
      <c r="W1038" s="12" t="str">
        <f t="array" ref="W1038">if(and(L1038=0,Q1038="NA"),"NA",if(L1038=0,"no lice",if(Q1038="NA","no collection",index(sea_lice!G:G,match(C1038,sea_lice!A:A,0)))))</f>
        <v>BSL7-39</v>
      </c>
      <c r="X1038" s="23">
        <v>1037.0</v>
      </c>
    </row>
    <row r="1039">
      <c r="B1039" s="6">
        <v>16496.0</v>
      </c>
      <c r="C1039" s="12" t="str">
        <f t="shared" si="11"/>
        <v>U16496</v>
      </c>
      <c r="D1039" s="14" t="str">
        <f t="array" ref="D1039">iferror(index('2018_ufns'!E:E,match(C1039,'2018_ufns'!B:B,0)))</f>
        <v>P1050</v>
      </c>
      <c r="E1039" s="14">
        <v>43439.0</v>
      </c>
      <c r="F1039" s="40" t="s">
        <v>53</v>
      </c>
      <c r="G1039" s="40" t="s">
        <v>54</v>
      </c>
      <c r="H1039" s="9">
        <v>6.6</v>
      </c>
      <c r="I1039" s="13">
        <v>80.0</v>
      </c>
      <c r="J1039" s="13">
        <v>85.0</v>
      </c>
      <c r="K1039" s="17">
        <f t="shared" si="10"/>
        <v>1.074699776</v>
      </c>
      <c r="L1039" s="9">
        <v>0.0</v>
      </c>
      <c r="O1039" s="9" t="s">
        <v>638</v>
      </c>
      <c r="P1039" s="40" t="s">
        <v>1729</v>
      </c>
      <c r="Q1039" s="9" t="s">
        <v>150</v>
      </c>
      <c r="R1039" s="9" t="s">
        <v>2119</v>
      </c>
      <c r="S1039" s="9" t="s">
        <v>64</v>
      </c>
      <c r="T1039" t="str">
        <f t="shared" si="12"/>
        <v>N</v>
      </c>
      <c r="W1039" s="12" t="str">
        <f t="array" ref="W1039">if(and(L1039=0,Q1039="NA"),"NA",if(L1039=0,"no lice",if(Q1039="NA","no collection",index(sea_lice!G:G,match(C1039,sea_lice!A:A,0)))))</f>
        <v>no lice</v>
      </c>
      <c r="X1039" s="23">
        <v>1038.0</v>
      </c>
    </row>
    <row r="1040">
      <c r="A1040" s="9" t="s">
        <v>2134</v>
      </c>
      <c r="B1040" s="6">
        <v>5450.0</v>
      </c>
      <c r="C1040" s="12" t="str">
        <f t="shared" si="11"/>
        <v>U5450</v>
      </c>
      <c r="D1040" s="13" t="s">
        <v>2135</v>
      </c>
      <c r="E1040" s="14">
        <v>43439.0</v>
      </c>
      <c r="F1040" s="40" t="s">
        <v>53</v>
      </c>
      <c r="G1040" s="40" t="s">
        <v>54</v>
      </c>
      <c r="H1040" s="9">
        <v>23.5</v>
      </c>
      <c r="I1040" s="13">
        <v>123.0</v>
      </c>
      <c r="J1040" s="13">
        <v>128.0</v>
      </c>
      <c r="K1040" s="17">
        <f t="shared" si="10"/>
        <v>1.120567322</v>
      </c>
      <c r="L1040" s="9">
        <v>2.0</v>
      </c>
      <c r="O1040" s="9" t="s">
        <v>64</v>
      </c>
      <c r="P1040" s="9" t="s">
        <v>60</v>
      </c>
      <c r="Q1040" s="9" t="s">
        <v>150</v>
      </c>
      <c r="R1040" s="9" t="s">
        <v>63</v>
      </c>
      <c r="S1040" s="9" t="s">
        <v>638</v>
      </c>
      <c r="T1040" t="str">
        <f t="shared" si="12"/>
        <v>N</v>
      </c>
      <c r="W1040" s="12" t="str">
        <f t="array" ref="W1040">if(and(L1040=0,Q1040="NA"),"NA",if(L1040=0,"no lice",if(Q1040="NA","no collection",index(sea_lice!G:G,match(C1040,sea_lice!A:A,0)))))</f>
        <v>BSL7-38</v>
      </c>
      <c r="X1040" s="23">
        <v>1039.0</v>
      </c>
    </row>
    <row r="1041">
      <c r="A1041" s="9" t="s">
        <v>2136</v>
      </c>
      <c r="B1041" s="6">
        <v>5451.0</v>
      </c>
      <c r="C1041" s="12" t="str">
        <f t="shared" si="11"/>
        <v>U5451</v>
      </c>
      <c r="D1041" s="13" t="s">
        <v>2135</v>
      </c>
      <c r="E1041" s="14">
        <v>43439.0</v>
      </c>
      <c r="F1041" s="40" t="s">
        <v>53</v>
      </c>
      <c r="G1041" s="40" t="s">
        <v>54</v>
      </c>
      <c r="H1041" s="9">
        <v>18.0</v>
      </c>
      <c r="I1041" s="13">
        <v>120.0</v>
      </c>
      <c r="J1041" s="13">
        <v>124.0</v>
      </c>
      <c r="K1041" s="17">
        <f t="shared" si="10"/>
        <v>0.9440770703</v>
      </c>
      <c r="L1041" s="9">
        <v>1.0</v>
      </c>
      <c r="O1041" s="9" t="s">
        <v>64</v>
      </c>
      <c r="P1041" s="9" t="s">
        <v>60</v>
      </c>
      <c r="Q1041" s="9" t="s">
        <v>150</v>
      </c>
      <c r="R1041" s="9" t="s">
        <v>63</v>
      </c>
      <c r="S1041" s="9" t="s">
        <v>638</v>
      </c>
      <c r="T1041" t="str">
        <f t="shared" si="12"/>
        <v>N</v>
      </c>
      <c r="W1041" s="12" t="str">
        <f t="array" ref="W1041">if(and(L1041=0,Q1041="NA"),"NA",if(L1041=0,"no lice",if(Q1041="NA","no collection",index(sea_lice!G:G,match(C1041,sea_lice!A:A,0)))))</f>
        <v>BSL7-40</v>
      </c>
      <c r="X1041" s="23">
        <v>1040.0</v>
      </c>
    </row>
    <row r="1042">
      <c r="A1042" s="9" t="s">
        <v>2137</v>
      </c>
      <c r="B1042" s="6">
        <v>5452.0</v>
      </c>
      <c r="C1042" s="12" t="str">
        <f t="shared" si="11"/>
        <v>U5452</v>
      </c>
      <c r="D1042" s="13" t="s">
        <v>2135</v>
      </c>
      <c r="E1042" s="14">
        <v>43440.0</v>
      </c>
      <c r="F1042" s="40" t="s">
        <v>53</v>
      </c>
      <c r="G1042" s="40" t="s">
        <v>54</v>
      </c>
      <c r="H1042" s="9">
        <v>20.5</v>
      </c>
      <c r="I1042" s="13">
        <v>122.0</v>
      </c>
      <c r="J1042" s="13">
        <v>127.0</v>
      </c>
      <c r="K1042" s="17">
        <f t="shared" si="10"/>
        <v>1.000789403</v>
      </c>
      <c r="L1042" s="9">
        <v>0.0</v>
      </c>
      <c r="O1042" s="9" t="s">
        <v>64</v>
      </c>
      <c r="P1042" s="9" t="s">
        <v>60</v>
      </c>
      <c r="Q1042" s="9" t="s">
        <v>150</v>
      </c>
      <c r="R1042" s="9" t="s">
        <v>63</v>
      </c>
      <c r="S1042" s="9" t="s">
        <v>638</v>
      </c>
      <c r="T1042" t="str">
        <f t="shared" si="12"/>
        <v>N</v>
      </c>
      <c r="W1042" s="12" t="str">
        <f t="array" ref="W1042">if(and(L1042=0,Q1042="NA"),"NA",if(L1042=0,"no lice",if(Q1042="NA","no collection",index(sea_lice!G:G,match(C1042,sea_lice!A:A,0)))))</f>
        <v>no lice</v>
      </c>
      <c r="X1042" s="23">
        <v>1041.0</v>
      </c>
    </row>
    <row r="1043">
      <c r="A1043" s="9" t="s">
        <v>2138</v>
      </c>
      <c r="B1043" s="6">
        <v>5453.0</v>
      </c>
      <c r="C1043" s="12" t="str">
        <f t="shared" si="11"/>
        <v>U5453</v>
      </c>
      <c r="D1043" s="13" t="s">
        <v>2135</v>
      </c>
      <c r="E1043" s="14">
        <v>43440.0</v>
      </c>
      <c r="F1043" s="40" t="s">
        <v>53</v>
      </c>
      <c r="G1043" s="40" t="s">
        <v>54</v>
      </c>
      <c r="H1043" s="9">
        <v>27.6</v>
      </c>
      <c r="I1043" s="13">
        <v>131.0</v>
      </c>
      <c r="J1043" s="13">
        <v>136.0</v>
      </c>
      <c r="K1043" s="17">
        <f t="shared" si="10"/>
        <v>1.097216568</v>
      </c>
      <c r="L1043" s="9">
        <v>1.0</v>
      </c>
      <c r="O1043" s="9" t="s">
        <v>64</v>
      </c>
      <c r="P1043" s="9" t="s">
        <v>60</v>
      </c>
      <c r="Q1043" s="9" t="s">
        <v>150</v>
      </c>
      <c r="R1043" s="9" t="s">
        <v>63</v>
      </c>
      <c r="S1043" s="9" t="s">
        <v>638</v>
      </c>
      <c r="T1043" t="str">
        <f t="shared" si="12"/>
        <v>N</v>
      </c>
      <c r="W1043" s="12" t="str">
        <f t="array" ref="W1043">if(and(L1043=0,Q1043="NA"),"NA",if(L1043=0,"no lice",if(Q1043="NA","no collection",index(sea_lice!G:G,match(C1043,sea_lice!A:A,0)))))</f>
        <v>BSL7-41</v>
      </c>
      <c r="X1043" s="23">
        <v>1042.0</v>
      </c>
    </row>
    <row r="1044">
      <c r="A1044" s="9" t="s">
        <v>2139</v>
      </c>
      <c r="B1044" s="6">
        <v>5454.0</v>
      </c>
      <c r="C1044" s="12" t="str">
        <f t="shared" si="11"/>
        <v>U5454</v>
      </c>
      <c r="D1044" s="13" t="s">
        <v>2135</v>
      </c>
      <c r="E1044" s="14">
        <v>43440.0</v>
      </c>
      <c r="F1044" s="40" t="s">
        <v>53</v>
      </c>
      <c r="G1044" s="40" t="s">
        <v>54</v>
      </c>
      <c r="H1044" s="9">
        <v>22.6</v>
      </c>
      <c r="I1044" s="13">
        <v>121.0</v>
      </c>
      <c r="J1044" s="13" t="s">
        <v>63</v>
      </c>
      <c r="K1044" s="17" t="str">
        <f t="shared" si="10"/>
        <v/>
      </c>
      <c r="L1044" s="9">
        <v>0.0</v>
      </c>
      <c r="O1044" s="9" t="s">
        <v>64</v>
      </c>
      <c r="P1044" s="9" t="s">
        <v>60</v>
      </c>
      <c r="Q1044" s="9" t="s">
        <v>150</v>
      </c>
      <c r="R1044" s="9" t="s">
        <v>63</v>
      </c>
      <c r="S1044" s="9" t="s">
        <v>638</v>
      </c>
      <c r="T1044" t="str">
        <f t="shared" si="12"/>
        <v>N</v>
      </c>
      <c r="W1044" s="12" t="str">
        <f t="array" ref="W1044">if(and(L1044=0,Q1044="NA"),"NA",if(L1044=0,"no lice",if(Q1044="NA","no collection",index(sea_lice!G:G,match(C1044,sea_lice!A:A,0)))))</f>
        <v>no lice</v>
      </c>
      <c r="X1044" s="23">
        <v>1043.0</v>
      </c>
    </row>
    <row r="1045">
      <c r="A1045" s="9" t="s">
        <v>2140</v>
      </c>
      <c r="B1045" s="6">
        <v>5455.0</v>
      </c>
      <c r="C1045" s="12" t="str">
        <f t="shared" si="11"/>
        <v>U5455</v>
      </c>
      <c r="D1045" s="13" t="s">
        <v>2135</v>
      </c>
      <c r="E1045" s="14">
        <v>43440.0</v>
      </c>
      <c r="F1045" s="40" t="s">
        <v>53</v>
      </c>
      <c r="G1045" s="40" t="s">
        <v>54</v>
      </c>
      <c r="H1045" s="9">
        <v>24.3</v>
      </c>
      <c r="I1045" s="13">
        <v>131.0</v>
      </c>
      <c r="J1045" s="13">
        <v>136.0</v>
      </c>
      <c r="K1045" s="17">
        <f t="shared" si="10"/>
        <v>0.9660276308</v>
      </c>
      <c r="L1045" s="9">
        <v>0.0</v>
      </c>
      <c r="O1045" s="9" t="s">
        <v>64</v>
      </c>
      <c r="P1045" s="9" t="s">
        <v>60</v>
      </c>
      <c r="Q1045" s="9" t="s">
        <v>150</v>
      </c>
      <c r="R1045" s="9" t="s">
        <v>63</v>
      </c>
      <c r="S1045" s="9" t="s">
        <v>638</v>
      </c>
      <c r="T1045" t="str">
        <f t="shared" si="12"/>
        <v>N</v>
      </c>
      <c r="W1045" s="12" t="str">
        <f t="array" ref="W1045">if(and(L1045=0,Q1045="NA"),"NA",if(L1045=0,"no lice",if(Q1045="NA","no collection",index(sea_lice!G:G,match(C1045,sea_lice!A:A,0)))))</f>
        <v>no lice</v>
      </c>
      <c r="X1045" s="23">
        <v>1044.0</v>
      </c>
    </row>
    <row r="1046">
      <c r="A1046" s="9" t="s">
        <v>2141</v>
      </c>
      <c r="B1046" s="6">
        <v>5456.0</v>
      </c>
      <c r="C1046" s="12" t="str">
        <f t="shared" si="11"/>
        <v>U5456</v>
      </c>
      <c r="D1046" s="13" t="s">
        <v>2135</v>
      </c>
      <c r="E1046" s="14">
        <v>43440.0</v>
      </c>
      <c r="F1046" s="40" t="s">
        <v>53</v>
      </c>
      <c r="G1046" s="40" t="s">
        <v>54</v>
      </c>
      <c r="H1046" s="9">
        <v>20.3</v>
      </c>
      <c r="I1046" s="13">
        <v>124.0</v>
      </c>
      <c r="J1046" s="13">
        <v>130.0</v>
      </c>
      <c r="K1046" s="17">
        <f t="shared" si="10"/>
        <v>0.9239872553</v>
      </c>
      <c r="L1046" s="9">
        <v>1.0</v>
      </c>
      <c r="O1046" s="9" t="s">
        <v>64</v>
      </c>
      <c r="P1046" s="9" t="s">
        <v>60</v>
      </c>
      <c r="Q1046" s="9" t="s">
        <v>150</v>
      </c>
      <c r="R1046" s="9" t="s">
        <v>63</v>
      </c>
      <c r="S1046" s="9" t="s">
        <v>638</v>
      </c>
      <c r="T1046" t="str">
        <f t="shared" si="12"/>
        <v>N</v>
      </c>
      <c r="W1046" s="12" t="str">
        <f t="array" ref="W1046">if(and(L1046=0,Q1046="NA"),"NA",if(L1046=0,"no lice",if(Q1046="NA","no collection",index(sea_lice!G:G,match(C1046,sea_lice!A:A,0)))))</f>
        <v>BSL7-42</v>
      </c>
      <c r="X1046" s="23">
        <v>1045.0</v>
      </c>
    </row>
    <row r="1047">
      <c r="A1047" s="9" t="s">
        <v>2142</v>
      </c>
      <c r="B1047" s="6">
        <v>5457.0</v>
      </c>
      <c r="C1047" s="12" t="str">
        <f t="shared" si="11"/>
        <v>U5457</v>
      </c>
      <c r="D1047" s="13" t="s">
        <v>2135</v>
      </c>
      <c r="E1047" s="14">
        <v>43440.0</v>
      </c>
      <c r="F1047" s="40" t="s">
        <v>53</v>
      </c>
      <c r="G1047" s="40" t="s">
        <v>54</v>
      </c>
      <c r="H1047" s="9">
        <v>23.7</v>
      </c>
      <c r="I1047" s="13">
        <v>120.0</v>
      </c>
      <c r="J1047" s="13">
        <v>125.0</v>
      </c>
      <c r="K1047" s="17">
        <f t="shared" si="10"/>
        <v>1.21344</v>
      </c>
      <c r="L1047" s="9">
        <v>0.0</v>
      </c>
      <c r="O1047" s="9" t="s">
        <v>64</v>
      </c>
      <c r="P1047" s="9" t="s">
        <v>60</v>
      </c>
      <c r="Q1047" s="9" t="s">
        <v>150</v>
      </c>
      <c r="R1047" s="9" t="s">
        <v>63</v>
      </c>
      <c r="S1047" s="9" t="s">
        <v>638</v>
      </c>
      <c r="T1047" t="str">
        <f t="shared" si="12"/>
        <v>N</v>
      </c>
      <c r="W1047" s="12" t="str">
        <f t="array" ref="W1047">if(and(L1047=0,Q1047="NA"),"NA",if(L1047=0,"no lice",if(Q1047="NA","no collection",index(sea_lice!G:G,match(C1047,sea_lice!A:A,0)))))</f>
        <v>no lice</v>
      </c>
      <c r="X1047" s="23">
        <v>1046.0</v>
      </c>
    </row>
    <row r="1048">
      <c r="A1048" s="9" t="s">
        <v>2143</v>
      </c>
      <c r="B1048" s="6">
        <v>5458.0</v>
      </c>
      <c r="C1048" s="12" t="str">
        <f t="shared" si="11"/>
        <v>U5458</v>
      </c>
      <c r="D1048" s="13" t="s">
        <v>2135</v>
      </c>
      <c r="E1048" s="14">
        <v>43440.0</v>
      </c>
      <c r="F1048" s="40" t="s">
        <v>53</v>
      </c>
      <c r="G1048" s="40" t="s">
        <v>54</v>
      </c>
      <c r="H1048" s="9">
        <v>16.4</v>
      </c>
      <c r="I1048" s="13">
        <v>115.0</v>
      </c>
      <c r="J1048" s="13">
        <v>120.0</v>
      </c>
      <c r="K1048" s="17">
        <f t="shared" si="10"/>
        <v>0.9490740741</v>
      </c>
      <c r="L1048" s="9">
        <v>1.0</v>
      </c>
      <c r="O1048" s="9" t="s">
        <v>64</v>
      </c>
      <c r="P1048" s="9" t="s">
        <v>60</v>
      </c>
      <c r="Q1048" s="9" t="s">
        <v>150</v>
      </c>
      <c r="R1048" s="9" t="s">
        <v>63</v>
      </c>
      <c r="S1048" s="9" t="s">
        <v>638</v>
      </c>
      <c r="T1048" t="str">
        <f t="shared" si="12"/>
        <v>N</v>
      </c>
      <c r="W1048" s="12" t="str">
        <f t="array" ref="W1048">if(and(L1048=0,Q1048="NA"),"NA",if(L1048=0,"no lice",if(Q1048="NA","no collection",index(sea_lice!G:G,match(C1048,sea_lice!A:A,0)))))</f>
        <v>BSL7-43</v>
      </c>
      <c r="X1048" s="23">
        <v>1047.0</v>
      </c>
    </row>
    <row r="1049">
      <c r="A1049" s="9" t="s">
        <v>2144</v>
      </c>
      <c r="B1049" s="6">
        <v>5459.0</v>
      </c>
      <c r="C1049" s="12" t="str">
        <f t="shared" si="11"/>
        <v>U5459</v>
      </c>
      <c r="D1049" s="13" t="s">
        <v>2135</v>
      </c>
      <c r="E1049" s="14">
        <v>43440.0</v>
      </c>
      <c r="F1049" s="40" t="s">
        <v>53</v>
      </c>
      <c r="G1049" s="40" t="s">
        <v>54</v>
      </c>
      <c r="H1049" s="9">
        <v>18.5</v>
      </c>
      <c r="I1049" s="13">
        <v>115.0</v>
      </c>
      <c r="J1049" s="13">
        <v>120.0</v>
      </c>
      <c r="K1049" s="17">
        <f t="shared" si="10"/>
        <v>1.070601852</v>
      </c>
      <c r="L1049" s="9">
        <v>0.0</v>
      </c>
      <c r="O1049" s="9" t="s">
        <v>64</v>
      </c>
      <c r="P1049" s="9" t="s">
        <v>60</v>
      </c>
      <c r="Q1049" s="9" t="s">
        <v>150</v>
      </c>
      <c r="R1049" s="9" t="s">
        <v>63</v>
      </c>
      <c r="S1049" s="9" t="s">
        <v>638</v>
      </c>
      <c r="T1049" t="str">
        <f t="shared" si="12"/>
        <v>N</v>
      </c>
      <c r="W1049" s="12" t="str">
        <f t="array" ref="W1049">if(and(L1049=0,Q1049="NA"),"NA",if(L1049=0,"no lice",if(Q1049="NA","no collection",index(sea_lice!G:G,match(C1049,sea_lice!A:A,0)))))</f>
        <v>no lice</v>
      </c>
      <c r="X1049" s="23">
        <v>1048.0</v>
      </c>
    </row>
    <row r="1050">
      <c r="A1050" s="9" t="s">
        <v>2145</v>
      </c>
      <c r="B1050" s="6">
        <v>5460.0</v>
      </c>
      <c r="C1050" s="12" t="str">
        <f t="shared" si="11"/>
        <v>U5460</v>
      </c>
      <c r="D1050" s="13" t="s">
        <v>2146</v>
      </c>
      <c r="E1050" s="14">
        <v>43440.0</v>
      </c>
      <c r="F1050" s="40" t="s">
        <v>53</v>
      </c>
      <c r="G1050" s="40" t="s">
        <v>54</v>
      </c>
      <c r="H1050" s="9">
        <v>16.7</v>
      </c>
      <c r="I1050" s="13">
        <v>112.0</v>
      </c>
      <c r="J1050" s="13">
        <v>116.0</v>
      </c>
      <c r="K1050" s="17">
        <f t="shared" si="10"/>
        <v>1.069898315</v>
      </c>
      <c r="L1050" s="9">
        <v>0.0</v>
      </c>
      <c r="O1050" s="9" t="s">
        <v>64</v>
      </c>
      <c r="P1050" s="9" t="s">
        <v>60</v>
      </c>
      <c r="Q1050" s="9" t="s">
        <v>150</v>
      </c>
      <c r="R1050" s="9" t="s">
        <v>63</v>
      </c>
      <c r="S1050" s="9" t="s">
        <v>638</v>
      </c>
      <c r="T1050" t="str">
        <f t="shared" si="12"/>
        <v>N</v>
      </c>
      <c r="W1050" s="12" t="str">
        <f t="array" ref="W1050">if(and(L1050=0,Q1050="NA"),"NA",if(L1050=0,"no lice",if(Q1050="NA","no collection",index(sea_lice!G:G,match(C1050,sea_lice!A:A,0)))))</f>
        <v>no lice</v>
      </c>
      <c r="X1050" s="23">
        <v>1049.0</v>
      </c>
    </row>
    <row r="1051">
      <c r="A1051" s="9" t="s">
        <v>2147</v>
      </c>
      <c r="B1051" s="6">
        <v>5461.0</v>
      </c>
      <c r="C1051" s="12" t="str">
        <f t="shared" si="11"/>
        <v>U5461</v>
      </c>
      <c r="D1051" s="13" t="s">
        <v>2146</v>
      </c>
      <c r="E1051" s="14">
        <v>43440.0</v>
      </c>
      <c r="F1051" s="40" t="s">
        <v>53</v>
      </c>
      <c r="G1051" s="40" t="s">
        <v>54</v>
      </c>
      <c r="H1051" s="9">
        <v>19.4</v>
      </c>
      <c r="I1051" s="13">
        <v>115.0</v>
      </c>
      <c r="J1051" s="13">
        <v>120.0</v>
      </c>
      <c r="K1051" s="17">
        <f t="shared" si="10"/>
        <v>1.122685185</v>
      </c>
      <c r="L1051" s="9">
        <v>0.0</v>
      </c>
      <c r="O1051" s="9" t="s">
        <v>64</v>
      </c>
      <c r="P1051" s="9" t="s">
        <v>60</v>
      </c>
      <c r="Q1051" s="9" t="s">
        <v>150</v>
      </c>
      <c r="R1051" s="9" t="s">
        <v>63</v>
      </c>
      <c r="S1051" s="9" t="s">
        <v>638</v>
      </c>
      <c r="T1051" t="str">
        <f t="shared" si="12"/>
        <v>N</v>
      </c>
      <c r="W1051" s="12" t="str">
        <f t="array" ref="W1051">if(and(L1051=0,Q1051="NA"),"NA",if(L1051=0,"no lice",if(Q1051="NA","no collection",index(sea_lice!G:G,match(C1051,sea_lice!A:A,0)))))</f>
        <v>no lice</v>
      </c>
      <c r="X1051" s="23">
        <v>1050.0</v>
      </c>
    </row>
    <row r="1052">
      <c r="B1052" s="6">
        <v>16495.0</v>
      </c>
      <c r="C1052" s="12" t="str">
        <f t="shared" si="11"/>
        <v>U16495</v>
      </c>
      <c r="D1052" s="14" t="str">
        <f t="array" ref="D1052">iferror(index('2018_ufns'!E:E,match(C1052,'2018_ufns'!B:B,0)))</f>
        <v>P1050</v>
      </c>
      <c r="E1052" s="14">
        <v>43440.0</v>
      </c>
      <c r="F1052" s="40" t="s">
        <v>53</v>
      </c>
      <c r="G1052" s="40" t="s">
        <v>54</v>
      </c>
      <c r="H1052" s="9">
        <v>7.1</v>
      </c>
      <c r="I1052" s="13">
        <v>88.0</v>
      </c>
      <c r="J1052" s="13" t="s">
        <v>63</v>
      </c>
      <c r="K1052" s="17" t="str">
        <f t="shared" si="10"/>
        <v/>
      </c>
      <c r="L1052" s="9">
        <v>0.0</v>
      </c>
      <c r="O1052" s="9" t="s">
        <v>638</v>
      </c>
      <c r="P1052" s="40" t="s">
        <v>1729</v>
      </c>
      <c r="Q1052" s="9" t="s">
        <v>150</v>
      </c>
      <c r="R1052" s="9" t="s">
        <v>2119</v>
      </c>
      <c r="S1052" s="9" t="s">
        <v>64</v>
      </c>
      <c r="T1052" t="str">
        <f t="shared" si="12"/>
        <v>N</v>
      </c>
      <c r="W1052" s="12" t="str">
        <f t="array" ref="W1052">if(and(L1052=0,Q1052="NA"),"NA",if(L1052=0,"no lice",if(Q1052="NA","no collection",index(sea_lice!G:G,match(C1052,sea_lice!A:A,0)))))</f>
        <v>no lice</v>
      </c>
      <c r="X1052" s="23">
        <v>1051.0</v>
      </c>
    </row>
    <row r="1053">
      <c r="B1053" s="6">
        <v>16497.0</v>
      </c>
      <c r="C1053" s="12" t="str">
        <f t="shared" si="11"/>
        <v>U16497</v>
      </c>
      <c r="D1053" s="14" t="str">
        <f t="array" ref="D1053">iferror(index('2018_ufns'!E:E,match(C1053,'2018_ufns'!B:B,0)))</f>
        <v>P1050</v>
      </c>
      <c r="E1053" s="14">
        <v>43440.0</v>
      </c>
      <c r="F1053" s="40" t="s">
        <v>53</v>
      </c>
      <c r="G1053" s="40" t="s">
        <v>54</v>
      </c>
      <c r="H1053" s="9">
        <v>6.8</v>
      </c>
      <c r="I1053" s="13">
        <v>86.0</v>
      </c>
      <c r="J1053" s="13" t="s">
        <v>63</v>
      </c>
      <c r="K1053" s="17" t="str">
        <f t="shared" si="10"/>
        <v/>
      </c>
      <c r="L1053" s="9">
        <v>0.0</v>
      </c>
      <c r="O1053" s="9" t="s">
        <v>638</v>
      </c>
      <c r="P1053" s="40" t="s">
        <v>1729</v>
      </c>
      <c r="Q1053" s="9" t="s">
        <v>150</v>
      </c>
      <c r="R1053" s="9" t="s">
        <v>2119</v>
      </c>
      <c r="S1053" s="9" t="s">
        <v>64</v>
      </c>
      <c r="T1053" t="str">
        <f t="shared" si="12"/>
        <v>N</v>
      </c>
      <c r="W1053" s="12" t="str">
        <f t="array" ref="W1053">if(and(L1053=0,Q1053="NA"),"NA",if(L1053=0,"no lice",if(Q1053="NA","no collection",index(sea_lice!G:G,match(C1053,sea_lice!A:A,0)))))</f>
        <v>no lice</v>
      </c>
      <c r="X1053" s="23">
        <v>1052.0</v>
      </c>
    </row>
    <row r="1054">
      <c r="B1054" s="6">
        <v>16493.0</v>
      </c>
      <c r="C1054" s="12" t="str">
        <f t="shared" si="11"/>
        <v>U16493</v>
      </c>
      <c r="D1054" s="14" t="str">
        <f t="array" ref="D1054">iferror(index('2018_ufns'!E:E,match(C1054,'2018_ufns'!B:B,0)))</f>
        <v>P1050</v>
      </c>
      <c r="E1054" s="14">
        <v>43440.0</v>
      </c>
      <c r="F1054" s="40" t="s">
        <v>53</v>
      </c>
      <c r="G1054" s="40" t="s">
        <v>54</v>
      </c>
      <c r="H1054" s="9">
        <v>8.3</v>
      </c>
      <c r="I1054" s="13">
        <v>94.0</v>
      </c>
      <c r="J1054" s="13">
        <v>99.0</v>
      </c>
      <c r="K1054" s="17">
        <f t="shared" si="10"/>
        <v>0.8554064263</v>
      </c>
      <c r="L1054" s="9">
        <v>0.0</v>
      </c>
      <c r="O1054" s="9" t="s">
        <v>638</v>
      </c>
      <c r="P1054" s="40" t="s">
        <v>1729</v>
      </c>
      <c r="Q1054" s="9" t="s">
        <v>150</v>
      </c>
      <c r="R1054" s="9" t="s">
        <v>2119</v>
      </c>
      <c r="S1054" s="9" t="s">
        <v>64</v>
      </c>
      <c r="T1054" t="str">
        <f t="shared" si="12"/>
        <v>N</v>
      </c>
      <c r="W1054" s="12" t="str">
        <f t="array" ref="W1054">if(and(L1054=0,Q1054="NA"),"NA",if(L1054=0,"no lice",if(Q1054="NA","no collection",index(sea_lice!G:G,match(C1054,sea_lice!A:A,0)))))</f>
        <v>no lice</v>
      </c>
      <c r="X1054" s="23">
        <v>1053.0</v>
      </c>
    </row>
    <row r="1055">
      <c r="B1055" s="6">
        <v>16492.0</v>
      </c>
      <c r="C1055" s="12" t="str">
        <f t="shared" si="11"/>
        <v>U16492</v>
      </c>
      <c r="D1055" s="14" t="str">
        <f t="array" ref="D1055">iferror(index('2018_ufns'!E:E,match(C1055,'2018_ufns'!B:B,0)))</f>
        <v>P1050</v>
      </c>
      <c r="E1055" s="14">
        <v>43440.0</v>
      </c>
      <c r="F1055" s="40" t="s">
        <v>53</v>
      </c>
      <c r="G1055" s="40" t="s">
        <v>54</v>
      </c>
      <c r="H1055" s="9">
        <v>10.3</v>
      </c>
      <c r="I1055" s="13">
        <v>98.0</v>
      </c>
      <c r="J1055" s="13">
        <v>103.0</v>
      </c>
      <c r="K1055" s="17">
        <f t="shared" si="10"/>
        <v>0.9425959091</v>
      </c>
      <c r="L1055" s="9">
        <v>0.0</v>
      </c>
      <c r="O1055" s="9" t="s">
        <v>638</v>
      </c>
      <c r="P1055" s="40" t="s">
        <v>1729</v>
      </c>
      <c r="Q1055" s="9" t="s">
        <v>150</v>
      </c>
      <c r="R1055" s="9" t="s">
        <v>2119</v>
      </c>
      <c r="S1055" s="9" t="s">
        <v>64</v>
      </c>
      <c r="T1055" t="str">
        <f t="shared" si="12"/>
        <v>N</v>
      </c>
      <c r="W1055" s="12" t="str">
        <f t="array" ref="W1055">if(and(L1055=0,Q1055="NA"),"NA",if(L1055=0,"no lice",if(Q1055="NA","no collection",index(sea_lice!G:G,match(C1055,sea_lice!A:A,0)))))</f>
        <v>no lice</v>
      </c>
      <c r="X1055" s="23">
        <v>1054.0</v>
      </c>
    </row>
    <row r="1056">
      <c r="B1056" s="6">
        <v>16494.0</v>
      </c>
      <c r="C1056" s="12" t="str">
        <f t="shared" si="11"/>
        <v>U16494</v>
      </c>
      <c r="D1056" s="14" t="str">
        <f t="array" ref="D1056">iferror(index('2018_ufns'!E:E,match(C1056,'2018_ufns'!B:B,0)))</f>
        <v>P1050</v>
      </c>
      <c r="E1056" s="14">
        <v>43440.0</v>
      </c>
      <c r="F1056" s="40" t="s">
        <v>53</v>
      </c>
      <c r="G1056" s="40" t="s">
        <v>54</v>
      </c>
      <c r="H1056" s="9">
        <v>10.1</v>
      </c>
      <c r="I1056" s="13">
        <v>93.0</v>
      </c>
      <c r="J1056" s="13">
        <v>97.0</v>
      </c>
      <c r="K1056" s="17">
        <f t="shared" si="10"/>
        <v>1.106639508</v>
      </c>
      <c r="L1056" s="9">
        <v>0.0</v>
      </c>
      <c r="O1056" s="9" t="s">
        <v>638</v>
      </c>
      <c r="P1056" s="40" t="s">
        <v>1729</v>
      </c>
      <c r="Q1056" s="9" t="s">
        <v>150</v>
      </c>
      <c r="R1056" s="9" t="s">
        <v>2119</v>
      </c>
      <c r="S1056" s="9" t="s">
        <v>64</v>
      </c>
      <c r="T1056" t="str">
        <f t="shared" si="12"/>
        <v>N</v>
      </c>
      <c r="W1056" s="12" t="str">
        <f t="array" ref="W1056">if(and(L1056=0,Q1056="NA"),"NA",if(L1056=0,"no lice",if(Q1056="NA","no collection",index(sea_lice!G:G,match(C1056,sea_lice!A:A,0)))))</f>
        <v>no lice</v>
      </c>
      <c r="X1056" s="23">
        <v>1055.0</v>
      </c>
    </row>
    <row r="1057">
      <c r="B1057" s="6">
        <v>16242.0</v>
      </c>
      <c r="C1057" s="12" t="str">
        <f t="shared" si="11"/>
        <v>U16242</v>
      </c>
      <c r="D1057" s="14" t="str">
        <f t="array" ref="D1057">iferror(index('2018_ufns'!E:E,match(C1057,'2018_ufns'!B:B,0)))</f>
        <v>P1025</v>
      </c>
      <c r="E1057" s="14">
        <v>43440.0</v>
      </c>
      <c r="F1057" s="40" t="s">
        <v>53</v>
      </c>
      <c r="G1057" s="40" t="s">
        <v>54</v>
      </c>
      <c r="H1057" s="9">
        <v>8.3</v>
      </c>
      <c r="I1057" s="13">
        <v>92.0</v>
      </c>
      <c r="J1057" s="13">
        <v>97.0</v>
      </c>
      <c r="K1057" s="17">
        <f t="shared" si="10"/>
        <v>0.9094166257</v>
      </c>
      <c r="L1057" s="9">
        <v>0.0</v>
      </c>
      <c r="O1057" s="9" t="s">
        <v>638</v>
      </c>
      <c r="P1057" s="40" t="s">
        <v>1729</v>
      </c>
      <c r="Q1057" s="9" t="s">
        <v>150</v>
      </c>
      <c r="R1057" s="9" t="s">
        <v>2119</v>
      </c>
      <c r="S1057" s="9" t="s">
        <v>64</v>
      </c>
      <c r="T1057" t="str">
        <f t="shared" si="12"/>
        <v>N</v>
      </c>
      <c r="W1057" s="12" t="str">
        <f t="array" ref="W1057">if(and(L1057=0,Q1057="NA"),"NA",if(L1057=0,"no lice",if(Q1057="NA","no collection",index(sea_lice!G:G,match(C1057,sea_lice!A:A,0)))))</f>
        <v>no lice</v>
      </c>
      <c r="X1057" s="23">
        <v>1056.0</v>
      </c>
    </row>
    <row r="1058">
      <c r="B1058" s="6">
        <v>16246.0</v>
      </c>
      <c r="C1058" s="12" t="str">
        <f t="shared" si="11"/>
        <v>U16246</v>
      </c>
      <c r="D1058" s="14" t="str">
        <f t="array" ref="D1058">iferror(index('2018_ufns'!E:E,match(C1058,'2018_ufns'!B:B,0)))</f>
        <v>P1025</v>
      </c>
      <c r="E1058" s="14">
        <v>43440.0</v>
      </c>
      <c r="F1058" s="40" t="s">
        <v>53</v>
      </c>
      <c r="G1058" s="40" t="s">
        <v>54</v>
      </c>
      <c r="H1058" s="9">
        <v>5.6</v>
      </c>
      <c r="I1058" s="13">
        <v>79.0</v>
      </c>
      <c r="J1058" s="13" t="s">
        <v>63</v>
      </c>
      <c r="K1058" s="17" t="str">
        <f t="shared" si="10"/>
        <v/>
      </c>
      <c r="L1058" s="9">
        <v>0.0</v>
      </c>
      <c r="O1058" s="9" t="s">
        <v>638</v>
      </c>
      <c r="P1058" s="40" t="s">
        <v>1729</v>
      </c>
      <c r="Q1058" s="9" t="s">
        <v>150</v>
      </c>
      <c r="R1058" s="9" t="s">
        <v>2119</v>
      </c>
      <c r="S1058" s="9" t="s">
        <v>64</v>
      </c>
      <c r="T1058" t="str">
        <f t="shared" si="12"/>
        <v>N</v>
      </c>
      <c r="W1058" s="12" t="str">
        <f t="array" ref="W1058">if(and(L1058=0,Q1058="NA"),"NA",if(L1058=0,"no lice",if(Q1058="NA","no collection",index(sea_lice!G:G,match(C1058,sea_lice!A:A,0)))))</f>
        <v>no lice</v>
      </c>
      <c r="X1058" s="23">
        <v>1057.0</v>
      </c>
    </row>
    <row r="1059">
      <c r="B1059" s="6">
        <v>16248.0</v>
      </c>
      <c r="C1059" s="12" t="str">
        <f t="shared" si="11"/>
        <v>U16248</v>
      </c>
      <c r="D1059" s="14" t="str">
        <f t="array" ref="D1059">iferror(index('2018_ufns'!E:E,match(C1059,'2018_ufns'!B:B,0)))</f>
        <v>P1025</v>
      </c>
      <c r="E1059" s="14">
        <v>43440.0</v>
      </c>
      <c r="F1059" s="40" t="s">
        <v>53</v>
      </c>
      <c r="G1059" s="40" t="s">
        <v>54</v>
      </c>
      <c r="H1059" s="9">
        <v>6.0</v>
      </c>
      <c r="I1059" s="13">
        <v>79.0</v>
      </c>
      <c r="J1059" s="13" t="s">
        <v>63</v>
      </c>
      <c r="K1059" s="17" t="str">
        <f t="shared" si="10"/>
        <v/>
      </c>
      <c r="L1059" s="9">
        <v>0.0</v>
      </c>
      <c r="O1059" s="9" t="s">
        <v>638</v>
      </c>
      <c r="P1059" s="40" t="s">
        <v>1729</v>
      </c>
      <c r="Q1059" s="9" t="s">
        <v>150</v>
      </c>
      <c r="R1059" s="9" t="s">
        <v>2119</v>
      </c>
      <c r="S1059" s="9" t="s">
        <v>64</v>
      </c>
      <c r="T1059" t="str">
        <f t="shared" si="12"/>
        <v>N</v>
      </c>
      <c r="W1059" s="12" t="str">
        <f t="array" ref="W1059">if(and(L1059=0,Q1059="NA"),"NA",if(L1059=0,"no lice",if(Q1059="NA","no collection",index(sea_lice!G:G,match(C1059,sea_lice!A:A,0)))))</f>
        <v>no lice</v>
      </c>
      <c r="X1059" s="23">
        <v>1058.0</v>
      </c>
    </row>
    <row r="1060">
      <c r="B1060" s="6">
        <v>16249.0</v>
      </c>
      <c r="C1060" s="12" t="str">
        <f t="shared" si="11"/>
        <v>U16249</v>
      </c>
      <c r="D1060" s="14" t="str">
        <f t="array" ref="D1060">iferror(index('2018_ufns'!E:E,match(C1060,'2018_ufns'!B:B,0)))</f>
        <v>P1025</v>
      </c>
      <c r="E1060" s="14">
        <v>43440.0</v>
      </c>
      <c r="F1060" s="40" t="s">
        <v>53</v>
      </c>
      <c r="G1060" s="40" t="s">
        <v>54</v>
      </c>
      <c r="H1060" s="9">
        <v>3.9</v>
      </c>
      <c r="I1060" s="13">
        <v>70.0</v>
      </c>
      <c r="J1060" s="13">
        <v>74.0</v>
      </c>
      <c r="K1060" s="17">
        <f t="shared" si="10"/>
        <v>0.9624306556</v>
      </c>
      <c r="L1060" s="9">
        <v>0.0</v>
      </c>
      <c r="O1060" s="9" t="s">
        <v>638</v>
      </c>
      <c r="P1060" s="40" t="s">
        <v>1729</v>
      </c>
      <c r="Q1060" s="9" t="s">
        <v>150</v>
      </c>
      <c r="R1060" s="9" t="s">
        <v>2119</v>
      </c>
      <c r="S1060" s="9" t="s">
        <v>64</v>
      </c>
      <c r="T1060" t="str">
        <f t="shared" si="12"/>
        <v>N</v>
      </c>
      <c r="W1060" s="12" t="str">
        <f t="array" ref="W1060">if(and(L1060=0,Q1060="NA"),"NA",if(L1060=0,"no lice",if(Q1060="NA","no collection",index(sea_lice!G:G,match(C1060,sea_lice!A:A,0)))))</f>
        <v>no lice</v>
      </c>
      <c r="X1060" s="23">
        <v>1059.0</v>
      </c>
    </row>
    <row r="1061">
      <c r="B1061" s="6">
        <v>16241.0</v>
      </c>
      <c r="C1061" s="12" t="str">
        <f t="shared" si="11"/>
        <v>U16241</v>
      </c>
      <c r="D1061" s="14" t="str">
        <f t="array" ref="D1061">iferror(index('2018_ufns'!E:E,match(C1061,'2018_ufns'!B:B,0)))</f>
        <v>P1025</v>
      </c>
      <c r="E1061" s="14">
        <v>43440.0</v>
      </c>
      <c r="F1061" s="40" t="s">
        <v>53</v>
      </c>
      <c r="G1061" s="40" t="s">
        <v>54</v>
      </c>
      <c r="H1061" s="9">
        <v>7.6</v>
      </c>
      <c r="I1061" s="13">
        <v>92.0</v>
      </c>
      <c r="J1061" s="13">
        <v>96.0</v>
      </c>
      <c r="K1061" s="17">
        <f t="shared" si="10"/>
        <v>0.8590133102</v>
      </c>
      <c r="L1061" s="9">
        <v>0.0</v>
      </c>
      <c r="O1061" s="9" t="s">
        <v>638</v>
      </c>
      <c r="P1061" s="40" t="s">
        <v>1729</v>
      </c>
      <c r="Q1061" s="9" t="s">
        <v>150</v>
      </c>
      <c r="R1061" s="9" t="s">
        <v>2119</v>
      </c>
      <c r="S1061" s="9" t="s">
        <v>64</v>
      </c>
      <c r="T1061" t="str">
        <f t="shared" si="12"/>
        <v>N</v>
      </c>
      <c r="W1061" s="12" t="str">
        <f t="array" ref="W1061">if(and(L1061=0,Q1061="NA"),"NA",if(L1061=0,"no lice",if(Q1061="NA","no collection",index(sea_lice!G:G,match(C1061,sea_lice!A:A,0)))))</f>
        <v>no lice</v>
      </c>
      <c r="X1061" s="23">
        <v>1060.0</v>
      </c>
    </row>
    <row r="1062">
      <c r="B1062" s="6">
        <v>16244.0</v>
      </c>
      <c r="C1062" s="12" t="str">
        <f t="shared" si="11"/>
        <v>U16244</v>
      </c>
      <c r="D1062" s="14" t="str">
        <f t="array" ref="D1062">iferror(index('2018_ufns'!E:E,match(C1062,'2018_ufns'!B:B,0)))</f>
        <v>P1025</v>
      </c>
      <c r="E1062" s="14">
        <v>43440.0</v>
      </c>
      <c r="F1062" s="40" t="s">
        <v>53</v>
      </c>
      <c r="G1062" s="40" t="s">
        <v>54</v>
      </c>
      <c r="H1062" s="9">
        <v>2.5</v>
      </c>
      <c r="I1062" s="13">
        <v>61.0</v>
      </c>
      <c r="J1062" s="13" t="s">
        <v>63</v>
      </c>
      <c r="K1062" s="17" t="str">
        <f t="shared" si="10"/>
        <v/>
      </c>
      <c r="L1062" s="9">
        <v>0.0</v>
      </c>
      <c r="O1062" s="9" t="s">
        <v>638</v>
      </c>
      <c r="P1062" s="40" t="s">
        <v>1729</v>
      </c>
      <c r="Q1062" s="9" t="s">
        <v>150</v>
      </c>
      <c r="R1062" s="9" t="s">
        <v>2119</v>
      </c>
      <c r="S1062" s="9" t="s">
        <v>64</v>
      </c>
      <c r="T1062" t="str">
        <f t="shared" si="12"/>
        <v>N</v>
      </c>
      <c r="W1062" s="12" t="str">
        <f t="array" ref="W1062">if(and(L1062=0,Q1062="NA"),"NA",if(L1062=0,"no lice",if(Q1062="NA","no collection",index(sea_lice!G:G,match(C1062,sea_lice!A:A,0)))))</f>
        <v>no lice</v>
      </c>
      <c r="X1062" s="23">
        <v>1061.0</v>
      </c>
    </row>
    <row r="1063">
      <c r="B1063" s="6">
        <v>16243.0</v>
      </c>
      <c r="C1063" s="12" t="str">
        <f t="shared" si="11"/>
        <v>U16243</v>
      </c>
      <c r="D1063" s="14" t="str">
        <f t="array" ref="D1063">iferror(index('2018_ufns'!E:E,match(C1063,'2018_ufns'!B:B,0)))</f>
        <v>P1025</v>
      </c>
      <c r="E1063" s="14">
        <v>43440.0</v>
      </c>
      <c r="F1063" s="40" t="s">
        <v>53</v>
      </c>
      <c r="G1063" s="40" t="s">
        <v>54</v>
      </c>
      <c r="H1063" s="9">
        <v>5.5</v>
      </c>
      <c r="I1063" s="13">
        <v>78.0</v>
      </c>
      <c r="J1063" s="13">
        <v>82.0</v>
      </c>
      <c r="K1063" s="17">
        <f t="shared" si="10"/>
        <v>0.9975188984</v>
      </c>
      <c r="L1063" s="9">
        <v>0.0</v>
      </c>
      <c r="N1063" s="9" t="s">
        <v>2149</v>
      </c>
      <c r="O1063" s="9" t="s">
        <v>638</v>
      </c>
      <c r="P1063" s="40" t="s">
        <v>1729</v>
      </c>
      <c r="Q1063" s="9" t="s">
        <v>150</v>
      </c>
      <c r="R1063" s="9" t="s">
        <v>2119</v>
      </c>
      <c r="S1063" s="9" t="s">
        <v>64</v>
      </c>
      <c r="T1063" t="str">
        <f t="shared" si="12"/>
        <v>N</v>
      </c>
      <c r="W1063" s="12" t="str">
        <f t="array" ref="W1063">if(and(L1063=0,Q1063="NA"),"NA",if(L1063=0,"no lice",if(Q1063="NA","no collection",index(sea_lice!G:G,match(C1063,sea_lice!A:A,0)))))</f>
        <v>no lice</v>
      </c>
      <c r="X1063" s="23">
        <v>1062.0</v>
      </c>
    </row>
    <row r="1064">
      <c r="B1064" s="6">
        <v>16247.0</v>
      </c>
      <c r="C1064" s="12" t="str">
        <f t="shared" si="11"/>
        <v>U16247</v>
      </c>
      <c r="D1064" s="14" t="str">
        <f t="array" ref="D1064">iferror(index('2018_ufns'!E:E,match(C1064,'2018_ufns'!B:B,0)))</f>
        <v>P1025</v>
      </c>
      <c r="E1064" s="14">
        <v>43440.0</v>
      </c>
      <c r="F1064" s="40" t="s">
        <v>53</v>
      </c>
      <c r="G1064" s="40" t="s">
        <v>54</v>
      </c>
      <c r="H1064" s="9">
        <v>8.6</v>
      </c>
      <c r="I1064" s="13">
        <v>88.0</v>
      </c>
      <c r="J1064" s="13" t="s">
        <v>63</v>
      </c>
      <c r="K1064" s="17" t="str">
        <f t="shared" si="10"/>
        <v/>
      </c>
      <c r="L1064" s="9">
        <v>0.0</v>
      </c>
      <c r="O1064" s="9" t="s">
        <v>638</v>
      </c>
      <c r="P1064" s="40" t="s">
        <v>1729</v>
      </c>
      <c r="Q1064" s="9" t="s">
        <v>150</v>
      </c>
      <c r="R1064" s="9" t="s">
        <v>2119</v>
      </c>
      <c r="S1064" s="9" t="s">
        <v>64</v>
      </c>
      <c r="T1064" t="str">
        <f t="shared" si="12"/>
        <v>N</v>
      </c>
      <c r="W1064" s="12" t="str">
        <f t="array" ref="W1064">if(and(L1064=0,Q1064="NA"),"NA",if(L1064=0,"no lice",if(Q1064="NA","no collection",index(sea_lice!G:G,match(C1064,sea_lice!A:A,0)))))</f>
        <v>no lice</v>
      </c>
      <c r="X1064" s="23">
        <v>1063.0</v>
      </c>
    </row>
    <row r="1065">
      <c r="B1065" s="6">
        <v>16245.0</v>
      </c>
      <c r="C1065" s="12" t="str">
        <f t="shared" si="11"/>
        <v>U16245</v>
      </c>
      <c r="D1065" s="14" t="str">
        <f t="array" ref="D1065">iferror(index('2018_ufns'!E:E,match(C1065,'2018_ufns'!B:B,0)))</f>
        <v>P1025</v>
      </c>
      <c r="E1065" s="14">
        <v>43440.0</v>
      </c>
      <c r="F1065" s="40" t="s">
        <v>53</v>
      </c>
      <c r="G1065" s="40" t="s">
        <v>54</v>
      </c>
      <c r="H1065" s="9">
        <v>6.5</v>
      </c>
      <c r="I1065" s="13">
        <v>82.0</v>
      </c>
      <c r="J1065" s="13">
        <v>86.0</v>
      </c>
      <c r="K1065" s="17">
        <f t="shared" si="10"/>
        <v>1.021922598</v>
      </c>
      <c r="L1065" s="9">
        <v>0.0</v>
      </c>
      <c r="O1065" s="9" t="s">
        <v>638</v>
      </c>
      <c r="P1065" s="40" t="s">
        <v>1729</v>
      </c>
      <c r="Q1065" s="9" t="s">
        <v>150</v>
      </c>
      <c r="R1065" s="9" t="s">
        <v>2119</v>
      </c>
      <c r="S1065" s="9" t="s">
        <v>64</v>
      </c>
      <c r="T1065" t="str">
        <f t="shared" si="12"/>
        <v>N</v>
      </c>
      <c r="W1065" s="12" t="str">
        <f t="array" ref="W1065">if(and(L1065=0,Q1065="NA"),"NA",if(L1065=0,"no lice",if(Q1065="NA","no collection",index(sea_lice!G:G,match(C1065,sea_lice!A:A,0)))))</f>
        <v>no lice</v>
      </c>
      <c r="X1065" s="23">
        <v>1064.0</v>
      </c>
    </row>
    <row r="1066">
      <c r="B1066" s="6">
        <v>16102.0</v>
      </c>
      <c r="C1066" s="12" t="str">
        <f t="shared" si="11"/>
        <v>U16102</v>
      </c>
      <c r="D1066" s="14" t="str">
        <f t="array" ref="D1066">iferror(index('2018_ufns'!E:E,match(C1066,'2018_ufns'!B:B,0)))</f>
        <v>P1011</v>
      </c>
      <c r="E1066" s="14">
        <v>43440.0</v>
      </c>
      <c r="F1066" s="40" t="s">
        <v>53</v>
      </c>
      <c r="G1066" s="40" t="s">
        <v>54</v>
      </c>
      <c r="H1066" s="9">
        <v>14.9</v>
      </c>
      <c r="I1066" s="13">
        <v>105.0</v>
      </c>
      <c r="J1066" s="13">
        <v>110.0</v>
      </c>
      <c r="K1066" s="17">
        <f t="shared" si="10"/>
        <v>1.119459053</v>
      </c>
      <c r="L1066" s="9">
        <v>0.0</v>
      </c>
      <c r="O1066" s="9" t="s">
        <v>638</v>
      </c>
      <c r="P1066" s="40" t="s">
        <v>1729</v>
      </c>
      <c r="Q1066" s="9" t="s">
        <v>150</v>
      </c>
      <c r="R1066" s="9" t="s">
        <v>2119</v>
      </c>
      <c r="S1066" s="9" t="s">
        <v>64</v>
      </c>
      <c r="T1066" t="str">
        <f t="shared" si="12"/>
        <v>N</v>
      </c>
      <c r="W1066" s="12" t="str">
        <f t="array" ref="W1066">if(and(L1066=0,Q1066="NA"),"NA",if(L1066=0,"no lice",if(Q1066="NA","no collection",index(sea_lice!G:G,match(C1066,sea_lice!A:A,0)))))</f>
        <v>no lice</v>
      </c>
      <c r="X1066" s="23">
        <v>1065.0</v>
      </c>
    </row>
    <row r="1067">
      <c r="B1067" s="6">
        <v>16107.0</v>
      </c>
      <c r="C1067" s="12" t="str">
        <f t="shared" si="11"/>
        <v>U16107</v>
      </c>
      <c r="D1067" s="14" t="str">
        <f t="array" ref="D1067">iferror(index('2018_ufns'!E:E,match(C1067,'2018_ufns'!B:B,0)))</f>
        <v>P1011</v>
      </c>
      <c r="E1067" s="14">
        <v>43440.0</v>
      </c>
      <c r="F1067" s="40" t="s">
        <v>53</v>
      </c>
      <c r="G1067" s="40" t="s">
        <v>54</v>
      </c>
      <c r="H1067" s="9">
        <v>5.0</v>
      </c>
      <c r="I1067" s="13">
        <v>78.0</v>
      </c>
      <c r="J1067" s="13">
        <v>82.0</v>
      </c>
      <c r="K1067" s="17">
        <f t="shared" si="10"/>
        <v>0.9068353622</v>
      </c>
      <c r="L1067" s="9">
        <v>0.0</v>
      </c>
      <c r="O1067" s="9" t="s">
        <v>638</v>
      </c>
      <c r="P1067" s="40" t="s">
        <v>1729</v>
      </c>
      <c r="Q1067" s="9" t="s">
        <v>150</v>
      </c>
      <c r="R1067" s="9" t="s">
        <v>2119</v>
      </c>
      <c r="S1067" s="9" t="s">
        <v>64</v>
      </c>
      <c r="T1067" t="str">
        <f t="shared" si="12"/>
        <v>N</v>
      </c>
      <c r="W1067" s="12" t="str">
        <f t="array" ref="W1067">if(and(L1067=0,Q1067="NA"),"NA",if(L1067=0,"no lice",if(Q1067="NA","no collection",index(sea_lice!G:G,match(C1067,sea_lice!A:A,0)))))</f>
        <v>no lice</v>
      </c>
      <c r="X1067" s="23">
        <v>1066.0</v>
      </c>
    </row>
    <row r="1068">
      <c r="B1068" s="6">
        <v>16106.0</v>
      </c>
      <c r="C1068" s="12" t="str">
        <f t="shared" si="11"/>
        <v>U16106</v>
      </c>
      <c r="D1068" s="14" t="str">
        <f t="array" ref="D1068">iferror(index('2018_ufns'!E:E,match(C1068,'2018_ufns'!B:B,0)))</f>
        <v>P1011</v>
      </c>
      <c r="E1068" s="14">
        <v>43440.0</v>
      </c>
      <c r="F1068" s="40" t="s">
        <v>53</v>
      </c>
      <c r="G1068" s="40" t="s">
        <v>54</v>
      </c>
      <c r="H1068" s="9">
        <v>4.7</v>
      </c>
      <c r="I1068" s="13">
        <v>77.0</v>
      </c>
      <c r="J1068" s="13" t="s">
        <v>63</v>
      </c>
      <c r="K1068" s="17" t="str">
        <f t="shared" si="10"/>
        <v/>
      </c>
      <c r="L1068" s="9">
        <v>0.0</v>
      </c>
      <c r="O1068" s="9" t="s">
        <v>638</v>
      </c>
      <c r="P1068" s="40" t="s">
        <v>1729</v>
      </c>
      <c r="Q1068" s="9" t="s">
        <v>150</v>
      </c>
      <c r="R1068" s="9" t="s">
        <v>2119</v>
      </c>
      <c r="S1068" s="9" t="s">
        <v>64</v>
      </c>
      <c r="T1068" t="str">
        <f t="shared" si="12"/>
        <v>N</v>
      </c>
      <c r="W1068" s="12" t="str">
        <f t="array" ref="W1068">if(and(L1068=0,Q1068="NA"),"NA",if(L1068=0,"no lice",if(Q1068="NA","no collection",index(sea_lice!G:G,match(C1068,sea_lice!A:A,0)))))</f>
        <v>no lice</v>
      </c>
      <c r="X1068" s="23">
        <v>1067.0</v>
      </c>
    </row>
    <row r="1069">
      <c r="B1069" s="6">
        <v>16105.0</v>
      </c>
      <c r="C1069" s="12" t="str">
        <f t="shared" si="11"/>
        <v>U16105</v>
      </c>
      <c r="D1069" s="14" t="str">
        <f t="array" ref="D1069">iferror(index('2018_ufns'!E:E,match(C1069,'2018_ufns'!B:B,0)))</f>
        <v>P1011</v>
      </c>
      <c r="E1069" s="14">
        <v>43444.0</v>
      </c>
      <c r="F1069" s="40" t="s">
        <v>53</v>
      </c>
      <c r="G1069" s="40" t="s">
        <v>54</v>
      </c>
      <c r="H1069" s="9">
        <v>5.9</v>
      </c>
      <c r="I1069" s="13">
        <v>83.0</v>
      </c>
      <c r="J1069" s="13">
        <v>88.0</v>
      </c>
      <c r="K1069" s="17">
        <f t="shared" si="10"/>
        <v>0.8657729151</v>
      </c>
      <c r="L1069" s="9">
        <v>0.0</v>
      </c>
      <c r="O1069" s="9" t="s">
        <v>638</v>
      </c>
      <c r="P1069" s="40" t="s">
        <v>1729</v>
      </c>
      <c r="Q1069" s="9" t="s">
        <v>150</v>
      </c>
      <c r="R1069" s="9" t="s">
        <v>2119</v>
      </c>
      <c r="S1069" s="9" t="s">
        <v>64</v>
      </c>
      <c r="T1069" t="str">
        <f t="shared" si="12"/>
        <v>N</v>
      </c>
      <c r="W1069" s="12" t="str">
        <f t="array" ref="W1069">if(and(L1069=0,Q1069="NA"),"NA",if(L1069=0,"no lice",if(Q1069="NA","no collection",index(sea_lice!G:G,match(C1069,sea_lice!A:A,0)))))</f>
        <v>no lice</v>
      </c>
      <c r="X1069" s="23">
        <v>1068.0</v>
      </c>
    </row>
    <row r="1070">
      <c r="B1070" s="6">
        <v>16101.0</v>
      </c>
      <c r="C1070" s="12" t="str">
        <f t="shared" si="11"/>
        <v>U16101</v>
      </c>
      <c r="D1070" s="14" t="str">
        <f t="array" ref="D1070">iferror(index('2018_ufns'!E:E,match(C1070,'2018_ufns'!B:B,0)))</f>
        <v>P1011</v>
      </c>
      <c r="E1070" s="14">
        <v>43444.0</v>
      </c>
      <c r="F1070" s="40" t="s">
        <v>53</v>
      </c>
      <c r="G1070" s="40" t="s">
        <v>54</v>
      </c>
      <c r="H1070" s="9">
        <v>4.6</v>
      </c>
      <c r="I1070" s="13">
        <v>76.0</v>
      </c>
      <c r="J1070" s="13" t="s">
        <v>63</v>
      </c>
      <c r="K1070" s="17" t="str">
        <f t="shared" si="10"/>
        <v/>
      </c>
      <c r="L1070" s="9">
        <v>0.0</v>
      </c>
      <c r="O1070" s="9" t="s">
        <v>638</v>
      </c>
      <c r="P1070" s="40" t="s">
        <v>1729</v>
      </c>
      <c r="Q1070" s="9" t="s">
        <v>150</v>
      </c>
      <c r="R1070" s="9" t="s">
        <v>2119</v>
      </c>
      <c r="S1070" s="9" t="s">
        <v>64</v>
      </c>
      <c r="T1070" t="str">
        <f t="shared" si="12"/>
        <v>N</v>
      </c>
      <c r="W1070" s="12" t="str">
        <f t="array" ref="W1070">if(and(L1070=0,Q1070="NA"),"NA",if(L1070=0,"no lice",if(Q1070="NA","no collection",index(sea_lice!G:G,match(C1070,sea_lice!A:A,0)))))</f>
        <v>no lice</v>
      </c>
      <c r="X1070" s="23">
        <v>1069.0</v>
      </c>
    </row>
    <row r="1071">
      <c r="B1071" s="6">
        <v>16103.0</v>
      </c>
      <c r="C1071" s="12" t="str">
        <f t="shared" si="11"/>
        <v>U16103</v>
      </c>
      <c r="D1071" s="14" t="str">
        <f t="array" ref="D1071">iferror(index('2018_ufns'!E:E,match(C1071,'2018_ufns'!B:B,0)))</f>
        <v>P1011</v>
      </c>
      <c r="E1071" s="14">
        <v>43444.0</v>
      </c>
      <c r="F1071" s="40" t="s">
        <v>53</v>
      </c>
      <c r="G1071" s="40" t="s">
        <v>54</v>
      </c>
      <c r="H1071" s="9">
        <v>5.1</v>
      </c>
      <c r="I1071" s="13">
        <v>79.0</v>
      </c>
      <c r="J1071" s="13">
        <v>83.0</v>
      </c>
      <c r="K1071" s="17">
        <f t="shared" si="10"/>
        <v>0.8919405303</v>
      </c>
      <c r="L1071" s="9">
        <v>0.0</v>
      </c>
      <c r="O1071" s="9" t="s">
        <v>638</v>
      </c>
      <c r="P1071" s="40" t="s">
        <v>1729</v>
      </c>
      <c r="Q1071" s="9" t="s">
        <v>150</v>
      </c>
      <c r="R1071" s="9" t="s">
        <v>2119</v>
      </c>
      <c r="S1071" s="9" t="s">
        <v>64</v>
      </c>
      <c r="T1071" t="str">
        <f t="shared" si="12"/>
        <v>N</v>
      </c>
      <c r="W1071" s="12" t="str">
        <f t="array" ref="W1071">if(and(L1071=0,Q1071="NA"),"NA",if(L1071=0,"no lice",if(Q1071="NA","no collection",index(sea_lice!G:G,match(C1071,sea_lice!A:A,0)))))</f>
        <v>no lice</v>
      </c>
      <c r="X1071" s="23">
        <v>1070.0</v>
      </c>
    </row>
    <row r="1072">
      <c r="B1072" s="6">
        <v>16104.0</v>
      </c>
      <c r="C1072" s="12" t="str">
        <f t="shared" si="11"/>
        <v>U16104</v>
      </c>
      <c r="D1072" s="14" t="str">
        <f t="array" ref="D1072">iferror(index('2018_ufns'!E:E,match(C1072,'2018_ufns'!B:B,0)))</f>
        <v>P1011</v>
      </c>
      <c r="E1072" s="14">
        <v>43444.0</v>
      </c>
      <c r="F1072" s="40" t="s">
        <v>53</v>
      </c>
      <c r="G1072" s="40" t="s">
        <v>54</v>
      </c>
      <c r="H1072" s="9">
        <v>3.3</v>
      </c>
      <c r="I1072" s="13">
        <v>70.0</v>
      </c>
      <c r="J1072" s="13">
        <v>74.0</v>
      </c>
      <c r="K1072" s="17">
        <f t="shared" si="10"/>
        <v>0.8143644009</v>
      </c>
      <c r="L1072" s="9">
        <v>0.0</v>
      </c>
      <c r="N1072" s="9" t="s">
        <v>2150</v>
      </c>
      <c r="O1072" s="9" t="s">
        <v>638</v>
      </c>
      <c r="P1072" s="40" t="s">
        <v>1729</v>
      </c>
      <c r="Q1072" s="9" t="s">
        <v>150</v>
      </c>
      <c r="R1072" s="9" t="s">
        <v>2119</v>
      </c>
      <c r="S1072" s="9" t="s">
        <v>64</v>
      </c>
      <c r="T1072" t="str">
        <f t="shared" si="12"/>
        <v>N</v>
      </c>
      <c r="W1072" s="12" t="str">
        <f t="array" ref="W1072">if(and(L1072=0,Q1072="NA"),"NA",if(L1072=0,"no lice",if(Q1072="NA","no collection",index(sea_lice!G:G,match(C1072,sea_lice!A:A,0)))))</f>
        <v>no lice</v>
      </c>
      <c r="X1072" s="23">
        <v>1071.0</v>
      </c>
    </row>
    <row r="1073">
      <c r="B1073" s="6">
        <v>16363.0</v>
      </c>
      <c r="C1073" s="12" t="str">
        <f t="shared" si="11"/>
        <v>U16363</v>
      </c>
      <c r="D1073" s="14" t="str">
        <f t="array" ref="D1073">iferror(index('2018_ufns'!E:E,match(C1073,'2018_ufns'!B:B,0)))</f>
        <v>P1037</v>
      </c>
      <c r="E1073" s="14">
        <v>43444.0</v>
      </c>
      <c r="F1073" s="40" t="s">
        <v>53</v>
      </c>
      <c r="G1073" s="40" t="s">
        <v>54</v>
      </c>
      <c r="H1073" s="9">
        <v>3.1</v>
      </c>
      <c r="I1073" s="13">
        <v>65.0</v>
      </c>
      <c r="J1073" s="13" t="s">
        <v>63</v>
      </c>
      <c r="K1073" s="17" t="str">
        <f t="shared" si="10"/>
        <v/>
      </c>
      <c r="L1073" s="9">
        <v>0.0</v>
      </c>
      <c r="O1073" s="9" t="s">
        <v>638</v>
      </c>
      <c r="P1073" s="40" t="s">
        <v>1729</v>
      </c>
      <c r="Q1073" s="9" t="s">
        <v>62</v>
      </c>
      <c r="R1073" s="9" t="s">
        <v>2119</v>
      </c>
      <c r="S1073" s="9" t="s">
        <v>64</v>
      </c>
      <c r="T1073" t="str">
        <f t="shared" si="12"/>
        <v>N</v>
      </c>
      <c r="W1073" s="12" t="str">
        <f t="array" ref="W1073">if(and(L1073=0,Q1073="NA"),"NA",if(L1073=0,"no lice",if(Q1073="NA","no collection",index(sea_lice!G:G,match(C1073,sea_lice!A:A,0)))))</f>
        <v>no lice</v>
      </c>
      <c r="X1073" s="23">
        <v>1072.0</v>
      </c>
    </row>
    <row r="1074">
      <c r="B1074" s="6">
        <v>16362.0</v>
      </c>
      <c r="C1074" s="12" t="str">
        <f t="shared" si="11"/>
        <v>U16362</v>
      </c>
      <c r="D1074" s="14" t="str">
        <f t="array" ref="D1074">iferror(index('2018_ufns'!E:E,match(C1074,'2018_ufns'!B:B,0)))</f>
        <v>P1037</v>
      </c>
      <c r="E1074" s="14">
        <v>43444.0</v>
      </c>
      <c r="F1074" s="40" t="s">
        <v>53</v>
      </c>
      <c r="G1074" s="40" t="s">
        <v>54</v>
      </c>
      <c r="H1074" s="9">
        <v>9.1</v>
      </c>
      <c r="I1074" s="13">
        <v>94.0</v>
      </c>
      <c r="J1074" s="13" t="s">
        <v>63</v>
      </c>
      <c r="K1074" s="17" t="str">
        <f t="shared" si="10"/>
        <v/>
      </c>
      <c r="L1074" s="9">
        <v>0.0</v>
      </c>
      <c r="O1074" s="9" t="s">
        <v>638</v>
      </c>
      <c r="P1074" s="40" t="s">
        <v>1729</v>
      </c>
      <c r="Q1074" s="9" t="s">
        <v>62</v>
      </c>
      <c r="R1074" s="9" t="s">
        <v>2119</v>
      </c>
      <c r="S1074" s="9" t="s">
        <v>64</v>
      </c>
      <c r="T1074" t="str">
        <f t="shared" si="12"/>
        <v>N</v>
      </c>
      <c r="W1074" s="12" t="str">
        <f t="array" ref="W1074">if(and(L1074=0,Q1074="NA"),"NA",if(L1074=0,"no lice",if(Q1074="NA","no collection",index(sea_lice!G:G,match(C1074,sea_lice!A:A,0)))))</f>
        <v>no lice</v>
      </c>
      <c r="X1074" s="23">
        <v>1073.0</v>
      </c>
    </row>
    <row r="1075">
      <c r="B1075" s="6">
        <v>16364.0</v>
      </c>
      <c r="C1075" s="12" t="str">
        <f t="shared" si="11"/>
        <v>U16364</v>
      </c>
      <c r="D1075" s="14" t="str">
        <f t="array" ref="D1075">iferror(index('2018_ufns'!E:E,match(C1075,'2018_ufns'!B:B,0)))</f>
        <v>P1037</v>
      </c>
      <c r="E1075" s="14">
        <v>43444.0</v>
      </c>
      <c r="F1075" s="40" t="s">
        <v>53</v>
      </c>
      <c r="G1075" s="40" t="s">
        <v>54</v>
      </c>
      <c r="H1075" s="9">
        <v>4.7</v>
      </c>
      <c r="I1075" s="13">
        <v>75.0</v>
      </c>
      <c r="J1075" s="13" t="s">
        <v>63</v>
      </c>
      <c r="K1075" s="17" t="str">
        <f t="shared" si="10"/>
        <v/>
      </c>
      <c r="L1075" s="9">
        <v>0.0</v>
      </c>
      <c r="O1075" s="9" t="s">
        <v>638</v>
      </c>
      <c r="P1075" s="40" t="s">
        <v>1729</v>
      </c>
      <c r="Q1075" s="9" t="s">
        <v>62</v>
      </c>
      <c r="R1075" s="9" t="s">
        <v>2119</v>
      </c>
      <c r="S1075" s="9" t="s">
        <v>64</v>
      </c>
      <c r="T1075" t="str">
        <f t="shared" si="12"/>
        <v>N</v>
      </c>
      <c r="W1075" s="12" t="str">
        <f t="array" ref="W1075">if(and(L1075=0,Q1075="NA"),"NA",if(L1075=0,"no lice",if(Q1075="NA","no collection",index(sea_lice!G:G,match(C1075,sea_lice!A:A,0)))))</f>
        <v>no lice</v>
      </c>
      <c r="X1075" s="23">
        <v>1074.0</v>
      </c>
    </row>
    <row r="1076">
      <c r="B1076" s="6">
        <v>16361.0</v>
      </c>
      <c r="C1076" s="12" t="str">
        <f t="shared" si="11"/>
        <v>U16361</v>
      </c>
      <c r="D1076" s="14" t="str">
        <f t="array" ref="D1076">iferror(index('2018_ufns'!E:E,match(C1076,'2018_ufns'!B:B,0)))</f>
        <v>P1037</v>
      </c>
      <c r="E1076" s="14">
        <v>43444.0</v>
      </c>
      <c r="F1076" s="40" t="s">
        <v>53</v>
      </c>
      <c r="G1076" s="40" t="s">
        <v>54</v>
      </c>
      <c r="H1076" s="9">
        <v>5.6</v>
      </c>
      <c r="I1076" s="13">
        <v>80.0</v>
      </c>
      <c r="J1076" s="13" t="s">
        <v>63</v>
      </c>
      <c r="K1076" s="17" t="str">
        <f t="shared" si="10"/>
        <v/>
      </c>
      <c r="L1076" s="9">
        <v>1.0</v>
      </c>
      <c r="O1076" s="9" t="s">
        <v>638</v>
      </c>
      <c r="P1076" s="40" t="s">
        <v>1729</v>
      </c>
      <c r="Q1076" s="9" t="s">
        <v>150</v>
      </c>
      <c r="R1076" s="9" t="s">
        <v>2119</v>
      </c>
      <c r="S1076" s="9" t="s">
        <v>64</v>
      </c>
      <c r="T1076" t="str">
        <f t="shared" si="12"/>
        <v>N</v>
      </c>
      <c r="W1076" s="12" t="str">
        <f t="array" ref="W1076">if(and(L1076=0,Q1076="NA"),"NA",if(L1076=0,"no lice",if(Q1076="NA","no collection",index(sea_lice!G:G,match(C1076,sea_lice!A:A,0)))))</f>
        <v>BSL7-44</v>
      </c>
      <c r="X1076" s="23">
        <v>1075.0</v>
      </c>
    </row>
    <row r="1077">
      <c r="B1077" s="6">
        <v>17391.0</v>
      </c>
      <c r="C1077" s="12" t="str">
        <f t="shared" si="11"/>
        <v>U17391</v>
      </c>
      <c r="D1077" s="14" t="str">
        <f t="array" ref="D1077">iferror(index('2018_ufns'!E:E,match(C1077,'2018_ufns'!B:B,0)))</f>
        <v>P1140</v>
      </c>
      <c r="E1077" s="14">
        <v>43444.0</v>
      </c>
      <c r="F1077" s="40" t="s">
        <v>53</v>
      </c>
      <c r="G1077" s="40" t="s">
        <v>54</v>
      </c>
      <c r="H1077" s="9">
        <v>13.5</v>
      </c>
      <c r="I1077" s="13">
        <v>108.0</v>
      </c>
      <c r="J1077" s="13">
        <v>112.0</v>
      </c>
      <c r="K1077" s="17">
        <f t="shared" si="10"/>
        <v>0.9609033345</v>
      </c>
      <c r="L1077" s="9">
        <v>0.0</v>
      </c>
      <c r="N1077" s="9" t="s">
        <v>2151</v>
      </c>
      <c r="O1077" s="9" t="s">
        <v>638</v>
      </c>
      <c r="P1077" s="40" t="s">
        <v>1729</v>
      </c>
      <c r="Q1077" s="9" t="s">
        <v>150</v>
      </c>
      <c r="R1077" s="9" t="s">
        <v>2119</v>
      </c>
      <c r="S1077" s="9" t="s">
        <v>64</v>
      </c>
      <c r="T1077" t="str">
        <f t="shared" si="12"/>
        <v>N</v>
      </c>
      <c r="W1077" s="12" t="str">
        <f t="array" ref="W1077">if(and(L1077=0,Q1077="NA"),"NA",if(L1077=0,"no lice",if(Q1077="NA","no collection",index(sea_lice!G:G,match(C1077,sea_lice!A:A,0)))))</f>
        <v>no lice</v>
      </c>
      <c r="X1077" s="23">
        <v>1076.0</v>
      </c>
    </row>
    <row r="1078">
      <c r="B1078" s="6">
        <v>16391.0</v>
      </c>
      <c r="C1078" s="12" t="str">
        <f t="shared" si="11"/>
        <v>U16391</v>
      </c>
      <c r="D1078" s="14" t="str">
        <f t="array" ref="D1078">iferror(index('2018_ufns'!E:E,match(C1078,'2018_ufns'!B:B,0)))</f>
        <v>P1040</v>
      </c>
      <c r="E1078" s="14">
        <v>43444.0</v>
      </c>
      <c r="F1078" s="40" t="s">
        <v>53</v>
      </c>
      <c r="G1078" s="40" t="s">
        <v>54</v>
      </c>
      <c r="H1078" s="9">
        <v>14.4</v>
      </c>
      <c r="I1078" s="13">
        <v>114.0</v>
      </c>
      <c r="J1078" s="13" t="s">
        <v>63</v>
      </c>
      <c r="K1078" s="17" t="str">
        <f t="shared" si="10"/>
        <v/>
      </c>
      <c r="L1078" s="9">
        <v>0.0</v>
      </c>
      <c r="O1078" s="9" t="s">
        <v>638</v>
      </c>
      <c r="P1078" s="40" t="s">
        <v>1729</v>
      </c>
      <c r="Q1078" s="9" t="s">
        <v>150</v>
      </c>
      <c r="R1078" s="9" t="s">
        <v>2119</v>
      </c>
      <c r="S1078" s="9" t="s">
        <v>64</v>
      </c>
      <c r="T1078" t="str">
        <f t="shared" si="12"/>
        <v>N</v>
      </c>
      <c r="W1078" s="12" t="str">
        <f t="array" ref="W1078">if(and(L1078=0,Q1078="NA"),"NA",if(L1078=0,"no lice",if(Q1078="NA","no collection",index(sea_lice!G:G,match(C1078,sea_lice!A:A,0)))))</f>
        <v>no lice</v>
      </c>
      <c r="X1078" s="23">
        <v>1077.0</v>
      </c>
    </row>
    <row r="1079">
      <c r="B1079" s="6">
        <v>17011.0</v>
      </c>
      <c r="C1079" s="12" t="str">
        <f t="shared" si="11"/>
        <v>U17011</v>
      </c>
      <c r="D1079" s="14" t="str">
        <f t="array" ref="D1079">iferror(index('2018_ufns'!E:E,match(C1079,'2018_ufns'!B:B,0)))</f>
        <v>P1102</v>
      </c>
      <c r="E1079" s="14">
        <v>43444.0</v>
      </c>
      <c r="F1079" s="40" t="s">
        <v>53</v>
      </c>
      <c r="G1079" s="40" t="s">
        <v>54</v>
      </c>
      <c r="H1079" s="9">
        <v>8.4</v>
      </c>
      <c r="I1079" s="13">
        <v>94.0</v>
      </c>
      <c r="J1079" s="13">
        <v>98.0</v>
      </c>
      <c r="K1079" s="17">
        <f t="shared" si="10"/>
        <v>0.892485274</v>
      </c>
      <c r="L1079" s="9">
        <v>1.0</v>
      </c>
      <c r="O1079" s="9" t="s">
        <v>638</v>
      </c>
      <c r="P1079" s="40" t="s">
        <v>1729</v>
      </c>
      <c r="Q1079" s="9" t="s">
        <v>62</v>
      </c>
      <c r="R1079" s="9" t="s">
        <v>2119</v>
      </c>
      <c r="S1079" s="9" t="s">
        <v>64</v>
      </c>
      <c r="T1079" t="str">
        <f t="shared" si="12"/>
        <v>N</v>
      </c>
      <c r="W1079" s="12" t="str">
        <f t="array" ref="W1079">if(and(L1079=0,Q1079="NA"),"NA",if(L1079=0,"no lice",if(Q1079="NA","no collection",index(sea_lice!G:G,match(C1079,sea_lice!A:A,0)))))</f>
        <v>BSL2-72</v>
      </c>
      <c r="X1079" s="23">
        <v>1078.0</v>
      </c>
    </row>
    <row r="1080">
      <c r="B1080" s="6">
        <v>16811.0</v>
      </c>
      <c r="C1080" s="12" t="str">
        <f t="shared" si="11"/>
        <v>U16811</v>
      </c>
      <c r="D1080" s="14" t="str">
        <f t="array" ref="D1080">iferror(index('2018_ufns'!E:E,match(C1080,'2018_ufns'!B:B,0)))</f>
        <v>P1082</v>
      </c>
      <c r="E1080" s="14">
        <v>43445.0</v>
      </c>
      <c r="F1080" s="40" t="s">
        <v>53</v>
      </c>
      <c r="G1080" s="40" t="s">
        <v>54</v>
      </c>
      <c r="H1080" s="9">
        <v>9.5</v>
      </c>
      <c r="I1080" s="13">
        <v>98.0</v>
      </c>
      <c r="J1080" s="13">
        <v>103.0</v>
      </c>
      <c r="K1080" s="17">
        <f t="shared" si="10"/>
        <v>0.8693845764</v>
      </c>
      <c r="L1080" s="9">
        <v>0.0</v>
      </c>
      <c r="O1080" s="9" t="s">
        <v>638</v>
      </c>
      <c r="P1080" s="40" t="s">
        <v>1729</v>
      </c>
      <c r="Q1080" s="9" t="s">
        <v>150</v>
      </c>
      <c r="R1080" s="9" t="s">
        <v>2119</v>
      </c>
      <c r="S1080" s="9" t="s">
        <v>64</v>
      </c>
      <c r="T1080" t="str">
        <f t="shared" si="12"/>
        <v>N</v>
      </c>
      <c r="W1080" s="12" t="str">
        <f t="array" ref="W1080">if(and(L1080=0,Q1080="NA"),"NA",if(L1080=0,"no lice",if(Q1080="NA","no collection",index(sea_lice!G:G,match(C1080,sea_lice!A:A,0)))))</f>
        <v>no lice</v>
      </c>
      <c r="X1080" s="23">
        <v>1079.0</v>
      </c>
    </row>
    <row r="1081">
      <c r="B1081" s="6">
        <v>16815.0</v>
      </c>
      <c r="C1081" s="12" t="str">
        <f t="shared" si="11"/>
        <v>U16815</v>
      </c>
      <c r="D1081" s="14" t="str">
        <f t="array" ref="D1081">iferror(index('2018_ufns'!E:E,match(C1081,'2018_ufns'!B:B,0)))</f>
        <v>P1082</v>
      </c>
      <c r="E1081" s="14">
        <v>43445.0</v>
      </c>
      <c r="F1081" s="40" t="s">
        <v>53</v>
      </c>
      <c r="G1081" s="40" t="s">
        <v>54</v>
      </c>
      <c r="H1081" s="9">
        <v>11.6</v>
      </c>
      <c r="I1081" s="13">
        <v>104.0</v>
      </c>
      <c r="J1081" s="13">
        <v>109.0</v>
      </c>
      <c r="K1081" s="17">
        <f t="shared" si="10"/>
        <v>0.8957328369</v>
      </c>
      <c r="L1081" s="9">
        <v>0.0</v>
      </c>
      <c r="O1081" s="9" t="s">
        <v>638</v>
      </c>
      <c r="P1081" s="40" t="s">
        <v>1729</v>
      </c>
      <c r="Q1081" s="9" t="s">
        <v>150</v>
      </c>
      <c r="R1081" s="9" t="s">
        <v>2119</v>
      </c>
      <c r="S1081" s="9" t="s">
        <v>64</v>
      </c>
      <c r="T1081" t="str">
        <f t="shared" si="12"/>
        <v>N</v>
      </c>
      <c r="W1081" s="12" t="str">
        <f t="array" ref="W1081">if(and(L1081=0,Q1081="NA"),"NA",if(L1081=0,"no lice",if(Q1081="NA","no collection",index(sea_lice!G:G,match(C1081,sea_lice!A:A,0)))))</f>
        <v>no lice</v>
      </c>
      <c r="X1081" s="23">
        <v>1080.0</v>
      </c>
    </row>
    <row r="1082">
      <c r="B1082" s="6">
        <v>16818.0</v>
      </c>
      <c r="C1082" s="12" t="str">
        <f t="shared" si="11"/>
        <v>U16818</v>
      </c>
      <c r="D1082" s="14" t="str">
        <f t="array" ref="D1082">iferror(index('2018_ufns'!E:E,match(C1082,'2018_ufns'!B:B,0)))</f>
        <v>P1082</v>
      </c>
      <c r="E1082" s="14">
        <v>43445.0</v>
      </c>
      <c r="F1082" s="40" t="s">
        <v>53</v>
      </c>
      <c r="G1082" s="40" t="s">
        <v>54</v>
      </c>
      <c r="H1082" s="9">
        <v>11.3</v>
      </c>
      <c r="I1082" s="13">
        <v>106.0</v>
      </c>
      <c r="J1082" s="13" t="s">
        <v>63</v>
      </c>
      <c r="K1082" s="17" t="str">
        <f t="shared" si="10"/>
        <v/>
      </c>
      <c r="L1082" s="9">
        <v>0.0</v>
      </c>
      <c r="O1082" s="9" t="s">
        <v>638</v>
      </c>
      <c r="P1082" s="40" t="s">
        <v>1729</v>
      </c>
      <c r="Q1082" s="9" t="s">
        <v>150</v>
      </c>
      <c r="R1082" s="9" t="s">
        <v>2119</v>
      </c>
      <c r="S1082" s="9" t="s">
        <v>64</v>
      </c>
      <c r="T1082" t="str">
        <f t="shared" si="12"/>
        <v>N</v>
      </c>
      <c r="W1082" s="12" t="str">
        <f t="array" ref="W1082">if(and(L1082=0,Q1082="NA"),"NA",if(L1082=0,"no lice",if(Q1082="NA","no collection",index(sea_lice!G:G,match(C1082,sea_lice!A:A,0)))))</f>
        <v>no lice</v>
      </c>
      <c r="X1082" s="23">
        <v>1081.0</v>
      </c>
    </row>
    <row r="1083">
      <c r="B1083" s="6">
        <v>16816.0</v>
      </c>
      <c r="C1083" s="12" t="str">
        <f t="shared" si="11"/>
        <v>U16816</v>
      </c>
      <c r="D1083" s="14" t="str">
        <f t="array" ref="D1083">iferror(index('2018_ufns'!E:E,match(C1083,'2018_ufns'!B:B,0)))</f>
        <v>P1082</v>
      </c>
      <c r="E1083" s="14">
        <v>43445.0</v>
      </c>
      <c r="F1083" s="40" t="s">
        <v>53</v>
      </c>
      <c r="G1083" s="40" t="s">
        <v>54</v>
      </c>
      <c r="H1083" s="9">
        <v>12.2</v>
      </c>
      <c r="I1083" s="13">
        <v>111.0</v>
      </c>
      <c r="J1083" s="13">
        <v>116.0</v>
      </c>
      <c r="K1083" s="17">
        <f t="shared" si="10"/>
        <v>0.7816023617</v>
      </c>
      <c r="L1083" s="9">
        <v>0.0</v>
      </c>
      <c r="O1083" s="9" t="s">
        <v>638</v>
      </c>
      <c r="P1083" s="40" t="s">
        <v>1729</v>
      </c>
      <c r="Q1083" s="9" t="s">
        <v>150</v>
      </c>
      <c r="R1083" s="9" t="s">
        <v>2119</v>
      </c>
      <c r="S1083" s="9" t="s">
        <v>64</v>
      </c>
      <c r="T1083" t="str">
        <f t="shared" si="12"/>
        <v>N</v>
      </c>
      <c r="W1083" s="12" t="str">
        <f t="array" ref="W1083">if(and(L1083=0,Q1083="NA"),"NA",if(L1083=0,"no lice",if(Q1083="NA","no collection",index(sea_lice!G:G,match(C1083,sea_lice!A:A,0)))))</f>
        <v>no lice</v>
      </c>
      <c r="X1083" s="23">
        <v>1082.0</v>
      </c>
    </row>
    <row r="1084">
      <c r="B1084" s="6">
        <v>16820.0</v>
      </c>
      <c r="C1084" s="12" t="str">
        <f t="shared" si="11"/>
        <v>U16820</v>
      </c>
      <c r="D1084" s="14" t="str">
        <f t="array" ref="D1084">iferror(index('2018_ufns'!E:E,match(C1084,'2018_ufns'!B:B,0)))</f>
        <v>P1082</v>
      </c>
      <c r="E1084" s="14">
        <v>43445.0</v>
      </c>
      <c r="F1084" s="40" t="s">
        <v>53</v>
      </c>
      <c r="G1084" s="40" t="s">
        <v>54</v>
      </c>
      <c r="H1084" s="9">
        <v>12.7</v>
      </c>
      <c r="I1084" s="13">
        <v>110.0</v>
      </c>
      <c r="J1084" s="13" t="s">
        <v>63</v>
      </c>
      <c r="K1084" s="17" t="str">
        <f t="shared" si="10"/>
        <v/>
      </c>
      <c r="L1084" s="9">
        <v>0.0</v>
      </c>
      <c r="O1084" s="9" t="s">
        <v>638</v>
      </c>
      <c r="P1084" s="40" t="s">
        <v>1729</v>
      </c>
      <c r="Q1084" s="9" t="s">
        <v>150</v>
      </c>
      <c r="R1084" s="9" t="s">
        <v>2119</v>
      </c>
      <c r="S1084" s="9" t="s">
        <v>64</v>
      </c>
      <c r="T1084" t="str">
        <f t="shared" si="12"/>
        <v>N</v>
      </c>
      <c r="W1084" s="12" t="str">
        <f t="array" ref="W1084">if(and(L1084=0,Q1084="NA"),"NA",if(L1084=0,"no lice",if(Q1084="NA","no collection",index(sea_lice!G:G,match(C1084,sea_lice!A:A,0)))))</f>
        <v>no lice</v>
      </c>
      <c r="X1084" s="23">
        <v>1083.0</v>
      </c>
    </row>
    <row r="1085">
      <c r="B1085" s="6">
        <v>16819.0</v>
      </c>
      <c r="C1085" s="12" t="str">
        <f t="shared" si="11"/>
        <v>U16819</v>
      </c>
      <c r="D1085" s="14" t="str">
        <f t="array" ref="D1085">iferror(index('2018_ufns'!E:E,match(C1085,'2018_ufns'!B:B,0)))</f>
        <v>P1082</v>
      </c>
      <c r="E1085" s="14">
        <v>43445.0</v>
      </c>
      <c r="F1085" s="40" t="s">
        <v>53</v>
      </c>
      <c r="G1085" s="40" t="s">
        <v>54</v>
      </c>
      <c r="H1085" s="9">
        <v>13.8</v>
      </c>
      <c r="I1085" s="13">
        <v>115.0</v>
      </c>
      <c r="J1085" s="13">
        <v>122.0</v>
      </c>
      <c r="K1085" s="17">
        <f t="shared" si="10"/>
        <v>0.7599755046</v>
      </c>
      <c r="L1085" s="9">
        <v>1.0</v>
      </c>
      <c r="O1085" s="9" t="s">
        <v>638</v>
      </c>
      <c r="P1085" s="40" t="s">
        <v>1729</v>
      </c>
      <c r="Q1085" s="9" t="s">
        <v>150</v>
      </c>
      <c r="R1085" s="9" t="s">
        <v>2119</v>
      </c>
      <c r="S1085" s="9" t="s">
        <v>64</v>
      </c>
      <c r="T1085" t="str">
        <f t="shared" si="12"/>
        <v>N</v>
      </c>
      <c r="W1085" s="12" t="str">
        <f t="array" ref="W1085">if(and(L1085=0,Q1085="NA"),"NA",if(L1085=0,"no lice",if(Q1085="NA","no collection",index(sea_lice!G:G,match(C1085,sea_lice!A:A,0)))))</f>
        <v>BSL7-45</v>
      </c>
      <c r="X1085" s="23">
        <v>1084.0</v>
      </c>
    </row>
    <row r="1086">
      <c r="B1086" s="6">
        <v>16813.0</v>
      </c>
      <c r="C1086" s="12" t="str">
        <f t="shared" si="11"/>
        <v>U16813</v>
      </c>
      <c r="D1086" s="14" t="str">
        <f t="array" ref="D1086">iferror(index('2018_ufns'!E:E,match(C1086,'2018_ufns'!B:B,0)))</f>
        <v>P1082</v>
      </c>
      <c r="E1086" s="14">
        <v>43445.0</v>
      </c>
      <c r="F1086" s="40" t="s">
        <v>53</v>
      </c>
      <c r="G1086" s="40" t="s">
        <v>54</v>
      </c>
      <c r="H1086" s="9">
        <v>9.9</v>
      </c>
      <c r="I1086" s="13">
        <v>102.0</v>
      </c>
      <c r="J1086" s="13">
        <v>107.0</v>
      </c>
      <c r="K1086" s="17">
        <f t="shared" si="10"/>
        <v>0.8081348981</v>
      </c>
      <c r="L1086" s="9">
        <v>0.0</v>
      </c>
      <c r="O1086" s="9" t="s">
        <v>638</v>
      </c>
      <c r="P1086" s="40" t="s">
        <v>1729</v>
      </c>
      <c r="Q1086" s="9" t="s">
        <v>150</v>
      </c>
      <c r="R1086" s="9" t="s">
        <v>2119</v>
      </c>
      <c r="S1086" s="9" t="s">
        <v>64</v>
      </c>
      <c r="T1086" t="str">
        <f t="shared" si="12"/>
        <v>N</v>
      </c>
      <c r="W1086" s="12" t="str">
        <f t="array" ref="W1086">if(and(L1086=0,Q1086="NA"),"NA",if(L1086=0,"no lice",if(Q1086="NA","no collection",index(sea_lice!G:G,match(C1086,sea_lice!A:A,0)))))</f>
        <v>no lice</v>
      </c>
      <c r="X1086" s="23">
        <v>1085.0</v>
      </c>
    </row>
    <row r="1087">
      <c r="B1087" s="6">
        <v>16812.0</v>
      </c>
      <c r="C1087" s="12" t="str">
        <f t="shared" si="11"/>
        <v>U16812</v>
      </c>
      <c r="D1087" s="14" t="str">
        <f t="array" ref="D1087">iferror(index('2018_ufns'!E:E,match(C1087,'2018_ufns'!B:B,0)))</f>
        <v>P1082</v>
      </c>
      <c r="E1087" s="14">
        <v>43445.0</v>
      </c>
      <c r="F1087" s="40" t="s">
        <v>53</v>
      </c>
      <c r="G1087" s="40" t="s">
        <v>54</v>
      </c>
      <c r="H1087" s="9">
        <v>13.3</v>
      </c>
      <c r="I1087" s="13">
        <v>112.0</v>
      </c>
      <c r="J1087" s="13" t="s">
        <v>63</v>
      </c>
      <c r="K1087" s="17" t="str">
        <f t="shared" si="10"/>
        <v/>
      </c>
      <c r="L1087" s="9">
        <v>1.0</v>
      </c>
      <c r="O1087" s="9" t="s">
        <v>638</v>
      </c>
      <c r="P1087" s="40" t="s">
        <v>1729</v>
      </c>
      <c r="Q1087" s="9" t="s">
        <v>150</v>
      </c>
      <c r="R1087" s="9" t="s">
        <v>2119</v>
      </c>
      <c r="S1087" s="9" t="s">
        <v>64</v>
      </c>
      <c r="T1087" t="str">
        <f t="shared" si="12"/>
        <v>N</v>
      </c>
      <c r="W1087" s="12" t="str">
        <f t="array" ref="W1087">if(and(L1087=0,Q1087="NA"),"NA",if(L1087=0,"no lice",if(Q1087="NA","no collection",index(sea_lice!G:G,match(C1087,sea_lice!A:A,0)))))</f>
        <v>BSL7-46</v>
      </c>
      <c r="X1087" s="23">
        <v>1086.0</v>
      </c>
    </row>
    <row r="1088">
      <c r="B1088" s="6">
        <v>16817.0</v>
      </c>
      <c r="C1088" s="12" t="str">
        <f t="shared" si="11"/>
        <v>U16817</v>
      </c>
      <c r="D1088" s="14" t="str">
        <f t="array" ref="D1088">iferror(index('2018_ufns'!E:E,match(C1088,'2018_ufns'!B:B,0)))</f>
        <v>P1082</v>
      </c>
      <c r="E1088" s="14">
        <v>43445.0</v>
      </c>
      <c r="F1088" s="40" t="s">
        <v>53</v>
      </c>
      <c r="G1088" s="40" t="s">
        <v>54</v>
      </c>
      <c r="H1088" s="9">
        <v>11.9</v>
      </c>
      <c r="I1088" s="13">
        <v>107.0</v>
      </c>
      <c r="J1088" s="13">
        <v>112.0</v>
      </c>
      <c r="K1088" s="17">
        <f t="shared" si="10"/>
        <v>0.8470184949</v>
      </c>
      <c r="L1088" s="9">
        <v>0.0</v>
      </c>
      <c r="O1088" s="9" t="s">
        <v>638</v>
      </c>
      <c r="P1088" s="40" t="s">
        <v>1729</v>
      </c>
      <c r="Q1088" s="9" t="s">
        <v>150</v>
      </c>
      <c r="R1088" s="9" t="s">
        <v>2119</v>
      </c>
      <c r="S1088" s="9" t="s">
        <v>64</v>
      </c>
      <c r="T1088" t="str">
        <f t="shared" si="12"/>
        <v>N</v>
      </c>
      <c r="W1088" s="12" t="str">
        <f t="array" ref="W1088">if(and(L1088=0,Q1088="NA"),"NA",if(L1088=0,"no lice",if(Q1088="NA","no collection",index(sea_lice!G:G,match(C1088,sea_lice!A:A,0)))))</f>
        <v>no lice</v>
      </c>
      <c r="X1088" s="23">
        <v>1087.0</v>
      </c>
    </row>
    <row r="1089">
      <c r="B1089" s="6">
        <v>16814.0</v>
      </c>
      <c r="C1089" s="12" t="str">
        <f t="shared" si="11"/>
        <v>U16814</v>
      </c>
      <c r="D1089" s="14" t="str">
        <f t="array" ref="D1089">iferror(index('2018_ufns'!E:E,match(C1089,'2018_ufns'!B:B,0)))</f>
        <v>P1082</v>
      </c>
      <c r="E1089" s="14">
        <v>43445.0</v>
      </c>
      <c r="F1089" s="40" t="s">
        <v>53</v>
      </c>
      <c r="G1089" s="40" t="s">
        <v>54</v>
      </c>
      <c r="H1089" s="9">
        <v>13.6</v>
      </c>
      <c r="I1089" s="13">
        <v>112.0</v>
      </c>
      <c r="J1089" s="13" t="s">
        <v>63</v>
      </c>
      <c r="K1089" s="17" t="str">
        <f t="shared" si="10"/>
        <v/>
      </c>
      <c r="L1089" s="9">
        <v>2.0</v>
      </c>
      <c r="O1089" s="9" t="s">
        <v>638</v>
      </c>
      <c r="P1089" s="40" t="s">
        <v>1729</v>
      </c>
      <c r="Q1089" s="9" t="s">
        <v>150</v>
      </c>
      <c r="R1089" s="9" t="s">
        <v>2119</v>
      </c>
      <c r="S1089" s="9" t="s">
        <v>64</v>
      </c>
      <c r="T1089" t="str">
        <f t="shared" si="12"/>
        <v>N</v>
      </c>
      <c r="W1089" s="12" t="str">
        <f t="array" ref="W1089">if(and(L1089=0,Q1089="NA"),"NA",if(L1089=0,"no lice",if(Q1089="NA","no collection",index(sea_lice!G:G,match(C1089,sea_lice!A:A,0)))))</f>
        <v>BSL7-47</v>
      </c>
      <c r="X1089" s="23">
        <v>1088.0</v>
      </c>
    </row>
    <row r="1090">
      <c r="B1090" s="6">
        <v>17138.0</v>
      </c>
      <c r="C1090" s="12" t="str">
        <f t="shared" si="11"/>
        <v>U17138</v>
      </c>
      <c r="D1090" s="14" t="str">
        <f t="array" ref="D1090">iferror(index('2018_ufns'!E:E,match(C1090,'2018_ufns'!B:B,0)))</f>
        <v>P1114</v>
      </c>
      <c r="E1090" s="14">
        <v>43445.0</v>
      </c>
      <c r="F1090" s="40" t="s">
        <v>53</v>
      </c>
      <c r="G1090" s="40" t="s">
        <v>54</v>
      </c>
      <c r="H1090" s="9">
        <v>11.8</v>
      </c>
      <c r="I1090" s="13">
        <v>104.0</v>
      </c>
      <c r="J1090" s="13" t="s">
        <v>63</v>
      </c>
      <c r="K1090" s="17" t="str">
        <f t="shared" si="10"/>
        <v/>
      </c>
      <c r="L1090" s="9">
        <v>1.0</v>
      </c>
      <c r="O1090" s="9" t="s">
        <v>638</v>
      </c>
      <c r="P1090" s="40" t="s">
        <v>1729</v>
      </c>
      <c r="Q1090" s="9" t="s">
        <v>150</v>
      </c>
      <c r="R1090" s="9" t="s">
        <v>2119</v>
      </c>
      <c r="S1090" s="9" t="s">
        <v>64</v>
      </c>
      <c r="T1090" t="str">
        <f t="shared" si="12"/>
        <v>N</v>
      </c>
      <c r="W1090" s="12" t="str">
        <f t="array" ref="W1090">if(and(L1090=0,Q1090="NA"),"NA",if(L1090=0,"no lice",if(Q1090="NA","no collection",index(sea_lice!G:G,match(C1090,sea_lice!A:A,0)))))</f>
        <v>BSL7-48</v>
      </c>
      <c r="X1090" s="23">
        <v>1089.0</v>
      </c>
    </row>
    <row r="1091">
      <c r="B1091" s="6">
        <v>17131.0</v>
      </c>
      <c r="C1091" s="12" t="str">
        <f t="shared" si="11"/>
        <v>U17131</v>
      </c>
      <c r="D1091" s="14" t="str">
        <f t="array" ref="D1091">iferror(index('2018_ufns'!E:E,match(C1091,'2018_ufns'!B:B,0)))</f>
        <v>P1114</v>
      </c>
      <c r="E1091" s="14">
        <v>43445.0</v>
      </c>
      <c r="F1091" s="40" t="s">
        <v>53</v>
      </c>
      <c r="G1091" s="40" t="s">
        <v>54</v>
      </c>
      <c r="H1091" s="9">
        <v>9.9</v>
      </c>
      <c r="I1091" s="13">
        <v>98.0</v>
      </c>
      <c r="J1091" s="13" t="s">
        <v>63</v>
      </c>
      <c r="K1091" s="17" t="str">
        <f t="shared" si="10"/>
        <v/>
      </c>
      <c r="L1091" s="9">
        <v>3.0</v>
      </c>
      <c r="O1091" s="9" t="s">
        <v>638</v>
      </c>
      <c r="P1091" s="40" t="s">
        <v>1729</v>
      </c>
      <c r="Q1091" s="9" t="s">
        <v>150</v>
      </c>
      <c r="R1091" s="9" t="s">
        <v>2119</v>
      </c>
      <c r="S1091" s="9" t="s">
        <v>64</v>
      </c>
      <c r="T1091" t="str">
        <f t="shared" si="12"/>
        <v>N</v>
      </c>
      <c r="W1091" s="12" t="str">
        <f t="array" ref="W1091">if(and(L1091=0,Q1091="NA"),"NA",if(L1091=0,"no lice",if(Q1091="NA","no collection",index(sea_lice!G:G,match(C1091,sea_lice!A:A,0)))))</f>
        <v>BSL7-49</v>
      </c>
      <c r="X1091" s="23">
        <v>1090.0</v>
      </c>
    </row>
    <row r="1092">
      <c r="B1092" s="6">
        <v>17133.0</v>
      </c>
      <c r="C1092" s="12" t="str">
        <f t="shared" si="11"/>
        <v>U17133</v>
      </c>
      <c r="D1092" s="14" t="str">
        <f t="array" ref="D1092">iferror(index('2018_ufns'!E:E,match(C1092,'2018_ufns'!B:B,0)))</f>
        <v>P1114</v>
      </c>
      <c r="E1092" s="14">
        <v>43445.0</v>
      </c>
      <c r="F1092" s="40" t="s">
        <v>53</v>
      </c>
      <c r="G1092" s="40" t="s">
        <v>54</v>
      </c>
      <c r="H1092" s="9">
        <v>7.0</v>
      </c>
      <c r="I1092" s="13">
        <v>91.0</v>
      </c>
      <c r="J1092" s="13" t="s">
        <v>63</v>
      </c>
      <c r="K1092" s="17" t="str">
        <f t="shared" si="10"/>
        <v/>
      </c>
      <c r="L1092" s="9">
        <v>1.0</v>
      </c>
      <c r="O1092" s="9" t="s">
        <v>638</v>
      </c>
      <c r="P1092" s="40" t="s">
        <v>1729</v>
      </c>
      <c r="Q1092" s="9" t="s">
        <v>150</v>
      </c>
      <c r="R1092" s="9" t="s">
        <v>2119</v>
      </c>
      <c r="S1092" s="9" t="s">
        <v>64</v>
      </c>
      <c r="T1092" t="str">
        <f t="shared" si="12"/>
        <v>N</v>
      </c>
      <c r="W1092" s="12" t="str">
        <f t="array" ref="W1092">if(and(L1092=0,Q1092="NA"),"NA",if(L1092=0,"no lice",if(Q1092="NA","no collection",index(sea_lice!G:G,match(C1092,sea_lice!A:A,0)))))</f>
        <v>BSL7-50</v>
      </c>
      <c r="X1092" s="23">
        <v>1091.0</v>
      </c>
    </row>
    <row r="1093">
      <c r="B1093" s="6">
        <v>17135.0</v>
      </c>
      <c r="C1093" s="12" t="str">
        <f t="shared" si="11"/>
        <v>U17135</v>
      </c>
      <c r="D1093" s="14" t="str">
        <f t="array" ref="D1093">iferror(index('2018_ufns'!E:E,match(C1093,'2018_ufns'!B:B,0)))</f>
        <v>P1114</v>
      </c>
      <c r="E1093" s="14">
        <v>43445.0</v>
      </c>
      <c r="F1093" s="40" t="s">
        <v>53</v>
      </c>
      <c r="G1093" s="40" t="s">
        <v>54</v>
      </c>
      <c r="H1093" s="9">
        <v>8.5</v>
      </c>
      <c r="I1093" s="13">
        <v>93.0</v>
      </c>
      <c r="J1093" s="13">
        <v>97.0</v>
      </c>
      <c r="K1093" s="17">
        <f t="shared" si="10"/>
        <v>0.9313302793</v>
      </c>
      <c r="L1093" s="9">
        <v>3.0</v>
      </c>
      <c r="O1093" s="9" t="s">
        <v>638</v>
      </c>
      <c r="P1093" s="40" t="s">
        <v>1729</v>
      </c>
      <c r="Q1093" s="9" t="s">
        <v>150</v>
      </c>
      <c r="R1093" s="9" t="s">
        <v>2119</v>
      </c>
      <c r="S1093" s="9" t="s">
        <v>64</v>
      </c>
      <c r="T1093" t="str">
        <f t="shared" si="12"/>
        <v>N</v>
      </c>
      <c r="W1093" s="12" t="str">
        <f t="array" ref="W1093">if(and(L1093=0,Q1093="NA"),"NA",if(L1093=0,"no lice",if(Q1093="NA","no collection",index(sea_lice!G:G,match(C1093,sea_lice!A:A,0)))))</f>
        <v>BSL7-51</v>
      </c>
      <c r="X1093" s="23">
        <v>1092.0</v>
      </c>
    </row>
    <row r="1094">
      <c r="B1094" s="6">
        <v>17136.0</v>
      </c>
      <c r="C1094" s="12" t="str">
        <f t="shared" si="11"/>
        <v>U17136</v>
      </c>
      <c r="D1094" s="14" t="str">
        <f t="array" ref="D1094">iferror(index('2018_ufns'!E:E,match(C1094,'2018_ufns'!B:B,0)))</f>
        <v>P1114</v>
      </c>
      <c r="E1094" s="14">
        <v>43445.0</v>
      </c>
      <c r="F1094" s="40" t="s">
        <v>53</v>
      </c>
      <c r="G1094" s="40" t="s">
        <v>54</v>
      </c>
      <c r="H1094" s="9">
        <v>8.1</v>
      </c>
      <c r="I1094" s="13">
        <v>96.0</v>
      </c>
      <c r="J1094" s="13">
        <v>100.0</v>
      </c>
      <c r="K1094" s="17">
        <f t="shared" si="10"/>
        <v>0.81</v>
      </c>
      <c r="L1094" s="9">
        <v>0.0</v>
      </c>
      <c r="O1094" s="9" t="s">
        <v>638</v>
      </c>
      <c r="P1094" s="40" t="s">
        <v>1729</v>
      </c>
      <c r="Q1094" s="9" t="s">
        <v>150</v>
      </c>
      <c r="R1094" s="9" t="s">
        <v>2119</v>
      </c>
      <c r="S1094" s="9" t="s">
        <v>64</v>
      </c>
      <c r="T1094" t="str">
        <f t="shared" si="12"/>
        <v>N</v>
      </c>
      <c r="W1094" s="12" t="str">
        <f t="array" ref="W1094">if(and(L1094=0,Q1094="NA"),"NA",if(L1094=0,"no lice",if(Q1094="NA","no collection",index(sea_lice!G:G,match(C1094,sea_lice!A:A,0)))))</f>
        <v>no lice</v>
      </c>
      <c r="X1094" s="23">
        <v>1093.0</v>
      </c>
    </row>
    <row r="1095">
      <c r="B1095" s="6">
        <v>17139.0</v>
      </c>
      <c r="C1095" s="12" t="str">
        <f t="shared" si="11"/>
        <v>U17139</v>
      </c>
      <c r="D1095" s="14" t="str">
        <f t="array" ref="D1095">iferror(index('2018_ufns'!E:E,match(C1095,'2018_ufns'!B:B,0)))</f>
        <v>P1114</v>
      </c>
      <c r="E1095" s="14">
        <v>43445.0</v>
      </c>
      <c r="F1095" s="40" t="s">
        <v>53</v>
      </c>
      <c r="G1095" s="40" t="s">
        <v>54</v>
      </c>
      <c r="H1095" s="9">
        <v>10.0</v>
      </c>
      <c r="I1095" s="13">
        <v>99.0</v>
      </c>
      <c r="J1095" s="13">
        <v>102.0</v>
      </c>
      <c r="K1095" s="17">
        <f t="shared" si="10"/>
        <v>0.9423223345</v>
      </c>
      <c r="L1095" s="9">
        <v>4.0</v>
      </c>
      <c r="O1095" s="9" t="s">
        <v>638</v>
      </c>
      <c r="P1095" s="40" t="s">
        <v>1729</v>
      </c>
      <c r="Q1095" s="9" t="s">
        <v>150</v>
      </c>
      <c r="R1095" s="9" t="s">
        <v>2119</v>
      </c>
      <c r="S1095" s="9" t="s">
        <v>64</v>
      </c>
      <c r="T1095" t="str">
        <f t="shared" si="12"/>
        <v>N</v>
      </c>
      <c r="W1095" s="12" t="str">
        <f t="array" ref="W1095">if(and(L1095=0,Q1095="NA"),"NA",if(L1095=0,"no lice",if(Q1095="NA","no collection",index(sea_lice!G:G,match(C1095,sea_lice!A:A,0)))))</f>
        <v>BSL7-53</v>
      </c>
      <c r="X1095" s="23">
        <v>1094.0</v>
      </c>
    </row>
    <row r="1096">
      <c r="B1096" s="6">
        <v>17140.0</v>
      </c>
      <c r="C1096" s="12" t="str">
        <f t="shared" si="11"/>
        <v>U17140</v>
      </c>
      <c r="D1096" s="14" t="str">
        <f t="array" ref="D1096">iferror(index('2018_ufns'!E:E,match(C1096,'2018_ufns'!B:B,0)))</f>
        <v>P1114</v>
      </c>
      <c r="E1096" s="14">
        <v>43445.0</v>
      </c>
      <c r="F1096" s="40" t="s">
        <v>53</v>
      </c>
      <c r="G1096" s="40" t="s">
        <v>54</v>
      </c>
      <c r="H1096" s="9">
        <v>9.5</v>
      </c>
      <c r="I1096" s="13">
        <v>101.0</v>
      </c>
      <c r="J1096" s="13">
        <v>105.0</v>
      </c>
      <c r="K1096" s="17">
        <f t="shared" si="10"/>
        <v>0.8206457186</v>
      </c>
      <c r="L1096" s="9">
        <v>0.0</v>
      </c>
      <c r="O1096" s="9" t="s">
        <v>638</v>
      </c>
      <c r="P1096" s="40" t="s">
        <v>1729</v>
      </c>
      <c r="Q1096" s="9" t="s">
        <v>150</v>
      </c>
      <c r="R1096" s="9" t="s">
        <v>2119</v>
      </c>
      <c r="S1096" s="9" t="s">
        <v>64</v>
      </c>
      <c r="T1096" t="str">
        <f t="shared" si="12"/>
        <v>N</v>
      </c>
      <c r="W1096" s="12" t="str">
        <f t="array" ref="W1096">if(and(L1096=0,Q1096="NA"),"NA",if(L1096=0,"no lice",if(Q1096="NA","no collection",index(sea_lice!G:G,match(C1096,sea_lice!A:A,0)))))</f>
        <v>no lice</v>
      </c>
      <c r="X1096" s="23">
        <v>1095.0</v>
      </c>
    </row>
    <row r="1097">
      <c r="B1097" s="6">
        <v>17137.0</v>
      </c>
      <c r="C1097" s="12" t="str">
        <f t="shared" si="11"/>
        <v>U17137</v>
      </c>
      <c r="D1097" s="14" t="str">
        <f t="array" ref="D1097">iferror(index('2018_ufns'!E:E,match(C1097,'2018_ufns'!B:B,0)))</f>
        <v>P1114</v>
      </c>
      <c r="E1097" s="14">
        <v>43445.0</v>
      </c>
      <c r="F1097" s="40" t="s">
        <v>53</v>
      </c>
      <c r="G1097" s="40" t="s">
        <v>54</v>
      </c>
      <c r="H1097" s="9">
        <v>9.2</v>
      </c>
      <c r="I1097" s="13">
        <v>98.0</v>
      </c>
      <c r="J1097" s="13">
        <v>102.0</v>
      </c>
      <c r="K1097" s="17">
        <f t="shared" si="10"/>
        <v>0.8669365478</v>
      </c>
      <c r="L1097" s="9">
        <v>0.0</v>
      </c>
      <c r="O1097" s="9" t="s">
        <v>638</v>
      </c>
      <c r="P1097" s="40" t="s">
        <v>1729</v>
      </c>
      <c r="Q1097" s="9" t="s">
        <v>150</v>
      </c>
      <c r="R1097" s="9" t="s">
        <v>2119</v>
      </c>
      <c r="S1097" s="9" t="s">
        <v>64</v>
      </c>
      <c r="T1097" t="str">
        <f t="shared" si="12"/>
        <v>N</v>
      </c>
      <c r="W1097" s="12" t="str">
        <f t="array" ref="W1097">if(and(L1097=0,Q1097="NA"),"NA",if(L1097=0,"no lice",if(Q1097="NA","no collection",index(sea_lice!G:G,match(C1097,sea_lice!A:A,0)))))</f>
        <v>no lice</v>
      </c>
      <c r="X1097" s="23">
        <v>1096.0</v>
      </c>
    </row>
    <row r="1098">
      <c r="B1098" s="6">
        <v>17134.0</v>
      </c>
      <c r="C1098" s="12" t="str">
        <f t="shared" si="11"/>
        <v>U17134</v>
      </c>
      <c r="D1098" s="14" t="str">
        <f t="array" ref="D1098">iferror(index('2018_ufns'!E:E,match(C1098,'2018_ufns'!B:B,0)))</f>
        <v>P1114</v>
      </c>
      <c r="E1098" s="14">
        <v>43445.0</v>
      </c>
      <c r="F1098" s="40" t="s">
        <v>53</v>
      </c>
      <c r="G1098" s="40" t="s">
        <v>54</v>
      </c>
      <c r="H1098" s="9">
        <v>6.9</v>
      </c>
      <c r="I1098" s="13">
        <v>88.0</v>
      </c>
      <c r="J1098" s="13">
        <v>92.0</v>
      </c>
      <c r="K1098" s="17">
        <f t="shared" si="10"/>
        <v>0.8861058601</v>
      </c>
      <c r="L1098" s="9">
        <v>0.0</v>
      </c>
      <c r="O1098" s="9" t="s">
        <v>638</v>
      </c>
      <c r="P1098" s="40" t="s">
        <v>1729</v>
      </c>
      <c r="Q1098" s="9" t="s">
        <v>150</v>
      </c>
      <c r="R1098" s="9" t="s">
        <v>2119</v>
      </c>
      <c r="S1098" s="9" t="s">
        <v>64</v>
      </c>
      <c r="T1098" t="str">
        <f t="shared" si="12"/>
        <v>N</v>
      </c>
      <c r="W1098" s="12" t="str">
        <f t="array" ref="W1098">if(and(L1098=0,Q1098="NA"),"NA",if(L1098=0,"no lice",if(Q1098="NA","no collection",index(sea_lice!G:G,match(C1098,sea_lice!A:A,0)))))</f>
        <v>no lice</v>
      </c>
      <c r="X1098" s="23">
        <v>1097.0</v>
      </c>
    </row>
    <row r="1099">
      <c r="B1099" s="6">
        <v>17132.0</v>
      </c>
      <c r="C1099" s="12" t="str">
        <f t="shared" si="11"/>
        <v>U17132</v>
      </c>
      <c r="D1099" s="14" t="str">
        <f t="array" ref="D1099">iferror(index('2018_ufns'!E:E,match(C1099,'2018_ufns'!B:B,0)))</f>
        <v>P1114</v>
      </c>
      <c r="E1099" s="14">
        <v>43445.0</v>
      </c>
      <c r="F1099" s="40" t="s">
        <v>53</v>
      </c>
      <c r="G1099" s="40" t="s">
        <v>54</v>
      </c>
      <c r="H1099" s="9">
        <v>8.2</v>
      </c>
      <c r="I1099" s="13">
        <v>93.0</v>
      </c>
      <c r="J1099" s="13">
        <v>98.0</v>
      </c>
      <c r="K1099" s="17">
        <f t="shared" si="10"/>
        <v>0.8712356246</v>
      </c>
      <c r="L1099" s="9">
        <v>1.0</v>
      </c>
      <c r="O1099" s="9" t="s">
        <v>638</v>
      </c>
      <c r="P1099" s="40" t="s">
        <v>1729</v>
      </c>
      <c r="Q1099" s="9" t="s">
        <v>150</v>
      </c>
      <c r="R1099" s="9" t="s">
        <v>2119</v>
      </c>
      <c r="S1099" s="9" t="s">
        <v>64</v>
      </c>
      <c r="T1099" t="str">
        <f t="shared" si="12"/>
        <v>N</v>
      </c>
      <c r="W1099" s="12" t="str">
        <f t="array" ref="W1099">if(and(L1099=0,Q1099="NA"),"NA",if(L1099=0,"no lice",if(Q1099="NA","no collection",index(sea_lice!G:G,match(C1099,sea_lice!A:A,0)))))</f>
        <v>BSL7-56</v>
      </c>
      <c r="X1099" s="23">
        <v>1098.0</v>
      </c>
    </row>
    <row r="1100">
      <c r="B1100" s="6">
        <v>17227.0</v>
      </c>
      <c r="C1100" s="12" t="str">
        <f t="shared" si="11"/>
        <v>U17227</v>
      </c>
      <c r="D1100" s="14" t="str">
        <f t="array" ref="D1100">iferror(index('2018_ufns'!E:E,match(C1100,'2018_ufns'!B:B,0)))</f>
        <v>P1123</v>
      </c>
      <c r="E1100" s="14">
        <v>43445.0</v>
      </c>
      <c r="F1100" s="40" t="s">
        <v>53</v>
      </c>
      <c r="G1100" s="40" t="s">
        <v>54</v>
      </c>
      <c r="H1100" s="9">
        <v>14.3</v>
      </c>
      <c r="I1100" s="13">
        <v>111.0</v>
      </c>
      <c r="J1100" s="13">
        <v>115.0</v>
      </c>
      <c r="K1100" s="17">
        <f t="shared" si="10"/>
        <v>0.9402482124</v>
      </c>
      <c r="L1100" s="9">
        <v>2.0</v>
      </c>
      <c r="O1100" s="9" t="s">
        <v>64</v>
      </c>
      <c r="P1100" s="40" t="s">
        <v>1729</v>
      </c>
      <c r="Q1100" s="9" t="s">
        <v>150</v>
      </c>
      <c r="R1100" s="9" t="s">
        <v>63</v>
      </c>
      <c r="S1100" s="9" t="s">
        <v>638</v>
      </c>
      <c r="T1100" t="str">
        <f t="shared" si="12"/>
        <v>N</v>
      </c>
      <c r="W1100" s="12" t="str">
        <f t="array" ref="W1100">if(and(L1100=0,Q1100="NA"),"NA",if(L1100=0,"no lice",if(Q1100="NA","no collection",index(sea_lice!G:G,match(C1100,sea_lice!A:A,0)))))</f>
        <v>BSL7-52</v>
      </c>
      <c r="X1100" s="23">
        <v>1099.0</v>
      </c>
    </row>
    <row r="1101">
      <c r="B1101" s="6">
        <v>17222.0</v>
      </c>
      <c r="C1101" s="12" t="str">
        <f t="shared" si="11"/>
        <v>U17222</v>
      </c>
      <c r="D1101" s="14" t="str">
        <f t="array" ref="D1101">iferror(index('2018_ufns'!E:E,match(C1101,'2018_ufns'!B:B,0)))</f>
        <v>P1123</v>
      </c>
      <c r="E1101" s="14">
        <v>43445.0</v>
      </c>
      <c r="F1101" s="40" t="s">
        <v>53</v>
      </c>
      <c r="G1101" s="40" t="s">
        <v>54</v>
      </c>
      <c r="H1101" s="9">
        <v>13.5</v>
      </c>
      <c r="I1101" s="13">
        <v>110.0</v>
      </c>
      <c r="J1101" s="13">
        <v>114.0</v>
      </c>
      <c r="K1101" s="17">
        <f t="shared" si="10"/>
        <v>0.9112115469</v>
      </c>
      <c r="L1101" s="9">
        <v>0.0</v>
      </c>
      <c r="O1101" s="9" t="s">
        <v>64</v>
      </c>
      <c r="P1101" s="40" t="s">
        <v>1729</v>
      </c>
      <c r="Q1101" s="9" t="s">
        <v>150</v>
      </c>
      <c r="R1101" s="9" t="s">
        <v>63</v>
      </c>
      <c r="S1101" s="9" t="s">
        <v>638</v>
      </c>
      <c r="T1101" t="str">
        <f t="shared" si="12"/>
        <v>N</v>
      </c>
      <c r="W1101" s="12" t="str">
        <f t="array" ref="W1101">if(and(L1101=0,Q1101="NA"),"NA",if(L1101=0,"no lice",if(Q1101="NA","no collection",index(sea_lice!G:G,match(C1101,sea_lice!A:A,0)))))</f>
        <v>no lice</v>
      </c>
      <c r="X1101" s="23">
        <v>1100.0</v>
      </c>
    </row>
    <row r="1102">
      <c r="B1102" s="6">
        <v>17221.0</v>
      </c>
      <c r="C1102" s="12" t="str">
        <f t="shared" si="11"/>
        <v>U17221</v>
      </c>
      <c r="D1102" s="14" t="str">
        <f t="array" ref="D1102">iferror(index('2018_ufns'!E:E,match(C1102,'2018_ufns'!B:B,0)))</f>
        <v>P1123</v>
      </c>
      <c r="E1102" s="14">
        <v>43445.0</v>
      </c>
      <c r="F1102" s="40" t="s">
        <v>53</v>
      </c>
      <c r="G1102" s="40" t="s">
        <v>54</v>
      </c>
      <c r="H1102" s="9">
        <v>12.4</v>
      </c>
      <c r="I1102" s="13">
        <v>109.0</v>
      </c>
      <c r="J1102" s="13">
        <v>113.0</v>
      </c>
      <c r="K1102" s="17">
        <f t="shared" si="10"/>
        <v>0.8593822012</v>
      </c>
      <c r="L1102" s="9">
        <v>2.0</v>
      </c>
      <c r="O1102" s="9" t="s">
        <v>64</v>
      </c>
      <c r="P1102" s="40" t="s">
        <v>1729</v>
      </c>
      <c r="Q1102" s="9" t="s">
        <v>150</v>
      </c>
      <c r="R1102" s="9" t="s">
        <v>63</v>
      </c>
      <c r="S1102" s="9" t="s">
        <v>638</v>
      </c>
      <c r="T1102" t="str">
        <f t="shared" si="12"/>
        <v>N</v>
      </c>
      <c r="W1102" s="12" t="str">
        <f t="array" ref="W1102">if(and(L1102=0,Q1102="NA"),"NA",if(L1102=0,"no lice",if(Q1102="NA","no collection",index(sea_lice!G:G,match(C1102,sea_lice!A:A,0)))))</f>
        <v>BSL7-54</v>
      </c>
      <c r="X1102" s="23">
        <v>1101.0</v>
      </c>
    </row>
    <row r="1103">
      <c r="B1103" s="6">
        <v>17223.0</v>
      </c>
      <c r="C1103" s="12" t="str">
        <f t="shared" si="11"/>
        <v>U17223</v>
      </c>
      <c r="D1103" s="14" t="str">
        <f t="array" ref="D1103">iferror(index('2018_ufns'!E:E,match(C1103,'2018_ufns'!B:B,0)))</f>
        <v>P1123</v>
      </c>
      <c r="E1103" s="14">
        <v>43445.0</v>
      </c>
      <c r="F1103" s="40" t="s">
        <v>53</v>
      </c>
      <c r="G1103" s="40" t="s">
        <v>54</v>
      </c>
      <c r="H1103" s="9">
        <v>12.0</v>
      </c>
      <c r="I1103" s="13">
        <v>109.0</v>
      </c>
      <c r="J1103" s="13">
        <v>113.0</v>
      </c>
      <c r="K1103" s="17">
        <f t="shared" si="10"/>
        <v>0.8316601947</v>
      </c>
      <c r="L1103" s="9">
        <v>0.0</v>
      </c>
      <c r="O1103" s="9" t="s">
        <v>64</v>
      </c>
      <c r="P1103" s="40" t="s">
        <v>1729</v>
      </c>
      <c r="Q1103" s="9" t="s">
        <v>150</v>
      </c>
      <c r="R1103" s="9" t="s">
        <v>63</v>
      </c>
      <c r="S1103" s="9" t="s">
        <v>638</v>
      </c>
      <c r="T1103" t="str">
        <f t="shared" si="12"/>
        <v>N</v>
      </c>
      <c r="W1103" s="12" t="str">
        <f t="array" ref="W1103">if(and(L1103=0,Q1103="NA"),"NA",if(L1103=0,"no lice",if(Q1103="NA","no collection",index(sea_lice!G:G,match(C1103,sea_lice!A:A,0)))))</f>
        <v>no lice</v>
      </c>
      <c r="X1103" s="23">
        <v>1102.0</v>
      </c>
    </row>
    <row r="1104">
      <c r="B1104" s="6">
        <v>17224.0</v>
      </c>
      <c r="C1104" s="12" t="str">
        <f t="shared" si="11"/>
        <v>U17224</v>
      </c>
      <c r="D1104" s="14" t="str">
        <f t="array" ref="D1104">iferror(index('2018_ufns'!E:E,match(C1104,'2018_ufns'!B:B,0)))</f>
        <v>P1123</v>
      </c>
      <c r="E1104" s="14">
        <v>43445.0</v>
      </c>
      <c r="F1104" s="40" t="s">
        <v>53</v>
      </c>
      <c r="G1104" s="40" t="s">
        <v>54</v>
      </c>
      <c r="H1104" s="9">
        <v>14.3</v>
      </c>
      <c r="I1104" s="13">
        <v>108.0</v>
      </c>
      <c r="J1104" s="13">
        <v>113.0</v>
      </c>
      <c r="K1104" s="17">
        <f t="shared" si="10"/>
        <v>0.9910617321</v>
      </c>
      <c r="L1104" s="9">
        <v>3.0</v>
      </c>
      <c r="O1104" s="9" t="s">
        <v>64</v>
      </c>
      <c r="P1104" s="40" t="s">
        <v>1729</v>
      </c>
      <c r="Q1104" s="9" t="s">
        <v>150</v>
      </c>
      <c r="R1104" s="9" t="s">
        <v>63</v>
      </c>
      <c r="S1104" s="9" t="s">
        <v>638</v>
      </c>
      <c r="T1104" t="str">
        <f t="shared" si="12"/>
        <v>N</v>
      </c>
      <c r="W1104" s="12" t="str">
        <f t="array" ref="W1104">if(and(L1104=0,Q1104="NA"),"NA",if(L1104=0,"no lice",if(Q1104="NA","no collection",index(sea_lice!G:G,match(C1104,sea_lice!A:A,0)))))</f>
        <v>BSL7-55</v>
      </c>
      <c r="X1104" s="23">
        <v>1103.0</v>
      </c>
    </row>
    <row r="1105">
      <c r="B1105" s="6">
        <v>17230.0</v>
      </c>
      <c r="C1105" s="12" t="str">
        <f t="shared" si="11"/>
        <v>U17230</v>
      </c>
      <c r="D1105" s="14" t="str">
        <f t="array" ref="D1105">iferror(index('2018_ufns'!E:E,match(C1105,'2018_ufns'!B:B,0)))</f>
        <v>P1123</v>
      </c>
      <c r="E1105" s="14">
        <v>43445.0</v>
      </c>
      <c r="F1105" s="40" t="s">
        <v>53</v>
      </c>
      <c r="G1105" s="40" t="s">
        <v>54</v>
      </c>
      <c r="H1105" s="9">
        <v>14.0</v>
      </c>
      <c r="I1105" s="13">
        <v>110.0</v>
      </c>
      <c r="J1105" s="13">
        <v>114.0</v>
      </c>
      <c r="K1105" s="17">
        <f t="shared" si="10"/>
        <v>0.9449601227</v>
      </c>
      <c r="L1105" s="9">
        <v>0.0</v>
      </c>
      <c r="O1105" s="9" t="s">
        <v>64</v>
      </c>
      <c r="P1105" s="40" t="s">
        <v>1729</v>
      </c>
      <c r="Q1105" s="9" t="s">
        <v>150</v>
      </c>
      <c r="R1105" s="9" t="s">
        <v>63</v>
      </c>
      <c r="S1105" s="9" t="s">
        <v>638</v>
      </c>
      <c r="T1105" t="str">
        <f t="shared" si="12"/>
        <v>N</v>
      </c>
      <c r="W1105" s="12" t="str">
        <f t="array" ref="W1105">if(and(L1105=0,Q1105="NA"),"NA",if(L1105=0,"no lice",if(Q1105="NA","no collection",index(sea_lice!G:G,match(C1105,sea_lice!A:A,0)))))</f>
        <v>no lice</v>
      </c>
      <c r="X1105" s="23">
        <v>1104.0</v>
      </c>
    </row>
    <row r="1106">
      <c r="B1106" s="6">
        <v>17225.0</v>
      </c>
      <c r="C1106" s="12" t="str">
        <f t="shared" si="11"/>
        <v>U17225</v>
      </c>
      <c r="D1106" s="14" t="str">
        <f t="array" ref="D1106">iferror(index('2018_ufns'!E:E,match(C1106,'2018_ufns'!B:B,0)))</f>
        <v>P1123</v>
      </c>
      <c r="E1106" s="14">
        <v>43445.0</v>
      </c>
      <c r="F1106" s="40" t="s">
        <v>53</v>
      </c>
      <c r="G1106" s="40" t="s">
        <v>54</v>
      </c>
      <c r="H1106" s="9">
        <v>13.3</v>
      </c>
      <c r="I1106" s="13">
        <v>105.0</v>
      </c>
      <c r="J1106" s="13">
        <v>110.0</v>
      </c>
      <c r="K1106" s="17">
        <f t="shared" si="10"/>
        <v>0.9992486852</v>
      </c>
      <c r="L1106" s="9">
        <v>2.0</v>
      </c>
      <c r="N1106" s="9" t="s">
        <v>2153</v>
      </c>
      <c r="O1106" s="9" t="s">
        <v>64</v>
      </c>
      <c r="P1106" s="40" t="s">
        <v>1729</v>
      </c>
      <c r="Q1106" s="9" t="s">
        <v>150</v>
      </c>
      <c r="R1106" s="9" t="s">
        <v>63</v>
      </c>
      <c r="S1106" s="9" t="s">
        <v>638</v>
      </c>
      <c r="T1106" t="str">
        <f t="shared" si="12"/>
        <v>N</v>
      </c>
      <c r="W1106" s="12" t="str">
        <f t="array" ref="W1106">if(and(L1106=0,Q1106="NA"),"NA",if(L1106=0,"no lice",if(Q1106="NA","no collection",index(sea_lice!G:G,match(C1106,sea_lice!A:A,0)))))</f>
        <v>BSL7-57</v>
      </c>
      <c r="X1106" s="23">
        <v>1105.0</v>
      </c>
    </row>
    <row r="1107">
      <c r="B1107" s="6">
        <v>17226.0</v>
      </c>
      <c r="C1107" s="12" t="str">
        <f t="shared" si="11"/>
        <v>U17226</v>
      </c>
      <c r="D1107" s="14" t="str">
        <f t="array" ref="D1107">iferror(index('2018_ufns'!E:E,match(C1107,'2018_ufns'!B:B,0)))</f>
        <v>P1123</v>
      </c>
      <c r="E1107" s="14">
        <v>43445.0</v>
      </c>
      <c r="F1107" s="40" t="s">
        <v>53</v>
      </c>
      <c r="G1107" s="40" t="s">
        <v>54</v>
      </c>
      <c r="H1107" s="9">
        <v>18.1</v>
      </c>
      <c r="I1107" s="13">
        <v>120.0</v>
      </c>
      <c r="J1107" s="13">
        <v>125.0</v>
      </c>
      <c r="K1107" s="17">
        <f t="shared" si="10"/>
        <v>0.92672</v>
      </c>
      <c r="L1107" s="9">
        <v>1.0</v>
      </c>
      <c r="O1107" s="9" t="s">
        <v>64</v>
      </c>
      <c r="P1107" s="40" t="s">
        <v>1729</v>
      </c>
      <c r="Q1107" s="9" t="s">
        <v>150</v>
      </c>
      <c r="R1107" s="9" t="s">
        <v>63</v>
      </c>
      <c r="S1107" s="9" t="s">
        <v>638</v>
      </c>
      <c r="T1107" t="str">
        <f t="shared" si="12"/>
        <v>N</v>
      </c>
      <c r="W1107" s="12" t="str">
        <f t="array" ref="W1107">if(and(L1107=0,Q1107="NA"),"NA",if(L1107=0,"no lice",if(Q1107="NA","no collection",index(sea_lice!G:G,match(C1107,sea_lice!A:A,0)))))</f>
        <v>BSL7-58</v>
      </c>
      <c r="X1107" s="23">
        <v>1106.0</v>
      </c>
    </row>
    <row r="1108">
      <c r="B1108" s="6">
        <v>17228.0</v>
      </c>
      <c r="C1108" s="12" t="str">
        <f t="shared" si="11"/>
        <v>U17228</v>
      </c>
      <c r="D1108" s="14" t="str">
        <f t="array" ref="D1108">iferror(index('2018_ufns'!E:E,match(C1108,'2018_ufns'!B:B,0)))</f>
        <v>P1123</v>
      </c>
      <c r="E1108" s="14">
        <v>43445.0</v>
      </c>
      <c r="F1108" s="40" t="s">
        <v>53</v>
      </c>
      <c r="G1108" s="40" t="s">
        <v>54</v>
      </c>
      <c r="H1108" s="9">
        <v>11.9</v>
      </c>
      <c r="I1108" s="13">
        <v>101.0</v>
      </c>
      <c r="J1108" s="13">
        <v>106.0</v>
      </c>
      <c r="K1108" s="17">
        <f t="shared" si="10"/>
        <v>0.9991469468</v>
      </c>
      <c r="L1108" s="9">
        <v>1.0</v>
      </c>
      <c r="O1108" s="9" t="s">
        <v>64</v>
      </c>
      <c r="P1108" s="40" t="s">
        <v>1729</v>
      </c>
      <c r="Q1108" s="9" t="s">
        <v>150</v>
      </c>
      <c r="R1108" s="9" t="s">
        <v>63</v>
      </c>
      <c r="S1108" s="9" t="s">
        <v>638</v>
      </c>
      <c r="T1108" t="str">
        <f t="shared" si="12"/>
        <v>N</v>
      </c>
      <c r="W1108" s="12" t="str">
        <f t="array" ref="W1108">if(and(L1108=0,Q1108="NA"),"NA",if(L1108=0,"no lice",if(Q1108="NA","no collection",index(sea_lice!G:G,match(C1108,sea_lice!A:A,0)))))</f>
        <v>BSL7-59</v>
      </c>
      <c r="X1108" s="23">
        <v>1107.0</v>
      </c>
    </row>
    <row r="1109">
      <c r="B1109" s="6">
        <v>16407.0</v>
      </c>
      <c r="C1109" s="12" t="str">
        <f t="shared" si="11"/>
        <v>U16407</v>
      </c>
      <c r="D1109" s="14" t="str">
        <f t="array" ref="D1109">iferror(index('2018_ufns'!E:E,match(C1109,'2018_ufns'!B:B,0)))</f>
        <v>P1041</v>
      </c>
      <c r="E1109" s="14">
        <v>43446.0</v>
      </c>
      <c r="F1109" s="40" t="s">
        <v>53</v>
      </c>
      <c r="G1109" s="40" t="s">
        <v>54</v>
      </c>
      <c r="H1109" s="9">
        <v>4.5</v>
      </c>
      <c r="I1109" s="13">
        <v>77.0</v>
      </c>
      <c r="J1109" s="13">
        <v>82.0</v>
      </c>
      <c r="K1109" s="17">
        <f t="shared" si="10"/>
        <v>0.816151826</v>
      </c>
      <c r="L1109" s="9">
        <v>0.0</v>
      </c>
      <c r="O1109" s="9" t="s">
        <v>638</v>
      </c>
      <c r="P1109" s="40" t="s">
        <v>1729</v>
      </c>
      <c r="Q1109" s="9" t="s">
        <v>150</v>
      </c>
      <c r="R1109" s="9" t="s">
        <v>2119</v>
      </c>
      <c r="S1109" s="9" t="s">
        <v>64</v>
      </c>
      <c r="T1109" t="str">
        <f t="shared" si="12"/>
        <v>N</v>
      </c>
      <c r="W1109" s="12" t="str">
        <f t="array" ref="W1109">if(and(L1109=0,Q1109="NA"),"NA",if(L1109=0,"no lice",if(Q1109="NA","no collection",index(sea_lice!G:G,match(C1109,sea_lice!A:A,0)))))</f>
        <v>no lice</v>
      </c>
      <c r="X1109" s="23">
        <v>1108.0</v>
      </c>
    </row>
    <row r="1110">
      <c r="B1110" s="6">
        <v>16410.0</v>
      </c>
      <c r="C1110" s="12" t="str">
        <f t="shared" si="11"/>
        <v>U16410</v>
      </c>
      <c r="D1110" s="14" t="str">
        <f t="array" ref="D1110">iferror(index('2018_ufns'!E:E,match(C1110,'2018_ufns'!B:B,0)))</f>
        <v>P1041</v>
      </c>
      <c r="E1110" s="14">
        <v>43446.0</v>
      </c>
      <c r="F1110" s="40" t="s">
        <v>53</v>
      </c>
      <c r="G1110" s="40" t="s">
        <v>54</v>
      </c>
      <c r="H1110" s="9">
        <v>5.5</v>
      </c>
      <c r="I1110" s="13">
        <v>82.0</v>
      </c>
      <c r="J1110" s="13">
        <v>87.0</v>
      </c>
      <c r="K1110" s="17">
        <f t="shared" si="10"/>
        <v>0.8352277818</v>
      </c>
      <c r="L1110" s="9">
        <v>0.0</v>
      </c>
      <c r="N1110" s="9" t="s">
        <v>2154</v>
      </c>
      <c r="O1110" s="9" t="s">
        <v>638</v>
      </c>
      <c r="P1110" s="40" t="s">
        <v>1729</v>
      </c>
      <c r="Q1110" s="9" t="s">
        <v>150</v>
      </c>
      <c r="R1110" s="9" t="s">
        <v>2119</v>
      </c>
      <c r="S1110" s="9" t="s">
        <v>64</v>
      </c>
      <c r="T1110" t="str">
        <f t="shared" si="12"/>
        <v>N</v>
      </c>
      <c r="W1110" s="12" t="str">
        <f t="array" ref="W1110">if(and(L1110=0,Q1110="NA"),"NA",if(L1110=0,"no lice",if(Q1110="NA","no collection",index(sea_lice!G:G,match(C1110,sea_lice!A:A,0)))))</f>
        <v>no lice</v>
      </c>
      <c r="X1110" s="23">
        <v>1109.0</v>
      </c>
    </row>
    <row r="1111">
      <c r="B1111" s="6">
        <v>16403.0</v>
      </c>
      <c r="C1111" s="12" t="str">
        <f t="shared" si="11"/>
        <v>U16403</v>
      </c>
      <c r="D1111" s="14" t="str">
        <f t="array" ref="D1111">iferror(index('2018_ufns'!E:E,match(C1111,'2018_ufns'!B:B,0)))</f>
        <v>P1041</v>
      </c>
      <c r="E1111" s="14">
        <v>43446.0</v>
      </c>
      <c r="F1111" s="40" t="s">
        <v>53</v>
      </c>
      <c r="G1111" s="40" t="s">
        <v>54</v>
      </c>
      <c r="H1111" s="9">
        <v>2.9</v>
      </c>
      <c r="I1111" s="13">
        <v>68.0</v>
      </c>
      <c r="J1111" s="13" t="s">
        <v>63</v>
      </c>
      <c r="K1111" s="17" t="str">
        <f t="shared" si="10"/>
        <v/>
      </c>
      <c r="L1111" s="9">
        <v>0.0</v>
      </c>
      <c r="N1111" s="9" t="s">
        <v>2155</v>
      </c>
      <c r="O1111" s="9" t="s">
        <v>638</v>
      </c>
      <c r="P1111" s="40" t="s">
        <v>1729</v>
      </c>
      <c r="Q1111" s="9" t="s">
        <v>150</v>
      </c>
      <c r="R1111" s="9" t="s">
        <v>2119</v>
      </c>
      <c r="S1111" s="9" t="s">
        <v>64</v>
      </c>
      <c r="T1111" t="str">
        <f t="shared" si="12"/>
        <v>N</v>
      </c>
      <c r="W1111" s="12" t="str">
        <f t="array" ref="W1111">if(and(L1111=0,Q1111="NA"),"NA",if(L1111=0,"no lice",if(Q1111="NA","no collection",index(sea_lice!G:G,match(C1111,sea_lice!A:A,0)))))</f>
        <v>no lice</v>
      </c>
      <c r="X1111" s="23">
        <v>1110.0</v>
      </c>
    </row>
    <row r="1112">
      <c r="B1112" s="6">
        <v>16402.0</v>
      </c>
      <c r="C1112" s="12" t="str">
        <f t="shared" si="11"/>
        <v>U16402</v>
      </c>
      <c r="D1112" s="14" t="str">
        <f t="array" ref="D1112">iferror(index('2018_ufns'!E:E,match(C1112,'2018_ufns'!B:B,0)))</f>
        <v>P1041</v>
      </c>
      <c r="E1112" s="14">
        <v>43446.0</v>
      </c>
      <c r="F1112" s="40" t="s">
        <v>53</v>
      </c>
      <c r="G1112" s="40" t="s">
        <v>54</v>
      </c>
      <c r="H1112" s="9">
        <v>5.6</v>
      </c>
      <c r="I1112" s="13">
        <v>83.0</v>
      </c>
      <c r="J1112" s="13">
        <v>85.0</v>
      </c>
      <c r="K1112" s="17">
        <f t="shared" si="10"/>
        <v>0.9118664767</v>
      </c>
      <c r="L1112" s="9">
        <v>0.0</v>
      </c>
      <c r="O1112" s="9" t="s">
        <v>638</v>
      </c>
      <c r="P1112" s="40" t="s">
        <v>1729</v>
      </c>
      <c r="Q1112" s="9" t="s">
        <v>150</v>
      </c>
      <c r="R1112" s="9" t="s">
        <v>2119</v>
      </c>
      <c r="S1112" s="9" t="s">
        <v>64</v>
      </c>
      <c r="T1112" t="str">
        <f t="shared" si="12"/>
        <v>N</v>
      </c>
      <c r="W1112" s="12" t="str">
        <f t="array" ref="W1112">if(and(L1112=0,Q1112="NA"),"NA",if(L1112=0,"no lice",if(Q1112="NA","no collection",index(sea_lice!G:G,match(C1112,sea_lice!A:A,0)))))</f>
        <v>no lice</v>
      </c>
      <c r="X1112" s="23">
        <v>1111.0</v>
      </c>
    </row>
    <row r="1113">
      <c r="B1113" s="6">
        <v>16409.0</v>
      </c>
      <c r="C1113" s="12" t="str">
        <f t="shared" si="11"/>
        <v>U16409</v>
      </c>
      <c r="D1113" s="14" t="str">
        <f t="array" ref="D1113">iferror(index('2018_ufns'!E:E,match(C1113,'2018_ufns'!B:B,0)))</f>
        <v>P1041</v>
      </c>
      <c r="E1113" s="14">
        <v>43446.0</v>
      </c>
      <c r="F1113" s="40" t="s">
        <v>53</v>
      </c>
      <c r="G1113" s="40" t="s">
        <v>54</v>
      </c>
      <c r="H1113" s="9">
        <v>2.8</v>
      </c>
      <c r="I1113" s="13">
        <v>65.0</v>
      </c>
      <c r="J1113" s="13" t="s">
        <v>63</v>
      </c>
      <c r="K1113" s="17" t="str">
        <f t="shared" si="10"/>
        <v/>
      </c>
      <c r="L1113" s="9">
        <v>0.0</v>
      </c>
      <c r="O1113" s="9" t="s">
        <v>638</v>
      </c>
      <c r="P1113" s="40" t="s">
        <v>1729</v>
      </c>
      <c r="Q1113" s="9" t="s">
        <v>150</v>
      </c>
      <c r="R1113" s="9" t="s">
        <v>2119</v>
      </c>
      <c r="S1113" s="9" t="s">
        <v>64</v>
      </c>
      <c r="T1113" t="str">
        <f t="shared" si="12"/>
        <v>N</v>
      </c>
      <c r="W1113" s="12" t="str">
        <f t="array" ref="W1113">if(and(L1113=0,Q1113="NA"),"NA",if(L1113=0,"no lice",if(Q1113="NA","no collection",index(sea_lice!G:G,match(C1113,sea_lice!A:A,0)))))</f>
        <v>no lice</v>
      </c>
      <c r="X1113" s="23">
        <v>1112.0</v>
      </c>
    </row>
    <row r="1114">
      <c r="B1114" s="6">
        <v>16404.0</v>
      </c>
      <c r="C1114" s="12" t="str">
        <f t="shared" si="11"/>
        <v>U16404</v>
      </c>
      <c r="D1114" s="14" t="str">
        <f t="array" ref="D1114">iferror(index('2018_ufns'!E:E,match(C1114,'2018_ufns'!B:B,0)))</f>
        <v>P1041</v>
      </c>
      <c r="E1114" s="14">
        <v>43446.0</v>
      </c>
      <c r="F1114" s="40" t="s">
        <v>53</v>
      </c>
      <c r="G1114" s="40" t="s">
        <v>54</v>
      </c>
      <c r="H1114" s="9">
        <v>4.8</v>
      </c>
      <c r="I1114" s="13">
        <v>81.0</v>
      </c>
      <c r="J1114" s="13" t="s">
        <v>63</v>
      </c>
      <c r="K1114" s="17" t="str">
        <f t="shared" si="10"/>
        <v/>
      </c>
      <c r="L1114" s="9">
        <v>0.0</v>
      </c>
      <c r="O1114" s="9" t="s">
        <v>638</v>
      </c>
      <c r="P1114" s="40" t="s">
        <v>1729</v>
      </c>
      <c r="Q1114" s="9" t="s">
        <v>150</v>
      </c>
      <c r="R1114" s="9" t="s">
        <v>2119</v>
      </c>
      <c r="S1114" s="9" t="s">
        <v>64</v>
      </c>
      <c r="T1114" t="str">
        <f t="shared" si="12"/>
        <v>N</v>
      </c>
      <c r="W1114" s="12" t="str">
        <f t="array" ref="W1114">if(and(L1114=0,Q1114="NA"),"NA",if(L1114=0,"no lice",if(Q1114="NA","no collection",index(sea_lice!G:G,match(C1114,sea_lice!A:A,0)))))</f>
        <v>no lice</v>
      </c>
      <c r="X1114" s="23">
        <v>1113.0</v>
      </c>
    </row>
    <row r="1115">
      <c r="B1115" s="6">
        <v>16401.0</v>
      </c>
      <c r="C1115" s="12" t="str">
        <f t="shared" si="11"/>
        <v>U16401</v>
      </c>
      <c r="D1115" s="14" t="str">
        <f t="array" ref="D1115">iferror(index('2018_ufns'!E:E,match(C1115,'2018_ufns'!B:B,0)))</f>
        <v>P1041</v>
      </c>
      <c r="E1115" s="14">
        <v>43446.0</v>
      </c>
      <c r="F1115" s="40" t="s">
        <v>53</v>
      </c>
      <c r="G1115" s="40" t="s">
        <v>54</v>
      </c>
      <c r="H1115" s="9">
        <v>2.5</v>
      </c>
      <c r="I1115" s="13">
        <v>62.0</v>
      </c>
      <c r="J1115" s="13" t="s">
        <v>63</v>
      </c>
      <c r="K1115" s="17" t="str">
        <f t="shared" si="10"/>
        <v/>
      </c>
      <c r="L1115" s="9">
        <v>1.0</v>
      </c>
      <c r="O1115" s="9" t="s">
        <v>638</v>
      </c>
      <c r="P1115" s="40" t="s">
        <v>1729</v>
      </c>
      <c r="Q1115" s="9" t="s">
        <v>150</v>
      </c>
      <c r="R1115" s="9" t="s">
        <v>2119</v>
      </c>
      <c r="S1115" s="9" t="s">
        <v>64</v>
      </c>
      <c r="T1115" t="str">
        <f t="shared" si="12"/>
        <v>N</v>
      </c>
      <c r="W1115" s="12" t="str">
        <f t="array" ref="W1115">if(and(L1115=0,Q1115="NA"),"NA",if(L1115=0,"no lice",if(Q1115="NA","no collection",index(sea_lice!G:G,match(C1115,sea_lice!A:A,0)))))</f>
        <v>BSL7-61</v>
      </c>
      <c r="X1115" s="23">
        <v>1114.0</v>
      </c>
    </row>
    <row r="1116">
      <c r="B1116" s="6">
        <v>16405.0</v>
      </c>
      <c r="C1116" s="12" t="str">
        <f t="shared" si="11"/>
        <v>U16405</v>
      </c>
      <c r="D1116" s="14" t="str">
        <f t="array" ref="D1116">iferror(index('2018_ufns'!E:E,match(C1116,'2018_ufns'!B:B,0)))</f>
        <v>P1041</v>
      </c>
      <c r="E1116" s="14">
        <v>43446.0</v>
      </c>
      <c r="F1116" s="40" t="s">
        <v>53</v>
      </c>
      <c r="G1116" s="40" t="s">
        <v>54</v>
      </c>
      <c r="H1116" s="9">
        <v>4.6</v>
      </c>
      <c r="I1116" s="13">
        <v>79.0</v>
      </c>
      <c r="J1116" s="13">
        <v>82.0</v>
      </c>
      <c r="K1116" s="17">
        <f t="shared" si="10"/>
        <v>0.8342885332</v>
      </c>
      <c r="L1116" s="9">
        <v>0.0</v>
      </c>
      <c r="N1116" s="9" t="s">
        <v>2156</v>
      </c>
      <c r="O1116" s="9" t="s">
        <v>638</v>
      </c>
      <c r="P1116" s="40" t="s">
        <v>1729</v>
      </c>
      <c r="Q1116" s="9" t="s">
        <v>150</v>
      </c>
      <c r="R1116" s="9" t="s">
        <v>2119</v>
      </c>
      <c r="S1116" s="9" t="s">
        <v>64</v>
      </c>
      <c r="T1116" t="str">
        <f t="shared" si="12"/>
        <v>N</v>
      </c>
      <c r="W1116" s="12" t="str">
        <f t="array" ref="W1116">if(and(L1116=0,Q1116="NA"),"NA",if(L1116=0,"no lice",if(Q1116="NA","no collection",index(sea_lice!G:G,match(C1116,sea_lice!A:A,0)))))</f>
        <v>no lice</v>
      </c>
      <c r="X1116" s="23">
        <v>1115.0</v>
      </c>
    </row>
    <row r="1117">
      <c r="B1117" s="6">
        <v>16408.0</v>
      </c>
      <c r="C1117" s="12" t="str">
        <f t="shared" si="11"/>
        <v>U16408</v>
      </c>
      <c r="D1117" s="14" t="str">
        <f t="array" ref="D1117">iferror(index('2018_ufns'!E:E,match(C1117,'2018_ufns'!B:B,0)))</f>
        <v>P1041</v>
      </c>
      <c r="E1117" s="14">
        <v>43446.0</v>
      </c>
      <c r="F1117" s="40" t="s">
        <v>53</v>
      </c>
      <c r="G1117" s="40" t="s">
        <v>54</v>
      </c>
      <c r="H1117" s="9">
        <v>8.6</v>
      </c>
      <c r="I1117" s="13">
        <v>95.0</v>
      </c>
      <c r="J1117" s="13" t="s">
        <v>63</v>
      </c>
      <c r="K1117" s="17" t="str">
        <f t="shared" si="10"/>
        <v/>
      </c>
      <c r="L1117" s="9">
        <v>0.0</v>
      </c>
      <c r="O1117" s="9" t="s">
        <v>638</v>
      </c>
      <c r="P1117" s="40" t="s">
        <v>1729</v>
      </c>
      <c r="Q1117" s="9" t="s">
        <v>150</v>
      </c>
      <c r="R1117" s="9" t="s">
        <v>2119</v>
      </c>
      <c r="S1117" s="9" t="s">
        <v>64</v>
      </c>
      <c r="T1117" t="str">
        <f t="shared" si="12"/>
        <v>N</v>
      </c>
      <c r="W1117" s="12" t="str">
        <f t="array" ref="W1117">if(and(L1117=0,Q1117="NA"),"NA",if(L1117=0,"no lice",if(Q1117="NA","no collection",index(sea_lice!G:G,match(C1117,sea_lice!A:A,0)))))</f>
        <v>no lice</v>
      </c>
      <c r="X1117" s="23">
        <v>1116.0</v>
      </c>
    </row>
    <row r="1118">
      <c r="B1118" s="6">
        <v>16406.0</v>
      </c>
      <c r="C1118" s="12" t="str">
        <f t="shared" si="11"/>
        <v>U16406</v>
      </c>
      <c r="D1118" s="14" t="str">
        <f t="array" ref="D1118">iferror(index('2018_ufns'!E:E,match(C1118,'2018_ufns'!B:B,0)))</f>
        <v>P1041</v>
      </c>
      <c r="E1118" s="14">
        <v>43446.0</v>
      </c>
      <c r="F1118" s="40" t="s">
        <v>53</v>
      </c>
      <c r="G1118" s="40" t="s">
        <v>54</v>
      </c>
      <c r="H1118" s="9">
        <v>4.8</v>
      </c>
      <c r="I1118" s="13">
        <v>80.0</v>
      </c>
      <c r="J1118" s="13" t="s">
        <v>63</v>
      </c>
      <c r="K1118" s="17" t="str">
        <f t="shared" si="10"/>
        <v/>
      </c>
      <c r="L1118" s="9">
        <v>0.0</v>
      </c>
      <c r="O1118" s="9" t="s">
        <v>638</v>
      </c>
      <c r="P1118" s="40" t="s">
        <v>1729</v>
      </c>
      <c r="Q1118" s="9" t="s">
        <v>150</v>
      </c>
      <c r="R1118" s="9" t="s">
        <v>2119</v>
      </c>
      <c r="S1118" s="9" t="s">
        <v>64</v>
      </c>
      <c r="T1118" t="str">
        <f t="shared" si="12"/>
        <v>N</v>
      </c>
      <c r="W1118" s="12" t="str">
        <f t="array" ref="W1118">if(and(L1118=0,Q1118="NA"),"NA",if(L1118=0,"no lice",if(Q1118="NA","no collection",index(sea_lice!G:G,match(C1118,sea_lice!A:A,0)))))</f>
        <v>no lice</v>
      </c>
      <c r="X1118" s="23">
        <v>1117.0</v>
      </c>
    </row>
    <row r="1119">
      <c r="B1119" s="6">
        <v>17610.0</v>
      </c>
      <c r="C1119" s="12" t="str">
        <f t="shared" si="11"/>
        <v>U17610</v>
      </c>
      <c r="D1119" s="14" t="str">
        <f t="array" ref="D1119">iferror(index('2018_ufns'!E:E,match(C1119,'2018_ufns'!B:B,0)))</f>
        <v>P1161</v>
      </c>
      <c r="E1119" s="14">
        <v>43446.0</v>
      </c>
      <c r="F1119" s="40" t="s">
        <v>53</v>
      </c>
      <c r="G1119" s="40" t="s">
        <v>54</v>
      </c>
      <c r="H1119" s="9">
        <v>12.1</v>
      </c>
      <c r="I1119" s="13">
        <v>110.0</v>
      </c>
      <c r="J1119" s="13" t="s">
        <v>63</v>
      </c>
      <c r="K1119" s="17" t="str">
        <f t="shared" si="10"/>
        <v/>
      </c>
      <c r="L1119" s="9">
        <v>1.0</v>
      </c>
      <c r="O1119" s="9" t="s">
        <v>638</v>
      </c>
      <c r="P1119" s="40" t="s">
        <v>1729</v>
      </c>
      <c r="Q1119" s="9" t="s">
        <v>150</v>
      </c>
      <c r="R1119" s="9" t="s">
        <v>2119</v>
      </c>
      <c r="S1119" s="9" t="s">
        <v>64</v>
      </c>
      <c r="T1119" t="str">
        <f t="shared" si="12"/>
        <v>N</v>
      </c>
      <c r="W1119" s="12" t="str">
        <f t="array" ref="W1119">if(and(L1119=0,Q1119="NA"),"NA",if(L1119=0,"no lice",if(Q1119="NA","no collection",index(sea_lice!G:G,match(C1119,sea_lice!A:A,0)))))</f>
        <v>BSL7-64</v>
      </c>
      <c r="X1119" s="23">
        <v>1118.0</v>
      </c>
    </row>
    <row r="1120">
      <c r="B1120" s="6">
        <v>17608.0</v>
      </c>
      <c r="C1120" s="12" t="str">
        <f t="shared" si="11"/>
        <v>U17608</v>
      </c>
      <c r="D1120" s="14" t="str">
        <f t="array" ref="D1120">iferror(index('2018_ufns'!E:E,match(C1120,'2018_ufns'!B:B,0)))</f>
        <v>P1161</v>
      </c>
      <c r="E1120" s="14">
        <v>43446.0</v>
      </c>
      <c r="F1120" s="40" t="s">
        <v>53</v>
      </c>
      <c r="G1120" s="40" t="s">
        <v>54</v>
      </c>
      <c r="H1120" s="9">
        <v>17.5</v>
      </c>
      <c r="I1120" s="13">
        <v>122.0</v>
      </c>
      <c r="J1120" s="13">
        <v>126.0</v>
      </c>
      <c r="K1120" s="17">
        <f t="shared" si="10"/>
        <v>0.8748355309</v>
      </c>
      <c r="L1120" s="9">
        <v>0.0</v>
      </c>
      <c r="O1120" s="9" t="s">
        <v>638</v>
      </c>
      <c r="P1120" s="40" t="s">
        <v>1729</v>
      </c>
      <c r="Q1120" s="9" t="s">
        <v>150</v>
      </c>
      <c r="R1120" s="9" t="s">
        <v>2119</v>
      </c>
      <c r="S1120" s="9" t="s">
        <v>64</v>
      </c>
      <c r="T1120" t="str">
        <f t="shared" si="12"/>
        <v>N</v>
      </c>
      <c r="W1120" s="12" t="str">
        <f t="array" ref="W1120">if(and(L1120=0,Q1120="NA"),"NA",if(L1120=0,"no lice",if(Q1120="NA","no collection",index(sea_lice!G:G,match(C1120,sea_lice!A:A,0)))))</f>
        <v>no lice</v>
      </c>
      <c r="X1120" s="23">
        <v>1119.0</v>
      </c>
    </row>
    <row r="1121">
      <c r="B1121" s="6">
        <v>17604.0</v>
      </c>
      <c r="C1121" s="12" t="str">
        <f t="shared" si="11"/>
        <v>U17604</v>
      </c>
      <c r="D1121" s="14" t="str">
        <f t="array" ref="D1121">iferror(index('2018_ufns'!E:E,match(C1121,'2018_ufns'!B:B,0)))</f>
        <v>P1161</v>
      </c>
      <c r="E1121" s="14">
        <v>43446.0</v>
      </c>
      <c r="F1121" s="40" t="s">
        <v>53</v>
      </c>
      <c r="G1121" s="40" t="s">
        <v>54</v>
      </c>
      <c r="H1121" s="9">
        <v>8.7</v>
      </c>
      <c r="I1121" s="13">
        <v>96.0</v>
      </c>
      <c r="J1121" s="13">
        <v>102.0</v>
      </c>
      <c r="K1121" s="17">
        <f t="shared" si="10"/>
        <v>0.8198204311</v>
      </c>
      <c r="L1121" s="9">
        <v>1.0</v>
      </c>
      <c r="O1121" s="9" t="s">
        <v>638</v>
      </c>
      <c r="P1121" s="40" t="s">
        <v>1729</v>
      </c>
      <c r="Q1121" s="9" t="s">
        <v>150</v>
      </c>
      <c r="R1121" s="9" t="s">
        <v>2119</v>
      </c>
      <c r="S1121" s="9" t="s">
        <v>64</v>
      </c>
      <c r="T1121" t="str">
        <f t="shared" si="12"/>
        <v>N</v>
      </c>
      <c r="W1121" s="12" t="str">
        <f t="array" ref="W1121">if(and(L1121=0,Q1121="NA"),"NA",if(L1121=0,"no lice",if(Q1121="NA","no collection",index(sea_lice!G:G,match(C1121,sea_lice!A:A,0)))))</f>
        <v>BSL7-65</v>
      </c>
      <c r="X1121" s="23">
        <v>1120.0</v>
      </c>
    </row>
    <row r="1122">
      <c r="B1122" s="6">
        <v>17609.0</v>
      </c>
      <c r="C1122" s="12" t="str">
        <f t="shared" si="11"/>
        <v>U17609</v>
      </c>
      <c r="D1122" s="14" t="str">
        <f t="array" ref="D1122">iferror(index('2018_ufns'!E:E,match(C1122,'2018_ufns'!B:B,0)))</f>
        <v>P1161</v>
      </c>
      <c r="E1122" s="14">
        <v>43446.0</v>
      </c>
      <c r="F1122" s="40" t="s">
        <v>53</v>
      </c>
      <c r="G1122" s="40" t="s">
        <v>54</v>
      </c>
      <c r="H1122" s="9">
        <v>11.9</v>
      </c>
      <c r="I1122" s="13">
        <v>109.0</v>
      </c>
      <c r="J1122" s="13">
        <v>113.0</v>
      </c>
      <c r="K1122" s="17">
        <f t="shared" si="10"/>
        <v>0.8247296931</v>
      </c>
      <c r="L1122" s="9">
        <v>0.0</v>
      </c>
      <c r="O1122" s="9" t="s">
        <v>638</v>
      </c>
      <c r="P1122" s="40" t="s">
        <v>1729</v>
      </c>
      <c r="Q1122" s="9" t="s">
        <v>150</v>
      </c>
      <c r="R1122" s="9" t="s">
        <v>2119</v>
      </c>
      <c r="S1122" s="9" t="s">
        <v>64</v>
      </c>
      <c r="T1122" t="str">
        <f t="shared" si="12"/>
        <v>N</v>
      </c>
      <c r="W1122" s="12" t="str">
        <f t="array" ref="W1122">if(and(L1122=0,Q1122="NA"),"NA",if(L1122=0,"no lice",if(Q1122="NA","no collection",index(sea_lice!G:G,match(C1122,sea_lice!A:A,0)))))</f>
        <v>no lice</v>
      </c>
      <c r="X1122" s="23">
        <v>1121.0</v>
      </c>
    </row>
    <row r="1123">
      <c r="B1123" s="6">
        <v>17605.0</v>
      </c>
      <c r="C1123" s="12" t="str">
        <f t="shared" si="11"/>
        <v>U17605</v>
      </c>
      <c r="D1123" s="14" t="str">
        <f t="array" ref="D1123">iferror(index('2018_ufns'!E:E,match(C1123,'2018_ufns'!B:B,0)))</f>
        <v>P1161</v>
      </c>
      <c r="E1123" s="14">
        <v>43446.0</v>
      </c>
      <c r="F1123" s="40" t="s">
        <v>53</v>
      </c>
      <c r="G1123" s="40" t="s">
        <v>54</v>
      </c>
      <c r="H1123" s="9">
        <v>13.4</v>
      </c>
      <c r="I1123" s="13">
        <v>112.0</v>
      </c>
      <c r="J1123" s="13">
        <v>118.0</v>
      </c>
      <c r="K1123" s="17">
        <f t="shared" si="10"/>
        <v>0.8155653694</v>
      </c>
      <c r="L1123" s="9">
        <v>2.0</v>
      </c>
      <c r="O1123" s="9" t="s">
        <v>638</v>
      </c>
      <c r="P1123" s="40" t="s">
        <v>1729</v>
      </c>
      <c r="Q1123" s="9" t="s">
        <v>150</v>
      </c>
      <c r="R1123" s="9" t="s">
        <v>2119</v>
      </c>
      <c r="S1123" s="9" t="s">
        <v>64</v>
      </c>
      <c r="T1123" t="str">
        <f t="shared" si="12"/>
        <v>N</v>
      </c>
      <c r="W1123" s="12" t="str">
        <f t="array" ref="W1123">if(and(L1123=0,Q1123="NA"),"NA",if(L1123=0,"no lice",if(Q1123="NA","no collection",index(sea_lice!G:G,match(C1123,sea_lice!A:A,0)))))</f>
        <v>BSL7-67</v>
      </c>
      <c r="X1123" s="23">
        <v>1122.0</v>
      </c>
    </row>
    <row r="1124">
      <c r="B1124" s="6">
        <v>17603.0</v>
      </c>
      <c r="C1124" s="12" t="str">
        <f t="shared" si="11"/>
        <v>U17603</v>
      </c>
      <c r="D1124" s="14" t="str">
        <f t="array" ref="D1124">iferror(index('2018_ufns'!E:E,match(C1124,'2018_ufns'!B:B,0)))</f>
        <v>P1161</v>
      </c>
      <c r="E1124" s="14">
        <v>43446.0</v>
      </c>
      <c r="F1124" s="40" t="s">
        <v>53</v>
      </c>
      <c r="G1124" s="40" t="s">
        <v>54</v>
      </c>
      <c r="H1124" s="9">
        <v>10.8</v>
      </c>
      <c r="I1124" s="13">
        <v>105.0</v>
      </c>
      <c r="J1124" s="13">
        <v>110.0</v>
      </c>
      <c r="K1124" s="17">
        <f t="shared" si="10"/>
        <v>0.811419985</v>
      </c>
      <c r="L1124" s="9">
        <v>1.0</v>
      </c>
      <c r="O1124" s="9" t="s">
        <v>638</v>
      </c>
      <c r="P1124" s="40" t="s">
        <v>1729</v>
      </c>
      <c r="Q1124" s="9" t="s">
        <v>150</v>
      </c>
      <c r="R1124" s="9" t="s">
        <v>2119</v>
      </c>
      <c r="S1124" s="9" t="s">
        <v>64</v>
      </c>
      <c r="T1124" t="str">
        <f t="shared" si="12"/>
        <v>N</v>
      </c>
      <c r="W1124" s="12" t="str">
        <f t="array" ref="W1124">if(and(L1124=0,Q1124="NA"),"NA",if(L1124=0,"no lice",if(Q1124="NA","no collection",index(sea_lice!G:G,match(C1124,sea_lice!A:A,0)))))</f>
        <v>BSL7-69</v>
      </c>
      <c r="X1124" s="23">
        <v>1123.0</v>
      </c>
    </row>
    <row r="1125">
      <c r="B1125" s="6">
        <v>17606.0</v>
      </c>
      <c r="C1125" s="12" t="str">
        <f t="shared" si="11"/>
        <v>U17606</v>
      </c>
      <c r="D1125" s="14" t="str">
        <f t="array" ref="D1125">iferror(index('2018_ufns'!E:E,match(C1125,'2018_ufns'!B:B,0)))</f>
        <v>P1161</v>
      </c>
      <c r="E1125" s="14">
        <v>43446.0</v>
      </c>
      <c r="F1125" s="40" t="s">
        <v>53</v>
      </c>
      <c r="G1125" s="40" t="s">
        <v>54</v>
      </c>
      <c r="H1125" s="9">
        <v>17.9</v>
      </c>
      <c r="I1125" s="13">
        <v>121.0</v>
      </c>
      <c r="J1125" s="13">
        <v>127.0</v>
      </c>
      <c r="K1125" s="17">
        <f t="shared" si="10"/>
        <v>0.8738600154</v>
      </c>
      <c r="L1125" s="9">
        <v>1.0</v>
      </c>
      <c r="O1125" s="9" t="s">
        <v>638</v>
      </c>
      <c r="P1125" s="40" t="s">
        <v>1729</v>
      </c>
      <c r="Q1125" s="9" t="s">
        <v>150</v>
      </c>
      <c r="R1125" s="9" t="s">
        <v>2119</v>
      </c>
      <c r="S1125" s="9" t="s">
        <v>64</v>
      </c>
      <c r="T1125" t="str">
        <f t="shared" si="12"/>
        <v>N</v>
      </c>
      <c r="W1125" s="12" t="str">
        <f t="array" ref="W1125">if(and(L1125=0,Q1125="NA"),"NA",if(L1125=0,"no lice",if(Q1125="NA","no collection",index(sea_lice!G:G,match(C1125,sea_lice!A:A,0)))))</f>
        <v>BSL7-70</v>
      </c>
      <c r="X1125" s="23">
        <v>1124.0</v>
      </c>
    </row>
    <row r="1126">
      <c r="B1126" s="6">
        <v>17229.0</v>
      </c>
      <c r="C1126" s="12" t="str">
        <f t="shared" si="11"/>
        <v>U17229</v>
      </c>
      <c r="D1126" s="14" t="str">
        <f t="array" ref="D1126">iferror(index('2018_ufns'!E:E,match(C1126,'2018_ufns'!B:B,0)))</f>
        <v>P1123</v>
      </c>
      <c r="E1126" s="14">
        <v>43446.0</v>
      </c>
      <c r="F1126" s="40" t="s">
        <v>53</v>
      </c>
      <c r="G1126" s="40" t="s">
        <v>54</v>
      </c>
      <c r="H1126" s="9">
        <v>13.1</v>
      </c>
      <c r="I1126" s="13">
        <v>108.0</v>
      </c>
      <c r="J1126" s="13" t="s">
        <v>63</v>
      </c>
      <c r="K1126" s="17" t="str">
        <f t="shared" si="10"/>
        <v/>
      </c>
      <c r="L1126" s="9">
        <v>0.0</v>
      </c>
      <c r="O1126" s="9" t="s">
        <v>64</v>
      </c>
      <c r="P1126" s="40" t="s">
        <v>1729</v>
      </c>
      <c r="Q1126" s="9" t="s">
        <v>150</v>
      </c>
      <c r="R1126" s="9" t="s">
        <v>2119</v>
      </c>
      <c r="S1126" s="9" t="s">
        <v>638</v>
      </c>
      <c r="T1126" t="str">
        <f t="shared" si="12"/>
        <v>N</v>
      </c>
      <c r="W1126" s="12" t="str">
        <f t="array" ref="W1126">if(and(L1126=0,Q1126="NA"),"NA",if(L1126=0,"no lice",if(Q1126="NA","no collection",index(sea_lice!G:G,match(C1126,sea_lice!A:A,0)))))</f>
        <v>no lice</v>
      </c>
      <c r="X1126" s="23">
        <v>1125.0</v>
      </c>
    </row>
    <row r="1127">
      <c r="B1127" s="6">
        <v>16880.0</v>
      </c>
      <c r="C1127" s="12" t="str">
        <f t="shared" si="11"/>
        <v>U16880</v>
      </c>
      <c r="D1127" s="14" t="str">
        <f t="array" ref="D1127">iferror(index('2018_ufns'!E:E,match(C1127,'2018_ufns'!B:B,0)))</f>
        <v>P1088</v>
      </c>
      <c r="E1127" s="14">
        <v>43446.0</v>
      </c>
      <c r="F1127" s="40" t="s">
        <v>53</v>
      </c>
      <c r="G1127" s="40" t="s">
        <v>54</v>
      </c>
      <c r="H1127" s="9">
        <v>9.5</v>
      </c>
      <c r="I1127" s="13">
        <v>99.0</v>
      </c>
      <c r="J1127" s="13" t="s">
        <v>63</v>
      </c>
      <c r="K1127" s="17" t="str">
        <f t="shared" si="10"/>
        <v/>
      </c>
      <c r="L1127" s="9">
        <v>0.0</v>
      </c>
      <c r="O1127" s="9" t="s">
        <v>64</v>
      </c>
      <c r="P1127" s="40" t="s">
        <v>1729</v>
      </c>
      <c r="Q1127" s="9" t="s">
        <v>150</v>
      </c>
      <c r="R1127" s="9" t="s">
        <v>2119</v>
      </c>
      <c r="S1127" s="9" t="s">
        <v>638</v>
      </c>
      <c r="T1127" t="str">
        <f t="shared" si="12"/>
        <v>N</v>
      </c>
      <c r="W1127" s="12" t="str">
        <f t="array" ref="W1127">if(and(L1127=0,Q1127="NA"),"NA",if(L1127=0,"no lice",if(Q1127="NA","no collection",index(sea_lice!G:G,match(C1127,sea_lice!A:A,0)))))</f>
        <v>no lice</v>
      </c>
      <c r="X1127" s="23">
        <v>1126.0</v>
      </c>
    </row>
    <row r="1128">
      <c r="B1128" s="6">
        <v>16876.0</v>
      </c>
      <c r="C1128" s="12" t="str">
        <f t="shared" si="11"/>
        <v>U16876</v>
      </c>
      <c r="D1128" s="14" t="str">
        <f t="array" ref="D1128">iferror(index('2018_ufns'!E:E,match(C1128,'2018_ufns'!B:B,0)))</f>
        <v>P1088</v>
      </c>
      <c r="E1128" s="14">
        <v>43446.0</v>
      </c>
      <c r="F1128" s="40" t="s">
        <v>53</v>
      </c>
      <c r="G1128" s="40" t="s">
        <v>54</v>
      </c>
      <c r="H1128" s="9">
        <v>11.8</v>
      </c>
      <c r="I1128" s="13">
        <v>106.0</v>
      </c>
      <c r="J1128" s="13">
        <v>110.0</v>
      </c>
      <c r="K1128" s="17">
        <f t="shared" si="10"/>
        <v>0.8865514651</v>
      </c>
      <c r="L1128" s="9">
        <v>0.0</v>
      </c>
      <c r="O1128" s="9" t="s">
        <v>64</v>
      </c>
      <c r="P1128" s="40" t="s">
        <v>1729</v>
      </c>
      <c r="Q1128" s="9" t="s">
        <v>150</v>
      </c>
      <c r="R1128" s="9" t="s">
        <v>2119</v>
      </c>
      <c r="S1128" s="9" t="s">
        <v>638</v>
      </c>
      <c r="T1128" t="str">
        <f t="shared" si="12"/>
        <v>N</v>
      </c>
      <c r="W1128" s="12" t="str">
        <f t="array" ref="W1128">if(and(L1128=0,Q1128="NA"),"NA",if(L1128=0,"no lice",if(Q1128="NA","no collection",index(sea_lice!G:G,match(C1128,sea_lice!A:A,0)))))</f>
        <v>no lice</v>
      </c>
      <c r="X1128" s="23">
        <v>1127.0</v>
      </c>
    </row>
    <row r="1129">
      <c r="B1129" s="6">
        <v>16877.0</v>
      </c>
      <c r="C1129" s="12" t="str">
        <f t="shared" si="11"/>
        <v>U16877</v>
      </c>
      <c r="D1129" s="14" t="str">
        <f t="array" ref="D1129">iferror(index('2018_ufns'!E:E,match(C1129,'2018_ufns'!B:B,0)))</f>
        <v>P1088</v>
      </c>
      <c r="E1129" s="14">
        <v>43446.0</v>
      </c>
      <c r="F1129" s="40" t="s">
        <v>53</v>
      </c>
      <c r="G1129" s="40" t="s">
        <v>54</v>
      </c>
      <c r="H1129" s="9">
        <v>12.1</v>
      </c>
      <c r="I1129" s="13">
        <v>103.0</v>
      </c>
      <c r="J1129" s="13">
        <v>109.0</v>
      </c>
      <c r="K1129" s="17">
        <f t="shared" si="10"/>
        <v>0.9343420109</v>
      </c>
      <c r="L1129" s="9">
        <v>0.0</v>
      </c>
      <c r="O1129" s="9" t="s">
        <v>64</v>
      </c>
      <c r="P1129" s="40" t="s">
        <v>1729</v>
      </c>
      <c r="Q1129" s="9" t="s">
        <v>150</v>
      </c>
      <c r="R1129" s="9" t="s">
        <v>2119</v>
      </c>
      <c r="S1129" s="9" t="s">
        <v>638</v>
      </c>
      <c r="T1129" t="str">
        <f t="shared" si="12"/>
        <v>N</v>
      </c>
      <c r="W1129" s="12" t="str">
        <f t="array" ref="W1129">if(and(L1129=0,Q1129="NA"),"NA",if(L1129=0,"no lice",if(Q1129="NA","no collection",index(sea_lice!G:G,match(C1129,sea_lice!A:A,0)))))</f>
        <v>no lice</v>
      </c>
      <c r="X1129" s="23">
        <v>1128.0</v>
      </c>
    </row>
    <row r="1130">
      <c r="B1130" s="6">
        <v>16879.0</v>
      </c>
      <c r="C1130" s="12" t="str">
        <f t="shared" si="11"/>
        <v>U16879</v>
      </c>
      <c r="D1130" s="14" t="str">
        <f t="array" ref="D1130">iferror(index('2018_ufns'!E:E,match(C1130,'2018_ufns'!B:B,0)))</f>
        <v>P1088</v>
      </c>
      <c r="E1130" s="14">
        <v>43446.0</v>
      </c>
      <c r="F1130" s="40" t="s">
        <v>53</v>
      </c>
      <c r="G1130" s="40" t="s">
        <v>54</v>
      </c>
      <c r="H1130" s="9">
        <v>12.1</v>
      </c>
      <c r="I1130" s="13">
        <v>106.0</v>
      </c>
      <c r="J1130" s="13">
        <v>110.0</v>
      </c>
      <c r="K1130" s="17">
        <f t="shared" si="10"/>
        <v>0.9090909091</v>
      </c>
      <c r="L1130" s="9">
        <v>1.0</v>
      </c>
      <c r="O1130" s="9" t="s">
        <v>64</v>
      </c>
      <c r="P1130" s="40" t="s">
        <v>1729</v>
      </c>
      <c r="Q1130" s="9" t="s">
        <v>150</v>
      </c>
      <c r="R1130" s="9" t="s">
        <v>2119</v>
      </c>
      <c r="S1130" s="9" t="s">
        <v>638</v>
      </c>
      <c r="T1130" t="str">
        <f t="shared" si="12"/>
        <v>N</v>
      </c>
      <c r="W1130" s="12" t="str">
        <f t="array" ref="W1130">if(and(L1130=0,Q1130="NA"),"NA",if(L1130=0,"no lice",if(Q1130="NA","no collection",index(sea_lice!G:G,match(C1130,sea_lice!A:A,0)))))</f>
        <v>BSL7-60</v>
      </c>
      <c r="X1130" s="23">
        <v>1129.0</v>
      </c>
    </row>
    <row r="1131">
      <c r="B1131" s="6">
        <v>16875.0</v>
      </c>
      <c r="C1131" s="12" t="str">
        <f t="shared" si="11"/>
        <v>U16875</v>
      </c>
      <c r="D1131" s="14" t="str">
        <f t="array" ref="D1131">iferror(index('2018_ufns'!E:E,match(C1131,'2018_ufns'!B:B,0)))</f>
        <v>P1088</v>
      </c>
      <c r="E1131" s="14">
        <v>43446.0</v>
      </c>
      <c r="F1131" s="40" t="s">
        <v>53</v>
      </c>
      <c r="G1131" s="40" t="s">
        <v>54</v>
      </c>
      <c r="H1131" s="9">
        <v>14.6</v>
      </c>
      <c r="I1131" s="13">
        <v>112.0</v>
      </c>
      <c r="J1131" s="13">
        <v>116.0</v>
      </c>
      <c r="K1131" s="17">
        <f t="shared" si="10"/>
        <v>0.9353602034</v>
      </c>
      <c r="L1131" s="9">
        <v>0.0</v>
      </c>
      <c r="O1131" s="9" t="s">
        <v>64</v>
      </c>
      <c r="P1131" s="40" t="s">
        <v>1729</v>
      </c>
      <c r="Q1131" s="9" t="s">
        <v>150</v>
      </c>
      <c r="R1131" s="9" t="s">
        <v>2119</v>
      </c>
      <c r="S1131" s="9" t="s">
        <v>638</v>
      </c>
      <c r="T1131" t="str">
        <f t="shared" si="12"/>
        <v>N</v>
      </c>
      <c r="W1131" s="12" t="str">
        <f t="array" ref="W1131">if(and(L1131=0,Q1131="NA"),"NA",if(L1131=0,"no lice",if(Q1131="NA","no collection",index(sea_lice!G:G,match(C1131,sea_lice!A:A,0)))))</f>
        <v>no lice</v>
      </c>
      <c r="X1131" s="23">
        <v>1130.0</v>
      </c>
    </row>
    <row r="1132">
      <c r="B1132" s="6">
        <v>16874.0</v>
      </c>
      <c r="C1132" s="12" t="str">
        <f t="shared" si="11"/>
        <v>U16874</v>
      </c>
      <c r="D1132" s="14" t="str">
        <f t="array" ref="D1132">iferror(index('2018_ufns'!E:E,match(C1132,'2018_ufns'!B:B,0)))</f>
        <v>P1088</v>
      </c>
      <c r="E1132" s="14">
        <v>43446.0</v>
      </c>
      <c r="F1132" s="40" t="s">
        <v>53</v>
      </c>
      <c r="G1132" s="40" t="s">
        <v>54</v>
      </c>
      <c r="H1132" s="9">
        <v>12.2</v>
      </c>
      <c r="I1132" s="13">
        <v>106.0</v>
      </c>
      <c r="J1132" s="13">
        <v>110.0</v>
      </c>
      <c r="K1132" s="17">
        <f t="shared" si="10"/>
        <v>0.9166040571</v>
      </c>
      <c r="L1132" s="9">
        <v>1.0</v>
      </c>
      <c r="O1132" s="9" t="s">
        <v>64</v>
      </c>
      <c r="P1132" s="40" t="s">
        <v>1729</v>
      </c>
      <c r="Q1132" s="9" t="s">
        <v>150</v>
      </c>
      <c r="R1132" s="9" t="s">
        <v>2119</v>
      </c>
      <c r="S1132" s="9" t="s">
        <v>638</v>
      </c>
      <c r="T1132" t="str">
        <f t="shared" si="12"/>
        <v>N</v>
      </c>
      <c r="W1132" s="12" t="str">
        <f t="array" ref="W1132">if(and(L1132=0,Q1132="NA"),"NA",if(L1132=0,"no lice",if(Q1132="NA","no collection",index(sea_lice!G:G,match(C1132,sea_lice!A:A,0)))))</f>
        <v>BSL7-62</v>
      </c>
      <c r="X1132" s="23">
        <v>1131.0</v>
      </c>
    </row>
    <row r="1133">
      <c r="B1133" s="6">
        <v>16878.0</v>
      </c>
      <c r="C1133" s="12" t="str">
        <f t="shared" si="11"/>
        <v>U16878</v>
      </c>
      <c r="D1133" s="14" t="str">
        <f t="array" ref="D1133">iferror(index('2018_ufns'!E:E,match(C1133,'2018_ufns'!B:B,0)))</f>
        <v>P1088</v>
      </c>
      <c r="E1133" s="14">
        <v>43446.0</v>
      </c>
      <c r="F1133" s="40" t="s">
        <v>53</v>
      </c>
      <c r="G1133" s="40" t="s">
        <v>54</v>
      </c>
      <c r="H1133" s="9">
        <v>9.7</v>
      </c>
      <c r="I1133" s="13">
        <v>94.0</v>
      </c>
      <c r="J1133" s="13" t="s">
        <v>63</v>
      </c>
      <c r="K1133" s="17" t="str">
        <f t="shared" si="10"/>
        <v/>
      </c>
      <c r="L1133" s="9">
        <v>1.0</v>
      </c>
      <c r="O1133" s="9" t="s">
        <v>64</v>
      </c>
      <c r="P1133" s="40" t="s">
        <v>1729</v>
      </c>
      <c r="Q1133" s="9" t="s">
        <v>150</v>
      </c>
      <c r="R1133" s="9" t="s">
        <v>2119</v>
      </c>
      <c r="S1133" s="9" t="s">
        <v>638</v>
      </c>
      <c r="T1133" t="str">
        <f t="shared" si="12"/>
        <v>N</v>
      </c>
      <c r="W1133" s="12" t="str">
        <f t="array" ref="W1133">if(and(L1133=0,Q1133="NA"),"NA",if(L1133=0,"no lice",if(Q1133="NA","no collection",index(sea_lice!G:G,match(C1133,sea_lice!A:A,0)))))</f>
        <v>BSL7-63</v>
      </c>
      <c r="X1133" s="23">
        <v>1132.0</v>
      </c>
    </row>
    <row r="1134">
      <c r="B1134" s="6">
        <v>16872.0</v>
      </c>
      <c r="C1134" s="12" t="str">
        <f t="shared" si="11"/>
        <v>U16872</v>
      </c>
      <c r="D1134" s="14" t="str">
        <f t="array" ref="D1134">iferror(index('2018_ufns'!E:E,match(C1134,'2018_ufns'!B:B,0)))</f>
        <v>P1088</v>
      </c>
      <c r="E1134" s="14">
        <v>43446.0</v>
      </c>
      <c r="F1134" s="40" t="s">
        <v>53</v>
      </c>
      <c r="G1134" s="40" t="s">
        <v>54</v>
      </c>
      <c r="H1134" s="9">
        <v>13.4</v>
      </c>
      <c r="I1134" s="13">
        <v>110.0</v>
      </c>
      <c r="J1134" s="13">
        <v>114.0</v>
      </c>
      <c r="K1134" s="17">
        <f t="shared" si="10"/>
        <v>0.9044618317</v>
      </c>
      <c r="L1134" s="9">
        <v>0.0</v>
      </c>
      <c r="O1134" s="9" t="s">
        <v>64</v>
      </c>
      <c r="P1134" s="40" t="s">
        <v>1729</v>
      </c>
      <c r="Q1134" s="9" t="s">
        <v>150</v>
      </c>
      <c r="R1134" s="9" t="s">
        <v>2119</v>
      </c>
      <c r="S1134" s="9" t="s">
        <v>638</v>
      </c>
      <c r="T1134" t="str">
        <f t="shared" si="12"/>
        <v>N</v>
      </c>
      <c r="W1134" s="12" t="str">
        <f t="array" ref="W1134">if(and(L1134=0,Q1134="NA"),"NA",if(L1134=0,"no lice",if(Q1134="NA","no collection",index(sea_lice!G:G,match(C1134,sea_lice!A:A,0)))))</f>
        <v>no lice</v>
      </c>
      <c r="X1134" s="23">
        <v>1133.0</v>
      </c>
    </row>
    <row r="1135">
      <c r="B1135" s="6">
        <v>16873.0</v>
      </c>
      <c r="C1135" s="12" t="str">
        <f t="shared" si="11"/>
        <v>U16873</v>
      </c>
      <c r="D1135" s="14" t="str">
        <f t="array" ref="D1135">iferror(index('2018_ufns'!E:E,match(C1135,'2018_ufns'!B:B,0)))</f>
        <v>P1088</v>
      </c>
      <c r="E1135" s="14">
        <v>43446.0</v>
      </c>
      <c r="F1135" s="40" t="s">
        <v>53</v>
      </c>
      <c r="G1135" s="40" t="s">
        <v>54</v>
      </c>
      <c r="H1135" s="9">
        <v>11.6</v>
      </c>
      <c r="I1135" s="13">
        <v>105.0</v>
      </c>
      <c r="J1135" s="13">
        <v>110.0</v>
      </c>
      <c r="K1135" s="17">
        <f t="shared" si="10"/>
        <v>0.871525169</v>
      </c>
      <c r="L1135" s="9">
        <v>0.0</v>
      </c>
      <c r="O1135" s="9" t="s">
        <v>64</v>
      </c>
      <c r="P1135" s="40" t="s">
        <v>1729</v>
      </c>
      <c r="Q1135" s="9" t="s">
        <v>150</v>
      </c>
      <c r="R1135" s="9" t="s">
        <v>2119</v>
      </c>
      <c r="S1135" s="9" t="s">
        <v>638</v>
      </c>
      <c r="T1135" t="str">
        <f t="shared" si="12"/>
        <v>N</v>
      </c>
      <c r="W1135" s="12" t="str">
        <f t="array" ref="W1135">if(and(L1135=0,Q1135="NA"),"NA",if(L1135=0,"no lice",if(Q1135="NA","no collection",index(sea_lice!G:G,match(C1135,sea_lice!A:A,0)))))</f>
        <v>no lice</v>
      </c>
      <c r="X1135" s="23">
        <v>1134.0</v>
      </c>
    </row>
    <row r="1136">
      <c r="B1136" s="6">
        <v>16871.0</v>
      </c>
      <c r="C1136" s="12" t="str">
        <f t="shared" si="11"/>
        <v>U16871</v>
      </c>
      <c r="D1136" s="14" t="str">
        <f t="array" ref="D1136">iferror(index('2018_ufns'!E:E,match(C1136,'2018_ufns'!B:B,0)))</f>
        <v>P1088</v>
      </c>
      <c r="E1136" s="14">
        <v>43446.0</v>
      </c>
      <c r="F1136" s="40" t="s">
        <v>53</v>
      </c>
      <c r="G1136" s="40" t="s">
        <v>54</v>
      </c>
      <c r="H1136" s="9">
        <v>11.7</v>
      </c>
      <c r="I1136" s="13">
        <v>105.0</v>
      </c>
      <c r="J1136" s="13">
        <v>109.0</v>
      </c>
      <c r="K1136" s="17">
        <f t="shared" si="10"/>
        <v>0.9034546717</v>
      </c>
      <c r="L1136" s="9">
        <v>0.0</v>
      </c>
      <c r="O1136" s="9" t="s">
        <v>64</v>
      </c>
      <c r="P1136" s="40" t="s">
        <v>1729</v>
      </c>
      <c r="Q1136" s="9" t="s">
        <v>150</v>
      </c>
      <c r="R1136" s="9" t="s">
        <v>2119</v>
      </c>
      <c r="S1136" s="9" t="s">
        <v>638</v>
      </c>
      <c r="T1136" t="str">
        <f t="shared" si="12"/>
        <v>N</v>
      </c>
      <c r="W1136" s="12" t="str">
        <f t="array" ref="W1136">if(and(L1136=0,Q1136="NA"),"NA",if(L1136=0,"no lice",if(Q1136="NA","no collection",index(sea_lice!G:G,match(C1136,sea_lice!A:A,0)))))</f>
        <v>no lice</v>
      </c>
      <c r="X1136" s="23">
        <v>1135.0</v>
      </c>
    </row>
    <row r="1137">
      <c r="B1137" s="6">
        <v>17560.0</v>
      </c>
      <c r="C1137" s="12" t="str">
        <f t="shared" si="11"/>
        <v>U17560</v>
      </c>
      <c r="D1137" s="14" t="str">
        <f t="array" ref="D1137">iferror(index('2018_ufns'!E:E,match(C1137,'2018_ufns'!B:B,0)))</f>
        <v>P1156</v>
      </c>
      <c r="E1137" s="14">
        <v>43446.0</v>
      </c>
      <c r="F1137" s="40" t="s">
        <v>53</v>
      </c>
      <c r="G1137" s="40" t="s">
        <v>54</v>
      </c>
      <c r="H1137" s="9">
        <v>18.6</v>
      </c>
      <c r="I1137" s="13">
        <v>119.0</v>
      </c>
      <c r="J1137" s="13">
        <v>124.0</v>
      </c>
      <c r="K1137" s="17">
        <f t="shared" si="10"/>
        <v>0.9755463059</v>
      </c>
      <c r="L1137" s="9">
        <v>1.0</v>
      </c>
      <c r="O1137" s="9" t="s">
        <v>64</v>
      </c>
      <c r="P1137" s="40" t="s">
        <v>1729</v>
      </c>
      <c r="Q1137" s="9" t="s">
        <v>150</v>
      </c>
      <c r="R1137" s="9" t="s">
        <v>2119</v>
      </c>
      <c r="S1137" s="9" t="s">
        <v>638</v>
      </c>
      <c r="T1137" t="str">
        <f t="shared" si="12"/>
        <v>N</v>
      </c>
      <c r="W1137" s="12" t="str">
        <f t="array" ref="W1137">if(and(L1137=0,Q1137="NA"),"NA",if(L1137=0,"no lice",if(Q1137="NA","no collection",index(sea_lice!G:G,match(C1137,sea_lice!A:A,0)))))</f>
        <v>BSL7-66</v>
      </c>
      <c r="X1137" s="23">
        <v>1136.0</v>
      </c>
    </row>
    <row r="1138">
      <c r="B1138" s="6">
        <v>17552.0</v>
      </c>
      <c r="C1138" s="12" t="str">
        <f t="shared" si="11"/>
        <v>U17552</v>
      </c>
      <c r="D1138" s="14" t="str">
        <f t="array" ref="D1138">iferror(index('2018_ufns'!E:E,match(C1138,'2018_ufns'!B:B,0)))</f>
        <v>P1156</v>
      </c>
      <c r="E1138" s="14">
        <v>43446.0</v>
      </c>
      <c r="F1138" s="40" t="s">
        <v>53</v>
      </c>
      <c r="G1138" s="40" t="s">
        <v>54</v>
      </c>
      <c r="H1138" s="9">
        <v>16.4</v>
      </c>
      <c r="I1138" s="13">
        <v>112.0</v>
      </c>
      <c r="J1138" s="13">
        <v>118.0</v>
      </c>
      <c r="K1138" s="17">
        <f t="shared" si="10"/>
        <v>0.9981546312</v>
      </c>
      <c r="L1138" s="9">
        <v>0.0</v>
      </c>
      <c r="O1138" s="9" t="s">
        <v>64</v>
      </c>
      <c r="P1138" s="40" t="s">
        <v>1729</v>
      </c>
      <c r="Q1138" s="9" t="s">
        <v>150</v>
      </c>
      <c r="R1138" s="9" t="s">
        <v>2119</v>
      </c>
      <c r="S1138" s="9" t="s">
        <v>638</v>
      </c>
      <c r="T1138" t="str">
        <f t="shared" si="12"/>
        <v>N</v>
      </c>
      <c r="W1138" s="12" t="str">
        <f t="array" ref="W1138">if(and(L1138=0,Q1138="NA"),"NA",if(L1138=0,"no lice",if(Q1138="NA","no collection",index(sea_lice!G:G,match(C1138,sea_lice!A:A,0)))))</f>
        <v>no lice</v>
      </c>
      <c r="X1138" s="23">
        <v>1137.0</v>
      </c>
    </row>
    <row r="1139">
      <c r="B1139" s="6">
        <v>17551.0</v>
      </c>
      <c r="C1139" s="12" t="str">
        <f t="shared" si="11"/>
        <v>U17551</v>
      </c>
      <c r="D1139" s="14" t="str">
        <f t="array" ref="D1139">iferror(index('2018_ufns'!E:E,match(C1139,'2018_ufns'!B:B,0)))</f>
        <v>P1156</v>
      </c>
      <c r="E1139" s="14">
        <v>43446.0</v>
      </c>
      <c r="F1139" s="40" t="s">
        <v>53</v>
      </c>
      <c r="G1139" s="40" t="s">
        <v>54</v>
      </c>
      <c r="H1139" s="9">
        <v>14.1</v>
      </c>
      <c r="I1139" s="13">
        <v>109.0</v>
      </c>
      <c r="J1139" s="13">
        <v>114.0</v>
      </c>
      <c r="K1139" s="17">
        <f t="shared" si="10"/>
        <v>0.9517098378</v>
      </c>
      <c r="L1139" s="9">
        <v>1.0</v>
      </c>
      <c r="O1139" s="9" t="s">
        <v>64</v>
      </c>
      <c r="P1139" s="40" t="s">
        <v>1729</v>
      </c>
      <c r="Q1139" s="9" t="s">
        <v>150</v>
      </c>
      <c r="R1139" s="9" t="s">
        <v>2119</v>
      </c>
      <c r="S1139" s="9" t="s">
        <v>638</v>
      </c>
      <c r="T1139" t="str">
        <f t="shared" si="12"/>
        <v>N</v>
      </c>
      <c r="W1139" s="12" t="str">
        <f t="array" ref="W1139">if(and(L1139=0,Q1139="NA"),"NA",if(L1139=0,"no lice",if(Q1139="NA","no collection",index(sea_lice!G:G,match(C1139,sea_lice!A:A,0)))))</f>
        <v>BSL7-68</v>
      </c>
      <c r="X1139" s="23">
        <v>1138.0</v>
      </c>
    </row>
    <row r="1140">
      <c r="B1140" s="6">
        <v>17553.0</v>
      </c>
      <c r="C1140" s="12" t="str">
        <f t="shared" si="11"/>
        <v>U17553</v>
      </c>
      <c r="D1140" s="14" t="str">
        <f t="array" ref="D1140">iferror(index('2018_ufns'!E:E,match(C1140,'2018_ufns'!B:B,0)))</f>
        <v>P1156</v>
      </c>
      <c r="E1140" s="14">
        <v>43446.0</v>
      </c>
      <c r="F1140" s="40" t="s">
        <v>53</v>
      </c>
      <c r="G1140" s="40" t="s">
        <v>54</v>
      </c>
      <c r="H1140" s="9">
        <v>10.8</v>
      </c>
      <c r="I1140" s="13">
        <v>102.0</v>
      </c>
      <c r="J1140" s="13">
        <v>106.0</v>
      </c>
      <c r="K1140" s="17">
        <f t="shared" si="10"/>
        <v>0.9067888257</v>
      </c>
      <c r="L1140" s="9">
        <v>0.0</v>
      </c>
      <c r="O1140" s="9" t="s">
        <v>64</v>
      </c>
      <c r="P1140" s="40" t="s">
        <v>1729</v>
      </c>
      <c r="Q1140" s="9" t="s">
        <v>150</v>
      </c>
      <c r="R1140" s="9" t="s">
        <v>2119</v>
      </c>
      <c r="S1140" s="9" t="s">
        <v>638</v>
      </c>
      <c r="T1140" t="str">
        <f t="shared" si="12"/>
        <v>N</v>
      </c>
      <c r="W1140" s="12" t="str">
        <f t="array" ref="W1140">if(and(L1140=0,Q1140="NA"),"NA",if(L1140=0,"no lice",if(Q1140="NA","no collection",index(sea_lice!G:G,match(C1140,sea_lice!A:A,0)))))</f>
        <v>no lice</v>
      </c>
      <c r="X1140" s="23">
        <v>1139.0</v>
      </c>
    </row>
    <row r="1141">
      <c r="B1141" s="6">
        <v>17556.0</v>
      </c>
      <c r="C1141" s="12" t="str">
        <f t="shared" si="11"/>
        <v>U17556</v>
      </c>
      <c r="D1141" s="14" t="str">
        <f t="array" ref="D1141">iferror(index('2018_ufns'!E:E,match(C1141,'2018_ufns'!B:B,0)))</f>
        <v>P1156</v>
      </c>
      <c r="E1141" s="14">
        <v>43446.0</v>
      </c>
      <c r="F1141" s="40" t="s">
        <v>53</v>
      </c>
      <c r="G1141" s="40" t="s">
        <v>54</v>
      </c>
      <c r="H1141" s="9">
        <v>10.9</v>
      </c>
      <c r="I1141" s="13">
        <v>105.0</v>
      </c>
      <c r="J1141" s="13">
        <v>109.0</v>
      </c>
      <c r="K1141" s="17">
        <f t="shared" si="10"/>
        <v>0.8416799933</v>
      </c>
      <c r="L1141" s="9">
        <v>0.0</v>
      </c>
      <c r="O1141" s="9" t="s">
        <v>64</v>
      </c>
      <c r="P1141" s="40" t="s">
        <v>1729</v>
      </c>
      <c r="Q1141" s="9" t="s">
        <v>150</v>
      </c>
      <c r="R1141" s="9" t="s">
        <v>2119</v>
      </c>
      <c r="S1141" s="9" t="s">
        <v>638</v>
      </c>
      <c r="T1141" t="str">
        <f t="shared" si="12"/>
        <v>N</v>
      </c>
      <c r="W1141" s="12" t="str">
        <f t="array" ref="W1141">if(and(L1141=0,Q1141="NA"),"NA",if(L1141=0,"no lice",if(Q1141="NA","no collection",index(sea_lice!G:G,match(C1141,sea_lice!A:A,0)))))</f>
        <v>no lice</v>
      </c>
      <c r="X1141" s="23">
        <v>1140.0</v>
      </c>
    </row>
    <row r="1142">
      <c r="B1142" s="6">
        <v>17554.0</v>
      </c>
      <c r="C1142" s="12" t="str">
        <f t="shared" si="11"/>
        <v>U17554</v>
      </c>
      <c r="D1142" s="14" t="str">
        <f t="array" ref="D1142">iferror(index('2018_ufns'!E:E,match(C1142,'2018_ufns'!B:B,0)))</f>
        <v>P1156</v>
      </c>
      <c r="E1142" s="14">
        <v>43446.0</v>
      </c>
      <c r="F1142" s="40" t="s">
        <v>53</v>
      </c>
      <c r="G1142" s="40" t="s">
        <v>54</v>
      </c>
      <c r="H1142" s="9">
        <v>11.6</v>
      </c>
      <c r="I1142" s="13">
        <v>106.0</v>
      </c>
      <c r="J1142" s="13">
        <v>110.0</v>
      </c>
      <c r="K1142" s="17">
        <f t="shared" si="10"/>
        <v>0.871525169</v>
      </c>
      <c r="L1142" s="9">
        <v>2.0</v>
      </c>
      <c r="N1142" s="9" t="s">
        <v>2158</v>
      </c>
      <c r="O1142" s="9" t="s">
        <v>64</v>
      </c>
      <c r="P1142" s="40" t="s">
        <v>1729</v>
      </c>
      <c r="Q1142" s="9" t="s">
        <v>150</v>
      </c>
      <c r="R1142" s="9" t="s">
        <v>2119</v>
      </c>
      <c r="S1142" s="9" t="s">
        <v>638</v>
      </c>
      <c r="T1142" t="str">
        <f t="shared" si="12"/>
        <v>N</v>
      </c>
      <c r="W1142" s="12" t="str">
        <f t="array" ref="W1142">if(and(L1142=0,Q1142="NA"),"NA",if(L1142=0,"no lice",if(Q1142="NA","no collection",index(sea_lice!G:G,match(C1142,sea_lice!A:A,0)))))</f>
        <v>BSL7-71</v>
      </c>
      <c r="X1142" s="23">
        <v>1141.0</v>
      </c>
    </row>
    <row r="1143">
      <c r="B1143" s="6">
        <v>17601.0</v>
      </c>
      <c r="C1143" s="12" t="str">
        <f t="shared" si="11"/>
        <v>U17601</v>
      </c>
      <c r="D1143" s="14" t="str">
        <f t="array" ref="D1143">iferror(index('2018_ufns'!E:E,match(C1143,'2018_ufns'!B:B,0)))</f>
        <v>P1161</v>
      </c>
      <c r="E1143" s="14">
        <v>43447.0</v>
      </c>
      <c r="F1143" s="40" t="s">
        <v>53</v>
      </c>
      <c r="G1143" s="40" t="s">
        <v>54</v>
      </c>
      <c r="H1143" s="9">
        <v>13.3</v>
      </c>
      <c r="I1143" s="13">
        <v>109.0</v>
      </c>
      <c r="J1143" s="13">
        <v>112.0</v>
      </c>
      <c r="K1143" s="17">
        <f t="shared" si="10"/>
        <v>0.9466677296</v>
      </c>
      <c r="L1143" s="9">
        <v>1.0</v>
      </c>
      <c r="O1143" s="9" t="s">
        <v>638</v>
      </c>
      <c r="P1143" s="40" t="s">
        <v>1729</v>
      </c>
      <c r="Q1143" s="9" t="s">
        <v>150</v>
      </c>
      <c r="R1143" s="9" t="s">
        <v>2119</v>
      </c>
      <c r="S1143" s="9" t="s">
        <v>64</v>
      </c>
      <c r="T1143" t="str">
        <f t="shared" si="12"/>
        <v>N</v>
      </c>
      <c r="W1143" s="12" t="str">
        <f t="array" ref="W1143">if(and(L1143=0,Q1143="NA"),"NA",if(L1143=0,"no lice",if(Q1143="NA","no collection",index(sea_lice!G:G,match(C1143,sea_lice!A:A,0)))))</f>
        <v>BSL7-72</v>
      </c>
      <c r="X1143" s="23">
        <v>1142.0</v>
      </c>
    </row>
    <row r="1144">
      <c r="B1144" s="6">
        <v>17607.0</v>
      </c>
      <c r="C1144" s="12" t="str">
        <f t="shared" si="11"/>
        <v>U17607</v>
      </c>
      <c r="D1144" s="14" t="str">
        <f t="array" ref="D1144">iferror(index('2018_ufns'!E:E,match(C1144,'2018_ufns'!B:B,0)))</f>
        <v>P1161</v>
      </c>
      <c r="E1144" s="14">
        <v>43447.0</v>
      </c>
      <c r="F1144" s="40" t="s">
        <v>53</v>
      </c>
      <c r="G1144" s="40" t="s">
        <v>54</v>
      </c>
      <c r="H1144" s="9">
        <v>8.3</v>
      </c>
      <c r="I1144" s="13">
        <v>98.0</v>
      </c>
      <c r="J1144" s="13">
        <v>101.0</v>
      </c>
      <c r="K1144" s="17">
        <f t="shared" si="10"/>
        <v>0.8055898228</v>
      </c>
      <c r="L1144" s="9">
        <v>2.0</v>
      </c>
      <c r="O1144" s="9" t="s">
        <v>638</v>
      </c>
      <c r="P1144" s="40" t="s">
        <v>1729</v>
      </c>
      <c r="Q1144" s="9" t="s">
        <v>150</v>
      </c>
      <c r="R1144" s="9" t="s">
        <v>2119</v>
      </c>
      <c r="S1144" s="9" t="s">
        <v>64</v>
      </c>
      <c r="T1144" t="str">
        <f t="shared" si="12"/>
        <v>N</v>
      </c>
      <c r="W1144" s="12" t="str">
        <f t="array" ref="W1144">if(and(L1144=0,Q1144="NA"),"NA",if(L1144=0,"no lice",if(Q1144="NA","no collection",index(sea_lice!G:G,match(C1144,sea_lice!A:A,0)))))</f>
        <v>BSL7-73</v>
      </c>
      <c r="X1144" s="23">
        <v>1143.0</v>
      </c>
    </row>
    <row r="1145">
      <c r="B1145" s="6">
        <v>17602.0</v>
      </c>
      <c r="C1145" s="12" t="str">
        <f t="shared" si="11"/>
        <v>U17602</v>
      </c>
      <c r="D1145" s="14" t="str">
        <f t="array" ref="D1145">iferror(index('2018_ufns'!E:E,match(C1145,'2018_ufns'!B:B,0)))</f>
        <v>P1161</v>
      </c>
      <c r="E1145" s="14">
        <v>43447.0</v>
      </c>
      <c r="F1145" s="40" t="s">
        <v>53</v>
      </c>
      <c r="G1145" s="40" t="s">
        <v>54</v>
      </c>
      <c r="H1145" s="9">
        <v>9.1</v>
      </c>
      <c r="I1145" s="13">
        <v>102.0</v>
      </c>
      <c r="J1145" s="13">
        <v>106.0</v>
      </c>
      <c r="K1145" s="17">
        <f t="shared" si="10"/>
        <v>0.7640535476</v>
      </c>
      <c r="L1145" s="9">
        <v>0.0</v>
      </c>
      <c r="O1145" s="9" t="s">
        <v>638</v>
      </c>
      <c r="P1145" s="40" t="s">
        <v>1729</v>
      </c>
      <c r="Q1145" s="9" t="s">
        <v>150</v>
      </c>
      <c r="R1145" s="9" t="s">
        <v>2119</v>
      </c>
      <c r="S1145" s="9" t="s">
        <v>64</v>
      </c>
      <c r="T1145" t="str">
        <f t="shared" si="12"/>
        <v>N</v>
      </c>
      <c r="W1145" s="12" t="str">
        <f t="array" ref="W1145">if(and(L1145=0,Q1145="NA"),"NA",if(L1145=0,"no lice",if(Q1145="NA","no collection",index(sea_lice!G:G,match(C1145,sea_lice!A:A,0)))))</f>
        <v>no lice</v>
      </c>
      <c r="X1145" s="23">
        <v>1144.0</v>
      </c>
    </row>
    <row r="1146">
      <c r="B1146" s="6">
        <v>16748.0</v>
      </c>
      <c r="C1146" s="12" t="str">
        <f t="shared" si="11"/>
        <v>U16748</v>
      </c>
      <c r="D1146" s="14" t="str">
        <f t="array" ref="D1146">iferror(index('2018_ufns'!E:E,match(C1146,'2018_ufns'!B:B,0)))</f>
        <v>P1075</v>
      </c>
      <c r="E1146" s="14">
        <v>43451.0</v>
      </c>
      <c r="F1146" s="40" t="s">
        <v>53</v>
      </c>
      <c r="G1146" s="40" t="s">
        <v>54</v>
      </c>
      <c r="H1146" s="9">
        <v>11.6</v>
      </c>
      <c r="I1146" s="13">
        <v>107.0</v>
      </c>
      <c r="J1146" s="13" t="s">
        <v>63</v>
      </c>
      <c r="K1146" s="17" t="str">
        <f t="shared" si="10"/>
        <v/>
      </c>
      <c r="L1146" s="9">
        <v>2.0</v>
      </c>
      <c r="O1146" s="9" t="s">
        <v>638</v>
      </c>
      <c r="P1146" s="40" t="s">
        <v>1729</v>
      </c>
      <c r="Q1146" s="9" t="s">
        <v>150</v>
      </c>
      <c r="R1146" s="9" t="s">
        <v>2119</v>
      </c>
      <c r="S1146" s="9" t="s">
        <v>64</v>
      </c>
      <c r="T1146" t="str">
        <f t="shared" si="12"/>
        <v>N</v>
      </c>
      <c r="W1146" s="12" t="str">
        <f t="array" ref="W1146">if(and(L1146=0,Q1146="NA"),"NA",if(L1146=0,"no lice",if(Q1146="NA","no collection",index(sea_lice!G:G,match(C1146,sea_lice!A:A,0)))))</f>
        <v>BSL7-74</v>
      </c>
      <c r="X1146" s="23">
        <v>1145.0</v>
      </c>
    </row>
    <row r="1147">
      <c r="B1147" s="6">
        <v>16750.0</v>
      </c>
      <c r="C1147" s="12" t="str">
        <f t="shared" si="11"/>
        <v>U16750</v>
      </c>
      <c r="D1147" s="14" t="str">
        <f t="array" ref="D1147">iferror(index('2018_ufns'!E:E,match(C1147,'2018_ufns'!B:B,0)))</f>
        <v>P1075</v>
      </c>
      <c r="E1147" s="14">
        <v>43451.0</v>
      </c>
      <c r="F1147" s="40" t="s">
        <v>53</v>
      </c>
      <c r="G1147" s="40" t="s">
        <v>54</v>
      </c>
      <c r="H1147" s="9">
        <v>10.9</v>
      </c>
      <c r="I1147" s="13">
        <v>104.0</v>
      </c>
      <c r="J1147" s="13">
        <v>111.0</v>
      </c>
      <c r="K1147" s="17">
        <f t="shared" si="10"/>
        <v>0.7969986056</v>
      </c>
      <c r="L1147" s="9">
        <v>0.0</v>
      </c>
      <c r="O1147" s="9" t="s">
        <v>638</v>
      </c>
      <c r="P1147" s="40" t="s">
        <v>1729</v>
      </c>
      <c r="Q1147" s="9" t="s">
        <v>150</v>
      </c>
      <c r="R1147" s="9" t="s">
        <v>2119</v>
      </c>
      <c r="S1147" s="9" t="s">
        <v>64</v>
      </c>
      <c r="T1147" t="str">
        <f t="shared" si="12"/>
        <v>N</v>
      </c>
      <c r="W1147" s="12" t="str">
        <f t="array" ref="W1147">if(and(L1147=0,Q1147="NA"),"NA",if(L1147=0,"no lice",if(Q1147="NA","no collection",index(sea_lice!G:G,match(C1147,sea_lice!A:A,0)))))</f>
        <v>no lice</v>
      </c>
      <c r="X1147" s="23">
        <v>1146.0</v>
      </c>
    </row>
    <row r="1148">
      <c r="B1148" s="6">
        <v>16742.0</v>
      </c>
      <c r="C1148" s="12" t="str">
        <f t="shared" si="11"/>
        <v>U16742</v>
      </c>
      <c r="D1148" s="14" t="str">
        <f t="array" ref="D1148">iferror(index('2018_ufns'!E:E,match(C1148,'2018_ufns'!B:B,0)))</f>
        <v>P1075</v>
      </c>
      <c r="E1148" s="14">
        <v>43451.0</v>
      </c>
      <c r="F1148" s="40" t="s">
        <v>53</v>
      </c>
      <c r="G1148" s="40" t="s">
        <v>54</v>
      </c>
      <c r="H1148" s="9">
        <v>12.9</v>
      </c>
      <c r="I1148" s="13">
        <v>112.0</v>
      </c>
      <c r="J1148" s="13" t="s">
        <v>63</v>
      </c>
      <c r="K1148" s="17" t="str">
        <f t="shared" si="10"/>
        <v/>
      </c>
      <c r="L1148" s="9">
        <v>1.0</v>
      </c>
      <c r="O1148" s="9" t="s">
        <v>638</v>
      </c>
      <c r="P1148" s="40" t="s">
        <v>1729</v>
      </c>
      <c r="Q1148" s="9" t="s">
        <v>150</v>
      </c>
      <c r="R1148" s="9" t="s">
        <v>2119</v>
      </c>
      <c r="S1148" s="9" t="s">
        <v>64</v>
      </c>
      <c r="T1148" t="str">
        <f t="shared" si="12"/>
        <v>N</v>
      </c>
      <c r="W1148" s="12" t="str">
        <f t="array" ref="W1148">if(and(L1148=0,Q1148="NA"),"NA",if(L1148=0,"no lice",if(Q1148="NA","no collection",index(sea_lice!G:G,match(C1148,sea_lice!A:A,0)))))</f>
        <v>BSL7-75</v>
      </c>
      <c r="X1148" s="23">
        <v>1147.0</v>
      </c>
    </row>
    <row r="1149">
      <c r="B1149" s="6">
        <v>16745.0</v>
      </c>
      <c r="C1149" s="12" t="str">
        <f t="shared" si="11"/>
        <v>U16745</v>
      </c>
      <c r="D1149" s="14" t="str">
        <f t="array" ref="D1149">iferror(index('2018_ufns'!E:E,match(C1149,'2018_ufns'!B:B,0)))</f>
        <v>P1075</v>
      </c>
      <c r="E1149" s="14">
        <v>43451.0</v>
      </c>
      <c r="F1149" s="40" t="s">
        <v>53</v>
      </c>
      <c r="G1149" s="40" t="s">
        <v>54</v>
      </c>
      <c r="H1149" s="9">
        <v>10.5</v>
      </c>
      <c r="I1149" s="13">
        <v>104.0</v>
      </c>
      <c r="J1149" s="13">
        <v>109.0</v>
      </c>
      <c r="K1149" s="17">
        <f t="shared" si="10"/>
        <v>0.8107926541</v>
      </c>
      <c r="L1149" s="9">
        <v>2.0</v>
      </c>
      <c r="O1149" s="9" t="s">
        <v>638</v>
      </c>
      <c r="P1149" s="40" t="s">
        <v>1729</v>
      </c>
      <c r="Q1149" s="9" t="s">
        <v>150</v>
      </c>
      <c r="R1149" s="9" t="s">
        <v>2119</v>
      </c>
      <c r="S1149" s="9" t="s">
        <v>64</v>
      </c>
      <c r="T1149" t="str">
        <f t="shared" si="12"/>
        <v>N</v>
      </c>
      <c r="W1149" s="12" t="str">
        <f t="array" ref="W1149">if(and(L1149=0,Q1149="NA"),"NA",if(L1149=0,"no lice",if(Q1149="NA","no collection",index(sea_lice!G:G,match(C1149,sea_lice!A:A,0)))))</f>
        <v>BSL7-76</v>
      </c>
      <c r="X1149" s="23">
        <v>1148.0</v>
      </c>
    </row>
    <row r="1150">
      <c r="B1150" s="6">
        <v>16741.0</v>
      </c>
      <c r="C1150" s="12" t="str">
        <f t="shared" si="11"/>
        <v>U16741</v>
      </c>
      <c r="D1150" s="14" t="str">
        <f t="array" ref="D1150">iferror(index('2018_ufns'!E:E,match(C1150,'2018_ufns'!B:B,0)))</f>
        <v>P1075</v>
      </c>
      <c r="E1150" s="14">
        <v>43451.0</v>
      </c>
      <c r="F1150" s="40" t="s">
        <v>53</v>
      </c>
      <c r="G1150" s="40" t="s">
        <v>54</v>
      </c>
      <c r="H1150" s="9">
        <v>12.2</v>
      </c>
      <c r="I1150" s="13">
        <v>106.0</v>
      </c>
      <c r="J1150" s="13">
        <v>109.0</v>
      </c>
      <c r="K1150" s="17">
        <f t="shared" si="10"/>
        <v>0.9420638457</v>
      </c>
      <c r="L1150" s="9">
        <v>1.0</v>
      </c>
      <c r="O1150" s="9" t="s">
        <v>638</v>
      </c>
      <c r="P1150" s="40" t="s">
        <v>1729</v>
      </c>
      <c r="Q1150" s="9" t="s">
        <v>150</v>
      </c>
      <c r="R1150" s="9" t="s">
        <v>2119</v>
      </c>
      <c r="S1150" s="9" t="s">
        <v>64</v>
      </c>
      <c r="T1150" t="str">
        <f t="shared" si="12"/>
        <v>N</v>
      </c>
      <c r="W1150" s="12" t="str">
        <f t="array" ref="W1150">if(and(L1150=0,Q1150="NA"),"NA",if(L1150=0,"no lice",if(Q1150="NA","no collection",index(sea_lice!G:G,match(C1150,sea_lice!A:A,0)))))</f>
        <v>BSL7-77</v>
      </c>
      <c r="X1150" s="23">
        <v>1149.0</v>
      </c>
    </row>
    <row r="1151">
      <c r="B1151" s="6">
        <v>16744.0</v>
      </c>
      <c r="C1151" s="12" t="str">
        <f t="shared" si="11"/>
        <v>U16744</v>
      </c>
      <c r="D1151" s="14" t="str">
        <f t="array" ref="D1151">iferror(index('2018_ufns'!E:E,match(C1151,'2018_ufns'!B:B,0)))</f>
        <v>P1075</v>
      </c>
      <c r="E1151" s="14">
        <v>43451.0</v>
      </c>
      <c r="F1151" s="40" t="s">
        <v>53</v>
      </c>
      <c r="G1151" s="40" t="s">
        <v>54</v>
      </c>
      <c r="H1151" s="9">
        <v>22.4</v>
      </c>
      <c r="I1151" s="13">
        <v>128.0</v>
      </c>
      <c r="J1151" s="13">
        <v>132.0</v>
      </c>
      <c r="K1151" s="17">
        <f t="shared" si="10"/>
        <v>0.9739265938</v>
      </c>
      <c r="L1151" s="9">
        <v>0.0</v>
      </c>
      <c r="O1151" s="9" t="s">
        <v>638</v>
      </c>
      <c r="P1151" s="40" t="s">
        <v>1729</v>
      </c>
      <c r="Q1151" s="9" t="s">
        <v>150</v>
      </c>
      <c r="R1151" s="9" t="s">
        <v>2119</v>
      </c>
      <c r="S1151" s="9" t="s">
        <v>64</v>
      </c>
      <c r="T1151" t="str">
        <f t="shared" si="12"/>
        <v>N</v>
      </c>
      <c r="W1151" s="12" t="str">
        <f t="array" ref="W1151">if(and(L1151=0,Q1151="NA"),"NA",if(L1151=0,"no lice",if(Q1151="NA","no collection",index(sea_lice!G:G,match(C1151,sea_lice!A:A,0)))))</f>
        <v>no lice</v>
      </c>
      <c r="X1151" s="23">
        <v>1150.0</v>
      </c>
    </row>
    <row r="1152">
      <c r="B1152" s="6">
        <v>16743.0</v>
      </c>
      <c r="C1152" s="12" t="str">
        <f t="shared" si="11"/>
        <v>U16743</v>
      </c>
      <c r="D1152" s="14" t="str">
        <f t="array" ref="D1152">iferror(index('2018_ufns'!E:E,match(C1152,'2018_ufns'!B:B,0)))</f>
        <v>P1075</v>
      </c>
      <c r="E1152" s="14">
        <v>43451.0</v>
      </c>
      <c r="F1152" s="40" t="s">
        <v>53</v>
      </c>
      <c r="G1152" s="40" t="s">
        <v>54</v>
      </c>
      <c r="H1152" s="9">
        <v>12.6</v>
      </c>
      <c r="I1152" s="13">
        <v>112.0</v>
      </c>
      <c r="J1152" s="13">
        <v>116.0</v>
      </c>
      <c r="K1152" s="17">
        <f t="shared" si="10"/>
        <v>0.8072286687</v>
      </c>
      <c r="L1152" s="9">
        <v>0.0</v>
      </c>
      <c r="O1152" s="9" t="s">
        <v>638</v>
      </c>
      <c r="P1152" s="40" t="s">
        <v>1729</v>
      </c>
      <c r="Q1152" s="9" t="s">
        <v>150</v>
      </c>
      <c r="R1152" s="9" t="s">
        <v>2119</v>
      </c>
      <c r="S1152" s="9" t="s">
        <v>64</v>
      </c>
      <c r="T1152" t="str">
        <f t="shared" si="12"/>
        <v>N</v>
      </c>
      <c r="W1152" s="12" t="str">
        <f t="array" ref="W1152">if(and(L1152=0,Q1152="NA"),"NA",if(L1152=0,"no lice",if(Q1152="NA","no collection",index(sea_lice!G:G,match(C1152,sea_lice!A:A,0)))))</f>
        <v>no lice</v>
      </c>
      <c r="X1152" s="23">
        <v>1151.0</v>
      </c>
    </row>
    <row r="1153">
      <c r="B1153" s="6">
        <v>16747.0</v>
      </c>
      <c r="C1153" s="12" t="str">
        <f t="shared" si="11"/>
        <v>U16747</v>
      </c>
      <c r="D1153" s="14" t="str">
        <f t="array" ref="D1153">iferror(index('2018_ufns'!E:E,match(C1153,'2018_ufns'!B:B,0)))</f>
        <v>P1075</v>
      </c>
      <c r="E1153" s="14">
        <v>43451.0</v>
      </c>
      <c r="F1153" s="40" t="s">
        <v>53</v>
      </c>
      <c r="G1153" s="40" t="s">
        <v>54</v>
      </c>
      <c r="H1153" s="9">
        <v>21.4</v>
      </c>
      <c r="I1153" s="13">
        <v>127.0</v>
      </c>
      <c r="J1153" s="13">
        <v>133.0</v>
      </c>
      <c r="K1153" s="17">
        <f t="shared" si="10"/>
        <v>0.9096175908</v>
      </c>
      <c r="L1153" s="9">
        <v>1.0</v>
      </c>
      <c r="N1153" s="9" t="s">
        <v>2160</v>
      </c>
      <c r="O1153" s="9" t="s">
        <v>638</v>
      </c>
      <c r="P1153" s="40" t="s">
        <v>1729</v>
      </c>
      <c r="Q1153" s="9" t="s">
        <v>150</v>
      </c>
      <c r="R1153" s="9" t="s">
        <v>2119</v>
      </c>
      <c r="S1153" s="9" t="s">
        <v>64</v>
      </c>
      <c r="T1153" t="str">
        <f t="shared" si="12"/>
        <v>N</v>
      </c>
      <c r="W1153" s="12" t="str">
        <f t="array" ref="W1153">if(and(L1153=0,Q1153="NA"),"NA",if(L1153=0,"no lice",if(Q1153="NA","no collection",index(sea_lice!G:G,match(C1153,sea_lice!A:A,0)))))</f>
        <v>BSL7-78</v>
      </c>
      <c r="X1153" s="23">
        <v>1152.0</v>
      </c>
    </row>
    <row r="1154">
      <c r="B1154" s="6">
        <v>16749.0</v>
      </c>
      <c r="C1154" s="12" t="str">
        <f t="shared" si="11"/>
        <v>U16749</v>
      </c>
      <c r="D1154" s="14" t="str">
        <f t="array" ref="D1154">iferror(index('2018_ufns'!E:E,match(C1154,'2018_ufns'!B:B,0)))</f>
        <v>P1075</v>
      </c>
      <c r="E1154" s="14">
        <v>43451.0</v>
      </c>
      <c r="F1154" s="40" t="s">
        <v>53</v>
      </c>
      <c r="G1154" s="40" t="s">
        <v>54</v>
      </c>
      <c r="H1154" s="9">
        <v>15.1</v>
      </c>
      <c r="I1154" s="13">
        <v>116.0</v>
      </c>
      <c r="J1154" s="13">
        <v>121.0</v>
      </c>
      <c r="K1154" s="17">
        <f t="shared" si="10"/>
        <v>0.8523556344</v>
      </c>
      <c r="L1154" s="9">
        <v>5.0</v>
      </c>
      <c r="O1154" s="9" t="s">
        <v>638</v>
      </c>
      <c r="P1154" s="40" t="s">
        <v>1729</v>
      </c>
      <c r="Q1154" s="9" t="s">
        <v>150</v>
      </c>
      <c r="R1154" s="9" t="s">
        <v>2119</v>
      </c>
      <c r="S1154" s="9" t="s">
        <v>64</v>
      </c>
      <c r="T1154" t="str">
        <f t="shared" si="12"/>
        <v>N</v>
      </c>
      <c r="W1154" s="12" t="str">
        <f t="array" ref="W1154">if(and(L1154=0,Q1154="NA"),"NA",if(L1154=0,"no lice",if(Q1154="NA","no collection",index(sea_lice!G:G,match(C1154,sea_lice!A:A,0)))))</f>
        <v>BSL7-79</v>
      </c>
      <c r="X1154" s="23">
        <v>1153.0</v>
      </c>
    </row>
    <row r="1155">
      <c r="B1155" s="6">
        <v>16746.0</v>
      </c>
      <c r="C1155" s="12" t="str">
        <f t="shared" si="11"/>
        <v>U16746</v>
      </c>
      <c r="D1155" s="14" t="str">
        <f t="array" ref="D1155">iferror(index('2018_ufns'!E:E,match(C1155,'2018_ufns'!B:B,0)))</f>
        <v>P1075</v>
      </c>
      <c r="E1155" s="14">
        <v>43451.0</v>
      </c>
      <c r="F1155" s="40" t="s">
        <v>53</v>
      </c>
      <c r="G1155" s="40" t="s">
        <v>54</v>
      </c>
      <c r="H1155" s="9">
        <v>13.7</v>
      </c>
      <c r="I1155" s="13">
        <v>111.0</v>
      </c>
      <c r="J1155" s="13">
        <v>115.0</v>
      </c>
      <c r="K1155" s="17">
        <f t="shared" si="10"/>
        <v>0.9007972384</v>
      </c>
      <c r="L1155" s="9">
        <v>1.0</v>
      </c>
      <c r="O1155" s="9" t="s">
        <v>638</v>
      </c>
      <c r="P1155" s="40" t="s">
        <v>1729</v>
      </c>
      <c r="Q1155" s="9" t="s">
        <v>150</v>
      </c>
      <c r="R1155" s="9" t="s">
        <v>2119</v>
      </c>
      <c r="S1155" s="9" t="s">
        <v>64</v>
      </c>
      <c r="T1155" t="str">
        <f t="shared" si="12"/>
        <v>N</v>
      </c>
      <c r="W1155" s="12" t="str">
        <f t="array" ref="W1155">if(and(L1155=0,Q1155="NA"),"NA",if(L1155=0,"no lice",if(Q1155="NA","no collection",index(sea_lice!G:G,match(C1155,sea_lice!A:A,0)))))</f>
        <v>BSL7-80</v>
      </c>
      <c r="X1155" s="23">
        <v>1154.0</v>
      </c>
    </row>
    <row r="1156">
      <c r="B1156" s="6">
        <v>16287.0</v>
      </c>
      <c r="C1156" s="12" t="str">
        <f t="shared" si="11"/>
        <v>U16287</v>
      </c>
      <c r="D1156" s="14" t="str">
        <f t="array" ref="D1156">iferror(index('2018_ufns'!E:E,match(C1156,'2018_ufns'!B:B,0)))</f>
        <v>P1029</v>
      </c>
      <c r="E1156" s="14">
        <v>43451.0</v>
      </c>
      <c r="F1156" s="40" t="s">
        <v>53</v>
      </c>
      <c r="G1156" s="40" t="s">
        <v>54</v>
      </c>
      <c r="H1156" s="9">
        <v>9.3</v>
      </c>
      <c r="I1156" s="13">
        <v>98.0</v>
      </c>
      <c r="J1156" s="13">
        <v>103.0</v>
      </c>
      <c r="K1156" s="17">
        <f t="shared" si="10"/>
        <v>0.8510817432</v>
      </c>
      <c r="L1156" s="9">
        <v>0.0</v>
      </c>
      <c r="O1156" s="9" t="s">
        <v>638</v>
      </c>
      <c r="P1156" s="40" t="s">
        <v>1729</v>
      </c>
      <c r="Q1156" s="9" t="s">
        <v>62</v>
      </c>
      <c r="R1156" s="9" t="s">
        <v>2119</v>
      </c>
      <c r="S1156" s="9" t="s">
        <v>64</v>
      </c>
      <c r="T1156" t="str">
        <f t="shared" si="12"/>
        <v>N</v>
      </c>
      <c r="W1156" s="12" t="str">
        <f t="array" ref="W1156">if(and(L1156=0,Q1156="NA"),"NA",if(L1156=0,"no lice",if(Q1156="NA","no collection",index(sea_lice!G:G,match(C1156,sea_lice!A:A,0)))))</f>
        <v>no lice</v>
      </c>
      <c r="X1156" s="23">
        <v>1155.0</v>
      </c>
    </row>
    <row r="1157">
      <c r="B1157" s="6">
        <v>16286.0</v>
      </c>
      <c r="C1157" s="12" t="str">
        <f t="shared" si="11"/>
        <v>U16286</v>
      </c>
      <c r="D1157" s="14" t="str">
        <f t="array" ref="D1157">iferror(index('2018_ufns'!E:E,match(C1157,'2018_ufns'!B:B,0)))</f>
        <v>P1029</v>
      </c>
      <c r="E1157" s="14">
        <v>43451.0</v>
      </c>
      <c r="F1157" s="40" t="s">
        <v>53</v>
      </c>
      <c r="G1157" s="40" t="s">
        <v>54</v>
      </c>
      <c r="H1157" s="9">
        <v>4.3</v>
      </c>
      <c r="I1157" s="13">
        <v>78.0</v>
      </c>
      <c r="J1157" s="13">
        <v>82.0</v>
      </c>
      <c r="K1157" s="17">
        <f t="shared" si="10"/>
        <v>0.7798784115</v>
      </c>
      <c r="L1157" s="9">
        <v>0.0</v>
      </c>
      <c r="O1157" s="9" t="s">
        <v>638</v>
      </c>
      <c r="P1157" s="40" t="s">
        <v>1729</v>
      </c>
      <c r="Q1157" s="9" t="s">
        <v>62</v>
      </c>
      <c r="R1157" s="9" t="s">
        <v>2119</v>
      </c>
      <c r="S1157" s="9" t="s">
        <v>64</v>
      </c>
      <c r="T1157" t="str">
        <f t="shared" si="12"/>
        <v>N</v>
      </c>
      <c r="W1157" s="12" t="str">
        <f t="array" ref="W1157">if(and(L1157=0,Q1157="NA"),"NA",if(L1157=0,"no lice",if(Q1157="NA","no collection",index(sea_lice!G:G,match(C1157,sea_lice!A:A,0)))))</f>
        <v>no lice</v>
      </c>
      <c r="X1157" s="23">
        <v>1156.0</v>
      </c>
    </row>
    <row r="1158">
      <c r="B1158" s="6">
        <v>16285.0</v>
      </c>
      <c r="C1158" s="12" t="str">
        <f t="shared" si="11"/>
        <v>U16285</v>
      </c>
      <c r="D1158" s="14" t="str">
        <f t="array" ref="D1158">iferror(index('2018_ufns'!E:E,match(C1158,'2018_ufns'!B:B,0)))</f>
        <v>P1029</v>
      </c>
      <c r="E1158" s="14">
        <v>43451.0</v>
      </c>
      <c r="F1158" s="40" t="s">
        <v>53</v>
      </c>
      <c r="G1158" s="40" t="s">
        <v>54</v>
      </c>
      <c r="H1158" s="9">
        <v>4.7</v>
      </c>
      <c r="I1158" s="13">
        <v>79.0</v>
      </c>
      <c r="J1158" s="13">
        <v>83.0</v>
      </c>
      <c r="K1158" s="17">
        <f t="shared" si="10"/>
        <v>0.8219844103</v>
      </c>
      <c r="L1158" s="9">
        <v>0.0</v>
      </c>
      <c r="O1158" s="9" t="s">
        <v>638</v>
      </c>
      <c r="P1158" s="40" t="s">
        <v>1729</v>
      </c>
      <c r="Q1158" s="9" t="s">
        <v>62</v>
      </c>
      <c r="R1158" s="9" t="s">
        <v>2119</v>
      </c>
      <c r="S1158" s="9" t="s">
        <v>64</v>
      </c>
      <c r="T1158" t="str">
        <f t="shared" si="12"/>
        <v>N</v>
      </c>
      <c r="W1158" s="12" t="str">
        <f t="array" ref="W1158">if(and(L1158=0,Q1158="NA"),"NA",if(L1158=0,"no lice",if(Q1158="NA","no collection",index(sea_lice!G:G,match(C1158,sea_lice!A:A,0)))))</f>
        <v>no lice</v>
      </c>
      <c r="X1158" s="23">
        <v>1157.0</v>
      </c>
    </row>
    <row r="1159">
      <c r="B1159" s="6">
        <v>16288.0</v>
      </c>
      <c r="C1159" s="12" t="str">
        <f t="shared" si="11"/>
        <v>U16288</v>
      </c>
      <c r="D1159" s="14" t="str">
        <f t="array" ref="D1159">iferror(index('2018_ufns'!E:E,match(C1159,'2018_ufns'!B:B,0)))</f>
        <v>P1029</v>
      </c>
      <c r="E1159" s="14">
        <v>43451.0</v>
      </c>
      <c r="F1159" s="40" t="s">
        <v>53</v>
      </c>
      <c r="G1159" s="40" t="s">
        <v>54</v>
      </c>
      <c r="H1159" s="9">
        <v>8.3</v>
      </c>
      <c r="I1159" s="13">
        <v>95.0</v>
      </c>
      <c r="J1159" s="13">
        <v>99.0</v>
      </c>
      <c r="K1159" s="17">
        <f t="shared" si="10"/>
        <v>0.8554064263</v>
      </c>
      <c r="L1159" s="9">
        <v>0.0</v>
      </c>
      <c r="O1159" s="9" t="s">
        <v>638</v>
      </c>
      <c r="P1159" s="40" t="s">
        <v>1729</v>
      </c>
      <c r="Q1159" s="9" t="s">
        <v>62</v>
      </c>
      <c r="R1159" s="9" t="s">
        <v>2119</v>
      </c>
      <c r="S1159" s="9" t="s">
        <v>64</v>
      </c>
      <c r="T1159" t="str">
        <f t="shared" si="12"/>
        <v>N</v>
      </c>
      <c r="W1159" s="12" t="str">
        <f t="array" ref="W1159">if(and(L1159=0,Q1159="NA"),"NA",if(L1159=0,"no lice",if(Q1159="NA","no collection",index(sea_lice!G:G,match(C1159,sea_lice!A:A,0)))))</f>
        <v>no lice</v>
      </c>
      <c r="X1159" s="23">
        <v>1158.0</v>
      </c>
    </row>
    <row r="1160">
      <c r="B1160" s="6">
        <v>16290.0</v>
      </c>
      <c r="C1160" s="12" t="str">
        <f t="shared" si="11"/>
        <v>U16290</v>
      </c>
      <c r="D1160" s="14" t="str">
        <f t="array" ref="D1160">iferror(index('2018_ufns'!E:E,match(C1160,'2018_ufns'!B:B,0)))</f>
        <v>P1029</v>
      </c>
      <c r="E1160" s="14">
        <v>43451.0</v>
      </c>
      <c r="F1160" s="40" t="s">
        <v>53</v>
      </c>
      <c r="G1160" s="40" t="s">
        <v>54</v>
      </c>
      <c r="H1160" s="9">
        <v>5.9</v>
      </c>
      <c r="I1160" s="13">
        <v>88.0</v>
      </c>
      <c r="J1160" s="13">
        <v>92.0</v>
      </c>
      <c r="K1160" s="17">
        <f t="shared" si="10"/>
        <v>0.757684721</v>
      </c>
      <c r="L1160" s="9">
        <v>0.0</v>
      </c>
      <c r="O1160" s="9" t="s">
        <v>638</v>
      </c>
      <c r="P1160" s="40" t="s">
        <v>1729</v>
      </c>
      <c r="Q1160" s="9" t="s">
        <v>62</v>
      </c>
      <c r="R1160" s="9" t="s">
        <v>2119</v>
      </c>
      <c r="S1160" s="9" t="s">
        <v>64</v>
      </c>
      <c r="T1160" t="str">
        <f t="shared" si="12"/>
        <v>N</v>
      </c>
      <c r="W1160" s="12" t="str">
        <f t="array" ref="W1160">if(and(L1160=0,Q1160="NA"),"NA",if(L1160=0,"no lice",if(Q1160="NA","no collection",index(sea_lice!G:G,match(C1160,sea_lice!A:A,0)))))</f>
        <v>no lice</v>
      </c>
      <c r="X1160" s="23">
        <v>1159.0</v>
      </c>
    </row>
    <row r="1161">
      <c r="B1161" s="6">
        <v>16281.0</v>
      </c>
      <c r="C1161" s="12" t="str">
        <f t="shared" si="11"/>
        <v>U16281</v>
      </c>
      <c r="D1161" s="14" t="str">
        <f t="array" ref="D1161">iferror(index('2018_ufns'!E:E,match(C1161,'2018_ufns'!B:B,0)))</f>
        <v>P1029</v>
      </c>
      <c r="E1161" s="14">
        <v>43451.0</v>
      </c>
      <c r="F1161" s="40" t="s">
        <v>53</v>
      </c>
      <c r="G1161" s="40" t="s">
        <v>54</v>
      </c>
      <c r="H1161" s="9">
        <v>7.5</v>
      </c>
      <c r="I1161" s="13">
        <v>92.0</v>
      </c>
      <c r="J1161" s="13">
        <v>96.0</v>
      </c>
      <c r="K1161" s="17">
        <f t="shared" si="10"/>
        <v>0.8477105035</v>
      </c>
      <c r="L1161" s="9">
        <v>1.0</v>
      </c>
      <c r="O1161" s="9" t="s">
        <v>638</v>
      </c>
      <c r="P1161" s="40" t="s">
        <v>1729</v>
      </c>
      <c r="Q1161" s="9" t="s">
        <v>62</v>
      </c>
      <c r="R1161" s="9" t="s">
        <v>2119</v>
      </c>
      <c r="S1161" s="9" t="s">
        <v>64</v>
      </c>
      <c r="T1161" t="str">
        <f t="shared" si="12"/>
        <v>N</v>
      </c>
      <c r="W1161" s="12" t="str">
        <f t="array" ref="W1161">if(and(L1161=0,Q1161="NA"),"NA",if(L1161=0,"no lice",if(Q1161="NA","no collection",index(sea_lice!G:G,match(C1161,sea_lice!A:A,0)))))</f>
        <v>BSL2-74</v>
      </c>
      <c r="X1161" s="23">
        <v>1160.0</v>
      </c>
    </row>
    <row r="1162">
      <c r="B1162" s="6">
        <v>16284.0</v>
      </c>
      <c r="C1162" s="12" t="str">
        <f t="shared" si="11"/>
        <v>U16284</v>
      </c>
      <c r="D1162" s="14" t="str">
        <f t="array" ref="D1162">iferror(index('2018_ufns'!E:E,match(C1162,'2018_ufns'!B:B,0)))</f>
        <v>P1029</v>
      </c>
      <c r="E1162" s="14">
        <v>43451.0</v>
      </c>
      <c r="F1162" s="40" t="s">
        <v>53</v>
      </c>
      <c r="G1162" s="40" t="s">
        <v>54</v>
      </c>
      <c r="H1162" s="9">
        <v>4.3</v>
      </c>
      <c r="I1162" s="13">
        <v>80.0</v>
      </c>
      <c r="J1162" s="13">
        <v>83.0</v>
      </c>
      <c r="K1162" s="17">
        <f t="shared" si="10"/>
        <v>0.7520282903</v>
      </c>
      <c r="L1162" s="9">
        <v>0.0</v>
      </c>
      <c r="N1162" s="9" t="s">
        <v>2161</v>
      </c>
      <c r="O1162" s="9" t="s">
        <v>638</v>
      </c>
      <c r="P1162" s="40" t="s">
        <v>1729</v>
      </c>
      <c r="Q1162" s="9" t="s">
        <v>62</v>
      </c>
      <c r="R1162" s="9" t="s">
        <v>2119</v>
      </c>
      <c r="S1162" s="9" t="s">
        <v>64</v>
      </c>
      <c r="T1162" t="str">
        <f t="shared" si="12"/>
        <v>N</v>
      </c>
      <c r="W1162" s="12" t="str">
        <f t="array" ref="W1162">if(and(L1162=0,Q1162="NA"),"NA",if(L1162=0,"no lice",if(Q1162="NA","no collection",index(sea_lice!G:G,match(C1162,sea_lice!A:A,0)))))</f>
        <v>no lice</v>
      </c>
      <c r="X1162" s="23">
        <v>1161.0</v>
      </c>
    </row>
    <row r="1163">
      <c r="B1163" s="6">
        <v>16282.0</v>
      </c>
      <c r="C1163" s="12" t="str">
        <f t="shared" si="11"/>
        <v>U16282</v>
      </c>
      <c r="D1163" s="14" t="str">
        <f t="array" ref="D1163">iferror(index('2018_ufns'!E:E,match(C1163,'2018_ufns'!B:B,0)))</f>
        <v>P1029</v>
      </c>
      <c r="E1163" s="14">
        <v>43451.0</v>
      </c>
      <c r="F1163" s="40" t="s">
        <v>53</v>
      </c>
      <c r="G1163" s="40" t="s">
        <v>54</v>
      </c>
      <c r="H1163" s="9">
        <v>5.6</v>
      </c>
      <c r="I1163" s="13">
        <v>83.0</v>
      </c>
      <c r="J1163" s="13" t="s">
        <v>63</v>
      </c>
      <c r="K1163" s="17" t="str">
        <f t="shared" si="10"/>
        <v/>
      </c>
      <c r="L1163" s="9">
        <v>0.0</v>
      </c>
      <c r="O1163" s="9" t="s">
        <v>638</v>
      </c>
      <c r="P1163" s="40" t="s">
        <v>1729</v>
      </c>
      <c r="Q1163" s="9" t="s">
        <v>62</v>
      </c>
      <c r="R1163" s="9" t="s">
        <v>2119</v>
      </c>
      <c r="S1163" s="9" t="s">
        <v>64</v>
      </c>
      <c r="T1163" t="str">
        <f t="shared" si="12"/>
        <v>N</v>
      </c>
      <c r="W1163" s="12" t="str">
        <f t="array" ref="W1163">if(and(L1163=0,Q1163="NA"),"NA",if(L1163=0,"no lice",if(Q1163="NA","no collection",index(sea_lice!G:G,match(C1163,sea_lice!A:A,0)))))</f>
        <v>no lice</v>
      </c>
      <c r="X1163" s="23">
        <v>1162.0</v>
      </c>
    </row>
    <row r="1164">
      <c r="B1164" s="6">
        <v>16283.0</v>
      </c>
      <c r="C1164" s="12" t="str">
        <f t="shared" si="11"/>
        <v>U16283</v>
      </c>
      <c r="D1164" s="14" t="str">
        <f t="array" ref="D1164">iferror(index('2018_ufns'!E:E,match(C1164,'2018_ufns'!B:B,0)))</f>
        <v>P1029</v>
      </c>
      <c r="E1164" s="14">
        <v>43451.0</v>
      </c>
      <c r="F1164" s="40" t="s">
        <v>53</v>
      </c>
      <c r="G1164" s="40" t="s">
        <v>54</v>
      </c>
      <c r="H1164" s="9">
        <v>5.0</v>
      </c>
      <c r="I1164" s="13">
        <v>82.0</v>
      </c>
      <c r="J1164" s="13">
        <v>86.0</v>
      </c>
      <c r="K1164" s="17">
        <f t="shared" si="10"/>
        <v>0.7860943062</v>
      </c>
      <c r="L1164" s="9">
        <v>0.0</v>
      </c>
      <c r="O1164" s="9" t="s">
        <v>638</v>
      </c>
      <c r="P1164" s="40" t="s">
        <v>1729</v>
      </c>
      <c r="Q1164" s="9" t="s">
        <v>62</v>
      </c>
      <c r="R1164" s="9" t="s">
        <v>2119</v>
      </c>
      <c r="S1164" s="9" t="s">
        <v>64</v>
      </c>
      <c r="T1164" t="str">
        <f t="shared" si="12"/>
        <v>N</v>
      </c>
      <c r="W1164" s="12" t="str">
        <f t="array" ref="W1164">if(and(L1164=0,Q1164="NA"),"NA",if(L1164=0,"no lice",if(Q1164="NA","no collection",index(sea_lice!G:G,match(C1164,sea_lice!A:A,0)))))</f>
        <v>no lice</v>
      </c>
      <c r="X1164" s="23">
        <v>1163.0</v>
      </c>
    </row>
    <row r="1165">
      <c r="B1165" s="6">
        <v>16289.0</v>
      </c>
      <c r="C1165" s="12" t="str">
        <f t="shared" si="11"/>
        <v>U16289</v>
      </c>
      <c r="D1165" s="14" t="str">
        <f t="array" ref="D1165">iferror(index('2018_ufns'!E:E,match(C1165,'2018_ufns'!B:B,0)))</f>
        <v>P1029</v>
      </c>
      <c r="E1165" s="14">
        <v>43451.0</v>
      </c>
      <c r="F1165" s="40" t="s">
        <v>53</v>
      </c>
      <c r="G1165" s="40" t="s">
        <v>54</v>
      </c>
      <c r="H1165" s="9">
        <v>6.1</v>
      </c>
      <c r="I1165" s="13">
        <v>87.0</v>
      </c>
      <c r="J1165" s="13">
        <v>91.0</v>
      </c>
      <c r="K1165" s="17">
        <f t="shared" si="10"/>
        <v>0.8094791334</v>
      </c>
      <c r="L1165" s="9">
        <v>0.0</v>
      </c>
      <c r="N1165" s="9" t="s">
        <v>2162</v>
      </c>
      <c r="O1165" s="9" t="s">
        <v>638</v>
      </c>
      <c r="P1165" s="40" t="s">
        <v>1729</v>
      </c>
      <c r="Q1165" s="9" t="s">
        <v>62</v>
      </c>
      <c r="R1165" s="9" t="s">
        <v>2119</v>
      </c>
      <c r="S1165" s="9" t="s">
        <v>64</v>
      </c>
      <c r="T1165" t="str">
        <f t="shared" si="12"/>
        <v>N</v>
      </c>
      <c r="W1165" s="12" t="str">
        <f t="array" ref="W1165">if(and(L1165=0,Q1165="NA"),"NA",if(L1165=0,"no lice",if(Q1165="NA","no collection",index(sea_lice!G:G,match(C1165,sea_lice!A:A,0)))))</f>
        <v>no lice</v>
      </c>
      <c r="X1165" s="23">
        <v>1164.0</v>
      </c>
    </row>
    <row r="1166">
      <c r="B1166" s="6">
        <v>16615.0</v>
      </c>
      <c r="C1166" s="12" t="str">
        <f t="shared" si="11"/>
        <v>U16615</v>
      </c>
      <c r="D1166" s="14" t="str">
        <f t="array" ref="D1166">iferror(index('2018_ufns'!E:E,match(C1166,'2018_ufns'!B:B,0)))</f>
        <v>P1062</v>
      </c>
      <c r="E1166" s="14">
        <v>43451.0</v>
      </c>
      <c r="F1166" s="40" t="s">
        <v>53</v>
      </c>
      <c r="G1166" s="40" t="s">
        <v>54</v>
      </c>
      <c r="H1166" s="9">
        <v>15.0</v>
      </c>
      <c r="I1166" s="13">
        <v>113.0</v>
      </c>
      <c r="J1166" s="13">
        <v>118.0</v>
      </c>
      <c r="K1166" s="17">
        <f t="shared" si="10"/>
        <v>0.912946309</v>
      </c>
      <c r="L1166" s="9">
        <v>2.0</v>
      </c>
      <c r="O1166" s="9" t="s">
        <v>638</v>
      </c>
      <c r="P1166" s="40" t="s">
        <v>1729</v>
      </c>
      <c r="Q1166" s="9" t="s">
        <v>150</v>
      </c>
      <c r="R1166" s="9" t="s">
        <v>2119</v>
      </c>
      <c r="S1166" s="9" t="s">
        <v>64</v>
      </c>
      <c r="T1166" t="str">
        <f t="shared" si="12"/>
        <v>N</v>
      </c>
      <c r="W1166" s="12" t="str">
        <f t="array" ref="W1166">if(and(L1166=0,Q1166="NA"),"NA",if(L1166=0,"no lice",if(Q1166="NA","no collection",index(sea_lice!G:G,match(C1166,sea_lice!A:A,0)))))</f>
        <v>BSL7-84</v>
      </c>
      <c r="X1166" s="23">
        <v>1165.0</v>
      </c>
    </row>
    <row r="1167">
      <c r="B1167" s="6">
        <v>16620.0</v>
      </c>
      <c r="C1167" s="12" t="str">
        <f t="shared" si="11"/>
        <v>U16620</v>
      </c>
      <c r="D1167" s="14" t="str">
        <f t="array" ref="D1167">iferror(index('2018_ufns'!E:E,match(C1167,'2018_ufns'!B:B,0)))</f>
        <v>P1062</v>
      </c>
      <c r="E1167" s="14">
        <v>43452.0</v>
      </c>
      <c r="F1167" s="40" t="s">
        <v>53</v>
      </c>
      <c r="G1167" s="40" t="s">
        <v>54</v>
      </c>
      <c r="H1167" s="9">
        <v>8.0</v>
      </c>
      <c r="I1167" s="13">
        <v>97.0</v>
      </c>
      <c r="J1167" s="13" t="s">
        <v>63</v>
      </c>
      <c r="K1167" s="17" t="str">
        <f t="shared" si="10"/>
        <v/>
      </c>
      <c r="L1167" s="9">
        <v>0.0</v>
      </c>
      <c r="O1167" s="9" t="s">
        <v>638</v>
      </c>
      <c r="P1167" s="40" t="s">
        <v>1729</v>
      </c>
      <c r="Q1167" s="9" t="s">
        <v>150</v>
      </c>
      <c r="R1167" s="9" t="s">
        <v>2119</v>
      </c>
      <c r="S1167" s="9" t="s">
        <v>64</v>
      </c>
      <c r="T1167" t="str">
        <f t="shared" si="12"/>
        <v>N</v>
      </c>
      <c r="W1167" s="12" t="str">
        <f t="array" ref="W1167">if(and(L1167=0,Q1167="NA"),"NA",if(L1167=0,"no lice",if(Q1167="NA","no collection",index(sea_lice!G:G,match(C1167,sea_lice!A:A,0)))))</f>
        <v>no lice</v>
      </c>
      <c r="X1167" s="23">
        <v>1166.0</v>
      </c>
    </row>
    <row r="1168">
      <c r="B1168" s="6">
        <v>16614.0</v>
      </c>
      <c r="C1168" s="12" t="str">
        <f t="shared" si="11"/>
        <v>U16614</v>
      </c>
      <c r="D1168" s="14" t="str">
        <f t="array" ref="D1168">iferror(index('2018_ufns'!E:E,match(C1168,'2018_ufns'!B:B,0)))</f>
        <v>P1062</v>
      </c>
      <c r="E1168" s="14">
        <v>43452.0</v>
      </c>
      <c r="F1168" s="40" t="s">
        <v>53</v>
      </c>
      <c r="G1168" s="40" t="s">
        <v>54</v>
      </c>
      <c r="H1168" s="9">
        <v>7.2</v>
      </c>
      <c r="I1168" s="13">
        <v>92.0</v>
      </c>
      <c r="J1168" s="13">
        <v>96.0</v>
      </c>
      <c r="K1168" s="17">
        <f t="shared" si="10"/>
        <v>0.8138020833</v>
      </c>
      <c r="L1168" s="9">
        <v>1.0</v>
      </c>
      <c r="O1168" s="9" t="s">
        <v>638</v>
      </c>
      <c r="P1168" s="40" t="s">
        <v>1729</v>
      </c>
      <c r="Q1168" s="9" t="s">
        <v>150</v>
      </c>
      <c r="R1168" s="9" t="s">
        <v>2119</v>
      </c>
      <c r="S1168" s="9" t="s">
        <v>64</v>
      </c>
      <c r="T1168" t="str">
        <f t="shared" si="12"/>
        <v>N</v>
      </c>
      <c r="W1168" s="12" t="str">
        <f t="array" ref="W1168">if(and(L1168=0,Q1168="NA"),"NA",if(L1168=0,"no lice",if(Q1168="NA","no collection",index(sea_lice!G:G,match(C1168,sea_lice!A:A,0)))))</f>
        <v>BSL7-86</v>
      </c>
      <c r="X1168" s="23">
        <v>1167.0</v>
      </c>
    </row>
    <row r="1169">
      <c r="B1169" s="6">
        <v>16613.0</v>
      </c>
      <c r="C1169" s="12" t="str">
        <f t="shared" si="11"/>
        <v>U16613</v>
      </c>
      <c r="D1169" s="14" t="str">
        <f t="array" ref="D1169">iferror(index('2018_ufns'!E:E,match(C1169,'2018_ufns'!B:B,0)))</f>
        <v>P1062</v>
      </c>
      <c r="E1169" s="14">
        <v>43452.0</v>
      </c>
      <c r="F1169" s="40" t="s">
        <v>53</v>
      </c>
      <c r="G1169" s="40" t="s">
        <v>54</v>
      </c>
      <c r="H1169" s="9">
        <v>9.2</v>
      </c>
      <c r="I1169" s="13">
        <v>99.0</v>
      </c>
      <c r="J1169" s="13">
        <v>104.0</v>
      </c>
      <c r="K1169" s="17">
        <f t="shared" si="10"/>
        <v>0.81787665</v>
      </c>
      <c r="L1169" s="9">
        <v>3.0</v>
      </c>
      <c r="O1169" s="9" t="s">
        <v>638</v>
      </c>
      <c r="P1169" s="40" t="s">
        <v>1729</v>
      </c>
      <c r="Q1169" s="9" t="s">
        <v>150</v>
      </c>
      <c r="R1169" s="9" t="s">
        <v>2119</v>
      </c>
      <c r="S1169" s="9" t="s">
        <v>64</v>
      </c>
      <c r="T1169" t="str">
        <f t="shared" si="12"/>
        <v>N</v>
      </c>
      <c r="W1169" s="12" t="str">
        <f t="array" ref="W1169">if(and(L1169=0,Q1169="NA"),"NA",if(L1169=0,"no lice",if(Q1169="NA","no collection",index(sea_lice!G:G,match(C1169,sea_lice!A:A,0)))))</f>
        <v>BSL7-87</v>
      </c>
      <c r="X1169" s="23">
        <v>1168.0</v>
      </c>
    </row>
    <row r="1170">
      <c r="B1170" s="6">
        <v>16616.0</v>
      </c>
      <c r="C1170" s="12" t="str">
        <f t="shared" si="11"/>
        <v>U16616</v>
      </c>
      <c r="D1170" s="14" t="str">
        <f t="array" ref="D1170">iferror(index('2018_ufns'!E:E,match(C1170,'2018_ufns'!B:B,0)))</f>
        <v>P1062</v>
      </c>
      <c r="E1170" s="14">
        <v>43452.0</v>
      </c>
      <c r="F1170" s="40" t="s">
        <v>53</v>
      </c>
      <c r="G1170" s="40" t="s">
        <v>54</v>
      </c>
      <c r="H1170" s="9">
        <v>7.5</v>
      </c>
      <c r="I1170" s="13">
        <v>94.0</v>
      </c>
      <c r="J1170" s="13">
        <v>99.0</v>
      </c>
      <c r="K1170" s="17">
        <f t="shared" si="10"/>
        <v>0.7729576141</v>
      </c>
      <c r="L1170" s="9">
        <v>1.0</v>
      </c>
      <c r="O1170" s="9" t="s">
        <v>638</v>
      </c>
      <c r="P1170" s="40" t="s">
        <v>1729</v>
      </c>
      <c r="Q1170" s="9" t="s">
        <v>150</v>
      </c>
      <c r="R1170" s="9" t="s">
        <v>2119</v>
      </c>
      <c r="S1170" s="9" t="s">
        <v>64</v>
      </c>
      <c r="T1170" t="str">
        <f t="shared" si="12"/>
        <v>N</v>
      </c>
      <c r="W1170" s="12" t="str">
        <f t="array" ref="W1170">if(and(L1170=0,Q1170="NA"),"NA",if(L1170=0,"no lice",if(Q1170="NA","no collection",index(sea_lice!G:G,match(C1170,sea_lice!A:A,0)))))</f>
        <v>BSL7-88</v>
      </c>
      <c r="X1170" s="23">
        <v>1169.0</v>
      </c>
    </row>
    <row r="1171">
      <c r="B1171" s="6">
        <v>16618.0</v>
      </c>
      <c r="C1171" s="12" t="str">
        <f t="shared" si="11"/>
        <v>U16618</v>
      </c>
      <c r="D1171" s="14" t="str">
        <f t="array" ref="D1171">iferror(index('2018_ufns'!E:E,match(C1171,'2018_ufns'!B:B,0)))</f>
        <v>P1062</v>
      </c>
      <c r="E1171" s="14">
        <v>43452.0</v>
      </c>
      <c r="F1171" s="40" t="s">
        <v>53</v>
      </c>
      <c r="G1171" s="40" t="s">
        <v>54</v>
      </c>
      <c r="H1171" s="9">
        <v>8.6</v>
      </c>
      <c r="I1171" s="13">
        <v>99.0</v>
      </c>
      <c r="J1171" s="13" t="s">
        <v>63</v>
      </c>
      <c r="K1171" s="17" t="str">
        <f t="shared" si="10"/>
        <v/>
      </c>
      <c r="L1171" s="9">
        <v>1.0</v>
      </c>
      <c r="O1171" s="9" t="s">
        <v>638</v>
      </c>
      <c r="P1171" s="40" t="s">
        <v>1729</v>
      </c>
      <c r="Q1171" s="9" t="s">
        <v>150</v>
      </c>
      <c r="R1171" s="9" t="s">
        <v>2119</v>
      </c>
      <c r="S1171" s="9" t="s">
        <v>64</v>
      </c>
      <c r="T1171" t="str">
        <f t="shared" si="12"/>
        <v>N</v>
      </c>
      <c r="W1171" s="12" t="str">
        <f t="array" ref="W1171">if(and(L1171=0,Q1171="NA"),"NA",if(L1171=0,"no lice",if(Q1171="NA","no collection",index(sea_lice!G:G,match(C1171,sea_lice!A:A,0)))))</f>
        <v>BSL7-89</v>
      </c>
      <c r="X1171" s="23">
        <v>1170.0</v>
      </c>
    </row>
    <row r="1172">
      <c r="B1172" s="6">
        <v>16612.0</v>
      </c>
      <c r="C1172" s="12" t="str">
        <f t="shared" si="11"/>
        <v>U16612</v>
      </c>
      <c r="D1172" s="14" t="str">
        <f t="array" ref="D1172">iferror(index('2018_ufns'!E:E,match(C1172,'2018_ufns'!B:B,0)))</f>
        <v>P1062</v>
      </c>
      <c r="E1172" s="14">
        <v>43452.0</v>
      </c>
      <c r="F1172" s="40" t="s">
        <v>53</v>
      </c>
      <c r="G1172" s="40" t="s">
        <v>54</v>
      </c>
      <c r="H1172" s="9">
        <v>11.0</v>
      </c>
      <c r="I1172" s="13">
        <v>106.0</v>
      </c>
      <c r="J1172" s="13">
        <v>112.0</v>
      </c>
      <c r="K1172" s="17">
        <f t="shared" si="10"/>
        <v>0.7829582726</v>
      </c>
      <c r="L1172" s="9">
        <v>2.0</v>
      </c>
      <c r="O1172" s="9" t="s">
        <v>638</v>
      </c>
      <c r="P1172" s="40" t="s">
        <v>1729</v>
      </c>
      <c r="Q1172" s="9" t="s">
        <v>150</v>
      </c>
      <c r="R1172" s="9" t="s">
        <v>2119</v>
      </c>
      <c r="S1172" s="9" t="s">
        <v>64</v>
      </c>
      <c r="T1172" t="str">
        <f t="shared" si="12"/>
        <v>N</v>
      </c>
      <c r="W1172" s="12" t="str">
        <f t="array" ref="W1172">if(and(L1172=0,Q1172="NA"),"NA",if(L1172=0,"no lice",if(Q1172="NA","no collection",index(sea_lice!G:G,match(C1172,sea_lice!A:A,0)))))</f>
        <v>BSL7-90</v>
      </c>
      <c r="X1172" s="23">
        <v>1171.0</v>
      </c>
    </row>
    <row r="1173">
      <c r="B1173" s="6">
        <v>16617.0</v>
      </c>
      <c r="C1173" s="12" t="str">
        <f t="shared" si="11"/>
        <v>U16617</v>
      </c>
      <c r="D1173" s="14" t="str">
        <f t="array" ref="D1173">iferror(index('2018_ufns'!E:E,match(C1173,'2018_ufns'!B:B,0)))</f>
        <v>P1062</v>
      </c>
      <c r="E1173" s="14">
        <v>43452.0</v>
      </c>
      <c r="F1173" s="40" t="s">
        <v>53</v>
      </c>
      <c r="G1173" s="40" t="s">
        <v>54</v>
      </c>
      <c r="H1173" s="9">
        <v>7.5</v>
      </c>
      <c r="I1173" s="13">
        <v>96.0</v>
      </c>
      <c r="J1173" s="13">
        <v>100.0</v>
      </c>
      <c r="K1173" s="17">
        <f t="shared" si="10"/>
        <v>0.75</v>
      </c>
      <c r="L1173" s="9">
        <v>2.0</v>
      </c>
      <c r="O1173" s="9" t="s">
        <v>638</v>
      </c>
      <c r="P1173" s="40" t="s">
        <v>1729</v>
      </c>
      <c r="Q1173" s="9" t="s">
        <v>150</v>
      </c>
      <c r="R1173" s="9" t="s">
        <v>2119</v>
      </c>
      <c r="S1173" s="9" t="s">
        <v>64</v>
      </c>
      <c r="T1173" t="str">
        <f t="shared" si="12"/>
        <v>N</v>
      </c>
      <c r="W1173" s="12" t="str">
        <f t="array" ref="W1173">if(and(L1173=0,Q1173="NA"),"NA",if(L1173=0,"no lice",if(Q1173="NA","no collection",index(sea_lice!G:G,match(C1173,sea_lice!A:A,0)))))</f>
        <v>BSL7-91</v>
      </c>
      <c r="X1173" s="23">
        <v>1172.0</v>
      </c>
    </row>
    <row r="1174">
      <c r="B1174" s="6">
        <v>16611.0</v>
      </c>
      <c r="C1174" s="12" t="str">
        <f t="shared" si="11"/>
        <v>U16611</v>
      </c>
      <c r="D1174" s="14" t="str">
        <f t="array" ref="D1174">iferror(index('2018_ufns'!E:E,match(C1174,'2018_ufns'!B:B,0)))</f>
        <v>P1062</v>
      </c>
      <c r="E1174" s="14">
        <v>43452.0</v>
      </c>
      <c r="F1174" s="40" t="s">
        <v>53</v>
      </c>
      <c r="G1174" s="40" t="s">
        <v>54</v>
      </c>
      <c r="H1174" s="9">
        <v>8.8</v>
      </c>
      <c r="I1174" s="13">
        <v>98.0</v>
      </c>
      <c r="J1174" s="13">
        <v>103.0</v>
      </c>
      <c r="K1174" s="17">
        <f t="shared" si="10"/>
        <v>0.8053246602</v>
      </c>
      <c r="L1174" s="9">
        <v>0.0</v>
      </c>
      <c r="O1174" s="9" t="s">
        <v>638</v>
      </c>
      <c r="P1174" s="40" t="s">
        <v>1729</v>
      </c>
      <c r="Q1174" s="9" t="s">
        <v>150</v>
      </c>
      <c r="R1174" s="9" t="s">
        <v>2119</v>
      </c>
      <c r="S1174" s="9" t="s">
        <v>64</v>
      </c>
      <c r="T1174" t="str">
        <f t="shared" si="12"/>
        <v>N</v>
      </c>
      <c r="W1174" s="12" t="str">
        <f t="array" ref="W1174">if(and(L1174=0,Q1174="NA"),"NA",if(L1174=0,"no lice",if(Q1174="NA","no collection",index(sea_lice!G:G,match(C1174,sea_lice!A:A,0)))))</f>
        <v>no lice</v>
      </c>
      <c r="X1174" s="23">
        <v>1173.0</v>
      </c>
    </row>
    <row r="1175">
      <c r="B1175" s="6">
        <v>16619.0</v>
      </c>
      <c r="C1175" s="12" t="str">
        <f t="shared" si="11"/>
        <v>U16619</v>
      </c>
      <c r="D1175" s="14" t="str">
        <f t="array" ref="D1175">iferror(index('2018_ufns'!E:E,match(C1175,'2018_ufns'!B:B,0)))</f>
        <v>P1062</v>
      </c>
      <c r="E1175" s="14">
        <v>43452.0</v>
      </c>
      <c r="F1175" s="40" t="s">
        <v>53</v>
      </c>
      <c r="G1175" s="40" t="s">
        <v>54</v>
      </c>
      <c r="H1175" s="9">
        <v>8.3</v>
      </c>
      <c r="I1175" s="13">
        <v>98.0</v>
      </c>
      <c r="J1175" s="13" t="s">
        <v>63</v>
      </c>
      <c r="K1175" s="17" t="str">
        <f t="shared" si="10"/>
        <v/>
      </c>
      <c r="L1175" s="9">
        <v>0.0</v>
      </c>
      <c r="O1175" s="9" t="s">
        <v>638</v>
      </c>
      <c r="P1175" s="40" t="s">
        <v>1729</v>
      </c>
      <c r="Q1175" s="9" t="s">
        <v>150</v>
      </c>
      <c r="R1175" s="9" t="s">
        <v>2119</v>
      </c>
      <c r="S1175" s="9" t="s">
        <v>64</v>
      </c>
      <c r="T1175" t="str">
        <f t="shared" si="12"/>
        <v>N</v>
      </c>
      <c r="W1175" s="12" t="str">
        <f t="array" ref="W1175">if(and(L1175=0,Q1175="NA"),"NA",if(L1175=0,"no lice",if(Q1175="NA","no collection",index(sea_lice!G:G,match(C1175,sea_lice!A:A,0)))))</f>
        <v>no lice</v>
      </c>
      <c r="X1175" s="23">
        <v>1174.0</v>
      </c>
    </row>
    <row r="1176">
      <c r="B1176" s="6">
        <v>16059.0</v>
      </c>
      <c r="C1176" s="12" t="str">
        <f t="shared" si="11"/>
        <v>U16059</v>
      </c>
      <c r="D1176" s="14" t="str">
        <f t="array" ref="D1176">iferror(index('2018_ufns'!E:E,match(C1176,'2018_ufns'!B:B,0)))</f>
        <v>P1006</v>
      </c>
      <c r="E1176" s="14">
        <v>43452.0</v>
      </c>
      <c r="F1176" s="40" t="s">
        <v>53</v>
      </c>
      <c r="G1176" s="40" t="s">
        <v>54</v>
      </c>
      <c r="H1176" s="9">
        <v>4.2</v>
      </c>
      <c r="I1176" s="13">
        <v>80.0</v>
      </c>
      <c r="J1176" s="13">
        <v>85.0</v>
      </c>
      <c r="K1176" s="17">
        <f t="shared" si="10"/>
        <v>0.6838998575</v>
      </c>
      <c r="L1176" s="9">
        <v>0.0</v>
      </c>
      <c r="O1176" s="9" t="s">
        <v>638</v>
      </c>
      <c r="P1176" s="40" t="s">
        <v>1729</v>
      </c>
      <c r="Q1176" s="9" t="s">
        <v>150</v>
      </c>
      <c r="R1176" s="9" t="s">
        <v>2119</v>
      </c>
      <c r="S1176" s="9" t="s">
        <v>64</v>
      </c>
      <c r="T1176" t="str">
        <f t="shared" si="12"/>
        <v>N</v>
      </c>
      <c r="W1176" s="12" t="str">
        <f t="array" ref="W1176">if(and(L1176=0,Q1176="NA"),"NA",if(L1176=0,"no lice",if(Q1176="NA","no collection",index(sea_lice!G:G,match(C1176,sea_lice!A:A,0)))))</f>
        <v>no lice</v>
      </c>
      <c r="X1176" s="23">
        <v>1175.0</v>
      </c>
    </row>
    <row r="1177">
      <c r="B1177" s="6">
        <v>16057.0</v>
      </c>
      <c r="C1177" s="12" t="str">
        <f t="shared" si="11"/>
        <v>U16057</v>
      </c>
      <c r="D1177" s="14" t="str">
        <f t="array" ref="D1177">iferror(index('2018_ufns'!E:E,match(C1177,'2018_ufns'!B:B,0)))</f>
        <v>P1006</v>
      </c>
      <c r="E1177" s="14">
        <v>43452.0</v>
      </c>
      <c r="F1177" s="40" t="s">
        <v>53</v>
      </c>
      <c r="G1177" s="40" t="s">
        <v>54</v>
      </c>
      <c r="H1177" s="9">
        <v>4.3</v>
      </c>
      <c r="I1177" s="13">
        <v>77.0</v>
      </c>
      <c r="J1177" s="13" t="s">
        <v>63</v>
      </c>
      <c r="K1177" s="17" t="str">
        <f t="shared" si="10"/>
        <v/>
      </c>
      <c r="L1177" s="9">
        <v>0.0</v>
      </c>
      <c r="O1177" s="9" t="s">
        <v>638</v>
      </c>
      <c r="P1177" s="40" t="s">
        <v>1729</v>
      </c>
      <c r="Q1177" s="9" t="s">
        <v>150</v>
      </c>
      <c r="R1177" s="9" t="s">
        <v>2119</v>
      </c>
      <c r="S1177" s="9" t="s">
        <v>64</v>
      </c>
      <c r="T1177" t="str">
        <f t="shared" si="12"/>
        <v>N</v>
      </c>
      <c r="W1177" s="12" t="str">
        <f t="array" ref="W1177">if(and(L1177=0,Q1177="NA"),"NA",if(L1177=0,"no lice",if(Q1177="NA","no collection",index(sea_lice!G:G,match(C1177,sea_lice!A:A,0)))))</f>
        <v>no lice</v>
      </c>
      <c r="X1177" s="23">
        <v>1176.0</v>
      </c>
    </row>
    <row r="1178">
      <c r="B1178" s="6">
        <v>16058.0</v>
      </c>
      <c r="C1178" s="12" t="str">
        <f t="shared" si="11"/>
        <v>U16058</v>
      </c>
      <c r="D1178" s="14" t="str">
        <f t="array" ref="D1178">iferror(index('2018_ufns'!E:E,match(C1178,'2018_ufns'!B:B,0)))</f>
        <v>P1006</v>
      </c>
      <c r="E1178" s="14">
        <v>43452.0</v>
      </c>
      <c r="F1178" s="40" t="s">
        <v>53</v>
      </c>
      <c r="G1178" s="40" t="s">
        <v>54</v>
      </c>
      <c r="H1178" s="9">
        <v>3.7</v>
      </c>
      <c r="I1178" s="13">
        <v>71.0</v>
      </c>
      <c r="J1178" s="13">
        <v>75.0</v>
      </c>
      <c r="K1178" s="17">
        <f t="shared" si="10"/>
        <v>0.877037037</v>
      </c>
      <c r="L1178" s="9">
        <v>0.0</v>
      </c>
      <c r="O1178" s="9" t="s">
        <v>638</v>
      </c>
      <c r="P1178" s="40" t="s">
        <v>1729</v>
      </c>
      <c r="Q1178" s="9" t="s">
        <v>150</v>
      </c>
      <c r="R1178" s="9" t="s">
        <v>2119</v>
      </c>
      <c r="S1178" s="9" t="s">
        <v>64</v>
      </c>
      <c r="T1178" t="str">
        <f t="shared" si="12"/>
        <v>N</v>
      </c>
      <c r="W1178" s="12" t="str">
        <f t="array" ref="W1178">if(and(L1178=0,Q1178="NA"),"NA",if(L1178=0,"no lice",if(Q1178="NA","no collection",index(sea_lice!G:G,match(C1178,sea_lice!A:A,0)))))</f>
        <v>no lice</v>
      </c>
      <c r="X1178" s="23">
        <v>1177.0</v>
      </c>
    </row>
    <row r="1179">
      <c r="B1179" s="6">
        <v>16052.0</v>
      </c>
      <c r="C1179" s="12" t="str">
        <f t="shared" si="11"/>
        <v>U16052</v>
      </c>
      <c r="D1179" s="14" t="str">
        <f t="array" ref="D1179">iferror(index('2018_ufns'!E:E,match(C1179,'2018_ufns'!B:B,0)))</f>
        <v>P1006</v>
      </c>
      <c r="E1179" s="14">
        <v>43452.0</v>
      </c>
      <c r="F1179" s="40" t="s">
        <v>53</v>
      </c>
      <c r="G1179" s="40" t="s">
        <v>54</v>
      </c>
      <c r="H1179" s="9">
        <v>5.3</v>
      </c>
      <c r="I1179" s="13">
        <v>79.0</v>
      </c>
      <c r="J1179" s="13">
        <v>83.0</v>
      </c>
      <c r="K1179" s="17">
        <f t="shared" si="10"/>
        <v>0.9269185903</v>
      </c>
      <c r="L1179" s="9">
        <v>0.0</v>
      </c>
      <c r="O1179" s="9" t="s">
        <v>638</v>
      </c>
      <c r="P1179" s="40" t="s">
        <v>1729</v>
      </c>
      <c r="Q1179" s="9" t="s">
        <v>150</v>
      </c>
      <c r="R1179" s="9" t="s">
        <v>2119</v>
      </c>
      <c r="S1179" s="9" t="s">
        <v>64</v>
      </c>
      <c r="T1179" t="str">
        <f t="shared" si="12"/>
        <v>N</v>
      </c>
      <c r="W1179" s="12" t="str">
        <f t="array" ref="W1179">if(and(L1179=0,Q1179="NA"),"NA",if(L1179=0,"no lice",if(Q1179="NA","no collection",index(sea_lice!G:G,match(C1179,sea_lice!A:A,0)))))</f>
        <v>no lice</v>
      </c>
      <c r="X1179" s="23">
        <v>1178.0</v>
      </c>
    </row>
    <row r="1180">
      <c r="B1180" s="6">
        <v>16060.0</v>
      </c>
      <c r="C1180" s="12" t="str">
        <f t="shared" si="11"/>
        <v>U16060</v>
      </c>
      <c r="D1180" s="14" t="str">
        <f t="array" ref="D1180">iferror(index('2018_ufns'!E:E,match(C1180,'2018_ufns'!B:B,0)))</f>
        <v>P1006</v>
      </c>
      <c r="E1180" s="14">
        <v>43452.0</v>
      </c>
      <c r="F1180" s="40" t="s">
        <v>53</v>
      </c>
      <c r="G1180" s="40" t="s">
        <v>54</v>
      </c>
      <c r="H1180" s="9">
        <v>3.4</v>
      </c>
      <c r="I1180" s="13">
        <v>72.0</v>
      </c>
      <c r="J1180" s="13">
        <v>74.0</v>
      </c>
      <c r="K1180" s="17">
        <f t="shared" si="10"/>
        <v>0.83904211</v>
      </c>
      <c r="L1180" s="9">
        <v>0.0</v>
      </c>
      <c r="O1180" s="9" t="s">
        <v>638</v>
      </c>
      <c r="P1180" s="40" t="s">
        <v>1729</v>
      </c>
      <c r="Q1180" s="9" t="s">
        <v>150</v>
      </c>
      <c r="R1180" s="9" t="s">
        <v>2119</v>
      </c>
      <c r="S1180" s="9" t="s">
        <v>64</v>
      </c>
      <c r="T1180" t="str">
        <f t="shared" si="12"/>
        <v>N</v>
      </c>
      <c r="W1180" s="12" t="str">
        <f t="array" ref="W1180">if(and(L1180=0,Q1180="NA"),"NA",if(L1180=0,"no lice",if(Q1180="NA","no collection",index(sea_lice!G:G,match(C1180,sea_lice!A:A,0)))))</f>
        <v>no lice</v>
      </c>
      <c r="X1180" s="23">
        <v>1179.0</v>
      </c>
    </row>
    <row r="1181">
      <c r="B1181" s="6">
        <v>16055.0</v>
      </c>
      <c r="C1181" s="12" t="str">
        <f t="shared" si="11"/>
        <v>U16055</v>
      </c>
      <c r="D1181" s="14" t="str">
        <f t="array" ref="D1181">iferror(index('2018_ufns'!E:E,match(C1181,'2018_ufns'!B:B,0)))</f>
        <v>P1006</v>
      </c>
      <c r="E1181" s="14">
        <v>43452.0</v>
      </c>
      <c r="F1181" s="40" t="s">
        <v>53</v>
      </c>
      <c r="G1181" s="40" t="s">
        <v>54</v>
      </c>
      <c r="H1181" s="9">
        <v>3.5</v>
      </c>
      <c r="I1181" s="13">
        <v>71.0</v>
      </c>
      <c r="J1181" s="13">
        <v>75.0</v>
      </c>
      <c r="K1181" s="17">
        <f t="shared" si="10"/>
        <v>0.8296296296</v>
      </c>
      <c r="L1181" s="9">
        <v>0.0</v>
      </c>
      <c r="O1181" s="9" t="s">
        <v>638</v>
      </c>
      <c r="P1181" s="40" t="s">
        <v>1729</v>
      </c>
      <c r="Q1181" s="9" t="s">
        <v>150</v>
      </c>
      <c r="R1181" s="9" t="s">
        <v>2119</v>
      </c>
      <c r="S1181" s="9" t="s">
        <v>64</v>
      </c>
      <c r="T1181" t="str">
        <f t="shared" si="12"/>
        <v>N</v>
      </c>
      <c r="W1181" s="12" t="str">
        <f t="array" ref="W1181">if(and(L1181=0,Q1181="NA"),"NA",if(L1181=0,"no lice",if(Q1181="NA","no collection",index(sea_lice!G:G,match(C1181,sea_lice!A:A,0)))))</f>
        <v>no lice</v>
      </c>
      <c r="X1181" s="23">
        <v>1180.0</v>
      </c>
    </row>
    <row r="1182">
      <c r="B1182" s="6">
        <v>16056.0</v>
      </c>
      <c r="C1182" s="12" t="str">
        <f t="shared" si="11"/>
        <v>U16056</v>
      </c>
      <c r="D1182" s="14" t="str">
        <f t="array" ref="D1182">iferror(index('2018_ufns'!E:E,match(C1182,'2018_ufns'!B:B,0)))</f>
        <v>P1006</v>
      </c>
      <c r="E1182" s="14">
        <v>43452.0</v>
      </c>
      <c r="F1182" s="40" t="s">
        <v>53</v>
      </c>
      <c r="G1182" s="40" t="s">
        <v>54</v>
      </c>
      <c r="H1182" s="9">
        <v>4.3</v>
      </c>
      <c r="I1182" s="13">
        <v>77.0</v>
      </c>
      <c r="J1182" s="13">
        <v>80.0</v>
      </c>
      <c r="K1182" s="17">
        <f t="shared" si="10"/>
        <v>0.83984375</v>
      </c>
      <c r="L1182" s="9">
        <v>1.0</v>
      </c>
      <c r="O1182" s="9" t="s">
        <v>638</v>
      </c>
      <c r="P1182" s="40" t="s">
        <v>1729</v>
      </c>
      <c r="Q1182" s="9" t="s">
        <v>150</v>
      </c>
      <c r="R1182" s="9" t="s">
        <v>2119</v>
      </c>
      <c r="S1182" s="9" t="s">
        <v>64</v>
      </c>
      <c r="T1182" t="str">
        <f t="shared" si="12"/>
        <v>N</v>
      </c>
      <c r="W1182" s="12" t="str">
        <f t="array" ref="W1182">if(and(L1182=0,Q1182="NA"),"NA",if(L1182=0,"no lice",if(Q1182="NA","no collection",index(sea_lice!G:G,match(C1182,sea_lice!A:A,0)))))</f>
        <v>BSL7-93</v>
      </c>
      <c r="X1182" s="23">
        <v>1181.0</v>
      </c>
    </row>
    <row r="1183">
      <c r="B1183" s="6">
        <v>16053.0</v>
      </c>
      <c r="C1183" s="12" t="str">
        <f t="shared" si="11"/>
        <v>U16053</v>
      </c>
      <c r="D1183" s="14" t="str">
        <f t="array" ref="D1183">iferror(index('2018_ufns'!E:E,match(C1183,'2018_ufns'!B:B,0)))</f>
        <v>P1006</v>
      </c>
      <c r="E1183" s="14">
        <v>43452.0</v>
      </c>
      <c r="F1183" s="40" t="s">
        <v>53</v>
      </c>
      <c r="G1183" s="40" t="s">
        <v>54</v>
      </c>
      <c r="H1183" s="9">
        <v>4.5</v>
      </c>
      <c r="I1183" s="13">
        <v>79.0</v>
      </c>
      <c r="J1183" s="13" t="s">
        <v>63</v>
      </c>
      <c r="K1183" s="17" t="str">
        <f t="shared" si="10"/>
        <v/>
      </c>
      <c r="L1183" s="9">
        <v>0.0</v>
      </c>
      <c r="O1183" s="9" t="s">
        <v>638</v>
      </c>
      <c r="P1183" s="40" t="s">
        <v>1729</v>
      </c>
      <c r="Q1183" s="9" t="s">
        <v>150</v>
      </c>
      <c r="R1183" s="9" t="s">
        <v>2119</v>
      </c>
      <c r="S1183" s="9" t="s">
        <v>64</v>
      </c>
      <c r="T1183" t="str">
        <f t="shared" si="12"/>
        <v>N</v>
      </c>
      <c r="W1183" s="12" t="str">
        <f t="array" ref="W1183">if(and(L1183=0,Q1183="NA"),"NA",if(L1183=0,"no lice",if(Q1183="NA","no collection",index(sea_lice!G:G,match(C1183,sea_lice!A:A,0)))))</f>
        <v>no lice</v>
      </c>
      <c r="X1183" s="23">
        <v>1182.0</v>
      </c>
    </row>
    <row r="1184">
      <c r="B1184" s="6">
        <v>16054.0</v>
      </c>
      <c r="C1184" s="12" t="str">
        <f t="shared" si="11"/>
        <v>U16054</v>
      </c>
      <c r="D1184" s="14" t="str">
        <f t="array" ref="D1184">iferror(index('2018_ufns'!E:E,match(C1184,'2018_ufns'!B:B,0)))</f>
        <v>P1006</v>
      </c>
      <c r="E1184" s="14">
        <v>43452.0</v>
      </c>
      <c r="F1184" s="40" t="s">
        <v>53</v>
      </c>
      <c r="G1184" s="40" t="s">
        <v>54</v>
      </c>
      <c r="H1184" s="9">
        <v>4.4</v>
      </c>
      <c r="I1184" s="13">
        <v>76.0</v>
      </c>
      <c r="J1184" s="13" t="s">
        <v>63</v>
      </c>
      <c r="K1184" s="17" t="str">
        <f t="shared" si="10"/>
        <v/>
      </c>
      <c r="L1184" s="9">
        <v>1.0</v>
      </c>
      <c r="O1184" s="9" t="s">
        <v>638</v>
      </c>
      <c r="P1184" s="40" t="s">
        <v>1729</v>
      </c>
      <c r="Q1184" s="9" t="s">
        <v>150</v>
      </c>
      <c r="R1184" s="9" t="s">
        <v>2119</v>
      </c>
      <c r="S1184" s="9" t="s">
        <v>64</v>
      </c>
      <c r="T1184" t="str">
        <f t="shared" si="12"/>
        <v>N</v>
      </c>
      <c r="W1184" s="12" t="str">
        <f t="array" ref="W1184">if(and(L1184=0,Q1184="NA"),"NA",if(L1184=0,"no lice",if(Q1184="NA","no collection",index(sea_lice!G:G,match(C1184,sea_lice!A:A,0)))))</f>
        <v>BSL7-94</v>
      </c>
      <c r="X1184" s="23">
        <v>1183.0</v>
      </c>
    </row>
    <row r="1185">
      <c r="B1185" s="6">
        <v>16051.0</v>
      </c>
      <c r="C1185" s="12" t="str">
        <f t="shared" si="11"/>
        <v>U16051</v>
      </c>
      <c r="D1185" s="14" t="str">
        <f t="array" ref="D1185">iferror(index('2018_ufns'!E:E,match(C1185,'2018_ufns'!B:B,0)))</f>
        <v>P1006</v>
      </c>
      <c r="E1185" s="14">
        <v>43452.0</v>
      </c>
      <c r="F1185" s="40" t="s">
        <v>53</v>
      </c>
      <c r="G1185" s="40" t="s">
        <v>54</v>
      </c>
      <c r="H1185" s="9">
        <v>4.1</v>
      </c>
      <c r="I1185" s="13">
        <v>75.0</v>
      </c>
      <c r="J1185" s="13">
        <v>79.0</v>
      </c>
      <c r="K1185" s="17">
        <f t="shared" si="10"/>
        <v>0.831577218</v>
      </c>
      <c r="L1185" s="9">
        <v>0.0</v>
      </c>
      <c r="O1185" s="9" t="s">
        <v>638</v>
      </c>
      <c r="P1185" s="40" t="s">
        <v>1729</v>
      </c>
      <c r="Q1185" s="9" t="s">
        <v>150</v>
      </c>
      <c r="R1185" s="9" t="s">
        <v>2119</v>
      </c>
      <c r="S1185" s="9" t="s">
        <v>64</v>
      </c>
      <c r="T1185" t="str">
        <f t="shared" si="12"/>
        <v>N</v>
      </c>
      <c r="W1185" s="12" t="str">
        <f t="array" ref="W1185">if(and(L1185=0,Q1185="NA"),"NA",if(L1185=0,"no lice",if(Q1185="NA","no collection",index(sea_lice!G:G,match(C1185,sea_lice!A:A,0)))))</f>
        <v>no lice</v>
      </c>
      <c r="X1185" s="23">
        <v>1184.0</v>
      </c>
    </row>
    <row r="1186">
      <c r="B1186" s="6">
        <v>16205.0</v>
      </c>
      <c r="C1186" s="12" t="str">
        <f t="shared" si="11"/>
        <v>U16205</v>
      </c>
      <c r="D1186" s="14" t="str">
        <f t="array" ref="D1186">iferror(index('2018_ufns'!E:E,match(C1186,'2018_ufns'!B:B,0)))</f>
        <v>P1021</v>
      </c>
      <c r="E1186" s="14">
        <v>43452.0</v>
      </c>
      <c r="F1186" s="40" t="s">
        <v>53</v>
      </c>
      <c r="G1186" s="40" t="s">
        <v>54</v>
      </c>
      <c r="H1186" s="9">
        <v>4.4</v>
      </c>
      <c r="I1186" s="13">
        <v>78.0</v>
      </c>
      <c r="J1186" s="13">
        <v>82.0</v>
      </c>
      <c r="K1186" s="17">
        <f t="shared" si="10"/>
        <v>0.7980151188</v>
      </c>
      <c r="L1186" s="9">
        <v>0.0</v>
      </c>
      <c r="O1186" s="9" t="s">
        <v>638</v>
      </c>
      <c r="P1186" s="40" t="s">
        <v>1729</v>
      </c>
      <c r="Q1186" s="9" t="s">
        <v>62</v>
      </c>
      <c r="R1186" s="9" t="s">
        <v>2119</v>
      </c>
      <c r="S1186" s="9" t="s">
        <v>64</v>
      </c>
      <c r="T1186" t="str">
        <f t="shared" si="12"/>
        <v>N</v>
      </c>
      <c r="W1186" s="12" t="str">
        <f t="array" ref="W1186">if(and(L1186=0,Q1186="NA"),"NA",if(L1186=0,"no lice",if(Q1186="NA","no collection",index(sea_lice!G:G,match(C1186,sea_lice!A:A,0)))))</f>
        <v>no lice</v>
      </c>
      <c r="X1186" s="23">
        <v>1185.0</v>
      </c>
    </row>
    <row r="1187">
      <c r="B1187" s="6">
        <v>16201.0</v>
      </c>
      <c r="C1187" s="12" t="str">
        <f t="shared" si="11"/>
        <v>U16201</v>
      </c>
      <c r="D1187" s="14" t="str">
        <f t="array" ref="D1187">iferror(index('2018_ufns'!E:E,match(C1187,'2018_ufns'!B:B,0)))</f>
        <v>P1021</v>
      </c>
      <c r="E1187" s="14">
        <v>43452.0</v>
      </c>
      <c r="F1187" s="40" t="s">
        <v>53</v>
      </c>
      <c r="G1187" s="40" t="s">
        <v>54</v>
      </c>
      <c r="H1187" s="9">
        <v>6.5</v>
      </c>
      <c r="I1187" s="13">
        <v>84.0</v>
      </c>
      <c r="J1187" s="13" t="s">
        <v>63</v>
      </c>
      <c r="K1187" s="17" t="str">
        <f t="shared" si="10"/>
        <v/>
      </c>
      <c r="L1187" s="9">
        <v>0.0</v>
      </c>
      <c r="O1187" s="9" t="s">
        <v>638</v>
      </c>
      <c r="P1187" s="40" t="s">
        <v>1729</v>
      </c>
      <c r="Q1187" s="9" t="s">
        <v>62</v>
      </c>
      <c r="R1187" s="9" t="s">
        <v>2119</v>
      </c>
      <c r="S1187" s="9" t="s">
        <v>64</v>
      </c>
      <c r="T1187" t="str">
        <f t="shared" si="12"/>
        <v>N</v>
      </c>
      <c r="W1187" s="12" t="str">
        <f t="array" ref="W1187">if(and(L1187=0,Q1187="NA"),"NA",if(L1187=0,"no lice",if(Q1187="NA","no collection",index(sea_lice!G:G,match(C1187,sea_lice!A:A,0)))))</f>
        <v>no lice</v>
      </c>
      <c r="X1187" s="23">
        <v>1186.0</v>
      </c>
    </row>
    <row r="1188">
      <c r="B1188" s="6">
        <v>16209.0</v>
      </c>
      <c r="C1188" s="12" t="str">
        <f t="shared" si="11"/>
        <v>U16209</v>
      </c>
      <c r="D1188" s="14" t="str">
        <f t="array" ref="D1188">iferror(index('2018_ufns'!E:E,match(C1188,'2018_ufns'!B:B,0)))</f>
        <v>P1021</v>
      </c>
      <c r="E1188" s="14">
        <v>43452.0</v>
      </c>
      <c r="F1188" s="40" t="s">
        <v>53</v>
      </c>
      <c r="G1188" s="40" t="s">
        <v>54</v>
      </c>
      <c r="H1188" s="9">
        <v>5.2</v>
      </c>
      <c r="I1188" s="13">
        <v>83.0</v>
      </c>
      <c r="J1188" s="13" t="s">
        <v>63</v>
      </c>
      <c r="K1188" s="17" t="str">
        <f t="shared" si="10"/>
        <v/>
      </c>
      <c r="L1188" s="9">
        <v>0.0</v>
      </c>
      <c r="O1188" s="9" t="s">
        <v>638</v>
      </c>
      <c r="P1188" s="40" t="s">
        <v>1729</v>
      </c>
      <c r="Q1188" s="9" t="s">
        <v>62</v>
      </c>
      <c r="R1188" s="9" t="s">
        <v>2119</v>
      </c>
      <c r="S1188" s="9" t="s">
        <v>64</v>
      </c>
      <c r="T1188" t="str">
        <f t="shared" si="12"/>
        <v>N</v>
      </c>
      <c r="W1188" s="12" t="str">
        <f t="array" ref="W1188">if(and(L1188=0,Q1188="NA"),"NA",if(L1188=0,"no lice",if(Q1188="NA","no collection",index(sea_lice!G:G,match(C1188,sea_lice!A:A,0)))))</f>
        <v>no lice</v>
      </c>
      <c r="X1188" s="23">
        <v>1187.0</v>
      </c>
    </row>
    <row r="1189">
      <c r="B1189" s="6">
        <v>16203.0</v>
      </c>
      <c r="C1189" s="12" t="str">
        <f t="shared" si="11"/>
        <v>U16203</v>
      </c>
      <c r="D1189" s="14" t="str">
        <f t="array" ref="D1189">iferror(index('2018_ufns'!E:E,match(C1189,'2018_ufns'!B:B,0)))</f>
        <v>P1021</v>
      </c>
      <c r="E1189" s="14">
        <v>43452.0</v>
      </c>
      <c r="F1189" s="40" t="s">
        <v>53</v>
      </c>
      <c r="G1189" s="40" t="s">
        <v>54</v>
      </c>
      <c r="H1189" s="9">
        <v>3.7</v>
      </c>
      <c r="I1189" s="13">
        <v>74.0</v>
      </c>
      <c r="J1189" s="13" t="s">
        <v>63</v>
      </c>
      <c r="K1189" s="17" t="str">
        <f t="shared" si="10"/>
        <v/>
      </c>
      <c r="L1189" s="9">
        <v>0.0</v>
      </c>
      <c r="O1189" s="9" t="s">
        <v>638</v>
      </c>
      <c r="P1189" s="40" t="s">
        <v>1729</v>
      </c>
      <c r="Q1189" s="9" t="s">
        <v>62</v>
      </c>
      <c r="R1189" s="9" t="s">
        <v>2119</v>
      </c>
      <c r="S1189" s="9" t="s">
        <v>64</v>
      </c>
      <c r="T1189" t="str">
        <f t="shared" si="12"/>
        <v>N</v>
      </c>
      <c r="W1189" s="12" t="str">
        <f t="array" ref="W1189">if(and(L1189=0,Q1189="NA"),"NA",if(L1189=0,"no lice",if(Q1189="NA","no collection",index(sea_lice!G:G,match(C1189,sea_lice!A:A,0)))))</f>
        <v>no lice</v>
      </c>
      <c r="X1189" s="23">
        <v>1188.0</v>
      </c>
    </row>
    <row r="1190">
      <c r="B1190" s="6">
        <v>17558.0</v>
      </c>
      <c r="C1190" s="12" t="str">
        <f t="shared" si="11"/>
        <v>U17558</v>
      </c>
      <c r="D1190" s="14" t="str">
        <f t="array" ref="D1190">iferror(index('2018_ufns'!E:E,match(C1190,'2018_ufns'!B:B,0)))</f>
        <v>P1156</v>
      </c>
      <c r="E1190" s="45">
        <v>43451.0</v>
      </c>
      <c r="F1190" s="40" t="s">
        <v>53</v>
      </c>
      <c r="G1190" s="40" t="s">
        <v>54</v>
      </c>
      <c r="H1190" s="9">
        <v>8.8</v>
      </c>
      <c r="I1190" s="13">
        <v>94.0</v>
      </c>
      <c r="J1190" s="13">
        <v>98.0</v>
      </c>
      <c r="K1190" s="17">
        <f t="shared" si="10"/>
        <v>0.9349845728</v>
      </c>
      <c r="L1190" s="9">
        <v>2.0</v>
      </c>
      <c r="O1190" s="9" t="s">
        <v>64</v>
      </c>
      <c r="P1190" s="40" t="s">
        <v>1729</v>
      </c>
      <c r="Q1190" s="9" t="s">
        <v>150</v>
      </c>
      <c r="R1190" s="9" t="s">
        <v>2119</v>
      </c>
      <c r="S1190" s="9" t="s">
        <v>638</v>
      </c>
      <c r="T1190" t="str">
        <f t="shared" si="12"/>
        <v>N</v>
      </c>
      <c r="W1190" s="12" t="str">
        <f t="array" ref="W1190">if(and(L1190=0,Q1190="NA"),"NA",if(L1190=0,"no lice",if(Q1190="NA","no collection",index(sea_lice!G:G,match(C1190,sea_lice!A:A,0)))))</f>
        <v>BSL7-81</v>
      </c>
      <c r="X1190" s="23">
        <v>1189.0</v>
      </c>
    </row>
    <row r="1191">
      <c r="B1191" s="6">
        <v>17557.0</v>
      </c>
      <c r="C1191" s="12" t="str">
        <f t="shared" si="11"/>
        <v>U17557</v>
      </c>
      <c r="D1191" s="14" t="str">
        <f t="array" ref="D1191">iferror(index('2018_ufns'!E:E,match(C1191,'2018_ufns'!B:B,0)))</f>
        <v>P1156</v>
      </c>
      <c r="E1191" s="45">
        <v>43451.0</v>
      </c>
      <c r="F1191" s="40" t="s">
        <v>53</v>
      </c>
      <c r="G1191" s="40" t="s">
        <v>54</v>
      </c>
      <c r="H1191" s="9">
        <v>13.8</v>
      </c>
      <c r="I1191" s="13">
        <v>108.0</v>
      </c>
      <c r="J1191" s="13">
        <v>114.0</v>
      </c>
      <c r="K1191" s="17">
        <f t="shared" si="10"/>
        <v>0.9314606924</v>
      </c>
      <c r="L1191" s="9">
        <v>1.0</v>
      </c>
      <c r="O1191" s="9" t="s">
        <v>64</v>
      </c>
      <c r="P1191" s="40" t="s">
        <v>1729</v>
      </c>
      <c r="Q1191" s="9" t="s">
        <v>150</v>
      </c>
      <c r="R1191" s="9" t="s">
        <v>2119</v>
      </c>
      <c r="S1191" s="9" t="s">
        <v>638</v>
      </c>
      <c r="T1191" t="str">
        <f t="shared" si="12"/>
        <v>N</v>
      </c>
      <c r="W1191" s="12" t="str">
        <f t="array" ref="W1191">if(and(L1191=0,Q1191="NA"),"NA",if(L1191=0,"no lice",if(Q1191="NA","no collection",index(sea_lice!G:G,match(C1191,sea_lice!A:A,0)))))</f>
        <v>BSL7-82</v>
      </c>
      <c r="X1191" s="23">
        <v>1190.0</v>
      </c>
    </row>
    <row r="1192">
      <c r="B1192" s="6">
        <v>17555.0</v>
      </c>
      <c r="C1192" s="12" t="str">
        <f t="shared" si="11"/>
        <v>U17555</v>
      </c>
      <c r="D1192" s="14" t="str">
        <f t="array" ref="D1192">iferror(index('2018_ufns'!E:E,match(C1192,'2018_ufns'!B:B,0)))</f>
        <v>P1156</v>
      </c>
      <c r="E1192" s="45">
        <v>43451.0</v>
      </c>
      <c r="F1192" s="40" t="s">
        <v>53</v>
      </c>
      <c r="G1192" s="40" t="s">
        <v>54</v>
      </c>
      <c r="H1192" s="9">
        <v>12.1</v>
      </c>
      <c r="I1192" s="13">
        <v>110.0</v>
      </c>
      <c r="J1192" s="13">
        <v>115.0</v>
      </c>
      <c r="K1192" s="17">
        <f t="shared" si="10"/>
        <v>0.7955946412</v>
      </c>
      <c r="L1192" s="9">
        <v>1.0</v>
      </c>
      <c r="O1192" s="9" t="s">
        <v>64</v>
      </c>
      <c r="P1192" s="40" t="s">
        <v>1729</v>
      </c>
      <c r="Q1192" s="9" t="s">
        <v>150</v>
      </c>
      <c r="R1192" s="9" t="s">
        <v>2119</v>
      </c>
      <c r="S1192" s="9" t="s">
        <v>638</v>
      </c>
      <c r="T1192" t="str">
        <f t="shared" si="12"/>
        <v>N</v>
      </c>
      <c r="W1192" s="12" t="str">
        <f t="array" ref="W1192">if(and(L1192=0,Q1192="NA"),"NA",if(L1192=0,"no lice",if(Q1192="NA","no collection",index(sea_lice!G:G,match(C1192,sea_lice!A:A,0)))))</f>
        <v>BSL7-83</v>
      </c>
      <c r="X1192" s="23">
        <v>1191.0</v>
      </c>
    </row>
    <row r="1193">
      <c r="B1193" s="6">
        <v>17559.0</v>
      </c>
      <c r="C1193" s="12" t="str">
        <f t="shared" si="11"/>
        <v>U17559</v>
      </c>
      <c r="D1193" s="14" t="str">
        <f t="array" ref="D1193">iferror(index('2018_ufns'!E:E,match(C1193,'2018_ufns'!B:B,0)))</f>
        <v>P1156</v>
      </c>
      <c r="E1193" s="45">
        <v>43451.0</v>
      </c>
      <c r="F1193" s="40" t="s">
        <v>53</v>
      </c>
      <c r="G1193" s="40" t="s">
        <v>54</v>
      </c>
      <c r="H1193" s="9">
        <v>10.6</v>
      </c>
      <c r="I1193" s="13">
        <v>103.0</v>
      </c>
      <c r="J1193" s="13">
        <v>108.0</v>
      </c>
      <c r="K1193" s="17">
        <f t="shared" si="10"/>
        <v>0.8414621755</v>
      </c>
      <c r="L1193" s="9">
        <v>0.0</v>
      </c>
      <c r="O1193" s="9" t="s">
        <v>64</v>
      </c>
      <c r="P1193" s="40" t="s">
        <v>1729</v>
      </c>
      <c r="Q1193" s="9" t="s">
        <v>150</v>
      </c>
      <c r="R1193" s="9" t="s">
        <v>2119</v>
      </c>
      <c r="S1193" s="9" t="s">
        <v>638</v>
      </c>
      <c r="T1193" t="str">
        <f t="shared" si="12"/>
        <v>N</v>
      </c>
      <c r="W1193" s="12" t="str">
        <f t="array" ref="W1193">if(and(L1193=0,Q1193="NA"),"NA",if(L1193=0,"no lice",if(Q1193="NA","no collection",index(sea_lice!G:G,match(C1193,sea_lice!A:A,0)))))</f>
        <v>no lice</v>
      </c>
      <c r="X1193" s="23">
        <v>1192.0</v>
      </c>
    </row>
    <row r="1194">
      <c r="B1194" s="6">
        <v>17288.0</v>
      </c>
      <c r="C1194" s="12" t="str">
        <f t="shared" si="11"/>
        <v>U17288</v>
      </c>
      <c r="D1194" s="14" t="str">
        <f t="array" ref="D1194">iferror(index('2018_ufns'!E:E,match(C1194,'2018_ufns'!B:B,0)))</f>
        <v>P1129</v>
      </c>
      <c r="E1194" s="45">
        <v>43451.0</v>
      </c>
      <c r="F1194" s="40" t="s">
        <v>53</v>
      </c>
      <c r="G1194" s="40" t="s">
        <v>54</v>
      </c>
      <c r="H1194" s="9">
        <v>9.6</v>
      </c>
      <c r="I1194" s="13">
        <v>100.0</v>
      </c>
      <c r="J1194" s="13">
        <v>104.0</v>
      </c>
      <c r="K1194" s="17">
        <f t="shared" si="10"/>
        <v>0.8534365043</v>
      </c>
      <c r="L1194" s="9">
        <v>0.0</v>
      </c>
      <c r="O1194" s="9" t="s">
        <v>64</v>
      </c>
      <c r="P1194" s="40" t="s">
        <v>1729</v>
      </c>
      <c r="Q1194" s="9" t="s">
        <v>150</v>
      </c>
      <c r="R1194" s="9" t="s">
        <v>2119</v>
      </c>
      <c r="S1194" s="9" t="s">
        <v>638</v>
      </c>
      <c r="T1194" t="str">
        <f t="shared" si="12"/>
        <v>N</v>
      </c>
      <c r="W1194" s="12" t="str">
        <f t="array" ref="W1194">if(and(L1194=0,Q1194="NA"),"NA",if(L1194=0,"no lice",if(Q1194="NA","no collection",index(sea_lice!G:G,match(C1194,sea_lice!A:A,0)))))</f>
        <v>no lice</v>
      </c>
      <c r="X1194" s="23">
        <v>1193.0</v>
      </c>
    </row>
    <row r="1195">
      <c r="B1195" s="6">
        <v>17285.0</v>
      </c>
      <c r="C1195" s="12" t="str">
        <f t="shared" si="11"/>
        <v>U17285</v>
      </c>
      <c r="D1195" s="14" t="str">
        <f t="array" ref="D1195">iferror(index('2018_ufns'!E:E,match(C1195,'2018_ufns'!B:B,0)))</f>
        <v>P1129</v>
      </c>
      <c r="E1195" s="45">
        <v>43451.0</v>
      </c>
      <c r="F1195" s="40" t="s">
        <v>53</v>
      </c>
      <c r="G1195" s="40" t="s">
        <v>54</v>
      </c>
      <c r="H1195" s="9">
        <v>14.3</v>
      </c>
      <c r="I1195" s="13">
        <v>110.0</v>
      </c>
      <c r="J1195" s="13">
        <v>114.0</v>
      </c>
      <c r="K1195" s="17">
        <f t="shared" si="10"/>
        <v>0.9652092682</v>
      </c>
      <c r="L1195" s="9">
        <v>0.0</v>
      </c>
      <c r="O1195" s="9" t="s">
        <v>64</v>
      </c>
      <c r="P1195" s="40" t="s">
        <v>1729</v>
      </c>
      <c r="Q1195" s="9" t="s">
        <v>150</v>
      </c>
      <c r="R1195" s="9" t="s">
        <v>2119</v>
      </c>
      <c r="S1195" s="9" t="s">
        <v>638</v>
      </c>
      <c r="T1195" t="str">
        <f t="shared" si="12"/>
        <v>N</v>
      </c>
      <c r="W1195" s="12" t="str">
        <f t="array" ref="W1195">if(and(L1195=0,Q1195="NA"),"NA",if(L1195=0,"no lice",if(Q1195="NA","no collection",index(sea_lice!G:G,match(C1195,sea_lice!A:A,0)))))</f>
        <v>no lice</v>
      </c>
      <c r="X1195" s="23">
        <v>1194.0</v>
      </c>
    </row>
    <row r="1196">
      <c r="B1196" s="6">
        <v>17281.0</v>
      </c>
      <c r="C1196" s="12" t="str">
        <f t="shared" si="11"/>
        <v>U17281</v>
      </c>
      <c r="D1196" s="14" t="str">
        <f t="array" ref="D1196">iferror(index('2018_ufns'!E:E,match(C1196,'2018_ufns'!B:B,0)))</f>
        <v>P1129</v>
      </c>
      <c r="E1196" s="45">
        <v>43451.0</v>
      </c>
      <c r="F1196" s="40" t="s">
        <v>53</v>
      </c>
      <c r="G1196" s="40" t="s">
        <v>54</v>
      </c>
      <c r="H1196" s="9">
        <v>8.8</v>
      </c>
      <c r="I1196" s="13">
        <v>95.0</v>
      </c>
      <c r="J1196" s="13">
        <v>99.0</v>
      </c>
      <c r="K1196" s="17">
        <f t="shared" si="10"/>
        <v>0.9069369339</v>
      </c>
      <c r="L1196" s="9">
        <v>0.0</v>
      </c>
      <c r="O1196" s="9" t="s">
        <v>64</v>
      </c>
      <c r="P1196" s="40" t="s">
        <v>1729</v>
      </c>
      <c r="Q1196" s="9" t="s">
        <v>150</v>
      </c>
      <c r="R1196" s="9" t="s">
        <v>2119</v>
      </c>
      <c r="S1196" s="9" t="s">
        <v>638</v>
      </c>
      <c r="T1196" t="str">
        <f t="shared" si="12"/>
        <v>N</v>
      </c>
      <c r="W1196" s="12" t="str">
        <f t="array" ref="W1196">if(and(L1196=0,Q1196="NA"),"NA",if(L1196=0,"no lice",if(Q1196="NA","no collection",index(sea_lice!G:G,match(C1196,sea_lice!A:A,0)))))</f>
        <v>no lice</v>
      </c>
      <c r="X1196" s="23">
        <v>1195.0</v>
      </c>
    </row>
    <row r="1197">
      <c r="B1197" s="6">
        <v>17287.0</v>
      </c>
      <c r="C1197" s="12" t="str">
        <f t="shared" si="11"/>
        <v>U17287</v>
      </c>
      <c r="D1197" s="14" t="str">
        <f t="array" ref="D1197">iferror(index('2018_ufns'!E:E,match(C1197,'2018_ufns'!B:B,0)))</f>
        <v>P1129</v>
      </c>
      <c r="E1197" s="14">
        <v>43452.0</v>
      </c>
      <c r="F1197" s="40" t="s">
        <v>53</v>
      </c>
      <c r="G1197" s="40" t="s">
        <v>54</v>
      </c>
      <c r="H1197" s="9">
        <v>11.3</v>
      </c>
      <c r="I1197" s="13">
        <v>103.0</v>
      </c>
      <c r="J1197" s="13">
        <v>107.0</v>
      </c>
      <c r="K1197" s="17">
        <f t="shared" si="10"/>
        <v>0.9224166009</v>
      </c>
      <c r="L1197" s="9">
        <v>2.0</v>
      </c>
      <c r="O1197" s="9" t="s">
        <v>64</v>
      </c>
      <c r="P1197" s="40" t="s">
        <v>1729</v>
      </c>
      <c r="Q1197" s="9" t="s">
        <v>150</v>
      </c>
      <c r="R1197" s="9" t="s">
        <v>2119</v>
      </c>
      <c r="S1197" s="9" t="s">
        <v>638</v>
      </c>
      <c r="T1197" t="str">
        <f t="shared" si="12"/>
        <v>N</v>
      </c>
      <c r="W1197" s="12" t="str">
        <f t="array" ref="W1197">if(and(L1197=0,Q1197="NA"),"NA",if(L1197=0,"no lice",if(Q1197="NA","no collection",index(sea_lice!G:G,match(C1197,sea_lice!A:A,0)))))</f>
        <v>BSL7-85</v>
      </c>
      <c r="X1197" s="23">
        <v>1196.0</v>
      </c>
    </row>
    <row r="1198">
      <c r="B1198" s="6">
        <v>17283.0</v>
      </c>
      <c r="C1198" s="12" t="str">
        <f t="shared" si="11"/>
        <v>U17283</v>
      </c>
      <c r="D1198" s="14" t="str">
        <f t="array" ref="D1198">iferror(index('2018_ufns'!E:E,match(C1198,'2018_ufns'!B:B,0)))</f>
        <v>P1129</v>
      </c>
      <c r="E1198" s="14">
        <v>43452.0</v>
      </c>
      <c r="F1198" s="40" t="s">
        <v>53</v>
      </c>
      <c r="G1198" s="40" t="s">
        <v>54</v>
      </c>
      <c r="H1198" s="9">
        <v>8.1</v>
      </c>
      <c r="I1198" s="13">
        <v>94.0</v>
      </c>
      <c r="J1198" s="13">
        <v>98.0</v>
      </c>
      <c r="K1198" s="17">
        <f t="shared" si="10"/>
        <v>0.8606107999</v>
      </c>
      <c r="L1198" s="9">
        <v>0.0</v>
      </c>
      <c r="O1198" s="9" t="s">
        <v>64</v>
      </c>
      <c r="P1198" s="40" t="s">
        <v>1729</v>
      </c>
      <c r="Q1198" s="9" t="s">
        <v>150</v>
      </c>
      <c r="R1198" s="9" t="s">
        <v>2119</v>
      </c>
      <c r="S1198" s="9" t="s">
        <v>638</v>
      </c>
      <c r="T1198" t="str">
        <f t="shared" si="12"/>
        <v>N</v>
      </c>
      <c r="W1198" s="12" t="str">
        <f t="array" ref="W1198">if(and(L1198=0,Q1198="NA"),"NA",if(L1198=0,"no lice",if(Q1198="NA","no collection",index(sea_lice!G:G,match(C1198,sea_lice!A:A,0)))))</f>
        <v>no lice</v>
      </c>
      <c r="X1198" s="23">
        <v>1197.0</v>
      </c>
    </row>
    <row r="1199">
      <c r="B1199" s="6">
        <v>17290.0</v>
      </c>
      <c r="C1199" s="12" t="str">
        <f t="shared" si="11"/>
        <v>U17290</v>
      </c>
      <c r="D1199" s="14" t="str">
        <f t="array" ref="D1199">iferror(index('2018_ufns'!E:E,match(C1199,'2018_ufns'!B:B,0)))</f>
        <v>P1129</v>
      </c>
      <c r="E1199" s="14">
        <v>43452.0</v>
      </c>
      <c r="F1199" s="40" t="s">
        <v>53</v>
      </c>
      <c r="G1199" s="40" t="s">
        <v>54</v>
      </c>
      <c r="H1199" s="9">
        <v>8.0</v>
      </c>
      <c r="I1199" s="13">
        <v>93.0</v>
      </c>
      <c r="J1199" s="13">
        <v>97.0</v>
      </c>
      <c r="K1199" s="17">
        <f t="shared" si="10"/>
        <v>0.8765461452</v>
      </c>
      <c r="L1199" s="9">
        <v>0.0</v>
      </c>
      <c r="O1199" s="9" t="s">
        <v>64</v>
      </c>
      <c r="P1199" s="40" t="s">
        <v>1729</v>
      </c>
      <c r="Q1199" s="9" t="s">
        <v>150</v>
      </c>
      <c r="R1199" s="9" t="s">
        <v>2119</v>
      </c>
      <c r="S1199" s="9" t="s">
        <v>638</v>
      </c>
      <c r="T1199" t="str">
        <f t="shared" si="12"/>
        <v>N</v>
      </c>
      <c r="W1199" s="12" t="str">
        <f t="array" ref="W1199">if(and(L1199=0,Q1199="NA"),"NA",if(L1199=0,"no lice",if(Q1199="NA","no collection",index(sea_lice!G:G,match(C1199,sea_lice!A:A,0)))))</f>
        <v>no lice</v>
      </c>
      <c r="X1199" s="23">
        <v>1198.0</v>
      </c>
    </row>
    <row r="1200">
      <c r="B1200" s="6">
        <v>17289.0</v>
      </c>
      <c r="C1200" s="12" t="str">
        <f t="shared" si="11"/>
        <v>U17289</v>
      </c>
      <c r="D1200" s="14" t="str">
        <f t="array" ref="D1200">iferror(index('2018_ufns'!E:E,match(C1200,'2018_ufns'!B:B,0)))</f>
        <v>P1129</v>
      </c>
      <c r="E1200" s="14">
        <v>43452.0</v>
      </c>
      <c r="F1200" s="40" t="s">
        <v>53</v>
      </c>
      <c r="G1200" s="40" t="s">
        <v>54</v>
      </c>
      <c r="H1200" s="9">
        <v>10.6</v>
      </c>
      <c r="I1200" s="13">
        <v>101.0</v>
      </c>
      <c r="J1200" s="13" t="s">
        <v>63</v>
      </c>
      <c r="K1200" s="17" t="str">
        <f t="shared" si="10"/>
        <v/>
      </c>
      <c r="L1200" s="9">
        <v>1.0</v>
      </c>
      <c r="O1200" s="9" t="s">
        <v>64</v>
      </c>
      <c r="P1200" s="40" t="s">
        <v>1729</v>
      </c>
      <c r="Q1200" s="9" t="s">
        <v>150</v>
      </c>
      <c r="R1200" s="9" t="s">
        <v>2119</v>
      </c>
      <c r="S1200" s="9" t="s">
        <v>638</v>
      </c>
      <c r="T1200" t="str">
        <f t="shared" si="12"/>
        <v>N</v>
      </c>
      <c r="W1200" s="12" t="str">
        <f t="array" ref="W1200">if(and(L1200=0,Q1200="NA"),"NA",if(L1200=0,"no lice",if(Q1200="NA","no collection",index(sea_lice!G:G,match(C1200,sea_lice!A:A,0)))))</f>
        <v>BSL7-92</v>
      </c>
      <c r="X1200" s="23">
        <v>1199.0</v>
      </c>
    </row>
    <row r="1201">
      <c r="B1201" s="6">
        <v>17286.0</v>
      </c>
      <c r="C1201" s="12" t="str">
        <f t="shared" si="11"/>
        <v>U17286</v>
      </c>
      <c r="D1201" s="14" t="str">
        <f t="array" ref="D1201">iferror(index('2018_ufns'!E:E,match(C1201,'2018_ufns'!B:B,0)))</f>
        <v>P1129</v>
      </c>
      <c r="E1201" s="14">
        <v>43452.0</v>
      </c>
      <c r="F1201" s="40" t="s">
        <v>53</v>
      </c>
      <c r="G1201" s="40" t="s">
        <v>54</v>
      </c>
      <c r="H1201" s="9">
        <v>6.6</v>
      </c>
      <c r="I1201" s="13">
        <v>91.0</v>
      </c>
      <c r="J1201" s="13" t="s">
        <v>63</v>
      </c>
      <c r="K1201" s="17" t="str">
        <f t="shared" si="10"/>
        <v/>
      </c>
      <c r="L1201" s="9">
        <v>0.0</v>
      </c>
      <c r="O1201" s="9" t="s">
        <v>64</v>
      </c>
      <c r="P1201" s="40" t="s">
        <v>1729</v>
      </c>
      <c r="Q1201" s="9" t="s">
        <v>150</v>
      </c>
      <c r="R1201" s="9" t="s">
        <v>2119</v>
      </c>
      <c r="S1201" s="9" t="s">
        <v>638</v>
      </c>
      <c r="T1201" t="str">
        <f t="shared" si="12"/>
        <v>N</v>
      </c>
      <c r="W1201" s="12" t="str">
        <f t="array" ref="W1201">if(and(L1201=0,Q1201="NA"),"NA",if(L1201=0,"no lice",if(Q1201="NA","no collection",index(sea_lice!G:G,match(C1201,sea_lice!A:A,0)))))</f>
        <v>no lice</v>
      </c>
      <c r="X1201" s="23">
        <v>1200.0</v>
      </c>
    </row>
    <row r="1202">
      <c r="B1202" s="6">
        <v>17282.0</v>
      </c>
      <c r="C1202" s="12" t="str">
        <f t="shared" si="11"/>
        <v>U17282</v>
      </c>
      <c r="D1202" s="14" t="str">
        <f t="array" ref="D1202">iferror(index('2018_ufns'!E:E,match(C1202,'2018_ufns'!B:B,0)))</f>
        <v>P1129</v>
      </c>
      <c r="E1202" s="14">
        <v>43452.0</v>
      </c>
      <c r="F1202" s="40" t="s">
        <v>53</v>
      </c>
      <c r="G1202" s="40" t="s">
        <v>54</v>
      </c>
      <c r="H1202" s="9">
        <v>9.4</v>
      </c>
      <c r="I1202" s="13">
        <v>97.0</v>
      </c>
      <c r="J1202" s="13">
        <v>101.0</v>
      </c>
      <c r="K1202" s="17">
        <f t="shared" si="10"/>
        <v>0.9123547391</v>
      </c>
      <c r="L1202" s="9">
        <v>0.0</v>
      </c>
      <c r="O1202" s="9" t="s">
        <v>64</v>
      </c>
      <c r="P1202" s="40" t="s">
        <v>1729</v>
      </c>
      <c r="Q1202" s="9" t="s">
        <v>150</v>
      </c>
      <c r="R1202" s="9" t="s">
        <v>2119</v>
      </c>
      <c r="S1202" s="9" t="s">
        <v>638</v>
      </c>
      <c r="T1202" t="str">
        <f t="shared" si="12"/>
        <v>N</v>
      </c>
      <c r="W1202" s="12" t="str">
        <f t="array" ref="W1202">if(and(L1202=0,Q1202="NA"),"NA",if(L1202=0,"no lice",if(Q1202="NA","no collection",index(sea_lice!G:G,match(C1202,sea_lice!A:A,0)))))</f>
        <v>no lice</v>
      </c>
      <c r="X1202" s="23">
        <v>1201.0</v>
      </c>
    </row>
    <row r="1203">
      <c r="B1203" s="6">
        <v>17284.0</v>
      </c>
      <c r="C1203" s="12" t="str">
        <f t="shared" si="11"/>
        <v>U17284</v>
      </c>
      <c r="D1203" s="14" t="str">
        <f t="array" ref="D1203">iferror(index('2018_ufns'!E:E,match(C1203,'2018_ufns'!B:B,0)))</f>
        <v>P1129</v>
      </c>
      <c r="E1203" s="14">
        <v>43452.0</v>
      </c>
      <c r="F1203" s="40" t="s">
        <v>53</v>
      </c>
      <c r="G1203" s="40" t="s">
        <v>54</v>
      </c>
      <c r="H1203" s="9">
        <v>10.4</v>
      </c>
      <c r="I1203" s="13">
        <v>100.0</v>
      </c>
      <c r="J1203" s="13">
        <v>104.0</v>
      </c>
      <c r="K1203" s="17">
        <f t="shared" si="10"/>
        <v>0.924556213</v>
      </c>
      <c r="L1203" s="9">
        <v>0.0</v>
      </c>
      <c r="O1203" s="9" t="s">
        <v>64</v>
      </c>
      <c r="P1203" s="40" t="s">
        <v>1729</v>
      </c>
      <c r="Q1203" s="9" t="s">
        <v>150</v>
      </c>
      <c r="R1203" s="9" t="s">
        <v>2119</v>
      </c>
      <c r="S1203" s="9" t="s">
        <v>638</v>
      </c>
      <c r="T1203" t="str">
        <f t="shared" si="12"/>
        <v>N</v>
      </c>
      <c r="W1203" s="12" t="str">
        <f t="array" ref="W1203">if(and(L1203=0,Q1203="NA"),"NA",if(L1203=0,"no lice",if(Q1203="NA","no collection",index(sea_lice!G:G,match(C1203,sea_lice!A:A,0)))))</f>
        <v>no lice</v>
      </c>
      <c r="X1203" s="23">
        <v>1202.0</v>
      </c>
    </row>
    <row r="1204">
      <c r="B1204" s="6">
        <v>17682.0</v>
      </c>
      <c r="C1204" s="12" t="str">
        <f t="shared" si="11"/>
        <v>U17682</v>
      </c>
      <c r="D1204" s="14" t="str">
        <f t="array" ref="D1204">iferror(index('2018_ufns'!E:E,match(C1204,'2018_ufns'!B:B,0)))</f>
        <v>P1169</v>
      </c>
      <c r="E1204" s="14">
        <v>43452.0</v>
      </c>
      <c r="F1204" s="40" t="s">
        <v>53</v>
      </c>
      <c r="G1204" s="40" t="s">
        <v>54</v>
      </c>
      <c r="H1204" s="9">
        <v>10.6</v>
      </c>
      <c r="I1204" s="13">
        <v>97.0</v>
      </c>
      <c r="J1204" s="13">
        <v>101.0</v>
      </c>
      <c r="K1204" s="17">
        <f t="shared" si="10"/>
        <v>1.028825557</v>
      </c>
      <c r="L1204" s="9">
        <v>0.0</v>
      </c>
      <c r="O1204" s="9" t="s">
        <v>64</v>
      </c>
      <c r="P1204" s="40" t="s">
        <v>1729</v>
      </c>
      <c r="Q1204" s="9" t="s">
        <v>150</v>
      </c>
      <c r="R1204" s="9" t="s">
        <v>2119</v>
      </c>
      <c r="S1204" s="9" t="s">
        <v>638</v>
      </c>
      <c r="T1204" t="str">
        <f t="shared" si="12"/>
        <v>N</v>
      </c>
      <c r="W1204" s="12" t="str">
        <f t="array" ref="W1204">if(and(L1204=0,Q1204="NA"),"NA",if(L1204=0,"no lice",if(Q1204="NA","no collection",index(sea_lice!G:G,match(C1204,sea_lice!A:A,0)))))</f>
        <v>no lice</v>
      </c>
      <c r="X1204" s="23">
        <v>1203.0</v>
      </c>
    </row>
    <row r="1205">
      <c r="B1205" s="6">
        <v>17686.0</v>
      </c>
      <c r="C1205" s="12" t="str">
        <f t="shared" si="11"/>
        <v>U17686</v>
      </c>
      <c r="D1205" s="14" t="str">
        <f t="array" ref="D1205">iferror(index('2018_ufns'!E:E,match(C1205,'2018_ufns'!B:B,0)))</f>
        <v>P1169</v>
      </c>
      <c r="E1205" s="14">
        <v>43452.0</v>
      </c>
      <c r="F1205" s="40" t="s">
        <v>53</v>
      </c>
      <c r="G1205" s="40" t="s">
        <v>54</v>
      </c>
      <c r="H1205" s="9">
        <v>7.3</v>
      </c>
      <c r="I1205" s="13">
        <v>90.0</v>
      </c>
      <c r="J1205" s="13">
        <v>94.0</v>
      </c>
      <c r="K1205" s="17">
        <f t="shared" si="10"/>
        <v>0.8788996658</v>
      </c>
      <c r="L1205" s="9">
        <v>0.0</v>
      </c>
      <c r="O1205" s="9" t="s">
        <v>64</v>
      </c>
      <c r="P1205" s="40" t="s">
        <v>1729</v>
      </c>
      <c r="Q1205" s="9" t="s">
        <v>150</v>
      </c>
      <c r="R1205" s="9" t="s">
        <v>2119</v>
      </c>
      <c r="S1205" s="9" t="s">
        <v>638</v>
      </c>
      <c r="T1205" t="str">
        <f t="shared" si="12"/>
        <v>N</v>
      </c>
      <c r="W1205" s="12" t="str">
        <f t="array" ref="W1205">if(and(L1205=0,Q1205="NA"),"NA",if(L1205=0,"no lice",if(Q1205="NA","no collection",index(sea_lice!G:G,match(C1205,sea_lice!A:A,0)))))</f>
        <v>no lice</v>
      </c>
      <c r="X1205" s="23">
        <v>1204.0</v>
      </c>
    </row>
    <row r="1206">
      <c r="B1206" s="6">
        <v>17685.0</v>
      </c>
      <c r="C1206" s="12" t="str">
        <f t="shared" si="11"/>
        <v>U17685</v>
      </c>
      <c r="D1206" s="14" t="str">
        <f t="array" ref="D1206">iferror(index('2018_ufns'!E:E,match(C1206,'2018_ufns'!B:B,0)))</f>
        <v>P1169</v>
      </c>
      <c r="E1206" s="14">
        <v>43452.0</v>
      </c>
      <c r="F1206" s="40" t="s">
        <v>53</v>
      </c>
      <c r="G1206" s="40" t="s">
        <v>54</v>
      </c>
      <c r="H1206" s="9">
        <v>11.3</v>
      </c>
      <c r="I1206" s="13">
        <v>105.0</v>
      </c>
      <c r="J1206" s="13">
        <v>109.0</v>
      </c>
      <c r="K1206" s="17">
        <f t="shared" si="10"/>
        <v>0.8725673325</v>
      </c>
      <c r="L1206" s="9">
        <v>1.0</v>
      </c>
      <c r="O1206" s="9" t="s">
        <v>64</v>
      </c>
      <c r="P1206" s="40" t="s">
        <v>1729</v>
      </c>
      <c r="Q1206" s="9" t="s">
        <v>150</v>
      </c>
      <c r="R1206" s="9" t="s">
        <v>2119</v>
      </c>
      <c r="S1206" s="9" t="s">
        <v>638</v>
      </c>
      <c r="T1206" t="str">
        <f t="shared" si="12"/>
        <v>N</v>
      </c>
      <c r="W1206" s="12" t="str">
        <f t="array" ref="W1206">if(and(L1206=0,Q1206="NA"),"NA",if(L1206=0,"no lice",if(Q1206="NA","no collection",index(sea_lice!G:G,match(C1206,sea_lice!A:A,0)))))</f>
        <v>BSL7-95</v>
      </c>
      <c r="X1206" s="23">
        <v>1205.0</v>
      </c>
    </row>
    <row r="1207">
      <c r="B1207" s="6">
        <v>17688.0</v>
      </c>
      <c r="C1207" s="12" t="str">
        <f t="shared" si="11"/>
        <v>U17688</v>
      </c>
      <c r="D1207" s="14" t="str">
        <f t="array" ref="D1207">iferror(index('2018_ufns'!E:E,match(C1207,'2018_ufns'!B:B,0)))</f>
        <v>P1169</v>
      </c>
      <c r="E1207" s="14">
        <v>43452.0</v>
      </c>
      <c r="F1207" s="40" t="s">
        <v>53</v>
      </c>
      <c r="G1207" s="40" t="s">
        <v>54</v>
      </c>
      <c r="H1207" s="9">
        <v>7.6</v>
      </c>
      <c r="I1207" s="13">
        <v>91.0</v>
      </c>
      <c r="J1207" s="13">
        <v>96.0</v>
      </c>
      <c r="K1207" s="17">
        <f t="shared" si="10"/>
        <v>0.8590133102</v>
      </c>
      <c r="L1207" s="9">
        <v>1.0</v>
      </c>
      <c r="O1207" s="9" t="s">
        <v>64</v>
      </c>
      <c r="P1207" s="40" t="s">
        <v>1729</v>
      </c>
      <c r="Q1207" s="9" t="s">
        <v>150</v>
      </c>
      <c r="R1207" s="9" t="s">
        <v>2119</v>
      </c>
      <c r="S1207" s="9" t="s">
        <v>638</v>
      </c>
      <c r="T1207" t="str">
        <f t="shared" si="12"/>
        <v>N</v>
      </c>
      <c r="W1207" s="12" t="str">
        <f t="array" ref="W1207">if(and(L1207=0,Q1207="NA"),"NA",if(L1207=0,"no lice",if(Q1207="NA","no collection",index(sea_lice!G:G,match(C1207,sea_lice!A:A,0)))))</f>
        <v>BSL7-96</v>
      </c>
      <c r="X1207" s="23">
        <v>1206.0</v>
      </c>
    </row>
    <row r="1208">
      <c r="B1208" s="6">
        <v>17681.0</v>
      </c>
      <c r="C1208" s="12" t="str">
        <f t="shared" si="11"/>
        <v>U17681</v>
      </c>
      <c r="D1208" s="14" t="str">
        <f t="array" ref="D1208">iferror(index('2018_ufns'!E:E,match(C1208,'2018_ufns'!B:B,0)))</f>
        <v>P1169</v>
      </c>
      <c r="E1208" s="14">
        <v>43452.0</v>
      </c>
      <c r="F1208" s="40" t="s">
        <v>53</v>
      </c>
      <c r="G1208" s="40" t="s">
        <v>54</v>
      </c>
      <c r="H1208" s="9">
        <v>10.2</v>
      </c>
      <c r="I1208" s="13">
        <v>101.0</v>
      </c>
      <c r="J1208" s="13">
        <v>106.0</v>
      </c>
      <c r="K1208" s="17">
        <f t="shared" si="10"/>
        <v>0.8564116687</v>
      </c>
      <c r="L1208" s="9">
        <v>1.0</v>
      </c>
      <c r="O1208" s="9" t="s">
        <v>64</v>
      </c>
      <c r="P1208" s="40" t="s">
        <v>1729</v>
      </c>
      <c r="Q1208" s="9" t="s">
        <v>150</v>
      </c>
      <c r="R1208" s="9" t="s">
        <v>2119</v>
      </c>
      <c r="S1208" s="9" t="s">
        <v>638</v>
      </c>
      <c r="T1208" t="str">
        <f t="shared" si="12"/>
        <v>N</v>
      </c>
      <c r="W1208" s="12" t="str">
        <f t="array" ref="W1208">if(and(L1208=0,Q1208="NA"),"NA",if(L1208=0,"no lice",if(Q1208="NA","no collection",index(sea_lice!G:G,match(C1208,sea_lice!A:A,0)))))</f>
        <v>BSL7-97</v>
      </c>
      <c r="X1208" s="23">
        <v>1207.0</v>
      </c>
    </row>
    <row r="1209">
      <c r="B1209" s="6">
        <v>17687.0</v>
      </c>
      <c r="C1209" s="12" t="str">
        <f t="shared" si="11"/>
        <v>U17687</v>
      </c>
      <c r="D1209" s="14" t="str">
        <f t="array" ref="D1209">iferror(index('2018_ufns'!E:E,match(C1209,'2018_ufns'!B:B,0)))</f>
        <v>P1169</v>
      </c>
      <c r="E1209" s="14">
        <v>43452.0</v>
      </c>
      <c r="F1209" s="40" t="s">
        <v>53</v>
      </c>
      <c r="G1209" s="40" t="s">
        <v>54</v>
      </c>
      <c r="H1209" s="9">
        <v>9.2</v>
      </c>
      <c r="I1209" s="13">
        <v>100.0</v>
      </c>
      <c r="J1209" s="13" t="s">
        <v>63</v>
      </c>
      <c r="K1209" s="17" t="str">
        <f t="shared" si="10"/>
        <v/>
      </c>
      <c r="L1209" s="9">
        <v>0.0</v>
      </c>
      <c r="O1209" s="9" t="s">
        <v>64</v>
      </c>
      <c r="P1209" s="40" t="s">
        <v>1729</v>
      </c>
      <c r="Q1209" s="9" t="s">
        <v>150</v>
      </c>
      <c r="R1209" s="9" t="s">
        <v>2119</v>
      </c>
      <c r="S1209" s="9" t="s">
        <v>638</v>
      </c>
      <c r="T1209" t="str">
        <f t="shared" si="12"/>
        <v>N</v>
      </c>
      <c r="W1209" s="12" t="str">
        <f t="array" ref="W1209">if(and(L1209=0,Q1209="NA"),"NA",if(L1209=0,"no lice",if(Q1209="NA","no collection",index(sea_lice!G:G,match(C1209,sea_lice!A:A,0)))))</f>
        <v>no lice</v>
      </c>
      <c r="X1209" s="23">
        <v>1208.0</v>
      </c>
    </row>
    <row r="1210">
      <c r="B1210" s="6">
        <v>17689.0</v>
      </c>
      <c r="C1210" s="12" t="str">
        <f t="shared" si="11"/>
        <v>U17689</v>
      </c>
      <c r="D1210" s="14" t="str">
        <f t="array" ref="D1210">iferror(index('2018_ufns'!E:E,match(C1210,'2018_ufns'!B:B,0)))</f>
        <v>P1169</v>
      </c>
      <c r="E1210" s="14">
        <v>43452.0</v>
      </c>
      <c r="F1210" s="40" t="s">
        <v>53</v>
      </c>
      <c r="G1210" s="40" t="s">
        <v>54</v>
      </c>
      <c r="H1210" s="9">
        <v>8.9</v>
      </c>
      <c r="I1210" s="13">
        <v>97.0</v>
      </c>
      <c r="J1210" s="13">
        <v>101.0</v>
      </c>
      <c r="K1210" s="17">
        <f t="shared" si="10"/>
        <v>0.8638252317</v>
      </c>
      <c r="L1210" s="9">
        <v>4.0</v>
      </c>
      <c r="O1210" s="9" t="s">
        <v>64</v>
      </c>
      <c r="P1210" s="40" t="s">
        <v>1729</v>
      </c>
      <c r="Q1210" s="9" t="s">
        <v>150</v>
      </c>
      <c r="R1210" s="9" t="s">
        <v>2119</v>
      </c>
      <c r="S1210" s="9" t="s">
        <v>638</v>
      </c>
      <c r="T1210" t="str">
        <f t="shared" si="12"/>
        <v>N</v>
      </c>
      <c r="W1210" s="12" t="str">
        <f t="array" ref="W1210">if(and(L1210=0,Q1210="NA"),"NA",if(L1210=0,"no lice",if(Q1210="NA","no collection",index(sea_lice!G:G,match(C1210,sea_lice!A:A,0)))))</f>
        <v>BSL7-98</v>
      </c>
      <c r="X1210" s="23">
        <v>1209.0</v>
      </c>
    </row>
    <row r="1211">
      <c r="B1211" s="6">
        <v>17684.0</v>
      </c>
      <c r="C1211" s="12" t="str">
        <f t="shared" si="11"/>
        <v>U17684</v>
      </c>
      <c r="D1211" s="14" t="str">
        <f t="array" ref="D1211">iferror(index('2018_ufns'!E:E,match(C1211,'2018_ufns'!B:B,0)))</f>
        <v>P1169</v>
      </c>
      <c r="E1211" s="14">
        <v>43452.0</v>
      </c>
      <c r="F1211" s="40" t="s">
        <v>53</v>
      </c>
      <c r="G1211" s="40" t="s">
        <v>54</v>
      </c>
      <c r="H1211" s="9">
        <v>11.2</v>
      </c>
      <c r="I1211" s="13">
        <v>103.0</v>
      </c>
      <c r="J1211" s="13">
        <v>108.0</v>
      </c>
      <c r="K1211" s="17">
        <f t="shared" si="10"/>
        <v>0.8890921099</v>
      </c>
      <c r="L1211" s="9">
        <v>0.0</v>
      </c>
      <c r="O1211" s="9" t="s">
        <v>64</v>
      </c>
      <c r="P1211" s="40" t="s">
        <v>1729</v>
      </c>
      <c r="Q1211" s="9" t="s">
        <v>150</v>
      </c>
      <c r="R1211" s="9" t="s">
        <v>2119</v>
      </c>
      <c r="S1211" s="9" t="s">
        <v>638</v>
      </c>
      <c r="T1211" t="str">
        <f t="shared" si="12"/>
        <v>N</v>
      </c>
      <c r="W1211" s="12" t="str">
        <f t="array" ref="W1211">if(and(L1211=0,Q1211="NA"),"NA",if(L1211=0,"no lice",if(Q1211="NA","no collection",index(sea_lice!G:G,match(C1211,sea_lice!A:A,0)))))</f>
        <v>no lice</v>
      </c>
      <c r="X1211" s="23">
        <v>1210.0</v>
      </c>
    </row>
    <row r="1212">
      <c r="B1212" s="6">
        <v>17683.0</v>
      </c>
      <c r="C1212" s="12" t="str">
        <f t="shared" si="11"/>
        <v>U17683</v>
      </c>
      <c r="D1212" s="14" t="str">
        <f t="array" ref="D1212">iferror(index('2018_ufns'!E:E,match(C1212,'2018_ufns'!B:B,0)))</f>
        <v>P1169</v>
      </c>
      <c r="E1212" s="14">
        <v>43452.0</v>
      </c>
      <c r="F1212" s="40" t="s">
        <v>53</v>
      </c>
      <c r="G1212" s="40" t="s">
        <v>54</v>
      </c>
      <c r="H1212" s="9">
        <v>8.5</v>
      </c>
      <c r="I1212" s="13">
        <v>98.0</v>
      </c>
      <c r="J1212" s="13" t="s">
        <v>63</v>
      </c>
      <c r="K1212" s="17" t="str">
        <f t="shared" si="10"/>
        <v/>
      </c>
      <c r="L1212" s="9">
        <v>0.0</v>
      </c>
      <c r="O1212" s="9" t="s">
        <v>64</v>
      </c>
      <c r="P1212" s="40" t="s">
        <v>1729</v>
      </c>
      <c r="Q1212" s="9" t="s">
        <v>150</v>
      </c>
      <c r="R1212" s="9" t="s">
        <v>2119</v>
      </c>
      <c r="S1212" s="9" t="s">
        <v>638</v>
      </c>
      <c r="T1212" t="str">
        <f t="shared" si="12"/>
        <v>N</v>
      </c>
      <c r="W1212" s="12" t="str">
        <f t="array" ref="W1212">if(and(L1212=0,Q1212="NA"),"NA",if(L1212=0,"no lice",if(Q1212="NA","no collection",index(sea_lice!G:G,match(C1212,sea_lice!A:A,0)))))</f>
        <v>no lice</v>
      </c>
      <c r="X1212" s="23">
        <v>1211.0</v>
      </c>
    </row>
    <row r="1213">
      <c r="B1213" s="6">
        <v>17690.0</v>
      </c>
      <c r="C1213" s="12" t="str">
        <f t="shared" si="11"/>
        <v>U17690</v>
      </c>
      <c r="D1213" s="14" t="str">
        <f t="array" ref="D1213">iferror(index('2018_ufns'!E:E,match(C1213,'2018_ufns'!B:B,0)))</f>
        <v>P1169</v>
      </c>
      <c r="E1213" s="14">
        <v>43452.0</v>
      </c>
      <c r="F1213" s="40" t="s">
        <v>53</v>
      </c>
      <c r="G1213" s="40" t="s">
        <v>54</v>
      </c>
      <c r="H1213" s="9">
        <v>7.4</v>
      </c>
      <c r="I1213" s="13">
        <v>90.0</v>
      </c>
      <c r="J1213" s="13">
        <v>94.0</v>
      </c>
      <c r="K1213" s="17">
        <f t="shared" si="10"/>
        <v>0.8909393872</v>
      </c>
      <c r="L1213" s="9">
        <v>1.0</v>
      </c>
      <c r="O1213" s="9" t="s">
        <v>64</v>
      </c>
      <c r="P1213" s="40" t="s">
        <v>1729</v>
      </c>
      <c r="Q1213" s="9" t="s">
        <v>150</v>
      </c>
      <c r="R1213" s="9" t="s">
        <v>2119</v>
      </c>
      <c r="S1213" s="9" t="s">
        <v>638</v>
      </c>
      <c r="T1213" t="str">
        <f t="shared" si="12"/>
        <v>N</v>
      </c>
      <c r="W1213" s="12" t="str">
        <f t="array" ref="W1213">if(and(L1213=0,Q1213="NA"),"NA",if(L1213=0,"no lice",if(Q1213="NA","no collection",index(sea_lice!G:G,match(C1213,sea_lice!A:A,0)))))</f>
        <v>BSL7-99</v>
      </c>
      <c r="X1213" s="23">
        <v>1212.0</v>
      </c>
    </row>
    <row r="1214">
      <c r="B1214" s="6">
        <v>16204.0</v>
      </c>
      <c r="C1214" s="12" t="str">
        <f t="shared" si="11"/>
        <v>U16204</v>
      </c>
      <c r="D1214" s="14" t="str">
        <f t="array" ref="D1214">iferror(index('2018_ufns'!E:E,match(C1214,'2018_ufns'!B:B,0)))</f>
        <v>P1021</v>
      </c>
      <c r="E1214" s="14">
        <v>43453.0</v>
      </c>
      <c r="F1214" s="40" t="s">
        <v>53</v>
      </c>
      <c r="G1214" s="40" t="s">
        <v>54</v>
      </c>
      <c r="H1214" s="9">
        <v>3.0</v>
      </c>
      <c r="I1214" s="13">
        <v>70.0</v>
      </c>
      <c r="J1214" s="13">
        <v>73.0</v>
      </c>
      <c r="K1214" s="17">
        <f t="shared" si="10"/>
        <v>0.7711745245</v>
      </c>
      <c r="L1214" s="9">
        <v>0.0</v>
      </c>
      <c r="O1214" s="9" t="s">
        <v>638</v>
      </c>
      <c r="P1214" s="40" t="s">
        <v>1729</v>
      </c>
      <c r="Q1214" s="9" t="s">
        <v>150</v>
      </c>
      <c r="R1214" s="9" t="s">
        <v>2119</v>
      </c>
      <c r="S1214" s="9" t="s">
        <v>64</v>
      </c>
      <c r="T1214" t="str">
        <f t="shared" si="12"/>
        <v>N</v>
      </c>
      <c r="W1214" s="12" t="str">
        <f t="array" ref="W1214">if(and(L1214=0,Q1214="NA"),"NA",if(L1214=0,"no lice",if(Q1214="NA","no collection",index(sea_lice!G:G,match(C1214,sea_lice!A:A,0)))))</f>
        <v>no lice</v>
      </c>
      <c r="X1214" s="23">
        <v>1213.0</v>
      </c>
    </row>
    <row r="1215">
      <c r="B1215" s="6">
        <v>16202.0</v>
      </c>
      <c r="C1215" s="12" t="str">
        <f t="shared" si="11"/>
        <v>U16202</v>
      </c>
      <c r="D1215" s="14" t="str">
        <f t="array" ref="D1215">iferror(index('2018_ufns'!E:E,match(C1215,'2018_ufns'!B:B,0)))</f>
        <v>P1021</v>
      </c>
      <c r="E1215" s="14">
        <v>43453.0</v>
      </c>
      <c r="F1215" s="40" t="s">
        <v>53</v>
      </c>
      <c r="G1215" s="40" t="s">
        <v>54</v>
      </c>
      <c r="H1215" s="9">
        <v>5.5</v>
      </c>
      <c r="I1215" s="13">
        <v>81.0</v>
      </c>
      <c r="J1215" s="13" t="s">
        <v>63</v>
      </c>
      <c r="K1215" s="17" t="str">
        <f t="shared" si="10"/>
        <v/>
      </c>
      <c r="L1215" s="9">
        <v>0.0</v>
      </c>
      <c r="O1215" s="9" t="s">
        <v>638</v>
      </c>
      <c r="P1215" s="40" t="s">
        <v>1729</v>
      </c>
      <c r="Q1215" s="9" t="s">
        <v>150</v>
      </c>
      <c r="R1215" s="9" t="s">
        <v>2119</v>
      </c>
      <c r="S1215" s="9" t="s">
        <v>64</v>
      </c>
      <c r="T1215" t="str">
        <f t="shared" si="12"/>
        <v>N</v>
      </c>
      <c r="W1215" s="12" t="str">
        <f t="array" ref="W1215">if(and(L1215=0,Q1215="NA"),"NA",if(L1215=0,"no lice",if(Q1215="NA","no collection",index(sea_lice!G:G,match(C1215,sea_lice!A:A,0)))))</f>
        <v>no lice</v>
      </c>
      <c r="X1215" s="23">
        <v>1214.0</v>
      </c>
    </row>
    <row r="1216">
      <c r="B1216" s="6">
        <v>16206.0</v>
      </c>
      <c r="C1216" s="12" t="str">
        <f t="shared" si="11"/>
        <v>U16206</v>
      </c>
      <c r="D1216" s="14" t="str">
        <f t="array" ref="D1216">iferror(index('2018_ufns'!E:E,match(C1216,'2018_ufns'!B:B,0)))</f>
        <v>P1021</v>
      </c>
      <c r="E1216" s="14">
        <v>43453.0</v>
      </c>
      <c r="F1216" s="40" t="s">
        <v>53</v>
      </c>
      <c r="G1216" s="40" t="s">
        <v>54</v>
      </c>
      <c r="H1216" s="9">
        <v>5.5</v>
      </c>
      <c r="I1216" s="13">
        <v>82.0</v>
      </c>
      <c r="J1216" s="13">
        <v>86.0</v>
      </c>
      <c r="K1216" s="17">
        <f t="shared" si="10"/>
        <v>0.8647037368</v>
      </c>
      <c r="L1216" s="9">
        <v>0.0</v>
      </c>
      <c r="O1216" s="9" t="s">
        <v>638</v>
      </c>
      <c r="P1216" s="40" t="s">
        <v>1729</v>
      </c>
      <c r="Q1216" s="9" t="s">
        <v>150</v>
      </c>
      <c r="R1216" s="9" t="s">
        <v>2119</v>
      </c>
      <c r="S1216" s="9" t="s">
        <v>64</v>
      </c>
      <c r="T1216" t="str">
        <f t="shared" si="12"/>
        <v>N</v>
      </c>
      <c r="W1216" s="12" t="str">
        <f t="array" ref="W1216">if(and(L1216=0,Q1216="NA"),"NA",if(L1216=0,"no lice",if(Q1216="NA","no collection",index(sea_lice!G:G,match(C1216,sea_lice!A:A,0)))))</f>
        <v>no lice</v>
      </c>
      <c r="X1216" s="23">
        <v>1215.0</v>
      </c>
    </row>
    <row r="1217">
      <c r="B1217" s="6">
        <v>16207.0</v>
      </c>
      <c r="C1217" s="12" t="str">
        <f t="shared" si="11"/>
        <v>U16207</v>
      </c>
      <c r="D1217" s="14" t="str">
        <f t="array" ref="D1217">iferror(index('2018_ufns'!E:E,match(C1217,'2018_ufns'!B:B,0)))</f>
        <v>P1021</v>
      </c>
      <c r="E1217" s="14">
        <v>43453.0</v>
      </c>
      <c r="F1217" s="40" t="s">
        <v>53</v>
      </c>
      <c r="G1217" s="40" t="s">
        <v>54</v>
      </c>
      <c r="H1217" s="9">
        <v>3.8</v>
      </c>
      <c r="I1217" s="13">
        <v>74.0</v>
      </c>
      <c r="J1217" s="13" t="s">
        <v>63</v>
      </c>
      <c r="K1217" s="17" t="str">
        <f t="shared" si="10"/>
        <v/>
      </c>
      <c r="L1217" s="9">
        <v>0.0</v>
      </c>
      <c r="O1217" s="9" t="s">
        <v>638</v>
      </c>
      <c r="P1217" s="40" t="s">
        <v>1729</v>
      </c>
      <c r="Q1217" s="9" t="s">
        <v>150</v>
      </c>
      <c r="R1217" s="9" t="s">
        <v>2119</v>
      </c>
      <c r="S1217" s="9" t="s">
        <v>64</v>
      </c>
      <c r="T1217" t="str">
        <f t="shared" si="12"/>
        <v>N</v>
      </c>
      <c r="W1217" s="12" t="str">
        <f t="array" ref="W1217">if(and(L1217=0,Q1217="NA"),"NA",if(L1217=0,"no lice",if(Q1217="NA","no collection",index(sea_lice!G:G,match(C1217,sea_lice!A:A,0)))))</f>
        <v>no lice</v>
      </c>
      <c r="X1217" s="23">
        <v>1216.0</v>
      </c>
    </row>
    <row r="1218">
      <c r="B1218" s="6">
        <v>16210.0</v>
      </c>
      <c r="C1218" s="12" t="str">
        <f t="shared" si="11"/>
        <v>U16210</v>
      </c>
      <c r="D1218" s="14" t="str">
        <f t="array" ref="D1218">iferror(index('2018_ufns'!E:E,match(C1218,'2018_ufns'!B:B,0)))</f>
        <v>P1021</v>
      </c>
      <c r="E1218" s="14">
        <v>43453.0</v>
      </c>
      <c r="F1218" s="40" t="s">
        <v>53</v>
      </c>
      <c r="G1218" s="40" t="s">
        <v>54</v>
      </c>
      <c r="H1218" s="9">
        <v>3.1</v>
      </c>
      <c r="I1218" s="13">
        <v>70.0</v>
      </c>
      <c r="J1218" s="13" t="s">
        <v>63</v>
      </c>
      <c r="K1218" s="17" t="str">
        <f t="shared" si="10"/>
        <v/>
      </c>
      <c r="L1218" s="9">
        <v>0.0</v>
      </c>
      <c r="O1218" s="9" t="s">
        <v>638</v>
      </c>
      <c r="P1218" s="40" t="s">
        <v>1729</v>
      </c>
      <c r="Q1218" s="9" t="s">
        <v>150</v>
      </c>
      <c r="R1218" s="9" t="s">
        <v>2119</v>
      </c>
      <c r="S1218" s="9" t="s">
        <v>64</v>
      </c>
      <c r="T1218" t="str">
        <f t="shared" si="12"/>
        <v>N</v>
      </c>
      <c r="W1218" s="12" t="str">
        <f t="array" ref="W1218">if(and(L1218=0,Q1218="NA"),"NA",if(L1218=0,"no lice",if(Q1218="NA","no collection",index(sea_lice!G:G,match(C1218,sea_lice!A:A,0)))))</f>
        <v>no lice</v>
      </c>
      <c r="X1218" s="23">
        <v>1217.0</v>
      </c>
    </row>
    <row r="1219">
      <c r="B1219" s="6">
        <v>16208.0</v>
      </c>
      <c r="C1219" s="12" t="str">
        <f t="shared" si="11"/>
        <v>U16208</v>
      </c>
      <c r="D1219" s="14" t="str">
        <f t="array" ref="D1219">iferror(index('2018_ufns'!E:E,match(C1219,'2018_ufns'!B:B,0)))</f>
        <v>P1021</v>
      </c>
      <c r="E1219" s="14">
        <v>43453.0</v>
      </c>
      <c r="F1219" s="40" t="s">
        <v>53</v>
      </c>
      <c r="G1219" s="40" t="s">
        <v>54</v>
      </c>
      <c r="H1219" s="9">
        <v>3.4</v>
      </c>
      <c r="I1219" s="13">
        <v>73.0</v>
      </c>
      <c r="J1219" s="13">
        <v>77.0</v>
      </c>
      <c r="K1219" s="17">
        <f t="shared" si="10"/>
        <v>0.7447435344</v>
      </c>
      <c r="L1219" s="9">
        <v>0.0</v>
      </c>
      <c r="O1219" s="9" t="s">
        <v>638</v>
      </c>
      <c r="P1219" s="40" t="s">
        <v>1729</v>
      </c>
      <c r="Q1219" s="9" t="s">
        <v>150</v>
      </c>
      <c r="R1219" s="9" t="s">
        <v>2119</v>
      </c>
      <c r="S1219" s="9" t="s">
        <v>64</v>
      </c>
      <c r="T1219" t="str">
        <f t="shared" si="12"/>
        <v>N</v>
      </c>
      <c r="W1219" s="12" t="str">
        <f t="array" ref="W1219">if(and(L1219=0,Q1219="NA"),"NA",if(L1219=0,"no lice",if(Q1219="NA","no collection",index(sea_lice!G:G,match(C1219,sea_lice!A:A,0)))))</f>
        <v>no lice</v>
      </c>
      <c r="X1219" s="23">
        <v>1218.0</v>
      </c>
    </row>
    <row r="1220">
      <c r="B1220" s="6">
        <v>17504.0</v>
      </c>
      <c r="C1220" s="12" t="str">
        <f t="shared" si="11"/>
        <v>U17504</v>
      </c>
      <c r="D1220" s="14" t="str">
        <f t="array" ref="D1220">iferror(index('2018_ufns'!E:E,match(C1220,'2018_ufns'!B:B,0)))</f>
        <v>P1151</v>
      </c>
      <c r="E1220" s="14">
        <v>43453.0</v>
      </c>
      <c r="F1220" s="40" t="s">
        <v>53</v>
      </c>
      <c r="G1220" s="40" t="s">
        <v>54</v>
      </c>
      <c r="H1220" s="9">
        <v>14.7</v>
      </c>
      <c r="I1220" s="13">
        <v>112.0</v>
      </c>
      <c r="J1220" s="13">
        <v>118.0</v>
      </c>
      <c r="K1220" s="17">
        <f t="shared" si="10"/>
        <v>0.8946873828</v>
      </c>
      <c r="L1220" s="9">
        <v>2.0</v>
      </c>
      <c r="O1220" s="9" t="s">
        <v>638</v>
      </c>
      <c r="P1220" s="40" t="s">
        <v>1729</v>
      </c>
      <c r="Q1220" s="9" t="s">
        <v>150</v>
      </c>
      <c r="R1220" s="9" t="s">
        <v>2119</v>
      </c>
      <c r="S1220" s="9" t="s">
        <v>64</v>
      </c>
      <c r="T1220" t="str">
        <f t="shared" si="12"/>
        <v>N</v>
      </c>
      <c r="W1220" s="12" t="str">
        <f t="array" ref="W1220">if(and(L1220=0,Q1220="NA"),"NA",if(L1220=0,"no lice",if(Q1220="NA","no collection",index(sea_lice!G:G,match(C1220,sea_lice!A:A,0)))))</f>
        <v>BSL8-2</v>
      </c>
      <c r="X1220" s="23">
        <v>1219.0</v>
      </c>
    </row>
    <row r="1221">
      <c r="B1221" s="6">
        <v>17509.0</v>
      </c>
      <c r="C1221" s="12" t="str">
        <f t="shared" si="11"/>
        <v>U17509</v>
      </c>
      <c r="D1221" s="14" t="str">
        <f t="array" ref="D1221">iferror(index('2018_ufns'!E:E,match(C1221,'2018_ufns'!B:B,0)))</f>
        <v>P1151</v>
      </c>
      <c r="E1221" s="14">
        <v>43453.0</v>
      </c>
      <c r="F1221" s="40" t="s">
        <v>53</v>
      </c>
      <c r="G1221" s="40" t="s">
        <v>54</v>
      </c>
      <c r="H1221" s="9">
        <v>7.4</v>
      </c>
      <c r="I1221" s="13">
        <v>94.0</v>
      </c>
      <c r="J1221" s="13">
        <v>98.0</v>
      </c>
      <c r="K1221" s="17">
        <f t="shared" si="10"/>
        <v>0.7862370271</v>
      </c>
      <c r="L1221" s="9">
        <v>3.0</v>
      </c>
      <c r="O1221" s="9" t="s">
        <v>638</v>
      </c>
      <c r="P1221" s="40" t="s">
        <v>1729</v>
      </c>
      <c r="Q1221" s="9" t="s">
        <v>150</v>
      </c>
      <c r="R1221" s="9" t="s">
        <v>2119</v>
      </c>
      <c r="S1221" s="9" t="s">
        <v>64</v>
      </c>
      <c r="T1221" t="str">
        <f t="shared" si="12"/>
        <v>N</v>
      </c>
      <c r="W1221" s="12" t="str">
        <f t="array" ref="W1221">if(and(L1221=0,Q1221="NA"),"NA",if(L1221=0,"no lice",if(Q1221="NA","no collection",index(sea_lice!G:G,match(C1221,sea_lice!A:A,0)))))</f>
        <v>BSL8-3</v>
      </c>
      <c r="X1221" s="23">
        <v>1220.0</v>
      </c>
    </row>
    <row r="1222">
      <c r="B1222" s="6">
        <v>17502.0</v>
      </c>
      <c r="C1222" s="12" t="str">
        <f t="shared" si="11"/>
        <v>U17502</v>
      </c>
      <c r="D1222" s="14" t="str">
        <f t="array" ref="D1222">iferror(index('2018_ufns'!E:E,match(C1222,'2018_ufns'!B:B,0)))</f>
        <v>P1151</v>
      </c>
      <c r="E1222" s="14">
        <v>43453.0</v>
      </c>
      <c r="F1222" s="40" t="s">
        <v>53</v>
      </c>
      <c r="G1222" s="40" t="s">
        <v>54</v>
      </c>
      <c r="H1222" s="9">
        <v>8.3</v>
      </c>
      <c r="I1222" s="13">
        <v>95.0</v>
      </c>
      <c r="J1222" s="13" t="s">
        <v>63</v>
      </c>
      <c r="K1222" s="17" t="str">
        <f t="shared" si="10"/>
        <v/>
      </c>
      <c r="L1222" s="9">
        <v>2.0</v>
      </c>
      <c r="O1222" s="9" t="s">
        <v>638</v>
      </c>
      <c r="P1222" s="40" t="s">
        <v>1729</v>
      </c>
      <c r="Q1222" s="9" t="s">
        <v>150</v>
      </c>
      <c r="R1222" s="9" t="s">
        <v>2119</v>
      </c>
      <c r="S1222" s="9" t="s">
        <v>64</v>
      </c>
      <c r="T1222" t="str">
        <f t="shared" si="12"/>
        <v>N</v>
      </c>
      <c r="W1222" s="12" t="str">
        <f t="array" ref="W1222">if(and(L1222=0,Q1222="NA"),"NA",if(L1222=0,"no lice",if(Q1222="NA","no collection",index(sea_lice!G:G,match(C1222,sea_lice!A:A,0)))))</f>
        <v>BSL8-4</v>
      </c>
      <c r="X1222" s="23">
        <v>1221.0</v>
      </c>
    </row>
    <row r="1223">
      <c r="B1223" s="6">
        <v>17507.0</v>
      </c>
      <c r="C1223" s="12" t="str">
        <f t="shared" si="11"/>
        <v>U17507</v>
      </c>
      <c r="D1223" s="14" t="str">
        <f t="array" ref="D1223">iferror(index('2018_ufns'!E:E,match(C1223,'2018_ufns'!B:B,0)))</f>
        <v>P1151</v>
      </c>
      <c r="E1223" s="14">
        <v>43453.0</v>
      </c>
      <c r="F1223" s="40" t="s">
        <v>53</v>
      </c>
      <c r="G1223" s="40" t="s">
        <v>54</v>
      </c>
      <c r="H1223" s="9">
        <v>8.8</v>
      </c>
      <c r="I1223" s="13">
        <v>100.0</v>
      </c>
      <c r="J1223" s="13">
        <v>104.0</v>
      </c>
      <c r="K1223" s="17">
        <f t="shared" si="10"/>
        <v>0.7823167956</v>
      </c>
      <c r="L1223" s="9">
        <v>2.0</v>
      </c>
      <c r="O1223" s="9" t="s">
        <v>638</v>
      </c>
      <c r="P1223" s="40" t="s">
        <v>1729</v>
      </c>
      <c r="Q1223" s="9" t="s">
        <v>150</v>
      </c>
      <c r="R1223" s="9" t="s">
        <v>2119</v>
      </c>
      <c r="S1223" s="9" t="s">
        <v>64</v>
      </c>
      <c r="T1223" t="str">
        <f t="shared" si="12"/>
        <v>N</v>
      </c>
      <c r="W1223" s="12" t="str">
        <f t="array" ref="W1223">if(and(L1223=0,Q1223="NA"),"NA",if(L1223=0,"no lice",if(Q1223="NA","no collection",index(sea_lice!G:G,match(C1223,sea_lice!A:A,0)))))</f>
        <v>BSL8-6</v>
      </c>
      <c r="X1223" s="23">
        <v>1222.0</v>
      </c>
    </row>
    <row r="1224">
      <c r="B1224" s="6">
        <v>17508.0</v>
      </c>
      <c r="C1224" s="12" t="str">
        <f t="shared" si="11"/>
        <v>U17508</v>
      </c>
      <c r="D1224" s="14" t="str">
        <f t="array" ref="D1224">iferror(index('2018_ufns'!E:E,match(C1224,'2018_ufns'!B:B,0)))</f>
        <v>P1151</v>
      </c>
      <c r="E1224" s="14">
        <v>43453.0</v>
      </c>
      <c r="F1224" s="40" t="s">
        <v>53</v>
      </c>
      <c r="G1224" s="40" t="s">
        <v>54</v>
      </c>
      <c r="H1224" s="9">
        <v>10.9</v>
      </c>
      <c r="I1224" s="13">
        <v>104.0</v>
      </c>
      <c r="J1224" s="13">
        <v>109.0</v>
      </c>
      <c r="K1224" s="17">
        <f t="shared" si="10"/>
        <v>0.8416799933</v>
      </c>
      <c r="L1224" s="9">
        <v>1.0</v>
      </c>
      <c r="O1224" s="9" t="s">
        <v>638</v>
      </c>
      <c r="P1224" s="40" t="s">
        <v>1729</v>
      </c>
      <c r="Q1224" s="9" t="s">
        <v>150</v>
      </c>
      <c r="R1224" s="9" t="s">
        <v>2119</v>
      </c>
      <c r="S1224" s="9" t="s">
        <v>64</v>
      </c>
      <c r="T1224" t="str">
        <f t="shared" si="12"/>
        <v>N</v>
      </c>
      <c r="W1224" s="12" t="str">
        <f t="array" ref="W1224">if(and(L1224=0,Q1224="NA"),"NA",if(L1224=0,"no lice",if(Q1224="NA","no collection",index(sea_lice!G:G,match(C1224,sea_lice!A:A,0)))))</f>
        <v>BSL8-8</v>
      </c>
      <c r="X1224" s="23">
        <v>1223.0</v>
      </c>
    </row>
    <row r="1225">
      <c r="B1225" s="6">
        <v>17505.0</v>
      </c>
      <c r="C1225" s="12" t="str">
        <f t="shared" si="11"/>
        <v>U17505</v>
      </c>
      <c r="D1225" s="14" t="str">
        <f t="array" ref="D1225">iferror(index('2018_ufns'!E:E,match(C1225,'2018_ufns'!B:B,0)))</f>
        <v>P1151</v>
      </c>
      <c r="E1225" s="14">
        <v>43453.0</v>
      </c>
      <c r="F1225" s="40" t="s">
        <v>53</v>
      </c>
      <c r="G1225" s="40" t="s">
        <v>54</v>
      </c>
      <c r="H1225" s="9">
        <v>8.6</v>
      </c>
      <c r="I1225" s="13">
        <v>97.0</v>
      </c>
      <c r="J1225" s="13">
        <v>101.0</v>
      </c>
      <c r="K1225" s="17">
        <f t="shared" si="10"/>
        <v>0.8347075272</v>
      </c>
      <c r="L1225" s="9">
        <v>1.0</v>
      </c>
      <c r="O1225" s="9" t="s">
        <v>638</v>
      </c>
      <c r="P1225" s="40" t="s">
        <v>1729</v>
      </c>
      <c r="Q1225" s="9" t="s">
        <v>150</v>
      </c>
      <c r="R1225" s="9" t="s">
        <v>2119</v>
      </c>
      <c r="S1225" s="9" t="s">
        <v>64</v>
      </c>
      <c r="T1225" t="str">
        <f t="shared" si="12"/>
        <v>N</v>
      </c>
      <c r="W1225" s="12" t="str">
        <f t="array" ref="W1225">if(and(L1225=0,Q1225="NA"),"NA",if(L1225=0,"no lice",if(Q1225="NA","no collection",index(sea_lice!G:G,match(C1225,sea_lice!A:A,0)))))</f>
        <v>BSL8-9</v>
      </c>
      <c r="X1225" s="23">
        <v>1224.0</v>
      </c>
    </row>
    <row r="1226">
      <c r="B1226" s="6">
        <v>17510.0</v>
      </c>
      <c r="C1226" s="12" t="str">
        <f t="shared" si="11"/>
        <v>U17510</v>
      </c>
      <c r="D1226" s="14" t="str">
        <f t="array" ref="D1226">iferror(index('2018_ufns'!E:E,match(C1226,'2018_ufns'!B:B,0)))</f>
        <v>P1151</v>
      </c>
      <c r="E1226" s="14">
        <v>43453.0</v>
      </c>
      <c r="F1226" s="40" t="s">
        <v>53</v>
      </c>
      <c r="G1226" s="40" t="s">
        <v>54</v>
      </c>
      <c r="H1226" s="9">
        <v>9.6</v>
      </c>
      <c r="I1226" s="13">
        <v>100.0</v>
      </c>
      <c r="J1226" s="13">
        <v>105.0</v>
      </c>
      <c r="K1226" s="17">
        <f t="shared" si="10"/>
        <v>0.8292840946</v>
      </c>
      <c r="L1226" s="9">
        <v>1.0</v>
      </c>
      <c r="O1226" s="9" t="s">
        <v>638</v>
      </c>
      <c r="P1226" s="40" t="s">
        <v>1729</v>
      </c>
      <c r="Q1226" s="9" t="s">
        <v>150</v>
      </c>
      <c r="R1226" s="9" t="s">
        <v>2119</v>
      </c>
      <c r="S1226" s="9" t="s">
        <v>64</v>
      </c>
      <c r="T1226" t="str">
        <f t="shared" si="12"/>
        <v>N</v>
      </c>
      <c r="W1226" s="12" t="str">
        <f t="array" ref="W1226">if(and(L1226=0,Q1226="NA"),"NA",if(L1226=0,"no lice",if(Q1226="NA","no collection",index(sea_lice!G:G,match(C1226,sea_lice!A:A,0)))))</f>
        <v>BSL8-10</v>
      </c>
      <c r="X1226" s="23">
        <v>1225.0</v>
      </c>
    </row>
    <row r="1227">
      <c r="B1227" s="6">
        <v>17506.0</v>
      </c>
      <c r="C1227" s="12" t="str">
        <f t="shared" si="11"/>
        <v>U17506</v>
      </c>
      <c r="D1227" s="14" t="str">
        <f t="array" ref="D1227">iferror(index('2018_ufns'!E:E,match(C1227,'2018_ufns'!B:B,0)))</f>
        <v>P1151</v>
      </c>
      <c r="E1227" s="14">
        <v>43453.0</v>
      </c>
      <c r="F1227" s="40" t="s">
        <v>53</v>
      </c>
      <c r="G1227" s="40" t="s">
        <v>54</v>
      </c>
      <c r="H1227" s="9">
        <v>11.2</v>
      </c>
      <c r="I1227" s="13">
        <v>107.0</v>
      </c>
      <c r="J1227" s="13">
        <v>111.0</v>
      </c>
      <c r="K1227" s="17">
        <f t="shared" si="10"/>
        <v>0.8189343471</v>
      </c>
      <c r="L1227" s="9">
        <v>1.0</v>
      </c>
      <c r="O1227" s="9" t="s">
        <v>638</v>
      </c>
      <c r="P1227" s="40" t="s">
        <v>1729</v>
      </c>
      <c r="Q1227" s="9" t="s">
        <v>150</v>
      </c>
      <c r="R1227" s="9" t="s">
        <v>2119</v>
      </c>
      <c r="S1227" s="9" t="s">
        <v>64</v>
      </c>
      <c r="T1227" t="str">
        <f t="shared" si="12"/>
        <v>N</v>
      </c>
      <c r="W1227" s="12" t="str">
        <f t="array" ref="W1227">if(and(L1227=0,Q1227="NA"),"NA",if(L1227=0,"no lice",if(Q1227="NA","no collection",index(sea_lice!G:G,match(C1227,sea_lice!A:A,0)))))</f>
        <v>BSL8-11</v>
      </c>
      <c r="X1227" s="23">
        <v>1226.0</v>
      </c>
    </row>
    <row r="1228">
      <c r="B1228" s="6">
        <v>17501.0</v>
      </c>
      <c r="C1228" s="12" t="str">
        <f t="shared" si="11"/>
        <v>U17501</v>
      </c>
      <c r="D1228" s="14" t="str">
        <f t="array" ref="D1228">iferror(index('2018_ufns'!E:E,match(C1228,'2018_ufns'!B:B,0)))</f>
        <v>P1151</v>
      </c>
      <c r="E1228" s="14">
        <v>43453.0</v>
      </c>
      <c r="F1228" s="40" t="s">
        <v>53</v>
      </c>
      <c r="G1228" s="40" t="s">
        <v>54</v>
      </c>
      <c r="H1228" s="9">
        <v>10.3</v>
      </c>
      <c r="I1228" s="13">
        <v>103.0</v>
      </c>
      <c r="J1228" s="13" t="s">
        <v>63</v>
      </c>
      <c r="K1228" s="17" t="str">
        <f t="shared" si="10"/>
        <v/>
      </c>
      <c r="L1228" s="9">
        <v>3.0</v>
      </c>
      <c r="O1228" s="9" t="s">
        <v>638</v>
      </c>
      <c r="P1228" s="40" t="s">
        <v>1729</v>
      </c>
      <c r="Q1228" s="9" t="s">
        <v>150</v>
      </c>
      <c r="R1228" s="9" t="s">
        <v>2119</v>
      </c>
      <c r="S1228" s="9" t="s">
        <v>64</v>
      </c>
      <c r="T1228" t="str">
        <f t="shared" si="12"/>
        <v>N</v>
      </c>
      <c r="W1228" s="12" t="str">
        <f t="array" ref="W1228">if(and(L1228=0,Q1228="NA"),"NA",if(L1228=0,"no lice",if(Q1228="NA","no collection",index(sea_lice!G:G,match(C1228,sea_lice!A:A,0)))))</f>
        <v>BSL8-13</v>
      </c>
      <c r="X1228" s="23">
        <v>1227.0</v>
      </c>
    </row>
    <row r="1229">
      <c r="B1229" s="6">
        <v>17503.0</v>
      </c>
      <c r="C1229" s="12" t="str">
        <f t="shared" si="11"/>
        <v>U17503</v>
      </c>
      <c r="D1229" s="14" t="str">
        <f t="array" ref="D1229">iferror(index('2018_ufns'!E:E,match(C1229,'2018_ufns'!B:B,0)))</f>
        <v>P1151</v>
      </c>
      <c r="E1229" s="14">
        <v>43453.0</v>
      </c>
      <c r="F1229" s="40" t="s">
        <v>53</v>
      </c>
      <c r="G1229" s="40" t="s">
        <v>54</v>
      </c>
      <c r="H1229" s="9">
        <v>9.0</v>
      </c>
      <c r="I1229" s="13">
        <v>98.0</v>
      </c>
      <c r="J1229" s="13" t="s">
        <v>63</v>
      </c>
      <c r="K1229" s="17" t="str">
        <f t="shared" si="10"/>
        <v/>
      </c>
      <c r="L1229" s="9">
        <v>0.0</v>
      </c>
      <c r="O1229" s="9" t="s">
        <v>638</v>
      </c>
      <c r="P1229" s="40" t="s">
        <v>1729</v>
      </c>
      <c r="Q1229" s="9" t="s">
        <v>150</v>
      </c>
      <c r="R1229" s="9" t="s">
        <v>2119</v>
      </c>
      <c r="S1229" s="9" t="s">
        <v>64</v>
      </c>
      <c r="T1229" t="str">
        <f t="shared" si="12"/>
        <v>N</v>
      </c>
      <c r="W1229" s="12" t="str">
        <f t="array" ref="W1229">if(and(L1229=0,Q1229="NA"),"NA",if(L1229=0,"no lice",if(Q1229="NA","no collection",index(sea_lice!G:G,match(C1229,sea_lice!A:A,0)))))</f>
        <v>no lice</v>
      </c>
      <c r="X1229" s="23">
        <v>1228.0</v>
      </c>
    </row>
    <row r="1230">
      <c r="B1230" s="6">
        <v>17102.0</v>
      </c>
      <c r="C1230" s="12" t="str">
        <f t="shared" si="11"/>
        <v>U17102</v>
      </c>
      <c r="D1230" s="14" t="str">
        <f t="array" ref="D1230">iferror(index('2018_ufns'!E:E,match(C1230,'2018_ufns'!B:B,0)))</f>
        <v>P1111</v>
      </c>
      <c r="E1230" s="14">
        <v>43453.0</v>
      </c>
      <c r="F1230" s="40" t="s">
        <v>53</v>
      </c>
      <c r="G1230" s="40" t="s">
        <v>54</v>
      </c>
      <c r="H1230" s="9">
        <v>24.9</v>
      </c>
      <c r="I1230" s="13">
        <v>132.0</v>
      </c>
      <c r="J1230" s="13">
        <v>137.0</v>
      </c>
      <c r="K1230" s="17">
        <f t="shared" si="10"/>
        <v>0.9683617924</v>
      </c>
      <c r="L1230" s="9">
        <v>2.0</v>
      </c>
      <c r="O1230" s="9" t="s">
        <v>638</v>
      </c>
      <c r="P1230" s="40" t="s">
        <v>1729</v>
      </c>
      <c r="Q1230" s="9" t="s">
        <v>62</v>
      </c>
      <c r="R1230" s="9" t="s">
        <v>2119</v>
      </c>
      <c r="S1230" s="9" t="s">
        <v>64</v>
      </c>
      <c r="T1230" t="str">
        <f t="shared" si="12"/>
        <v>N</v>
      </c>
      <c r="W1230" s="12" t="str">
        <f t="array" ref="W1230">if(and(L1230=0,Q1230="NA"),"NA",if(L1230=0,"no lice",if(Q1230="NA","no collection",index(sea_lice!G:G,match(C1230,sea_lice!A:A,0)))))</f>
        <v>BSL2-76</v>
      </c>
      <c r="X1230" s="23">
        <v>1229.0</v>
      </c>
    </row>
    <row r="1231">
      <c r="B1231" s="6">
        <v>17107.0</v>
      </c>
      <c r="C1231" s="12" t="str">
        <f t="shared" si="11"/>
        <v>U17107</v>
      </c>
      <c r="D1231" s="14" t="str">
        <f t="array" ref="D1231">iferror(index('2018_ufns'!E:E,match(C1231,'2018_ufns'!B:B,0)))</f>
        <v>P1111</v>
      </c>
      <c r="E1231" s="14">
        <v>43453.0</v>
      </c>
      <c r="F1231" s="40" t="s">
        <v>53</v>
      </c>
      <c r="G1231" s="40" t="s">
        <v>54</v>
      </c>
      <c r="H1231" s="9">
        <v>13.1</v>
      </c>
      <c r="I1231" s="13">
        <v>108.0</v>
      </c>
      <c r="J1231" s="13">
        <v>113.0</v>
      </c>
      <c r="K1231" s="17">
        <f t="shared" si="10"/>
        <v>0.9078957126</v>
      </c>
      <c r="L1231" s="9">
        <v>2.0</v>
      </c>
      <c r="O1231" s="9" t="s">
        <v>638</v>
      </c>
      <c r="P1231" s="40" t="s">
        <v>1729</v>
      </c>
      <c r="Q1231" s="9" t="s">
        <v>62</v>
      </c>
      <c r="R1231" s="9" t="s">
        <v>2119</v>
      </c>
      <c r="S1231" s="9" t="s">
        <v>64</v>
      </c>
      <c r="T1231" t="str">
        <f t="shared" si="12"/>
        <v>N</v>
      </c>
      <c r="W1231" s="12" t="str">
        <f t="array" ref="W1231">if(and(L1231=0,Q1231="NA"),"NA",if(L1231=0,"no lice",if(Q1231="NA","no collection",index(sea_lice!G:G,match(C1231,sea_lice!A:A,0)))))</f>
        <v>BSL2-78</v>
      </c>
      <c r="X1231" s="23">
        <v>1230.0</v>
      </c>
    </row>
    <row r="1232">
      <c r="B1232" s="6">
        <v>17259.0</v>
      </c>
      <c r="C1232" s="12" t="str">
        <f t="shared" si="11"/>
        <v>U17259</v>
      </c>
      <c r="D1232" s="14" t="str">
        <f t="array" ref="D1232">iferror(index('2018_ufns'!E:E,match(C1232,'2018_ufns'!B:B,0)))</f>
        <v>P1126</v>
      </c>
      <c r="E1232" s="14">
        <v>43453.0</v>
      </c>
      <c r="F1232" s="40" t="s">
        <v>53</v>
      </c>
      <c r="G1232" s="40" t="s">
        <v>54</v>
      </c>
      <c r="H1232" s="9">
        <v>7.7</v>
      </c>
      <c r="I1232" s="13">
        <v>90.0</v>
      </c>
      <c r="J1232" s="13">
        <v>94.0</v>
      </c>
      <c r="K1232" s="17">
        <f t="shared" si="10"/>
        <v>0.9270585516</v>
      </c>
      <c r="L1232" s="9">
        <v>1.0</v>
      </c>
      <c r="O1232" s="9" t="s">
        <v>64</v>
      </c>
      <c r="P1232" s="40" t="s">
        <v>1729</v>
      </c>
      <c r="Q1232" s="9" t="s">
        <v>150</v>
      </c>
      <c r="R1232" s="9" t="s">
        <v>2119</v>
      </c>
      <c r="S1232" s="9" t="s">
        <v>638</v>
      </c>
      <c r="T1232" t="str">
        <f t="shared" si="12"/>
        <v>N</v>
      </c>
      <c r="W1232" s="12" t="str">
        <f t="array" ref="W1232">if(and(L1232=0,Q1232="NA"),"NA",if(L1232=0,"no lice",if(Q1232="NA","no collection",index(sea_lice!G:G,match(C1232,sea_lice!A:A,0)))))</f>
        <v>BSL7-100</v>
      </c>
      <c r="X1232" s="23">
        <v>1231.0</v>
      </c>
    </row>
    <row r="1233">
      <c r="B1233" s="6">
        <v>17260.0</v>
      </c>
      <c r="C1233" s="12" t="str">
        <f t="shared" si="11"/>
        <v>U17260</v>
      </c>
      <c r="D1233" s="14" t="str">
        <f t="array" ref="D1233">iferror(index('2018_ufns'!E:E,match(C1233,'2018_ufns'!B:B,0)))</f>
        <v>P1126</v>
      </c>
      <c r="E1233" s="14">
        <v>43453.0</v>
      </c>
      <c r="F1233" s="40" t="s">
        <v>53</v>
      </c>
      <c r="G1233" s="40" t="s">
        <v>54</v>
      </c>
      <c r="H1233" s="9">
        <v>6.7</v>
      </c>
      <c r="I1233" s="13">
        <v>88.0</v>
      </c>
      <c r="J1233" s="13" t="s">
        <v>63</v>
      </c>
      <c r="K1233" s="17" t="str">
        <f t="shared" si="10"/>
        <v/>
      </c>
      <c r="L1233" s="9">
        <v>0.0</v>
      </c>
      <c r="O1233" s="9" t="s">
        <v>64</v>
      </c>
      <c r="P1233" s="40" t="s">
        <v>1729</v>
      </c>
      <c r="Q1233" s="9" t="s">
        <v>150</v>
      </c>
      <c r="R1233" s="9" t="s">
        <v>2119</v>
      </c>
      <c r="S1233" s="9" t="s">
        <v>638</v>
      </c>
      <c r="T1233" t="str">
        <f t="shared" si="12"/>
        <v>N</v>
      </c>
      <c r="W1233" s="12" t="str">
        <f t="array" ref="W1233">if(and(L1233=0,Q1233="NA"),"NA",if(L1233=0,"no lice",if(Q1233="NA","no collection",index(sea_lice!G:G,match(C1233,sea_lice!A:A,0)))))</f>
        <v>no lice</v>
      </c>
      <c r="X1233" s="23">
        <v>1232.0</v>
      </c>
    </row>
    <row r="1234">
      <c r="B1234" s="6">
        <v>17258.0</v>
      </c>
      <c r="C1234" s="12" t="str">
        <f t="shared" si="11"/>
        <v>U17258</v>
      </c>
      <c r="D1234" s="14" t="str">
        <f t="array" ref="D1234">iferror(index('2018_ufns'!E:E,match(C1234,'2018_ufns'!B:B,0)))</f>
        <v>P1126</v>
      </c>
      <c r="E1234" s="14">
        <v>43453.0</v>
      </c>
      <c r="F1234" s="40" t="s">
        <v>53</v>
      </c>
      <c r="G1234" s="40" t="s">
        <v>54</v>
      </c>
      <c r="H1234" s="9">
        <v>9.1</v>
      </c>
      <c r="I1234" s="13">
        <v>99.0</v>
      </c>
      <c r="J1234" s="13">
        <v>104.0</v>
      </c>
      <c r="K1234" s="17">
        <f t="shared" si="10"/>
        <v>0.8089866864</v>
      </c>
      <c r="L1234" s="9">
        <v>0.0</v>
      </c>
      <c r="O1234" s="9" t="s">
        <v>64</v>
      </c>
      <c r="P1234" s="40" t="s">
        <v>1729</v>
      </c>
      <c r="Q1234" s="9" t="s">
        <v>150</v>
      </c>
      <c r="R1234" s="9" t="s">
        <v>2119</v>
      </c>
      <c r="S1234" s="9" t="s">
        <v>638</v>
      </c>
      <c r="T1234" t="str">
        <f t="shared" si="12"/>
        <v>N</v>
      </c>
      <c r="W1234" s="12" t="str">
        <f t="array" ref="W1234">if(and(L1234=0,Q1234="NA"),"NA",if(L1234=0,"no lice",if(Q1234="NA","no collection",index(sea_lice!G:G,match(C1234,sea_lice!A:A,0)))))</f>
        <v>no lice</v>
      </c>
      <c r="X1234" s="23">
        <v>1233.0</v>
      </c>
    </row>
    <row r="1235">
      <c r="B1235" s="6">
        <v>17256.0</v>
      </c>
      <c r="C1235" s="12" t="str">
        <f t="shared" si="11"/>
        <v>U17256</v>
      </c>
      <c r="D1235" s="14" t="str">
        <f t="array" ref="D1235">iferror(index('2018_ufns'!E:E,match(C1235,'2018_ufns'!B:B,0)))</f>
        <v>P1126</v>
      </c>
      <c r="E1235" s="14">
        <v>43453.0</v>
      </c>
      <c r="F1235" s="40" t="s">
        <v>53</v>
      </c>
      <c r="G1235" s="40" t="s">
        <v>54</v>
      </c>
      <c r="H1235" s="9">
        <v>9.7</v>
      </c>
      <c r="I1235" s="13">
        <v>96.0</v>
      </c>
      <c r="J1235" s="13">
        <v>99.0</v>
      </c>
      <c r="K1235" s="17">
        <f t="shared" si="10"/>
        <v>0.9996918476</v>
      </c>
      <c r="L1235" s="9">
        <v>0.0</v>
      </c>
      <c r="O1235" s="9" t="s">
        <v>64</v>
      </c>
      <c r="P1235" s="40" t="s">
        <v>1729</v>
      </c>
      <c r="Q1235" s="9" t="s">
        <v>150</v>
      </c>
      <c r="R1235" s="9" t="s">
        <v>2119</v>
      </c>
      <c r="S1235" s="9" t="s">
        <v>638</v>
      </c>
      <c r="T1235" t="str">
        <f t="shared" si="12"/>
        <v>N</v>
      </c>
      <c r="W1235" s="12" t="str">
        <f t="array" ref="W1235">if(and(L1235=0,Q1235="NA"),"NA",if(L1235=0,"no lice",if(Q1235="NA","no collection",index(sea_lice!G:G,match(C1235,sea_lice!A:A,0)))))</f>
        <v>no lice</v>
      </c>
      <c r="X1235" s="23">
        <v>1234.0</v>
      </c>
    </row>
    <row r="1236">
      <c r="B1236" s="6">
        <v>17253.0</v>
      </c>
      <c r="C1236" s="12" t="str">
        <f t="shared" si="11"/>
        <v>U17253</v>
      </c>
      <c r="D1236" s="14" t="str">
        <f t="array" ref="D1236">iferror(index('2018_ufns'!E:E,match(C1236,'2018_ufns'!B:B,0)))</f>
        <v>P1126</v>
      </c>
      <c r="E1236" s="14">
        <v>43453.0</v>
      </c>
      <c r="F1236" s="40" t="s">
        <v>53</v>
      </c>
      <c r="G1236" s="40" t="s">
        <v>54</v>
      </c>
      <c r="H1236" s="9">
        <v>7.0</v>
      </c>
      <c r="I1236" s="13">
        <v>88.0</v>
      </c>
      <c r="J1236" s="13">
        <v>92.0</v>
      </c>
      <c r="K1236" s="17">
        <f t="shared" si="10"/>
        <v>0.898947974</v>
      </c>
      <c r="L1236" s="9">
        <v>0.0</v>
      </c>
      <c r="O1236" s="9" t="s">
        <v>64</v>
      </c>
      <c r="P1236" s="40" t="s">
        <v>1729</v>
      </c>
      <c r="Q1236" s="9" t="s">
        <v>150</v>
      </c>
      <c r="R1236" s="9" t="s">
        <v>2119</v>
      </c>
      <c r="S1236" s="9" t="s">
        <v>638</v>
      </c>
      <c r="T1236" t="str">
        <f t="shared" si="12"/>
        <v>N</v>
      </c>
      <c r="W1236" s="12" t="str">
        <f t="array" ref="W1236">if(and(L1236=0,Q1236="NA"),"NA",if(L1236=0,"no lice",if(Q1236="NA","no collection",index(sea_lice!G:G,match(C1236,sea_lice!A:A,0)))))</f>
        <v>no lice</v>
      </c>
      <c r="X1236" s="23">
        <v>1235.0</v>
      </c>
    </row>
    <row r="1237">
      <c r="B1237" s="6">
        <v>17257.0</v>
      </c>
      <c r="C1237" s="12" t="str">
        <f t="shared" si="11"/>
        <v>U17257</v>
      </c>
      <c r="D1237" s="14" t="str">
        <f t="array" ref="D1237">iferror(index('2018_ufns'!E:E,match(C1237,'2018_ufns'!B:B,0)))</f>
        <v>P1126</v>
      </c>
      <c r="E1237" s="14">
        <v>43453.0</v>
      </c>
      <c r="F1237" s="40" t="s">
        <v>53</v>
      </c>
      <c r="G1237" s="40" t="s">
        <v>54</v>
      </c>
      <c r="H1237" s="9">
        <v>3.9</v>
      </c>
      <c r="I1237" s="13">
        <v>75.0</v>
      </c>
      <c r="J1237" s="13">
        <v>79.0</v>
      </c>
      <c r="K1237" s="17">
        <f t="shared" si="10"/>
        <v>0.7910124757</v>
      </c>
      <c r="L1237" s="9">
        <v>0.0</v>
      </c>
      <c r="O1237" s="9" t="s">
        <v>64</v>
      </c>
      <c r="P1237" s="40" t="s">
        <v>1729</v>
      </c>
      <c r="Q1237" s="9" t="s">
        <v>150</v>
      </c>
      <c r="R1237" s="9" t="s">
        <v>2119</v>
      </c>
      <c r="S1237" s="9" t="s">
        <v>638</v>
      </c>
      <c r="T1237" t="str">
        <f t="shared" si="12"/>
        <v>N</v>
      </c>
      <c r="W1237" s="12" t="str">
        <f t="array" ref="W1237">if(and(L1237=0,Q1237="NA"),"NA",if(L1237=0,"no lice",if(Q1237="NA","no collection",index(sea_lice!G:G,match(C1237,sea_lice!A:A,0)))))</f>
        <v>no lice</v>
      </c>
      <c r="X1237" s="23">
        <v>1236.0</v>
      </c>
    </row>
    <row r="1238">
      <c r="B1238" s="6">
        <v>17252.0</v>
      </c>
      <c r="C1238" s="12" t="str">
        <f t="shared" si="11"/>
        <v>U17252</v>
      </c>
      <c r="D1238" s="14" t="str">
        <f t="array" ref="D1238">iferror(index('2018_ufns'!E:E,match(C1238,'2018_ufns'!B:B,0)))</f>
        <v>P1126</v>
      </c>
      <c r="E1238" s="14">
        <v>43453.0</v>
      </c>
      <c r="F1238" s="40" t="s">
        <v>53</v>
      </c>
      <c r="G1238" s="40" t="s">
        <v>54</v>
      </c>
      <c r="H1238" s="9">
        <v>12.7</v>
      </c>
      <c r="I1238" s="13">
        <v>102.0</v>
      </c>
      <c r="J1238" s="13">
        <v>107.0</v>
      </c>
      <c r="K1238" s="17">
        <f t="shared" si="10"/>
        <v>1.036698304</v>
      </c>
      <c r="L1238" s="9">
        <v>1.0</v>
      </c>
      <c r="O1238" s="9" t="s">
        <v>64</v>
      </c>
      <c r="P1238" s="40" t="s">
        <v>1729</v>
      </c>
      <c r="Q1238" s="9" t="s">
        <v>150</v>
      </c>
      <c r="R1238" s="9" t="s">
        <v>2119</v>
      </c>
      <c r="S1238" s="9" t="s">
        <v>638</v>
      </c>
      <c r="T1238" t="str">
        <f t="shared" si="12"/>
        <v>N</v>
      </c>
      <c r="W1238" s="12" t="str">
        <f t="array" ref="W1238">if(and(L1238=0,Q1238="NA"),"NA",if(L1238=0,"no lice",if(Q1238="NA","no collection",index(sea_lice!G:G,match(C1238,sea_lice!A:A,0)))))</f>
        <v>BSL8-5</v>
      </c>
      <c r="X1238" s="23">
        <v>1237.0</v>
      </c>
    </row>
    <row r="1239">
      <c r="B1239" s="6">
        <v>17255.0</v>
      </c>
      <c r="C1239" s="12" t="str">
        <f t="shared" si="11"/>
        <v>U17255</v>
      </c>
      <c r="D1239" s="14" t="str">
        <f t="array" ref="D1239">iferror(index('2018_ufns'!E:E,match(C1239,'2018_ufns'!B:B,0)))</f>
        <v>P1126</v>
      </c>
      <c r="E1239" s="14">
        <v>43453.0</v>
      </c>
      <c r="F1239" s="40" t="s">
        <v>53</v>
      </c>
      <c r="G1239" s="40" t="s">
        <v>54</v>
      </c>
      <c r="H1239" s="9">
        <v>9.2</v>
      </c>
      <c r="I1239" s="13">
        <v>97.0</v>
      </c>
      <c r="J1239" s="13">
        <v>102.0</v>
      </c>
      <c r="K1239" s="17">
        <f t="shared" si="10"/>
        <v>0.8669365478</v>
      </c>
      <c r="L1239" s="9">
        <v>1.0</v>
      </c>
      <c r="O1239" s="9" t="s">
        <v>64</v>
      </c>
      <c r="P1239" s="40" t="s">
        <v>1729</v>
      </c>
      <c r="Q1239" s="9" t="s">
        <v>150</v>
      </c>
      <c r="R1239" s="9" t="s">
        <v>2119</v>
      </c>
      <c r="S1239" s="9" t="s">
        <v>638</v>
      </c>
      <c r="T1239" t="str">
        <f t="shared" si="12"/>
        <v>N</v>
      </c>
      <c r="W1239" s="12" t="str">
        <f t="array" ref="W1239">if(and(L1239=0,Q1239="NA"),"NA",if(L1239=0,"no lice",if(Q1239="NA","no collection",index(sea_lice!G:G,match(C1239,sea_lice!A:A,0)))))</f>
        <v>BSL8-7</v>
      </c>
      <c r="X1239" s="23">
        <v>1238.0</v>
      </c>
    </row>
    <row r="1240">
      <c r="B1240" s="6">
        <v>17251.0</v>
      </c>
      <c r="C1240" s="12" t="str">
        <f t="shared" si="11"/>
        <v>U17251</v>
      </c>
      <c r="D1240" s="14" t="str">
        <f t="array" ref="D1240">iferror(index('2018_ufns'!E:E,match(C1240,'2018_ufns'!B:B,0)))</f>
        <v>P1126</v>
      </c>
      <c r="E1240" s="14">
        <v>43453.0</v>
      </c>
      <c r="F1240" s="40" t="s">
        <v>53</v>
      </c>
      <c r="G1240" s="40" t="s">
        <v>54</v>
      </c>
      <c r="H1240" s="9">
        <v>8.0</v>
      </c>
      <c r="I1240" s="13">
        <v>94.0</v>
      </c>
      <c r="J1240" s="13">
        <v>98.0</v>
      </c>
      <c r="K1240" s="17">
        <f t="shared" si="10"/>
        <v>0.8499859752</v>
      </c>
      <c r="L1240" s="9">
        <v>0.0</v>
      </c>
      <c r="O1240" s="9" t="s">
        <v>64</v>
      </c>
      <c r="P1240" s="40" t="s">
        <v>1729</v>
      </c>
      <c r="Q1240" s="9" t="s">
        <v>150</v>
      </c>
      <c r="R1240" s="9" t="s">
        <v>2119</v>
      </c>
      <c r="S1240" s="9" t="s">
        <v>638</v>
      </c>
      <c r="T1240" t="str">
        <f t="shared" si="12"/>
        <v>N</v>
      </c>
      <c r="W1240" s="12" t="str">
        <f t="array" ref="W1240">if(and(L1240=0,Q1240="NA"),"NA",if(L1240=0,"no lice",if(Q1240="NA","no collection",index(sea_lice!G:G,match(C1240,sea_lice!A:A,0)))))</f>
        <v>no lice</v>
      </c>
      <c r="X1240" s="23">
        <v>1239.0</v>
      </c>
    </row>
    <row r="1241">
      <c r="B1241" s="6">
        <v>16675.0</v>
      </c>
      <c r="C1241" s="12" t="str">
        <f t="shared" si="11"/>
        <v>U16675</v>
      </c>
      <c r="D1241" s="14" t="str">
        <f t="array" ref="D1241">iferror(index('2018_ufns'!E:E,match(C1241,'2018_ufns'!B:B,0)))</f>
        <v>P1068</v>
      </c>
      <c r="E1241" s="14">
        <v>43453.0</v>
      </c>
      <c r="F1241" s="40" t="s">
        <v>53</v>
      </c>
      <c r="G1241" s="40" t="s">
        <v>54</v>
      </c>
      <c r="H1241" s="9">
        <v>17.1</v>
      </c>
      <c r="I1241" s="13">
        <v>113.0</v>
      </c>
      <c r="J1241" s="13">
        <v>118.0</v>
      </c>
      <c r="K1241" s="17">
        <f t="shared" si="10"/>
        <v>1.040758792</v>
      </c>
      <c r="L1241" s="9">
        <v>0.0</v>
      </c>
      <c r="O1241" s="9" t="s">
        <v>64</v>
      </c>
      <c r="P1241" s="40" t="s">
        <v>1729</v>
      </c>
      <c r="Q1241" s="9" t="s">
        <v>150</v>
      </c>
      <c r="R1241" s="9" t="s">
        <v>2119</v>
      </c>
      <c r="S1241" s="9" t="s">
        <v>638</v>
      </c>
      <c r="T1241" t="str">
        <f t="shared" si="12"/>
        <v>N</v>
      </c>
      <c r="W1241" s="12" t="str">
        <f t="array" ref="W1241">if(and(L1241=0,Q1241="NA"),"NA",if(L1241=0,"no lice",if(Q1241="NA","no collection",index(sea_lice!G:G,match(C1241,sea_lice!A:A,0)))))</f>
        <v>no lice</v>
      </c>
      <c r="X1241" s="23">
        <v>1240.0</v>
      </c>
    </row>
    <row r="1242">
      <c r="B1242" s="6">
        <v>16677.0</v>
      </c>
      <c r="C1242" s="12" t="str">
        <f t="shared" si="11"/>
        <v>U16677</v>
      </c>
      <c r="D1242" s="14" t="str">
        <f t="array" ref="D1242">iferror(index('2018_ufns'!E:E,match(C1242,'2018_ufns'!B:B,0)))</f>
        <v>P1068</v>
      </c>
      <c r="E1242" s="14">
        <v>43453.0</v>
      </c>
      <c r="F1242" s="40" t="s">
        <v>53</v>
      </c>
      <c r="G1242" s="40" t="s">
        <v>54</v>
      </c>
      <c r="H1242" s="9">
        <v>19.9</v>
      </c>
      <c r="I1242" s="13">
        <v>118.0</v>
      </c>
      <c r="J1242" s="13">
        <v>123.0</v>
      </c>
      <c r="K1242" s="17">
        <f t="shared" si="10"/>
        <v>1.069393998</v>
      </c>
      <c r="L1242" s="9">
        <v>1.0</v>
      </c>
      <c r="O1242" s="9" t="s">
        <v>64</v>
      </c>
      <c r="P1242" s="40" t="s">
        <v>1729</v>
      </c>
      <c r="Q1242" s="9" t="s">
        <v>150</v>
      </c>
      <c r="R1242" s="9" t="s">
        <v>2119</v>
      </c>
      <c r="S1242" s="9" t="s">
        <v>638</v>
      </c>
      <c r="T1242" t="str">
        <f t="shared" si="12"/>
        <v>N</v>
      </c>
      <c r="W1242" s="12" t="str">
        <f t="array" ref="W1242">if(and(L1242=0,Q1242="NA"),"NA",if(L1242=0,"no lice",if(Q1242="NA","no collection",index(sea_lice!G:G,match(C1242,sea_lice!A:A,0)))))</f>
        <v>BSL8-12</v>
      </c>
      <c r="X1242" s="23">
        <v>1241.0</v>
      </c>
    </row>
    <row r="1243">
      <c r="B1243" s="6">
        <v>16673.0</v>
      </c>
      <c r="C1243" s="12" t="str">
        <f t="shared" si="11"/>
        <v>U16673</v>
      </c>
      <c r="D1243" s="14" t="str">
        <f t="array" ref="D1243">iferror(index('2018_ufns'!E:E,match(C1243,'2018_ufns'!B:B,0)))</f>
        <v>P1068</v>
      </c>
      <c r="E1243" s="14">
        <v>43453.0</v>
      </c>
      <c r="F1243" s="40" t="s">
        <v>53</v>
      </c>
      <c r="G1243" s="40" t="s">
        <v>54</v>
      </c>
      <c r="H1243" s="9">
        <v>17.1</v>
      </c>
      <c r="I1243" s="13">
        <v>112.0</v>
      </c>
      <c r="J1243" s="13">
        <v>116.0</v>
      </c>
      <c r="K1243" s="17">
        <f t="shared" si="10"/>
        <v>1.095524622</v>
      </c>
      <c r="L1243" s="9">
        <v>0.0</v>
      </c>
      <c r="O1243" s="9" t="s">
        <v>64</v>
      </c>
      <c r="P1243" s="40" t="s">
        <v>1729</v>
      </c>
      <c r="Q1243" s="9" t="s">
        <v>150</v>
      </c>
      <c r="R1243" s="9" t="s">
        <v>2119</v>
      </c>
      <c r="S1243" s="9" t="s">
        <v>638</v>
      </c>
      <c r="T1243" t="str">
        <f t="shared" si="12"/>
        <v>N</v>
      </c>
      <c r="W1243" s="12" t="str">
        <f t="array" ref="W1243">if(and(L1243=0,Q1243="NA"),"NA",if(L1243=0,"no lice",if(Q1243="NA","no collection",index(sea_lice!G:G,match(C1243,sea_lice!A:A,0)))))</f>
        <v>no lice</v>
      </c>
      <c r="X1243" s="23">
        <v>1242.0</v>
      </c>
    </row>
    <row r="1244">
      <c r="B1244" s="6">
        <v>16671.0</v>
      </c>
      <c r="C1244" s="12" t="str">
        <f t="shared" si="11"/>
        <v>U16671</v>
      </c>
      <c r="D1244" s="14" t="str">
        <f t="array" ref="D1244">iferror(index('2018_ufns'!E:E,match(C1244,'2018_ufns'!B:B,0)))</f>
        <v>P1068</v>
      </c>
      <c r="E1244" s="14">
        <v>43453.0</v>
      </c>
      <c r="F1244" s="40" t="s">
        <v>53</v>
      </c>
      <c r="G1244" s="40" t="s">
        <v>54</v>
      </c>
      <c r="H1244" s="9">
        <v>15.8</v>
      </c>
      <c r="I1244" s="13">
        <v>113.0</v>
      </c>
      <c r="J1244" s="13">
        <v>118.0</v>
      </c>
      <c r="K1244" s="17">
        <f t="shared" si="10"/>
        <v>0.9616367788</v>
      </c>
      <c r="L1244" s="9">
        <v>0.0</v>
      </c>
      <c r="O1244" s="9" t="s">
        <v>64</v>
      </c>
      <c r="P1244" s="40" t="s">
        <v>1729</v>
      </c>
      <c r="Q1244" s="9" t="s">
        <v>150</v>
      </c>
      <c r="R1244" s="9" t="s">
        <v>2119</v>
      </c>
      <c r="S1244" s="9" t="s">
        <v>638</v>
      </c>
      <c r="T1244" t="str">
        <f t="shared" si="12"/>
        <v>N</v>
      </c>
      <c r="W1244" s="12" t="str">
        <f t="array" ref="W1244">if(and(L1244=0,Q1244="NA"),"NA",if(L1244=0,"no lice",if(Q1244="NA","no collection",index(sea_lice!G:G,match(C1244,sea_lice!A:A,0)))))</f>
        <v>no lice</v>
      </c>
      <c r="X1244" s="23">
        <v>1243.0</v>
      </c>
    </row>
    <row r="1245">
      <c r="B1245" s="6">
        <v>16679.0</v>
      </c>
      <c r="C1245" s="12" t="str">
        <f t="shared" si="11"/>
        <v>U16679</v>
      </c>
      <c r="D1245" s="14" t="str">
        <f t="array" ref="D1245">iferror(index('2018_ufns'!E:E,match(C1245,'2018_ufns'!B:B,0)))</f>
        <v>P1068</v>
      </c>
      <c r="E1245" s="14">
        <v>43453.0</v>
      </c>
      <c r="F1245" s="40" t="s">
        <v>53</v>
      </c>
      <c r="G1245" s="40" t="s">
        <v>54</v>
      </c>
      <c r="H1245" s="9">
        <v>14.2</v>
      </c>
      <c r="I1245" s="13">
        <v>114.0</v>
      </c>
      <c r="J1245" s="13">
        <v>118.0</v>
      </c>
      <c r="K1245" s="17">
        <f t="shared" si="10"/>
        <v>0.8642558392</v>
      </c>
      <c r="L1245" s="9">
        <v>0.0</v>
      </c>
      <c r="O1245" s="9" t="s">
        <v>64</v>
      </c>
      <c r="P1245" s="40" t="s">
        <v>1729</v>
      </c>
      <c r="Q1245" s="9" t="s">
        <v>150</v>
      </c>
      <c r="R1245" s="9" t="s">
        <v>2119</v>
      </c>
      <c r="S1245" s="9" t="s">
        <v>638</v>
      </c>
      <c r="T1245" t="str">
        <f t="shared" si="12"/>
        <v>N</v>
      </c>
      <c r="W1245" s="12" t="str">
        <f t="array" ref="W1245">if(and(L1245=0,Q1245="NA"),"NA",if(L1245=0,"no lice",if(Q1245="NA","no collection",index(sea_lice!G:G,match(C1245,sea_lice!A:A,0)))))</f>
        <v>no lice</v>
      </c>
      <c r="X1245" s="23">
        <v>1244.0</v>
      </c>
    </row>
    <row r="1246">
      <c r="B1246" s="6">
        <v>16680.0</v>
      </c>
      <c r="C1246" s="12" t="str">
        <f t="shared" si="11"/>
        <v>U16680</v>
      </c>
      <c r="D1246" s="14" t="str">
        <f t="array" ref="D1246">iferror(index('2018_ufns'!E:E,match(C1246,'2018_ufns'!B:B,0)))</f>
        <v>P1068</v>
      </c>
      <c r="E1246" s="14">
        <v>43453.0</v>
      </c>
      <c r="F1246" s="40" t="s">
        <v>53</v>
      </c>
      <c r="G1246" s="40" t="s">
        <v>54</v>
      </c>
      <c r="H1246" s="9">
        <v>18.9</v>
      </c>
      <c r="I1246" s="13">
        <v>115.0</v>
      </c>
      <c r="J1246" s="13">
        <v>120.0</v>
      </c>
      <c r="K1246" s="17">
        <f t="shared" si="10"/>
        <v>1.09375</v>
      </c>
      <c r="L1246" s="9">
        <v>0.0</v>
      </c>
      <c r="O1246" s="9" t="s">
        <v>64</v>
      </c>
      <c r="P1246" s="40" t="s">
        <v>1729</v>
      </c>
      <c r="Q1246" s="9" t="s">
        <v>150</v>
      </c>
      <c r="R1246" s="9" t="s">
        <v>2119</v>
      </c>
      <c r="S1246" s="9" t="s">
        <v>638</v>
      </c>
      <c r="T1246" t="str">
        <f t="shared" si="12"/>
        <v>N</v>
      </c>
      <c r="W1246" s="12" t="str">
        <f t="array" ref="W1246">if(and(L1246=0,Q1246="NA"),"NA",if(L1246=0,"no lice",if(Q1246="NA","no collection",index(sea_lice!G:G,match(C1246,sea_lice!A:A,0)))))</f>
        <v>no lice</v>
      </c>
      <c r="X1246" s="23">
        <v>1245.0</v>
      </c>
    </row>
    <row r="1247">
      <c r="B1247" s="6">
        <v>16674.0</v>
      </c>
      <c r="C1247" s="12" t="str">
        <f t="shared" si="11"/>
        <v>U16674</v>
      </c>
      <c r="D1247" s="14" t="str">
        <f t="array" ref="D1247">iferror(index('2018_ufns'!E:E,match(C1247,'2018_ufns'!B:B,0)))</f>
        <v>P1068</v>
      </c>
      <c r="E1247" s="14">
        <v>43453.0</v>
      </c>
      <c r="F1247" s="40" t="s">
        <v>53</v>
      </c>
      <c r="G1247" s="40" t="s">
        <v>54</v>
      </c>
      <c r="H1247" s="9">
        <v>15.5</v>
      </c>
      <c r="I1247" s="13">
        <v>114.0</v>
      </c>
      <c r="J1247" s="13">
        <v>119.0</v>
      </c>
      <c r="K1247" s="17">
        <f t="shared" si="10"/>
        <v>0.919794512</v>
      </c>
      <c r="L1247" s="9">
        <v>0.0</v>
      </c>
      <c r="O1247" s="9" t="s">
        <v>64</v>
      </c>
      <c r="P1247" s="40" t="s">
        <v>1729</v>
      </c>
      <c r="Q1247" s="9" t="s">
        <v>150</v>
      </c>
      <c r="R1247" s="9" t="s">
        <v>2119</v>
      </c>
      <c r="S1247" s="9" t="s">
        <v>638</v>
      </c>
      <c r="T1247" t="str">
        <f t="shared" si="12"/>
        <v>N</v>
      </c>
      <c r="W1247" s="12" t="str">
        <f t="array" ref="W1247">if(and(L1247=0,Q1247="NA"),"NA",if(L1247=0,"no lice",if(Q1247="NA","no collection",index(sea_lice!G:G,match(C1247,sea_lice!A:A,0)))))</f>
        <v>no lice</v>
      </c>
      <c r="X1247" s="23">
        <v>1246.0</v>
      </c>
    </row>
    <row r="1248">
      <c r="B1248" s="6">
        <v>16676.0</v>
      </c>
      <c r="C1248" s="12" t="str">
        <f t="shared" si="11"/>
        <v>U16676</v>
      </c>
      <c r="D1248" s="14" t="str">
        <f t="array" ref="D1248">iferror(index('2018_ufns'!E:E,match(C1248,'2018_ufns'!B:B,0)))</f>
        <v>P1068</v>
      </c>
      <c r="E1248" s="14">
        <v>43453.0</v>
      </c>
      <c r="F1248" s="40" t="s">
        <v>53</v>
      </c>
      <c r="G1248" s="40" t="s">
        <v>54</v>
      </c>
      <c r="H1248" s="9">
        <v>18.6</v>
      </c>
      <c r="I1248" s="13">
        <v>119.0</v>
      </c>
      <c r="J1248" s="13">
        <v>124.0</v>
      </c>
      <c r="K1248" s="17">
        <f t="shared" si="10"/>
        <v>0.9755463059</v>
      </c>
      <c r="L1248" s="9">
        <v>1.0</v>
      </c>
      <c r="O1248" s="9" t="s">
        <v>64</v>
      </c>
      <c r="P1248" s="40" t="s">
        <v>1729</v>
      </c>
      <c r="Q1248" s="9" t="s">
        <v>150</v>
      </c>
      <c r="R1248" s="9" t="s">
        <v>2119</v>
      </c>
      <c r="S1248" s="9" t="s">
        <v>638</v>
      </c>
      <c r="T1248" t="str">
        <f t="shared" si="12"/>
        <v>N</v>
      </c>
      <c r="W1248" s="12" t="str">
        <f t="array" ref="W1248">if(and(L1248=0,Q1248="NA"),"NA",if(L1248=0,"no lice",if(Q1248="NA","no collection",index(sea_lice!G:G,match(C1248,sea_lice!A:A,0)))))</f>
        <v>BSL8-14</v>
      </c>
      <c r="X1248" s="23">
        <v>1247.0</v>
      </c>
    </row>
    <row r="1249">
      <c r="B1249" s="6">
        <v>16678.0</v>
      </c>
      <c r="C1249" s="12" t="str">
        <f t="shared" si="11"/>
        <v>U16678</v>
      </c>
      <c r="D1249" s="14" t="str">
        <f t="array" ref="D1249">iferror(index('2018_ufns'!E:E,match(C1249,'2018_ufns'!B:B,0)))</f>
        <v>P1068</v>
      </c>
      <c r="E1249" s="14">
        <v>43453.0</v>
      </c>
      <c r="F1249" s="40" t="s">
        <v>53</v>
      </c>
      <c r="G1249" s="40" t="s">
        <v>54</v>
      </c>
      <c r="H1249" s="9">
        <v>13.3</v>
      </c>
      <c r="I1249" s="13">
        <v>104.0</v>
      </c>
      <c r="J1249" s="13" t="s">
        <v>63</v>
      </c>
      <c r="K1249" s="17" t="str">
        <f t="shared" si="10"/>
        <v/>
      </c>
      <c r="L1249" s="9">
        <v>0.0</v>
      </c>
      <c r="O1249" s="9" t="s">
        <v>64</v>
      </c>
      <c r="P1249" s="40" t="s">
        <v>1729</v>
      </c>
      <c r="Q1249" s="9" t="s">
        <v>150</v>
      </c>
      <c r="R1249" s="9" t="s">
        <v>2119</v>
      </c>
      <c r="S1249" s="9" t="s">
        <v>638</v>
      </c>
      <c r="T1249" t="str">
        <f t="shared" si="12"/>
        <v>N</v>
      </c>
      <c r="W1249" s="12" t="str">
        <f t="array" ref="W1249">if(and(L1249=0,Q1249="NA"),"NA",if(L1249=0,"no lice",if(Q1249="NA","no collection",index(sea_lice!G:G,match(C1249,sea_lice!A:A,0)))))</f>
        <v>no lice</v>
      </c>
      <c r="X1249" s="23">
        <v>1248.0</v>
      </c>
    </row>
    <row r="1250">
      <c r="B1250" s="6">
        <v>16672.0</v>
      </c>
      <c r="C1250" s="12" t="str">
        <f t="shared" si="11"/>
        <v>U16672</v>
      </c>
      <c r="D1250" s="14" t="str">
        <f t="array" ref="D1250">iferror(index('2018_ufns'!E:E,match(C1250,'2018_ufns'!B:B,0)))</f>
        <v>P1068</v>
      </c>
      <c r="E1250" s="14">
        <v>43453.0</v>
      </c>
      <c r="F1250" s="40" t="s">
        <v>53</v>
      </c>
      <c r="G1250" s="40" t="s">
        <v>54</v>
      </c>
      <c r="H1250" s="9">
        <v>18.0</v>
      </c>
      <c r="I1250" s="13">
        <v>119.0</v>
      </c>
      <c r="J1250" s="13">
        <v>124.0</v>
      </c>
      <c r="K1250" s="17">
        <f t="shared" si="10"/>
        <v>0.9440770703</v>
      </c>
      <c r="L1250" s="9">
        <v>1.0</v>
      </c>
      <c r="O1250" s="9" t="s">
        <v>64</v>
      </c>
      <c r="P1250" s="40" t="s">
        <v>1729</v>
      </c>
      <c r="Q1250" s="9" t="s">
        <v>150</v>
      </c>
      <c r="R1250" s="9" t="s">
        <v>2119</v>
      </c>
      <c r="S1250" s="9" t="s">
        <v>638</v>
      </c>
      <c r="T1250" t="str">
        <f t="shared" si="12"/>
        <v>N</v>
      </c>
      <c r="W1250" s="12" t="str">
        <f t="array" ref="W1250">if(and(L1250=0,Q1250="NA"),"NA",if(L1250=0,"no lice",if(Q1250="NA","no collection",index(sea_lice!G:G,match(C1250,sea_lice!A:A,0)))))</f>
        <v>BSL8-15</v>
      </c>
      <c r="X1250" s="23">
        <v>1249.0</v>
      </c>
    </row>
    <row r="1251">
      <c r="B1251" s="6">
        <v>17254.0</v>
      </c>
      <c r="C1251" s="12" t="str">
        <f t="shared" si="11"/>
        <v>U17254</v>
      </c>
      <c r="D1251" s="14" t="str">
        <f t="array" ref="D1251">iferror(index('2018_ufns'!E:E,match(C1251,'2018_ufns'!B:B,0)))</f>
        <v>P1126</v>
      </c>
      <c r="E1251" s="14">
        <v>43453.0</v>
      </c>
      <c r="F1251" s="40" t="s">
        <v>53</v>
      </c>
      <c r="G1251" s="40" t="s">
        <v>54</v>
      </c>
      <c r="H1251" s="9">
        <v>26.1</v>
      </c>
      <c r="I1251" s="13">
        <v>132.0</v>
      </c>
      <c r="J1251" s="13">
        <v>137.0</v>
      </c>
      <c r="K1251" s="17">
        <f t="shared" si="10"/>
        <v>1.015029831</v>
      </c>
      <c r="L1251" s="9">
        <v>1.0</v>
      </c>
      <c r="O1251" s="9" t="s">
        <v>64</v>
      </c>
      <c r="P1251" s="40" t="s">
        <v>1729</v>
      </c>
      <c r="Q1251" s="9" t="s">
        <v>150</v>
      </c>
      <c r="R1251" s="9" t="s">
        <v>2119</v>
      </c>
      <c r="S1251" s="9" t="s">
        <v>638</v>
      </c>
      <c r="T1251" t="str">
        <f t="shared" si="12"/>
        <v>N</v>
      </c>
      <c r="W1251" s="12" t="str">
        <f t="array" ref="W1251">if(and(L1251=0,Q1251="NA"),"NA",if(L1251=0,"no lice",if(Q1251="NA","no collection",index(sea_lice!G:G,match(C1251,sea_lice!A:A,0)))))</f>
        <v>BSL8-16</v>
      </c>
      <c r="X1251" s="23">
        <v>1250.0</v>
      </c>
    </row>
    <row r="1252">
      <c r="B1252" s="6">
        <v>17103.0</v>
      </c>
      <c r="C1252" s="12" t="str">
        <f t="shared" si="11"/>
        <v>U17103</v>
      </c>
      <c r="D1252" s="14" t="str">
        <f t="array" ref="D1252">iferror(index('2018_ufns'!E:E,match(C1252,'2018_ufns'!B:B,0)))</f>
        <v>P1111</v>
      </c>
      <c r="E1252" s="14">
        <v>43454.0</v>
      </c>
      <c r="F1252" s="40" t="s">
        <v>53</v>
      </c>
      <c r="G1252" s="40" t="s">
        <v>54</v>
      </c>
      <c r="H1252" s="9">
        <v>12.0</v>
      </c>
      <c r="I1252" s="13">
        <v>106.0</v>
      </c>
      <c r="J1252" s="13">
        <v>110.0</v>
      </c>
      <c r="K1252" s="17">
        <f t="shared" si="10"/>
        <v>0.9015777611</v>
      </c>
      <c r="L1252" s="9">
        <v>0.0</v>
      </c>
      <c r="O1252" s="9" t="s">
        <v>638</v>
      </c>
      <c r="P1252" s="40" t="s">
        <v>1729</v>
      </c>
      <c r="Q1252" s="9" t="s">
        <v>62</v>
      </c>
      <c r="R1252" s="9" t="s">
        <v>2119</v>
      </c>
      <c r="S1252" s="9" t="s">
        <v>64</v>
      </c>
      <c r="T1252" t="str">
        <f t="shared" si="12"/>
        <v>N</v>
      </c>
      <c r="W1252" s="12" t="str">
        <f t="array" ref="W1252">if(and(L1252=0,Q1252="NA"),"NA",if(L1252=0,"no lice",if(Q1252="NA","no collection",index(sea_lice!G:G,match(C1252,sea_lice!A:A,0)))))</f>
        <v>no lice</v>
      </c>
      <c r="X1252" s="23">
        <v>1251.0</v>
      </c>
    </row>
    <row r="1253">
      <c r="B1253" s="6">
        <v>17101.0</v>
      </c>
      <c r="C1253" s="12" t="str">
        <f t="shared" si="11"/>
        <v>U17101</v>
      </c>
      <c r="D1253" s="14" t="str">
        <f t="array" ref="D1253">iferror(index('2018_ufns'!E:E,match(C1253,'2018_ufns'!B:B,0)))</f>
        <v>P1111</v>
      </c>
      <c r="E1253" s="14">
        <v>43454.0</v>
      </c>
      <c r="F1253" s="40" t="s">
        <v>53</v>
      </c>
      <c r="G1253" s="40" t="s">
        <v>54</v>
      </c>
      <c r="H1253" s="9">
        <v>7.1</v>
      </c>
      <c r="I1253" s="13">
        <v>89.0</v>
      </c>
      <c r="J1253" s="13">
        <v>94.0</v>
      </c>
      <c r="K1253" s="17">
        <f t="shared" si="10"/>
        <v>0.8548202229</v>
      </c>
      <c r="L1253" s="9">
        <v>0.0</v>
      </c>
      <c r="O1253" s="9" t="s">
        <v>638</v>
      </c>
      <c r="P1253" s="40" t="s">
        <v>1729</v>
      </c>
      <c r="Q1253" s="9" t="s">
        <v>62</v>
      </c>
      <c r="R1253" s="9" t="s">
        <v>2119</v>
      </c>
      <c r="S1253" s="9" t="s">
        <v>64</v>
      </c>
      <c r="T1253" t="str">
        <f t="shared" si="12"/>
        <v>N</v>
      </c>
      <c r="W1253" s="12" t="str">
        <f t="array" ref="W1253">if(and(L1253=0,Q1253="NA"),"NA",if(L1253=0,"no lice",if(Q1253="NA","no collection",index(sea_lice!G:G,match(C1253,sea_lice!A:A,0)))))</f>
        <v>no lice</v>
      </c>
      <c r="X1253" s="23">
        <v>1252.0</v>
      </c>
    </row>
    <row r="1254">
      <c r="B1254" s="6">
        <v>17106.0</v>
      </c>
      <c r="C1254" s="12" t="str">
        <f t="shared" si="11"/>
        <v>U17106</v>
      </c>
      <c r="D1254" s="14" t="str">
        <f t="array" ref="D1254">iferror(index('2018_ufns'!E:E,match(C1254,'2018_ufns'!B:B,0)))</f>
        <v>P1111</v>
      </c>
      <c r="E1254" s="14">
        <v>43454.0</v>
      </c>
      <c r="F1254" s="40" t="s">
        <v>53</v>
      </c>
      <c r="G1254" s="40" t="s">
        <v>54</v>
      </c>
      <c r="H1254" s="9">
        <v>7.8</v>
      </c>
      <c r="I1254" s="13">
        <v>93.0</v>
      </c>
      <c r="J1254" s="13">
        <v>97.0</v>
      </c>
      <c r="K1254" s="17">
        <f t="shared" si="10"/>
        <v>0.8546324916</v>
      </c>
      <c r="L1254" s="9">
        <v>1.0</v>
      </c>
      <c r="O1254" s="9" t="s">
        <v>638</v>
      </c>
      <c r="P1254" s="40" t="s">
        <v>1729</v>
      </c>
      <c r="Q1254" s="9" t="s">
        <v>62</v>
      </c>
      <c r="R1254" s="9" t="s">
        <v>2119</v>
      </c>
      <c r="S1254" s="9" t="s">
        <v>64</v>
      </c>
      <c r="T1254" t="str">
        <f t="shared" si="12"/>
        <v>N</v>
      </c>
      <c r="W1254" s="12" t="str">
        <f t="array" ref="W1254">if(and(L1254=0,Q1254="NA"),"NA",if(L1254=0,"no lice",if(Q1254="NA","no collection",index(sea_lice!G:G,match(C1254,sea_lice!A:A,0)))))</f>
        <v>BSL2-80</v>
      </c>
      <c r="X1254" s="23">
        <v>1253.0</v>
      </c>
    </row>
    <row r="1255">
      <c r="B1255" s="6">
        <v>17104.0</v>
      </c>
      <c r="C1255" s="12" t="str">
        <f t="shared" si="11"/>
        <v>U17104</v>
      </c>
      <c r="D1255" s="14" t="str">
        <f t="array" ref="D1255">iferror(index('2018_ufns'!E:E,match(C1255,'2018_ufns'!B:B,0)))</f>
        <v>P1111</v>
      </c>
      <c r="E1255" s="14">
        <v>43454.0</v>
      </c>
      <c r="F1255" s="40" t="s">
        <v>53</v>
      </c>
      <c r="G1255" s="40" t="s">
        <v>54</v>
      </c>
      <c r="H1255" s="9">
        <v>7.2</v>
      </c>
      <c r="I1255" s="13">
        <v>89.0</v>
      </c>
      <c r="J1255" s="13">
        <v>95.0</v>
      </c>
      <c r="K1255" s="17">
        <f t="shared" si="10"/>
        <v>0.8397725616</v>
      </c>
      <c r="L1255" s="9">
        <v>0.0</v>
      </c>
      <c r="O1255" s="9" t="s">
        <v>638</v>
      </c>
      <c r="P1255" s="40" t="s">
        <v>1729</v>
      </c>
      <c r="Q1255" s="9" t="s">
        <v>62</v>
      </c>
      <c r="R1255" s="9" t="s">
        <v>2119</v>
      </c>
      <c r="S1255" s="9" t="s">
        <v>64</v>
      </c>
      <c r="T1255" t="str">
        <f t="shared" si="12"/>
        <v>N</v>
      </c>
      <c r="W1255" s="12" t="str">
        <f t="array" ref="W1255">if(and(L1255=0,Q1255="NA"),"NA",if(L1255=0,"no lice",if(Q1255="NA","no collection",index(sea_lice!G:G,match(C1255,sea_lice!A:A,0)))))</f>
        <v>no lice</v>
      </c>
      <c r="X1255" s="23">
        <v>1254.0</v>
      </c>
    </row>
    <row r="1256">
      <c r="B1256" s="6">
        <v>17105.0</v>
      </c>
      <c r="C1256" s="12" t="str">
        <f t="shared" si="11"/>
        <v>U17105</v>
      </c>
      <c r="D1256" s="14" t="str">
        <f t="array" ref="D1256">iferror(index('2018_ufns'!E:E,match(C1256,'2018_ufns'!B:B,0)))</f>
        <v>P1111</v>
      </c>
      <c r="E1256" s="14">
        <v>43454.0</v>
      </c>
      <c r="F1256" s="40" t="s">
        <v>53</v>
      </c>
      <c r="G1256" s="40" t="s">
        <v>54</v>
      </c>
      <c r="H1256" s="9">
        <v>8.5</v>
      </c>
      <c r="I1256" s="13">
        <v>97.0</v>
      </c>
      <c r="J1256" s="13">
        <v>101.0</v>
      </c>
      <c r="K1256" s="17">
        <f t="shared" si="10"/>
        <v>0.8250016257</v>
      </c>
      <c r="L1256" s="9">
        <v>0.0</v>
      </c>
      <c r="O1256" s="9" t="s">
        <v>638</v>
      </c>
      <c r="P1256" s="40" t="s">
        <v>1729</v>
      </c>
      <c r="Q1256" s="9" t="s">
        <v>62</v>
      </c>
      <c r="R1256" s="9" t="s">
        <v>2119</v>
      </c>
      <c r="S1256" s="9" t="s">
        <v>64</v>
      </c>
      <c r="T1256" t="str">
        <f t="shared" si="12"/>
        <v>N</v>
      </c>
      <c r="W1256" s="12" t="str">
        <f t="array" ref="W1256">if(and(L1256=0,Q1256="NA"),"NA",if(L1256=0,"no lice",if(Q1256="NA","no collection",index(sea_lice!G:G,match(C1256,sea_lice!A:A,0)))))</f>
        <v>no lice</v>
      </c>
      <c r="X1256" s="23">
        <v>1255.0</v>
      </c>
    </row>
    <row r="1257">
      <c r="B1257" s="6">
        <v>17109.0</v>
      </c>
      <c r="C1257" s="12" t="str">
        <f t="shared" si="11"/>
        <v>U17109</v>
      </c>
      <c r="D1257" s="14" t="str">
        <f t="array" ref="D1257">iferror(index('2018_ufns'!E:E,match(C1257,'2018_ufns'!B:B,0)))</f>
        <v>P1111</v>
      </c>
      <c r="E1257" s="14">
        <v>43454.0</v>
      </c>
      <c r="F1257" s="40" t="s">
        <v>53</v>
      </c>
      <c r="G1257" s="40" t="s">
        <v>54</v>
      </c>
      <c r="H1257" s="9">
        <v>7.3</v>
      </c>
      <c r="I1257" s="13">
        <v>93.0</v>
      </c>
      <c r="J1257" s="13">
        <v>98.0</v>
      </c>
      <c r="K1257" s="17">
        <f t="shared" si="10"/>
        <v>0.7756122024</v>
      </c>
      <c r="L1257" s="9">
        <v>0.0</v>
      </c>
      <c r="O1257" s="9" t="s">
        <v>638</v>
      </c>
      <c r="P1257" s="40" t="s">
        <v>1729</v>
      </c>
      <c r="Q1257" s="9" t="s">
        <v>62</v>
      </c>
      <c r="R1257" s="9" t="s">
        <v>2119</v>
      </c>
      <c r="S1257" s="9" t="s">
        <v>64</v>
      </c>
      <c r="T1257" t="str">
        <f t="shared" si="12"/>
        <v>N</v>
      </c>
      <c r="W1257" s="12" t="str">
        <f t="array" ref="W1257">if(and(L1257=0,Q1257="NA"),"NA",if(L1257=0,"no lice",if(Q1257="NA","no collection",index(sea_lice!G:G,match(C1257,sea_lice!A:A,0)))))</f>
        <v>no lice</v>
      </c>
      <c r="X1257" s="23">
        <v>1256.0</v>
      </c>
    </row>
    <row r="1258">
      <c r="B1258" s="6">
        <v>17110.0</v>
      </c>
      <c r="C1258" s="12" t="str">
        <f t="shared" si="11"/>
        <v>U17110</v>
      </c>
      <c r="D1258" s="14" t="str">
        <f t="array" ref="D1258">iferror(index('2018_ufns'!E:E,match(C1258,'2018_ufns'!B:B,0)))</f>
        <v>P1111</v>
      </c>
      <c r="E1258" s="14">
        <v>43454.0</v>
      </c>
      <c r="F1258" s="40" t="s">
        <v>53</v>
      </c>
      <c r="G1258" s="40" t="s">
        <v>54</v>
      </c>
      <c r="H1258" s="9">
        <v>8.8</v>
      </c>
      <c r="I1258" s="13">
        <v>96.0</v>
      </c>
      <c r="J1258" s="13">
        <v>100.0</v>
      </c>
      <c r="K1258" s="17">
        <f t="shared" si="10"/>
        <v>0.88</v>
      </c>
      <c r="L1258" s="9">
        <v>1.0</v>
      </c>
      <c r="O1258" s="9" t="s">
        <v>638</v>
      </c>
      <c r="P1258" s="40" t="s">
        <v>1729</v>
      </c>
      <c r="Q1258" s="9" t="s">
        <v>62</v>
      </c>
      <c r="R1258" s="9" t="s">
        <v>2119</v>
      </c>
      <c r="S1258" s="9" t="s">
        <v>64</v>
      </c>
      <c r="T1258" t="str">
        <f t="shared" si="12"/>
        <v>N</v>
      </c>
      <c r="W1258" s="12" t="str">
        <f t="array" ref="W1258">if(and(L1258=0,Q1258="NA"),"NA",if(L1258=0,"no lice",if(Q1258="NA","no collection",index(sea_lice!G:G,match(C1258,sea_lice!A:A,0)))))</f>
        <v>BSL2-81</v>
      </c>
      <c r="X1258" s="23">
        <v>1257.0</v>
      </c>
    </row>
    <row r="1259">
      <c r="B1259" s="6">
        <v>17108.0</v>
      </c>
      <c r="C1259" s="12" t="str">
        <f t="shared" si="11"/>
        <v>U17108</v>
      </c>
      <c r="D1259" s="14" t="str">
        <f t="array" ref="D1259">iferror(index('2018_ufns'!E:E,match(C1259,'2018_ufns'!B:B,0)))</f>
        <v>P1111</v>
      </c>
      <c r="E1259" s="14">
        <v>43454.0</v>
      </c>
      <c r="F1259" s="40" t="s">
        <v>53</v>
      </c>
      <c r="G1259" s="40" t="s">
        <v>54</v>
      </c>
      <c r="H1259" s="9">
        <v>8.8</v>
      </c>
      <c r="I1259" s="13">
        <v>98.0</v>
      </c>
      <c r="J1259" s="13">
        <v>103.0</v>
      </c>
      <c r="K1259" s="17">
        <f t="shared" si="10"/>
        <v>0.8053246602</v>
      </c>
      <c r="L1259" s="9">
        <v>0.0</v>
      </c>
      <c r="O1259" s="9" t="s">
        <v>638</v>
      </c>
      <c r="P1259" s="40" t="s">
        <v>1729</v>
      </c>
      <c r="Q1259" s="9" t="s">
        <v>62</v>
      </c>
      <c r="R1259" s="9" t="s">
        <v>2119</v>
      </c>
      <c r="S1259" s="9" t="s">
        <v>64</v>
      </c>
      <c r="T1259" t="str">
        <f t="shared" si="12"/>
        <v>N</v>
      </c>
      <c r="W1259" s="12" t="str">
        <f t="array" ref="W1259">if(and(L1259=0,Q1259="NA"),"NA",if(L1259=0,"no lice",if(Q1259="NA","no collection",index(sea_lice!G:G,match(C1259,sea_lice!A:A,0)))))</f>
        <v>no lice</v>
      </c>
      <c r="X1259" s="23">
        <v>1258.0</v>
      </c>
    </row>
    <row r="1260">
      <c r="B1260" s="6">
        <v>16415.0</v>
      </c>
      <c r="C1260" s="12" t="str">
        <f t="shared" si="11"/>
        <v>U16415</v>
      </c>
      <c r="D1260" s="14" t="str">
        <f t="array" ref="D1260">iferror(index('2018_ufns'!E:E,match(C1260,'2018_ufns'!B:B,0)))</f>
        <v>P1042</v>
      </c>
      <c r="E1260" s="14">
        <v>43473.0</v>
      </c>
      <c r="F1260" s="40" t="s">
        <v>53</v>
      </c>
      <c r="G1260" s="40" t="s">
        <v>54</v>
      </c>
      <c r="H1260" s="9">
        <v>4.2</v>
      </c>
      <c r="I1260" s="13">
        <v>80.0</v>
      </c>
      <c r="J1260" s="13" t="s">
        <v>63</v>
      </c>
      <c r="K1260" s="17" t="str">
        <f t="shared" si="10"/>
        <v/>
      </c>
      <c r="L1260" s="9">
        <v>0.0</v>
      </c>
      <c r="O1260" s="9" t="s">
        <v>638</v>
      </c>
      <c r="P1260" s="40" t="s">
        <v>1729</v>
      </c>
      <c r="Q1260" s="9" t="s">
        <v>62</v>
      </c>
      <c r="R1260" s="9" t="s">
        <v>2119</v>
      </c>
      <c r="S1260" s="9" t="s">
        <v>64</v>
      </c>
      <c r="T1260" t="str">
        <f t="shared" si="12"/>
        <v>N</v>
      </c>
      <c r="W1260" s="12" t="str">
        <f t="array" ref="W1260">if(and(L1260=0,Q1260="NA"),"NA",if(L1260=0,"no lice",if(Q1260="NA","no collection",index(sea_lice!G:G,match(C1260,sea_lice!A:A,0)))))</f>
        <v>no lice</v>
      </c>
      <c r="X1260" s="23">
        <v>1259.0</v>
      </c>
    </row>
    <row r="1261">
      <c r="B1261" s="6">
        <v>16418.0</v>
      </c>
      <c r="C1261" s="12" t="str">
        <f t="shared" si="11"/>
        <v>U16418</v>
      </c>
      <c r="D1261" s="14" t="str">
        <f t="array" ref="D1261">iferror(index('2018_ufns'!E:E,match(C1261,'2018_ufns'!B:B,0)))</f>
        <v>P1042</v>
      </c>
      <c r="E1261" s="14">
        <v>43473.0</v>
      </c>
      <c r="F1261" s="40" t="s">
        <v>53</v>
      </c>
      <c r="G1261" s="40" t="s">
        <v>54</v>
      </c>
      <c r="H1261" s="9">
        <v>6.0</v>
      </c>
      <c r="I1261" s="13">
        <v>87.0</v>
      </c>
      <c r="J1261" s="13">
        <v>90.0</v>
      </c>
      <c r="K1261" s="17">
        <f t="shared" si="10"/>
        <v>0.8230452675</v>
      </c>
      <c r="L1261" s="9">
        <v>0.0</v>
      </c>
      <c r="O1261" s="9" t="s">
        <v>638</v>
      </c>
      <c r="P1261" s="40" t="s">
        <v>1729</v>
      </c>
      <c r="Q1261" s="9" t="s">
        <v>62</v>
      </c>
      <c r="R1261" s="9" t="s">
        <v>2119</v>
      </c>
      <c r="S1261" s="9" t="s">
        <v>64</v>
      </c>
      <c r="T1261" t="str">
        <f t="shared" si="12"/>
        <v>N</v>
      </c>
      <c r="W1261" s="12" t="str">
        <f t="array" ref="W1261">if(and(L1261=0,Q1261="NA"),"NA",if(L1261=0,"no lice",if(Q1261="NA","no collection",index(sea_lice!G:G,match(C1261,sea_lice!A:A,0)))))</f>
        <v>no lice</v>
      </c>
      <c r="X1261" s="23">
        <v>1260.0</v>
      </c>
    </row>
    <row r="1262">
      <c r="B1262" s="6">
        <v>16414.0</v>
      </c>
      <c r="C1262" s="12" t="str">
        <f t="shared" si="11"/>
        <v>U16414</v>
      </c>
      <c r="D1262" s="14" t="str">
        <f t="array" ref="D1262">iferror(index('2018_ufns'!E:E,match(C1262,'2018_ufns'!B:B,0)))</f>
        <v>P1042</v>
      </c>
      <c r="E1262" s="14">
        <v>43473.0</v>
      </c>
      <c r="F1262" s="40" t="s">
        <v>53</v>
      </c>
      <c r="G1262" s="40" t="s">
        <v>54</v>
      </c>
      <c r="H1262" s="9">
        <v>5.0</v>
      </c>
      <c r="I1262" s="13">
        <v>84.0</v>
      </c>
      <c r="J1262" s="13">
        <v>88.0</v>
      </c>
      <c r="K1262" s="17">
        <f t="shared" si="10"/>
        <v>0.7337058603</v>
      </c>
      <c r="L1262" s="9">
        <v>0.0</v>
      </c>
      <c r="O1262" s="9" t="s">
        <v>638</v>
      </c>
      <c r="P1262" s="40" t="s">
        <v>1729</v>
      </c>
      <c r="Q1262" s="9" t="s">
        <v>62</v>
      </c>
      <c r="R1262" s="9" t="s">
        <v>2119</v>
      </c>
      <c r="S1262" s="9" t="s">
        <v>64</v>
      </c>
      <c r="T1262" t="str">
        <f t="shared" si="12"/>
        <v>N</v>
      </c>
      <c r="W1262" s="12" t="str">
        <f t="array" ref="W1262">if(and(L1262=0,Q1262="NA"),"NA",if(L1262=0,"no lice",if(Q1262="NA","no collection",index(sea_lice!G:G,match(C1262,sea_lice!A:A,0)))))</f>
        <v>no lice</v>
      </c>
      <c r="X1262" s="23">
        <v>1261.0</v>
      </c>
    </row>
    <row r="1263">
      <c r="B1263" s="6">
        <v>16412.0</v>
      </c>
      <c r="C1263" s="12" t="str">
        <f t="shared" si="11"/>
        <v>U16412</v>
      </c>
      <c r="D1263" s="14" t="str">
        <f t="array" ref="D1263">iferror(index('2018_ufns'!E:E,match(C1263,'2018_ufns'!B:B,0)))</f>
        <v>P1042</v>
      </c>
      <c r="E1263" s="14">
        <v>43473.0</v>
      </c>
      <c r="F1263" s="40" t="s">
        <v>53</v>
      </c>
      <c r="G1263" s="40" t="s">
        <v>54</v>
      </c>
      <c r="H1263" s="9">
        <v>4.4</v>
      </c>
      <c r="I1263" s="13">
        <v>79.0</v>
      </c>
      <c r="J1263" s="13">
        <v>83.0</v>
      </c>
      <c r="K1263" s="17">
        <f t="shared" si="10"/>
        <v>0.7695173203</v>
      </c>
      <c r="L1263" s="9">
        <v>0.0</v>
      </c>
      <c r="O1263" s="9" t="s">
        <v>638</v>
      </c>
      <c r="P1263" s="40" t="s">
        <v>1729</v>
      </c>
      <c r="Q1263" s="9" t="s">
        <v>62</v>
      </c>
      <c r="R1263" s="9" t="s">
        <v>2119</v>
      </c>
      <c r="S1263" s="9" t="s">
        <v>64</v>
      </c>
      <c r="T1263" t="str">
        <f t="shared" si="12"/>
        <v>N</v>
      </c>
      <c r="W1263" s="12" t="str">
        <f t="array" ref="W1263">if(and(L1263=0,Q1263="NA"),"NA",if(L1263=0,"no lice",if(Q1263="NA","no collection",index(sea_lice!G:G,match(C1263,sea_lice!A:A,0)))))</f>
        <v>no lice</v>
      </c>
      <c r="X1263" s="23">
        <v>1262.0</v>
      </c>
    </row>
    <row r="1264">
      <c r="B1264" s="6">
        <v>16413.0</v>
      </c>
      <c r="C1264" s="12" t="str">
        <f t="shared" si="11"/>
        <v>U16413</v>
      </c>
      <c r="D1264" s="14" t="str">
        <f t="array" ref="D1264">iferror(index('2018_ufns'!E:E,match(C1264,'2018_ufns'!B:B,0)))</f>
        <v>P1042</v>
      </c>
      <c r="E1264" s="14">
        <v>43473.0</v>
      </c>
      <c r="F1264" s="40" t="s">
        <v>53</v>
      </c>
      <c r="G1264" s="40" t="s">
        <v>54</v>
      </c>
      <c r="H1264" s="9">
        <v>7.3</v>
      </c>
      <c r="I1264" s="13">
        <v>90.0</v>
      </c>
      <c r="J1264" s="13">
        <v>95.0</v>
      </c>
      <c r="K1264" s="17">
        <f t="shared" si="10"/>
        <v>0.8514360694</v>
      </c>
      <c r="L1264" s="9">
        <v>0.0</v>
      </c>
      <c r="O1264" s="9" t="s">
        <v>638</v>
      </c>
      <c r="P1264" s="40" t="s">
        <v>1729</v>
      </c>
      <c r="Q1264" s="9" t="s">
        <v>62</v>
      </c>
      <c r="R1264" s="9" t="s">
        <v>2119</v>
      </c>
      <c r="S1264" s="9" t="s">
        <v>64</v>
      </c>
      <c r="T1264" t="str">
        <f t="shared" si="12"/>
        <v>N</v>
      </c>
      <c r="W1264" s="12" t="str">
        <f t="array" ref="W1264">if(and(L1264=0,Q1264="NA"),"NA",if(L1264=0,"no lice",if(Q1264="NA","no collection",index(sea_lice!G:G,match(C1264,sea_lice!A:A,0)))))</f>
        <v>no lice</v>
      </c>
      <c r="X1264" s="23">
        <v>1263.0</v>
      </c>
    </row>
    <row r="1265">
      <c r="B1265" s="6">
        <v>16411.0</v>
      </c>
      <c r="C1265" s="12" t="str">
        <f t="shared" si="11"/>
        <v>U16411</v>
      </c>
      <c r="D1265" s="14" t="str">
        <f t="array" ref="D1265">iferror(index('2018_ufns'!E:E,match(C1265,'2018_ufns'!B:B,0)))</f>
        <v>P1042</v>
      </c>
      <c r="E1265" s="14">
        <v>43473.0</v>
      </c>
      <c r="F1265" s="40" t="s">
        <v>53</v>
      </c>
      <c r="G1265" s="40" t="s">
        <v>54</v>
      </c>
      <c r="H1265" s="9">
        <v>4.4</v>
      </c>
      <c r="I1265" s="13">
        <v>80.0</v>
      </c>
      <c r="J1265" s="13" t="s">
        <v>63</v>
      </c>
      <c r="K1265" s="17" t="str">
        <f t="shared" si="10"/>
        <v/>
      </c>
      <c r="L1265" s="9">
        <v>0.0</v>
      </c>
      <c r="O1265" s="9" t="s">
        <v>638</v>
      </c>
      <c r="P1265" s="40" t="s">
        <v>1729</v>
      </c>
      <c r="Q1265" s="9" t="s">
        <v>62</v>
      </c>
      <c r="R1265" s="9" t="s">
        <v>2119</v>
      </c>
      <c r="S1265" s="9" t="s">
        <v>64</v>
      </c>
      <c r="T1265" t="str">
        <f t="shared" si="12"/>
        <v>N</v>
      </c>
      <c r="W1265" s="12" t="str">
        <f t="array" ref="W1265">if(and(L1265=0,Q1265="NA"),"NA",if(L1265=0,"no lice",if(Q1265="NA","no collection",index(sea_lice!G:G,match(C1265,sea_lice!A:A,0)))))</f>
        <v>no lice</v>
      </c>
      <c r="X1265" s="23">
        <v>1264.0</v>
      </c>
    </row>
    <row r="1266">
      <c r="B1266" s="6">
        <v>16417.0</v>
      </c>
      <c r="C1266" s="12" t="str">
        <f t="shared" si="11"/>
        <v>U16417</v>
      </c>
      <c r="D1266" s="14" t="str">
        <f t="array" ref="D1266">iferror(index('2018_ufns'!E:E,match(C1266,'2018_ufns'!B:B,0)))</f>
        <v>P1042</v>
      </c>
      <c r="E1266" s="14">
        <v>43473.0</v>
      </c>
      <c r="F1266" s="40" t="s">
        <v>53</v>
      </c>
      <c r="G1266" s="40" t="s">
        <v>54</v>
      </c>
      <c r="H1266" s="9">
        <v>6.3</v>
      </c>
      <c r="I1266" s="13">
        <v>90.0</v>
      </c>
      <c r="J1266" s="13">
        <v>94.0</v>
      </c>
      <c r="K1266" s="17">
        <f t="shared" si="10"/>
        <v>0.7585024513</v>
      </c>
      <c r="L1266" s="9">
        <v>0.0</v>
      </c>
      <c r="O1266" s="9" t="s">
        <v>638</v>
      </c>
      <c r="P1266" s="40" t="s">
        <v>1729</v>
      </c>
      <c r="Q1266" s="9" t="s">
        <v>62</v>
      </c>
      <c r="R1266" s="9" t="s">
        <v>2119</v>
      </c>
      <c r="S1266" s="9" t="s">
        <v>64</v>
      </c>
      <c r="T1266" t="str">
        <f t="shared" si="12"/>
        <v>N</v>
      </c>
      <c r="W1266" s="12" t="str">
        <f t="array" ref="W1266">if(and(L1266=0,Q1266="NA"),"NA",if(L1266=0,"no lice",if(Q1266="NA","no collection",index(sea_lice!G:G,match(C1266,sea_lice!A:A,0)))))</f>
        <v>no lice</v>
      </c>
      <c r="X1266" s="23">
        <v>1265.0</v>
      </c>
    </row>
    <row r="1267">
      <c r="B1267" s="6">
        <v>16419.0</v>
      </c>
      <c r="C1267" s="12" t="str">
        <f t="shared" si="11"/>
        <v>U16419</v>
      </c>
      <c r="D1267" s="14" t="str">
        <f t="array" ref="D1267">iferror(index('2018_ufns'!E:E,match(C1267,'2018_ufns'!B:B,0)))</f>
        <v>P1042</v>
      </c>
      <c r="E1267" s="14">
        <v>43473.0</v>
      </c>
      <c r="F1267" s="40" t="s">
        <v>53</v>
      </c>
      <c r="G1267" s="40" t="s">
        <v>54</v>
      </c>
      <c r="H1267" s="9">
        <v>5.1</v>
      </c>
      <c r="I1267" s="13">
        <v>84.0</v>
      </c>
      <c r="J1267" s="13" t="s">
        <v>63</v>
      </c>
      <c r="K1267" s="17" t="str">
        <f t="shared" si="10"/>
        <v/>
      </c>
      <c r="L1267" s="9">
        <v>0.0</v>
      </c>
      <c r="O1267" s="9" t="s">
        <v>638</v>
      </c>
      <c r="P1267" s="40" t="s">
        <v>1729</v>
      </c>
      <c r="Q1267" s="9" t="s">
        <v>62</v>
      </c>
      <c r="R1267" s="9" t="s">
        <v>2119</v>
      </c>
      <c r="S1267" s="9" t="s">
        <v>64</v>
      </c>
      <c r="T1267" t="str">
        <f t="shared" si="12"/>
        <v>N</v>
      </c>
      <c r="W1267" s="12" t="str">
        <f t="array" ref="W1267">if(and(L1267=0,Q1267="NA"),"NA",if(L1267=0,"no lice",if(Q1267="NA","no collection",index(sea_lice!G:G,match(C1267,sea_lice!A:A,0)))))</f>
        <v>no lice</v>
      </c>
      <c r="X1267" s="23">
        <v>1266.0</v>
      </c>
    </row>
    <row r="1268">
      <c r="B1268" s="6">
        <v>16416.0</v>
      </c>
      <c r="C1268" s="12" t="str">
        <f t="shared" si="11"/>
        <v>U16416</v>
      </c>
      <c r="D1268" s="14" t="str">
        <f t="array" ref="D1268">iferror(index('2018_ufns'!E:E,match(C1268,'2018_ufns'!B:B,0)))</f>
        <v>P1042</v>
      </c>
      <c r="E1268" s="14">
        <v>43473.0</v>
      </c>
      <c r="F1268" s="40" t="s">
        <v>53</v>
      </c>
      <c r="G1268" s="40" t="s">
        <v>54</v>
      </c>
      <c r="H1268" s="9">
        <v>4.9</v>
      </c>
      <c r="I1268" s="13">
        <v>85.0</v>
      </c>
      <c r="J1268" s="13">
        <v>89.0</v>
      </c>
      <c r="K1268" s="17">
        <f t="shared" si="10"/>
        <v>0.6950660242</v>
      </c>
      <c r="L1268" s="9">
        <v>0.0</v>
      </c>
      <c r="O1268" s="9" t="s">
        <v>638</v>
      </c>
      <c r="P1268" s="40" t="s">
        <v>1729</v>
      </c>
      <c r="Q1268" s="9" t="s">
        <v>62</v>
      </c>
      <c r="R1268" s="9" t="s">
        <v>2119</v>
      </c>
      <c r="S1268" s="9" t="s">
        <v>64</v>
      </c>
      <c r="T1268" t="str">
        <f t="shared" si="12"/>
        <v>N</v>
      </c>
      <c r="W1268" s="12" t="str">
        <f t="array" ref="W1268">if(and(L1268=0,Q1268="NA"),"NA",if(L1268=0,"no lice",if(Q1268="NA","no collection",index(sea_lice!G:G,match(C1268,sea_lice!A:A,0)))))</f>
        <v>no lice</v>
      </c>
      <c r="X1268" s="23">
        <v>1267.0</v>
      </c>
    </row>
    <row r="1269">
      <c r="B1269" s="6">
        <v>16420.0</v>
      </c>
      <c r="C1269" s="12" t="str">
        <f t="shared" si="11"/>
        <v>U16420</v>
      </c>
      <c r="D1269" s="14" t="str">
        <f t="array" ref="D1269">iferror(index('2018_ufns'!E:E,match(C1269,'2018_ufns'!B:B,0)))</f>
        <v>P1042</v>
      </c>
      <c r="E1269" s="14">
        <v>43473.0</v>
      </c>
      <c r="F1269" s="40" t="s">
        <v>53</v>
      </c>
      <c r="G1269" s="40" t="s">
        <v>54</v>
      </c>
      <c r="H1269" s="9">
        <v>7.8</v>
      </c>
      <c r="I1269" s="13">
        <v>92.0</v>
      </c>
      <c r="J1269" s="13">
        <v>97.0</v>
      </c>
      <c r="K1269" s="17">
        <f t="shared" si="10"/>
        <v>0.8546324916</v>
      </c>
      <c r="L1269" s="9">
        <v>0.0</v>
      </c>
      <c r="O1269" s="9" t="s">
        <v>638</v>
      </c>
      <c r="P1269" s="40" t="s">
        <v>1729</v>
      </c>
      <c r="Q1269" s="9" t="s">
        <v>62</v>
      </c>
      <c r="R1269" s="9" t="s">
        <v>2119</v>
      </c>
      <c r="S1269" s="9" t="s">
        <v>64</v>
      </c>
      <c r="T1269" t="str">
        <f t="shared" si="12"/>
        <v>N</v>
      </c>
      <c r="W1269" s="12" t="str">
        <f t="array" ref="W1269">if(and(L1269=0,Q1269="NA"),"NA",if(L1269=0,"no lice",if(Q1269="NA","no collection",index(sea_lice!G:G,match(C1269,sea_lice!A:A,0)))))</f>
        <v>no lice</v>
      </c>
      <c r="X1269" s="23">
        <v>1268.0</v>
      </c>
    </row>
    <row r="1270">
      <c r="B1270" s="6">
        <v>17380.0</v>
      </c>
      <c r="C1270" s="12" t="str">
        <f t="shared" si="11"/>
        <v>U17380</v>
      </c>
      <c r="D1270" s="14" t="str">
        <f t="array" ref="D1270">iferror(index('2018_ufns'!E:E,match(C1270,'2018_ufns'!B:B,0)))</f>
        <v>P1138</v>
      </c>
      <c r="E1270" s="14">
        <v>43473.0</v>
      </c>
      <c r="F1270" s="40" t="s">
        <v>53</v>
      </c>
      <c r="G1270" s="40" t="s">
        <v>54</v>
      </c>
      <c r="H1270" s="9">
        <v>8.7</v>
      </c>
      <c r="I1270" s="13">
        <v>95.0</v>
      </c>
      <c r="J1270" s="13">
        <v>98.0</v>
      </c>
      <c r="K1270" s="17">
        <f t="shared" si="10"/>
        <v>0.9243597481</v>
      </c>
      <c r="L1270" s="9">
        <v>0.0</v>
      </c>
      <c r="N1270" s="9" t="s">
        <v>2125</v>
      </c>
      <c r="O1270" s="9" t="s">
        <v>638</v>
      </c>
      <c r="P1270" s="40" t="s">
        <v>1729</v>
      </c>
      <c r="Q1270" s="9" t="s">
        <v>150</v>
      </c>
      <c r="R1270" s="9" t="s">
        <v>2119</v>
      </c>
      <c r="S1270" s="9" t="s">
        <v>64</v>
      </c>
      <c r="T1270" t="str">
        <f t="shared" si="12"/>
        <v>N</v>
      </c>
      <c r="W1270" s="12" t="str">
        <f t="array" ref="W1270">if(and(L1270=0,Q1270="NA"),"NA",if(L1270=0,"no lice",if(Q1270="NA","no collection",index(sea_lice!G:G,match(C1270,sea_lice!A:A,0)))))</f>
        <v>no lice</v>
      </c>
      <c r="X1270" s="23">
        <v>1269.0</v>
      </c>
    </row>
    <row r="1271">
      <c r="B1271" s="6">
        <v>17375.0</v>
      </c>
      <c r="C1271" s="12" t="str">
        <f t="shared" si="11"/>
        <v>U17375</v>
      </c>
      <c r="D1271" s="14" t="str">
        <f t="array" ref="D1271">iferror(index('2018_ufns'!E:E,match(C1271,'2018_ufns'!B:B,0)))</f>
        <v>P1138</v>
      </c>
      <c r="E1271" s="14">
        <v>43473.0</v>
      </c>
      <c r="F1271" s="40" t="s">
        <v>53</v>
      </c>
      <c r="G1271" s="40" t="s">
        <v>54</v>
      </c>
      <c r="H1271" s="9">
        <v>6.6</v>
      </c>
      <c r="I1271" s="13">
        <v>92.0</v>
      </c>
      <c r="J1271" s="13">
        <v>95.0</v>
      </c>
      <c r="K1271" s="17">
        <f t="shared" si="10"/>
        <v>0.7697915148</v>
      </c>
      <c r="L1271" s="9">
        <v>0.0</v>
      </c>
      <c r="O1271" s="9" t="s">
        <v>638</v>
      </c>
      <c r="P1271" s="40" t="s">
        <v>1729</v>
      </c>
      <c r="Q1271" s="9" t="s">
        <v>150</v>
      </c>
      <c r="R1271" s="9" t="s">
        <v>2119</v>
      </c>
      <c r="S1271" s="9" t="s">
        <v>64</v>
      </c>
      <c r="T1271" t="str">
        <f t="shared" si="12"/>
        <v>N</v>
      </c>
      <c r="W1271" s="12" t="str">
        <f t="array" ref="W1271">if(and(L1271=0,Q1271="NA"),"NA",if(L1271=0,"no lice",if(Q1271="NA","no collection",index(sea_lice!G:G,match(C1271,sea_lice!A:A,0)))))</f>
        <v>no lice</v>
      </c>
      <c r="X1271" s="23">
        <v>1270.0</v>
      </c>
    </row>
    <row r="1272">
      <c r="B1272" s="6">
        <v>17376.0</v>
      </c>
      <c r="C1272" s="12" t="str">
        <f t="shared" si="11"/>
        <v>U17376</v>
      </c>
      <c r="D1272" s="14" t="str">
        <f t="array" ref="D1272">iferror(index('2018_ufns'!E:E,match(C1272,'2018_ufns'!B:B,0)))</f>
        <v>P1138</v>
      </c>
      <c r="E1272" s="14">
        <v>43473.0</v>
      </c>
      <c r="F1272" s="40" t="s">
        <v>53</v>
      </c>
      <c r="G1272" s="40" t="s">
        <v>54</v>
      </c>
      <c r="H1272" s="9">
        <v>7.6</v>
      </c>
      <c r="I1272" s="13">
        <v>97.0</v>
      </c>
      <c r="J1272" s="13">
        <v>101.0</v>
      </c>
      <c r="K1272" s="17">
        <f t="shared" si="10"/>
        <v>0.7376485124</v>
      </c>
      <c r="L1272" s="9">
        <v>0.0</v>
      </c>
      <c r="O1272" s="9" t="s">
        <v>638</v>
      </c>
      <c r="P1272" s="40" t="s">
        <v>1729</v>
      </c>
      <c r="Q1272" s="9" t="s">
        <v>150</v>
      </c>
      <c r="R1272" s="9" t="s">
        <v>2119</v>
      </c>
      <c r="S1272" s="9" t="s">
        <v>64</v>
      </c>
      <c r="T1272" t="str">
        <f t="shared" si="12"/>
        <v>N</v>
      </c>
      <c r="W1272" s="12" t="str">
        <f t="array" ref="W1272">if(and(L1272=0,Q1272="NA"),"NA",if(L1272=0,"no lice",if(Q1272="NA","no collection",index(sea_lice!G:G,match(C1272,sea_lice!A:A,0)))))</f>
        <v>no lice</v>
      </c>
      <c r="X1272" s="23">
        <v>1271.0</v>
      </c>
    </row>
    <row r="1273">
      <c r="B1273" s="6">
        <v>17377.0</v>
      </c>
      <c r="C1273" s="12" t="str">
        <f t="shared" si="11"/>
        <v>U17377</v>
      </c>
      <c r="D1273" s="14" t="str">
        <f t="array" ref="D1273">iferror(index('2018_ufns'!E:E,match(C1273,'2018_ufns'!B:B,0)))</f>
        <v>P1138</v>
      </c>
      <c r="E1273" s="14">
        <v>43473.0</v>
      </c>
      <c r="F1273" s="40" t="s">
        <v>53</v>
      </c>
      <c r="G1273" s="40" t="s">
        <v>54</v>
      </c>
      <c r="H1273" s="9">
        <v>8.3</v>
      </c>
      <c r="I1273" s="13">
        <v>93.0</v>
      </c>
      <c r="J1273" s="13">
        <v>97.0</v>
      </c>
      <c r="K1273" s="17">
        <f t="shared" si="10"/>
        <v>0.9094166257</v>
      </c>
      <c r="L1273" s="9">
        <v>0.0</v>
      </c>
      <c r="O1273" s="9" t="s">
        <v>638</v>
      </c>
      <c r="P1273" s="40" t="s">
        <v>1729</v>
      </c>
      <c r="Q1273" s="9" t="s">
        <v>150</v>
      </c>
      <c r="R1273" s="9" t="s">
        <v>2119</v>
      </c>
      <c r="S1273" s="9" t="s">
        <v>64</v>
      </c>
      <c r="T1273" t="str">
        <f t="shared" si="12"/>
        <v>N</v>
      </c>
      <c r="W1273" s="12" t="str">
        <f t="array" ref="W1273">if(and(L1273=0,Q1273="NA"),"NA",if(L1273=0,"no lice",if(Q1273="NA","no collection",index(sea_lice!G:G,match(C1273,sea_lice!A:A,0)))))</f>
        <v>no lice</v>
      </c>
      <c r="X1273" s="23">
        <v>1272.0</v>
      </c>
    </row>
    <row r="1274">
      <c r="B1274" s="6">
        <v>17374.0</v>
      </c>
      <c r="C1274" s="12" t="str">
        <f t="shared" si="11"/>
        <v>U17374</v>
      </c>
      <c r="D1274" s="14" t="str">
        <f t="array" ref="D1274">iferror(index('2018_ufns'!E:E,match(C1274,'2018_ufns'!B:B,0)))</f>
        <v>P1138</v>
      </c>
      <c r="E1274" s="14">
        <v>43473.0</v>
      </c>
      <c r="F1274" s="40" t="s">
        <v>53</v>
      </c>
      <c r="G1274" s="40" t="s">
        <v>54</v>
      </c>
      <c r="H1274" s="9">
        <v>10.5</v>
      </c>
      <c r="I1274" s="13">
        <v>101.0</v>
      </c>
      <c r="J1274" s="13">
        <v>105.0</v>
      </c>
      <c r="K1274" s="17">
        <f t="shared" si="10"/>
        <v>0.9070294785</v>
      </c>
      <c r="L1274" s="9">
        <v>0.0</v>
      </c>
      <c r="O1274" s="9" t="s">
        <v>638</v>
      </c>
      <c r="P1274" s="40" t="s">
        <v>1729</v>
      </c>
      <c r="Q1274" s="9" t="s">
        <v>150</v>
      </c>
      <c r="R1274" s="9" t="s">
        <v>2119</v>
      </c>
      <c r="S1274" s="9" t="s">
        <v>64</v>
      </c>
      <c r="T1274" t="str">
        <f t="shared" si="12"/>
        <v>N</v>
      </c>
      <c r="W1274" s="12" t="str">
        <f t="array" ref="W1274">if(and(L1274=0,Q1274="NA"),"NA",if(L1274=0,"no lice",if(Q1274="NA","no collection",index(sea_lice!G:G,match(C1274,sea_lice!A:A,0)))))</f>
        <v>no lice</v>
      </c>
      <c r="X1274" s="23">
        <v>1273.0</v>
      </c>
    </row>
    <row r="1275">
      <c r="B1275" s="6">
        <v>17378.0</v>
      </c>
      <c r="C1275" s="12" t="str">
        <f t="shared" si="11"/>
        <v>U17378</v>
      </c>
      <c r="D1275" s="14" t="str">
        <f t="array" ref="D1275">iferror(index('2018_ufns'!E:E,match(C1275,'2018_ufns'!B:B,0)))</f>
        <v>P1138</v>
      </c>
      <c r="E1275" s="14">
        <v>43473.0</v>
      </c>
      <c r="F1275" s="40" t="s">
        <v>53</v>
      </c>
      <c r="G1275" s="40" t="s">
        <v>54</v>
      </c>
      <c r="H1275" s="9">
        <v>7.1</v>
      </c>
      <c r="I1275" s="13">
        <v>89.0</v>
      </c>
      <c r="J1275" s="13">
        <v>93.0</v>
      </c>
      <c r="K1275" s="17">
        <f t="shared" si="10"/>
        <v>0.8826926352</v>
      </c>
      <c r="L1275" s="9">
        <v>0.0</v>
      </c>
      <c r="O1275" s="9" t="s">
        <v>638</v>
      </c>
      <c r="P1275" s="40" t="s">
        <v>1729</v>
      </c>
      <c r="Q1275" s="9" t="s">
        <v>150</v>
      </c>
      <c r="R1275" s="9" t="s">
        <v>2119</v>
      </c>
      <c r="S1275" s="9" t="s">
        <v>64</v>
      </c>
      <c r="T1275" t="str">
        <f t="shared" si="12"/>
        <v>N</v>
      </c>
      <c r="W1275" s="12" t="str">
        <f t="array" ref="W1275">if(and(L1275=0,Q1275="NA"),"NA",if(L1275=0,"no lice",if(Q1275="NA","no collection",index(sea_lice!G:G,match(C1275,sea_lice!A:A,0)))))</f>
        <v>no lice</v>
      </c>
      <c r="X1275" s="23">
        <v>1274.0</v>
      </c>
    </row>
    <row r="1276">
      <c r="B1276" s="6">
        <v>17379.0</v>
      </c>
      <c r="C1276" s="12" t="str">
        <f t="shared" si="11"/>
        <v>U17379</v>
      </c>
      <c r="D1276" s="14" t="str">
        <f t="array" ref="D1276">iferror(index('2018_ufns'!E:E,match(C1276,'2018_ufns'!B:B,0)))</f>
        <v>P1138</v>
      </c>
      <c r="E1276" s="14">
        <v>43473.0</v>
      </c>
      <c r="F1276" s="40" t="s">
        <v>53</v>
      </c>
      <c r="G1276" s="40" t="s">
        <v>54</v>
      </c>
      <c r="H1276" s="9">
        <v>6.9</v>
      </c>
      <c r="I1276" s="13">
        <v>89.0</v>
      </c>
      <c r="J1276" s="13">
        <v>93.0</v>
      </c>
      <c r="K1276" s="17">
        <f t="shared" si="10"/>
        <v>0.857828054</v>
      </c>
      <c r="L1276" s="9">
        <v>2.0</v>
      </c>
      <c r="O1276" s="9" t="s">
        <v>638</v>
      </c>
      <c r="P1276" s="40" t="s">
        <v>1729</v>
      </c>
      <c r="Q1276" s="9" t="s">
        <v>150</v>
      </c>
      <c r="R1276" s="9" t="s">
        <v>2119</v>
      </c>
      <c r="S1276" s="9" t="s">
        <v>64</v>
      </c>
      <c r="T1276" t="str">
        <f t="shared" si="12"/>
        <v>N</v>
      </c>
      <c r="W1276" s="12" t="str">
        <f t="array" ref="W1276">if(and(L1276=0,Q1276="NA"),"NA",if(L1276=0,"no lice",if(Q1276="NA","no collection",index(sea_lice!G:G,match(C1276,sea_lice!A:A,0)))))</f>
        <v>BSL8-25</v>
      </c>
      <c r="X1276" s="23">
        <v>1275.0</v>
      </c>
    </row>
    <row r="1277">
      <c r="B1277" s="6">
        <v>17371.0</v>
      </c>
      <c r="C1277" s="12" t="str">
        <f t="shared" si="11"/>
        <v>U17371</v>
      </c>
      <c r="D1277" s="14" t="str">
        <f t="array" ref="D1277">iferror(index('2018_ufns'!E:E,match(C1277,'2018_ufns'!B:B,0)))</f>
        <v>P1138</v>
      </c>
      <c r="E1277" s="14">
        <v>43473.0</v>
      </c>
      <c r="F1277" s="40" t="s">
        <v>53</v>
      </c>
      <c r="G1277" s="40" t="s">
        <v>54</v>
      </c>
      <c r="H1277" s="9">
        <v>11.0</v>
      </c>
      <c r="I1277" s="13">
        <v>101.0</v>
      </c>
      <c r="J1277" s="13">
        <v>105.0</v>
      </c>
      <c r="K1277" s="17">
        <f t="shared" si="10"/>
        <v>0.9502213584</v>
      </c>
      <c r="L1277" s="9">
        <v>0.0</v>
      </c>
      <c r="O1277" s="9" t="s">
        <v>638</v>
      </c>
      <c r="P1277" s="40" t="s">
        <v>1729</v>
      </c>
      <c r="Q1277" s="9" t="s">
        <v>150</v>
      </c>
      <c r="R1277" s="9" t="s">
        <v>2119</v>
      </c>
      <c r="S1277" s="9" t="s">
        <v>64</v>
      </c>
      <c r="T1277" t="str">
        <f t="shared" si="12"/>
        <v>N</v>
      </c>
      <c r="W1277" s="12" t="str">
        <f t="array" ref="W1277">if(and(L1277=0,Q1277="NA"),"NA",if(L1277=0,"no lice",if(Q1277="NA","no collection",index(sea_lice!G:G,match(C1277,sea_lice!A:A,0)))))</f>
        <v>no lice</v>
      </c>
      <c r="X1277" s="23">
        <v>1276.0</v>
      </c>
    </row>
    <row r="1278">
      <c r="B1278" s="6">
        <v>17372.0</v>
      </c>
      <c r="C1278" s="12" t="str">
        <f t="shared" si="11"/>
        <v>U17372</v>
      </c>
      <c r="D1278" s="14" t="str">
        <f t="array" ref="D1278">iferror(index('2018_ufns'!E:E,match(C1278,'2018_ufns'!B:B,0)))</f>
        <v>P1138</v>
      </c>
      <c r="E1278" s="14">
        <v>43473.0</v>
      </c>
      <c r="F1278" s="40" t="s">
        <v>53</v>
      </c>
      <c r="G1278" s="40" t="s">
        <v>54</v>
      </c>
      <c r="H1278" s="9">
        <v>11.8</v>
      </c>
      <c r="I1278" s="13">
        <v>104.0</v>
      </c>
      <c r="J1278" s="13">
        <v>109.0</v>
      </c>
      <c r="K1278" s="17">
        <f t="shared" si="10"/>
        <v>0.9111765065</v>
      </c>
      <c r="L1278" s="9">
        <v>2.0</v>
      </c>
      <c r="O1278" s="9" t="s">
        <v>638</v>
      </c>
      <c r="P1278" s="40" t="s">
        <v>1729</v>
      </c>
      <c r="Q1278" s="9" t="s">
        <v>150</v>
      </c>
      <c r="R1278" s="9" t="s">
        <v>2119</v>
      </c>
      <c r="S1278" s="9" t="s">
        <v>64</v>
      </c>
      <c r="T1278" t="str">
        <f t="shared" si="12"/>
        <v>N</v>
      </c>
      <c r="W1278" s="12" t="str">
        <f t="array" ref="W1278">if(and(L1278=0,Q1278="NA"),"NA",if(L1278=0,"no lice",if(Q1278="NA","no collection",index(sea_lice!G:G,match(C1278,sea_lice!A:A,0)))))</f>
        <v>BSL8-26</v>
      </c>
      <c r="X1278" s="23">
        <v>1277.0</v>
      </c>
    </row>
    <row r="1279">
      <c r="B1279" s="6">
        <v>17373.0</v>
      </c>
      <c r="C1279" s="12" t="str">
        <f t="shared" si="11"/>
        <v>U17373</v>
      </c>
      <c r="D1279" s="14" t="str">
        <f t="array" ref="D1279">iferror(index('2018_ufns'!E:E,match(C1279,'2018_ufns'!B:B,0)))</f>
        <v>P1138</v>
      </c>
      <c r="E1279" s="14">
        <v>43473.0</v>
      </c>
      <c r="F1279" s="40" t="s">
        <v>53</v>
      </c>
      <c r="G1279" s="40" t="s">
        <v>54</v>
      </c>
      <c r="H1279" s="9">
        <v>11.2</v>
      </c>
      <c r="I1279" s="13">
        <v>103.0</v>
      </c>
      <c r="J1279" s="13">
        <v>107.0</v>
      </c>
      <c r="K1279" s="17">
        <f t="shared" si="10"/>
        <v>0.9142536221</v>
      </c>
      <c r="L1279" s="9">
        <v>1.0</v>
      </c>
      <c r="O1279" s="9" t="s">
        <v>638</v>
      </c>
      <c r="P1279" s="40" t="s">
        <v>1729</v>
      </c>
      <c r="Q1279" s="9" t="s">
        <v>150</v>
      </c>
      <c r="R1279" s="9" t="s">
        <v>2119</v>
      </c>
      <c r="S1279" s="9" t="s">
        <v>64</v>
      </c>
      <c r="T1279" t="str">
        <f t="shared" si="12"/>
        <v>N</v>
      </c>
      <c r="W1279" s="12" t="str">
        <f t="array" ref="W1279">if(and(L1279=0,Q1279="NA"),"NA",if(L1279=0,"no lice",if(Q1279="NA","no collection",index(sea_lice!G:G,match(C1279,sea_lice!A:A,0)))))</f>
        <v>BSL8-27</v>
      </c>
      <c r="X1279" s="23">
        <v>1278.0</v>
      </c>
    </row>
    <row r="1280">
      <c r="B1280" s="6">
        <v>17157.0</v>
      </c>
      <c r="C1280" s="12" t="str">
        <f t="shared" si="11"/>
        <v>U17157</v>
      </c>
      <c r="D1280" s="14" t="str">
        <f t="array" ref="D1280">iferror(index('2018_ufns'!E:E,match(C1280,'2018_ufns'!B:B,0)))</f>
        <v>P1116</v>
      </c>
      <c r="E1280" s="14">
        <v>43473.0</v>
      </c>
      <c r="F1280" s="40" t="s">
        <v>53</v>
      </c>
      <c r="G1280" s="40" t="s">
        <v>54</v>
      </c>
      <c r="H1280" s="9">
        <v>3.5</v>
      </c>
      <c r="I1280" s="13">
        <v>72.0</v>
      </c>
      <c r="J1280" s="13" t="s">
        <v>63</v>
      </c>
      <c r="K1280" s="17" t="str">
        <f t="shared" si="10"/>
        <v/>
      </c>
      <c r="L1280" s="9">
        <v>0.0</v>
      </c>
      <c r="O1280" s="9" t="s">
        <v>64</v>
      </c>
      <c r="P1280" s="40" t="s">
        <v>1729</v>
      </c>
      <c r="Q1280" s="9" t="s">
        <v>150</v>
      </c>
      <c r="R1280" s="9" t="s">
        <v>2119</v>
      </c>
      <c r="S1280" s="9" t="s">
        <v>638</v>
      </c>
      <c r="T1280" t="str">
        <f t="shared" si="12"/>
        <v>N</v>
      </c>
      <c r="W1280" s="12" t="str">
        <f t="array" ref="W1280">if(and(L1280=0,Q1280="NA"),"NA",if(L1280=0,"no lice",if(Q1280="NA","no collection",index(sea_lice!G:G,match(C1280,sea_lice!A:A,0)))))</f>
        <v>no lice</v>
      </c>
      <c r="X1280" s="23">
        <v>1279.0</v>
      </c>
    </row>
    <row r="1281">
      <c r="B1281" s="6">
        <v>17160.0</v>
      </c>
      <c r="C1281" s="12" t="str">
        <f t="shared" si="11"/>
        <v>U17160</v>
      </c>
      <c r="D1281" s="14" t="str">
        <f t="array" ref="D1281">iferror(index('2018_ufns'!E:E,match(C1281,'2018_ufns'!B:B,0)))</f>
        <v>P1116</v>
      </c>
      <c r="E1281" s="14">
        <v>43473.0</v>
      </c>
      <c r="F1281" s="40" t="s">
        <v>53</v>
      </c>
      <c r="G1281" s="40" t="s">
        <v>54</v>
      </c>
      <c r="H1281" s="9">
        <v>7.3</v>
      </c>
      <c r="I1281" s="13">
        <v>87.0</v>
      </c>
      <c r="J1281" s="13">
        <v>91.0</v>
      </c>
      <c r="K1281" s="17">
        <f t="shared" si="10"/>
        <v>0.9687209301</v>
      </c>
      <c r="L1281" s="9">
        <v>1.0</v>
      </c>
      <c r="O1281" s="9" t="s">
        <v>64</v>
      </c>
      <c r="P1281" s="40" t="s">
        <v>1729</v>
      </c>
      <c r="Q1281" s="9" t="s">
        <v>150</v>
      </c>
      <c r="R1281" s="9" t="s">
        <v>2119</v>
      </c>
      <c r="S1281" s="9" t="s">
        <v>638</v>
      </c>
      <c r="T1281" t="str">
        <f t="shared" si="12"/>
        <v>N</v>
      </c>
      <c r="W1281" s="12" t="str">
        <f t="array" ref="W1281">if(and(L1281=0,Q1281="NA"),"NA",if(L1281=0,"no lice",if(Q1281="NA","no collection",index(sea_lice!G:G,match(C1281,sea_lice!A:A,0)))))</f>
        <v>BSL8-17</v>
      </c>
      <c r="X1281" s="23">
        <v>1280.0</v>
      </c>
    </row>
    <row r="1282">
      <c r="B1282" s="6">
        <v>17159.0</v>
      </c>
      <c r="C1282" s="12" t="str">
        <f t="shared" si="11"/>
        <v>U17159</v>
      </c>
      <c r="D1282" s="14" t="str">
        <f t="array" ref="D1282">iferror(index('2018_ufns'!E:E,match(C1282,'2018_ufns'!B:B,0)))</f>
        <v>P1116</v>
      </c>
      <c r="E1282" s="14">
        <v>43473.0</v>
      </c>
      <c r="F1282" s="40" t="s">
        <v>53</v>
      </c>
      <c r="G1282" s="40" t="s">
        <v>54</v>
      </c>
      <c r="H1282" s="9">
        <v>4.7</v>
      </c>
      <c r="I1282" s="13">
        <v>77.0</v>
      </c>
      <c r="J1282" s="13" t="s">
        <v>63</v>
      </c>
      <c r="K1282" s="17" t="str">
        <f t="shared" si="10"/>
        <v/>
      </c>
      <c r="L1282" s="9">
        <v>0.0</v>
      </c>
      <c r="O1282" s="9" t="s">
        <v>64</v>
      </c>
      <c r="P1282" s="40" t="s">
        <v>1729</v>
      </c>
      <c r="Q1282" s="9" t="s">
        <v>150</v>
      </c>
      <c r="R1282" s="9" t="s">
        <v>2119</v>
      </c>
      <c r="S1282" s="9" t="s">
        <v>638</v>
      </c>
      <c r="T1282" t="str">
        <f t="shared" si="12"/>
        <v>N</v>
      </c>
      <c r="W1282" s="12" t="str">
        <f t="array" ref="W1282">if(and(L1282=0,Q1282="NA"),"NA",if(L1282=0,"no lice",if(Q1282="NA","no collection",index(sea_lice!G:G,match(C1282,sea_lice!A:A,0)))))</f>
        <v>no lice</v>
      </c>
      <c r="X1282" s="23">
        <v>1281.0</v>
      </c>
    </row>
    <row r="1283">
      <c r="B1283" s="6">
        <v>17155.0</v>
      </c>
      <c r="C1283" s="12" t="str">
        <f t="shared" si="11"/>
        <v>U17155</v>
      </c>
      <c r="D1283" s="14" t="str">
        <f t="array" ref="D1283">iferror(index('2018_ufns'!E:E,match(C1283,'2018_ufns'!B:B,0)))</f>
        <v>P1116</v>
      </c>
      <c r="E1283" s="14">
        <v>43473.0</v>
      </c>
      <c r="F1283" s="40" t="s">
        <v>53</v>
      </c>
      <c r="G1283" s="40" t="s">
        <v>54</v>
      </c>
      <c r="H1283" s="9">
        <v>4.8</v>
      </c>
      <c r="I1283" s="13">
        <v>80.0</v>
      </c>
      <c r="J1283" s="13" t="s">
        <v>63</v>
      </c>
      <c r="K1283" s="17" t="str">
        <f t="shared" si="10"/>
        <v/>
      </c>
      <c r="L1283" s="9">
        <v>1.0</v>
      </c>
      <c r="O1283" s="9" t="s">
        <v>64</v>
      </c>
      <c r="P1283" s="40" t="s">
        <v>1729</v>
      </c>
      <c r="Q1283" s="9" t="s">
        <v>150</v>
      </c>
      <c r="R1283" s="9" t="s">
        <v>2119</v>
      </c>
      <c r="S1283" s="9" t="s">
        <v>638</v>
      </c>
      <c r="T1283" t="str">
        <f t="shared" si="12"/>
        <v>N</v>
      </c>
      <c r="W1283" s="12" t="str">
        <f t="array" ref="W1283">if(and(L1283=0,Q1283="NA"),"NA",if(L1283=0,"no lice",if(Q1283="NA","no collection",index(sea_lice!G:G,match(C1283,sea_lice!A:A,0)))))</f>
        <v>BSL8-18</v>
      </c>
      <c r="X1283" s="23">
        <v>1282.0</v>
      </c>
    </row>
    <row r="1284">
      <c r="B1284" s="6">
        <v>17156.0</v>
      </c>
      <c r="C1284" s="12" t="str">
        <f t="shared" si="11"/>
        <v>U17156</v>
      </c>
      <c r="D1284" s="14" t="str">
        <f t="array" ref="D1284">iferror(index('2018_ufns'!E:E,match(C1284,'2018_ufns'!B:B,0)))</f>
        <v>P1116</v>
      </c>
      <c r="E1284" s="14">
        <v>43473.0</v>
      </c>
      <c r="F1284" s="40" t="s">
        <v>53</v>
      </c>
      <c r="G1284" s="40" t="s">
        <v>54</v>
      </c>
      <c r="H1284" s="9">
        <v>4.4</v>
      </c>
      <c r="I1284" s="13">
        <v>74.0</v>
      </c>
      <c r="J1284" s="13" t="s">
        <v>63</v>
      </c>
      <c r="K1284" s="17" t="str">
        <f t="shared" si="10"/>
        <v/>
      </c>
      <c r="L1284" s="9">
        <v>0.0</v>
      </c>
      <c r="O1284" s="9" t="s">
        <v>64</v>
      </c>
      <c r="P1284" s="40" t="s">
        <v>1729</v>
      </c>
      <c r="Q1284" s="9" t="s">
        <v>150</v>
      </c>
      <c r="R1284" s="9" t="s">
        <v>2119</v>
      </c>
      <c r="S1284" s="9" t="s">
        <v>638</v>
      </c>
      <c r="T1284" t="str">
        <f t="shared" si="12"/>
        <v>N</v>
      </c>
      <c r="W1284" s="12" t="str">
        <f t="array" ref="W1284">if(and(L1284=0,Q1284="NA"),"NA",if(L1284=0,"no lice",if(Q1284="NA","no collection",index(sea_lice!G:G,match(C1284,sea_lice!A:A,0)))))</f>
        <v>no lice</v>
      </c>
      <c r="X1284" s="23">
        <v>1283.0</v>
      </c>
    </row>
    <row r="1285">
      <c r="B1285" s="6">
        <v>17154.0</v>
      </c>
      <c r="C1285" s="12" t="str">
        <f t="shared" si="11"/>
        <v>U17154</v>
      </c>
      <c r="D1285" s="14" t="str">
        <f t="array" ref="D1285">iferror(index('2018_ufns'!E:E,match(C1285,'2018_ufns'!B:B,0)))</f>
        <v>P1116</v>
      </c>
      <c r="E1285" s="14">
        <v>43473.0</v>
      </c>
      <c r="F1285" s="40" t="s">
        <v>53</v>
      </c>
      <c r="G1285" s="40" t="s">
        <v>54</v>
      </c>
      <c r="H1285" s="9">
        <v>5.2</v>
      </c>
      <c r="I1285" s="13">
        <v>77.0</v>
      </c>
      <c r="J1285" s="13">
        <v>82.0</v>
      </c>
      <c r="K1285" s="17">
        <f t="shared" si="10"/>
        <v>0.9431087767</v>
      </c>
      <c r="L1285" s="9">
        <v>0.0</v>
      </c>
      <c r="O1285" s="9" t="s">
        <v>64</v>
      </c>
      <c r="P1285" s="40" t="s">
        <v>1729</v>
      </c>
      <c r="Q1285" s="9" t="s">
        <v>150</v>
      </c>
      <c r="R1285" s="9" t="s">
        <v>2119</v>
      </c>
      <c r="S1285" s="9" t="s">
        <v>638</v>
      </c>
      <c r="T1285" t="str">
        <f t="shared" si="12"/>
        <v>N</v>
      </c>
      <c r="W1285" s="12" t="str">
        <f t="array" ref="W1285">if(and(L1285=0,Q1285="NA"),"NA",if(L1285=0,"no lice",if(Q1285="NA","no collection",index(sea_lice!G:G,match(C1285,sea_lice!A:A,0)))))</f>
        <v>no lice</v>
      </c>
      <c r="X1285" s="23">
        <v>1284.0</v>
      </c>
    </row>
    <row r="1286">
      <c r="B1286" s="6">
        <v>17152.0</v>
      </c>
      <c r="C1286" s="12" t="str">
        <f t="shared" si="11"/>
        <v>U17152</v>
      </c>
      <c r="D1286" s="14" t="str">
        <f t="array" ref="D1286">iferror(index('2018_ufns'!E:E,match(C1286,'2018_ufns'!B:B,0)))</f>
        <v>P1116</v>
      </c>
      <c r="E1286" s="14">
        <v>43473.0</v>
      </c>
      <c r="F1286" s="40" t="s">
        <v>53</v>
      </c>
      <c r="G1286" s="40" t="s">
        <v>54</v>
      </c>
      <c r="H1286" s="9">
        <v>7.5</v>
      </c>
      <c r="I1286" s="13">
        <v>78.0</v>
      </c>
      <c r="J1286" s="13">
        <v>92.0</v>
      </c>
      <c r="K1286" s="17">
        <f t="shared" si="10"/>
        <v>0.9631585436</v>
      </c>
      <c r="L1286" s="9">
        <v>0.0</v>
      </c>
      <c r="O1286" s="9" t="s">
        <v>64</v>
      </c>
      <c r="P1286" s="40" t="s">
        <v>1729</v>
      </c>
      <c r="Q1286" s="9" t="s">
        <v>150</v>
      </c>
      <c r="R1286" s="9" t="s">
        <v>2119</v>
      </c>
      <c r="S1286" s="9" t="s">
        <v>638</v>
      </c>
      <c r="T1286" t="str">
        <f t="shared" si="12"/>
        <v>N</v>
      </c>
      <c r="W1286" s="12" t="str">
        <f t="array" ref="W1286">if(and(L1286=0,Q1286="NA"),"NA",if(L1286=0,"no lice",if(Q1286="NA","no collection",index(sea_lice!G:G,match(C1286,sea_lice!A:A,0)))))</f>
        <v>no lice</v>
      </c>
      <c r="X1286" s="23">
        <v>1285.0</v>
      </c>
    </row>
    <row r="1287">
      <c r="B1287" s="6">
        <v>17158.0</v>
      </c>
      <c r="C1287" s="12" t="str">
        <f t="shared" si="11"/>
        <v>U17158</v>
      </c>
      <c r="D1287" s="14" t="str">
        <f t="array" ref="D1287">iferror(index('2018_ufns'!E:E,match(C1287,'2018_ufns'!B:B,0)))</f>
        <v>P1116</v>
      </c>
      <c r="E1287" s="14">
        <v>43473.0</v>
      </c>
      <c r="F1287" s="40" t="s">
        <v>53</v>
      </c>
      <c r="G1287" s="40" t="s">
        <v>54</v>
      </c>
      <c r="H1287" s="9">
        <v>3.8</v>
      </c>
      <c r="I1287" s="13">
        <v>73.0</v>
      </c>
      <c r="J1287" s="13" t="s">
        <v>63</v>
      </c>
      <c r="K1287" s="17" t="str">
        <f t="shared" si="10"/>
        <v/>
      </c>
      <c r="L1287" s="9">
        <v>1.0</v>
      </c>
      <c r="N1287" s="9" t="s">
        <v>2165</v>
      </c>
      <c r="O1287" s="9" t="s">
        <v>64</v>
      </c>
      <c r="P1287" s="40" t="s">
        <v>1729</v>
      </c>
      <c r="Q1287" s="9" t="s">
        <v>150</v>
      </c>
      <c r="R1287" s="9" t="s">
        <v>2119</v>
      </c>
      <c r="S1287" s="9" t="s">
        <v>638</v>
      </c>
      <c r="T1287" t="str">
        <f t="shared" si="12"/>
        <v>N</v>
      </c>
      <c r="W1287" s="12" t="str">
        <f t="array" ref="W1287">if(and(L1287=0,Q1287="NA"),"NA",if(L1287=0,"no lice",if(Q1287="NA","no collection",index(sea_lice!G:G,match(C1287,sea_lice!A:A,0)))))</f>
        <v>BSL8-19</v>
      </c>
      <c r="X1287" s="23">
        <v>1286.0</v>
      </c>
    </row>
    <row r="1288">
      <c r="B1288" s="6">
        <v>17151.0</v>
      </c>
      <c r="C1288" s="12" t="str">
        <f t="shared" si="11"/>
        <v>U17151</v>
      </c>
      <c r="D1288" s="14" t="str">
        <f t="array" ref="D1288">iferror(index('2018_ufns'!E:E,match(C1288,'2018_ufns'!B:B,0)))</f>
        <v>P1116</v>
      </c>
      <c r="E1288" s="14">
        <v>43473.0</v>
      </c>
      <c r="F1288" s="40" t="s">
        <v>53</v>
      </c>
      <c r="G1288" s="40" t="s">
        <v>54</v>
      </c>
      <c r="H1288" s="9">
        <v>4.4</v>
      </c>
      <c r="I1288" s="13">
        <v>78.0</v>
      </c>
      <c r="J1288" s="13">
        <v>81.0</v>
      </c>
      <c r="K1288" s="17">
        <f t="shared" si="10"/>
        <v>0.8279376262</v>
      </c>
      <c r="L1288" s="9">
        <v>2.0</v>
      </c>
      <c r="O1288" s="9" t="s">
        <v>64</v>
      </c>
      <c r="P1288" s="40" t="s">
        <v>1729</v>
      </c>
      <c r="Q1288" s="9" t="s">
        <v>150</v>
      </c>
      <c r="R1288" s="9" t="s">
        <v>2119</v>
      </c>
      <c r="S1288" s="9" t="s">
        <v>638</v>
      </c>
      <c r="T1288" t="str">
        <f t="shared" si="12"/>
        <v>N</v>
      </c>
      <c r="W1288" s="12" t="str">
        <f t="array" ref="W1288">if(and(L1288=0,Q1288="NA"),"NA",if(L1288=0,"no lice",if(Q1288="NA","no collection",index(sea_lice!G:G,match(C1288,sea_lice!A:A,0)))))</f>
        <v>BSL8-20</v>
      </c>
      <c r="X1288" s="23">
        <v>1287.0</v>
      </c>
    </row>
    <row r="1289">
      <c r="B1289" s="6">
        <v>17153.0</v>
      </c>
      <c r="C1289" s="12" t="str">
        <f t="shared" si="11"/>
        <v>U17153</v>
      </c>
      <c r="D1289" s="14" t="str">
        <f t="array" ref="D1289">iferror(index('2018_ufns'!E:E,match(C1289,'2018_ufns'!B:B,0)))</f>
        <v>P1116</v>
      </c>
      <c r="E1289" s="14">
        <v>43473.0</v>
      </c>
      <c r="F1289" s="40" t="s">
        <v>53</v>
      </c>
      <c r="G1289" s="40" t="s">
        <v>54</v>
      </c>
      <c r="H1289" s="9">
        <v>3.1</v>
      </c>
      <c r="I1289" s="13">
        <v>65.0</v>
      </c>
      <c r="J1289" s="13">
        <v>68.0</v>
      </c>
      <c r="K1289" s="17">
        <f t="shared" si="10"/>
        <v>0.9859047425</v>
      </c>
      <c r="L1289" s="9">
        <v>1.0</v>
      </c>
      <c r="O1289" s="9" t="s">
        <v>64</v>
      </c>
      <c r="P1289" s="40" t="s">
        <v>1729</v>
      </c>
      <c r="Q1289" s="9" t="s">
        <v>150</v>
      </c>
      <c r="R1289" s="9" t="s">
        <v>2119</v>
      </c>
      <c r="S1289" s="9" t="s">
        <v>638</v>
      </c>
      <c r="T1289" t="str">
        <f t="shared" si="12"/>
        <v>N</v>
      </c>
      <c r="W1289" s="12" t="str">
        <f t="array" ref="W1289">if(and(L1289=0,Q1289="NA"),"NA",if(L1289=0,"no lice",if(Q1289="NA","no collection",index(sea_lice!G:G,match(C1289,sea_lice!A:A,0)))))</f>
        <v>BSL8-21</v>
      </c>
      <c r="X1289" s="23">
        <v>1288.0</v>
      </c>
    </row>
    <row r="1290">
      <c r="B1290" s="6">
        <v>16575.0</v>
      </c>
      <c r="C1290" s="12" t="str">
        <f t="shared" si="11"/>
        <v>U16575</v>
      </c>
      <c r="D1290" s="14" t="str">
        <f t="array" ref="D1290">iferror(index('2018_ufns'!E:E,match(C1290,'2018_ufns'!B:B,0)))</f>
        <v>P1058</v>
      </c>
      <c r="E1290" s="14">
        <v>43473.0</v>
      </c>
      <c r="F1290" s="40" t="s">
        <v>53</v>
      </c>
      <c r="G1290" s="40" t="s">
        <v>54</v>
      </c>
      <c r="H1290" s="9">
        <v>12.8</v>
      </c>
      <c r="I1290" s="13">
        <v>108.0</v>
      </c>
      <c r="J1290" s="13" t="s">
        <v>63</v>
      </c>
      <c r="K1290" s="17" t="str">
        <f t="shared" si="10"/>
        <v/>
      </c>
      <c r="L1290" s="9">
        <v>0.0</v>
      </c>
      <c r="O1290" s="9" t="s">
        <v>64</v>
      </c>
      <c r="P1290" s="40" t="s">
        <v>1729</v>
      </c>
      <c r="Q1290" s="9" t="s">
        <v>150</v>
      </c>
      <c r="R1290" s="9" t="s">
        <v>2119</v>
      </c>
      <c r="S1290" s="9" t="s">
        <v>638</v>
      </c>
      <c r="T1290" t="str">
        <f t="shared" si="12"/>
        <v>N</v>
      </c>
      <c r="W1290" s="12" t="str">
        <f t="array" ref="W1290">if(and(L1290=0,Q1290="NA"),"NA",if(L1290=0,"no lice",if(Q1290="NA","no collection",index(sea_lice!G:G,match(C1290,sea_lice!A:A,0)))))</f>
        <v>no lice</v>
      </c>
      <c r="X1290" s="23">
        <v>1289.0</v>
      </c>
    </row>
    <row r="1291">
      <c r="B1291" s="6">
        <v>16573.0</v>
      </c>
      <c r="C1291" s="12" t="str">
        <f t="shared" si="11"/>
        <v>U16573</v>
      </c>
      <c r="D1291" s="14" t="str">
        <f t="array" ref="D1291">iferror(index('2018_ufns'!E:E,match(C1291,'2018_ufns'!B:B,0)))</f>
        <v>P1058</v>
      </c>
      <c r="E1291" s="14">
        <v>43473.0</v>
      </c>
      <c r="F1291" s="40" t="s">
        <v>53</v>
      </c>
      <c r="G1291" s="40" t="s">
        <v>54</v>
      </c>
      <c r="H1291" s="9">
        <v>11.5</v>
      </c>
      <c r="I1291" s="13">
        <v>106.0</v>
      </c>
      <c r="J1291" s="13">
        <v>110.0</v>
      </c>
      <c r="K1291" s="17">
        <f t="shared" si="10"/>
        <v>0.864012021</v>
      </c>
      <c r="L1291" s="9">
        <v>1.0</v>
      </c>
      <c r="O1291" s="9" t="s">
        <v>64</v>
      </c>
      <c r="P1291" s="40" t="s">
        <v>1729</v>
      </c>
      <c r="Q1291" s="9" t="s">
        <v>150</v>
      </c>
      <c r="R1291" s="9" t="s">
        <v>2119</v>
      </c>
      <c r="S1291" s="9" t="s">
        <v>638</v>
      </c>
      <c r="T1291" t="str">
        <f t="shared" si="12"/>
        <v>N</v>
      </c>
      <c r="W1291" s="12" t="str">
        <f t="array" ref="W1291">if(and(L1291=0,Q1291="NA"),"NA",if(L1291=0,"no lice",if(Q1291="NA","no collection",index(sea_lice!G:G,match(C1291,sea_lice!A:A,0)))))</f>
        <v>BSL8-22</v>
      </c>
      <c r="X1291" s="23">
        <v>1290.0</v>
      </c>
    </row>
    <row r="1292">
      <c r="B1292" s="6">
        <v>16571.0</v>
      </c>
      <c r="C1292" s="12" t="str">
        <f t="shared" si="11"/>
        <v>U16571</v>
      </c>
      <c r="D1292" s="14" t="str">
        <f t="array" ref="D1292">iferror(index('2018_ufns'!E:E,match(C1292,'2018_ufns'!B:B,0)))</f>
        <v>P1058</v>
      </c>
      <c r="E1292" s="14">
        <v>43473.0</v>
      </c>
      <c r="F1292" s="40" t="s">
        <v>53</v>
      </c>
      <c r="G1292" s="40" t="s">
        <v>54</v>
      </c>
      <c r="H1292" s="9">
        <v>11.2</v>
      </c>
      <c r="I1292" s="13">
        <v>105.0</v>
      </c>
      <c r="J1292" s="13">
        <v>110.0</v>
      </c>
      <c r="K1292" s="17">
        <f t="shared" si="10"/>
        <v>0.841472577</v>
      </c>
      <c r="L1292" s="9">
        <v>0.0</v>
      </c>
      <c r="O1292" s="9" t="s">
        <v>64</v>
      </c>
      <c r="P1292" s="40" t="s">
        <v>1729</v>
      </c>
      <c r="Q1292" s="9" t="s">
        <v>150</v>
      </c>
      <c r="R1292" s="9" t="s">
        <v>2119</v>
      </c>
      <c r="S1292" s="9" t="s">
        <v>638</v>
      </c>
      <c r="T1292" t="str">
        <f t="shared" si="12"/>
        <v>N</v>
      </c>
      <c r="W1292" s="12" t="str">
        <f t="array" ref="W1292">if(and(L1292=0,Q1292="NA"),"NA",if(L1292=0,"no lice",if(Q1292="NA","no collection",index(sea_lice!G:G,match(C1292,sea_lice!A:A,0)))))</f>
        <v>no lice</v>
      </c>
      <c r="X1292" s="23">
        <v>1291.0</v>
      </c>
    </row>
    <row r="1293">
      <c r="B1293" s="6">
        <v>16580.0</v>
      </c>
      <c r="C1293" s="12" t="str">
        <f t="shared" si="11"/>
        <v>U16580</v>
      </c>
      <c r="D1293" s="14" t="str">
        <f t="array" ref="D1293">iferror(index('2018_ufns'!E:E,match(C1293,'2018_ufns'!B:B,0)))</f>
        <v>P1058</v>
      </c>
      <c r="E1293" s="14">
        <v>43473.0</v>
      </c>
      <c r="F1293" s="40" t="s">
        <v>53</v>
      </c>
      <c r="G1293" s="40" t="s">
        <v>54</v>
      </c>
      <c r="H1293" s="9">
        <v>8.9</v>
      </c>
      <c r="I1293" s="13">
        <v>96.0</v>
      </c>
      <c r="J1293" s="13">
        <v>100.0</v>
      </c>
      <c r="K1293" s="17">
        <f t="shared" si="10"/>
        <v>0.89</v>
      </c>
      <c r="L1293" s="9">
        <v>0.0</v>
      </c>
      <c r="O1293" s="9" t="s">
        <v>64</v>
      </c>
      <c r="P1293" s="40" t="s">
        <v>1729</v>
      </c>
      <c r="Q1293" s="9" t="s">
        <v>150</v>
      </c>
      <c r="R1293" s="9" t="s">
        <v>2119</v>
      </c>
      <c r="S1293" s="9" t="s">
        <v>638</v>
      </c>
      <c r="T1293" t="str">
        <f t="shared" si="12"/>
        <v>N</v>
      </c>
      <c r="W1293" s="12" t="str">
        <f t="array" ref="W1293">if(and(L1293=0,Q1293="NA"),"NA",if(L1293=0,"no lice",if(Q1293="NA","no collection",index(sea_lice!G:G,match(C1293,sea_lice!A:A,0)))))</f>
        <v>no lice</v>
      </c>
      <c r="X1293" s="23">
        <v>1292.0</v>
      </c>
    </row>
    <row r="1294">
      <c r="B1294" s="6">
        <v>16574.0</v>
      </c>
      <c r="C1294" s="12" t="str">
        <f t="shared" si="11"/>
        <v>U16574</v>
      </c>
      <c r="D1294" s="14" t="str">
        <f t="array" ref="D1294">iferror(index('2018_ufns'!E:E,match(C1294,'2018_ufns'!B:B,0)))</f>
        <v>P1058</v>
      </c>
      <c r="E1294" s="14">
        <v>43473.0</v>
      </c>
      <c r="F1294" s="40" t="s">
        <v>53</v>
      </c>
      <c r="G1294" s="40" t="s">
        <v>54</v>
      </c>
      <c r="H1294" s="9">
        <v>10.8</v>
      </c>
      <c r="I1294" s="13">
        <v>102.0</v>
      </c>
      <c r="J1294" s="13">
        <v>107.0</v>
      </c>
      <c r="K1294" s="17">
        <f t="shared" si="10"/>
        <v>0.881601707</v>
      </c>
      <c r="L1294" s="9">
        <v>1.0</v>
      </c>
      <c r="O1294" s="9" t="s">
        <v>64</v>
      </c>
      <c r="P1294" s="40" t="s">
        <v>1729</v>
      </c>
      <c r="Q1294" s="9" t="s">
        <v>150</v>
      </c>
      <c r="R1294" s="9" t="s">
        <v>2119</v>
      </c>
      <c r="S1294" s="9" t="s">
        <v>638</v>
      </c>
      <c r="T1294" t="str">
        <f t="shared" si="12"/>
        <v>N</v>
      </c>
      <c r="W1294" s="12" t="str">
        <f t="array" ref="W1294">if(and(L1294=0,Q1294="NA"),"NA",if(L1294=0,"no lice",if(Q1294="NA","no collection",index(sea_lice!G:G,match(C1294,sea_lice!A:A,0)))))</f>
        <v>BSL8-23</v>
      </c>
      <c r="X1294" s="23">
        <v>1293.0</v>
      </c>
    </row>
    <row r="1295">
      <c r="B1295" s="6">
        <v>16577.0</v>
      </c>
      <c r="C1295" s="12" t="str">
        <f t="shared" si="11"/>
        <v>U16577</v>
      </c>
      <c r="D1295" s="14" t="str">
        <f t="array" ref="D1295">iferror(index('2018_ufns'!E:E,match(C1295,'2018_ufns'!B:B,0)))</f>
        <v>P1058</v>
      </c>
      <c r="E1295" s="14">
        <v>43473.0</v>
      </c>
      <c r="F1295" s="40" t="s">
        <v>53</v>
      </c>
      <c r="G1295" s="40" t="s">
        <v>54</v>
      </c>
      <c r="H1295" s="9">
        <v>8.5</v>
      </c>
      <c r="I1295" s="13">
        <v>91.0</v>
      </c>
      <c r="J1295" s="13">
        <v>95.0</v>
      </c>
      <c r="K1295" s="17">
        <f t="shared" si="10"/>
        <v>0.991398163</v>
      </c>
      <c r="L1295" s="9">
        <v>1.0</v>
      </c>
      <c r="O1295" s="9" t="s">
        <v>64</v>
      </c>
      <c r="P1295" s="40" t="s">
        <v>1729</v>
      </c>
      <c r="Q1295" s="9" t="s">
        <v>150</v>
      </c>
      <c r="R1295" s="9" t="s">
        <v>2119</v>
      </c>
      <c r="S1295" s="9" t="s">
        <v>638</v>
      </c>
      <c r="T1295" t="str">
        <f t="shared" si="12"/>
        <v>N</v>
      </c>
      <c r="W1295" s="12" t="str">
        <f t="array" ref="W1295">if(and(L1295=0,Q1295="NA"),"NA",if(L1295=0,"no lice",if(Q1295="NA","no collection",index(sea_lice!G:G,match(C1295,sea_lice!A:A,0)))))</f>
        <v>BSL8-24</v>
      </c>
      <c r="X1295" s="23">
        <v>1294.0</v>
      </c>
    </row>
    <row r="1296">
      <c r="B1296" s="6">
        <v>16579.0</v>
      </c>
      <c r="C1296" s="12" t="str">
        <f t="shared" si="11"/>
        <v>U16579</v>
      </c>
      <c r="D1296" s="14" t="str">
        <f t="array" ref="D1296">iferror(index('2018_ufns'!E:E,match(C1296,'2018_ufns'!B:B,0)))</f>
        <v>P1058</v>
      </c>
      <c r="E1296" s="14">
        <v>43473.0</v>
      </c>
      <c r="F1296" s="40" t="s">
        <v>53</v>
      </c>
      <c r="G1296" s="40" t="s">
        <v>54</v>
      </c>
      <c r="H1296" s="9" t="s">
        <v>63</v>
      </c>
      <c r="I1296" s="13">
        <v>97.0</v>
      </c>
      <c r="J1296" s="13">
        <v>101.0</v>
      </c>
      <c r="K1296" s="17" t="str">
        <f t="shared" si="10"/>
        <v/>
      </c>
      <c r="L1296" s="9">
        <v>0.0</v>
      </c>
      <c r="M1296" s="9" t="s">
        <v>2166</v>
      </c>
      <c r="O1296" s="9" t="s">
        <v>64</v>
      </c>
      <c r="P1296" s="40" t="s">
        <v>1729</v>
      </c>
      <c r="Q1296" s="9" t="s">
        <v>150</v>
      </c>
      <c r="R1296" s="9" t="s">
        <v>2119</v>
      </c>
      <c r="S1296" s="9" t="s">
        <v>638</v>
      </c>
      <c r="T1296" t="str">
        <f t="shared" si="12"/>
        <v>N</v>
      </c>
      <c r="W1296" s="12" t="str">
        <f t="array" ref="W1296">if(and(L1296=0,Q1296="NA"),"NA",if(L1296=0,"no lice",if(Q1296="NA","no collection",index(sea_lice!G:G,match(C1296,sea_lice!A:A,0)))))</f>
        <v>no lice</v>
      </c>
      <c r="X1296" s="23">
        <v>1295.0</v>
      </c>
    </row>
    <row r="1297">
      <c r="B1297" s="6">
        <v>16576.0</v>
      </c>
      <c r="C1297" s="12" t="str">
        <f t="shared" si="11"/>
        <v>U16576</v>
      </c>
      <c r="D1297" s="14" t="str">
        <f t="array" ref="D1297">iferror(index('2018_ufns'!E:E,match(C1297,'2018_ufns'!B:B,0)))</f>
        <v>P1058</v>
      </c>
      <c r="E1297" s="14">
        <v>43473.0</v>
      </c>
      <c r="F1297" s="40" t="s">
        <v>53</v>
      </c>
      <c r="G1297" s="40" t="s">
        <v>54</v>
      </c>
      <c r="H1297" s="9">
        <v>9.6</v>
      </c>
      <c r="I1297" s="13">
        <v>97.0</v>
      </c>
      <c r="J1297" s="13">
        <v>101.0</v>
      </c>
      <c r="K1297" s="17">
        <f t="shared" si="10"/>
        <v>0.931766542</v>
      </c>
      <c r="L1297" s="9">
        <v>0.0</v>
      </c>
      <c r="O1297" s="9" t="s">
        <v>64</v>
      </c>
      <c r="P1297" s="40" t="s">
        <v>1729</v>
      </c>
      <c r="Q1297" s="9" t="s">
        <v>150</v>
      </c>
      <c r="R1297" s="9" t="s">
        <v>2119</v>
      </c>
      <c r="S1297" s="9" t="s">
        <v>638</v>
      </c>
      <c r="T1297" t="str">
        <f t="shared" si="12"/>
        <v>N</v>
      </c>
      <c r="W1297" s="12" t="str">
        <f t="array" ref="W1297">if(and(L1297=0,Q1297="NA"),"NA",if(L1297=0,"no lice",if(Q1297="NA","no collection",index(sea_lice!G:G,match(C1297,sea_lice!A:A,0)))))</f>
        <v>no lice</v>
      </c>
      <c r="X1297" s="23">
        <v>1296.0</v>
      </c>
    </row>
    <row r="1298">
      <c r="B1298" s="6">
        <v>16578.0</v>
      </c>
      <c r="C1298" s="12" t="str">
        <f t="shared" si="11"/>
        <v>U16578</v>
      </c>
      <c r="D1298" s="14" t="str">
        <f t="array" ref="D1298">iferror(index('2018_ufns'!E:E,match(C1298,'2018_ufns'!B:B,0)))</f>
        <v>P1058</v>
      </c>
      <c r="E1298" s="14">
        <v>43473.0</v>
      </c>
      <c r="F1298" s="40" t="s">
        <v>53</v>
      </c>
      <c r="G1298" s="40" t="s">
        <v>54</v>
      </c>
      <c r="H1298" s="9">
        <v>8.7</v>
      </c>
      <c r="I1298" s="13">
        <v>96.0</v>
      </c>
      <c r="J1298" s="13">
        <v>100.0</v>
      </c>
      <c r="K1298" s="17">
        <f t="shared" si="10"/>
        <v>0.87</v>
      </c>
      <c r="L1298" s="9">
        <v>0.0</v>
      </c>
      <c r="O1298" s="9" t="s">
        <v>64</v>
      </c>
      <c r="P1298" s="40" t="s">
        <v>1729</v>
      </c>
      <c r="Q1298" s="9" t="s">
        <v>150</v>
      </c>
      <c r="R1298" s="9" t="s">
        <v>2119</v>
      </c>
      <c r="S1298" s="9" t="s">
        <v>638</v>
      </c>
      <c r="T1298" t="str">
        <f t="shared" si="12"/>
        <v>N</v>
      </c>
      <c r="W1298" s="12" t="str">
        <f t="array" ref="W1298">if(and(L1298=0,Q1298="NA"),"NA",if(L1298=0,"no lice",if(Q1298="NA","no collection",index(sea_lice!G:G,match(C1298,sea_lice!A:A,0)))))</f>
        <v>no lice</v>
      </c>
      <c r="X1298" s="23">
        <v>1297.0</v>
      </c>
    </row>
    <row r="1299">
      <c r="B1299" s="6">
        <v>16572.0</v>
      </c>
      <c r="C1299" s="12" t="str">
        <f t="shared" si="11"/>
        <v>U16572</v>
      </c>
      <c r="D1299" s="14" t="str">
        <f t="array" ref="D1299">iferror(index('2018_ufns'!E:E,match(C1299,'2018_ufns'!B:B,0)))</f>
        <v>P1058</v>
      </c>
      <c r="E1299" s="14">
        <v>43473.0</v>
      </c>
      <c r="F1299" s="40" t="s">
        <v>53</v>
      </c>
      <c r="G1299" s="40" t="s">
        <v>54</v>
      </c>
      <c r="H1299" s="9">
        <v>13.1</v>
      </c>
      <c r="I1299" s="13">
        <v>111.0</v>
      </c>
      <c r="J1299" s="13">
        <v>115.0</v>
      </c>
      <c r="K1299" s="17">
        <f t="shared" si="10"/>
        <v>0.8613462645</v>
      </c>
      <c r="L1299" s="9">
        <v>0.0</v>
      </c>
      <c r="O1299" s="9" t="s">
        <v>64</v>
      </c>
      <c r="P1299" s="40" t="s">
        <v>1729</v>
      </c>
      <c r="Q1299" s="9" t="s">
        <v>150</v>
      </c>
      <c r="R1299" s="9" t="s">
        <v>2119</v>
      </c>
      <c r="S1299" s="9" t="s">
        <v>638</v>
      </c>
      <c r="T1299" t="str">
        <f t="shared" si="12"/>
        <v>N</v>
      </c>
      <c r="W1299" s="12" t="str">
        <f t="array" ref="W1299">if(and(L1299=0,Q1299="NA"),"NA",if(L1299=0,"no lice",if(Q1299="NA","no collection",index(sea_lice!G:G,match(C1299,sea_lice!A:A,0)))))</f>
        <v>no lice</v>
      </c>
      <c r="X1299" s="23">
        <v>1298.0</v>
      </c>
    </row>
    <row r="1300">
      <c r="B1300" s="6">
        <v>16486.0</v>
      </c>
      <c r="C1300" s="12" t="str">
        <f t="shared" si="11"/>
        <v>U16486</v>
      </c>
      <c r="D1300" s="14" t="str">
        <f t="array" ref="D1300">iferror(index('2018_ufns'!E:E,match(C1300,'2018_ufns'!B:B,0)))</f>
        <v>P1049</v>
      </c>
      <c r="E1300" s="14">
        <v>43474.0</v>
      </c>
      <c r="F1300" s="40" t="s">
        <v>53</v>
      </c>
      <c r="G1300" s="40" t="s">
        <v>54</v>
      </c>
      <c r="H1300" s="9">
        <v>2.7</v>
      </c>
      <c r="I1300" s="13">
        <v>70.0</v>
      </c>
      <c r="J1300" s="13" t="s">
        <v>63</v>
      </c>
      <c r="K1300" s="17" t="str">
        <f t="shared" si="10"/>
        <v/>
      </c>
      <c r="L1300" s="9">
        <v>1.0</v>
      </c>
      <c r="O1300" s="9" t="s">
        <v>638</v>
      </c>
      <c r="P1300" s="40" t="s">
        <v>1729</v>
      </c>
      <c r="Q1300" s="9" t="s">
        <v>150</v>
      </c>
      <c r="R1300" s="9" t="s">
        <v>2119</v>
      </c>
      <c r="S1300" s="9" t="s">
        <v>64</v>
      </c>
      <c r="T1300" t="str">
        <f t="shared" si="12"/>
        <v>N</v>
      </c>
      <c r="W1300" s="12" t="str">
        <f t="array" ref="W1300">if(and(L1300=0,Q1300="NA"),"NA",if(L1300=0,"no lice",if(Q1300="NA","no collection",index(sea_lice!G:G,match(C1300,sea_lice!A:A,0)))))</f>
        <v>BSL8-28</v>
      </c>
      <c r="X1300" s="23">
        <v>1299.0</v>
      </c>
    </row>
    <row r="1301">
      <c r="B1301" s="6">
        <v>16490.0</v>
      </c>
      <c r="C1301" s="12" t="str">
        <f t="shared" si="11"/>
        <v>U16490</v>
      </c>
      <c r="D1301" s="14" t="str">
        <f t="array" ref="D1301">iferror(index('2018_ufns'!E:E,match(C1301,'2018_ufns'!B:B,0)))</f>
        <v>P1049</v>
      </c>
      <c r="E1301" s="14">
        <v>43474.0</v>
      </c>
      <c r="F1301" s="40" t="s">
        <v>53</v>
      </c>
      <c r="G1301" s="40" t="s">
        <v>54</v>
      </c>
      <c r="H1301" s="9">
        <v>5.0</v>
      </c>
      <c r="I1301" s="13">
        <v>84.0</v>
      </c>
      <c r="J1301" s="13">
        <v>88.0</v>
      </c>
      <c r="K1301" s="17">
        <f t="shared" si="10"/>
        <v>0.7337058603</v>
      </c>
      <c r="L1301" s="9">
        <v>0.0</v>
      </c>
      <c r="O1301" s="9" t="s">
        <v>638</v>
      </c>
      <c r="P1301" s="40" t="s">
        <v>1729</v>
      </c>
      <c r="Q1301" s="9" t="s">
        <v>150</v>
      </c>
      <c r="R1301" s="9" t="s">
        <v>2119</v>
      </c>
      <c r="S1301" s="9" t="s">
        <v>64</v>
      </c>
      <c r="T1301" t="str">
        <f t="shared" si="12"/>
        <v>N</v>
      </c>
      <c r="W1301" s="12" t="str">
        <f t="array" ref="W1301">if(and(L1301=0,Q1301="NA"),"NA",if(L1301=0,"no lice",if(Q1301="NA","no collection",index(sea_lice!G:G,match(C1301,sea_lice!A:A,0)))))</f>
        <v>no lice</v>
      </c>
      <c r="X1301" s="23">
        <v>1300.0</v>
      </c>
    </row>
    <row r="1302">
      <c r="B1302" s="6">
        <v>16487.0</v>
      </c>
      <c r="C1302" s="12" t="str">
        <f t="shared" si="11"/>
        <v>U16487</v>
      </c>
      <c r="D1302" s="14" t="str">
        <f t="array" ref="D1302">iferror(index('2018_ufns'!E:E,match(C1302,'2018_ufns'!B:B,0)))</f>
        <v>P1049</v>
      </c>
      <c r="E1302" s="14">
        <v>43474.0</v>
      </c>
      <c r="F1302" s="40" t="s">
        <v>53</v>
      </c>
      <c r="G1302" s="40" t="s">
        <v>54</v>
      </c>
      <c r="H1302" s="9">
        <v>5.7</v>
      </c>
      <c r="I1302" s="13">
        <v>87.0</v>
      </c>
      <c r="J1302" s="13" t="s">
        <v>63</v>
      </c>
      <c r="K1302" s="17" t="str">
        <f t="shared" si="10"/>
        <v/>
      </c>
      <c r="L1302" s="9">
        <v>0.0</v>
      </c>
      <c r="O1302" s="9" t="s">
        <v>638</v>
      </c>
      <c r="P1302" s="40" t="s">
        <v>1729</v>
      </c>
      <c r="Q1302" s="9" t="s">
        <v>150</v>
      </c>
      <c r="R1302" s="9" t="s">
        <v>2119</v>
      </c>
      <c r="S1302" s="9" t="s">
        <v>64</v>
      </c>
      <c r="T1302" t="str">
        <f t="shared" si="12"/>
        <v>N</v>
      </c>
      <c r="W1302" s="12" t="str">
        <f t="array" ref="W1302">if(and(L1302=0,Q1302="NA"),"NA",if(L1302=0,"no lice",if(Q1302="NA","no collection",index(sea_lice!G:G,match(C1302,sea_lice!A:A,0)))))</f>
        <v>no lice</v>
      </c>
      <c r="X1302" s="23">
        <v>1301.0</v>
      </c>
    </row>
    <row r="1303">
      <c r="B1303" s="6">
        <v>16488.0</v>
      </c>
      <c r="C1303" s="12" t="str">
        <f t="shared" si="11"/>
        <v>U16488</v>
      </c>
      <c r="D1303" s="14" t="str">
        <f t="array" ref="D1303">iferror(index('2018_ufns'!E:E,match(C1303,'2018_ufns'!B:B,0)))</f>
        <v>P1049</v>
      </c>
      <c r="E1303" s="14">
        <v>43474.0</v>
      </c>
      <c r="F1303" s="40" t="s">
        <v>53</v>
      </c>
      <c r="G1303" s="40" t="s">
        <v>54</v>
      </c>
      <c r="H1303" s="9">
        <v>7.6</v>
      </c>
      <c r="I1303" s="13">
        <v>91.0</v>
      </c>
      <c r="J1303" s="13" t="s">
        <v>63</v>
      </c>
      <c r="K1303" s="17" t="str">
        <f t="shared" si="10"/>
        <v/>
      </c>
      <c r="L1303" s="9">
        <v>0.0</v>
      </c>
      <c r="O1303" s="9" t="s">
        <v>638</v>
      </c>
      <c r="P1303" s="40" t="s">
        <v>1729</v>
      </c>
      <c r="Q1303" s="9" t="s">
        <v>150</v>
      </c>
      <c r="R1303" s="9" t="s">
        <v>2119</v>
      </c>
      <c r="S1303" s="9" t="s">
        <v>64</v>
      </c>
      <c r="T1303" t="str">
        <f t="shared" si="12"/>
        <v>N</v>
      </c>
      <c r="W1303" s="12" t="str">
        <f t="array" ref="W1303">if(and(L1303=0,Q1303="NA"),"NA",if(L1303=0,"no lice",if(Q1303="NA","no collection",index(sea_lice!G:G,match(C1303,sea_lice!A:A,0)))))</f>
        <v>no lice</v>
      </c>
      <c r="X1303" s="23">
        <v>1302.0</v>
      </c>
    </row>
    <row r="1304">
      <c r="B1304" s="6">
        <v>16489.0</v>
      </c>
      <c r="C1304" s="12" t="str">
        <f t="shared" si="11"/>
        <v>U16489</v>
      </c>
      <c r="D1304" s="14" t="str">
        <f t="array" ref="D1304">iferror(index('2018_ufns'!E:E,match(C1304,'2018_ufns'!B:B,0)))</f>
        <v>P1049</v>
      </c>
      <c r="E1304" s="14">
        <v>43474.0</v>
      </c>
      <c r="F1304" s="40" t="s">
        <v>53</v>
      </c>
      <c r="G1304" s="40" t="s">
        <v>54</v>
      </c>
      <c r="H1304" s="9">
        <v>5.8</v>
      </c>
      <c r="I1304" s="13">
        <v>86.0</v>
      </c>
      <c r="J1304" s="13" t="s">
        <v>63</v>
      </c>
      <c r="K1304" s="17" t="str">
        <f t="shared" si="10"/>
        <v/>
      </c>
      <c r="L1304" s="9">
        <v>0.0</v>
      </c>
      <c r="O1304" s="9" t="s">
        <v>638</v>
      </c>
      <c r="P1304" s="40" t="s">
        <v>1729</v>
      </c>
      <c r="Q1304" s="9" t="s">
        <v>150</v>
      </c>
      <c r="R1304" s="9" t="s">
        <v>2119</v>
      </c>
      <c r="S1304" s="9" t="s">
        <v>64</v>
      </c>
      <c r="T1304" t="str">
        <f t="shared" si="12"/>
        <v>N</v>
      </c>
      <c r="W1304" s="12" t="str">
        <f t="array" ref="W1304">if(and(L1304=0,Q1304="NA"),"NA",if(L1304=0,"no lice",if(Q1304="NA","no collection",index(sea_lice!G:G,match(C1304,sea_lice!A:A,0)))))</f>
        <v>no lice</v>
      </c>
      <c r="X1304" s="23">
        <v>1303.0</v>
      </c>
    </row>
    <row r="1305">
      <c r="B1305" s="6">
        <v>16484.0</v>
      </c>
      <c r="C1305" s="12" t="str">
        <f t="shared" si="11"/>
        <v>U16484</v>
      </c>
      <c r="D1305" s="14" t="str">
        <f t="array" ref="D1305">iferror(index('2018_ufns'!E:E,match(C1305,'2018_ufns'!B:B,0)))</f>
        <v>P1049</v>
      </c>
      <c r="E1305" s="14">
        <v>43474.0</v>
      </c>
      <c r="F1305" s="40" t="s">
        <v>53</v>
      </c>
      <c r="G1305" s="40" t="s">
        <v>54</v>
      </c>
      <c r="H1305" s="9">
        <v>7.4</v>
      </c>
      <c r="I1305" s="13">
        <v>95.0</v>
      </c>
      <c r="J1305" s="13">
        <v>99.0</v>
      </c>
      <c r="K1305" s="17">
        <f t="shared" si="10"/>
        <v>0.7626515126</v>
      </c>
      <c r="L1305" s="9">
        <v>0.0</v>
      </c>
      <c r="O1305" s="9" t="s">
        <v>638</v>
      </c>
      <c r="P1305" s="40" t="s">
        <v>1729</v>
      </c>
      <c r="Q1305" s="9" t="s">
        <v>150</v>
      </c>
      <c r="R1305" s="9" t="s">
        <v>2119</v>
      </c>
      <c r="S1305" s="9" t="s">
        <v>64</v>
      </c>
      <c r="T1305" t="str">
        <f t="shared" si="12"/>
        <v>N</v>
      </c>
      <c r="W1305" s="12" t="str">
        <f t="array" ref="W1305">if(and(L1305=0,Q1305="NA"),"NA",if(L1305=0,"no lice",if(Q1305="NA","no collection",index(sea_lice!G:G,match(C1305,sea_lice!A:A,0)))))</f>
        <v>no lice</v>
      </c>
      <c r="X1305" s="23">
        <v>1304.0</v>
      </c>
    </row>
    <row r="1306">
      <c r="B1306" s="6">
        <v>16483.0</v>
      </c>
      <c r="C1306" s="12" t="str">
        <f t="shared" si="11"/>
        <v>U16483</v>
      </c>
      <c r="D1306" s="14" t="str">
        <f t="array" ref="D1306">iferror(index('2018_ufns'!E:E,match(C1306,'2018_ufns'!B:B,0)))</f>
        <v>P1049</v>
      </c>
      <c r="E1306" s="14">
        <v>43474.0</v>
      </c>
      <c r="F1306" s="40" t="s">
        <v>53</v>
      </c>
      <c r="G1306" s="40" t="s">
        <v>54</v>
      </c>
      <c r="H1306" s="9">
        <v>6.8</v>
      </c>
      <c r="I1306" s="13">
        <v>90.0</v>
      </c>
      <c r="J1306" s="13">
        <v>94.0</v>
      </c>
      <c r="K1306" s="17">
        <f t="shared" si="10"/>
        <v>0.8187010585</v>
      </c>
      <c r="L1306" s="9">
        <v>0.0</v>
      </c>
      <c r="O1306" s="9" t="s">
        <v>638</v>
      </c>
      <c r="P1306" s="40" t="s">
        <v>1729</v>
      </c>
      <c r="Q1306" s="9" t="s">
        <v>150</v>
      </c>
      <c r="R1306" s="9" t="s">
        <v>2119</v>
      </c>
      <c r="S1306" s="9" t="s">
        <v>64</v>
      </c>
      <c r="T1306" t="str">
        <f t="shared" si="12"/>
        <v>N</v>
      </c>
      <c r="W1306" s="12" t="str">
        <f t="array" ref="W1306">if(and(L1306=0,Q1306="NA"),"NA",if(L1306=0,"no lice",if(Q1306="NA","no collection",index(sea_lice!G:G,match(C1306,sea_lice!A:A,0)))))</f>
        <v>no lice</v>
      </c>
      <c r="X1306" s="23">
        <v>1305.0</v>
      </c>
    </row>
    <row r="1307">
      <c r="B1307" s="6">
        <v>16482.0</v>
      </c>
      <c r="C1307" s="12" t="str">
        <f t="shared" si="11"/>
        <v>U16482</v>
      </c>
      <c r="D1307" s="14" t="str">
        <f t="array" ref="D1307">iferror(index('2018_ufns'!E:E,match(C1307,'2018_ufns'!B:B,0)))</f>
        <v>P1049</v>
      </c>
      <c r="E1307" s="14">
        <v>43474.0</v>
      </c>
      <c r="F1307" s="40" t="s">
        <v>53</v>
      </c>
      <c r="G1307" s="40" t="s">
        <v>54</v>
      </c>
      <c r="H1307" s="9">
        <v>5.2</v>
      </c>
      <c r="I1307" s="13">
        <v>82.0</v>
      </c>
      <c r="J1307" s="13" t="s">
        <v>63</v>
      </c>
      <c r="K1307" s="17" t="str">
        <f t="shared" si="10"/>
        <v/>
      </c>
      <c r="L1307" s="9">
        <v>0.0</v>
      </c>
      <c r="O1307" s="9" t="s">
        <v>638</v>
      </c>
      <c r="P1307" s="40" t="s">
        <v>1729</v>
      </c>
      <c r="Q1307" s="9" t="s">
        <v>150</v>
      </c>
      <c r="R1307" s="9" t="s">
        <v>2119</v>
      </c>
      <c r="S1307" s="9" t="s">
        <v>64</v>
      </c>
      <c r="T1307" t="str">
        <f t="shared" si="12"/>
        <v>N</v>
      </c>
      <c r="W1307" s="12" t="str">
        <f t="array" ref="W1307">if(and(L1307=0,Q1307="NA"),"NA",if(L1307=0,"no lice",if(Q1307="NA","no collection",index(sea_lice!G:G,match(C1307,sea_lice!A:A,0)))))</f>
        <v>no lice</v>
      </c>
      <c r="X1307" s="23">
        <v>1306.0</v>
      </c>
    </row>
    <row r="1308">
      <c r="B1308" s="6">
        <v>16485.0</v>
      </c>
      <c r="C1308" s="12" t="str">
        <f t="shared" si="11"/>
        <v>U16485</v>
      </c>
      <c r="D1308" s="14" t="str">
        <f t="array" ref="D1308">iferror(index('2018_ufns'!E:E,match(C1308,'2018_ufns'!B:B,0)))</f>
        <v>P1049</v>
      </c>
      <c r="E1308" s="14">
        <v>43474.0</v>
      </c>
      <c r="F1308" s="40" t="s">
        <v>53</v>
      </c>
      <c r="G1308" s="40" t="s">
        <v>54</v>
      </c>
      <c r="H1308" s="9">
        <v>3.7</v>
      </c>
      <c r="I1308" s="13">
        <v>72.0</v>
      </c>
      <c r="J1308" s="13" t="s">
        <v>63</v>
      </c>
      <c r="K1308" s="17" t="str">
        <f t="shared" si="10"/>
        <v/>
      </c>
      <c r="L1308" s="9">
        <v>0.0</v>
      </c>
      <c r="O1308" s="9" t="s">
        <v>638</v>
      </c>
      <c r="P1308" s="40" t="s">
        <v>1729</v>
      </c>
      <c r="Q1308" s="9" t="s">
        <v>150</v>
      </c>
      <c r="R1308" s="9" t="s">
        <v>2119</v>
      </c>
      <c r="S1308" s="9" t="s">
        <v>64</v>
      </c>
      <c r="T1308" t="str">
        <f t="shared" si="12"/>
        <v>N</v>
      </c>
      <c r="W1308" s="12" t="str">
        <f t="array" ref="W1308">if(and(L1308=0,Q1308="NA"),"NA",if(L1308=0,"no lice",if(Q1308="NA","no collection",index(sea_lice!G:G,match(C1308,sea_lice!A:A,0)))))</f>
        <v>no lice</v>
      </c>
      <c r="X1308" s="23">
        <v>1307.0</v>
      </c>
    </row>
    <row r="1309">
      <c r="B1309" s="6">
        <v>16481.0</v>
      </c>
      <c r="C1309" s="12" t="str">
        <f t="shared" si="11"/>
        <v>U16481</v>
      </c>
      <c r="D1309" s="14" t="str">
        <f t="array" ref="D1309">iferror(index('2018_ufns'!E:E,match(C1309,'2018_ufns'!B:B,0)))</f>
        <v>P1049</v>
      </c>
      <c r="E1309" s="14">
        <v>43474.0</v>
      </c>
      <c r="F1309" s="40" t="s">
        <v>53</v>
      </c>
      <c r="G1309" s="40" t="s">
        <v>54</v>
      </c>
      <c r="H1309" s="9">
        <v>8.2</v>
      </c>
      <c r="I1309" s="13">
        <v>94.0</v>
      </c>
      <c r="J1309" s="13" t="s">
        <v>63</v>
      </c>
      <c r="K1309" s="17" t="str">
        <f t="shared" si="10"/>
        <v/>
      </c>
      <c r="L1309" s="9">
        <v>0.0</v>
      </c>
      <c r="O1309" s="9" t="s">
        <v>638</v>
      </c>
      <c r="P1309" s="40" t="s">
        <v>1729</v>
      </c>
      <c r="Q1309" s="9" t="s">
        <v>150</v>
      </c>
      <c r="R1309" s="9" t="s">
        <v>2119</v>
      </c>
      <c r="S1309" s="9" t="s">
        <v>64</v>
      </c>
      <c r="T1309" t="str">
        <f t="shared" si="12"/>
        <v>N</v>
      </c>
      <c r="W1309" s="12" t="str">
        <f t="array" ref="W1309">if(and(L1309=0,Q1309="NA"),"NA",if(L1309=0,"no lice",if(Q1309="NA","no collection",index(sea_lice!G:G,match(C1309,sea_lice!A:A,0)))))</f>
        <v>no lice</v>
      </c>
      <c r="X1309" s="23">
        <v>1308.0</v>
      </c>
    </row>
    <row r="1310">
      <c r="B1310" s="6">
        <v>17190.0</v>
      </c>
      <c r="C1310" s="12" t="str">
        <f t="shared" si="11"/>
        <v>U17190</v>
      </c>
      <c r="D1310" s="14" t="str">
        <f t="array" ref="D1310">iferror(index('2018_ufns'!E:E,match(C1310,'2018_ufns'!B:B,0)))</f>
        <v>P1119</v>
      </c>
      <c r="E1310" s="14">
        <v>43474.0</v>
      </c>
      <c r="F1310" s="40" t="s">
        <v>53</v>
      </c>
      <c r="G1310" s="40" t="s">
        <v>54</v>
      </c>
      <c r="H1310" s="9">
        <v>4.4</v>
      </c>
      <c r="I1310" s="13">
        <v>78.0</v>
      </c>
      <c r="J1310" s="13">
        <v>81.0</v>
      </c>
      <c r="K1310" s="17">
        <f t="shared" si="10"/>
        <v>0.8279376262</v>
      </c>
      <c r="L1310" s="9">
        <v>0.0</v>
      </c>
      <c r="O1310" s="9" t="s">
        <v>638</v>
      </c>
      <c r="P1310" s="40" t="s">
        <v>1729</v>
      </c>
      <c r="Q1310" s="9" t="s">
        <v>62</v>
      </c>
      <c r="R1310" s="9" t="s">
        <v>2119</v>
      </c>
      <c r="S1310" s="9" t="s">
        <v>64</v>
      </c>
      <c r="T1310" t="str">
        <f t="shared" si="12"/>
        <v>N</v>
      </c>
      <c r="W1310" s="12" t="str">
        <f t="array" ref="W1310">if(and(L1310=0,Q1310="NA"),"NA",if(L1310=0,"no lice",if(Q1310="NA","no collection",index(sea_lice!G:G,match(C1310,sea_lice!A:A,0)))))</f>
        <v>no lice</v>
      </c>
      <c r="X1310" s="23">
        <v>1309.0</v>
      </c>
    </row>
    <row r="1311">
      <c r="B1311" s="6">
        <v>17189.0</v>
      </c>
      <c r="C1311" s="12" t="str">
        <f t="shared" si="11"/>
        <v>U17189</v>
      </c>
      <c r="D1311" s="14" t="str">
        <f t="array" ref="D1311">iferror(index('2018_ufns'!E:E,match(C1311,'2018_ufns'!B:B,0)))</f>
        <v>P1119</v>
      </c>
      <c r="E1311" s="14">
        <v>43474.0</v>
      </c>
      <c r="F1311" s="40" t="s">
        <v>53</v>
      </c>
      <c r="G1311" s="40" t="s">
        <v>54</v>
      </c>
      <c r="H1311" s="9">
        <v>3.4</v>
      </c>
      <c r="I1311" s="13">
        <v>71.0</v>
      </c>
      <c r="J1311" s="13">
        <v>75.0</v>
      </c>
      <c r="K1311" s="17">
        <f t="shared" si="10"/>
        <v>0.8059259259</v>
      </c>
      <c r="L1311" s="9">
        <v>1.0</v>
      </c>
      <c r="O1311" s="9" t="s">
        <v>638</v>
      </c>
      <c r="P1311" s="40" t="s">
        <v>1729</v>
      </c>
      <c r="Q1311" s="9" t="s">
        <v>62</v>
      </c>
      <c r="R1311" s="9" t="s">
        <v>2119</v>
      </c>
      <c r="S1311" s="9" t="s">
        <v>64</v>
      </c>
      <c r="T1311" t="str">
        <f t="shared" si="12"/>
        <v>N</v>
      </c>
      <c r="W1311" s="12" t="str">
        <f t="array" ref="W1311">if(and(L1311=0,Q1311="NA"),"NA",if(L1311=0,"no lice",if(Q1311="NA","no collection",index(sea_lice!G:G,match(C1311,sea_lice!A:A,0)))))</f>
        <v>BSL2-83</v>
      </c>
      <c r="X1311" s="23">
        <v>1310.0</v>
      </c>
    </row>
    <row r="1312">
      <c r="B1312" s="6">
        <v>17188.0</v>
      </c>
      <c r="C1312" s="12" t="str">
        <f t="shared" si="11"/>
        <v>U17188</v>
      </c>
      <c r="D1312" s="14" t="str">
        <f t="array" ref="D1312">iferror(index('2018_ufns'!E:E,match(C1312,'2018_ufns'!B:B,0)))</f>
        <v>P1119</v>
      </c>
      <c r="E1312" s="14">
        <v>43474.0</v>
      </c>
      <c r="F1312" s="40" t="s">
        <v>53</v>
      </c>
      <c r="G1312" s="40" t="s">
        <v>54</v>
      </c>
      <c r="H1312" s="9">
        <v>4.0</v>
      </c>
      <c r="I1312" s="13">
        <v>76.0</v>
      </c>
      <c r="J1312" s="13" t="s">
        <v>63</v>
      </c>
      <c r="K1312" s="17" t="str">
        <f t="shared" si="10"/>
        <v/>
      </c>
      <c r="L1312" s="9">
        <v>0.0</v>
      </c>
      <c r="O1312" s="9" t="s">
        <v>638</v>
      </c>
      <c r="P1312" s="40" t="s">
        <v>1729</v>
      </c>
      <c r="Q1312" s="9" t="s">
        <v>62</v>
      </c>
      <c r="R1312" s="9" t="s">
        <v>2119</v>
      </c>
      <c r="S1312" s="9" t="s">
        <v>64</v>
      </c>
      <c r="T1312" t="str">
        <f t="shared" si="12"/>
        <v>N</v>
      </c>
      <c r="W1312" s="12" t="str">
        <f t="array" ref="W1312">if(and(L1312=0,Q1312="NA"),"NA",if(L1312=0,"no lice",if(Q1312="NA","no collection",index(sea_lice!G:G,match(C1312,sea_lice!A:A,0)))))</f>
        <v>no lice</v>
      </c>
      <c r="X1312" s="23">
        <v>1311.0</v>
      </c>
    </row>
    <row r="1313">
      <c r="B1313" s="6">
        <v>17187.0</v>
      </c>
      <c r="C1313" s="12" t="str">
        <f t="shared" si="11"/>
        <v>U17187</v>
      </c>
      <c r="D1313" s="14" t="str">
        <f t="array" ref="D1313">iferror(index('2018_ufns'!E:E,match(C1313,'2018_ufns'!B:B,0)))</f>
        <v>P1119</v>
      </c>
      <c r="E1313" s="14">
        <v>43474.0</v>
      </c>
      <c r="F1313" s="40" t="s">
        <v>53</v>
      </c>
      <c r="G1313" s="40" t="s">
        <v>54</v>
      </c>
      <c r="H1313" s="9">
        <v>8.9</v>
      </c>
      <c r="I1313" s="13">
        <v>95.0</v>
      </c>
      <c r="J1313" s="13">
        <v>101.0</v>
      </c>
      <c r="K1313" s="17">
        <f t="shared" si="10"/>
        <v>0.8638252317</v>
      </c>
      <c r="L1313" s="9">
        <v>0.0</v>
      </c>
      <c r="O1313" s="9" t="s">
        <v>638</v>
      </c>
      <c r="P1313" s="40" t="s">
        <v>1729</v>
      </c>
      <c r="Q1313" s="9" t="s">
        <v>62</v>
      </c>
      <c r="R1313" s="9" t="s">
        <v>2119</v>
      </c>
      <c r="S1313" s="9" t="s">
        <v>64</v>
      </c>
      <c r="T1313" t="str">
        <f t="shared" si="12"/>
        <v>N</v>
      </c>
      <c r="W1313" s="12" t="str">
        <f t="array" ref="W1313">if(and(L1313=0,Q1313="NA"),"NA",if(L1313=0,"no lice",if(Q1313="NA","no collection",index(sea_lice!G:G,match(C1313,sea_lice!A:A,0)))))</f>
        <v>no lice</v>
      </c>
      <c r="X1313" s="23">
        <v>1312.0</v>
      </c>
    </row>
    <row r="1314">
      <c r="B1314" s="6">
        <v>17186.0</v>
      </c>
      <c r="C1314" s="12" t="str">
        <f t="shared" si="11"/>
        <v>U17186</v>
      </c>
      <c r="D1314" s="14" t="str">
        <f t="array" ref="D1314">iferror(index('2018_ufns'!E:E,match(C1314,'2018_ufns'!B:B,0)))</f>
        <v>P1119</v>
      </c>
      <c r="E1314" s="14">
        <v>43474.0</v>
      </c>
      <c r="F1314" s="40" t="s">
        <v>53</v>
      </c>
      <c r="G1314" s="40" t="s">
        <v>54</v>
      </c>
      <c r="H1314" s="9">
        <v>3.5</v>
      </c>
      <c r="I1314" s="13">
        <v>71.0</v>
      </c>
      <c r="J1314" s="13" t="s">
        <v>63</v>
      </c>
      <c r="K1314" s="17" t="str">
        <f t="shared" si="10"/>
        <v/>
      </c>
      <c r="L1314" s="9">
        <v>2.0</v>
      </c>
      <c r="O1314" s="9" t="s">
        <v>638</v>
      </c>
      <c r="P1314" s="40" t="s">
        <v>1729</v>
      </c>
      <c r="Q1314" s="9" t="s">
        <v>62</v>
      </c>
      <c r="R1314" s="9" t="s">
        <v>2119</v>
      </c>
      <c r="S1314" s="9" t="s">
        <v>64</v>
      </c>
      <c r="T1314" t="str">
        <f t="shared" si="12"/>
        <v>N</v>
      </c>
      <c r="W1314" s="12" t="str">
        <f t="array" ref="W1314">if(and(L1314=0,Q1314="NA"),"NA",if(L1314=0,"no lice",if(Q1314="NA","no collection",index(sea_lice!G:G,match(C1314,sea_lice!A:A,0)))))</f>
        <v>BSL2-85</v>
      </c>
      <c r="X1314" s="23">
        <v>1313.0</v>
      </c>
    </row>
    <row r="1315">
      <c r="B1315" s="6">
        <v>17185.0</v>
      </c>
      <c r="C1315" s="12" t="str">
        <f t="shared" si="11"/>
        <v>U17185</v>
      </c>
      <c r="D1315" s="14" t="str">
        <f t="array" ref="D1315">iferror(index('2018_ufns'!E:E,match(C1315,'2018_ufns'!B:B,0)))</f>
        <v>P1119</v>
      </c>
      <c r="E1315" s="14">
        <v>43474.0</v>
      </c>
      <c r="F1315" s="40" t="s">
        <v>53</v>
      </c>
      <c r="G1315" s="40" t="s">
        <v>54</v>
      </c>
      <c r="H1315" s="9">
        <v>4.8</v>
      </c>
      <c r="I1315" s="13">
        <v>81.0</v>
      </c>
      <c r="J1315" s="13" t="s">
        <v>63</v>
      </c>
      <c r="K1315" s="17" t="str">
        <f t="shared" si="10"/>
        <v/>
      </c>
      <c r="L1315" s="9">
        <v>0.0</v>
      </c>
      <c r="O1315" s="9" t="s">
        <v>638</v>
      </c>
      <c r="P1315" s="40" t="s">
        <v>1729</v>
      </c>
      <c r="Q1315" s="9" t="s">
        <v>62</v>
      </c>
      <c r="R1315" s="9" t="s">
        <v>2119</v>
      </c>
      <c r="S1315" s="9" t="s">
        <v>64</v>
      </c>
      <c r="T1315" t="str">
        <f t="shared" si="12"/>
        <v>N</v>
      </c>
      <c r="W1315" s="12" t="str">
        <f t="array" ref="W1315">if(and(L1315=0,Q1315="NA"),"NA",if(L1315=0,"no lice",if(Q1315="NA","no collection",index(sea_lice!G:G,match(C1315,sea_lice!A:A,0)))))</f>
        <v>no lice</v>
      </c>
      <c r="X1315" s="23">
        <v>1314.0</v>
      </c>
    </row>
    <row r="1316">
      <c r="B1316" s="6">
        <v>17184.0</v>
      </c>
      <c r="C1316" s="12" t="str">
        <f t="shared" si="11"/>
        <v>U17184</v>
      </c>
      <c r="D1316" s="14" t="str">
        <f t="array" ref="D1316">iferror(index('2018_ufns'!E:E,match(C1316,'2018_ufns'!B:B,0)))</f>
        <v>P1119</v>
      </c>
      <c r="E1316" s="14">
        <v>43474.0</v>
      </c>
      <c r="F1316" s="40" t="s">
        <v>53</v>
      </c>
      <c r="G1316" s="40" t="s">
        <v>54</v>
      </c>
      <c r="H1316" s="9">
        <v>13.4</v>
      </c>
      <c r="I1316" s="13">
        <v>104.0</v>
      </c>
      <c r="J1316" s="13">
        <v>109.0</v>
      </c>
      <c r="K1316" s="17">
        <f t="shared" si="10"/>
        <v>1.034725863</v>
      </c>
      <c r="L1316" s="9">
        <v>0.0</v>
      </c>
      <c r="O1316" s="9" t="s">
        <v>638</v>
      </c>
      <c r="P1316" s="40" t="s">
        <v>1729</v>
      </c>
      <c r="Q1316" s="9" t="s">
        <v>62</v>
      </c>
      <c r="R1316" s="9" t="s">
        <v>2119</v>
      </c>
      <c r="S1316" s="9" t="s">
        <v>64</v>
      </c>
      <c r="T1316" t="str">
        <f t="shared" si="12"/>
        <v>N</v>
      </c>
      <c r="W1316" s="12" t="str">
        <f t="array" ref="W1316">if(and(L1316=0,Q1316="NA"),"NA",if(L1316=0,"no lice",if(Q1316="NA","no collection",index(sea_lice!G:G,match(C1316,sea_lice!A:A,0)))))</f>
        <v>no lice</v>
      </c>
      <c r="X1316" s="23">
        <v>1315.0</v>
      </c>
    </row>
    <row r="1317">
      <c r="B1317" s="6">
        <v>17181.0</v>
      </c>
      <c r="C1317" s="12" t="str">
        <f t="shared" si="11"/>
        <v>U17181</v>
      </c>
      <c r="D1317" s="14" t="str">
        <f t="array" ref="D1317">iferror(index('2018_ufns'!E:E,match(C1317,'2018_ufns'!B:B,0)))</f>
        <v>P1119</v>
      </c>
      <c r="E1317" s="14">
        <v>43474.0</v>
      </c>
      <c r="F1317" s="40" t="s">
        <v>53</v>
      </c>
      <c r="G1317" s="40" t="s">
        <v>54</v>
      </c>
      <c r="H1317" s="9">
        <v>6.7</v>
      </c>
      <c r="I1317" s="13">
        <v>91.0</v>
      </c>
      <c r="J1317" s="13" t="s">
        <v>63</v>
      </c>
      <c r="K1317" s="17" t="str">
        <f t="shared" si="10"/>
        <v/>
      </c>
      <c r="L1317" s="9">
        <v>0.0</v>
      </c>
      <c r="O1317" s="9" t="s">
        <v>638</v>
      </c>
      <c r="P1317" s="40" t="s">
        <v>1729</v>
      </c>
      <c r="Q1317" s="9" t="s">
        <v>62</v>
      </c>
      <c r="R1317" s="9" t="s">
        <v>2119</v>
      </c>
      <c r="S1317" s="9" t="s">
        <v>64</v>
      </c>
      <c r="T1317" t="str">
        <f t="shared" si="12"/>
        <v>N</v>
      </c>
      <c r="W1317" s="12" t="str">
        <f t="array" ref="W1317">if(and(L1317=0,Q1317="NA"),"NA",if(L1317=0,"no lice",if(Q1317="NA","no collection",index(sea_lice!G:G,match(C1317,sea_lice!A:A,0)))))</f>
        <v>no lice</v>
      </c>
      <c r="X1317" s="23">
        <v>1316.0</v>
      </c>
    </row>
    <row r="1318">
      <c r="B1318" s="6">
        <v>17182.0</v>
      </c>
      <c r="C1318" s="12" t="str">
        <f t="shared" si="11"/>
        <v>U17182</v>
      </c>
      <c r="D1318" s="14" t="str">
        <f t="array" ref="D1318">iferror(index('2018_ufns'!E:E,match(C1318,'2018_ufns'!B:B,0)))</f>
        <v>P1119</v>
      </c>
      <c r="E1318" s="14">
        <v>43474.0</v>
      </c>
      <c r="F1318" s="40" t="s">
        <v>53</v>
      </c>
      <c r="G1318" s="40" t="s">
        <v>54</v>
      </c>
      <c r="H1318" s="9">
        <v>6.4</v>
      </c>
      <c r="I1318" s="13">
        <v>89.0</v>
      </c>
      <c r="J1318" s="13">
        <v>93.0</v>
      </c>
      <c r="K1318" s="17">
        <f t="shared" si="10"/>
        <v>0.7956666008</v>
      </c>
      <c r="L1318" s="9">
        <v>2.0</v>
      </c>
      <c r="O1318" s="9" t="s">
        <v>638</v>
      </c>
      <c r="P1318" s="40" t="s">
        <v>1729</v>
      </c>
      <c r="Q1318" s="9" t="s">
        <v>62</v>
      </c>
      <c r="R1318" s="9" t="s">
        <v>2119</v>
      </c>
      <c r="S1318" s="9" t="s">
        <v>64</v>
      </c>
      <c r="T1318" t="str">
        <f t="shared" si="12"/>
        <v>N</v>
      </c>
      <c r="W1318" s="12" t="str">
        <f t="array" ref="W1318">if(and(L1318=0,Q1318="NA"),"NA",if(L1318=0,"no lice",if(Q1318="NA","no collection",index(sea_lice!G:G,match(C1318,sea_lice!A:A,0)))))</f>
        <v>BSL2-87</v>
      </c>
      <c r="X1318" s="23">
        <v>1317.0</v>
      </c>
    </row>
    <row r="1319">
      <c r="B1319" s="6">
        <v>17183.0</v>
      </c>
      <c r="C1319" s="12" t="str">
        <f t="shared" si="11"/>
        <v>U17183</v>
      </c>
      <c r="D1319" s="14" t="str">
        <f t="array" ref="D1319">iferror(index('2018_ufns'!E:E,match(C1319,'2018_ufns'!B:B,0)))</f>
        <v>P1119</v>
      </c>
      <c r="E1319" s="14">
        <v>43474.0</v>
      </c>
      <c r="F1319" s="40" t="s">
        <v>53</v>
      </c>
      <c r="G1319" s="40" t="s">
        <v>54</v>
      </c>
      <c r="H1319" s="9">
        <v>4.4</v>
      </c>
      <c r="I1319" s="13">
        <v>80.0</v>
      </c>
      <c r="J1319" s="13">
        <v>84.0</v>
      </c>
      <c r="K1319" s="17">
        <f t="shared" si="10"/>
        <v>0.7423604362</v>
      </c>
      <c r="L1319" s="9">
        <v>1.0</v>
      </c>
      <c r="O1319" s="9" t="s">
        <v>638</v>
      </c>
      <c r="P1319" s="40" t="s">
        <v>1729</v>
      </c>
      <c r="Q1319" s="9" t="s">
        <v>62</v>
      </c>
      <c r="R1319" s="9" t="s">
        <v>2119</v>
      </c>
      <c r="S1319" s="9" t="s">
        <v>64</v>
      </c>
      <c r="T1319" t="str">
        <f t="shared" si="12"/>
        <v>N</v>
      </c>
      <c r="W1319" s="12" t="str">
        <f t="array" ref="W1319">if(and(L1319=0,Q1319="NA"),"NA",if(L1319=0,"no lice",if(Q1319="NA","no collection",index(sea_lice!G:G,match(C1319,sea_lice!A:A,0)))))</f>
        <v>BSL2-89</v>
      </c>
      <c r="X1319" s="23">
        <v>1318.0</v>
      </c>
    </row>
    <row r="1320">
      <c r="B1320" s="6">
        <v>16655.0</v>
      </c>
      <c r="C1320" s="12" t="str">
        <f t="shared" si="11"/>
        <v>U16655</v>
      </c>
      <c r="D1320" s="14" t="str">
        <f t="array" ref="D1320">iferror(index('2018_ufns'!E:E,match(C1320,'2018_ufns'!B:B,0)))</f>
        <v>P1066</v>
      </c>
      <c r="E1320" s="14">
        <v>43474.0</v>
      </c>
      <c r="F1320" s="40" t="s">
        <v>53</v>
      </c>
      <c r="G1320" s="40" t="s">
        <v>54</v>
      </c>
      <c r="H1320" s="9">
        <v>16.5</v>
      </c>
      <c r="I1320" s="13">
        <v>114.0</v>
      </c>
      <c r="J1320" s="13">
        <v>119.0</v>
      </c>
      <c r="K1320" s="17">
        <f t="shared" si="10"/>
        <v>0.9791360934</v>
      </c>
      <c r="L1320" s="9">
        <v>0.0</v>
      </c>
      <c r="O1320" s="9" t="s">
        <v>64</v>
      </c>
      <c r="P1320" s="40" t="s">
        <v>1729</v>
      </c>
      <c r="Q1320" s="9" t="s">
        <v>62</v>
      </c>
      <c r="R1320" s="9" t="s">
        <v>2119</v>
      </c>
      <c r="S1320" s="9" t="s">
        <v>638</v>
      </c>
      <c r="T1320" t="str">
        <f t="shared" si="12"/>
        <v>N</v>
      </c>
      <c r="W1320" s="12" t="str">
        <f t="array" ref="W1320">if(and(L1320=0,Q1320="NA"),"NA",if(L1320=0,"no lice",if(Q1320="NA","no collection",index(sea_lice!G:G,match(C1320,sea_lice!A:A,0)))))</f>
        <v>no lice</v>
      </c>
      <c r="X1320" s="23">
        <v>1319.0</v>
      </c>
    </row>
    <row r="1321">
      <c r="B1321" s="6">
        <v>16652.0</v>
      </c>
      <c r="C1321" s="12" t="str">
        <f t="shared" si="11"/>
        <v>U16652</v>
      </c>
      <c r="D1321" s="14" t="str">
        <f t="array" ref="D1321">iferror(index('2018_ufns'!E:E,match(C1321,'2018_ufns'!B:B,0)))</f>
        <v>P1066</v>
      </c>
      <c r="E1321" s="14">
        <v>43474.0</v>
      </c>
      <c r="F1321" s="40" t="s">
        <v>53</v>
      </c>
      <c r="G1321" s="40" t="s">
        <v>54</v>
      </c>
      <c r="H1321" s="9">
        <v>13.8</v>
      </c>
      <c r="I1321" s="13">
        <v>109.0</v>
      </c>
      <c r="J1321" s="13">
        <v>114.0</v>
      </c>
      <c r="K1321" s="17">
        <f t="shared" si="10"/>
        <v>0.9314606924</v>
      </c>
      <c r="L1321" s="9">
        <v>0.0</v>
      </c>
      <c r="O1321" s="9" t="s">
        <v>64</v>
      </c>
      <c r="P1321" s="40" t="s">
        <v>1729</v>
      </c>
      <c r="Q1321" s="9" t="s">
        <v>62</v>
      </c>
      <c r="R1321" s="9" t="s">
        <v>2119</v>
      </c>
      <c r="S1321" s="9" t="s">
        <v>638</v>
      </c>
      <c r="T1321" t="str">
        <f t="shared" si="12"/>
        <v>N</v>
      </c>
      <c r="W1321" s="12" t="str">
        <f t="array" ref="W1321">if(and(L1321=0,Q1321="NA"),"NA",if(L1321=0,"no lice",if(Q1321="NA","no collection",index(sea_lice!G:G,match(C1321,sea_lice!A:A,0)))))</f>
        <v>no lice</v>
      </c>
      <c r="X1321" s="23">
        <v>1320.0</v>
      </c>
    </row>
    <row r="1322">
      <c r="B1322" s="6">
        <v>16653.0</v>
      </c>
      <c r="C1322" s="12" t="str">
        <f t="shared" si="11"/>
        <v>U16653</v>
      </c>
      <c r="D1322" s="14" t="str">
        <f t="array" ref="D1322">iferror(index('2018_ufns'!E:E,match(C1322,'2018_ufns'!B:B,0)))</f>
        <v>P1066</v>
      </c>
      <c r="E1322" s="14">
        <v>43474.0</v>
      </c>
      <c r="F1322" s="40" t="s">
        <v>53</v>
      </c>
      <c r="G1322" s="40" t="s">
        <v>54</v>
      </c>
      <c r="H1322" s="9">
        <v>17.4</v>
      </c>
      <c r="I1322" s="13">
        <v>115.0</v>
      </c>
      <c r="J1322" s="13" t="s">
        <v>63</v>
      </c>
      <c r="K1322" s="17" t="str">
        <f t="shared" si="10"/>
        <v/>
      </c>
      <c r="L1322" s="9">
        <v>0.0</v>
      </c>
      <c r="O1322" s="9" t="s">
        <v>64</v>
      </c>
      <c r="P1322" s="40" t="s">
        <v>1729</v>
      </c>
      <c r="Q1322" s="9" t="s">
        <v>62</v>
      </c>
      <c r="R1322" s="9" t="s">
        <v>2119</v>
      </c>
      <c r="S1322" s="9" t="s">
        <v>638</v>
      </c>
      <c r="T1322" t="str">
        <f t="shared" si="12"/>
        <v>N</v>
      </c>
      <c r="W1322" s="12" t="str">
        <f t="array" ref="W1322">if(and(L1322=0,Q1322="NA"),"NA",if(L1322=0,"no lice",if(Q1322="NA","no collection",index(sea_lice!G:G,match(C1322,sea_lice!A:A,0)))))</f>
        <v>no lice</v>
      </c>
      <c r="X1322" s="23">
        <v>1321.0</v>
      </c>
    </row>
    <row r="1323">
      <c r="B1323" s="6">
        <v>16658.0</v>
      </c>
      <c r="C1323" s="12" t="str">
        <f t="shared" si="11"/>
        <v>U16658</v>
      </c>
      <c r="D1323" s="14" t="str">
        <f t="array" ref="D1323">iferror(index('2018_ufns'!E:E,match(C1323,'2018_ufns'!B:B,0)))</f>
        <v>P1066</v>
      </c>
      <c r="E1323" s="14">
        <v>43474.0</v>
      </c>
      <c r="F1323" s="40" t="s">
        <v>53</v>
      </c>
      <c r="G1323" s="40" t="s">
        <v>54</v>
      </c>
      <c r="H1323" s="9">
        <v>15.6</v>
      </c>
      <c r="I1323" s="13">
        <v>116.0</v>
      </c>
      <c r="J1323" s="13">
        <v>120.0</v>
      </c>
      <c r="K1323" s="17">
        <f t="shared" si="10"/>
        <v>0.9027777778</v>
      </c>
      <c r="L1323" s="9">
        <v>2.0</v>
      </c>
      <c r="O1323" s="9" t="s">
        <v>64</v>
      </c>
      <c r="P1323" s="40" t="s">
        <v>1729</v>
      </c>
      <c r="Q1323" s="9" t="s">
        <v>62</v>
      </c>
      <c r="R1323" s="9" t="s">
        <v>2119</v>
      </c>
      <c r="S1323" s="9" t="s">
        <v>638</v>
      </c>
      <c r="T1323" t="str">
        <f t="shared" si="12"/>
        <v>N</v>
      </c>
      <c r="W1323" s="12" t="str">
        <f t="array" ref="W1323">if(and(L1323=0,Q1323="NA"),"NA",if(L1323=0,"no lice",if(Q1323="NA","no collection",index(sea_lice!G:G,match(C1323,sea_lice!A:A,0)))))</f>
        <v>BSL8-29</v>
      </c>
      <c r="X1323" s="23">
        <v>1322.0</v>
      </c>
    </row>
    <row r="1324">
      <c r="B1324" s="6">
        <v>16659.0</v>
      </c>
      <c r="C1324" s="12" t="str">
        <f t="shared" si="11"/>
        <v>U16659</v>
      </c>
      <c r="D1324" s="14" t="str">
        <f t="array" ref="D1324">iferror(index('2018_ufns'!E:E,match(C1324,'2018_ufns'!B:B,0)))</f>
        <v>P1066</v>
      </c>
      <c r="E1324" s="14">
        <v>43474.0</v>
      </c>
      <c r="F1324" s="40" t="s">
        <v>53</v>
      </c>
      <c r="G1324" s="40" t="s">
        <v>54</v>
      </c>
      <c r="H1324" s="9" t="s">
        <v>63</v>
      </c>
      <c r="I1324" s="13">
        <v>111.0</v>
      </c>
      <c r="J1324" s="13">
        <v>115.0</v>
      </c>
      <c r="K1324" s="17" t="str">
        <f t="shared" si="10"/>
        <v/>
      </c>
      <c r="L1324" s="9">
        <v>1.0</v>
      </c>
      <c r="O1324" s="9" t="s">
        <v>64</v>
      </c>
      <c r="P1324" s="40" t="s">
        <v>1729</v>
      </c>
      <c r="Q1324" s="9" t="s">
        <v>62</v>
      </c>
      <c r="R1324" s="9" t="s">
        <v>2119</v>
      </c>
      <c r="S1324" s="9" t="s">
        <v>638</v>
      </c>
      <c r="T1324" t="str">
        <f t="shared" si="12"/>
        <v>N</v>
      </c>
      <c r="W1324" s="12" t="str">
        <f t="array" ref="W1324">if(and(L1324=0,Q1324="NA"),"NA",if(L1324=0,"no lice",if(Q1324="NA","no collection",index(sea_lice!G:G,match(C1324,sea_lice!A:A,0)))))</f>
        <v>BSL8-30</v>
      </c>
      <c r="X1324" s="23">
        <v>1323.0</v>
      </c>
    </row>
    <row r="1325">
      <c r="B1325" s="6">
        <v>16656.0</v>
      </c>
      <c r="C1325" s="12" t="str">
        <f t="shared" si="11"/>
        <v>U16656</v>
      </c>
      <c r="D1325" s="14" t="str">
        <f t="array" ref="D1325">iferror(index('2018_ufns'!E:E,match(C1325,'2018_ufns'!B:B,0)))</f>
        <v>P1066</v>
      </c>
      <c r="E1325" s="14">
        <v>43474.0</v>
      </c>
      <c r="F1325" s="40" t="s">
        <v>53</v>
      </c>
      <c r="G1325" s="40" t="s">
        <v>54</v>
      </c>
      <c r="H1325" s="9">
        <v>16.5</v>
      </c>
      <c r="I1325" s="13">
        <v>117.0</v>
      </c>
      <c r="J1325" s="13">
        <v>122.0</v>
      </c>
      <c r="K1325" s="17">
        <f t="shared" si="10"/>
        <v>0.9086663641</v>
      </c>
      <c r="L1325" s="9">
        <v>0.0</v>
      </c>
      <c r="O1325" s="9" t="s">
        <v>64</v>
      </c>
      <c r="P1325" s="40" t="s">
        <v>1729</v>
      </c>
      <c r="Q1325" s="9" t="s">
        <v>62</v>
      </c>
      <c r="R1325" s="9" t="s">
        <v>2119</v>
      </c>
      <c r="S1325" s="9" t="s">
        <v>638</v>
      </c>
      <c r="T1325" t="str">
        <f t="shared" si="12"/>
        <v>N</v>
      </c>
      <c r="W1325" s="12" t="str">
        <f t="array" ref="W1325">if(and(L1325=0,Q1325="NA"),"NA",if(L1325=0,"no lice",if(Q1325="NA","no collection",index(sea_lice!G:G,match(C1325,sea_lice!A:A,0)))))</f>
        <v>no lice</v>
      </c>
      <c r="X1325" s="23">
        <v>1324.0</v>
      </c>
    </row>
    <row r="1326">
      <c r="B1326" s="6">
        <v>16660.0</v>
      </c>
      <c r="C1326" s="12" t="str">
        <f t="shared" si="11"/>
        <v>U16660</v>
      </c>
      <c r="D1326" s="14" t="str">
        <f t="array" ref="D1326">iferror(index('2018_ufns'!E:E,match(C1326,'2018_ufns'!B:B,0)))</f>
        <v>P1066</v>
      </c>
      <c r="E1326" s="14">
        <v>43474.0</v>
      </c>
      <c r="F1326" s="40" t="s">
        <v>53</v>
      </c>
      <c r="G1326" s="40" t="s">
        <v>54</v>
      </c>
      <c r="H1326" s="9">
        <v>14.0</v>
      </c>
      <c r="I1326" s="13">
        <v>113.0</v>
      </c>
      <c r="J1326" s="13">
        <v>118.0</v>
      </c>
      <c r="K1326" s="17">
        <f t="shared" si="10"/>
        <v>0.8520832218</v>
      </c>
      <c r="L1326" s="9">
        <v>0.0</v>
      </c>
      <c r="O1326" s="9" t="s">
        <v>64</v>
      </c>
      <c r="P1326" s="40" t="s">
        <v>1729</v>
      </c>
      <c r="Q1326" s="9" t="s">
        <v>62</v>
      </c>
      <c r="R1326" s="9" t="s">
        <v>2119</v>
      </c>
      <c r="S1326" s="9" t="s">
        <v>638</v>
      </c>
      <c r="T1326" t="str">
        <f t="shared" si="12"/>
        <v>N</v>
      </c>
      <c r="W1326" s="12" t="str">
        <f t="array" ref="W1326">if(and(L1326=0,Q1326="NA"),"NA",if(L1326=0,"no lice",if(Q1326="NA","no collection",index(sea_lice!G:G,match(C1326,sea_lice!A:A,0)))))</f>
        <v>no lice</v>
      </c>
      <c r="X1326" s="23">
        <v>1325.0</v>
      </c>
    </row>
    <row r="1327">
      <c r="B1327" s="6">
        <v>16657.0</v>
      </c>
      <c r="C1327" s="12" t="str">
        <f t="shared" si="11"/>
        <v>U16657</v>
      </c>
      <c r="D1327" s="14" t="str">
        <f t="array" ref="D1327">iferror(index('2018_ufns'!E:E,match(C1327,'2018_ufns'!B:B,0)))</f>
        <v>P1066</v>
      </c>
      <c r="E1327" s="14">
        <v>43474.0</v>
      </c>
      <c r="F1327" s="40" t="s">
        <v>53</v>
      </c>
      <c r="G1327" s="40" t="s">
        <v>54</v>
      </c>
      <c r="H1327" s="9">
        <v>14.0</v>
      </c>
      <c r="I1327" s="13">
        <v>111.0</v>
      </c>
      <c r="J1327" s="13" t="s">
        <v>63</v>
      </c>
      <c r="K1327" s="17" t="str">
        <f t="shared" si="10"/>
        <v/>
      </c>
      <c r="L1327" s="9">
        <v>0.0</v>
      </c>
      <c r="O1327" s="9" t="s">
        <v>64</v>
      </c>
      <c r="P1327" s="40" t="s">
        <v>1729</v>
      </c>
      <c r="Q1327" s="9" t="s">
        <v>62</v>
      </c>
      <c r="R1327" s="9" t="s">
        <v>2119</v>
      </c>
      <c r="S1327" s="9" t="s">
        <v>638</v>
      </c>
      <c r="T1327" t="str">
        <f t="shared" si="12"/>
        <v>N</v>
      </c>
      <c r="W1327" s="12" t="str">
        <f t="array" ref="W1327">if(and(L1327=0,Q1327="NA"),"NA",if(L1327=0,"no lice",if(Q1327="NA","no collection",index(sea_lice!G:G,match(C1327,sea_lice!A:A,0)))))</f>
        <v>no lice</v>
      </c>
      <c r="X1327" s="23">
        <v>1326.0</v>
      </c>
    </row>
    <row r="1328">
      <c r="B1328" s="6">
        <v>16654.0</v>
      </c>
      <c r="C1328" s="12" t="str">
        <f t="shared" si="11"/>
        <v>U16654</v>
      </c>
      <c r="D1328" s="14" t="str">
        <f t="array" ref="D1328">iferror(index('2018_ufns'!E:E,match(C1328,'2018_ufns'!B:B,0)))</f>
        <v>P1066</v>
      </c>
      <c r="E1328" s="14">
        <v>43474.0</v>
      </c>
      <c r="F1328" s="40" t="s">
        <v>53</v>
      </c>
      <c r="G1328" s="40" t="s">
        <v>54</v>
      </c>
      <c r="H1328" s="9">
        <v>21.0</v>
      </c>
      <c r="I1328" s="13">
        <v>123.0</v>
      </c>
      <c r="J1328" s="13">
        <v>128.0</v>
      </c>
      <c r="K1328" s="17">
        <f t="shared" si="10"/>
        <v>1.001358032</v>
      </c>
      <c r="L1328" s="9">
        <v>0.0</v>
      </c>
      <c r="O1328" s="9" t="s">
        <v>64</v>
      </c>
      <c r="P1328" s="40" t="s">
        <v>1729</v>
      </c>
      <c r="Q1328" s="9" t="s">
        <v>62</v>
      </c>
      <c r="R1328" s="9" t="s">
        <v>2119</v>
      </c>
      <c r="S1328" s="9" t="s">
        <v>638</v>
      </c>
      <c r="T1328" t="str">
        <f t="shared" si="12"/>
        <v>N</v>
      </c>
      <c r="W1328" s="12" t="str">
        <f t="array" ref="W1328">if(and(L1328=0,Q1328="NA"),"NA",if(L1328=0,"no lice",if(Q1328="NA","no collection",index(sea_lice!G:G,match(C1328,sea_lice!A:A,0)))))</f>
        <v>no lice</v>
      </c>
      <c r="X1328" s="23">
        <v>1327.0</v>
      </c>
    </row>
    <row r="1329">
      <c r="B1329" s="6">
        <v>16651.0</v>
      </c>
      <c r="C1329" s="12" t="str">
        <f t="shared" si="11"/>
        <v>U16651</v>
      </c>
      <c r="D1329" s="14" t="str">
        <f t="array" ref="D1329">iferror(index('2018_ufns'!E:E,match(C1329,'2018_ufns'!B:B,0)))</f>
        <v>P1066</v>
      </c>
      <c r="E1329" s="14">
        <v>43474.0</v>
      </c>
      <c r="F1329" s="40" t="s">
        <v>53</v>
      </c>
      <c r="G1329" s="40" t="s">
        <v>54</v>
      </c>
      <c r="H1329" s="9">
        <v>20.8</v>
      </c>
      <c r="I1329" s="13">
        <v>125.0</v>
      </c>
      <c r="J1329" s="13">
        <v>130.0</v>
      </c>
      <c r="K1329" s="17">
        <f t="shared" si="10"/>
        <v>0.9467455621</v>
      </c>
      <c r="L1329" s="9">
        <v>0.0</v>
      </c>
      <c r="O1329" s="9" t="s">
        <v>64</v>
      </c>
      <c r="P1329" s="40" t="s">
        <v>1729</v>
      </c>
      <c r="Q1329" s="9" t="s">
        <v>62</v>
      </c>
      <c r="R1329" s="9" t="s">
        <v>2119</v>
      </c>
      <c r="S1329" s="9" t="s">
        <v>638</v>
      </c>
      <c r="T1329" t="str">
        <f t="shared" si="12"/>
        <v>N</v>
      </c>
      <c r="W1329" s="12" t="str">
        <f t="array" ref="W1329">if(and(L1329=0,Q1329="NA"),"NA",if(L1329=0,"no lice",if(Q1329="NA","no collection",index(sea_lice!G:G,match(C1329,sea_lice!A:A,0)))))</f>
        <v>no lice</v>
      </c>
      <c r="X1329" s="23">
        <v>1328.0</v>
      </c>
    </row>
    <row r="1330">
      <c r="B1330" s="6">
        <v>17470.0</v>
      </c>
      <c r="C1330" s="12" t="str">
        <f t="shared" si="11"/>
        <v>U17470</v>
      </c>
      <c r="D1330" s="14" t="str">
        <f t="array" ref="D1330">iferror(index('2018_ufns'!E:E,match(C1330,'2018_ufns'!B:B,0)))</f>
        <v>P1147</v>
      </c>
      <c r="E1330" s="14">
        <v>43474.0</v>
      </c>
      <c r="F1330" s="40" t="s">
        <v>53</v>
      </c>
      <c r="G1330" s="40" t="s">
        <v>54</v>
      </c>
      <c r="H1330" s="9">
        <v>6.4</v>
      </c>
      <c r="I1330" s="13">
        <v>87.0</v>
      </c>
      <c r="J1330" s="13">
        <v>91.0</v>
      </c>
      <c r="K1330" s="17">
        <f t="shared" si="10"/>
        <v>0.8492895825</v>
      </c>
      <c r="L1330" s="9">
        <v>0.0</v>
      </c>
      <c r="N1330" s="9" t="s">
        <v>2169</v>
      </c>
      <c r="O1330" s="9" t="s">
        <v>64</v>
      </c>
      <c r="P1330" s="40" t="s">
        <v>1729</v>
      </c>
      <c r="Q1330" s="9" t="s">
        <v>62</v>
      </c>
      <c r="R1330" s="9" t="s">
        <v>2119</v>
      </c>
      <c r="S1330" s="9" t="s">
        <v>638</v>
      </c>
      <c r="T1330" t="str">
        <f t="shared" si="12"/>
        <v>N</v>
      </c>
      <c r="W1330" s="12" t="str">
        <f t="array" ref="W1330">if(and(L1330=0,Q1330="NA"),"NA",if(L1330=0,"no lice",if(Q1330="NA","no collection",index(sea_lice!G:G,match(C1330,sea_lice!A:A,0)))))</f>
        <v>no lice</v>
      </c>
      <c r="X1330" s="23">
        <v>1329.0</v>
      </c>
    </row>
    <row r="1331">
      <c r="B1331" s="6">
        <v>17469.0</v>
      </c>
      <c r="C1331" s="12" t="str">
        <f t="shared" si="11"/>
        <v>U17469</v>
      </c>
      <c r="D1331" s="14" t="str">
        <f t="array" ref="D1331">iferror(index('2018_ufns'!E:E,match(C1331,'2018_ufns'!B:B,0)))</f>
        <v>P1147</v>
      </c>
      <c r="E1331" s="14">
        <v>43474.0</v>
      </c>
      <c r="F1331" s="40" t="s">
        <v>53</v>
      </c>
      <c r="G1331" s="40" t="s">
        <v>54</v>
      </c>
      <c r="H1331" s="9">
        <v>3.8</v>
      </c>
      <c r="I1331" s="13">
        <v>76.0</v>
      </c>
      <c r="J1331" s="13" t="s">
        <v>63</v>
      </c>
      <c r="K1331" s="17" t="str">
        <f t="shared" si="10"/>
        <v/>
      </c>
      <c r="L1331" s="9">
        <v>1.0</v>
      </c>
      <c r="O1331" s="9" t="s">
        <v>64</v>
      </c>
      <c r="P1331" s="40" t="s">
        <v>1729</v>
      </c>
      <c r="Q1331" s="9" t="s">
        <v>62</v>
      </c>
      <c r="R1331" s="9" t="s">
        <v>2119</v>
      </c>
      <c r="S1331" s="9" t="s">
        <v>638</v>
      </c>
      <c r="T1331" t="str">
        <f t="shared" si="12"/>
        <v>N</v>
      </c>
      <c r="W1331" s="12" t="str">
        <f t="array" ref="W1331">if(and(L1331=0,Q1331="NA"),"NA",if(L1331=0,"no lice",if(Q1331="NA","no collection",index(sea_lice!G:G,match(C1331,sea_lice!A:A,0)))))</f>
        <v>BSL8-31</v>
      </c>
      <c r="X1331" s="23">
        <v>1330.0</v>
      </c>
    </row>
    <row r="1332">
      <c r="B1332" s="6">
        <v>17468.0</v>
      </c>
      <c r="C1332" s="12" t="str">
        <f t="shared" si="11"/>
        <v>U17468</v>
      </c>
      <c r="D1332" s="14" t="str">
        <f t="array" ref="D1332">iferror(index('2018_ufns'!E:E,match(C1332,'2018_ufns'!B:B,0)))</f>
        <v>P1147</v>
      </c>
      <c r="E1332" s="14">
        <v>43474.0</v>
      </c>
      <c r="F1332" s="40" t="s">
        <v>53</v>
      </c>
      <c r="G1332" s="40" t="s">
        <v>54</v>
      </c>
      <c r="H1332" s="9">
        <v>6.0</v>
      </c>
      <c r="I1332" s="13">
        <v>85.0</v>
      </c>
      <c r="J1332" s="13">
        <v>89.0</v>
      </c>
      <c r="K1332" s="17">
        <f t="shared" si="10"/>
        <v>0.8511012541</v>
      </c>
      <c r="L1332" s="9">
        <v>2.0</v>
      </c>
      <c r="O1332" s="9" t="s">
        <v>64</v>
      </c>
      <c r="P1332" s="40" t="s">
        <v>1729</v>
      </c>
      <c r="Q1332" s="9" t="s">
        <v>62</v>
      </c>
      <c r="R1332" s="9" t="s">
        <v>2119</v>
      </c>
      <c r="S1332" s="9" t="s">
        <v>638</v>
      </c>
      <c r="T1332" t="str">
        <f t="shared" si="12"/>
        <v>N</v>
      </c>
      <c r="W1332" s="12" t="str">
        <f t="array" ref="W1332">if(and(L1332=0,Q1332="NA"),"NA",if(L1332=0,"no lice",if(Q1332="NA","no collection",index(sea_lice!G:G,match(C1332,sea_lice!A:A,0)))))</f>
        <v>BSL8-32</v>
      </c>
      <c r="X1332" s="23">
        <v>1331.0</v>
      </c>
    </row>
    <row r="1333">
      <c r="B1333" s="6">
        <v>17467.0</v>
      </c>
      <c r="C1333" s="12" t="str">
        <f t="shared" si="11"/>
        <v>U17467</v>
      </c>
      <c r="D1333" s="14" t="str">
        <f t="array" ref="D1333">iferror(index('2018_ufns'!E:E,match(C1333,'2018_ufns'!B:B,0)))</f>
        <v>P1147</v>
      </c>
      <c r="E1333" s="14">
        <v>43474.0</v>
      </c>
      <c r="F1333" s="40" t="s">
        <v>53</v>
      </c>
      <c r="G1333" s="40" t="s">
        <v>54</v>
      </c>
      <c r="H1333" s="9">
        <v>6.3</v>
      </c>
      <c r="I1333" s="13">
        <v>85.0</v>
      </c>
      <c r="J1333" s="13">
        <v>89.0</v>
      </c>
      <c r="K1333" s="17">
        <f t="shared" si="10"/>
        <v>0.8936563168</v>
      </c>
      <c r="L1333" s="9">
        <v>0.0</v>
      </c>
      <c r="O1333" s="9" t="s">
        <v>64</v>
      </c>
      <c r="P1333" s="40" t="s">
        <v>1729</v>
      </c>
      <c r="Q1333" s="9" t="s">
        <v>62</v>
      </c>
      <c r="R1333" s="9" t="s">
        <v>2119</v>
      </c>
      <c r="S1333" s="9" t="s">
        <v>638</v>
      </c>
      <c r="T1333" t="str">
        <f t="shared" si="12"/>
        <v>N</v>
      </c>
      <c r="W1333" s="12" t="str">
        <f t="array" ref="W1333">if(and(L1333=0,Q1333="NA"),"NA",if(L1333=0,"no lice",if(Q1333="NA","no collection",index(sea_lice!G:G,match(C1333,sea_lice!A:A,0)))))</f>
        <v>no lice</v>
      </c>
      <c r="X1333" s="23">
        <v>1332.0</v>
      </c>
    </row>
    <row r="1334">
      <c r="B1334" s="6">
        <v>17454.0</v>
      </c>
      <c r="C1334" s="12" t="str">
        <f t="shared" si="11"/>
        <v>U17454</v>
      </c>
      <c r="D1334" s="14" t="str">
        <f t="array" ref="D1334">iferror(index('2018_ufns'!E:E,match(C1334,'2018_ufns'!B:B,0)))</f>
        <v>P1146</v>
      </c>
      <c r="E1334" s="14">
        <v>43475.0</v>
      </c>
      <c r="F1334" s="40" t="s">
        <v>53</v>
      </c>
      <c r="G1334" s="40" t="s">
        <v>54</v>
      </c>
      <c r="H1334" s="9">
        <v>6.8</v>
      </c>
      <c r="I1334" s="13">
        <v>86.0</v>
      </c>
      <c r="J1334" s="13" t="s">
        <v>63</v>
      </c>
      <c r="K1334" s="17" t="str">
        <f t="shared" si="10"/>
        <v/>
      </c>
      <c r="L1334" s="9">
        <v>0.0</v>
      </c>
      <c r="O1334" s="43" t="s">
        <v>638</v>
      </c>
      <c r="P1334" s="40" t="s">
        <v>1729</v>
      </c>
      <c r="Q1334" s="43" t="s">
        <v>150</v>
      </c>
      <c r="R1334" s="43" t="s">
        <v>2119</v>
      </c>
      <c r="S1334" s="9" t="s">
        <v>64</v>
      </c>
      <c r="T1334" t="str">
        <f t="shared" si="12"/>
        <v>N</v>
      </c>
      <c r="W1334" s="12" t="str">
        <f t="array" ref="W1334">if(and(L1334=0,Q1334="NA"),"NA",if(L1334=0,"no lice",if(Q1334="NA","no collection",index(sea_lice!G:G,match(C1334,sea_lice!A:A,0)))))</f>
        <v>no lice</v>
      </c>
      <c r="X1334" s="23">
        <v>1333.0</v>
      </c>
    </row>
    <row r="1335">
      <c r="B1335" s="6">
        <v>17458.0</v>
      </c>
      <c r="C1335" s="12" t="str">
        <f t="shared" si="11"/>
        <v>U17458</v>
      </c>
      <c r="D1335" s="14" t="str">
        <f t="array" ref="D1335">iferror(index('2018_ufns'!E:E,match(C1335,'2018_ufns'!B:B,0)))</f>
        <v>P1146</v>
      </c>
      <c r="E1335" s="14">
        <v>43475.0</v>
      </c>
      <c r="F1335" s="40" t="s">
        <v>53</v>
      </c>
      <c r="G1335" s="40" t="s">
        <v>54</v>
      </c>
      <c r="H1335" s="9">
        <v>9.2</v>
      </c>
      <c r="I1335" s="13">
        <v>100.0</v>
      </c>
      <c r="J1335" s="13" t="s">
        <v>63</v>
      </c>
      <c r="K1335" s="17" t="str">
        <f t="shared" si="10"/>
        <v/>
      </c>
      <c r="L1335" s="9">
        <v>0.0</v>
      </c>
      <c r="N1335" s="9" t="s">
        <v>2170</v>
      </c>
      <c r="O1335" s="43" t="s">
        <v>638</v>
      </c>
      <c r="P1335" s="40" t="s">
        <v>1729</v>
      </c>
      <c r="Q1335" s="43" t="s">
        <v>150</v>
      </c>
      <c r="R1335" s="43" t="s">
        <v>2119</v>
      </c>
      <c r="S1335" s="9" t="s">
        <v>64</v>
      </c>
      <c r="T1335" t="str">
        <f t="shared" si="12"/>
        <v>N</v>
      </c>
      <c r="W1335" s="12" t="str">
        <f t="array" ref="W1335">if(and(L1335=0,Q1335="NA"),"NA",if(L1335=0,"no lice",if(Q1335="NA","no collection",index(sea_lice!G:G,match(C1335,sea_lice!A:A,0)))))</f>
        <v>no lice</v>
      </c>
      <c r="X1335" s="23">
        <v>1334.0</v>
      </c>
    </row>
    <row r="1336">
      <c r="B1336" s="6">
        <v>17459.0</v>
      </c>
      <c r="C1336" s="12" t="str">
        <f t="shared" si="11"/>
        <v>U17459</v>
      </c>
      <c r="D1336" s="14" t="str">
        <f t="array" ref="D1336">iferror(index('2018_ufns'!E:E,match(C1336,'2018_ufns'!B:B,0)))</f>
        <v>P1146</v>
      </c>
      <c r="E1336" s="14">
        <v>43475.0</v>
      </c>
      <c r="F1336" s="40" t="s">
        <v>53</v>
      </c>
      <c r="G1336" s="40" t="s">
        <v>54</v>
      </c>
      <c r="H1336" s="9">
        <v>5.1</v>
      </c>
      <c r="I1336" s="13">
        <v>84.0</v>
      </c>
      <c r="J1336" s="13" t="s">
        <v>63</v>
      </c>
      <c r="K1336" s="17" t="str">
        <f t="shared" si="10"/>
        <v/>
      </c>
      <c r="L1336" s="9">
        <v>0.0</v>
      </c>
      <c r="O1336" s="43" t="s">
        <v>638</v>
      </c>
      <c r="P1336" s="40" t="s">
        <v>1729</v>
      </c>
      <c r="Q1336" s="43" t="s">
        <v>150</v>
      </c>
      <c r="R1336" s="43" t="s">
        <v>2119</v>
      </c>
      <c r="S1336" s="9" t="s">
        <v>64</v>
      </c>
      <c r="T1336" t="str">
        <f t="shared" si="12"/>
        <v>N</v>
      </c>
      <c r="W1336" s="12" t="str">
        <f t="array" ref="W1336">if(and(L1336=0,Q1336="NA"),"NA",if(L1336=0,"no lice",if(Q1336="NA","no collection",index(sea_lice!G:G,match(C1336,sea_lice!A:A,0)))))</f>
        <v>no lice</v>
      </c>
      <c r="X1336" s="23">
        <v>1335.0</v>
      </c>
    </row>
    <row r="1337">
      <c r="B1337" s="6">
        <v>17456.0</v>
      </c>
      <c r="C1337" s="12" t="str">
        <f t="shared" si="11"/>
        <v>U17456</v>
      </c>
      <c r="D1337" s="14" t="str">
        <f t="array" ref="D1337">iferror(index('2018_ufns'!E:E,match(C1337,'2018_ufns'!B:B,0)))</f>
        <v>P1146</v>
      </c>
      <c r="E1337" s="14">
        <v>43475.0</v>
      </c>
      <c r="F1337" s="40" t="s">
        <v>53</v>
      </c>
      <c r="G1337" s="40" t="s">
        <v>54</v>
      </c>
      <c r="H1337" s="9">
        <v>7.5</v>
      </c>
      <c r="I1337" s="13">
        <v>94.0</v>
      </c>
      <c r="J1337" s="13">
        <v>98.0</v>
      </c>
      <c r="K1337" s="17">
        <f t="shared" si="10"/>
        <v>0.7968618518</v>
      </c>
      <c r="L1337" s="9">
        <v>0.0</v>
      </c>
      <c r="O1337" s="43" t="s">
        <v>638</v>
      </c>
      <c r="P1337" s="40" t="s">
        <v>1729</v>
      </c>
      <c r="Q1337" s="43" t="s">
        <v>150</v>
      </c>
      <c r="R1337" s="43" t="s">
        <v>2119</v>
      </c>
      <c r="S1337" s="9" t="s">
        <v>64</v>
      </c>
      <c r="T1337" t="str">
        <f t="shared" si="12"/>
        <v>N</v>
      </c>
      <c r="W1337" s="12" t="str">
        <f t="array" ref="W1337">if(and(L1337=0,Q1337="NA"),"NA",if(L1337=0,"no lice",if(Q1337="NA","no collection",index(sea_lice!G:G,match(C1337,sea_lice!A:A,0)))))</f>
        <v>no lice</v>
      </c>
      <c r="X1337" s="23">
        <v>1336.0</v>
      </c>
    </row>
    <row r="1338">
      <c r="B1338" s="6">
        <v>17460.0</v>
      </c>
      <c r="C1338" s="12" t="str">
        <f t="shared" si="11"/>
        <v>U17460</v>
      </c>
      <c r="D1338" s="14" t="str">
        <f t="array" ref="D1338">iferror(index('2018_ufns'!E:E,match(C1338,'2018_ufns'!B:B,0)))</f>
        <v>P1146</v>
      </c>
      <c r="E1338" s="14">
        <v>43475.0</v>
      </c>
      <c r="F1338" s="40" t="s">
        <v>53</v>
      </c>
      <c r="G1338" s="40" t="s">
        <v>54</v>
      </c>
      <c r="H1338" s="9">
        <v>4.3</v>
      </c>
      <c r="I1338" s="13">
        <v>81.0</v>
      </c>
      <c r="J1338" s="13" t="s">
        <v>63</v>
      </c>
      <c r="K1338" s="17" t="str">
        <f t="shared" si="10"/>
        <v/>
      </c>
      <c r="L1338" s="9">
        <v>0.0</v>
      </c>
      <c r="O1338" s="43" t="s">
        <v>638</v>
      </c>
      <c r="P1338" s="40" t="s">
        <v>1729</v>
      </c>
      <c r="Q1338" s="43" t="s">
        <v>150</v>
      </c>
      <c r="R1338" s="43" t="s">
        <v>2119</v>
      </c>
      <c r="S1338" s="9" t="s">
        <v>64</v>
      </c>
      <c r="T1338" t="str">
        <f t="shared" si="12"/>
        <v>N</v>
      </c>
      <c r="W1338" s="12" t="str">
        <f t="array" ref="W1338">if(and(L1338=0,Q1338="NA"),"NA",if(L1338=0,"no lice",if(Q1338="NA","no collection",index(sea_lice!G:G,match(C1338,sea_lice!A:A,0)))))</f>
        <v>no lice</v>
      </c>
      <c r="X1338" s="23">
        <v>1337.0</v>
      </c>
    </row>
    <row r="1339">
      <c r="B1339" s="6">
        <v>17455.0</v>
      </c>
      <c r="C1339" s="12" t="str">
        <f t="shared" si="11"/>
        <v>U17455</v>
      </c>
      <c r="D1339" s="14" t="str">
        <f t="array" ref="D1339">iferror(index('2018_ufns'!E:E,match(C1339,'2018_ufns'!B:B,0)))</f>
        <v>P1146</v>
      </c>
      <c r="E1339" s="14">
        <v>43475.0</v>
      </c>
      <c r="F1339" s="40" t="s">
        <v>53</v>
      </c>
      <c r="G1339" s="40" t="s">
        <v>54</v>
      </c>
      <c r="H1339" s="9">
        <v>8.7</v>
      </c>
      <c r="I1339" s="13">
        <v>96.0</v>
      </c>
      <c r="J1339" s="13">
        <v>100.0</v>
      </c>
      <c r="K1339" s="17">
        <f t="shared" si="10"/>
        <v>0.87</v>
      </c>
      <c r="L1339" s="9">
        <v>0.0</v>
      </c>
      <c r="O1339" s="43" t="s">
        <v>638</v>
      </c>
      <c r="P1339" s="40" t="s">
        <v>1729</v>
      </c>
      <c r="Q1339" s="43" t="s">
        <v>150</v>
      </c>
      <c r="R1339" s="43" t="s">
        <v>2119</v>
      </c>
      <c r="S1339" s="9" t="s">
        <v>64</v>
      </c>
      <c r="T1339" t="str">
        <f t="shared" si="12"/>
        <v>N</v>
      </c>
      <c r="W1339" s="12" t="str">
        <f t="array" ref="W1339">if(and(L1339=0,Q1339="NA"),"NA",if(L1339=0,"no lice",if(Q1339="NA","no collection",index(sea_lice!G:G,match(C1339,sea_lice!A:A,0)))))</f>
        <v>no lice</v>
      </c>
      <c r="X1339" s="23">
        <v>1338.0</v>
      </c>
    </row>
    <row r="1340">
      <c r="B1340" s="6">
        <v>17451.0</v>
      </c>
      <c r="C1340" s="12" t="str">
        <f t="shared" si="11"/>
        <v>U17451</v>
      </c>
      <c r="D1340" s="14" t="str">
        <f t="array" ref="D1340">iferror(index('2018_ufns'!E:E,match(C1340,'2018_ufns'!B:B,0)))</f>
        <v>P1146</v>
      </c>
      <c r="E1340" s="14">
        <v>43475.0</v>
      </c>
      <c r="F1340" s="40" t="s">
        <v>53</v>
      </c>
      <c r="G1340" s="40" t="s">
        <v>54</v>
      </c>
      <c r="H1340" s="9">
        <v>5.3</v>
      </c>
      <c r="I1340" s="13">
        <v>82.0</v>
      </c>
      <c r="J1340" s="13" t="s">
        <v>63</v>
      </c>
      <c r="K1340" s="17" t="str">
        <f t="shared" si="10"/>
        <v/>
      </c>
      <c r="L1340" s="9">
        <v>0.0</v>
      </c>
      <c r="O1340" s="43" t="s">
        <v>638</v>
      </c>
      <c r="P1340" s="40" t="s">
        <v>1729</v>
      </c>
      <c r="Q1340" s="43" t="s">
        <v>150</v>
      </c>
      <c r="R1340" s="43" t="s">
        <v>2119</v>
      </c>
      <c r="S1340" s="9" t="s">
        <v>64</v>
      </c>
      <c r="T1340" t="str">
        <f t="shared" si="12"/>
        <v>N</v>
      </c>
      <c r="W1340" s="12" t="str">
        <f t="array" ref="W1340">if(and(L1340=0,Q1340="NA"),"NA",if(L1340=0,"no lice",if(Q1340="NA","no collection",index(sea_lice!G:G,match(C1340,sea_lice!A:A,0)))))</f>
        <v>no lice</v>
      </c>
      <c r="X1340" s="23">
        <v>1339.0</v>
      </c>
    </row>
    <row r="1341">
      <c r="B1341" s="6">
        <v>17452.0</v>
      </c>
      <c r="C1341" s="12" t="str">
        <f t="shared" si="11"/>
        <v>U17452</v>
      </c>
      <c r="D1341" s="14" t="str">
        <f t="array" ref="D1341">iferror(index('2018_ufns'!E:E,match(C1341,'2018_ufns'!B:B,0)))</f>
        <v>P1146</v>
      </c>
      <c r="E1341" s="14">
        <v>43475.0</v>
      </c>
      <c r="F1341" s="40" t="s">
        <v>53</v>
      </c>
      <c r="G1341" s="40" t="s">
        <v>54</v>
      </c>
      <c r="H1341" s="9">
        <v>6.2</v>
      </c>
      <c r="I1341" s="13">
        <v>87.0</v>
      </c>
      <c r="J1341" s="13">
        <v>91.0</v>
      </c>
      <c r="K1341" s="17">
        <f t="shared" si="10"/>
        <v>0.8227492831</v>
      </c>
      <c r="L1341" s="9">
        <v>0.0</v>
      </c>
      <c r="O1341" s="43" t="s">
        <v>638</v>
      </c>
      <c r="P1341" s="40" t="s">
        <v>1729</v>
      </c>
      <c r="Q1341" s="43" t="s">
        <v>150</v>
      </c>
      <c r="R1341" s="43" t="s">
        <v>2119</v>
      </c>
      <c r="S1341" s="9" t="s">
        <v>64</v>
      </c>
      <c r="T1341" t="str">
        <f t="shared" si="12"/>
        <v>N</v>
      </c>
      <c r="W1341" s="12" t="str">
        <f t="array" ref="W1341">if(and(L1341=0,Q1341="NA"),"NA",if(L1341=0,"no lice",if(Q1341="NA","no collection",index(sea_lice!G:G,match(C1341,sea_lice!A:A,0)))))</f>
        <v>no lice</v>
      </c>
      <c r="X1341" s="23">
        <v>1340.0</v>
      </c>
    </row>
    <row r="1342">
      <c r="B1342" s="6">
        <v>17457.0</v>
      </c>
      <c r="C1342" s="12" t="str">
        <f t="shared" si="11"/>
        <v>U17457</v>
      </c>
      <c r="D1342" s="14" t="str">
        <f t="array" ref="D1342">iferror(index('2018_ufns'!E:E,match(C1342,'2018_ufns'!B:B,0)))</f>
        <v>P1146</v>
      </c>
      <c r="E1342" s="14">
        <v>43475.0</v>
      </c>
      <c r="F1342" s="40" t="s">
        <v>53</v>
      </c>
      <c r="G1342" s="40" t="s">
        <v>54</v>
      </c>
      <c r="H1342" s="9">
        <v>6.1</v>
      </c>
      <c r="I1342" s="13">
        <v>89.0</v>
      </c>
      <c r="J1342" s="13" t="s">
        <v>63</v>
      </c>
      <c r="K1342" s="17" t="str">
        <f t="shared" si="10"/>
        <v/>
      </c>
      <c r="L1342" s="9">
        <v>0.0</v>
      </c>
      <c r="N1342" s="9" t="s">
        <v>2171</v>
      </c>
      <c r="O1342" s="43" t="s">
        <v>638</v>
      </c>
      <c r="P1342" s="40" t="s">
        <v>1729</v>
      </c>
      <c r="Q1342" s="43" t="s">
        <v>150</v>
      </c>
      <c r="R1342" s="43" t="s">
        <v>2119</v>
      </c>
      <c r="S1342" s="9" t="s">
        <v>64</v>
      </c>
      <c r="T1342" t="str">
        <f t="shared" si="12"/>
        <v>N</v>
      </c>
      <c r="W1342" s="12" t="str">
        <f t="array" ref="W1342">if(and(L1342=0,Q1342="NA"),"NA",if(L1342=0,"no lice",if(Q1342="NA","no collection",index(sea_lice!G:G,match(C1342,sea_lice!A:A,0)))))</f>
        <v>no lice</v>
      </c>
      <c r="X1342" s="23">
        <v>1341.0</v>
      </c>
    </row>
    <row r="1343">
      <c r="B1343" s="6">
        <v>17453.0</v>
      </c>
      <c r="C1343" s="12" t="str">
        <f t="shared" si="11"/>
        <v>U17453</v>
      </c>
      <c r="D1343" s="14" t="str">
        <f t="array" ref="D1343">iferror(index('2018_ufns'!E:E,match(C1343,'2018_ufns'!B:B,0)))</f>
        <v>P1146</v>
      </c>
      <c r="E1343" s="14">
        <v>43475.0</v>
      </c>
      <c r="F1343" s="40" t="s">
        <v>53</v>
      </c>
      <c r="G1343" s="40" t="s">
        <v>54</v>
      </c>
      <c r="H1343" s="9">
        <v>9.8</v>
      </c>
      <c r="I1343" s="13">
        <v>100.0</v>
      </c>
      <c r="J1343" s="13">
        <v>104.0</v>
      </c>
      <c r="K1343" s="17">
        <f t="shared" si="10"/>
        <v>0.8712164315</v>
      </c>
      <c r="L1343" s="9">
        <v>2.0</v>
      </c>
      <c r="O1343" s="43" t="s">
        <v>638</v>
      </c>
      <c r="P1343" s="40" t="s">
        <v>1729</v>
      </c>
      <c r="Q1343" s="43" t="s">
        <v>150</v>
      </c>
      <c r="R1343" s="43" t="s">
        <v>2119</v>
      </c>
      <c r="S1343" s="9" t="s">
        <v>64</v>
      </c>
      <c r="T1343" t="str">
        <f t="shared" si="12"/>
        <v>N</v>
      </c>
      <c r="W1343" s="12" t="str">
        <f t="array" ref="W1343">if(and(L1343=0,Q1343="NA"),"NA",if(L1343=0,"no lice",if(Q1343="NA","no collection",index(sea_lice!G:G,match(C1343,sea_lice!A:A,0)))))</f>
        <v>BSL8-38</v>
      </c>
      <c r="X1343" s="23">
        <v>1342.0</v>
      </c>
    </row>
    <row r="1344">
      <c r="B1344" s="6">
        <v>16031.0</v>
      </c>
      <c r="C1344" s="12" t="str">
        <f t="shared" si="11"/>
        <v>U16031</v>
      </c>
      <c r="D1344" s="14" t="str">
        <f t="array" ref="D1344">iferror(index('2018_ufns'!E:E,match(C1344,'2018_ufns'!B:B,0)))</f>
        <v>P1004</v>
      </c>
      <c r="E1344" s="14">
        <v>43475.0</v>
      </c>
      <c r="F1344" s="40" t="s">
        <v>53</v>
      </c>
      <c r="G1344" s="40" t="s">
        <v>54</v>
      </c>
      <c r="H1344" s="9">
        <v>9.0</v>
      </c>
      <c r="I1344" s="13">
        <v>94.0</v>
      </c>
      <c r="J1344" s="13">
        <v>98.0</v>
      </c>
      <c r="K1344" s="17">
        <f t="shared" si="10"/>
        <v>0.9562342221</v>
      </c>
      <c r="L1344" s="9">
        <v>0.0</v>
      </c>
      <c r="O1344" s="43" t="s">
        <v>638</v>
      </c>
      <c r="P1344" s="40" t="s">
        <v>1729</v>
      </c>
      <c r="Q1344" s="43" t="s">
        <v>150</v>
      </c>
      <c r="R1344" s="43" t="s">
        <v>2119</v>
      </c>
      <c r="S1344" s="9" t="s">
        <v>64</v>
      </c>
      <c r="T1344" t="str">
        <f t="shared" si="12"/>
        <v>N</v>
      </c>
      <c r="W1344" s="12" t="str">
        <f t="array" ref="W1344">if(and(L1344=0,Q1344="NA"),"NA",if(L1344=0,"no lice",if(Q1344="NA","no collection",index(sea_lice!G:G,match(C1344,sea_lice!A:A,0)))))</f>
        <v>no lice</v>
      </c>
      <c r="X1344" s="23">
        <v>1343.0</v>
      </c>
    </row>
    <row r="1345">
      <c r="B1345" s="6">
        <v>16037.0</v>
      </c>
      <c r="C1345" s="12" t="str">
        <f t="shared" si="11"/>
        <v>U16037</v>
      </c>
      <c r="D1345" s="14" t="str">
        <f t="array" ref="D1345">iferror(index('2018_ufns'!E:E,match(C1345,'2018_ufns'!B:B,0)))</f>
        <v>P1004</v>
      </c>
      <c r="E1345" s="14">
        <v>43475.0</v>
      </c>
      <c r="F1345" s="40" t="s">
        <v>53</v>
      </c>
      <c r="G1345" s="40" t="s">
        <v>54</v>
      </c>
      <c r="H1345" s="9">
        <v>6.4</v>
      </c>
      <c r="I1345" s="13">
        <v>89.0</v>
      </c>
      <c r="J1345" s="13" t="s">
        <v>63</v>
      </c>
      <c r="K1345" s="17" t="str">
        <f t="shared" si="10"/>
        <v/>
      </c>
      <c r="L1345" s="9">
        <v>0.0</v>
      </c>
      <c r="N1345" s="9" t="s">
        <v>2172</v>
      </c>
      <c r="O1345" s="43" t="s">
        <v>638</v>
      </c>
      <c r="P1345" s="40" t="s">
        <v>1729</v>
      </c>
      <c r="Q1345" s="43" t="s">
        <v>150</v>
      </c>
      <c r="R1345" s="43" t="s">
        <v>2119</v>
      </c>
      <c r="S1345" s="9" t="s">
        <v>64</v>
      </c>
      <c r="T1345" t="str">
        <f t="shared" si="12"/>
        <v>N</v>
      </c>
      <c r="W1345" s="12" t="str">
        <f t="array" ref="W1345">if(and(L1345=0,Q1345="NA"),"NA",if(L1345=0,"no lice",if(Q1345="NA","no collection",index(sea_lice!G:G,match(C1345,sea_lice!A:A,0)))))</f>
        <v>no lice</v>
      </c>
      <c r="X1345" s="23">
        <v>1344.0</v>
      </c>
    </row>
    <row r="1346">
      <c r="B1346" s="6">
        <v>16038.0</v>
      </c>
      <c r="C1346" s="12" t="str">
        <f t="shared" si="11"/>
        <v>U16038</v>
      </c>
      <c r="D1346" s="14" t="str">
        <f t="array" ref="D1346">iferror(index('2018_ufns'!E:E,match(C1346,'2018_ufns'!B:B,0)))</f>
        <v>P1004</v>
      </c>
      <c r="E1346" s="14">
        <v>43475.0</v>
      </c>
      <c r="F1346" s="40" t="s">
        <v>53</v>
      </c>
      <c r="G1346" s="40" t="s">
        <v>54</v>
      </c>
      <c r="H1346" s="9">
        <v>13.8</v>
      </c>
      <c r="I1346" s="13">
        <v>113.0</v>
      </c>
      <c r="J1346" s="13" t="s">
        <v>63</v>
      </c>
      <c r="K1346" s="17" t="str">
        <f t="shared" si="10"/>
        <v/>
      </c>
      <c r="L1346" s="9">
        <v>0.0</v>
      </c>
      <c r="O1346" s="43" t="s">
        <v>638</v>
      </c>
      <c r="P1346" s="40" t="s">
        <v>1729</v>
      </c>
      <c r="Q1346" s="43" t="s">
        <v>150</v>
      </c>
      <c r="R1346" s="43" t="s">
        <v>2119</v>
      </c>
      <c r="S1346" s="9" t="s">
        <v>64</v>
      </c>
      <c r="T1346" t="str">
        <f t="shared" si="12"/>
        <v>N</v>
      </c>
      <c r="W1346" s="12" t="str">
        <f t="array" ref="W1346">if(and(L1346=0,Q1346="NA"),"NA",if(L1346=0,"no lice",if(Q1346="NA","no collection",index(sea_lice!G:G,match(C1346,sea_lice!A:A,0)))))</f>
        <v>no lice</v>
      </c>
      <c r="X1346" s="23">
        <v>1345.0</v>
      </c>
    </row>
    <row r="1347">
      <c r="B1347" s="6">
        <v>16034.0</v>
      </c>
      <c r="C1347" s="12" t="str">
        <f t="shared" si="11"/>
        <v>U16034</v>
      </c>
      <c r="D1347" s="14" t="str">
        <f t="array" ref="D1347">iferror(index('2018_ufns'!E:E,match(C1347,'2018_ufns'!B:B,0)))</f>
        <v>P1004</v>
      </c>
      <c r="E1347" s="14">
        <v>43475.0</v>
      </c>
      <c r="F1347" s="40" t="s">
        <v>53</v>
      </c>
      <c r="G1347" s="40" t="s">
        <v>54</v>
      </c>
      <c r="H1347" s="9">
        <v>6.2</v>
      </c>
      <c r="I1347" s="13">
        <v>81.0</v>
      </c>
      <c r="J1347" s="13" t="s">
        <v>63</v>
      </c>
      <c r="K1347" s="17" t="str">
        <f t="shared" si="10"/>
        <v/>
      </c>
      <c r="L1347" s="9">
        <v>0.0</v>
      </c>
      <c r="O1347" s="43" t="s">
        <v>638</v>
      </c>
      <c r="P1347" s="40" t="s">
        <v>1729</v>
      </c>
      <c r="Q1347" s="43" t="s">
        <v>150</v>
      </c>
      <c r="R1347" s="43" t="s">
        <v>2119</v>
      </c>
      <c r="S1347" s="9" t="s">
        <v>64</v>
      </c>
      <c r="T1347" t="str">
        <f t="shared" si="12"/>
        <v>N</v>
      </c>
      <c r="W1347" s="12" t="str">
        <f t="array" ref="W1347">if(and(L1347=0,Q1347="NA"),"NA",if(L1347=0,"no lice",if(Q1347="NA","no collection",index(sea_lice!G:G,match(C1347,sea_lice!A:A,0)))))</f>
        <v>no lice</v>
      </c>
      <c r="X1347" s="23">
        <v>1346.0</v>
      </c>
    </row>
    <row r="1348">
      <c r="B1348" s="6">
        <v>16039.0</v>
      </c>
      <c r="C1348" s="12" t="str">
        <f t="shared" si="11"/>
        <v>U16039</v>
      </c>
      <c r="D1348" s="14" t="str">
        <f t="array" ref="D1348">iferror(index('2018_ufns'!E:E,match(C1348,'2018_ufns'!B:B,0)))</f>
        <v>P1004</v>
      </c>
      <c r="E1348" s="14">
        <v>43475.0</v>
      </c>
      <c r="F1348" s="40" t="s">
        <v>53</v>
      </c>
      <c r="G1348" s="40" t="s">
        <v>54</v>
      </c>
      <c r="H1348" s="9">
        <v>6.0</v>
      </c>
      <c r="I1348" s="13">
        <v>85.0</v>
      </c>
      <c r="J1348" s="13" t="s">
        <v>63</v>
      </c>
      <c r="K1348" s="17" t="str">
        <f t="shared" si="10"/>
        <v/>
      </c>
      <c r="L1348" s="9">
        <v>1.0</v>
      </c>
      <c r="O1348" s="43" t="s">
        <v>638</v>
      </c>
      <c r="P1348" s="40" t="s">
        <v>1729</v>
      </c>
      <c r="Q1348" s="43" t="s">
        <v>150</v>
      </c>
      <c r="R1348" s="43" t="s">
        <v>2119</v>
      </c>
      <c r="S1348" s="9" t="s">
        <v>64</v>
      </c>
      <c r="T1348" t="str">
        <f t="shared" si="12"/>
        <v>N</v>
      </c>
      <c r="W1348" s="12" t="str">
        <f t="array" ref="W1348">if(and(L1348=0,Q1348="NA"),"NA",if(L1348=0,"no lice",if(Q1348="NA","no collection",index(sea_lice!G:G,match(C1348,sea_lice!A:A,0)))))</f>
        <v>BSL8-44</v>
      </c>
      <c r="X1348" s="23">
        <v>1347.0</v>
      </c>
    </row>
    <row r="1349">
      <c r="B1349" s="6">
        <v>16035.0</v>
      </c>
      <c r="C1349" s="12" t="str">
        <f t="shared" si="11"/>
        <v>U16035</v>
      </c>
      <c r="D1349" s="14" t="str">
        <f t="array" ref="D1349">iferror(index('2018_ufns'!E:E,match(C1349,'2018_ufns'!B:B,0)))</f>
        <v>P1004</v>
      </c>
      <c r="E1349" s="14">
        <v>43475.0</v>
      </c>
      <c r="F1349" s="40" t="s">
        <v>53</v>
      </c>
      <c r="G1349" s="40" t="s">
        <v>54</v>
      </c>
      <c r="H1349" s="9">
        <v>10.5</v>
      </c>
      <c r="I1349" s="13">
        <v>103.0</v>
      </c>
      <c r="J1349" s="13">
        <v>109.0</v>
      </c>
      <c r="K1349" s="17">
        <f t="shared" si="10"/>
        <v>0.8107926541</v>
      </c>
      <c r="L1349" s="9">
        <v>0.0</v>
      </c>
      <c r="N1349" s="9" t="s">
        <v>2173</v>
      </c>
      <c r="O1349" s="43" t="s">
        <v>638</v>
      </c>
      <c r="P1349" s="40" t="s">
        <v>1729</v>
      </c>
      <c r="Q1349" s="43" t="s">
        <v>150</v>
      </c>
      <c r="R1349" s="43" t="s">
        <v>2119</v>
      </c>
      <c r="S1349" s="9" t="s">
        <v>64</v>
      </c>
      <c r="T1349" t="str">
        <f t="shared" si="12"/>
        <v>N</v>
      </c>
      <c r="W1349" s="12" t="str">
        <f t="array" ref="W1349">if(and(L1349=0,Q1349="NA"),"NA",if(L1349=0,"no lice",if(Q1349="NA","no collection",index(sea_lice!G:G,match(C1349,sea_lice!A:A,0)))))</f>
        <v>no lice</v>
      </c>
      <c r="X1349" s="23">
        <v>1348.0</v>
      </c>
    </row>
    <row r="1350">
      <c r="B1350" s="6">
        <v>16032.0</v>
      </c>
      <c r="C1350" s="12" t="str">
        <f t="shared" si="11"/>
        <v>U16032</v>
      </c>
      <c r="D1350" s="14" t="str">
        <f t="array" ref="D1350">iferror(index('2018_ufns'!E:E,match(C1350,'2018_ufns'!B:B,0)))</f>
        <v>P1004</v>
      </c>
      <c r="E1350" s="14">
        <v>43475.0</v>
      </c>
      <c r="F1350" s="40" t="s">
        <v>53</v>
      </c>
      <c r="G1350" s="40" t="s">
        <v>54</v>
      </c>
      <c r="H1350" s="9">
        <v>6.6</v>
      </c>
      <c r="I1350" s="13">
        <v>87.0</v>
      </c>
      <c r="J1350" s="13">
        <v>91.0</v>
      </c>
      <c r="K1350" s="17">
        <f t="shared" si="10"/>
        <v>0.875829882</v>
      </c>
      <c r="L1350" s="9">
        <v>0.0</v>
      </c>
      <c r="O1350" s="43" t="s">
        <v>638</v>
      </c>
      <c r="P1350" s="40" t="s">
        <v>1729</v>
      </c>
      <c r="Q1350" s="43" t="s">
        <v>150</v>
      </c>
      <c r="R1350" s="43" t="s">
        <v>2119</v>
      </c>
      <c r="S1350" s="9" t="s">
        <v>64</v>
      </c>
      <c r="T1350" t="str">
        <f t="shared" si="12"/>
        <v>N</v>
      </c>
      <c r="W1350" s="12" t="str">
        <f t="array" ref="W1350">if(and(L1350=0,Q1350="NA"),"NA",if(L1350=0,"no lice",if(Q1350="NA","no collection",index(sea_lice!G:G,match(C1350,sea_lice!A:A,0)))))</f>
        <v>no lice</v>
      </c>
      <c r="X1350" s="23">
        <v>1349.0</v>
      </c>
    </row>
    <row r="1351">
      <c r="B1351" s="6">
        <v>16040.0</v>
      </c>
      <c r="C1351" s="12" t="str">
        <f t="shared" si="11"/>
        <v>U16040</v>
      </c>
      <c r="D1351" s="14" t="str">
        <f t="array" ref="D1351">iferror(index('2018_ufns'!E:E,match(C1351,'2018_ufns'!B:B,0)))</f>
        <v>P1004</v>
      </c>
      <c r="E1351" s="14">
        <v>43475.0</v>
      </c>
      <c r="F1351" s="40" t="s">
        <v>53</v>
      </c>
      <c r="G1351" s="40" t="s">
        <v>54</v>
      </c>
      <c r="H1351" s="9">
        <v>7.8</v>
      </c>
      <c r="I1351" s="13">
        <v>97.0</v>
      </c>
      <c r="J1351" s="13" t="s">
        <v>63</v>
      </c>
      <c r="K1351" s="17" t="str">
        <f t="shared" si="10"/>
        <v/>
      </c>
      <c r="L1351" s="9">
        <v>0.0</v>
      </c>
      <c r="O1351" s="43" t="s">
        <v>638</v>
      </c>
      <c r="P1351" s="40" t="s">
        <v>1729</v>
      </c>
      <c r="Q1351" s="43" t="s">
        <v>150</v>
      </c>
      <c r="R1351" s="43" t="s">
        <v>2119</v>
      </c>
      <c r="S1351" s="9" t="s">
        <v>64</v>
      </c>
      <c r="T1351" t="str">
        <f t="shared" si="12"/>
        <v>N</v>
      </c>
      <c r="W1351" s="12" t="str">
        <f t="array" ref="W1351">if(and(L1351=0,Q1351="NA"),"NA",if(L1351=0,"no lice",if(Q1351="NA","no collection",index(sea_lice!G:G,match(C1351,sea_lice!A:A,0)))))</f>
        <v>no lice</v>
      </c>
      <c r="X1351" s="23">
        <v>1350.0</v>
      </c>
    </row>
    <row r="1352">
      <c r="B1352" s="6">
        <v>16033.0</v>
      </c>
      <c r="C1352" s="12" t="str">
        <f t="shared" si="11"/>
        <v>U16033</v>
      </c>
      <c r="D1352" s="14" t="str">
        <f t="array" ref="D1352">iferror(index('2018_ufns'!E:E,match(C1352,'2018_ufns'!B:B,0)))</f>
        <v>P1004</v>
      </c>
      <c r="E1352" s="14">
        <v>43475.0</v>
      </c>
      <c r="F1352" s="40" t="s">
        <v>53</v>
      </c>
      <c r="G1352" s="40" t="s">
        <v>54</v>
      </c>
      <c r="H1352" s="9">
        <v>8.5</v>
      </c>
      <c r="I1352" s="13">
        <v>95.0</v>
      </c>
      <c r="J1352" s="13" t="s">
        <v>63</v>
      </c>
      <c r="K1352" s="17" t="str">
        <f t="shared" si="10"/>
        <v/>
      </c>
      <c r="L1352" s="9">
        <v>0.0</v>
      </c>
      <c r="O1352" s="43" t="s">
        <v>638</v>
      </c>
      <c r="P1352" s="40" t="s">
        <v>1729</v>
      </c>
      <c r="Q1352" s="43" t="s">
        <v>150</v>
      </c>
      <c r="R1352" s="43" t="s">
        <v>2119</v>
      </c>
      <c r="S1352" s="9" t="s">
        <v>64</v>
      </c>
      <c r="T1352" t="str">
        <f t="shared" si="12"/>
        <v>N</v>
      </c>
      <c r="W1352" s="12" t="str">
        <f t="array" ref="W1352">if(and(L1352=0,Q1352="NA"),"NA",if(L1352=0,"no lice",if(Q1352="NA","no collection",index(sea_lice!G:G,match(C1352,sea_lice!A:A,0)))))</f>
        <v>no lice</v>
      </c>
      <c r="X1352" s="23">
        <v>1351.0</v>
      </c>
    </row>
    <row r="1353">
      <c r="B1353" s="6">
        <v>16036.0</v>
      </c>
      <c r="C1353" s="12" t="str">
        <f t="shared" si="11"/>
        <v>U16036</v>
      </c>
      <c r="D1353" s="14" t="str">
        <f t="array" ref="D1353">iferror(index('2018_ufns'!E:E,match(C1353,'2018_ufns'!B:B,0)))</f>
        <v>P1004</v>
      </c>
      <c r="E1353" s="14">
        <v>43475.0</v>
      </c>
      <c r="F1353" s="40" t="s">
        <v>53</v>
      </c>
      <c r="G1353" s="40" t="s">
        <v>54</v>
      </c>
      <c r="H1353" s="9">
        <v>9.2</v>
      </c>
      <c r="I1353" s="13">
        <v>95.0</v>
      </c>
      <c r="J1353" s="13">
        <v>100.0</v>
      </c>
      <c r="K1353" s="17">
        <f t="shared" si="10"/>
        <v>0.92</v>
      </c>
      <c r="L1353" s="9">
        <v>0.0</v>
      </c>
      <c r="O1353" s="43" t="s">
        <v>638</v>
      </c>
      <c r="P1353" s="40" t="s">
        <v>1729</v>
      </c>
      <c r="Q1353" s="43" t="s">
        <v>150</v>
      </c>
      <c r="R1353" s="43" t="s">
        <v>2119</v>
      </c>
      <c r="S1353" s="9" t="s">
        <v>64</v>
      </c>
      <c r="T1353" t="str">
        <f t="shared" si="12"/>
        <v>N</v>
      </c>
      <c r="W1353" s="12" t="str">
        <f t="array" ref="W1353">if(and(L1353=0,Q1353="NA"),"NA",if(L1353=0,"no lice",if(Q1353="NA","no collection",index(sea_lice!G:G,match(C1353,sea_lice!A:A,0)))))</f>
        <v>no lice</v>
      </c>
      <c r="X1353" s="23">
        <v>1352.0</v>
      </c>
    </row>
    <row r="1354">
      <c r="B1354" s="6">
        <v>17466.0</v>
      </c>
      <c r="C1354" s="12" t="str">
        <f t="shared" si="11"/>
        <v>U17466</v>
      </c>
      <c r="D1354" s="14" t="str">
        <f t="array" ref="D1354">iferror(index('2018_ufns'!E:E,match(C1354,'2018_ufns'!B:B,0)))</f>
        <v>P1147</v>
      </c>
      <c r="E1354" s="14">
        <v>43475.0</v>
      </c>
      <c r="F1354" s="40" t="s">
        <v>53</v>
      </c>
      <c r="G1354" s="40" t="s">
        <v>54</v>
      </c>
      <c r="H1354" s="9">
        <v>7.7</v>
      </c>
      <c r="I1354" s="13">
        <v>92.0</v>
      </c>
      <c r="J1354" s="13">
        <v>97.0</v>
      </c>
      <c r="K1354" s="17">
        <f t="shared" si="10"/>
        <v>0.8436756648</v>
      </c>
      <c r="L1354" s="9">
        <v>1.0</v>
      </c>
      <c r="N1354" s="9" t="s">
        <v>2174</v>
      </c>
      <c r="O1354" s="9" t="s">
        <v>64</v>
      </c>
      <c r="P1354" s="40" t="s">
        <v>1729</v>
      </c>
      <c r="Q1354" s="43" t="s">
        <v>150</v>
      </c>
      <c r="R1354" s="43" t="s">
        <v>2119</v>
      </c>
      <c r="S1354" s="9" t="s">
        <v>638</v>
      </c>
      <c r="T1354" t="str">
        <f t="shared" si="12"/>
        <v>N</v>
      </c>
      <c r="W1354" s="12" t="str">
        <f t="array" ref="W1354">if(and(L1354=0,Q1354="NA"),"NA",if(L1354=0,"no lice",if(Q1354="NA","no collection",index(sea_lice!G:G,match(C1354,sea_lice!A:A,0)))))</f>
        <v>BSL8-33</v>
      </c>
      <c r="X1354" s="23">
        <v>1353.0</v>
      </c>
    </row>
    <row r="1355">
      <c r="B1355" s="6">
        <v>17465.0</v>
      </c>
      <c r="C1355" s="12" t="str">
        <f t="shared" si="11"/>
        <v>U17465</v>
      </c>
      <c r="D1355" s="14" t="str">
        <f t="array" ref="D1355">iferror(index('2018_ufns'!E:E,match(C1355,'2018_ufns'!B:B,0)))</f>
        <v>P1147</v>
      </c>
      <c r="E1355" s="14">
        <v>43475.0</v>
      </c>
      <c r="F1355" s="40" t="s">
        <v>53</v>
      </c>
      <c r="G1355" s="40" t="s">
        <v>54</v>
      </c>
      <c r="H1355" s="9">
        <v>7.7</v>
      </c>
      <c r="I1355" s="13">
        <v>92.0</v>
      </c>
      <c r="J1355" s="13">
        <v>96.0</v>
      </c>
      <c r="K1355" s="17">
        <f t="shared" si="10"/>
        <v>0.8703161169</v>
      </c>
      <c r="L1355" s="9">
        <v>0.0</v>
      </c>
      <c r="O1355" s="9" t="s">
        <v>64</v>
      </c>
      <c r="P1355" s="40" t="s">
        <v>1729</v>
      </c>
      <c r="Q1355" s="43" t="s">
        <v>150</v>
      </c>
      <c r="R1355" s="43" t="s">
        <v>2119</v>
      </c>
      <c r="S1355" s="9" t="s">
        <v>638</v>
      </c>
      <c r="T1355" t="str">
        <f t="shared" si="12"/>
        <v>N</v>
      </c>
      <c r="W1355" s="12" t="str">
        <f t="array" ref="W1355">if(and(L1355=0,Q1355="NA"),"NA",if(L1355=0,"no lice",if(Q1355="NA","no collection",index(sea_lice!G:G,match(C1355,sea_lice!A:A,0)))))</f>
        <v>no lice</v>
      </c>
      <c r="X1355" s="23">
        <v>1354.0</v>
      </c>
    </row>
    <row r="1356">
      <c r="B1356" s="6">
        <v>17464.0</v>
      </c>
      <c r="C1356" s="12" t="str">
        <f t="shared" si="11"/>
        <v>U17464</v>
      </c>
      <c r="D1356" s="14" t="str">
        <f t="array" ref="D1356">iferror(index('2018_ufns'!E:E,match(C1356,'2018_ufns'!B:B,0)))</f>
        <v>P1147</v>
      </c>
      <c r="E1356" s="14">
        <v>43475.0</v>
      </c>
      <c r="F1356" s="40" t="s">
        <v>53</v>
      </c>
      <c r="G1356" s="40" t="s">
        <v>54</v>
      </c>
      <c r="H1356" s="9">
        <v>6.9</v>
      </c>
      <c r="I1356" s="13">
        <v>87.0</v>
      </c>
      <c r="J1356" s="13" t="s">
        <v>63</v>
      </c>
      <c r="K1356" s="17" t="str">
        <f t="shared" si="10"/>
        <v/>
      </c>
      <c r="L1356" s="9">
        <v>0.0</v>
      </c>
      <c r="O1356" s="9" t="s">
        <v>64</v>
      </c>
      <c r="P1356" s="40" t="s">
        <v>1729</v>
      </c>
      <c r="Q1356" s="43" t="s">
        <v>150</v>
      </c>
      <c r="R1356" s="43" t="s">
        <v>2119</v>
      </c>
      <c r="S1356" s="9" t="s">
        <v>638</v>
      </c>
      <c r="T1356" t="str">
        <f t="shared" si="12"/>
        <v>N</v>
      </c>
      <c r="W1356" s="12" t="str">
        <f t="array" ref="W1356">if(and(L1356=0,Q1356="NA"),"NA",if(L1356=0,"no lice",if(Q1356="NA","no collection",index(sea_lice!G:G,match(C1356,sea_lice!A:A,0)))))</f>
        <v>no lice</v>
      </c>
      <c r="X1356" s="23">
        <v>1355.0</v>
      </c>
    </row>
    <row r="1357">
      <c r="B1357" s="6">
        <v>17463.0</v>
      </c>
      <c r="C1357" s="12" t="str">
        <f t="shared" si="11"/>
        <v>U17463</v>
      </c>
      <c r="D1357" s="14" t="str">
        <f t="array" ref="D1357">iferror(index('2018_ufns'!E:E,match(C1357,'2018_ufns'!B:B,0)))</f>
        <v>P1147</v>
      </c>
      <c r="E1357" s="14">
        <v>43475.0</v>
      </c>
      <c r="F1357" s="40" t="s">
        <v>53</v>
      </c>
      <c r="G1357" s="40" t="s">
        <v>54</v>
      </c>
      <c r="H1357" s="9">
        <v>5.7</v>
      </c>
      <c r="I1357" s="13">
        <v>77.0</v>
      </c>
      <c r="J1357" s="13">
        <v>81.0</v>
      </c>
      <c r="K1357" s="17">
        <f t="shared" si="10"/>
        <v>1.072555561</v>
      </c>
      <c r="L1357" s="9">
        <v>2.0</v>
      </c>
      <c r="O1357" s="9" t="s">
        <v>64</v>
      </c>
      <c r="P1357" s="40" t="s">
        <v>1729</v>
      </c>
      <c r="Q1357" s="43" t="s">
        <v>150</v>
      </c>
      <c r="R1357" s="43" t="s">
        <v>2119</v>
      </c>
      <c r="S1357" s="9" t="s">
        <v>638</v>
      </c>
      <c r="T1357" t="str">
        <f t="shared" si="12"/>
        <v>N</v>
      </c>
      <c r="W1357" s="12" t="str">
        <f t="array" ref="W1357">if(and(L1357=0,Q1357="NA"),"NA",if(L1357=0,"no lice",if(Q1357="NA","no collection",index(sea_lice!G:G,match(C1357,sea_lice!A:A,0)))))</f>
        <v>BSL8-34</v>
      </c>
      <c r="X1357" s="23">
        <v>1356.0</v>
      </c>
    </row>
    <row r="1358">
      <c r="B1358" s="6">
        <v>17462.0</v>
      </c>
      <c r="C1358" s="12" t="str">
        <f t="shared" si="11"/>
        <v>U17462</v>
      </c>
      <c r="D1358" s="14" t="str">
        <f t="array" ref="D1358">iferror(index('2018_ufns'!E:E,match(C1358,'2018_ufns'!B:B,0)))</f>
        <v>P1147</v>
      </c>
      <c r="E1358" s="14">
        <v>43475.0</v>
      </c>
      <c r="F1358" s="40" t="s">
        <v>53</v>
      </c>
      <c r="G1358" s="40" t="s">
        <v>54</v>
      </c>
      <c r="H1358" s="9">
        <v>8.3</v>
      </c>
      <c r="I1358" s="13">
        <v>97.0</v>
      </c>
      <c r="J1358" s="13">
        <v>101.0</v>
      </c>
      <c r="K1358" s="17">
        <f t="shared" si="10"/>
        <v>0.8055898228</v>
      </c>
      <c r="L1358" s="9">
        <v>2.0</v>
      </c>
      <c r="O1358" s="9" t="s">
        <v>64</v>
      </c>
      <c r="P1358" s="40" t="s">
        <v>1729</v>
      </c>
      <c r="Q1358" s="43" t="s">
        <v>150</v>
      </c>
      <c r="R1358" s="43" t="s">
        <v>2119</v>
      </c>
      <c r="S1358" s="9" t="s">
        <v>638</v>
      </c>
      <c r="T1358" t="str">
        <f t="shared" si="12"/>
        <v>N</v>
      </c>
      <c r="W1358" s="12" t="str">
        <f t="array" ref="W1358">if(and(L1358=0,Q1358="NA"),"NA",if(L1358=0,"no lice",if(Q1358="NA","no collection",index(sea_lice!G:G,match(C1358,sea_lice!A:A,0)))))</f>
        <v>BSL8-35</v>
      </c>
      <c r="X1358" s="23">
        <v>1357.0</v>
      </c>
    </row>
    <row r="1359">
      <c r="B1359" s="6">
        <v>17461.0</v>
      </c>
      <c r="C1359" s="12" t="str">
        <f t="shared" si="11"/>
        <v>U17461</v>
      </c>
      <c r="D1359" s="14" t="str">
        <f t="array" ref="D1359">iferror(index('2018_ufns'!E:E,match(C1359,'2018_ufns'!B:B,0)))</f>
        <v>P1147</v>
      </c>
      <c r="E1359" s="14">
        <v>43475.0</v>
      </c>
      <c r="F1359" s="40" t="s">
        <v>53</v>
      </c>
      <c r="G1359" s="40" t="s">
        <v>54</v>
      </c>
      <c r="H1359" s="9">
        <v>4.8</v>
      </c>
      <c r="I1359" s="13">
        <v>80.0</v>
      </c>
      <c r="J1359" s="13">
        <v>84.0</v>
      </c>
      <c r="K1359" s="17">
        <f t="shared" si="10"/>
        <v>0.8098477486</v>
      </c>
      <c r="L1359" s="9">
        <v>2.0</v>
      </c>
      <c r="O1359" s="9" t="s">
        <v>64</v>
      </c>
      <c r="P1359" s="40" t="s">
        <v>1729</v>
      </c>
      <c r="Q1359" s="43" t="s">
        <v>150</v>
      </c>
      <c r="R1359" s="43" t="s">
        <v>2119</v>
      </c>
      <c r="S1359" s="9" t="s">
        <v>638</v>
      </c>
      <c r="T1359" t="str">
        <f t="shared" si="12"/>
        <v>N</v>
      </c>
      <c r="W1359" s="12" t="str">
        <f t="array" ref="W1359">if(and(L1359=0,Q1359="NA"),"NA",if(L1359=0,"no lice",if(Q1359="NA","no collection",index(sea_lice!G:G,match(C1359,sea_lice!A:A,0)))))</f>
        <v>BSL8-36</v>
      </c>
      <c r="X1359" s="23">
        <v>1358.0</v>
      </c>
    </row>
    <row r="1360">
      <c r="B1360" s="6">
        <v>16736.0</v>
      </c>
      <c r="C1360" s="12" t="str">
        <f t="shared" si="11"/>
        <v>U16736</v>
      </c>
      <c r="D1360" s="14" t="str">
        <f t="array" ref="D1360">iferror(index('2018_ufns'!E:E,match(C1360,'2018_ufns'!B:B,0)))</f>
        <v>P1074</v>
      </c>
      <c r="E1360" s="14">
        <v>43475.0</v>
      </c>
      <c r="F1360" s="40" t="s">
        <v>53</v>
      </c>
      <c r="G1360" s="40" t="s">
        <v>54</v>
      </c>
      <c r="H1360" s="9">
        <v>16.2</v>
      </c>
      <c r="I1360" s="13">
        <v>115.0</v>
      </c>
      <c r="J1360" s="13">
        <v>120.0</v>
      </c>
      <c r="K1360" s="17">
        <f t="shared" si="10"/>
        <v>0.9375</v>
      </c>
      <c r="L1360" s="9">
        <v>1.0</v>
      </c>
      <c r="O1360" s="9" t="s">
        <v>64</v>
      </c>
      <c r="P1360" s="40" t="s">
        <v>1729</v>
      </c>
      <c r="Q1360" s="43" t="s">
        <v>150</v>
      </c>
      <c r="R1360" s="43" t="s">
        <v>2119</v>
      </c>
      <c r="S1360" s="9" t="s">
        <v>638</v>
      </c>
      <c r="T1360" t="str">
        <f t="shared" si="12"/>
        <v>N</v>
      </c>
      <c r="W1360" s="12" t="str">
        <f t="array" ref="W1360">if(and(L1360=0,Q1360="NA"),"NA",if(L1360=0,"no lice",if(Q1360="NA","no collection",index(sea_lice!G:G,match(C1360,sea_lice!A:A,0)))))</f>
        <v>BSL8-37</v>
      </c>
      <c r="X1360" s="23">
        <v>1359.0</v>
      </c>
    </row>
    <row r="1361">
      <c r="B1361" s="6">
        <v>16738.0</v>
      </c>
      <c r="C1361" s="12" t="str">
        <f t="shared" si="11"/>
        <v>U16738</v>
      </c>
      <c r="D1361" s="14" t="str">
        <f t="array" ref="D1361">iferror(index('2018_ufns'!E:E,match(C1361,'2018_ufns'!B:B,0)))</f>
        <v>P1074</v>
      </c>
      <c r="E1361" s="14">
        <v>43475.0</v>
      </c>
      <c r="F1361" s="40" t="s">
        <v>53</v>
      </c>
      <c r="G1361" s="40" t="s">
        <v>54</v>
      </c>
      <c r="H1361" s="9">
        <v>18.9</v>
      </c>
      <c r="I1361" s="13">
        <v>121.0</v>
      </c>
      <c r="J1361" s="13">
        <v>126.0</v>
      </c>
      <c r="K1361" s="17">
        <f t="shared" si="10"/>
        <v>0.9448223734</v>
      </c>
      <c r="L1361" s="9">
        <v>1.0</v>
      </c>
      <c r="O1361" s="9" t="s">
        <v>64</v>
      </c>
      <c r="P1361" s="40" t="s">
        <v>1729</v>
      </c>
      <c r="Q1361" s="43" t="s">
        <v>150</v>
      </c>
      <c r="R1361" s="43" t="s">
        <v>2119</v>
      </c>
      <c r="S1361" s="9" t="s">
        <v>638</v>
      </c>
      <c r="T1361" t="str">
        <f t="shared" si="12"/>
        <v>N</v>
      </c>
      <c r="W1361" s="12" t="str">
        <f t="array" ref="W1361">if(and(L1361=0,Q1361="NA"),"NA",if(L1361=0,"no lice",if(Q1361="NA","no collection",index(sea_lice!G:G,match(C1361,sea_lice!A:A,0)))))</f>
        <v>BSL8-39</v>
      </c>
      <c r="X1361" s="23">
        <v>1360.0</v>
      </c>
    </row>
    <row r="1362">
      <c r="B1362" s="6">
        <v>16740.0</v>
      </c>
      <c r="C1362" s="12" t="str">
        <f t="shared" si="11"/>
        <v>U16740</v>
      </c>
      <c r="D1362" s="14" t="str">
        <f t="array" ref="D1362">iferror(index('2018_ufns'!E:E,match(C1362,'2018_ufns'!B:B,0)))</f>
        <v>P1074</v>
      </c>
      <c r="E1362" s="14">
        <v>43475.0</v>
      </c>
      <c r="F1362" s="40" t="s">
        <v>53</v>
      </c>
      <c r="G1362" s="40" t="s">
        <v>54</v>
      </c>
      <c r="H1362" s="9">
        <v>14.7</v>
      </c>
      <c r="I1362" s="13">
        <v>110.0</v>
      </c>
      <c r="J1362" s="13">
        <v>115.0</v>
      </c>
      <c r="K1362" s="17">
        <f t="shared" si="10"/>
        <v>0.9665488617</v>
      </c>
      <c r="L1362" s="9">
        <v>3.0</v>
      </c>
      <c r="O1362" s="9" t="s">
        <v>64</v>
      </c>
      <c r="P1362" s="40" t="s">
        <v>1729</v>
      </c>
      <c r="Q1362" s="43" t="s">
        <v>150</v>
      </c>
      <c r="R1362" s="43" t="s">
        <v>2119</v>
      </c>
      <c r="S1362" s="9" t="s">
        <v>638</v>
      </c>
      <c r="T1362" t="str">
        <f t="shared" si="12"/>
        <v>N</v>
      </c>
      <c r="W1362" s="12" t="str">
        <f t="array" ref="W1362">if(and(L1362=0,Q1362="NA"),"NA",if(L1362=0,"no lice",if(Q1362="NA","no collection",index(sea_lice!G:G,match(C1362,sea_lice!A:A,0)))))</f>
        <v>BSL8-40</v>
      </c>
      <c r="X1362" s="23">
        <v>1361.0</v>
      </c>
    </row>
    <row r="1363">
      <c r="B1363" s="6">
        <v>16735.0</v>
      </c>
      <c r="C1363" s="12" t="str">
        <f t="shared" si="11"/>
        <v>U16735</v>
      </c>
      <c r="D1363" s="14" t="str">
        <f t="array" ref="D1363">iferror(index('2018_ufns'!E:E,match(C1363,'2018_ufns'!B:B,0)))</f>
        <v>P1074</v>
      </c>
      <c r="E1363" s="14">
        <v>43475.0</v>
      </c>
      <c r="F1363" s="40" t="s">
        <v>53</v>
      </c>
      <c r="G1363" s="40" t="s">
        <v>54</v>
      </c>
      <c r="H1363" s="9">
        <v>21.5</v>
      </c>
      <c r="I1363" s="13">
        <v>130.0</v>
      </c>
      <c r="J1363" s="13">
        <v>135.0</v>
      </c>
      <c r="K1363" s="17">
        <f t="shared" si="10"/>
        <v>0.8738505309</v>
      </c>
      <c r="L1363" s="9">
        <v>1.0</v>
      </c>
      <c r="O1363" s="9" t="s">
        <v>64</v>
      </c>
      <c r="P1363" s="40" t="s">
        <v>1729</v>
      </c>
      <c r="Q1363" s="43" t="s">
        <v>150</v>
      </c>
      <c r="R1363" s="43" t="s">
        <v>2119</v>
      </c>
      <c r="S1363" s="9" t="s">
        <v>638</v>
      </c>
      <c r="T1363" t="str">
        <f t="shared" si="12"/>
        <v>N</v>
      </c>
      <c r="W1363" s="12" t="str">
        <f t="array" ref="W1363">if(and(L1363=0,Q1363="NA"),"NA",if(L1363=0,"no lice",if(Q1363="NA","no collection",index(sea_lice!G:G,match(C1363,sea_lice!A:A,0)))))</f>
        <v>BSL8-41</v>
      </c>
      <c r="X1363" s="23">
        <v>1362.0</v>
      </c>
    </row>
    <row r="1364">
      <c r="B1364" s="6">
        <v>16737.0</v>
      </c>
      <c r="C1364" s="12" t="str">
        <f t="shared" si="11"/>
        <v>U16737</v>
      </c>
      <c r="D1364" s="14" t="str">
        <f t="array" ref="D1364">iferror(index('2018_ufns'!E:E,match(C1364,'2018_ufns'!B:B,0)))</f>
        <v>P1074</v>
      </c>
      <c r="E1364" s="14">
        <v>43475.0</v>
      </c>
      <c r="F1364" s="40" t="s">
        <v>53</v>
      </c>
      <c r="G1364" s="40" t="s">
        <v>54</v>
      </c>
      <c r="H1364" s="9">
        <v>15.0</v>
      </c>
      <c r="I1364" s="13">
        <v>112.0</v>
      </c>
      <c r="J1364" s="13" t="s">
        <v>63</v>
      </c>
      <c r="K1364" s="17" t="str">
        <f t="shared" si="10"/>
        <v/>
      </c>
      <c r="L1364" s="9">
        <v>1.0</v>
      </c>
      <c r="O1364" s="9" t="s">
        <v>64</v>
      </c>
      <c r="P1364" s="40" t="s">
        <v>1729</v>
      </c>
      <c r="Q1364" s="43" t="s">
        <v>150</v>
      </c>
      <c r="R1364" s="43" t="s">
        <v>2119</v>
      </c>
      <c r="S1364" s="9" t="s">
        <v>638</v>
      </c>
      <c r="T1364" t="str">
        <f t="shared" si="12"/>
        <v>N</v>
      </c>
      <c r="W1364" s="12" t="str">
        <f t="array" ref="W1364">if(and(L1364=0,Q1364="NA"),"NA",if(L1364=0,"no lice",if(Q1364="NA","no collection",index(sea_lice!G:G,match(C1364,sea_lice!A:A,0)))))</f>
        <v>BSL8-42</v>
      </c>
      <c r="X1364" s="23">
        <v>1363.0</v>
      </c>
    </row>
    <row r="1365">
      <c r="B1365" s="6">
        <v>16733.0</v>
      </c>
      <c r="C1365" s="12" t="str">
        <f t="shared" si="11"/>
        <v>U16733</v>
      </c>
      <c r="D1365" s="14" t="str">
        <f t="array" ref="D1365">iferror(index('2018_ufns'!E:E,match(C1365,'2018_ufns'!B:B,0)))</f>
        <v>P1074</v>
      </c>
      <c r="E1365" s="14">
        <v>43475.0</v>
      </c>
      <c r="F1365" s="40" t="s">
        <v>53</v>
      </c>
      <c r="G1365" s="40" t="s">
        <v>54</v>
      </c>
      <c r="H1365" s="9">
        <v>11.6</v>
      </c>
      <c r="I1365" s="13">
        <v>104.0</v>
      </c>
      <c r="J1365" s="13">
        <v>108.0</v>
      </c>
      <c r="K1365" s="17">
        <f t="shared" si="10"/>
        <v>0.9208453996</v>
      </c>
      <c r="L1365" s="9">
        <v>0.0</v>
      </c>
      <c r="O1365" s="9" t="s">
        <v>64</v>
      </c>
      <c r="P1365" s="40" t="s">
        <v>1729</v>
      </c>
      <c r="Q1365" s="43" t="s">
        <v>150</v>
      </c>
      <c r="R1365" s="43" t="s">
        <v>2119</v>
      </c>
      <c r="S1365" s="9" t="s">
        <v>638</v>
      </c>
      <c r="T1365" t="str">
        <f t="shared" si="12"/>
        <v>N</v>
      </c>
      <c r="W1365" s="12" t="str">
        <f t="array" ref="W1365">if(and(L1365=0,Q1365="NA"),"NA",if(L1365=0,"no lice",if(Q1365="NA","no collection",index(sea_lice!G:G,match(C1365,sea_lice!A:A,0)))))</f>
        <v>no lice</v>
      </c>
      <c r="X1365" s="23">
        <v>1364.0</v>
      </c>
    </row>
    <row r="1366">
      <c r="B1366" s="6">
        <v>16734.0</v>
      </c>
      <c r="C1366" s="12" t="str">
        <f t="shared" si="11"/>
        <v>U16734</v>
      </c>
      <c r="D1366" s="14" t="str">
        <f t="array" ref="D1366">iferror(index('2018_ufns'!E:E,match(C1366,'2018_ufns'!B:B,0)))</f>
        <v>P1074</v>
      </c>
      <c r="E1366" s="14">
        <v>43475.0</v>
      </c>
      <c r="F1366" s="40" t="s">
        <v>53</v>
      </c>
      <c r="G1366" s="40" t="s">
        <v>54</v>
      </c>
      <c r="H1366" s="9">
        <v>21.6</v>
      </c>
      <c r="I1366" s="13">
        <v>122.0</v>
      </c>
      <c r="J1366" s="13">
        <v>127.0</v>
      </c>
      <c r="K1366" s="17">
        <f t="shared" si="10"/>
        <v>1.054490298</v>
      </c>
      <c r="L1366" s="9">
        <v>1.0</v>
      </c>
      <c r="O1366" s="9" t="s">
        <v>64</v>
      </c>
      <c r="P1366" s="40" t="s">
        <v>1729</v>
      </c>
      <c r="Q1366" s="43" t="s">
        <v>150</v>
      </c>
      <c r="R1366" s="43" t="s">
        <v>2119</v>
      </c>
      <c r="S1366" s="9" t="s">
        <v>638</v>
      </c>
      <c r="T1366" t="str">
        <f t="shared" si="12"/>
        <v>N</v>
      </c>
      <c r="W1366" s="12" t="str">
        <f t="array" ref="W1366">if(and(L1366=0,Q1366="NA"),"NA",if(L1366=0,"no lice",if(Q1366="NA","no collection",index(sea_lice!G:G,match(C1366,sea_lice!A:A,0)))))</f>
        <v>BSL8-43</v>
      </c>
      <c r="X1366" s="23">
        <v>1365.0</v>
      </c>
    </row>
    <row r="1367">
      <c r="B1367" s="6">
        <v>16731.0</v>
      </c>
      <c r="C1367" s="12" t="str">
        <f t="shared" si="11"/>
        <v>U16731</v>
      </c>
      <c r="D1367" s="14" t="str">
        <f t="array" ref="D1367">iferror(index('2018_ufns'!E:E,match(C1367,'2018_ufns'!B:B,0)))</f>
        <v>P1074</v>
      </c>
      <c r="E1367" s="14">
        <v>43475.0</v>
      </c>
      <c r="F1367" s="40" t="s">
        <v>53</v>
      </c>
      <c r="G1367" s="40" t="s">
        <v>54</v>
      </c>
      <c r="H1367" s="9">
        <v>16.1</v>
      </c>
      <c r="I1367" s="13">
        <v>111.0</v>
      </c>
      <c r="J1367" s="13">
        <v>116.0</v>
      </c>
      <c r="K1367" s="17">
        <f t="shared" si="10"/>
        <v>1.031458854</v>
      </c>
      <c r="L1367" s="9">
        <v>0.0</v>
      </c>
      <c r="O1367" s="9" t="s">
        <v>64</v>
      </c>
      <c r="P1367" s="40" t="s">
        <v>1729</v>
      </c>
      <c r="Q1367" s="43" t="s">
        <v>150</v>
      </c>
      <c r="R1367" s="43" t="s">
        <v>2119</v>
      </c>
      <c r="S1367" s="9" t="s">
        <v>638</v>
      </c>
      <c r="T1367" t="str">
        <f t="shared" si="12"/>
        <v>N</v>
      </c>
      <c r="W1367" s="12" t="str">
        <f t="array" ref="W1367">if(and(L1367=0,Q1367="NA"),"NA",if(L1367=0,"no lice",if(Q1367="NA","no collection",index(sea_lice!G:G,match(C1367,sea_lice!A:A,0)))))</f>
        <v>no lice</v>
      </c>
      <c r="X1367" s="23">
        <v>1366.0</v>
      </c>
    </row>
    <row r="1368">
      <c r="B1368" s="6">
        <v>16739.0</v>
      </c>
      <c r="C1368" s="12" t="str">
        <f t="shared" si="11"/>
        <v>U16739</v>
      </c>
      <c r="D1368" s="14" t="str">
        <f t="array" ref="D1368">iferror(index('2018_ufns'!E:E,match(C1368,'2018_ufns'!B:B,0)))</f>
        <v>P1074</v>
      </c>
      <c r="E1368" s="14">
        <v>43475.0</v>
      </c>
      <c r="F1368" s="40" t="s">
        <v>53</v>
      </c>
      <c r="G1368" s="40" t="s">
        <v>54</v>
      </c>
      <c r="H1368" s="9">
        <v>21.6</v>
      </c>
      <c r="I1368" s="13">
        <v>127.0</v>
      </c>
      <c r="J1368" s="13">
        <v>132.0</v>
      </c>
      <c r="K1368" s="17">
        <f t="shared" si="10"/>
        <v>0.9391435011</v>
      </c>
      <c r="L1368" s="9">
        <v>1.0</v>
      </c>
      <c r="O1368" s="9" t="s">
        <v>64</v>
      </c>
      <c r="P1368" s="40" t="s">
        <v>1729</v>
      </c>
      <c r="Q1368" s="43" t="s">
        <v>150</v>
      </c>
      <c r="R1368" s="43" t="s">
        <v>2119</v>
      </c>
      <c r="S1368" s="9" t="s">
        <v>638</v>
      </c>
      <c r="T1368" t="str">
        <f t="shared" si="12"/>
        <v>N</v>
      </c>
      <c r="W1368" s="12" t="str">
        <f t="array" ref="W1368">if(and(L1368=0,Q1368="NA"),"NA",if(L1368=0,"no lice",if(Q1368="NA","no collection",index(sea_lice!G:G,match(C1368,sea_lice!A:A,0)))))</f>
        <v>BSL8-45</v>
      </c>
      <c r="X1368" s="23">
        <v>1367.0</v>
      </c>
    </row>
    <row r="1369">
      <c r="B1369" s="6">
        <v>16732.0</v>
      </c>
      <c r="C1369" s="12" t="str">
        <f t="shared" si="11"/>
        <v>U16732</v>
      </c>
      <c r="D1369" s="14" t="str">
        <f t="array" ref="D1369">iferror(index('2018_ufns'!E:E,match(C1369,'2018_ufns'!B:B,0)))</f>
        <v>P1074</v>
      </c>
      <c r="E1369" s="14">
        <v>43475.0</v>
      </c>
      <c r="F1369" s="40" t="s">
        <v>53</v>
      </c>
      <c r="G1369" s="40" t="s">
        <v>54</v>
      </c>
      <c r="H1369" s="9">
        <v>18.2</v>
      </c>
      <c r="I1369" s="13">
        <v>118.0</v>
      </c>
      <c r="J1369" s="13">
        <v>123.0</v>
      </c>
      <c r="K1369" s="17">
        <f t="shared" si="10"/>
        <v>0.9780387314</v>
      </c>
      <c r="L1369" s="9">
        <v>0.0</v>
      </c>
      <c r="O1369" s="9" t="s">
        <v>64</v>
      </c>
      <c r="P1369" s="40" t="s">
        <v>1729</v>
      </c>
      <c r="Q1369" s="43" t="s">
        <v>150</v>
      </c>
      <c r="R1369" s="43" t="s">
        <v>2119</v>
      </c>
      <c r="S1369" s="9" t="s">
        <v>638</v>
      </c>
      <c r="T1369" t="str">
        <f t="shared" si="12"/>
        <v>N</v>
      </c>
      <c r="W1369" s="12" t="str">
        <f t="array" ref="W1369">if(and(L1369=0,Q1369="NA"),"NA",if(L1369=0,"no lice",if(Q1369="NA","no collection",index(sea_lice!G:G,match(C1369,sea_lice!A:A,0)))))</f>
        <v>no lice</v>
      </c>
      <c r="X1369" s="23">
        <v>1368.0</v>
      </c>
    </row>
    <row r="1370">
      <c r="B1370" s="6">
        <v>17939.0</v>
      </c>
      <c r="C1370" s="12" t="str">
        <f t="shared" si="11"/>
        <v>U17939</v>
      </c>
      <c r="D1370" s="14" t="str">
        <f t="array" ref="D1370">iferror(index('2018_ufns'!E:E,match(C1370,'2018_ufns'!B:B,0)))</f>
        <v>P1194</v>
      </c>
      <c r="E1370" s="14">
        <v>43475.0</v>
      </c>
      <c r="F1370" s="40" t="s">
        <v>53</v>
      </c>
      <c r="G1370" s="40" t="s">
        <v>54</v>
      </c>
      <c r="H1370" s="9">
        <v>14.5</v>
      </c>
      <c r="I1370" s="13">
        <v>111.0</v>
      </c>
      <c r="J1370" s="13" t="s">
        <v>63</v>
      </c>
      <c r="K1370" s="17" t="str">
        <f t="shared" si="10"/>
        <v/>
      </c>
      <c r="L1370" s="9">
        <v>0.0</v>
      </c>
      <c r="O1370" s="9" t="s">
        <v>64</v>
      </c>
      <c r="P1370" s="40" t="s">
        <v>1729</v>
      </c>
      <c r="Q1370" s="43" t="s">
        <v>150</v>
      </c>
      <c r="R1370" s="43" t="s">
        <v>2119</v>
      </c>
      <c r="S1370" s="9" t="s">
        <v>638</v>
      </c>
      <c r="T1370" t="str">
        <f t="shared" si="12"/>
        <v>N</v>
      </c>
      <c r="W1370" s="12" t="str">
        <f t="array" ref="W1370">if(and(L1370=0,Q1370="NA"),"NA",if(L1370=0,"no lice",if(Q1370="NA","no collection",index(sea_lice!G:G,match(C1370,sea_lice!A:A,0)))))</f>
        <v>no lice</v>
      </c>
      <c r="X1370" s="23">
        <v>1369.0</v>
      </c>
    </row>
    <row r="1371">
      <c r="B1371" s="6">
        <v>17936.0</v>
      </c>
      <c r="C1371" s="12" t="str">
        <f t="shared" si="11"/>
        <v>U17936</v>
      </c>
      <c r="D1371" s="14" t="str">
        <f t="array" ref="D1371">iferror(index('2018_ufns'!E:E,match(C1371,'2018_ufns'!B:B,0)))</f>
        <v>P1194</v>
      </c>
      <c r="E1371" s="14">
        <v>43475.0</v>
      </c>
      <c r="F1371" s="40" t="s">
        <v>53</v>
      </c>
      <c r="G1371" s="40" t="s">
        <v>54</v>
      </c>
      <c r="H1371" s="9">
        <v>8.6</v>
      </c>
      <c r="I1371" s="13">
        <v>92.0</v>
      </c>
      <c r="J1371" s="13" t="s">
        <v>63</v>
      </c>
      <c r="K1371" s="17" t="str">
        <f t="shared" si="10"/>
        <v/>
      </c>
      <c r="L1371" s="9">
        <v>0.0</v>
      </c>
      <c r="O1371" s="9" t="s">
        <v>64</v>
      </c>
      <c r="P1371" s="40" t="s">
        <v>1729</v>
      </c>
      <c r="Q1371" s="43" t="s">
        <v>150</v>
      </c>
      <c r="R1371" s="43" t="s">
        <v>2119</v>
      </c>
      <c r="S1371" s="9" t="s">
        <v>638</v>
      </c>
      <c r="T1371" t="str">
        <f t="shared" si="12"/>
        <v>N</v>
      </c>
      <c r="W1371" s="12" t="str">
        <f t="array" ref="W1371">if(and(L1371=0,Q1371="NA"),"NA",if(L1371=0,"no lice",if(Q1371="NA","no collection",index(sea_lice!G:G,match(C1371,sea_lice!A:A,0)))))</f>
        <v>no lice</v>
      </c>
      <c r="X1371" s="23">
        <v>1370.0</v>
      </c>
    </row>
    <row r="1372">
      <c r="B1372" s="6">
        <v>17940.0</v>
      </c>
      <c r="C1372" s="12" t="str">
        <f t="shared" si="11"/>
        <v>U17940</v>
      </c>
      <c r="D1372" s="14" t="str">
        <f t="array" ref="D1372">iferror(index('2018_ufns'!E:E,match(C1372,'2018_ufns'!B:B,0)))</f>
        <v>P1194</v>
      </c>
      <c r="E1372" s="14">
        <v>43475.0</v>
      </c>
      <c r="F1372" s="40" t="s">
        <v>53</v>
      </c>
      <c r="G1372" s="40" t="s">
        <v>54</v>
      </c>
      <c r="H1372" s="9">
        <v>7.8</v>
      </c>
      <c r="I1372" s="13">
        <v>92.0</v>
      </c>
      <c r="J1372" s="13" t="s">
        <v>63</v>
      </c>
      <c r="K1372" s="17" t="str">
        <f t="shared" si="10"/>
        <v/>
      </c>
      <c r="L1372" s="9">
        <v>0.0</v>
      </c>
      <c r="O1372" s="9" t="s">
        <v>64</v>
      </c>
      <c r="P1372" s="40" t="s">
        <v>1729</v>
      </c>
      <c r="Q1372" s="43" t="s">
        <v>150</v>
      </c>
      <c r="R1372" s="43" t="s">
        <v>2119</v>
      </c>
      <c r="S1372" s="9" t="s">
        <v>638</v>
      </c>
      <c r="T1372" t="str">
        <f t="shared" si="12"/>
        <v>N</v>
      </c>
      <c r="W1372" s="12" t="str">
        <f t="array" ref="W1372">if(and(L1372=0,Q1372="NA"),"NA",if(L1372=0,"no lice",if(Q1372="NA","no collection",index(sea_lice!G:G,match(C1372,sea_lice!A:A,0)))))</f>
        <v>no lice</v>
      </c>
      <c r="X1372" s="23">
        <v>1371.0</v>
      </c>
    </row>
    <row r="1373">
      <c r="B1373" s="6">
        <v>17932.0</v>
      </c>
      <c r="C1373" s="12" t="str">
        <f t="shared" si="11"/>
        <v>U17932</v>
      </c>
      <c r="D1373" s="14" t="str">
        <f t="array" ref="D1373">iferror(index('2018_ufns'!E:E,match(C1373,'2018_ufns'!B:B,0)))</f>
        <v>P1194</v>
      </c>
      <c r="E1373" s="14">
        <v>43476.0</v>
      </c>
      <c r="F1373" s="40" t="s">
        <v>53</v>
      </c>
      <c r="G1373" s="40" t="s">
        <v>54</v>
      </c>
      <c r="H1373" s="9">
        <v>14.5</v>
      </c>
      <c r="I1373" s="13">
        <v>111.0</v>
      </c>
      <c r="J1373" s="13">
        <v>116.0</v>
      </c>
      <c r="K1373" s="17">
        <f t="shared" si="10"/>
        <v>0.9289536266</v>
      </c>
      <c r="L1373" s="9">
        <v>0.0</v>
      </c>
      <c r="O1373" s="9" t="s">
        <v>64</v>
      </c>
      <c r="P1373" s="40" t="s">
        <v>1729</v>
      </c>
      <c r="Q1373" s="43" t="s">
        <v>150</v>
      </c>
      <c r="R1373" s="43" t="s">
        <v>2119</v>
      </c>
      <c r="S1373" s="9" t="s">
        <v>638</v>
      </c>
      <c r="T1373" t="str">
        <f t="shared" si="12"/>
        <v>N</v>
      </c>
      <c r="W1373" s="12" t="str">
        <f t="array" ref="W1373">if(and(L1373=0,Q1373="NA"),"NA",if(L1373=0,"no lice",if(Q1373="NA","no collection",index(sea_lice!G:G,match(C1373,sea_lice!A:A,0)))))</f>
        <v>no lice</v>
      </c>
      <c r="X1373" s="23">
        <v>1372.0</v>
      </c>
    </row>
    <row r="1374">
      <c r="B1374" s="6">
        <v>17931.0</v>
      </c>
      <c r="C1374" s="12" t="str">
        <f t="shared" si="11"/>
        <v>U17931</v>
      </c>
      <c r="D1374" s="14" t="str">
        <f t="array" ref="D1374">iferror(index('2018_ufns'!E:E,match(C1374,'2018_ufns'!B:B,0)))</f>
        <v>P1194</v>
      </c>
      <c r="E1374" s="14">
        <v>43476.0</v>
      </c>
      <c r="F1374" s="40" t="s">
        <v>53</v>
      </c>
      <c r="G1374" s="40" t="s">
        <v>54</v>
      </c>
      <c r="H1374" s="9">
        <v>8.7</v>
      </c>
      <c r="I1374" s="13">
        <v>95.0</v>
      </c>
      <c r="J1374" s="13" t="s">
        <v>63</v>
      </c>
      <c r="K1374" s="17" t="str">
        <f t="shared" si="10"/>
        <v/>
      </c>
      <c r="L1374" s="9">
        <v>0.0</v>
      </c>
      <c r="O1374" s="9" t="s">
        <v>64</v>
      </c>
      <c r="P1374" s="40" t="s">
        <v>1729</v>
      </c>
      <c r="Q1374" s="43" t="s">
        <v>150</v>
      </c>
      <c r="R1374" s="43" t="s">
        <v>2119</v>
      </c>
      <c r="S1374" s="9" t="s">
        <v>638</v>
      </c>
      <c r="T1374" t="str">
        <f t="shared" si="12"/>
        <v>N</v>
      </c>
      <c r="W1374" s="12" t="str">
        <f t="array" ref="W1374">if(and(L1374=0,Q1374="NA"),"NA",if(L1374=0,"no lice",if(Q1374="NA","no collection",index(sea_lice!G:G,match(C1374,sea_lice!A:A,0)))))</f>
        <v>no lice</v>
      </c>
      <c r="X1374" s="23">
        <v>1373.0</v>
      </c>
    </row>
    <row r="1375">
      <c r="B1375" s="6">
        <v>17934.0</v>
      </c>
      <c r="C1375" s="12" t="str">
        <f t="shared" si="11"/>
        <v>U17934</v>
      </c>
      <c r="D1375" s="14" t="str">
        <f t="array" ref="D1375">iferror(index('2018_ufns'!E:E,match(C1375,'2018_ufns'!B:B,0)))</f>
        <v>P1194</v>
      </c>
      <c r="E1375" s="14">
        <v>43476.0</v>
      </c>
      <c r="F1375" s="40" t="s">
        <v>53</v>
      </c>
      <c r="G1375" s="40" t="s">
        <v>54</v>
      </c>
      <c r="H1375" s="9">
        <v>9.1</v>
      </c>
      <c r="I1375" s="13">
        <v>96.0</v>
      </c>
      <c r="J1375" s="13">
        <v>101.0</v>
      </c>
      <c r="K1375" s="17">
        <f t="shared" si="10"/>
        <v>0.8832370346</v>
      </c>
      <c r="L1375" s="9">
        <v>1.0</v>
      </c>
      <c r="O1375" s="9" t="s">
        <v>64</v>
      </c>
      <c r="P1375" s="40" t="s">
        <v>1729</v>
      </c>
      <c r="Q1375" s="43" t="s">
        <v>150</v>
      </c>
      <c r="R1375" s="43" t="s">
        <v>2119</v>
      </c>
      <c r="S1375" s="9" t="s">
        <v>638</v>
      </c>
      <c r="T1375" t="str">
        <f t="shared" si="12"/>
        <v>N</v>
      </c>
      <c r="W1375" s="12" t="str">
        <f t="array" ref="W1375">if(and(L1375=0,Q1375="NA"),"NA",if(L1375=0,"no lice",if(Q1375="NA","no collection",index(sea_lice!G:G,match(C1375,sea_lice!A:A,0)))))</f>
        <v>BSL8-46</v>
      </c>
      <c r="X1375" s="23">
        <v>1374.0</v>
      </c>
    </row>
    <row r="1376">
      <c r="B1376" s="6">
        <v>17935.0</v>
      </c>
      <c r="C1376" s="12" t="str">
        <f t="shared" si="11"/>
        <v>U17935</v>
      </c>
      <c r="D1376" s="14" t="str">
        <f t="array" ref="D1376">iferror(index('2018_ufns'!E:E,match(C1376,'2018_ufns'!B:B,0)))</f>
        <v>P1194</v>
      </c>
      <c r="E1376" s="14">
        <v>43476.0</v>
      </c>
      <c r="F1376" s="40" t="s">
        <v>53</v>
      </c>
      <c r="G1376" s="40" t="s">
        <v>54</v>
      </c>
      <c r="H1376" s="9">
        <v>12.0</v>
      </c>
      <c r="I1376" s="13">
        <v>103.0</v>
      </c>
      <c r="J1376" s="13">
        <v>108.0</v>
      </c>
      <c r="K1376" s="17">
        <f t="shared" si="10"/>
        <v>0.9525986892</v>
      </c>
      <c r="L1376" s="9">
        <v>3.0</v>
      </c>
      <c r="N1376" s="9" t="s">
        <v>2175</v>
      </c>
      <c r="O1376" s="9" t="s">
        <v>64</v>
      </c>
      <c r="P1376" s="40" t="s">
        <v>1729</v>
      </c>
      <c r="Q1376" s="43" t="s">
        <v>150</v>
      </c>
      <c r="R1376" s="43" t="s">
        <v>2119</v>
      </c>
      <c r="S1376" s="9" t="s">
        <v>638</v>
      </c>
      <c r="T1376" t="str">
        <f t="shared" si="12"/>
        <v>N</v>
      </c>
      <c r="W1376" s="12" t="str">
        <f t="array" ref="W1376">if(and(L1376=0,Q1376="NA"),"NA",if(L1376=0,"no lice",if(Q1376="NA","no collection",index(sea_lice!G:G,match(C1376,sea_lice!A:A,0)))))</f>
        <v>BSL8-47</v>
      </c>
      <c r="X1376" s="23">
        <v>1375.0</v>
      </c>
    </row>
    <row r="1377">
      <c r="B1377" s="6">
        <v>17937.0</v>
      </c>
      <c r="C1377" s="12" t="str">
        <f t="shared" si="11"/>
        <v>U17937</v>
      </c>
      <c r="D1377" s="14" t="str">
        <f t="array" ref="D1377">iferror(index('2018_ufns'!E:E,match(C1377,'2018_ufns'!B:B,0)))</f>
        <v>P1194</v>
      </c>
      <c r="E1377" s="14">
        <v>43476.0</v>
      </c>
      <c r="F1377" s="40" t="s">
        <v>53</v>
      </c>
      <c r="G1377" s="40" t="s">
        <v>54</v>
      </c>
      <c r="H1377" s="9">
        <v>14.5</v>
      </c>
      <c r="I1377" s="13">
        <v>111.0</v>
      </c>
      <c r="J1377" s="13">
        <v>116.0</v>
      </c>
      <c r="K1377" s="17">
        <f t="shared" si="10"/>
        <v>0.9289536266</v>
      </c>
      <c r="L1377" s="9">
        <v>2.0</v>
      </c>
      <c r="O1377" s="9" t="s">
        <v>64</v>
      </c>
      <c r="P1377" s="40" t="s">
        <v>1729</v>
      </c>
      <c r="Q1377" s="43" t="s">
        <v>150</v>
      </c>
      <c r="R1377" s="43" t="s">
        <v>2119</v>
      </c>
      <c r="S1377" s="9" t="s">
        <v>638</v>
      </c>
      <c r="T1377" t="str">
        <f t="shared" si="12"/>
        <v>N</v>
      </c>
      <c r="W1377" s="12" t="str">
        <f t="array" ref="W1377">if(and(L1377=0,Q1377="NA"),"NA",if(L1377=0,"no lice",if(Q1377="NA","no collection",index(sea_lice!G:G,match(C1377,sea_lice!A:A,0)))))</f>
        <v>BSL8-48</v>
      </c>
      <c r="X1377" s="23">
        <v>1376.0</v>
      </c>
    </row>
    <row r="1378">
      <c r="B1378" s="6">
        <v>17933.0</v>
      </c>
      <c r="C1378" s="12" t="str">
        <f t="shared" si="11"/>
        <v>U17933</v>
      </c>
      <c r="D1378" s="14" t="str">
        <f t="array" ref="D1378">iferror(index('2018_ufns'!E:E,match(C1378,'2018_ufns'!B:B,0)))</f>
        <v>P1194</v>
      </c>
      <c r="E1378" s="14">
        <v>43476.0</v>
      </c>
      <c r="F1378" s="40" t="s">
        <v>53</v>
      </c>
      <c r="G1378" s="40" t="s">
        <v>54</v>
      </c>
      <c r="H1378" s="9">
        <v>9.7</v>
      </c>
      <c r="I1378" s="13">
        <v>100.0</v>
      </c>
      <c r="J1378" s="13">
        <v>105.0</v>
      </c>
      <c r="K1378" s="17">
        <f t="shared" si="10"/>
        <v>0.8379224706</v>
      </c>
      <c r="L1378" s="9">
        <v>0.0</v>
      </c>
      <c r="N1378" s="9" t="s">
        <v>2176</v>
      </c>
      <c r="O1378" s="9" t="s">
        <v>64</v>
      </c>
      <c r="P1378" s="40" t="s">
        <v>1729</v>
      </c>
      <c r="Q1378" s="43" t="s">
        <v>150</v>
      </c>
      <c r="R1378" s="43" t="s">
        <v>2119</v>
      </c>
      <c r="S1378" s="9" t="s">
        <v>638</v>
      </c>
      <c r="T1378" t="str">
        <f t="shared" si="12"/>
        <v>N</v>
      </c>
      <c r="W1378" s="12" t="str">
        <f t="array" ref="W1378">if(and(L1378=0,Q1378="NA"),"NA",if(L1378=0,"no lice",if(Q1378="NA","no collection",index(sea_lice!G:G,match(C1378,sea_lice!A:A,0)))))</f>
        <v>no lice</v>
      </c>
      <c r="X1378" s="23">
        <v>1377.0</v>
      </c>
    </row>
    <row r="1379">
      <c r="B1379" s="6">
        <v>17938.0</v>
      </c>
      <c r="C1379" s="12" t="str">
        <f t="shared" si="11"/>
        <v>U17938</v>
      </c>
      <c r="D1379" s="14" t="str">
        <f t="array" ref="D1379">iferror(index('2018_ufns'!E:E,match(C1379,'2018_ufns'!B:B,0)))</f>
        <v>P1194</v>
      </c>
      <c r="E1379" s="14">
        <v>43476.0</v>
      </c>
      <c r="F1379" s="40" t="s">
        <v>53</v>
      </c>
      <c r="G1379" s="40" t="s">
        <v>54</v>
      </c>
      <c r="H1379" s="9">
        <v>7.6</v>
      </c>
      <c r="I1379" s="13">
        <v>93.0</v>
      </c>
      <c r="J1379" s="13">
        <v>97.0</v>
      </c>
      <c r="K1379" s="17">
        <f t="shared" si="10"/>
        <v>0.832718838</v>
      </c>
      <c r="L1379" s="9">
        <v>0.0</v>
      </c>
      <c r="O1379" s="9" t="s">
        <v>64</v>
      </c>
      <c r="P1379" s="40" t="s">
        <v>1729</v>
      </c>
      <c r="Q1379" s="43" t="s">
        <v>150</v>
      </c>
      <c r="R1379" s="43" t="s">
        <v>2119</v>
      </c>
      <c r="S1379" s="9" t="s">
        <v>638</v>
      </c>
      <c r="T1379" t="str">
        <f t="shared" si="12"/>
        <v>N</v>
      </c>
      <c r="W1379" s="12" t="str">
        <f t="array" ref="W1379">if(and(L1379=0,Q1379="NA"),"NA",if(L1379=0,"no lice",if(Q1379="NA","no collection",index(sea_lice!G:G,match(C1379,sea_lice!A:A,0)))))</f>
        <v>no lice</v>
      </c>
      <c r="X1379" s="23">
        <v>1378.0</v>
      </c>
    </row>
    <row r="1380">
      <c r="B1380" s="6">
        <v>16047.0</v>
      </c>
      <c r="C1380" s="12" t="str">
        <f t="shared" si="11"/>
        <v>U16047</v>
      </c>
      <c r="D1380" s="14" t="str">
        <f t="array" ref="D1380">iferror(index('2018_ufns'!E:E,match(C1380,'2018_ufns'!B:B,0)))</f>
        <v>P1005</v>
      </c>
      <c r="E1380" s="14">
        <v>43479.0</v>
      </c>
      <c r="F1380" s="40" t="s">
        <v>53</v>
      </c>
      <c r="G1380" s="40" t="s">
        <v>54</v>
      </c>
      <c r="H1380" s="9">
        <v>7.5</v>
      </c>
      <c r="I1380" s="13">
        <v>91.0</v>
      </c>
      <c r="J1380" s="13">
        <v>95.0</v>
      </c>
      <c r="K1380" s="17">
        <f t="shared" si="10"/>
        <v>0.874763085</v>
      </c>
      <c r="L1380" s="9">
        <v>1.0</v>
      </c>
      <c r="O1380" s="9" t="s">
        <v>638</v>
      </c>
      <c r="P1380" s="40" t="s">
        <v>1729</v>
      </c>
      <c r="Q1380" s="43" t="s">
        <v>150</v>
      </c>
      <c r="R1380" s="43" t="s">
        <v>2119</v>
      </c>
      <c r="S1380" s="9" t="s">
        <v>64</v>
      </c>
      <c r="T1380" t="str">
        <f t="shared" si="12"/>
        <v>N</v>
      </c>
      <c r="W1380" s="12" t="str">
        <f t="array" ref="W1380">if(and(L1380=0,Q1380="NA"),"NA",if(L1380=0,"no lice",if(Q1380="NA","no collection",index(sea_lice!G:G,match(C1380,sea_lice!A:A,0)))))</f>
        <v>BSL8-49</v>
      </c>
      <c r="X1380" s="23">
        <v>1379.0</v>
      </c>
    </row>
    <row r="1381">
      <c r="B1381" s="6">
        <v>16043.0</v>
      </c>
      <c r="C1381" s="12" t="str">
        <f t="shared" si="11"/>
        <v>U16043</v>
      </c>
      <c r="D1381" s="14" t="str">
        <f t="array" ref="D1381">iferror(index('2018_ufns'!E:E,match(C1381,'2018_ufns'!B:B,0)))</f>
        <v>P1005</v>
      </c>
      <c r="E1381" s="14">
        <v>43479.0</v>
      </c>
      <c r="F1381" s="40" t="s">
        <v>53</v>
      </c>
      <c r="G1381" s="40" t="s">
        <v>54</v>
      </c>
      <c r="H1381" s="9">
        <v>7.6</v>
      </c>
      <c r="I1381" s="13">
        <v>95.0</v>
      </c>
      <c r="J1381" s="13" t="s">
        <v>63</v>
      </c>
      <c r="K1381" s="17" t="str">
        <f t="shared" si="10"/>
        <v/>
      </c>
      <c r="L1381" s="9">
        <v>2.0</v>
      </c>
      <c r="O1381" s="9" t="s">
        <v>638</v>
      </c>
      <c r="P1381" s="40" t="s">
        <v>1729</v>
      </c>
      <c r="Q1381" s="43" t="s">
        <v>150</v>
      </c>
      <c r="R1381" s="43" t="s">
        <v>2119</v>
      </c>
      <c r="S1381" s="9" t="s">
        <v>64</v>
      </c>
      <c r="T1381" t="str">
        <f t="shared" si="12"/>
        <v>N</v>
      </c>
      <c r="W1381" s="12" t="str">
        <f t="array" ref="W1381">if(and(L1381=0,Q1381="NA"),"NA",if(L1381=0,"no lice",if(Q1381="NA","no collection",index(sea_lice!G:G,match(C1381,sea_lice!A:A,0)))))</f>
        <v>BSL8-50</v>
      </c>
      <c r="X1381" s="23">
        <v>1380.0</v>
      </c>
    </row>
    <row r="1382">
      <c r="B1382" s="6">
        <v>16049.0</v>
      </c>
      <c r="C1382" s="12" t="str">
        <f t="shared" si="11"/>
        <v>U16049</v>
      </c>
      <c r="D1382" s="14" t="str">
        <f t="array" ref="D1382">iferror(index('2018_ufns'!E:E,match(C1382,'2018_ufns'!B:B,0)))</f>
        <v>P1005</v>
      </c>
      <c r="E1382" s="14">
        <v>43479.0</v>
      </c>
      <c r="F1382" s="40" t="s">
        <v>53</v>
      </c>
      <c r="G1382" s="40" t="s">
        <v>54</v>
      </c>
      <c r="H1382" s="9">
        <v>5.1</v>
      </c>
      <c r="I1382" s="13">
        <v>81.0</v>
      </c>
      <c r="J1382" s="13">
        <v>84.0</v>
      </c>
      <c r="K1382" s="17">
        <f t="shared" si="10"/>
        <v>0.8604632329</v>
      </c>
      <c r="L1382" s="9">
        <v>1.0</v>
      </c>
      <c r="O1382" s="9" t="s">
        <v>638</v>
      </c>
      <c r="P1382" s="40" t="s">
        <v>1729</v>
      </c>
      <c r="Q1382" s="43" t="s">
        <v>150</v>
      </c>
      <c r="R1382" s="43" t="s">
        <v>2119</v>
      </c>
      <c r="S1382" s="9" t="s">
        <v>64</v>
      </c>
      <c r="T1382" t="str">
        <f t="shared" si="12"/>
        <v>N</v>
      </c>
      <c r="W1382" s="12" t="str">
        <f t="array" ref="W1382">if(and(L1382=0,Q1382="NA"),"NA",if(L1382=0,"no lice",if(Q1382="NA","no collection",index(sea_lice!G:G,match(C1382,sea_lice!A:A,0)))))</f>
        <v>BSL8-51</v>
      </c>
      <c r="X1382" s="23">
        <v>1381.0</v>
      </c>
    </row>
    <row r="1383">
      <c r="B1383" s="6">
        <v>16050.0</v>
      </c>
      <c r="C1383" s="12" t="str">
        <f t="shared" si="11"/>
        <v>U16050</v>
      </c>
      <c r="D1383" s="14" t="str">
        <f t="array" ref="D1383">iferror(index('2018_ufns'!E:E,match(C1383,'2018_ufns'!B:B,0)))</f>
        <v>P1005</v>
      </c>
      <c r="E1383" s="14">
        <v>43479.0</v>
      </c>
      <c r="F1383" s="40" t="s">
        <v>53</v>
      </c>
      <c r="G1383" s="40" t="s">
        <v>54</v>
      </c>
      <c r="H1383" s="9">
        <v>6.8</v>
      </c>
      <c r="I1383" s="13">
        <v>90.0</v>
      </c>
      <c r="J1383" s="13">
        <v>94.0</v>
      </c>
      <c r="K1383" s="17">
        <f t="shared" si="10"/>
        <v>0.8187010585</v>
      </c>
      <c r="L1383" s="9">
        <v>2.0</v>
      </c>
      <c r="O1383" s="9" t="s">
        <v>638</v>
      </c>
      <c r="P1383" s="40" t="s">
        <v>1729</v>
      </c>
      <c r="Q1383" s="43" t="s">
        <v>150</v>
      </c>
      <c r="R1383" s="43" t="s">
        <v>2119</v>
      </c>
      <c r="S1383" s="9" t="s">
        <v>64</v>
      </c>
      <c r="T1383" t="str">
        <f t="shared" si="12"/>
        <v>N</v>
      </c>
      <c r="W1383" s="12" t="str">
        <f t="array" ref="W1383">if(and(L1383=0,Q1383="NA"),"NA",if(L1383=0,"no lice",if(Q1383="NA","no collection",index(sea_lice!G:G,match(C1383,sea_lice!A:A,0)))))</f>
        <v>BSL8-52</v>
      </c>
      <c r="X1383" s="23">
        <v>1382.0</v>
      </c>
    </row>
    <row r="1384">
      <c r="B1384" s="6">
        <v>16044.0</v>
      </c>
      <c r="C1384" s="12" t="str">
        <f t="shared" si="11"/>
        <v>U16044</v>
      </c>
      <c r="D1384" s="14" t="str">
        <f t="array" ref="D1384">iferror(index('2018_ufns'!E:E,match(C1384,'2018_ufns'!B:B,0)))</f>
        <v>P1005</v>
      </c>
      <c r="E1384" s="14">
        <v>43479.0</v>
      </c>
      <c r="F1384" s="40" t="s">
        <v>53</v>
      </c>
      <c r="G1384" s="40" t="s">
        <v>54</v>
      </c>
      <c r="H1384" s="9">
        <v>7.1</v>
      </c>
      <c r="I1384" s="13">
        <v>91.0</v>
      </c>
      <c r="J1384" s="13">
        <v>96.0</v>
      </c>
      <c r="K1384" s="17">
        <f t="shared" si="10"/>
        <v>0.8024992766</v>
      </c>
      <c r="L1384" s="9">
        <v>0.0</v>
      </c>
      <c r="O1384" s="9" t="s">
        <v>638</v>
      </c>
      <c r="P1384" s="40" t="s">
        <v>1729</v>
      </c>
      <c r="Q1384" s="43" t="s">
        <v>150</v>
      </c>
      <c r="R1384" s="43" t="s">
        <v>2119</v>
      </c>
      <c r="S1384" s="9" t="s">
        <v>64</v>
      </c>
      <c r="T1384" t="str">
        <f t="shared" si="12"/>
        <v>N</v>
      </c>
      <c r="W1384" s="12" t="str">
        <f t="array" ref="W1384">if(and(L1384=0,Q1384="NA"),"NA",if(L1384=0,"no lice",if(Q1384="NA","no collection",index(sea_lice!G:G,match(C1384,sea_lice!A:A,0)))))</f>
        <v>no lice</v>
      </c>
      <c r="X1384" s="23">
        <v>1383.0</v>
      </c>
    </row>
    <row r="1385">
      <c r="B1385" s="6">
        <v>16045.0</v>
      </c>
      <c r="C1385" s="12" t="str">
        <f t="shared" si="11"/>
        <v>U16045</v>
      </c>
      <c r="D1385" s="14" t="str">
        <f t="array" ref="D1385">iferror(index('2018_ufns'!E:E,match(C1385,'2018_ufns'!B:B,0)))</f>
        <v>P1005</v>
      </c>
      <c r="E1385" s="14">
        <v>43479.0</v>
      </c>
      <c r="F1385" s="40" t="s">
        <v>53</v>
      </c>
      <c r="G1385" s="40" t="s">
        <v>54</v>
      </c>
      <c r="H1385" s="9">
        <v>7.6</v>
      </c>
      <c r="I1385" s="13">
        <v>93.0</v>
      </c>
      <c r="J1385" s="13" t="s">
        <v>63</v>
      </c>
      <c r="K1385" s="17" t="str">
        <f t="shared" si="10"/>
        <v/>
      </c>
      <c r="L1385" s="9">
        <v>0.0</v>
      </c>
      <c r="O1385" s="9" t="s">
        <v>638</v>
      </c>
      <c r="P1385" s="40" t="s">
        <v>1729</v>
      </c>
      <c r="Q1385" s="43" t="s">
        <v>150</v>
      </c>
      <c r="R1385" s="43" t="s">
        <v>2119</v>
      </c>
      <c r="S1385" s="9" t="s">
        <v>64</v>
      </c>
      <c r="T1385" t="str">
        <f t="shared" si="12"/>
        <v>N</v>
      </c>
      <c r="W1385" s="12" t="str">
        <f t="array" ref="W1385">if(and(L1385=0,Q1385="NA"),"NA",if(L1385=0,"no lice",if(Q1385="NA","no collection",index(sea_lice!G:G,match(C1385,sea_lice!A:A,0)))))</f>
        <v>no lice</v>
      </c>
      <c r="X1385" s="23">
        <v>1384.0</v>
      </c>
    </row>
    <row r="1386">
      <c r="B1386" s="6">
        <v>16046.0</v>
      </c>
      <c r="C1386" s="12" t="str">
        <f t="shared" si="11"/>
        <v>U16046</v>
      </c>
      <c r="D1386" s="14" t="str">
        <f t="array" ref="D1386">iferror(index('2018_ufns'!E:E,match(C1386,'2018_ufns'!B:B,0)))</f>
        <v>P1005</v>
      </c>
      <c r="E1386" s="14">
        <v>43479.0</v>
      </c>
      <c r="F1386" s="40" t="s">
        <v>53</v>
      </c>
      <c r="G1386" s="40" t="s">
        <v>54</v>
      </c>
      <c r="H1386" s="9">
        <v>8.7</v>
      </c>
      <c r="I1386" s="13">
        <v>94.0</v>
      </c>
      <c r="J1386" s="13">
        <v>97.0</v>
      </c>
      <c r="K1386" s="17">
        <f t="shared" si="10"/>
        <v>0.9532439329</v>
      </c>
      <c r="L1386" s="9">
        <v>3.0</v>
      </c>
      <c r="O1386" s="9" t="s">
        <v>638</v>
      </c>
      <c r="P1386" s="40" t="s">
        <v>1729</v>
      </c>
      <c r="Q1386" s="43" t="s">
        <v>150</v>
      </c>
      <c r="R1386" s="43" t="s">
        <v>2119</v>
      </c>
      <c r="S1386" s="9" t="s">
        <v>64</v>
      </c>
      <c r="T1386" t="str">
        <f t="shared" si="12"/>
        <v>N</v>
      </c>
      <c r="W1386" s="12" t="str">
        <f t="array" ref="W1386">if(and(L1386=0,Q1386="NA"),"NA",if(L1386=0,"no lice",if(Q1386="NA","no collection",index(sea_lice!G:G,match(C1386,sea_lice!A:A,0)))))</f>
        <v>BSL8-53</v>
      </c>
      <c r="X1386" s="23">
        <v>1385.0</v>
      </c>
    </row>
    <row r="1387">
      <c r="B1387" s="6">
        <v>16048.0</v>
      </c>
      <c r="C1387" s="12" t="str">
        <f t="shared" si="11"/>
        <v>U16048</v>
      </c>
      <c r="D1387" s="14" t="str">
        <f t="array" ref="D1387">iferror(index('2018_ufns'!E:E,match(C1387,'2018_ufns'!B:B,0)))</f>
        <v>P1005</v>
      </c>
      <c r="E1387" s="14">
        <v>43479.0</v>
      </c>
      <c r="F1387" s="40" t="s">
        <v>53</v>
      </c>
      <c r="G1387" s="40" t="s">
        <v>54</v>
      </c>
      <c r="H1387" s="9">
        <v>6.7</v>
      </c>
      <c r="I1387" s="13">
        <v>85.0</v>
      </c>
      <c r="J1387" s="13">
        <v>89.0</v>
      </c>
      <c r="K1387" s="17">
        <f t="shared" si="10"/>
        <v>0.9503964004</v>
      </c>
      <c r="L1387" s="9">
        <v>1.0</v>
      </c>
      <c r="O1387" s="9" t="s">
        <v>638</v>
      </c>
      <c r="P1387" s="40" t="s">
        <v>1729</v>
      </c>
      <c r="Q1387" s="43" t="s">
        <v>150</v>
      </c>
      <c r="R1387" s="43" t="s">
        <v>2119</v>
      </c>
      <c r="S1387" s="9" t="s">
        <v>64</v>
      </c>
      <c r="T1387" t="str">
        <f t="shared" si="12"/>
        <v>N</v>
      </c>
      <c r="W1387" s="12" t="str">
        <f t="array" ref="W1387">if(and(L1387=0,Q1387="NA"),"NA",if(L1387=0,"no lice",if(Q1387="NA","no collection",index(sea_lice!G:G,match(C1387,sea_lice!A:A,0)))))</f>
        <v>BSL8-54</v>
      </c>
      <c r="X1387" s="23">
        <v>1386.0</v>
      </c>
    </row>
    <row r="1388">
      <c r="B1388" s="6">
        <v>16041.0</v>
      </c>
      <c r="C1388" s="12" t="str">
        <f t="shared" si="11"/>
        <v>U16041</v>
      </c>
      <c r="D1388" s="14" t="str">
        <f t="array" ref="D1388">iferror(index('2018_ufns'!E:E,match(C1388,'2018_ufns'!B:B,0)))</f>
        <v>P1005</v>
      </c>
      <c r="E1388" s="14">
        <v>43479.0</v>
      </c>
      <c r="F1388" s="40" t="s">
        <v>53</v>
      </c>
      <c r="G1388" s="40" t="s">
        <v>54</v>
      </c>
      <c r="H1388" s="9">
        <v>6.2</v>
      </c>
      <c r="I1388" s="13">
        <v>85.0</v>
      </c>
      <c r="J1388" s="13">
        <v>89.0</v>
      </c>
      <c r="K1388" s="17">
        <f t="shared" si="10"/>
        <v>0.8794712959</v>
      </c>
      <c r="L1388" s="9">
        <v>1.0</v>
      </c>
      <c r="O1388" s="9" t="s">
        <v>638</v>
      </c>
      <c r="P1388" s="40" t="s">
        <v>1729</v>
      </c>
      <c r="Q1388" s="43" t="s">
        <v>150</v>
      </c>
      <c r="R1388" s="43" t="s">
        <v>2119</v>
      </c>
      <c r="S1388" s="9" t="s">
        <v>64</v>
      </c>
      <c r="T1388" t="str">
        <f t="shared" si="12"/>
        <v>N</v>
      </c>
      <c r="W1388" s="12" t="str">
        <f t="array" ref="W1388">if(and(L1388=0,Q1388="NA"),"NA",if(L1388=0,"no lice",if(Q1388="NA","no collection",index(sea_lice!G:G,match(C1388,sea_lice!A:A,0)))))</f>
        <v>BSL8-56</v>
      </c>
      <c r="X1388" s="23">
        <v>1387.0</v>
      </c>
    </row>
    <row r="1389">
      <c r="B1389" s="6">
        <v>16042.0</v>
      </c>
      <c r="C1389" s="12" t="str">
        <f t="shared" si="11"/>
        <v>U16042</v>
      </c>
      <c r="D1389" s="14" t="str">
        <f t="array" ref="D1389">iferror(index('2018_ufns'!E:E,match(C1389,'2018_ufns'!B:B,0)))</f>
        <v>P1005</v>
      </c>
      <c r="E1389" s="14">
        <v>43479.0</v>
      </c>
      <c r="F1389" s="40" t="s">
        <v>53</v>
      </c>
      <c r="G1389" s="40" t="s">
        <v>54</v>
      </c>
      <c r="H1389" s="9">
        <v>6.6</v>
      </c>
      <c r="I1389" s="13">
        <v>91.0</v>
      </c>
      <c r="J1389" s="13" t="s">
        <v>63</v>
      </c>
      <c r="K1389" s="17" t="str">
        <f t="shared" si="10"/>
        <v/>
      </c>
      <c r="L1389" s="9">
        <v>0.0</v>
      </c>
      <c r="O1389" s="9" t="s">
        <v>638</v>
      </c>
      <c r="P1389" s="40" t="s">
        <v>1729</v>
      </c>
      <c r="Q1389" s="43" t="s">
        <v>150</v>
      </c>
      <c r="R1389" s="43" t="s">
        <v>2119</v>
      </c>
      <c r="S1389" s="9" t="s">
        <v>64</v>
      </c>
      <c r="T1389" t="str">
        <f t="shared" si="12"/>
        <v>N</v>
      </c>
      <c r="W1389" s="12" t="str">
        <f t="array" ref="W1389">if(and(L1389=0,Q1389="NA"),"NA",if(L1389=0,"no lice",if(Q1389="NA","no collection",index(sea_lice!G:G,match(C1389,sea_lice!A:A,0)))))</f>
        <v>no lice</v>
      </c>
      <c r="X1389" s="23">
        <v>1388.0</v>
      </c>
    </row>
    <row r="1390">
      <c r="B1390" s="6">
        <v>16004.0</v>
      </c>
      <c r="C1390" s="12" t="str">
        <f t="shared" si="11"/>
        <v>U16004</v>
      </c>
      <c r="D1390" s="14" t="str">
        <f t="array" ref="D1390">iferror(index('2018_ufns'!E:E,match(C1390,'2018_ufns'!B:B,0)))</f>
        <v>P1001</v>
      </c>
      <c r="E1390" s="14">
        <v>43479.0</v>
      </c>
      <c r="F1390" s="40" t="s">
        <v>53</v>
      </c>
      <c r="G1390" s="40" t="s">
        <v>54</v>
      </c>
      <c r="H1390" s="9">
        <v>3.7</v>
      </c>
      <c r="I1390" s="13">
        <v>73.0</v>
      </c>
      <c r="J1390" s="13" t="s">
        <v>63</v>
      </c>
      <c r="K1390" s="17" t="str">
        <f t="shared" si="10"/>
        <v/>
      </c>
      <c r="L1390" s="9">
        <v>0.0</v>
      </c>
      <c r="O1390" s="9" t="s">
        <v>638</v>
      </c>
      <c r="P1390" s="40" t="s">
        <v>1729</v>
      </c>
      <c r="Q1390" s="43" t="s">
        <v>150</v>
      </c>
      <c r="R1390" s="43" t="s">
        <v>2119</v>
      </c>
      <c r="S1390" s="9" t="s">
        <v>64</v>
      </c>
      <c r="T1390" t="str">
        <f t="shared" si="12"/>
        <v>N</v>
      </c>
      <c r="W1390" s="12" t="str">
        <f t="array" ref="W1390">if(and(L1390=0,Q1390="NA"),"NA",if(L1390=0,"no lice",if(Q1390="NA","no collection",index(sea_lice!G:G,match(C1390,sea_lice!A:A,0)))))</f>
        <v>no lice</v>
      </c>
      <c r="X1390" s="23">
        <v>1389.0</v>
      </c>
    </row>
    <row r="1391">
      <c r="B1391" s="6">
        <v>16002.0</v>
      </c>
      <c r="C1391" s="12" t="str">
        <f t="shared" si="11"/>
        <v>U16002</v>
      </c>
      <c r="D1391" s="14" t="str">
        <f t="array" ref="D1391">iferror(index('2018_ufns'!E:E,match(C1391,'2018_ufns'!B:B,0)))</f>
        <v>P1001</v>
      </c>
      <c r="E1391" s="14">
        <v>43480.0</v>
      </c>
      <c r="F1391" s="40" t="s">
        <v>53</v>
      </c>
      <c r="G1391" s="40" t="s">
        <v>54</v>
      </c>
      <c r="H1391" s="9">
        <v>5.0</v>
      </c>
      <c r="I1391" s="13">
        <v>80.0</v>
      </c>
      <c r="J1391" s="13" t="s">
        <v>63</v>
      </c>
      <c r="K1391" s="17" t="str">
        <f t="shared" si="10"/>
        <v/>
      </c>
      <c r="L1391" s="9">
        <v>0.0</v>
      </c>
      <c r="O1391" s="9" t="s">
        <v>638</v>
      </c>
      <c r="P1391" s="40" t="s">
        <v>1729</v>
      </c>
      <c r="Q1391" s="43" t="s">
        <v>150</v>
      </c>
      <c r="R1391" s="43" t="s">
        <v>2119</v>
      </c>
      <c r="S1391" s="9" t="s">
        <v>64</v>
      </c>
      <c r="T1391" t="str">
        <f t="shared" si="12"/>
        <v>N</v>
      </c>
      <c r="W1391" s="12" t="str">
        <f t="array" ref="W1391">if(and(L1391=0,Q1391="NA"),"NA",if(L1391=0,"no lice",if(Q1391="NA","no collection",index(sea_lice!G:G,match(C1391,sea_lice!A:A,0)))))</f>
        <v>no lice</v>
      </c>
      <c r="X1391" s="23">
        <v>1390.0</v>
      </c>
    </row>
    <row r="1392">
      <c r="B1392" s="6">
        <v>16001.0</v>
      </c>
      <c r="C1392" s="12" t="str">
        <f t="shared" si="11"/>
        <v>U16001</v>
      </c>
      <c r="D1392" s="14" t="str">
        <f t="array" ref="D1392">iferror(index('2018_ufns'!E:E,match(C1392,'2018_ufns'!B:B,0)))</f>
        <v>P1001</v>
      </c>
      <c r="E1392" s="14">
        <v>43480.0</v>
      </c>
      <c r="F1392" s="40" t="s">
        <v>53</v>
      </c>
      <c r="G1392" s="40" t="s">
        <v>54</v>
      </c>
      <c r="H1392" s="9">
        <v>4.2</v>
      </c>
      <c r="I1392" s="13">
        <v>77.0</v>
      </c>
      <c r="J1392" s="13" t="s">
        <v>63</v>
      </c>
      <c r="K1392" s="17" t="str">
        <f t="shared" si="10"/>
        <v/>
      </c>
      <c r="L1392" s="9">
        <v>0.0</v>
      </c>
      <c r="O1392" s="9" t="s">
        <v>638</v>
      </c>
      <c r="P1392" s="40" t="s">
        <v>1729</v>
      </c>
      <c r="Q1392" s="43" t="s">
        <v>150</v>
      </c>
      <c r="R1392" s="43" t="s">
        <v>2119</v>
      </c>
      <c r="S1392" s="9" t="s">
        <v>64</v>
      </c>
      <c r="T1392" t="str">
        <f t="shared" si="12"/>
        <v>N</v>
      </c>
      <c r="W1392" s="12" t="str">
        <f t="array" ref="W1392">if(and(L1392=0,Q1392="NA"),"NA",if(L1392=0,"no lice",if(Q1392="NA","no collection",index(sea_lice!G:G,match(C1392,sea_lice!A:A,0)))))</f>
        <v>no lice</v>
      </c>
      <c r="X1392" s="23">
        <v>1391.0</v>
      </c>
    </row>
    <row r="1393">
      <c r="B1393" s="6">
        <v>16005.0</v>
      </c>
      <c r="C1393" s="12" t="str">
        <f t="shared" si="11"/>
        <v>U16005</v>
      </c>
      <c r="D1393" s="14" t="str">
        <f t="array" ref="D1393">iferror(index('2018_ufns'!E:E,match(C1393,'2018_ufns'!B:B,0)))</f>
        <v>P1001</v>
      </c>
      <c r="E1393" s="14">
        <v>43480.0</v>
      </c>
      <c r="F1393" s="40" t="s">
        <v>53</v>
      </c>
      <c r="G1393" s="40" t="s">
        <v>54</v>
      </c>
      <c r="H1393" s="9">
        <v>4.1</v>
      </c>
      <c r="I1393" s="13">
        <v>76.0</v>
      </c>
      <c r="J1393" s="13" t="s">
        <v>63</v>
      </c>
      <c r="K1393" s="17" t="str">
        <f t="shared" si="10"/>
        <v/>
      </c>
      <c r="L1393" s="9">
        <v>0.0</v>
      </c>
      <c r="O1393" s="9" t="s">
        <v>638</v>
      </c>
      <c r="P1393" s="40" t="s">
        <v>1729</v>
      </c>
      <c r="Q1393" s="43" t="s">
        <v>150</v>
      </c>
      <c r="R1393" s="43" t="s">
        <v>2119</v>
      </c>
      <c r="S1393" s="9" t="s">
        <v>64</v>
      </c>
      <c r="T1393" t="str">
        <f t="shared" si="12"/>
        <v>N</v>
      </c>
      <c r="W1393" s="12" t="str">
        <f t="array" ref="W1393">if(and(L1393=0,Q1393="NA"),"NA",if(L1393=0,"no lice",if(Q1393="NA","no collection",index(sea_lice!G:G,match(C1393,sea_lice!A:A,0)))))</f>
        <v>no lice</v>
      </c>
      <c r="X1393" s="23">
        <v>1392.0</v>
      </c>
    </row>
    <row r="1394">
      <c r="B1394" s="6">
        <v>16010.0</v>
      </c>
      <c r="C1394" s="12" t="str">
        <f t="shared" si="11"/>
        <v>U16010</v>
      </c>
      <c r="D1394" s="14" t="str">
        <f t="array" ref="D1394">iferror(index('2018_ufns'!E:E,match(C1394,'2018_ufns'!B:B,0)))</f>
        <v>P1001</v>
      </c>
      <c r="E1394" s="14">
        <v>43480.0</v>
      </c>
      <c r="F1394" s="40" t="s">
        <v>53</v>
      </c>
      <c r="G1394" s="40" t="s">
        <v>54</v>
      </c>
      <c r="H1394" s="9">
        <v>4.2</v>
      </c>
      <c r="I1394" s="13">
        <v>78.0</v>
      </c>
      <c r="J1394" s="13" t="s">
        <v>63</v>
      </c>
      <c r="K1394" s="17" t="str">
        <f t="shared" si="10"/>
        <v/>
      </c>
      <c r="L1394" s="9">
        <v>0.0</v>
      </c>
      <c r="O1394" s="9" t="s">
        <v>638</v>
      </c>
      <c r="P1394" s="40" t="s">
        <v>1729</v>
      </c>
      <c r="Q1394" s="43" t="s">
        <v>150</v>
      </c>
      <c r="R1394" s="43" t="s">
        <v>2119</v>
      </c>
      <c r="S1394" s="9" t="s">
        <v>64</v>
      </c>
      <c r="T1394" t="str">
        <f t="shared" si="12"/>
        <v>N</v>
      </c>
      <c r="W1394" s="12" t="str">
        <f t="array" ref="W1394">if(and(L1394=0,Q1394="NA"),"NA",if(L1394=0,"no lice",if(Q1394="NA","no collection",index(sea_lice!G:G,match(C1394,sea_lice!A:A,0)))))</f>
        <v>no lice</v>
      </c>
      <c r="X1394" s="23">
        <v>1393.0</v>
      </c>
    </row>
    <row r="1395">
      <c r="B1395" s="6">
        <v>16006.0</v>
      </c>
      <c r="C1395" s="12" t="str">
        <f t="shared" si="11"/>
        <v>U16006</v>
      </c>
      <c r="D1395" s="14" t="str">
        <f t="array" ref="D1395">iferror(index('2018_ufns'!E:E,match(C1395,'2018_ufns'!B:B,0)))</f>
        <v>P1001</v>
      </c>
      <c r="E1395" s="14">
        <v>43480.0</v>
      </c>
      <c r="F1395" s="40" t="s">
        <v>53</v>
      </c>
      <c r="G1395" s="40" t="s">
        <v>54</v>
      </c>
      <c r="H1395" s="9">
        <v>1.8</v>
      </c>
      <c r="I1395" s="13">
        <v>59.0</v>
      </c>
      <c r="J1395" s="13">
        <v>62.0</v>
      </c>
      <c r="K1395" s="17">
        <f t="shared" si="10"/>
        <v>0.7552616562</v>
      </c>
      <c r="L1395" s="9">
        <v>0.0</v>
      </c>
      <c r="O1395" s="9" t="s">
        <v>638</v>
      </c>
      <c r="P1395" s="40" t="s">
        <v>1729</v>
      </c>
      <c r="Q1395" s="43" t="s">
        <v>150</v>
      </c>
      <c r="R1395" s="43" t="s">
        <v>2119</v>
      </c>
      <c r="S1395" s="9" t="s">
        <v>64</v>
      </c>
      <c r="T1395" t="str">
        <f t="shared" si="12"/>
        <v>N</v>
      </c>
      <c r="W1395" s="12" t="str">
        <f t="array" ref="W1395">if(and(L1395=0,Q1395="NA"),"NA",if(L1395=0,"no lice",if(Q1395="NA","no collection",index(sea_lice!G:G,match(C1395,sea_lice!A:A,0)))))</f>
        <v>no lice</v>
      </c>
      <c r="X1395" s="23">
        <v>1394.0</v>
      </c>
    </row>
    <row r="1396">
      <c r="B1396" s="6">
        <v>16009.0</v>
      </c>
      <c r="C1396" s="12" t="str">
        <f t="shared" si="11"/>
        <v>U16009</v>
      </c>
      <c r="D1396" s="14" t="str">
        <f t="array" ref="D1396">iferror(index('2018_ufns'!E:E,match(C1396,'2018_ufns'!B:B,0)))</f>
        <v>P1001</v>
      </c>
      <c r="E1396" s="14">
        <v>43480.0</v>
      </c>
      <c r="F1396" s="40" t="s">
        <v>53</v>
      </c>
      <c r="G1396" s="40" t="s">
        <v>54</v>
      </c>
      <c r="H1396" s="9">
        <v>2.8</v>
      </c>
      <c r="I1396" s="13">
        <v>67.0</v>
      </c>
      <c r="J1396" s="13">
        <v>70.0</v>
      </c>
      <c r="K1396" s="17">
        <f t="shared" si="10"/>
        <v>0.8163265306</v>
      </c>
      <c r="L1396" s="9">
        <v>0.0</v>
      </c>
      <c r="O1396" s="9" t="s">
        <v>638</v>
      </c>
      <c r="P1396" s="40" t="s">
        <v>1729</v>
      </c>
      <c r="Q1396" s="43" t="s">
        <v>150</v>
      </c>
      <c r="R1396" s="43" t="s">
        <v>2119</v>
      </c>
      <c r="S1396" s="9" t="s">
        <v>64</v>
      </c>
      <c r="T1396" t="str">
        <f t="shared" si="12"/>
        <v>N</v>
      </c>
      <c r="W1396" s="12" t="str">
        <f t="array" ref="W1396">if(and(L1396=0,Q1396="NA"),"NA",if(L1396=0,"no lice",if(Q1396="NA","no collection",index(sea_lice!G:G,match(C1396,sea_lice!A:A,0)))))</f>
        <v>no lice</v>
      </c>
      <c r="X1396" s="23">
        <v>1395.0</v>
      </c>
    </row>
    <row r="1397">
      <c r="B1397" s="6">
        <v>16008.0</v>
      </c>
      <c r="C1397" s="12" t="str">
        <f t="shared" si="11"/>
        <v>U16008</v>
      </c>
      <c r="D1397" s="14" t="str">
        <f t="array" ref="D1397">iferror(index('2018_ufns'!E:E,match(C1397,'2018_ufns'!B:B,0)))</f>
        <v>P1001</v>
      </c>
      <c r="E1397" s="14">
        <v>43480.0</v>
      </c>
      <c r="F1397" s="40" t="s">
        <v>53</v>
      </c>
      <c r="G1397" s="40" t="s">
        <v>54</v>
      </c>
      <c r="H1397" s="9">
        <v>2.2</v>
      </c>
      <c r="I1397" s="13">
        <v>64.0</v>
      </c>
      <c r="J1397" s="13" t="s">
        <v>63</v>
      </c>
      <c r="K1397" s="17" t="str">
        <f t="shared" si="10"/>
        <v/>
      </c>
      <c r="L1397" s="9">
        <v>0.0</v>
      </c>
      <c r="O1397" s="9" t="s">
        <v>638</v>
      </c>
      <c r="P1397" s="40" t="s">
        <v>1729</v>
      </c>
      <c r="Q1397" s="43" t="s">
        <v>150</v>
      </c>
      <c r="R1397" s="43" t="s">
        <v>2119</v>
      </c>
      <c r="S1397" s="9" t="s">
        <v>64</v>
      </c>
      <c r="T1397" t="str">
        <f t="shared" si="12"/>
        <v>N</v>
      </c>
      <c r="W1397" s="12" t="str">
        <f t="array" ref="W1397">if(and(L1397=0,Q1397="NA"),"NA",if(L1397=0,"no lice",if(Q1397="NA","no collection",index(sea_lice!G:G,match(C1397,sea_lice!A:A,0)))))</f>
        <v>no lice</v>
      </c>
      <c r="X1397" s="23">
        <v>1396.0</v>
      </c>
    </row>
    <row r="1398">
      <c r="B1398" s="6">
        <v>16007.0</v>
      </c>
      <c r="C1398" s="12" t="str">
        <f t="shared" si="11"/>
        <v>U16007</v>
      </c>
      <c r="D1398" s="14" t="str">
        <f t="array" ref="D1398">iferror(index('2018_ufns'!E:E,match(C1398,'2018_ufns'!B:B,0)))</f>
        <v>P1001</v>
      </c>
      <c r="E1398" s="14">
        <v>43480.0</v>
      </c>
      <c r="F1398" s="40" t="s">
        <v>53</v>
      </c>
      <c r="G1398" s="40" t="s">
        <v>54</v>
      </c>
      <c r="H1398" s="9">
        <v>2.8</v>
      </c>
      <c r="I1398" s="13">
        <v>67.0</v>
      </c>
      <c r="J1398" s="13">
        <v>69.0</v>
      </c>
      <c r="K1398" s="17">
        <f t="shared" si="10"/>
        <v>0.8523358569</v>
      </c>
      <c r="L1398" s="9">
        <v>0.0</v>
      </c>
      <c r="O1398" s="9" t="s">
        <v>638</v>
      </c>
      <c r="P1398" s="40" t="s">
        <v>1729</v>
      </c>
      <c r="Q1398" s="43" t="s">
        <v>150</v>
      </c>
      <c r="R1398" s="43" t="s">
        <v>2119</v>
      </c>
      <c r="S1398" s="9" t="s">
        <v>64</v>
      </c>
      <c r="T1398" t="str">
        <f t="shared" si="12"/>
        <v>N</v>
      </c>
      <c r="W1398" s="12" t="str">
        <f t="array" ref="W1398">if(and(L1398=0,Q1398="NA"),"NA",if(L1398=0,"no lice",if(Q1398="NA","no collection",index(sea_lice!G:G,match(C1398,sea_lice!A:A,0)))))</f>
        <v>no lice</v>
      </c>
      <c r="X1398" s="23">
        <v>1397.0</v>
      </c>
    </row>
    <row r="1399">
      <c r="B1399" s="6">
        <v>16003.0</v>
      </c>
      <c r="C1399" s="12" t="str">
        <f t="shared" si="11"/>
        <v>U16003</v>
      </c>
      <c r="D1399" s="14" t="str">
        <f t="array" ref="D1399">iferror(index('2018_ufns'!E:E,match(C1399,'2018_ufns'!B:B,0)))</f>
        <v>P1001</v>
      </c>
      <c r="E1399" s="14">
        <v>43480.0</v>
      </c>
      <c r="F1399" s="40" t="s">
        <v>53</v>
      </c>
      <c r="G1399" s="40" t="s">
        <v>54</v>
      </c>
      <c r="H1399" s="9">
        <v>3.2</v>
      </c>
      <c r="I1399" s="13">
        <v>69.0</v>
      </c>
      <c r="J1399" s="13" t="s">
        <v>63</v>
      </c>
      <c r="K1399" s="17" t="str">
        <f t="shared" si="10"/>
        <v/>
      </c>
      <c r="L1399" s="9">
        <v>0.0</v>
      </c>
      <c r="O1399" s="9" t="s">
        <v>638</v>
      </c>
      <c r="P1399" s="40" t="s">
        <v>1729</v>
      </c>
      <c r="Q1399" s="43" t="s">
        <v>150</v>
      </c>
      <c r="R1399" s="43" t="s">
        <v>2119</v>
      </c>
      <c r="S1399" s="9" t="s">
        <v>64</v>
      </c>
      <c r="T1399" t="str">
        <f t="shared" si="12"/>
        <v>N</v>
      </c>
      <c r="W1399" s="12" t="str">
        <f t="array" ref="W1399">if(and(L1399=0,Q1399="NA"),"NA",if(L1399=0,"no lice",if(Q1399="NA","no collection",index(sea_lice!G:G,match(C1399,sea_lice!A:A,0)))))</f>
        <v>no lice</v>
      </c>
      <c r="X1399" s="23">
        <v>1398.0</v>
      </c>
    </row>
    <row r="1400">
      <c r="B1400" s="6">
        <v>16441.0</v>
      </c>
      <c r="C1400" s="12" t="str">
        <f t="shared" si="11"/>
        <v>U16441</v>
      </c>
      <c r="D1400" s="14" t="str">
        <f t="array" ref="D1400">iferror(index('2018_ufns'!E:E,match(C1400,'2018_ufns'!B:B,0)))</f>
        <v>P1045</v>
      </c>
      <c r="E1400" s="14">
        <v>43480.0</v>
      </c>
      <c r="F1400" s="40" t="s">
        <v>53</v>
      </c>
      <c r="G1400" s="40" t="s">
        <v>54</v>
      </c>
      <c r="H1400" s="9">
        <v>3.4</v>
      </c>
      <c r="I1400" s="13">
        <v>66.0</v>
      </c>
      <c r="J1400" s="13" t="s">
        <v>63</v>
      </c>
      <c r="K1400" s="17" t="str">
        <f t="shared" si="10"/>
        <v/>
      </c>
      <c r="L1400" s="9">
        <v>0.0</v>
      </c>
      <c r="O1400" s="9" t="s">
        <v>638</v>
      </c>
      <c r="P1400" s="40" t="s">
        <v>1729</v>
      </c>
      <c r="Q1400" s="43" t="s">
        <v>150</v>
      </c>
      <c r="R1400" s="43" t="s">
        <v>2119</v>
      </c>
      <c r="S1400" s="9" t="s">
        <v>64</v>
      </c>
      <c r="T1400" t="str">
        <f t="shared" si="12"/>
        <v>N</v>
      </c>
      <c r="W1400" s="12" t="str">
        <f t="array" ref="W1400">if(and(L1400=0,Q1400="NA"),"NA",if(L1400=0,"no lice",if(Q1400="NA","no collection",index(sea_lice!G:G,match(C1400,sea_lice!A:A,0)))))</f>
        <v>no lice</v>
      </c>
      <c r="X1400" s="23">
        <v>1399.0</v>
      </c>
    </row>
    <row r="1401">
      <c r="B1401" s="6">
        <v>16442.0</v>
      </c>
      <c r="C1401" s="12" t="str">
        <f t="shared" si="11"/>
        <v>U16442</v>
      </c>
      <c r="D1401" s="14" t="str">
        <f t="array" ref="D1401">iferror(index('2018_ufns'!E:E,match(C1401,'2018_ufns'!B:B,0)))</f>
        <v>P1045</v>
      </c>
      <c r="E1401" s="14">
        <v>43480.0</v>
      </c>
      <c r="F1401" s="40" t="s">
        <v>53</v>
      </c>
      <c r="G1401" s="40" t="s">
        <v>54</v>
      </c>
      <c r="H1401" s="9">
        <v>3.7</v>
      </c>
      <c r="I1401" s="13">
        <v>71.0</v>
      </c>
      <c r="J1401" s="13">
        <v>75.0</v>
      </c>
      <c r="K1401" s="17">
        <f t="shared" si="10"/>
        <v>0.877037037</v>
      </c>
      <c r="L1401" s="9">
        <v>0.0</v>
      </c>
      <c r="O1401" s="9" t="s">
        <v>638</v>
      </c>
      <c r="P1401" s="40" t="s">
        <v>1729</v>
      </c>
      <c r="Q1401" s="43" t="s">
        <v>150</v>
      </c>
      <c r="R1401" s="43" t="s">
        <v>2119</v>
      </c>
      <c r="S1401" s="9" t="s">
        <v>64</v>
      </c>
      <c r="T1401" t="str">
        <f t="shared" si="12"/>
        <v>N</v>
      </c>
      <c r="W1401" s="12" t="str">
        <f t="array" ref="W1401">if(and(L1401=0,Q1401="NA"),"NA",if(L1401=0,"no lice",if(Q1401="NA","no collection",index(sea_lice!G:G,match(C1401,sea_lice!A:A,0)))))</f>
        <v>no lice</v>
      </c>
      <c r="X1401" s="23">
        <v>1400.0</v>
      </c>
    </row>
    <row r="1402">
      <c r="B1402" s="6">
        <v>16444.0</v>
      </c>
      <c r="C1402" s="12" t="str">
        <f t="shared" si="11"/>
        <v>U16444</v>
      </c>
      <c r="D1402" s="14" t="str">
        <f t="array" ref="D1402">iferror(index('2018_ufns'!E:E,match(C1402,'2018_ufns'!B:B,0)))</f>
        <v>P1045</v>
      </c>
      <c r="E1402" s="14">
        <v>43480.0</v>
      </c>
      <c r="F1402" s="40" t="s">
        <v>53</v>
      </c>
      <c r="G1402" s="40" t="s">
        <v>54</v>
      </c>
      <c r="H1402" s="9">
        <v>1.7</v>
      </c>
      <c r="I1402" s="13">
        <v>57.0</v>
      </c>
      <c r="J1402" s="13">
        <v>60.0</v>
      </c>
      <c r="K1402" s="17">
        <f t="shared" si="10"/>
        <v>0.787037037</v>
      </c>
      <c r="L1402" s="9">
        <v>0.0</v>
      </c>
      <c r="O1402" s="9" t="s">
        <v>638</v>
      </c>
      <c r="P1402" s="40" t="s">
        <v>1729</v>
      </c>
      <c r="Q1402" s="43" t="s">
        <v>150</v>
      </c>
      <c r="R1402" s="43" t="s">
        <v>2119</v>
      </c>
      <c r="S1402" s="9" t="s">
        <v>64</v>
      </c>
      <c r="T1402" t="str">
        <f t="shared" si="12"/>
        <v>N</v>
      </c>
      <c r="W1402" s="12" t="str">
        <f t="array" ref="W1402">if(and(L1402=0,Q1402="NA"),"NA",if(L1402=0,"no lice",if(Q1402="NA","no collection",index(sea_lice!G:G,match(C1402,sea_lice!A:A,0)))))</f>
        <v>no lice</v>
      </c>
      <c r="X1402" s="23">
        <v>1401.0</v>
      </c>
    </row>
    <row r="1403">
      <c r="B1403" s="6">
        <v>16443.0</v>
      </c>
      <c r="C1403" s="12" t="str">
        <f t="shared" si="11"/>
        <v>U16443</v>
      </c>
      <c r="D1403" s="14" t="str">
        <f t="array" ref="D1403">iferror(index('2018_ufns'!E:E,match(C1403,'2018_ufns'!B:B,0)))</f>
        <v>P1045</v>
      </c>
      <c r="E1403" s="14">
        <v>43480.0</v>
      </c>
      <c r="F1403" s="40" t="s">
        <v>53</v>
      </c>
      <c r="G1403" s="40" t="s">
        <v>54</v>
      </c>
      <c r="H1403" s="9">
        <v>2.4</v>
      </c>
      <c r="I1403" s="13">
        <v>67.0</v>
      </c>
      <c r="J1403" s="13">
        <v>71.0</v>
      </c>
      <c r="K1403" s="17">
        <f t="shared" si="10"/>
        <v>0.6705577644</v>
      </c>
      <c r="L1403" s="9">
        <v>0.0</v>
      </c>
      <c r="O1403" s="9" t="s">
        <v>638</v>
      </c>
      <c r="P1403" s="40" t="s">
        <v>1729</v>
      </c>
      <c r="Q1403" s="43" t="s">
        <v>150</v>
      </c>
      <c r="R1403" s="43" t="s">
        <v>2119</v>
      </c>
      <c r="S1403" s="9" t="s">
        <v>64</v>
      </c>
      <c r="T1403" t="str">
        <f t="shared" si="12"/>
        <v>N</v>
      </c>
      <c r="W1403" s="12" t="str">
        <f t="array" ref="W1403">if(and(L1403=0,Q1403="NA"),"NA",if(L1403=0,"no lice",if(Q1403="NA","no collection",index(sea_lice!G:G,match(C1403,sea_lice!A:A,0)))))</f>
        <v>no lice</v>
      </c>
      <c r="X1403" s="23">
        <v>1402.0</v>
      </c>
    </row>
    <row r="1404">
      <c r="B1404" s="6">
        <v>16445.0</v>
      </c>
      <c r="C1404" s="12" t="str">
        <f t="shared" si="11"/>
        <v>U16445</v>
      </c>
      <c r="D1404" s="14" t="str">
        <f t="array" ref="D1404">iferror(index('2018_ufns'!E:E,match(C1404,'2018_ufns'!B:B,0)))</f>
        <v>P1045</v>
      </c>
      <c r="E1404" s="14">
        <v>43480.0</v>
      </c>
      <c r="F1404" s="40" t="s">
        <v>53</v>
      </c>
      <c r="G1404" s="40" t="s">
        <v>54</v>
      </c>
      <c r="H1404" s="9">
        <v>3.8</v>
      </c>
      <c r="I1404" s="13">
        <v>72.0</v>
      </c>
      <c r="J1404" s="13" t="s">
        <v>63</v>
      </c>
      <c r="K1404" s="17" t="str">
        <f t="shared" si="10"/>
        <v/>
      </c>
      <c r="L1404" s="9">
        <v>0.0</v>
      </c>
      <c r="O1404" s="9" t="s">
        <v>638</v>
      </c>
      <c r="P1404" s="40" t="s">
        <v>1729</v>
      </c>
      <c r="Q1404" s="43" t="s">
        <v>150</v>
      </c>
      <c r="R1404" s="43" t="s">
        <v>2119</v>
      </c>
      <c r="S1404" s="9" t="s">
        <v>64</v>
      </c>
      <c r="T1404" t="str">
        <f t="shared" si="12"/>
        <v>N</v>
      </c>
      <c r="W1404" s="12" t="str">
        <f t="array" ref="W1404">if(and(L1404=0,Q1404="NA"),"NA",if(L1404=0,"no lice",if(Q1404="NA","no collection",index(sea_lice!G:G,match(C1404,sea_lice!A:A,0)))))</f>
        <v>no lice</v>
      </c>
      <c r="X1404" s="23">
        <v>1403.0</v>
      </c>
    </row>
    <row r="1405">
      <c r="B1405" s="6">
        <v>16450.0</v>
      </c>
      <c r="C1405" s="12" t="str">
        <f t="shared" si="11"/>
        <v>U16450</v>
      </c>
      <c r="D1405" s="14" t="str">
        <f t="array" ref="D1405">iferror(index('2018_ufns'!E:E,match(C1405,'2018_ufns'!B:B,0)))</f>
        <v>P1045</v>
      </c>
      <c r="E1405" s="14">
        <v>43480.0</v>
      </c>
      <c r="F1405" s="40" t="s">
        <v>53</v>
      </c>
      <c r="G1405" s="40" t="s">
        <v>54</v>
      </c>
      <c r="H1405" s="9">
        <v>1.3</v>
      </c>
      <c r="I1405" s="13">
        <v>51.0</v>
      </c>
      <c r="J1405" s="13" t="s">
        <v>63</v>
      </c>
      <c r="K1405" s="17" t="str">
        <f t="shared" si="10"/>
        <v/>
      </c>
      <c r="L1405" s="9">
        <v>0.0</v>
      </c>
      <c r="O1405" s="9" t="s">
        <v>638</v>
      </c>
      <c r="P1405" s="40" t="s">
        <v>1729</v>
      </c>
      <c r="Q1405" s="43" t="s">
        <v>150</v>
      </c>
      <c r="R1405" s="43" t="s">
        <v>2119</v>
      </c>
      <c r="S1405" s="9" t="s">
        <v>64</v>
      </c>
      <c r="T1405" t="str">
        <f t="shared" si="12"/>
        <v>N</v>
      </c>
      <c r="W1405" s="12" t="str">
        <f t="array" ref="W1405">if(and(L1405=0,Q1405="NA"),"NA",if(L1405=0,"no lice",if(Q1405="NA","no collection",index(sea_lice!G:G,match(C1405,sea_lice!A:A,0)))))</f>
        <v>no lice</v>
      </c>
      <c r="X1405" s="23">
        <v>1404.0</v>
      </c>
    </row>
    <row r="1406">
      <c r="B1406" s="6">
        <v>16446.0</v>
      </c>
      <c r="C1406" s="12" t="str">
        <f t="shared" si="11"/>
        <v>U16446</v>
      </c>
      <c r="D1406" s="14" t="str">
        <f t="array" ref="D1406">iferror(index('2018_ufns'!E:E,match(C1406,'2018_ufns'!B:B,0)))</f>
        <v>P1045</v>
      </c>
      <c r="E1406" s="14">
        <v>43480.0</v>
      </c>
      <c r="F1406" s="40" t="s">
        <v>53</v>
      </c>
      <c r="G1406" s="40" t="s">
        <v>54</v>
      </c>
      <c r="H1406" s="9">
        <v>3.1</v>
      </c>
      <c r="I1406" s="13">
        <v>69.0</v>
      </c>
      <c r="J1406" s="13">
        <v>74.0</v>
      </c>
      <c r="K1406" s="17">
        <f t="shared" si="10"/>
        <v>0.7650089827</v>
      </c>
      <c r="L1406" s="9">
        <v>0.0</v>
      </c>
      <c r="O1406" s="9" t="s">
        <v>638</v>
      </c>
      <c r="P1406" s="40" t="s">
        <v>1729</v>
      </c>
      <c r="Q1406" s="43" t="s">
        <v>150</v>
      </c>
      <c r="R1406" s="43" t="s">
        <v>2119</v>
      </c>
      <c r="S1406" s="9" t="s">
        <v>64</v>
      </c>
      <c r="T1406" t="str">
        <f t="shared" si="12"/>
        <v>N</v>
      </c>
      <c r="W1406" s="12" t="str">
        <f t="array" ref="W1406">if(and(L1406=0,Q1406="NA"),"NA",if(L1406=0,"no lice",if(Q1406="NA","no collection",index(sea_lice!G:G,match(C1406,sea_lice!A:A,0)))))</f>
        <v>no lice</v>
      </c>
      <c r="X1406" s="23">
        <v>1405.0</v>
      </c>
    </row>
    <row r="1407">
      <c r="B1407" s="6">
        <v>16447.0</v>
      </c>
      <c r="C1407" s="12" t="str">
        <f t="shared" si="11"/>
        <v>U16447</v>
      </c>
      <c r="D1407" s="14" t="str">
        <f t="array" ref="D1407">iferror(index('2018_ufns'!E:E,match(C1407,'2018_ufns'!B:B,0)))</f>
        <v>P1045</v>
      </c>
      <c r="E1407" s="14">
        <v>43480.0</v>
      </c>
      <c r="F1407" s="40" t="s">
        <v>53</v>
      </c>
      <c r="G1407" s="40" t="s">
        <v>54</v>
      </c>
      <c r="H1407" s="9">
        <v>4.1</v>
      </c>
      <c r="I1407" s="13">
        <v>76.0</v>
      </c>
      <c r="J1407" s="13">
        <v>79.0</v>
      </c>
      <c r="K1407" s="17">
        <f t="shared" si="10"/>
        <v>0.831577218</v>
      </c>
      <c r="L1407" s="9">
        <v>0.0</v>
      </c>
      <c r="O1407" s="9" t="s">
        <v>638</v>
      </c>
      <c r="P1407" s="40" t="s">
        <v>1729</v>
      </c>
      <c r="Q1407" s="43" t="s">
        <v>150</v>
      </c>
      <c r="R1407" s="43" t="s">
        <v>2119</v>
      </c>
      <c r="S1407" s="9" t="s">
        <v>64</v>
      </c>
      <c r="T1407" t="str">
        <f t="shared" si="12"/>
        <v>N</v>
      </c>
      <c r="W1407" s="12" t="str">
        <f t="array" ref="W1407">if(and(L1407=0,Q1407="NA"),"NA",if(L1407=0,"no lice",if(Q1407="NA","no collection",index(sea_lice!G:G,match(C1407,sea_lice!A:A,0)))))</f>
        <v>no lice</v>
      </c>
      <c r="X1407" s="23">
        <v>1406.0</v>
      </c>
    </row>
    <row r="1408">
      <c r="B1408" s="6">
        <v>16448.0</v>
      </c>
      <c r="C1408" s="12" t="str">
        <f t="shared" si="11"/>
        <v>U16448</v>
      </c>
      <c r="D1408" s="14" t="str">
        <f t="array" ref="D1408">iferror(index('2018_ufns'!E:E,match(C1408,'2018_ufns'!B:B,0)))</f>
        <v>P1045</v>
      </c>
      <c r="E1408" s="14">
        <v>43480.0</v>
      </c>
      <c r="F1408" s="40" t="s">
        <v>53</v>
      </c>
      <c r="G1408" s="40" t="s">
        <v>54</v>
      </c>
      <c r="H1408" s="9">
        <v>2.4</v>
      </c>
      <c r="I1408" s="13">
        <v>63.0</v>
      </c>
      <c r="J1408" s="13" t="s">
        <v>63</v>
      </c>
      <c r="K1408" s="17" t="str">
        <f t="shared" si="10"/>
        <v/>
      </c>
      <c r="L1408" s="9">
        <v>0.0</v>
      </c>
      <c r="O1408" s="9" t="s">
        <v>638</v>
      </c>
      <c r="P1408" s="40" t="s">
        <v>1729</v>
      </c>
      <c r="Q1408" s="43" t="s">
        <v>150</v>
      </c>
      <c r="R1408" s="43" t="s">
        <v>2119</v>
      </c>
      <c r="S1408" s="9" t="s">
        <v>64</v>
      </c>
      <c r="T1408" t="str">
        <f t="shared" si="12"/>
        <v>N</v>
      </c>
      <c r="W1408" s="12" t="str">
        <f t="array" ref="W1408">if(and(L1408=0,Q1408="NA"),"NA",if(L1408=0,"no lice",if(Q1408="NA","no collection",index(sea_lice!G:G,match(C1408,sea_lice!A:A,0)))))</f>
        <v>no lice</v>
      </c>
      <c r="X1408" s="23">
        <v>1407.0</v>
      </c>
    </row>
    <row r="1409">
      <c r="B1409" s="6">
        <v>16449.0</v>
      </c>
      <c r="C1409" s="12" t="str">
        <f t="shared" si="11"/>
        <v>U16449</v>
      </c>
      <c r="D1409" s="14" t="str">
        <f t="array" ref="D1409">iferror(index('2018_ufns'!E:E,match(C1409,'2018_ufns'!B:B,0)))</f>
        <v>P1045</v>
      </c>
      <c r="E1409" s="14">
        <v>43480.0</v>
      </c>
      <c r="F1409" s="40" t="s">
        <v>53</v>
      </c>
      <c r="G1409" s="40" t="s">
        <v>54</v>
      </c>
      <c r="H1409" s="9">
        <v>2.5</v>
      </c>
      <c r="I1409" s="13">
        <v>62.0</v>
      </c>
      <c r="J1409" s="13" t="s">
        <v>63</v>
      </c>
      <c r="K1409" s="17" t="str">
        <f t="shared" si="10"/>
        <v/>
      </c>
      <c r="L1409" s="9">
        <v>0.0</v>
      </c>
      <c r="O1409" s="9" t="s">
        <v>638</v>
      </c>
      <c r="P1409" s="40" t="s">
        <v>1729</v>
      </c>
      <c r="Q1409" s="43" t="s">
        <v>150</v>
      </c>
      <c r="R1409" s="43" t="s">
        <v>2119</v>
      </c>
      <c r="S1409" s="9" t="s">
        <v>64</v>
      </c>
      <c r="T1409" t="str">
        <f t="shared" si="12"/>
        <v>N</v>
      </c>
      <c r="W1409" s="12" t="str">
        <f t="array" ref="W1409">if(and(L1409=0,Q1409="NA"),"NA",if(L1409=0,"no lice",if(Q1409="NA","no collection",index(sea_lice!G:G,match(C1409,sea_lice!A:A,0)))))</f>
        <v>no lice</v>
      </c>
      <c r="X1409" s="23">
        <v>1408.0</v>
      </c>
    </row>
    <row r="1410">
      <c r="B1410" s="6">
        <v>16478.0</v>
      </c>
      <c r="C1410" s="12" t="str">
        <f t="shared" si="11"/>
        <v>U16478</v>
      </c>
      <c r="D1410" s="14" t="str">
        <f t="array" ref="D1410">iferror(index('2018_ufns'!E:E,match(C1410,'2018_ufns'!B:B,0)))</f>
        <v>P1048</v>
      </c>
      <c r="E1410" s="14">
        <v>43480.0</v>
      </c>
      <c r="F1410" s="40" t="s">
        <v>53</v>
      </c>
      <c r="G1410" s="40" t="s">
        <v>54</v>
      </c>
      <c r="H1410" s="9">
        <v>3.6</v>
      </c>
      <c r="I1410" s="13">
        <v>73.0</v>
      </c>
      <c r="J1410" s="13" t="s">
        <v>63</v>
      </c>
      <c r="K1410" s="17" t="str">
        <f t="shared" si="10"/>
        <v/>
      </c>
      <c r="L1410" s="9">
        <v>0.0</v>
      </c>
      <c r="O1410" s="9" t="s">
        <v>638</v>
      </c>
      <c r="P1410" s="40" t="s">
        <v>1729</v>
      </c>
      <c r="Q1410" s="43" t="s">
        <v>150</v>
      </c>
      <c r="R1410" s="43" t="s">
        <v>2119</v>
      </c>
      <c r="S1410" s="9" t="s">
        <v>64</v>
      </c>
      <c r="T1410" t="str">
        <f t="shared" si="12"/>
        <v>N</v>
      </c>
      <c r="W1410" s="12" t="str">
        <f t="array" ref="W1410">if(and(L1410=0,Q1410="NA"),"NA",if(L1410=0,"no lice",if(Q1410="NA","no collection",index(sea_lice!G:G,match(C1410,sea_lice!A:A,0)))))</f>
        <v>no lice</v>
      </c>
      <c r="X1410" s="23">
        <v>1409.0</v>
      </c>
    </row>
    <row r="1411">
      <c r="B1411" s="6">
        <v>16477.0</v>
      </c>
      <c r="C1411" s="12" t="str">
        <f t="shared" si="11"/>
        <v>U16477</v>
      </c>
      <c r="D1411" s="14" t="str">
        <f t="array" ref="D1411">iferror(index('2018_ufns'!E:E,match(C1411,'2018_ufns'!B:B,0)))</f>
        <v>P1048</v>
      </c>
      <c r="E1411" s="14">
        <v>43480.0</v>
      </c>
      <c r="F1411" s="40" t="s">
        <v>53</v>
      </c>
      <c r="G1411" s="40" t="s">
        <v>54</v>
      </c>
      <c r="H1411" s="9">
        <v>1.9</v>
      </c>
      <c r="I1411" s="13">
        <v>57.0</v>
      </c>
      <c r="J1411" s="13" t="s">
        <v>63</v>
      </c>
      <c r="K1411" s="17" t="str">
        <f t="shared" si="10"/>
        <v/>
      </c>
      <c r="L1411" s="9">
        <v>0.0</v>
      </c>
      <c r="O1411" s="9" t="s">
        <v>638</v>
      </c>
      <c r="P1411" s="40" t="s">
        <v>1729</v>
      </c>
      <c r="Q1411" s="43" t="s">
        <v>150</v>
      </c>
      <c r="R1411" s="43" t="s">
        <v>2119</v>
      </c>
      <c r="S1411" s="9" t="s">
        <v>64</v>
      </c>
      <c r="T1411" t="str">
        <f t="shared" si="12"/>
        <v>N</v>
      </c>
      <c r="W1411" s="12" t="str">
        <f t="array" ref="W1411">if(and(L1411=0,Q1411="NA"),"NA",if(L1411=0,"no lice",if(Q1411="NA","no collection",index(sea_lice!G:G,match(C1411,sea_lice!A:A,0)))))</f>
        <v>no lice</v>
      </c>
      <c r="X1411" s="23">
        <v>1410.0</v>
      </c>
    </row>
    <row r="1412">
      <c r="B1412" s="6">
        <v>16476.0</v>
      </c>
      <c r="C1412" s="12" t="str">
        <f t="shared" si="11"/>
        <v>U16476</v>
      </c>
      <c r="D1412" s="14" t="str">
        <f t="array" ref="D1412">iferror(index('2018_ufns'!E:E,match(C1412,'2018_ufns'!B:B,0)))</f>
        <v>P1048</v>
      </c>
      <c r="E1412" s="14">
        <v>43480.0</v>
      </c>
      <c r="F1412" s="40" t="s">
        <v>53</v>
      </c>
      <c r="G1412" s="40" t="s">
        <v>54</v>
      </c>
      <c r="H1412" s="9">
        <v>4.2</v>
      </c>
      <c r="I1412" s="13">
        <v>77.0</v>
      </c>
      <c r="J1412" s="13">
        <v>80.0</v>
      </c>
      <c r="K1412" s="17">
        <f t="shared" si="10"/>
        <v>0.8203125</v>
      </c>
      <c r="L1412" s="9">
        <v>0.0</v>
      </c>
      <c r="O1412" s="9" t="s">
        <v>638</v>
      </c>
      <c r="P1412" s="40" t="s">
        <v>1729</v>
      </c>
      <c r="Q1412" s="43" t="s">
        <v>150</v>
      </c>
      <c r="R1412" s="43" t="s">
        <v>2119</v>
      </c>
      <c r="S1412" s="9" t="s">
        <v>64</v>
      </c>
      <c r="T1412" t="str">
        <f t="shared" si="12"/>
        <v>N</v>
      </c>
      <c r="W1412" s="12" t="str">
        <f t="array" ref="W1412">if(and(L1412=0,Q1412="NA"),"NA",if(L1412=0,"no lice",if(Q1412="NA","no collection",index(sea_lice!G:G,match(C1412,sea_lice!A:A,0)))))</f>
        <v>no lice</v>
      </c>
      <c r="X1412" s="23">
        <v>1411.0</v>
      </c>
    </row>
    <row r="1413">
      <c r="B1413" s="6">
        <v>16475.0</v>
      </c>
      <c r="C1413" s="12" t="str">
        <f t="shared" si="11"/>
        <v>U16475</v>
      </c>
      <c r="D1413" s="14" t="str">
        <f t="array" ref="D1413">iferror(index('2018_ufns'!E:E,match(C1413,'2018_ufns'!B:B,0)))</f>
        <v>P1048</v>
      </c>
      <c r="E1413" s="14">
        <v>43480.0</v>
      </c>
      <c r="F1413" s="40" t="s">
        <v>53</v>
      </c>
      <c r="G1413" s="40" t="s">
        <v>54</v>
      </c>
      <c r="H1413" s="9">
        <v>2.6</v>
      </c>
      <c r="I1413" s="13">
        <v>65.0</v>
      </c>
      <c r="J1413" s="13">
        <v>69.0</v>
      </c>
      <c r="K1413" s="17">
        <f t="shared" si="10"/>
        <v>0.7914547242</v>
      </c>
      <c r="L1413" s="9">
        <v>0.0</v>
      </c>
      <c r="O1413" s="9" t="s">
        <v>638</v>
      </c>
      <c r="P1413" s="40" t="s">
        <v>1729</v>
      </c>
      <c r="Q1413" s="43" t="s">
        <v>150</v>
      </c>
      <c r="R1413" s="43" t="s">
        <v>2119</v>
      </c>
      <c r="S1413" s="9" t="s">
        <v>64</v>
      </c>
      <c r="T1413" t="str">
        <f t="shared" si="12"/>
        <v>N</v>
      </c>
      <c r="W1413" s="12" t="str">
        <f t="array" ref="W1413">if(and(L1413=0,Q1413="NA"),"NA",if(L1413=0,"no lice",if(Q1413="NA","no collection",index(sea_lice!G:G,match(C1413,sea_lice!A:A,0)))))</f>
        <v>no lice</v>
      </c>
      <c r="X1413" s="23">
        <v>1412.0</v>
      </c>
    </row>
    <row r="1414">
      <c r="B1414" s="6">
        <v>17305.0</v>
      </c>
      <c r="C1414" s="12" t="str">
        <f t="shared" si="11"/>
        <v>U17305</v>
      </c>
      <c r="D1414" s="14" t="str">
        <f t="array" ref="D1414">iferror(index('2018_ufns'!E:E,match(C1414,'2018_ufns'!B:B,0)))</f>
        <v>P1131</v>
      </c>
      <c r="E1414" s="14">
        <v>43479.0</v>
      </c>
      <c r="F1414" s="40" t="s">
        <v>53</v>
      </c>
      <c r="G1414" s="40" t="s">
        <v>54</v>
      </c>
      <c r="H1414" s="9">
        <v>7.8</v>
      </c>
      <c r="I1414" s="13">
        <v>92.0</v>
      </c>
      <c r="J1414" s="13">
        <v>96.0</v>
      </c>
      <c r="K1414" s="17">
        <f t="shared" si="10"/>
        <v>0.8816189236</v>
      </c>
      <c r="L1414" s="9">
        <v>0.0</v>
      </c>
      <c r="O1414" s="9" t="s">
        <v>64</v>
      </c>
      <c r="P1414" s="40" t="s">
        <v>1729</v>
      </c>
      <c r="Q1414" s="43" t="s">
        <v>150</v>
      </c>
      <c r="R1414" s="43" t="s">
        <v>2119</v>
      </c>
      <c r="S1414" s="9" t="s">
        <v>638</v>
      </c>
      <c r="T1414" t="str">
        <f t="shared" si="12"/>
        <v>N</v>
      </c>
      <c r="W1414" s="12" t="str">
        <f t="array" ref="W1414">if(and(L1414=0,Q1414="NA"),"NA",if(L1414=0,"no lice",if(Q1414="NA","no collection",index(sea_lice!G:G,match(C1414,sea_lice!A:A,0)))))</f>
        <v>no lice</v>
      </c>
      <c r="X1414" s="23">
        <v>1413.0</v>
      </c>
    </row>
    <row r="1415">
      <c r="B1415" s="6">
        <v>17308.0</v>
      </c>
      <c r="C1415" s="12" t="str">
        <f t="shared" si="11"/>
        <v>U17308</v>
      </c>
      <c r="D1415" s="14" t="str">
        <f t="array" ref="D1415">iferror(index('2018_ufns'!E:E,match(C1415,'2018_ufns'!B:B,0)))</f>
        <v>P1131</v>
      </c>
      <c r="E1415" s="14">
        <v>43479.0</v>
      </c>
      <c r="F1415" s="40" t="s">
        <v>53</v>
      </c>
      <c r="G1415" s="40" t="s">
        <v>54</v>
      </c>
      <c r="H1415" s="9">
        <v>3.9</v>
      </c>
      <c r="I1415" s="13">
        <v>72.0</v>
      </c>
      <c r="J1415" s="13">
        <v>75.0</v>
      </c>
      <c r="K1415" s="17">
        <f t="shared" si="10"/>
        <v>0.9244444444</v>
      </c>
      <c r="L1415" s="9">
        <v>0.0</v>
      </c>
      <c r="O1415" s="9" t="s">
        <v>64</v>
      </c>
      <c r="P1415" s="40" t="s">
        <v>1729</v>
      </c>
      <c r="Q1415" s="43" t="s">
        <v>150</v>
      </c>
      <c r="R1415" s="43" t="s">
        <v>2119</v>
      </c>
      <c r="S1415" s="9" t="s">
        <v>638</v>
      </c>
      <c r="T1415" t="str">
        <f t="shared" si="12"/>
        <v>N</v>
      </c>
      <c r="W1415" s="12" t="str">
        <f t="array" ref="W1415">if(and(L1415=0,Q1415="NA"),"NA",if(L1415=0,"no lice",if(Q1415="NA","no collection",index(sea_lice!G:G,match(C1415,sea_lice!A:A,0)))))</f>
        <v>no lice</v>
      </c>
      <c r="X1415" s="23">
        <v>1414.0</v>
      </c>
    </row>
    <row r="1416">
      <c r="B1416" s="6">
        <v>17309.0</v>
      </c>
      <c r="C1416" s="12" t="str">
        <f t="shared" si="11"/>
        <v>U17309</v>
      </c>
      <c r="D1416" s="14" t="str">
        <f t="array" ref="D1416">iferror(index('2018_ufns'!E:E,match(C1416,'2018_ufns'!B:B,0)))</f>
        <v>P1131</v>
      </c>
      <c r="E1416" s="14">
        <v>43479.0</v>
      </c>
      <c r="F1416" s="40" t="s">
        <v>53</v>
      </c>
      <c r="G1416" s="40" t="s">
        <v>54</v>
      </c>
      <c r="H1416" s="9">
        <v>4.9</v>
      </c>
      <c r="I1416" s="13">
        <v>78.0</v>
      </c>
      <c r="J1416" s="13" t="s">
        <v>63</v>
      </c>
      <c r="K1416" s="17" t="str">
        <f t="shared" si="10"/>
        <v/>
      </c>
      <c r="L1416" s="9">
        <v>1.0</v>
      </c>
      <c r="O1416" s="9" t="s">
        <v>64</v>
      </c>
      <c r="P1416" s="40" t="s">
        <v>1729</v>
      </c>
      <c r="Q1416" s="43" t="s">
        <v>150</v>
      </c>
      <c r="R1416" s="43" t="s">
        <v>2119</v>
      </c>
      <c r="S1416" s="9" t="s">
        <v>638</v>
      </c>
      <c r="T1416" t="str">
        <f t="shared" si="12"/>
        <v>N</v>
      </c>
      <c r="W1416" s="12" t="str">
        <f t="array" ref="W1416">if(and(L1416=0,Q1416="NA"),"NA",if(L1416=0,"no lice",if(Q1416="NA","no collection",index(sea_lice!G:G,match(C1416,sea_lice!A:A,0)))))</f>
        <v>BSL8-55</v>
      </c>
      <c r="X1416" s="23">
        <v>1415.0</v>
      </c>
    </row>
    <row r="1417">
      <c r="B1417" s="6">
        <v>17310.0</v>
      </c>
      <c r="C1417" s="12" t="str">
        <f t="shared" si="11"/>
        <v>U17310</v>
      </c>
      <c r="D1417" s="14" t="str">
        <f t="array" ref="D1417">iferror(index('2018_ufns'!E:E,match(C1417,'2018_ufns'!B:B,0)))</f>
        <v>P1131</v>
      </c>
      <c r="E1417" s="14">
        <v>43479.0</v>
      </c>
      <c r="F1417" s="40" t="s">
        <v>53</v>
      </c>
      <c r="G1417" s="40" t="s">
        <v>54</v>
      </c>
      <c r="H1417" s="9">
        <v>3.6</v>
      </c>
      <c r="I1417" s="13">
        <v>71.0</v>
      </c>
      <c r="J1417" s="13">
        <v>74.0</v>
      </c>
      <c r="K1417" s="17">
        <f t="shared" si="10"/>
        <v>0.8883975283</v>
      </c>
      <c r="L1417" s="9">
        <v>0.0</v>
      </c>
      <c r="O1417" s="9" t="s">
        <v>64</v>
      </c>
      <c r="P1417" s="40" t="s">
        <v>1729</v>
      </c>
      <c r="Q1417" s="43" t="s">
        <v>150</v>
      </c>
      <c r="R1417" s="43" t="s">
        <v>2119</v>
      </c>
      <c r="S1417" s="9" t="s">
        <v>638</v>
      </c>
      <c r="T1417" t="str">
        <f t="shared" si="12"/>
        <v>N</v>
      </c>
      <c r="W1417" s="12" t="str">
        <f t="array" ref="W1417">if(and(L1417=0,Q1417="NA"),"NA",if(L1417=0,"no lice",if(Q1417="NA","no collection",index(sea_lice!G:G,match(C1417,sea_lice!A:A,0)))))</f>
        <v>no lice</v>
      </c>
      <c r="X1417" s="23">
        <v>1416.0</v>
      </c>
    </row>
    <row r="1418">
      <c r="B1418" s="6">
        <v>17302.0</v>
      </c>
      <c r="C1418" s="12" t="str">
        <f t="shared" si="11"/>
        <v>U17302</v>
      </c>
      <c r="D1418" s="14" t="str">
        <f t="array" ref="D1418">iferror(index('2018_ufns'!E:E,match(C1418,'2018_ufns'!B:B,0)))</f>
        <v>P1131</v>
      </c>
      <c r="E1418" s="14">
        <v>43479.0</v>
      </c>
      <c r="F1418" s="40" t="s">
        <v>53</v>
      </c>
      <c r="G1418" s="40" t="s">
        <v>54</v>
      </c>
      <c r="H1418" s="9">
        <v>3.9</v>
      </c>
      <c r="I1418" s="13">
        <v>74.0</v>
      </c>
      <c r="J1418" s="13">
        <v>78.0</v>
      </c>
      <c r="K1418" s="17">
        <f t="shared" si="10"/>
        <v>0.8218277449</v>
      </c>
      <c r="L1418" s="9">
        <v>0.0</v>
      </c>
      <c r="O1418" s="9" t="s">
        <v>64</v>
      </c>
      <c r="P1418" s="40" t="s">
        <v>1729</v>
      </c>
      <c r="Q1418" s="43" t="s">
        <v>150</v>
      </c>
      <c r="R1418" s="43" t="s">
        <v>2119</v>
      </c>
      <c r="S1418" s="9" t="s">
        <v>638</v>
      </c>
      <c r="T1418" t="str">
        <f t="shared" si="12"/>
        <v>N</v>
      </c>
      <c r="W1418" s="12" t="str">
        <f t="array" ref="W1418">if(and(L1418=0,Q1418="NA"),"NA",if(L1418=0,"no lice",if(Q1418="NA","no collection",index(sea_lice!G:G,match(C1418,sea_lice!A:A,0)))))</f>
        <v>no lice</v>
      </c>
      <c r="X1418" s="23">
        <v>1417.0</v>
      </c>
    </row>
    <row r="1419">
      <c r="B1419" s="6">
        <v>17301.0</v>
      </c>
      <c r="C1419" s="12" t="str">
        <f t="shared" si="11"/>
        <v>U17301</v>
      </c>
      <c r="D1419" s="14" t="str">
        <f t="array" ref="D1419">iferror(index('2018_ufns'!E:E,match(C1419,'2018_ufns'!B:B,0)))</f>
        <v>P1131</v>
      </c>
      <c r="E1419" s="14">
        <v>43479.0</v>
      </c>
      <c r="F1419" s="40" t="s">
        <v>53</v>
      </c>
      <c r="G1419" s="40" t="s">
        <v>54</v>
      </c>
      <c r="H1419" s="9">
        <v>4.3</v>
      </c>
      <c r="I1419" s="13">
        <v>77.0</v>
      </c>
      <c r="J1419" s="13">
        <v>80.0</v>
      </c>
      <c r="K1419" s="17">
        <f t="shared" si="10"/>
        <v>0.83984375</v>
      </c>
      <c r="L1419" s="9">
        <v>0.0</v>
      </c>
      <c r="O1419" s="9" t="s">
        <v>64</v>
      </c>
      <c r="P1419" s="40" t="s">
        <v>1729</v>
      </c>
      <c r="Q1419" s="43" t="s">
        <v>150</v>
      </c>
      <c r="R1419" s="43" t="s">
        <v>2119</v>
      </c>
      <c r="S1419" s="9" t="s">
        <v>638</v>
      </c>
      <c r="T1419" t="str">
        <f t="shared" si="12"/>
        <v>N</v>
      </c>
      <c r="W1419" s="12" t="str">
        <f t="array" ref="W1419">if(and(L1419=0,Q1419="NA"),"NA",if(L1419=0,"no lice",if(Q1419="NA","no collection",index(sea_lice!G:G,match(C1419,sea_lice!A:A,0)))))</f>
        <v>no lice</v>
      </c>
      <c r="X1419" s="23">
        <v>1418.0</v>
      </c>
    </row>
    <row r="1420">
      <c r="B1420" s="6">
        <v>17307.0</v>
      </c>
      <c r="C1420" s="12" t="str">
        <f t="shared" si="11"/>
        <v>U17307</v>
      </c>
      <c r="D1420" s="14" t="str">
        <f t="array" ref="D1420">iferror(index('2018_ufns'!E:E,match(C1420,'2018_ufns'!B:B,0)))</f>
        <v>P1131</v>
      </c>
      <c r="E1420" s="14">
        <v>43479.0</v>
      </c>
      <c r="F1420" s="40" t="s">
        <v>53</v>
      </c>
      <c r="G1420" s="40" t="s">
        <v>54</v>
      </c>
      <c r="H1420" s="9">
        <v>5.5</v>
      </c>
      <c r="I1420" s="13">
        <v>81.0</v>
      </c>
      <c r="J1420" s="13" t="s">
        <v>63</v>
      </c>
      <c r="K1420" s="17" t="str">
        <f t="shared" si="10"/>
        <v/>
      </c>
      <c r="L1420" s="9">
        <v>2.0</v>
      </c>
      <c r="O1420" s="9" t="s">
        <v>64</v>
      </c>
      <c r="P1420" s="40" t="s">
        <v>1729</v>
      </c>
      <c r="Q1420" s="43" t="s">
        <v>150</v>
      </c>
      <c r="R1420" s="43" t="s">
        <v>2119</v>
      </c>
      <c r="S1420" s="9" t="s">
        <v>638</v>
      </c>
      <c r="T1420" t="str">
        <f t="shared" si="12"/>
        <v>N</v>
      </c>
      <c r="W1420" s="12" t="str">
        <f t="array" ref="W1420">if(and(L1420=0,Q1420="NA"),"NA",if(L1420=0,"no lice",if(Q1420="NA","no collection",index(sea_lice!G:G,match(C1420,sea_lice!A:A,0)))))</f>
        <v>BSL8-57</v>
      </c>
      <c r="X1420" s="23">
        <v>1419.0</v>
      </c>
    </row>
    <row r="1421">
      <c r="B1421" s="6">
        <v>17303.0</v>
      </c>
      <c r="C1421" s="12" t="str">
        <f t="shared" si="11"/>
        <v>U17303</v>
      </c>
      <c r="D1421" s="14" t="str">
        <f t="array" ref="D1421">iferror(index('2018_ufns'!E:E,match(C1421,'2018_ufns'!B:B,0)))</f>
        <v>P1131</v>
      </c>
      <c r="E1421" s="14">
        <v>43480.0</v>
      </c>
      <c r="F1421" s="40" t="s">
        <v>53</v>
      </c>
      <c r="G1421" s="40" t="s">
        <v>54</v>
      </c>
      <c r="H1421" s="9">
        <v>4.3</v>
      </c>
      <c r="I1421" s="13">
        <v>77.0</v>
      </c>
      <c r="J1421" s="13">
        <v>81.0</v>
      </c>
      <c r="K1421" s="17">
        <f t="shared" si="10"/>
        <v>0.809120862</v>
      </c>
      <c r="L1421" s="9">
        <v>0.0</v>
      </c>
      <c r="O1421" s="9" t="s">
        <v>64</v>
      </c>
      <c r="P1421" s="40" t="s">
        <v>1729</v>
      </c>
      <c r="Q1421" s="43" t="s">
        <v>150</v>
      </c>
      <c r="R1421" s="43" t="s">
        <v>2119</v>
      </c>
      <c r="S1421" s="9" t="s">
        <v>638</v>
      </c>
      <c r="T1421" t="str">
        <f t="shared" si="12"/>
        <v>N</v>
      </c>
      <c r="W1421" s="12" t="str">
        <f t="array" ref="W1421">if(and(L1421=0,Q1421="NA"),"NA",if(L1421=0,"no lice",if(Q1421="NA","no collection",index(sea_lice!G:G,match(C1421,sea_lice!A:A,0)))))</f>
        <v>no lice</v>
      </c>
      <c r="X1421" s="23">
        <v>1420.0</v>
      </c>
    </row>
    <row r="1422">
      <c r="B1422" s="6">
        <v>17306.0</v>
      </c>
      <c r="C1422" s="12" t="str">
        <f t="shared" si="11"/>
        <v>U17306</v>
      </c>
      <c r="D1422" s="14" t="str">
        <f t="array" ref="D1422">iferror(index('2018_ufns'!E:E,match(C1422,'2018_ufns'!B:B,0)))</f>
        <v>P1131</v>
      </c>
      <c r="E1422" s="14">
        <v>43480.0</v>
      </c>
      <c r="F1422" s="40" t="s">
        <v>53</v>
      </c>
      <c r="G1422" s="40" t="s">
        <v>54</v>
      </c>
      <c r="H1422" s="9">
        <v>4.7</v>
      </c>
      <c r="I1422" s="13">
        <v>78.0</v>
      </c>
      <c r="J1422" s="13">
        <v>82.0</v>
      </c>
      <c r="K1422" s="17">
        <f t="shared" si="10"/>
        <v>0.8524252405</v>
      </c>
      <c r="L1422" s="9">
        <v>0.0</v>
      </c>
      <c r="O1422" s="9" t="s">
        <v>64</v>
      </c>
      <c r="P1422" s="40" t="s">
        <v>1729</v>
      </c>
      <c r="Q1422" s="43" t="s">
        <v>150</v>
      </c>
      <c r="R1422" s="43" t="s">
        <v>2119</v>
      </c>
      <c r="S1422" s="9" t="s">
        <v>638</v>
      </c>
      <c r="T1422" t="str">
        <f t="shared" si="12"/>
        <v>N</v>
      </c>
      <c r="W1422" s="12" t="str">
        <f t="array" ref="W1422">if(and(L1422=0,Q1422="NA"),"NA",if(L1422=0,"no lice",if(Q1422="NA","no collection",index(sea_lice!G:G,match(C1422,sea_lice!A:A,0)))))</f>
        <v>no lice</v>
      </c>
      <c r="X1422" s="23">
        <v>1421.0</v>
      </c>
    </row>
    <row r="1423">
      <c r="B1423" s="6">
        <v>17304.0</v>
      </c>
      <c r="C1423" s="12" t="str">
        <f t="shared" si="11"/>
        <v>U17304</v>
      </c>
      <c r="D1423" s="14" t="str">
        <f t="array" ref="D1423">iferror(index('2018_ufns'!E:E,match(C1423,'2018_ufns'!B:B,0)))</f>
        <v>P1131</v>
      </c>
      <c r="E1423" s="14">
        <v>43480.0</v>
      </c>
      <c r="F1423" s="40" t="s">
        <v>53</v>
      </c>
      <c r="G1423" s="40" t="s">
        <v>54</v>
      </c>
      <c r="H1423" s="9">
        <v>4.7</v>
      </c>
      <c r="I1423" s="13">
        <v>76.0</v>
      </c>
      <c r="J1423" s="13">
        <v>80.0</v>
      </c>
      <c r="K1423" s="17">
        <f t="shared" si="10"/>
        <v>0.91796875</v>
      </c>
      <c r="L1423" s="9">
        <v>0.0</v>
      </c>
      <c r="O1423" s="9" t="s">
        <v>64</v>
      </c>
      <c r="P1423" s="40" t="s">
        <v>1729</v>
      </c>
      <c r="Q1423" s="43" t="s">
        <v>150</v>
      </c>
      <c r="R1423" s="43" t="s">
        <v>2119</v>
      </c>
      <c r="S1423" s="9" t="s">
        <v>638</v>
      </c>
      <c r="T1423" t="str">
        <f t="shared" si="12"/>
        <v>N</v>
      </c>
      <c r="W1423" s="12" t="str">
        <f t="array" ref="W1423">if(and(L1423=0,Q1423="NA"),"NA",if(L1423=0,"no lice",if(Q1423="NA","no collection",index(sea_lice!G:G,match(C1423,sea_lice!A:A,0)))))</f>
        <v>no lice</v>
      </c>
      <c r="X1423" s="23">
        <v>1422.0</v>
      </c>
    </row>
    <row r="1424">
      <c r="B1424" s="6">
        <v>17471.0</v>
      </c>
      <c r="C1424" s="12" t="str">
        <f t="shared" si="11"/>
        <v>U17471</v>
      </c>
      <c r="D1424" s="14" t="str">
        <f t="array" ref="D1424">iferror(index('2018_ufns'!E:E,match(C1424,'2018_ufns'!B:B,0)))</f>
        <v>P1148</v>
      </c>
      <c r="E1424" s="14">
        <v>43480.0</v>
      </c>
      <c r="F1424" s="40" t="s">
        <v>53</v>
      </c>
      <c r="G1424" s="40" t="s">
        <v>54</v>
      </c>
      <c r="H1424" s="9">
        <v>6.4</v>
      </c>
      <c r="I1424" s="13">
        <v>90.0</v>
      </c>
      <c r="J1424" s="13">
        <v>94.0</v>
      </c>
      <c r="K1424" s="17">
        <f t="shared" si="10"/>
        <v>0.7705421727</v>
      </c>
      <c r="L1424" s="9">
        <v>0.0</v>
      </c>
      <c r="O1424" s="9" t="s">
        <v>64</v>
      </c>
      <c r="P1424" s="40" t="s">
        <v>1729</v>
      </c>
      <c r="Q1424" s="9" t="s">
        <v>62</v>
      </c>
      <c r="R1424" s="43" t="s">
        <v>2119</v>
      </c>
      <c r="S1424" s="9" t="s">
        <v>638</v>
      </c>
      <c r="T1424" t="str">
        <f t="shared" si="12"/>
        <v>N</v>
      </c>
      <c r="W1424" s="12" t="str">
        <f t="array" ref="W1424">if(and(L1424=0,Q1424="NA"),"NA",if(L1424=0,"no lice",if(Q1424="NA","no collection",index(sea_lice!G:G,match(C1424,sea_lice!A:A,0)))))</f>
        <v>no lice</v>
      </c>
      <c r="X1424" s="23">
        <v>1423.0</v>
      </c>
    </row>
    <row r="1425">
      <c r="B1425" s="6">
        <v>17480.0</v>
      </c>
      <c r="C1425" s="12" t="str">
        <f t="shared" si="11"/>
        <v>U17480</v>
      </c>
      <c r="D1425" s="14" t="str">
        <f t="array" ref="D1425">iferror(index('2018_ufns'!E:E,match(C1425,'2018_ufns'!B:B,0)))</f>
        <v>P1148</v>
      </c>
      <c r="E1425" s="14">
        <v>43480.0</v>
      </c>
      <c r="F1425" s="40" t="s">
        <v>53</v>
      </c>
      <c r="G1425" s="40" t="s">
        <v>54</v>
      </c>
      <c r="H1425" s="9">
        <v>6.4</v>
      </c>
      <c r="I1425" s="13">
        <v>83.0</v>
      </c>
      <c r="J1425" s="13" t="s">
        <v>63</v>
      </c>
      <c r="K1425" s="17" t="str">
        <f t="shared" si="10"/>
        <v/>
      </c>
      <c r="L1425" s="9">
        <v>1.0</v>
      </c>
      <c r="O1425" s="9" t="s">
        <v>64</v>
      </c>
      <c r="P1425" s="40" t="s">
        <v>1729</v>
      </c>
      <c r="Q1425" s="9" t="s">
        <v>62</v>
      </c>
      <c r="R1425" s="43" t="s">
        <v>2119</v>
      </c>
      <c r="S1425" s="9" t="s">
        <v>638</v>
      </c>
      <c r="T1425" t="str">
        <f t="shared" si="12"/>
        <v>N</v>
      </c>
      <c r="W1425" s="12" t="str">
        <f t="array" ref="W1425">if(and(L1425=0,Q1425="NA"),"NA",if(L1425=0,"no lice",if(Q1425="NA","no collection",index(sea_lice!G:G,match(C1425,sea_lice!A:A,0)))))</f>
        <v>BSL2-92</v>
      </c>
      <c r="X1425" s="23">
        <v>1424.0</v>
      </c>
    </row>
    <row r="1426">
      <c r="B1426" s="6">
        <v>17472.0</v>
      </c>
      <c r="C1426" s="12" t="str">
        <f t="shared" si="11"/>
        <v>U17472</v>
      </c>
      <c r="D1426" s="14" t="str">
        <f t="array" ref="D1426">iferror(index('2018_ufns'!E:E,match(C1426,'2018_ufns'!B:B,0)))</f>
        <v>P1148</v>
      </c>
      <c r="E1426" s="14">
        <v>43480.0</v>
      </c>
      <c r="F1426" s="40" t="s">
        <v>53</v>
      </c>
      <c r="G1426" s="40" t="s">
        <v>54</v>
      </c>
      <c r="H1426" s="9">
        <v>3.8</v>
      </c>
      <c r="I1426" s="13">
        <v>75.0</v>
      </c>
      <c r="J1426" s="13" t="s">
        <v>63</v>
      </c>
      <c r="K1426" s="17" t="str">
        <f t="shared" si="10"/>
        <v/>
      </c>
      <c r="L1426" s="9">
        <v>1.0</v>
      </c>
      <c r="O1426" s="9" t="s">
        <v>64</v>
      </c>
      <c r="P1426" s="40" t="s">
        <v>1729</v>
      </c>
      <c r="Q1426" s="9" t="s">
        <v>62</v>
      </c>
      <c r="R1426" s="43" t="s">
        <v>2119</v>
      </c>
      <c r="S1426" s="9" t="s">
        <v>638</v>
      </c>
      <c r="T1426" t="str">
        <f t="shared" si="12"/>
        <v>N</v>
      </c>
      <c r="W1426" s="12" t="str">
        <f t="array" ref="W1426">if(and(L1426=0,Q1426="NA"),"NA",if(L1426=0,"no lice",if(Q1426="NA","no collection",index(sea_lice!G:G,match(C1426,sea_lice!A:A,0)))))</f>
        <v>BSL2-94</v>
      </c>
      <c r="X1426" s="23">
        <v>1425.0</v>
      </c>
    </row>
    <row r="1427">
      <c r="B1427" s="6">
        <v>17479.0</v>
      </c>
      <c r="C1427" s="12" t="str">
        <f t="shared" si="11"/>
        <v>U17479</v>
      </c>
      <c r="D1427" s="14" t="str">
        <f t="array" ref="D1427">iferror(index('2018_ufns'!E:E,match(C1427,'2018_ufns'!B:B,0)))</f>
        <v>P1148</v>
      </c>
      <c r="E1427" s="14">
        <v>43480.0</v>
      </c>
      <c r="F1427" s="40" t="s">
        <v>53</v>
      </c>
      <c r="G1427" s="40" t="s">
        <v>54</v>
      </c>
      <c r="H1427" s="9">
        <v>5.2</v>
      </c>
      <c r="I1427" s="13">
        <v>82.0</v>
      </c>
      <c r="J1427" s="13" t="s">
        <v>63</v>
      </c>
      <c r="K1427" s="17" t="str">
        <f t="shared" si="10"/>
        <v/>
      </c>
      <c r="L1427" s="9">
        <v>0.0</v>
      </c>
      <c r="O1427" s="9" t="s">
        <v>64</v>
      </c>
      <c r="P1427" s="40" t="s">
        <v>1729</v>
      </c>
      <c r="Q1427" s="9" t="s">
        <v>62</v>
      </c>
      <c r="R1427" s="43" t="s">
        <v>2119</v>
      </c>
      <c r="S1427" s="9" t="s">
        <v>638</v>
      </c>
      <c r="T1427" t="str">
        <f t="shared" si="12"/>
        <v>N</v>
      </c>
      <c r="W1427" s="12" t="str">
        <f t="array" ref="W1427">if(and(L1427=0,Q1427="NA"),"NA",if(L1427=0,"no lice",if(Q1427="NA","no collection",index(sea_lice!G:G,match(C1427,sea_lice!A:A,0)))))</f>
        <v>no lice</v>
      </c>
      <c r="X1427" s="23">
        <v>1426.0</v>
      </c>
    </row>
    <row r="1428">
      <c r="B1428" s="6">
        <v>17478.0</v>
      </c>
      <c r="C1428" s="12" t="str">
        <f t="shared" si="11"/>
        <v>U17478</v>
      </c>
      <c r="D1428" s="14" t="str">
        <f t="array" ref="D1428">iferror(index('2018_ufns'!E:E,match(C1428,'2018_ufns'!B:B,0)))</f>
        <v>P1148</v>
      </c>
      <c r="E1428" s="14">
        <v>43480.0</v>
      </c>
      <c r="F1428" s="40" t="s">
        <v>53</v>
      </c>
      <c r="G1428" s="40" t="s">
        <v>54</v>
      </c>
      <c r="H1428" s="9">
        <v>3.6</v>
      </c>
      <c r="I1428" s="13">
        <v>73.0</v>
      </c>
      <c r="J1428" s="13" t="s">
        <v>63</v>
      </c>
      <c r="K1428" s="17" t="str">
        <f t="shared" si="10"/>
        <v/>
      </c>
      <c r="L1428" s="9">
        <v>0.0</v>
      </c>
      <c r="O1428" s="9" t="s">
        <v>64</v>
      </c>
      <c r="P1428" s="40" t="s">
        <v>1729</v>
      </c>
      <c r="Q1428" s="9" t="s">
        <v>62</v>
      </c>
      <c r="R1428" s="43" t="s">
        <v>2119</v>
      </c>
      <c r="S1428" s="9" t="s">
        <v>638</v>
      </c>
      <c r="T1428" t="str">
        <f t="shared" si="12"/>
        <v>N</v>
      </c>
      <c r="W1428" s="12" t="str">
        <f t="array" ref="W1428">if(and(L1428=0,Q1428="NA"),"NA",if(L1428=0,"no lice",if(Q1428="NA","no collection",index(sea_lice!G:G,match(C1428,sea_lice!A:A,0)))))</f>
        <v>no lice</v>
      </c>
      <c r="X1428" s="23">
        <v>1427.0</v>
      </c>
    </row>
    <row r="1429">
      <c r="B1429" s="6">
        <v>17475.0</v>
      </c>
      <c r="C1429" s="12" t="str">
        <f t="shared" si="11"/>
        <v>U17475</v>
      </c>
      <c r="D1429" s="14" t="str">
        <f t="array" ref="D1429">iferror(index('2018_ufns'!E:E,match(C1429,'2018_ufns'!B:B,0)))</f>
        <v>P1148</v>
      </c>
      <c r="E1429" s="14">
        <v>43480.0</v>
      </c>
      <c r="F1429" s="40" t="s">
        <v>53</v>
      </c>
      <c r="G1429" s="40" t="s">
        <v>54</v>
      </c>
      <c r="H1429" s="9">
        <v>6.0</v>
      </c>
      <c r="I1429" s="13">
        <v>85.0</v>
      </c>
      <c r="J1429" s="13">
        <v>89.0</v>
      </c>
      <c r="K1429" s="17">
        <f t="shared" si="10"/>
        <v>0.8511012541</v>
      </c>
      <c r="L1429" s="9">
        <v>1.0</v>
      </c>
      <c r="O1429" s="9" t="s">
        <v>64</v>
      </c>
      <c r="P1429" s="40" t="s">
        <v>1729</v>
      </c>
      <c r="Q1429" s="9" t="s">
        <v>62</v>
      </c>
      <c r="R1429" s="43" t="s">
        <v>2119</v>
      </c>
      <c r="S1429" s="9" t="s">
        <v>638</v>
      </c>
      <c r="T1429" t="str">
        <f t="shared" si="12"/>
        <v>N</v>
      </c>
      <c r="W1429" s="12" t="str">
        <f t="array" ref="W1429">if(and(L1429=0,Q1429="NA"),"NA",if(L1429=0,"no lice",if(Q1429="NA","no collection",index(sea_lice!G:G,match(C1429,sea_lice!A:A,0)))))</f>
        <v>BSL2-96</v>
      </c>
      <c r="X1429" s="23">
        <v>1428.0</v>
      </c>
    </row>
    <row r="1430">
      <c r="B1430" s="6">
        <v>17473.0</v>
      </c>
      <c r="C1430" s="12" t="str">
        <f t="shared" si="11"/>
        <v>U17473</v>
      </c>
      <c r="D1430" s="14" t="str">
        <f t="array" ref="D1430">iferror(index('2018_ufns'!E:E,match(C1430,'2018_ufns'!B:B,0)))</f>
        <v>P1148</v>
      </c>
      <c r="E1430" s="14">
        <v>43480.0</v>
      </c>
      <c r="F1430" s="40" t="s">
        <v>53</v>
      </c>
      <c r="G1430" s="40" t="s">
        <v>54</v>
      </c>
      <c r="H1430" s="9">
        <v>6.4</v>
      </c>
      <c r="I1430" s="13">
        <v>85.0</v>
      </c>
      <c r="J1430" s="13">
        <v>89.0</v>
      </c>
      <c r="K1430" s="17">
        <f t="shared" si="10"/>
        <v>0.9078413377</v>
      </c>
      <c r="L1430" s="9">
        <v>0.0</v>
      </c>
      <c r="O1430" s="9" t="s">
        <v>64</v>
      </c>
      <c r="P1430" s="40" t="s">
        <v>1729</v>
      </c>
      <c r="Q1430" s="9" t="s">
        <v>62</v>
      </c>
      <c r="R1430" s="43" t="s">
        <v>2119</v>
      </c>
      <c r="S1430" s="9" t="s">
        <v>638</v>
      </c>
      <c r="T1430" t="str">
        <f t="shared" si="12"/>
        <v>N</v>
      </c>
      <c r="W1430" s="12" t="str">
        <f t="array" ref="W1430">if(and(L1430=0,Q1430="NA"),"NA",if(L1430=0,"no lice",if(Q1430="NA","no collection",index(sea_lice!G:G,match(C1430,sea_lice!A:A,0)))))</f>
        <v>no lice</v>
      </c>
      <c r="X1430" s="23">
        <v>1429.0</v>
      </c>
    </row>
    <row r="1431">
      <c r="B1431" s="6">
        <v>17474.0</v>
      </c>
      <c r="C1431" s="12" t="str">
        <f t="shared" si="11"/>
        <v>U17474</v>
      </c>
      <c r="D1431" s="14" t="str">
        <f t="array" ref="D1431">iferror(index('2018_ufns'!E:E,match(C1431,'2018_ufns'!B:B,0)))</f>
        <v>P1148</v>
      </c>
      <c r="E1431" s="14">
        <v>43480.0</v>
      </c>
      <c r="F1431" s="40" t="s">
        <v>53</v>
      </c>
      <c r="G1431" s="40" t="s">
        <v>54</v>
      </c>
      <c r="H1431" s="9">
        <v>3.6</v>
      </c>
      <c r="I1431" s="13">
        <v>73.0</v>
      </c>
      <c r="J1431" s="13">
        <v>77.0</v>
      </c>
      <c r="K1431" s="17">
        <f t="shared" si="10"/>
        <v>0.7885519776</v>
      </c>
      <c r="L1431" s="9">
        <v>0.0</v>
      </c>
      <c r="O1431" s="9" t="s">
        <v>64</v>
      </c>
      <c r="P1431" s="40" t="s">
        <v>1729</v>
      </c>
      <c r="Q1431" s="9" t="s">
        <v>62</v>
      </c>
      <c r="R1431" s="43" t="s">
        <v>2119</v>
      </c>
      <c r="S1431" s="9" t="s">
        <v>638</v>
      </c>
      <c r="T1431" t="str">
        <f t="shared" si="12"/>
        <v>N</v>
      </c>
      <c r="W1431" s="12" t="str">
        <f t="array" ref="W1431">if(and(L1431=0,Q1431="NA"),"NA",if(L1431=0,"no lice",if(Q1431="NA","no collection",index(sea_lice!G:G,match(C1431,sea_lice!A:A,0)))))</f>
        <v>no lice</v>
      </c>
      <c r="X1431" s="23">
        <v>1430.0</v>
      </c>
    </row>
    <row r="1432">
      <c r="B1432" s="6">
        <v>17477.0</v>
      </c>
      <c r="C1432" s="12" t="str">
        <f t="shared" si="11"/>
        <v>U17477</v>
      </c>
      <c r="D1432" s="14" t="str">
        <f t="array" ref="D1432">iferror(index('2018_ufns'!E:E,match(C1432,'2018_ufns'!B:B,0)))</f>
        <v>P1148</v>
      </c>
      <c r="E1432" s="14">
        <v>43480.0</v>
      </c>
      <c r="F1432" s="40" t="s">
        <v>53</v>
      </c>
      <c r="G1432" s="40" t="s">
        <v>54</v>
      </c>
      <c r="H1432" s="9">
        <v>4.9</v>
      </c>
      <c r="I1432" s="13">
        <v>81.0</v>
      </c>
      <c r="J1432" s="13">
        <v>85.0</v>
      </c>
      <c r="K1432" s="17">
        <f t="shared" si="10"/>
        <v>0.7978831671</v>
      </c>
      <c r="L1432" s="9">
        <v>0.0</v>
      </c>
      <c r="O1432" s="9" t="s">
        <v>64</v>
      </c>
      <c r="P1432" s="40" t="s">
        <v>1729</v>
      </c>
      <c r="Q1432" s="9" t="s">
        <v>62</v>
      </c>
      <c r="R1432" s="43" t="s">
        <v>2119</v>
      </c>
      <c r="S1432" s="9" t="s">
        <v>638</v>
      </c>
      <c r="T1432" t="str">
        <f t="shared" si="12"/>
        <v>N</v>
      </c>
      <c r="W1432" s="12" t="str">
        <f t="array" ref="W1432">if(and(L1432=0,Q1432="NA"),"NA",if(L1432=0,"no lice",if(Q1432="NA","no collection",index(sea_lice!G:G,match(C1432,sea_lice!A:A,0)))))</f>
        <v>no lice</v>
      </c>
      <c r="X1432" s="23">
        <v>1431.0</v>
      </c>
    </row>
    <row r="1433">
      <c r="B1433" s="6">
        <v>17476.0</v>
      </c>
      <c r="C1433" s="12" t="str">
        <f t="shared" si="11"/>
        <v>U17476</v>
      </c>
      <c r="D1433" s="14" t="str">
        <f t="array" ref="D1433">iferror(index('2018_ufns'!E:E,match(C1433,'2018_ufns'!B:B,0)))</f>
        <v>P1148</v>
      </c>
      <c r="E1433" s="14">
        <v>43480.0</v>
      </c>
      <c r="F1433" s="40" t="s">
        <v>53</v>
      </c>
      <c r="G1433" s="40" t="s">
        <v>54</v>
      </c>
      <c r="H1433" s="9">
        <v>4.9</v>
      </c>
      <c r="I1433" s="13">
        <v>80.0</v>
      </c>
      <c r="J1433" s="13" t="s">
        <v>63</v>
      </c>
      <c r="K1433" s="17" t="str">
        <f t="shared" si="10"/>
        <v/>
      </c>
      <c r="L1433" s="9">
        <v>0.0</v>
      </c>
      <c r="O1433" s="9" t="s">
        <v>64</v>
      </c>
      <c r="P1433" s="40" t="s">
        <v>1729</v>
      </c>
      <c r="Q1433" s="9" t="s">
        <v>62</v>
      </c>
      <c r="R1433" s="43" t="s">
        <v>2119</v>
      </c>
      <c r="S1433" s="9" t="s">
        <v>638</v>
      </c>
      <c r="T1433" t="str">
        <f t="shared" si="12"/>
        <v>N</v>
      </c>
      <c r="W1433" s="12" t="str">
        <f t="array" ref="W1433">if(and(L1433=0,Q1433="NA"),"NA",if(L1433=0,"no lice",if(Q1433="NA","no collection",index(sea_lice!G:G,match(C1433,sea_lice!A:A,0)))))</f>
        <v>no lice</v>
      </c>
      <c r="X1433" s="23">
        <v>1432.0</v>
      </c>
    </row>
    <row r="1434">
      <c r="B1434" s="6">
        <v>17209.0</v>
      </c>
      <c r="C1434" s="12" t="str">
        <f t="shared" si="11"/>
        <v>U17209</v>
      </c>
      <c r="D1434" s="14" t="str">
        <f t="array" ref="D1434">iferror(index('2018_ufns'!E:E,match(C1434,'2018_ufns'!B:B,0)))</f>
        <v>P1121</v>
      </c>
      <c r="E1434" s="14">
        <v>43480.0</v>
      </c>
      <c r="F1434" s="40" t="s">
        <v>53</v>
      </c>
      <c r="G1434" s="40" t="s">
        <v>54</v>
      </c>
      <c r="H1434" s="9">
        <v>4.1</v>
      </c>
      <c r="I1434" s="13">
        <v>72.0</v>
      </c>
      <c r="J1434" s="13" t="s">
        <v>63</v>
      </c>
      <c r="K1434" s="17" t="str">
        <f t="shared" si="10"/>
        <v/>
      </c>
      <c r="L1434" s="9">
        <v>0.0</v>
      </c>
      <c r="O1434" s="9" t="s">
        <v>64</v>
      </c>
      <c r="P1434" s="40" t="s">
        <v>1729</v>
      </c>
      <c r="Q1434" s="9" t="s">
        <v>150</v>
      </c>
      <c r="R1434" s="43" t="s">
        <v>2119</v>
      </c>
      <c r="S1434" s="9" t="s">
        <v>638</v>
      </c>
      <c r="T1434" t="str">
        <f t="shared" si="12"/>
        <v>N</v>
      </c>
      <c r="W1434" s="12" t="str">
        <f t="array" ref="W1434">if(and(L1434=0,Q1434="NA"),"NA",if(L1434=0,"no lice",if(Q1434="NA","no collection",index(sea_lice!G:G,match(C1434,sea_lice!A:A,0)))))</f>
        <v>no lice</v>
      </c>
      <c r="X1434" s="23">
        <v>1433.0</v>
      </c>
    </row>
    <row r="1435">
      <c r="B1435" s="6">
        <v>17207.0</v>
      </c>
      <c r="C1435" s="12" t="str">
        <f t="shared" si="11"/>
        <v>U17207</v>
      </c>
      <c r="D1435" s="14" t="str">
        <f t="array" ref="D1435">iferror(index('2018_ufns'!E:E,match(C1435,'2018_ufns'!B:B,0)))</f>
        <v>P1121</v>
      </c>
      <c r="E1435" s="14">
        <v>43480.0</v>
      </c>
      <c r="F1435" s="40" t="s">
        <v>53</v>
      </c>
      <c r="G1435" s="40" t="s">
        <v>54</v>
      </c>
      <c r="H1435" s="9">
        <v>3.3</v>
      </c>
      <c r="I1435" s="13">
        <v>71.0</v>
      </c>
      <c r="J1435" s="13" t="s">
        <v>63</v>
      </c>
      <c r="K1435" s="17" t="str">
        <f t="shared" si="10"/>
        <v/>
      </c>
      <c r="L1435" s="9">
        <v>1.0</v>
      </c>
      <c r="O1435" s="9" t="s">
        <v>64</v>
      </c>
      <c r="P1435" s="40" t="s">
        <v>1729</v>
      </c>
      <c r="Q1435" s="9" t="s">
        <v>150</v>
      </c>
      <c r="R1435" s="43" t="s">
        <v>2119</v>
      </c>
      <c r="S1435" s="9" t="s">
        <v>638</v>
      </c>
      <c r="T1435" t="str">
        <f t="shared" si="12"/>
        <v>N</v>
      </c>
      <c r="W1435" s="12" t="str">
        <f t="array" ref="W1435">if(and(L1435=0,Q1435="NA"),"NA",if(L1435=0,"no lice",if(Q1435="NA","no collection",index(sea_lice!G:G,match(C1435,sea_lice!A:A,0)))))</f>
        <v>BSL8-58</v>
      </c>
      <c r="X1435" s="23">
        <v>1434.0</v>
      </c>
    </row>
    <row r="1436">
      <c r="B1436" s="6">
        <v>17208.0</v>
      </c>
      <c r="C1436" s="12" t="str">
        <f t="shared" si="11"/>
        <v>U17208</v>
      </c>
      <c r="D1436" s="14" t="str">
        <f t="array" ref="D1436">iferror(index('2018_ufns'!E:E,match(C1436,'2018_ufns'!B:B,0)))</f>
        <v>P1121</v>
      </c>
      <c r="E1436" s="14">
        <v>43480.0</v>
      </c>
      <c r="F1436" s="40" t="s">
        <v>53</v>
      </c>
      <c r="G1436" s="40" t="s">
        <v>54</v>
      </c>
      <c r="H1436" s="9">
        <v>3.0</v>
      </c>
      <c r="I1436" s="13">
        <v>66.0</v>
      </c>
      <c r="J1436" s="13">
        <v>70.0</v>
      </c>
      <c r="K1436" s="17">
        <f t="shared" si="10"/>
        <v>0.8746355685</v>
      </c>
      <c r="L1436" s="9">
        <v>0.0</v>
      </c>
      <c r="O1436" s="9" t="s">
        <v>64</v>
      </c>
      <c r="P1436" s="40" t="s">
        <v>1729</v>
      </c>
      <c r="Q1436" s="9" t="s">
        <v>150</v>
      </c>
      <c r="R1436" s="43" t="s">
        <v>2119</v>
      </c>
      <c r="S1436" s="9" t="s">
        <v>638</v>
      </c>
      <c r="T1436" t="str">
        <f t="shared" si="12"/>
        <v>N</v>
      </c>
      <c r="W1436" s="12" t="str">
        <f t="array" ref="W1436">if(and(L1436=0,Q1436="NA"),"NA",if(L1436=0,"no lice",if(Q1436="NA","no collection",index(sea_lice!G:G,match(C1436,sea_lice!A:A,0)))))</f>
        <v>no lice</v>
      </c>
      <c r="X1436" s="23">
        <v>1435.0</v>
      </c>
    </row>
    <row r="1437">
      <c r="B1437" s="6">
        <v>17205.0</v>
      </c>
      <c r="C1437" s="12" t="str">
        <f t="shared" si="11"/>
        <v>U17205</v>
      </c>
      <c r="D1437" s="14" t="str">
        <f t="array" ref="D1437">iferror(index('2018_ufns'!E:E,match(C1437,'2018_ufns'!B:B,0)))</f>
        <v>P1121</v>
      </c>
      <c r="E1437" s="14">
        <v>43480.0</v>
      </c>
      <c r="F1437" s="40" t="s">
        <v>53</v>
      </c>
      <c r="G1437" s="40" t="s">
        <v>54</v>
      </c>
      <c r="H1437" s="9">
        <v>3.9</v>
      </c>
      <c r="I1437" s="13">
        <v>77.0</v>
      </c>
      <c r="J1437" s="13">
        <v>81.0</v>
      </c>
      <c r="K1437" s="17">
        <f t="shared" si="10"/>
        <v>0.733853805</v>
      </c>
      <c r="L1437" s="9">
        <v>1.0</v>
      </c>
      <c r="O1437" s="9" t="s">
        <v>64</v>
      </c>
      <c r="P1437" s="40" t="s">
        <v>1729</v>
      </c>
      <c r="Q1437" s="9" t="s">
        <v>150</v>
      </c>
      <c r="R1437" s="43" t="s">
        <v>2119</v>
      </c>
      <c r="S1437" s="9" t="s">
        <v>638</v>
      </c>
      <c r="T1437" t="str">
        <f t="shared" si="12"/>
        <v>N</v>
      </c>
      <c r="W1437" s="12" t="str">
        <f t="array" ref="W1437">if(and(L1437=0,Q1437="NA"),"NA",if(L1437=0,"no lice",if(Q1437="NA","no collection",index(sea_lice!G:G,match(C1437,sea_lice!A:A,0)))))</f>
        <v>BSL8-59</v>
      </c>
      <c r="X1437" s="23">
        <v>1436.0</v>
      </c>
    </row>
    <row r="1438">
      <c r="B1438" s="6">
        <v>17206.0</v>
      </c>
      <c r="C1438" s="12" t="str">
        <f t="shared" si="11"/>
        <v>U17206</v>
      </c>
      <c r="D1438" s="14" t="str">
        <f t="array" ref="D1438">iferror(index('2018_ufns'!E:E,match(C1438,'2018_ufns'!B:B,0)))</f>
        <v>P1121</v>
      </c>
      <c r="E1438" s="14">
        <v>43480.0</v>
      </c>
      <c r="F1438" s="40" t="s">
        <v>53</v>
      </c>
      <c r="G1438" s="40" t="s">
        <v>54</v>
      </c>
      <c r="H1438" s="9">
        <v>4.0</v>
      </c>
      <c r="I1438" s="13">
        <v>76.0</v>
      </c>
      <c r="J1438" s="13" t="s">
        <v>63</v>
      </c>
      <c r="K1438" s="17" t="str">
        <f t="shared" si="10"/>
        <v/>
      </c>
      <c r="L1438" s="9">
        <v>1.0</v>
      </c>
      <c r="O1438" s="9" t="s">
        <v>64</v>
      </c>
      <c r="P1438" s="40" t="s">
        <v>1729</v>
      </c>
      <c r="Q1438" s="9" t="s">
        <v>150</v>
      </c>
      <c r="R1438" s="43" t="s">
        <v>2119</v>
      </c>
      <c r="S1438" s="9" t="s">
        <v>638</v>
      </c>
      <c r="T1438" t="str">
        <f t="shared" si="12"/>
        <v>N</v>
      </c>
      <c r="W1438" s="12" t="str">
        <f t="array" ref="W1438">if(and(L1438=0,Q1438="NA"),"NA",if(L1438=0,"no lice",if(Q1438="NA","no collection",index(sea_lice!G:G,match(C1438,sea_lice!A:A,0)))))</f>
        <v>BSL8-60</v>
      </c>
      <c r="X1438" s="23">
        <v>1437.0</v>
      </c>
    </row>
    <row r="1439">
      <c r="B1439" s="6">
        <v>17202.0</v>
      </c>
      <c r="C1439" s="12" t="str">
        <f t="shared" si="11"/>
        <v>U17202</v>
      </c>
      <c r="D1439" s="14" t="str">
        <f t="array" ref="D1439">iferror(index('2018_ufns'!E:E,match(C1439,'2018_ufns'!B:B,0)))</f>
        <v>P1121</v>
      </c>
      <c r="E1439" s="14">
        <v>43480.0</v>
      </c>
      <c r="F1439" s="40" t="s">
        <v>53</v>
      </c>
      <c r="G1439" s="40" t="s">
        <v>54</v>
      </c>
      <c r="H1439" s="9">
        <v>3.4</v>
      </c>
      <c r="I1439" s="13">
        <v>70.0</v>
      </c>
      <c r="J1439" s="13">
        <v>74.0</v>
      </c>
      <c r="K1439" s="17">
        <f t="shared" si="10"/>
        <v>0.83904211</v>
      </c>
      <c r="L1439" s="9">
        <v>0.0</v>
      </c>
      <c r="O1439" s="9" t="s">
        <v>64</v>
      </c>
      <c r="P1439" s="40" t="s">
        <v>1729</v>
      </c>
      <c r="Q1439" s="9" t="s">
        <v>150</v>
      </c>
      <c r="R1439" s="43" t="s">
        <v>2119</v>
      </c>
      <c r="S1439" s="9" t="s">
        <v>638</v>
      </c>
      <c r="T1439" t="str">
        <f t="shared" si="12"/>
        <v>N</v>
      </c>
      <c r="W1439" s="12" t="str">
        <f t="array" ref="W1439">if(and(L1439=0,Q1439="NA"),"NA",if(L1439=0,"no lice",if(Q1439="NA","no collection",index(sea_lice!G:G,match(C1439,sea_lice!A:A,0)))))</f>
        <v>no lice</v>
      </c>
      <c r="X1439" s="23">
        <v>1438.0</v>
      </c>
    </row>
    <row r="1440">
      <c r="B1440" s="6">
        <v>17201.0</v>
      </c>
      <c r="C1440" s="12" t="str">
        <f t="shared" si="11"/>
        <v>U17201</v>
      </c>
      <c r="D1440" s="14" t="str">
        <f t="array" ref="D1440">iferror(index('2018_ufns'!E:E,match(C1440,'2018_ufns'!B:B,0)))</f>
        <v>P1121</v>
      </c>
      <c r="E1440" s="14">
        <v>43480.0</v>
      </c>
      <c r="F1440" s="40" t="s">
        <v>53</v>
      </c>
      <c r="G1440" s="40" t="s">
        <v>54</v>
      </c>
      <c r="H1440" s="9">
        <v>3.5</v>
      </c>
      <c r="I1440" s="13">
        <v>70.0</v>
      </c>
      <c r="J1440" s="13">
        <v>73.0</v>
      </c>
      <c r="K1440" s="17">
        <f t="shared" si="10"/>
        <v>0.8997036119</v>
      </c>
      <c r="L1440" s="9">
        <v>1.0</v>
      </c>
      <c r="O1440" s="9" t="s">
        <v>64</v>
      </c>
      <c r="P1440" s="40" t="s">
        <v>1729</v>
      </c>
      <c r="Q1440" s="9" t="s">
        <v>150</v>
      </c>
      <c r="R1440" s="43" t="s">
        <v>2119</v>
      </c>
      <c r="S1440" s="9" t="s">
        <v>638</v>
      </c>
      <c r="T1440" t="str">
        <f t="shared" si="12"/>
        <v>N</v>
      </c>
      <c r="W1440" s="12" t="str">
        <f t="array" ref="W1440">if(and(L1440=0,Q1440="NA"),"NA",if(L1440=0,"no lice",if(Q1440="NA","no collection",index(sea_lice!G:G,match(C1440,sea_lice!A:A,0)))))</f>
        <v>BSL8-61</v>
      </c>
      <c r="X1440" s="23">
        <v>1439.0</v>
      </c>
    </row>
    <row r="1441">
      <c r="B1441" s="6">
        <v>17203.0</v>
      </c>
      <c r="C1441" s="12" t="str">
        <f t="shared" si="11"/>
        <v>U17203</v>
      </c>
      <c r="D1441" s="14" t="str">
        <f t="array" ref="D1441">iferror(index('2018_ufns'!E:E,match(C1441,'2018_ufns'!B:B,0)))</f>
        <v>P1121</v>
      </c>
      <c r="E1441" s="14">
        <v>43480.0</v>
      </c>
      <c r="F1441" s="40" t="s">
        <v>53</v>
      </c>
      <c r="G1441" s="40" t="s">
        <v>54</v>
      </c>
      <c r="H1441" s="9">
        <v>3.0</v>
      </c>
      <c r="I1441" s="13">
        <v>69.0</v>
      </c>
      <c r="J1441" s="13">
        <v>72.0</v>
      </c>
      <c r="K1441" s="17">
        <f t="shared" si="10"/>
        <v>0.803755144</v>
      </c>
      <c r="L1441" s="9">
        <v>0.0</v>
      </c>
      <c r="O1441" s="9" t="s">
        <v>64</v>
      </c>
      <c r="P1441" s="40" t="s">
        <v>1729</v>
      </c>
      <c r="Q1441" s="9" t="s">
        <v>150</v>
      </c>
      <c r="R1441" s="43" t="s">
        <v>2119</v>
      </c>
      <c r="S1441" s="9" t="s">
        <v>638</v>
      </c>
      <c r="T1441" t="str">
        <f t="shared" si="12"/>
        <v>N</v>
      </c>
      <c r="W1441" s="12" t="str">
        <f t="array" ref="W1441">if(and(L1441=0,Q1441="NA"),"NA",if(L1441=0,"no lice",if(Q1441="NA","no collection",index(sea_lice!G:G,match(C1441,sea_lice!A:A,0)))))</f>
        <v>no lice</v>
      </c>
      <c r="X1441" s="23">
        <v>1440.0</v>
      </c>
    </row>
    <row r="1442">
      <c r="B1442" s="6">
        <v>17204.0</v>
      </c>
      <c r="C1442" s="12" t="str">
        <f t="shared" si="11"/>
        <v>U17204</v>
      </c>
      <c r="D1442" s="14" t="str">
        <f t="array" ref="D1442">iferror(index('2018_ufns'!E:E,match(C1442,'2018_ufns'!B:B,0)))</f>
        <v>P1121</v>
      </c>
      <c r="E1442" s="14">
        <v>43481.0</v>
      </c>
      <c r="F1442" s="40" t="s">
        <v>53</v>
      </c>
      <c r="G1442" s="40" t="s">
        <v>54</v>
      </c>
      <c r="H1442" s="9">
        <v>3.8</v>
      </c>
      <c r="I1442" s="13">
        <v>74.0</v>
      </c>
      <c r="J1442" s="13">
        <v>77.0</v>
      </c>
      <c r="K1442" s="17">
        <f t="shared" si="10"/>
        <v>0.8323604208</v>
      </c>
      <c r="L1442" s="9">
        <v>1.0</v>
      </c>
      <c r="O1442" s="9" t="s">
        <v>64</v>
      </c>
      <c r="P1442" s="40" t="s">
        <v>1729</v>
      </c>
      <c r="Q1442" s="9" t="s">
        <v>150</v>
      </c>
      <c r="R1442" s="43" t="s">
        <v>2119</v>
      </c>
      <c r="S1442" s="9" t="s">
        <v>638</v>
      </c>
      <c r="T1442" t="str">
        <f t="shared" si="12"/>
        <v>N</v>
      </c>
      <c r="W1442" s="12" t="str">
        <f t="array" ref="W1442">if(and(L1442=0,Q1442="NA"),"NA",if(L1442=0,"no lice",if(Q1442="NA","no collection",index(sea_lice!G:G,match(C1442,sea_lice!A:A,0)))))</f>
        <v>BSL8-63</v>
      </c>
      <c r="X1442" s="23">
        <v>1441.0</v>
      </c>
    </row>
    <row r="1443">
      <c r="B1443" s="6">
        <v>17210.0</v>
      </c>
      <c r="C1443" s="12" t="str">
        <f t="shared" si="11"/>
        <v>U17210</v>
      </c>
      <c r="D1443" s="14" t="str">
        <f t="array" ref="D1443">iferror(index('2018_ufns'!E:E,match(C1443,'2018_ufns'!B:B,0)))</f>
        <v>P1121</v>
      </c>
      <c r="E1443" s="14">
        <v>43481.0</v>
      </c>
      <c r="F1443" s="40" t="s">
        <v>53</v>
      </c>
      <c r="G1443" s="40" t="s">
        <v>54</v>
      </c>
      <c r="H1443" s="9">
        <v>3.7</v>
      </c>
      <c r="I1443" s="13">
        <v>73.0</v>
      </c>
      <c r="J1443" s="13">
        <v>77.0</v>
      </c>
      <c r="K1443" s="17">
        <f t="shared" si="10"/>
        <v>0.8104561992</v>
      </c>
      <c r="L1443" s="9">
        <v>3.0</v>
      </c>
      <c r="O1443" s="9" t="s">
        <v>64</v>
      </c>
      <c r="P1443" s="40" t="s">
        <v>1729</v>
      </c>
      <c r="Q1443" s="9" t="s">
        <v>150</v>
      </c>
      <c r="R1443" s="43" t="s">
        <v>2119</v>
      </c>
      <c r="S1443" s="9" t="s">
        <v>638</v>
      </c>
      <c r="T1443" t="str">
        <f t="shared" si="12"/>
        <v>N</v>
      </c>
      <c r="W1443" s="12" t="str">
        <f t="array" ref="W1443">if(and(L1443=0,Q1443="NA"),"NA",if(L1443=0,"no lice",if(Q1443="NA","no collection",index(sea_lice!G:G,match(C1443,sea_lice!A:A,0)))))</f>
        <v>BSL8-64</v>
      </c>
      <c r="X1443" s="23">
        <v>1442.0</v>
      </c>
    </row>
    <row r="1444">
      <c r="B1444" s="6">
        <v>17491.0</v>
      </c>
      <c r="C1444" s="12" t="str">
        <f t="shared" si="11"/>
        <v>U17491</v>
      </c>
      <c r="D1444" s="14" t="str">
        <f t="array" ref="D1444">iferror(index('2018_ufns'!E:E,match(C1444,'2018_ufns'!B:B,0)))</f>
        <v>P1150</v>
      </c>
      <c r="E1444" s="14">
        <v>43481.0</v>
      </c>
      <c r="F1444" s="40" t="s">
        <v>53</v>
      </c>
      <c r="G1444" s="40" t="s">
        <v>54</v>
      </c>
      <c r="H1444" s="9">
        <v>7.1</v>
      </c>
      <c r="I1444" s="13">
        <v>91.0</v>
      </c>
      <c r="J1444" s="13" t="s">
        <v>63</v>
      </c>
      <c r="K1444" s="17" t="str">
        <f t="shared" si="10"/>
        <v/>
      </c>
      <c r="L1444" s="9">
        <v>0.0</v>
      </c>
      <c r="O1444" s="9" t="s">
        <v>64</v>
      </c>
      <c r="P1444" s="40" t="s">
        <v>1729</v>
      </c>
      <c r="Q1444" s="9" t="s">
        <v>62</v>
      </c>
      <c r="R1444" s="9" t="s">
        <v>2119</v>
      </c>
      <c r="S1444" s="9" t="s">
        <v>638</v>
      </c>
      <c r="T1444" t="str">
        <f t="shared" si="12"/>
        <v>N</v>
      </c>
      <c r="W1444" s="12" t="str">
        <f t="array" ref="W1444">if(and(L1444=0,Q1444="NA"),"NA",if(L1444=0,"no lice",if(Q1444="NA","no collection",index(sea_lice!G:G,match(C1444,sea_lice!A:A,0)))))</f>
        <v>no lice</v>
      </c>
      <c r="X1444" s="23">
        <v>1443.0</v>
      </c>
    </row>
    <row r="1445">
      <c r="B1445" s="6">
        <v>17496.0</v>
      </c>
      <c r="C1445" s="12" t="str">
        <f t="shared" si="11"/>
        <v>U17496</v>
      </c>
      <c r="D1445" s="14" t="str">
        <f t="array" ref="D1445">iferror(index('2018_ufns'!E:E,match(C1445,'2018_ufns'!B:B,0)))</f>
        <v>P1150</v>
      </c>
      <c r="E1445" s="14">
        <v>43481.0</v>
      </c>
      <c r="F1445" s="40" t="s">
        <v>53</v>
      </c>
      <c r="G1445" s="40" t="s">
        <v>54</v>
      </c>
      <c r="H1445" s="9">
        <v>4.7</v>
      </c>
      <c r="I1445" s="13">
        <v>76.0</v>
      </c>
      <c r="J1445" s="13">
        <v>80.0</v>
      </c>
      <c r="K1445" s="17">
        <f t="shared" si="10"/>
        <v>0.91796875</v>
      </c>
      <c r="L1445" s="9">
        <v>0.0</v>
      </c>
      <c r="O1445" s="9" t="s">
        <v>64</v>
      </c>
      <c r="P1445" s="40" t="s">
        <v>1729</v>
      </c>
      <c r="Q1445" s="9" t="s">
        <v>62</v>
      </c>
      <c r="R1445" s="9" t="s">
        <v>2119</v>
      </c>
      <c r="S1445" s="9" t="s">
        <v>638</v>
      </c>
      <c r="T1445" t="str">
        <f t="shared" si="12"/>
        <v>N</v>
      </c>
      <c r="W1445" s="12" t="str">
        <f t="array" ref="W1445">if(and(L1445=0,Q1445="NA"),"NA",if(L1445=0,"no lice",if(Q1445="NA","no collection",index(sea_lice!G:G,match(C1445,sea_lice!A:A,0)))))</f>
        <v>no lice</v>
      </c>
      <c r="X1445" s="23">
        <v>1444.0</v>
      </c>
    </row>
    <row r="1446">
      <c r="B1446" s="6">
        <v>17494.0</v>
      </c>
      <c r="C1446" s="12" t="str">
        <f t="shared" si="11"/>
        <v>U17494</v>
      </c>
      <c r="D1446" s="14" t="str">
        <f t="array" ref="D1446">iferror(index('2018_ufns'!E:E,match(C1446,'2018_ufns'!B:B,0)))</f>
        <v>P1150</v>
      </c>
      <c r="E1446" s="14">
        <v>43481.0</v>
      </c>
      <c r="F1446" s="40" t="s">
        <v>53</v>
      </c>
      <c r="G1446" s="40" t="s">
        <v>54</v>
      </c>
      <c r="H1446" s="9">
        <v>3.4</v>
      </c>
      <c r="I1446" s="13">
        <v>69.0</v>
      </c>
      <c r="J1446" s="13" t="s">
        <v>63</v>
      </c>
      <c r="K1446" s="17" t="str">
        <f t="shared" si="10"/>
        <v/>
      </c>
      <c r="L1446" s="9">
        <v>0.0</v>
      </c>
      <c r="O1446" s="9" t="s">
        <v>64</v>
      </c>
      <c r="P1446" s="40" t="s">
        <v>1729</v>
      </c>
      <c r="Q1446" s="9" t="s">
        <v>62</v>
      </c>
      <c r="R1446" s="9" t="s">
        <v>2119</v>
      </c>
      <c r="S1446" s="9" t="s">
        <v>638</v>
      </c>
      <c r="T1446" t="str">
        <f t="shared" si="12"/>
        <v>N</v>
      </c>
      <c r="W1446" s="12" t="str">
        <f t="array" ref="W1446">if(and(L1446=0,Q1446="NA"),"NA",if(L1446=0,"no lice",if(Q1446="NA","no collection",index(sea_lice!G:G,match(C1446,sea_lice!A:A,0)))))</f>
        <v>no lice</v>
      </c>
      <c r="X1446" s="23">
        <v>1445.0</v>
      </c>
    </row>
    <row r="1447">
      <c r="B1447" s="6">
        <v>17495.0</v>
      </c>
      <c r="C1447" s="12" t="str">
        <f t="shared" si="11"/>
        <v>U17495</v>
      </c>
      <c r="D1447" s="14" t="str">
        <f t="array" ref="D1447">iferror(index('2018_ufns'!E:E,match(C1447,'2018_ufns'!B:B,0)))</f>
        <v>P1150</v>
      </c>
      <c r="E1447" s="14">
        <v>43481.0</v>
      </c>
      <c r="F1447" s="40" t="s">
        <v>53</v>
      </c>
      <c r="G1447" s="40" t="s">
        <v>54</v>
      </c>
      <c r="H1447" s="9">
        <v>5.0</v>
      </c>
      <c r="I1447" s="13">
        <v>77.0</v>
      </c>
      <c r="J1447" s="13">
        <v>81.0</v>
      </c>
      <c r="K1447" s="17">
        <f t="shared" si="10"/>
        <v>0.9408382116</v>
      </c>
      <c r="L1447" s="9">
        <v>1.0</v>
      </c>
      <c r="O1447" s="9" t="s">
        <v>64</v>
      </c>
      <c r="P1447" s="40" t="s">
        <v>1729</v>
      </c>
      <c r="Q1447" s="9" t="s">
        <v>62</v>
      </c>
      <c r="R1447" s="9" t="s">
        <v>2119</v>
      </c>
      <c r="S1447" s="9" t="s">
        <v>638</v>
      </c>
      <c r="T1447" t="str">
        <f t="shared" si="12"/>
        <v>N</v>
      </c>
      <c r="W1447" s="12" t="str">
        <f t="array" ref="W1447">if(and(L1447=0,Q1447="NA"),"NA",if(L1447=0,"no lice",if(Q1447="NA","no collection",index(sea_lice!G:G,match(C1447,sea_lice!A:A,0)))))</f>
        <v>BSL2-98</v>
      </c>
      <c r="X1447" s="23">
        <v>1446.0</v>
      </c>
    </row>
    <row r="1448">
      <c r="B1448" s="6">
        <v>17492.0</v>
      </c>
      <c r="C1448" s="12" t="str">
        <f t="shared" si="11"/>
        <v>U17492</v>
      </c>
      <c r="D1448" s="14" t="str">
        <f t="array" ref="D1448">iferror(index('2018_ufns'!E:E,match(C1448,'2018_ufns'!B:B,0)))</f>
        <v>P1150</v>
      </c>
      <c r="E1448" s="14">
        <v>43481.0</v>
      </c>
      <c r="F1448" s="40" t="s">
        <v>53</v>
      </c>
      <c r="G1448" s="40" t="s">
        <v>54</v>
      </c>
      <c r="H1448" s="9">
        <v>5.7</v>
      </c>
      <c r="I1448" s="13">
        <v>83.0</v>
      </c>
      <c r="J1448" s="13">
        <v>87.0</v>
      </c>
      <c r="K1448" s="17">
        <f t="shared" si="10"/>
        <v>0.8655997011</v>
      </c>
      <c r="L1448" s="9">
        <v>0.0</v>
      </c>
      <c r="O1448" s="9" t="s">
        <v>64</v>
      </c>
      <c r="P1448" s="40" t="s">
        <v>1729</v>
      </c>
      <c r="Q1448" s="9" t="s">
        <v>62</v>
      </c>
      <c r="R1448" s="9" t="s">
        <v>2119</v>
      </c>
      <c r="S1448" s="9" t="s">
        <v>638</v>
      </c>
      <c r="T1448" t="str">
        <f t="shared" si="12"/>
        <v>N</v>
      </c>
      <c r="W1448" s="12" t="str">
        <f t="array" ref="W1448">if(and(L1448=0,Q1448="NA"),"NA",if(L1448=0,"no lice",if(Q1448="NA","no collection",index(sea_lice!G:G,match(C1448,sea_lice!A:A,0)))))</f>
        <v>no lice</v>
      </c>
      <c r="X1448" s="23">
        <v>1447.0</v>
      </c>
    </row>
    <row r="1449">
      <c r="B1449" s="6">
        <v>17493.0</v>
      </c>
      <c r="C1449" s="12" t="str">
        <f t="shared" si="11"/>
        <v>U17493</v>
      </c>
      <c r="D1449" s="14" t="str">
        <f t="array" ref="D1449">iferror(index('2018_ufns'!E:E,match(C1449,'2018_ufns'!B:B,0)))</f>
        <v>P1150</v>
      </c>
      <c r="E1449" s="14">
        <v>43481.0</v>
      </c>
      <c r="F1449" s="40" t="s">
        <v>53</v>
      </c>
      <c r="G1449" s="40" t="s">
        <v>54</v>
      </c>
      <c r="H1449" s="9">
        <v>4.7</v>
      </c>
      <c r="I1449" s="13">
        <v>77.0</v>
      </c>
      <c r="J1449" s="13">
        <v>81.0</v>
      </c>
      <c r="K1449" s="17">
        <f t="shared" si="10"/>
        <v>0.8843879189</v>
      </c>
      <c r="L1449" s="9">
        <v>0.0</v>
      </c>
      <c r="O1449" s="9" t="s">
        <v>64</v>
      </c>
      <c r="P1449" s="40" t="s">
        <v>1729</v>
      </c>
      <c r="Q1449" s="9" t="s">
        <v>62</v>
      </c>
      <c r="R1449" s="9" t="s">
        <v>2119</v>
      </c>
      <c r="S1449" s="9" t="s">
        <v>638</v>
      </c>
      <c r="T1449" t="str">
        <f t="shared" si="12"/>
        <v>N</v>
      </c>
      <c r="W1449" s="12" t="str">
        <f t="array" ref="W1449">if(and(L1449=0,Q1449="NA"),"NA",if(L1449=0,"no lice",if(Q1449="NA","no collection",index(sea_lice!G:G,match(C1449,sea_lice!A:A,0)))))</f>
        <v>no lice</v>
      </c>
      <c r="X1449" s="23">
        <v>1448.0</v>
      </c>
    </row>
    <row r="1450">
      <c r="B1450" s="6">
        <v>16225.0</v>
      </c>
      <c r="C1450" s="12" t="str">
        <f t="shared" si="11"/>
        <v>U16225</v>
      </c>
      <c r="D1450" s="14" t="str">
        <f t="array" ref="D1450">iferror(index('2018_ufns'!E:E,match(C1450,'2018_ufns'!B:B,0)))</f>
        <v>P1023</v>
      </c>
      <c r="E1450" s="14">
        <v>43481.0</v>
      </c>
      <c r="F1450" s="40" t="s">
        <v>53</v>
      </c>
      <c r="G1450" s="40" t="s">
        <v>54</v>
      </c>
      <c r="H1450" s="9">
        <v>4.0</v>
      </c>
      <c r="I1450" s="13">
        <v>74.0</v>
      </c>
      <c r="J1450" s="13" t="s">
        <v>63</v>
      </c>
      <c r="K1450" s="17" t="str">
        <f t="shared" si="10"/>
        <v/>
      </c>
      <c r="L1450" s="9">
        <v>0.0</v>
      </c>
      <c r="O1450" s="9" t="s">
        <v>64</v>
      </c>
      <c r="P1450" s="40" t="s">
        <v>1729</v>
      </c>
      <c r="Q1450" s="9" t="s">
        <v>150</v>
      </c>
      <c r="R1450" s="9" t="s">
        <v>2119</v>
      </c>
      <c r="S1450" s="9" t="s">
        <v>638</v>
      </c>
      <c r="T1450" t="str">
        <f t="shared" si="12"/>
        <v>N</v>
      </c>
      <c r="W1450" s="12" t="str">
        <f t="array" ref="W1450">if(and(L1450=0,Q1450="NA"),"NA",if(L1450=0,"no lice",if(Q1450="NA","no collection",index(sea_lice!G:G,match(C1450,sea_lice!A:A,0)))))</f>
        <v>no lice</v>
      </c>
      <c r="X1450" s="23">
        <v>1449.0</v>
      </c>
    </row>
    <row r="1451">
      <c r="B1451" s="6">
        <v>16223.0</v>
      </c>
      <c r="C1451" s="12" t="str">
        <f t="shared" si="11"/>
        <v>U16223</v>
      </c>
      <c r="D1451" s="14" t="str">
        <f t="array" ref="D1451">iferror(index('2018_ufns'!E:E,match(C1451,'2018_ufns'!B:B,0)))</f>
        <v>P1023</v>
      </c>
      <c r="E1451" s="14">
        <v>43481.0</v>
      </c>
      <c r="F1451" s="40" t="s">
        <v>53</v>
      </c>
      <c r="G1451" s="40" t="s">
        <v>54</v>
      </c>
      <c r="H1451" s="9">
        <v>4.4</v>
      </c>
      <c r="I1451" s="13">
        <v>76.0</v>
      </c>
      <c r="J1451" s="13">
        <v>80.0</v>
      </c>
      <c r="K1451" s="17">
        <f t="shared" si="10"/>
        <v>0.859375</v>
      </c>
      <c r="L1451" s="9">
        <v>0.0</v>
      </c>
      <c r="O1451" s="9" t="s">
        <v>64</v>
      </c>
      <c r="P1451" s="40" t="s">
        <v>1729</v>
      </c>
      <c r="Q1451" s="9" t="s">
        <v>150</v>
      </c>
      <c r="R1451" s="9" t="s">
        <v>2119</v>
      </c>
      <c r="S1451" s="9" t="s">
        <v>638</v>
      </c>
      <c r="T1451" t="str">
        <f t="shared" si="12"/>
        <v>N</v>
      </c>
      <c r="W1451" s="12" t="str">
        <f t="array" ref="W1451">if(and(L1451=0,Q1451="NA"),"NA",if(L1451=0,"no lice",if(Q1451="NA","no collection",index(sea_lice!G:G,match(C1451,sea_lice!A:A,0)))))</f>
        <v>no lice</v>
      </c>
      <c r="X1451" s="23">
        <v>1450.0</v>
      </c>
    </row>
    <row r="1452">
      <c r="B1452" s="6">
        <v>16224.0</v>
      </c>
      <c r="C1452" s="12" t="str">
        <f t="shared" si="11"/>
        <v>U16224</v>
      </c>
      <c r="D1452" s="14" t="str">
        <f t="array" ref="D1452">iferror(index('2018_ufns'!E:E,match(C1452,'2018_ufns'!B:B,0)))</f>
        <v>P1023</v>
      </c>
      <c r="E1452" s="14">
        <v>43481.0</v>
      </c>
      <c r="F1452" s="40" t="s">
        <v>53</v>
      </c>
      <c r="G1452" s="40" t="s">
        <v>54</v>
      </c>
      <c r="H1452" s="9">
        <v>4.2</v>
      </c>
      <c r="I1452" s="13">
        <v>74.0</v>
      </c>
      <c r="J1452" s="13" t="s">
        <v>63</v>
      </c>
      <c r="K1452" s="17" t="str">
        <f t="shared" si="10"/>
        <v/>
      </c>
      <c r="L1452" s="9">
        <v>0.0</v>
      </c>
      <c r="O1452" s="9" t="s">
        <v>64</v>
      </c>
      <c r="P1452" s="40" t="s">
        <v>1729</v>
      </c>
      <c r="Q1452" s="9" t="s">
        <v>150</v>
      </c>
      <c r="R1452" s="9" t="s">
        <v>2119</v>
      </c>
      <c r="S1452" s="9" t="s">
        <v>638</v>
      </c>
      <c r="T1452" t="str">
        <f t="shared" si="12"/>
        <v>N</v>
      </c>
      <c r="W1452" s="12" t="str">
        <f t="array" ref="W1452">if(and(L1452=0,Q1452="NA"),"NA",if(L1452=0,"no lice",if(Q1452="NA","no collection",index(sea_lice!G:G,match(C1452,sea_lice!A:A,0)))))</f>
        <v>no lice</v>
      </c>
      <c r="X1452" s="23">
        <v>1451.0</v>
      </c>
    </row>
    <row r="1453">
      <c r="B1453" s="6">
        <v>16221.0</v>
      </c>
      <c r="C1453" s="12" t="str">
        <f t="shared" si="11"/>
        <v>U16221</v>
      </c>
      <c r="D1453" s="14" t="str">
        <f t="array" ref="D1453">iferror(index('2018_ufns'!E:E,match(C1453,'2018_ufns'!B:B,0)))</f>
        <v>P1023</v>
      </c>
      <c r="E1453" s="14">
        <v>43481.0</v>
      </c>
      <c r="F1453" s="40" t="s">
        <v>53</v>
      </c>
      <c r="G1453" s="40" t="s">
        <v>54</v>
      </c>
      <c r="H1453" s="9">
        <v>4.4</v>
      </c>
      <c r="I1453" s="13">
        <v>77.0</v>
      </c>
      <c r="J1453" s="13">
        <v>81.0</v>
      </c>
      <c r="K1453" s="17">
        <f t="shared" si="10"/>
        <v>0.8279376262</v>
      </c>
      <c r="L1453" s="9">
        <v>0.0</v>
      </c>
      <c r="O1453" s="9" t="s">
        <v>64</v>
      </c>
      <c r="P1453" s="40" t="s">
        <v>1729</v>
      </c>
      <c r="Q1453" s="9" t="s">
        <v>150</v>
      </c>
      <c r="R1453" s="9" t="s">
        <v>2119</v>
      </c>
      <c r="S1453" s="9" t="s">
        <v>638</v>
      </c>
      <c r="T1453" t="str">
        <f t="shared" si="12"/>
        <v>N</v>
      </c>
      <c r="W1453" s="12" t="str">
        <f t="array" ref="W1453">if(and(L1453=0,Q1453="NA"),"NA",if(L1453=0,"no lice",if(Q1453="NA","no collection",index(sea_lice!G:G,match(C1453,sea_lice!A:A,0)))))</f>
        <v>no lice</v>
      </c>
      <c r="X1453" s="23">
        <v>1452.0</v>
      </c>
    </row>
    <row r="1454">
      <c r="B1454" s="6">
        <v>16222.0</v>
      </c>
      <c r="C1454" s="12" t="str">
        <f t="shared" si="11"/>
        <v>U16222</v>
      </c>
      <c r="D1454" s="14" t="str">
        <f t="array" ref="D1454">iferror(index('2018_ufns'!E:E,match(C1454,'2018_ufns'!B:B,0)))</f>
        <v>P1023</v>
      </c>
      <c r="E1454" s="14">
        <v>43481.0</v>
      </c>
      <c r="F1454" s="40" t="s">
        <v>53</v>
      </c>
      <c r="G1454" s="40" t="s">
        <v>54</v>
      </c>
      <c r="H1454" s="9">
        <v>6.4</v>
      </c>
      <c r="I1454" s="13">
        <v>85.0</v>
      </c>
      <c r="J1454" s="13" t="s">
        <v>63</v>
      </c>
      <c r="K1454" s="17" t="str">
        <f t="shared" si="10"/>
        <v/>
      </c>
      <c r="L1454" s="9">
        <v>0.0</v>
      </c>
      <c r="O1454" s="9" t="s">
        <v>64</v>
      </c>
      <c r="P1454" s="40" t="s">
        <v>1729</v>
      </c>
      <c r="Q1454" s="9" t="s">
        <v>150</v>
      </c>
      <c r="R1454" s="9" t="s">
        <v>2119</v>
      </c>
      <c r="S1454" s="9" t="s">
        <v>638</v>
      </c>
      <c r="T1454" t="str">
        <f t="shared" si="12"/>
        <v>N</v>
      </c>
      <c r="W1454" s="12" t="str">
        <f t="array" ref="W1454">if(and(L1454=0,Q1454="NA"),"NA",if(L1454=0,"no lice",if(Q1454="NA","no collection",index(sea_lice!G:G,match(C1454,sea_lice!A:A,0)))))</f>
        <v>no lice</v>
      </c>
      <c r="X1454" s="23">
        <v>1453.0</v>
      </c>
    </row>
    <row r="1455">
      <c r="B1455" s="6">
        <v>16474.0</v>
      </c>
      <c r="C1455" s="12" t="str">
        <f t="shared" si="11"/>
        <v>U16474</v>
      </c>
      <c r="D1455" s="14" t="str">
        <f t="array" ref="D1455">iferror(index('2018_ufns'!E:E,match(C1455,'2018_ufns'!B:B,0)))</f>
        <v>P1048</v>
      </c>
      <c r="E1455" s="14">
        <v>43481.0</v>
      </c>
      <c r="F1455" s="40" t="s">
        <v>53</v>
      </c>
      <c r="G1455" s="40" t="s">
        <v>54</v>
      </c>
      <c r="H1455" s="9">
        <v>2.5</v>
      </c>
      <c r="I1455" s="13">
        <v>67.0</v>
      </c>
      <c r="J1455" s="13" t="s">
        <v>63</v>
      </c>
      <c r="K1455" s="17" t="str">
        <f t="shared" si="10"/>
        <v/>
      </c>
      <c r="L1455" s="9">
        <v>0.0</v>
      </c>
      <c r="O1455" s="9" t="s">
        <v>638</v>
      </c>
      <c r="P1455" s="40" t="s">
        <v>1729</v>
      </c>
      <c r="Q1455" s="9" t="s">
        <v>150</v>
      </c>
      <c r="R1455" s="9" t="s">
        <v>2119</v>
      </c>
      <c r="S1455" s="9" t="s">
        <v>64</v>
      </c>
      <c r="T1455" t="str">
        <f t="shared" si="12"/>
        <v>N</v>
      </c>
      <c r="W1455" s="12" t="str">
        <f t="array" ref="W1455">if(and(L1455=0,Q1455="NA"),"NA",if(L1455=0,"no lice",if(Q1455="NA","no collection",index(sea_lice!G:G,match(C1455,sea_lice!A:A,0)))))</f>
        <v>no lice</v>
      </c>
      <c r="X1455" s="23">
        <v>1454.0</v>
      </c>
    </row>
    <row r="1456">
      <c r="B1456" s="6">
        <v>16471.0</v>
      </c>
      <c r="C1456" s="12" t="str">
        <f t="shared" si="11"/>
        <v>U16471</v>
      </c>
      <c r="D1456" s="14" t="str">
        <f t="array" ref="D1456">iferror(index('2018_ufns'!E:E,match(C1456,'2018_ufns'!B:B,0)))</f>
        <v>P1048</v>
      </c>
      <c r="E1456" s="14">
        <v>43481.0</v>
      </c>
      <c r="F1456" s="40" t="s">
        <v>53</v>
      </c>
      <c r="G1456" s="40" t="s">
        <v>54</v>
      </c>
      <c r="H1456" s="9">
        <v>4.1</v>
      </c>
      <c r="I1456" s="13">
        <v>74.0</v>
      </c>
      <c r="J1456" s="13" t="s">
        <v>63</v>
      </c>
      <c r="K1456" s="17" t="str">
        <f t="shared" si="10"/>
        <v/>
      </c>
      <c r="L1456" s="9">
        <v>0.0</v>
      </c>
      <c r="O1456" s="9" t="s">
        <v>638</v>
      </c>
      <c r="P1456" s="40" t="s">
        <v>1729</v>
      </c>
      <c r="Q1456" s="9" t="s">
        <v>150</v>
      </c>
      <c r="R1456" s="9" t="s">
        <v>2119</v>
      </c>
      <c r="S1456" s="9" t="s">
        <v>64</v>
      </c>
      <c r="T1456" t="str">
        <f t="shared" si="12"/>
        <v>N</v>
      </c>
      <c r="W1456" s="12" t="str">
        <f t="array" ref="W1456">if(and(L1456=0,Q1456="NA"),"NA",if(L1456=0,"no lice",if(Q1456="NA","no collection",index(sea_lice!G:G,match(C1456,sea_lice!A:A,0)))))</f>
        <v>no lice</v>
      </c>
      <c r="X1456" s="23">
        <v>1455.0</v>
      </c>
    </row>
    <row r="1457">
      <c r="B1457" s="6">
        <v>16473.0</v>
      </c>
      <c r="C1457" s="12" t="str">
        <f t="shared" si="11"/>
        <v>U16473</v>
      </c>
      <c r="D1457" s="14" t="str">
        <f t="array" ref="D1457">iferror(index('2018_ufns'!E:E,match(C1457,'2018_ufns'!B:B,0)))</f>
        <v>P1048</v>
      </c>
      <c r="E1457" s="14">
        <v>43481.0</v>
      </c>
      <c r="F1457" s="40" t="s">
        <v>53</v>
      </c>
      <c r="G1457" s="40" t="s">
        <v>54</v>
      </c>
      <c r="H1457" s="9">
        <v>5.7</v>
      </c>
      <c r="I1457" s="13">
        <v>83.0</v>
      </c>
      <c r="J1457" s="13">
        <v>86.0</v>
      </c>
      <c r="K1457" s="17">
        <f t="shared" si="10"/>
        <v>0.896147509</v>
      </c>
      <c r="L1457" s="9">
        <v>0.0</v>
      </c>
      <c r="O1457" s="9" t="s">
        <v>638</v>
      </c>
      <c r="P1457" s="40" t="s">
        <v>1729</v>
      </c>
      <c r="Q1457" s="9" t="s">
        <v>150</v>
      </c>
      <c r="R1457" s="9" t="s">
        <v>2119</v>
      </c>
      <c r="S1457" s="9" t="s">
        <v>64</v>
      </c>
      <c r="T1457" t="str">
        <f t="shared" si="12"/>
        <v>N</v>
      </c>
      <c r="W1457" s="12" t="str">
        <f t="array" ref="W1457">if(and(L1457=0,Q1457="NA"),"NA",if(L1457=0,"no lice",if(Q1457="NA","no collection",index(sea_lice!G:G,match(C1457,sea_lice!A:A,0)))))</f>
        <v>no lice</v>
      </c>
      <c r="X1457" s="23">
        <v>1456.0</v>
      </c>
    </row>
    <row r="1458">
      <c r="B1458" s="6">
        <v>16472.0</v>
      </c>
      <c r="C1458" s="12" t="str">
        <f t="shared" si="11"/>
        <v>U16472</v>
      </c>
      <c r="D1458" s="14" t="str">
        <f t="array" ref="D1458">iferror(index('2018_ufns'!E:E,match(C1458,'2018_ufns'!B:B,0)))</f>
        <v>P1048</v>
      </c>
      <c r="E1458" s="14">
        <v>43481.0</v>
      </c>
      <c r="F1458" s="40" t="s">
        <v>53</v>
      </c>
      <c r="G1458" s="40" t="s">
        <v>54</v>
      </c>
      <c r="H1458" s="9">
        <v>3.6</v>
      </c>
      <c r="I1458" s="13">
        <v>73.0</v>
      </c>
      <c r="J1458" s="13" t="s">
        <v>63</v>
      </c>
      <c r="K1458" s="17" t="str">
        <f t="shared" si="10"/>
        <v/>
      </c>
      <c r="L1458" s="9">
        <v>0.0</v>
      </c>
      <c r="O1458" s="9" t="s">
        <v>638</v>
      </c>
      <c r="P1458" s="40" t="s">
        <v>1729</v>
      </c>
      <c r="Q1458" s="9" t="s">
        <v>150</v>
      </c>
      <c r="R1458" s="9" t="s">
        <v>2119</v>
      </c>
      <c r="S1458" s="9" t="s">
        <v>64</v>
      </c>
      <c r="T1458" t="str">
        <f t="shared" si="12"/>
        <v>N</v>
      </c>
      <c r="W1458" s="12" t="str">
        <f t="array" ref="W1458">if(and(L1458=0,Q1458="NA"),"NA",if(L1458=0,"no lice",if(Q1458="NA","no collection",index(sea_lice!G:G,match(C1458,sea_lice!A:A,0)))))</f>
        <v>no lice</v>
      </c>
      <c r="X1458" s="23">
        <v>1457.0</v>
      </c>
    </row>
    <row r="1459">
      <c r="B1459" s="6">
        <v>16841.0</v>
      </c>
      <c r="C1459" s="12" t="str">
        <f t="shared" si="11"/>
        <v>U16841</v>
      </c>
      <c r="D1459" s="14" t="str">
        <f t="array" ref="D1459">iferror(index('2018_ufns'!E:E,match(C1459,'2018_ufns'!B:B,0)))</f>
        <v>P1085</v>
      </c>
      <c r="E1459" s="14">
        <v>43481.0</v>
      </c>
      <c r="F1459" s="40" t="s">
        <v>53</v>
      </c>
      <c r="G1459" s="40" t="s">
        <v>54</v>
      </c>
      <c r="H1459" s="9">
        <v>32.1</v>
      </c>
      <c r="I1459" s="13">
        <v>131.0</v>
      </c>
      <c r="J1459" s="13" t="s">
        <v>63</v>
      </c>
      <c r="K1459" s="17" t="str">
        <f t="shared" si="10"/>
        <v/>
      </c>
      <c r="L1459" s="9">
        <v>0.0</v>
      </c>
      <c r="O1459" s="9" t="s">
        <v>638</v>
      </c>
      <c r="P1459" s="40" t="s">
        <v>1729</v>
      </c>
      <c r="Q1459" s="9" t="s">
        <v>150</v>
      </c>
      <c r="R1459" s="9" t="s">
        <v>63</v>
      </c>
      <c r="S1459" s="9" t="s">
        <v>64</v>
      </c>
      <c r="T1459" t="str">
        <f t="shared" si="12"/>
        <v>N</v>
      </c>
      <c r="W1459" s="12" t="str">
        <f t="array" ref="W1459">if(and(L1459=0,Q1459="NA"),"NA",if(L1459=0,"no lice",if(Q1459="NA","no collection",index(sea_lice!G:G,match(C1459,sea_lice!A:A,0)))))</f>
        <v>no lice</v>
      </c>
      <c r="X1459" s="23">
        <v>1458.0</v>
      </c>
    </row>
    <row r="1460">
      <c r="B1460" s="6">
        <v>16845.0</v>
      </c>
      <c r="C1460" s="12" t="str">
        <f t="shared" si="11"/>
        <v>U16845</v>
      </c>
      <c r="D1460" s="14" t="str">
        <f t="array" ref="D1460">iferror(index('2018_ufns'!E:E,match(C1460,'2018_ufns'!B:B,0)))</f>
        <v>P1085</v>
      </c>
      <c r="E1460" s="14">
        <v>43481.0</v>
      </c>
      <c r="F1460" s="40" t="s">
        <v>53</v>
      </c>
      <c r="G1460" s="40" t="s">
        <v>54</v>
      </c>
      <c r="H1460" s="9">
        <v>24.7</v>
      </c>
      <c r="I1460" s="13">
        <v>132.0</v>
      </c>
      <c r="J1460" s="13" t="s">
        <v>63</v>
      </c>
      <c r="K1460" s="17" t="str">
        <f t="shared" si="10"/>
        <v/>
      </c>
      <c r="L1460" s="9">
        <v>0.0</v>
      </c>
      <c r="O1460" s="9" t="s">
        <v>638</v>
      </c>
      <c r="P1460" s="40" t="s">
        <v>1729</v>
      </c>
      <c r="Q1460" s="9" t="s">
        <v>150</v>
      </c>
      <c r="R1460" s="9" t="s">
        <v>63</v>
      </c>
      <c r="S1460" s="9" t="s">
        <v>64</v>
      </c>
      <c r="T1460" t="str">
        <f t="shared" si="12"/>
        <v>N</v>
      </c>
      <c r="W1460" s="12" t="str">
        <f t="array" ref="W1460">if(and(L1460=0,Q1460="NA"),"NA",if(L1460=0,"no lice",if(Q1460="NA","no collection",index(sea_lice!G:G,match(C1460,sea_lice!A:A,0)))))</f>
        <v>no lice</v>
      </c>
      <c r="X1460" s="23">
        <v>1459.0</v>
      </c>
    </row>
    <row r="1461">
      <c r="B1461" s="6">
        <v>16844.0</v>
      </c>
      <c r="C1461" s="12" t="str">
        <f t="shared" si="11"/>
        <v>U16844</v>
      </c>
      <c r="D1461" s="14" t="str">
        <f t="array" ref="D1461">iferror(index('2018_ufns'!E:E,match(C1461,'2018_ufns'!B:B,0)))</f>
        <v>P1085</v>
      </c>
      <c r="E1461" s="14">
        <v>43481.0</v>
      </c>
      <c r="F1461" s="40" t="s">
        <v>53</v>
      </c>
      <c r="G1461" s="40" t="s">
        <v>54</v>
      </c>
      <c r="H1461" s="9">
        <v>18.7</v>
      </c>
      <c r="I1461" s="13">
        <v>116.0</v>
      </c>
      <c r="J1461" s="13">
        <v>123.0</v>
      </c>
      <c r="K1461" s="17">
        <f t="shared" si="10"/>
        <v>1.004907927</v>
      </c>
      <c r="L1461" s="9">
        <v>0.0</v>
      </c>
      <c r="O1461" s="9" t="s">
        <v>638</v>
      </c>
      <c r="P1461" s="40" t="s">
        <v>1729</v>
      </c>
      <c r="Q1461" s="9" t="s">
        <v>150</v>
      </c>
      <c r="R1461" s="9" t="s">
        <v>63</v>
      </c>
      <c r="S1461" s="9" t="s">
        <v>64</v>
      </c>
      <c r="T1461" t="str">
        <f t="shared" si="12"/>
        <v>N</v>
      </c>
      <c r="W1461" s="12" t="str">
        <f t="array" ref="W1461">if(and(L1461=0,Q1461="NA"),"NA",if(L1461=0,"no lice",if(Q1461="NA","no collection",index(sea_lice!G:G,match(C1461,sea_lice!A:A,0)))))</f>
        <v>no lice</v>
      </c>
      <c r="X1461" s="23">
        <v>1460.0</v>
      </c>
    </row>
    <row r="1462">
      <c r="B1462" s="6">
        <v>16849.0</v>
      </c>
      <c r="C1462" s="12" t="str">
        <f t="shared" si="11"/>
        <v>U16849</v>
      </c>
      <c r="D1462" s="14" t="str">
        <f t="array" ref="D1462">iferror(index('2018_ufns'!E:E,match(C1462,'2018_ufns'!B:B,0)))</f>
        <v>P1085</v>
      </c>
      <c r="E1462" s="14">
        <v>43481.0</v>
      </c>
      <c r="F1462" s="40" t="s">
        <v>53</v>
      </c>
      <c r="G1462" s="40" t="s">
        <v>54</v>
      </c>
      <c r="H1462" s="9">
        <v>20.1</v>
      </c>
      <c r="I1462" s="13">
        <v>114.0</v>
      </c>
      <c r="J1462" s="13" t="s">
        <v>63</v>
      </c>
      <c r="K1462" s="17" t="str">
        <f t="shared" si="10"/>
        <v/>
      </c>
      <c r="L1462" s="9">
        <v>0.0</v>
      </c>
      <c r="O1462" s="9" t="s">
        <v>638</v>
      </c>
      <c r="P1462" s="40" t="s">
        <v>1729</v>
      </c>
      <c r="Q1462" s="9" t="s">
        <v>150</v>
      </c>
      <c r="R1462" s="9" t="s">
        <v>63</v>
      </c>
      <c r="S1462" s="9" t="s">
        <v>64</v>
      </c>
      <c r="T1462" t="str">
        <f t="shared" si="12"/>
        <v>N</v>
      </c>
      <c r="W1462" s="12" t="str">
        <f t="array" ref="W1462">if(and(L1462=0,Q1462="NA"),"NA",if(L1462=0,"no lice",if(Q1462="NA","no collection",index(sea_lice!G:G,match(C1462,sea_lice!A:A,0)))))</f>
        <v>no lice</v>
      </c>
      <c r="X1462" s="23">
        <v>1461.0</v>
      </c>
    </row>
    <row r="1463">
      <c r="B1463" s="6">
        <v>16847.0</v>
      </c>
      <c r="C1463" s="12" t="str">
        <f t="shared" si="11"/>
        <v>U16847</v>
      </c>
      <c r="D1463" s="14" t="str">
        <f t="array" ref="D1463">iferror(index('2018_ufns'!E:E,match(C1463,'2018_ufns'!B:B,0)))</f>
        <v>P1085</v>
      </c>
      <c r="E1463" s="14">
        <v>43481.0</v>
      </c>
      <c r="F1463" s="40" t="s">
        <v>53</v>
      </c>
      <c r="G1463" s="40" t="s">
        <v>54</v>
      </c>
      <c r="H1463" s="9">
        <v>18.9</v>
      </c>
      <c r="I1463" s="13">
        <v>113.0</v>
      </c>
      <c r="J1463" s="13">
        <v>119.0</v>
      </c>
      <c r="K1463" s="17">
        <f t="shared" si="10"/>
        <v>1.121555889</v>
      </c>
      <c r="L1463" s="9">
        <v>0.0</v>
      </c>
      <c r="O1463" s="9" t="s">
        <v>638</v>
      </c>
      <c r="P1463" s="40" t="s">
        <v>1729</v>
      </c>
      <c r="Q1463" s="9" t="s">
        <v>150</v>
      </c>
      <c r="R1463" s="9" t="s">
        <v>63</v>
      </c>
      <c r="S1463" s="9" t="s">
        <v>64</v>
      </c>
      <c r="T1463" t="str">
        <f t="shared" si="12"/>
        <v>N</v>
      </c>
      <c r="W1463" s="12" t="str">
        <f t="array" ref="W1463">if(and(L1463=0,Q1463="NA"),"NA",if(L1463=0,"no lice",if(Q1463="NA","no collection",index(sea_lice!G:G,match(C1463,sea_lice!A:A,0)))))</f>
        <v>no lice</v>
      </c>
      <c r="X1463" s="23">
        <v>1462.0</v>
      </c>
    </row>
    <row r="1464">
      <c r="B1464" s="6">
        <v>16848.0</v>
      </c>
      <c r="C1464" s="12" t="str">
        <f t="shared" si="11"/>
        <v>U16848</v>
      </c>
      <c r="D1464" s="14" t="str">
        <f t="array" ref="D1464">iferror(index('2018_ufns'!E:E,match(C1464,'2018_ufns'!B:B,0)))</f>
        <v>P1085</v>
      </c>
      <c r="E1464" s="14">
        <v>43481.0</v>
      </c>
      <c r="F1464" s="40" t="s">
        <v>53</v>
      </c>
      <c r="G1464" s="40" t="s">
        <v>54</v>
      </c>
      <c r="H1464" s="9">
        <v>28.2</v>
      </c>
      <c r="I1464" s="13">
        <v>127.0</v>
      </c>
      <c r="J1464" s="13">
        <v>136.0</v>
      </c>
      <c r="K1464" s="17">
        <f t="shared" si="10"/>
        <v>1.121069102</v>
      </c>
      <c r="L1464" s="9">
        <v>0.0</v>
      </c>
      <c r="O1464" s="9" t="s">
        <v>638</v>
      </c>
      <c r="P1464" s="40" t="s">
        <v>1729</v>
      </c>
      <c r="Q1464" s="9" t="s">
        <v>150</v>
      </c>
      <c r="R1464" s="9" t="s">
        <v>63</v>
      </c>
      <c r="S1464" s="9" t="s">
        <v>64</v>
      </c>
      <c r="T1464" t="str">
        <f t="shared" si="12"/>
        <v>N</v>
      </c>
      <c r="W1464" s="12" t="str">
        <f t="array" ref="W1464">if(and(L1464=0,Q1464="NA"),"NA",if(L1464=0,"no lice",if(Q1464="NA","no collection",index(sea_lice!G:G,match(C1464,sea_lice!A:A,0)))))</f>
        <v>no lice</v>
      </c>
      <c r="X1464" s="23">
        <v>1463.0</v>
      </c>
    </row>
    <row r="1465">
      <c r="B1465" s="6">
        <v>16850.0</v>
      </c>
      <c r="C1465" s="12" t="str">
        <f t="shared" si="11"/>
        <v>U16850</v>
      </c>
      <c r="D1465" s="14" t="str">
        <f t="array" ref="D1465">iferror(index('2018_ufns'!E:E,match(C1465,'2018_ufns'!B:B,0)))</f>
        <v>P1085</v>
      </c>
      <c r="E1465" s="14">
        <v>43481.0</v>
      </c>
      <c r="F1465" s="40" t="s">
        <v>53</v>
      </c>
      <c r="G1465" s="40" t="s">
        <v>54</v>
      </c>
      <c r="H1465" s="9">
        <v>37.5</v>
      </c>
      <c r="I1465" s="13">
        <v>141.0</v>
      </c>
      <c r="J1465" s="13">
        <v>147.0</v>
      </c>
      <c r="K1465" s="17">
        <f t="shared" si="10"/>
        <v>1.180536077</v>
      </c>
      <c r="L1465" s="9">
        <v>1.0</v>
      </c>
      <c r="O1465" s="9" t="s">
        <v>638</v>
      </c>
      <c r="P1465" s="40" t="s">
        <v>1729</v>
      </c>
      <c r="Q1465" s="9" t="s">
        <v>150</v>
      </c>
      <c r="R1465" s="9" t="s">
        <v>63</v>
      </c>
      <c r="S1465" s="9" t="s">
        <v>64</v>
      </c>
      <c r="T1465" t="str">
        <f t="shared" si="12"/>
        <v>N</v>
      </c>
      <c r="W1465" s="12" t="str">
        <f t="array" ref="W1465">if(and(L1465=0,Q1465="NA"),"NA",if(L1465=0,"no lice",if(Q1465="NA","no collection",index(sea_lice!G:G,match(C1465,sea_lice!A:A,0)))))</f>
        <v>BSL8-62</v>
      </c>
      <c r="X1465" s="23">
        <v>1464.0</v>
      </c>
    </row>
    <row r="1466">
      <c r="B1466" s="6">
        <v>16843.0</v>
      </c>
      <c r="C1466" s="12" t="str">
        <f t="shared" si="11"/>
        <v>U16843</v>
      </c>
      <c r="D1466" s="14" t="str">
        <f t="array" ref="D1466">iferror(index('2018_ufns'!E:E,match(C1466,'2018_ufns'!B:B,0)))</f>
        <v>P1085</v>
      </c>
      <c r="E1466" s="14">
        <v>43481.0</v>
      </c>
      <c r="F1466" s="40" t="s">
        <v>53</v>
      </c>
      <c r="G1466" s="40" t="s">
        <v>54</v>
      </c>
      <c r="H1466" s="9">
        <v>23.2</v>
      </c>
      <c r="I1466" s="13">
        <v>124.0</v>
      </c>
      <c r="J1466" s="13">
        <v>129.0</v>
      </c>
      <c r="K1466" s="17">
        <f t="shared" si="10"/>
        <v>1.080734098</v>
      </c>
      <c r="L1466" s="9">
        <v>0.0</v>
      </c>
      <c r="O1466" s="9" t="s">
        <v>638</v>
      </c>
      <c r="P1466" s="40" t="s">
        <v>1729</v>
      </c>
      <c r="Q1466" s="9" t="s">
        <v>150</v>
      </c>
      <c r="R1466" s="9" t="s">
        <v>63</v>
      </c>
      <c r="S1466" s="9" t="s">
        <v>64</v>
      </c>
      <c r="T1466" t="str">
        <f t="shared" si="12"/>
        <v>N</v>
      </c>
      <c r="W1466" s="12" t="str">
        <f t="array" ref="W1466">if(and(L1466=0,Q1466="NA"),"NA",if(L1466=0,"no lice",if(Q1466="NA","no collection",index(sea_lice!G:G,match(C1466,sea_lice!A:A,0)))))</f>
        <v>no lice</v>
      </c>
      <c r="X1466" s="23">
        <v>1465.0</v>
      </c>
    </row>
    <row r="1467">
      <c r="B1467" s="6">
        <v>16846.0</v>
      </c>
      <c r="C1467" s="12" t="str">
        <f t="shared" si="11"/>
        <v>U16846</v>
      </c>
      <c r="D1467" s="14" t="str">
        <f t="array" ref="D1467">iferror(index('2018_ufns'!E:E,match(C1467,'2018_ufns'!B:B,0)))</f>
        <v>P1085</v>
      </c>
      <c r="E1467" s="14">
        <v>43481.0</v>
      </c>
      <c r="F1467" s="40" t="s">
        <v>53</v>
      </c>
      <c r="G1467" s="40" t="s">
        <v>54</v>
      </c>
      <c r="H1467" s="9">
        <v>24.1</v>
      </c>
      <c r="I1467" s="13">
        <v>126.0</v>
      </c>
      <c r="J1467" s="13">
        <v>132.0</v>
      </c>
      <c r="K1467" s="17">
        <f t="shared" si="10"/>
        <v>1.047840666</v>
      </c>
      <c r="L1467" s="9">
        <v>1.0</v>
      </c>
      <c r="O1467" s="9" t="s">
        <v>638</v>
      </c>
      <c r="P1467" s="40" t="s">
        <v>1729</v>
      </c>
      <c r="Q1467" s="9" t="s">
        <v>150</v>
      </c>
      <c r="R1467" s="9" t="s">
        <v>63</v>
      </c>
      <c r="S1467" s="9" t="s">
        <v>64</v>
      </c>
      <c r="T1467" t="str">
        <f t="shared" si="12"/>
        <v>N</v>
      </c>
      <c r="W1467" s="12" t="str">
        <f t="array" ref="W1467">if(and(L1467=0,Q1467="NA"),"NA",if(L1467=0,"no lice",if(Q1467="NA","no collection",index(sea_lice!G:G,match(C1467,sea_lice!A:A,0)))))</f>
        <v>BSL8-65</v>
      </c>
      <c r="X1467" s="23">
        <v>1466.0</v>
      </c>
    </row>
    <row r="1468">
      <c r="B1468" s="6">
        <v>16842.0</v>
      </c>
      <c r="C1468" s="12" t="str">
        <f t="shared" si="11"/>
        <v>U16842</v>
      </c>
      <c r="D1468" s="14" t="str">
        <f t="array" ref="D1468">iferror(index('2018_ufns'!E:E,match(C1468,'2018_ufns'!B:B,0)))</f>
        <v>P1085</v>
      </c>
      <c r="E1468" s="14">
        <v>43481.0</v>
      </c>
      <c r="F1468" s="40" t="s">
        <v>53</v>
      </c>
      <c r="G1468" s="40" t="s">
        <v>54</v>
      </c>
      <c r="H1468" s="9">
        <v>31.4</v>
      </c>
      <c r="I1468" s="13">
        <v>133.0</v>
      </c>
      <c r="J1468" s="13">
        <v>141.0</v>
      </c>
      <c r="K1468" s="17">
        <f t="shared" si="10"/>
        <v>1.12014001</v>
      </c>
      <c r="L1468" s="9">
        <v>0.0</v>
      </c>
      <c r="O1468" s="9" t="s">
        <v>638</v>
      </c>
      <c r="P1468" s="40" t="s">
        <v>1729</v>
      </c>
      <c r="Q1468" s="9" t="s">
        <v>150</v>
      </c>
      <c r="R1468" s="9" t="s">
        <v>63</v>
      </c>
      <c r="S1468" s="9" t="s">
        <v>64</v>
      </c>
      <c r="T1468" t="str">
        <f t="shared" si="12"/>
        <v>N</v>
      </c>
      <c r="W1468" s="12" t="str">
        <f t="array" ref="W1468">if(and(L1468=0,Q1468="NA"),"NA",if(L1468=0,"no lice",if(Q1468="NA","no collection",index(sea_lice!G:G,match(C1468,sea_lice!A:A,0)))))</f>
        <v>no lice</v>
      </c>
      <c r="X1468" s="23">
        <v>1467.0</v>
      </c>
    </row>
    <row r="1469">
      <c r="B1469" s="6">
        <v>16771.0</v>
      </c>
      <c r="C1469" s="12" t="str">
        <f t="shared" si="11"/>
        <v>U16771</v>
      </c>
      <c r="D1469" s="14" t="str">
        <f t="array" ref="D1469">iferror(index('2018_ufns'!E:E,match(C1469,'2018_ufns'!B:B,0)))</f>
        <v>P1078</v>
      </c>
      <c r="E1469" s="14">
        <v>43481.0</v>
      </c>
      <c r="F1469" s="40" t="s">
        <v>53</v>
      </c>
      <c r="G1469" s="40" t="s">
        <v>54</v>
      </c>
      <c r="H1469" s="9">
        <v>22.2</v>
      </c>
      <c r="I1469" s="13">
        <v>113.0</v>
      </c>
      <c r="J1469" s="13">
        <v>121.0</v>
      </c>
      <c r="K1469" s="17">
        <f t="shared" si="10"/>
        <v>1.253132125</v>
      </c>
      <c r="L1469" s="9">
        <v>0.0</v>
      </c>
      <c r="O1469" s="9" t="s">
        <v>638</v>
      </c>
      <c r="P1469" s="40" t="s">
        <v>1729</v>
      </c>
      <c r="Q1469" s="9" t="s">
        <v>150</v>
      </c>
      <c r="R1469" s="9" t="s">
        <v>63</v>
      </c>
      <c r="S1469" s="9" t="s">
        <v>64</v>
      </c>
      <c r="T1469" t="str">
        <f t="shared" si="12"/>
        <v>N</v>
      </c>
      <c r="W1469" s="12" t="str">
        <f t="array" ref="W1469">if(and(L1469=0,Q1469="NA"),"NA",if(L1469=0,"no lice",if(Q1469="NA","no collection",index(sea_lice!G:G,match(C1469,sea_lice!A:A,0)))))</f>
        <v>no lice</v>
      </c>
      <c r="X1469" s="23">
        <v>1468.0</v>
      </c>
    </row>
    <row r="1470">
      <c r="B1470" s="6">
        <v>16779.0</v>
      </c>
      <c r="C1470" s="12" t="str">
        <f t="shared" si="11"/>
        <v>U16779</v>
      </c>
      <c r="D1470" s="14" t="str">
        <f t="array" ref="D1470">iferror(index('2018_ufns'!E:E,match(C1470,'2018_ufns'!B:B,0)))</f>
        <v>P1078</v>
      </c>
      <c r="E1470" s="14">
        <v>43481.0</v>
      </c>
      <c r="F1470" s="40" t="s">
        <v>53</v>
      </c>
      <c r="G1470" s="40" t="s">
        <v>54</v>
      </c>
      <c r="H1470" s="9">
        <v>41.6</v>
      </c>
      <c r="I1470" s="13">
        <v>153.0</v>
      </c>
      <c r="J1470" s="13">
        <v>161.0</v>
      </c>
      <c r="K1470" s="17">
        <f t="shared" si="10"/>
        <v>0.9968176119</v>
      </c>
      <c r="L1470" s="9">
        <v>0.0</v>
      </c>
      <c r="O1470" s="9" t="s">
        <v>638</v>
      </c>
      <c r="P1470" s="40" t="s">
        <v>1729</v>
      </c>
      <c r="Q1470" s="9" t="s">
        <v>150</v>
      </c>
      <c r="R1470" s="9" t="s">
        <v>63</v>
      </c>
      <c r="S1470" s="9" t="s">
        <v>64</v>
      </c>
      <c r="T1470" t="str">
        <f t="shared" si="12"/>
        <v>N</v>
      </c>
      <c r="W1470" s="12" t="str">
        <f t="array" ref="W1470">if(and(L1470=0,Q1470="NA"),"NA",if(L1470=0,"no lice",if(Q1470="NA","no collection",index(sea_lice!G:G,match(C1470,sea_lice!A:A,0)))))</f>
        <v>no lice</v>
      </c>
      <c r="X1470" s="23">
        <v>1469.0</v>
      </c>
    </row>
    <row r="1471">
      <c r="B1471" s="6">
        <v>16776.0</v>
      </c>
      <c r="C1471" s="12" t="str">
        <f t="shared" si="11"/>
        <v>U16776</v>
      </c>
      <c r="D1471" s="14" t="str">
        <f t="array" ref="D1471">iferror(index('2018_ufns'!E:E,match(C1471,'2018_ufns'!B:B,0)))</f>
        <v>P1078</v>
      </c>
      <c r="E1471" s="14">
        <v>43481.0</v>
      </c>
      <c r="F1471" s="40" t="s">
        <v>53</v>
      </c>
      <c r="G1471" s="40" t="s">
        <v>54</v>
      </c>
      <c r="H1471" s="9">
        <v>26.0</v>
      </c>
      <c r="I1471" s="13">
        <v>131.0</v>
      </c>
      <c r="J1471" s="13">
        <v>137.0</v>
      </c>
      <c r="K1471" s="17">
        <f t="shared" si="10"/>
        <v>1.011140827</v>
      </c>
      <c r="L1471" s="9">
        <v>0.0</v>
      </c>
      <c r="O1471" s="9" t="s">
        <v>638</v>
      </c>
      <c r="P1471" s="40" t="s">
        <v>1729</v>
      </c>
      <c r="Q1471" s="9" t="s">
        <v>150</v>
      </c>
      <c r="R1471" s="9" t="s">
        <v>63</v>
      </c>
      <c r="S1471" s="9" t="s">
        <v>64</v>
      </c>
      <c r="T1471" t="str">
        <f t="shared" si="12"/>
        <v>N</v>
      </c>
      <c r="W1471" s="12" t="str">
        <f t="array" ref="W1471">if(and(L1471=0,Q1471="NA"),"NA",if(L1471=0,"no lice",if(Q1471="NA","no collection",index(sea_lice!G:G,match(C1471,sea_lice!A:A,0)))))</f>
        <v>no lice</v>
      </c>
      <c r="X1471" s="23">
        <v>1470.0</v>
      </c>
    </row>
    <row r="1472">
      <c r="B1472" s="6">
        <v>16780.0</v>
      </c>
      <c r="C1472" s="12" t="str">
        <f t="shared" si="11"/>
        <v>U16780</v>
      </c>
      <c r="D1472" s="14" t="str">
        <f t="array" ref="D1472">iferror(index('2018_ufns'!E:E,match(C1472,'2018_ufns'!B:B,0)))</f>
        <v>P1078</v>
      </c>
      <c r="E1472" s="14">
        <v>43481.0</v>
      </c>
      <c r="F1472" s="40" t="s">
        <v>53</v>
      </c>
      <c r="G1472" s="40" t="s">
        <v>54</v>
      </c>
      <c r="H1472" s="9">
        <v>23.2</v>
      </c>
      <c r="I1472" s="13">
        <v>122.0</v>
      </c>
      <c r="J1472" s="13">
        <v>129.0</v>
      </c>
      <c r="K1472" s="17">
        <f t="shared" si="10"/>
        <v>1.080734098</v>
      </c>
      <c r="L1472" s="9">
        <v>0.0</v>
      </c>
      <c r="O1472" s="9" t="s">
        <v>638</v>
      </c>
      <c r="P1472" s="40" t="s">
        <v>1729</v>
      </c>
      <c r="Q1472" s="9" t="s">
        <v>150</v>
      </c>
      <c r="R1472" s="9" t="s">
        <v>63</v>
      </c>
      <c r="S1472" s="9" t="s">
        <v>64</v>
      </c>
      <c r="T1472" t="str">
        <f t="shared" si="12"/>
        <v>N</v>
      </c>
      <c r="W1472" s="12" t="str">
        <f t="array" ref="W1472">if(and(L1472=0,Q1472="NA"),"NA",if(L1472=0,"no lice",if(Q1472="NA","no collection",index(sea_lice!G:G,match(C1472,sea_lice!A:A,0)))))</f>
        <v>no lice</v>
      </c>
      <c r="X1472" s="23">
        <v>1471.0</v>
      </c>
    </row>
    <row r="1473">
      <c r="B1473" s="6">
        <v>16774.0</v>
      </c>
      <c r="C1473" s="12" t="str">
        <f t="shared" si="11"/>
        <v>U16774</v>
      </c>
      <c r="D1473" s="14" t="str">
        <f t="array" ref="D1473">iferror(index('2018_ufns'!E:E,match(C1473,'2018_ufns'!B:B,0)))</f>
        <v>P1078</v>
      </c>
      <c r="E1473" s="14">
        <v>43481.0</v>
      </c>
      <c r="F1473" s="40" t="s">
        <v>53</v>
      </c>
      <c r="G1473" s="40" t="s">
        <v>54</v>
      </c>
      <c r="H1473" s="9">
        <v>17.7</v>
      </c>
      <c r="I1473" s="13">
        <v>113.0</v>
      </c>
      <c r="J1473" s="13">
        <v>120.0</v>
      </c>
      <c r="K1473" s="17">
        <f t="shared" si="10"/>
        <v>1.024305556</v>
      </c>
      <c r="L1473" s="9">
        <v>0.0</v>
      </c>
      <c r="O1473" s="9" t="s">
        <v>638</v>
      </c>
      <c r="P1473" s="40" t="s">
        <v>1729</v>
      </c>
      <c r="Q1473" s="9" t="s">
        <v>150</v>
      </c>
      <c r="R1473" s="9" t="s">
        <v>63</v>
      </c>
      <c r="S1473" s="9" t="s">
        <v>64</v>
      </c>
      <c r="T1473" t="str">
        <f t="shared" si="12"/>
        <v>N</v>
      </c>
      <c r="W1473" s="12" t="str">
        <f t="array" ref="W1473">if(and(L1473=0,Q1473="NA"),"NA",if(L1473=0,"no lice",if(Q1473="NA","no collection",index(sea_lice!G:G,match(C1473,sea_lice!A:A,0)))))</f>
        <v>no lice</v>
      </c>
      <c r="X1473" s="23">
        <v>1472.0</v>
      </c>
    </row>
    <row r="1474">
      <c r="B1474" s="6">
        <v>16773.0</v>
      </c>
      <c r="C1474" s="12" t="str">
        <f t="shared" si="11"/>
        <v>U16773</v>
      </c>
      <c r="D1474" s="14" t="str">
        <f t="array" ref="D1474">iferror(index('2018_ufns'!E:E,match(C1474,'2018_ufns'!B:B,0)))</f>
        <v>P1078</v>
      </c>
      <c r="E1474" s="14">
        <v>43481.0</v>
      </c>
      <c r="F1474" s="40" t="s">
        <v>53</v>
      </c>
      <c r="G1474" s="40" t="s">
        <v>54</v>
      </c>
      <c r="H1474" s="9">
        <v>28.8</v>
      </c>
      <c r="I1474" s="13">
        <v>130.0</v>
      </c>
      <c r="J1474" s="13">
        <v>137.0</v>
      </c>
      <c r="K1474" s="17">
        <f t="shared" si="10"/>
        <v>1.120032917</v>
      </c>
      <c r="L1474" s="9">
        <v>0.0</v>
      </c>
      <c r="O1474" s="9" t="s">
        <v>638</v>
      </c>
      <c r="P1474" s="40" t="s">
        <v>1729</v>
      </c>
      <c r="Q1474" s="9" t="s">
        <v>150</v>
      </c>
      <c r="R1474" s="9" t="s">
        <v>63</v>
      </c>
      <c r="S1474" s="9" t="s">
        <v>64</v>
      </c>
      <c r="T1474" t="str">
        <f t="shared" si="12"/>
        <v>N</v>
      </c>
      <c r="W1474" s="12" t="str">
        <f t="array" ref="W1474">if(and(L1474=0,Q1474="NA"),"NA",if(L1474=0,"no lice",if(Q1474="NA","no collection",index(sea_lice!G:G,match(C1474,sea_lice!A:A,0)))))</f>
        <v>no lice</v>
      </c>
      <c r="X1474" s="23">
        <v>1473.0</v>
      </c>
    </row>
    <row r="1475">
      <c r="B1475" s="6">
        <v>17179.0</v>
      </c>
      <c r="C1475" s="12" t="str">
        <f t="shared" si="11"/>
        <v>U17179</v>
      </c>
      <c r="D1475" s="14" t="str">
        <f t="array" ref="D1475">iferror(index('2018_ufns'!E:E,match(C1475,'2018_ufns'!B:B,0)))</f>
        <v>P1118</v>
      </c>
      <c r="E1475" s="14">
        <v>43482.0</v>
      </c>
      <c r="F1475" s="40" t="s">
        <v>53</v>
      </c>
      <c r="G1475" s="40" t="s">
        <v>54</v>
      </c>
      <c r="H1475" s="9">
        <v>13.2</v>
      </c>
      <c r="I1475" s="13">
        <v>108.0</v>
      </c>
      <c r="J1475" s="13">
        <v>114.0</v>
      </c>
      <c r="K1475" s="17">
        <f t="shared" si="10"/>
        <v>0.8909624014</v>
      </c>
      <c r="L1475" s="25">
        <v>0.0</v>
      </c>
      <c r="O1475" s="9" t="s">
        <v>64</v>
      </c>
      <c r="P1475" s="40" t="s">
        <v>1729</v>
      </c>
      <c r="Q1475" s="9" t="s">
        <v>150</v>
      </c>
      <c r="R1475" s="9" t="s">
        <v>63</v>
      </c>
      <c r="S1475" s="9" t="s">
        <v>638</v>
      </c>
      <c r="T1475" t="str">
        <f t="shared" si="12"/>
        <v>N</v>
      </c>
      <c r="W1475" s="12" t="str">
        <f t="array" ref="W1475">if(and(L1475=0,Q1475="NA"),"NA",if(L1475=0,"no lice",if(Q1475="NA","no collection",index(sea_lice!G:G,match(C1475,sea_lice!A:A,0)))))</f>
        <v>no lice</v>
      </c>
      <c r="X1475" s="23">
        <v>1474.0</v>
      </c>
    </row>
    <row r="1476">
      <c r="B1476" s="6">
        <v>17178.0</v>
      </c>
      <c r="C1476" s="12" t="str">
        <f t="shared" si="11"/>
        <v>U17178</v>
      </c>
      <c r="D1476" s="14" t="str">
        <f t="array" ref="D1476">iferror(index('2018_ufns'!E:E,match(C1476,'2018_ufns'!B:B,0)))</f>
        <v>P1118</v>
      </c>
      <c r="E1476" s="14">
        <v>43482.0</v>
      </c>
      <c r="F1476" s="40" t="s">
        <v>53</v>
      </c>
      <c r="G1476" s="40" t="s">
        <v>54</v>
      </c>
      <c r="H1476" s="9">
        <v>16.8</v>
      </c>
      <c r="I1476" s="13">
        <v>116.0</v>
      </c>
      <c r="J1476" s="13">
        <v>122.0</v>
      </c>
      <c r="K1476" s="17">
        <f t="shared" si="10"/>
        <v>0.9251875708</v>
      </c>
      <c r="L1476" s="25">
        <v>0.0</v>
      </c>
      <c r="O1476" s="9" t="s">
        <v>64</v>
      </c>
      <c r="P1476" s="40" t="s">
        <v>1729</v>
      </c>
      <c r="Q1476" s="9" t="s">
        <v>150</v>
      </c>
      <c r="R1476" s="9" t="s">
        <v>63</v>
      </c>
      <c r="S1476" s="9" t="s">
        <v>638</v>
      </c>
      <c r="T1476" t="str">
        <f t="shared" si="12"/>
        <v>N</v>
      </c>
      <c r="W1476" s="12" t="str">
        <f t="array" ref="W1476">if(and(L1476=0,Q1476="NA"),"NA",if(L1476=0,"no lice",if(Q1476="NA","no collection",index(sea_lice!G:G,match(C1476,sea_lice!A:A,0)))))</f>
        <v>no lice</v>
      </c>
      <c r="X1476" s="23">
        <v>1475.0</v>
      </c>
    </row>
    <row r="1477">
      <c r="B1477" s="6">
        <v>17171.0</v>
      </c>
      <c r="C1477" s="12" t="str">
        <f t="shared" si="11"/>
        <v>U17171</v>
      </c>
      <c r="D1477" s="14" t="str">
        <f t="array" ref="D1477">iferror(index('2018_ufns'!E:E,match(C1477,'2018_ufns'!B:B,0)))</f>
        <v>P1118</v>
      </c>
      <c r="E1477" s="14">
        <v>43482.0</v>
      </c>
      <c r="F1477" s="40" t="s">
        <v>53</v>
      </c>
      <c r="G1477" s="40" t="s">
        <v>54</v>
      </c>
      <c r="H1477" s="9">
        <v>11.8</v>
      </c>
      <c r="I1477" s="13">
        <v>103.0</v>
      </c>
      <c r="J1477" s="13">
        <v>108.0</v>
      </c>
      <c r="K1477" s="17">
        <f t="shared" si="10"/>
        <v>0.9367220444</v>
      </c>
      <c r="L1477" s="25">
        <v>0.0</v>
      </c>
      <c r="O1477" s="9" t="s">
        <v>64</v>
      </c>
      <c r="P1477" s="40" t="s">
        <v>1729</v>
      </c>
      <c r="Q1477" s="9" t="s">
        <v>150</v>
      </c>
      <c r="R1477" s="9" t="s">
        <v>63</v>
      </c>
      <c r="S1477" s="9" t="s">
        <v>638</v>
      </c>
      <c r="T1477" t="str">
        <f t="shared" si="12"/>
        <v>N</v>
      </c>
      <c r="W1477" s="12" t="str">
        <f t="array" ref="W1477">if(and(L1477=0,Q1477="NA"),"NA",if(L1477=0,"no lice",if(Q1477="NA","no collection",index(sea_lice!G:G,match(C1477,sea_lice!A:A,0)))))</f>
        <v>no lice</v>
      </c>
      <c r="X1477" s="23">
        <v>1476.0</v>
      </c>
    </row>
    <row r="1478">
      <c r="B1478" s="6">
        <v>17175.0</v>
      </c>
      <c r="C1478" s="12" t="str">
        <f t="shared" si="11"/>
        <v>U17175</v>
      </c>
      <c r="D1478" s="14" t="str">
        <f t="array" ref="D1478">iferror(index('2018_ufns'!E:E,match(C1478,'2018_ufns'!B:B,0)))</f>
        <v>P1118</v>
      </c>
      <c r="E1478" s="14">
        <v>43482.0</v>
      </c>
      <c r="F1478" s="40" t="s">
        <v>53</v>
      </c>
      <c r="G1478" s="40" t="s">
        <v>54</v>
      </c>
      <c r="H1478" s="9" t="s">
        <v>63</v>
      </c>
      <c r="I1478" s="13">
        <v>104.0</v>
      </c>
      <c r="J1478" s="13">
        <v>109.0</v>
      </c>
      <c r="K1478" s="17" t="str">
        <f t="shared" si="10"/>
        <v/>
      </c>
      <c r="L1478" s="25">
        <v>0.0</v>
      </c>
      <c r="M1478" s="9" t="s">
        <v>2183</v>
      </c>
      <c r="N1478" s="9" t="s">
        <v>2184</v>
      </c>
      <c r="O1478" s="9" t="s">
        <v>64</v>
      </c>
      <c r="P1478" s="40" t="s">
        <v>1729</v>
      </c>
      <c r="Q1478" s="9" t="s">
        <v>150</v>
      </c>
      <c r="R1478" s="9" t="s">
        <v>63</v>
      </c>
      <c r="S1478" s="9" t="s">
        <v>638</v>
      </c>
      <c r="T1478" t="str">
        <f t="shared" si="12"/>
        <v>N</v>
      </c>
      <c r="W1478" s="12" t="str">
        <f t="array" ref="W1478">if(and(L1478=0,Q1478="NA"),"NA",if(L1478=0,"no lice",if(Q1478="NA","no collection",index(sea_lice!G:G,match(C1478,sea_lice!A:A,0)))))</f>
        <v>no lice</v>
      </c>
      <c r="X1478" s="23">
        <v>1477.0</v>
      </c>
    </row>
    <row r="1479">
      <c r="B1479" s="6">
        <v>17174.0</v>
      </c>
      <c r="C1479" s="12" t="str">
        <f t="shared" si="11"/>
        <v>U17174</v>
      </c>
      <c r="D1479" s="14" t="str">
        <f t="array" ref="D1479">iferror(index('2018_ufns'!E:E,match(C1479,'2018_ufns'!B:B,0)))</f>
        <v>P1118</v>
      </c>
      <c r="E1479" s="14">
        <v>43482.0</v>
      </c>
      <c r="F1479" s="40" t="s">
        <v>53</v>
      </c>
      <c r="G1479" s="40" t="s">
        <v>54</v>
      </c>
      <c r="H1479" s="9">
        <v>12.6</v>
      </c>
      <c r="I1479" s="13">
        <v>113.0</v>
      </c>
      <c r="J1479" s="13" t="s">
        <v>63</v>
      </c>
      <c r="K1479" s="17" t="str">
        <f t="shared" si="10"/>
        <v/>
      </c>
      <c r="L1479" s="25">
        <v>0.0</v>
      </c>
      <c r="N1479" s="9" t="s">
        <v>2184</v>
      </c>
      <c r="O1479" s="9" t="s">
        <v>64</v>
      </c>
      <c r="P1479" s="40" t="s">
        <v>1729</v>
      </c>
      <c r="Q1479" s="9" t="s">
        <v>150</v>
      </c>
      <c r="R1479" s="9" t="s">
        <v>63</v>
      </c>
      <c r="S1479" s="9" t="s">
        <v>638</v>
      </c>
      <c r="T1479" t="str">
        <f t="shared" si="12"/>
        <v>N</v>
      </c>
      <c r="W1479" s="12" t="str">
        <f t="array" ref="W1479">if(and(L1479=0,Q1479="NA"),"NA",if(L1479=0,"no lice",if(Q1479="NA","no collection",index(sea_lice!G:G,match(C1479,sea_lice!A:A,0)))))</f>
        <v>no lice</v>
      </c>
      <c r="X1479" s="23">
        <v>1478.0</v>
      </c>
    </row>
    <row r="1480">
      <c r="B1480" s="6">
        <v>17177.0</v>
      </c>
      <c r="C1480" s="12" t="str">
        <f t="shared" si="11"/>
        <v>U17177</v>
      </c>
      <c r="D1480" s="14" t="str">
        <f t="array" ref="D1480">iferror(index('2018_ufns'!E:E,match(C1480,'2018_ufns'!B:B,0)))</f>
        <v>P1118</v>
      </c>
      <c r="E1480" s="14">
        <v>43482.0</v>
      </c>
      <c r="F1480" s="40" t="s">
        <v>53</v>
      </c>
      <c r="G1480" s="40" t="s">
        <v>54</v>
      </c>
      <c r="H1480" s="9">
        <v>14.8</v>
      </c>
      <c r="I1480" s="13">
        <v>115.0</v>
      </c>
      <c r="J1480" s="13" t="s">
        <v>63</v>
      </c>
      <c r="K1480" s="17" t="str">
        <f t="shared" si="10"/>
        <v/>
      </c>
      <c r="L1480" s="25">
        <v>0.0</v>
      </c>
      <c r="O1480" s="9" t="s">
        <v>64</v>
      </c>
      <c r="P1480" s="40" t="s">
        <v>1729</v>
      </c>
      <c r="Q1480" s="9" t="s">
        <v>150</v>
      </c>
      <c r="R1480" s="9" t="s">
        <v>63</v>
      </c>
      <c r="S1480" s="9" t="s">
        <v>638</v>
      </c>
      <c r="T1480" t="str">
        <f t="shared" si="12"/>
        <v>N</v>
      </c>
      <c r="W1480" s="12" t="str">
        <f t="array" ref="W1480">if(and(L1480=0,Q1480="NA"),"NA",if(L1480=0,"no lice",if(Q1480="NA","no collection",index(sea_lice!G:G,match(C1480,sea_lice!A:A,0)))))</f>
        <v>no lice</v>
      </c>
      <c r="X1480" s="23">
        <v>1479.0</v>
      </c>
    </row>
    <row r="1481">
      <c r="B1481" s="6">
        <v>17176.0</v>
      </c>
      <c r="C1481" s="12" t="str">
        <f t="shared" si="11"/>
        <v>U17176</v>
      </c>
      <c r="D1481" s="14" t="str">
        <f t="array" ref="D1481">iferror(index('2018_ufns'!E:E,match(C1481,'2018_ufns'!B:B,0)))</f>
        <v>P1118</v>
      </c>
      <c r="E1481" s="14">
        <v>43482.0</v>
      </c>
      <c r="F1481" s="40" t="s">
        <v>53</v>
      </c>
      <c r="G1481" s="40" t="s">
        <v>54</v>
      </c>
      <c r="H1481" s="9">
        <v>9.5</v>
      </c>
      <c r="I1481" s="13">
        <v>96.0</v>
      </c>
      <c r="J1481" s="13">
        <v>101.0</v>
      </c>
      <c r="K1481" s="17">
        <f t="shared" si="10"/>
        <v>0.9220606405</v>
      </c>
      <c r="L1481" s="25">
        <v>0.0</v>
      </c>
      <c r="O1481" s="9" t="s">
        <v>64</v>
      </c>
      <c r="P1481" s="40" t="s">
        <v>1729</v>
      </c>
      <c r="Q1481" s="9" t="s">
        <v>150</v>
      </c>
      <c r="R1481" s="9" t="s">
        <v>63</v>
      </c>
      <c r="S1481" s="9" t="s">
        <v>638</v>
      </c>
      <c r="T1481" t="str">
        <f t="shared" si="12"/>
        <v>N</v>
      </c>
      <c r="W1481" s="12" t="str">
        <f t="array" ref="W1481">if(and(L1481=0,Q1481="NA"),"NA",if(L1481=0,"no lice",if(Q1481="NA","no collection",index(sea_lice!G:G,match(C1481,sea_lice!A:A,0)))))</f>
        <v>no lice</v>
      </c>
      <c r="X1481" s="23">
        <v>1480.0</v>
      </c>
    </row>
    <row r="1482">
      <c r="B1482" s="6">
        <v>17172.0</v>
      </c>
      <c r="C1482" s="12" t="str">
        <f t="shared" si="11"/>
        <v>U17172</v>
      </c>
      <c r="D1482" s="14" t="str">
        <f t="array" ref="D1482">iferror(index('2018_ufns'!E:E,match(C1482,'2018_ufns'!B:B,0)))</f>
        <v>P1118</v>
      </c>
      <c r="E1482" s="14">
        <v>43482.0</v>
      </c>
      <c r="F1482" s="40" t="s">
        <v>53</v>
      </c>
      <c r="G1482" s="40" t="s">
        <v>54</v>
      </c>
      <c r="H1482" s="9">
        <v>13.4</v>
      </c>
      <c r="I1482" s="13">
        <v>109.0</v>
      </c>
      <c r="J1482" s="13">
        <v>115.0</v>
      </c>
      <c r="K1482" s="17">
        <f t="shared" si="10"/>
        <v>0.8810717515</v>
      </c>
      <c r="L1482" s="25">
        <v>0.0</v>
      </c>
      <c r="O1482" s="9" t="s">
        <v>64</v>
      </c>
      <c r="P1482" s="40" t="s">
        <v>1729</v>
      </c>
      <c r="Q1482" s="9" t="s">
        <v>150</v>
      </c>
      <c r="R1482" s="9" t="s">
        <v>63</v>
      </c>
      <c r="S1482" s="9" t="s">
        <v>638</v>
      </c>
      <c r="T1482" t="str">
        <f t="shared" si="12"/>
        <v>N</v>
      </c>
      <c r="W1482" s="12" t="str">
        <f t="array" ref="W1482">if(and(L1482=0,Q1482="NA"),"NA",if(L1482=0,"no lice",if(Q1482="NA","no collection",index(sea_lice!G:G,match(C1482,sea_lice!A:A,0)))))</f>
        <v>no lice</v>
      </c>
      <c r="X1482" s="23">
        <v>1481.0</v>
      </c>
    </row>
    <row r="1483">
      <c r="B1483" s="6">
        <v>17173.0</v>
      </c>
      <c r="C1483" s="12" t="str">
        <f t="shared" si="11"/>
        <v>U17173</v>
      </c>
      <c r="D1483" s="14" t="str">
        <f t="array" ref="D1483">iferror(index('2018_ufns'!E:E,match(C1483,'2018_ufns'!B:B,0)))</f>
        <v>P1118</v>
      </c>
      <c r="E1483" s="14">
        <v>43482.0</v>
      </c>
      <c r="F1483" s="40" t="s">
        <v>53</v>
      </c>
      <c r="G1483" s="40" t="s">
        <v>54</v>
      </c>
      <c r="H1483" s="9">
        <v>8.4</v>
      </c>
      <c r="I1483" s="13">
        <v>97.0</v>
      </c>
      <c r="J1483" s="13" t="s">
        <v>63</v>
      </c>
      <c r="K1483" s="17" t="str">
        <f t="shared" si="10"/>
        <v/>
      </c>
      <c r="L1483" s="9">
        <v>0.0</v>
      </c>
      <c r="N1483" s="9" t="s">
        <v>2185</v>
      </c>
      <c r="O1483" s="9" t="s">
        <v>64</v>
      </c>
      <c r="P1483" s="40" t="s">
        <v>1729</v>
      </c>
      <c r="Q1483" s="9" t="s">
        <v>150</v>
      </c>
      <c r="R1483" s="9" t="s">
        <v>63</v>
      </c>
      <c r="S1483" s="9" t="s">
        <v>638</v>
      </c>
      <c r="T1483" t="str">
        <f t="shared" si="12"/>
        <v>N</v>
      </c>
      <c r="W1483" s="12" t="str">
        <f t="array" ref="W1483">if(and(L1483=0,Q1483="NA"),"NA",if(L1483=0,"no lice",if(Q1483="NA","no collection",index(sea_lice!G:G,match(C1483,sea_lice!A:A,0)))))</f>
        <v>no lice</v>
      </c>
      <c r="X1483" s="23">
        <v>1482.0</v>
      </c>
    </row>
    <row r="1484">
      <c r="B1484" s="6">
        <v>16595.0</v>
      </c>
      <c r="C1484" s="12" t="str">
        <f t="shared" si="11"/>
        <v>U16595</v>
      </c>
      <c r="D1484" s="14" t="str">
        <f t="array" ref="D1484">iferror(index('2018_ufns'!E:E,match(C1484,'2018_ufns'!B:B,0)))</f>
        <v>P1060</v>
      </c>
      <c r="E1484" s="14">
        <v>43482.0</v>
      </c>
      <c r="F1484" s="40" t="s">
        <v>53</v>
      </c>
      <c r="G1484" s="40" t="s">
        <v>54</v>
      </c>
      <c r="H1484" s="9">
        <v>17.7</v>
      </c>
      <c r="I1484" s="13">
        <v>123.0</v>
      </c>
      <c r="J1484" s="13">
        <v>128.0</v>
      </c>
      <c r="K1484" s="17">
        <f t="shared" si="10"/>
        <v>0.84400177</v>
      </c>
      <c r="L1484" s="9">
        <v>1.0</v>
      </c>
      <c r="O1484" s="9" t="s">
        <v>64</v>
      </c>
      <c r="P1484" s="40" t="s">
        <v>1729</v>
      </c>
      <c r="Q1484" s="9" t="s">
        <v>150</v>
      </c>
      <c r="R1484" s="9" t="s">
        <v>63</v>
      </c>
      <c r="S1484" s="9" t="s">
        <v>638</v>
      </c>
      <c r="T1484" t="str">
        <f t="shared" si="12"/>
        <v>N</v>
      </c>
      <c r="W1484" s="12" t="str">
        <f t="array" ref="W1484">if(and(L1484=0,Q1484="NA"),"NA",if(L1484=0,"no lice",if(Q1484="NA","no collection",index(sea_lice!G:G,match(C1484,sea_lice!A:A,0)))))</f>
        <v>BSL8-68</v>
      </c>
      <c r="X1484" s="23">
        <v>1483.0</v>
      </c>
    </row>
    <row r="1485">
      <c r="B1485" s="6">
        <v>16591.0</v>
      </c>
      <c r="C1485" s="12" t="str">
        <f t="shared" si="11"/>
        <v>U16591</v>
      </c>
      <c r="D1485" s="14" t="str">
        <f t="array" ref="D1485">iferror(index('2018_ufns'!E:E,match(C1485,'2018_ufns'!B:B,0)))</f>
        <v>P1060</v>
      </c>
      <c r="E1485" s="14">
        <v>43482.0</v>
      </c>
      <c r="F1485" s="40" t="s">
        <v>53</v>
      </c>
      <c r="G1485" s="40" t="s">
        <v>54</v>
      </c>
      <c r="H1485" s="9">
        <v>18.7</v>
      </c>
      <c r="I1485" s="13">
        <v>120.0</v>
      </c>
      <c r="J1485" s="13">
        <v>125.0</v>
      </c>
      <c r="K1485" s="17">
        <f t="shared" si="10"/>
        <v>0.95744</v>
      </c>
      <c r="L1485" s="25">
        <v>0.0</v>
      </c>
      <c r="O1485" s="9" t="s">
        <v>64</v>
      </c>
      <c r="P1485" s="40" t="s">
        <v>1729</v>
      </c>
      <c r="Q1485" s="9" t="s">
        <v>150</v>
      </c>
      <c r="R1485" s="9" t="s">
        <v>63</v>
      </c>
      <c r="S1485" s="9" t="s">
        <v>638</v>
      </c>
      <c r="T1485" t="str">
        <f t="shared" si="12"/>
        <v>N</v>
      </c>
      <c r="W1485" s="12" t="str">
        <f t="array" ref="W1485">if(and(L1485=0,Q1485="NA"),"NA",if(L1485=0,"no lice",if(Q1485="NA","no collection",index(sea_lice!G:G,match(C1485,sea_lice!A:A,0)))))</f>
        <v>no lice</v>
      </c>
      <c r="X1485" s="23">
        <v>1484.0</v>
      </c>
    </row>
    <row r="1486">
      <c r="B1486" s="6">
        <v>16593.0</v>
      </c>
      <c r="C1486" s="12" t="str">
        <f t="shared" si="11"/>
        <v>U16593</v>
      </c>
      <c r="D1486" s="14" t="str">
        <f t="array" ref="D1486">iferror(index('2018_ufns'!E:E,match(C1486,'2018_ufns'!B:B,0)))</f>
        <v>P1060</v>
      </c>
      <c r="E1486" s="14">
        <v>43482.0</v>
      </c>
      <c r="F1486" s="40" t="s">
        <v>53</v>
      </c>
      <c r="G1486" s="40" t="s">
        <v>54</v>
      </c>
      <c r="H1486" s="9">
        <v>21.5</v>
      </c>
      <c r="I1486" s="13">
        <v>125.0</v>
      </c>
      <c r="J1486" s="13">
        <v>131.0</v>
      </c>
      <c r="K1486" s="17">
        <f t="shared" si="10"/>
        <v>0.9563669798</v>
      </c>
      <c r="L1486" s="25">
        <v>0.0</v>
      </c>
      <c r="O1486" s="9" t="s">
        <v>64</v>
      </c>
      <c r="P1486" s="40" t="s">
        <v>1729</v>
      </c>
      <c r="Q1486" s="9" t="s">
        <v>150</v>
      </c>
      <c r="R1486" s="9" t="s">
        <v>63</v>
      </c>
      <c r="S1486" s="9" t="s">
        <v>638</v>
      </c>
      <c r="T1486" t="str">
        <f t="shared" si="12"/>
        <v>N</v>
      </c>
      <c r="W1486" s="12" t="str">
        <f t="array" ref="W1486">if(and(L1486=0,Q1486="NA"),"NA",if(L1486=0,"no lice",if(Q1486="NA","no collection",index(sea_lice!G:G,match(C1486,sea_lice!A:A,0)))))</f>
        <v>no lice</v>
      </c>
      <c r="X1486" s="23">
        <v>1485.0</v>
      </c>
    </row>
    <row r="1487">
      <c r="B1487" s="6">
        <v>16594.0</v>
      </c>
      <c r="C1487" s="12" t="str">
        <f t="shared" si="11"/>
        <v>U16594</v>
      </c>
      <c r="D1487" s="14" t="str">
        <f t="array" ref="D1487">iferror(index('2018_ufns'!E:E,match(C1487,'2018_ufns'!B:B,0)))</f>
        <v>P1060</v>
      </c>
      <c r="E1487" s="14">
        <v>43482.0</v>
      </c>
      <c r="F1487" s="40" t="s">
        <v>53</v>
      </c>
      <c r="G1487" s="40" t="s">
        <v>54</v>
      </c>
      <c r="H1487" s="9">
        <v>19.3</v>
      </c>
      <c r="I1487" s="13">
        <v>120.0</v>
      </c>
      <c r="J1487" s="13">
        <v>125.0</v>
      </c>
      <c r="K1487" s="17">
        <f t="shared" si="10"/>
        <v>0.98816</v>
      </c>
      <c r="L1487" s="25">
        <v>0.0</v>
      </c>
      <c r="O1487" s="9" t="s">
        <v>64</v>
      </c>
      <c r="P1487" s="40" t="s">
        <v>1729</v>
      </c>
      <c r="Q1487" s="9" t="s">
        <v>150</v>
      </c>
      <c r="R1487" s="9" t="s">
        <v>63</v>
      </c>
      <c r="S1487" s="9" t="s">
        <v>638</v>
      </c>
      <c r="T1487" t="str">
        <f t="shared" si="12"/>
        <v>N</v>
      </c>
      <c r="W1487" s="12" t="str">
        <f t="array" ref="W1487">if(and(L1487=0,Q1487="NA"),"NA",if(L1487=0,"no lice",if(Q1487="NA","no collection",index(sea_lice!G:G,match(C1487,sea_lice!A:A,0)))))</f>
        <v>no lice</v>
      </c>
      <c r="X1487" s="23">
        <v>1486.0</v>
      </c>
    </row>
    <row r="1488">
      <c r="B1488" s="6">
        <v>16592.0</v>
      </c>
      <c r="C1488" s="12" t="str">
        <f t="shared" si="11"/>
        <v>U16592</v>
      </c>
      <c r="D1488" s="14" t="str">
        <f t="array" ref="D1488">iferror(index('2018_ufns'!E:E,match(C1488,'2018_ufns'!B:B,0)))</f>
        <v>P1060</v>
      </c>
      <c r="E1488" s="14">
        <v>43482.0</v>
      </c>
      <c r="F1488" s="40" t="s">
        <v>53</v>
      </c>
      <c r="G1488" s="40" t="s">
        <v>54</v>
      </c>
      <c r="H1488" s="9">
        <v>20.0</v>
      </c>
      <c r="I1488" s="13">
        <v>122.0</v>
      </c>
      <c r="J1488" s="13" t="s">
        <v>63</v>
      </c>
      <c r="K1488" s="17" t="str">
        <f t="shared" si="10"/>
        <v/>
      </c>
      <c r="L1488" s="25">
        <v>0.0</v>
      </c>
      <c r="O1488" s="9" t="s">
        <v>64</v>
      </c>
      <c r="P1488" s="40" t="s">
        <v>1729</v>
      </c>
      <c r="Q1488" s="9" t="s">
        <v>150</v>
      </c>
      <c r="R1488" s="9" t="s">
        <v>63</v>
      </c>
      <c r="S1488" s="9" t="s">
        <v>638</v>
      </c>
      <c r="T1488" t="str">
        <f t="shared" si="12"/>
        <v>N</v>
      </c>
      <c r="W1488" s="12" t="str">
        <f t="array" ref="W1488">if(and(L1488=0,Q1488="NA"),"NA",if(L1488=0,"no lice",if(Q1488="NA","no collection",index(sea_lice!G:G,match(C1488,sea_lice!A:A,0)))))</f>
        <v>no lice</v>
      </c>
      <c r="X1488" s="23">
        <v>1487.0</v>
      </c>
    </row>
    <row r="1489">
      <c r="B1489" s="6">
        <v>16635.0</v>
      </c>
      <c r="C1489" s="12" t="str">
        <f t="shared" si="11"/>
        <v>U16635</v>
      </c>
      <c r="D1489" s="14" t="str">
        <f t="array" ref="D1489">iferror(index('2018_ufns'!E:E,match(C1489,'2018_ufns'!B:B,0)))</f>
        <v>P1064</v>
      </c>
      <c r="E1489" s="14">
        <v>43482.0</v>
      </c>
      <c r="F1489" s="40" t="s">
        <v>53</v>
      </c>
      <c r="G1489" s="40" t="s">
        <v>54</v>
      </c>
      <c r="H1489" s="9">
        <v>23.0</v>
      </c>
      <c r="I1489" s="13">
        <v>128.0</v>
      </c>
      <c r="J1489" s="13" t="s">
        <v>63</v>
      </c>
      <c r="K1489" s="17" t="str">
        <f t="shared" si="10"/>
        <v/>
      </c>
      <c r="L1489" s="25">
        <v>0.0</v>
      </c>
      <c r="O1489" s="9" t="s">
        <v>64</v>
      </c>
      <c r="P1489" s="40" t="s">
        <v>1729</v>
      </c>
      <c r="Q1489" s="9" t="s">
        <v>150</v>
      </c>
      <c r="R1489" s="9" t="s">
        <v>63</v>
      </c>
      <c r="S1489" s="9" t="s">
        <v>638</v>
      </c>
      <c r="T1489" t="str">
        <f t="shared" si="12"/>
        <v>N</v>
      </c>
      <c r="W1489" s="12" t="str">
        <f t="array" ref="W1489">if(and(L1489=0,Q1489="NA"),"NA",if(L1489=0,"no lice",if(Q1489="NA","no collection",index(sea_lice!G:G,match(C1489,sea_lice!A:A,0)))))</f>
        <v>no lice</v>
      </c>
      <c r="X1489" s="23">
        <v>1488.0</v>
      </c>
    </row>
    <row r="1490">
      <c r="B1490" s="6">
        <v>16640.0</v>
      </c>
      <c r="C1490" s="12" t="str">
        <f t="shared" si="11"/>
        <v>U16640</v>
      </c>
      <c r="D1490" s="14" t="str">
        <f t="array" ref="D1490">iferror(index('2018_ufns'!E:E,match(C1490,'2018_ufns'!B:B,0)))</f>
        <v>P1064</v>
      </c>
      <c r="E1490" s="14">
        <v>43482.0</v>
      </c>
      <c r="F1490" s="40" t="s">
        <v>53</v>
      </c>
      <c r="G1490" s="40" t="s">
        <v>54</v>
      </c>
      <c r="H1490" s="9">
        <v>24.3</v>
      </c>
      <c r="I1490" s="13">
        <v>129.0</v>
      </c>
      <c r="J1490" s="13">
        <v>134.0</v>
      </c>
      <c r="K1490" s="17">
        <f t="shared" si="10"/>
        <v>1.009931408</v>
      </c>
      <c r="L1490" s="9">
        <v>3.0</v>
      </c>
      <c r="O1490" s="9" t="s">
        <v>64</v>
      </c>
      <c r="P1490" s="40" t="s">
        <v>1729</v>
      </c>
      <c r="Q1490" s="9" t="s">
        <v>150</v>
      </c>
      <c r="R1490" s="9" t="s">
        <v>63</v>
      </c>
      <c r="S1490" s="9" t="s">
        <v>638</v>
      </c>
      <c r="T1490" t="str">
        <f t="shared" si="12"/>
        <v>N</v>
      </c>
      <c r="W1490" s="12" t="str">
        <f t="array" ref="W1490">if(and(L1490=0,Q1490="NA"),"NA",if(L1490=0,"no lice",if(Q1490="NA","no collection",index(sea_lice!G:G,match(C1490,sea_lice!A:A,0)))))</f>
        <v>BSL8-69</v>
      </c>
      <c r="X1490" s="23">
        <v>1489.0</v>
      </c>
    </row>
    <row r="1491">
      <c r="B1491" s="6">
        <v>16639.0</v>
      </c>
      <c r="C1491" s="12" t="str">
        <f t="shared" si="11"/>
        <v>U16639</v>
      </c>
      <c r="D1491" s="14" t="str">
        <f t="array" ref="D1491">iferror(index('2018_ufns'!E:E,match(C1491,'2018_ufns'!B:B,0)))</f>
        <v>P1064</v>
      </c>
      <c r="E1491" s="14">
        <v>43482.0</v>
      </c>
      <c r="F1491" s="40" t="s">
        <v>53</v>
      </c>
      <c r="G1491" s="40" t="s">
        <v>54</v>
      </c>
      <c r="H1491" s="9">
        <v>25.4</v>
      </c>
      <c r="I1491" s="13">
        <v>134.0</v>
      </c>
      <c r="J1491" s="13">
        <v>139.0</v>
      </c>
      <c r="K1491" s="17">
        <f t="shared" si="10"/>
        <v>0.9457782359</v>
      </c>
      <c r="L1491" s="25">
        <v>0.0</v>
      </c>
      <c r="O1491" s="9" t="s">
        <v>64</v>
      </c>
      <c r="P1491" s="40" t="s">
        <v>1729</v>
      </c>
      <c r="Q1491" s="9" t="s">
        <v>150</v>
      </c>
      <c r="R1491" s="9" t="s">
        <v>63</v>
      </c>
      <c r="S1491" s="9" t="s">
        <v>638</v>
      </c>
      <c r="T1491" t="str">
        <f t="shared" si="12"/>
        <v>N</v>
      </c>
      <c r="W1491" s="12" t="str">
        <f t="array" ref="W1491">if(and(L1491=0,Q1491="NA"),"NA",if(L1491=0,"no lice",if(Q1491="NA","no collection",index(sea_lice!G:G,match(C1491,sea_lice!A:A,0)))))</f>
        <v>no lice</v>
      </c>
      <c r="X1491" s="23">
        <v>1490.0</v>
      </c>
    </row>
    <row r="1492">
      <c r="B1492" s="6">
        <v>16634.0</v>
      </c>
      <c r="C1492" s="12" t="str">
        <f t="shared" si="11"/>
        <v>U16634</v>
      </c>
      <c r="D1492" s="14" t="str">
        <f t="array" ref="D1492">iferror(index('2018_ufns'!E:E,match(C1492,'2018_ufns'!B:B,0)))</f>
        <v>P1064</v>
      </c>
      <c r="E1492" s="14">
        <v>43482.0</v>
      </c>
      <c r="F1492" s="40" t="s">
        <v>53</v>
      </c>
      <c r="G1492" s="40" t="s">
        <v>54</v>
      </c>
      <c r="H1492" s="9">
        <v>20.8</v>
      </c>
      <c r="I1492" s="13">
        <v>122.0</v>
      </c>
      <c r="J1492" s="13" t="s">
        <v>63</v>
      </c>
      <c r="K1492" s="17" t="str">
        <f t="shared" si="10"/>
        <v/>
      </c>
      <c r="L1492" s="25">
        <v>0.0</v>
      </c>
      <c r="O1492" s="9" t="s">
        <v>64</v>
      </c>
      <c r="P1492" s="40" t="s">
        <v>1729</v>
      </c>
      <c r="Q1492" s="9" t="s">
        <v>150</v>
      </c>
      <c r="R1492" s="9" t="s">
        <v>63</v>
      </c>
      <c r="S1492" s="9" t="s">
        <v>638</v>
      </c>
      <c r="T1492" t="str">
        <f t="shared" si="12"/>
        <v>N</v>
      </c>
      <c r="W1492" s="12" t="str">
        <f t="array" ref="W1492">if(and(L1492=0,Q1492="NA"),"NA",if(L1492=0,"no lice",if(Q1492="NA","no collection",index(sea_lice!G:G,match(C1492,sea_lice!A:A,0)))))</f>
        <v>no lice</v>
      </c>
      <c r="X1492" s="23">
        <v>1491.0</v>
      </c>
    </row>
    <row r="1493">
      <c r="B1493" s="6">
        <v>16631.0</v>
      </c>
      <c r="C1493" s="12" t="str">
        <f t="shared" si="11"/>
        <v>U16631</v>
      </c>
      <c r="D1493" s="14" t="str">
        <f t="array" ref="D1493">iferror(index('2018_ufns'!E:E,match(C1493,'2018_ufns'!B:B,0)))</f>
        <v>P1064</v>
      </c>
      <c r="E1493" s="14">
        <v>43482.0</v>
      </c>
      <c r="F1493" s="40" t="s">
        <v>53</v>
      </c>
      <c r="G1493" s="40" t="s">
        <v>54</v>
      </c>
      <c r="H1493" s="9">
        <v>22.2</v>
      </c>
      <c r="I1493" s="13">
        <v>133.0</v>
      </c>
      <c r="J1493" s="13">
        <v>138.0</v>
      </c>
      <c r="K1493" s="17">
        <f t="shared" si="10"/>
        <v>0.8447257153</v>
      </c>
      <c r="L1493" s="25">
        <v>0.0</v>
      </c>
      <c r="O1493" s="9" t="s">
        <v>64</v>
      </c>
      <c r="P1493" s="40" t="s">
        <v>1729</v>
      </c>
      <c r="Q1493" s="9" t="s">
        <v>150</v>
      </c>
      <c r="R1493" s="9" t="s">
        <v>63</v>
      </c>
      <c r="S1493" s="9" t="s">
        <v>638</v>
      </c>
      <c r="T1493" t="str">
        <f t="shared" si="12"/>
        <v>N</v>
      </c>
      <c r="W1493" s="12" t="str">
        <f t="array" ref="W1493">if(and(L1493=0,Q1493="NA"),"NA",if(L1493=0,"no lice",if(Q1493="NA","no collection",index(sea_lice!G:G,match(C1493,sea_lice!A:A,0)))))</f>
        <v>no lice</v>
      </c>
      <c r="X1493" s="23">
        <v>1492.0</v>
      </c>
    </row>
    <row r="1494">
      <c r="B1494" s="6">
        <v>16636.0</v>
      </c>
      <c r="C1494" s="12" t="str">
        <f t="shared" si="11"/>
        <v>U16636</v>
      </c>
      <c r="D1494" s="14" t="str">
        <f t="array" ref="D1494">iferror(index('2018_ufns'!E:E,match(C1494,'2018_ufns'!B:B,0)))</f>
        <v>P1064</v>
      </c>
      <c r="E1494" s="14">
        <v>43482.0</v>
      </c>
      <c r="F1494" s="40" t="s">
        <v>53</v>
      </c>
      <c r="G1494" s="40" t="s">
        <v>54</v>
      </c>
      <c r="H1494" s="9">
        <v>20.6</v>
      </c>
      <c r="I1494" s="13">
        <v>123.0</v>
      </c>
      <c r="J1494" s="13">
        <v>129.0</v>
      </c>
      <c r="K1494" s="17">
        <f t="shared" si="10"/>
        <v>0.9596173456</v>
      </c>
      <c r="L1494" s="25">
        <v>0.0</v>
      </c>
      <c r="O1494" s="9" t="s">
        <v>64</v>
      </c>
      <c r="P1494" s="40" t="s">
        <v>1729</v>
      </c>
      <c r="Q1494" s="9" t="s">
        <v>150</v>
      </c>
      <c r="R1494" s="9" t="s">
        <v>63</v>
      </c>
      <c r="S1494" s="9" t="s">
        <v>638</v>
      </c>
      <c r="T1494" t="str">
        <f t="shared" si="12"/>
        <v>N</v>
      </c>
      <c r="W1494" s="12" t="str">
        <f t="array" ref="W1494">if(and(L1494=0,Q1494="NA"),"NA",if(L1494=0,"no lice",if(Q1494="NA","no collection",index(sea_lice!G:G,match(C1494,sea_lice!A:A,0)))))</f>
        <v>no lice</v>
      </c>
      <c r="X1494" s="23">
        <v>1493.0</v>
      </c>
    </row>
    <row r="1495">
      <c r="B1495" s="6">
        <v>16632.0</v>
      </c>
      <c r="C1495" s="12" t="str">
        <f t="shared" si="11"/>
        <v>U16632</v>
      </c>
      <c r="D1495" s="14" t="str">
        <f t="array" ref="D1495">iferror(index('2018_ufns'!E:E,match(C1495,'2018_ufns'!B:B,0)))</f>
        <v>P1064</v>
      </c>
      <c r="E1495" s="14">
        <v>43482.0</v>
      </c>
      <c r="F1495" s="40" t="s">
        <v>53</v>
      </c>
      <c r="G1495" s="40" t="s">
        <v>54</v>
      </c>
      <c r="H1495" s="9">
        <v>18.6</v>
      </c>
      <c r="I1495" s="13">
        <v>121.0</v>
      </c>
      <c r="J1495" s="13">
        <v>127.0</v>
      </c>
      <c r="K1495" s="17">
        <f t="shared" si="10"/>
        <v>0.9080333121</v>
      </c>
      <c r="L1495" s="25">
        <v>0.0</v>
      </c>
      <c r="O1495" s="9" t="s">
        <v>64</v>
      </c>
      <c r="P1495" s="40" t="s">
        <v>1729</v>
      </c>
      <c r="Q1495" s="9" t="s">
        <v>150</v>
      </c>
      <c r="R1495" s="9" t="s">
        <v>63</v>
      </c>
      <c r="S1495" s="9" t="s">
        <v>638</v>
      </c>
      <c r="T1495" t="str">
        <f t="shared" si="12"/>
        <v>N</v>
      </c>
      <c r="W1495" s="12" t="str">
        <f t="array" ref="W1495">if(and(L1495=0,Q1495="NA"),"NA",if(L1495=0,"no lice",if(Q1495="NA","no collection",index(sea_lice!G:G,match(C1495,sea_lice!A:A,0)))))</f>
        <v>no lice</v>
      </c>
      <c r="X1495" s="23">
        <v>1494.0</v>
      </c>
    </row>
    <row r="1496">
      <c r="B1496" s="6">
        <v>16638.0</v>
      </c>
      <c r="C1496" s="12" t="str">
        <f t="shared" si="11"/>
        <v>U16638</v>
      </c>
      <c r="D1496" s="14" t="str">
        <f t="array" ref="D1496">iferror(index('2018_ufns'!E:E,match(C1496,'2018_ufns'!B:B,0)))</f>
        <v>P1064</v>
      </c>
      <c r="E1496" s="14">
        <v>43482.0</v>
      </c>
      <c r="F1496" s="40" t="s">
        <v>53</v>
      </c>
      <c r="G1496" s="40" t="s">
        <v>54</v>
      </c>
      <c r="H1496" s="9">
        <v>18.8</v>
      </c>
      <c r="I1496" s="13">
        <v>120.0</v>
      </c>
      <c r="J1496" s="13">
        <v>125.0</v>
      </c>
      <c r="K1496" s="17">
        <f t="shared" si="10"/>
        <v>0.96256</v>
      </c>
      <c r="L1496" s="25">
        <v>0.0</v>
      </c>
      <c r="O1496" s="9" t="s">
        <v>64</v>
      </c>
      <c r="P1496" s="40" t="s">
        <v>1729</v>
      </c>
      <c r="Q1496" s="9" t="s">
        <v>150</v>
      </c>
      <c r="R1496" s="9" t="s">
        <v>63</v>
      </c>
      <c r="S1496" s="9" t="s">
        <v>638</v>
      </c>
      <c r="T1496" t="str">
        <f t="shared" si="12"/>
        <v>N</v>
      </c>
      <c r="W1496" s="12" t="str">
        <f t="array" ref="W1496">if(and(L1496=0,Q1496="NA"),"NA",if(L1496=0,"no lice",if(Q1496="NA","no collection",index(sea_lice!G:G,match(C1496,sea_lice!A:A,0)))))</f>
        <v>no lice</v>
      </c>
      <c r="X1496" s="23">
        <v>1495.0</v>
      </c>
    </row>
    <row r="1497">
      <c r="B1497" s="6">
        <v>16775.0</v>
      </c>
      <c r="C1497" s="12" t="str">
        <f t="shared" si="11"/>
        <v>U16775</v>
      </c>
      <c r="D1497" s="14" t="str">
        <f t="array" ref="D1497">iferror(index('2018_ufns'!E:E,match(C1497,'2018_ufns'!B:B,0)))</f>
        <v>P1078</v>
      </c>
      <c r="E1497" s="14">
        <v>43482.0</v>
      </c>
      <c r="F1497" s="40" t="s">
        <v>53</v>
      </c>
      <c r="G1497" s="40" t="s">
        <v>54</v>
      </c>
      <c r="H1497" s="9">
        <v>14.7</v>
      </c>
      <c r="I1497" s="13">
        <v>103.0</v>
      </c>
      <c r="J1497" s="13">
        <v>108.0</v>
      </c>
      <c r="K1497" s="17">
        <f t="shared" si="10"/>
        <v>1.166933394</v>
      </c>
      <c r="L1497" s="9">
        <v>0.0</v>
      </c>
      <c r="O1497" s="9" t="s">
        <v>638</v>
      </c>
      <c r="P1497" s="40" t="s">
        <v>1729</v>
      </c>
      <c r="Q1497" s="9" t="s">
        <v>150</v>
      </c>
      <c r="R1497" s="9" t="s">
        <v>63</v>
      </c>
      <c r="S1497" s="9" t="s">
        <v>64</v>
      </c>
      <c r="T1497" t="str">
        <f t="shared" si="12"/>
        <v>N</v>
      </c>
      <c r="W1497" s="12" t="str">
        <f t="array" ref="W1497">if(and(L1497=0,Q1497="NA"),"NA",if(L1497=0,"no lice",if(Q1497="NA","no collection",index(sea_lice!G:G,match(C1497,sea_lice!A:A,0)))))</f>
        <v>no lice</v>
      </c>
      <c r="X1497" s="23">
        <v>1496.0</v>
      </c>
    </row>
    <row r="1498">
      <c r="B1498" s="6">
        <v>16772.0</v>
      </c>
      <c r="C1498" s="12" t="str">
        <f t="shared" si="11"/>
        <v>U16772</v>
      </c>
      <c r="D1498" s="14" t="str">
        <f t="array" ref="D1498">iferror(index('2018_ufns'!E:E,match(C1498,'2018_ufns'!B:B,0)))</f>
        <v>P1078</v>
      </c>
      <c r="E1498" s="14">
        <v>43482.0</v>
      </c>
      <c r="F1498" s="40" t="s">
        <v>53</v>
      </c>
      <c r="G1498" s="40" t="s">
        <v>54</v>
      </c>
      <c r="H1498" s="9">
        <v>34.7</v>
      </c>
      <c r="I1498" s="13">
        <v>143.0</v>
      </c>
      <c r="J1498" s="13">
        <v>151.0</v>
      </c>
      <c r="K1498" s="17">
        <f t="shared" si="10"/>
        <v>1.007856342</v>
      </c>
      <c r="L1498" s="9">
        <v>1.0</v>
      </c>
      <c r="O1498" s="9" t="s">
        <v>638</v>
      </c>
      <c r="P1498" s="40" t="s">
        <v>1729</v>
      </c>
      <c r="Q1498" s="9" t="s">
        <v>150</v>
      </c>
      <c r="R1498" s="9" t="s">
        <v>63</v>
      </c>
      <c r="S1498" s="9" t="s">
        <v>64</v>
      </c>
      <c r="T1498" t="str">
        <f t="shared" si="12"/>
        <v>N</v>
      </c>
      <c r="W1498" s="12" t="str">
        <f t="array" ref="W1498">if(and(L1498=0,Q1498="NA"),"NA",if(L1498=0,"no lice",if(Q1498="NA","no collection",index(sea_lice!G:G,match(C1498,sea_lice!A:A,0)))))</f>
        <v>BSL8-66</v>
      </c>
      <c r="X1498" s="23">
        <v>1497.0</v>
      </c>
    </row>
    <row r="1499">
      <c r="B1499" s="6">
        <v>16778.0</v>
      </c>
      <c r="C1499" s="12" t="str">
        <f t="shared" si="11"/>
        <v>U16778</v>
      </c>
      <c r="D1499" s="14" t="str">
        <f t="array" ref="D1499">iferror(index('2018_ufns'!E:E,match(C1499,'2018_ufns'!B:B,0)))</f>
        <v>P1078</v>
      </c>
      <c r="E1499" s="14">
        <v>43482.0</v>
      </c>
      <c r="F1499" s="40" t="s">
        <v>53</v>
      </c>
      <c r="G1499" s="40" t="s">
        <v>54</v>
      </c>
      <c r="H1499" s="9" t="s">
        <v>63</v>
      </c>
      <c r="I1499" s="13">
        <v>119.0</v>
      </c>
      <c r="J1499" s="13" t="s">
        <v>63</v>
      </c>
      <c r="K1499" s="17" t="str">
        <f t="shared" si="10"/>
        <v/>
      </c>
      <c r="L1499" s="9">
        <v>0.0</v>
      </c>
      <c r="M1499" s="9" t="s">
        <v>2186</v>
      </c>
      <c r="O1499" s="9" t="s">
        <v>638</v>
      </c>
      <c r="P1499" s="40" t="s">
        <v>1729</v>
      </c>
      <c r="Q1499" s="9" t="s">
        <v>150</v>
      </c>
      <c r="R1499" s="9" t="s">
        <v>63</v>
      </c>
      <c r="S1499" s="9" t="s">
        <v>64</v>
      </c>
      <c r="T1499" t="str">
        <f t="shared" si="12"/>
        <v>N</v>
      </c>
      <c r="W1499" s="12" t="str">
        <f t="array" ref="W1499">if(and(L1499=0,Q1499="NA"),"NA",if(L1499=0,"no lice",if(Q1499="NA","no collection",index(sea_lice!G:G,match(C1499,sea_lice!A:A,0)))))</f>
        <v>no lice</v>
      </c>
      <c r="X1499" s="23">
        <v>1498.0</v>
      </c>
    </row>
    <row r="1500">
      <c r="B1500" s="6">
        <v>16777.0</v>
      </c>
      <c r="C1500" s="12" t="str">
        <f t="shared" si="11"/>
        <v>U16777</v>
      </c>
      <c r="D1500" s="14" t="str">
        <f t="array" ref="D1500">iferror(index('2018_ufns'!E:E,match(C1500,'2018_ufns'!B:B,0)))</f>
        <v>P1078</v>
      </c>
      <c r="E1500" s="14">
        <v>43482.0</v>
      </c>
      <c r="F1500" s="40" t="s">
        <v>53</v>
      </c>
      <c r="G1500" s="40" t="s">
        <v>54</v>
      </c>
      <c r="H1500" s="9">
        <v>19.7</v>
      </c>
      <c r="I1500" s="13">
        <v>115.0</v>
      </c>
      <c r="J1500" s="13">
        <v>121.0</v>
      </c>
      <c r="K1500" s="17">
        <f t="shared" si="10"/>
        <v>1.112013642</v>
      </c>
      <c r="L1500" s="9">
        <v>0.0</v>
      </c>
      <c r="O1500" s="9" t="s">
        <v>638</v>
      </c>
      <c r="P1500" s="40" t="s">
        <v>1729</v>
      </c>
      <c r="Q1500" s="9" t="s">
        <v>150</v>
      </c>
      <c r="R1500" s="9" t="s">
        <v>63</v>
      </c>
      <c r="S1500" s="9" t="s">
        <v>64</v>
      </c>
      <c r="T1500" t="str">
        <f t="shared" si="12"/>
        <v>N</v>
      </c>
      <c r="W1500" s="12" t="str">
        <f t="array" ref="W1500">if(and(L1500=0,Q1500="NA"),"NA",if(L1500=0,"no lice",if(Q1500="NA","no collection",index(sea_lice!G:G,match(C1500,sea_lice!A:A,0)))))</f>
        <v>no lice</v>
      </c>
      <c r="X1500" s="23">
        <v>1499.0</v>
      </c>
    </row>
    <row r="1501">
      <c r="B1501" s="6">
        <v>16091.0</v>
      </c>
      <c r="C1501" s="12" t="str">
        <f t="shared" si="11"/>
        <v>U16091</v>
      </c>
      <c r="D1501" s="14" t="str">
        <f t="array" ref="D1501">iferror(index('2018_ufns'!E:E,match(C1501,'2018_ufns'!B:B,0)))</f>
        <v>P1010</v>
      </c>
      <c r="E1501" s="14">
        <v>43482.0</v>
      </c>
      <c r="F1501" s="40" t="s">
        <v>53</v>
      </c>
      <c r="G1501" s="40" t="s">
        <v>54</v>
      </c>
      <c r="H1501" s="9">
        <v>25.7</v>
      </c>
      <c r="I1501" s="13">
        <v>122.0</v>
      </c>
      <c r="J1501" s="13">
        <v>129.0</v>
      </c>
      <c r="K1501" s="17">
        <f t="shared" si="10"/>
        <v>1.197192514</v>
      </c>
      <c r="L1501" s="9">
        <v>0.0</v>
      </c>
      <c r="O1501" s="9" t="s">
        <v>638</v>
      </c>
      <c r="P1501" s="40" t="s">
        <v>1729</v>
      </c>
      <c r="Q1501" s="9" t="s">
        <v>150</v>
      </c>
      <c r="R1501" s="9" t="s">
        <v>63</v>
      </c>
      <c r="S1501" s="9" t="s">
        <v>64</v>
      </c>
      <c r="T1501" t="str">
        <f t="shared" si="12"/>
        <v>N</v>
      </c>
      <c r="W1501" s="12" t="str">
        <f t="array" ref="W1501">if(and(L1501=0,Q1501="NA"),"NA",if(L1501=0,"no lice",if(Q1501="NA","no collection",index(sea_lice!G:G,match(C1501,sea_lice!A:A,0)))))</f>
        <v>no lice</v>
      </c>
      <c r="X1501" s="23">
        <v>1500.0</v>
      </c>
    </row>
    <row r="1502">
      <c r="B1502" s="6">
        <v>16097.0</v>
      </c>
      <c r="C1502" s="12" t="str">
        <f t="shared" si="11"/>
        <v>U16097</v>
      </c>
      <c r="D1502" s="14" t="str">
        <f t="array" ref="D1502">iferror(index('2018_ufns'!E:E,match(C1502,'2018_ufns'!B:B,0)))</f>
        <v>P1010</v>
      </c>
      <c r="E1502" s="14">
        <v>43482.0</v>
      </c>
      <c r="F1502" s="40" t="s">
        <v>53</v>
      </c>
      <c r="G1502" s="40" t="s">
        <v>54</v>
      </c>
      <c r="H1502" s="9">
        <v>29.3</v>
      </c>
      <c r="I1502" s="13">
        <v>127.0</v>
      </c>
      <c r="J1502" s="13">
        <v>134.0</v>
      </c>
      <c r="K1502" s="17">
        <f t="shared" si="10"/>
        <v>1.217736224</v>
      </c>
      <c r="L1502" s="9">
        <v>0.0</v>
      </c>
      <c r="O1502" s="9" t="s">
        <v>638</v>
      </c>
      <c r="P1502" s="40" t="s">
        <v>1729</v>
      </c>
      <c r="Q1502" s="9" t="s">
        <v>150</v>
      </c>
      <c r="R1502" s="9" t="s">
        <v>63</v>
      </c>
      <c r="S1502" s="9" t="s">
        <v>64</v>
      </c>
      <c r="T1502" t="str">
        <f t="shared" si="12"/>
        <v>N</v>
      </c>
      <c r="W1502" s="12" t="str">
        <f t="array" ref="W1502">if(and(L1502=0,Q1502="NA"),"NA",if(L1502=0,"no lice",if(Q1502="NA","no collection",index(sea_lice!G:G,match(C1502,sea_lice!A:A,0)))))</f>
        <v>no lice</v>
      </c>
      <c r="X1502" s="23">
        <v>1501.0</v>
      </c>
    </row>
    <row r="1503">
      <c r="B1503" s="6">
        <v>16093.0</v>
      </c>
      <c r="C1503" s="12" t="str">
        <f t="shared" si="11"/>
        <v>U16093</v>
      </c>
      <c r="D1503" s="14" t="str">
        <f t="array" ref="D1503">iferror(index('2018_ufns'!E:E,match(C1503,'2018_ufns'!B:B,0)))</f>
        <v>P1010</v>
      </c>
      <c r="E1503" s="14">
        <v>43482.0</v>
      </c>
      <c r="F1503" s="40" t="s">
        <v>53</v>
      </c>
      <c r="G1503" s="40" t="s">
        <v>54</v>
      </c>
      <c r="H1503" s="9">
        <v>25.1</v>
      </c>
      <c r="I1503" s="13">
        <v>127.0</v>
      </c>
      <c r="J1503" s="13" t="s">
        <v>63</v>
      </c>
      <c r="K1503" s="17" t="str">
        <f t="shared" si="10"/>
        <v/>
      </c>
      <c r="L1503" s="9">
        <v>0.0</v>
      </c>
      <c r="O1503" s="9" t="s">
        <v>638</v>
      </c>
      <c r="P1503" s="40" t="s">
        <v>1729</v>
      </c>
      <c r="Q1503" s="9" t="s">
        <v>150</v>
      </c>
      <c r="R1503" s="9" t="s">
        <v>63</v>
      </c>
      <c r="S1503" s="9" t="s">
        <v>64</v>
      </c>
      <c r="T1503" t="str">
        <f t="shared" si="12"/>
        <v>N</v>
      </c>
      <c r="W1503" s="12" t="str">
        <f t="array" ref="W1503">if(and(L1503=0,Q1503="NA"),"NA",if(L1503=0,"no lice",if(Q1503="NA","no collection",index(sea_lice!G:G,match(C1503,sea_lice!A:A,0)))))</f>
        <v>no lice</v>
      </c>
      <c r="X1503" s="23">
        <v>1502.0</v>
      </c>
    </row>
    <row r="1504">
      <c r="B1504" s="6">
        <v>16092.0</v>
      </c>
      <c r="C1504" s="12" t="str">
        <f t="shared" si="11"/>
        <v>U16092</v>
      </c>
      <c r="D1504" s="14" t="str">
        <f t="array" ref="D1504">iferror(index('2018_ufns'!E:E,match(C1504,'2018_ufns'!B:B,0)))</f>
        <v>P1010</v>
      </c>
      <c r="E1504" s="14">
        <v>43482.0</v>
      </c>
      <c r="F1504" s="40" t="s">
        <v>53</v>
      </c>
      <c r="G1504" s="40" t="s">
        <v>54</v>
      </c>
      <c r="H1504" s="9">
        <v>23.4</v>
      </c>
      <c r="I1504" s="13">
        <v>120.0</v>
      </c>
      <c r="J1504" s="13">
        <v>127.0</v>
      </c>
      <c r="K1504" s="17">
        <f t="shared" si="10"/>
        <v>1.142364489</v>
      </c>
      <c r="L1504" s="9">
        <v>1.0</v>
      </c>
      <c r="O1504" s="9" t="s">
        <v>638</v>
      </c>
      <c r="P1504" s="40" t="s">
        <v>1729</v>
      </c>
      <c r="Q1504" s="9" t="s">
        <v>150</v>
      </c>
      <c r="R1504" s="9" t="s">
        <v>63</v>
      </c>
      <c r="S1504" s="9" t="s">
        <v>64</v>
      </c>
      <c r="T1504" t="str">
        <f t="shared" si="12"/>
        <v>N</v>
      </c>
      <c r="W1504" s="12" t="str">
        <f t="array" ref="W1504">if(and(L1504=0,Q1504="NA"),"NA",if(L1504=0,"no lice",if(Q1504="NA","no collection",index(sea_lice!G:G,match(C1504,sea_lice!A:A,0)))))</f>
        <v>BSL8-67</v>
      </c>
      <c r="X1504" s="23">
        <v>1503.0</v>
      </c>
    </row>
    <row r="1505">
      <c r="B1505" s="6">
        <v>16095.0</v>
      </c>
      <c r="C1505" s="12" t="str">
        <f t="shared" si="11"/>
        <v>U16095</v>
      </c>
      <c r="D1505" s="14" t="str">
        <f t="array" ref="D1505">iferror(index('2018_ufns'!E:E,match(C1505,'2018_ufns'!B:B,0)))</f>
        <v>P1010</v>
      </c>
      <c r="E1505" s="14">
        <v>43482.0</v>
      </c>
      <c r="F1505" s="40" t="s">
        <v>53</v>
      </c>
      <c r="G1505" s="40" t="s">
        <v>54</v>
      </c>
      <c r="H1505" s="9">
        <v>26.7</v>
      </c>
      <c r="I1505" s="13">
        <v>128.0</v>
      </c>
      <c r="J1505" s="13">
        <v>134.0</v>
      </c>
      <c r="K1505" s="17">
        <f t="shared" si="10"/>
        <v>1.10967772</v>
      </c>
      <c r="L1505" s="9">
        <v>0.0</v>
      </c>
      <c r="O1505" s="9" t="s">
        <v>638</v>
      </c>
      <c r="P1505" s="40" t="s">
        <v>1729</v>
      </c>
      <c r="Q1505" s="9" t="s">
        <v>150</v>
      </c>
      <c r="R1505" s="9" t="s">
        <v>63</v>
      </c>
      <c r="S1505" s="9" t="s">
        <v>64</v>
      </c>
      <c r="T1505" t="str">
        <f t="shared" si="12"/>
        <v>N</v>
      </c>
      <c r="W1505" s="12" t="str">
        <f t="array" ref="W1505">if(and(L1505=0,Q1505="NA"),"NA",if(L1505=0,"no lice",if(Q1505="NA","no collection",index(sea_lice!G:G,match(C1505,sea_lice!A:A,0)))))</f>
        <v>no lice</v>
      </c>
      <c r="X1505" s="23">
        <v>1504.0</v>
      </c>
    </row>
    <row r="1506">
      <c r="B1506" s="6">
        <v>16098.0</v>
      </c>
      <c r="C1506" s="12" t="str">
        <f t="shared" si="11"/>
        <v>U16098</v>
      </c>
      <c r="D1506" s="14" t="str">
        <f t="array" ref="D1506">iferror(index('2018_ufns'!E:E,match(C1506,'2018_ufns'!B:B,0)))</f>
        <v>P1010</v>
      </c>
      <c r="E1506" s="14">
        <v>43482.0</v>
      </c>
      <c r="F1506" s="40" t="s">
        <v>53</v>
      </c>
      <c r="G1506" s="40" t="s">
        <v>54</v>
      </c>
      <c r="H1506" s="9">
        <v>24.9</v>
      </c>
      <c r="I1506" s="13">
        <v>122.0</v>
      </c>
      <c r="J1506" s="13" t="s">
        <v>63</v>
      </c>
      <c r="K1506" s="17" t="str">
        <f t="shared" si="10"/>
        <v/>
      </c>
      <c r="L1506" s="9">
        <v>0.0</v>
      </c>
      <c r="N1506" s="9" t="s">
        <v>2121</v>
      </c>
      <c r="O1506" s="9" t="s">
        <v>638</v>
      </c>
      <c r="P1506" s="40" t="s">
        <v>1729</v>
      </c>
      <c r="Q1506" s="9" t="s">
        <v>150</v>
      </c>
      <c r="R1506" s="9" t="s">
        <v>63</v>
      </c>
      <c r="S1506" s="9" t="s">
        <v>64</v>
      </c>
      <c r="T1506" t="str">
        <f t="shared" si="12"/>
        <v>N</v>
      </c>
      <c r="W1506" s="12" t="str">
        <f t="array" ref="W1506">if(and(L1506=0,Q1506="NA"),"NA",if(L1506=0,"no lice",if(Q1506="NA","no collection",index(sea_lice!G:G,match(C1506,sea_lice!A:A,0)))))</f>
        <v>no lice</v>
      </c>
      <c r="X1506" s="23">
        <v>1505.0</v>
      </c>
    </row>
    <row r="1507">
      <c r="B1507" s="6">
        <v>16100.0</v>
      </c>
      <c r="C1507" s="12" t="str">
        <f t="shared" si="11"/>
        <v>U16100</v>
      </c>
      <c r="D1507" s="14" t="str">
        <f t="array" ref="D1507">iferror(index('2018_ufns'!E:E,match(C1507,'2018_ufns'!B:B,0)))</f>
        <v>P1010</v>
      </c>
      <c r="E1507" s="14">
        <v>43482.0</v>
      </c>
      <c r="F1507" s="40" t="s">
        <v>53</v>
      </c>
      <c r="G1507" s="40" t="s">
        <v>54</v>
      </c>
      <c r="H1507" s="9">
        <v>47.4</v>
      </c>
      <c r="I1507" s="13">
        <v>150.0</v>
      </c>
      <c r="J1507" s="13" t="s">
        <v>63</v>
      </c>
      <c r="K1507" s="17" t="str">
        <f t="shared" si="10"/>
        <v/>
      </c>
      <c r="L1507" s="9">
        <v>0.0</v>
      </c>
      <c r="N1507" s="9" t="s">
        <v>2187</v>
      </c>
      <c r="O1507" s="9" t="s">
        <v>638</v>
      </c>
      <c r="P1507" s="40" t="s">
        <v>1729</v>
      </c>
      <c r="Q1507" s="9" t="s">
        <v>150</v>
      </c>
      <c r="R1507" s="9" t="s">
        <v>63</v>
      </c>
      <c r="S1507" s="9" t="s">
        <v>64</v>
      </c>
      <c r="T1507" t="str">
        <f t="shared" si="12"/>
        <v>N</v>
      </c>
      <c r="W1507" s="12" t="str">
        <f t="array" ref="W1507">if(and(L1507=0,Q1507="NA"),"NA",if(L1507=0,"no lice",if(Q1507="NA","no collection",index(sea_lice!G:G,match(C1507,sea_lice!A:A,0)))))</f>
        <v>no lice</v>
      </c>
      <c r="X1507" s="23">
        <v>1506.0</v>
      </c>
    </row>
    <row r="1508">
      <c r="B1508" s="6">
        <v>16096.0</v>
      </c>
      <c r="C1508" s="12" t="str">
        <f t="shared" si="11"/>
        <v>U16096</v>
      </c>
      <c r="D1508" s="14" t="str">
        <f t="array" ref="D1508">iferror(index('2018_ufns'!E:E,match(C1508,'2018_ufns'!B:B,0)))</f>
        <v>P1010</v>
      </c>
      <c r="E1508" s="14">
        <v>43482.0</v>
      </c>
      <c r="F1508" s="40" t="s">
        <v>53</v>
      </c>
      <c r="G1508" s="40" t="s">
        <v>54</v>
      </c>
      <c r="H1508" s="9">
        <v>23.5</v>
      </c>
      <c r="I1508" s="13">
        <v>121.0</v>
      </c>
      <c r="J1508" s="13">
        <v>128.0</v>
      </c>
      <c r="K1508" s="17">
        <f t="shared" si="10"/>
        <v>1.120567322</v>
      </c>
      <c r="L1508" s="9">
        <v>0.0</v>
      </c>
      <c r="O1508" s="9" t="s">
        <v>638</v>
      </c>
      <c r="P1508" s="40" t="s">
        <v>1729</v>
      </c>
      <c r="Q1508" s="9" t="s">
        <v>150</v>
      </c>
      <c r="R1508" s="9" t="s">
        <v>63</v>
      </c>
      <c r="S1508" s="9" t="s">
        <v>64</v>
      </c>
      <c r="T1508" t="str">
        <f t="shared" si="12"/>
        <v>N</v>
      </c>
      <c r="W1508" s="12" t="str">
        <f t="array" ref="W1508">if(and(L1508=0,Q1508="NA"),"NA",if(L1508=0,"no lice",if(Q1508="NA","no collection",index(sea_lice!G:G,match(C1508,sea_lice!A:A,0)))))</f>
        <v>no lice</v>
      </c>
      <c r="X1508" s="23">
        <v>1507.0</v>
      </c>
    </row>
    <row r="1509">
      <c r="B1509" s="6">
        <v>16099.0</v>
      </c>
      <c r="C1509" s="12" t="str">
        <f t="shared" si="11"/>
        <v>U16099</v>
      </c>
      <c r="D1509" s="14" t="str">
        <f t="array" ref="D1509">iferror(index('2018_ufns'!E:E,match(C1509,'2018_ufns'!B:B,0)))</f>
        <v>P1010</v>
      </c>
      <c r="E1509" s="14">
        <v>43482.0</v>
      </c>
      <c r="F1509" s="40" t="s">
        <v>53</v>
      </c>
      <c r="G1509" s="40" t="s">
        <v>54</v>
      </c>
      <c r="H1509" s="9">
        <v>32.1</v>
      </c>
      <c r="I1509" s="13">
        <v>130.0</v>
      </c>
      <c r="J1509" s="13">
        <v>136.0</v>
      </c>
      <c r="K1509" s="17">
        <f t="shared" si="10"/>
        <v>1.276110574</v>
      </c>
      <c r="L1509" s="9">
        <v>0.0</v>
      </c>
      <c r="O1509" s="9" t="s">
        <v>638</v>
      </c>
      <c r="P1509" s="40" t="s">
        <v>1729</v>
      </c>
      <c r="Q1509" s="9" t="s">
        <v>150</v>
      </c>
      <c r="R1509" s="9" t="s">
        <v>63</v>
      </c>
      <c r="S1509" s="9" t="s">
        <v>64</v>
      </c>
      <c r="T1509" t="str">
        <f t="shared" si="12"/>
        <v>N</v>
      </c>
      <c r="W1509" s="12" t="str">
        <f t="array" ref="W1509">if(and(L1509=0,Q1509="NA"),"NA",if(L1509=0,"no lice",if(Q1509="NA","no collection",index(sea_lice!G:G,match(C1509,sea_lice!A:A,0)))))</f>
        <v>no lice</v>
      </c>
      <c r="X1509" s="23">
        <v>1508.0</v>
      </c>
    </row>
    <row r="1510">
      <c r="B1510" s="6">
        <v>16094.0</v>
      </c>
      <c r="C1510" s="12" t="str">
        <f t="shared" si="11"/>
        <v>U16094</v>
      </c>
      <c r="D1510" s="14" t="str">
        <f t="array" ref="D1510">iferror(index('2018_ufns'!E:E,match(C1510,'2018_ufns'!B:B,0)))</f>
        <v>P1010</v>
      </c>
      <c r="E1510" s="14">
        <v>43482.0</v>
      </c>
      <c r="F1510" s="40" t="s">
        <v>53</v>
      </c>
      <c r="G1510" s="40" t="s">
        <v>54</v>
      </c>
      <c r="H1510" s="9">
        <v>33.8</v>
      </c>
      <c r="I1510" s="13">
        <v>137.0</v>
      </c>
      <c r="J1510" s="13">
        <v>146.0</v>
      </c>
      <c r="K1510" s="17">
        <f t="shared" si="10"/>
        <v>1.086070789</v>
      </c>
      <c r="L1510" s="9">
        <v>0.0</v>
      </c>
      <c r="O1510" s="9" t="s">
        <v>638</v>
      </c>
      <c r="P1510" s="40" t="s">
        <v>1729</v>
      </c>
      <c r="Q1510" s="9" t="s">
        <v>150</v>
      </c>
      <c r="R1510" s="9" t="s">
        <v>63</v>
      </c>
      <c r="S1510" s="9" t="s">
        <v>64</v>
      </c>
      <c r="T1510" t="str">
        <f t="shared" si="12"/>
        <v>N</v>
      </c>
      <c r="W1510" s="12" t="str">
        <f t="array" ref="W1510">if(and(L1510=0,Q1510="NA"),"NA",if(L1510=0,"no lice",if(Q1510="NA","no collection",index(sea_lice!G:G,match(C1510,sea_lice!A:A,0)))))</f>
        <v>no lice</v>
      </c>
      <c r="X1510" s="23">
        <v>1509.0</v>
      </c>
    </row>
    <row r="1511">
      <c r="B1511" s="6">
        <v>17921.0</v>
      </c>
      <c r="C1511" s="12" t="str">
        <f t="shared" si="11"/>
        <v>U17921</v>
      </c>
      <c r="D1511" s="14" t="str">
        <f t="array" ref="D1511">iferror(index('2018_ufns'!E:E,match(C1511,'2018_ufns'!B:B,0)))</f>
        <v>P1193</v>
      </c>
      <c r="E1511" s="14">
        <v>43482.0</v>
      </c>
      <c r="F1511" s="40" t="s">
        <v>53</v>
      </c>
      <c r="G1511" s="40" t="s">
        <v>54</v>
      </c>
      <c r="H1511" s="9">
        <v>35.2</v>
      </c>
      <c r="I1511" s="13">
        <v>140.0</v>
      </c>
      <c r="J1511" s="13" t="s">
        <v>63</v>
      </c>
      <c r="K1511" s="17" t="str">
        <f t="shared" si="10"/>
        <v/>
      </c>
      <c r="L1511" s="9">
        <v>0.0</v>
      </c>
      <c r="O1511" s="9" t="s">
        <v>638</v>
      </c>
      <c r="P1511" s="40" t="s">
        <v>1729</v>
      </c>
      <c r="Q1511" s="9" t="s">
        <v>150</v>
      </c>
      <c r="R1511" s="9" t="s">
        <v>63</v>
      </c>
      <c r="S1511" s="9" t="s">
        <v>64</v>
      </c>
      <c r="T1511" t="str">
        <f t="shared" si="12"/>
        <v>N</v>
      </c>
      <c r="W1511" s="12" t="str">
        <f t="array" ref="W1511">if(and(L1511=0,Q1511="NA"),"NA",if(L1511=0,"no lice",if(Q1511="NA","no collection",index(sea_lice!G:G,match(C1511,sea_lice!A:A,0)))))</f>
        <v>no lice</v>
      </c>
      <c r="X1511" s="23">
        <v>1510.0</v>
      </c>
    </row>
    <row r="1512">
      <c r="B1512" s="6">
        <v>16691.0</v>
      </c>
      <c r="C1512" s="12" t="str">
        <f t="shared" si="11"/>
        <v>U16691</v>
      </c>
      <c r="D1512" s="14" t="str">
        <f t="array" ref="D1512">iferror(index('2018_ufns'!E:E,match(C1512,'2018_ufns'!B:B,0)))</f>
        <v>P1070</v>
      </c>
      <c r="E1512" s="14">
        <v>43482.0</v>
      </c>
      <c r="F1512" s="40" t="s">
        <v>53</v>
      </c>
      <c r="G1512" s="40" t="s">
        <v>54</v>
      </c>
      <c r="H1512" s="9">
        <v>22.8</v>
      </c>
      <c r="I1512" s="13">
        <v>120.0</v>
      </c>
      <c r="J1512" s="13">
        <v>127.0</v>
      </c>
      <c r="K1512" s="17">
        <f t="shared" si="10"/>
        <v>1.113073092</v>
      </c>
      <c r="L1512" s="9">
        <v>0.0</v>
      </c>
      <c r="O1512" s="9" t="s">
        <v>638</v>
      </c>
      <c r="P1512" s="40" t="s">
        <v>1729</v>
      </c>
      <c r="Q1512" s="9" t="s">
        <v>150</v>
      </c>
      <c r="R1512" s="9" t="s">
        <v>63</v>
      </c>
      <c r="S1512" s="9" t="s">
        <v>64</v>
      </c>
      <c r="T1512" t="str">
        <f t="shared" si="12"/>
        <v>N</v>
      </c>
      <c r="W1512" s="12" t="str">
        <f t="array" ref="W1512">if(and(L1512=0,Q1512="NA"),"NA",if(L1512=0,"no lice",if(Q1512="NA","no collection",index(sea_lice!G:G,match(C1512,sea_lice!A:A,0)))))</f>
        <v>no lice</v>
      </c>
      <c r="X1512" s="23">
        <v>1511.0</v>
      </c>
    </row>
    <row r="1513">
      <c r="B1513" s="6">
        <v>16421.0</v>
      </c>
      <c r="C1513" s="12" t="str">
        <f t="shared" si="11"/>
        <v>U16421</v>
      </c>
      <c r="D1513" s="14" t="str">
        <f t="array" ref="D1513">iferror(index('2018_ufns'!E:E,match(C1513,'2018_ufns'!B:B,0)))</f>
        <v>P1043</v>
      </c>
      <c r="E1513" s="14">
        <v>43482.0</v>
      </c>
      <c r="F1513" s="40" t="s">
        <v>53</v>
      </c>
      <c r="G1513" s="40" t="s">
        <v>54</v>
      </c>
      <c r="H1513" s="9">
        <v>14.7</v>
      </c>
      <c r="I1513" s="13">
        <v>102.0</v>
      </c>
      <c r="J1513" s="13">
        <v>108.0</v>
      </c>
      <c r="K1513" s="17">
        <f t="shared" si="10"/>
        <v>1.166933394</v>
      </c>
      <c r="L1513" s="9">
        <v>1.0</v>
      </c>
      <c r="O1513" s="9" t="s">
        <v>638</v>
      </c>
      <c r="P1513" s="40" t="s">
        <v>1729</v>
      </c>
      <c r="Q1513" s="9" t="s">
        <v>150</v>
      </c>
      <c r="R1513" s="9" t="s">
        <v>63</v>
      </c>
      <c r="S1513" s="9" t="s">
        <v>64</v>
      </c>
      <c r="T1513" t="str">
        <f t="shared" si="12"/>
        <v>N</v>
      </c>
      <c r="W1513" s="12" t="str">
        <f t="array" ref="W1513">if(and(L1513=0,Q1513="NA"),"NA",if(L1513=0,"no lice",if(Q1513="NA","no collection",index(sea_lice!G:G,match(C1513,sea_lice!A:A,0)))))</f>
        <v>BSL8-70</v>
      </c>
      <c r="X1513" s="23">
        <v>1512.0</v>
      </c>
    </row>
    <row r="1514">
      <c r="B1514" s="6">
        <v>16422.0</v>
      </c>
      <c r="C1514" s="12" t="str">
        <f t="shared" si="11"/>
        <v>U16422</v>
      </c>
      <c r="D1514" s="14" t="str">
        <f t="array" ref="D1514">iferror(index('2018_ufns'!E:E,match(C1514,'2018_ufns'!B:B,0)))</f>
        <v>P1043</v>
      </c>
      <c r="E1514" s="14">
        <v>43482.0</v>
      </c>
      <c r="F1514" s="40" t="s">
        <v>53</v>
      </c>
      <c r="G1514" s="40" t="s">
        <v>54</v>
      </c>
      <c r="H1514" s="9">
        <v>11.9</v>
      </c>
      <c r="I1514" s="13">
        <v>95.0</v>
      </c>
      <c r="J1514" s="13">
        <v>101.0</v>
      </c>
      <c r="K1514" s="17">
        <f t="shared" si="10"/>
        <v>1.155002276</v>
      </c>
      <c r="L1514" s="9">
        <v>0.0</v>
      </c>
      <c r="O1514" s="9" t="s">
        <v>638</v>
      </c>
      <c r="P1514" s="40" t="s">
        <v>1729</v>
      </c>
      <c r="Q1514" s="9" t="s">
        <v>150</v>
      </c>
      <c r="R1514" s="9" t="s">
        <v>63</v>
      </c>
      <c r="S1514" s="9" t="s">
        <v>64</v>
      </c>
      <c r="T1514" t="str">
        <f t="shared" si="12"/>
        <v>N</v>
      </c>
      <c r="W1514" s="12" t="str">
        <f t="array" ref="W1514">if(and(L1514=0,Q1514="NA"),"NA",if(L1514=0,"no lice",if(Q1514="NA","no collection",index(sea_lice!G:G,match(C1514,sea_lice!A:A,0)))))</f>
        <v>no lice</v>
      </c>
      <c r="X1514" s="23">
        <v>1513.0</v>
      </c>
    </row>
    <row r="1515">
      <c r="B1515" s="6">
        <v>16862.0</v>
      </c>
      <c r="C1515" s="12" t="str">
        <f t="shared" si="11"/>
        <v>U16862</v>
      </c>
      <c r="D1515" s="14" t="str">
        <f t="array" ref="D1515">iferror(index('2018_ufns'!E:E,match(C1515,'2018_ufns'!B:B,0)))</f>
        <v>P1087</v>
      </c>
      <c r="E1515" s="14">
        <v>43482.0</v>
      </c>
      <c r="F1515" s="40" t="s">
        <v>53</v>
      </c>
      <c r="G1515" s="40" t="s">
        <v>54</v>
      </c>
      <c r="H1515" s="9">
        <v>19.7</v>
      </c>
      <c r="I1515" s="13">
        <v>117.0</v>
      </c>
      <c r="J1515" s="13">
        <v>123.0</v>
      </c>
      <c r="K1515" s="17">
        <f t="shared" si="10"/>
        <v>1.058646319</v>
      </c>
      <c r="L1515" s="9">
        <v>0.0</v>
      </c>
      <c r="O1515" s="9" t="s">
        <v>638</v>
      </c>
      <c r="P1515" s="40" t="s">
        <v>1729</v>
      </c>
      <c r="Q1515" s="9" t="s">
        <v>150</v>
      </c>
      <c r="R1515" s="9" t="s">
        <v>63</v>
      </c>
      <c r="S1515" s="9" t="s">
        <v>64</v>
      </c>
      <c r="T1515" t="str">
        <f t="shared" si="12"/>
        <v>N</v>
      </c>
      <c r="W1515" s="12" t="str">
        <f t="array" ref="W1515">if(and(L1515=0,Q1515="NA"),"NA",if(L1515=0,"no lice",if(Q1515="NA","no collection",index(sea_lice!G:G,match(C1515,sea_lice!A:A,0)))))</f>
        <v>no lice</v>
      </c>
      <c r="X1515" s="23">
        <v>1514.0</v>
      </c>
    </row>
    <row r="1516">
      <c r="B1516" s="6">
        <v>16863.0</v>
      </c>
      <c r="C1516" s="12" t="str">
        <f t="shared" si="11"/>
        <v>U16863</v>
      </c>
      <c r="D1516" s="14" t="str">
        <f t="array" ref="D1516">iferror(index('2018_ufns'!E:E,match(C1516,'2018_ufns'!B:B,0)))</f>
        <v>P1087</v>
      </c>
      <c r="E1516" s="14">
        <v>43482.0</v>
      </c>
      <c r="F1516" s="40" t="s">
        <v>53</v>
      </c>
      <c r="G1516" s="40" t="s">
        <v>54</v>
      </c>
      <c r="H1516" s="9">
        <v>22.5</v>
      </c>
      <c r="I1516" s="13">
        <v>118.0</v>
      </c>
      <c r="J1516" s="13">
        <v>125.0</v>
      </c>
      <c r="K1516" s="17">
        <f t="shared" si="10"/>
        <v>1.152</v>
      </c>
      <c r="L1516" s="9">
        <v>0.0</v>
      </c>
      <c r="O1516" s="9" t="s">
        <v>638</v>
      </c>
      <c r="P1516" s="40" t="s">
        <v>1729</v>
      </c>
      <c r="Q1516" s="9" t="s">
        <v>150</v>
      </c>
      <c r="R1516" s="9" t="s">
        <v>63</v>
      </c>
      <c r="S1516" s="9" t="s">
        <v>64</v>
      </c>
      <c r="T1516" t="str">
        <f t="shared" si="12"/>
        <v>N</v>
      </c>
      <c r="W1516" s="12" t="str">
        <f t="array" ref="W1516">if(and(L1516=0,Q1516="NA"),"NA",if(L1516=0,"no lice",if(Q1516="NA","no collection",index(sea_lice!G:G,match(C1516,sea_lice!A:A,0)))))</f>
        <v>no lice</v>
      </c>
      <c r="X1516" s="23">
        <v>1515.0</v>
      </c>
    </row>
    <row r="1517">
      <c r="B1517" s="6">
        <v>16861.0</v>
      </c>
      <c r="C1517" s="12" t="str">
        <f t="shared" si="11"/>
        <v>U16861</v>
      </c>
      <c r="D1517" s="14" t="str">
        <f t="array" ref="D1517">iferror(index('2018_ufns'!E:E,match(C1517,'2018_ufns'!B:B,0)))</f>
        <v>P1087</v>
      </c>
      <c r="E1517" s="14">
        <v>43482.0</v>
      </c>
      <c r="F1517" s="40" t="s">
        <v>53</v>
      </c>
      <c r="G1517" s="40" t="s">
        <v>54</v>
      </c>
      <c r="H1517" s="9">
        <v>23.3</v>
      </c>
      <c r="I1517" s="13">
        <v>121.0</v>
      </c>
      <c r="J1517" s="13">
        <v>127.0</v>
      </c>
      <c r="K1517" s="17">
        <f t="shared" si="10"/>
        <v>1.13748259</v>
      </c>
      <c r="L1517" s="9">
        <v>0.0</v>
      </c>
      <c r="O1517" s="9" t="s">
        <v>638</v>
      </c>
      <c r="P1517" s="40" t="s">
        <v>1729</v>
      </c>
      <c r="Q1517" s="9" t="s">
        <v>150</v>
      </c>
      <c r="R1517" s="9" t="s">
        <v>63</v>
      </c>
      <c r="S1517" s="9" t="s">
        <v>64</v>
      </c>
      <c r="T1517" t="str">
        <f t="shared" si="12"/>
        <v>N</v>
      </c>
      <c r="W1517" s="12" t="str">
        <f t="array" ref="W1517">if(and(L1517=0,Q1517="NA"),"NA",if(L1517=0,"no lice",if(Q1517="NA","no collection",index(sea_lice!G:G,match(C1517,sea_lice!A:A,0)))))</f>
        <v>no lice</v>
      </c>
      <c r="X1517" s="23">
        <v>1516.0</v>
      </c>
    </row>
    <row r="1518">
      <c r="B1518" s="6">
        <v>16721.0</v>
      </c>
      <c r="C1518" s="12" t="str">
        <f t="shared" si="11"/>
        <v>U16721</v>
      </c>
      <c r="D1518" s="14" t="str">
        <f t="array" ref="D1518">iferror(index('2018_ufns'!E:E,match(C1518,'2018_ufns'!B:B,0)))</f>
        <v>P1073</v>
      </c>
      <c r="E1518" s="14">
        <v>43482.0</v>
      </c>
      <c r="F1518" s="40" t="s">
        <v>53</v>
      </c>
      <c r="G1518" s="40" t="s">
        <v>54</v>
      </c>
      <c r="H1518" s="9">
        <v>27.6</v>
      </c>
      <c r="I1518" s="13">
        <v>132.0</v>
      </c>
      <c r="J1518" s="13" t="s">
        <v>63</v>
      </c>
      <c r="K1518" s="17" t="str">
        <f t="shared" si="10"/>
        <v/>
      </c>
      <c r="L1518" s="9">
        <v>1.0</v>
      </c>
      <c r="O1518" s="9" t="s">
        <v>638</v>
      </c>
      <c r="P1518" s="40" t="s">
        <v>1729</v>
      </c>
      <c r="Q1518" s="9" t="s">
        <v>150</v>
      </c>
      <c r="R1518" s="9" t="s">
        <v>63</v>
      </c>
      <c r="S1518" s="9" t="s">
        <v>64</v>
      </c>
      <c r="T1518" t="str">
        <f t="shared" si="12"/>
        <v>N</v>
      </c>
      <c r="W1518" s="12" t="str">
        <f t="array" ref="W1518">if(and(L1518=0,Q1518="NA"),"NA",if(L1518=0,"no lice",if(Q1518="NA","no collection",index(sea_lice!G:G,match(C1518,sea_lice!A:A,0)))))</f>
        <v>BSL8-71</v>
      </c>
      <c r="X1518" s="23">
        <v>1517.0</v>
      </c>
    </row>
    <row r="1519">
      <c r="B1519" s="6">
        <v>16131.0</v>
      </c>
      <c r="C1519" s="12" t="str">
        <f t="shared" si="11"/>
        <v>U16131</v>
      </c>
      <c r="D1519" s="14" t="str">
        <f t="array" ref="D1519">iferror(index('2018_ufns'!E:E,match(C1519,'2018_ufns'!B:B,0)))</f>
        <v>P1014</v>
      </c>
      <c r="E1519" s="14">
        <v>43482.0</v>
      </c>
      <c r="F1519" s="40" t="s">
        <v>53</v>
      </c>
      <c r="G1519" s="40" t="s">
        <v>54</v>
      </c>
      <c r="H1519" s="9">
        <v>27.5</v>
      </c>
      <c r="I1519" s="13">
        <v>126.0</v>
      </c>
      <c r="J1519" s="13">
        <v>133.0</v>
      </c>
      <c r="K1519" s="17">
        <f t="shared" si="10"/>
        <v>1.16890111</v>
      </c>
      <c r="L1519" s="9">
        <v>1.0</v>
      </c>
      <c r="O1519" s="9" t="s">
        <v>638</v>
      </c>
      <c r="P1519" s="40" t="s">
        <v>1729</v>
      </c>
      <c r="Q1519" s="9" t="s">
        <v>150</v>
      </c>
      <c r="R1519" s="9" t="s">
        <v>63</v>
      </c>
      <c r="S1519" s="9" t="s">
        <v>64</v>
      </c>
      <c r="T1519" t="str">
        <f t="shared" si="12"/>
        <v>N</v>
      </c>
      <c r="W1519" s="12" t="str">
        <f t="array" ref="W1519">if(and(L1519=0,Q1519="NA"),"NA",if(L1519=0,"no lice",if(Q1519="NA","no collection",index(sea_lice!G:G,match(C1519,sea_lice!A:A,0)))))</f>
        <v>BSL8-72</v>
      </c>
      <c r="X1519" s="23">
        <v>1518.0</v>
      </c>
    </row>
    <row r="1520">
      <c r="B1520" s="6">
        <v>17841.0</v>
      </c>
      <c r="C1520" s="12" t="str">
        <f t="shared" si="11"/>
        <v>U17841</v>
      </c>
      <c r="D1520" s="14" t="str">
        <f t="array" ref="D1520">iferror(index('2018_ufns'!E:E,match(C1520,'2018_ufns'!B:B,0)))</f>
        <v>P1185</v>
      </c>
      <c r="E1520" s="14">
        <v>43483.0</v>
      </c>
      <c r="F1520" s="40" t="s">
        <v>53</v>
      </c>
      <c r="G1520" s="40" t="s">
        <v>54</v>
      </c>
      <c r="H1520" s="9">
        <v>16.2</v>
      </c>
      <c r="I1520" s="13">
        <v>109.0</v>
      </c>
      <c r="J1520" s="13">
        <v>115.0</v>
      </c>
      <c r="K1520" s="17">
        <f t="shared" si="10"/>
        <v>1.065176297</v>
      </c>
      <c r="L1520" s="9">
        <v>0.0</v>
      </c>
      <c r="O1520" s="9" t="s">
        <v>638</v>
      </c>
      <c r="P1520" s="40" t="s">
        <v>1729</v>
      </c>
      <c r="Q1520" s="9" t="s">
        <v>150</v>
      </c>
      <c r="R1520" s="9" t="s">
        <v>63</v>
      </c>
      <c r="S1520" s="9" t="s">
        <v>64</v>
      </c>
      <c r="T1520" t="str">
        <f t="shared" si="12"/>
        <v>N</v>
      </c>
      <c r="W1520" s="12" t="str">
        <f t="array" ref="W1520">if(and(L1520=0,Q1520="NA"),"NA",if(L1520=0,"no lice",if(Q1520="NA","no collection",index(sea_lice!G:G,match(C1520,sea_lice!A:A,0)))))</f>
        <v>no lice</v>
      </c>
      <c r="X1520" s="23">
        <v>1519.0</v>
      </c>
    </row>
    <row r="1521">
      <c r="B1521" s="6">
        <v>16331.0</v>
      </c>
      <c r="C1521" s="12" t="str">
        <f t="shared" si="11"/>
        <v>U16331</v>
      </c>
      <c r="D1521" s="14" t="str">
        <f t="array" ref="D1521">iferror(index('2018_ufns'!E:E,match(C1521,'2018_ufns'!B:B,0)))</f>
        <v>P1034</v>
      </c>
      <c r="E1521" s="14">
        <v>43483.0</v>
      </c>
      <c r="F1521" s="40" t="s">
        <v>53</v>
      </c>
      <c r="G1521" s="40" t="s">
        <v>54</v>
      </c>
      <c r="H1521" s="9">
        <v>10.0</v>
      </c>
      <c r="I1521" s="13">
        <v>99.0</v>
      </c>
      <c r="J1521" s="13">
        <v>105.0</v>
      </c>
      <c r="K1521" s="17">
        <f t="shared" si="10"/>
        <v>0.8638375985</v>
      </c>
      <c r="L1521" s="9">
        <v>0.0</v>
      </c>
      <c r="O1521" s="9" t="s">
        <v>638</v>
      </c>
      <c r="P1521" s="40" t="s">
        <v>1729</v>
      </c>
      <c r="Q1521" s="9" t="s">
        <v>150</v>
      </c>
      <c r="R1521" s="9" t="s">
        <v>63</v>
      </c>
      <c r="S1521" s="9" t="s">
        <v>64</v>
      </c>
      <c r="T1521" t="str">
        <f t="shared" si="12"/>
        <v>N</v>
      </c>
      <c r="W1521" s="12" t="str">
        <f t="array" ref="W1521">if(and(L1521=0,Q1521="NA"),"NA",if(L1521=0,"no lice",if(Q1521="NA","no collection",index(sea_lice!G:G,match(C1521,sea_lice!A:A,0)))))</f>
        <v>no lice</v>
      </c>
      <c r="X1521" s="23">
        <v>1520.0</v>
      </c>
    </row>
    <row r="1522">
      <c r="B1522" s="6">
        <v>17481.0</v>
      </c>
      <c r="C1522" s="12" t="str">
        <f t="shared" si="11"/>
        <v>U17481</v>
      </c>
      <c r="D1522" s="14" t="str">
        <f t="array" ref="D1522">iferror(index('2018_ufns'!E:E,match(C1522,'2018_ufns'!B:B,0)))</f>
        <v>P1149</v>
      </c>
      <c r="E1522" s="14">
        <v>43483.0</v>
      </c>
      <c r="F1522" s="40" t="s">
        <v>53</v>
      </c>
      <c r="G1522" s="40" t="s">
        <v>54</v>
      </c>
      <c r="H1522" s="9">
        <v>10.5</v>
      </c>
      <c r="I1522" s="13">
        <v>93.0</v>
      </c>
      <c r="J1522" s="13">
        <v>99.0</v>
      </c>
      <c r="K1522" s="17">
        <f t="shared" si="10"/>
        <v>1.08214066</v>
      </c>
      <c r="L1522" s="9">
        <v>0.0</v>
      </c>
      <c r="N1522" s="9" t="s">
        <v>2188</v>
      </c>
      <c r="O1522" s="9" t="s">
        <v>638</v>
      </c>
      <c r="P1522" s="40" t="s">
        <v>1729</v>
      </c>
      <c r="Q1522" s="9" t="s">
        <v>150</v>
      </c>
      <c r="R1522" s="9" t="s">
        <v>63</v>
      </c>
      <c r="S1522" s="9" t="s">
        <v>64</v>
      </c>
      <c r="T1522" t="str">
        <f t="shared" si="12"/>
        <v>N</v>
      </c>
      <c r="W1522" s="12" t="str">
        <f t="array" ref="W1522">if(and(L1522=0,Q1522="NA"),"NA",if(L1522=0,"no lice",if(Q1522="NA","no collection",index(sea_lice!G:G,match(C1522,sea_lice!A:A,0)))))</f>
        <v>no lice</v>
      </c>
      <c r="X1522" s="23">
        <v>1521.0</v>
      </c>
    </row>
    <row r="1523">
      <c r="B1523" s="6">
        <v>16071.0</v>
      </c>
      <c r="C1523" s="12" t="str">
        <f t="shared" si="11"/>
        <v>U16071</v>
      </c>
      <c r="D1523" s="14" t="str">
        <f t="array" ref="D1523">iferror(index('2018_ufns'!E:E,match(C1523,'2018_ufns'!B:B,0)))</f>
        <v>P1008</v>
      </c>
      <c r="E1523" s="14">
        <v>43483.0</v>
      </c>
      <c r="F1523" s="40" t="s">
        <v>53</v>
      </c>
      <c r="G1523" s="40" t="s">
        <v>54</v>
      </c>
      <c r="H1523" s="9">
        <v>11.5</v>
      </c>
      <c r="I1523" s="13">
        <v>96.0</v>
      </c>
      <c r="J1523" s="13">
        <v>102.0</v>
      </c>
      <c r="K1523" s="17">
        <f t="shared" si="10"/>
        <v>1.083670685</v>
      </c>
      <c r="L1523" s="9">
        <v>0.0</v>
      </c>
      <c r="O1523" s="9" t="s">
        <v>638</v>
      </c>
      <c r="P1523" s="40" t="s">
        <v>1729</v>
      </c>
      <c r="Q1523" s="9" t="s">
        <v>150</v>
      </c>
      <c r="R1523" s="9" t="s">
        <v>63</v>
      </c>
      <c r="S1523" s="9" t="s">
        <v>64</v>
      </c>
      <c r="T1523" t="str">
        <f t="shared" si="12"/>
        <v>N</v>
      </c>
      <c r="W1523" s="12" t="str">
        <f t="array" ref="W1523">if(and(L1523=0,Q1523="NA"),"NA",if(L1523=0,"no lice",if(Q1523="NA","no collection",index(sea_lice!G:G,match(C1523,sea_lice!A:A,0)))))</f>
        <v>no lice</v>
      </c>
      <c r="X1523" s="23">
        <v>1522.0</v>
      </c>
    </row>
    <row r="1524">
      <c r="B1524" s="6">
        <v>17031.0</v>
      </c>
      <c r="C1524" s="12" t="str">
        <f t="shared" si="11"/>
        <v>U17031</v>
      </c>
      <c r="D1524" s="14" t="str">
        <f t="array" ref="D1524">iferror(index('2018_ufns'!E:E,match(C1524,'2018_ufns'!B:B,0)))</f>
        <v>P1104</v>
      </c>
      <c r="E1524" s="14">
        <v>43483.0</v>
      </c>
      <c r="F1524" s="40" t="s">
        <v>53</v>
      </c>
      <c r="G1524" s="40" t="s">
        <v>54</v>
      </c>
      <c r="H1524" s="9">
        <v>20.1</v>
      </c>
      <c r="I1524" s="13">
        <v>112.0</v>
      </c>
      <c r="J1524" s="13" t="s">
        <v>63</v>
      </c>
      <c r="K1524" s="17" t="str">
        <f t="shared" si="10"/>
        <v/>
      </c>
      <c r="L1524" s="9">
        <v>4.0</v>
      </c>
      <c r="O1524" s="9" t="s">
        <v>638</v>
      </c>
      <c r="P1524" s="40" t="s">
        <v>1729</v>
      </c>
      <c r="Q1524" s="9" t="s">
        <v>150</v>
      </c>
      <c r="R1524" s="9" t="s">
        <v>63</v>
      </c>
      <c r="S1524" s="9" t="s">
        <v>64</v>
      </c>
      <c r="T1524" t="str">
        <f t="shared" si="12"/>
        <v>N</v>
      </c>
      <c r="W1524" s="12" t="str">
        <f t="array" ref="W1524">if(and(L1524=0,Q1524="NA"),"NA",if(L1524=0,"no lice",if(Q1524="NA","no collection",index(sea_lice!G:G,match(C1524,sea_lice!A:A,0)))))</f>
        <v>BSL8-73</v>
      </c>
      <c r="X1524" s="23">
        <v>1523.0</v>
      </c>
    </row>
    <row r="1525">
      <c r="B1525" s="6">
        <v>17061.0</v>
      </c>
      <c r="C1525" s="12" t="str">
        <f t="shared" si="11"/>
        <v>U17061</v>
      </c>
      <c r="D1525" s="14" t="str">
        <f t="array" ref="D1525">iferror(index('2018_ufns'!E:E,match(C1525,'2018_ufns'!B:B,0)))</f>
        <v>P1107</v>
      </c>
      <c r="E1525" s="14">
        <v>43483.0</v>
      </c>
      <c r="F1525" s="40" t="s">
        <v>53</v>
      </c>
      <c r="G1525" s="40" t="s">
        <v>54</v>
      </c>
      <c r="H1525" s="9">
        <v>27.9</v>
      </c>
      <c r="I1525" s="13">
        <v>129.0</v>
      </c>
      <c r="J1525" s="13">
        <v>134.0</v>
      </c>
      <c r="K1525" s="17">
        <f t="shared" si="10"/>
        <v>1.159550876</v>
      </c>
      <c r="L1525" s="9">
        <v>0.0</v>
      </c>
      <c r="O1525" s="9" t="s">
        <v>638</v>
      </c>
      <c r="P1525" s="40" t="s">
        <v>1729</v>
      </c>
      <c r="Q1525" s="9" t="s">
        <v>150</v>
      </c>
      <c r="R1525" s="9" t="s">
        <v>63</v>
      </c>
      <c r="S1525" s="9" t="s">
        <v>64</v>
      </c>
      <c r="T1525" t="str">
        <f t="shared" si="12"/>
        <v>N</v>
      </c>
      <c r="W1525" s="12" t="str">
        <f t="array" ref="W1525">if(and(L1525=0,Q1525="NA"),"NA",if(L1525=0,"no lice",if(Q1525="NA","no collection",index(sea_lice!G:G,match(C1525,sea_lice!A:A,0)))))</f>
        <v>no lice</v>
      </c>
      <c r="X1525" s="23">
        <v>1524.0</v>
      </c>
    </row>
    <row r="1526">
      <c r="B1526" s="6">
        <v>16381.0</v>
      </c>
      <c r="C1526" s="12" t="str">
        <f t="shared" si="11"/>
        <v>U16381</v>
      </c>
      <c r="D1526" s="14" t="str">
        <f t="array" ref="D1526">iferror(index('2018_ufns'!E:E,match(C1526,'2018_ufns'!B:B,0)))</f>
        <v>P1039</v>
      </c>
      <c r="E1526" s="14">
        <v>43483.0</v>
      </c>
      <c r="F1526" s="40" t="s">
        <v>53</v>
      </c>
      <c r="G1526" s="40" t="s">
        <v>54</v>
      </c>
      <c r="H1526" s="9">
        <v>11.7</v>
      </c>
      <c r="I1526" s="13">
        <v>98.0</v>
      </c>
      <c r="J1526" s="13" t="s">
        <v>63</v>
      </c>
      <c r="K1526" s="17" t="str">
        <f t="shared" si="10"/>
        <v/>
      </c>
      <c r="L1526" s="9">
        <v>0.0</v>
      </c>
      <c r="O1526" s="9" t="s">
        <v>638</v>
      </c>
      <c r="P1526" s="40" t="s">
        <v>1729</v>
      </c>
      <c r="Q1526" s="9" t="s">
        <v>150</v>
      </c>
      <c r="R1526" s="9" t="s">
        <v>63</v>
      </c>
      <c r="S1526" s="9" t="s">
        <v>64</v>
      </c>
      <c r="T1526" t="str">
        <f t="shared" si="12"/>
        <v>N</v>
      </c>
      <c r="W1526" s="12" t="str">
        <f t="array" ref="W1526">if(and(L1526=0,Q1526="NA"),"NA",if(L1526=0,"no lice",if(Q1526="NA","no collection",index(sea_lice!G:G,match(C1526,sea_lice!A:A,0)))))</f>
        <v>no lice</v>
      </c>
      <c r="X1526" s="23">
        <v>1525.0</v>
      </c>
    </row>
    <row r="1527">
      <c r="B1527" s="6">
        <v>16311.0</v>
      </c>
      <c r="C1527" s="12" t="str">
        <f t="shared" si="11"/>
        <v>U16311</v>
      </c>
      <c r="D1527" s="14" t="str">
        <f t="array" ref="D1527">iferror(index('2018_ufns'!E:E,match(C1527,'2018_ufns'!B:B,0)))</f>
        <v>P1032</v>
      </c>
      <c r="E1527" s="14">
        <v>43483.0</v>
      </c>
      <c r="F1527" s="40" t="s">
        <v>53</v>
      </c>
      <c r="G1527" s="40" t="s">
        <v>54</v>
      </c>
      <c r="H1527" s="9">
        <v>12.2</v>
      </c>
      <c r="I1527" s="13">
        <v>105.0</v>
      </c>
      <c r="J1527" s="13">
        <v>110.0</v>
      </c>
      <c r="K1527" s="17">
        <f t="shared" si="10"/>
        <v>0.9166040571</v>
      </c>
      <c r="L1527" s="9">
        <v>0.0</v>
      </c>
      <c r="O1527" s="9" t="s">
        <v>638</v>
      </c>
      <c r="P1527" s="40" t="s">
        <v>1729</v>
      </c>
      <c r="Q1527" s="9" t="s">
        <v>150</v>
      </c>
      <c r="R1527" s="9" t="s">
        <v>63</v>
      </c>
      <c r="S1527" s="9" t="s">
        <v>64</v>
      </c>
      <c r="T1527" t="str">
        <f t="shared" si="12"/>
        <v>N</v>
      </c>
      <c r="W1527" s="12" t="str">
        <f t="array" ref="W1527">if(and(L1527=0,Q1527="NA"),"NA",if(L1527=0,"no lice",if(Q1527="NA","no collection",index(sea_lice!G:G,match(C1527,sea_lice!A:A,0)))))</f>
        <v>no lice</v>
      </c>
      <c r="X1527" s="23">
        <v>1526.0</v>
      </c>
    </row>
    <row r="1528">
      <c r="B1528" s="6">
        <v>16312.0</v>
      </c>
      <c r="C1528" s="12" t="str">
        <f t="shared" si="11"/>
        <v>U16312</v>
      </c>
      <c r="D1528" s="14" t="str">
        <f t="array" ref="D1528">iferror(index('2018_ufns'!E:E,match(C1528,'2018_ufns'!B:B,0)))</f>
        <v>P1032</v>
      </c>
      <c r="E1528" s="14">
        <v>43483.0</v>
      </c>
      <c r="F1528" s="40" t="s">
        <v>53</v>
      </c>
      <c r="G1528" s="40" t="s">
        <v>54</v>
      </c>
      <c r="H1528" s="9">
        <v>30.2</v>
      </c>
      <c r="I1528" s="13">
        <v>129.0</v>
      </c>
      <c r="J1528" s="13">
        <v>136.0</v>
      </c>
      <c r="K1528" s="17">
        <f t="shared" si="10"/>
        <v>1.200577549</v>
      </c>
      <c r="L1528" s="9">
        <v>0.0</v>
      </c>
      <c r="O1528" s="9" t="s">
        <v>638</v>
      </c>
      <c r="P1528" s="40" t="s">
        <v>1729</v>
      </c>
      <c r="Q1528" s="9" t="s">
        <v>150</v>
      </c>
      <c r="R1528" s="9" t="s">
        <v>63</v>
      </c>
      <c r="S1528" s="9" t="s">
        <v>64</v>
      </c>
      <c r="T1528" t="str">
        <f t="shared" si="12"/>
        <v>N</v>
      </c>
      <c r="W1528" s="12" t="str">
        <f t="array" ref="W1528">if(and(L1528=0,Q1528="NA"),"NA",if(L1528=0,"no lice",if(Q1528="NA","no collection",index(sea_lice!G:G,match(C1528,sea_lice!A:A,0)))))</f>
        <v>no lice</v>
      </c>
      <c r="X1528" s="23">
        <v>1527.0</v>
      </c>
    </row>
    <row r="1529">
      <c r="B1529" s="6">
        <v>16371.0</v>
      </c>
      <c r="C1529" s="12" t="str">
        <f t="shared" si="11"/>
        <v>U16371</v>
      </c>
      <c r="D1529" s="14" t="str">
        <f t="array" ref="D1529">iferror(index('2018_ufns'!E:E,match(C1529,'2018_ufns'!B:B,0)))</f>
        <v>P1038</v>
      </c>
      <c r="E1529" s="14">
        <v>43483.0</v>
      </c>
      <c r="F1529" s="40" t="s">
        <v>53</v>
      </c>
      <c r="G1529" s="40" t="s">
        <v>54</v>
      </c>
      <c r="H1529" s="9">
        <v>12.3</v>
      </c>
      <c r="I1529" s="13">
        <v>106.0</v>
      </c>
      <c r="J1529" s="13" t="s">
        <v>63</v>
      </c>
      <c r="K1529" s="17" t="str">
        <f t="shared" si="10"/>
        <v/>
      </c>
      <c r="L1529" s="9">
        <v>0.0</v>
      </c>
      <c r="O1529" s="9" t="s">
        <v>638</v>
      </c>
      <c r="P1529" s="40" t="s">
        <v>1729</v>
      </c>
      <c r="Q1529" s="9" t="s">
        <v>150</v>
      </c>
      <c r="R1529" s="9" t="s">
        <v>63</v>
      </c>
      <c r="S1529" s="9" t="s">
        <v>64</v>
      </c>
      <c r="T1529" t="str">
        <f t="shared" si="12"/>
        <v>N</v>
      </c>
      <c r="W1529" s="12" t="str">
        <f t="array" ref="W1529">if(and(L1529=0,Q1529="NA"),"NA",if(L1529=0,"no lice",if(Q1529="NA","no collection",index(sea_lice!G:G,match(C1529,sea_lice!A:A,0)))))</f>
        <v>no lice</v>
      </c>
      <c r="X1529" s="23">
        <v>1528.0</v>
      </c>
    </row>
    <row r="1530">
      <c r="B1530" s="6">
        <v>16372.0</v>
      </c>
      <c r="C1530" s="12" t="str">
        <f t="shared" si="11"/>
        <v>U16372</v>
      </c>
      <c r="D1530" s="14" t="str">
        <f t="array" ref="D1530">iferror(index('2018_ufns'!E:E,match(C1530,'2018_ufns'!B:B,0)))</f>
        <v>P1038</v>
      </c>
      <c r="E1530" s="14">
        <v>43483.0</v>
      </c>
      <c r="F1530" s="40" t="s">
        <v>53</v>
      </c>
      <c r="G1530" s="40" t="s">
        <v>54</v>
      </c>
      <c r="H1530" s="9">
        <v>12.4</v>
      </c>
      <c r="I1530" s="13">
        <v>105.0</v>
      </c>
      <c r="J1530" s="13" t="s">
        <v>63</v>
      </c>
      <c r="K1530" s="17" t="str">
        <f t="shared" si="10"/>
        <v/>
      </c>
      <c r="L1530" s="9">
        <v>1.0</v>
      </c>
      <c r="O1530" s="9" t="s">
        <v>638</v>
      </c>
      <c r="P1530" s="40" t="s">
        <v>1729</v>
      </c>
      <c r="Q1530" s="9" t="s">
        <v>150</v>
      </c>
      <c r="R1530" s="9" t="s">
        <v>63</v>
      </c>
      <c r="S1530" s="9" t="s">
        <v>64</v>
      </c>
      <c r="T1530" t="str">
        <f t="shared" si="12"/>
        <v>N</v>
      </c>
      <c r="W1530" s="12" t="str">
        <f t="array" ref="W1530">if(and(L1530=0,Q1530="NA"),"NA",if(L1530=0,"no lice",if(Q1530="NA","no collection",index(sea_lice!G:G,match(C1530,sea_lice!A:A,0)))))</f>
        <v>BSL8-75</v>
      </c>
      <c r="X1530" s="23">
        <v>1529.0</v>
      </c>
    </row>
    <row r="1531">
      <c r="B1531" s="6">
        <v>16171.0</v>
      </c>
      <c r="C1531" s="12" t="str">
        <f t="shared" si="11"/>
        <v>U16171</v>
      </c>
      <c r="D1531" s="14" t="str">
        <f t="array" ref="D1531">iferror(index('2018_ufns'!E:E,match(C1531,'2018_ufns'!B:B,0)))</f>
        <v>P1018</v>
      </c>
      <c r="E1531" s="14">
        <v>43483.0</v>
      </c>
      <c r="F1531" s="40" t="s">
        <v>53</v>
      </c>
      <c r="G1531" s="40" t="s">
        <v>54</v>
      </c>
      <c r="H1531" s="9">
        <v>15.0</v>
      </c>
      <c r="I1531" s="13">
        <v>111.0</v>
      </c>
      <c r="J1531" s="13">
        <v>116.0</v>
      </c>
      <c r="K1531" s="17">
        <f t="shared" si="10"/>
        <v>0.9609865103</v>
      </c>
      <c r="L1531" s="9">
        <v>0.0</v>
      </c>
      <c r="O1531" s="9" t="s">
        <v>638</v>
      </c>
      <c r="P1531" s="40" t="s">
        <v>1729</v>
      </c>
      <c r="Q1531" s="9" t="s">
        <v>150</v>
      </c>
      <c r="R1531" s="9" t="s">
        <v>63</v>
      </c>
      <c r="S1531" s="9" t="s">
        <v>64</v>
      </c>
      <c r="T1531" t="str">
        <f t="shared" si="12"/>
        <v>N</v>
      </c>
      <c r="W1531" s="12" t="str">
        <f t="array" ref="W1531">if(and(L1531=0,Q1531="NA"),"NA",if(L1531=0,"no lice",if(Q1531="NA","no collection",index(sea_lice!G:G,match(C1531,sea_lice!A:A,0)))))</f>
        <v>no lice</v>
      </c>
      <c r="X1531" s="23">
        <v>1530.0</v>
      </c>
    </row>
    <row r="1532">
      <c r="B1532" s="6">
        <v>16172.0</v>
      </c>
      <c r="C1532" s="12" t="str">
        <f t="shared" si="11"/>
        <v>U16172</v>
      </c>
      <c r="D1532" s="14" t="str">
        <f t="array" ref="D1532">iferror(index('2018_ufns'!E:E,match(C1532,'2018_ufns'!B:B,0)))</f>
        <v>P1018</v>
      </c>
      <c r="E1532" s="14">
        <v>43483.0</v>
      </c>
      <c r="F1532" s="40" t="s">
        <v>53</v>
      </c>
      <c r="G1532" s="40" t="s">
        <v>54</v>
      </c>
      <c r="H1532" s="9">
        <v>14.6</v>
      </c>
      <c r="I1532" s="13">
        <v>111.0</v>
      </c>
      <c r="J1532" s="13" t="s">
        <v>63</v>
      </c>
      <c r="K1532" s="17" t="str">
        <f t="shared" si="10"/>
        <v/>
      </c>
      <c r="L1532" s="9">
        <v>0.0</v>
      </c>
      <c r="O1532" s="9" t="s">
        <v>638</v>
      </c>
      <c r="P1532" s="40" t="s">
        <v>1729</v>
      </c>
      <c r="Q1532" s="9" t="s">
        <v>150</v>
      </c>
      <c r="R1532" s="9" t="s">
        <v>63</v>
      </c>
      <c r="S1532" s="9" t="s">
        <v>64</v>
      </c>
      <c r="T1532" t="str">
        <f t="shared" si="12"/>
        <v>N</v>
      </c>
      <c r="W1532" s="12" t="str">
        <f t="array" ref="W1532">if(and(L1532=0,Q1532="NA"),"NA",if(L1532=0,"no lice",if(Q1532="NA","no collection",index(sea_lice!G:G,match(C1532,sea_lice!A:A,0)))))</f>
        <v>no lice</v>
      </c>
      <c r="X1532" s="23">
        <v>1531.0</v>
      </c>
    </row>
    <row r="1533">
      <c r="B1533" s="6">
        <v>16216.0</v>
      </c>
      <c r="C1533" s="12" t="str">
        <f t="shared" si="11"/>
        <v>U16216</v>
      </c>
      <c r="D1533" s="14" t="str">
        <f t="array" ref="D1533">iferror(index('2018_ufns'!E:E,match(C1533,'2018_ufns'!B:B,0)))</f>
        <v>P1022</v>
      </c>
      <c r="E1533" s="14">
        <v>43483.0</v>
      </c>
      <c r="F1533" s="40" t="s">
        <v>53</v>
      </c>
      <c r="G1533" s="40" t="s">
        <v>54</v>
      </c>
      <c r="H1533" s="9">
        <v>15.9</v>
      </c>
      <c r="I1533" s="13">
        <v>117.0</v>
      </c>
      <c r="J1533" s="13" t="s">
        <v>63</v>
      </c>
      <c r="K1533" s="17" t="str">
        <f t="shared" si="10"/>
        <v/>
      </c>
      <c r="L1533" s="9">
        <v>0.0</v>
      </c>
      <c r="O1533" s="9" t="s">
        <v>638</v>
      </c>
      <c r="P1533" s="40" t="s">
        <v>1729</v>
      </c>
      <c r="Q1533" s="9" t="s">
        <v>150</v>
      </c>
      <c r="R1533" s="9" t="s">
        <v>63</v>
      </c>
      <c r="S1533" s="9" t="s">
        <v>64</v>
      </c>
      <c r="T1533" t="str">
        <f t="shared" si="12"/>
        <v>N</v>
      </c>
      <c r="W1533" s="12" t="str">
        <f t="array" ref="W1533">if(and(L1533=0,Q1533="NA"),"NA",if(L1533=0,"no lice",if(Q1533="NA","no collection",index(sea_lice!G:G,match(C1533,sea_lice!A:A,0)))))</f>
        <v>no lice</v>
      </c>
      <c r="X1533" s="23">
        <v>1532.0</v>
      </c>
    </row>
    <row r="1534">
      <c r="B1534" s="6">
        <v>16211.0</v>
      </c>
      <c r="C1534" s="12" t="str">
        <f t="shared" si="11"/>
        <v>U16211</v>
      </c>
      <c r="D1534" s="14" t="str">
        <f t="array" ref="D1534">iferror(index('2018_ufns'!E:E,match(C1534,'2018_ufns'!B:B,0)))</f>
        <v>P1022</v>
      </c>
      <c r="E1534" s="14">
        <v>43483.0</v>
      </c>
      <c r="F1534" s="40" t="s">
        <v>53</v>
      </c>
      <c r="G1534" s="40" t="s">
        <v>54</v>
      </c>
      <c r="H1534" s="9">
        <v>15.7</v>
      </c>
      <c r="I1534" s="13">
        <v>114.0</v>
      </c>
      <c r="J1534" s="13" t="s">
        <v>63</v>
      </c>
      <c r="K1534" s="17" t="str">
        <f t="shared" si="10"/>
        <v/>
      </c>
      <c r="L1534" s="9">
        <v>0.0</v>
      </c>
      <c r="O1534" s="9" t="s">
        <v>638</v>
      </c>
      <c r="P1534" s="40" t="s">
        <v>1729</v>
      </c>
      <c r="Q1534" s="9" t="s">
        <v>150</v>
      </c>
      <c r="R1534" s="9" t="s">
        <v>63</v>
      </c>
      <c r="S1534" s="9" t="s">
        <v>64</v>
      </c>
      <c r="T1534" t="str">
        <f t="shared" si="12"/>
        <v>N</v>
      </c>
      <c r="W1534" s="12" t="str">
        <f t="array" ref="W1534">if(and(L1534=0,Q1534="NA"),"NA",if(L1534=0,"no lice",if(Q1534="NA","no collection",index(sea_lice!G:G,match(C1534,sea_lice!A:A,0)))))</f>
        <v>no lice</v>
      </c>
      <c r="X1534" s="23">
        <v>1533.0</v>
      </c>
    </row>
    <row r="1535">
      <c r="B1535" s="6">
        <v>16212.0</v>
      </c>
      <c r="C1535" s="12" t="str">
        <f t="shared" si="11"/>
        <v>U16212</v>
      </c>
      <c r="D1535" s="14" t="str">
        <f t="array" ref="D1535">iferror(index('2018_ufns'!E:E,match(C1535,'2018_ufns'!B:B,0)))</f>
        <v>P1022</v>
      </c>
      <c r="E1535" s="14">
        <v>43483.0</v>
      </c>
      <c r="F1535" s="40" t="s">
        <v>53</v>
      </c>
      <c r="G1535" s="40" t="s">
        <v>54</v>
      </c>
      <c r="H1535" s="9">
        <v>17.5</v>
      </c>
      <c r="I1535" s="13">
        <v>117.0</v>
      </c>
      <c r="J1535" s="13">
        <v>123.0</v>
      </c>
      <c r="K1535" s="17">
        <f t="shared" si="10"/>
        <v>0.9404218571</v>
      </c>
      <c r="L1535" s="9">
        <v>1.0</v>
      </c>
      <c r="O1535" s="9" t="s">
        <v>638</v>
      </c>
      <c r="P1535" s="40" t="s">
        <v>1729</v>
      </c>
      <c r="Q1535" s="9" t="s">
        <v>150</v>
      </c>
      <c r="R1535" s="9" t="s">
        <v>63</v>
      </c>
      <c r="S1535" s="9" t="s">
        <v>64</v>
      </c>
      <c r="T1535" t="str">
        <f t="shared" si="12"/>
        <v>N</v>
      </c>
      <c r="W1535" s="12" t="str">
        <f t="array" ref="W1535">if(and(L1535=0,Q1535="NA"),"NA",if(L1535=0,"no lice",if(Q1535="NA","no collection",index(sea_lice!G:G,match(C1535,sea_lice!A:A,0)))))</f>
        <v>BSL8-76</v>
      </c>
      <c r="X1535" s="23">
        <v>1534.0</v>
      </c>
    </row>
    <row r="1536">
      <c r="B1536" s="6">
        <v>16213.0</v>
      </c>
      <c r="C1536" s="12" t="str">
        <f t="shared" si="11"/>
        <v>U16213</v>
      </c>
      <c r="D1536" s="14" t="str">
        <f t="array" ref="D1536">iferror(index('2018_ufns'!E:E,match(C1536,'2018_ufns'!B:B,0)))</f>
        <v>P1022</v>
      </c>
      <c r="E1536" s="14">
        <v>43483.0</v>
      </c>
      <c r="F1536" s="40" t="s">
        <v>53</v>
      </c>
      <c r="G1536" s="40" t="s">
        <v>54</v>
      </c>
      <c r="H1536" s="9">
        <v>11.7</v>
      </c>
      <c r="I1536" s="13">
        <v>106.0</v>
      </c>
      <c r="J1536" s="13">
        <v>111.0</v>
      </c>
      <c r="K1536" s="17">
        <f t="shared" si="10"/>
        <v>0.8554939161</v>
      </c>
      <c r="L1536" s="9">
        <v>1.0</v>
      </c>
      <c r="O1536" s="9" t="s">
        <v>638</v>
      </c>
      <c r="P1536" s="40" t="s">
        <v>1729</v>
      </c>
      <c r="Q1536" s="9" t="s">
        <v>150</v>
      </c>
      <c r="R1536" s="9" t="s">
        <v>63</v>
      </c>
      <c r="S1536" s="9" t="s">
        <v>64</v>
      </c>
      <c r="T1536" t="str">
        <f t="shared" si="12"/>
        <v>N</v>
      </c>
      <c r="W1536" s="12" t="str">
        <f t="array" ref="W1536">if(and(L1536=0,Q1536="NA"),"NA",if(L1536=0,"no lice",if(Q1536="NA","no collection",index(sea_lice!G:G,match(C1536,sea_lice!A:A,0)))))</f>
        <v>BSL8-77</v>
      </c>
      <c r="X1536" s="23">
        <v>1535.0</v>
      </c>
    </row>
    <row r="1537">
      <c r="B1537" s="6">
        <v>16215.0</v>
      </c>
      <c r="C1537" s="12" t="str">
        <f t="shared" si="11"/>
        <v>U16215</v>
      </c>
      <c r="D1537" s="14" t="str">
        <f t="array" ref="D1537">iferror(index('2018_ufns'!E:E,match(C1537,'2018_ufns'!B:B,0)))</f>
        <v>P1022</v>
      </c>
      <c r="E1537" s="14">
        <v>43483.0</v>
      </c>
      <c r="F1537" s="40" t="s">
        <v>53</v>
      </c>
      <c r="G1537" s="40" t="s">
        <v>54</v>
      </c>
      <c r="H1537" s="9">
        <v>15.2</v>
      </c>
      <c r="I1537" s="13">
        <v>114.0</v>
      </c>
      <c r="J1537" s="13">
        <v>117.0</v>
      </c>
      <c r="K1537" s="17">
        <f t="shared" si="10"/>
        <v>0.9490432458</v>
      </c>
      <c r="L1537" s="9">
        <v>0.0</v>
      </c>
      <c r="O1537" s="9" t="s">
        <v>638</v>
      </c>
      <c r="P1537" s="40" t="s">
        <v>1729</v>
      </c>
      <c r="Q1537" s="9" t="s">
        <v>150</v>
      </c>
      <c r="R1537" s="9" t="s">
        <v>63</v>
      </c>
      <c r="S1537" s="9" t="s">
        <v>64</v>
      </c>
      <c r="T1537" t="str">
        <f t="shared" si="12"/>
        <v>N</v>
      </c>
      <c r="W1537" s="12" t="str">
        <f t="array" ref="W1537">if(and(L1537=0,Q1537="NA"),"NA",if(L1537=0,"no lice",if(Q1537="NA","no collection",index(sea_lice!G:G,match(C1537,sea_lice!A:A,0)))))</f>
        <v>no lice</v>
      </c>
      <c r="X1537" s="23">
        <v>1536.0</v>
      </c>
    </row>
    <row r="1538">
      <c r="B1538" s="6">
        <v>16214.0</v>
      </c>
      <c r="C1538" s="12" t="str">
        <f t="shared" si="11"/>
        <v>U16214</v>
      </c>
      <c r="D1538" s="14" t="str">
        <f t="array" ref="D1538">iferror(index('2018_ufns'!E:E,match(C1538,'2018_ufns'!B:B,0)))</f>
        <v>P1022</v>
      </c>
      <c r="E1538" s="14">
        <v>43483.0</v>
      </c>
      <c r="F1538" s="40" t="s">
        <v>53</v>
      </c>
      <c r="G1538" s="40" t="s">
        <v>54</v>
      </c>
      <c r="H1538" s="9">
        <v>14.0</v>
      </c>
      <c r="I1538" s="13">
        <v>113.0</v>
      </c>
      <c r="J1538" s="13">
        <v>119.0</v>
      </c>
      <c r="K1538" s="17">
        <f t="shared" si="10"/>
        <v>0.8307821398</v>
      </c>
      <c r="L1538" s="9">
        <v>0.0</v>
      </c>
      <c r="O1538" s="9" t="s">
        <v>638</v>
      </c>
      <c r="P1538" s="40" t="s">
        <v>1729</v>
      </c>
      <c r="Q1538" s="9" t="s">
        <v>150</v>
      </c>
      <c r="R1538" s="9" t="s">
        <v>63</v>
      </c>
      <c r="S1538" s="9" t="s">
        <v>64</v>
      </c>
      <c r="T1538" t="str">
        <f t="shared" si="12"/>
        <v>N</v>
      </c>
      <c r="W1538" s="12" t="str">
        <f t="array" ref="W1538">if(and(L1538=0,Q1538="NA"),"NA",if(L1538=0,"no lice",if(Q1538="NA","no collection",index(sea_lice!G:G,match(C1538,sea_lice!A:A,0)))))</f>
        <v>no lice</v>
      </c>
      <c r="X1538" s="23">
        <v>1537.0</v>
      </c>
    </row>
    <row r="1539">
      <c r="B1539" s="6">
        <v>17641.0</v>
      </c>
      <c r="C1539" s="12" t="str">
        <f t="shared" si="11"/>
        <v>U17641</v>
      </c>
      <c r="D1539" s="14" t="str">
        <f t="array" ref="D1539">iferror(index('2018_ufns'!E:E,match(C1539,'2018_ufns'!B:B,0)))</f>
        <v>P1165</v>
      </c>
      <c r="E1539" s="14">
        <v>43483.0</v>
      </c>
      <c r="F1539" s="40" t="s">
        <v>53</v>
      </c>
      <c r="G1539" s="40" t="s">
        <v>54</v>
      </c>
      <c r="H1539" s="9">
        <v>14.2</v>
      </c>
      <c r="I1539" s="13">
        <v>112.0</v>
      </c>
      <c r="J1539" s="13">
        <v>116.0</v>
      </c>
      <c r="K1539" s="17">
        <f t="shared" si="10"/>
        <v>0.9097338964</v>
      </c>
      <c r="L1539" s="9">
        <v>0.0</v>
      </c>
      <c r="O1539" s="9" t="s">
        <v>638</v>
      </c>
      <c r="P1539" s="40" t="s">
        <v>1729</v>
      </c>
      <c r="Q1539" s="9" t="s">
        <v>150</v>
      </c>
      <c r="R1539" s="9" t="s">
        <v>63</v>
      </c>
      <c r="S1539" s="9" t="s">
        <v>64</v>
      </c>
      <c r="T1539" t="str">
        <f t="shared" si="12"/>
        <v>N</v>
      </c>
      <c r="W1539" s="12" t="str">
        <f t="array" ref="W1539">if(and(L1539=0,Q1539="NA"),"NA",if(L1539=0,"no lice",if(Q1539="NA","no collection",index(sea_lice!G:G,match(C1539,sea_lice!A:A,0)))))</f>
        <v>no lice</v>
      </c>
      <c r="X1539" s="23">
        <v>1538.0</v>
      </c>
    </row>
    <row r="1540">
      <c r="B1540" s="6">
        <v>16531.0</v>
      </c>
      <c r="C1540" s="12" t="str">
        <f t="shared" si="11"/>
        <v>U16531</v>
      </c>
      <c r="D1540" s="14" t="str">
        <f t="array" ref="D1540">iferror(index('2018_ufns'!E:E,match(C1540,'2018_ufns'!B:B,0)))</f>
        <v>P1054</v>
      </c>
      <c r="E1540" s="14">
        <v>43483.0</v>
      </c>
      <c r="F1540" s="40" t="s">
        <v>53</v>
      </c>
      <c r="G1540" s="40" t="s">
        <v>54</v>
      </c>
      <c r="H1540" s="9">
        <v>20.7</v>
      </c>
      <c r="I1540" s="13">
        <v>124.0</v>
      </c>
      <c r="J1540" s="13">
        <v>128.0</v>
      </c>
      <c r="K1540" s="17">
        <f t="shared" si="10"/>
        <v>0.9870529175</v>
      </c>
      <c r="L1540" s="9">
        <v>0.0</v>
      </c>
      <c r="O1540" s="9" t="s">
        <v>638</v>
      </c>
      <c r="P1540" s="40" t="s">
        <v>1729</v>
      </c>
      <c r="Q1540" s="9" t="s">
        <v>150</v>
      </c>
      <c r="R1540" s="9" t="s">
        <v>63</v>
      </c>
      <c r="S1540" s="9" t="s">
        <v>64</v>
      </c>
      <c r="T1540" t="str">
        <f t="shared" si="12"/>
        <v>N</v>
      </c>
      <c r="W1540" s="12" t="str">
        <f t="array" ref="W1540">if(and(L1540=0,Q1540="NA"),"NA",if(L1540=0,"no lice",if(Q1540="NA","no collection",index(sea_lice!G:G,match(C1540,sea_lice!A:A,0)))))</f>
        <v>no lice</v>
      </c>
      <c r="X1540" s="23">
        <v>1539.0</v>
      </c>
    </row>
    <row r="1541">
      <c r="B1541" s="6">
        <v>17431.0</v>
      </c>
      <c r="C1541" s="12" t="str">
        <f t="shared" si="11"/>
        <v>U17431</v>
      </c>
      <c r="D1541" s="14" t="str">
        <f t="array" ref="D1541">iferror(index('2018_ufns'!E:E,match(C1541,'2018_ufns'!B:B,0)))</f>
        <v>P1144</v>
      </c>
      <c r="E1541" s="14">
        <v>43483.0</v>
      </c>
      <c r="F1541" s="40" t="s">
        <v>53</v>
      </c>
      <c r="G1541" s="40" t="s">
        <v>54</v>
      </c>
      <c r="H1541" s="9">
        <v>1.7</v>
      </c>
      <c r="I1541" s="13">
        <v>57.0</v>
      </c>
      <c r="J1541" s="13" t="s">
        <v>63</v>
      </c>
      <c r="K1541" s="17" t="str">
        <f t="shared" si="10"/>
        <v/>
      </c>
      <c r="L1541" s="9">
        <v>0.0</v>
      </c>
      <c r="O1541" s="9" t="s">
        <v>638</v>
      </c>
      <c r="P1541" s="40" t="s">
        <v>1729</v>
      </c>
      <c r="Q1541" s="9" t="s">
        <v>150</v>
      </c>
      <c r="R1541" s="9" t="s">
        <v>63</v>
      </c>
      <c r="S1541" s="9" t="s">
        <v>64</v>
      </c>
      <c r="T1541" t="str">
        <f t="shared" si="12"/>
        <v>N</v>
      </c>
      <c r="W1541" s="12" t="str">
        <f t="array" ref="W1541">if(and(L1541=0,Q1541="NA"),"NA",if(L1541=0,"no lice",if(Q1541="NA","no collection",index(sea_lice!G:G,match(C1541,sea_lice!A:A,0)))))</f>
        <v>no lice</v>
      </c>
      <c r="X1541" s="23">
        <v>1540.0</v>
      </c>
    </row>
    <row r="1542">
      <c r="B1542" s="6">
        <v>16633.0</v>
      </c>
      <c r="C1542" s="12" t="str">
        <f t="shared" si="11"/>
        <v>U16633</v>
      </c>
      <c r="D1542" s="14" t="str">
        <f t="array" ref="D1542">iferror(index('2018_ufns'!E:E,match(C1542,'2018_ufns'!B:B,0)))</f>
        <v>P1064</v>
      </c>
      <c r="E1542" s="14">
        <v>43483.0</v>
      </c>
      <c r="F1542" s="40" t="s">
        <v>53</v>
      </c>
      <c r="G1542" s="40" t="s">
        <v>54</v>
      </c>
      <c r="H1542" s="9">
        <v>26.3</v>
      </c>
      <c r="I1542" s="13">
        <v>137.0</v>
      </c>
      <c r="J1542" s="13">
        <v>143.0</v>
      </c>
      <c r="K1542" s="17">
        <f t="shared" si="10"/>
        <v>0.8993891335</v>
      </c>
      <c r="L1542" s="9">
        <v>1.0</v>
      </c>
      <c r="O1542" s="9" t="s">
        <v>64</v>
      </c>
      <c r="P1542" s="40" t="s">
        <v>1729</v>
      </c>
      <c r="Q1542" s="9" t="s">
        <v>150</v>
      </c>
      <c r="R1542" s="9" t="s">
        <v>63</v>
      </c>
      <c r="S1542" s="9" t="s">
        <v>638</v>
      </c>
      <c r="T1542" t="str">
        <f t="shared" si="12"/>
        <v>N</v>
      </c>
      <c r="W1542" s="12" t="str">
        <f t="array" ref="W1542">if(and(L1542=0,Q1542="NA"),"NA",if(L1542=0,"no lice",if(Q1542="NA","no collection",index(sea_lice!G:G,match(C1542,sea_lice!A:A,0)))))</f>
        <v>BSL8-74</v>
      </c>
      <c r="X1542" s="23">
        <v>1541.0</v>
      </c>
    </row>
    <row r="1543">
      <c r="B1543" s="6">
        <v>16637.0</v>
      </c>
      <c r="C1543" s="12" t="str">
        <f t="shared" si="11"/>
        <v>U16637</v>
      </c>
      <c r="D1543" s="14" t="str">
        <f t="array" ref="D1543">iferror(index('2018_ufns'!E:E,match(C1543,'2018_ufns'!B:B,0)))</f>
        <v>P1064</v>
      </c>
      <c r="E1543" s="14">
        <v>43483.0</v>
      </c>
      <c r="F1543" s="40" t="s">
        <v>53</v>
      </c>
      <c r="G1543" s="40" t="s">
        <v>54</v>
      </c>
      <c r="H1543" s="9">
        <v>18.5</v>
      </c>
      <c r="I1543" s="13">
        <v>120.0</v>
      </c>
      <c r="J1543" s="13">
        <v>126.0</v>
      </c>
      <c r="K1543" s="17">
        <f t="shared" si="10"/>
        <v>0.9248261327</v>
      </c>
      <c r="L1543" s="9">
        <v>0.0</v>
      </c>
      <c r="O1543" s="9" t="s">
        <v>64</v>
      </c>
      <c r="P1543" s="40" t="s">
        <v>1729</v>
      </c>
      <c r="Q1543" s="9" t="s">
        <v>150</v>
      </c>
      <c r="R1543" s="9" t="s">
        <v>63</v>
      </c>
      <c r="S1543" s="9" t="s">
        <v>638</v>
      </c>
      <c r="T1543" t="str">
        <f t="shared" si="12"/>
        <v>N</v>
      </c>
      <c r="W1543" s="12" t="str">
        <f t="array" ref="W1543">if(and(L1543=0,Q1543="NA"),"NA",if(L1543=0,"no lice",if(Q1543="NA","no collection",index(sea_lice!G:G,match(C1543,sea_lice!A:A,0)))))</f>
        <v>no lice</v>
      </c>
      <c r="X1543" s="23">
        <v>1542.0</v>
      </c>
    </row>
    <row r="1544">
      <c r="B1544" s="6">
        <v>17250.0</v>
      </c>
      <c r="C1544" s="12" t="str">
        <f t="shared" si="11"/>
        <v>U17250</v>
      </c>
      <c r="D1544" s="14" t="str">
        <f t="array" ref="D1544">iferror(index('2018_ufns'!E:E,match(C1544,'2018_ufns'!B:B,0)))</f>
        <v>P1125</v>
      </c>
      <c r="E1544" s="14">
        <v>43483.0</v>
      </c>
      <c r="F1544" s="40" t="s">
        <v>53</v>
      </c>
      <c r="G1544" s="40" t="s">
        <v>54</v>
      </c>
      <c r="H1544" s="9">
        <v>18.2</v>
      </c>
      <c r="I1544" s="13">
        <v>120.0</v>
      </c>
      <c r="J1544" s="13">
        <v>125.0</v>
      </c>
      <c r="K1544" s="17">
        <f t="shared" si="10"/>
        <v>0.93184</v>
      </c>
      <c r="L1544" s="9">
        <v>0.0</v>
      </c>
      <c r="O1544" s="9" t="s">
        <v>64</v>
      </c>
      <c r="P1544" s="40" t="s">
        <v>1729</v>
      </c>
      <c r="Q1544" s="9" t="s">
        <v>150</v>
      </c>
      <c r="R1544" s="9" t="s">
        <v>63</v>
      </c>
      <c r="S1544" s="9" t="s">
        <v>638</v>
      </c>
      <c r="T1544" t="str">
        <f t="shared" si="12"/>
        <v>N</v>
      </c>
      <c r="W1544" s="12" t="str">
        <f t="array" ref="W1544">if(and(L1544=0,Q1544="NA"),"NA",if(L1544=0,"no lice",if(Q1544="NA","no collection",index(sea_lice!G:G,match(C1544,sea_lice!A:A,0)))))</f>
        <v>no lice</v>
      </c>
      <c r="X1544" s="23">
        <v>1543.0</v>
      </c>
    </row>
    <row r="1545">
      <c r="B1545" s="6">
        <v>17249.0</v>
      </c>
      <c r="C1545" s="12" t="str">
        <f t="shared" si="11"/>
        <v>U17249</v>
      </c>
      <c r="D1545" s="14" t="str">
        <f t="array" ref="D1545">iferror(index('2018_ufns'!E:E,match(C1545,'2018_ufns'!B:B,0)))</f>
        <v>P1125</v>
      </c>
      <c r="E1545" s="14">
        <v>43483.0</v>
      </c>
      <c r="F1545" s="40" t="s">
        <v>53</v>
      </c>
      <c r="G1545" s="40" t="s">
        <v>54</v>
      </c>
      <c r="H1545" s="9">
        <v>18.1</v>
      </c>
      <c r="I1545" s="13">
        <v>126.0</v>
      </c>
      <c r="J1545" s="13">
        <v>131.0</v>
      </c>
      <c r="K1545" s="17">
        <f t="shared" si="10"/>
        <v>0.8051275504</v>
      </c>
      <c r="L1545" s="9">
        <v>0.0</v>
      </c>
      <c r="O1545" s="9" t="s">
        <v>64</v>
      </c>
      <c r="P1545" s="40" t="s">
        <v>1729</v>
      </c>
      <c r="Q1545" s="9" t="s">
        <v>150</v>
      </c>
      <c r="R1545" s="9" t="s">
        <v>63</v>
      </c>
      <c r="S1545" s="9" t="s">
        <v>638</v>
      </c>
      <c r="T1545" t="str">
        <f t="shared" si="12"/>
        <v>N</v>
      </c>
      <c r="W1545" s="12" t="str">
        <f t="array" ref="W1545">if(and(L1545=0,Q1545="NA"),"NA",if(L1545=0,"no lice",if(Q1545="NA","no collection",index(sea_lice!G:G,match(C1545,sea_lice!A:A,0)))))</f>
        <v>no lice</v>
      </c>
      <c r="X1545" s="23">
        <v>1544.0</v>
      </c>
    </row>
    <row r="1546">
      <c r="B1546" s="6">
        <v>17247.0</v>
      </c>
      <c r="C1546" s="12" t="str">
        <f t="shared" si="11"/>
        <v>U17247</v>
      </c>
      <c r="D1546" s="14" t="str">
        <f t="array" ref="D1546">iferror(index('2018_ufns'!E:E,match(C1546,'2018_ufns'!B:B,0)))</f>
        <v>P1125</v>
      </c>
      <c r="E1546" s="14">
        <v>43483.0</v>
      </c>
      <c r="F1546" s="40" t="s">
        <v>53</v>
      </c>
      <c r="G1546" s="40" t="s">
        <v>54</v>
      </c>
      <c r="H1546" s="9">
        <v>9.9</v>
      </c>
      <c r="I1546" s="13">
        <v>97.0</v>
      </c>
      <c r="J1546" s="13" t="s">
        <v>63</v>
      </c>
      <c r="K1546" s="17" t="str">
        <f t="shared" si="10"/>
        <v/>
      </c>
      <c r="L1546" s="9">
        <v>0.0</v>
      </c>
      <c r="O1546" s="9" t="s">
        <v>64</v>
      </c>
      <c r="P1546" s="40" t="s">
        <v>1729</v>
      </c>
      <c r="Q1546" s="9" t="s">
        <v>150</v>
      </c>
      <c r="R1546" s="9" t="s">
        <v>63</v>
      </c>
      <c r="S1546" s="9" t="s">
        <v>638</v>
      </c>
      <c r="T1546" t="str">
        <f t="shared" si="12"/>
        <v>N</v>
      </c>
      <c r="W1546" s="12" t="str">
        <f t="array" ref="W1546">if(and(L1546=0,Q1546="NA"),"NA",if(L1546=0,"no lice",if(Q1546="NA","no collection",index(sea_lice!G:G,match(C1546,sea_lice!A:A,0)))))</f>
        <v>no lice</v>
      </c>
      <c r="X1546" s="23">
        <v>1545.0</v>
      </c>
    </row>
    <row r="1547">
      <c r="B1547" s="6">
        <v>17248.0</v>
      </c>
      <c r="C1547" s="12" t="str">
        <f t="shared" si="11"/>
        <v>U17248</v>
      </c>
      <c r="D1547" s="14" t="str">
        <f t="array" ref="D1547">iferror(index('2018_ufns'!E:E,match(C1547,'2018_ufns'!B:B,0)))</f>
        <v>P1125</v>
      </c>
      <c r="E1547" s="14">
        <v>43483.0</v>
      </c>
      <c r="F1547" s="40" t="s">
        <v>53</v>
      </c>
      <c r="G1547" s="40" t="s">
        <v>54</v>
      </c>
      <c r="H1547" s="9">
        <v>19.4</v>
      </c>
      <c r="I1547" s="13">
        <v>125.0</v>
      </c>
      <c r="J1547" s="13">
        <v>130.0</v>
      </c>
      <c r="K1547" s="17">
        <f t="shared" si="10"/>
        <v>0.8830223031</v>
      </c>
      <c r="L1547" s="9">
        <v>0.0</v>
      </c>
      <c r="O1547" s="9" t="s">
        <v>64</v>
      </c>
      <c r="P1547" s="40" t="s">
        <v>1729</v>
      </c>
      <c r="Q1547" s="9" t="s">
        <v>150</v>
      </c>
      <c r="R1547" s="9" t="s">
        <v>63</v>
      </c>
      <c r="S1547" s="9" t="s">
        <v>638</v>
      </c>
      <c r="T1547" t="str">
        <f t="shared" si="12"/>
        <v>N</v>
      </c>
      <c r="W1547" s="12" t="str">
        <f t="array" ref="W1547">if(and(L1547=0,Q1547="NA"),"NA",if(L1547=0,"no lice",if(Q1547="NA","no collection",index(sea_lice!G:G,match(C1547,sea_lice!A:A,0)))))</f>
        <v>no lice</v>
      </c>
      <c r="X1547" s="23">
        <v>1546.0</v>
      </c>
    </row>
    <row r="1548">
      <c r="B1548" s="6">
        <v>17245.0</v>
      </c>
      <c r="C1548" s="12" t="str">
        <f t="shared" si="11"/>
        <v>U17245</v>
      </c>
      <c r="D1548" s="14" t="str">
        <f t="array" ref="D1548">iferror(index('2018_ufns'!E:E,match(C1548,'2018_ufns'!B:B,0)))</f>
        <v>P1125</v>
      </c>
      <c r="E1548" s="14">
        <v>43483.0</v>
      </c>
      <c r="F1548" s="40" t="s">
        <v>53</v>
      </c>
      <c r="G1548" s="40" t="s">
        <v>54</v>
      </c>
      <c r="H1548" s="9">
        <v>18.6</v>
      </c>
      <c r="I1548" s="13">
        <v>121.0</v>
      </c>
      <c r="J1548" s="13">
        <v>127.0</v>
      </c>
      <c r="K1548" s="17">
        <f t="shared" si="10"/>
        <v>0.9080333121</v>
      </c>
      <c r="L1548" s="9">
        <v>0.0</v>
      </c>
      <c r="O1548" s="9" t="s">
        <v>64</v>
      </c>
      <c r="P1548" s="40" t="s">
        <v>1729</v>
      </c>
      <c r="Q1548" s="9" t="s">
        <v>150</v>
      </c>
      <c r="R1548" s="9" t="s">
        <v>63</v>
      </c>
      <c r="S1548" s="9" t="s">
        <v>638</v>
      </c>
      <c r="T1548" t="str">
        <f t="shared" si="12"/>
        <v>N</v>
      </c>
      <c r="W1548" s="12" t="str">
        <f t="array" ref="W1548">if(and(L1548=0,Q1548="NA"),"NA",if(L1548=0,"no lice",if(Q1548="NA","no collection",index(sea_lice!G:G,match(C1548,sea_lice!A:A,0)))))</f>
        <v>no lice</v>
      </c>
      <c r="X1548" s="23">
        <v>1547.0</v>
      </c>
    </row>
    <row r="1549">
      <c r="B1549" s="6">
        <v>17246.0</v>
      </c>
      <c r="C1549" s="12" t="str">
        <f t="shared" si="11"/>
        <v>U17246</v>
      </c>
      <c r="D1549" s="14" t="str">
        <f t="array" ref="D1549">iferror(index('2018_ufns'!E:E,match(C1549,'2018_ufns'!B:B,0)))</f>
        <v>P1125</v>
      </c>
      <c r="E1549" s="14">
        <v>43483.0</v>
      </c>
      <c r="F1549" s="40" t="s">
        <v>53</v>
      </c>
      <c r="G1549" s="40" t="s">
        <v>54</v>
      </c>
      <c r="H1549" s="9">
        <v>16.4</v>
      </c>
      <c r="I1549" s="13">
        <v>119.0</v>
      </c>
      <c r="J1549" s="13">
        <v>124.0</v>
      </c>
      <c r="K1549" s="17">
        <f t="shared" si="10"/>
        <v>0.8601591085</v>
      </c>
      <c r="L1549" s="9">
        <v>0.0</v>
      </c>
      <c r="O1549" s="9" t="s">
        <v>64</v>
      </c>
      <c r="P1549" s="40" t="s">
        <v>1729</v>
      </c>
      <c r="Q1549" s="9" t="s">
        <v>150</v>
      </c>
      <c r="R1549" s="9" t="s">
        <v>63</v>
      </c>
      <c r="S1549" s="9" t="s">
        <v>638</v>
      </c>
      <c r="T1549" t="str">
        <f t="shared" si="12"/>
        <v>N</v>
      </c>
      <c r="W1549" s="12" t="str">
        <f t="array" ref="W1549">if(and(L1549=0,Q1549="NA"),"NA",if(L1549=0,"no lice",if(Q1549="NA","no collection",index(sea_lice!G:G,match(C1549,sea_lice!A:A,0)))))</f>
        <v>no lice</v>
      </c>
      <c r="X1549" s="23">
        <v>1548.0</v>
      </c>
    </row>
    <row r="1550">
      <c r="B1550" s="6">
        <v>17243.0</v>
      </c>
      <c r="C1550" s="12" t="str">
        <f t="shared" si="11"/>
        <v>U17243</v>
      </c>
      <c r="D1550" s="14" t="str">
        <f t="array" ref="D1550">iferror(index('2018_ufns'!E:E,match(C1550,'2018_ufns'!B:B,0)))</f>
        <v>P1125</v>
      </c>
      <c r="E1550" s="14">
        <v>43483.0</v>
      </c>
      <c r="F1550" s="40" t="s">
        <v>53</v>
      </c>
      <c r="G1550" s="40" t="s">
        <v>54</v>
      </c>
      <c r="H1550" s="9">
        <v>17.9</v>
      </c>
      <c r="I1550" s="13">
        <v>112.0</v>
      </c>
      <c r="J1550" s="13">
        <v>116.0</v>
      </c>
      <c r="K1550" s="17">
        <f t="shared" si="10"/>
        <v>1.146777236</v>
      </c>
      <c r="L1550" s="9">
        <v>0.0</v>
      </c>
      <c r="O1550" s="9" t="s">
        <v>64</v>
      </c>
      <c r="P1550" s="40" t="s">
        <v>1729</v>
      </c>
      <c r="Q1550" s="9" t="s">
        <v>150</v>
      </c>
      <c r="R1550" s="9" t="s">
        <v>63</v>
      </c>
      <c r="S1550" s="9" t="s">
        <v>638</v>
      </c>
      <c r="T1550" t="str">
        <f t="shared" si="12"/>
        <v>N</v>
      </c>
      <c r="W1550" s="12" t="str">
        <f t="array" ref="W1550">if(and(L1550=0,Q1550="NA"),"NA",if(L1550=0,"no lice",if(Q1550="NA","no collection",index(sea_lice!G:G,match(C1550,sea_lice!A:A,0)))))</f>
        <v>no lice</v>
      </c>
      <c r="X1550" s="23">
        <v>1549.0</v>
      </c>
    </row>
    <row r="1551">
      <c r="B1551" s="6">
        <v>17244.0</v>
      </c>
      <c r="C1551" s="12" t="str">
        <f t="shared" si="11"/>
        <v>U17244</v>
      </c>
      <c r="D1551" s="14" t="str">
        <f t="array" ref="D1551">iferror(index('2018_ufns'!E:E,match(C1551,'2018_ufns'!B:B,0)))</f>
        <v>P1125</v>
      </c>
      <c r="E1551" s="14">
        <v>43483.0</v>
      </c>
      <c r="F1551" s="40" t="s">
        <v>53</v>
      </c>
      <c r="G1551" s="40" t="s">
        <v>54</v>
      </c>
      <c r="H1551" s="9">
        <v>22.7</v>
      </c>
      <c r="I1551" s="13">
        <v>129.0</v>
      </c>
      <c r="J1551" s="13">
        <v>134.0</v>
      </c>
      <c r="K1551" s="17">
        <f t="shared" si="10"/>
        <v>0.9434338665</v>
      </c>
      <c r="L1551" s="9">
        <v>0.0</v>
      </c>
      <c r="O1551" s="9" t="s">
        <v>64</v>
      </c>
      <c r="P1551" s="40" t="s">
        <v>1729</v>
      </c>
      <c r="Q1551" s="9" t="s">
        <v>150</v>
      </c>
      <c r="R1551" s="9" t="s">
        <v>63</v>
      </c>
      <c r="S1551" s="9" t="s">
        <v>638</v>
      </c>
      <c r="T1551" t="str">
        <f t="shared" si="12"/>
        <v>N</v>
      </c>
      <c r="W1551" s="12" t="str">
        <f t="array" ref="W1551">if(and(L1551=0,Q1551="NA"),"NA",if(L1551=0,"no lice",if(Q1551="NA","no collection",index(sea_lice!G:G,match(C1551,sea_lice!A:A,0)))))</f>
        <v>no lice</v>
      </c>
      <c r="X1551" s="23">
        <v>1550.0</v>
      </c>
    </row>
    <row r="1552">
      <c r="B1552" s="6">
        <v>17242.0</v>
      </c>
      <c r="C1552" s="12" t="str">
        <f t="shared" si="11"/>
        <v>U17242</v>
      </c>
      <c r="D1552" s="14" t="str">
        <f t="array" ref="D1552">iferror(index('2018_ufns'!E:E,match(C1552,'2018_ufns'!B:B,0)))</f>
        <v>P1125</v>
      </c>
      <c r="E1552" s="14">
        <v>43483.0</v>
      </c>
      <c r="F1552" s="40" t="s">
        <v>53</v>
      </c>
      <c r="G1552" s="40" t="s">
        <v>54</v>
      </c>
      <c r="H1552" s="9">
        <v>13.3</v>
      </c>
      <c r="I1552" s="13">
        <v>109.0</v>
      </c>
      <c r="J1552" s="13">
        <v>115.0</v>
      </c>
      <c r="K1552" s="17">
        <f t="shared" si="10"/>
        <v>0.8744965891</v>
      </c>
      <c r="L1552" s="9">
        <v>0.0</v>
      </c>
      <c r="O1552" s="9" t="s">
        <v>64</v>
      </c>
      <c r="P1552" s="40" t="s">
        <v>1729</v>
      </c>
      <c r="Q1552" s="9" t="s">
        <v>150</v>
      </c>
      <c r="R1552" s="9" t="s">
        <v>63</v>
      </c>
      <c r="S1552" s="9" t="s">
        <v>638</v>
      </c>
      <c r="T1552" t="str">
        <f t="shared" si="12"/>
        <v>N</v>
      </c>
      <c r="W1552" s="12" t="str">
        <f t="array" ref="W1552">if(and(L1552=0,Q1552="NA"),"NA",if(L1552=0,"no lice",if(Q1552="NA","no collection",index(sea_lice!G:G,match(C1552,sea_lice!A:A,0)))))</f>
        <v>no lice</v>
      </c>
      <c r="X1552" s="23">
        <v>1551.0</v>
      </c>
    </row>
    <row r="1553">
      <c r="B1553" s="6">
        <v>17241.0</v>
      </c>
      <c r="C1553" s="12" t="str">
        <f t="shared" si="11"/>
        <v>U17241</v>
      </c>
      <c r="D1553" s="14" t="str">
        <f t="array" ref="D1553">iferror(index('2018_ufns'!E:E,match(C1553,'2018_ufns'!B:B,0)))</f>
        <v>P1125</v>
      </c>
      <c r="E1553" s="14">
        <v>43483.0</v>
      </c>
      <c r="F1553" s="40" t="s">
        <v>53</v>
      </c>
      <c r="G1553" s="40" t="s">
        <v>54</v>
      </c>
      <c r="H1553" s="9">
        <v>16.0</v>
      </c>
      <c r="I1553" s="13">
        <v>112.0</v>
      </c>
      <c r="J1553" s="13" t="s">
        <v>63</v>
      </c>
      <c r="K1553" s="17" t="str">
        <f t="shared" si="10"/>
        <v/>
      </c>
      <c r="L1553" s="9">
        <v>0.0</v>
      </c>
      <c r="O1553" s="9" t="s">
        <v>64</v>
      </c>
      <c r="P1553" s="40" t="s">
        <v>1729</v>
      </c>
      <c r="Q1553" s="9" t="s">
        <v>150</v>
      </c>
      <c r="R1553" s="9" t="s">
        <v>63</v>
      </c>
      <c r="S1553" s="9" t="s">
        <v>638</v>
      </c>
      <c r="T1553" t="str">
        <f t="shared" si="12"/>
        <v>N</v>
      </c>
      <c r="W1553" s="12" t="str">
        <f t="array" ref="W1553">if(and(L1553=0,Q1553="NA"),"NA",if(L1553=0,"no lice",if(Q1553="NA","no collection",index(sea_lice!G:G,match(C1553,sea_lice!A:A,0)))))</f>
        <v>no lice</v>
      </c>
      <c r="X1553" s="23">
        <v>1552.0</v>
      </c>
    </row>
    <row r="1554">
      <c r="B1554" s="6">
        <v>16851.0</v>
      </c>
      <c r="C1554" s="12" t="str">
        <f t="shared" si="11"/>
        <v>U16851</v>
      </c>
      <c r="D1554" s="14" t="str">
        <f t="array" ref="D1554">iferror(index('2018_ufns'!E:E,match(C1554,'2018_ufns'!B:B,0)))</f>
        <v>P1086</v>
      </c>
      <c r="E1554" s="14">
        <v>43483.0</v>
      </c>
      <c r="F1554" s="40" t="s">
        <v>53</v>
      </c>
      <c r="G1554" s="40" t="s">
        <v>54</v>
      </c>
      <c r="H1554" s="9">
        <v>32.4</v>
      </c>
      <c r="I1554" s="13">
        <v>143.0</v>
      </c>
      <c r="J1554" s="13">
        <v>149.0</v>
      </c>
      <c r="K1554" s="17">
        <f t="shared" si="10"/>
        <v>0.9794588732</v>
      </c>
      <c r="L1554" s="9">
        <v>0.0</v>
      </c>
      <c r="O1554" s="9" t="s">
        <v>64</v>
      </c>
      <c r="P1554" s="40" t="s">
        <v>1729</v>
      </c>
      <c r="Q1554" s="9" t="s">
        <v>150</v>
      </c>
      <c r="R1554" s="9" t="s">
        <v>63</v>
      </c>
      <c r="S1554" s="9" t="s">
        <v>638</v>
      </c>
      <c r="T1554" t="str">
        <f t="shared" si="12"/>
        <v>N</v>
      </c>
      <c r="W1554" s="12" t="str">
        <f t="array" ref="W1554">if(and(L1554=0,Q1554="NA"),"NA",if(L1554=0,"no lice",if(Q1554="NA","no collection",index(sea_lice!G:G,match(C1554,sea_lice!A:A,0)))))</f>
        <v>no lice</v>
      </c>
      <c r="X1554" s="23">
        <v>1553.0</v>
      </c>
    </row>
    <row r="1555">
      <c r="B1555" s="6">
        <v>16855.0</v>
      </c>
      <c r="C1555" s="12" t="str">
        <f t="shared" si="11"/>
        <v>U16855</v>
      </c>
      <c r="D1555" s="14" t="str">
        <f t="array" ref="D1555">iferror(index('2018_ufns'!E:E,match(C1555,'2018_ufns'!B:B,0)))</f>
        <v>P1086</v>
      </c>
      <c r="E1555" s="14">
        <v>43483.0</v>
      </c>
      <c r="F1555" s="40" t="s">
        <v>53</v>
      </c>
      <c r="G1555" s="40" t="s">
        <v>54</v>
      </c>
      <c r="H1555" s="9">
        <v>24.0</v>
      </c>
      <c r="I1555" s="13">
        <v>126.0</v>
      </c>
      <c r="J1555" s="13">
        <v>131.0</v>
      </c>
      <c r="K1555" s="17">
        <f t="shared" si="10"/>
        <v>1.067572443</v>
      </c>
      <c r="L1555" s="9">
        <v>0.0</v>
      </c>
      <c r="O1555" s="9" t="s">
        <v>64</v>
      </c>
      <c r="P1555" s="40" t="s">
        <v>1729</v>
      </c>
      <c r="Q1555" s="9" t="s">
        <v>150</v>
      </c>
      <c r="R1555" s="9" t="s">
        <v>63</v>
      </c>
      <c r="S1555" s="9" t="s">
        <v>638</v>
      </c>
      <c r="T1555" t="str">
        <f t="shared" si="12"/>
        <v>N</v>
      </c>
      <c r="W1555" s="12" t="str">
        <f t="array" ref="W1555">if(and(L1555=0,Q1555="NA"),"NA",if(L1555=0,"no lice",if(Q1555="NA","no collection",index(sea_lice!G:G,match(C1555,sea_lice!A:A,0)))))</f>
        <v>no lice</v>
      </c>
      <c r="X1555" s="23">
        <v>1554.0</v>
      </c>
    </row>
    <row r="1556">
      <c r="B1556" s="6">
        <v>16852.0</v>
      </c>
      <c r="C1556" s="12" t="str">
        <f t="shared" si="11"/>
        <v>U16852</v>
      </c>
      <c r="D1556" s="14" t="str">
        <f t="array" ref="D1556">iferror(index('2018_ufns'!E:E,match(C1556,'2018_ufns'!B:B,0)))</f>
        <v>P1086</v>
      </c>
      <c r="E1556" s="14">
        <v>43483.0</v>
      </c>
      <c r="F1556" s="40" t="s">
        <v>53</v>
      </c>
      <c r="G1556" s="40" t="s">
        <v>54</v>
      </c>
      <c r="H1556" s="9">
        <v>21.2</v>
      </c>
      <c r="I1556" s="13">
        <v>120.0</v>
      </c>
      <c r="J1556" s="13">
        <v>126.0</v>
      </c>
      <c r="K1556" s="17">
        <f t="shared" si="10"/>
        <v>1.059800757</v>
      </c>
      <c r="L1556" s="9">
        <v>0.0</v>
      </c>
      <c r="O1556" s="9" t="s">
        <v>64</v>
      </c>
      <c r="P1556" s="40" t="s">
        <v>1729</v>
      </c>
      <c r="Q1556" s="9" t="s">
        <v>150</v>
      </c>
      <c r="R1556" s="9" t="s">
        <v>63</v>
      </c>
      <c r="S1556" s="9" t="s">
        <v>638</v>
      </c>
      <c r="T1556" t="str">
        <f t="shared" si="12"/>
        <v>N</v>
      </c>
      <c r="W1556" s="12" t="str">
        <f t="array" ref="W1556">if(and(L1556=0,Q1556="NA"),"NA",if(L1556=0,"no lice",if(Q1556="NA","no collection",index(sea_lice!G:G,match(C1556,sea_lice!A:A,0)))))</f>
        <v>no lice</v>
      </c>
      <c r="X1556" s="23">
        <v>1555.0</v>
      </c>
    </row>
    <row r="1557">
      <c r="B1557" s="6">
        <v>16854.0</v>
      </c>
      <c r="C1557" s="12" t="str">
        <f t="shared" si="11"/>
        <v>U16854</v>
      </c>
      <c r="D1557" s="14" t="str">
        <f t="array" ref="D1557">iferror(index('2018_ufns'!E:E,match(C1557,'2018_ufns'!B:B,0)))</f>
        <v>P1086</v>
      </c>
      <c r="E1557" s="14">
        <v>43483.0</v>
      </c>
      <c r="F1557" s="40" t="s">
        <v>53</v>
      </c>
      <c r="G1557" s="40" t="s">
        <v>54</v>
      </c>
      <c r="H1557" s="9">
        <v>39.9</v>
      </c>
      <c r="I1557" s="13">
        <v>153.0</v>
      </c>
      <c r="J1557" s="13" t="s">
        <v>63</v>
      </c>
      <c r="K1557" s="17" t="str">
        <f t="shared" si="10"/>
        <v/>
      </c>
      <c r="L1557" s="9">
        <v>0.0</v>
      </c>
      <c r="O1557" s="9" t="s">
        <v>64</v>
      </c>
      <c r="P1557" s="40" t="s">
        <v>1729</v>
      </c>
      <c r="Q1557" s="9" t="s">
        <v>150</v>
      </c>
      <c r="R1557" s="9" t="s">
        <v>63</v>
      </c>
      <c r="S1557" s="9" t="s">
        <v>638</v>
      </c>
      <c r="T1557" t="str">
        <f t="shared" si="12"/>
        <v>N</v>
      </c>
      <c r="W1557" s="12" t="str">
        <f t="array" ref="W1557">if(and(L1557=0,Q1557="NA"),"NA",if(L1557=0,"no lice",if(Q1557="NA","no collection",index(sea_lice!G:G,match(C1557,sea_lice!A:A,0)))))</f>
        <v>no lice</v>
      </c>
      <c r="X1557" s="23">
        <v>1556.0</v>
      </c>
    </row>
    <row r="1558">
      <c r="B1558" s="6">
        <v>16853.0</v>
      </c>
      <c r="C1558" s="12" t="str">
        <f t="shared" si="11"/>
        <v>U16853</v>
      </c>
      <c r="D1558" s="14" t="str">
        <f t="array" ref="D1558">iferror(index('2018_ufns'!E:E,match(C1558,'2018_ufns'!B:B,0)))</f>
        <v>P1086</v>
      </c>
      <c r="E1558" s="14">
        <v>43483.0</v>
      </c>
      <c r="F1558" s="40" t="s">
        <v>53</v>
      </c>
      <c r="G1558" s="40" t="s">
        <v>54</v>
      </c>
      <c r="H1558" s="9">
        <v>20.4</v>
      </c>
      <c r="I1558" s="13">
        <v>123.0</v>
      </c>
      <c r="J1558" s="13">
        <v>128.0</v>
      </c>
      <c r="K1558" s="17">
        <f t="shared" si="10"/>
        <v>0.9727478027</v>
      </c>
      <c r="L1558" s="9">
        <v>0.0</v>
      </c>
      <c r="O1558" s="9" t="s">
        <v>64</v>
      </c>
      <c r="P1558" s="40" t="s">
        <v>1729</v>
      </c>
      <c r="Q1558" s="9" t="s">
        <v>150</v>
      </c>
      <c r="R1558" s="9" t="s">
        <v>63</v>
      </c>
      <c r="S1558" s="9" t="s">
        <v>638</v>
      </c>
      <c r="T1558" t="str">
        <f t="shared" si="12"/>
        <v>N</v>
      </c>
      <c r="W1558" s="12" t="str">
        <f t="array" ref="W1558">if(and(L1558=0,Q1558="NA"),"NA",if(L1558=0,"no lice",if(Q1558="NA","no collection",index(sea_lice!G:G,match(C1558,sea_lice!A:A,0)))))</f>
        <v>no lice</v>
      </c>
      <c r="X1558" s="23">
        <v>1557.0</v>
      </c>
    </row>
  </sheetData>
  <customSheetViews>
    <customSheetView guid="{176A3B82-B02F-4171-AD95-67F11276393C}" filter="1" showAutoFilter="1">
      <autoFilter ref="$A$1:$X$1558">
        <filterColumn colId="18">
          <filters/>
        </filterColumn>
      </autoFilter>
    </customSheetView>
  </customSheetViews>
  <conditionalFormatting sqref="K2:K1558">
    <cfRule type="cellIs" dxfId="1" priority="1" operator="notBetween">
      <formula>0.7</formula>
      <formula>1.3</formula>
    </cfRule>
  </conditionalFormatting>
  <conditionalFormatting sqref="T1:T1558">
    <cfRule type="cellIs" dxfId="0" priority="2" operator="equal">
      <formula>"Y"</formula>
    </cfRule>
  </conditionalFormatting>
  <conditionalFormatting sqref="K1:K1558">
    <cfRule type="notContainsBlanks" dxfId="2" priority="3">
      <formula>LEN(TRIM(K1))&gt;0</formula>
    </cfRule>
  </conditionalFormatting>
  <dataValidations>
    <dataValidation type="list" allowBlank="1" showErrorMessage="1" sqref="F2:F1558">
      <formula1>"none,cwt"</formula1>
    </dataValidation>
    <dataValidation type="decimal" allowBlank="1" showDropDown="1" sqref="H2:H146 H148 H151:H841 H843 H857:H1558">
      <formula1>1.0</formula1>
      <formula2>100.0</formula2>
    </dataValidation>
    <dataValidation type="custom" allowBlank="1" showDropDown="1" showInputMessage="1" showErrorMessage="1" prompt="Ensure there are no duplicate UFNs." sqref="B449:B454">
      <formula1>countif(B:B,B443:B449)=1</formula1>
    </dataValidation>
    <dataValidation type="decimal" allowBlank="1" showDropDown="1" sqref="J827">
      <formula1>30.0</formula1>
      <formula2>200.0</formula2>
    </dataValidation>
    <dataValidation type="decimal" allowBlank="1" showDropDown="1" sqref="J825">
      <formula1>30.0</formula1>
      <formula2>200.0</formula2>
    </dataValidation>
    <dataValidation type="decimal" allowBlank="1" showDropDown="1" sqref="H150 H856">
      <formula1>1.0</formula1>
      <formula2>100.0</formula2>
    </dataValidation>
    <dataValidation type="list" allowBlank="1" showDropDown="1" showInputMessage="1" showErrorMessage="1" prompt="Ensure that the SEMSP ID correct and that there are no leading zeroes before the fish number." sqref="A1:A358 A361:A1558">
      <formula1>semsp_ids!$A:$A</formula1>
    </dataValidation>
    <dataValidation type="decimal" allowBlank="1" showDropDown="1" sqref="H149 H844:H855">
      <formula1>1.0</formula1>
      <formula2>100.0</formula2>
    </dataValidation>
    <dataValidation type="decimal" allowBlank="1" showDropDown="1" sqref="I721">
      <formula1>30.0</formula1>
      <formula2>200.0</formula2>
    </dataValidation>
    <dataValidation type="decimal" allowBlank="1" showDropDown="1" sqref="I2:J704 J705 I706:J706 J707:J721 I722:J817 I818:I819 I820:J821 I822:I827 I828:J1558">
      <formula1>30.0</formula1>
      <formula2>200.0</formula2>
    </dataValidation>
    <dataValidation type="list" allowBlank="1" showErrorMessage="1" sqref="G2:G1558">
      <formula1>"present,absent"</formula1>
    </dataValidation>
    <dataValidation type="list" allowBlank="1" showErrorMessage="1" sqref="Q2:Q1558">
      <formula1>data_validation!$B$2:$B1558</formula1>
    </dataValidation>
    <dataValidation type="list" allowBlank="1" showErrorMessage="1" sqref="R2:R1558">
      <formula1>data_validation!$C$2:$C1558</formula1>
    </dataValidation>
    <dataValidation type="decimal" allowBlank="1" showDropDown="1" sqref="J822">
      <formula1>30.0</formula1>
      <formula2>200.0</formula2>
    </dataValidation>
    <dataValidation type="custom" allowBlank="1" showDropDown="1" showInputMessage="1" showErrorMessage="1" prompt="Ensure there are no duplicate UFNs." sqref="B1:B435 B442:B447 B455:B942 B944:B1558">
      <formula1>countif(B:B,B1)=1</formula1>
    </dataValidation>
    <dataValidation type="decimal" allowBlank="1" showDropDown="1" sqref="I707:I720">
      <formula1>30.0</formula1>
      <formula2>200.0</formula2>
    </dataValidation>
    <dataValidation type="decimal" allowBlank="1" showDropDown="1" sqref="J823">
      <formula1>30.0</formula1>
      <formula2>200.0</formula2>
    </dataValidation>
    <dataValidation type="list" allowBlank="1" showErrorMessage="1" sqref="P2:P1558">
      <formula1>data_validation!$A$2:$A1558</formula1>
    </dataValidation>
    <dataValidation type="decimal" allowBlank="1" showDropDown="1" showInputMessage="1" prompt="Condition factor should be between 0.7 and 1.3" sqref="K2:K1558">
      <formula1>0.7</formula1>
      <formula2>1.3</formula2>
    </dataValidation>
    <dataValidation type="custom" allowBlank="1" showDropDown="1" showInputMessage="1" showErrorMessage="1" prompt="Ensure there are no duplicate UFNs." sqref="B448">
      <formula1>countif(B:B,B448:B454)=1</formula1>
    </dataValidation>
  </dataValidations>
  <printOptions gridLines="1" horizontalCentered="1"/>
  <pageMargins bottom="0.75" footer="0.0" header="0.0" left="0.7" right="0.7" top="0.75"/>
  <pageSetup fitToHeight="0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FFFF00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4" max="14" width="13.71"/>
    <col customWidth="1" min="15" max="15" width="18.29"/>
    <col customWidth="1" min="16" max="16" width="16.29"/>
  </cols>
  <sheetData>
    <row r="1">
      <c r="A1" s="2" t="s">
        <v>0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9</v>
      </c>
      <c r="H1" s="2" t="s">
        <v>10</v>
      </c>
      <c r="I1" s="2" t="s">
        <v>11</v>
      </c>
      <c r="J1" s="2" t="s">
        <v>12</v>
      </c>
      <c r="K1" s="2" t="s">
        <v>13</v>
      </c>
      <c r="L1" s="2" t="s">
        <v>14</v>
      </c>
      <c r="M1" s="20" t="s">
        <v>15</v>
      </c>
      <c r="N1" s="21" t="s">
        <v>40</v>
      </c>
      <c r="O1" s="21" t="s">
        <v>80</v>
      </c>
      <c r="P1" s="21" t="s">
        <v>22</v>
      </c>
      <c r="Q1" s="21" t="s">
        <v>81</v>
      </c>
    </row>
    <row r="2">
      <c r="A2" s="22" t="s">
        <v>83</v>
      </c>
      <c r="B2" s="9">
        <v>0.0</v>
      </c>
      <c r="C2" s="9">
        <v>0.0</v>
      </c>
      <c r="D2" s="9">
        <v>1.0</v>
      </c>
      <c r="E2" s="9">
        <v>0.0</v>
      </c>
      <c r="F2" s="9">
        <v>0.0</v>
      </c>
      <c r="G2" s="9">
        <v>0.0</v>
      </c>
      <c r="H2" s="9">
        <v>0.0</v>
      </c>
      <c r="I2" s="9">
        <v>0.0</v>
      </c>
      <c r="J2" s="9">
        <v>0.0</v>
      </c>
      <c r="K2" s="9">
        <v>0.0</v>
      </c>
      <c r="L2" s="9">
        <v>0.0</v>
      </c>
      <c r="M2" s="17">
        <f t="shared" ref="M2:M729" si="1">if(isblank(A2),"",sum(B2:L2))</f>
        <v>1</v>
      </c>
      <c r="N2" s="24" t="str">
        <f t="array" ref="N2">if(isblank(A2),"",index(fish_lab_data!O:O,match(A2,fish_lab_data!C:C,0)))</f>
        <v>KB</v>
      </c>
      <c r="O2" s="24" t="str">
        <f t="array" ref="O2">index(fish_lab_data!Q:Q,match(A2,fish_lab_data!C:C,0))</f>
        <v>lab_motiles_cryo</v>
      </c>
      <c r="P2" s="24" t="str">
        <f t="array" ref="P2">if(and(iserror(index(sea_lice!G:G,match(A2,sea_lice!A:A,0))),M2=0),"NA",index(sea_lice!G:G,match(A2,sea_lice!A:A,0)))</f>
        <v>BSL2-58</v>
      </c>
      <c r="Q2" s="24">
        <f t="array" ref="Q2">if(isblank(A2),"",index(fish_lab_data!X:X,match(A2,fish_lab_data!C:C,0)))</f>
        <v>679</v>
      </c>
    </row>
    <row r="3">
      <c r="A3" s="22" t="s">
        <v>97</v>
      </c>
      <c r="B3" s="9">
        <v>2.0</v>
      </c>
      <c r="C3" s="9">
        <v>0.0</v>
      </c>
      <c r="D3" s="9">
        <v>0.0</v>
      </c>
      <c r="E3" s="9">
        <v>0.0</v>
      </c>
      <c r="F3" s="9">
        <v>0.0</v>
      </c>
      <c r="G3" s="9">
        <v>0.0</v>
      </c>
      <c r="H3" s="9">
        <v>0.0</v>
      </c>
      <c r="I3" s="9">
        <v>0.0</v>
      </c>
      <c r="J3" s="9">
        <v>0.0</v>
      </c>
      <c r="K3" s="9">
        <v>0.0</v>
      </c>
      <c r="L3" s="9">
        <v>0.0</v>
      </c>
      <c r="M3" s="17">
        <f t="shared" si="1"/>
        <v>2</v>
      </c>
      <c r="N3" s="24" t="str">
        <f t="array" ref="N3">if(isblank(A3),"",index(fish_lab_data!O:O,match(A3,fish_lab_data!C:C,0)))</f>
        <v>KB</v>
      </c>
      <c r="O3" s="24" t="str">
        <f t="array" ref="O3">index(fish_lab_data!Q:Q,match(A3,fish_lab_data!C:C,0))</f>
        <v>lab_motiles_etoh</v>
      </c>
      <c r="P3" s="24" t="str">
        <f t="array" ref="P3">if(and(iserror(index(sea_lice!G:G,match(A3,sea_lice!A:A,0))),M3=0),"NA",index(sea_lice!G:G,match(A3,sea_lice!A:A,0)))</f>
        <v>BSL6-58</v>
      </c>
      <c r="Q3" s="24">
        <f t="array" ref="Q3">if(isblank(A3),"",index(fish_lab_data!X:X,match(A3,fish_lab_data!C:C,0)))</f>
        <v>692</v>
      </c>
    </row>
    <row r="4">
      <c r="A4" s="25" t="s">
        <v>107</v>
      </c>
      <c r="B4" s="25">
        <v>0.0</v>
      </c>
      <c r="C4" s="25">
        <v>0.0</v>
      </c>
      <c r="D4" s="25">
        <v>0.0</v>
      </c>
      <c r="E4" s="25">
        <v>0.0</v>
      </c>
      <c r="F4" s="25">
        <v>0.0</v>
      </c>
      <c r="G4" s="25">
        <v>0.0</v>
      </c>
      <c r="H4" s="25">
        <v>0.0</v>
      </c>
      <c r="I4" s="25">
        <v>0.0</v>
      </c>
      <c r="J4" s="25">
        <v>0.0</v>
      </c>
      <c r="K4" s="25">
        <v>0.0</v>
      </c>
      <c r="L4" s="25">
        <v>0.0</v>
      </c>
      <c r="M4" s="17">
        <f t="shared" si="1"/>
        <v>0</v>
      </c>
      <c r="N4" s="24" t="str">
        <f t="array" ref="N4">if(isblank(A4),"",index(fish_lab_data!O:O,match(A4,fish_lab_data!C:C,0)))</f>
        <v>KB</v>
      </c>
      <c r="O4" s="24" t="str">
        <f t="array" ref="O4">index(fish_lab_data!Q:Q,match(A4,fish_lab_data!C:C,0))</f>
        <v>lab_motiles_etoh</v>
      </c>
      <c r="P4" s="24" t="str">
        <f t="array" ref="P4">if(and(iserror(index(sea_lice!G:G,match(A4,sea_lice!A:A,0))),M4=0),"NA",index(sea_lice!G:G,match(A4,sea_lice!A:A,0)))</f>
        <v>NA</v>
      </c>
      <c r="Q4" s="24">
        <f t="array" ref="Q4">if(isblank(A4),"",index(fish_lab_data!X:X,match(A4,fish_lab_data!C:C,0)))</f>
        <v>693</v>
      </c>
    </row>
    <row r="5">
      <c r="A5" s="25" t="s">
        <v>115</v>
      </c>
      <c r="B5" s="25">
        <v>0.0</v>
      </c>
      <c r="C5" s="25">
        <v>0.0</v>
      </c>
      <c r="D5" s="25">
        <v>0.0</v>
      </c>
      <c r="E5" s="25">
        <v>0.0</v>
      </c>
      <c r="F5" s="25">
        <v>0.0</v>
      </c>
      <c r="G5" s="25">
        <v>0.0</v>
      </c>
      <c r="H5" s="25">
        <v>0.0</v>
      </c>
      <c r="I5" s="25">
        <v>0.0</v>
      </c>
      <c r="J5" s="25">
        <v>0.0</v>
      </c>
      <c r="K5" s="25">
        <v>0.0</v>
      </c>
      <c r="L5" s="25">
        <v>0.0</v>
      </c>
      <c r="M5" s="17">
        <f t="shared" si="1"/>
        <v>0</v>
      </c>
      <c r="N5" s="24" t="str">
        <f t="array" ref="N5">if(isblank(A5),"",index(fish_lab_data!O:O,match(A5,fish_lab_data!C:C,0)))</f>
        <v>KB</v>
      </c>
      <c r="O5" s="24" t="str">
        <f t="array" ref="O5">index(fish_lab_data!Q:Q,match(A5,fish_lab_data!C:C,0))</f>
        <v>lab_motiles_etoh</v>
      </c>
      <c r="P5" s="24" t="str">
        <f t="array" ref="P5">if(and(iserror(index(sea_lice!G:G,match(A5,sea_lice!A:A,0))),M5=0),"NA",index(sea_lice!G:G,match(A5,sea_lice!A:A,0)))</f>
        <v>NA</v>
      </c>
      <c r="Q5" s="24">
        <f t="array" ref="Q5">if(isblank(A5),"",index(fish_lab_data!X:X,match(A5,fish_lab_data!C:C,0)))</f>
        <v>694</v>
      </c>
    </row>
    <row r="6">
      <c r="A6" s="25" t="s">
        <v>122</v>
      </c>
      <c r="B6" s="25">
        <v>0.0</v>
      </c>
      <c r="C6" s="25">
        <v>0.0</v>
      </c>
      <c r="D6" s="25">
        <v>0.0</v>
      </c>
      <c r="E6" s="25">
        <v>0.0</v>
      </c>
      <c r="F6" s="25">
        <v>0.0</v>
      </c>
      <c r="G6" s="25">
        <v>0.0</v>
      </c>
      <c r="H6" s="25">
        <v>0.0</v>
      </c>
      <c r="I6" s="25">
        <v>0.0</v>
      </c>
      <c r="J6" s="25">
        <v>0.0</v>
      </c>
      <c r="K6" s="25">
        <v>0.0</v>
      </c>
      <c r="L6" s="25">
        <v>0.0</v>
      </c>
      <c r="M6" s="17">
        <f t="shared" si="1"/>
        <v>0</v>
      </c>
      <c r="N6" s="24" t="str">
        <f t="array" ref="N6">if(isblank(A6),"",index(fish_lab_data!O:O,match(A6,fish_lab_data!C:C,0)))</f>
        <v>KB</v>
      </c>
      <c r="O6" s="24" t="str">
        <f t="array" ref="O6">index(fish_lab_data!Q:Q,match(A6,fish_lab_data!C:C,0))</f>
        <v>lab_motiles_etoh</v>
      </c>
      <c r="P6" s="24" t="str">
        <f t="array" ref="P6">if(and(iserror(index(sea_lice!G:G,match(A6,sea_lice!A:A,0))),M6=0),"NA",index(sea_lice!G:G,match(A6,sea_lice!A:A,0)))</f>
        <v>NA</v>
      </c>
      <c r="Q6" s="24">
        <f t="array" ref="Q6">if(isblank(A6),"",index(fish_lab_data!X:X,match(A6,fish_lab_data!C:C,0)))</f>
        <v>695</v>
      </c>
    </row>
    <row r="7">
      <c r="A7" s="25" t="s">
        <v>132</v>
      </c>
      <c r="B7" s="25">
        <v>0.0</v>
      </c>
      <c r="C7" s="25">
        <v>0.0</v>
      </c>
      <c r="D7" s="25">
        <v>0.0</v>
      </c>
      <c r="E7" s="25">
        <v>0.0</v>
      </c>
      <c r="F7" s="25">
        <v>0.0</v>
      </c>
      <c r="G7" s="25">
        <v>0.0</v>
      </c>
      <c r="H7" s="25">
        <v>0.0</v>
      </c>
      <c r="I7" s="25">
        <v>0.0</v>
      </c>
      <c r="J7" s="25">
        <v>0.0</v>
      </c>
      <c r="K7" s="25">
        <v>0.0</v>
      </c>
      <c r="L7" s="25">
        <v>0.0</v>
      </c>
      <c r="M7" s="17">
        <f t="shared" si="1"/>
        <v>0</v>
      </c>
      <c r="N7" s="24" t="str">
        <f t="array" ref="N7">if(isblank(A7),"",index(fish_lab_data!O:O,match(A7,fish_lab_data!C:C,0)))</f>
        <v>KB</v>
      </c>
      <c r="O7" s="24" t="str">
        <f t="array" ref="O7">index(fish_lab_data!Q:Q,match(A7,fish_lab_data!C:C,0))</f>
        <v>lab_motiles_etoh</v>
      </c>
      <c r="P7" s="24" t="str">
        <f t="array" ref="P7">if(and(iserror(index(sea_lice!G:G,match(A7,sea_lice!A:A,0))),M7=0),"NA",index(sea_lice!G:G,match(A7,sea_lice!A:A,0)))</f>
        <v>NA</v>
      </c>
      <c r="Q7" s="24">
        <f t="array" ref="Q7">if(isblank(A7),"",index(fish_lab_data!X:X,match(A7,fish_lab_data!C:C,0)))</f>
        <v>696</v>
      </c>
    </row>
    <row r="8">
      <c r="A8" s="22" t="s">
        <v>140</v>
      </c>
      <c r="B8" s="9">
        <v>1.0</v>
      </c>
      <c r="C8" s="9">
        <v>0.0</v>
      </c>
      <c r="D8" s="9">
        <v>0.0</v>
      </c>
      <c r="E8" s="9">
        <v>0.0</v>
      </c>
      <c r="F8" s="9">
        <v>0.0</v>
      </c>
      <c r="G8" s="9">
        <v>0.0</v>
      </c>
      <c r="H8" s="9">
        <v>0.0</v>
      </c>
      <c r="I8" s="9">
        <v>0.0</v>
      </c>
      <c r="J8" s="9">
        <v>0.0</v>
      </c>
      <c r="K8" s="9">
        <v>0.0</v>
      </c>
      <c r="L8" s="9">
        <v>0.0</v>
      </c>
      <c r="M8" s="17">
        <f t="shared" si="1"/>
        <v>1</v>
      </c>
      <c r="N8" s="24" t="str">
        <f t="array" ref="N8">if(isblank(A8),"",index(fish_lab_data!O:O,match(A8,fish_lab_data!C:C,0)))</f>
        <v>KB</v>
      </c>
      <c r="O8" s="24" t="str">
        <f t="array" ref="O8">index(fish_lab_data!Q:Q,match(A8,fish_lab_data!C:C,0))</f>
        <v>lab_motiles_etoh</v>
      </c>
      <c r="P8" s="24" t="str">
        <f t="array" ref="P8">if(and(iserror(index(sea_lice!G:G,match(A8,sea_lice!A:A,0))),M8=0),"NA",index(sea_lice!G:G,match(A8,sea_lice!A:A,0)))</f>
        <v>BSL6-61</v>
      </c>
      <c r="Q8" s="24">
        <f t="array" ref="Q8">if(isblank(A8),"",index(fish_lab_data!X:X,match(A8,fish_lab_data!C:C,0)))</f>
        <v>697</v>
      </c>
    </row>
    <row r="9">
      <c r="A9" s="25" t="s">
        <v>147</v>
      </c>
      <c r="B9" s="25">
        <v>0.0</v>
      </c>
      <c r="C9" s="25">
        <v>0.0</v>
      </c>
      <c r="D9" s="25">
        <v>0.0</v>
      </c>
      <c r="E9" s="25">
        <v>0.0</v>
      </c>
      <c r="F9" s="25">
        <v>0.0</v>
      </c>
      <c r="G9" s="25">
        <v>0.0</v>
      </c>
      <c r="H9" s="25">
        <v>0.0</v>
      </c>
      <c r="I9" s="25">
        <v>0.0</v>
      </c>
      <c r="J9" s="25">
        <v>0.0</v>
      </c>
      <c r="K9" s="25">
        <v>0.0</v>
      </c>
      <c r="L9" s="25">
        <v>0.0</v>
      </c>
      <c r="M9" s="17">
        <f t="shared" si="1"/>
        <v>0</v>
      </c>
      <c r="N9" s="24" t="str">
        <f t="array" ref="N9">if(isblank(A9),"",index(fish_lab_data!O:O,match(A9,fish_lab_data!C:C,0)))</f>
        <v>KB</v>
      </c>
      <c r="O9" s="24" t="str">
        <f t="array" ref="O9">index(fish_lab_data!Q:Q,match(A9,fish_lab_data!C:C,0))</f>
        <v>lab_motiles_etoh</v>
      </c>
      <c r="P9" s="24" t="str">
        <f t="array" ref="P9">if(and(iserror(index(sea_lice!G:G,match(A9,sea_lice!A:A,0))),M9=0),"NA",index(sea_lice!G:G,match(A9,sea_lice!A:A,0)))</f>
        <v>NA</v>
      </c>
      <c r="Q9" s="24">
        <f t="array" ref="Q9">if(isblank(A9),"",index(fish_lab_data!X:X,match(A9,fish_lab_data!C:C,0)))</f>
        <v>698</v>
      </c>
    </row>
    <row r="10">
      <c r="A10" s="25" t="s">
        <v>157</v>
      </c>
      <c r="B10" s="25">
        <v>0.0</v>
      </c>
      <c r="C10" s="25">
        <v>0.0</v>
      </c>
      <c r="D10" s="25">
        <v>0.0</v>
      </c>
      <c r="E10" s="25">
        <v>0.0</v>
      </c>
      <c r="F10" s="25">
        <v>0.0</v>
      </c>
      <c r="G10" s="25">
        <v>0.0</v>
      </c>
      <c r="H10" s="25">
        <v>0.0</v>
      </c>
      <c r="I10" s="25">
        <v>0.0</v>
      </c>
      <c r="J10" s="25">
        <v>0.0</v>
      </c>
      <c r="K10" s="25">
        <v>0.0</v>
      </c>
      <c r="L10" s="25">
        <v>0.0</v>
      </c>
      <c r="M10" s="17">
        <f t="shared" si="1"/>
        <v>0</v>
      </c>
      <c r="N10" s="24" t="str">
        <f t="array" ref="N10">if(isblank(A10),"",index(fish_lab_data!O:O,match(A10,fish_lab_data!C:C,0)))</f>
        <v>KB</v>
      </c>
      <c r="O10" s="24" t="str">
        <f t="array" ref="O10">index(fish_lab_data!Q:Q,match(A10,fish_lab_data!C:C,0))</f>
        <v>lab_motiles_etoh</v>
      </c>
      <c r="P10" s="24" t="str">
        <f t="array" ref="P10">if(and(iserror(index(sea_lice!G:G,match(A10,sea_lice!A:A,0))),M10=0),"NA",index(sea_lice!G:G,match(A10,sea_lice!A:A,0)))</f>
        <v>NA</v>
      </c>
      <c r="Q10" s="24">
        <f t="array" ref="Q10">if(isblank(A10),"",index(fish_lab_data!X:X,match(A10,fish_lab_data!C:C,0)))</f>
        <v>699</v>
      </c>
    </row>
    <row r="11">
      <c r="A11" s="25" t="s">
        <v>165</v>
      </c>
      <c r="B11" s="25">
        <v>0.0</v>
      </c>
      <c r="C11" s="25">
        <v>0.0</v>
      </c>
      <c r="D11" s="25">
        <v>0.0</v>
      </c>
      <c r="E11" s="25">
        <v>0.0</v>
      </c>
      <c r="F11" s="25">
        <v>0.0</v>
      </c>
      <c r="G11" s="25">
        <v>0.0</v>
      </c>
      <c r="H11" s="25">
        <v>0.0</v>
      </c>
      <c r="I11" s="25">
        <v>0.0</v>
      </c>
      <c r="J11" s="25">
        <v>0.0</v>
      </c>
      <c r="K11" s="25">
        <v>0.0</v>
      </c>
      <c r="L11" s="25">
        <v>0.0</v>
      </c>
      <c r="M11" s="17">
        <f t="shared" si="1"/>
        <v>0</v>
      </c>
      <c r="N11" s="24" t="str">
        <f t="array" ref="N11">if(isblank(A11),"",index(fish_lab_data!O:O,match(A11,fish_lab_data!C:C,0)))</f>
        <v>KB</v>
      </c>
      <c r="O11" s="24" t="str">
        <f t="array" ref="O11">index(fish_lab_data!Q:Q,match(A11,fish_lab_data!C:C,0))</f>
        <v>lab_motiles_etoh</v>
      </c>
      <c r="P11" s="24" t="str">
        <f t="array" ref="P11">if(and(iserror(index(sea_lice!G:G,match(A11,sea_lice!A:A,0))),M11=0),"NA",index(sea_lice!G:G,match(A11,sea_lice!A:A,0)))</f>
        <v>NA</v>
      </c>
      <c r="Q11" s="24">
        <f t="array" ref="Q11">if(isblank(A11),"",index(fish_lab_data!X:X,match(A11,fish_lab_data!C:C,0)))</f>
        <v>700</v>
      </c>
    </row>
    <row r="12">
      <c r="A12" s="25" t="s">
        <v>170</v>
      </c>
      <c r="B12" s="25">
        <v>0.0</v>
      </c>
      <c r="C12" s="25">
        <v>0.0</v>
      </c>
      <c r="D12" s="25">
        <v>0.0</v>
      </c>
      <c r="E12" s="25">
        <v>0.0</v>
      </c>
      <c r="F12" s="25">
        <v>0.0</v>
      </c>
      <c r="G12" s="25">
        <v>0.0</v>
      </c>
      <c r="H12" s="25">
        <v>0.0</v>
      </c>
      <c r="I12" s="25">
        <v>0.0</v>
      </c>
      <c r="J12" s="25">
        <v>0.0</v>
      </c>
      <c r="K12" s="25">
        <v>0.0</v>
      </c>
      <c r="L12" s="25">
        <v>0.0</v>
      </c>
      <c r="M12" s="17">
        <f t="shared" si="1"/>
        <v>0</v>
      </c>
      <c r="N12" s="24" t="str">
        <f t="array" ref="N12">if(isblank(A12),"",index(fish_lab_data!O:O,match(A12,fish_lab_data!C:C,0)))</f>
        <v>EJ</v>
      </c>
      <c r="O12" s="24" t="str">
        <f t="array" ref="O12">index(fish_lab_data!Q:Q,match(A12,fish_lab_data!C:C,0))</f>
        <v>lab_motiles_etoh</v>
      </c>
      <c r="P12" s="24" t="str">
        <f t="array" ref="P12">if(and(iserror(index(sea_lice!G:G,match(A12,sea_lice!A:A,0))),M12=0),"NA",index(sea_lice!G:G,match(A12,sea_lice!A:A,0)))</f>
        <v>NA</v>
      </c>
      <c r="Q12" s="24">
        <f t="array" ref="Q12">if(isblank(A12),"",index(fish_lab_data!X:X,match(A12,fish_lab_data!C:C,0)))</f>
        <v>701</v>
      </c>
    </row>
    <row r="13">
      <c r="A13" s="25" t="s">
        <v>178</v>
      </c>
      <c r="B13" s="25">
        <v>0.0</v>
      </c>
      <c r="C13" s="25">
        <v>0.0</v>
      </c>
      <c r="D13" s="25">
        <v>0.0</v>
      </c>
      <c r="E13" s="25">
        <v>0.0</v>
      </c>
      <c r="F13" s="25">
        <v>0.0</v>
      </c>
      <c r="G13" s="25">
        <v>0.0</v>
      </c>
      <c r="H13" s="25">
        <v>0.0</v>
      </c>
      <c r="I13" s="25">
        <v>0.0</v>
      </c>
      <c r="J13" s="25">
        <v>0.0</v>
      </c>
      <c r="K13" s="25">
        <v>0.0</v>
      </c>
      <c r="L13" s="25">
        <v>0.0</v>
      </c>
      <c r="M13" s="17">
        <f t="shared" si="1"/>
        <v>0</v>
      </c>
      <c r="N13" s="24" t="str">
        <f t="array" ref="N13">if(isblank(A13),"",index(fish_lab_data!O:O,match(A13,fish_lab_data!C:C,0)))</f>
        <v>EJ</v>
      </c>
      <c r="O13" s="24" t="str">
        <f t="array" ref="O13">index(fish_lab_data!Q:Q,match(A13,fish_lab_data!C:C,0))</f>
        <v>lab_motiles_etoh</v>
      </c>
      <c r="P13" s="24" t="str">
        <f t="array" ref="P13">if(and(iserror(index(sea_lice!G:G,match(A13,sea_lice!A:A,0))),M13=0),"NA",index(sea_lice!G:G,match(A13,sea_lice!A:A,0)))</f>
        <v>NA</v>
      </c>
      <c r="Q13" s="24">
        <f t="array" ref="Q13">if(isblank(A13),"",index(fish_lab_data!X:X,match(A13,fish_lab_data!C:C,0)))</f>
        <v>702</v>
      </c>
    </row>
    <row r="14">
      <c r="A14" s="25" t="s">
        <v>186</v>
      </c>
      <c r="B14" s="25">
        <v>0.0</v>
      </c>
      <c r="C14" s="25">
        <v>0.0</v>
      </c>
      <c r="D14" s="25">
        <v>0.0</v>
      </c>
      <c r="E14" s="25">
        <v>0.0</v>
      </c>
      <c r="F14" s="25">
        <v>0.0</v>
      </c>
      <c r="G14" s="25">
        <v>0.0</v>
      </c>
      <c r="H14" s="25">
        <v>0.0</v>
      </c>
      <c r="I14" s="25">
        <v>0.0</v>
      </c>
      <c r="J14" s="25">
        <v>0.0</v>
      </c>
      <c r="K14" s="25">
        <v>0.0</v>
      </c>
      <c r="L14" s="25">
        <v>0.0</v>
      </c>
      <c r="M14" s="17">
        <f t="shared" si="1"/>
        <v>0</v>
      </c>
      <c r="N14" s="24" t="str">
        <f t="array" ref="N14">if(isblank(A14),"",index(fish_lab_data!O:O,match(A14,fish_lab_data!C:C,0)))</f>
        <v>EJ</v>
      </c>
      <c r="O14" s="24" t="str">
        <f t="array" ref="O14">index(fish_lab_data!Q:Q,match(A14,fish_lab_data!C:C,0))</f>
        <v>lab_motiles_etoh</v>
      </c>
      <c r="P14" s="24" t="str">
        <f t="array" ref="P14">if(and(iserror(index(sea_lice!G:G,match(A14,sea_lice!A:A,0))),M14=0),"NA",index(sea_lice!G:G,match(A14,sea_lice!A:A,0)))</f>
        <v>NA</v>
      </c>
      <c r="Q14" s="24">
        <f t="array" ref="Q14">if(isblank(A14),"",index(fish_lab_data!X:X,match(A14,fish_lab_data!C:C,0)))</f>
        <v>704</v>
      </c>
    </row>
    <row r="15">
      <c r="A15" s="25" t="s">
        <v>192</v>
      </c>
      <c r="B15" s="25">
        <v>0.0</v>
      </c>
      <c r="C15" s="25">
        <v>0.0</v>
      </c>
      <c r="D15" s="25">
        <v>0.0</v>
      </c>
      <c r="E15" s="25">
        <v>0.0</v>
      </c>
      <c r="F15" s="25">
        <v>0.0</v>
      </c>
      <c r="G15" s="25">
        <v>0.0</v>
      </c>
      <c r="H15" s="25">
        <v>0.0</v>
      </c>
      <c r="I15" s="25">
        <v>0.0</v>
      </c>
      <c r="J15" s="25">
        <v>0.0</v>
      </c>
      <c r="K15" s="25">
        <v>0.0</v>
      </c>
      <c r="L15" s="25">
        <v>0.0</v>
      </c>
      <c r="M15" s="17">
        <f t="shared" si="1"/>
        <v>0</v>
      </c>
      <c r="N15" s="24" t="str">
        <f t="array" ref="N15">if(isblank(A15),"",index(fish_lab_data!O:O,match(A15,fish_lab_data!C:C,0)))</f>
        <v>EJ</v>
      </c>
      <c r="O15" s="24" t="str">
        <f t="array" ref="O15">index(fish_lab_data!Q:Q,match(A15,fish_lab_data!C:C,0))</f>
        <v>lab_motiles_etoh</v>
      </c>
      <c r="P15" s="24" t="str">
        <f t="array" ref="P15">if(and(iserror(index(sea_lice!G:G,match(A15,sea_lice!A:A,0))),M15=0),"NA",index(sea_lice!G:G,match(A15,sea_lice!A:A,0)))</f>
        <v>NA</v>
      </c>
      <c r="Q15" s="24">
        <f t="array" ref="Q15">if(isblank(A15),"",index(fish_lab_data!X:X,match(A15,fish_lab_data!C:C,0)))</f>
        <v>705</v>
      </c>
    </row>
    <row r="16">
      <c r="A16" s="25" t="s">
        <v>200</v>
      </c>
      <c r="B16" s="25">
        <v>0.0</v>
      </c>
      <c r="C16" s="25">
        <v>0.0</v>
      </c>
      <c r="D16" s="25">
        <v>0.0</v>
      </c>
      <c r="E16" s="25">
        <v>0.0</v>
      </c>
      <c r="F16" s="25">
        <v>0.0</v>
      </c>
      <c r="G16" s="25">
        <v>0.0</v>
      </c>
      <c r="H16" s="25">
        <v>0.0</v>
      </c>
      <c r="I16" s="25">
        <v>0.0</v>
      </c>
      <c r="J16" s="25">
        <v>0.0</v>
      </c>
      <c r="K16" s="25">
        <v>0.0</v>
      </c>
      <c r="L16" s="25">
        <v>0.0</v>
      </c>
      <c r="M16" s="17">
        <f t="shared" si="1"/>
        <v>0</v>
      </c>
      <c r="N16" s="24" t="str">
        <f t="array" ref="N16">if(isblank(A16),"",index(fish_lab_data!O:O,match(A16,fish_lab_data!C:C,0)))</f>
        <v>EJ</v>
      </c>
      <c r="O16" s="24" t="str">
        <f t="array" ref="O16">index(fish_lab_data!Q:Q,match(A16,fish_lab_data!C:C,0))</f>
        <v>lab_motiles_etoh</v>
      </c>
      <c r="P16" s="24" t="str">
        <f t="array" ref="P16">if(and(iserror(index(sea_lice!G:G,match(A16,sea_lice!A:A,0))),M16=0),"NA",index(sea_lice!G:G,match(A16,sea_lice!A:A,0)))</f>
        <v>NA</v>
      </c>
      <c r="Q16" s="24">
        <f t="array" ref="Q16">if(isblank(A16),"",index(fish_lab_data!X:X,match(A16,fish_lab_data!C:C,0)))</f>
        <v>706</v>
      </c>
    </row>
    <row r="17">
      <c r="A17" s="25" t="s">
        <v>208</v>
      </c>
      <c r="B17" s="25">
        <v>0.0</v>
      </c>
      <c r="C17" s="25">
        <v>0.0</v>
      </c>
      <c r="D17" s="25">
        <v>0.0</v>
      </c>
      <c r="E17" s="25">
        <v>0.0</v>
      </c>
      <c r="F17" s="25">
        <v>0.0</v>
      </c>
      <c r="G17" s="25">
        <v>0.0</v>
      </c>
      <c r="H17" s="25">
        <v>0.0</v>
      </c>
      <c r="I17" s="25">
        <v>0.0</v>
      </c>
      <c r="J17" s="25">
        <v>0.0</v>
      </c>
      <c r="K17" s="25">
        <v>0.0</v>
      </c>
      <c r="L17" s="25">
        <v>0.0</v>
      </c>
      <c r="M17" s="17">
        <f t="shared" si="1"/>
        <v>0</v>
      </c>
      <c r="N17" s="24" t="str">
        <f t="array" ref="N17">if(isblank(A17),"",index(fish_lab_data!O:O,match(A17,fish_lab_data!C:C,0)))</f>
        <v>EJ</v>
      </c>
      <c r="O17" s="24" t="str">
        <f t="array" ref="O17">index(fish_lab_data!Q:Q,match(A17,fish_lab_data!C:C,0))</f>
        <v>lab_motiles_etoh</v>
      </c>
      <c r="P17" s="24" t="str">
        <f t="array" ref="P17">if(and(iserror(index(sea_lice!G:G,match(A17,sea_lice!A:A,0))),M17=0),"NA",index(sea_lice!G:G,match(A17,sea_lice!A:A,0)))</f>
        <v>NA</v>
      </c>
      <c r="Q17" s="24">
        <f t="array" ref="Q17">if(isblank(A17),"",index(fish_lab_data!X:X,match(A17,fish_lab_data!C:C,0)))</f>
        <v>707</v>
      </c>
    </row>
    <row r="18">
      <c r="A18" s="25" t="s">
        <v>216</v>
      </c>
      <c r="B18" s="25">
        <v>0.0</v>
      </c>
      <c r="C18" s="25">
        <v>0.0</v>
      </c>
      <c r="D18" s="25">
        <v>0.0</v>
      </c>
      <c r="E18" s="25">
        <v>0.0</v>
      </c>
      <c r="F18" s="25">
        <v>0.0</v>
      </c>
      <c r="G18" s="25">
        <v>0.0</v>
      </c>
      <c r="H18" s="25">
        <v>0.0</v>
      </c>
      <c r="I18" s="25">
        <v>0.0</v>
      </c>
      <c r="J18" s="25">
        <v>0.0</v>
      </c>
      <c r="K18" s="25">
        <v>0.0</v>
      </c>
      <c r="L18" s="25">
        <v>0.0</v>
      </c>
      <c r="M18" s="17">
        <f t="shared" si="1"/>
        <v>0</v>
      </c>
      <c r="N18" s="24" t="str">
        <f t="array" ref="N18">if(isblank(A18),"",index(fish_lab_data!O:O,match(A18,fish_lab_data!C:C,0)))</f>
        <v>EJ</v>
      </c>
      <c r="O18" s="24" t="str">
        <f t="array" ref="O18">index(fish_lab_data!Q:Q,match(A18,fish_lab_data!C:C,0))</f>
        <v>lab_motiles_etoh</v>
      </c>
      <c r="P18" s="24" t="str">
        <f t="array" ref="P18">if(and(iserror(index(sea_lice!G:G,match(A18,sea_lice!A:A,0))),M18=0),"NA",index(sea_lice!G:G,match(A18,sea_lice!A:A,0)))</f>
        <v>NA</v>
      </c>
      <c r="Q18" s="24">
        <f t="array" ref="Q18">if(isblank(A18),"",index(fish_lab_data!X:X,match(A18,fish_lab_data!C:C,0)))</f>
        <v>708</v>
      </c>
    </row>
    <row r="19">
      <c r="A19" s="25" t="s">
        <v>224</v>
      </c>
      <c r="B19" s="25">
        <v>0.0</v>
      </c>
      <c r="C19" s="25">
        <v>0.0</v>
      </c>
      <c r="D19" s="25">
        <v>0.0</v>
      </c>
      <c r="E19" s="25">
        <v>0.0</v>
      </c>
      <c r="F19" s="25">
        <v>0.0</v>
      </c>
      <c r="G19" s="25">
        <v>0.0</v>
      </c>
      <c r="H19" s="25">
        <v>0.0</v>
      </c>
      <c r="I19" s="25">
        <v>0.0</v>
      </c>
      <c r="J19" s="25">
        <v>0.0</v>
      </c>
      <c r="K19" s="25">
        <v>0.0</v>
      </c>
      <c r="L19" s="25">
        <v>0.0</v>
      </c>
      <c r="M19" s="17">
        <f t="shared" si="1"/>
        <v>0</v>
      </c>
      <c r="N19" s="24" t="str">
        <f t="array" ref="N19">if(isblank(A19),"",index(fish_lab_data!O:O,match(A19,fish_lab_data!C:C,0)))</f>
        <v>EJ</v>
      </c>
      <c r="O19" s="24" t="str">
        <f t="array" ref="O19">index(fish_lab_data!Q:Q,match(A19,fish_lab_data!C:C,0))</f>
        <v>lab_motiles_etoh</v>
      </c>
      <c r="P19" s="24" t="str">
        <f t="array" ref="P19">if(and(iserror(index(sea_lice!G:G,match(A19,sea_lice!A:A,0))),M19=0),"NA",index(sea_lice!G:G,match(A19,sea_lice!A:A,0)))</f>
        <v>NA</v>
      </c>
      <c r="Q19" s="24">
        <f t="array" ref="Q19">if(isblank(A19),"",index(fish_lab_data!X:X,match(A19,fish_lab_data!C:C,0)))</f>
        <v>709</v>
      </c>
    </row>
    <row r="20">
      <c r="A20" s="25" t="s">
        <v>231</v>
      </c>
      <c r="B20" s="25">
        <v>0.0</v>
      </c>
      <c r="C20" s="25">
        <v>0.0</v>
      </c>
      <c r="D20" s="25">
        <v>0.0</v>
      </c>
      <c r="E20" s="25">
        <v>0.0</v>
      </c>
      <c r="F20" s="25">
        <v>0.0</v>
      </c>
      <c r="G20" s="25">
        <v>0.0</v>
      </c>
      <c r="H20" s="25">
        <v>0.0</v>
      </c>
      <c r="I20" s="25">
        <v>0.0</v>
      </c>
      <c r="J20" s="25">
        <v>0.0</v>
      </c>
      <c r="K20" s="25">
        <v>0.0</v>
      </c>
      <c r="L20" s="25">
        <v>0.0</v>
      </c>
      <c r="M20" s="17">
        <f t="shared" si="1"/>
        <v>0</v>
      </c>
      <c r="N20" s="24" t="str">
        <f t="array" ref="N20">if(isblank(A20),"",index(fish_lab_data!O:O,match(A20,fish_lab_data!C:C,0)))</f>
        <v>EJ</v>
      </c>
      <c r="O20" s="24" t="str">
        <f t="array" ref="O20">index(fish_lab_data!Q:Q,match(A20,fish_lab_data!C:C,0))</f>
        <v>lab_motiles_etoh</v>
      </c>
      <c r="P20" s="24" t="str">
        <f t="array" ref="P20">if(and(iserror(index(sea_lice!G:G,match(A20,sea_lice!A:A,0))),M20=0),"NA",index(sea_lice!G:G,match(A20,sea_lice!A:A,0)))</f>
        <v>NA</v>
      </c>
      <c r="Q20" s="24">
        <f t="array" ref="Q20">if(isblank(A20),"",index(fish_lab_data!X:X,match(A20,fish_lab_data!C:C,0)))</f>
        <v>712</v>
      </c>
    </row>
    <row r="21">
      <c r="A21" s="25" t="s">
        <v>236</v>
      </c>
      <c r="B21" s="25">
        <v>0.0</v>
      </c>
      <c r="C21" s="25">
        <v>0.0</v>
      </c>
      <c r="D21" s="25">
        <v>0.0</v>
      </c>
      <c r="E21" s="25">
        <v>0.0</v>
      </c>
      <c r="F21" s="25">
        <v>0.0</v>
      </c>
      <c r="G21" s="25">
        <v>0.0</v>
      </c>
      <c r="H21" s="25">
        <v>0.0</v>
      </c>
      <c r="I21" s="25">
        <v>0.0</v>
      </c>
      <c r="J21" s="25">
        <v>0.0</v>
      </c>
      <c r="K21" s="25">
        <v>0.0</v>
      </c>
      <c r="L21" s="25">
        <v>0.0</v>
      </c>
      <c r="M21" s="17">
        <f t="shared" si="1"/>
        <v>0</v>
      </c>
      <c r="N21" s="24" t="str">
        <f t="array" ref="N21">if(isblank(A21),"",index(fish_lab_data!O:O,match(A21,fish_lab_data!C:C,0)))</f>
        <v>EJ</v>
      </c>
      <c r="O21" s="24" t="str">
        <f t="array" ref="O21">index(fish_lab_data!Q:Q,match(A21,fish_lab_data!C:C,0))</f>
        <v>lab_motiles_etoh</v>
      </c>
      <c r="P21" s="24" t="str">
        <f t="array" ref="P21">if(and(iserror(index(sea_lice!G:G,match(A21,sea_lice!A:A,0))),M21=0),"NA",index(sea_lice!G:G,match(A21,sea_lice!A:A,0)))</f>
        <v>NA</v>
      </c>
      <c r="Q21" s="24">
        <f t="array" ref="Q21">if(isblank(A21),"",index(fish_lab_data!X:X,match(A21,fish_lab_data!C:C,0)))</f>
        <v>713</v>
      </c>
    </row>
    <row r="22">
      <c r="A22" s="25" t="s">
        <v>243</v>
      </c>
      <c r="B22" s="25">
        <v>0.0</v>
      </c>
      <c r="C22" s="25">
        <v>0.0</v>
      </c>
      <c r="D22" s="25">
        <v>0.0</v>
      </c>
      <c r="E22" s="25">
        <v>0.0</v>
      </c>
      <c r="F22" s="25">
        <v>0.0</v>
      </c>
      <c r="G22" s="25">
        <v>0.0</v>
      </c>
      <c r="H22" s="25">
        <v>0.0</v>
      </c>
      <c r="I22" s="25">
        <v>0.0</v>
      </c>
      <c r="J22" s="25">
        <v>0.0</v>
      </c>
      <c r="K22" s="25">
        <v>0.0</v>
      </c>
      <c r="L22" s="25">
        <v>0.0</v>
      </c>
      <c r="M22" s="17">
        <f t="shared" si="1"/>
        <v>0</v>
      </c>
      <c r="N22" s="24" t="str">
        <f t="array" ref="N22">if(isblank(A22),"",index(fish_lab_data!O:O,match(A22,fish_lab_data!C:C,0)))</f>
        <v>EJ</v>
      </c>
      <c r="O22" s="24" t="str">
        <f t="array" ref="O22">index(fish_lab_data!Q:Q,match(A22,fish_lab_data!C:C,0))</f>
        <v>lab_motiles_etoh</v>
      </c>
      <c r="P22" s="24" t="str">
        <f t="array" ref="P22">if(and(iserror(index(sea_lice!G:G,match(A22,sea_lice!A:A,0))),M22=0),"NA",index(sea_lice!G:G,match(A22,sea_lice!A:A,0)))</f>
        <v>NA</v>
      </c>
      <c r="Q22" s="24">
        <f t="array" ref="Q22">if(isblank(A22),"",index(fish_lab_data!X:X,match(A22,fish_lab_data!C:C,0)))</f>
        <v>714</v>
      </c>
    </row>
    <row r="23">
      <c r="A23" s="22" t="s">
        <v>251</v>
      </c>
      <c r="B23" s="9">
        <v>2.0</v>
      </c>
      <c r="C23" s="9">
        <v>0.0</v>
      </c>
      <c r="D23" s="9">
        <v>0.0</v>
      </c>
      <c r="E23" s="9">
        <v>0.0</v>
      </c>
      <c r="F23" s="9">
        <v>0.0</v>
      </c>
      <c r="G23" s="9">
        <v>0.0</v>
      </c>
      <c r="H23" s="9">
        <v>0.0</v>
      </c>
      <c r="I23" s="9">
        <v>0.0</v>
      </c>
      <c r="J23" s="9">
        <v>0.0</v>
      </c>
      <c r="K23" s="9">
        <v>0.0</v>
      </c>
      <c r="L23" s="9">
        <v>0.0</v>
      </c>
      <c r="M23" s="17">
        <f t="shared" si="1"/>
        <v>2</v>
      </c>
      <c r="N23" s="24" t="str">
        <f t="array" ref="N23">if(isblank(A23),"",index(fish_lab_data!O:O,match(A23,fish_lab_data!C:C,0)))</f>
        <v>EJ</v>
      </c>
      <c r="O23" s="24" t="str">
        <f t="array" ref="O23">index(fish_lab_data!Q:Q,match(A23,fish_lab_data!C:C,0))</f>
        <v>lab_motiles_etoh</v>
      </c>
      <c r="P23" s="24" t="str">
        <f t="array" ref="P23">if(and(iserror(index(sea_lice!G:G,match(A23,sea_lice!A:A,0))),M23=0),"NA",index(sea_lice!G:G,match(A23,sea_lice!A:A,0)))</f>
        <v>BSL6-62</v>
      </c>
      <c r="Q23" s="24">
        <f t="array" ref="Q23">if(isblank(A23),"",index(fish_lab_data!X:X,match(A23,fish_lab_data!C:C,0)))</f>
        <v>715</v>
      </c>
    </row>
    <row r="24">
      <c r="A24" s="25" t="s">
        <v>259</v>
      </c>
      <c r="B24" s="25">
        <v>0.0</v>
      </c>
      <c r="C24" s="25">
        <v>0.0</v>
      </c>
      <c r="D24" s="25">
        <v>0.0</v>
      </c>
      <c r="E24" s="25">
        <v>0.0</v>
      </c>
      <c r="F24" s="25">
        <v>0.0</v>
      </c>
      <c r="G24" s="25">
        <v>0.0</v>
      </c>
      <c r="H24" s="25">
        <v>0.0</v>
      </c>
      <c r="I24" s="25">
        <v>0.0</v>
      </c>
      <c r="J24" s="25">
        <v>0.0</v>
      </c>
      <c r="K24" s="25">
        <v>0.0</v>
      </c>
      <c r="L24" s="25">
        <v>0.0</v>
      </c>
      <c r="M24" s="17">
        <f t="shared" si="1"/>
        <v>0</v>
      </c>
      <c r="N24" s="24" t="str">
        <f t="array" ref="N24">if(isblank(A24),"",index(fish_lab_data!O:O,match(A24,fish_lab_data!C:C,0)))</f>
        <v>EJ</v>
      </c>
      <c r="O24" s="24" t="str">
        <f t="array" ref="O24">index(fish_lab_data!Q:Q,match(A24,fish_lab_data!C:C,0))</f>
        <v>lab_motiles_etoh</v>
      </c>
      <c r="P24" s="24" t="str">
        <f t="array" ref="P24">if(and(iserror(index(sea_lice!G:G,match(A24,sea_lice!A:A,0))),M24=0),"NA",index(sea_lice!G:G,match(A24,sea_lice!A:A,0)))</f>
        <v>NA</v>
      </c>
      <c r="Q24" s="24">
        <f t="array" ref="Q24">if(isblank(A24),"",index(fish_lab_data!X:X,match(A24,fish_lab_data!C:C,0)))</f>
        <v>716</v>
      </c>
    </row>
    <row r="25">
      <c r="A25" s="25" t="s">
        <v>265</v>
      </c>
      <c r="B25" s="25">
        <v>0.0</v>
      </c>
      <c r="C25" s="25">
        <v>0.0</v>
      </c>
      <c r="D25" s="25">
        <v>0.0</v>
      </c>
      <c r="E25" s="25">
        <v>0.0</v>
      </c>
      <c r="F25" s="25">
        <v>0.0</v>
      </c>
      <c r="G25" s="25">
        <v>0.0</v>
      </c>
      <c r="H25" s="25">
        <v>0.0</v>
      </c>
      <c r="I25" s="25">
        <v>0.0</v>
      </c>
      <c r="J25" s="25">
        <v>0.0</v>
      </c>
      <c r="K25" s="25">
        <v>0.0</v>
      </c>
      <c r="L25" s="25">
        <v>0.0</v>
      </c>
      <c r="M25" s="17">
        <f t="shared" si="1"/>
        <v>0</v>
      </c>
      <c r="N25" s="24" t="str">
        <f t="array" ref="N25">if(isblank(A25),"",index(fish_lab_data!O:O,match(A25,fish_lab_data!C:C,0)))</f>
        <v>EJ</v>
      </c>
      <c r="O25" s="24" t="str">
        <f t="array" ref="O25">index(fish_lab_data!Q:Q,match(A25,fish_lab_data!C:C,0))</f>
        <v>lab_motiles_etoh</v>
      </c>
      <c r="P25" s="24" t="str">
        <f t="array" ref="P25">if(and(iserror(index(sea_lice!G:G,match(A25,sea_lice!A:A,0))),M25=0),"NA",index(sea_lice!G:G,match(A25,sea_lice!A:A,0)))</f>
        <v>NA</v>
      </c>
      <c r="Q25" s="24">
        <f t="array" ref="Q25">if(isblank(A25),"",index(fish_lab_data!X:X,match(A25,fish_lab_data!C:C,0)))</f>
        <v>717</v>
      </c>
    </row>
    <row r="26">
      <c r="A26" s="25" t="s">
        <v>275</v>
      </c>
      <c r="B26" s="25">
        <v>0.0</v>
      </c>
      <c r="C26" s="25">
        <v>0.0</v>
      </c>
      <c r="D26" s="25">
        <v>0.0</v>
      </c>
      <c r="E26" s="25">
        <v>0.0</v>
      </c>
      <c r="F26" s="25">
        <v>0.0</v>
      </c>
      <c r="G26" s="25">
        <v>0.0</v>
      </c>
      <c r="H26" s="25">
        <v>0.0</v>
      </c>
      <c r="I26" s="25">
        <v>0.0</v>
      </c>
      <c r="J26" s="25">
        <v>0.0</v>
      </c>
      <c r="K26" s="25">
        <v>0.0</v>
      </c>
      <c r="L26" s="25">
        <v>0.0</v>
      </c>
      <c r="M26" s="17">
        <f t="shared" si="1"/>
        <v>0</v>
      </c>
      <c r="N26" s="24" t="str">
        <f t="array" ref="N26">if(isblank(A26),"",index(fish_lab_data!O:O,match(A26,fish_lab_data!C:C,0)))</f>
        <v>EJ</v>
      </c>
      <c r="O26" s="24" t="str">
        <f t="array" ref="O26">index(fish_lab_data!Q:Q,match(A26,fish_lab_data!C:C,0))</f>
        <v>lab_motiles_etoh</v>
      </c>
      <c r="P26" s="24" t="str">
        <f t="array" ref="P26">if(and(iserror(index(sea_lice!G:G,match(A26,sea_lice!A:A,0))),M26=0),"NA",index(sea_lice!G:G,match(A26,sea_lice!A:A,0)))</f>
        <v>NA</v>
      </c>
      <c r="Q26" s="24">
        <f t="array" ref="Q26">if(isblank(A26),"",index(fish_lab_data!X:X,match(A26,fish_lab_data!C:C,0)))</f>
        <v>718</v>
      </c>
    </row>
    <row r="27">
      <c r="A27" s="25" t="s">
        <v>283</v>
      </c>
      <c r="B27" s="25">
        <v>0.0</v>
      </c>
      <c r="C27" s="25">
        <v>0.0</v>
      </c>
      <c r="D27" s="25">
        <v>0.0</v>
      </c>
      <c r="E27" s="25">
        <v>0.0</v>
      </c>
      <c r="F27" s="25">
        <v>0.0</v>
      </c>
      <c r="G27" s="25">
        <v>0.0</v>
      </c>
      <c r="H27" s="25">
        <v>0.0</v>
      </c>
      <c r="I27" s="25">
        <v>0.0</v>
      </c>
      <c r="J27" s="25">
        <v>0.0</v>
      </c>
      <c r="K27" s="25">
        <v>0.0</v>
      </c>
      <c r="L27" s="25">
        <v>0.0</v>
      </c>
      <c r="M27" s="17">
        <f t="shared" si="1"/>
        <v>0</v>
      </c>
      <c r="N27" s="24" t="str">
        <f t="array" ref="N27">if(isblank(A27),"",index(fish_lab_data!O:O,match(A27,fish_lab_data!C:C,0)))</f>
        <v>EJ</v>
      </c>
      <c r="O27" s="24" t="str">
        <f t="array" ref="O27">index(fish_lab_data!Q:Q,match(A27,fish_lab_data!C:C,0))</f>
        <v>lab_motiles_etoh</v>
      </c>
      <c r="P27" s="24" t="str">
        <f t="array" ref="P27">if(and(iserror(index(sea_lice!G:G,match(A27,sea_lice!A:A,0))),M27=0),"NA",index(sea_lice!G:G,match(A27,sea_lice!A:A,0)))</f>
        <v>NA</v>
      </c>
      <c r="Q27" s="24">
        <f t="array" ref="Q27">if(isblank(A27),"",index(fish_lab_data!X:X,match(A27,fish_lab_data!C:C,0)))</f>
        <v>719</v>
      </c>
    </row>
    <row r="28">
      <c r="A28" s="25" t="s">
        <v>290</v>
      </c>
      <c r="B28" s="25">
        <v>0.0</v>
      </c>
      <c r="C28" s="25">
        <v>0.0</v>
      </c>
      <c r="D28" s="25">
        <v>0.0</v>
      </c>
      <c r="E28" s="25">
        <v>0.0</v>
      </c>
      <c r="F28" s="25">
        <v>0.0</v>
      </c>
      <c r="G28" s="25">
        <v>0.0</v>
      </c>
      <c r="H28" s="25">
        <v>0.0</v>
      </c>
      <c r="I28" s="25">
        <v>0.0</v>
      </c>
      <c r="J28" s="25">
        <v>0.0</v>
      </c>
      <c r="K28" s="25">
        <v>0.0</v>
      </c>
      <c r="L28" s="25">
        <v>0.0</v>
      </c>
      <c r="M28" s="17">
        <f t="shared" si="1"/>
        <v>0</v>
      </c>
      <c r="N28" s="24" t="str">
        <f t="array" ref="N28">if(isblank(A28),"",index(fish_lab_data!O:O,match(A28,fish_lab_data!C:C,0)))</f>
        <v>EJ</v>
      </c>
      <c r="O28" s="24" t="str">
        <f t="array" ref="O28">index(fish_lab_data!Q:Q,match(A28,fish_lab_data!C:C,0))</f>
        <v>lab_motiles_etoh</v>
      </c>
      <c r="P28" s="24" t="str">
        <f t="array" ref="P28">if(and(iserror(index(sea_lice!G:G,match(A28,sea_lice!A:A,0))),M28=0),"NA",index(sea_lice!G:G,match(A28,sea_lice!A:A,0)))</f>
        <v>NA</v>
      </c>
      <c r="Q28" s="24">
        <f t="array" ref="Q28">if(isblank(A28),"",index(fish_lab_data!X:X,match(A28,fish_lab_data!C:C,0)))</f>
        <v>720</v>
      </c>
    </row>
    <row r="29">
      <c r="A29" s="22" t="s">
        <v>299</v>
      </c>
      <c r="B29" s="9">
        <v>1.0</v>
      </c>
      <c r="C29" s="9">
        <v>0.0</v>
      </c>
      <c r="D29" s="9">
        <v>0.0</v>
      </c>
      <c r="E29" s="9">
        <v>0.0</v>
      </c>
      <c r="F29" s="9">
        <v>0.0</v>
      </c>
      <c r="G29" s="9">
        <v>0.0</v>
      </c>
      <c r="H29" s="9">
        <v>0.0</v>
      </c>
      <c r="I29" s="9">
        <v>0.0</v>
      </c>
      <c r="J29" s="9">
        <v>0.0</v>
      </c>
      <c r="K29" s="9">
        <v>0.0</v>
      </c>
      <c r="L29" s="9">
        <v>0.0</v>
      </c>
      <c r="M29" s="17">
        <f t="shared" si="1"/>
        <v>1</v>
      </c>
      <c r="N29" s="24" t="str">
        <f t="array" ref="N29">if(isblank(A29),"",index(fish_lab_data!O:O,match(A29,fish_lab_data!C:C,0)))</f>
        <v>EJ</v>
      </c>
      <c r="O29" s="24" t="str">
        <f t="array" ref="O29">index(fish_lab_data!Q:Q,match(A29,fish_lab_data!C:C,0))</f>
        <v>lab_motiles_etoh</v>
      </c>
      <c r="P29" s="24" t="str">
        <f t="array" ref="P29">if(and(iserror(index(sea_lice!G:G,match(A29,sea_lice!A:A,0))),M29=0),"NA",index(sea_lice!G:G,match(A29,sea_lice!A:A,0)))</f>
        <v>BSL6-63</v>
      </c>
      <c r="Q29" s="24">
        <f t="array" ref="Q29">if(isblank(A29),"",index(fish_lab_data!X:X,match(A29,fish_lab_data!C:C,0)))</f>
        <v>721</v>
      </c>
    </row>
    <row r="30">
      <c r="A30" s="22" t="s">
        <v>306</v>
      </c>
      <c r="B30" s="9">
        <v>1.0</v>
      </c>
      <c r="C30" s="9">
        <v>0.0</v>
      </c>
      <c r="D30" s="9">
        <v>0.0</v>
      </c>
      <c r="E30" s="9">
        <v>0.0</v>
      </c>
      <c r="F30" s="9">
        <v>0.0</v>
      </c>
      <c r="G30" s="9">
        <v>0.0</v>
      </c>
      <c r="H30" s="9">
        <v>0.0</v>
      </c>
      <c r="I30" s="9">
        <v>0.0</v>
      </c>
      <c r="J30" s="9">
        <v>0.0</v>
      </c>
      <c r="K30" s="9">
        <v>0.0</v>
      </c>
      <c r="L30" s="9">
        <v>0.0</v>
      </c>
      <c r="M30" s="17">
        <f t="shared" si="1"/>
        <v>1</v>
      </c>
      <c r="N30" s="24" t="str">
        <f t="array" ref="N30">if(isblank(A30),"",index(fish_lab_data!O:O,match(A30,fish_lab_data!C:C,0)))</f>
        <v>EJ</v>
      </c>
      <c r="O30" s="24" t="str">
        <f t="array" ref="O30">index(fish_lab_data!Q:Q,match(A30,fish_lab_data!C:C,0))</f>
        <v>lab_motiles_etoh</v>
      </c>
      <c r="P30" s="24" t="str">
        <f t="array" ref="P30">if(and(iserror(index(sea_lice!G:G,match(A30,sea_lice!A:A,0))),M30=0),"NA",index(sea_lice!G:G,match(A30,sea_lice!A:A,0)))</f>
        <v>BSL6-64</v>
      </c>
      <c r="Q30" s="24">
        <f t="array" ref="Q30">if(isblank(A30),"",index(fish_lab_data!X:X,match(A30,fish_lab_data!C:C,0)))</f>
        <v>722</v>
      </c>
    </row>
    <row r="31">
      <c r="A31" s="22" t="s">
        <v>313</v>
      </c>
      <c r="B31" s="9">
        <v>0.0</v>
      </c>
      <c r="C31" s="9">
        <v>0.0</v>
      </c>
      <c r="D31" s="9">
        <v>1.0</v>
      </c>
      <c r="E31" s="9">
        <v>0.0</v>
      </c>
      <c r="F31" s="9">
        <v>0.0</v>
      </c>
      <c r="G31" s="9">
        <v>0.0</v>
      </c>
      <c r="H31" s="9">
        <v>0.0</v>
      </c>
      <c r="I31" s="9">
        <v>0.0</v>
      </c>
      <c r="J31" s="9">
        <v>0.0</v>
      </c>
      <c r="K31" s="9">
        <v>0.0</v>
      </c>
      <c r="L31" s="9">
        <v>0.0</v>
      </c>
      <c r="M31" s="17">
        <f t="shared" si="1"/>
        <v>1</v>
      </c>
      <c r="N31" s="24" t="str">
        <f t="array" ref="N31">if(isblank(A31),"",index(fish_lab_data!O:O,match(A31,fish_lab_data!C:C,0)))</f>
        <v>EJ</v>
      </c>
      <c r="O31" s="24" t="str">
        <f t="array" ref="O31">index(fish_lab_data!Q:Q,match(A31,fish_lab_data!C:C,0))</f>
        <v>lab_motiles_etoh</v>
      </c>
      <c r="P31" s="24" t="str">
        <f t="array" ref="P31">if(and(iserror(index(sea_lice!G:G,match(A31,sea_lice!A:A,0))),M31=0),"NA",index(sea_lice!G:G,match(A31,sea_lice!A:A,0)))</f>
        <v>BSL6-65</v>
      </c>
      <c r="Q31" s="24">
        <f t="array" ref="Q31">if(isblank(A31),"",index(fish_lab_data!X:X,match(A31,fish_lab_data!C:C,0)))</f>
        <v>723</v>
      </c>
    </row>
    <row r="32">
      <c r="A32" s="25" t="s">
        <v>320</v>
      </c>
      <c r="B32" s="25">
        <v>0.0</v>
      </c>
      <c r="C32" s="25">
        <v>0.0</v>
      </c>
      <c r="D32" s="25">
        <v>0.0</v>
      </c>
      <c r="E32" s="25">
        <v>0.0</v>
      </c>
      <c r="F32" s="25">
        <v>0.0</v>
      </c>
      <c r="G32" s="25">
        <v>0.0</v>
      </c>
      <c r="H32" s="25">
        <v>0.0</v>
      </c>
      <c r="I32" s="25">
        <v>0.0</v>
      </c>
      <c r="J32" s="25">
        <v>0.0</v>
      </c>
      <c r="K32" s="25">
        <v>0.0</v>
      </c>
      <c r="L32" s="25">
        <v>0.0</v>
      </c>
      <c r="M32" s="17">
        <f t="shared" si="1"/>
        <v>0</v>
      </c>
      <c r="N32" s="24" t="str">
        <f t="array" ref="N32">if(isblank(A32),"",index(fish_lab_data!O:O,match(A32,fish_lab_data!C:C,0)))</f>
        <v>EJ</v>
      </c>
      <c r="O32" s="24" t="str">
        <f t="array" ref="O32">index(fish_lab_data!Q:Q,match(A32,fish_lab_data!C:C,0))</f>
        <v>lab_motiles_etoh</v>
      </c>
      <c r="P32" s="24" t="str">
        <f t="array" ref="P32">if(and(iserror(index(sea_lice!G:G,match(A32,sea_lice!A:A,0))),M32=0),"NA",index(sea_lice!G:G,match(A32,sea_lice!A:A,0)))</f>
        <v>NA</v>
      </c>
      <c r="Q32" s="24">
        <f t="array" ref="Q32">if(isblank(A32),"",index(fish_lab_data!X:X,match(A32,fish_lab_data!C:C,0)))</f>
        <v>724</v>
      </c>
    </row>
    <row r="33">
      <c r="A33" s="25" t="s">
        <v>325</v>
      </c>
      <c r="B33" s="25">
        <v>0.0</v>
      </c>
      <c r="C33" s="25">
        <v>0.0</v>
      </c>
      <c r="D33" s="25">
        <v>0.0</v>
      </c>
      <c r="E33" s="25">
        <v>0.0</v>
      </c>
      <c r="F33" s="25">
        <v>0.0</v>
      </c>
      <c r="G33" s="25">
        <v>0.0</v>
      </c>
      <c r="H33" s="25">
        <v>0.0</v>
      </c>
      <c r="I33" s="25">
        <v>0.0</v>
      </c>
      <c r="J33" s="25">
        <v>0.0</v>
      </c>
      <c r="K33" s="25">
        <v>0.0</v>
      </c>
      <c r="L33" s="25">
        <v>0.0</v>
      </c>
      <c r="M33" s="17">
        <f t="shared" si="1"/>
        <v>0</v>
      </c>
      <c r="N33" s="24" t="str">
        <f t="array" ref="N33">if(isblank(A33),"",index(fish_lab_data!O:O,match(A33,fish_lab_data!C:C,0)))</f>
        <v>EJ</v>
      </c>
      <c r="O33" s="24" t="str">
        <f t="array" ref="O33">index(fish_lab_data!Q:Q,match(A33,fish_lab_data!C:C,0))</f>
        <v>lab_motiles_etoh</v>
      </c>
      <c r="P33" s="24" t="str">
        <f t="array" ref="P33">if(and(iserror(index(sea_lice!G:G,match(A33,sea_lice!A:A,0))),M33=0),"NA",index(sea_lice!G:G,match(A33,sea_lice!A:A,0)))</f>
        <v>NA</v>
      </c>
      <c r="Q33" s="24">
        <f t="array" ref="Q33">if(isblank(A33),"",index(fish_lab_data!X:X,match(A33,fish_lab_data!C:C,0)))</f>
        <v>725</v>
      </c>
    </row>
    <row r="34">
      <c r="A34" s="25" t="s">
        <v>331</v>
      </c>
      <c r="B34" s="25">
        <v>0.0</v>
      </c>
      <c r="C34" s="25">
        <v>0.0</v>
      </c>
      <c r="D34" s="25">
        <v>0.0</v>
      </c>
      <c r="E34" s="25">
        <v>0.0</v>
      </c>
      <c r="F34" s="25">
        <v>0.0</v>
      </c>
      <c r="G34" s="25">
        <v>0.0</v>
      </c>
      <c r="H34" s="25">
        <v>0.0</v>
      </c>
      <c r="I34" s="25">
        <v>0.0</v>
      </c>
      <c r="J34" s="25">
        <v>0.0</v>
      </c>
      <c r="K34" s="25">
        <v>0.0</v>
      </c>
      <c r="L34" s="25">
        <v>0.0</v>
      </c>
      <c r="M34" s="17">
        <f t="shared" si="1"/>
        <v>0</v>
      </c>
      <c r="N34" s="24" t="str">
        <f t="array" ref="N34">if(isblank(A34),"",index(fish_lab_data!O:O,match(A34,fish_lab_data!C:C,0)))</f>
        <v>EJ</v>
      </c>
      <c r="O34" s="24" t="str">
        <f t="array" ref="O34">index(fish_lab_data!Q:Q,match(A34,fish_lab_data!C:C,0))</f>
        <v>lab_motiles_etoh</v>
      </c>
      <c r="P34" s="24" t="str">
        <f t="array" ref="P34">if(and(iserror(index(sea_lice!G:G,match(A34,sea_lice!A:A,0))),M34=0),"NA",index(sea_lice!G:G,match(A34,sea_lice!A:A,0)))</f>
        <v>NA</v>
      </c>
      <c r="Q34" s="24">
        <f t="array" ref="Q34">if(isblank(A34),"",index(fish_lab_data!X:X,match(A34,fish_lab_data!C:C,0)))</f>
        <v>726</v>
      </c>
    </row>
    <row r="35">
      <c r="A35" s="25" t="s">
        <v>337</v>
      </c>
      <c r="B35" s="25">
        <v>0.0</v>
      </c>
      <c r="C35" s="25">
        <v>0.0</v>
      </c>
      <c r="D35" s="25">
        <v>0.0</v>
      </c>
      <c r="E35" s="25">
        <v>0.0</v>
      </c>
      <c r="F35" s="25">
        <v>0.0</v>
      </c>
      <c r="G35" s="25">
        <v>0.0</v>
      </c>
      <c r="H35" s="25">
        <v>0.0</v>
      </c>
      <c r="I35" s="25">
        <v>0.0</v>
      </c>
      <c r="J35" s="25">
        <v>0.0</v>
      </c>
      <c r="K35" s="25">
        <v>0.0</v>
      </c>
      <c r="L35" s="25">
        <v>0.0</v>
      </c>
      <c r="M35" s="17">
        <f t="shared" si="1"/>
        <v>0</v>
      </c>
      <c r="N35" s="24" t="str">
        <f t="array" ref="N35">if(isblank(A35),"",index(fish_lab_data!O:O,match(A35,fish_lab_data!C:C,0)))</f>
        <v>EJ</v>
      </c>
      <c r="O35" s="24" t="str">
        <f t="array" ref="O35">index(fish_lab_data!Q:Q,match(A35,fish_lab_data!C:C,0))</f>
        <v>lab_motiles_etoh</v>
      </c>
      <c r="P35" s="24" t="str">
        <f t="array" ref="P35">if(and(iserror(index(sea_lice!G:G,match(A35,sea_lice!A:A,0))),M35=0),"NA",index(sea_lice!G:G,match(A35,sea_lice!A:A,0)))</f>
        <v>NA</v>
      </c>
      <c r="Q35" s="24">
        <f t="array" ref="Q35">if(isblank(A35),"",index(fish_lab_data!X:X,match(A35,fish_lab_data!C:C,0)))</f>
        <v>727</v>
      </c>
    </row>
    <row r="36">
      <c r="A36" s="25" t="s">
        <v>343</v>
      </c>
      <c r="B36" s="25">
        <v>0.0</v>
      </c>
      <c r="C36" s="25">
        <v>0.0</v>
      </c>
      <c r="D36" s="25">
        <v>0.0</v>
      </c>
      <c r="E36" s="25">
        <v>0.0</v>
      </c>
      <c r="F36" s="25">
        <v>0.0</v>
      </c>
      <c r="G36" s="25">
        <v>0.0</v>
      </c>
      <c r="H36" s="25">
        <v>0.0</v>
      </c>
      <c r="I36" s="25">
        <v>0.0</v>
      </c>
      <c r="J36" s="25">
        <v>0.0</v>
      </c>
      <c r="K36" s="25">
        <v>0.0</v>
      </c>
      <c r="L36" s="25">
        <v>0.0</v>
      </c>
      <c r="M36" s="17">
        <f t="shared" si="1"/>
        <v>0</v>
      </c>
      <c r="N36" s="24" t="str">
        <f t="array" ref="N36">if(isblank(A36),"",index(fish_lab_data!O:O,match(A36,fish_lab_data!C:C,0)))</f>
        <v>EJ</v>
      </c>
      <c r="O36" s="24" t="str">
        <f t="array" ref="O36">index(fish_lab_data!Q:Q,match(A36,fish_lab_data!C:C,0))</f>
        <v>lab_motiles_etoh</v>
      </c>
      <c r="P36" s="24" t="str">
        <f t="array" ref="P36">if(and(iserror(index(sea_lice!G:G,match(A36,sea_lice!A:A,0))),M36=0),"NA",index(sea_lice!G:G,match(A36,sea_lice!A:A,0)))</f>
        <v>NA</v>
      </c>
      <c r="Q36" s="24">
        <f t="array" ref="Q36">if(isblank(A36),"",index(fish_lab_data!X:X,match(A36,fish_lab_data!C:C,0)))</f>
        <v>728</v>
      </c>
    </row>
    <row r="37">
      <c r="A37" s="25" t="s">
        <v>350</v>
      </c>
      <c r="B37" s="25">
        <v>0.0</v>
      </c>
      <c r="C37" s="25">
        <v>0.0</v>
      </c>
      <c r="D37" s="25">
        <v>0.0</v>
      </c>
      <c r="E37" s="25">
        <v>0.0</v>
      </c>
      <c r="F37" s="25">
        <v>0.0</v>
      </c>
      <c r="G37" s="25">
        <v>0.0</v>
      </c>
      <c r="H37" s="25">
        <v>0.0</v>
      </c>
      <c r="I37" s="25">
        <v>0.0</v>
      </c>
      <c r="J37" s="25">
        <v>0.0</v>
      </c>
      <c r="K37" s="25">
        <v>0.0</v>
      </c>
      <c r="L37" s="25">
        <v>0.0</v>
      </c>
      <c r="M37" s="17">
        <f t="shared" si="1"/>
        <v>0</v>
      </c>
      <c r="N37" s="24" t="str">
        <f t="array" ref="N37">if(isblank(A37),"",index(fish_lab_data!O:O,match(A37,fish_lab_data!C:C,0)))</f>
        <v>EJ</v>
      </c>
      <c r="O37" s="24" t="str">
        <f t="array" ref="O37">index(fish_lab_data!Q:Q,match(A37,fish_lab_data!C:C,0))</f>
        <v>lab_motiles_etoh</v>
      </c>
      <c r="P37" s="24" t="str">
        <f t="array" ref="P37">if(and(iserror(index(sea_lice!G:G,match(A37,sea_lice!A:A,0))),M37=0),"NA",index(sea_lice!G:G,match(A37,sea_lice!A:A,0)))</f>
        <v>NA</v>
      </c>
      <c r="Q37" s="24">
        <f t="array" ref="Q37">if(isblank(A37),"",index(fish_lab_data!X:X,match(A37,fish_lab_data!C:C,0)))</f>
        <v>729</v>
      </c>
    </row>
    <row r="38">
      <c r="A38" s="25" t="s">
        <v>357</v>
      </c>
      <c r="B38" s="25">
        <v>0.0</v>
      </c>
      <c r="C38" s="25">
        <v>0.0</v>
      </c>
      <c r="D38" s="25">
        <v>0.0</v>
      </c>
      <c r="E38" s="25">
        <v>0.0</v>
      </c>
      <c r="F38" s="25">
        <v>0.0</v>
      </c>
      <c r="G38" s="25">
        <v>0.0</v>
      </c>
      <c r="H38" s="25">
        <v>0.0</v>
      </c>
      <c r="I38" s="25">
        <v>0.0</v>
      </c>
      <c r="J38" s="25">
        <v>0.0</v>
      </c>
      <c r="K38" s="25">
        <v>0.0</v>
      </c>
      <c r="L38" s="25">
        <v>0.0</v>
      </c>
      <c r="M38" s="17">
        <f t="shared" si="1"/>
        <v>0</v>
      </c>
      <c r="N38" s="24" t="str">
        <f t="array" ref="N38">if(isblank(A38),"",index(fish_lab_data!O:O,match(A38,fish_lab_data!C:C,0)))</f>
        <v>EJ</v>
      </c>
      <c r="O38" s="24" t="str">
        <f t="array" ref="O38">index(fish_lab_data!Q:Q,match(A38,fish_lab_data!C:C,0))</f>
        <v>lab_motiles_etoh</v>
      </c>
      <c r="P38" s="24" t="str">
        <f t="array" ref="P38">if(and(iserror(index(sea_lice!G:G,match(A38,sea_lice!A:A,0))),M38=0),"NA",index(sea_lice!G:G,match(A38,sea_lice!A:A,0)))</f>
        <v>NA</v>
      </c>
      <c r="Q38" s="24">
        <f t="array" ref="Q38">if(isblank(A38),"",index(fish_lab_data!X:X,match(A38,fish_lab_data!C:C,0)))</f>
        <v>730</v>
      </c>
    </row>
    <row r="39">
      <c r="A39" s="25" t="s">
        <v>364</v>
      </c>
      <c r="B39" s="25">
        <v>0.0</v>
      </c>
      <c r="C39" s="25">
        <v>0.0</v>
      </c>
      <c r="D39" s="25">
        <v>0.0</v>
      </c>
      <c r="E39" s="25">
        <v>0.0</v>
      </c>
      <c r="F39" s="25">
        <v>0.0</v>
      </c>
      <c r="G39" s="25">
        <v>0.0</v>
      </c>
      <c r="H39" s="25">
        <v>0.0</v>
      </c>
      <c r="I39" s="25">
        <v>0.0</v>
      </c>
      <c r="J39" s="25">
        <v>0.0</v>
      </c>
      <c r="K39" s="25">
        <v>0.0</v>
      </c>
      <c r="L39" s="25">
        <v>0.0</v>
      </c>
      <c r="M39" s="17">
        <f t="shared" si="1"/>
        <v>0</v>
      </c>
      <c r="N39" s="24" t="str">
        <f t="array" ref="N39">if(isblank(A39),"",index(fish_lab_data!O:O,match(A39,fish_lab_data!C:C,0)))</f>
        <v>KB</v>
      </c>
      <c r="O39" s="24" t="str">
        <f t="array" ref="O39">index(fish_lab_data!Q:Q,match(A39,fish_lab_data!C:C,0))</f>
        <v>lab_motiles_etoh</v>
      </c>
      <c r="P39" s="24" t="str">
        <f t="array" ref="P39">if(and(iserror(index(sea_lice!G:G,match(A39,sea_lice!A:A,0))),M39=0),"NA",index(sea_lice!G:G,match(A39,sea_lice!A:A,0)))</f>
        <v>NA</v>
      </c>
      <c r="Q39" s="24">
        <f t="array" ref="Q39">if(isblank(A39),"",index(fish_lab_data!X:X,match(A39,fish_lab_data!C:C,0)))</f>
        <v>731</v>
      </c>
    </row>
    <row r="40">
      <c r="A40" s="25" t="s">
        <v>372</v>
      </c>
      <c r="B40" s="25">
        <v>0.0</v>
      </c>
      <c r="C40" s="25">
        <v>0.0</v>
      </c>
      <c r="D40" s="25">
        <v>0.0</v>
      </c>
      <c r="E40" s="25">
        <v>0.0</v>
      </c>
      <c r="F40" s="25">
        <v>0.0</v>
      </c>
      <c r="G40" s="25">
        <v>0.0</v>
      </c>
      <c r="H40" s="25">
        <v>0.0</v>
      </c>
      <c r="I40" s="25">
        <v>0.0</v>
      </c>
      <c r="J40" s="25">
        <v>0.0</v>
      </c>
      <c r="K40" s="25">
        <v>0.0</v>
      </c>
      <c r="L40" s="25">
        <v>0.0</v>
      </c>
      <c r="M40" s="17">
        <f t="shared" si="1"/>
        <v>0</v>
      </c>
      <c r="N40" s="24" t="str">
        <f t="array" ref="N40">if(isblank(A40),"",index(fish_lab_data!O:O,match(A40,fish_lab_data!C:C,0)))</f>
        <v>KB</v>
      </c>
      <c r="O40" s="24" t="str">
        <f t="array" ref="O40">index(fish_lab_data!Q:Q,match(A40,fish_lab_data!C:C,0))</f>
        <v>lab_motiles_etoh</v>
      </c>
      <c r="P40" s="24" t="str">
        <f t="array" ref="P40">if(and(iserror(index(sea_lice!G:G,match(A40,sea_lice!A:A,0))),M40=0),"NA",index(sea_lice!G:G,match(A40,sea_lice!A:A,0)))</f>
        <v>NA</v>
      </c>
      <c r="Q40" s="24">
        <f t="array" ref="Q40">if(isblank(A40),"",index(fish_lab_data!X:X,match(A40,fish_lab_data!C:C,0)))</f>
        <v>732</v>
      </c>
    </row>
    <row r="41">
      <c r="A41" s="25" t="s">
        <v>379</v>
      </c>
      <c r="B41" s="25">
        <v>0.0</v>
      </c>
      <c r="C41" s="25">
        <v>0.0</v>
      </c>
      <c r="D41" s="25">
        <v>0.0</v>
      </c>
      <c r="E41" s="25">
        <v>0.0</v>
      </c>
      <c r="F41" s="25">
        <v>0.0</v>
      </c>
      <c r="G41" s="25">
        <v>0.0</v>
      </c>
      <c r="H41" s="25">
        <v>0.0</v>
      </c>
      <c r="I41" s="25">
        <v>0.0</v>
      </c>
      <c r="J41" s="25">
        <v>0.0</v>
      </c>
      <c r="K41" s="25">
        <v>0.0</v>
      </c>
      <c r="L41" s="25">
        <v>0.0</v>
      </c>
      <c r="M41" s="17">
        <f t="shared" si="1"/>
        <v>0</v>
      </c>
      <c r="N41" s="24" t="str">
        <f t="array" ref="N41">if(isblank(A41),"",index(fish_lab_data!O:O,match(A41,fish_lab_data!C:C,0)))</f>
        <v>KB</v>
      </c>
      <c r="O41" s="24" t="str">
        <f t="array" ref="O41">index(fish_lab_data!Q:Q,match(A41,fish_lab_data!C:C,0))</f>
        <v>lab_motiles_etoh</v>
      </c>
      <c r="P41" s="24" t="str">
        <f t="array" ref="P41">if(and(iserror(index(sea_lice!G:G,match(A41,sea_lice!A:A,0))),M41=0),"NA",index(sea_lice!G:G,match(A41,sea_lice!A:A,0)))</f>
        <v>NA</v>
      </c>
      <c r="Q41" s="24">
        <f t="array" ref="Q41">if(isblank(A41),"",index(fish_lab_data!X:X,match(A41,fish_lab_data!C:C,0)))</f>
        <v>733</v>
      </c>
    </row>
    <row r="42">
      <c r="A42" s="25" t="s">
        <v>385</v>
      </c>
      <c r="B42" s="25">
        <v>0.0</v>
      </c>
      <c r="C42" s="25">
        <v>0.0</v>
      </c>
      <c r="D42" s="25">
        <v>0.0</v>
      </c>
      <c r="E42" s="25">
        <v>0.0</v>
      </c>
      <c r="F42" s="25">
        <v>0.0</v>
      </c>
      <c r="G42" s="25">
        <v>0.0</v>
      </c>
      <c r="H42" s="25">
        <v>0.0</v>
      </c>
      <c r="I42" s="25">
        <v>0.0</v>
      </c>
      <c r="J42" s="25">
        <v>0.0</v>
      </c>
      <c r="K42" s="25">
        <v>0.0</v>
      </c>
      <c r="L42" s="25">
        <v>0.0</v>
      </c>
      <c r="M42" s="17">
        <f t="shared" si="1"/>
        <v>0</v>
      </c>
      <c r="N42" s="24" t="str">
        <f t="array" ref="N42">if(isblank(A42),"",index(fish_lab_data!O:O,match(A42,fish_lab_data!C:C,0)))</f>
        <v>KB</v>
      </c>
      <c r="O42" s="24" t="str">
        <f t="array" ref="O42">index(fish_lab_data!Q:Q,match(A42,fish_lab_data!C:C,0))</f>
        <v>lab_motiles_etoh</v>
      </c>
      <c r="P42" s="24" t="str">
        <f t="array" ref="P42">if(and(iserror(index(sea_lice!G:G,match(A42,sea_lice!A:A,0))),M42=0),"NA",index(sea_lice!G:G,match(A42,sea_lice!A:A,0)))</f>
        <v>NA</v>
      </c>
      <c r="Q42" s="24">
        <f t="array" ref="Q42">if(isblank(A42),"",index(fish_lab_data!X:X,match(A42,fish_lab_data!C:C,0)))</f>
        <v>734</v>
      </c>
    </row>
    <row r="43">
      <c r="A43" s="22" t="s">
        <v>390</v>
      </c>
      <c r="B43" s="9">
        <v>0.0</v>
      </c>
      <c r="C43" s="9">
        <v>1.0</v>
      </c>
      <c r="D43" s="9">
        <v>0.0</v>
      </c>
      <c r="E43" s="9">
        <v>0.0</v>
      </c>
      <c r="F43" s="9">
        <v>0.0</v>
      </c>
      <c r="G43" s="9">
        <v>0.0</v>
      </c>
      <c r="H43" s="9">
        <v>0.0</v>
      </c>
      <c r="I43" s="9">
        <v>0.0</v>
      </c>
      <c r="J43" s="9">
        <v>0.0</v>
      </c>
      <c r="K43" s="9">
        <v>0.0</v>
      </c>
      <c r="L43" s="9">
        <v>0.0</v>
      </c>
      <c r="M43" s="17">
        <f t="shared" si="1"/>
        <v>1</v>
      </c>
      <c r="N43" s="24" t="str">
        <f t="array" ref="N43">if(isblank(A43),"",index(fish_lab_data!O:O,match(A43,fish_lab_data!C:C,0)))</f>
        <v>KB</v>
      </c>
      <c r="O43" s="24" t="str">
        <f t="array" ref="O43">index(fish_lab_data!Q:Q,match(A43,fish_lab_data!C:C,0))</f>
        <v>lab_motiles_etoh</v>
      </c>
      <c r="P43" s="24" t="str">
        <f t="array" ref="P43">if(and(iserror(index(sea_lice!G:G,match(A43,sea_lice!A:A,0))),M43=0),"NA",index(sea_lice!G:G,match(A43,sea_lice!A:A,0)))</f>
        <v>BSL6-66</v>
      </c>
      <c r="Q43" s="24">
        <f t="array" ref="Q43">if(isblank(A43),"",index(fish_lab_data!X:X,match(A43,fish_lab_data!C:C,0)))</f>
        <v>735</v>
      </c>
    </row>
    <row r="44">
      <c r="A44" s="25" t="s">
        <v>399</v>
      </c>
      <c r="B44" s="25">
        <v>0.0</v>
      </c>
      <c r="C44" s="25">
        <v>0.0</v>
      </c>
      <c r="D44" s="25">
        <v>0.0</v>
      </c>
      <c r="E44" s="25">
        <v>0.0</v>
      </c>
      <c r="F44" s="25">
        <v>0.0</v>
      </c>
      <c r="G44" s="25">
        <v>0.0</v>
      </c>
      <c r="H44" s="25">
        <v>0.0</v>
      </c>
      <c r="I44" s="25">
        <v>0.0</v>
      </c>
      <c r="J44" s="25">
        <v>0.0</v>
      </c>
      <c r="K44" s="25">
        <v>0.0</v>
      </c>
      <c r="L44" s="25">
        <v>0.0</v>
      </c>
      <c r="M44" s="17">
        <f t="shared" si="1"/>
        <v>0</v>
      </c>
      <c r="N44" s="24" t="str">
        <f t="array" ref="N44">if(isblank(A44),"",index(fish_lab_data!O:O,match(A44,fish_lab_data!C:C,0)))</f>
        <v>KB</v>
      </c>
      <c r="O44" s="24" t="str">
        <f t="array" ref="O44">index(fish_lab_data!Q:Q,match(A44,fish_lab_data!C:C,0))</f>
        <v>lab_motiles_etoh</v>
      </c>
      <c r="P44" s="24" t="str">
        <f t="array" ref="P44">if(and(iserror(index(sea_lice!G:G,match(A44,sea_lice!A:A,0))),M44=0),"NA",index(sea_lice!G:G,match(A44,sea_lice!A:A,0)))</f>
        <v>NA</v>
      </c>
      <c r="Q44" s="24">
        <f t="array" ref="Q44">if(isblank(A44),"",index(fish_lab_data!X:X,match(A44,fish_lab_data!C:C,0)))</f>
        <v>736</v>
      </c>
    </row>
    <row r="45">
      <c r="A45" s="25" t="s">
        <v>406</v>
      </c>
      <c r="B45" s="25">
        <v>0.0</v>
      </c>
      <c r="C45" s="25">
        <v>0.0</v>
      </c>
      <c r="D45" s="25">
        <v>0.0</v>
      </c>
      <c r="E45" s="25">
        <v>0.0</v>
      </c>
      <c r="F45" s="25">
        <v>0.0</v>
      </c>
      <c r="G45" s="25">
        <v>0.0</v>
      </c>
      <c r="H45" s="25">
        <v>0.0</v>
      </c>
      <c r="I45" s="25">
        <v>0.0</v>
      </c>
      <c r="J45" s="25">
        <v>0.0</v>
      </c>
      <c r="K45" s="25">
        <v>0.0</v>
      </c>
      <c r="L45" s="25">
        <v>0.0</v>
      </c>
      <c r="M45" s="17">
        <f t="shared" si="1"/>
        <v>0</v>
      </c>
      <c r="N45" s="24" t="str">
        <f t="array" ref="N45">if(isblank(A45),"",index(fish_lab_data!O:O,match(A45,fish_lab_data!C:C,0)))</f>
        <v>KB</v>
      </c>
      <c r="O45" s="24" t="str">
        <f t="array" ref="O45">index(fish_lab_data!Q:Q,match(A45,fish_lab_data!C:C,0))</f>
        <v>lab_motiles_etoh</v>
      </c>
      <c r="P45" s="24" t="str">
        <f t="array" ref="P45">if(and(iserror(index(sea_lice!G:G,match(A45,sea_lice!A:A,0))),M45=0),"NA",index(sea_lice!G:G,match(A45,sea_lice!A:A,0)))</f>
        <v>NA</v>
      </c>
      <c r="Q45" s="24">
        <f t="array" ref="Q45">if(isblank(A45),"",index(fish_lab_data!X:X,match(A45,fish_lab_data!C:C,0)))</f>
        <v>737</v>
      </c>
    </row>
    <row r="46">
      <c r="A46" s="22" t="s">
        <v>416</v>
      </c>
      <c r="B46" s="9">
        <v>1.0</v>
      </c>
      <c r="C46" s="9">
        <v>0.0</v>
      </c>
      <c r="D46" s="9">
        <v>0.0</v>
      </c>
      <c r="E46" s="9">
        <v>0.0</v>
      </c>
      <c r="F46" s="9">
        <v>0.0</v>
      </c>
      <c r="G46" s="9">
        <v>0.0</v>
      </c>
      <c r="H46" s="9">
        <v>0.0</v>
      </c>
      <c r="I46" s="9">
        <v>0.0</v>
      </c>
      <c r="J46" s="9">
        <v>0.0</v>
      </c>
      <c r="K46" s="9">
        <v>0.0</v>
      </c>
      <c r="L46" s="9">
        <v>0.0</v>
      </c>
      <c r="M46" s="17">
        <f t="shared" si="1"/>
        <v>1</v>
      </c>
      <c r="N46" s="24" t="str">
        <f t="array" ref="N46">if(isblank(A46),"",index(fish_lab_data!O:O,match(A46,fish_lab_data!C:C,0)))</f>
        <v>KB</v>
      </c>
      <c r="O46" s="24" t="str">
        <f t="array" ref="O46">index(fish_lab_data!Q:Q,match(A46,fish_lab_data!C:C,0))</f>
        <v>lab_motiles_etoh</v>
      </c>
      <c r="P46" s="24" t="str">
        <f t="array" ref="P46">if(and(iserror(index(sea_lice!G:G,match(A46,sea_lice!A:A,0))),M46=0),"NA",index(sea_lice!G:G,match(A46,sea_lice!A:A,0)))</f>
        <v>BSL6-67</v>
      </c>
      <c r="Q46" s="24">
        <f t="array" ref="Q46">if(isblank(A46),"",index(fish_lab_data!X:X,match(A46,fish_lab_data!C:C,0)))</f>
        <v>738</v>
      </c>
    </row>
    <row r="47">
      <c r="A47" s="25" t="s">
        <v>426</v>
      </c>
      <c r="B47" s="25">
        <v>0.0</v>
      </c>
      <c r="C47" s="25">
        <v>0.0</v>
      </c>
      <c r="D47" s="25">
        <v>0.0</v>
      </c>
      <c r="E47" s="25">
        <v>0.0</v>
      </c>
      <c r="F47" s="25">
        <v>0.0</v>
      </c>
      <c r="G47" s="25">
        <v>0.0</v>
      </c>
      <c r="H47" s="25">
        <v>0.0</v>
      </c>
      <c r="I47" s="25">
        <v>0.0</v>
      </c>
      <c r="J47" s="25">
        <v>0.0</v>
      </c>
      <c r="K47" s="25">
        <v>0.0</v>
      </c>
      <c r="L47" s="25">
        <v>0.0</v>
      </c>
      <c r="M47" s="17">
        <f t="shared" si="1"/>
        <v>0</v>
      </c>
      <c r="N47" s="24" t="str">
        <f t="array" ref="N47">if(isblank(A47),"",index(fish_lab_data!O:O,match(A47,fish_lab_data!C:C,0)))</f>
        <v>KB</v>
      </c>
      <c r="O47" s="24" t="str">
        <f t="array" ref="O47">index(fish_lab_data!Q:Q,match(A47,fish_lab_data!C:C,0))</f>
        <v>lab_motiles_etoh</v>
      </c>
      <c r="P47" s="24" t="str">
        <f t="array" ref="P47">if(and(iserror(index(sea_lice!G:G,match(A47,sea_lice!A:A,0))),M47=0),"NA",index(sea_lice!G:G,match(A47,sea_lice!A:A,0)))</f>
        <v>NA</v>
      </c>
      <c r="Q47" s="24">
        <f t="array" ref="Q47">if(isblank(A47),"",index(fish_lab_data!X:X,match(A47,fish_lab_data!C:C,0)))</f>
        <v>739</v>
      </c>
    </row>
    <row r="48">
      <c r="A48" s="25" t="s">
        <v>434</v>
      </c>
      <c r="B48" s="25">
        <v>0.0</v>
      </c>
      <c r="C48" s="25">
        <v>0.0</v>
      </c>
      <c r="D48" s="25">
        <v>0.0</v>
      </c>
      <c r="E48" s="25">
        <v>0.0</v>
      </c>
      <c r="F48" s="25">
        <v>0.0</v>
      </c>
      <c r="G48" s="25">
        <v>0.0</v>
      </c>
      <c r="H48" s="25">
        <v>0.0</v>
      </c>
      <c r="I48" s="25">
        <v>0.0</v>
      </c>
      <c r="J48" s="25">
        <v>0.0</v>
      </c>
      <c r="K48" s="25">
        <v>0.0</v>
      </c>
      <c r="L48" s="25">
        <v>0.0</v>
      </c>
      <c r="M48" s="17">
        <f t="shared" si="1"/>
        <v>0</v>
      </c>
      <c r="N48" s="24" t="str">
        <f t="array" ref="N48">if(isblank(A48),"",index(fish_lab_data!O:O,match(A48,fish_lab_data!C:C,0)))</f>
        <v>KB</v>
      </c>
      <c r="O48" s="24" t="str">
        <f t="array" ref="O48">index(fish_lab_data!Q:Q,match(A48,fish_lab_data!C:C,0))</f>
        <v>lab_motiles_etoh</v>
      </c>
      <c r="P48" s="24" t="str">
        <f t="array" ref="P48">if(and(iserror(index(sea_lice!G:G,match(A48,sea_lice!A:A,0))),M48=0),"NA",index(sea_lice!G:G,match(A48,sea_lice!A:A,0)))</f>
        <v>NA</v>
      </c>
      <c r="Q48" s="24">
        <f t="array" ref="Q48">if(isblank(A48),"",index(fish_lab_data!X:X,match(A48,fish_lab_data!C:C,0)))</f>
        <v>740</v>
      </c>
    </row>
    <row r="49">
      <c r="A49" s="25" t="s">
        <v>442</v>
      </c>
      <c r="B49" s="25">
        <v>0.0</v>
      </c>
      <c r="C49" s="25">
        <v>0.0</v>
      </c>
      <c r="D49" s="25">
        <v>0.0</v>
      </c>
      <c r="E49" s="25">
        <v>0.0</v>
      </c>
      <c r="F49" s="25">
        <v>0.0</v>
      </c>
      <c r="G49" s="25">
        <v>0.0</v>
      </c>
      <c r="H49" s="25">
        <v>0.0</v>
      </c>
      <c r="I49" s="25">
        <v>0.0</v>
      </c>
      <c r="J49" s="25">
        <v>0.0</v>
      </c>
      <c r="K49" s="25">
        <v>0.0</v>
      </c>
      <c r="L49" s="25">
        <v>0.0</v>
      </c>
      <c r="M49" s="17">
        <f t="shared" si="1"/>
        <v>0</v>
      </c>
      <c r="N49" s="24" t="str">
        <f t="array" ref="N49">if(isblank(A49),"",index(fish_lab_data!O:O,match(A49,fish_lab_data!C:C,0)))</f>
        <v>KB</v>
      </c>
      <c r="O49" s="24" t="str">
        <f t="array" ref="O49">index(fish_lab_data!Q:Q,match(A49,fish_lab_data!C:C,0))</f>
        <v>lab_motiles_etoh</v>
      </c>
      <c r="P49" s="24" t="str">
        <f t="array" ref="P49">if(and(iserror(index(sea_lice!G:G,match(A49,sea_lice!A:A,0))),M49=0),"NA",index(sea_lice!G:G,match(A49,sea_lice!A:A,0)))</f>
        <v>NA</v>
      </c>
      <c r="Q49" s="24">
        <f t="array" ref="Q49">if(isblank(A49),"",index(fish_lab_data!X:X,match(A49,fish_lab_data!C:C,0)))</f>
        <v>741</v>
      </c>
    </row>
    <row r="50">
      <c r="A50" s="25" t="s">
        <v>450</v>
      </c>
      <c r="B50" s="25">
        <v>0.0</v>
      </c>
      <c r="C50" s="25">
        <v>0.0</v>
      </c>
      <c r="D50" s="25">
        <v>0.0</v>
      </c>
      <c r="E50" s="25">
        <v>0.0</v>
      </c>
      <c r="F50" s="25">
        <v>0.0</v>
      </c>
      <c r="G50" s="25">
        <v>0.0</v>
      </c>
      <c r="H50" s="25">
        <v>0.0</v>
      </c>
      <c r="I50" s="25">
        <v>0.0</v>
      </c>
      <c r="J50" s="25">
        <v>0.0</v>
      </c>
      <c r="K50" s="25">
        <v>0.0</v>
      </c>
      <c r="L50" s="25">
        <v>0.0</v>
      </c>
      <c r="M50" s="17">
        <f t="shared" si="1"/>
        <v>0</v>
      </c>
      <c r="N50" s="24" t="str">
        <f t="array" ref="N50">if(isblank(A50),"",index(fish_lab_data!O:O,match(A50,fish_lab_data!C:C,0)))</f>
        <v>KB</v>
      </c>
      <c r="O50" s="24" t="str">
        <f t="array" ref="O50">index(fish_lab_data!Q:Q,match(A50,fish_lab_data!C:C,0))</f>
        <v>lab_motiles_etoh</v>
      </c>
      <c r="P50" s="24" t="str">
        <f t="array" ref="P50">if(and(iserror(index(sea_lice!G:G,match(A50,sea_lice!A:A,0))),M50=0),"NA",index(sea_lice!G:G,match(A50,sea_lice!A:A,0)))</f>
        <v>NA</v>
      </c>
      <c r="Q50" s="24">
        <f t="array" ref="Q50">if(isblank(A50),"",index(fish_lab_data!X:X,match(A50,fish_lab_data!C:C,0)))</f>
        <v>742</v>
      </c>
    </row>
    <row r="51">
      <c r="A51" s="22" t="s">
        <v>458</v>
      </c>
      <c r="B51" s="9">
        <v>0.0</v>
      </c>
      <c r="C51" s="9">
        <v>0.0</v>
      </c>
      <c r="D51" s="9">
        <v>1.0</v>
      </c>
      <c r="E51" s="9">
        <v>0.0</v>
      </c>
      <c r="F51" s="9">
        <v>0.0</v>
      </c>
      <c r="G51" s="9">
        <v>0.0</v>
      </c>
      <c r="H51" s="9">
        <v>0.0</v>
      </c>
      <c r="I51" s="9">
        <v>0.0</v>
      </c>
      <c r="J51" s="9">
        <v>0.0</v>
      </c>
      <c r="K51" s="9">
        <v>0.0</v>
      </c>
      <c r="L51" s="9">
        <v>0.0</v>
      </c>
      <c r="M51" s="17">
        <f t="shared" si="1"/>
        <v>1</v>
      </c>
      <c r="N51" s="24" t="str">
        <f t="array" ref="N51">if(isblank(A51),"",index(fish_lab_data!O:O,match(A51,fish_lab_data!C:C,0)))</f>
        <v>KB</v>
      </c>
      <c r="O51" s="24" t="str">
        <f t="array" ref="O51">index(fish_lab_data!Q:Q,match(A51,fish_lab_data!C:C,0))</f>
        <v>lab_motiles_etoh</v>
      </c>
      <c r="P51" s="24" t="str">
        <f t="array" ref="P51">if(and(iserror(index(sea_lice!G:G,match(A51,sea_lice!A:A,0))),M51=0),"NA",index(sea_lice!G:G,match(A51,sea_lice!A:A,0)))</f>
        <v>BSL6-68</v>
      </c>
      <c r="Q51" s="24">
        <f t="array" ref="Q51">if(isblank(A51),"",index(fish_lab_data!X:X,match(A51,fish_lab_data!C:C,0)))</f>
        <v>743</v>
      </c>
    </row>
    <row r="52">
      <c r="A52" s="22" t="s">
        <v>465</v>
      </c>
      <c r="B52" s="9">
        <v>0.0</v>
      </c>
      <c r="C52" s="9">
        <v>0.0</v>
      </c>
      <c r="D52" s="9">
        <v>1.0</v>
      </c>
      <c r="E52" s="9">
        <v>0.0</v>
      </c>
      <c r="F52" s="9">
        <v>0.0</v>
      </c>
      <c r="G52" s="9">
        <v>0.0</v>
      </c>
      <c r="H52" s="9">
        <v>0.0</v>
      </c>
      <c r="I52" s="9">
        <v>0.0</v>
      </c>
      <c r="J52" s="9">
        <v>0.0</v>
      </c>
      <c r="K52" s="9">
        <v>0.0</v>
      </c>
      <c r="L52" s="9">
        <v>0.0</v>
      </c>
      <c r="M52" s="17">
        <f t="shared" si="1"/>
        <v>1</v>
      </c>
      <c r="N52" s="24" t="str">
        <f t="array" ref="N52">if(isblank(A52),"",index(fish_lab_data!O:O,match(A52,fish_lab_data!C:C,0)))</f>
        <v>KB</v>
      </c>
      <c r="O52" s="24" t="str">
        <f t="array" ref="O52">index(fish_lab_data!Q:Q,match(A52,fish_lab_data!C:C,0))</f>
        <v>lab_motiles_etoh</v>
      </c>
      <c r="P52" s="24" t="str">
        <f t="array" ref="P52">if(and(iserror(index(sea_lice!G:G,match(A52,sea_lice!A:A,0))),M52=0),"NA",index(sea_lice!G:G,match(A52,sea_lice!A:A,0)))</f>
        <v>BSL6-69</v>
      </c>
      <c r="Q52" s="24">
        <f t="array" ref="Q52">if(isblank(A52),"",index(fish_lab_data!X:X,match(A52,fish_lab_data!C:C,0)))</f>
        <v>744</v>
      </c>
    </row>
    <row r="53">
      <c r="A53" s="9" t="s">
        <v>472</v>
      </c>
      <c r="B53" s="9">
        <v>1.0</v>
      </c>
      <c r="C53" s="9">
        <v>0.0</v>
      </c>
      <c r="D53" s="9">
        <v>0.0</v>
      </c>
      <c r="E53" s="9">
        <v>0.0</v>
      </c>
      <c r="F53" s="9">
        <v>0.0</v>
      </c>
      <c r="G53" s="9">
        <v>0.0</v>
      </c>
      <c r="H53" s="9">
        <v>0.0</v>
      </c>
      <c r="I53" s="9">
        <v>0.0</v>
      </c>
      <c r="J53" s="9">
        <v>0.0</v>
      </c>
      <c r="K53" s="9">
        <v>0.0</v>
      </c>
      <c r="L53" s="9">
        <v>0.0</v>
      </c>
      <c r="M53" s="17">
        <f t="shared" si="1"/>
        <v>1</v>
      </c>
      <c r="N53" s="24" t="str">
        <f t="array" ref="N53">if(isblank(A53),"",index(fish_lab_data!O:O,match(A53,fish_lab_data!C:C,0)))</f>
        <v>KB</v>
      </c>
      <c r="O53" s="24" t="str">
        <f t="array" ref="O53">index(fish_lab_data!Q:Q,match(A53,fish_lab_data!C:C,0))</f>
        <v>lab_motiles_etoh</v>
      </c>
      <c r="P53" s="24" t="str">
        <f t="array" ref="P53">if(and(iserror(index(sea_lice!G:G,match(A53,sea_lice!A:A,0))),M53=0),"NA",index(sea_lice!G:G,match(A53,sea_lice!A:A,0)))</f>
        <v>BSL6-70</v>
      </c>
      <c r="Q53" s="24">
        <f t="array" ref="Q53">if(isblank(A53),"",index(fish_lab_data!X:X,match(A53,fish_lab_data!C:C,0)))</f>
        <v>745</v>
      </c>
    </row>
    <row r="54">
      <c r="A54" s="9" t="s">
        <v>479</v>
      </c>
      <c r="B54" s="9">
        <v>1.0</v>
      </c>
      <c r="C54" s="9">
        <v>0.0</v>
      </c>
      <c r="D54" s="9">
        <v>0.0</v>
      </c>
      <c r="E54" s="9">
        <v>0.0</v>
      </c>
      <c r="F54" s="9">
        <v>0.0</v>
      </c>
      <c r="G54" s="9">
        <v>0.0</v>
      </c>
      <c r="H54" s="9">
        <v>0.0</v>
      </c>
      <c r="I54" s="9">
        <v>0.0</v>
      </c>
      <c r="J54" s="9">
        <v>0.0</v>
      </c>
      <c r="K54" s="9">
        <v>0.0</v>
      </c>
      <c r="L54" s="9">
        <v>0.0</v>
      </c>
      <c r="M54" s="17">
        <f t="shared" si="1"/>
        <v>1</v>
      </c>
      <c r="N54" s="24" t="str">
        <f t="array" ref="N54">if(isblank(A54),"",index(fish_lab_data!O:O,match(A54,fish_lab_data!C:C,0)))</f>
        <v>KB</v>
      </c>
      <c r="O54" s="24" t="str">
        <f t="array" ref="O54">index(fish_lab_data!Q:Q,match(A54,fish_lab_data!C:C,0))</f>
        <v>lab_motiles_etoh</v>
      </c>
      <c r="P54" s="24" t="str">
        <f t="array" ref="P54">if(and(iserror(index(sea_lice!G:G,match(A54,sea_lice!A:A,0))),M54=0),"NA",index(sea_lice!G:G,match(A54,sea_lice!A:A,0)))</f>
        <v>BSL6-71</v>
      </c>
      <c r="Q54" s="24">
        <f t="array" ref="Q54">if(isblank(A54),"",index(fish_lab_data!X:X,match(A54,fish_lab_data!C:C,0)))</f>
        <v>746</v>
      </c>
    </row>
    <row r="55">
      <c r="A55" s="9" t="s">
        <v>486</v>
      </c>
      <c r="B55" s="9">
        <v>1.0</v>
      </c>
      <c r="C55" s="9">
        <v>0.0</v>
      </c>
      <c r="D55" s="9">
        <v>0.0</v>
      </c>
      <c r="E55" s="9">
        <v>0.0</v>
      </c>
      <c r="F55" s="9">
        <v>0.0</v>
      </c>
      <c r="G55" s="9">
        <v>0.0</v>
      </c>
      <c r="H55" s="9">
        <v>0.0</v>
      </c>
      <c r="I55" s="9">
        <v>0.0</v>
      </c>
      <c r="J55" s="9">
        <v>0.0</v>
      </c>
      <c r="K55" s="9">
        <v>0.0</v>
      </c>
      <c r="L55" s="9">
        <v>0.0</v>
      </c>
      <c r="M55" s="17">
        <f t="shared" si="1"/>
        <v>1</v>
      </c>
      <c r="N55" s="24" t="str">
        <f t="array" ref="N55">if(isblank(A55),"",index(fish_lab_data!O:O,match(A55,fish_lab_data!C:C,0)))</f>
        <v>KB</v>
      </c>
      <c r="O55" s="24" t="str">
        <f t="array" ref="O55">index(fish_lab_data!Q:Q,match(A55,fish_lab_data!C:C,0))</f>
        <v>lab_motiles_etoh</v>
      </c>
      <c r="P55" s="24" t="str">
        <f t="array" ref="P55">if(and(iserror(index(sea_lice!G:G,match(A55,sea_lice!A:A,0))),M55=0),"NA",index(sea_lice!G:G,match(A55,sea_lice!A:A,0)))</f>
        <v>BSL6-72</v>
      </c>
      <c r="Q55" s="24">
        <f t="array" ref="Q55">if(isblank(A55),"",index(fish_lab_data!X:X,match(A55,fish_lab_data!C:C,0)))</f>
        <v>747</v>
      </c>
    </row>
    <row r="56">
      <c r="A56" s="25" t="s">
        <v>494</v>
      </c>
      <c r="B56" s="25">
        <v>0.0</v>
      </c>
      <c r="C56" s="25">
        <v>0.0</v>
      </c>
      <c r="D56" s="25">
        <v>0.0</v>
      </c>
      <c r="E56" s="25">
        <v>0.0</v>
      </c>
      <c r="F56" s="25">
        <v>0.0</v>
      </c>
      <c r="G56" s="25">
        <v>0.0</v>
      </c>
      <c r="H56" s="25">
        <v>0.0</v>
      </c>
      <c r="I56" s="25">
        <v>0.0</v>
      </c>
      <c r="J56" s="25">
        <v>0.0</v>
      </c>
      <c r="K56" s="25">
        <v>0.0</v>
      </c>
      <c r="L56" s="25">
        <v>0.0</v>
      </c>
      <c r="M56" s="17">
        <f t="shared" si="1"/>
        <v>0</v>
      </c>
      <c r="N56" s="24" t="str">
        <f t="array" ref="N56">if(isblank(A56),"",index(fish_lab_data!O:O,match(A56,fish_lab_data!C:C,0)))</f>
        <v>KB</v>
      </c>
      <c r="O56" s="24" t="str">
        <f t="array" ref="O56">index(fish_lab_data!Q:Q,match(A56,fish_lab_data!C:C,0))</f>
        <v>lab_motiles_etoh</v>
      </c>
      <c r="P56" s="24" t="str">
        <f t="array" ref="P56">if(and(iserror(index(sea_lice!G:G,match(A56,sea_lice!A:A,0))),M56=0),"NA",index(sea_lice!G:G,match(A56,sea_lice!A:A,0)))</f>
        <v>NA</v>
      </c>
      <c r="Q56" s="24">
        <f t="array" ref="Q56">if(isblank(A56),"",index(fish_lab_data!X:X,match(A56,fish_lab_data!C:C,0)))</f>
        <v>748</v>
      </c>
    </row>
    <row r="57">
      <c r="A57" s="25" t="s">
        <v>502</v>
      </c>
      <c r="B57" s="25">
        <v>0.0</v>
      </c>
      <c r="C57" s="25">
        <v>0.0</v>
      </c>
      <c r="D57" s="25">
        <v>0.0</v>
      </c>
      <c r="E57" s="25">
        <v>0.0</v>
      </c>
      <c r="F57" s="25">
        <v>0.0</v>
      </c>
      <c r="G57" s="25">
        <v>0.0</v>
      </c>
      <c r="H57" s="25">
        <v>0.0</v>
      </c>
      <c r="I57" s="25">
        <v>0.0</v>
      </c>
      <c r="J57" s="25">
        <v>0.0</v>
      </c>
      <c r="K57" s="25">
        <v>0.0</v>
      </c>
      <c r="L57" s="25">
        <v>0.0</v>
      </c>
      <c r="M57" s="17">
        <f t="shared" si="1"/>
        <v>0</v>
      </c>
      <c r="N57" s="24" t="str">
        <f t="array" ref="N57">if(isblank(A57),"",index(fish_lab_data!O:O,match(A57,fish_lab_data!C:C,0)))</f>
        <v>KB</v>
      </c>
      <c r="O57" s="24" t="str">
        <f t="array" ref="O57">index(fish_lab_data!Q:Q,match(A57,fish_lab_data!C:C,0))</f>
        <v>lab_motiles_etoh</v>
      </c>
      <c r="P57" s="24" t="str">
        <f t="array" ref="P57">if(and(iserror(index(sea_lice!G:G,match(A57,sea_lice!A:A,0))),M57=0),"NA",index(sea_lice!G:G,match(A57,sea_lice!A:A,0)))</f>
        <v>NA</v>
      </c>
      <c r="Q57" s="24">
        <f t="array" ref="Q57">if(isblank(A57),"",index(fish_lab_data!X:X,match(A57,fish_lab_data!C:C,0)))</f>
        <v>749</v>
      </c>
    </row>
    <row r="58">
      <c r="A58" s="25" t="s">
        <v>508</v>
      </c>
      <c r="B58" s="25">
        <v>0.0</v>
      </c>
      <c r="C58" s="25">
        <v>0.0</v>
      </c>
      <c r="D58" s="25">
        <v>0.0</v>
      </c>
      <c r="E58" s="25">
        <v>0.0</v>
      </c>
      <c r="F58" s="25">
        <v>0.0</v>
      </c>
      <c r="G58" s="25">
        <v>0.0</v>
      </c>
      <c r="H58" s="25">
        <v>0.0</v>
      </c>
      <c r="I58" s="25">
        <v>0.0</v>
      </c>
      <c r="J58" s="25">
        <v>0.0</v>
      </c>
      <c r="K58" s="25">
        <v>0.0</v>
      </c>
      <c r="L58" s="25">
        <v>0.0</v>
      </c>
      <c r="M58" s="17">
        <f t="shared" si="1"/>
        <v>0</v>
      </c>
      <c r="N58" s="24" t="str">
        <f t="array" ref="N58">if(isblank(A58),"",index(fish_lab_data!O:O,match(A58,fish_lab_data!C:C,0)))</f>
        <v>KB</v>
      </c>
      <c r="O58" s="24" t="str">
        <f t="array" ref="O58">index(fish_lab_data!Q:Q,match(A58,fish_lab_data!C:C,0))</f>
        <v>lab_motiles_etoh</v>
      </c>
      <c r="P58" s="24" t="str">
        <f t="array" ref="P58">if(and(iserror(index(sea_lice!G:G,match(A58,sea_lice!A:A,0))),M58=0),"NA",index(sea_lice!G:G,match(A58,sea_lice!A:A,0)))</f>
        <v>NA</v>
      </c>
      <c r="Q58" s="24">
        <f t="array" ref="Q58">if(isblank(A58),"",index(fish_lab_data!X:X,match(A58,fish_lab_data!C:C,0)))</f>
        <v>750</v>
      </c>
    </row>
    <row r="59">
      <c r="A59" s="25" t="s">
        <v>517</v>
      </c>
      <c r="B59" s="25">
        <v>0.0</v>
      </c>
      <c r="C59" s="25">
        <v>0.0</v>
      </c>
      <c r="D59" s="25">
        <v>0.0</v>
      </c>
      <c r="E59" s="25">
        <v>0.0</v>
      </c>
      <c r="F59" s="25">
        <v>0.0</v>
      </c>
      <c r="G59" s="25">
        <v>0.0</v>
      </c>
      <c r="H59" s="25">
        <v>0.0</v>
      </c>
      <c r="I59" s="25">
        <v>0.0</v>
      </c>
      <c r="J59" s="25">
        <v>0.0</v>
      </c>
      <c r="K59" s="25">
        <v>0.0</v>
      </c>
      <c r="L59" s="25">
        <v>0.0</v>
      </c>
      <c r="M59" s="17">
        <f t="shared" si="1"/>
        <v>0</v>
      </c>
      <c r="N59" s="24" t="str">
        <f t="array" ref="N59">if(isblank(A59),"",index(fish_lab_data!O:O,match(A59,fish_lab_data!C:C,0)))</f>
        <v>KB</v>
      </c>
      <c r="O59" s="24" t="str">
        <f t="array" ref="O59">index(fish_lab_data!Q:Q,match(A59,fish_lab_data!C:C,0))</f>
        <v>lab_motiles_etoh</v>
      </c>
      <c r="P59" s="24" t="str">
        <f t="array" ref="P59">if(and(iserror(index(sea_lice!G:G,match(A59,sea_lice!A:A,0))),M59=0),"NA",index(sea_lice!G:G,match(A59,sea_lice!A:A,0)))</f>
        <v>NA</v>
      </c>
      <c r="Q59" s="24">
        <f t="array" ref="Q59">if(isblank(A59),"",index(fish_lab_data!X:X,match(A59,fish_lab_data!C:C,0)))</f>
        <v>751</v>
      </c>
    </row>
    <row r="60">
      <c r="A60" s="9" t="s">
        <v>525</v>
      </c>
      <c r="B60" s="9">
        <v>0.0</v>
      </c>
      <c r="C60" s="9">
        <v>0.0</v>
      </c>
      <c r="D60" s="9">
        <v>0.0</v>
      </c>
      <c r="E60" s="9">
        <v>1.0</v>
      </c>
      <c r="F60" s="9">
        <v>0.0</v>
      </c>
      <c r="G60" s="9">
        <v>0.0</v>
      </c>
      <c r="H60" s="9">
        <v>0.0</v>
      </c>
      <c r="I60" s="9">
        <v>0.0</v>
      </c>
      <c r="J60" s="9">
        <v>0.0</v>
      </c>
      <c r="K60" s="9">
        <v>0.0</v>
      </c>
      <c r="L60" s="9">
        <v>0.0</v>
      </c>
      <c r="M60" s="17">
        <f t="shared" si="1"/>
        <v>1</v>
      </c>
      <c r="N60" s="24" t="str">
        <f t="array" ref="N60">if(isblank(A60),"",index(fish_lab_data!O:O,match(A60,fish_lab_data!C:C,0)))</f>
        <v>KB</v>
      </c>
      <c r="O60" s="24" t="str">
        <f t="array" ref="O60">index(fish_lab_data!Q:Q,match(A60,fish_lab_data!C:C,0))</f>
        <v>lab_motiles_etoh</v>
      </c>
      <c r="P60" s="24" t="str">
        <f t="array" ref="P60">if(and(iserror(index(sea_lice!G:G,match(A60,sea_lice!A:A,0))),M60=0),"NA",index(sea_lice!G:G,match(A60,sea_lice!A:A,0)))</f>
        <v>BSL6-73</v>
      </c>
      <c r="Q60" s="24">
        <f t="array" ref="Q60">if(isblank(A60),"",index(fish_lab_data!X:X,match(A60,fish_lab_data!C:C,0)))</f>
        <v>752</v>
      </c>
    </row>
    <row r="61">
      <c r="A61" s="25" t="s">
        <v>533</v>
      </c>
      <c r="B61" s="25">
        <v>0.0</v>
      </c>
      <c r="C61" s="25">
        <v>0.0</v>
      </c>
      <c r="D61" s="25">
        <v>0.0</v>
      </c>
      <c r="E61" s="25">
        <v>0.0</v>
      </c>
      <c r="F61" s="25">
        <v>0.0</v>
      </c>
      <c r="G61" s="25">
        <v>0.0</v>
      </c>
      <c r="H61" s="25">
        <v>0.0</v>
      </c>
      <c r="I61" s="25">
        <v>0.0</v>
      </c>
      <c r="J61" s="25">
        <v>0.0</v>
      </c>
      <c r="K61" s="25">
        <v>0.0</v>
      </c>
      <c r="L61" s="25">
        <v>0.0</v>
      </c>
      <c r="M61" s="17">
        <f t="shared" si="1"/>
        <v>0</v>
      </c>
      <c r="N61" s="24" t="str">
        <f t="array" ref="N61">if(isblank(A61),"",index(fish_lab_data!O:O,match(A61,fish_lab_data!C:C,0)))</f>
        <v>EJ</v>
      </c>
      <c r="O61" s="24" t="str">
        <f t="array" ref="O61">index(fish_lab_data!Q:Q,match(A61,fish_lab_data!C:C,0))</f>
        <v>lab_motiles_etoh</v>
      </c>
      <c r="P61" s="24" t="str">
        <f t="array" ref="P61">if(and(iserror(index(sea_lice!G:G,match(A61,sea_lice!A:A,0))),M61=0),"NA",index(sea_lice!G:G,match(A61,sea_lice!A:A,0)))</f>
        <v>NA</v>
      </c>
      <c r="Q61" s="24">
        <f t="array" ref="Q61">if(isblank(A61),"",index(fish_lab_data!X:X,match(A61,fish_lab_data!C:C,0)))</f>
        <v>753</v>
      </c>
    </row>
    <row r="62">
      <c r="A62" s="25" t="s">
        <v>542</v>
      </c>
      <c r="B62" s="25">
        <v>0.0</v>
      </c>
      <c r="C62" s="25">
        <v>0.0</v>
      </c>
      <c r="D62" s="25">
        <v>0.0</v>
      </c>
      <c r="E62" s="25">
        <v>0.0</v>
      </c>
      <c r="F62" s="25">
        <v>0.0</v>
      </c>
      <c r="G62" s="25">
        <v>0.0</v>
      </c>
      <c r="H62" s="25">
        <v>0.0</v>
      </c>
      <c r="I62" s="25">
        <v>0.0</v>
      </c>
      <c r="J62" s="25">
        <v>0.0</v>
      </c>
      <c r="K62" s="25">
        <v>0.0</v>
      </c>
      <c r="L62" s="25">
        <v>0.0</v>
      </c>
      <c r="M62" s="17">
        <f t="shared" si="1"/>
        <v>0</v>
      </c>
      <c r="N62" s="24" t="str">
        <f t="array" ref="N62">if(isblank(A62),"",index(fish_lab_data!O:O,match(A62,fish_lab_data!C:C,0)))</f>
        <v>EJ</v>
      </c>
      <c r="O62" s="24" t="str">
        <f t="array" ref="O62">index(fish_lab_data!Q:Q,match(A62,fish_lab_data!C:C,0))</f>
        <v>lab_motiles_etoh</v>
      </c>
      <c r="P62" s="24" t="str">
        <f t="array" ref="P62">if(and(iserror(index(sea_lice!G:G,match(A62,sea_lice!A:A,0))),M62=0),"NA",index(sea_lice!G:G,match(A62,sea_lice!A:A,0)))</f>
        <v>NA</v>
      </c>
      <c r="Q62" s="24">
        <f t="array" ref="Q62">if(isblank(A62),"",index(fish_lab_data!X:X,match(A62,fish_lab_data!C:C,0)))</f>
        <v>754</v>
      </c>
    </row>
    <row r="63">
      <c r="A63" s="25" t="s">
        <v>551</v>
      </c>
      <c r="B63" s="25">
        <v>0.0</v>
      </c>
      <c r="C63" s="25">
        <v>0.0</v>
      </c>
      <c r="D63" s="25">
        <v>0.0</v>
      </c>
      <c r="E63" s="25">
        <v>0.0</v>
      </c>
      <c r="F63" s="25">
        <v>0.0</v>
      </c>
      <c r="G63" s="25">
        <v>0.0</v>
      </c>
      <c r="H63" s="25">
        <v>0.0</v>
      </c>
      <c r="I63" s="25">
        <v>0.0</v>
      </c>
      <c r="J63" s="25">
        <v>0.0</v>
      </c>
      <c r="K63" s="25">
        <v>0.0</v>
      </c>
      <c r="L63" s="25">
        <v>0.0</v>
      </c>
      <c r="M63" s="17">
        <f t="shared" si="1"/>
        <v>0</v>
      </c>
      <c r="N63" s="24" t="str">
        <f t="array" ref="N63">if(isblank(A63),"",index(fish_lab_data!O:O,match(A63,fish_lab_data!C:C,0)))</f>
        <v>EJ</v>
      </c>
      <c r="O63" s="24" t="str">
        <f t="array" ref="O63">index(fish_lab_data!Q:Q,match(A63,fish_lab_data!C:C,0))</f>
        <v>lab_motiles_etoh</v>
      </c>
      <c r="P63" s="24" t="str">
        <f t="array" ref="P63">if(and(iserror(index(sea_lice!G:G,match(A63,sea_lice!A:A,0))),M63=0),"NA",index(sea_lice!G:G,match(A63,sea_lice!A:A,0)))</f>
        <v>NA</v>
      </c>
      <c r="Q63" s="24">
        <f t="array" ref="Q63">if(isblank(A63),"",index(fish_lab_data!X:X,match(A63,fish_lab_data!C:C,0)))</f>
        <v>755</v>
      </c>
    </row>
    <row r="64">
      <c r="A64" s="25" t="s">
        <v>557</v>
      </c>
      <c r="B64" s="25">
        <v>0.0</v>
      </c>
      <c r="C64" s="25">
        <v>0.0</v>
      </c>
      <c r="D64" s="25">
        <v>0.0</v>
      </c>
      <c r="E64" s="25">
        <v>0.0</v>
      </c>
      <c r="F64" s="25">
        <v>0.0</v>
      </c>
      <c r="G64" s="25">
        <v>0.0</v>
      </c>
      <c r="H64" s="25">
        <v>0.0</v>
      </c>
      <c r="I64" s="25">
        <v>0.0</v>
      </c>
      <c r="J64" s="25">
        <v>0.0</v>
      </c>
      <c r="K64" s="25">
        <v>0.0</v>
      </c>
      <c r="L64" s="25">
        <v>0.0</v>
      </c>
      <c r="M64" s="17">
        <f t="shared" si="1"/>
        <v>0</v>
      </c>
      <c r="N64" s="24" t="str">
        <f t="array" ref="N64">if(isblank(A64),"",index(fish_lab_data!O:O,match(A64,fish_lab_data!C:C,0)))</f>
        <v>EJ</v>
      </c>
      <c r="O64" s="24" t="str">
        <f t="array" ref="O64">index(fish_lab_data!Q:Q,match(A64,fish_lab_data!C:C,0))</f>
        <v>lab_motiles_etoh</v>
      </c>
      <c r="P64" s="24" t="str">
        <f t="array" ref="P64">if(and(iserror(index(sea_lice!G:G,match(A64,sea_lice!A:A,0))),M64=0),"NA",index(sea_lice!G:G,match(A64,sea_lice!A:A,0)))</f>
        <v>NA</v>
      </c>
      <c r="Q64" s="24">
        <f t="array" ref="Q64">if(isblank(A64),"",index(fish_lab_data!X:X,match(A64,fish_lab_data!C:C,0)))</f>
        <v>756</v>
      </c>
    </row>
    <row r="65">
      <c r="A65" s="25" t="s">
        <v>565</v>
      </c>
      <c r="B65" s="25">
        <v>0.0</v>
      </c>
      <c r="C65" s="25">
        <v>0.0</v>
      </c>
      <c r="D65" s="25">
        <v>0.0</v>
      </c>
      <c r="E65" s="25">
        <v>0.0</v>
      </c>
      <c r="F65" s="25">
        <v>0.0</v>
      </c>
      <c r="G65" s="25">
        <v>0.0</v>
      </c>
      <c r="H65" s="25">
        <v>0.0</v>
      </c>
      <c r="I65" s="25">
        <v>0.0</v>
      </c>
      <c r="J65" s="25">
        <v>0.0</v>
      </c>
      <c r="K65" s="25">
        <v>0.0</v>
      </c>
      <c r="L65" s="25">
        <v>0.0</v>
      </c>
      <c r="M65" s="17">
        <f t="shared" si="1"/>
        <v>0</v>
      </c>
      <c r="N65" s="24" t="str">
        <f t="array" ref="N65">if(isblank(A65),"",index(fish_lab_data!O:O,match(A65,fish_lab_data!C:C,0)))</f>
        <v>EJ</v>
      </c>
      <c r="O65" s="24" t="str">
        <f t="array" ref="O65">index(fish_lab_data!Q:Q,match(A65,fish_lab_data!C:C,0))</f>
        <v>lab_motiles_etoh</v>
      </c>
      <c r="P65" s="24" t="str">
        <f t="array" ref="P65">if(and(iserror(index(sea_lice!G:G,match(A65,sea_lice!A:A,0))),M65=0),"NA",index(sea_lice!G:G,match(A65,sea_lice!A:A,0)))</f>
        <v>NA</v>
      </c>
      <c r="Q65" s="24">
        <f t="array" ref="Q65">if(isblank(A65),"",index(fish_lab_data!X:X,match(A65,fish_lab_data!C:C,0)))</f>
        <v>757</v>
      </c>
    </row>
    <row r="66">
      <c r="A66" s="25" t="s">
        <v>573</v>
      </c>
      <c r="B66" s="25">
        <v>0.0</v>
      </c>
      <c r="C66" s="25">
        <v>0.0</v>
      </c>
      <c r="D66" s="25">
        <v>0.0</v>
      </c>
      <c r="E66" s="25">
        <v>0.0</v>
      </c>
      <c r="F66" s="25">
        <v>0.0</v>
      </c>
      <c r="G66" s="25">
        <v>0.0</v>
      </c>
      <c r="H66" s="25">
        <v>0.0</v>
      </c>
      <c r="I66" s="25">
        <v>0.0</v>
      </c>
      <c r="J66" s="25">
        <v>0.0</v>
      </c>
      <c r="K66" s="25">
        <v>0.0</v>
      </c>
      <c r="L66" s="25">
        <v>0.0</v>
      </c>
      <c r="M66" s="17">
        <f t="shared" si="1"/>
        <v>0</v>
      </c>
      <c r="N66" s="24" t="str">
        <f t="array" ref="N66">if(isblank(A66),"",index(fish_lab_data!O:O,match(A66,fish_lab_data!C:C,0)))</f>
        <v>EJ</v>
      </c>
      <c r="O66" s="24" t="str">
        <f t="array" ref="O66">index(fish_lab_data!Q:Q,match(A66,fish_lab_data!C:C,0))</f>
        <v>lab_motiles_etoh</v>
      </c>
      <c r="P66" s="24" t="str">
        <f t="array" ref="P66">if(and(iserror(index(sea_lice!G:G,match(A66,sea_lice!A:A,0))),M66=0),"NA",index(sea_lice!G:G,match(A66,sea_lice!A:A,0)))</f>
        <v>NA</v>
      </c>
      <c r="Q66" s="24">
        <f t="array" ref="Q66">if(isblank(A66),"",index(fish_lab_data!X:X,match(A66,fish_lab_data!C:C,0)))</f>
        <v>758</v>
      </c>
    </row>
    <row r="67">
      <c r="A67" s="9" t="s">
        <v>579</v>
      </c>
      <c r="B67" s="9">
        <v>0.0</v>
      </c>
      <c r="C67" s="9">
        <v>0.0</v>
      </c>
      <c r="D67" s="9">
        <v>1.0</v>
      </c>
      <c r="E67" s="9">
        <v>0.0</v>
      </c>
      <c r="F67" s="9">
        <v>0.0</v>
      </c>
      <c r="G67" s="9">
        <v>0.0</v>
      </c>
      <c r="H67" s="9">
        <v>0.0</v>
      </c>
      <c r="I67" s="9">
        <v>0.0</v>
      </c>
      <c r="J67" s="9">
        <v>0.0</v>
      </c>
      <c r="K67" s="9">
        <v>0.0</v>
      </c>
      <c r="L67" s="9">
        <v>0.0</v>
      </c>
      <c r="M67" s="17">
        <f t="shared" si="1"/>
        <v>1</v>
      </c>
      <c r="N67" s="24" t="str">
        <f t="array" ref="N67">if(isblank(A67),"",index(fish_lab_data!O:O,match(A67,fish_lab_data!C:C,0)))</f>
        <v>EJ</v>
      </c>
      <c r="O67" s="24" t="str">
        <f t="array" ref="O67">index(fish_lab_data!Q:Q,match(A67,fish_lab_data!C:C,0))</f>
        <v>lab_motiles_etoh</v>
      </c>
      <c r="P67" s="24" t="str">
        <f t="array" ref="P67">if(and(iserror(index(sea_lice!G:G,match(A67,sea_lice!A:A,0))),M67=0),"NA",index(sea_lice!G:G,match(A67,sea_lice!A:A,0)))</f>
        <v>BSL6-77</v>
      </c>
      <c r="Q67" s="24">
        <f t="array" ref="Q67">if(isblank(A67),"",index(fish_lab_data!X:X,match(A67,fish_lab_data!C:C,0)))</f>
        <v>759</v>
      </c>
    </row>
    <row r="68">
      <c r="A68" s="25" t="s">
        <v>589</v>
      </c>
      <c r="B68" s="25">
        <v>0.0</v>
      </c>
      <c r="C68" s="25">
        <v>0.0</v>
      </c>
      <c r="D68" s="25">
        <v>0.0</v>
      </c>
      <c r="E68" s="25">
        <v>0.0</v>
      </c>
      <c r="F68" s="25">
        <v>0.0</v>
      </c>
      <c r="G68" s="25">
        <v>0.0</v>
      </c>
      <c r="H68" s="25">
        <v>0.0</v>
      </c>
      <c r="I68" s="25">
        <v>0.0</v>
      </c>
      <c r="J68" s="25">
        <v>0.0</v>
      </c>
      <c r="K68" s="25">
        <v>0.0</v>
      </c>
      <c r="L68" s="25">
        <v>0.0</v>
      </c>
      <c r="M68" s="17">
        <f t="shared" si="1"/>
        <v>0</v>
      </c>
      <c r="N68" s="24" t="str">
        <f t="array" ref="N68">if(isblank(A68),"",index(fish_lab_data!O:O,match(A68,fish_lab_data!C:C,0)))</f>
        <v>EJ</v>
      </c>
      <c r="O68" s="24" t="str">
        <f t="array" ref="O68">index(fish_lab_data!Q:Q,match(A68,fish_lab_data!C:C,0))</f>
        <v>lab_motiles_etoh</v>
      </c>
      <c r="P68" s="24" t="str">
        <f t="array" ref="P68">if(and(iserror(index(sea_lice!G:G,match(A68,sea_lice!A:A,0))),M68=0),"NA",index(sea_lice!G:G,match(A68,sea_lice!A:A,0)))</f>
        <v>NA</v>
      </c>
      <c r="Q68" s="24">
        <f t="array" ref="Q68">if(isblank(A68),"",index(fish_lab_data!X:X,match(A68,fish_lab_data!C:C,0)))</f>
        <v>760</v>
      </c>
    </row>
    <row r="69">
      <c r="A69" s="25" t="s">
        <v>594</v>
      </c>
      <c r="B69" s="25">
        <v>0.0</v>
      </c>
      <c r="C69" s="25">
        <v>0.0</v>
      </c>
      <c r="D69" s="25">
        <v>0.0</v>
      </c>
      <c r="E69" s="25">
        <v>0.0</v>
      </c>
      <c r="F69" s="25">
        <v>0.0</v>
      </c>
      <c r="G69" s="25">
        <v>0.0</v>
      </c>
      <c r="H69" s="25">
        <v>0.0</v>
      </c>
      <c r="I69" s="25">
        <v>0.0</v>
      </c>
      <c r="J69" s="25">
        <v>0.0</v>
      </c>
      <c r="K69" s="25">
        <v>0.0</v>
      </c>
      <c r="L69" s="25">
        <v>0.0</v>
      </c>
      <c r="M69" s="17">
        <f t="shared" si="1"/>
        <v>0</v>
      </c>
      <c r="N69" s="24" t="str">
        <f t="array" ref="N69">if(isblank(A69),"",index(fish_lab_data!O:O,match(A69,fish_lab_data!C:C,0)))</f>
        <v>EJ</v>
      </c>
      <c r="O69" s="24" t="str">
        <f t="array" ref="O69">index(fish_lab_data!Q:Q,match(A69,fish_lab_data!C:C,0))</f>
        <v>lab_motiles_etoh</v>
      </c>
      <c r="P69" s="24" t="str">
        <f t="array" ref="P69">if(and(iserror(index(sea_lice!G:G,match(A69,sea_lice!A:A,0))),M69=0),"NA",index(sea_lice!G:G,match(A69,sea_lice!A:A,0)))</f>
        <v>NA</v>
      </c>
      <c r="Q69" s="24">
        <f t="array" ref="Q69">if(isblank(A69),"",index(fish_lab_data!X:X,match(A69,fish_lab_data!C:C,0)))</f>
        <v>761</v>
      </c>
    </row>
    <row r="70">
      <c r="A70" s="9" t="s">
        <v>599</v>
      </c>
      <c r="B70" s="9">
        <v>0.0</v>
      </c>
      <c r="C70" s="9">
        <v>1.0</v>
      </c>
      <c r="D70" s="9">
        <v>0.0</v>
      </c>
      <c r="E70" s="9">
        <v>0.0</v>
      </c>
      <c r="F70" s="9">
        <v>0.0</v>
      </c>
      <c r="G70" s="9">
        <v>0.0</v>
      </c>
      <c r="H70" s="9">
        <v>0.0</v>
      </c>
      <c r="I70" s="9">
        <v>0.0</v>
      </c>
      <c r="J70" s="9">
        <v>0.0</v>
      </c>
      <c r="K70" s="9">
        <v>0.0</v>
      </c>
      <c r="L70" s="9">
        <v>0.0</v>
      </c>
      <c r="M70" s="17">
        <f t="shared" si="1"/>
        <v>1</v>
      </c>
      <c r="N70" s="24" t="str">
        <f t="array" ref="N70">if(isblank(A70),"",index(fish_lab_data!O:O,match(A70,fish_lab_data!C:C,0)))</f>
        <v>EJ</v>
      </c>
      <c r="O70" s="24" t="str">
        <f t="array" ref="O70">index(fish_lab_data!Q:Q,match(A70,fish_lab_data!C:C,0))</f>
        <v>lab_motiles_etoh</v>
      </c>
      <c r="P70" s="24" t="str">
        <f t="array" ref="P70">if(and(iserror(index(sea_lice!G:G,match(A70,sea_lice!A:A,0))),M70=0),"NA",index(sea_lice!G:G,match(A70,sea_lice!A:A,0)))</f>
        <v>BSL6-79</v>
      </c>
      <c r="Q70" s="24">
        <f t="array" ref="Q70">if(isblank(A70),"",index(fish_lab_data!X:X,match(A70,fish_lab_data!C:C,0)))</f>
        <v>762</v>
      </c>
    </row>
    <row r="71">
      <c r="A71" s="25" t="s">
        <v>605</v>
      </c>
      <c r="B71" s="25">
        <v>0.0</v>
      </c>
      <c r="C71" s="25">
        <v>0.0</v>
      </c>
      <c r="D71" s="25">
        <v>0.0</v>
      </c>
      <c r="E71" s="25">
        <v>0.0</v>
      </c>
      <c r="F71" s="25">
        <v>0.0</v>
      </c>
      <c r="G71" s="25">
        <v>0.0</v>
      </c>
      <c r="H71" s="25">
        <v>0.0</v>
      </c>
      <c r="I71" s="25">
        <v>0.0</v>
      </c>
      <c r="J71" s="25">
        <v>0.0</v>
      </c>
      <c r="K71" s="25">
        <v>0.0</v>
      </c>
      <c r="L71" s="25">
        <v>0.0</v>
      </c>
      <c r="M71" s="17">
        <f t="shared" si="1"/>
        <v>0</v>
      </c>
      <c r="N71" s="24" t="str">
        <f t="array" ref="N71">if(isblank(A71),"",index(fish_lab_data!O:O,match(A71,fish_lab_data!C:C,0)))</f>
        <v>EJ</v>
      </c>
      <c r="O71" s="24" t="str">
        <f t="array" ref="O71">index(fish_lab_data!Q:Q,match(A71,fish_lab_data!C:C,0))</f>
        <v>lab_motiles_etoh</v>
      </c>
      <c r="P71" s="24" t="str">
        <f t="array" ref="P71">if(and(iserror(index(sea_lice!G:G,match(A71,sea_lice!A:A,0))),M71=0),"NA",index(sea_lice!G:G,match(A71,sea_lice!A:A,0)))</f>
        <v>NA</v>
      </c>
      <c r="Q71" s="24">
        <f t="array" ref="Q71">if(isblank(A71),"",index(fish_lab_data!X:X,match(A71,fish_lab_data!C:C,0)))</f>
        <v>763</v>
      </c>
    </row>
    <row r="72">
      <c r="A72" s="25" t="s">
        <v>609</v>
      </c>
      <c r="B72" s="25">
        <v>0.0</v>
      </c>
      <c r="C72" s="25">
        <v>0.0</v>
      </c>
      <c r="D72" s="25">
        <v>0.0</v>
      </c>
      <c r="E72" s="25">
        <v>0.0</v>
      </c>
      <c r="F72" s="25">
        <v>0.0</v>
      </c>
      <c r="G72" s="25">
        <v>0.0</v>
      </c>
      <c r="H72" s="25">
        <v>0.0</v>
      </c>
      <c r="I72" s="25">
        <v>0.0</v>
      </c>
      <c r="J72" s="25">
        <v>0.0</v>
      </c>
      <c r="K72" s="25">
        <v>0.0</v>
      </c>
      <c r="L72" s="25">
        <v>0.0</v>
      </c>
      <c r="M72" s="17">
        <f t="shared" si="1"/>
        <v>0</v>
      </c>
      <c r="N72" s="24" t="str">
        <f t="array" ref="N72">if(isblank(A72),"",index(fish_lab_data!O:O,match(A72,fish_lab_data!C:C,0)))</f>
        <v>EJ</v>
      </c>
      <c r="O72" s="24" t="str">
        <f t="array" ref="O72">index(fish_lab_data!Q:Q,match(A72,fish_lab_data!C:C,0))</f>
        <v>lab_motiles_etoh</v>
      </c>
      <c r="P72" s="24" t="str">
        <f t="array" ref="P72">if(and(iserror(index(sea_lice!G:G,match(A72,sea_lice!A:A,0))),M72=0),"NA",index(sea_lice!G:G,match(A72,sea_lice!A:A,0)))</f>
        <v>NA</v>
      </c>
      <c r="Q72" s="24">
        <f t="array" ref="Q72">if(isblank(A72),"",index(fish_lab_data!X:X,match(A72,fish_lab_data!C:C,0)))</f>
        <v>764</v>
      </c>
    </row>
    <row r="73">
      <c r="A73" s="25" t="s">
        <v>617</v>
      </c>
      <c r="B73" s="25">
        <v>0.0</v>
      </c>
      <c r="C73" s="25">
        <v>0.0</v>
      </c>
      <c r="D73" s="25">
        <v>0.0</v>
      </c>
      <c r="E73" s="25">
        <v>0.0</v>
      </c>
      <c r="F73" s="25">
        <v>0.0</v>
      </c>
      <c r="G73" s="25">
        <v>0.0</v>
      </c>
      <c r="H73" s="25">
        <v>0.0</v>
      </c>
      <c r="I73" s="25">
        <v>0.0</v>
      </c>
      <c r="J73" s="25">
        <v>0.0</v>
      </c>
      <c r="K73" s="25">
        <v>0.0</v>
      </c>
      <c r="L73" s="25">
        <v>0.0</v>
      </c>
      <c r="M73" s="17">
        <f t="shared" si="1"/>
        <v>0</v>
      </c>
      <c r="N73" s="24" t="str">
        <f t="array" ref="N73">if(isblank(A73),"",index(fish_lab_data!O:O,match(A73,fish_lab_data!C:C,0)))</f>
        <v>EJ</v>
      </c>
      <c r="O73" s="24" t="str">
        <f t="array" ref="O73">index(fish_lab_data!Q:Q,match(A73,fish_lab_data!C:C,0))</f>
        <v>lab_motiles_etoh</v>
      </c>
      <c r="P73" s="24" t="str">
        <f t="array" ref="P73">if(and(iserror(index(sea_lice!G:G,match(A73,sea_lice!A:A,0))),M73=0),"NA",index(sea_lice!G:G,match(A73,sea_lice!A:A,0)))</f>
        <v>NA</v>
      </c>
      <c r="Q73" s="24">
        <f t="array" ref="Q73">if(isblank(A73),"",index(fish_lab_data!X:X,match(A73,fish_lab_data!C:C,0)))</f>
        <v>765</v>
      </c>
    </row>
    <row r="74">
      <c r="A74" s="25" t="s">
        <v>623</v>
      </c>
      <c r="B74" s="25">
        <v>0.0</v>
      </c>
      <c r="C74" s="25">
        <v>0.0</v>
      </c>
      <c r="D74" s="25">
        <v>0.0</v>
      </c>
      <c r="E74" s="25">
        <v>0.0</v>
      </c>
      <c r="F74" s="25">
        <v>0.0</v>
      </c>
      <c r="G74" s="25">
        <v>0.0</v>
      </c>
      <c r="H74" s="25">
        <v>0.0</v>
      </c>
      <c r="I74" s="25">
        <v>0.0</v>
      </c>
      <c r="J74" s="25">
        <v>0.0</v>
      </c>
      <c r="K74" s="25">
        <v>0.0</v>
      </c>
      <c r="L74" s="25">
        <v>0.0</v>
      </c>
      <c r="M74" s="17">
        <f t="shared" si="1"/>
        <v>0</v>
      </c>
      <c r="N74" s="24" t="str">
        <f t="array" ref="N74">if(isblank(A74),"",index(fish_lab_data!O:O,match(A74,fish_lab_data!C:C,0)))</f>
        <v>EJ</v>
      </c>
      <c r="O74" s="24" t="str">
        <f t="array" ref="O74">index(fish_lab_data!Q:Q,match(A74,fish_lab_data!C:C,0))</f>
        <v>lab_motiles_etoh</v>
      </c>
      <c r="P74" s="24" t="str">
        <f t="array" ref="P74">if(and(iserror(index(sea_lice!G:G,match(A74,sea_lice!A:A,0))),M74=0),"NA",index(sea_lice!G:G,match(A74,sea_lice!A:A,0)))</f>
        <v>NA</v>
      </c>
      <c r="Q74" s="24">
        <f t="array" ref="Q74">if(isblank(A74),"",index(fish_lab_data!X:X,match(A74,fish_lab_data!C:C,0)))</f>
        <v>766</v>
      </c>
    </row>
    <row r="75">
      <c r="A75" s="25" t="s">
        <v>631</v>
      </c>
      <c r="B75" s="25">
        <v>0.0</v>
      </c>
      <c r="C75" s="25">
        <v>0.0</v>
      </c>
      <c r="D75" s="25">
        <v>0.0</v>
      </c>
      <c r="E75" s="25">
        <v>0.0</v>
      </c>
      <c r="F75" s="25">
        <v>0.0</v>
      </c>
      <c r="G75" s="25">
        <v>0.0</v>
      </c>
      <c r="H75" s="25">
        <v>0.0</v>
      </c>
      <c r="I75" s="25">
        <v>0.0</v>
      </c>
      <c r="J75" s="25">
        <v>0.0</v>
      </c>
      <c r="K75" s="25">
        <v>0.0</v>
      </c>
      <c r="L75" s="25">
        <v>0.0</v>
      </c>
      <c r="M75" s="17">
        <f t="shared" si="1"/>
        <v>0</v>
      </c>
      <c r="N75" s="24" t="str">
        <f t="array" ref="N75">if(isblank(A75),"",index(fish_lab_data!O:O,match(A75,fish_lab_data!C:C,0)))</f>
        <v>EJ</v>
      </c>
      <c r="O75" s="24" t="str">
        <f t="array" ref="O75">index(fish_lab_data!Q:Q,match(A75,fish_lab_data!C:C,0))</f>
        <v>lab_motiles_etoh</v>
      </c>
      <c r="P75" s="24" t="str">
        <f t="array" ref="P75">if(and(iserror(index(sea_lice!G:G,match(A75,sea_lice!A:A,0))),M75=0),"NA",index(sea_lice!G:G,match(A75,sea_lice!A:A,0)))</f>
        <v>NA</v>
      </c>
      <c r="Q75" s="24">
        <f t="array" ref="Q75">if(isblank(A75),"",index(fish_lab_data!X:X,match(A75,fish_lab_data!C:C,0)))</f>
        <v>767</v>
      </c>
    </row>
    <row r="76">
      <c r="A76" s="25" t="s">
        <v>639</v>
      </c>
      <c r="B76" s="25">
        <v>0.0</v>
      </c>
      <c r="C76" s="25">
        <v>0.0</v>
      </c>
      <c r="D76" s="25">
        <v>0.0</v>
      </c>
      <c r="E76" s="25">
        <v>0.0</v>
      </c>
      <c r="F76" s="25">
        <v>0.0</v>
      </c>
      <c r="G76" s="25">
        <v>0.0</v>
      </c>
      <c r="H76" s="25">
        <v>0.0</v>
      </c>
      <c r="I76" s="25">
        <v>0.0</v>
      </c>
      <c r="J76" s="25">
        <v>0.0</v>
      </c>
      <c r="K76" s="25">
        <v>0.0</v>
      </c>
      <c r="L76" s="25">
        <v>0.0</v>
      </c>
      <c r="M76" s="17">
        <f t="shared" si="1"/>
        <v>0</v>
      </c>
      <c r="N76" s="24" t="str">
        <f t="array" ref="N76">if(isblank(A76),"",index(fish_lab_data!O:O,match(A76,fish_lab_data!C:C,0)))</f>
        <v>EJ</v>
      </c>
      <c r="O76" s="24" t="str">
        <f t="array" ref="O76">index(fish_lab_data!Q:Q,match(A76,fish_lab_data!C:C,0))</f>
        <v>lab_motiles_etoh</v>
      </c>
      <c r="P76" s="24" t="str">
        <f t="array" ref="P76">if(and(iserror(index(sea_lice!G:G,match(A76,sea_lice!A:A,0))),M76=0),"NA",index(sea_lice!G:G,match(A76,sea_lice!A:A,0)))</f>
        <v>NA</v>
      </c>
      <c r="Q76" s="24">
        <f t="array" ref="Q76">if(isblank(A76),"",index(fish_lab_data!X:X,match(A76,fish_lab_data!C:C,0)))</f>
        <v>768</v>
      </c>
    </row>
    <row r="77">
      <c r="A77" s="25" t="s">
        <v>646</v>
      </c>
      <c r="B77" s="25">
        <v>0.0</v>
      </c>
      <c r="C77" s="25">
        <v>0.0</v>
      </c>
      <c r="D77" s="25">
        <v>0.0</v>
      </c>
      <c r="E77" s="25">
        <v>0.0</v>
      </c>
      <c r="F77" s="25">
        <v>0.0</v>
      </c>
      <c r="G77" s="25">
        <v>0.0</v>
      </c>
      <c r="H77" s="25">
        <v>0.0</v>
      </c>
      <c r="I77" s="25">
        <v>0.0</v>
      </c>
      <c r="J77" s="25">
        <v>0.0</v>
      </c>
      <c r="K77" s="25">
        <v>0.0</v>
      </c>
      <c r="L77" s="25">
        <v>0.0</v>
      </c>
      <c r="M77" s="17">
        <f t="shared" si="1"/>
        <v>0</v>
      </c>
      <c r="N77" s="24" t="str">
        <f t="array" ref="N77">if(isblank(A77),"",index(fish_lab_data!O:O,match(A77,fish_lab_data!C:C,0)))</f>
        <v>EJ</v>
      </c>
      <c r="O77" s="24" t="str">
        <f t="array" ref="O77">index(fish_lab_data!Q:Q,match(A77,fish_lab_data!C:C,0))</f>
        <v>lab_motiles_etoh</v>
      </c>
      <c r="P77" s="24" t="str">
        <f t="array" ref="P77">if(and(iserror(index(sea_lice!G:G,match(A77,sea_lice!A:A,0))),M77=0),"NA",index(sea_lice!G:G,match(A77,sea_lice!A:A,0)))</f>
        <v>NA</v>
      </c>
      <c r="Q77" s="24">
        <f t="array" ref="Q77">if(isblank(A77),"",index(fish_lab_data!X:X,match(A77,fish_lab_data!C:C,0)))</f>
        <v>769</v>
      </c>
    </row>
    <row r="78">
      <c r="A78" s="25" t="s">
        <v>652</v>
      </c>
      <c r="B78" s="25">
        <v>0.0</v>
      </c>
      <c r="C78" s="25">
        <v>0.0</v>
      </c>
      <c r="D78" s="25">
        <v>0.0</v>
      </c>
      <c r="E78" s="25">
        <v>0.0</v>
      </c>
      <c r="F78" s="25">
        <v>0.0</v>
      </c>
      <c r="G78" s="25">
        <v>0.0</v>
      </c>
      <c r="H78" s="25">
        <v>0.0</v>
      </c>
      <c r="I78" s="25">
        <v>0.0</v>
      </c>
      <c r="J78" s="25">
        <v>0.0</v>
      </c>
      <c r="K78" s="25">
        <v>0.0</v>
      </c>
      <c r="L78" s="25">
        <v>0.0</v>
      </c>
      <c r="M78" s="17">
        <f t="shared" si="1"/>
        <v>0</v>
      </c>
      <c r="N78" s="24" t="str">
        <f t="array" ref="N78">if(isblank(A78),"",index(fish_lab_data!O:O,match(A78,fish_lab_data!C:C,0)))</f>
        <v>EJ</v>
      </c>
      <c r="O78" s="24" t="str">
        <f t="array" ref="O78">index(fish_lab_data!Q:Q,match(A78,fish_lab_data!C:C,0))</f>
        <v>lab_motiles_etoh</v>
      </c>
      <c r="P78" s="24" t="str">
        <f t="array" ref="P78">if(and(iserror(index(sea_lice!G:G,match(A78,sea_lice!A:A,0))),M78=0),"NA",index(sea_lice!G:G,match(A78,sea_lice!A:A,0)))</f>
        <v>NA</v>
      </c>
      <c r="Q78" s="24">
        <f t="array" ref="Q78">if(isblank(A78),"",index(fish_lab_data!X:X,match(A78,fish_lab_data!C:C,0)))</f>
        <v>770</v>
      </c>
    </row>
    <row r="79">
      <c r="A79" s="25" t="s">
        <v>660</v>
      </c>
      <c r="B79" s="25">
        <v>0.0</v>
      </c>
      <c r="C79" s="25">
        <v>0.0</v>
      </c>
      <c r="D79" s="25">
        <v>0.0</v>
      </c>
      <c r="E79" s="25">
        <v>0.0</v>
      </c>
      <c r="F79" s="25">
        <v>0.0</v>
      </c>
      <c r="G79" s="25">
        <v>0.0</v>
      </c>
      <c r="H79" s="25">
        <v>0.0</v>
      </c>
      <c r="I79" s="25">
        <v>0.0</v>
      </c>
      <c r="J79" s="25">
        <v>0.0</v>
      </c>
      <c r="K79" s="25">
        <v>0.0</v>
      </c>
      <c r="L79" s="25">
        <v>0.0</v>
      </c>
      <c r="M79" s="17">
        <f t="shared" si="1"/>
        <v>0</v>
      </c>
      <c r="N79" s="24" t="str">
        <f t="array" ref="N79">if(isblank(A79),"",index(fish_lab_data!O:O,match(A79,fish_lab_data!C:C,0)))</f>
        <v>EJ</v>
      </c>
      <c r="O79" s="24" t="str">
        <f t="array" ref="O79">index(fish_lab_data!Q:Q,match(A79,fish_lab_data!C:C,0))</f>
        <v>lab_motiles_etoh</v>
      </c>
      <c r="P79" s="24" t="str">
        <f t="array" ref="P79">if(and(iserror(index(sea_lice!G:G,match(A79,sea_lice!A:A,0))),M79=0),"NA",index(sea_lice!G:G,match(A79,sea_lice!A:A,0)))</f>
        <v>NA</v>
      </c>
      <c r="Q79" s="24">
        <f t="array" ref="Q79">if(isblank(A79),"",index(fish_lab_data!X:X,match(A79,fish_lab_data!C:C,0)))</f>
        <v>771</v>
      </c>
    </row>
    <row r="80">
      <c r="A80" s="25" t="s">
        <v>667</v>
      </c>
      <c r="B80" s="25">
        <v>0.0</v>
      </c>
      <c r="C80" s="25">
        <v>0.0</v>
      </c>
      <c r="D80" s="25">
        <v>0.0</v>
      </c>
      <c r="E80" s="25">
        <v>0.0</v>
      </c>
      <c r="F80" s="25">
        <v>0.0</v>
      </c>
      <c r="G80" s="25">
        <v>0.0</v>
      </c>
      <c r="H80" s="25">
        <v>0.0</v>
      </c>
      <c r="I80" s="25">
        <v>0.0</v>
      </c>
      <c r="J80" s="25">
        <v>0.0</v>
      </c>
      <c r="K80" s="25">
        <v>0.0</v>
      </c>
      <c r="L80" s="25">
        <v>0.0</v>
      </c>
      <c r="M80" s="17">
        <f t="shared" si="1"/>
        <v>0</v>
      </c>
      <c r="N80" s="24" t="str">
        <f t="array" ref="N80">if(isblank(A80),"",index(fish_lab_data!O:O,match(A80,fish_lab_data!C:C,0)))</f>
        <v>EJ</v>
      </c>
      <c r="O80" s="24" t="str">
        <f t="array" ref="O80">index(fish_lab_data!Q:Q,match(A80,fish_lab_data!C:C,0))</f>
        <v>lab_motiles_etoh</v>
      </c>
      <c r="P80" s="24" t="str">
        <f t="array" ref="P80">if(and(iserror(index(sea_lice!G:G,match(A80,sea_lice!A:A,0))),M80=0),"NA",index(sea_lice!G:G,match(A80,sea_lice!A:A,0)))</f>
        <v>NA</v>
      </c>
      <c r="Q80" s="24">
        <f t="array" ref="Q80">if(isblank(A80),"",index(fish_lab_data!X:X,match(A80,fish_lab_data!C:C,0)))</f>
        <v>772</v>
      </c>
    </row>
    <row r="81">
      <c r="A81" s="25" t="s">
        <v>673</v>
      </c>
      <c r="B81" s="25">
        <v>0.0</v>
      </c>
      <c r="C81" s="25">
        <v>0.0</v>
      </c>
      <c r="D81" s="25">
        <v>0.0</v>
      </c>
      <c r="E81" s="25">
        <v>0.0</v>
      </c>
      <c r="F81" s="25">
        <v>0.0</v>
      </c>
      <c r="G81" s="25">
        <v>0.0</v>
      </c>
      <c r="H81" s="25">
        <v>0.0</v>
      </c>
      <c r="I81" s="25">
        <v>0.0</v>
      </c>
      <c r="J81" s="25">
        <v>0.0</v>
      </c>
      <c r="K81" s="25">
        <v>0.0</v>
      </c>
      <c r="L81" s="25">
        <v>0.0</v>
      </c>
      <c r="M81" s="17">
        <f t="shared" si="1"/>
        <v>0</v>
      </c>
      <c r="N81" s="24" t="str">
        <f t="array" ref="N81">if(isblank(A81),"",index(fish_lab_data!O:O,match(A81,fish_lab_data!C:C,0)))</f>
        <v>KB</v>
      </c>
      <c r="O81" s="24" t="str">
        <f t="array" ref="O81">index(fish_lab_data!Q:Q,match(A81,fish_lab_data!C:C,0))</f>
        <v>lab_motiles_etoh</v>
      </c>
      <c r="P81" s="24" t="str">
        <f t="array" ref="P81">if(and(iserror(index(sea_lice!G:G,match(A81,sea_lice!A:A,0))),M81=0),"NA",index(sea_lice!G:G,match(A81,sea_lice!A:A,0)))</f>
        <v>NA</v>
      </c>
      <c r="Q81" s="24">
        <f t="array" ref="Q81">if(isblank(A81),"",index(fish_lab_data!X:X,match(A81,fish_lab_data!C:C,0)))</f>
        <v>773</v>
      </c>
    </row>
    <row r="82">
      <c r="A82" s="25" t="s">
        <v>679</v>
      </c>
      <c r="B82" s="25">
        <v>0.0</v>
      </c>
      <c r="C82" s="25">
        <v>0.0</v>
      </c>
      <c r="D82" s="25">
        <v>0.0</v>
      </c>
      <c r="E82" s="25">
        <v>0.0</v>
      </c>
      <c r="F82" s="25">
        <v>0.0</v>
      </c>
      <c r="G82" s="25">
        <v>0.0</v>
      </c>
      <c r="H82" s="25">
        <v>0.0</v>
      </c>
      <c r="I82" s="25">
        <v>0.0</v>
      </c>
      <c r="J82" s="25">
        <v>0.0</v>
      </c>
      <c r="K82" s="25">
        <v>0.0</v>
      </c>
      <c r="L82" s="25">
        <v>0.0</v>
      </c>
      <c r="M82" s="17">
        <f t="shared" si="1"/>
        <v>0</v>
      </c>
      <c r="N82" s="24" t="str">
        <f t="array" ref="N82">if(isblank(A82),"",index(fish_lab_data!O:O,match(A82,fish_lab_data!C:C,0)))</f>
        <v>KB</v>
      </c>
      <c r="O82" s="24" t="str">
        <f t="array" ref="O82">index(fish_lab_data!Q:Q,match(A82,fish_lab_data!C:C,0))</f>
        <v>lab_motiles_etoh</v>
      </c>
      <c r="P82" s="24" t="str">
        <f t="array" ref="P82">if(and(iserror(index(sea_lice!G:G,match(A82,sea_lice!A:A,0))),M82=0),"NA",index(sea_lice!G:G,match(A82,sea_lice!A:A,0)))</f>
        <v>NA</v>
      </c>
      <c r="Q82" s="24">
        <f t="array" ref="Q82">if(isblank(A82),"",index(fish_lab_data!X:X,match(A82,fish_lab_data!C:C,0)))</f>
        <v>774</v>
      </c>
    </row>
    <row r="83">
      <c r="A83" s="25" t="s">
        <v>687</v>
      </c>
      <c r="B83" s="25">
        <v>0.0</v>
      </c>
      <c r="C83" s="25">
        <v>0.0</v>
      </c>
      <c r="D83" s="25">
        <v>0.0</v>
      </c>
      <c r="E83" s="25">
        <v>0.0</v>
      </c>
      <c r="F83" s="25">
        <v>0.0</v>
      </c>
      <c r="G83" s="25">
        <v>0.0</v>
      </c>
      <c r="H83" s="25">
        <v>0.0</v>
      </c>
      <c r="I83" s="25">
        <v>0.0</v>
      </c>
      <c r="J83" s="25">
        <v>0.0</v>
      </c>
      <c r="K83" s="25">
        <v>0.0</v>
      </c>
      <c r="L83" s="25">
        <v>0.0</v>
      </c>
      <c r="M83" s="17">
        <f t="shared" si="1"/>
        <v>0</v>
      </c>
      <c r="N83" s="24" t="str">
        <f t="array" ref="N83">if(isblank(A83),"",index(fish_lab_data!O:O,match(A83,fish_lab_data!C:C,0)))</f>
        <v>KB</v>
      </c>
      <c r="O83" s="24" t="str">
        <f t="array" ref="O83">index(fish_lab_data!Q:Q,match(A83,fish_lab_data!C:C,0))</f>
        <v>lab_motiles_etoh</v>
      </c>
      <c r="P83" s="24" t="str">
        <f t="array" ref="P83">if(and(iserror(index(sea_lice!G:G,match(A83,sea_lice!A:A,0))),M83=0),"NA",index(sea_lice!G:G,match(A83,sea_lice!A:A,0)))</f>
        <v>NA</v>
      </c>
      <c r="Q83" s="24">
        <f t="array" ref="Q83">if(isblank(A83),"",index(fish_lab_data!X:X,match(A83,fish_lab_data!C:C,0)))</f>
        <v>775</v>
      </c>
    </row>
    <row r="84">
      <c r="A84" s="25" t="s">
        <v>695</v>
      </c>
      <c r="B84" s="25">
        <v>0.0</v>
      </c>
      <c r="C84" s="25">
        <v>0.0</v>
      </c>
      <c r="D84" s="25">
        <v>0.0</v>
      </c>
      <c r="E84" s="25">
        <v>0.0</v>
      </c>
      <c r="F84" s="25">
        <v>0.0</v>
      </c>
      <c r="G84" s="25">
        <v>0.0</v>
      </c>
      <c r="H84" s="25">
        <v>0.0</v>
      </c>
      <c r="I84" s="25">
        <v>0.0</v>
      </c>
      <c r="J84" s="25">
        <v>0.0</v>
      </c>
      <c r="K84" s="25">
        <v>0.0</v>
      </c>
      <c r="L84" s="25">
        <v>0.0</v>
      </c>
      <c r="M84" s="17">
        <f t="shared" si="1"/>
        <v>0</v>
      </c>
      <c r="N84" s="24" t="str">
        <f t="array" ref="N84">if(isblank(A84),"",index(fish_lab_data!O:O,match(A84,fish_lab_data!C:C,0)))</f>
        <v>KB</v>
      </c>
      <c r="O84" s="24" t="str">
        <f t="array" ref="O84">index(fish_lab_data!Q:Q,match(A84,fish_lab_data!C:C,0))</f>
        <v>lab_motiles_etoh</v>
      </c>
      <c r="P84" s="24" t="str">
        <f t="array" ref="P84">if(and(iserror(index(sea_lice!G:G,match(A84,sea_lice!A:A,0))),M84=0),"NA",index(sea_lice!G:G,match(A84,sea_lice!A:A,0)))</f>
        <v>NA</v>
      </c>
      <c r="Q84" s="24">
        <f t="array" ref="Q84">if(isblank(A84),"",index(fish_lab_data!X:X,match(A84,fish_lab_data!C:C,0)))</f>
        <v>776</v>
      </c>
    </row>
    <row r="85">
      <c r="A85" s="9" t="s">
        <v>703</v>
      </c>
      <c r="B85" s="9">
        <v>0.0</v>
      </c>
      <c r="C85" s="9">
        <v>0.0</v>
      </c>
      <c r="D85" s="9">
        <v>0.0</v>
      </c>
      <c r="E85" s="9">
        <v>1.0</v>
      </c>
      <c r="F85" s="9">
        <v>0.0</v>
      </c>
      <c r="G85" s="9">
        <v>0.0</v>
      </c>
      <c r="H85" s="9">
        <v>0.0</v>
      </c>
      <c r="I85" s="9">
        <v>0.0</v>
      </c>
      <c r="J85" s="9">
        <v>0.0</v>
      </c>
      <c r="K85" s="9">
        <v>0.0</v>
      </c>
      <c r="L85" s="9">
        <v>0.0</v>
      </c>
      <c r="M85" s="17">
        <f t="shared" si="1"/>
        <v>1</v>
      </c>
      <c r="N85" s="24" t="str">
        <f t="array" ref="N85">if(isblank(A85),"",index(fish_lab_data!O:O,match(A85,fish_lab_data!C:C,0)))</f>
        <v>KB</v>
      </c>
      <c r="O85" s="24" t="str">
        <f t="array" ref="O85">index(fish_lab_data!Q:Q,match(A85,fish_lab_data!C:C,0))</f>
        <v>lab_motiles_etoh</v>
      </c>
      <c r="P85" s="24" t="str">
        <f t="array" ref="P85">if(and(iserror(index(sea_lice!G:G,match(A85,sea_lice!A:A,0))),M85=0),"NA",index(sea_lice!G:G,match(A85,sea_lice!A:A,0)))</f>
        <v>BSL6-74</v>
      </c>
      <c r="Q85" s="24">
        <f t="array" ref="Q85">if(isblank(A85),"",index(fish_lab_data!X:X,match(A85,fish_lab_data!C:C,0)))</f>
        <v>777</v>
      </c>
    </row>
    <row r="86">
      <c r="A86" s="9" t="s">
        <v>710</v>
      </c>
      <c r="B86" s="9">
        <v>0.0</v>
      </c>
      <c r="C86" s="9">
        <v>0.0</v>
      </c>
      <c r="D86" s="9">
        <v>0.0</v>
      </c>
      <c r="E86" s="9">
        <v>1.0</v>
      </c>
      <c r="F86" s="9">
        <v>0.0</v>
      </c>
      <c r="G86" s="9">
        <v>0.0</v>
      </c>
      <c r="H86" s="9">
        <v>0.0</v>
      </c>
      <c r="I86" s="9">
        <v>0.0</v>
      </c>
      <c r="J86" s="9">
        <v>0.0</v>
      </c>
      <c r="K86" s="9">
        <v>0.0</v>
      </c>
      <c r="L86" s="9">
        <v>0.0</v>
      </c>
      <c r="M86" s="17">
        <f t="shared" si="1"/>
        <v>1</v>
      </c>
      <c r="N86" s="24" t="str">
        <f t="array" ref="N86">if(isblank(A86),"",index(fish_lab_data!O:O,match(A86,fish_lab_data!C:C,0)))</f>
        <v>KB</v>
      </c>
      <c r="O86" s="24" t="str">
        <f t="array" ref="O86">index(fish_lab_data!Q:Q,match(A86,fish_lab_data!C:C,0))</f>
        <v>lab_motiles_etoh</v>
      </c>
      <c r="P86" s="24" t="str">
        <f t="array" ref="P86">if(and(iserror(index(sea_lice!G:G,match(A86,sea_lice!A:A,0))),M86=0),"NA",index(sea_lice!G:G,match(A86,sea_lice!A:A,0)))</f>
        <v>BSL6-75</v>
      </c>
      <c r="Q86" s="24">
        <f t="array" ref="Q86">if(isblank(A86),"",index(fish_lab_data!X:X,match(A86,fish_lab_data!C:C,0)))</f>
        <v>778</v>
      </c>
    </row>
    <row r="87">
      <c r="A87" s="9" t="s">
        <v>718</v>
      </c>
      <c r="B87" s="9">
        <v>1.0</v>
      </c>
      <c r="C87" s="9">
        <v>0.0</v>
      </c>
      <c r="D87" s="9">
        <v>0.0</v>
      </c>
      <c r="E87" s="9">
        <v>0.0</v>
      </c>
      <c r="F87" s="9">
        <v>0.0</v>
      </c>
      <c r="G87" s="9">
        <v>0.0</v>
      </c>
      <c r="H87" s="9">
        <v>0.0</v>
      </c>
      <c r="I87" s="9">
        <v>0.0</v>
      </c>
      <c r="J87" s="9">
        <v>0.0</v>
      </c>
      <c r="K87" s="9">
        <v>0.0</v>
      </c>
      <c r="L87" s="9">
        <v>0.0</v>
      </c>
      <c r="M87" s="17">
        <f t="shared" si="1"/>
        <v>1</v>
      </c>
      <c r="N87" s="24" t="str">
        <f t="array" ref="N87">if(isblank(A87),"",index(fish_lab_data!O:O,match(A87,fish_lab_data!C:C,0)))</f>
        <v>KB</v>
      </c>
      <c r="O87" s="24" t="str">
        <f t="array" ref="O87">index(fish_lab_data!Q:Q,match(A87,fish_lab_data!C:C,0))</f>
        <v>lab_motiles_etoh</v>
      </c>
      <c r="P87" s="24" t="str">
        <f t="array" ref="P87">if(and(iserror(index(sea_lice!G:G,match(A87,sea_lice!A:A,0))),M87=0),"NA",index(sea_lice!G:G,match(A87,sea_lice!A:A,0)))</f>
        <v>BSL6-76</v>
      </c>
      <c r="Q87" s="24">
        <f t="array" ref="Q87">if(isblank(A87),"",index(fish_lab_data!X:X,match(A87,fish_lab_data!C:C,0)))</f>
        <v>779</v>
      </c>
    </row>
    <row r="88">
      <c r="A88" s="25" t="s">
        <v>725</v>
      </c>
      <c r="B88" s="25">
        <v>0.0</v>
      </c>
      <c r="C88" s="25">
        <v>0.0</v>
      </c>
      <c r="D88" s="25">
        <v>0.0</v>
      </c>
      <c r="E88" s="25">
        <v>0.0</v>
      </c>
      <c r="F88" s="25">
        <v>0.0</v>
      </c>
      <c r="G88" s="25">
        <v>0.0</v>
      </c>
      <c r="H88" s="25">
        <v>0.0</v>
      </c>
      <c r="I88" s="25">
        <v>0.0</v>
      </c>
      <c r="J88" s="25">
        <v>0.0</v>
      </c>
      <c r="K88" s="25">
        <v>0.0</v>
      </c>
      <c r="L88" s="25">
        <v>0.0</v>
      </c>
      <c r="M88" s="17">
        <f t="shared" si="1"/>
        <v>0</v>
      </c>
      <c r="N88" s="24" t="str">
        <f t="array" ref="N88">if(isblank(A88),"",index(fish_lab_data!O:O,match(A88,fish_lab_data!C:C,0)))</f>
        <v>KB</v>
      </c>
      <c r="O88" s="24" t="str">
        <f t="array" ref="O88">index(fish_lab_data!Q:Q,match(A88,fish_lab_data!C:C,0))</f>
        <v>lab_motiles_etoh</v>
      </c>
      <c r="P88" s="24" t="str">
        <f t="array" ref="P88">if(and(iserror(index(sea_lice!G:G,match(A88,sea_lice!A:A,0))),M88=0),"NA",index(sea_lice!G:G,match(A88,sea_lice!A:A,0)))</f>
        <v>NA</v>
      </c>
      <c r="Q88" s="24">
        <f t="array" ref="Q88">if(isblank(A88),"",index(fish_lab_data!X:X,match(A88,fish_lab_data!C:C,0)))</f>
        <v>780</v>
      </c>
    </row>
    <row r="89">
      <c r="A89" s="6" t="s">
        <v>733</v>
      </c>
      <c r="B89" s="9">
        <v>0.0</v>
      </c>
      <c r="C89" s="9">
        <v>0.0</v>
      </c>
      <c r="D89" s="9">
        <v>0.0</v>
      </c>
      <c r="E89" s="9">
        <v>1.0</v>
      </c>
      <c r="F89" s="9">
        <v>0.0</v>
      </c>
      <c r="G89" s="9">
        <v>0.0</v>
      </c>
      <c r="H89" s="9">
        <v>0.0</v>
      </c>
      <c r="I89" s="9">
        <v>0.0</v>
      </c>
      <c r="J89" s="9">
        <v>0.0</v>
      </c>
      <c r="K89" s="9">
        <v>0.0</v>
      </c>
      <c r="L89" s="9">
        <v>0.0</v>
      </c>
      <c r="M89" s="17">
        <f t="shared" si="1"/>
        <v>1</v>
      </c>
      <c r="N89" s="24" t="str">
        <f t="array" ref="N89">if(isblank(A89),"",index(fish_lab_data!O:O,match(A89,fish_lab_data!C:C,0)))</f>
        <v>KB</v>
      </c>
      <c r="O89" s="24" t="str">
        <f t="array" ref="O89">index(fish_lab_data!Q:Q,match(A89,fish_lab_data!C:C,0))</f>
        <v>lab_motiles_etoh</v>
      </c>
      <c r="P89" s="24" t="str">
        <f t="array" ref="P89">if(and(iserror(index(sea_lice!G:G,match(A89,sea_lice!A:A,0))),M89=0),"NA",index(sea_lice!G:G,match(A89,sea_lice!A:A,0)))</f>
        <v>BSL6-78</v>
      </c>
      <c r="Q89" s="24">
        <f t="array" ref="Q89">if(isblank(A89),"",index(fish_lab_data!X:X,match(A89,fish_lab_data!C:C,0)))</f>
        <v>781</v>
      </c>
    </row>
    <row r="90">
      <c r="A90" s="25" t="s">
        <v>739</v>
      </c>
      <c r="B90" s="25">
        <v>0.0</v>
      </c>
      <c r="C90" s="25">
        <v>0.0</v>
      </c>
      <c r="D90" s="25">
        <v>0.0</v>
      </c>
      <c r="E90" s="25">
        <v>0.0</v>
      </c>
      <c r="F90" s="25">
        <v>0.0</v>
      </c>
      <c r="G90" s="25">
        <v>0.0</v>
      </c>
      <c r="H90" s="25">
        <v>0.0</v>
      </c>
      <c r="I90" s="25">
        <v>0.0</v>
      </c>
      <c r="J90" s="25">
        <v>0.0</v>
      </c>
      <c r="K90" s="25">
        <v>0.0</v>
      </c>
      <c r="L90" s="25">
        <v>0.0</v>
      </c>
      <c r="M90" s="17">
        <f t="shared" si="1"/>
        <v>0</v>
      </c>
      <c r="N90" s="24" t="str">
        <f t="array" ref="N90">if(isblank(A90),"",index(fish_lab_data!O:O,match(A90,fish_lab_data!C:C,0)))</f>
        <v>KB</v>
      </c>
      <c r="O90" s="24" t="str">
        <f t="array" ref="O90">index(fish_lab_data!Q:Q,match(A90,fish_lab_data!C:C,0))</f>
        <v>lab_motiles_etoh</v>
      </c>
      <c r="P90" s="24" t="str">
        <f t="array" ref="P90">if(and(iserror(index(sea_lice!G:G,match(A90,sea_lice!A:A,0))),M90=0),"NA",index(sea_lice!G:G,match(A90,sea_lice!A:A,0)))</f>
        <v>NA</v>
      </c>
      <c r="Q90" s="24">
        <f t="array" ref="Q90">if(isblank(A90),"",index(fish_lab_data!X:X,match(A90,fish_lab_data!C:C,0)))</f>
        <v>782</v>
      </c>
    </row>
    <row r="91">
      <c r="A91" s="25" t="s">
        <v>746</v>
      </c>
      <c r="B91" s="25">
        <v>0.0</v>
      </c>
      <c r="C91" s="25">
        <v>0.0</v>
      </c>
      <c r="D91" s="25">
        <v>0.0</v>
      </c>
      <c r="E91" s="25">
        <v>0.0</v>
      </c>
      <c r="F91" s="25">
        <v>0.0</v>
      </c>
      <c r="G91" s="25">
        <v>0.0</v>
      </c>
      <c r="H91" s="25">
        <v>0.0</v>
      </c>
      <c r="I91" s="25">
        <v>0.0</v>
      </c>
      <c r="J91" s="25">
        <v>0.0</v>
      </c>
      <c r="K91" s="25">
        <v>0.0</v>
      </c>
      <c r="L91" s="25">
        <v>0.0</v>
      </c>
      <c r="M91" s="17">
        <f t="shared" si="1"/>
        <v>0</v>
      </c>
      <c r="N91" s="24" t="str">
        <f t="array" ref="N91">if(isblank(A91),"",index(fish_lab_data!O:O,match(A91,fish_lab_data!C:C,0)))</f>
        <v>KB</v>
      </c>
      <c r="O91" s="24" t="str">
        <f t="array" ref="O91">index(fish_lab_data!Q:Q,match(A91,fish_lab_data!C:C,0))</f>
        <v>lab_motiles_etoh</v>
      </c>
      <c r="P91" s="24" t="str">
        <f t="array" ref="P91">if(and(iserror(index(sea_lice!G:G,match(A91,sea_lice!A:A,0))),M91=0),"NA",index(sea_lice!G:G,match(A91,sea_lice!A:A,0)))</f>
        <v>NA</v>
      </c>
      <c r="Q91" s="24">
        <f t="array" ref="Q91">if(isblank(A91),"",index(fish_lab_data!X:X,match(A91,fish_lab_data!C:C,0)))</f>
        <v>783</v>
      </c>
    </row>
    <row r="92">
      <c r="A92" s="25" t="s">
        <v>754</v>
      </c>
      <c r="B92" s="25">
        <v>0.0</v>
      </c>
      <c r="C92" s="25">
        <v>0.0</v>
      </c>
      <c r="D92" s="25">
        <v>0.0</v>
      </c>
      <c r="E92" s="25">
        <v>0.0</v>
      </c>
      <c r="F92" s="25">
        <v>0.0</v>
      </c>
      <c r="G92" s="25">
        <v>0.0</v>
      </c>
      <c r="H92" s="25">
        <v>0.0</v>
      </c>
      <c r="I92" s="25">
        <v>0.0</v>
      </c>
      <c r="J92" s="25">
        <v>0.0</v>
      </c>
      <c r="K92" s="25">
        <v>0.0</v>
      </c>
      <c r="L92" s="25">
        <v>0.0</v>
      </c>
      <c r="M92" s="17">
        <f t="shared" si="1"/>
        <v>0</v>
      </c>
      <c r="N92" s="24" t="str">
        <f t="array" ref="N92">if(isblank(A92),"",index(fish_lab_data!O:O,match(A92,fish_lab_data!C:C,0)))</f>
        <v>KB</v>
      </c>
      <c r="O92" s="24" t="str">
        <f t="array" ref="O92">index(fish_lab_data!Q:Q,match(A92,fish_lab_data!C:C,0))</f>
        <v>lab_motiles_etoh</v>
      </c>
      <c r="P92" s="24" t="str">
        <f t="array" ref="P92">if(and(iserror(index(sea_lice!G:G,match(A92,sea_lice!A:A,0))),M92=0),"NA",index(sea_lice!G:G,match(A92,sea_lice!A:A,0)))</f>
        <v>NA</v>
      </c>
      <c r="Q92" s="24">
        <f t="array" ref="Q92">if(isblank(A92),"",index(fish_lab_data!X:X,match(A92,fish_lab_data!C:C,0)))</f>
        <v>784</v>
      </c>
    </row>
    <row r="93">
      <c r="A93" s="9" t="s">
        <v>761</v>
      </c>
      <c r="B93" s="9">
        <v>0.0</v>
      </c>
      <c r="C93" s="9">
        <v>0.0</v>
      </c>
      <c r="D93" s="9">
        <v>0.0</v>
      </c>
      <c r="E93" s="9">
        <v>1.0</v>
      </c>
      <c r="F93" s="9">
        <v>0.0</v>
      </c>
      <c r="G93" s="9">
        <v>0.0</v>
      </c>
      <c r="H93" s="9">
        <v>0.0</v>
      </c>
      <c r="I93" s="9">
        <v>0.0</v>
      </c>
      <c r="J93" s="9">
        <v>0.0</v>
      </c>
      <c r="K93" s="9">
        <v>0.0</v>
      </c>
      <c r="L93" s="9">
        <v>0.0</v>
      </c>
      <c r="M93" s="17">
        <f t="shared" si="1"/>
        <v>1</v>
      </c>
      <c r="N93" s="24" t="str">
        <f t="array" ref="N93">if(isblank(A93),"",index(fish_lab_data!O:O,match(A93,fish_lab_data!C:C,0)))</f>
        <v>KB</v>
      </c>
      <c r="O93" s="24" t="str">
        <f t="array" ref="O93">index(fish_lab_data!Q:Q,match(A93,fish_lab_data!C:C,0))</f>
        <v>lab_motiles_etoh</v>
      </c>
      <c r="P93" s="24" t="str">
        <f t="array" ref="P93">if(and(iserror(index(sea_lice!G:G,match(A93,sea_lice!A:A,0))),M93=0),"NA",index(sea_lice!G:G,match(A93,sea_lice!A:A,0)))</f>
        <v>BSL6-80</v>
      </c>
      <c r="Q93" s="24">
        <f t="array" ref="Q93">if(isblank(A93),"",index(fish_lab_data!X:X,match(A93,fish_lab_data!C:C,0)))</f>
        <v>785</v>
      </c>
    </row>
    <row r="94">
      <c r="A94" s="25" t="s">
        <v>766</v>
      </c>
      <c r="B94" s="25">
        <v>0.0</v>
      </c>
      <c r="C94" s="25">
        <v>0.0</v>
      </c>
      <c r="D94" s="25">
        <v>0.0</v>
      </c>
      <c r="E94" s="25">
        <v>0.0</v>
      </c>
      <c r="F94" s="25">
        <v>0.0</v>
      </c>
      <c r="G94" s="25">
        <v>0.0</v>
      </c>
      <c r="H94" s="25">
        <v>0.0</v>
      </c>
      <c r="I94" s="25">
        <v>0.0</v>
      </c>
      <c r="J94" s="25">
        <v>0.0</v>
      </c>
      <c r="K94" s="25">
        <v>0.0</v>
      </c>
      <c r="L94" s="25">
        <v>0.0</v>
      </c>
      <c r="M94" s="17">
        <f t="shared" si="1"/>
        <v>0</v>
      </c>
      <c r="N94" s="24" t="str">
        <f t="array" ref="N94">if(isblank(A94),"",index(fish_lab_data!O:O,match(A94,fish_lab_data!C:C,0)))</f>
        <v>KB</v>
      </c>
      <c r="O94" s="24" t="str">
        <f t="array" ref="O94">index(fish_lab_data!Q:Q,match(A94,fish_lab_data!C:C,0))</f>
        <v>lab_motiles_etoh</v>
      </c>
      <c r="P94" s="24" t="str">
        <f t="array" ref="P94">if(and(iserror(index(sea_lice!G:G,match(A94,sea_lice!A:A,0))),M94=0),"NA",index(sea_lice!G:G,match(A94,sea_lice!A:A,0)))</f>
        <v>NA</v>
      </c>
      <c r="Q94" s="24">
        <f t="array" ref="Q94">if(isblank(A94),"",index(fish_lab_data!X:X,match(A94,fish_lab_data!C:C,0)))</f>
        <v>786</v>
      </c>
    </row>
    <row r="95">
      <c r="A95" s="9" t="s">
        <v>769</v>
      </c>
      <c r="B95" s="9">
        <v>1.0</v>
      </c>
      <c r="C95" s="9">
        <v>1.0</v>
      </c>
      <c r="D95" s="9">
        <v>0.0</v>
      </c>
      <c r="E95" s="9">
        <v>1.0</v>
      </c>
      <c r="F95" s="9">
        <v>0.0</v>
      </c>
      <c r="G95" s="9">
        <v>0.0</v>
      </c>
      <c r="H95" s="9">
        <v>0.0</v>
      </c>
      <c r="I95" s="9">
        <v>0.0</v>
      </c>
      <c r="J95" s="9">
        <v>0.0</v>
      </c>
      <c r="K95" s="9">
        <v>0.0</v>
      </c>
      <c r="L95" s="9">
        <v>0.0</v>
      </c>
      <c r="M95" s="17">
        <f t="shared" si="1"/>
        <v>3</v>
      </c>
      <c r="N95" s="24" t="str">
        <f t="array" ref="N95">if(isblank(A95),"",index(fish_lab_data!O:O,match(A95,fish_lab_data!C:C,0)))</f>
        <v>KB</v>
      </c>
      <c r="O95" s="24" t="str">
        <f t="array" ref="O95">index(fish_lab_data!Q:Q,match(A95,fish_lab_data!C:C,0))</f>
        <v>lab_motiles_etoh</v>
      </c>
      <c r="P95" s="24" t="str">
        <f t="array" ref="P95">if(and(iserror(index(sea_lice!G:G,match(A95,sea_lice!A:A,0))),M95=0),"NA",index(sea_lice!G:G,match(A95,sea_lice!A:A,0)))</f>
        <v>BSL6-81</v>
      </c>
      <c r="Q95" s="24">
        <f t="array" ref="Q95">if(isblank(A95),"",index(fish_lab_data!X:X,match(A95,fish_lab_data!C:C,0)))</f>
        <v>787</v>
      </c>
    </row>
    <row r="96">
      <c r="A96" s="25" t="s">
        <v>772</v>
      </c>
      <c r="B96" s="25">
        <v>0.0</v>
      </c>
      <c r="C96" s="25">
        <v>0.0</v>
      </c>
      <c r="D96" s="25">
        <v>0.0</v>
      </c>
      <c r="E96" s="25">
        <v>0.0</v>
      </c>
      <c r="F96" s="25">
        <v>0.0</v>
      </c>
      <c r="G96" s="25">
        <v>0.0</v>
      </c>
      <c r="H96" s="25">
        <v>0.0</v>
      </c>
      <c r="I96" s="25">
        <v>0.0</v>
      </c>
      <c r="J96" s="25">
        <v>0.0</v>
      </c>
      <c r="K96" s="25">
        <v>0.0</v>
      </c>
      <c r="L96" s="25">
        <v>0.0</v>
      </c>
      <c r="M96" s="17">
        <f t="shared" si="1"/>
        <v>0</v>
      </c>
      <c r="N96" s="24" t="str">
        <f t="array" ref="N96">if(isblank(A96),"",index(fish_lab_data!O:O,match(A96,fish_lab_data!C:C,0)))</f>
        <v>KB</v>
      </c>
      <c r="O96" s="24" t="str">
        <f t="array" ref="O96">index(fish_lab_data!Q:Q,match(A96,fish_lab_data!C:C,0))</f>
        <v>lab_motiles_etoh</v>
      </c>
      <c r="P96" s="24" t="str">
        <f t="array" ref="P96">if(and(iserror(index(sea_lice!G:G,match(A96,sea_lice!A:A,0))),M96=0),"NA",index(sea_lice!G:G,match(A96,sea_lice!A:A,0)))</f>
        <v>NA</v>
      </c>
      <c r="Q96" s="24">
        <f t="array" ref="Q96">if(isblank(A96),"",index(fish_lab_data!X:X,match(A96,fish_lab_data!C:C,0)))</f>
        <v>788</v>
      </c>
    </row>
    <row r="97">
      <c r="A97" s="25" t="s">
        <v>779</v>
      </c>
      <c r="B97" s="25">
        <v>0.0</v>
      </c>
      <c r="C97" s="25">
        <v>0.0</v>
      </c>
      <c r="D97" s="25">
        <v>0.0</v>
      </c>
      <c r="E97" s="25">
        <v>0.0</v>
      </c>
      <c r="F97" s="25">
        <v>0.0</v>
      </c>
      <c r="G97" s="25">
        <v>0.0</v>
      </c>
      <c r="H97" s="25">
        <v>0.0</v>
      </c>
      <c r="I97" s="25">
        <v>0.0</v>
      </c>
      <c r="J97" s="25">
        <v>0.0</v>
      </c>
      <c r="K97" s="25">
        <v>0.0</v>
      </c>
      <c r="L97" s="25">
        <v>0.0</v>
      </c>
      <c r="M97" s="17">
        <f t="shared" si="1"/>
        <v>0</v>
      </c>
      <c r="N97" s="24" t="str">
        <f t="array" ref="N97">if(isblank(A97),"",index(fish_lab_data!O:O,match(A97,fish_lab_data!C:C,0)))</f>
        <v>KB</v>
      </c>
      <c r="O97" s="24" t="str">
        <f t="array" ref="O97">index(fish_lab_data!Q:Q,match(A97,fish_lab_data!C:C,0))</f>
        <v>lab_motiles_etoh</v>
      </c>
      <c r="P97" s="24" t="str">
        <f t="array" ref="P97">if(and(iserror(index(sea_lice!G:G,match(A97,sea_lice!A:A,0))),M97=0),"NA",index(sea_lice!G:G,match(A97,sea_lice!A:A,0)))</f>
        <v>NA</v>
      </c>
      <c r="Q97" s="24">
        <f t="array" ref="Q97">if(isblank(A97),"",index(fish_lab_data!X:X,match(A97,fish_lab_data!C:C,0)))</f>
        <v>789</v>
      </c>
    </row>
    <row r="98">
      <c r="A98" s="25" t="s">
        <v>786</v>
      </c>
      <c r="B98" s="25">
        <v>0.0</v>
      </c>
      <c r="C98" s="25">
        <v>0.0</v>
      </c>
      <c r="D98" s="25">
        <v>0.0</v>
      </c>
      <c r="E98" s="25">
        <v>0.0</v>
      </c>
      <c r="F98" s="25">
        <v>0.0</v>
      </c>
      <c r="G98" s="25">
        <v>0.0</v>
      </c>
      <c r="H98" s="25">
        <v>0.0</v>
      </c>
      <c r="I98" s="25">
        <v>0.0</v>
      </c>
      <c r="J98" s="25">
        <v>0.0</v>
      </c>
      <c r="K98" s="25">
        <v>0.0</v>
      </c>
      <c r="L98" s="25">
        <v>0.0</v>
      </c>
      <c r="M98" s="17">
        <f t="shared" si="1"/>
        <v>0</v>
      </c>
      <c r="N98" s="24" t="str">
        <f t="array" ref="N98">if(isblank(A98),"",index(fish_lab_data!O:O,match(A98,fish_lab_data!C:C,0)))</f>
        <v>KB</v>
      </c>
      <c r="O98" s="24" t="str">
        <f t="array" ref="O98">index(fish_lab_data!Q:Q,match(A98,fish_lab_data!C:C,0))</f>
        <v>lab_motiles_etoh</v>
      </c>
      <c r="P98" s="24" t="str">
        <f t="array" ref="P98">if(and(iserror(index(sea_lice!G:G,match(A98,sea_lice!A:A,0))),M98=0),"NA",index(sea_lice!G:G,match(A98,sea_lice!A:A,0)))</f>
        <v>NA</v>
      </c>
      <c r="Q98" s="24">
        <f t="array" ref="Q98">if(isblank(A98),"",index(fish_lab_data!X:X,match(A98,fish_lab_data!C:C,0)))</f>
        <v>790</v>
      </c>
    </row>
    <row r="99">
      <c r="A99" s="25" t="s">
        <v>793</v>
      </c>
      <c r="B99" s="25">
        <v>0.0</v>
      </c>
      <c r="C99" s="25">
        <v>0.0</v>
      </c>
      <c r="D99" s="25">
        <v>0.0</v>
      </c>
      <c r="E99" s="25">
        <v>0.0</v>
      </c>
      <c r="F99" s="25">
        <v>0.0</v>
      </c>
      <c r="G99" s="25">
        <v>0.0</v>
      </c>
      <c r="H99" s="25">
        <v>0.0</v>
      </c>
      <c r="I99" s="25">
        <v>0.0</v>
      </c>
      <c r="J99" s="25">
        <v>0.0</v>
      </c>
      <c r="K99" s="25">
        <v>0.0</v>
      </c>
      <c r="L99" s="25">
        <v>0.0</v>
      </c>
      <c r="M99" s="17">
        <f t="shared" si="1"/>
        <v>0</v>
      </c>
      <c r="N99" s="24" t="str">
        <f t="array" ref="N99">if(isblank(A99),"",index(fish_lab_data!O:O,match(A99,fish_lab_data!C:C,0)))</f>
        <v>KB</v>
      </c>
      <c r="O99" s="24" t="str">
        <f t="array" ref="O99">index(fish_lab_data!Q:Q,match(A99,fish_lab_data!C:C,0))</f>
        <v>lab_motiles_etoh</v>
      </c>
      <c r="P99" s="24" t="str">
        <f t="array" ref="P99">if(and(iserror(index(sea_lice!G:G,match(A99,sea_lice!A:A,0))),M99=0),"NA",index(sea_lice!G:G,match(A99,sea_lice!A:A,0)))</f>
        <v>NA</v>
      </c>
      <c r="Q99" s="24">
        <f t="array" ref="Q99">if(isblank(A99),"",index(fish_lab_data!X:X,match(A99,fish_lab_data!C:C,0)))</f>
        <v>791</v>
      </c>
    </row>
    <row r="100">
      <c r="A100" s="25" t="s">
        <v>800</v>
      </c>
      <c r="B100" s="25">
        <v>0.0</v>
      </c>
      <c r="C100" s="25">
        <v>0.0</v>
      </c>
      <c r="D100" s="25">
        <v>0.0</v>
      </c>
      <c r="E100" s="25">
        <v>0.0</v>
      </c>
      <c r="F100" s="25">
        <v>0.0</v>
      </c>
      <c r="G100" s="25">
        <v>0.0</v>
      </c>
      <c r="H100" s="25">
        <v>0.0</v>
      </c>
      <c r="I100" s="25">
        <v>0.0</v>
      </c>
      <c r="J100" s="25">
        <v>0.0</v>
      </c>
      <c r="K100" s="25">
        <v>0.0</v>
      </c>
      <c r="L100" s="25">
        <v>0.0</v>
      </c>
      <c r="M100" s="17">
        <f t="shared" si="1"/>
        <v>0</v>
      </c>
      <c r="N100" s="24" t="str">
        <f t="array" ref="N100">if(isblank(A100),"",index(fish_lab_data!O:O,match(A100,fish_lab_data!C:C,0)))</f>
        <v>KB</v>
      </c>
      <c r="O100" s="24" t="str">
        <f t="array" ref="O100">index(fish_lab_data!Q:Q,match(A100,fish_lab_data!C:C,0))</f>
        <v>lab_motiles_etoh</v>
      </c>
      <c r="P100" s="24" t="str">
        <f t="array" ref="P100">if(and(iserror(index(sea_lice!G:G,match(A100,sea_lice!A:A,0))),M100=0),"NA",index(sea_lice!G:G,match(A100,sea_lice!A:A,0)))</f>
        <v>NA</v>
      </c>
      <c r="Q100" s="24">
        <f t="array" ref="Q100">if(isblank(A100),"",index(fish_lab_data!X:X,match(A100,fish_lab_data!C:C,0)))</f>
        <v>792</v>
      </c>
    </row>
    <row r="101">
      <c r="A101" s="25" t="s">
        <v>808</v>
      </c>
      <c r="B101" s="25">
        <v>0.0</v>
      </c>
      <c r="C101" s="25">
        <v>0.0</v>
      </c>
      <c r="D101" s="25">
        <v>0.0</v>
      </c>
      <c r="E101" s="25">
        <v>0.0</v>
      </c>
      <c r="F101" s="25">
        <v>0.0</v>
      </c>
      <c r="G101" s="25">
        <v>0.0</v>
      </c>
      <c r="H101" s="25">
        <v>0.0</v>
      </c>
      <c r="I101" s="25">
        <v>0.0</v>
      </c>
      <c r="J101" s="25">
        <v>0.0</v>
      </c>
      <c r="K101" s="25">
        <v>0.0</v>
      </c>
      <c r="L101" s="25">
        <v>0.0</v>
      </c>
      <c r="M101" s="17">
        <f t="shared" si="1"/>
        <v>0</v>
      </c>
      <c r="N101" s="24" t="str">
        <f t="array" ref="N101">if(isblank(A101),"",index(fish_lab_data!O:O,match(A101,fish_lab_data!C:C,0)))</f>
        <v>KB</v>
      </c>
      <c r="O101" s="24" t="str">
        <f t="array" ref="O101">index(fish_lab_data!Q:Q,match(A101,fish_lab_data!C:C,0))</f>
        <v>lab_motiles_etoh</v>
      </c>
      <c r="P101" s="24" t="str">
        <f t="array" ref="P101">if(and(iserror(index(sea_lice!G:G,match(A101,sea_lice!A:A,0))),M101=0),"NA",index(sea_lice!G:G,match(A101,sea_lice!A:A,0)))</f>
        <v>NA</v>
      </c>
      <c r="Q101" s="24">
        <f t="array" ref="Q101">if(isblank(A101),"",index(fish_lab_data!X:X,match(A101,fish_lab_data!C:C,0)))</f>
        <v>793</v>
      </c>
    </row>
    <row r="102">
      <c r="A102" s="25" t="s">
        <v>816</v>
      </c>
      <c r="B102" s="25">
        <v>0.0</v>
      </c>
      <c r="C102" s="25">
        <v>0.0</v>
      </c>
      <c r="D102" s="25">
        <v>0.0</v>
      </c>
      <c r="E102" s="25">
        <v>0.0</v>
      </c>
      <c r="F102" s="25">
        <v>0.0</v>
      </c>
      <c r="G102" s="25">
        <v>0.0</v>
      </c>
      <c r="H102" s="25">
        <v>0.0</v>
      </c>
      <c r="I102" s="25">
        <v>0.0</v>
      </c>
      <c r="J102" s="25">
        <v>0.0</v>
      </c>
      <c r="K102" s="25">
        <v>0.0</v>
      </c>
      <c r="L102" s="25">
        <v>0.0</v>
      </c>
      <c r="M102" s="17">
        <f t="shared" si="1"/>
        <v>0</v>
      </c>
      <c r="N102" s="24" t="str">
        <f t="array" ref="N102">if(isblank(A102),"",index(fish_lab_data!O:O,match(A102,fish_lab_data!C:C,0)))</f>
        <v>KB</v>
      </c>
      <c r="O102" s="24" t="str">
        <f t="array" ref="O102">index(fish_lab_data!Q:Q,match(A102,fish_lab_data!C:C,0))</f>
        <v>lab_motiles_etoh</v>
      </c>
      <c r="P102" s="24" t="str">
        <f t="array" ref="P102">if(and(iserror(index(sea_lice!G:G,match(A102,sea_lice!A:A,0))),M102=0),"NA",index(sea_lice!G:G,match(A102,sea_lice!A:A,0)))</f>
        <v>NA</v>
      </c>
      <c r="Q102" s="24">
        <f t="array" ref="Q102">if(isblank(A102),"",index(fish_lab_data!X:X,match(A102,fish_lab_data!C:C,0)))</f>
        <v>794</v>
      </c>
    </row>
    <row r="103">
      <c r="A103" s="9" t="s">
        <v>824</v>
      </c>
      <c r="B103" s="9">
        <v>1.0</v>
      </c>
      <c r="C103" s="9">
        <v>0.0</v>
      </c>
      <c r="D103" s="9">
        <v>0.0</v>
      </c>
      <c r="E103" s="9">
        <v>0.0</v>
      </c>
      <c r="F103" s="9">
        <v>0.0</v>
      </c>
      <c r="G103" s="9">
        <v>0.0</v>
      </c>
      <c r="H103" s="9">
        <v>0.0</v>
      </c>
      <c r="I103" s="9">
        <v>0.0</v>
      </c>
      <c r="J103" s="9">
        <v>0.0</v>
      </c>
      <c r="K103" s="9">
        <v>0.0</v>
      </c>
      <c r="L103" s="9">
        <v>0.0</v>
      </c>
      <c r="M103" s="17">
        <f t="shared" si="1"/>
        <v>1</v>
      </c>
      <c r="N103" s="24" t="str">
        <f t="array" ref="N103">if(isblank(A103),"",index(fish_lab_data!O:O,match(A103,fish_lab_data!C:C,0)))</f>
        <v>KB</v>
      </c>
      <c r="O103" s="24" t="str">
        <f t="array" ref="O103">index(fish_lab_data!Q:Q,match(A103,fish_lab_data!C:C,0))</f>
        <v>lab_motiles_etoh</v>
      </c>
      <c r="P103" s="24" t="str">
        <f t="array" ref="P103">if(and(iserror(index(sea_lice!G:G,match(A103,sea_lice!A:A,0))),M103=0),"NA",index(sea_lice!G:G,match(A103,sea_lice!A:A,0)))</f>
        <v>BSL6-82</v>
      </c>
      <c r="Q103" s="24">
        <f t="array" ref="Q103">if(isblank(A103),"",index(fish_lab_data!X:X,match(A103,fish_lab_data!C:C,0)))</f>
        <v>795</v>
      </c>
    </row>
    <row r="104">
      <c r="A104" s="25" t="s">
        <v>829</v>
      </c>
      <c r="B104" s="25">
        <v>0.0</v>
      </c>
      <c r="C104" s="25">
        <v>0.0</v>
      </c>
      <c r="D104" s="25">
        <v>0.0</v>
      </c>
      <c r="E104" s="25">
        <v>0.0</v>
      </c>
      <c r="F104" s="25">
        <v>0.0</v>
      </c>
      <c r="G104" s="25">
        <v>0.0</v>
      </c>
      <c r="H104" s="25">
        <v>0.0</v>
      </c>
      <c r="I104" s="25">
        <v>0.0</v>
      </c>
      <c r="J104" s="25">
        <v>0.0</v>
      </c>
      <c r="K104" s="25">
        <v>0.0</v>
      </c>
      <c r="L104" s="25">
        <v>0.0</v>
      </c>
      <c r="M104" s="17">
        <f t="shared" si="1"/>
        <v>0</v>
      </c>
      <c r="N104" s="24" t="str">
        <f t="array" ref="N104">if(isblank(A104),"",index(fish_lab_data!O:O,match(A104,fish_lab_data!C:C,0)))</f>
        <v>KB</v>
      </c>
      <c r="O104" s="24" t="str">
        <f t="array" ref="O104">index(fish_lab_data!Q:Q,match(A104,fish_lab_data!C:C,0))</f>
        <v>lab_motiles_etoh</v>
      </c>
      <c r="P104" s="24" t="str">
        <f t="array" ref="P104">if(and(iserror(index(sea_lice!G:G,match(A104,sea_lice!A:A,0))),M104=0),"NA",index(sea_lice!G:G,match(A104,sea_lice!A:A,0)))</f>
        <v>NA</v>
      </c>
      <c r="Q104" s="24">
        <f t="array" ref="Q104">if(isblank(A104),"",index(fish_lab_data!X:X,match(A104,fish_lab_data!C:C,0)))</f>
        <v>796</v>
      </c>
    </row>
    <row r="105">
      <c r="A105" s="25" t="s">
        <v>835</v>
      </c>
      <c r="B105" s="25">
        <v>0.0</v>
      </c>
      <c r="C105" s="25">
        <v>0.0</v>
      </c>
      <c r="D105" s="25">
        <v>0.0</v>
      </c>
      <c r="E105" s="25">
        <v>0.0</v>
      </c>
      <c r="F105" s="25">
        <v>0.0</v>
      </c>
      <c r="G105" s="25">
        <v>0.0</v>
      </c>
      <c r="H105" s="25">
        <v>0.0</v>
      </c>
      <c r="I105" s="25">
        <v>0.0</v>
      </c>
      <c r="J105" s="25">
        <v>0.0</v>
      </c>
      <c r="K105" s="25">
        <v>0.0</v>
      </c>
      <c r="L105" s="25">
        <v>0.0</v>
      </c>
      <c r="M105" s="17">
        <f t="shared" si="1"/>
        <v>0</v>
      </c>
      <c r="N105" s="24" t="str">
        <f t="array" ref="N105">if(isblank(A105),"",index(fish_lab_data!O:O,match(A105,fish_lab_data!C:C,0)))</f>
        <v>KB</v>
      </c>
      <c r="O105" s="24" t="str">
        <f t="array" ref="O105">index(fish_lab_data!Q:Q,match(A105,fish_lab_data!C:C,0))</f>
        <v>lab_motiles_etoh</v>
      </c>
      <c r="P105" s="24" t="str">
        <f t="array" ref="P105">if(and(iserror(index(sea_lice!G:G,match(A105,sea_lice!A:A,0))),M105=0),"NA",index(sea_lice!G:G,match(A105,sea_lice!A:A,0)))</f>
        <v>NA</v>
      </c>
      <c r="Q105" s="24">
        <f t="array" ref="Q105">if(isblank(A105),"",index(fish_lab_data!X:X,match(A105,fish_lab_data!C:C,0)))</f>
        <v>797</v>
      </c>
    </row>
    <row r="106">
      <c r="A106" s="25" t="s">
        <v>840</v>
      </c>
      <c r="B106" s="25">
        <v>0.0</v>
      </c>
      <c r="C106" s="25">
        <v>0.0</v>
      </c>
      <c r="D106" s="25">
        <v>0.0</v>
      </c>
      <c r="E106" s="25">
        <v>0.0</v>
      </c>
      <c r="F106" s="25">
        <v>0.0</v>
      </c>
      <c r="G106" s="25">
        <v>0.0</v>
      </c>
      <c r="H106" s="25">
        <v>0.0</v>
      </c>
      <c r="I106" s="25">
        <v>0.0</v>
      </c>
      <c r="J106" s="25">
        <v>0.0</v>
      </c>
      <c r="K106" s="25">
        <v>0.0</v>
      </c>
      <c r="L106" s="25">
        <v>0.0</v>
      </c>
      <c r="M106" s="17">
        <f t="shared" si="1"/>
        <v>0</v>
      </c>
      <c r="N106" s="24" t="str">
        <f t="array" ref="N106">if(isblank(A106),"",index(fish_lab_data!O:O,match(A106,fish_lab_data!C:C,0)))</f>
        <v>KB</v>
      </c>
      <c r="O106" s="24" t="str">
        <f t="array" ref="O106">index(fish_lab_data!Q:Q,match(A106,fish_lab_data!C:C,0))</f>
        <v>lab_motiles_etoh</v>
      </c>
      <c r="P106" s="24" t="str">
        <f t="array" ref="P106">if(and(iserror(index(sea_lice!G:G,match(A106,sea_lice!A:A,0))),M106=0),"NA",index(sea_lice!G:G,match(A106,sea_lice!A:A,0)))</f>
        <v>NA</v>
      </c>
      <c r="Q106" s="24">
        <f t="array" ref="Q106">if(isblank(A106),"",index(fish_lab_data!X:X,match(A106,fish_lab_data!C:C,0)))</f>
        <v>798</v>
      </c>
    </row>
    <row r="107">
      <c r="A107" s="25" t="s">
        <v>845</v>
      </c>
      <c r="B107" s="25">
        <v>0.0</v>
      </c>
      <c r="C107" s="25">
        <v>0.0</v>
      </c>
      <c r="D107" s="25">
        <v>0.0</v>
      </c>
      <c r="E107" s="25">
        <v>0.0</v>
      </c>
      <c r="F107" s="25">
        <v>0.0</v>
      </c>
      <c r="G107" s="25">
        <v>0.0</v>
      </c>
      <c r="H107" s="25">
        <v>0.0</v>
      </c>
      <c r="I107" s="25">
        <v>0.0</v>
      </c>
      <c r="J107" s="25">
        <v>0.0</v>
      </c>
      <c r="K107" s="25">
        <v>0.0</v>
      </c>
      <c r="L107" s="25">
        <v>0.0</v>
      </c>
      <c r="M107" s="17">
        <f t="shared" si="1"/>
        <v>0</v>
      </c>
      <c r="N107" s="24" t="str">
        <f t="array" ref="N107">if(isblank(A107),"",index(fish_lab_data!O:O,match(A107,fish_lab_data!C:C,0)))</f>
        <v>KB</v>
      </c>
      <c r="O107" s="24" t="str">
        <f t="array" ref="O107">index(fish_lab_data!Q:Q,match(A107,fish_lab_data!C:C,0))</f>
        <v>lab_motiles_etoh</v>
      </c>
      <c r="P107" s="24" t="str">
        <f t="array" ref="P107">if(and(iserror(index(sea_lice!G:G,match(A107,sea_lice!A:A,0))),M107=0),"NA",index(sea_lice!G:G,match(A107,sea_lice!A:A,0)))</f>
        <v>NA</v>
      </c>
      <c r="Q107" s="24">
        <f t="array" ref="Q107">if(isblank(A107),"",index(fish_lab_data!X:X,match(A107,fish_lab_data!C:C,0)))</f>
        <v>799</v>
      </c>
    </row>
    <row r="108">
      <c r="A108" s="25" t="s">
        <v>850</v>
      </c>
      <c r="B108" s="25">
        <v>0.0</v>
      </c>
      <c r="C108" s="25">
        <v>0.0</v>
      </c>
      <c r="D108" s="25">
        <v>0.0</v>
      </c>
      <c r="E108" s="25">
        <v>0.0</v>
      </c>
      <c r="F108" s="25">
        <v>0.0</v>
      </c>
      <c r="G108" s="25">
        <v>0.0</v>
      </c>
      <c r="H108" s="25">
        <v>0.0</v>
      </c>
      <c r="I108" s="25">
        <v>0.0</v>
      </c>
      <c r="J108" s="25">
        <v>0.0</v>
      </c>
      <c r="K108" s="25">
        <v>0.0</v>
      </c>
      <c r="L108" s="25">
        <v>0.0</v>
      </c>
      <c r="M108" s="17">
        <f t="shared" si="1"/>
        <v>0</v>
      </c>
      <c r="N108" s="24" t="str">
        <f t="array" ref="N108">if(isblank(A108),"",index(fish_lab_data!O:O,match(A108,fish_lab_data!C:C,0)))</f>
        <v>KB</v>
      </c>
      <c r="O108" s="24" t="str">
        <f t="array" ref="O108">index(fish_lab_data!Q:Q,match(A108,fish_lab_data!C:C,0))</f>
        <v>lab_motiles_etoh</v>
      </c>
      <c r="P108" s="24" t="str">
        <f t="array" ref="P108">if(and(iserror(index(sea_lice!G:G,match(A108,sea_lice!A:A,0))),M108=0),"NA",index(sea_lice!G:G,match(A108,sea_lice!A:A,0)))</f>
        <v>NA</v>
      </c>
      <c r="Q108" s="24">
        <f t="array" ref="Q108">if(isblank(A108),"",index(fish_lab_data!X:X,match(A108,fish_lab_data!C:C,0)))</f>
        <v>800</v>
      </c>
    </row>
    <row r="109">
      <c r="A109" s="25" t="s">
        <v>856</v>
      </c>
      <c r="B109" s="25">
        <v>0.0</v>
      </c>
      <c r="C109" s="25">
        <v>0.0</v>
      </c>
      <c r="D109" s="25">
        <v>0.0</v>
      </c>
      <c r="E109" s="25">
        <v>0.0</v>
      </c>
      <c r="F109" s="25">
        <v>0.0</v>
      </c>
      <c r="G109" s="25">
        <v>0.0</v>
      </c>
      <c r="H109" s="25">
        <v>0.0</v>
      </c>
      <c r="I109" s="25">
        <v>0.0</v>
      </c>
      <c r="J109" s="25">
        <v>0.0</v>
      </c>
      <c r="K109" s="25">
        <v>0.0</v>
      </c>
      <c r="L109" s="25">
        <v>0.0</v>
      </c>
      <c r="M109" s="17">
        <f t="shared" si="1"/>
        <v>0</v>
      </c>
      <c r="N109" s="24" t="str">
        <f t="array" ref="N109">if(isblank(A109),"",index(fish_lab_data!O:O,match(A109,fish_lab_data!C:C,0)))</f>
        <v>KB</v>
      </c>
      <c r="O109" s="24" t="str">
        <f t="array" ref="O109">index(fish_lab_data!Q:Q,match(A109,fish_lab_data!C:C,0))</f>
        <v>lab_motiles_etoh</v>
      </c>
      <c r="P109" s="24" t="str">
        <f t="array" ref="P109">if(and(iserror(index(sea_lice!G:G,match(A109,sea_lice!A:A,0))),M109=0),"NA",index(sea_lice!G:G,match(A109,sea_lice!A:A,0)))</f>
        <v>NA</v>
      </c>
      <c r="Q109" s="24">
        <f t="array" ref="Q109">if(isblank(A109),"",index(fish_lab_data!X:X,match(A109,fish_lab_data!C:C,0)))</f>
        <v>801</v>
      </c>
    </row>
    <row r="110">
      <c r="A110" s="25" t="s">
        <v>861</v>
      </c>
      <c r="B110" s="25">
        <v>0.0</v>
      </c>
      <c r="C110" s="25">
        <v>0.0</v>
      </c>
      <c r="D110" s="25">
        <v>0.0</v>
      </c>
      <c r="E110" s="25">
        <v>0.0</v>
      </c>
      <c r="F110" s="25">
        <v>0.0</v>
      </c>
      <c r="G110" s="25">
        <v>0.0</v>
      </c>
      <c r="H110" s="25">
        <v>0.0</v>
      </c>
      <c r="I110" s="25">
        <v>0.0</v>
      </c>
      <c r="J110" s="25">
        <v>0.0</v>
      </c>
      <c r="K110" s="25">
        <v>0.0</v>
      </c>
      <c r="L110" s="25">
        <v>0.0</v>
      </c>
      <c r="M110" s="17">
        <f t="shared" si="1"/>
        <v>0</v>
      </c>
      <c r="N110" s="24" t="str">
        <f t="array" ref="N110">if(isblank(A110),"",index(fish_lab_data!O:O,match(A110,fish_lab_data!C:C,0)))</f>
        <v>KB</v>
      </c>
      <c r="O110" s="24" t="str">
        <f t="array" ref="O110">index(fish_lab_data!Q:Q,match(A110,fish_lab_data!C:C,0))</f>
        <v>lab_motiles_etoh</v>
      </c>
      <c r="P110" s="24" t="str">
        <f t="array" ref="P110">if(and(iserror(index(sea_lice!G:G,match(A110,sea_lice!A:A,0))),M110=0),"NA",index(sea_lice!G:G,match(A110,sea_lice!A:A,0)))</f>
        <v>NA</v>
      </c>
      <c r="Q110" s="24">
        <f t="array" ref="Q110">if(isblank(A110),"",index(fish_lab_data!X:X,match(A110,fish_lab_data!C:C,0)))</f>
        <v>802</v>
      </c>
    </row>
    <row r="111">
      <c r="A111" s="25" t="s">
        <v>869</v>
      </c>
      <c r="B111" s="25">
        <v>0.0</v>
      </c>
      <c r="C111" s="25">
        <v>0.0</v>
      </c>
      <c r="D111" s="25">
        <v>0.0</v>
      </c>
      <c r="E111" s="25">
        <v>0.0</v>
      </c>
      <c r="F111" s="25">
        <v>0.0</v>
      </c>
      <c r="G111" s="25">
        <v>0.0</v>
      </c>
      <c r="H111" s="25">
        <v>0.0</v>
      </c>
      <c r="I111" s="25">
        <v>0.0</v>
      </c>
      <c r="J111" s="25">
        <v>0.0</v>
      </c>
      <c r="K111" s="25">
        <v>0.0</v>
      </c>
      <c r="L111" s="25">
        <v>0.0</v>
      </c>
      <c r="M111" s="17">
        <f t="shared" si="1"/>
        <v>0</v>
      </c>
      <c r="N111" s="24" t="str">
        <f t="array" ref="N111">if(isblank(A111),"",index(fish_lab_data!O:O,match(A111,fish_lab_data!C:C,0)))</f>
        <v>KB</v>
      </c>
      <c r="O111" s="24" t="str">
        <f t="array" ref="O111">index(fish_lab_data!Q:Q,match(A111,fish_lab_data!C:C,0))</f>
        <v>lab_motiles_etoh</v>
      </c>
      <c r="P111" s="24" t="str">
        <f t="array" ref="P111">if(and(iserror(index(sea_lice!G:G,match(A111,sea_lice!A:A,0))),M111=0),"NA",index(sea_lice!G:G,match(A111,sea_lice!A:A,0)))</f>
        <v>NA</v>
      </c>
      <c r="Q111" s="24">
        <f t="array" ref="Q111">if(isblank(A111),"",index(fish_lab_data!X:X,match(A111,fish_lab_data!C:C,0)))</f>
        <v>803</v>
      </c>
    </row>
    <row r="112">
      <c r="A112" s="25" t="s">
        <v>876</v>
      </c>
      <c r="B112" s="25">
        <v>0.0</v>
      </c>
      <c r="C112" s="25">
        <v>0.0</v>
      </c>
      <c r="D112" s="25">
        <v>0.0</v>
      </c>
      <c r="E112" s="25">
        <v>0.0</v>
      </c>
      <c r="F112" s="25">
        <v>0.0</v>
      </c>
      <c r="G112" s="25">
        <v>0.0</v>
      </c>
      <c r="H112" s="25">
        <v>0.0</v>
      </c>
      <c r="I112" s="25">
        <v>0.0</v>
      </c>
      <c r="J112" s="25">
        <v>0.0</v>
      </c>
      <c r="K112" s="25">
        <v>0.0</v>
      </c>
      <c r="L112" s="25">
        <v>0.0</v>
      </c>
      <c r="M112" s="17">
        <f t="shared" si="1"/>
        <v>0</v>
      </c>
      <c r="N112" s="24" t="str">
        <f t="array" ref="N112">if(isblank(A112),"",index(fish_lab_data!O:O,match(A112,fish_lab_data!C:C,0)))</f>
        <v>KB</v>
      </c>
      <c r="O112" s="24" t="str">
        <f t="array" ref="O112">index(fish_lab_data!Q:Q,match(A112,fish_lab_data!C:C,0))</f>
        <v>lab_motiles_etoh</v>
      </c>
      <c r="P112" s="24" t="str">
        <f t="array" ref="P112">if(and(iserror(index(sea_lice!G:G,match(A112,sea_lice!A:A,0))),M112=0),"NA",index(sea_lice!G:G,match(A112,sea_lice!A:A,0)))</f>
        <v>NA</v>
      </c>
      <c r="Q112" s="24">
        <f t="array" ref="Q112">if(isblank(A112),"",index(fish_lab_data!X:X,match(A112,fish_lab_data!C:C,0)))</f>
        <v>804</v>
      </c>
    </row>
    <row r="113">
      <c r="A113" s="25" t="s">
        <v>880</v>
      </c>
      <c r="B113" s="25">
        <v>0.0</v>
      </c>
      <c r="C113" s="25">
        <v>0.0</v>
      </c>
      <c r="D113" s="25">
        <v>0.0</v>
      </c>
      <c r="E113" s="25">
        <v>0.0</v>
      </c>
      <c r="F113" s="25">
        <v>0.0</v>
      </c>
      <c r="G113" s="25">
        <v>0.0</v>
      </c>
      <c r="H113" s="25">
        <v>0.0</v>
      </c>
      <c r="I113" s="25">
        <v>0.0</v>
      </c>
      <c r="J113" s="25">
        <v>0.0</v>
      </c>
      <c r="K113" s="25">
        <v>0.0</v>
      </c>
      <c r="L113" s="25">
        <v>0.0</v>
      </c>
      <c r="M113" s="17">
        <f t="shared" si="1"/>
        <v>0</v>
      </c>
      <c r="N113" s="24" t="str">
        <f t="array" ref="N113">if(isblank(A113),"",index(fish_lab_data!O:O,match(A113,fish_lab_data!C:C,0)))</f>
        <v>KB</v>
      </c>
      <c r="O113" s="24" t="str">
        <f t="array" ref="O113">index(fish_lab_data!Q:Q,match(A113,fish_lab_data!C:C,0))</f>
        <v>lab_motiles_etoh</v>
      </c>
      <c r="P113" s="24" t="str">
        <f t="array" ref="P113">if(and(iserror(index(sea_lice!G:G,match(A113,sea_lice!A:A,0))),M113=0),"NA",index(sea_lice!G:G,match(A113,sea_lice!A:A,0)))</f>
        <v>NA</v>
      </c>
      <c r="Q113" s="24">
        <f t="array" ref="Q113">if(isblank(A113),"",index(fish_lab_data!X:X,match(A113,fish_lab_data!C:C,0)))</f>
        <v>805</v>
      </c>
    </row>
    <row r="114">
      <c r="A114" s="9" t="s">
        <v>890</v>
      </c>
      <c r="B114" s="9">
        <v>0.0</v>
      </c>
      <c r="C114" s="9">
        <v>0.0</v>
      </c>
      <c r="D114" s="9">
        <v>0.0</v>
      </c>
      <c r="E114" s="9">
        <v>1.0</v>
      </c>
      <c r="F114" s="9">
        <v>0.0</v>
      </c>
      <c r="G114" s="9">
        <v>0.0</v>
      </c>
      <c r="H114" s="9">
        <v>0.0</v>
      </c>
      <c r="I114" s="9">
        <v>0.0</v>
      </c>
      <c r="J114" s="9">
        <v>0.0</v>
      </c>
      <c r="K114" s="9">
        <v>0.0</v>
      </c>
      <c r="L114" s="9">
        <v>0.0</v>
      </c>
      <c r="M114" s="17">
        <f t="shared" si="1"/>
        <v>1</v>
      </c>
      <c r="N114" s="24" t="str">
        <f t="array" ref="N114">if(isblank(A114),"",index(fish_lab_data!O:O,match(A114,fish_lab_data!C:C,0)))</f>
        <v>KB</v>
      </c>
      <c r="O114" s="24" t="str">
        <f t="array" ref="O114">index(fish_lab_data!Q:Q,match(A114,fish_lab_data!C:C,0))</f>
        <v>lab_motiles_etoh</v>
      </c>
      <c r="P114" s="24" t="str">
        <f t="array" ref="P114">if(and(iserror(index(sea_lice!G:G,match(A114,sea_lice!A:A,0))),M114=0),"NA",index(sea_lice!G:G,match(A114,sea_lice!A:A,0)))</f>
        <v>BSL6-84</v>
      </c>
      <c r="Q114" s="24">
        <f t="array" ref="Q114">if(isblank(A114),"",index(fish_lab_data!X:X,match(A114,fish_lab_data!C:C,0)))</f>
        <v>806</v>
      </c>
    </row>
    <row r="115">
      <c r="A115" s="9" t="s">
        <v>900</v>
      </c>
      <c r="B115" s="9">
        <v>0.0</v>
      </c>
      <c r="C115" s="9">
        <v>0.0</v>
      </c>
      <c r="D115" s="9">
        <v>0.0</v>
      </c>
      <c r="E115" s="9">
        <v>1.0</v>
      </c>
      <c r="F115" s="9">
        <v>0.0</v>
      </c>
      <c r="G115" s="9">
        <v>0.0</v>
      </c>
      <c r="H115" s="9">
        <v>0.0</v>
      </c>
      <c r="I115" s="9">
        <v>0.0</v>
      </c>
      <c r="J115" s="9">
        <v>0.0</v>
      </c>
      <c r="K115" s="9">
        <v>0.0</v>
      </c>
      <c r="L115" s="9">
        <v>0.0</v>
      </c>
      <c r="M115" s="17">
        <f t="shared" si="1"/>
        <v>1</v>
      </c>
      <c r="N115" s="24" t="str">
        <f t="array" ref="N115">if(isblank(A115),"",index(fish_lab_data!O:O,match(A115,fish_lab_data!C:C,0)))</f>
        <v>KB</v>
      </c>
      <c r="O115" s="24" t="str">
        <f t="array" ref="O115">index(fish_lab_data!Q:Q,match(A115,fish_lab_data!C:C,0))</f>
        <v>lab_motiles_etoh</v>
      </c>
      <c r="P115" s="24" t="str">
        <f t="array" ref="P115">if(and(iserror(index(sea_lice!G:G,match(A115,sea_lice!A:A,0))),M115=0),"NA",index(sea_lice!G:G,match(A115,sea_lice!A:A,0)))</f>
        <v>BSL6-86</v>
      </c>
      <c r="Q115" s="24">
        <f t="array" ref="Q115">if(isblank(A115),"",index(fish_lab_data!X:X,match(A115,fish_lab_data!C:C,0)))</f>
        <v>807</v>
      </c>
    </row>
    <row r="116">
      <c r="A116" s="25" t="s">
        <v>912</v>
      </c>
      <c r="B116" s="25">
        <v>0.0</v>
      </c>
      <c r="C116" s="25">
        <v>0.0</v>
      </c>
      <c r="D116" s="25">
        <v>0.0</v>
      </c>
      <c r="E116" s="25">
        <v>0.0</v>
      </c>
      <c r="F116" s="25">
        <v>0.0</v>
      </c>
      <c r="G116" s="25">
        <v>0.0</v>
      </c>
      <c r="H116" s="25">
        <v>0.0</v>
      </c>
      <c r="I116" s="25">
        <v>0.0</v>
      </c>
      <c r="J116" s="25">
        <v>0.0</v>
      </c>
      <c r="K116" s="25">
        <v>0.0</v>
      </c>
      <c r="L116" s="25">
        <v>0.0</v>
      </c>
      <c r="M116" s="17">
        <f t="shared" si="1"/>
        <v>0</v>
      </c>
      <c r="N116" s="24" t="str">
        <f t="array" ref="N116">if(isblank(A116),"",index(fish_lab_data!O:O,match(A116,fish_lab_data!C:C,0)))</f>
        <v>KB</v>
      </c>
      <c r="O116" s="24" t="str">
        <f t="array" ref="O116">index(fish_lab_data!Q:Q,match(A116,fish_lab_data!C:C,0))</f>
        <v>lab_motiles_etoh</v>
      </c>
      <c r="P116" s="24" t="str">
        <f t="array" ref="P116">if(and(iserror(index(sea_lice!G:G,match(A116,sea_lice!A:A,0))),M116=0),"NA",index(sea_lice!G:G,match(A116,sea_lice!A:A,0)))</f>
        <v>NA</v>
      </c>
      <c r="Q116" s="24">
        <f t="array" ref="Q116">if(isblank(A116),"",index(fish_lab_data!X:X,match(A116,fish_lab_data!C:C,0)))</f>
        <v>808</v>
      </c>
    </row>
    <row r="117">
      <c r="A117" s="9" t="s">
        <v>919</v>
      </c>
      <c r="B117" s="9">
        <v>0.0</v>
      </c>
      <c r="C117" s="9">
        <v>0.0</v>
      </c>
      <c r="D117" s="9">
        <v>0.0</v>
      </c>
      <c r="E117" s="9">
        <v>1.0</v>
      </c>
      <c r="F117" s="9">
        <v>0.0</v>
      </c>
      <c r="G117" s="9">
        <v>0.0</v>
      </c>
      <c r="H117" s="9">
        <v>0.0</v>
      </c>
      <c r="I117" s="9">
        <v>0.0</v>
      </c>
      <c r="J117" s="9">
        <v>0.0</v>
      </c>
      <c r="K117" s="9">
        <v>0.0</v>
      </c>
      <c r="L117" s="9">
        <v>0.0</v>
      </c>
      <c r="M117" s="17">
        <f t="shared" si="1"/>
        <v>1</v>
      </c>
      <c r="N117" s="24" t="str">
        <f t="array" ref="N117">if(isblank(A117),"",index(fish_lab_data!O:O,match(A117,fish_lab_data!C:C,0)))</f>
        <v>KB</v>
      </c>
      <c r="O117" s="24" t="str">
        <f t="array" ref="O117">index(fish_lab_data!Q:Q,match(A117,fish_lab_data!C:C,0))</f>
        <v>lab_motiles_etoh</v>
      </c>
      <c r="P117" s="24" t="str">
        <f t="array" ref="P117">if(and(iserror(index(sea_lice!G:G,match(A117,sea_lice!A:A,0))),M117=0),"NA",index(sea_lice!G:G,match(A117,sea_lice!A:A,0)))</f>
        <v>BSL6-87</v>
      </c>
      <c r="Q117" s="24">
        <f t="array" ref="Q117">if(isblank(A117),"",index(fish_lab_data!X:X,match(A117,fish_lab_data!C:C,0)))</f>
        <v>809</v>
      </c>
    </row>
    <row r="118">
      <c r="A118" s="25" t="s">
        <v>928</v>
      </c>
      <c r="B118" s="25">
        <v>0.0</v>
      </c>
      <c r="C118" s="25">
        <v>0.0</v>
      </c>
      <c r="D118" s="25">
        <v>0.0</v>
      </c>
      <c r="E118" s="25">
        <v>0.0</v>
      </c>
      <c r="F118" s="25">
        <v>0.0</v>
      </c>
      <c r="G118" s="25">
        <v>0.0</v>
      </c>
      <c r="H118" s="25">
        <v>0.0</v>
      </c>
      <c r="I118" s="25">
        <v>0.0</v>
      </c>
      <c r="J118" s="25">
        <v>0.0</v>
      </c>
      <c r="K118" s="25">
        <v>0.0</v>
      </c>
      <c r="L118" s="25">
        <v>0.0</v>
      </c>
      <c r="M118" s="17">
        <f t="shared" si="1"/>
        <v>0</v>
      </c>
      <c r="N118" s="24" t="str">
        <f t="array" ref="N118">if(isblank(A118),"",index(fish_lab_data!O:O,match(A118,fish_lab_data!C:C,0)))</f>
        <v>KB</v>
      </c>
      <c r="O118" s="24" t="str">
        <f t="array" ref="O118">index(fish_lab_data!Q:Q,match(A118,fish_lab_data!C:C,0))</f>
        <v>lab_motiles_etoh</v>
      </c>
      <c r="P118" s="24" t="str">
        <f t="array" ref="P118">if(and(iserror(index(sea_lice!G:G,match(A118,sea_lice!A:A,0))),M118=0),"NA",index(sea_lice!G:G,match(A118,sea_lice!A:A,0)))</f>
        <v>NA</v>
      </c>
      <c r="Q118" s="24">
        <f t="array" ref="Q118">if(isblank(A118),"",index(fish_lab_data!X:X,match(A118,fish_lab_data!C:C,0)))</f>
        <v>810</v>
      </c>
    </row>
    <row r="119">
      <c r="A119" s="6" t="s">
        <v>936</v>
      </c>
      <c r="B119" s="9">
        <v>0.0</v>
      </c>
      <c r="C119" s="9">
        <v>0.0</v>
      </c>
      <c r="D119" s="9">
        <v>1.0</v>
      </c>
      <c r="E119" s="9">
        <v>0.0</v>
      </c>
      <c r="F119" s="9">
        <v>0.0</v>
      </c>
      <c r="G119" s="9">
        <v>0.0</v>
      </c>
      <c r="H119" s="9">
        <v>0.0</v>
      </c>
      <c r="I119" s="9">
        <v>0.0</v>
      </c>
      <c r="J119" s="9">
        <v>0.0</v>
      </c>
      <c r="K119" s="9">
        <v>0.0</v>
      </c>
      <c r="L119" s="9">
        <v>0.0</v>
      </c>
      <c r="M119" s="17">
        <f t="shared" si="1"/>
        <v>1</v>
      </c>
      <c r="N119" s="24" t="str">
        <f t="array" ref="N119">if(isblank(A119),"",index(fish_lab_data!O:O,match(A119,fish_lab_data!C:C,0)))</f>
        <v>EJ</v>
      </c>
      <c r="O119" s="24" t="str">
        <f t="array" ref="O119">index(fish_lab_data!Q:Q,match(A119,fish_lab_data!C:C,0))</f>
        <v>lab_motiles_etoh</v>
      </c>
      <c r="P119" s="24" t="str">
        <f t="array" ref="P119">if(and(iserror(index(sea_lice!G:G,match(A119,sea_lice!A:A,0))),M119=0),"NA",index(sea_lice!G:G,match(A119,sea_lice!A:A,0)))</f>
        <v>BSL6-83</v>
      </c>
      <c r="Q119" s="24">
        <f t="array" ref="Q119">if(isblank(A119),"",index(fish_lab_data!X:X,match(A119,fish_lab_data!C:C,0)))</f>
        <v>811</v>
      </c>
    </row>
    <row r="120">
      <c r="A120" s="25" t="s">
        <v>944</v>
      </c>
      <c r="B120" s="25">
        <v>0.0</v>
      </c>
      <c r="C120" s="25">
        <v>0.0</v>
      </c>
      <c r="D120" s="25">
        <v>0.0</v>
      </c>
      <c r="E120" s="25">
        <v>0.0</v>
      </c>
      <c r="F120" s="25">
        <v>0.0</v>
      </c>
      <c r="G120" s="25">
        <v>0.0</v>
      </c>
      <c r="H120" s="25">
        <v>0.0</v>
      </c>
      <c r="I120" s="25">
        <v>0.0</v>
      </c>
      <c r="J120" s="25">
        <v>0.0</v>
      </c>
      <c r="K120" s="25">
        <v>0.0</v>
      </c>
      <c r="L120" s="25">
        <v>0.0</v>
      </c>
      <c r="M120" s="17">
        <f t="shared" si="1"/>
        <v>0</v>
      </c>
      <c r="N120" s="24" t="str">
        <f t="array" ref="N120">if(isblank(A120),"",index(fish_lab_data!O:O,match(A120,fish_lab_data!C:C,0)))</f>
        <v>EJ</v>
      </c>
      <c r="O120" s="24" t="str">
        <f t="array" ref="O120">index(fish_lab_data!Q:Q,match(A120,fish_lab_data!C:C,0))</f>
        <v>lab_motiles_etoh</v>
      </c>
      <c r="P120" s="24" t="str">
        <f t="array" ref="P120">if(and(iserror(index(sea_lice!G:G,match(A120,sea_lice!A:A,0))),M120=0),"NA",index(sea_lice!G:G,match(A120,sea_lice!A:A,0)))</f>
        <v>NA</v>
      </c>
      <c r="Q120" s="24">
        <f t="array" ref="Q120">if(isblank(A120),"",index(fish_lab_data!X:X,match(A120,fish_lab_data!C:C,0)))</f>
        <v>812</v>
      </c>
    </row>
    <row r="121">
      <c r="A121" s="25" t="s">
        <v>953</v>
      </c>
      <c r="B121" s="25">
        <v>0.0</v>
      </c>
      <c r="C121" s="25">
        <v>0.0</v>
      </c>
      <c r="D121" s="25">
        <v>0.0</v>
      </c>
      <c r="E121" s="25">
        <v>0.0</v>
      </c>
      <c r="F121" s="25">
        <v>0.0</v>
      </c>
      <c r="G121" s="25">
        <v>0.0</v>
      </c>
      <c r="H121" s="25">
        <v>0.0</v>
      </c>
      <c r="I121" s="25">
        <v>0.0</v>
      </c>
      <c r="J121" s="25">
        <v>0.0</v>
      </c>
      <c r="K121" s="25">
        <v>0.0</v>
      </c>
      <c r="L121" s="25">
        <v>0.0</v>
      </c>
      <c r="M121" s="17">
        <f t="shared" si="1"/>
        <v>0</v>
      </c>
      <c r="N121" s="24" t="str">
        <f t="array" ref="N121">if(isblank(A121),"",index(fish_lab_data!O:O,match(A121,fish_lab_data!C:C,0)))</f>
        <v>EJ</v>
      </c>
      <c r="O121" s="24" t="str">
        <f t="array" ref="O121">index(fish_lab_data!Q:Q,match(A121,fish_lab_data!C:C,0))</f>
        <v>lab_motiles_etoh</v>
      </c>
      <c r="P121" s="24" t="str">
        <f t="array" ref="P121">if(and(iserror(index(sea_lice!G:G,match(A121,sea_lice!A:A,0))),M121=0),"NA",index(sea_lice!G:G,match(A121,sea_lice!A:A,0)))</f>
        <v>NA</v>
      </c>
      <c r="Q121" s="24">
        <f t="array" ref="Q121">if(isblank(A121),"",index(fish_lab_data!X:X,match(A121,fish_lab_data!C:C,0)))</f>
        <v>813</v>
      </c>
    </row>
    <row r="122">
      <c r="A122" s="6" t="s">
        <v>961</v>
      </c>
      <c r="B122" s="9">
        <v>0.0</v>
      </c>
      <c r="C122" s="9">
        <v>0.0</v>
      </c>
      <c r="D122" s="9">
        <v>0.0</v>
      </c>
      <c r="E122" s="9">
        <v>0.0</v>
      </c>
      <c r="F122" s="9">
        <v>0.0</v>
      </c>
      <c r="G122" s="9">
        <v>0.0</v>
      </c>
      <c r="H122" s="9">
        <v>0.0</v>
      </c>
      <c r="I122" s="9">
        <v>0.0</v>
      </c>
      <c r="J122" s="9">
        <v>0.0</v>
      </c>
      <c r="K122" s="9">
        <v>1.0</v>
      </c>
      <c r="L122" s="9">
        <v>0.0</v>
      </c>
      <c r="M122" s="17">
        <f t="shared" si="1"/>
        <v>1</v>
      </c>
      <c r="N122" s="24" t="str">
        <f t="array" ref="N122">if(isblank(A122),"",index(fish_lab_data!O:O,match(A122,fish_lab_data!C:C,0)))</f>
        <v>EJ</v>
      </c>
      <c r="O122" s="24" t="str">
        <f t="array" ref="O122">index(fish_lab_data!Q:Q,match(A122,fish_lab_data!C:C,0))</f>
        <v>lab_motiles_etoh</v>
      </c>
      <c r="P122" s="24" t="str">
        <f t="array" ref="P122">if(and(iserror(index(sea_lice!G:G,match(A122,sea_lice!A:A,0))),M122=0),"NA",index(sea_lice!G:G,match(A122,sea_lice!A:A,0)))</f>
        <v>BSL6-85</v>
      </c>
      <c r="Q122" s="24">
        <f t="array" ref="Q122">if(isblank(A122),"",index(fish_lab_data!X:X,match(A122,fish_lab_data!C:C,0)))</f>
        <v>814</v>
      </c>
    </row>
    <row r="123">
      <c r="A123" s="25" t="s">
        <v>970</v>
      </c>
      <c r="B123" s="25">
        <v>0.0</v>
      </c>
      <c r="C123" s="25">
        <v>0.0</v>
      </c>
      <c r="D123" s="25">
        <v>0.0</v>
      </c>
      <c r="E123" s="25">
        <v>0.0</v>
      </c>
      <c r="F123" s="25">
        <v>0.0</v>
      </c>
      <c r="G123" s="25">
        <v>0.0</v>
      </c>
      <c r="H123" s="25">
        <v>0.0</v>
      </c>
      <c r="I123" s="25">
        <v>0.0</v>
      </c>
      <c r="J123" s="25">
        <v>0.0</v>
      </c>
      <c r="K123" s="25">
        <v>0.0</v>
      </c>
      <c r="L123" s="25">
        <v>0.0</v>
      </c>
      <c r="M123" s="17">
        <f t="shared" si="1"/>
        <v>0</v>
      </c>
      <c r="N123" s="24" t="str">
        <f t="array" ref="N123">if(isblank(A123),"",index(fish_lab_data!O:O,match(A123,fish_lab_data!C:C,0)))</f>
        <v>EJ</v>
      </c>
      <c r="O123" s="24" t="str">
        <f t="array" ref="O123">index(fish_lab_data!Q:Q,match(A123,fish_lab_data!C:C,0))</f>
        <v>lab_motiles_etoh</v>
      </c>
      <c r="P123" s="24" t="str">
        <f t="array" ref="P123">if(and(iserror(index(sea_lice!G:G,match(A123,sea_lice!A:A,0))),M123=0),"NA",index(sea_lice!G:G,match(A123,sea_lice!A:A,0)))</f>
        <v>NA</v>
      </c>
      <c r="Q123" s="24">
        <f t="array" ref="Q123">if(isblank(A123),"",index(fish_lab_data!X:X,match(A123,fish_lab_data!C:C,0)))</f>
        <v>815</v>
      </c>
    </row>
    <row r="124">
      <c r="A124" s="25" t="s">
        <v>977</v>
      </c>
      <c r="B124" s="25">
        <v>0.0</v>
      </c>
      <c r="C124" s="25">
        <v>0.0</v>
      </c>
      <c r="D124" s="25">
        <v>0.0</v>
      </c>
      <c r="E124" s="25">
        <v>0.0</v>
      </c>
      <c r="F124" s="25">
        <v>0.0</v>
      </c>
      <c r="G124" s="25">
        <v>0.0</v>
      </c>
      <c r="H124" s="25">
        <v>0.0</v>
      </c>
      <c r="I124" s="25">
        <v>0.0</v>
      </c>
      <c r="J124" s="25">
        <v>0.0</v>
      </c>
      <c r="K124" s="25">
        <v>0.0</v>
      </c>
      <c r="L124" s="25">
        <v>0.0</v>
      </c>
      <c r="M124" s="17">
        <f t="shared" si="1"/>
        <v>0</v>
      </c>
      <c r="N124" s="24" t="str">
        <f t="array" ref="N124">if(isblank(A124),"",index(fish_lab_data!O:O,match(A124,fish_lab_data!C:C,0)))</f>
        <v>EJ</v>
      </c>
      <c r="O124" s="24" t="str">
        <f t="array" ref="O124">index(fish_lab_data!Q:Q,match(A124,fish_lab_data!C:C,0))</f>
        <v>lab_motiles_etoh</v>
      </c>
      <c r="P124" s="24" t="str">
        <f t="array" ref="P124">if(and(iserror(index(sea_lice!G:G,match(A124,sea_lice!A:A,0))),M124=0),"NA",index(sea_lice!G:G,match(A124,sea_lice!A:A,0)))</f>
        <v>NA</v>
      </c>
      <c r="Q124" s="24">
        <f t="array" ref="Q124">if(isblank(A124),"",index(fish_lab_data!X:X,match(A124,fish_lab_data!C:C,0)))</f>
        <v>816</v>
      </c>
    </row>
    <row r="125">
      <c r="A125" s="25" t="s">
        <v>984</v>
      </c>
      <c r="B125" s="25">
        <v>0.0</v>
      </c>
      <c r="C125" s="25">
        <v>0.0</v>
      </c>
      <c r="D125" s="25">
        <v>0.0</v>
      </c>
      <c r="E125" s="25">
        <v>0.0</v>
      </c>
      <c r="F125" s="25">
        <v>0.0</v>
      </c>
      <c r="G125" s="25">
        <v>0.0</v>
      </c>
      <c r="H125" s="25">
        <v>0.0</v>
      </c>
      <c r="I125" s="25">
        <v>0.0</v>
      </c>
      <c r="J125" s="25">
        <v>0.0</v>
      </c>
      <c r="K125" s="25">
        <v>0.0</v>
      </c>
      <c r="L125" s="25">
        <v>0.0</v>
      </c>
      <c r="M125" s="17">
        <f t="shared" si="1"/>
        <v>0</v>
      </c>
      <c r="N125" s="24" t="str">
        <f t="array" ref="N125">if(isblank(A125),"",index(fish_lab_data!O:O,match(A125,fish_lab_data!C:C,0)))</f>
        <v>EJ</v>
      </c>
      <c r="O125" s="24" t="str">
        <f t="array" ref="O125">index(fish_lab_data!Q:Q,match(A125,fish_lab_data!C:C,0))</f>
        <v>lab_motiles_etoh</v>
      </c>
      <c r="P125" s="24" t="str">
        <f t="array" ref="P125">if(and(iserror(index(sea_lice!G:G,match(A125,sea_lice!A:A,0))),M125=0),"NA",index(sea_lice!G:G,match(A125,sea_lice!A:A,0)))</f>
        <v>NA</v>
      </c>
      <c r="Q125" s="24">
        <f t="array" ref="Q125">if(isblank(A125),"",index(fish_lab_data!X:X,match(A125,fish_lab_data!C:C,0)))</f>
        <v>817</v>
      </c>
    </row>
    <row r="126">
      <c r="A126" s="25" t="s">
        <v>992</v>
      </c>
      <c r="B126" s="25">
        <v>0.0</v>
      </c>
      <c r="C126" s="25">
        <v>0.0</v>
      </c>
      <c r="D126" s="25">
        <v>0.0</v>
      </c>
      <c r="E126" s="25">
        <v>0.0</v>
      </c>
      <c r="F126" s="25">
        <v>0.0</v>
      </c>
      <c r="G126" s="25">
        <v>0.0</v>
      </c>
      <c r="H126" s="25">
        <v>0.0</v>
      </c>
      <c r="I126" s="25">
        <v>0.0</v>
      </c>
      <c r="J126" s="25">
        <v>0.0</v>
      </c>
      <c r="K126" s="25">
        <v>0.0</v>
      </c>
      <c r="L126" s="25">
        <v>0.0</v>
      </c>
      <c r="M126" s="17">
        <f t="shared" si="1"/>
        <v>0</v>
      </c>
      <c r="N126" s="24" t="str">
        <f t="array" ref="N126">if(isblank(A126),"",index(fish_lab_data!O:O,match(A126,fish_lab_data!C:C,0)))</f>
        <v>EJ</v>
      </c>
      <c r="O126" s="24" t="str">
        <f t="array" ref="O126">index(fish_lab_data!Q:Q,match(A126,fish_lab_data!C:C,0))</f>
        <v>lab_motiles_etoh</v>
      </c>
      <c r="P126" s="24" t="str">
        <f t="array" ref="P126">if(and(iserror(index(sea_lice!G:G,match(A126,sea_lice!A:A,0))),M126=0),"NA",index(sea_lice!G:G,match(A126,sea_lice!A:A,0)))</f>
        <v>NA</v>
      </c>
      <c r="Q126" s="24">
        <f t="array" ref="Q126">if(isblank(A126),"",index(fish_lab_data!X:X,match(A126,fish_lab_data!C:C,0)))</f>
        <v>818</v>
      </c>
    </row>
    <row r="127">
      <c r="A127" s="6" t="s">
        <v>1000</v>
      </c>
      <c r="B127" s="9">
        <v>0.0</v>
      </c>
      <c r="C127" s="9">
        <v>0.0</v>
      </c>
      <c r="D127" s="9">
        <v>0.0</v>
      </c>
      <c r="E127" s="9">
        <v>0.0</v>
      </c>
      <c r="F127" s="9">
        <v>0.0</v>
      </c>
      <c r="G127" s="9">
        <v>0.0</v>
      </c>
      <c r="H127" s="9">
        <v>0.0</v>
      </c>
      <c r="I127" s="9">
        <v>1.0</v>
      </c>
      <c r="J127" s="9">
        <v>0.0</v>
      </c>
      <c r="K127" s="9">
        <v>0.0</v>
      </c>
      <c r="L127" s="9">
        <v>0.0</v>
      </c>
      <c r="M127" s="17">
        <f t="shared" si="1"/>
        <v>1</v>
      </c>
      <c r="N127" s="24" t="str">
        <f t="array" ref="N127">if(isblank(A127),"",index(fish_lab_data!O:O,match(A127,fish_lab_data!C:C,0)))</f>
        <v>EJ</v>
      </c>
      <c r="O127" s="24" t="str">
        <f t="array" ref="O127">index(fish_lab_data!Q:Q,match(A127,fish_lab_data!C:C,0))</f>
        <v>lab_motiles_etoh</v>
      </c>
      <c r="P127" s="24" t="str">
        <f t="array" ref="P127">if(and(iserror(index(sea_lice!G:G,match(A127,sea_lice!A:A,0))),M127=0),"NA",index(sea_lice!G:G,match(A127,sea_lice!A:A,0)))</f>
        <v>BSL6-88</v>
      </c>
      <c r="Q127" s="24">
        <f t="array" ref="Q127">if(isblank(A127),"",index(fish_lab_data!X:X,match(A127,fish_lab_data!C:C,0)))</f>
        <v>819</v>
      </c>
    </row>
    <row r="128">
      <c r="A128" s="25" t="s">
        <v>1007</v>
      </c>
      <c r="B128" s="25">
        <v>0.0</v>
      </c>
      <c r="C128" s="25">
        <v>0.0</v>
      </c>
      <c r="D128" s="25">
        <v>0.0</v>
      </c>
      <c r="E128" s="25">
        <v>0.0</v>
      </c>
      <c r="F128" s="25">
        <v>0.0</v>
      </c>
      <c r="G128" s="25">
        <v>0.0</v>
      </c>
      <c r="H128" s="25">
        <v>0.0</v>
      </c>
      <c r="I128" s="25">
        <v>0.0</v>
      </c>
      <c r="J128" s="25">
        <v>0.0</v>
      </c>
      <c r="K128" s="25">
        <v>0.0</v>
      </c>
      <c r="L128" s="25">
        <v>0.0</v>
      </c>
      <c r="M128" s="17">
        <f t="shared" si="1"/>
        <v>0</v>
      </c>
      <c r="N128" s="24" t="str">
        <f t="array" ref="N128">if(isblank(A128),"",index(fish_lab_data!O:O,match(A128,fish_lab_data!C:C,0)))</f>
        <v>EJ</v>
      </c>
      <c r="O128" s="24" t="str">
        <f t="array" ref="O128">index(fish_lab_data!Q:Q,match(A128,fish_lab_data!C:C,0))</f>
        <v>lab_motiles_etoh</v>
      </c>
      <c r="P128" s="24" t="str">
        <f t="array" ref="P128">if(and(iserror(index(sea_lice!G:G,match(A128,sea_lice!A:A,0))),M128=0),"NA",index(sea_lice!G:G,match(A128,sea_lice!A:A,0)))</f>
        <v>NA</v>
      </c>
      <c r="Q128" s="24">
        <f t="array" ref="Q128">if(isblank(A128),"",index(fish_lab_data!X:X,match(A128,fish_lab_data!C:C,0)))</f>
        <v>820</v>
      </c>
    </row>
    <row r="129">
      <c r="A129" s="25" t="s">
        <v>1014</v>
      </c>
      <c r="B129" s="25">
        <v>0.0</v>
      </c>
      <c r="C129" s="25">
        <v>0.0</v>
      </c>
      <c r="D129" s="25">
        <v>0.0</v>
      </c>
      <c r="E129" s="25">
        <v>0.0</v>
      </c>
      <c r="F129" s="25">
        <v>0.0</v>
      </c>
      <c r="G129" s="25">
        <v>0.0</v>
      </c>
      <c r="H129" s="25">
        <v>0.0</v>
      </c>
      <c r="I129" s="25">
        <v>0.0</v>
      </c>
      <c r="J129" s="25">
        <v>0.0</v>
      </c>
      <c r="K129" s="25">
        <v>0.0</v>
      </c>
      <c r="L129" s="25">
        <v>0.0</v>
      </c>
      <c r="M129" s="17">
        <f t="shared" si="1"/>
        <v>0</v>
      </c>
      <c r="N129" s="24" t="str">
        <f t="array" ref="N129">if(isblank(A129),"",index(fish_lab_data!O:O,match(A129,fish_lab_data!C:C,0)))</f>
        <v>EJ</v>
      </c>
      <c r="O129" s="24" t="str">
        <f t="array" ref="O129">index(fish_lab_data!Q:Q,match(A129,fish_lab_data!C:C,0))</f>
        <v>lab_motiles_etoh</v>
      </c>
      <c r="P129" s="24" t="str">
        <f t="array" ref="P129">if(and(iserror(index(sea_lice!G:G,match(A129,sea_lice!A:A,0))),M129=0),"NA",index(sea_lice!G:G,match(A129,sea_lice!A:A,0)))</f>
        <v>NA</v>
      </c>
      <c r="Q129" s="24">
        <f t="array" ref="Q129">if(isblank(A129),"",index(fish_lab_data!X:X,match(A129,fish_lab_data!C:C,0)))</f>
        <v>821</v>
      </c>
    </row>
    <row r="130">
      <c r="A130" s="25" t="s">
        <v>1022</v>
      </c>
      <c r="B130" s="25">
        <v>0.0</v>
      </c>
      <c r="C130" s="25">
        <v>0.0</v>
      </c>
      <c r="D130" s="25">
        <v>0.0</v>
      </c>
      <c r="E130" s="25">
        <v>0.0</v>
      </c>
      <c r="F130" s="25">
        <v>0.0</v>
      </c>
      <c r="G130" s="25">
        <v>0.0</v>
      </c>
      <c r="H130" s="25">
        <v>0.0</v>
      </c>
      <c r="I130" s="25">
        <v>0.0</v>
      </c>
      <c r="J130" s="25">
        <v>0.0</v>
      </c>
      <c r="K130" s="25">
        <v>0.0</v>
      </c>
      <c r="L130" s="25">
        <v>0.0</v>
      </c>
      <c r="M130" s="17">
        <f t="shared" si="1"/>
        <v>0</v>
      </c>
      <c r="N130" s="24" t="str">
        <f t="array" ref="N130">if(isblank(A130),"",index(fish_lab_data!O:O,match(A130,fish_lab_data!C:C,0)))</f>
        <v>EJ</v>
      </c>
      <c r="O130" s="24" t="str">
        <f t="array" ref="O130">index(fish_lab_data!Q:Q,match(A130,fish_lab_data!C:C,0))</f>
        <v>lab_motiles_etoh</v>
      </c>
      <c r="P130" s="24" t="str">
        <f t="array" ref="P130">if(and(iserror(index(sea_lice!G:G,match(A130,sea_lice!A:A,0))),M130=0),"NA",index(sea_lice!G:G,match(A130,sea_lice!A:A,0)))</f>
        <v>NA</v>
      </c>
      <c r="Q130" s="24">
        <f t="array" ref="Q130">if(isblank(A130),"",index(fish_lab_data!X:X,match(A130,fish_lab_data!C:C,0)))</f>
        <v>822</v>
      </c>
    </row>
    <row r="131">
      <c r="A131" s="25" t="s">
        <v>1027</v>
      </c>
      <c r="B131" s="25">
        <v>0.0</v>
      </c>
      <c r="C131" s="25">
        <v>0.0</v>
      </c>
      <c r="D131" s="25">
        <v>0.0</v>
      </c>
      <c r="E131" s="25">
        <v>0.0</v>
      </c>
      <c r="F131" s="25">
        <v>0.0</v>
      </c>
      <c r="G131" s="25">
        <v>0.0</v>
      </c>
      <c r="H131" s="25">
        <v>0.0</v>
      </c>
      <c r="I131" s="25">
        <v>0.0</v>
      </c>
      <c r="J131" s="25">
        <v>0.0</v>
      </c>
      <c r="K131" s="25">
        <v>0.0</v>
      </c>
      <c r="L131" s="25">
        <v>0.0</v>
      </c>
      <c r="M131" s="17">
        <f t="shared" si="1"/>
        <v>0</v>
      </c>
      <c r="N131" s="24" t="str">
        <f t="array" ref="N131">if(isblank(A131),"",index(fish_lab_data!O:O,match(A131,fish_lab_data!C:C,0)))</f>
        <v>EJ</v>
      </c>
      <c r="O131" s="24" t="str">
        <f t="array" ref="O131">index(fish_lab_data!Q:Q,match(A131,fish_lab_data!C:C,0))</f>
        <v>lab_motiles_etoh</v>
      </c>
      <c r="P131" s="24" t="str">
        <f t="array" ref="P131">if(and(iserror(index(sea_lice!G:G,match(A131,sea_lice!A:A,0))),M131=0),"NA",index(sea_lice!G:G,match(A131,sea_lice!A:A,0)))</f>
        <v>NA</v>
      </c>
      <c r="Q131" s="24">
        <f t="array" ref="Q131">if(isblank(A131),"",index(fish_lab_data!X:X,match(A131,fish_lab_data!C:C,0)))</f>
        <v>823</v>
      </c>
    </row>
    <row r="132">
      <c r="A132" s="25" t="s">
        <v>1034</v>
      </c>
      <c r="B132" s="25">
        <v>0.0</v>
      </c>
      <c r="C132" s="25">
        <v>0.0</v>
      </c>
      <c r="D132" s="25">
        <v>0.0</v>
      </c>
      <c r="E132" s="25">
        <v>0.0</v>
      </c>
      <c r="F132" s="25">
        <v>0.0</v>
      </c>
      <c r="G132" s="25">
        <v>0.0</v>
      </c>
      <c r="H132" s="25">
        <v>0.0</v>
      </c>
      <c r="I132" s="25">
        <v>0.0</v>
      </c>
      <c r="J132" s="25">
        <v>0.0</v>
      </c>
      <c r="K132" s="25">
        <v>0.0</v>
      </c>
      <c r="L132" s="25">
        <v>0.0</v>
      </c>
      <c r="M132" s="17">
        <f t="shared" si="1"/>
        <v>0</v>
      </c>
      <c r="N132" s="24" t="str">
        <f t="array" ref="N132">if(isblank(A132),"",index(fish_lab_data!O:O,match(A132,fish_lab_data!C:C,0)))</f>
        <v>EJ</v>
      </c>
      <c r="O132" s="24" t="str">
        <f t="array" ref="O132">index(fish_lab_data!Q:Q,match(A132,fish_lab_data!C:C,0))</f>
        <v>lab_motiles_etoh</v>
      </c>
      <c r="P132" s="24" t="str">
        <f t="array" ref="P132">if(and(iserror(index(sea_lice!G:G,match(A132,sea_lice!A:A,0))),M132=0),"NA",index(sea_lice!G:G,match(A132,sea_lice!A:A,0)))</f>
        <v>NA</v>
      </c>
      <c r="Q132" s="24">
        <f t="array" ref="Q132">if(isblank(A132),"",index(fish_lab_data!X:X,match(A132,fish_lab_data!C:C,0)))</f>
        <v>824</v>
      </c>
    </row>
    <row r="133">
      <c r="A133" s="25" t="s">
        <v>1043</v>
      </c>
      <c r="B133" s="25">
        <v>0.0</v>
      </c>
      <c r="C133" s="25">
        <v>0.0</v>
      </c>
      <c r="D133" s="25">
        <v>0.0</v>
      </c>
      <c r="E133" s="25">
        <v>0.0</v>
      </c>
      <c r="F133" s="25">
        <v>0.0</v>
      </c>
      <c r="G133" s="25">
        <v>0.0</v>
      </c>
      <c r="H133" s="25">
        <v>0.0</v>
      </c>
      <c r="I133" s="25">
        <v>0.0</v>
      </c>
      <c r="J133" s="25">
        <v>0.0</v>
      </c>
      <c r="K133" s="25">
        <v>0.0</v>
      </c>
      <c r="L133" s="25">
        <v>0.0</v>
      </c>
      <c r="M133" s="17">
        <f t="shared" si="1"/>
        <v>0</v>
      </c>
      <c r="N133" s="24" t="str">
        <f t="array" ref="N133">if(isblank(A133),"",index(fish_lab_data!O:O,match(A133,fish_lab_data!C:C,0)))</f>
        <v>EJ</v>
      </c>
      <c r="O133" s="24" t="str">
        <f t="array" ref="O133">index(fish_lab_data!Q:Q,match(A133,fish_lab_data!C:C,0))</f>
        <v>lab_motiles_etoh</v>
      </c>
      <c r="P133" s="24" t="str">
        <f t="array" ref="P133">if(and(iserror(index(sea_lice!G:G,match(A133,sea_lice!A:A,0))),M133=0),"NA",index(sea_lice!G:G,match(A133,sea_lice!A:A,0)))</f>
        <v>NA</v>
      </c>
      <c r="Q133" s="24">
        <f t="array" ref="Q133">if(isblank(A133),"",index(fish_lab_data!X:X,match(A133,fish_lab_data!C:C,0)))</f>
        <v>825</v>
      </c>
    </row>
    <row r="134">
      <c r="A134" s="25" t="s">
        <v>1054</v>
      </c>
      <c r="B134" s="25">
        <v>0.0</v>
      </c>
      <c r="C134" s="25">
        <v>0.0</v>
      </c>
      <c r="D134" s="25">
        <v>0.0</v>
      </c>
      <c r="E134" s="25">
        <v>0.0</v>
      </c>
      <c r="F134" s="25">
        <v>0.0</v>
      </c>
      <c r="G134" s="25">
        <v>0.0</v>
      </c>
      <c r="H134" s="25">
        <v>0.0</v>
      </c>
      <c r="I134" s="25">
        <v>0.0</v>
      </c>
      <c r="J134" s="25">
        <v>0.0</v>
      </c>
      <c r="K134" s="25">
        <v>0.0</v>
      </c>
      <c r="L134" s="25">
        <v>0.0</v>
      </c>
      <c r="M134" s="17">
        <f t="shared" si="1"/>
        <v>0</v>
      </c>
      <c r="N134" s="24" t="str">
        <f t="array" ref="N134">if(isblank(A134),"",index(fish_lab_data!O:O,match(A134,fish_lab_data!C:C,0)))</f>
        <v>EJ</v>
      </c>
      <c r="O134" s="24" t="str">
        <f t="array" ref="O134">index(fish_lab_data!Q:Q,match(A134,fish_lab_data!C:C,0))</f>
        <v>lab_motiles_etoh</v>
      </c>
      <c r="P134" s="24" t="str">
        <f t="array" ref="P134">if(and(iserror(index(sea_lice!G:G,match(A134,sea_lice!A:A,0))),M134=0),"NA",index(sea_lice!G:G,match(A134,sea_lice!A:A,0)))</f>
        <v>NA</v>
      </c>
      <c r="Q134" s="24">
        <f t="array" ref="Q134">if(isblank(A134),"",index(fish_lab_data!X:X,match(A134,fish_lab_data!C:C,0)))</f>
        <v>826</v>
      </c>
    </row>
    <row r="135">
      <c r="A135" s="6" t="s">
        <v>1063</v>
      </c>
      <c r="B135" s="9">
        <v>0.0</v>
      </c>
      <c r="C135" s="9">
        <v>0.0</v>
      </c>
      <c r="D135" s="9">
        <v>0.0</v>
      </c>
      <c r="E135" s="9">
        <v>1.0</v>
      </c>
      <c r="F135" s="9">
        <v>0.0</v>
      </c>
      <c r="G135" s="9">
        <v>0.0</v>
      </c>
      <c r="H135" s="9">
        <v>0.0</v>
      </c>
      <c r="I135" s="9">
        <v>0.0</v>
      </c>
      <c r="J135" s="9">
        <v>0.0</v>
      </c>
      <c r="K135" s="9">
        <v>0.0</v>
      </c>
      <c r="L135" s="9">
        <v>0.0</v>
      </c>
      <c r="M135" s="17">
        <f t="shared" si="1"/>
        <v>1</v>
      </c>
      <c r="N135" s="24" t="str">
        <f t="array" ref="N135">if(isblank(A135),"",index(fish_lab_data!O:O,match(A135,fish_lab_data!C:C,0)))</f>
        <v>EJ</v>
      </c>
      <c r="O135" s="24" t="str">
        <f t="array" ref="O135">index(fish_lab_data!Q:Q,match(A135,fish_lab_data!C:C,0))</f>
        <v>lab_motiles_etoh</v>
      </c>
      <c r="P135" s="24" t="str">
        <f t="array" ref="P135">if(and(iserror(index(sea_lice!G:G,match(A135,sea_lice!A:A,0))),M135=0),"NA",index(sea_lice!G:G,match(A135,sea_lice!A:A,0)))</f>
        <v>BSL6-89</v>
      </c>
      <c r="Q135" s="24">
        <f t="array" ref="Q135">if(isblank(A135),"",index(fish_lab_data!X:X,match(A135,fish_lab_data!C:C,0)))</f>
        <v>827</v>
      </c>
    </row>
    <row r="136">
      <c r="A136" s="25" t="s">
        <v>1073</v>
      </c>
      <c r="B136" s="25">
        <v>0.0</v>
      </c>
      <c r="C136" s="25">
        <v>0.0</v>
      </c>
      <c r="D136" s="25">
        <v>0.0</v>
      </c>
      <c r="E136" s="25">
        <v>0.0</v>
      </c>
      <c r="F136" s="25">
        <v>0.0</v>
      </c>
      <c r="G136" s="25">
        <v>0.0</v>
      </c>
      <c r="H136" s="25">
        <v>0.0</v>
      </c>
      <c r="I136" s="25">
        <v>0.0</v>
      </c>
      <c r="J136" s="25">
        <v>0.0</v>
      </c>
      <c r="K136" s="25">
        <v>0.0</v>
      </c>
      <c r="L136" s="25">
        <v>0.0</v>
      </c>
      <c r="M136" s="17">
        <f t="shared" si="1"/>
        <v>0</v>
      </c>
      <c r="N136" s="24" t="str">
        <f t="array" ref="N136">if(isblank(A136),"",index(fish_lab_data!O:O,match(A136,fish_lab_data!C:C,0)))</f>
        <v>EJ</v>
      </c>
      <c r="O136" s="24" t="str">
        <f t="array" ref="O136">index(fish_lab_data!Q:Q,match(A136,fish_lab_data!C:C,0))</f>
        <v>lab_motiles_etoh</v>
      </c>
      <c r="P136" s="24" t="str">
        <f t="array" ref="P136">if(and(iserror(index(sea_lice!G:G,match(A136,sea_lice!A:A,0))),M136=0),"NA",index(sea_lice!G:G,match(A136,sea_lice!A:A,0)))</f>
        <v>NA</v>
      </c>
      <c r="Q136" s="24">
        <f t="array" ref="Q136">if(isblank(A136),"",index(fish_lab_data!X:X,match(A136,fish_lab_data!C:C,0)))</f>
        <v>828</v>
      </c>
    </row>
    <row r="137">
      <c r="A137" s="25" t="s">
        <v>1083</v>
      </c>
      <c r="B137" s="25">
        <v>0.0</v>
      </c>
      <c r="C137" s="25">
        <v>0.0</v>
      </c>
      <c r="D137" s="25">
        <v>0.0</v>
      </c>
      <c r="E137" s="25">
        <v>0.0</v>
      </c>
      <c r="F137" s="25">
        <v>0.0</v>
      </c>
      <c r="G137" s="25">
        <v>0.0</v>
      </c>
      <c r="H137" s="25">
        <v>0.0</v>
      </c>
      <c r="I137" s="25">
        <v>0.0</v>
      </c>
      <c r="J137" s="25">
        <v>0.0</v>
      </c>
      <c r="K137" s="25">
        <v>0.0</v>
      </c>
      <c r="L137" s="25">
        <v>0.0</v>
      </c>
      <c r="M137" s="17">
        <f t="shared" si="1"/>
        <v>0</v>
      </c>
      <c r="N137" s="24" t="str">
        <f t="array" ref="N137">if(isblank(A137),"",index(fish_lab_data!O:O,match(A137,fish_lab_data!C:C,0)))</f>
        <v>EJ</v>
      </c>
      <c r="O137" s="24" t="str">
        <f t="array" ref="O137">index(fish_lab_data!Q:Q,match(A137,fish_lab_data!C:C,0))</f>
        <v>lab_motiles_etoh</v>
      </c>
      <c r="P137" s="24" t="str">
        <f t="array" ref="P137">if(and(iserror(index(sea_lice!G:G,match(A137,sea_lice!A:A,0))),M137=0),"NA",index(sea_lice!G:G,match(A137,sea_lice!A:A,0)))</f>
        <v>NA</v>
      </c>
      <c r="Q137" s="24">
        <f t="array" ref="Q137">if(isblank(A137),"",index(fish_lab_data!X:X,match(A137,fish_lab_data!C:C,0)))</f>
        <v>829</v>
      </c>
    </row>
    <row r="138">
      <c r="A138" s="25" t="s">
        <v>1095</v>
      </c>
      <c r="B138" s="25">
        <v>0.0</v>
      </c>
      <c r="C138" s="25">
        <v>0.0</v>
      </c>
      <c r="D138" s="25">
        <v>0.0</v>
      </c>
      <c r="E138" s="25">
        <v>0.0</v>
      </c>
      <c r="F138" s="25">
        <v>0.0</v>
      </c>
      <c r="G138" s="25">
        <v>0.0</v>
      </c>
      <c r="H138" s="25">
        <v>0.0</v>
      </c>
      <c r="I138" s="25">
        <v>0.0</v>
      </c>
      <c r="J138" s="25">
        <v>0.0</v>
      </c>
      <c r="K138" s="25">
        <v>0.0</v>
      </c>
      <c r="L138" s="25">
        <v>0.0</v>
      </c>
      <c r="M138" s="17">
        <f t="shared" si="1"/>
        <v>0</v>
      </c>
      <c r="N138" s="24" t="str">
        <f t="array" ref="N138">if(isblank(A138),"",index(fish_lab_data!O:O,match(A138,fish_lab_data!C:C,0)))</f>
        <v>EJ</v>
      </c>
      <c r="O138" s="24" t="str">
        <f t="array" ref="O138">index(fish_lab_data!Q:Q,match(A138,fish_lab_data!C:C,0))</f>
        <v>lab_motiles_etoh</v>
      </c>
      <c r="P138" s="24" t="str">
        <f t="array" ref="P138">if(and(iserror(index(sea_lice!G:G,match(A138,sea_lice!A:A,0))),M138=0),"NA",index(sea_lice!G:G,match(A138,sea_lice!A:A,0)))</f>
        <v>NA</v>
      </c>
      <c r="Q138" s="24">
        <f t="array" ref="Q138">if(isblank(A138),"",index(fish_lab_data!X:X,match(A138,fish_lab_data!C:C,0)))</f>
        <v>830</v>
      </c>
    </row>
    <row r="139">
      <c r="A139" s="25" t="s">
        <v>1106</v>
      </c>
      <c r="B139" s="25">
        <v>0.0</v>
      </c>
      <c r="C139" s="25">
        <v>0.0</v>
      </c>
      <c r="D139" s="25">
        <v>0.0</v>
      </c>
      <c r="E139" s="25">
        <v>0.0</v>
      </c>
      <c r="F139" s="25">
        <v>0.0</v>
      </c>
      <c r="G139" s="25">
        <v>0.0</v>
      </c>
      <c r="H139" s="25">
        <v>0.0</v>
      </c>
      <c r="I139" s="25">
        <v>0.0</v>
      </c>
      <c r="J139" s="25">
        <v>0.0</v>
      </c>
      <c r="K139" s="25">
        <v>0.0</v>
      </c>
      <c r="L139" s="25">
        <v>0.0</v>
      </c>
      <c r="M139" s="17">
        <f t="shared" si="1"/>
        <v>0</v>
      </c>
      <c r="N139" s="24" t="str">
        <f t="array" ref="N139">if(isblank(A139),"",index(fish_lab_data!O:O,match(A139,fish_lab_data!C:C,0)))</f>
        <v>EJ</v>
      </c>
      <c r="O139" s="24" t="str">
        <f t="array" ref="O139">index(fish_lab_data!Q:Q,match(A139,fish_lab_data!C:C,0))</f>
        <v>lab_motiles_etoh</v>
      </c>
      <c r="P139" s="24" t="str">
        <f t="array" ref="P139">if(and(iserror(index(sea_lice!G:G,match(A139,sea_lice!A:A,0))),M139=0),"NA",index(sea_lice!G:G,match(A139,sea_lice!A:A,0)))</f>
        <v>NA</v>
      </c>
      <c r="Q139" s="24">
        <f t="array" ref="Q139">if(isblank(A139),"",index(fish_lab_data!X:X,match(A139,fish_lab_data!C:C,0)))</f>
        <v>831</v>
      </c>
    </row>
    <row r="140">
      <c r="A140" s="25" t="s">
        <v>1116</v>
      </c>
      <c r="B140" s="25">
        <v>0.0</v>
      </c>
      <c r="C140" s="25">
        <v>0.0</v>
      </c>
      <c r="D140" s="25">
        <v>0.0</v>
      </c>
      <c r="E140" s="25">
        <v>0.0</v>
      </c>
      <c r="F140" s="25">
        <v>0.0</v>
      </c>
      <c r="G140" s="25">
        <v>0.0</v>
      </c>
      <c r="H140" s="25">
        <v>0.0</v>
      </c>
      <c r="I140" s="25">
        <v>0.0</v>
      </c>
      <c r="J140" s="25">
        <v>0.0</v>
      </c>
      <c r="K140" s="25">
        <v>0.0</v>
      </c>
      <c r="L140" s="25">
        <v>0.0</v>
      </c>
      <c r="M140" s="17">
        <f t="shared" si="1"/>
        <v>0</v>
      </c>
      <c r="N140" s="24" t="str">
        <f t="array" ref="N140">if(isblank(A140),"",index(fish_lab_data!O:O,match(A140,fish_lab_data!C:C,0)))</f>
        <v>EJ</v>
      </c>
      <c r="O140" s="24" t="str">
        <f t="array" ref="O140">index(fish_lab_data!Q:Q,match(A140,fish_lab_data!C:C,0))</f>
        <v>lab_motiles_etoh</v>
      </c>
      <c r="P140" s="24" t="str">
        <f t="array" ref="P140">if(and(iserror(index(sea_lice!G:G,match(A140,sea_lice!A:A,0))),M140=0),"NA",index(sea_lice!G:G,match(A140,sea_lice!A:A,0)))</f>
        <v>NA</v>
      </c>
      <c r="Q140" s="24">
        <f t="array" ref="Q140">if(isblank(A140),"",index(fish_lab_data!X:X,match(A140,fish_lab_data!C:C,0)))</f>
        <v>832</v>
      </c>
    </row>
    <row r="141">
      <c r="A141" s="25" t="s">
        <v>1126</v>
      </c>
      <c r="B141" s="25">
        <v>0.0</v>
      </c>
      <c r="C141" s="25">
        <v>0.0</v>
      </c>
      <c r="D141" s="25">
        <v>0.0</v>
      </c>
      <c r="E141" s="25">
        <v>0.0</v>
      </c>
      <c r="F141" s="25">
        <v>0.0</v>
      </c>
      <c r="G141" s="25">
        <v>0.0</v>
      </c>
      <c r="H141" s="25">
        <v>0.0</v>
      </c>
      <c r="I141" s="25">
        <v>0.0</v>
      </c>
      <c r="J141" s="25">
        <v>0.0</v>
      </c>
      <c r="K141" s="25">
        <v>0.0</v>
      </c>
      <c r="L141" s="25">
        <v>0.0</v>
      </c>
      <c r="M141" s="17">
        <f t="shared" si="1"/>
        <v>0</v>
      </c>
      <c r="N141" s="24" t="str">
        <f t="array" ref="N141">if(isblank(A141),"",index(fish_lab_data!O:O,match(A141,fish_lab_data!C:C,0)))</f>
        <v>EJ</v>
      </c>
      <c r="O141" s="24" t="str">
        <f t="array" ref="O141">index(fish_lab_data!Q:Q,match(A141,fish_lab_data!C:C,0))</f>
        <v>lab_motiles_etoh</v>
      </c>
      <c r="P141" s="24" t="str">
        <f t="array" ref="P141">if(and(iserror(index(sea_lice!G:G,match(A141,sea_lice!A:A,0))),M141=0),"NA",index(sea_lice!G:G,match(A141,sea_lice!A:A,0)))</f>
        <v>NA</v>
      </c>
      <c r="Q141" s="24">
        <f t="array" ref="Q141">if(isblank(A141),"",index(fish_lab_data!X:X,match(A141,fish_lab_data!C:C,0)))</f>
        <v>833</v>
      </c>
    </row>
    <row r="142">
      <c r="A142" s="25" t="s">
        <v>1138</v>
      </c>
      <c r="B142" s="25">
        <v>0.0</v>
      </c>
      <c r="C142" s="25">
        <v>0.0</v>
      </c>
      <c r="D142" s="25">
        <v>0.0</v>
      </c>
      <c r="E142" s="25">
        <v>0.0</v>
      </c>
      <c r="F142" s="25">
        <v>0.0</v>
      </c>
      <c r="G142" s="25">
        <v>0.0</v>
      </c>
      <c r="H142" s="25">
        <v>0.0</v>
      </c>
      <c r="I142" s="25">
        <v>0.0</v>
      </c>
      <c r="J142" s="25">
        <v>0.0</v>
      </c>
      <c r="K142" s="25">
        <v>0.0</v>
      </c>
      <c r="L142" s="25">
        <v>0.0</v>
      </c>
      <c r="M142" s="17">
        <f t="shared" si="1"/>
        <v>0</v>
      </c>
      <c r="N142" s="24" t="str">
        <f t="array" ref="N142">if(isblank(A142),"",index(fish_lab_data!O:O,match(A142,fish_lab_data!C:C,0)))</f>
        <v>EJ</v>
      </c>
      <c r="O142" s="24" t="str">
        <f t="array" ref="O142">index(fish_lab_data!Q:Q,match(A142,fish_lab_data!C:C,0))</f>
        <v>lab_motiles_cryo</v>
      </c>
      <c r="P142" s="24" t="str">
        <f t="array" ref="P142">if(and(iserror(index(sea_lice!G:G,match(A142,sea_lice!A:A,0))),M142=0),"NA",index(sea_lice!G:G,match(A142,sea_lice!A:A,0)))</f>
        <v>NA</v>
      </c>
      <c r="Q142" s="24">
        <f t="array" ref="Q142">if(isblank(A142),"",index(fish_lab_data!X:X,match(A142,fish_lab_data!C:C,0)))</f>
        <v>834</v>
      </c>
    </row>
    <row r="143">
      <c r="A143" s="25" t="s">
        <v>1150</v>
      </c>
      <c r="B143" s="25">
        <v>0.0</v>
      </c>
      <c r="C143" s="25">
        <v>0.0</v>
      </c>
      <c r="D143" s="25">
        <v>0.0</v>
      </c>
      <c r="E143" s="25">
        <v>0.0</v>
      </c>
      <c r="F143" s="25">
        <v>0.0</v>
      </c>
      <c r="G143" s="25">
        <v>0.0</v>
      </c>
      <c r="H143" s="25">
        <v>0.0</v>
      </c>
      <c r="I143" s="25">
        <v>0.0</v>
      </c>
      <c r="J143" s="25">
        <v>0.0</v>
      </c>
      <c r="K143" s="25">
        <v>0.0</v>
      </c>
      <c r="L143" s="25">
        <v>0.0</v>
      </c>
      <c r="M143" s="17">
        <f t="shared" si="1"/>
        <v>0</v>
      </c>
      <c r="N143" s="24" t="str">
        <f t="array" ref="N143">if(isblank(A143),"",index(fish_lab_data!O:O,match(A143,fish_lab_data!C:C,0)))</f>
        <v>EJ</v>
      </c>
      <c r="O143" s="24" t="str">
        <f t="array" ref="O143">index(fish_lab_data!Q:Q,match(A143,fish_lab_data!C:C,0))</f>
        <v>lab_motiles_cryo</v>
      </c>
      <c r="P143" s="24" t="str">
        <f t="array" ref="P143">if(and(iserror(index(sea_lice!G:G,match(A143,sea_lice!A:A,0))),M143=0),"NA",index(sea_lice!G:G,match(A143,sea_lice!A:A,0)))</f>
        <v>NA</v>
      </c>
      <c r="Q143" s="24">
        <f t="array" ref="Q143">if(isblank(A143),"",index(fish_lab_data!X:X,match(A143,fish_lab_data!C:C,0)))</f>
        <v>835</v>
      </c>
    </row>
    <row r="144">
      <c r="A144" s="25" t="s">
        <v>1160</v>
      </c>
      <c r="B144" s="25">
        <v>0.0</v>
      </c>
      <c r="C144" s="25">
        <v>0.0</v>
      </c>
      <c r="D144" s="25">
        <v>0.0</v>
      </c>
      <c r="E144" s="25">
        <v>0.0</v>
      </c>
      <c r="F144" s="25">
        <v>0.0</v>
      </c>
      <c r="G144" s="25">
        <v>0.0</v>
      </c>
      <c r="H144" s="25">
        <v>0.0</v>
      </c>
      <c r="I144" s="25">
        <v>0.0</v>
      </c>
      <c r="J144" s="25">
        <v>0.0</v>
      </c>
      <c r="K144" s="25">
        <v>0.0</v>
      </c>
      <c r="L144" s="25">
        <v>0.0</v>
      </c>
      <c r="M144" s="17">
        <f t="shared" si="1"/>
        <v>0</v>
      </c>
      <c r="N144" s="24" t="str">
        <f t="array" ref="N144">if(isblank(A144),"",index(fish_lab_data!O:O,match(A144,fish_lab_data!C:C,0)))</f>
        <v>EJ</v>
      </c>
      <c r="O144" s="24" t="str">
        <f t="array" ref="O144">index(fish_lab_data!Q:Q,match(A144,fish_lab_data!C:C,0))</f>
        <v>lab_motiles_cryo</v>
      </c>
      <c r="P144" s="24" t="str">
        <f t="array" ref="P144">if(and(iserror(index(sea_lice!G:G,match(A144,sea_lice!A:A,0))),M144=0),"NA",index(sea_lice!G:G,match(A144,sea_lice!A:A,0)))</f>
        <v>NA</v>
      </c>
      <c r="Q144" s="24">
        <f t="array" ref="Q144">if(isblank(A144),"",index(fish_lab_data!X:X,match(A144,fish_lab_data!C:C,0)))</f>
        <v>836</v>
      </c>
    </row>
    <row r="145">
      <c r="A145" s="25" t="s">
        <v>1169</v>
      </c>
      <c r="B145" s="25">
        <v>0.0</v>
      </c>
      <c r="C145" s="25">
        <v>0.0</v>
      </c>
      <c r="D145" s="25">
        <v>0.0</v>
      </c>
      <c r="E145" s="25">
        <v>0.0</v>
      </c>
      <c r="F145" s="25">
        <v>0.0</v>
      </c>
      <c r="G145" s="25">
        <v>0.0</v>
      </c>
      <c r="H145" s="25">
        <v>0.0</v>
      </c>
      <c r="I145" s="25">
        <v>0.0</v>
      </c>
      <c r="J145" s="25">
        <v>0.0</v>
      </c>
      <c r="K145" s="25">
        <v>0.0</v>
      </c>
      <c r="L145" s="25">
        <v>0.0</v>
      </c>
      <c r="M145" s="17">
        <f t="shared" si="1"/>
        <v>0</v>
      </c>
      <c r="N145" s="24" t="str">
        <f t="array" ref="N145">if(isblank(A145),"",index(fish_lab_data!O:O,match(A145,fish_lab_data!C:C,0)))</f>
        <v>EJ</v>
      </c>
      <c r="O145" s="24" t="str">
        <f t="array" ref="O145">index(fish_lab_data!Q:Q,match(A145,fish_lab_data!C:C,0))</f>
        <v>lab_motiles_cryo</v>
      </c>
      <c r="P145" s="24" t="str">
        <f t="array" ref="P145">if(and(iserror(index(sea_lice!G:G,match(A145,sea_lice!A:A,0))),M145=0),"NA",index(sea_lice!G:G,match(A145,sea_lice!A:A,0)))</f>
        <v>NA</v>
      </c>
      <c r="Q145" s="24">
        <f t="array" ref="Q145">if(isblank(A145),"",index(fish_lab_data!X:X,match(A145,fish_lab_data!C:C,0)))</f>
        <v>837</v>
      </c>
    </row>
    <row r="146">
      <c r="A146" s="25" t="s">
        <v>1178</v>
      </c>
      <c r="B146" s="25">
        <v>0.0</v>
      </c>
      <c r="C146" s="25">
        <v>0.0</v>
      </c>
      <c r="D146" s="25">
        <v>0.0</v>
      </c>
      <c r="E146" s="25">
        <v>0.0</v>
      </c>
      <c r="F146" s="25">
        <v>0.0</v>
      </c>
      <c r="G146" s="25">
        <v>0.0</v>
      </c>
      <c r="H146" s="25">
        <v>0.0</v>
      </c>
      <c r="I146" s="25">
        <v>0.0</v>
      </c>
      <c r="J146" s="25">
        <v>0.0</v>
      </c>
      <c r="K146" s="25">
        <v>0.0</v>
      </c>
      <c r="L146" s="25">
        <v>0.0</v>
      </c>
      <c r="M146" s="17">
        <f t="shared" si="1"/>
        <v>0</v>
      </c>
      <c r="N146" s="24" t="str">
        <f t="array" ref="N146">if(isblank(A146),"",index(fish_lab_data!O:O,match(A146,fish_lab_data!C:C,0)))</f>
        <v>EJ</v>
      </c>
      <c r="O146" s="24" t="str">
        <f t="array" ref="O146">index(fish_lab_data!Q:Q,match(A146,fish_lab_data!C:C,0))</f>
        <v>lab_motiles_cryo</v>
      </c>
      <c r="P146" s="24" t="str">
        <f t="array" ref="P146">if(and(iserror(index(sea_lice!G:G,match(A146,sea_lice!A:A,0))),M146=0),"NA",index(sea_lice!G:G,match(A146,sea_lice!A:A,0)))</f>
        <v>NA</v>
      </c>
      <c r="Q146" s="24">
        <f t="array" ref="Q146">if(isblank(A146),"",index(fish_lab_data!X:X,match(A146,fish_lab_data!C:C,0)))</f>
        <v>838</v>
      </c>
    </row>
    <row r="147">
      <c r="A147" s="25" t="s">
        <v>1180</v>
      </c>
      <c r="B147" s="25">
        <v>0.0</v>
      </c>
      <c r="C147" s="25">
        <v>0.0</v>
      </c>
      <c r="D147" s="25">
        <v>0.0</v>
      </c>
      <c r="E147" s="25">
        <v>0.0</v>
      </c>
      <c r="F147" s="25">
        <v>0.0</v>
      </c>
      <c r="G147" s="25">
        <v>0.0</v>
      </c>
      <c r="H147" s="25">
        <v>0.0</v>
      </c>
      <c r="I147" s="25">
        <v>0.0</v>
      </c>
      <c r="J147" s="25">
        <v>0.0</v>
      </c>
      <c r="K147" s="25">
        <v>0.0</v>
      </c>
      <c r="L147" s="25">
        <v>0.0</v>
      </c>
      <c r="M147" s="17">
        <f t="shared" si="1"/>
        <v>0</v>
      </c>
      <c r="N147" s="24" t="str">
        <f t="array" ref="N147">if(isblank(A147),"",index(fish_lab_data!O:O,match(A147,fish_lab_data!C:C,0)))</f>
        <v>KB</v>
      </c>
      <c r="O147" s="24" t="str">
        <f t="array" ref="O147">index(fish_lab_data!Q:Q,match(A147,fish_lab_data!C:C,0))</f>
        <v>lab_motiles_etoh</v>
      </c>
      <c r="P147" s="24" t="str">
        <f t="array" ref="P147">if(and(iserror(index(sea_lice!G:G,match(A147,sea_lice!A:A,0))),M147=0),"NA",index(sea_lice!G:G,match(A147,sea_lice!A:A,0)))</f>
        <v>NA</v>
      </c>
      <c r="Q147" s="24">
        <f t="array" ref="Q147">if(isblank(A147),"",index(fish_lab_data!X:X,match(A147,fish_lab_data!C:C,0)))</f>
        <v>839</v>
      </c>
    </row>
    <row r="148">
      <c r="A148" s="25" t="s">
        <v>1182</v>
      </c>
      <c r="B148" s="25">
        <v>0.0</v>
      </c>
      <c r="C148" s="25">
        <v>0.0</v>
      </c>
      <c r="D148" s="25">
        <v>0.0</v>
      </c>
      <c r="E148" s="25">
        <v>0.0</v>
      </c>
      <c r="F148" s="25">
        <v>0.0</v>
      </c>
      <c r="G148" s="25">
        <v>0.0</v>
      </c>
      <c r="H148" s="25">
        <v>0.0</v>
      </c>
      <c r="I148" s="25">
        <v>0.0</v>
      </c>
      <c r="J148" s="25">
        <v>0.0</v>
      </c>
      <c r="K148" s="25">
        <v>0.0</v>
      </c>
      <c r="L148" s="25">
        <v>0.0</v>
      </c>
      <c r="M148" s="17">
        <f t="shared" si="1"/>
        <v>0</v>
      </c>
      <c r="N148" s="24" t="str">
        <f t="array" ref="N148">if(isblank(A148),"",index(fish_lab_data!O:O,match(A148,fish_lab_data!C:C,0)))</f>
        <v>KB</v>
      </c>
      <c r="O148" s="24" t="str">
        <f t="array" ref="O148">index(fish_lab_data!Q:Q,match(A148,fish_lab_data!C:C,0))</f>
        <v>lab_motiles_etoh</v>
      </c>
      <c r="P148" s="24" t="str">
        <f t="array" ref="P148">if(and(iserror(index(sea_lice!G:G,match(A148,sea_lice!A:A,0))),M148=0),"NA",index(sea_lice!G:G,match(A148,sea_lice!A:A,0)))</f>
        <v>NA</v>
      </c>
      <c r="Q148" s="24">
        <f t="array" ref="Q148">if(isblank(A148),"",index(fish_lab_data!X:X,match(A148,fish_lab_data!C:C,0)))</f>
        <v>840</v>
      </c>
    </row>
    <row r="149">
      <c r="A149" s="25" t="s">
        <v>1186</v>
      </c>
      <c r="B149" s="25">
        <v>0.0</v>
      </c>
      <c r="C149" s="25">
        <v>0.0</v>
      </c>
      <c r="D149" s="25">
        <v>0.0</v>
      </c>
      <c r="E149" s="25">
        <v>0.0</v>
      </c>
      <c r="F149" s="25">
        <v>0.0</v>
      </c>
      <c r="G149" s="25">
        <v>0.0</v>
      </c>
      <c r="H149" s="25">
        <v>0.0</v>
      </c>
      <c r="I149" s="25">
        <v>0.0</v>
      </c>
      <c r="J149" s="25">
        <v>0.0</v>
      </c>
      <c r="K149" s="25">
        <v>0.0</v>
      </c>
      <c r="L149" s="25">
        <v>0.0</v>
      </c>
      <c r="M149" s="17">
        <f t="shared" si="1"/>
        <v>0</v>
      </c>
      <c r="N149" s="24" t="str">
        <f t="array" ref="N149">if(isblank(A149),"",index(fish_lab_data!O:O,match(A149,fish_lab_data!C:C,0)))</f>
        <v>KB</v>
      </c>
      <c r="O149" s="24" t="str">
        <f t="array" ref="O149">index(fish_lab_data!Q:Q,match(A149,fish_lab_data!C:C,0))</f>
        <v>lab_motiles_etoh</v>
      </c>
      <c r="P149" s="24" t="str">
        <f t="array" ref="P149">if(and(iserror(index(sea_lice!G:G,match(A149,sea_lice!A:A,0))),M149=0),"NA",index(sea_lice!G:G,match(A149,sea_lice!A:A,0)))</f>
        <v>NA</v>
      </c>
      <c r="Q149" s="24">
        <f t="array" ref="Q149">if(isblank(A149),"",index(fish_lab_data!X:X,match(A149,fish_lab_data!C:C,0)))</f>
        <v>841</v>
      </c>
    </row>
    <row r="150">
      <c r="A150" s="9" t="s">
        <v>1190</v>
      </c>
      <c r="B150" s="9">
        <v>0.0</v>
      </c>
      <c r="C150" s="9">
        <v>1.0</v>
      </c>
      <c r="D150" s="9">
        <v>0.0</v>
      </c>
      <c r="E150" s="9">
        <v>0.0</v>
      </c>
      <c r="F150" s="9">
        <v>0.0</v>
      </c>
      <c r="G150" s="9">
        <v>0.0</v>
      </c>
      <c r="H150" s="9">
        <v>0.0</v>
      </c>
      <c r="I150" s="9">
        <v>0.0</v>
      </c>
      <c r="J150" s="9">
        <v>0.0</v>
      </c>
      <c r="K150" s="9">
        <v>0.0</v>
      </c>
      <c r="L150" s="9">
        <v>0.0</v>
      </c>
      <c r="M150" s="17">
        <f t="shared" si="1"/>
        <v>1</v>
      </c>
      <c r="N150" s="24" t="str">
        <f t="array" ref="N150">if(isblank(A150),"",index(fish_lab_data!O:O,match(A150,fish_lab_data!C:C,0)))</f>
        <v>KB</v>
      </c>
      <c r="O150" s="24" t="str">
        <f t="array" ref="O150">index(fish_lab_data!Q:Q,match(A150,fish_lab_data!C:C,0))</f>
        <v>lab_motiles_etoh</v>
      </c>
      <c r="P150" s="24" t="str">
        <f t="array" ref="P150">if(and(iserror(index(sea_lice!G:G,match(A150,sea_lice!A:A,0))),M150=0),"NA",index(sea_lice!G:G,match(A150,sea_lice!A:A,0)))</f>
        <v>BSL6-90</v>
      </c>
      <c r="Q150" s="24">
        <f t="array" ref="Q150">if(isblank(A150),"",index(fish_lab_data!X:X,match(A150,fish_lab_data!C:C,0)))</f>
        <v>842</v>
      </c>
    </row>
    <row r="151">
      <c r="A151" s="25" t="s">
        <v>1192</v>
      </c>
      <c r="B151" s="25">
        <v>0.0</v>
      </c>
      <c r="C151" s="25">
        <v>0.0</v>
      </c>
      <c r="D151" s="25">
        <v>0.0</v>
      </c>
      <c r="E151" s="25">
        <v>0.0</v>
      </c>
      <c r="F151" s="25">
        <v>0.0</v>
      </c>
      <c r="G151" s="25">
        <v>0.0</v>
      </c>
      <c r="H151" s="25">
        <v>0.0</v>
      </c>
      <c r="I151" s="25">
        <v>0.0</v>
      </c>
      <c r="J151" s="25">
        <v>0.0</v>
      </c>
      <c r="K151" s="25">
        <v>0.0</v>
      </c>
      <c r="L151" s="25">
        <v>0.0</v>
      </c>
      <c r="M151" s="17">
        <f t="shared" si="1"/>
        <v>0</v>
      </c>
      <c r="N151" s="24" t="str">
        <f t="array" ref="N151">if(isblank(A151),"",index(fish_lab_data!O:O,match(A151,fish_lab_data!C:C,0)))</f>
        <v>KB</v>
      </c>
      <c r="O151" s="24" t="str">
        <f t="array" ref="O151">index(fish_lab_data!Q:Q,match(A151,fish_lab_data!C:C,0))</f>
        <v>lab_motiles_etoh</v>
      </c>
      <c r="P151" s="24" t="str">
        <f t="array" ref="P151">if(and(iserror(index(sea_lice!G:G,match(A151,sea_lice!A:A,0))),M151=0),"NA",index(sea_lice!G:G,match(A151,sea_lice!A:A,0)))</f>
        <v>NA</v>
      </c>
      <c r="Q151" s="24">
        <f t="array" ref="Q151">if(isblank(A151),"",index(fish_lab_data!X:X,match(A151,fish_lab_data!C:C,0)))</f>
        <v>843</v>
      </c>
    </row>
    <row r="152">
      <c r="A152" s="25" t="s">
        <v>1195</v>
      </c>
      <c r="B152" s="25">
        <v>0.0</v>
      </c>
      <c r="C152" s="25">
        <v>0.0</v>
      </c>
      <c r="D152" s="25">
        <v>0.0</v>
      </c>
      <c r="E152" s="25">
        <v>0.0</v>
      </c>
      <c r="F152" s="25">
        <v>0.0</v>
      </c>
      <c r="G152" s="25">
        <v>0.0</v>
      </c>
      <c r="H152" s="25">
        <v>0.0</v>
      </c>
      <c r="I152" s="25">
        <v>0.0</v>
      </c>
      <c r="J152" s="25">
        <v>0.0</v>
      </c>
      <c r="K152" s="25">
        <v>0.0</v>
      </c>
      <c r="L152" s="25">
        <v>0.0</v>
      </c>
      <c r="M152" s="17">
        <f t="shared" si="1"/>
        <v>0</v>
      </c>
      <c r="N152" s="24" t="str">
        <f t="array" ref="N152">if(isblank(A152),"",index(fish_lab_data!O:O,match(A152,fish_lab_data!C:C,0)))</f>
        <v>KB</v>
      </c>
      <c r="O152" s="24" t="str">
        <f t="array" ref="O152">index(fish_lab_data!Q:Q,match(A152,fish_lab_data!C:C,0))</f>
        <v>lab_motiles_etoh</v>
      </c>
      <c r="P152" s="24" t="str">
        <f t="array" ref="P152">if(and(iserror(index(sea_lice!G:G,match(A152,sea_lice!A:A,0))),M152=0),"NA",index(sea_lice!G:G,match(A152,sea_lice!A:A,0)))</f>
        <v>NA</v>
      </c>
      <c r="Q152" s="24">
        <f t="array" ref="Q152">if(isblank(A152),"",index(fish_lab_data!X:X,match(A152,fish_lab_data!C:C,0)))</f>
        <v>844</v>
      </c>
    </row>
    <row r="153">
      <c r="A153" s="25" t="s">
        <v>1197</v>
      </c>
      <c r="B153" s="25">
        <v>0.0</v>
      </c>
      <c r="C153" s="25">
        <v>0.0</v>
      </c>
      <c r="D153" s="25">
        <v>0.0</v>
      </c>
      <c r="E153" s="25">
        <v>0.0</v>
      </c>
      <c r="F153" s="25">
        <v>0.0</v>
      </c>
      <c r="G153" s="25">
        <v>0.0</v>
      </c>
      <c r="H153" s="25">
        <v>0.0</v>
      </c>
      <c r="I153" s="25">
        <v>0.0</v>
      </c>
      <c r="J153" s="25">
        <v>0.0</v>
      </c>
      <c r="K153" s="25">
        <v>0.0</v>
      </c>
      <c r="L153" s="25">
        <v>0.0</v>
      </c>
      <c r="M153" s="17">
        <f t="shared" si="1"/>
        <v>0</v>
      </c>
      <c r="N153" s="24" t="str">
        <f t="array" ref="N153">if(isblank(A153),"",index(fish_lab_data!O:O,match(A153,fish_lab_data!C:C,0)))</f>
        <v>KB</v>
      </c>
      <c r="O153" s="24" t="str">
        <f t="array" ref="O153">index(fish_lab_data!Q:Q,match(A153,fish_lab_data!C:C,0))</f>
        <v>lab_motiles_etoh</v>
      </c>
      <c r="P153" s="24" t="str">
        <f t="array" ref="P153">if(and(iserror(index(sea_lice!G:G,match(A153,sea_lice!A:A,0))),M153=0),"NA",index(sea_lice!G:G,match(A153,sea_lice!A:A,0)))</f>
        <v>NA</v>
      </c>
      <c r="Q153" s="24">
        <f t="array" ref="Q153">if(isblank(A153),"",index(fish_lab_data!X:X,match(A153,fish_lab_data!C:C,0)))</f>
        <v>845</v>
      </c>
    </row>
    <row r="154">
      <c r="A154" s="25" t="s">
        <v>1200</v>
      </c>
      <c r="B154" s="25">
        <v>0.0</v>
      </c>
      <c r="C154" s="25">
        <v>0.0</v>
      </c>
      <c r="D154" s="25">
        <v>0.0</v>
      </c>
      <c r="E154" s="25">
        <v>0.0</v>
      </c>
      <c r="F154" s="25">
        <v>0.0</v>
      </c>
      <c r="G154" s="25">
        <v>0.0</v>
      </c>
      <c r="H154" s="25">
        <v>0.0</v>
      </c>
      <c r="I154" s="25">
        <v>0.0</v>
      </c>
      <c r="J154" s="25">
        <v>0.0</v>
      </c>
      <c r="K154" s="25">
        <v>0.0</v>
      </c>
      <c r="L154" s="25">
        <v>0.0</v>
      </c>
      <c r="M154" s="17">
        <f t="shared" si="1"/>
        <v>0</v>
      </c>
      <c r="N154" s="24" t="str">
        <f t="array" ref="N154">if(isblank(A154),"",index(fish_lab_data!O:O,match(A154,fish_lab_data!C:C,0)))</f>
        <v>KB</v>
      </c>
      <c r="O154" s="24" t="str">
        <f t="array" ref="O154">index(fish_lab_data!Q:Q,match(A154,fish_lab_data!C:C,0))</f>
        <v>lab_motiles_etoh</v>
      </c>
      <c r="P154" s="24" t="str">
        <f t="array" ref="P154">if(and(iserror(index(sea_lice!G:G,match(A154,sea_lice!A:A,0))),M154=0),"NA",index(sea_lice!G:G,match(A154,sea_lice!A:A,0)))</f>
        <v>NA</v>
      </c>
      <c r="Q154" s="24">
        <f t="array" ref="Q154">if(isblank(A154),"",index(fish_lab_data!X:X,match(A154,fish_lab_data!C:C,0)))</f>
        <v>846</v>
      </c>
    </row>
    <row r="155">
      <c r="A155" s="25" t="s">
        <v>1202</v>
      </c>
      <c r="B155" s="25">
        <v>0.0</v>
      </c>
      <c r="C155" s="25">
        <v>0.0</v>
      </c>
      <c r="D155" s="25">
        <v>0.0</v>
      </c>
      <c r="E155" s="25">
        <v>0.0</v>
      </c>
      <c r="F155" s="25">
        <v>0.0</v>
      </c>
      <c r="G155" s="25">
        <v>0.0</v>
      </c>
      <c r="H155" s="25">
        <v>0.0</v>
      </c>
      <c r="I155" s="25">
        <v>0.0</v>
      </c>
      <c r="J155" s="25">
        <v>0.0</v>
      </c>
      <c r="K155" s="25">
        <v>0.0</v>
      </c>
      <c r="L155" s="25">
        <v>0.0</v>
      </c>
      <c r="M155" s="17">
        <f t="shared" si="1"/>
        <v>0</v>
      </c>
      <c r="N155" s="24" t="str">
        <f t="array" ref="N155">if(isblank(A155),"",index(fish_lab_data!O:O,match(A155,fish_lab_data!C:C,0)))</f>
        <v>KB</v>
      </c>
      <c r="O155" s="24" t="str">
        <f t="array" ref="O155">index(fish_lab_data!Q:Q,match(A155,fish_lab_data!C:C,0))</f>
        <v>lab_motiles_etoh</v>
      </c>
      <c r="P155" s="24" t="str">
        <f t="array" ref="P155">if(and(iserror(index(sea_lice!G:G,match(A155,sea_lice!A:A,0))),M155=0),"NA",index(sea_lice!G:G,match(A155,sea_lice!A:A,0)))</f>
        <v>NA</v>
      </c>
      <c r="Q155" s="24">
        <f t="array" ref="Q155">if(isblank(A155),"",index(fish_lab_data!X:X,match(A155,fish_lab_data!C:C,0)))</f>
        <v>847</v>
      </c>
    </row>
    <row r="156">
      <c r="A156" s="25" t="s">
        <v>1204</v>
      </c>
      <c r="B156" s="25">
        <v>0.0</v>
      </c>
      <c r="C156" s="25">
        <v>0.0</v>
      </c>
      <c r="D156" s="25">
        <v>0.0</v>
      </c>
      <c r="E156" s="25">
        <v>0.0</v>
      </c>
      <c r="F156" s="25">
        <v>0.0</v>
      </c>
      <c r="G156" s="25">
        <v>0.0</v>
      </c>
      <c r="H156" s="25">
        <v>0.0</v>
      </c>
      <c r="I156" s="25">
        <v>0.0</v>
      </c>
      <c r="J156" s="25">
        <v>0.0</v>
      </c>
      <c r="K156" s="25">
        <v>0.0</v>
      </c>
      <c r="L156" s="25">
        <v>0.0</v>
      </c>
      <c r="M156" s="17">
        <f t="shared" si="1"/>
        <v>0</v>
      </c>
      <c r="N156" s="24" t="str">
        <f t="array" ref="N156">if(isblank(A156),"",index(fish_lab_data!O:O,match(A156,fish_lab_data!C:C,0)))</f>
        <v>KB</v>
      </c>
      <c r="O156" s="24" t="str">
        <f t="array" ref="O156">index(fish_lab_data!Q:Q,match(A156,fish_lab_data!C:C,0))</f>
        <v>lab_motiles_etoh</v>
      </c>
      <c r="P156" s="24" t="str">
        <f t="array" ref="P156">if(and(iserror(index(sea_lice!G:G,match(A156,sea_lice!A:A,0))),M156=0),"NA",index(sea_lice!G:G,match(A156,sea_lice!A:A,0)))</f>
        <v>NA</v>
      </c>
      <c r="Q156" s="24">
        <f t="array" ref="Q156">if(isblank(A156),"",index(fish_lab_data!X:X,match(A156,fish_lab_data!C:C,0)))</f>
        <v>848</v>
      </c>
    </row>
    <row r="157">
      <c r="A157" s="25" t="s">
        <v>1208</v>
      </c>
      <c r="B157" s="25">
        <v>0.0</v>
      </c>
      <c r="C157" s="25">
        <v>0.0</v>
      </c>
      <c r="D157" s="25">
        <v>0.0</v>
      </c>
      <c r="E157" s="25">
        <v>0.0</v>
      </c>
      <c r="F157" s="25">
        <v>0.0</v>
      </c>
      <c r="G157" s="25">
        <v>0.0</v>
      </c>
      <c r="H157" s="25">
        <v>0.0</v>
      </c>
      <c r="I157" s="25">
        <v>0.0</v>
      </c>
      <c r="J157" s="25">
        <v>0.0</v>
      </c>
      <c r="K157" s="25">
        <v>0.0</v>
      </c>
      <c r="L157" s="25">
        <v>0.0</v>
      </c>
      <c r="M157" s="17">
        <f t="shared" si="1"/>
        <v>0</v>
      </c>
      <c r="N157" s="24" t="str">
        <f t="array" ref="N157">if(isblank(A157),"",index(fish_lab_data!O:O,match(A157,fish_lab_data!C:C,0)))</f>
        <v>KB</v>
      </c>
      <c r="O157" s="24" t="str">
        <f t="array" ref="O157">index(fish_lab_data!Q:Q,match(A157,fish_lab_data!C:C,0))</f>
        <v>lab_motiles_etoh</v>
      </c>
      <c r="P157" s="24" t="str">
        <f t="array" ref="P157">if(and(iserror(index(sea_lice!G:G,match(A157,sea_lice!A:A,0))),M157=0),"NA",index(sea_lice!G:G,match(A157,sea_lice!A:A,0)))</f>
        <v>NA</v>
      </c>
      <c r="Q157" s="24">
        <f t="array" ref="Q157">if(isblank(A157),"",index(fish_lab_data!X:X,match(A157,fish_lab_data!C:C,0)))</f>
        <v>849</v>
      </c>
    </row>
    <row r="158">
      <c r="A158" s="25" t="s">
        <v>1209</v>
      </c>
      <c r="B158" s="25">
        <v>0.0</v>
      </c>
      <c r="C158" s="25">
        <v>0.0</v>
      </c>
      <c r="D158" s="25">
        <v>0.0</v>
      </c>
      <c r="E158" s="25">
        <v>0.0</v>
      </c>
      <c r="F158" s="25">
        <v>0.0</v>
      </c>
      <c r="G158" s="25">
        <v>0.0</v>
      </c>
      <c r="H158" s="25">
        <v>0.0</v>
      </c>
      <c r="I158" s="25">
        <v>0.0</v>
      </c>
      <c r="J158" s="25">
        <v>0.0</v>
      </c>
      <c r="K158" s="25">
        <v>0.0</v>
      </c>
      <c r="L158" s="25">
        <v>0.0</v>
      </c>
      <c r="M158" s="17">
        <f t="shared" si="1"/>
        <v>0</v>
      </c>
      <c r="N158" s="24" t="str">
        <f t="array" ref="N158">if(isblank(A158),"",index(fish_lab_data!O:O,match(A158,fish_lab_data!C:C,0)))</f>
        <v>KB</v>
      </c>
      <c r="O158" s="24" t="str">
        <f t="array" ref="O158">index(fish_lab_data!Q:Q,match(A158,fish_lab_data!C:C,0))</f>
        <v>lab_motiles_etoh</v>
      </c>
      <c r="P158" s="24" t="str">
        <f t="array" ref="P158">if(and(iserror(index(sea_lice!G:G,match(A158,sea_lice!A:A,0))),M158=0),"NA",index(sea_lice!G:G,match(A158,sea_lice!A:A,0)))</f>
        <v>NA</v>
      </c>
      <c r="Q158" s="24">
        <f t="array" ref="Q158">if(isblank(A158),"",index(fish_lab_data!X:X,match(A158,fish_lab_data!C:C,0)))</f>
        <v>850</v>
      </c>
    </row>
    <row r="159">
      <c r="A159" s="9" t="s">
        <v>1211</v>
      </c>
      <c r="B159" s="9">
        <v>0.0</v>
      </c>
      <c r="C159" s="9">
        <v>0.0</v>
      </c>
      <c r="D159" s="9">
        <v>0.0</v>
      </c>
      <c r="E159" s="9">
        <v>1.0</v>
      </c>
      <c r="F159" s="9">
        <v>0.0</v>
      </c>
      <c r="G159" s="9">
        <v>0.0</v>
      </c>
      <c r="H159" s="9">
        <v>0.0</v>
      </c>
      <c r="I159" s="9">
        <v>0.0</v>
      </c>
      <c r="J159" s="9">
        <v>0.0</v>
      </c>
      <c r="K159" s="9">
        <v>0.0</v>
      </c>
      <c r="L159" s="9">
        <v>0.0</v>
      </c>
      <c r="M159" s="17">
        <f t="shared" si="1"/>
        <v>1</v>
      </c>
      <c r="N159" s="24" t="str">
        <f t="array" ref="N159">if(isblank(A159),"",index(fish_lab_data!O:O,match(A159,fish_lab_data!C:C,0)))</f>
        <v>KB</v>
      </c>
      <c r="O159" s="24" t="str">
        <f t="array" ref="O159">index(fish_lab_data!Q:Q,match(A159,fish_lab_data!C:C,0))</f>
        <v>lab_motiles_etoh</v>
      </c>
      <c r="P159" s="24" t="str">
        <f t="array" ref="P159">if(and(iserror(index(sea_lice!G:G,match(A159,sea_lice!A:A,0))),M159=0),"NA",index(sea_lice!G:G,match(A159,sea_lice!A:A,0)))</f>
        <v>BSL6-91</v>
      </c>
      <c r="Q159" s="24">
        <f t="array" ref="Q159">if(isblank(A159),"",index(fish_lab_data!X:X,match(A159,fish_lab_data!C:C,0)))</f>
        <v>851</v>
      </c>
    </row>
    <row r="160">
      <c r="A160" s="25" t="s">
        <v>1230</v>
      </c>
      <c r="B160" s="25">
        <v>0.0</v>
      </c>
      <c r="C160" s="25">
        <v>0.0</v>
      </c>
      <c r="D160" s="25">
        <v>0.0</v>
      </c>
      <c r="E160" s="25">
        <v>0.0</v>
      </c>
      <c r="F160" s="25">
        <v>0.0</v>
      </c>
      <c r="G160" s="25">
        <v>0.0</v>
      </c>
      <c r="H160" s="25">
        <v>0.0</v>
      </c>
      <c r="I160" s="25">
        <v>0.0</v>
      </c>
      <c r="J160" s="25">
        <v>0.0</v>
      </c>
      <c r="K160" s="25">
        <v>0.0</v>
      </c>
      <c r="L160" s="25">
        <v>0.0</v>
      </c>
      <c r="M160" s="17">
        <f t="shared" si="1"/>
        <v>0</v>
      </c>
      <c r="N160" s="24" t="str">
        <f t="array" ref="N160">if(isblank(A160),"",index(fish_lab_data!O:O,match(A160,fish_lab_data!C:C,0)))</f>
        <v>KB</v>
      </c>
      <c r="O160" s="24" t="str">
        <f t="array" ref="O160">index(fish_lab_data!Q:Q,match(A160,fish_lab_data!C:C,0))</f>
        <v>lab_motiles_etoh</v>
      </c>
      <c r="P160" s="24" t="str">
        <f t="array" ref="P160">if(and(iserror(index(sea_lice!G:G,match(A160,sea_lice!A:A,0))),M160=0),"NA",index(sea_lice!G:G,match(A160,sea_lice!A:A,0)))</f>
        <v>NA</v>
      </c>
      <c r="Q160" s="24">
        <f t="array" ref="Q160">if(isblank(A160),"",index(fish_lab_data!X:X,match(A160,fish_lab_data!C:C,0)))</f>
        <v>852</v>
      </c>
    </row>
    <row r="161">
      <c r="A161" s="9" t="s">
        <v>1232</v>
      </c>
      <c r="B161" s="9">
        <v>0.0</v>
      </c>
      <c r="C161" s="9">
        <v>1.0</v>
      </c>
      <c r="D161" s="9">
        <v>0.0</v>
      </c>
      <c r="E161" s="9">
        <v>0.0</v>
      </c>
      <c r="F161" s="9">
        <v>0.0</v>
      </c>
      <c r="G161" s="9">
        <v>0.0</v>
      </c>
      <c r="H161" s="9">
        <v>0.0</v>
      </c>
      <c r="I161" s="9">
        <v>0.0</v>
      </c>
      <c r="J161" s="9">
        <v>0.0</v>
      </c>
      <c r="K161" s="9">
        <v>0.0</v>
      </c>
      <c r="L161" s="9">
        <v>0.0</v>
      </c>
      <c r="M161" s="17">
        <f t="shared" si="1"/>
        <v>1</v>
      </c>
      <c r="N161" s="24" t="str">
        <f t="array" ref="N161">if(isblank(A161),"",index(fish_lab_data!O:O,match(A161,fish_lab_data!C:C,0)))</f>
        <v>KB</v>
      </c>
      <c r="O161" s="24" t="str">
        <f t="array" ref="O161">index(fish_lab_data!Q:Q,match(A161,fish_lab_data!C:C,0))</f>
        <v>lab_motiles_etoh</v>
      </c>
      <c r="P161" s="24" t="str">
        <f t="array" ref="P161">if(and(iserror(index(sea_lice!G:G,match(A161,sea_lice!A:A,0))),M161=0),"NA",index(sea_lice!G:G,match(A161,sea_lice!A:A,0)))</f>
        <v>BSL6-93</v>
      </c>
      <c r="Q161" s="24">
        <f t="array" ref="Q161">if(isblank(A161),"",index(fish_lab_data!X:X,match(A161,fish_lab_data!C:C,0)))</f>
        <v>853</v>
      </c>
    </row>
    <row r="162">
      <c r="A162" s="9" t="s">
        <v>1236</v>
      </c>
      <c r="B162" s="9">
        <v>2.0</v>
      </c>
      <c r="C162" s="9">
        <v>0.0</v>
      </c>
      <c r="D162" s="9">
        <v>0.0</v>
      </c>
      <c r="E162" s="9">
        <v>0.0</v>
      </c>
      <c r="F162" s="9">
        <v>0.0</v>
      </c>
      <c r="G162" s="9">
        <v>0.0</v>
      </c>
      <c r="H162" s="9">
        <v>0.0</v>
      </c>
      <c r="I162" s="9">
        <v>0.0</v>
      </c>
      <c r="J162" s="9">
        <v>0.0</v>
      </c>
      <c r="K162" s="9">
        <v>0.0</v>
      </c>
      <c r="L162" s="9">
        <v>0.0</v>
      </c>
      <c r="M162" s="17">
        <f t="shared" si="1"/>
        <v>2</v>
      </c>
      <c r="N162" s="24" t="str">
        <f t="array" ref="N162">if(isblank(A162),"",index(fish_lab_data!O:O,match(A162,fish_lab_data!C:C,0)))</f>
        <v>KB</v>
      </c>
      <c r="O162" s="24" t="str">
        <f t="array" ref="O162">index(fish_lab_data!Q:Q,match(A162,fish_lab_data!C:C,0))</f>
        <v>lab_motiles_etoh</v>
      </c>
      <c r="P162" s="24" t="str">
        <f t="array" ref="P162">if(and(iserror(index(sea_lice!G:G,match(A162,sea_lice!A:A,0))),M162=0),"NA",index(sea_lice!G:G,match(A162,sea_lice!A:A,0)))</f>
        <v>BSL6-94</v>
      </c>
      <c r="Q162" s="24">
        <f t="array" ref="Q162">if(isblank(A162),"",index(fish_lab_data!X:X,match(A162,fish_lab_data!C:C,0)))</f>
        <v>854</v>
      </c>
    </row>
    <row r="163">
      <c r="A163" s="9" t="s">
        <v>1238</v>
      </c>
      <c r="B163" s="9">
        <v>2.0</v>
      </c>
      <c r="C163" s="9">
        <v>0.0</v>
      </c>
      <c r="D163" s="9">
        <v>0.0</v>
      </c>
      <c r="E163" s="9">
        <v>0.0</v>
      </c>
      <c r="F163" s="9">
        <v>0.0</v>
      </c>
      <c r="G163" s="9">
        <v>0.0</v>
      </c>
      <c r="H163" s="9">
        <v>0.0</v>
      </c>
      <c r="I163" s="9">
        <v>0.0</v>
      </c>
      <c r="J163" s="9">
        <v>0.0</v>
      </c>
      <c r="K163" s="9">
        <v>0.0</v>
      </c>
      <c r="L163" s="9">
        <v>0.0</v>
      </c>
      <c r="M163" s="17">
        <f t="shared" si="1"/>
        <v>2</v>
      </c>
      <c r="N163" s="24" t="str">
        <f t="array" ref="N163">if(isblank(A163),"",index(fish_lab_data!O:O,match(A163,fish_lab_data!C:C,0)))</f>
        <v>KB</v>
      </c>
      <c r="O163" s="24" t="str">
        <f t="array" ref="O163">index(fish_lab_data!Q:Q,match(A163,fish_lab_data!C:C,0))</f>
        <v>lab_motiles_etoh</v>
      </c>
      <c r="P163" s="24" t="str">
        <f t="array" ref="P163">if(and(iserror(index(sea_lice!G:G,match(A163,sea_lice!A:A,0))),M163=0),"NA",index(sea_lice!G:G,match(A163,sea_lice!A:A,0)))</f>
        <v>BSL6-95</v>
      </c>
      <c r="Q163" s="24">
        <f t="array" ref="Q163">if(isblank(A163),"",index(fish_lab_data!X:X,match(A163,fish_lab_data!C:C,0)))</f>
        <v>855</v>
      </c>
    </row>
    <row r="164">
      <c r="A164" s="9" t="s">
        <v>1240</v>
      </c>
      <c r="B164" s="9">
        <v>1.0</v>
      </c>
      <c r="C164" s="9">
        <v>0.0</v>
      </c>
      <c r="D164" s="9">
        <v>0.0</v>
      </c>
      <c r="E164" s="9">
        <v>0.0</v>
      </c>
      <c r="F164" s="9">
        <v>0.0</v>
      </c>
      <c r="G164" s="9">
        <v>0.0</v>
      </c>
      <c r="H164" s="9">
        <v>0.0</v>
      </c>
      <c r="I164" s="9">
        <v>0.0</v>
      </c>
      <c r="J164" s="9">
        <v>0.0</v>
      </c>
      <c r="K164" s="9">
        <v>0.0</v>
      </c>
      <c r="L164" s="9">
        <v>0.0</v>
      </c>
      <c r="M164" s="17">
        <f t="shared" si="1"/>
        <v>1</v>
      </c>
      <c r="N164" s="24" t="str">
        <f t="array" ref="N164">if(isblank(A164),"",index(fish_lab_data!O:O,match(A164,fish_lab_data!C:C,0)))</f>
        <v>KB</v>
      </c>
      <c r="O164" s="24" t="str">
        <f t="array" ref="O164">index(fish_lab_data!Q:Q,match(A164,fish_lab_data!C:C,0))</f>
        <v>lab_motiles_etoh</v>
      </c>
      <c r="P164" s="24" t="str">
        <f t="array" ref="P164">if(and(iserror(index(sea_lice!G:G,match(A164,sea_lice!A:A,0))),M164=0),"NA",index(sea_lice!G:G,match(A164,sea_lice!A:A,0)))</f>
        <v>BSL6-96</v>
      </c>
      <c r="Q164" s="24">
        <f t="array" ref="Q164">if(isblank(A164),"",index(fish_lab_data!X:X,match(A164,fish_lab_data!C:C,0)))</f>
        <v>856</v>
      </c>
    </row>
    <row r="165">
      <c r="A165" s="9" t="s">
        <v>1244</v>
      </c>
      <c r="B165" s="9">
        <v>0.0</v>
      </c>
      <c r="C165" s="9">
        <v>0.0</v>
      </c>
      <c r="D165" s="9">
        <v>0.0</v>
      </c>
      <c r="E165" s="9">
        <v>1.0</v>
      </c>
      <c r="F165" s="9">
        <v>0.0</v>
      </c>
      <c r="G165" s="9">
        <v>0.0</v>
      </c>
      <c r="H165" s="9">
        <v>0.0</v>
      </c>
      <c r="I165" s="9">
        <v>0.0</v>
      </c>
      <c r="J165" s="9">
        <v>0.0</v>
      </c>
      <c r="K165" s="9">
        <v>0.0</v>
      </c>
      <c r="L165" s="9">
        <v>0.0</v>
      </c>
      <c r="M165" s="17">
        <f t="shared" si="1"/>
        <v>1</v>
      </c>
      <c r="N165" s="24" t="str">
        <f t="array" ref="N165">if(isblank(A165),"",index(fish_lab_data!O:O,match(A165,fish_lab_data!C:C,0)))</f>
        <v>KB</v>
      </c>
      <c r="O165" s="24" t="str">
        <f t="array" ref="O165">index(fish_lab_data!Q:Q,match(A165,fish_lab_data!C:C,0))</f>
        <v>lab_motiles_etoh</v>
      </c>
      <c r="P165" s="24" t="str">
        <f t="array" ref="P165">if(and(iserror(index(sea_lice!G:G,match(A165,sea_lice!A:A,0))),M165=0),"NA",index(sea_lice!G:G,match(A165,sea_lice!A:A,0)))</f>
        <v>BSL6-97</v>
      </c>
      <c r="Q165" s="24">
        <f t="array" ref="Q165">if(isblank(A165),"",index(fish_lab_data!X:X,match(A165,fish_lab_data!C:C,0)))</f>
        <v>857</v>
      </c>
    </row>
    <row r="166">
      <c r="A166" s="9" t="s">
        <v>1246</v>
      </c>
      <c r="B166" s="9">
        <v>1.0</v>
      </c>
      <c r="C166" s="9">
        <v>0.0</v>
      </c>
      <c r="D166" s="9">
        <v>0.0</v>
      </c>
      <c r="E166" s="9">
        <v>0.0</v>
      </c>
      <c r="F166" s="9">
        <v>0.0</v>
      </c>
      <c r="G166" s="9">
        <v>0.0</v>
      </c>
      <c r="H166" s="9">
        <v>0.0</v>
      </c>
      <c r="I166" s="9">
        <v>0.0</v>
      </c>
      <c r="J166" s="9">
        <v>0.0</v>
      </c>
      <c r="K166" s="9">
        <v>0.0</v>
      </c>
      <c r="L166" s="9">
        <v>0.0</v>
      </c>
      <c r="M166" s="17">
        <f t="shared" si="1"/>
        <v>1</v>
      </c>
      <c r="N166" s="24" t="str">
        <f t="array" ref="N166">if(isblank(A166),"",index(fish_lab_data!O:O,match(A166,fish_lab_data!C:C,0)))</f>
        <v>KB</v>
      </c>
      <c r="O166" s="24" t="str">
        <f t="array" ref="O166">index(fish_lab_data!Q:Q,match(A166,fish_lab_data!C:C,0))</f>
        <v>lab_motiles_etoh</v>
      </c>
      <c r="P166" s="24" t="str">
        <f t="array" ref="P166">if(and(iserror(index(sea_lice!G:G,match(A166,sea_lice!A:A,0))),M166=0),"NA",index(sea_lice!G:G,match(A166,sea_lice!A:A,0)))</f>
        <v>BSL6-98</v>
      </c>
      <c r="Q166" s="24">
        <f t="array" ref="Q166">if(isblank(A166),"",index(fish_lab_data!X:X,match(A166,fish_lab_data!C:C,0)))</f>
        <v>858</v>
      </c>
    </row>
    <row r="167">
      <c r="A167" s="9" t="s">
        <v>1249</v>
      </c>
      <c r="B167" s="9">
        <v>1.0</v>
      </c>
      <c r="C167" s="9">
        <v>0.0</v>
      </c>
      <c r="D167" s="9">
        <v>0.0</v>
      </c>
      <c r="E167" s="9">
        <v>1.0</v>
      </c>
      <c r="F167" s="9">
        <v>0.0</v>
      </c>
      <c r="G167" s="9">
        <v>0.0</v>
      </c>
      <c r="H167" s="9">
        <v>0.0</v>
      </c>
      <c r="I167" s="9">
        <v>0.0</v>
      </c>
      <c r="J167" s="9">
        <v>0.0</v>
      </c>
      <c r="K167" s="9">
        <v>0.0</v>
      </c>
      <c r="L167" s="9">
        <v>0.0</v>
      </c>
      <c r="M167" s="17">
        <f t="shared" si="1"/>
        <v>2</v>
      </c>
      <c r="N167" s="24" t="str">
        <f t="array" ref="N167">if(isblank(A167),"",index(fish_lab_data!O:O,match(A167,fish_lab_data!C:C,0)))</f>
        <v>EJ</v>
      </c>
      <c r="O167" s="24" t="str">
        <f t="array" ref="O167">index(fish_lab_data!Q:Q,match(A167,fish_lab_data!C:C,0))</f>
        <v>lab_motiles_cryo</v>
      </c>
      <c r="P167" s="24" t="str">
        <f t="array" ref="P167">if(and(iserror(index(sea_lice!G:G,match(A167,sea_lice!A:A,0))),M167=0),"NA",index(sea_lice!G:G,match(A167,sea_lice!A:A,0)))</f>
        <v>BSL2-60</v>
      </c>
      <c r="Q167" s="24">
        <f t="array" ref="Q167">if(isblank(A167),"",index(fish_lab_data!X:X,match(A167,fish_lab_data!C:C,0)))</f>
        <v>859</v>
      </c>
    </row>
    <row r="168">
      <c r="A168" s="25" t="s">
        <v>1251</v>
      </c>
      <c r="B168" s="25">
        <v>0.0</v>
      </c>
      <c r="C168" s="25">
        <v>0.0</v>
      </c>
      <c r="D168" s="25">
        <v>0.0</v>
      </c>
      <c r="E168" s="25">
        <v>0.0</v>
      </c>
      <c r="F168" s="25">
        <v>0.0</v>
      </c>
      <c r="G168" s="25">
        <v>0.0</v>
      </c>
      <c r="H168" s="25">
        <v>0.0</v>
      </c>
      <c r="I168" s="25">
        <v>0.0</v>
      </c>
      <c r="J168" s="25">
        <v>0.0</v>
      </c>
      <c r="K168" s="25">
        <v>0.0</v>
      </c>
      <c r="L168" s="25">
        <v>0.0</v>
      </c>
      <c r="M168" s="17">
        <f t="shared" si="1"/>
        <v>0</v>
      </c>
      <c r="N168" s="24" t="str">
        <f t="array" ref="N168">if(isblank(A168),"",index(fish_lab_data!O:O,match(A168,fish_lab_data!C:C,0)))</f>
        <v>EJ</v>
      </c>
      <c r="O168" s="24" t="str">
        <f t="array" ref="O168">index(fish_lab_data!Q:Q,match(A168,fish_lab_data!C:C,0))</f>
        <v>lab_motiles_cryo</v>
      </c>
      <c r="P168" s="24" t="str">
        <f t="array" ref="P168">if(and(iserror(index(sea_lice!G:G,match(A168,sea_lice!A:A,0))),M168=0),"NA",index(sea_lice!G:G,match(A168,sea_lice!A:A,0)))</f>
        <v>NA</v>
      </c>
      <c r="Q168" s="24">
        <f t="array" ref="Q168">if(isblank(A168),"",index(fish_lab_data!X:X,match(A168,fish_lab_data!C:C,0)))</f>
        <v>860</v>
      </c>
    </row>
    <row r="169">
      <c r="A169" s="25" t="s">
        <v>1254</v>
      </c>
      <c r="B169" s="25">
        <v>0.0</v>
      </c>
      <c r="C169" s="25">
        <v>0.0</v>
      </c>
      <c r="D169" s="25">
        <v>0.0</v>
      </c>
      <c r="E169" s="25">
        <v>0.0</v>
      </c>
      <c r="F169" s="25">
        <v>0.0</v>
      </c>
      <c r="G169" s="25">
        <v>0.0</v>
      </c>
      <c r="H169" s="25">
        <v>0.0</v>
      </c>
      <c r="I169" s="25">
        <v>0.0</v>
      </c>
      <c r="J169" s="25">
        <v>0.0</v>
      </c>
      <c r="K169" s="25">
        <v>0.0</v>
      </c>
      <c r="L169" s="25">
        <v>0.0</v>
      </c>
      <c r="M169" s="17">
        <f t="shared" si="1"/>
        <v>0</v>
      </c>
      <c r="N169" s="24" t="str">
        <f t="array" ref="N169">if(isblank(A169),"",index(fish_lab_data!O:O,match(A169,fish_lab_data!C:C,0)))</f>
        <v>EJ</v>
      </c>
      <c r="O169" s="24" t="str">
        <f t="array" ref="O169">index(fish_lab_data!Q:Q,match(A169,fish_lab_data!C:C,0))</f>
        <v>lab_motiles_cryo</v>
      </c>
      <c r="P169" s="24" t="str">
        <f t="array" ref="P169">if(and(iserror(index(sea_lice!G:G,match(A169,sea_lice!A:A,0))),M169=0),"NA",index(sea_lice!G:G,match(A169,sea_lice!A:A,0)))</f>
        <v>NA</v>
      </c>
      <c r="Q169" s="24">
        <f t="array" ref="Q169">if(isblank(A169),"",index(fish_lab_data!X:X,match(A169,fish_lab_data!C:C,0)))</f>
        <v>861</v>
      </c>
    </row>
    <row r="170">
      <c r="A170" s="25" t="s">
        <v>1256</v>
      </c>
      <c r="B170" s="25">
        <v>0.0</v>
      </c>
      <c r="C170" s="25">
        <v>0.0</v>
      </c>
      <c r="D170" s="25">
        <v>0.0</v>
      </c>
      <c r="E170" s="25">
        <v>0.0</v>
      </c>
      <c r="F170" s="25">
        <v>0.0</v>
      </c>
      <c r="G170" s="25">
        <v>0.0</v>
      </c>
      <c r="H170" s="25">
        <v>0.0</v>
      </c>
      <c r="I170" s="25">
        <v>0.0</v>
      </c>
      <c r="J170" s="25">
        <v>0.0</v>
      </c>
      <c r="K170" s="25">
        <v>0.0</v>
      </c>
      <c r="L170" s="25">
        <v>0.0</v>
      </c>
      <c r="M170" s="17">
        <f t="shared" si="1"/>
        <v>0</v>
      </c>
      <c r="N170" s="24" t="str">
        <f t="array" ref="N170">if(isblank(A170),"",index(fish_lab_data!O:O,match(A170,fish_lab_data!C:C,0)))</f>
        <v>EJ</v>
      </c>
      <c r="O170" s="24" t="str">
        <f t="array" ref="O170">index(fish_lab_data!Q:Q,match(A170,fish_lab_data!C:C,0))</f>
        <v>lab_motiles_cryo</v>
      </c>
      <c r="P170" s="24" t="str">
        <f t="array" ref="P170">if(and(iserror(index(sea_lice!G:G,match(A170,sea_lice!A:A,0))),M170=0),"NA",index(sea_lice!G:G,match(A170,sea_lice!A:A,0)))</f>
        <v>NA</v>
      </c>
      <c r="Q170" s="24">
        <f t="array" ref="Q170">if(isblank(A170),"",index(fish_lab_data!X:X,match(A170,fish_lab_data!C:C,0)))</f>
        <v>862</v>
      </c>
    </row>
    <row r="171">
      <c r="A171" s="25" t="s">
        <v>1259</v>
      </c>
      <c r="B171" s="25">
        <v>0.0</v>
      </c>
      <c r="C171" s="25">
        <v>0.0</v>
      </c>
      <c r="D171" s="25">
        <v>0.0</v>
      </c>
      <c r="E171" s="25">
        <v>0.0</v>
      </c>
      <c r="F171" s="25">
        <v>0.0</v>
      </c>
      <c r="G171" s="25">
        <v>0.0</v>
      </c>
      <c r="H171" s="25">
        <v>0.0</v>
      </c>
      <c r="I171" s="25">
        <v>0.0</v>
      </c>
      <c r="J171" s="25">
        <v>0.0</v>
      </c>
      <c r="K171" s="25">
        <v>0.0</v>
      </c>
      <c r="L171" s="25">
        <v>0.0</v>
      </c>
      <c r="M171" s="17">
        <f t="shared" si="1"/>
        <v>0</v>
      </c>
      <c r="N171" s="24" t="str">
        <f t="array" ref="N171">if(isblank(A171),"",index(fish_lab_data!O:O,match(A171,fish_lab_data!C:C,0)))</f>
        <v>EJ</v>
      </c>
      <c r="O171" s="24" t="str">
        <f t="array" ref="O171">index(fish_lab_data!Q:Q,match(A171,fish_lab_data!C:C,0))</f>
        <v>lab_motiles_cryo</v>
      </c>
      <c r="P171" s="24" t="str">
        <f t="array" ref="P171">if(and(iserror(index(sea_lice!G:G,match(A171,sea_lice!A:A,0))),M171=0),"NA",index(sea_lice!G:G,match(A171,sea_lice!A:A,0)))</f>
        <v>NA</v>
      </c>
      <c r="Q171" s="24">
        <f t="array" ref="Q171">if(isblank(A171),"",index(fish_lab_data!X:X,match(A171,fish_lab_data!C:C,0)))</f>
        <v>863</v>
      </c>
    </row>
    <row r="172">
      <c r="A172" s="25" t="s">
        <v>1262</v>
      </c>
      <c r="B172" s="25">
        <v>0.0</v>
      </c>
      <c r="C172" s="25">
        <v>0.0</v>
      </c>
      <c r="D172" s="25">
        <v>0.0</v>
      </c>
      <c r="E172" s="25">
        <v>0.0</v>
      </c>
      <c r="F172" s="25">
        <v>0.0</v>
      </c>
      <c r="G172" s="25">
        <v>0.0</v>
      </c>
      <c r="H172" s="25">
        <v>0.0</v>
      </c>
      <c r="I172" s="25">
        <v>0.0</v>
      </c>
      <c r="J172" s="25">
        <v>0.0</v>
      </c>
      <c r="K172" s="25">
        <v>0.0</v>
      </c>
      <c r="L172" s="25">
        <v>0.0</v>
      </c>
      <c r="M172" s="17">
        <f t="shared" si="1"/>
        <v>0</v>
      </c>
      <c r="N172" s="24" t="str">
        <f t="array" ref="N172">if(isblank(A172),"",index(fish_lab_data!O:O,match(A172,fish_lab_data!C:C,0)))</f>
        <v>EJ</v>
      </c>
      <c r="O172" s="24" t="str">
        <f t="array" ref="O172">index(fish_lab_data!Q:Q,match(A172,fish_lab_data!C:C,0))</f>
        <v>lab_motiles_etoh</v>
      </c>
      <c r="P172" s="24" t="str">
        <f t="array" ref="P172">if(and(iserror(index(sea_lice!G:G,match(A172,sea_lice!A:A,0))),M172=0),"NA",index(sea_lice!G:G,match(A172,sea_lice!A:A,0)))</f>
        <v>NA</v>
      </c>
      <c r="Q172" s="24">
        <f t="array" ref="Q172">if(isblank(A172),"",index(fish_lab_data!X:X,match(A172,fish_lab_data!C:C,0)))</f>
        <v>864</v>
      </c>
    </row>
    <row r="173">
      <c r="A173" s="25" t="s">
        <v>1264</v>
      </c>
      <c r="B173" s="25">
        <v>0.0</v>
      </c>
      <c r="C173" s="25">
        <v>0.0</v>
      </c>
      <c r="D173" s="25">
        <v>0.0</v>
      </c>
      <c r="E173" s="25">
        <v>0.0</v>
      </c>
      <c r="F173" s="25">
        <v>0.0</v>
      </c>
      <c r="G173" s="25">
        <v>0.0</v>
      </c>
      <c r="H173" s="25">
        <v>0.0</v>
      </c>
      <c r="I173" s="25">
        <v>0.0</v>
      </c>
      <c r="J173" s="25">
        <v>0.0</v>
      </c>
      <c r="K173" s="25">
        <v>0.0</v>
      </c>
      <c r="L173" s="25">
        <v>0.0</v>
      </c>
      <c r="M173" s="17">
        <f t="shared" si="1"/>
        <v>0</v>
      </c>
      <c r="N173" s="24" t="str">
        <f t="array" ref="N173">if(isblank(A173),"",index(fish_lab_data!O:O,match(A173,fish_lab_data!C:C,0)))</f>
        <v>EJ</v>
      </c>
      <c r="O173" s="24" t="str">
        <f t="array" ref="O173">index(fish_lab_data!Q:Q,match(A173,fish_lab_data!C:C,0))</f>
        <v>lab_motiles_etoh</v>
      </c>
      <c r="P173" s="24" t="str">
        <f t="array" ref="P173">if(and(iserror(index(sea_lice!G:G,match(A173,sea_lice!A:A,0))),M173=0),"NA",index(sea_lice!G:G,match(A173,sea_lice!A:A,0)))</f>
        <v>NA</v>
      </c>
      <c r="Q173" s="24">
        <f t="array" ref="Q173">if(isblank(A173),"",index(fish_lab_data!X:X,match(A173,fish_lab_data!C:C,0)))</f>
        <v>865</v>
      </c>
    </row>
    <row r="174">
      <c r="A174" s="25" t="s">
        <v>1266</v>
      </c>
      <c r="B174" s="25">
        <v>0.0</v>
      </c>
      <c r="C174" s="25">
        <v>0.0</v>
      </c>
      <c r="D174" s="25">
        <v>0.0</v>
      </c>
      <c r="E174" s="25">
        <v>0.0</v>
      </c>
      <c r="F174" s="25">
        <v>0.0</v>
      </c>
      <c r="G174" s="25">
        <v>0.0</v>
      </c>
      <c r="H174" s="25">
        <v>0.0</v>
      </c>
      <c r="I174" s="25">
        <v>0.0</v>
      </c>
      <c r="J174" s="25">
        <v>0.0</v>
      </c>
      <c r="K174" s="25">
        <v>0.0</v>
      </c>
      <c r="L174" s="25">
        <v>0.0</v>
      </c>
      <c r="M174" s="17">
        <f t="shared" si="1"/>
        <v>0</v>
      </c>
      <c r="N174" s="24" t="str">
        <f t="array" ref="N174">if(isblank(A174),"",index(fish_lab_data!O:O,match(A174,fish_lab_data!C:C,0)))</f>
        <v>EJ</v>
      </c>
      <c r="O174" s="24" t="str">
        <f t="array" ref="O174">index(fish_lab_data!Q:Q,match(A174,fish_lab_data!C:C,0))</f>
        <v>lab_motiles_etoh</v>
      </c>
      <c r="P174" s="24" t="str">
        <f t="array" ref="P174">if(and(iserror(index(sea_lice!G:G,match(A174,sea_lice!A:A,0))),M174=0),"NA",index(sea_lice!G:G,match(A174,sea_lice!A:A,0)))</f>
        <v>NA</v>
      </c>
      <c r="Q174" s="24">
        <f t="array" ref="Q174">if(isblank(A174),"",index(fish_lab_data!X:X,match(A174,fish_lab_data!C:C,0)))</f>
        <v>866</v>
      </c>
    </row>
    <row r="175">
      <c r="A175" s="25" t="s">
        <v>1269</v>
      </c>
      <c r="B175" s="25">
        <v>0.0</v>
      </c>
      <c r="C175" s="25">
        <v>0.0</v>
      </c>
      <c r="D175" s="25">
        <v>0.0</v>
      </c>
      <c r="E175" s="25">
        <v>0.0</v>
      </c>
      <c r="F175" s="25">
        <v>0.0</v>
      </c>
      <c r="G175" s="25">
        <v>0.0</v>
      </c>
      <c r="H175" s="25">
        <v>0.0</v>
      </c>
      <c r="I175" s="25">
        <v>0.0</v>
      </c>
      <c r="J175" s="25">
        <v>0.0</v>
      </c>
      <c r="K175" s="25">
        <v>0.0</v>
      </c>
      <c r="L175" s="25">
        <v>0.0</v>
      </c>
      <c r="M175" s="17">
        <f t="shared" si="1"/>
        <v>0</v>
      </c>
      <c r="N175" s="24" t="str">
        <f t="array" ref="N175">if(isblank(A175),"",index(fish_lab_data!O:O,match(A175,fish_lab_data!C:C,0)))</f>
        <v>EJ</v>
      </c>
      <c r="O175" s="24" t="str">
        <f t="array" ref="O175">index(fish_lab_data!Q:Q,match(A175,fish_lab_data!C:C,0))</f>
        <v>lab_motiles_etoh</v>
      </c>
      <c r="P175" s="24" t="str">
        <f t="array" ref="P175">if(and(iserror(index(sea_lice!G:G,match(A175,sea_lice!A:A,0))),M175=0),"NA",index(sea_lice!G:G,match(A175,sea_lice!A:A,0)))</f>
        <v>NA</v>
      </c>
      <c r="Q175" s="24">
        <f t="array" ref="Q175">if(isblank(A175),"",index(fish_lab_data!X:X,match(A175,fish_lab_data!C:C,0)))</f>
        <v>867</v>
      </c>
    </row>
    <row r="176">
      <c r="A176" s="25" t="s">
        <v>1273</v>
      </c>
      <c r="B176" s="25">
        <v>0.0</v>
      </c>
      <c r="C176" s="25">
        <v>0.0</v>
      </c>
      <c r="D176" s="25">
        <v>0.0</v>
      </c>
      <c r="E176" s="25">
        <v>0.0</v>
      </c>
      <c r="F176" s="25">
        <v>0.0</v>
      </c>
      <c r="G176" s="25">
        <v>0.0</v>
      </c>
      <c r="H176" s="25">
        <v>0.0</v>
      </c>
      <c r="I176" s="25">
        <v>0.0</v>
      </c>
      <c r="J176" s="25">
        <v>0.0</v>
      </c>
      <c r="K176" s="25">
        <v>0.0</v>
      </c>
      <c r="L176" s="25">
        <v>0.0</v>
      </c>
      <c r="M176" s="17">
        <f t="shared" si="1"/>
        <v>0</v>
      </c>
      <c r="N176" s="24" t="str">
        <f t="array" ref="N176">if(isblank(A176),"",index(fish_lab_data!O:O,match(A176,fish_lab_data!C:C,0)))</f>
        <v>EJ</v>
      </c>
      <c r="O176" s="24" t="str">
        <f t="array" ref="O176">index(fish_lab_data!Q:Q,match(A176,fish_lab_data!C:C,0))</f>
        <v>lab_motiles_etoh</v>
      </c>
      <c r="P176" s="24" t="str">
        <f t="array" ref="P176">if(and(iserror(index(sea_lice!G:G,match(A176,sea_lice!A:A,0))),M176=0),"NA",index(sea_lice!G:G,match(A176,sea_lice!A:A,0)))</f>
        <v>NA</v>
      </c>
      <c r="Q176" s="24">
        <f t="array" ref="Q176">if(isblank(A176),"",index(fish_lab_data!X:X,match(A176,fish_lab_data!C:C,0)))</f>
        <v>868</v>
      </c>
    </row>
    <row r="177">
      <c r="A177" s="25" t="s">
        <v>1275</v>
      </c>
      <c r="B177" s="25">
        <v>0.0</v>
      </c>
      <c r="C177" s="25">
        <v>0.0</v>
      </c>
      <c r="D177" s="25">
        <v>0.0</v>
      </c>
      <c r="E177" s="25">
        <v>0.0</v>
      </c>
      <c r="F177" s="25">
        <v>0.0</v>
      </c>
      <c r="G177" s="25">
        <v>0.0</v>
      </c>
      <c r="H177" s="25">
        <v>0.0</v>
      </c>
      <c r="I177" s="25">
        <v>0.0</v>
      </c>
      <c r="J177" s="25">
        <v>0.0</v>
      </c>
      <c r="K177" s="25">
        <v>0.0</v>
      </c>
      <c r="L177" s="25">
        <v>0.0</v>
      </c>
      <c r="M177" s="17">
        <f t="shared" si="1"/>
        <v>0</v>
      </c>
      <c r="N177" s="24" t="str">
        <f t="array" ref="N177">if(isblank(A177),"",index(fish_lab_data!O:O,match(A177,fish_lab_data!C:C,0)))</f>
        <v>EJ</v>
      </c>
      <c r="O177" s="24" t="str">
        <f t="array" ref="O177">index(fish_lab_data!Q:Q,match(A177,fish_lab_data!C:C,0))</f>
        <v>lab_motiles_etoh</v>
      </c>
      <c r="P177" s="24" t="str">
        <f t="array" ref="P177">if(and(iserror(index(sea_lice!G:G,match(A177,sea_lice!A:A,0))),M177=0),"NA",index(sea_lice!G:G,match(A177,sea_lice!A:A,0)))</f>
        <v>NA</v>
      </c>
      <c r="Q177" s="24">
        <f t="array" ref="Q177">if(isblank(A177),"",index(fish_lab_data!X:X,match(A177,fish_lab_data!C:C,0)))</f>
        <v>869</v>
      </c>
    </row>
    <row r="178">
      <c r="A178" s="25" t="s">
        <v>1276</v>
      </c>
      <c r="B178" s="25">
        <v>0.0</v>
      </c>
      <c r="C178" s="25">
        <v>0.0</v>
      </c>
      <c r="D178" s="25">
        <v>0.0</v>
      </c>
      <c r="E178" s="25">
        <v>0.0</v>
      </c>
      <c r="F178" s="25">
        <v>0.0</v>
      </c>
      <c r="G178" s="25">
        <v>0.0</v>
      </c>
      <c r="H178" s="25">
        <v>0.0</v>
      </c>
      <c r="I178" s="25">
        <v>0.0</v>
      </c>
      <c r="J178" s="25">
        <v>0.0</v>
      </c>
      <c r="K178" s="25">
        <v>0.0</v>
      </c>
      <c r="L178" s="25">
        <v>0.0</v>
      </c>
      <c r="M178" s="17">
        <f t="shared" si="1"/>
        <v>0</v>
      </c>
      <c r="N178" s="24" t="str">
        <f t="array" ref="N178">if(isblank(A178),"",index(fish_lab_data!O:O,match(A178,fish_lab_data!C:C,0)))</f>
        <v>EJ</v>
      </c>
      <c r="O178" s="24" t="str">
        <f t="array" ref="O178">index(fish_lab_data!Q:Q,match(A178,fish_lab_data!C:C,0))</f>
        <v>lab_motiles_etoh</v>
      </c>
      <c r="P178" s="24" t="str">
        <f t="array" ref="P178">if(and(iserror(index(sea_lice!G:G,match(A178,sea_lice!A:A,0))),M178=0),"NA",index(sea_lice!G:G,match(A178,sea_lice!A:A,0)))</f>
        <v>NA</v>
      </c>
      <c r="Q178" s="24">
        <f t="array" ref="Q178">if(isblank(A178),"",index(fish_lab_data!X:X,match(A178,fish_lab_data!C:C,0)))</f>
        <v>870</v>
      </c>
    </row>
    <row r="179">
      <c r="A179" s="26" t="s">
        <v>1278</v>
      </c>
      <c r="B179" s="9">
        <v>0.0</v>
      </c>
      <c r="C179" s="9">
        <v>0.0</v>
      </c>
      <c r="D179" s="9">
        <v>1.0</v>
      </c>
      <c r="E179" s="9">
        <v>0.0</v>
      </c>
      <c r="F179" s="9">
        <v>0.0</v>
      </c>
      <c r="G179" s="9">
        <v>0.0</v>
      </c>
      <c r="H179" s="9">
        <v>0.0</v>
      </c>
      <c r="I179" s="9">
        <v>0.0</v>
      </c>
      <c r="J179" s="9">
        <v>0.0</v>
      </c>
      <c r="K179" s="9">
        <v>0.0</v>
      </c>
      <c r="L179" s="9">
        <v>0.0</v>
      </c>
      <c r="M179" s="17">
        <f t="shared" si="1"/>
        <v>1</v>
      </c>
      <c r="N179" s="24" t="str">
        <f t="array" ref="N179">if(isblank(A179),"",index(fish_lab_data!O:O,match(A179,fish_lab_data!C:C,0)))</f>
        <v>EJ</v>
      </c>
      <c r="O179" s="24" t="str">
        <f t="array" ref="O179">index(fish_lab_data!Q:Q,match(A179,fish_lab_data!C:C,0))</f>
        <v>lab_motiles_etoh</v>
      </c>
      <c r="P179" s="24" t="str">
        <f t="array" ref="P179">if(and(iserror(index(sea_lice!G:G,match(A179,sea_lice!A:A,0))),M179=0),"NA",index(sea_lice!G:G,match(A179,sea_lice!A:A,0)))</f>
        <v>BSL6-92</v>
      </c>
      <c r="Q179" s="24">
        <f t="array" ref="Q179">if(isblank(A179),"",index(fish_lab_data!X:X,match(A179,fish_lab_data!C:C,0)))</f>
        <v>871</v>
      </c>
    </row>
    <row r="180">
      <c r="A180" s="25" t="s">
        <v>1279</v>
      </c>
      <c r="B180" s="25">
        <v>0.0</v>
      </c>
      <c r="C180" s="25">
        <v>0.0</v>
      </c>
      <c r="D180" s="25">
        <v>0.0</v>
      </c>
      <c r="E180" s="25">
        <v>0.0</v>
      </c>
      <c r="F180" s="25">
        <v>0.0</v>
      </c>
      <c r="G180" s="25">
        <v>0.0</v>
      </c>
      <c r="H180" s="25">
        <v>0.0</v>
      </c>
      <c r="I180" s="25">
        <v>0.0</v>
      </c>
      <c r="J180" s="25">
        <v>0.0</v>
      </c>
      <c r="K180" s="25">
        <v>0.0</v>
      </c>
      <c r="L180" s="25">
        <v>0.0</v>
      </c>
      <c r="M180" s="17">
        <f t="shared" si="1"/>
        <v>0</v>
      </c>
      <c r="N180" s="24" t="str">
        <f t="array" ref="N180">if(isblank(A180),"",index(fish_lab_data!O:O,match(A180,fish_lab_data!C:C,0)))</f>
        <v>EJ</v>
      </c>
      <c r="O180" s="24" t="str">
        <f t="array" ref="O180">index(fish_lab_data!Q:Q,match(A180,fish_lab_data!C:C,0))</f>
        <v>lab_motiles_etoh</v>
      </c>
      <c r="P180" s="24" t="str">
        <f t="array" ref="P180">if(and(iserror(index(sea_lice!G:G,match(A180,sea_lice!A:A,0))),M180=0),"NA",index(sea_lice!G:G,match(A180,sea_lice!A:A,0)))</f>
        <v>NA</v>
      </c>
      <c r="Q180" s="24">
        <f t="array" ref="Q180">if(isblank(A180),"",index(fish_lab_data!X:X,match(A180,fish_lab_data!C:C,0)))</f>
        <v>872</v>
      </c>
    </row>
    <row r="181">
      <c r="A181" s="25" t="s">
        <v>1280</v>
      </c>
      <c r="B181" s="25">
        <v>0.0</v>
      </c>
      <c r="C181" s="25">
        <v>0.0</v>
      </c>
      <c r="D181" s="25">
        <v>0.0</v>
      </c>
      <c r="E181" s="25">
        <v>0.0</v>
      </c>
      <c r="F181" s="25">
        <v>0.0</v>
      </c>
      <c r="G181" s="25">
        <v>0.0</v>
      </c>
      <c r="H181" s="25">
        <v>0.0</v>
      </c>
      <c r="I181" s="25">
        <v>0.0</v>
      </c>
      <c r="J181" s="25">
        <v>0.0</v>
      </c>
      <c r="K181" s="25">
        <v>0.0</v>
      </c>
      <c r="L181" s="25">
        <v>0.0</v>
      </c>
      <c r="M181" s="17">
        <f t="shared" si="1"/>
        <v>0</v>
      </c>
      <c r="N181" s="24" t="str">
        <f t="array" ref="N181">if(isblank(A181),"",index(fish_lab_data!O:O,match(A181,fish_lab_data!C:C,0)))</f>
        <v>EJ</v>
      </c>
      <c r="O181" s="24" t="str">
        <f t="array" ref="O181">index(fish_lab_data!Q:Q,match(A181,fish_lab_data!C:C,0))</f>
        <v>lab_motiles_etoh</v>
      </c>
      <c r="P181" s="24" t="str">
        <f t="array" ref="P181">if(and(iserror(index(sea_lice!G:G,match(A181,sea_lice!A:A,0))),M181=0),"NA",index(sea_lice!G:G,match(A181,sea_lice!A:A,0)))</f>
        <v>NA</v>
      </c>
      <c r="Q181" s="24">
        <f t="array" ref="Q181">if(isblank(A181),"",index(fish_lab_data!X:X,match(A181,fish_lab_data!C:C,0)))</f>
        <v>873</v>
      </c>
    </row>
    <row r="182">
      <c r="A182" s="25" t="s">
        <v>1282</v>
      </c>
      <c r="B182" s="25">
        <v>0.0</v>
      </c>
      <c r="C182" s="25">
        <v>0.0</v>
      </c>
      <c r="D182" s="25">
        <v>0.0</v>
      </c>
      <c r="E182" s="25">
        <v>0.0</v>
      </c>
      <c r="F182" s="25">
        <v>0.0</v>
      </c>
      <c r="G182" s="25">
        <v>0.0</v>
      </c>
      <c r="H182" s="25">
        <v>0.0</v>
      </c>
      <c r="I182" s="25">
        <v>0.0</v>
      </c>
      <c r="J182" s="25">
        <v>0.0</v>
      </c>
      <c r="K182" s="25">
        <v>0.0</v>
      </c>
      <c r="L182" s="25">
        <v>0.0</v>
      </c>
      <c r="M182" s="17">
        <f t="shared" si="1"/>
        <v>0</v>
      </c>
      <c r="N182" s="24" t="str">
        <f t="array" ref="N182">if(isblank(A182),"",index(fish_lab_data!O:O,match(A182,fish_lab_data!C:C,0)))</f>
        <v>EJ</v>
      </c>
      <c r="O182" s="24" t="str">
        <f t="array" ref="O182">index(fish_lab_data!Q:Q,match(A182,fish_lab_data!C:C,0))</f>
        <v>lab_motiles_etoh</v>
      </c>
      <c r="P182" s="24" t="str">
        <f t="array" ref="P182">if(and(iserror(index(sea_lice!G:G,match(A182,sea_lice!A:A,0))),M182=0),"NA",index(sea_lice!G:G,match(A182,sea_lice!A:A,0)))</f>
        <v>NA</v>
      </c>
      <c r="Q182" s="24">
        <f t="array" ref="Q182">if(isblank(A182),"",index(fish_lab_data!X:X,match(A182,fish_lab_data!C:C,0)))</f>
        <v>874</v>
      </c>
    </row>
    <row r="183">
      <c r="A183" s="25" t="s">
        <v>1283</v>
      </c>
      <c r="B183" s="25">
        <v>0.0</v>
      </c>
      <c r="C183" s="25">
        <v>0.0</v>
      </c>
      <c r="D183" s="25">
        <v>0.0</v>
      </c>
      <c r="E183" s="25">
        <v>0.0</v>
      </c>
      <c r="F183" s="25">
        <v>0.0</v>
      </c>
      <c r="G183" s="25">
        <v>0.0</v>
      </c>
      <c r="H183" s="25">
        <v>0.0</v>
      </c>
      <c r="I183" s="25">
        <v>0.0</v>
      </c>
      <c r="J183" s="25">
        <v>0.0</v>
      </c>
      <c r="K183" s="25">
        <v>0.0</v>
      </c>
      <c r="L183" s="25">
        <v>0.0</v>
      </c>
      <c r="M183" s="17">
        <f t="shared" si="1"/>
        <v>0</v>
      </c>
      <c r="N183" s="24" t="str">
        <f t="array" ref="N183">if(isblank(A183),"",index(fish_lab_data!O:O,match(A183,fish_lab_data!C:C,0)))</f>
        <v>EJ</v>
      </c>
      <c r="O183" s="24" t="str">
        <f t="array" ref="O183">index(fish_lab_data!Q:Q,match(A183,fish_lab_data!C:C,0))</f>
        <v>lab_motiles_etoh</v>
      </c>
      <c r="P183" s="24" t="str">
        <f t="array" ref="P183">if(and(iserror(index(sea_lice!G:G,match(A183,sea_lice!A:A,0))),M183=0),"NA",index(sea_lice!G:G,match(A183,sea_lice!A:A,0)))</f>
        <v>NA</v>
      </c>
      <c r="Q183" s="24">
        <f t="array" ref="Q183">if(isblank(A183),"",index(fish_lab_data!X:X,match(A183,fish_lab_data!C:C,0)))</f>
        <v>875</v>
      </c>
    </row>
    <row r="184">
      <c r="A184" s="25" t="s">
        <v>1284</v>
      </c>
      <c r="B184" s="25">
        <v>0.0</v>
      </c>
      <c r="C184" s="25">
        <v>0.0</v>
      </c>
      <c r="D184" s="25">
        <v>0.0</v>
      </c>
      <c r="E184" s="25">
        <v>0.0</v>
      </c>
      <c r="F184" s="25">
        <v>0.0</v>
      </c>
      <c r="G184" s="25">
        <v>0.0</v>
      </c>
      <c r="H184" s="25">
        <v>0.0</v>
      </c>
      <c r="I184" s="25">
        <v>0.0</v>
      </c>
      <c r="J184" s="25">
        <v>0.0</v>
      </c>
      <c r="K184" s="25">
        <v>0.0</v>
      </c>
      <c r="L184" s="25">
        <v>0.0</v>
      </c>
      <c r="M184" s="17">
        <f t="shared" si="1"/>
        <v>0</v>
      </c>
      <c r="N184" s="24" t="str">
        <f t="array" ref="N184">if(isblank(A184),"",index(fish_lab_data!O:O,match(A184,fish_lab_data!C:C,0)))</f>
        <v>EJ</v>
      </c>
      <c r="O184" s="24" t="str">
        <f t="array" ref="O184">index(fish_lab_data!Q:Q,match(A184,fish_lab_data!C:C,0))</f>
        <v>lab_motiles_etoh</v>
      </c>
      <c r="P184" s="24" t="str">
        <f t="array" ref="P184">if(and(iserror(index(sea_lice!G:G,match(A184,sea_lice!A:A,0))),M184=0),"NA",index(sea_lice!G:G,match(A184,sea_lice!A:A,0)))</f>
        <v>NA</v>
      </c>
      <c r="Q184" s="24">
        <f t="array" ref="Q184">if(isblank(A184),"",index(fish_lab_data!X:X,match(A184,fish_lab_data!C:C,0)))</f>
        <v>876</v>
      </c>
    </row>
    <row r="185">
      <c r="A185" s="25" t="s">
        <v>1286</v>
      </c>
      <c r="B185" s="25">
        <v>0.0</v>
      </c>
      <c r="C185" s="25">
        <v>0.0</v>
      </c>
      <c r="D185" s="25">
        <v>0.0</v>
      </c>
      <c r="E185" s="25">
        <v>0.0</v>
      </c>
      <c r="F185" s="25">
        <v>0.0</v>
      </c>
      <c r="G185" s="25">
        <v>0.0</v>
      </c>
      <c r="H185" s="25">
        <v>0.0</v>
      </c>
      <c r="I185" s="25">
        <v>0.0</v>
      </c>
      <c r="J185" s="25">
        <v>0.0</v>
      </c>
      <c r="K185" s="25">
        <v>0.0</v>
      </c>
      <c r="L185" s="25">
        <v>0.0</v>
      </c>
      <c r="M185" s="17">
        <f t="shared" si="1"/>
        <v>0</v>
      </c>
      <c r="N185" s="24" t="str">
        <f t="array" ref="N185">if(isblank(A185),"",index(fish_lab_data!O:O,match(A185,fish_lab_data!C:C,0)))</f>
        <v>EJ</v>
      </c>
      <c r="O185" s="24" t="str">
        <f t="array" ref="O185">index(fish_lab_data!Q:Q,match(A185,fish_lab_data!C:C,0))</f>
        <v>lab_motiles_etoh</v>
      </c>
      <c r="P185" s="24" t="str">
        <f t="array" ref="P185">if(and(iserror(index(sea_lice!G:G,match(A185,sea_lice!A:A,0))),M185=0),"NA",index(sea_lice!G:G,match(A185,sea_lice!A:A,0)))</f>
        <v>NA</v>
      </c>
      <c r="Q185" s="24">
        <f t="array" ref="Q185">if(isblank(A185),"",index(fish_lab_data!X:X,match(A185,fish_lab_data!C:C,0)))</f>
        <v>877</v>
      </c>
    </row>
    <row r="186">
      <c r="A186" s="25" t="s">
        <v>1287</v>
      </c>
      <c r="B186" s="25">
        <v>0.0</v>
      </c>
      <c r="C186" s="25">
        <v>0.0</v>
      </c>
      <c r="D186" s="25">
        <v>0.0</v>
      </c>
      <c r="E186" s="25">
        <v>0.0</v>
      </c>
      <c r="F186" s="25">
        <v>0.0</v>
      </c>
      <c r="G186" s="25">
        <v>0.0</v>
      </c>
      <c r="H186" s="25">
        <v>0.0</v>
      </c>
      <c r="I186" s="25">
        <v>0.0</v>
      </c>
      <c r="J186" s="25">
        <v>0.0</v>
      </c>
      <c r="K186" s="25">
        <v>0.0</v>
      </c>
      <c r="L186" s="25">
        <v>0.0</v>
      </c>
      <c r="M186" s="17">
        <f t="shared" si="1"/>
        <v>0</v>
      </c>
      <c r="N186" s="24" t="str">
        <f t="array" ref="N186">if(isblank(A186),"",index(fish_lab_data!O:O,match(A186,fish_lab_data!C:C,0)))</f>
        <v>EJ</v>
      </c>
      <c r="O186" s="24" t="str">
        <f t="array" ref="O186">index(fish_lab_data!Q:Q,match(A186,fish_lab_data!C:C,0))</f>
        <v>lab_motiles_etoh</v>
      </c>
      <c r="P186" s="24" t="str">
        <f t="array" ref="P186">if(and(iserror(index(sea_lice!G:G,match(A186,sea_lice!A:A,0))),M186=0),"NA",index(sea_lice!G:G,match(A186,sea_lice!A:A,0)))</f>
        <v>NA</v>
      </c>
      <c r="Q186" s="24">
        <f t="array" ref="Q186">if(isblank(A186),"",index(fish_lab_data!X:X,match(A186,fish_lab_data!C:C,0)))</f>
        <v>878</v>
      </c>
    </row>
    <row r="187">
      <c r="A187" s="25" t="s">
        <v>1289</v>
      </c>
      <c r="B187" s="25">
        <v>0.0</v>
      </c>
      <c r="C187" s="25">
        <v>0.0</v>
      </c>
      <c r="D187" s="25">
        <v>0.0</v>
      </c>
      <c r="E187" s="25">
        <v>0.0</v>
      </c>
      <c r="F187" s="25">
        <v>0.0</v>
      </c>
      <c r="G187" s="25">
        <v>0.0</v>
      </c>
      <c r="H187" s="25">
        <v>0.0</v>
      </c>
      <c r="I187" s="25">
        <v>0.0</v>
      </c>
      <c r="J187" s="25">
        <v>0.0</v>
      </c>
      <c r="K187" s="25">
        <v>0.0</v>
      </c>
      <c r="L187" s="25">
        <v>0.0</v>
      </c>
      <c r="M187" s="17">
        <f t="shared" si="1"/>
        <v>0</v>
      </c>
      <c r="N187" s="24" t="str">
        <f t="array" ref="N187">if(isblank(A187),"",index(fish_lab_data!O:O,match(A187,fish_lab_data!C:C,0)))</f>
        <v>KB</v>
      </c>
      <c r="O187" s="24" t="str">
        <f t="array" ref="O187">index(fish_lab_data!Q:Q,match(A187,fish_lab_data!C:C,0))</f>
        <v>lab_motiles_etoh</v>
      </c>
      <c r="P187" s="24" t="str">
        <f t="array" ref="P187">if(and(iserror(index(sea_lice!G:G,match(A187,sea_lice!A:A,0))),M187=0),"NA",index(sea_lice!G:G,match(A187,sea_lice!A:A,0)))</f>
        <v>NA</v>
      </c>
      <c r="Q187" s="24">
        <f t="array" ref="Q187">if(isblank(A187),"",index(fish_lab_data!X:X,match(A187,fish_lab_data!C:C,0)))</f>
        <v>879</v>
      </c>
    </row>
    <row r="188">
      <c r="A188" s="25" t="s">
        <v>1290</v>
      </c>
      <c r="B188" s="25">
        <v>0.0</v>
      </c>
      <c r="C188" s="25">
        <v>0.0</v>
      </c>
      <c r="D188" s="25">
        <v>0.0</v>
      </c>
      <c r="E188" s="25">
        <v>0.0</v>
      </c>
      <c r="F188" s="25">
        <v>0.0</v>
      </c>
      <c r="G188" s="25">
        <v>0.0</v>
      </c>
      <c r="H188" s="25">
        <v>0.0</v>
      </c>
      <c r="I188" s="25">
        <v>0.0</v>
      </c>
      <c r="J188" s="25">
        <v>0.0</v>
      </c>
      <c r="K188" s="25">
        <v>0.0</v>
      </c>
      <c r="L188" s="25">
        <v>0.0</v>
      </c>
      <c r="M188" s="17">
        <f t="shared" si="1"/>
        <v>0</v>
      </c>
      <c r="N188" s="24" t="str">
        <f t="array" ref="N188">if(isblank(A188),"",index(fish_lab_data!O:O,match(A188,fish_lab_data!C:C,0)))</f>
        <v>KB</v>
      </c>
      <c r="O188" s="24" t="str">
        <f t="array" ref="O188">index(fish_lab_data!Q:Q,match(A188,fish_lab_data!C:C,0))</f>
        <v>lab_motiles_etoh</v>
      </c>
      <c r="P188" s="24" t="str">
        <f t="array" ref="P188">if(and(iserror(index(sea_lice!G:G,match(A188,sea_lice!A:A,0))),M188=0),"NA",index(sea_lice!G:G,match(A188,sea_lice!A:A,0)))</f>
        <v>NA</v>
      </c>
      <c r="Q188" s="24">
        <f t="array" ref="Q188">if(isblank(A188),"",index(fish_lab_data!X:X,match(A188,fish_lab_data!C:C,0)))</f>
        <v>880</v>
      </c>
    </row>
    <row r="189">
      <c r="A189" s="25" t="s">
        <v>1291</v>
      </c>
      <c r="B189" s="25">
        <v>0.0</v>
      </c>
      <c r="C189" s="25">
        <v>0.0</v>
      </c>
      <c r="D189" s="25">
        <v>0.0</v>
      </c>
      <c r="E189" s="25">
        <v>0.0</v>
      </c>
      <c r="F189" s="25">
        <v>0.0</v>
      </c>
      <c r="G189" s="25">
        <v>0.0</v>
      </c>
      <c r="H189" s="25">
        <v>0.0</v>
      </c>
      <c r="I189" s="25">
        <v>0.0</v>
      </c>
      <c r="J189" s="25">
        <v>0.0</v>
      </c>
      <c r="K189" s="25">
        <v>0.0</v>
      </c>
      <c r="L189" s="25">
        <v>0.0</v>
      </c>
      <c r="M189" s="17">
        <f t="shared" si="1"/>
        <v>0</v>
      </c>
      <c r="N189" s="24" t="str">
        <f t="array" ref="N189">if(isblank(A189),"",index(fish_lab_data!O:O,match(A189,fish_lab_data!C:C,0)))</f>
        <v>KB</v>
      </c>
      <c r="O189" s="24" t="str">
        <f t="array" ref="O189">index(fish_lab_data!Q:Q,match(A189,fish_lab_data!C:C,0))</f>
        <v>lab_motiles_etoh</v>
      </c>
      <c r="P189" s="24" t="str">
        <f t="array" ref="P189">if(and(iserror(index(sea_lice!G:G,match(A189,sea_lice!A:A,0))),M189=0),"NA",index(sea_lice!G:G,match(A189,sea_lice!A:A,0)))</f>
        <v>NA</v>
      </c>
      <c r="Q189" s="24">
        <f t="array" ref="Q189">if(isblank(A189),"",index(fish_lab_data!X:X,match(A189,fish_lab_data!C:C,0)))</f>
        <v>881</v>
      </c>
    </row>
    <row r="190">
      <c r="A190" s="25" t="s">
        <v>1292</v>
      </c>
      <c r="B190" s="25">
        <v>0.0</v>
      </c>
      <c r="C190" s="25">
        <v>0.0</v>
      </c>
      <c r="D190" s="25">
        <v>0.0</v>
      </c>
      <c r="E190" s="25">
        <v>0.0</v>
      </c>
      <c r="F190" s="25">
        <v>0.0</v>
      </c>
      <c r="G190" s="25">
        <v>0.0</v>
      </c>
      <c r="H190" s="25">
        <v>0.0</v>
      </c>
      <c r="I190" s="25">
        <v>0.0</v>
      </c>
      <c r="J190" s="25">
        <v>0.0</v>
      </c>
      <c r="K190" s="25">
        <v>0.0</v>
      </c>
      <c r="L190" s="25">
        <v>0.0</v>
      </c>
      <c r="M190" s="17">
        <f t="shared" si="1"/>
        <v>0</v>
      </c>
      <c r="N190" s="24" t="str">
        <f t="array" ref="N190">if(isblank(A190),"",index(fish_lab_data!O:O,match(A190,fish_lab_data!C:C,0)))</f>
        <v>KB</v>
      </c>
      <c r="O190" s="24" t="str">
        <f t="array" ref="O190">index(fish_lab_data!Q:Q,match(A190,fish_lab_data!C:C,0))</f>
        <v>lab_motiles_etoh</v>
      </c>
      <c r="P190" s="24" t="str">
        <f t="array" ref="P190">if(and(iserror(index(sea_lice!G:G,match(A190,sea_lice!A:A,0))),M190=0),"NA",index(sea_lice!G:G,match(A190,sea_lice!A:A,0)))</f>
        <v>NA</v>
      </c>
      <c r="Q190" s="24">
        <f t="array" ref="Q190">if(isblank(A190),"",index(fish_lab_data!X:X,match(A190,fish_lab_data!C:C,0)))</f>
        <v>882</v>
      </c>
    </row>
    <row r="191">
      <c r="A191" s="25" t="s">
        <v>1294</v>
      </c>
      <c r="B191" s="25">
        <v>0.0</v>
      </c>
      <c r="C191" s="25">
        <v>0.0</v>
      </c>
      <c r="D191" s="25">
        <v>0.0</v>
      </c>
      <c r="E191" s="25">
        <v>0.0</v>
      </c>
      <c r="F191" s="25">
        <v>0.0</v>
      </c>
      <c r="G191" s="25">
        <v>0.0</v>
      </c>
      <c r="H191" s="25">
        <v>0.0</v>
      </c>
      <c r="I191" s="25">
        <v>0.0</v>
      </c>
      <c r="J191" s="25">
        <v>0.0</v>
      </c>
      <c r="K191" s="25">
        <v>0.0</v>
      </c>
      <c r="L191" s="25">
        <v>0.0</v>
      </c>
      <c r="M191" s="17">
        <f t="shared" si="1"/>
        <v>0</v>
      </c>
      <c r="N191" s="24" t="str">
        <f t="array" ref="N191">if(isblank(A191),"",index(fish_lab_data!O:O,match(A191,fish_lab_data!C:C,0)))</f>
        <v>KB</v>
      </c>
      <c r="O191" s="24" t="str">
        <f t="array" ref="O191">index(fish_lab_data!Q:Q,match(A191,fish_lab_data!C:C,0))</f>
        <v>lab_motiles_etoh</v>
      </c>
      <c r="P191" s="24" t="str">
        <f t="array" ref="P191">if(and(iserror(index(sea_lice!G:G,match(A191,sea_lice!A:A,0))),M191=0),"NA",index(sea_lice!G:G,match(A191,sea_lice!A:A,0)))</f>
        <v>NA</v>
      </c>
      <c r="Q191" s="24">
        <f t="array" ref="Q191">if(isblank(A191),"",index(fish_lab_data!X:X,match(A191,fish_lab_data!C:C,0)))</f>
        <v>883</v>
      </c>
    </row>
    <row r="192">
      <c r="A192" s="25" t="s">
        <v>1295</v>
      </c>
      <c r="B192" s="25">
        <v>0.0</v>
      </c>
      <c r="C192" s="25">
        <v>0.0</v>
      </c>
      <c r="D192" s="25">
        <v>0.0</v>
      </c>
      <c r="E192" s="25">
        <v>0.0</v>
      </c>
      <c r="F192" s="25">
        <v>0.0</v>
      </c>
      <c r="G192" s="25">
        <v>0.0</v>
      </c>
      <c r="H192" s="25">
        <v>0.0</v>
      </c>
      <c r="I192" s="25">
        <v>0.0</v>
      </c>
      <c r="J192" s="25">
        <v>0.0</v>
      </c>
      <c r="K192" s="25">
        <v>0.0</v>
      </c>
      <c r="L192" s="25">
        <v>0.0</v>
      </c>
      <c r="M192" s="17">
        <f t="shared" si="1"/>
        <v>0</v>
      </c>
      <c r="N192" s="24" t="str">
        <f t="array" ref="N192">if(isblank(A192),"",index(fish_lab_data!O:O,match(A192,fish_lab_data!C:C,0)))</f>
        <v>EJ</v>
      </c>
      <c r="O192" s="24" t="str">
        <f t="array" ref="O192">index(fish_lab_data!Q:Q,match(A192,fish_lab_data!C:C,0))</f>
        <v>lab_motiles_etoh</v>
      </c>
      <c r="P192" s="24" t="str">
        <f t="array" ref="P192">if(and(iserror(index(sea_lice!G:G,match(A192,sea_lice!A:A,0))),M192=0),"NA",index(sea_lice!G:G,match(A192,sea_lice!A:A,0)))</f>
        <v>NA</v>
      </c>
      <c r="Q192" s="24">
        <f t="array" ref="Q192">if(isblank(A192),"",index(fish_lab_data!X:X,match(A192,fish_lab_data!C:C,0)))</f>
        <v>884</v>
      </c>
    </row>
    <row r="193">
      <c r="A193" s="25" t="s">
        <v>1296</v>
      </c>
      <c r="B193" s="25">
        <v>0.0</v>
      </c>
      <c r="C193" s="25">
        <v>0.0</v>
      </c>
      <c r="D193" s="25">
        <v>0.0</v>
      </c>
      <c r="E193" s="25">
        <v>0.0</v>
      </c>
      <c r="F193" s="25">
        <v>0.0</v>
      </c>
      <c r="G193" s="25">
        <v>0.0</v>
      </c>
      <c r="H193" s="25">
        <v>0.0</v>
      </c>
      <c r="I193" s="25">
        <v>0.0</v>
      </c>
      <c r="J193" s="25">
        <v>0.0</v>
      </c>
      <c r="K193" s="25">
        <v>0.0</v>
      </c>
      <c r="L193" s="25">
        <v>0.0</v>
      </c>
      <c r="M193" s="17">
        <f t="shared" si="1"/>
        <v>0</v>
      </c>
      <c r="N193" s="24" t="str">
        <f t="array" ref="N193">if(isblank(A193),"",index(fish_lab_data!O:O,match(A193,fish_lab_data!C:C,0)))</f>
        <v>EJ</v>
      </c>
      <c r="O193" s="24" t="str">
        <f t="array" ref="O193">index(fish_lab_data!Q:Q,match(A193,fish_lab_data!C:C,0))</f>
        <v>lab_motiles_etoh</v>
      </c>
      <c r="P193" s="24" t="str">
        <f t="array" ref="P193">if(and(iserror(index(sea_lice!G:G,match(A193,sea_lice!A:A,0))),M193=0),"NA",index(sea_lice!G:G,match(A193,sea_lice!A:A,0)))</f>
        <v>NA</v>
      </c>
      <c r="Q193" s="24">
        <f t="array" ref="Q193">if(isblank(A193),"",index(fish_lab_data!X:X,match(A193,fish_lab_data!C:C,0)))</f>
        <v>885</v>
      </c>
    </row>
    <row r="194">
      <c r="A194" s="25" t="s">
        <v>1297</v>
      </c>
      <c r="B194" s="25">
        <v>0.0</v>
      </c>
      <c r="C194" s="25">
        <v>0.0</v>
      </c>
      <c r="D194" s="25">
        <v>0.0</v>
      </c>
      <c r="E194" s="25">
        <v>0.0</v>
      </c>
      <c r="F194" s="25">
        <v>0.0</v>
      </c>
      <c r="G194" s="25">
        <v>0.0</v>
      </c>
      <c r="H194" s="25">
        <v>0.0</v>
      </c>
      <c r="I194" s="25">
        <v>0.0</v>
      </c>
      <c r="J194" s="25">
        <v>0.0</v>
      </c>
      <c r="K194" s="25">
        <v>0.0</v>
      </c>
      <c r="L194" s="25">
        <v>0.0</v>
      </c>
      <c r="M194" s="17">
        <f t="shared" si="1"/>
        <v>0</v>
      </c>
      <c r="N194" s="24" t="str">
        <f t="array" ref="N194">if(isblank(A194),"",index(fish_lab_data!O:O,match(A194,fish_lab_data!C:C,0)))</f>
        <v>EJ</v>
      </c>
      <c r="O194" s="24" t="str">
        <f t="array" ref="O194">index(fish_lab_data!Q:Q,match(A194,fish_lab_data!C:C,0))</f>
        <v>lab_motiles_etoh</v>
      </c>
      <c r="P194" s="24" t="str">
        <f t="array" ref="P194">if(and(iserror(index(sea_lice!G:G,match(A194,sea_lice!A:A,0))),M194=0),"NA",index(sea_lice!G:G,match(A194,sea_lice!A:A,0)))</f>
        <v>NA</v>
      </c>
      <c r="Q194" s="24">
        <f t="array" ref="Q194">if(isblank(A194),"",index(fish_lab_data!X:X,match(A194,fish_lab_data!C:C,0)))</f>
        <v>886</v>
      </c>
    </row>
    <row r="195">
      <c r="A195" s="25" t="s">
        <v>1299</v>
      </c>
      <c r="B195" s="25">
        <v>0.0</v>
      </c>
      <c r="C195" s="25">
        <v>0.0</v>
      </c>
      <c r="D195" s="25">
        <v>0.0</v>
      </c>
      <c r="E195" s="25">
        <v>0.0</v>
      </c>
      <c r="F195" s="25">
        <v>0.0</v>
      </c>
      <c r="G195" s="25">
        <v>0.0</v>
      </c>
      <c r="H195" s="25">
        <v>0.0</v>
      </c>
      <c r="I195" s="25">
        <v>0.0</v>
      </c>
      <c r="J195" s="25">
        <v>0.0</v>
      </c>
      <c r="K195" s="25">
        <v>0.0</v>
      </c>
      <c r="L195" s="25">
        <v>0.0</v>
      </c>
      <c r="M195" s="17">
        <f t="shared" si="1"/>
        <v>0</v>
      </c>
      <c r="N195" s="24" t="str">
        <f t="array" ref="N195">if(isblank(A195),"",index(fish_lab_data!O:O,match(A195,fish_lab_data!C:C,0)))</f>
        <v>EJ</v>
      </c>
      <c r="O195" s="24" t="str">
        <f t="array" ref="O195">index(fish_lab_data!Q:Q,match(A195,fish_lab_data!C:C,0))</f>
        <v>lab_motiles_etoh</v>
      </c>
      <c r="P195" s="24" t="str">
        <f t="array" ref="P195">if(and(iserror(index(sea_lice!G:G,match(A195,sea_lice!A:A,0))),M195=0),"NA",index(sea_lice!G:G,match(A195,sea_lice!A:A,0)))</f>
        <v>NA</v>
      </c>
      <c r="Q195" s="24">
        <f t="array" ref="Q195">if(isblank(A195),"",index(fish_lab_data!X:X,match(A195,fish_lab_data!C:C,0)))</f>
        <v>887</v>
      </c>
    </row>
    <row r="196">
      <c r="A196" s="25" t="s">
        <v>1300</v>
      </c>
      <c r="B196" s="25">
        <v>0.0</v>
      </c>
      <c r="C196" s="25">
        <v>0.0</v>
      </c>
      <c r="D196" s="25">
        <v>0.0</v>
      </c>
      <c r="E196" s="25">
        <v>0.0</v>
      </c>
      <c r="F196" s="25">
        <v>0.0</v>
      </c>
      <c r="G196" s="25">
        <v>0.0</v>
      </c>
      <c r="H196" s="25">
        <v>0.0</v>
      </c>
      <c r="I196" s="25">
        <v>0.0</v>
      </c>
      <c r="J196" s="25">
        <v>0.0</v>
      </c>
      <c r="K196" s="25">
        <v>0.0</v>
      </c>
      <c r="L196" s="25">
        <v>0.0</v>
      </c>
      <c r="M196" s="17">
        <f t="shared" si="1"/>
        <v>0</v>
      </c>
      <c r="N196" s="24" t="str">
        <f t="array" ref="N196">if(isblank(A196),"",index(fish_lab_data!O:O,match(A196,fish_lab_data!C:C,0)))</f>
        <v>EJ</v>
      </c>
      <c r="O196" s="24" t="str">
        <f t="array" ref="O196">index(fish_lab_data!Q:Q,match(A196,fish_lab_data!C:C,0))</f>
        <v>lab_motiles_etoh</v>
      </c>
      <c r="P196" s="24" t="str">
        <f t="array" ref="P196">if(and(iserror(index(sea_lice!G:G,match(A196,sea_lice!A:A,0))),M196=0),"NA",index(sea_lice!G:G,match(A196,sea_lice!A:A,0)))</f>
        <v>NA</v>
      </c>
      <c r="Q196" s="24">
        <f t="array" ref="Q196">if(isblank(A196),"",index(fish_lab_data!X:X,match(A196,fish_lab_data!C:C,0)))</f>
        <v>888</v>
      </c>
    </row>
    <row r="197">
      <c r="A197" s="25" t="s">
        <v>1301</v>
      </c>
      <c r="B197" s="25">
        <v>0.0</v>
      </c>
      <c r="C197" s="25">
        <v>0.0</v>
      </c>
      <c r="D197" s="25">
        <v>0.0</v>
      </c>
      <c r="E197" s="25">
        <v>0.0</v>
      </c>
      <c r="F197" s="25">
        <v>0.0</v>
      </c>
      <c r="G197" s="25">
        <v>0.0</v>
      </c>
      <c r="H197" s="25">
        <v>0.0</v>
      </c>
      <c r="I197" s="25">
        <v>0.0</v>
      </c>
      <c r="J197" s="25">
        <v>0.0</v>
      </c>
      <c r="K197" s="25">
        <v>0.0</v>
      </c>
      <c r="L197" s="25">
        <v>0.0</v>
      </c>
      <c r="M197" s="17">
        <f t="shared" si="1"/>
        <v>0</v>
      </c>
      <c r="N197" s="24" t="str">
        <f t="array" ref="N197">if(isblank(A197),"",index(fish_lab_data!O:O,match(A197,fish_lab_data!C:C,0)))</f>
        <v>EJ</v>
      </c>
      <c r="O197" s="24" t="str">
        <f t="array" ref="O197">index(fish_lab_data!Q:Q,match(A197,fish_lab_data!C:C,0))</f>
        <v>lab_motiles_etoh</v>
      </c>
      <c r="P197" s="24" t="str">
        <f t="array" ref="P197">if(and(iserror(index(sea_lice!G:G,match(A197,sea_lice!A:A,0))),M197=0),"NA",index(sea_lice!G:G,match(A197,sea_lice!A:A,0)))</f>
        <v>NA</v>
      </c>
      <c r="Q197" s="24">
        <f t="array" ref="Q197">if(isblank(A197),"",index(fish_lab_data!X:X,match(A197,fish_lab_data!C:C,0)))</f>
        <v>889</v>
      </c>
    </row>
    <row r="198">
      <c r="A198" s="25" t="s">
        <v>1302</v>
      </c>
      <c r="B198" s="25">
        <v>0.0</v>
      </c>
      <c r="C198" s="25">
        <v>0.0</v>
      </c>
      <c r="D198" s="25">
        <v>0.0</v>
      </c>
      <c r="E198" s="25">
        <v>0.0</v>
      </c>
      <c r="F198" s="25">
        <v>0.0</v>
      </c>
      <c r="G198" s="25">
        <v>0.0</v>
      </c>
      <c r="H198" s="25">
        <v>0.0</v>
      </c>
      <c r="I198" s="25">
        <v>0.0</v>
      </c>
      <c r="J198" s="25">
        <v>0.0</v>
      </c>
      <c r="K198" s="25">
        <v>0.0</v>
      </c>
      <c r="L198" s="25">
        <v>0.0</v>
      </c>
      <c r="M198" s="17">
        <f t="shared" si="1"/>
        <v>0</v>
      </c>
      <c r="N198" s="24" t="str">
        <f t="array" ref="N198">if(isblank(A198),"",index(fish_lab_data!O:O,match(A198,fish_lab_data!C:C,0)))</f>
        <v>EJ</v>
      </c>
      <c r="O198" s="24" t="str">
        <f t="array" ref="O198">index(fish_lab_data!Q:Q,match(A198,fish_lab_data!C:C,0))</f>
        <v>lab_motiles_etoh</v>
      </c>
      <c r="P198" s="24" t="str">
        <f t="array" ref="P198">if(and(iserror(index(sea_lice!G:G,match(A198,sea_lice!A:A,0))),M198=0),"NA",index(sea_lice!G:G,match(A198,sea_lice!A:A,0)))</f>
        <v>NA</v>
      </c>
      <c r="Q198" s="24">
        <f t="array" ref="Q198">if(isblank(A198),"",index(fish_lab_data!X:X,match(A198,fish_lab_data!C:C,0)))</f>
        <v>890</v>
      </c>
    </row>
    <row r="199">
      <c r="A199" s="26" t="s">
        <v>1304</v>
      </c>
      <c r="B199" s="9">
        <v>0.0</v>
      </c>
      <c r="C199" s="9">
        <v>0.0</v>
      </c>
      <c r="D199" s="9">
        <v>0.0</v>
      </c>
      <c r="E199" s="9">
        <v>0.0</v>
      </c>
      <c r="F199" s="9">
        <v>0.0</v>
      </c>
      <c r="G199" s="9">
        <v>0.0</v>
      </c>
      <c r="H199" s="9">
        <v>0.0</v>
      </c>
      <c r="I199" s="9">
        <v>2.0</v>
      </c>
      <c r="J199" s="9">
        <v>0.0</v>
      </c>
      <c r="K199" s="9">
        <v>0.0</v>
      </c>
      <c r="L199" s="9">
        <v>0.0</v>
      </c>
      <c r="M199" s="17">
        <f t="shared" si="1"/>
        <v>2</v>
      </c>
      <c r="N199" s="24" t="str">
        <f t="array" ref="N199">if(isblank(A199),"",index(fish_lab_data!O:O,match(A199,fish_lab_data!C:C,0)))</f>
        <v>EJ</v>
      </c>
      <c r="O199" s="24" t="str">
        <f t="array" ref="O199">index(fish_lab_data!Q:Q,match(A199,fish_lab_data!C:C,0))</f>
        <v>lab_motiles_etoh</v>
      </c>
      <c r="P199" s="24" t="str">
        <f t="array" ref="P199">if(and(iserror(index(sea_lice!G:G,match(A199,sea_lice!A:A,0))),M199=0),"NA",index(sea_lice!G:G,match(A199,sea_lice!A:A,0)))</f>
        <v>BSL7-1</v>
      </c>
      <c r="Q199" s="24">
        <f t="array" ref="Q199">if(isblank(A199),"",index(fish_lab_data!X:X,match(A199,fish_lab_data!C:C,0)))</f>
        <v>891</v>
      </c>
    </row>
    <row r="200">
      <c r="A200" s="25" t="s">
        <v>1305</v>
      </c>
      <c r="B200" s="25">
        <v>0.0</v>
      </c>
      <c r="C200" s="25">
        <v>0.0</v>
      </c>
      <c r="D200" s="25">
        <v>0.0</v>
      </c>
      <c r="E200" s="25">
        <v>0.0</v>
      </c>
      <c r="F200" s="25">
        <v>0.0</v>
      </c>
      <c r="G200" s="25">
        <v>0.0</v>
      </c>
      <c r="H200" s="25">
        <v>0.0</v>
      </c>
      <c r="I200" s="25">
        <v>0.0</v>
      </c>
      <c r="J200" s="25">
        <v>0.0</v>
      </c>
      <c r="K200" s="25">
        <v>0.0</v>
      </c>
      <c r="L200" s="25">
        <v>0.0</v>
      </c>
      <c r="M200" s="17">
        <f t="shared" si="1"/>
        <v>0</v>
      </c>
      <c r="N200" s="24" t="str">
        <f t="array" ref="N200">if(isblank(A200),"",index(fish_lab_data!O:O,match(A200,fish_lab_data!C:C,0)))</f>
        <v>EJ</v>
      </c>
      <c r="O200" s="24" t="str">
        <f t="array" ref="O200">index(fish_lab_data!Q:Q,match(A200,fish_lab_data!C:C,0))</f>
        <v>lab_motiles_etoh</v>
      </c>
      <c r="P200" s="24" t="str">
        <f t="array" ref="P200">if(and(iserror(index(sea_lice!G:G,match(A200,sea_lice!A:A,0))),M200=0),"NA",index(sea_lice!G:G,match(A200,sea_lice!A:A,0)))</f>
        <v>NA</v>
      </c>
      <c r="Q200" s="24">
        <f t="array" ref="Q200">if(isblank(A200),"",index(fish_lab_data!X:X,match(A200,fish_lab_data!C:C,0)))</f>
        <v>892</v>
      </c>
    </row>
    <row r="201">
      <c r="A201" s="25" t="s">
        <v>1306</v>
      </c>
      <c r="B201" s="25">
        <v>0.0</v>
      </c>
      <c r="C201" s="25">
        <v>0.0</v>
      </c>
      <c r="D201" s="25">
        <v>0.0</v>
      </c>
      <c r="E201" s="25">
        <v>0.0</v>
      </c>
      <c r="F201" s="25">
        <v>0.0</v>
      </c>
      <c r="G201" s="25">
        <v>0.0</v>
      </c>
      <c r="H201" s="25">
        <v>0.0</v>
      </c>
      <c r="I201" s="25">
        <v>0.0</v>
      </c>
      <c r="J201" s="25">
        <v>0.0</v>
      </c>
      <c r="K201" s="25">
        <v>0.0</v>
      </c>
      <c r="L201" s="25">
        <v>0.0</v>
      </c>
      <c r="M201" s="17">
        <f t="shared" si="1"/>
        <v>0</v>
      </c>
      <c r="N201" s="24" t="str">
        <f t="array" ref="N201">if(isblank(A201),"",index(fish_lab_data!O:O,match(A201,fish_lab_data!C:C,0)))</f>
        <v>EJ</v>
      </c>
      <c r="O201" s="24" t="str">
        <f t="array" ref="O201">index(fish_lab_data!Q:Q,match(A201,fish_lab_data!C:C,0))</f>
        <v>lab_motiles_etoh</v>
      </c>
      <c r="P201" s="24" t="str">
        <f t="array" ref="P201">if(and(iserror(index(sea_lice!G:G,match(A201,sea_lice!A:A,0))),M201=0),"NA",index(sea_lice!G:G,match(A201,sea_lice!A:A,0)))</f>
        <v>NA</v>
      </c>
      <c r="Q201" s="24">
        <f t="array" ref="Q201">if(isblank(A201),"",index(fish_lab_data!X:X,match(A201,fish_lab_data!C:C,0)))</f>
        <v>893</v>
      </c>
    </row>
    <row r="202">
      <c r="A202" s="25" t="s">
        <v>1307</v>
      </c>
      <c r="B202" s="25">
        <v>0.0</v>
      </c>
      <c r="C202" s="25">
        <v>0.0</v>
      </c>
      <c r="D202" s="25">
        <v>0.0</v>
      </c>
      <c r="E202" s="25">
        <v>0.0</v>
      </c>
      <c r="F202" s="25">
        <v>0.0</v>
      </c>
      <c r="G202" s="25">
        <v>0.0</v>
      </c>
      <c r="H202" s="25">
        <v>0.0</v>
      </c>
      <c r="I202" s="25">
        <v>0.0</v>
      </c>
      <c r="J202" s="25">
        <v>0.0</v>
      </c>
      <c r="K202" s="25">
        <v>0.0</v>
      </c>
      <c r="L202" s="25">
        <v>0.0</v>
      </c>
      <c r="M202" s="17">
        <f t="shared" si="1"/>
        <v>0</v>
      </c>
      <c r="N202" s="24" t="str">
        <f t="array" ref="N202">if(isblank(A202),"",index(fish_lab_data!O:O,match(A202,fish_lab_data!C:C,0)))</f>
        <v>EJ</v>
      </c>
      <c r="O202" s="24" t="str">
        <f t="array" ref="O202">index(fish_lab_data!Q:Q,match(A202,fish_lab_data!C:C,0))</f>
        <v>lab_motiles_etoh</v>
      </c>
      <c r="P202" s="24" t="str">
        <f t="array" ref="P202">if(and(iserror(index(sea_lice!G:G,match(A202,sea_lice!A:A,0))),M202=0),"NA",index(sea_lice!G:G,match(A202,sea_lice!A:A,0)))</f>
        <v>NA</v>
      </c>
      <c r="Q202" s="24">
        <f t="array" ref="Q202">if(isblank(A202),"",index(fish_lab_data!X:X,match(A202,fish_lab_data!C:C,0)))</f>
        <v>894</v>
      </c>
    </row>
    <row r="203">
      <c r="A203" s="25" t="s">
        <v>1309</v>
      </c>
      <c r="B203" s="25">
        <v>0.0</v>
      </c>
      <c r="C203" s="25">
        <v>0.0</v>
      </c>
      <c r="D203" s="25">
        <v>0.0</v>
      </c>
      <c r="E203" s="25">
        <v>0.0</v>
      </c>
      <c r="F203" s="25">
        <v>0.0</v>
      </c>
      <c r="G203" s="25">
        <v>0.0</v>
      </c>
      <c r="H203" s="25">
        <v>0.0</v>
      </c>
      <c r="I203" s="25">
        <v>0.0</v>
      </c>
      <c r="J203" s="25">
        <v>0.0</v>
      </c>
      <c r="K203" s="25">
        <v>0.0</v>
      </c>
      <c r="L203" s="25">
        <v>0.0</v>
      </c>
      <c r="M203" s="17">
        <f t="shared" si="1"/>
        <v>0</v>
      </c>
      <c r="N203" s="24" t="str">
        <f t="array" ref="N203">if(isblank(A203),"",index(fish_lab_data!O:O,match(A203,fish_lab_data!C:C,0)))</f>
        <v>EJ</v>
      </c>
      <c r="O203" s="24" t="str">
        <f t="array" ref="O203">index(fish_lab_data!Q:Q,match(A203,fish_lab_data!C:C,0))</f>
        <v>lab_motiles_etoh</v>
      </c>
      <c r="P203" s="24" t="str">
        <f t="array" ref="P203">if(and(iserror(index(sea_lice!G:G,match(A203,sea_lice!A:A,0))),M203=0),"NA",index(sea_lice!G:G,match(A203,sea_lice!A:A,0)))</f>
        <v>NA</v>
      </c>
      <c r="Q203" s="24">
        <f t="array" ref="Q203">if(isblank(A203),"",index(fish_lab_data!X:X,match(A203,fish_lab_data!C:C,0)))</f>
        <v>895</v>
      </c>
    </row>
    <row r="204">
      <c r="A204" s="25" t="s">
        <v>1310</v>
      </c>
      <c r="B204" s="25">
        <v>0.0</v>
      </c>
      <c r="C204" s="25">
        <v>0.0</v>
      </c>
      <c r="D204" s="25">
        <v>0.0</v>
      </c>
      <c r="E204" s="25">
        <v>0.0</v>
      </c>
      <c r="F204" s="25">
        <v>0.0</v>
      </c>
      <c r="G204" s="25">
        <v>0.0</v>
      </c>
      <c r="H204" s="25">
        <v>0.0</v>
      </c>
      <c r="I204" s="25">
        <v>0.0</v>
      </c>
      <c r="J204" s="25">
        <v>0.0</v>
      </c>
      <c r="K204" s="25">
        <v>0.0</v>
      </c>
      <c r="L204" s="25">
        <v>0.0</v>
      </c>
      <c r="M204" s="17">
        <f t="shared" si="1"/>
        <v>0</v>
      </c>
      <c r="N204" s="24" t="str">
        <f t="array" ref="N204">if(isblank(A204),"",index(fish_lab_data!O:O,match(A204,fish_lab_data!C:C,0)))</f>
        <v>KB</v>
      </c>
      <c r="O204" s="24" t="str">
        <f t="array" ref="O204">index(fish_lab_data!Q:Q,match(A204,fish_lab_data!C:C,0))</f>
        <v>lab_motiles_etoh</v>
      </c>
      <c r="P204" s="24" t="str">
        <f t="array" ref="P204">if(and(iserror(index(sea_lice!G:G,match(A204,sea_lice!A:A,0))),M204=0),"NA",index(sea_lice!G:G,match(A204,sea_lice!A:A,0)))</f>
        <v>NA</v>
      </c>
      <c r="Q204" s="24">
        <f t="array" ref="Q204">if(isblank(A204),"",index(fish_lab_data!X:X,match(A204,fish_lab_data!C:C,0)))</f>
        <v>896</v>
      </c>
    </row>
    <row r="205">
      <c r="A205" s="25" t="s">
        <v>1311</v>
      </c>
      <c r="B205" s="25">
        <v>0.0</v>
      </c>
      <c r="C205" s="25">
        <v>0.0</v>
      </c>
      <c r="D205" s="25">
        <v>0.0</v>
      </c>
      <c r="E205" s="25">
        <v>0.0</v>
      </c>
      <c r="F205" s="25">
        <v>0.0</v>
      </c>
      <c r="G205" s="25">
        <v>0.0</v>
      </c>
      <c r="H205" s="25">
        <v>0.0</v>
      </c>
      <c r="I205" s="25">
        <v>0.0</v>
      </c>
      <c r="J205" s="25">
        <v>0.0</v>
      </c>
      <c r="K205" s="25">
        <v>0.0</v>
      </c>
      <c r="L205" s="25">
        <v>0.0</v>
      </c>
      <c r="M205" s="17">
        <f t="shared" si="1"/>
        <v>0</v>
      </c>
      <c r="N205" s="24" t="str">
        <f t="array" ref="N205">if(isblank(A205),"",index(fish_lab_data!O:O,match(A205,fish_lab_data!C:C,0)))</f>
        <v>KB</v>
      </c>
      <c r="O205" s="24" t="str">
        <f t="array" ref="O205">index(fish_lab_data!Q:Q,match(A205,fish_lab_data!C:C,0))</f>
        <v>lab_motiles_etoh</v>
      </c>
      <c r="P205" s="24" t="str">
        <f t="array" ref="P205">if(and(iserror(index(sea_lice!G:G,match(A205,sea_lice!A:A,0))),M205=0),"NA",index(sea_lice!G:G,match(A205,sea_lice!A:A,0)))</f>
        <v>NA</v>
      </c>
      <c r="Q205" s="24">
        <f t="array" ref="Q205">if(isblank(A205),"",index(fish_lab_data!X:X,match(A205,fish_lab_data!C:C,0)))</f>
        <v>897</v>
      </c>
    </row>
    <row r="206">
      <c r="A206" s="25" t="s">
        <v>1312</v>
      </c>
      <c r="B206" s="25">
        <v>0.0</v>
      </c>
      <c r="C206" s="25">
        <v>0.0</v>
      </c>
      <c r="D206" s="25">
        <v>0.0</v>
      </c>
      <c r="E206" s="25">
        <v>0.0</v>
      </c>
      <c r="F206" s="25">
        <v>0.0</v>
      </c>
      <c r="G206" s="25">
        <v>0.0</v>
      </c>
      <c r="H206" s="25">
        <v>0.0</v>
      </c>
      <c r="I206" s="25">
        <v>0.0</v>
      </c>
      <c r="J206" s="25">
        <v>0.0</v>
      </c>
      <c r="K206" s="25">
        <v>0.0</v>
      </c>
      <c r="L206" s="25">
        <v>0.0</v>
      </c>
      <c r="M206" s="17">
        <f t="shared" si="1"/>
        <v>0</v>
      </c>
      <c r="N206" s="24" t="str">
        <f t="array" ref="N206">if(isblank(A206),"",index(fish_lab_data!O:O,match(A206,fish_lab_data!C:C,0)))</f>
        <v>KB</v>
      </c>
      <c r="O206" s="24" t="str">
        <f t="array" ref="O206">index(fish_lab_data!Q:Q,match(A206,fish_lab_data!C:C,0))</f>
        <v>lab_motiles_etoh</v>
      </c>
      <c r="P206" s="24" t="str">
        <f t="array" ref="P206">if(and(iserror(index(sea_lice!G:G,match(A206,sea_lice!A:A,0))),M206=0),"NA",index(sea_lice!G:G,match(A206,sea_lice!A:A,0)))</f>
        <v>NA</v>
      </c>
      <c r="Q206" s="24">
        <f t="array" ref="Q206">if(isblank(A206),"",index(fish_lab_data!X:X,match(A206,fish_lab_data!C:C,0)))</f>
        <v>898</v>
      </c>
    </row>
    <row r="207">
      <c r="A207" s="25" t="s">
        <v>1313</v>
      </c>
      <c r="B207" s="25">
        <v>0.0</v>
      </c>
      <c r="C207" s="25">
        <v>0.0</v>
      </c>
      <c r="D207" s="25">
        <v>0.0</v>
      </c>
      <c r="E207" s="25">
        <v>0.0</v>
      </c>
      <c r="F207" s="25">
        <v>0.0</v>
      </c>
      <c r="G207" s="25">
        <v>0.0</v>
      </c>
      <c r="H207" s="25">
        <v>0.0</v>
      </c>
      <c r="I207" s="25">
        <v>0.0</v>
      </c>
      <c r="J207" s="25">
        <v>0.0</v>
      </c>
      <c r="K207" s="25">
        <v>0.0</v>
      </c>
      <c r="L207" s="25">
        <v>0.0</v>
      </c>
      <c r="M207" s="17">
        <f t="shared" si="1"/>
        <v>0</v>
      </c>
      <c r="N207" s="24" t="str">
        <f t="array" ref="N207">if(isblank(A207),"",index(fish_lab_data!O:O,match(A207,fish_lab_data!C:C,0)))</f>
        <v>KB</v>
      </c>
      <c r="O207" s="24" t="str">
        <f t="array" ref="O207">index(fish_lab_data!Q:Q,match(A207,fish_lab_data!C:C,0))</f>
        <v>lab_motiles_etoh</v>
      </c>
      <c r="P207" s="24" t="str">
        <f t="array" ref="P207">if(and(iserror(index(sea_lice!G:G,match(A207,sea_lice!A:A,0))),M207=0),"NA",index(sea_lice!G:G,match(A207,sea_lice!A:A,0)))</f>
        <v>NA</v>
      </c>
      <c r="Q207" s="24">
        <f t="array" ref="Q207">if(isblank(A207),"",index(fish_lab_data!X:X,match(A207,fish_lab_data!C:C,0)))</f>
        <v>899</v>
      </c>
    </row>
    <row r="208">
      <c r="A208" s="25" t="s">
        <v>1315</v>
      </c>
      <c r="B208" s="25">
        <v>0.0</v>
      </c>
      <c r="C208" s="25">
        <v>0.0</v>
      </c>
      <c r="D208" s="25">
        <v>0.0</v>
      </c>
      <c r="E208" s="25">
        <v>0.0</v>
      </c>
      <c r="F208" s="25">
        <v>0.0</v>
      </c>
      <c r="G208" s="25">
        <v>0.0</v>
      </c>
      <c r="H208" s="25">
        <v>0.0</v>
      </c>
      <c r="I208" s="25">
        <v>0.0</v>
      </c>
      <c r="J208" s="25">
        <v>0.0</v>
      </c>
      <c r="K208" s="25">
        <v>0.0</v>
      </c>
      <c r="L208" s="25">
        <v>0.0</v>
      </c>
      <c r="M208" s="17">
        <f t="shared" si="1"/>
        <v>0</v>
      </c>
      <c r="N208" s="24" t="str">
        <f t="array" ref="N208">if(isblank(A208),"",index(fish_lab_data!O:O,match(A208,fish_lab_data!C:C,0)))</f>
        <v>KB</v>
      </c>
      <c r="O208" s="24" t="str">
        <f t="array" ref="O208">index(fish_lab_data!Q:Q,match(A208,fish_lab_data!C:C,0))</f>
        <v>lab_motiles_etoh</v>
      </c>
      <c r="P208" s="24" t="str">
        <f t="array" ref="P208">if(and(iserror(index(sea_lice!G:G,match(A208,sea_lice!A:A,0))),M208=0),"NA",index(sea_lice!G:G,match(A208,sea_lice!A:A,0)))</f>
        <v>NA</v>
      </c>
      <c r="Q208" s="24">
        <f t="array" ref="Q208">if(isblank(A208),"",index(fish_lab_data!X:X,match(A208,fish_lab_data!C:C,0)))</f>
        <v>900</v>
      </c>
    </row>
    <row r="209">
      <c r="A209" s="26" t="s">
        <v>1317</v>
      </c>
      <c r="B209" s="9">
        <v>0.0</v>
      </c>
      <c r="C209" s="9">
        <v>0.0</v>
      </c>
      <c r="D209" s="9">
        <v>0.0</v>
      </c>
      <c r="E209" s="9">
        <v>2.0</v>
      </c>
      <c r="F209" s="9">
        <v>0.0</v>
      </c>
      <c r="G209" s="9">
        <v>0.0</v>
      </c>
      <c r="H209" s="9">
        <v>0.0</v>
      </c>
      <c r="I209" s="9">
        <v>0.0</v>
      </c>
      <c r="J209" s="9">
        <v>0.0</v>
      </c>
      <c r="K209" s="9">
        <v>0.0</v>
      </c>
      <c r="L209" s="9">
        <v>0.0</v>
      </c>
      <c r="M209" s="17">
        <f t="shared" si="1"/>
        <v>2</v>
      </c>
      <c r="N209" s="24" t="str">
        <f t="array" ref="N209">if(isblank(A209),"",index(fish_lab_data!O:O,match(A209,fish_lab_data!C:C,0)))</f>
        <v>KB</v>
      </c>
      <c r="O209" s="24" t="str">
        <f t="array" ref="O209">index(fish_lab_data!Q:Q,match(A209,fish_lab_data!C:C,0))</f>
        <v>lab_motiles_etoh</v>
      </c>
      <c r="P209" s="24" t="str">
        <f t="array" ref="P209">if(and(iserror(index(sea_lice!G:G,match(A209,sea_lice!A:A,0))),M209=0),"NA",index(sea_lice!G:G,match(A209,sea_lice!A:A,0)))</f>
        <v>BSL6-99</v>
      </c>
      <c r="Q209" s="24">
        <f t="array" ref="Q209">if(isblank(A209),"",index(fish_lab_data!X:X,match(A209,fish_lab_data!C:C,0)))</f>
        <v>901</v>
      </c>
    </row>
    <row r="210">
      <c r="A210" s="6" t="s">
        <v>1318</v>
      </c>
      <c r="B210" s="9">
        <v>0.0</v>
      </c>
      <c r="C210" s="9">
        <v>0.0</v>
      </c>
      <c r="D210" s="9">
        <v>0.0</v>
      </c>
      <c r="E210" s="9">
        <v>1.0</v>
      </c>
      <c r="F210" s="9">
        <v>0.0</v>
      </c>
      <c r="G210" s="9">
        <v>0.0</v>
      </c>
      <c r="H210" s="9">
        <v>0.0</v>
      </c>
      <c r="I210" s="9">
        <v>0.0</v>
      </c>
      <c r="J210" s="9">
        <v>0.0</v>
      </c>
      <c r="K210" s="9">
        <v>0.0</v>
      </c>
      <c r="L210" s="9">
        <v>0.0</v>
      </c>
      <c r="M210" s="17">
        <f t="shared" si="1"/>
        <v>1</v>
      </c>
      <c r="N210" s="24" t="str">
        <f t="array" ref="N210">if(isblank(A210),"",index(fish_lab_data!O:O,match(A210,fish_lab_data!C:C,0)))</f>
        <v>KB</v>
      </c>
      <c r="O210" s="24" t="str">
        <f t="array" ref="O210">index(fish_lab_data!Q:Q,match(A210,fish_lab_data!C:C,0))</f>
        <v>lab_motiles_etoh</v>
      </c>
      <c r="P210" s="24" t="str">
        <f t="array" ref="P210">if(and(iserror(index(sea_lice!G:G,match(A210,sea_lice!A:A,0))),M210=0),"NA",index(sea_lice!G:G,match(A210,sea_lice!A:A,0)))</f>
        <v>BSL6-100</v>
      </c>
      <c r="Q210" s="24">
        <f t="array" ref="Q210">if(isblank(A210),"",index(fish_lab_data!X:X,match(A210,fish_lab_data!C:C,0)))</f>
        <v>902</v>
      </c>
    </row>
    <row r="211">
      <c r="A211" s="25" t="s">
        <v>1320</v>
      </c>
      <c r="B211" s="25">
        <v>0.0</v>
      </c>
      <c r="C211" s="25">
        <v>0.0</v>
      </c>
      <c r="D211" s="25">
        <v>0.0</v>
      </c>
      <c r="E211" s="25">
        <v>0.0</v>
      </c>
      <c r="F211" s="25">
        <v>0.0</v>
      </c>
      <c r="G211" s="25">
        <v>0.0</v>
      </c>
      <c r="H211" s="25">
        <v>0.0</v>
      </c>
      <c r="I211" s="25">
        <v>0.0</v>
      </c>
      <c r="J211" s="25">
        <v>0.0</v>
      </c>
      <c r="K211" s="25">
        <v>0.0</v>
      </c>
      <c r="L211" s="25">
        <v>0.0</v>
      </c>
      <c r="M211" s="17">
        <f t="shared" si="1"/>
        <v>0</v>
      </c>
      <c r="N211" s="24" t="str">
        <f t="array" ref="N211">if(isblank(A211),"",index(fish_lab_data!O:O,match(A211,fish_lab_data!C:C,0)))</f>
        <v>KB</v>
      </c>
      <c r="O211" s="24" t="str">
        <f t="array" ref="O211">index(fish_lab_data!Q:Q,match(A211,fish_lab_data!C:C,0))</f>
        <v>lab_motiles_etoh</v>
      </c>
      <c r="P211" s="24" t="str">
        <f t="array" ref="P211">if(and(iserror(index(sea_lice!G:G,match(A211,sea_lice!A:A,0))),M211=0),"NA",index(sea_lice!G:G,match(A211,sea_lice!A:A,0)))</f>
        <v>NA</v>
      </c>
      <c r="Q211" s="24">
        <f t="array" ref="Q211">if(isblank(A211),"",index(fish_lab_data!X:X,match(A211,fish_lab_data!C:C,0)))</f>
        <v>903</v>
      </c>
    </row>
    <row r="212">
      <c r="A212" s="6" t="s">
        <v>1322</v>
      </c>
      <c r="B212" s="9">
        <v>1.0</v>
      </c>
      <c r="C212" s="9">
        <v>0.0</v>
      </c>
      <c r="D212" s="9">
        <v>0.0</v>
      </c>
      <c r="E212" s="9">
        <v>1.0</v>
      </c>
      <c r="F212" s="9">
        <v>0.0</v>
      </c>
      <c r="G212" s="9">
        <v>0.0</v>
      </c>
      <c r="H212" s="9">
        <v>0.0</v>
      </c>
      <c r="I212" s="9">
        <v>0.0</v>
      </c>
      <c r="J212" s="9">
        <v>0.0</v>
      </c>
      <c r="K212" s="9">
        <v>0.0</v>
      </c>
      <c r="L212" s="9">
        <v>0.0</v>
      </c>
      <c r="M212" s="17">
        <f t="shared" si="1"/>
        <v>2</v>
      </c>
      <c r="N212" s="24" t="str">
        <f t="array" ref="N212">if(isblank(A212),"",index(fish_lab_data!O:O,match(A212,fish_lab_data!C:C,0)))</f>
        <v>KB</v>
      </c>
      <c r="O212" s="24" t="str">
        <f t="array" ref="O212">index(fish_lab_data!Q:Q,match(A212,fish_lab_data!C:C,0))</f>
        <v>lab_motiles_cryo</v>
      </c>
      <c r="P212" s="24" t="str">
        <f t="array" ref="P212">if(and(iserror(index(sea_lice!G:G,match(A212,sea_lice!A:A,0))),M212=0),"NA",index(sea_lice!G:G,match(A212,sea_lice!A:A,0)))</f>
        <v>BSL2-61</v>
      </c>
      <c r="Q212" s="24">
        <f t="array" ref="Q212">if(isblank(A212),"",index(fish_lab_data!X:X,match(A212,fish_lab_data!C:C,0)))</f>
        <v>904</v>
      </c>
    </row>
    <row r="213">
      <c r="A213" s="25" t="s">
        <v>1324</v>
      </c>
      <c r="B213" s="25">
        <v>0.0</v>
      </c>
      <c r="C213" s="25">
        <v>0.0</v>
      </c>
      <c r="D213" s="25">
        <v>0.0</v>
      </c>
      <c r="E213" s="25">
        <v>0.0</v>
      </c>
      <c r="F213" s="25">
        <v>0.0</v>
      </c>
      <c r="G213" s="25">
        <v>0.0</v>
      </c>
      <c r="H213" s="25">
        <v>0.0</v>
      </c>
      <c r="I213" s="25">
        <v>0.0</v>
      </c>
      <c r="J213" s="25">
        <v>0.0</v>
      </c>
      <c r="K213" s="25">
        <v>0.0</v>
      </c>
      <c r="L213" s="25">
        <v>0.0</v>
      </c>
      <c r="M213" s="17">
        <f t="shared" si="1"/>
        <v>0</v>
      </c>
      <c r="N213" s="24" t="str">
        <f t="array" ref="N213">if(isblank(A213),"",index(fish_lab_data!O:O,match(A213,fish_lab_data!C:C,0)))</f>
        <v>KB</v>
      </c>
      <c r="O213" s="24" t="str">
        <f t="array" ref="O213">index(fish_lab_data!Q:Q,match(A213,fish_lab_data!C:C,0))</f>
        <v>lab_motiles_cryo</v>
      </c>
      <c r="P213" s="24" t="str">
        <f t="array" ref="P213">if(and(iserror(index(sea_lice!G:G,match(A213,sea_lice!A:A,0))),M213=0),"NA",index(sea_lice!G:G,match(A213,sea_lice!A:A,0)))</f>
        <v>NA</v>
      </c>
      <c r="Q213" s="24">
        <f t="array" ref="Q213">if(isblank(A213),"",index(fish_lab_data!X:X,match(A213,fish_lab_data!C:C,0)))</f>
        <v>905</v>
      </c>
    </row>
    <row r="214">
      <c r="A214" s="25" t="s">
        <v>1325</v>
      </c>
      <c r="B214" s="25">
        <v>0.0</v>
      </c>
      <c r="C214" s="25">
        <v>0.0</v>
      </c>
      <c r="D214" s="25">
        <v>0.0</v>
      </c>
      <c r="E214" s="25">
        <v>0.0</v>
      </c>
      <c r="F214" s="25">
        <v>0.0</v>
      </c>
      <c r="G214" s="25">
        <v>0.0</v>
      </c>
      <c r="H214" s="25">
        <v>0.0</v>
      </c>
      <c r="I214" s="25">
        <v>0.0</v>
      </c>
      <c r="J214" s="25">
        <v>0.0</v>
      </c>
      <c r="K214" s="25">
        <v>0.0</v>
      </c>
      <c r="L214" s="25">
        <v>0.0</v>
      </c>
      <c r="M214" s="17">
        <f t="shared" si="1"/>
        <v>0</v>
      </c>
      <c r="N214" s="24" t="str">
        <f t="array" ref="N214">if(isblank(A214),"",index(fish_lab_data!O:O,match(A214,fish_lab_data!C:C,0)))</f>
        <v>KB</v>
      </c>
      <c r="O214" s="24" t="str">
        <f t="array" ref="O214">index(fish_lab_data!Q:Q,match(A214,fish_lab_data!C:C,0))</f>
        <v>lab_motiles_cryo</v>
      </c>
      <c r="P214" s="24" t="str">
        <f t="array" ref="P214">if(and(iserror(index(sea_lice!G:G,match(A214,sea_lice!A:A,0))),M214=0),"NA",index(sea_lice!G:G,match(A214,sea_lice!A:A,0)))</f>
        <v>NA</v>
      </c>
      <c r="Q214" s="24">
        <f t="array" ref="Q214">if(isblank(A214),"",index(fish_lab_data!X:X,match(A214,fish_lab_data!C:C,0)))</f>
        <v>906</v>
      </c>
    </row>
    <row r="215">
      <c r="A215" s="25" t="s">
        <v>1326</v>
      </c>
      <c r="B215" s="25">
        <v>0.0</v>
      </c>
      <c r="C215" s="25">
        <v>0.0</v>
      </c>
      <c r="D215" s="25">
        <v>0.0</v>
      </c>
      <c r="E215" s="25">
        <v>0.0</v>
      </c>
      <c r="F215" s="25">
        <v>0.0</v>
      </c>
      <c r="G215" s="25">
        <v>0.0</v>
      </c>
      <c r="H215" s="25">
        <v>0.0</v>
      </c>
      <c r="I215" s="25">
        <v>0.0</v>
      </c>
      <c r="J215" s="25">
        <v>0.0</v>
      </c>
      <c r="K215" s="25">
        <v>0.0</v>
      </c>
      <c r="L215" s="25">
        <v>0.0</v>
      </c>
      <c r="M215" s="17">
        <f t="shared" si="1"/>
        <v>0</v>
      </c>
      <c r="N215" s="24" t="str">
        <f t="array" ref="N215">if(isblank(A215),"",index(fish_lab_data!O:O,match(A215,fish_lab_data!C:C,0)))</f>
        <v>KB</v>
      </c>
      <c r="O215" s="24" t="str">
        <f t="array" ref="O215">index(fish_lab_data!Q:Q,match(A215,fish_lab_data!C:C,0))</f>
        <v>lab_motiles_cryo</v>
      </c>
      <c r="P215" s="24" t="str">
        <f t="array" ref="P215">if(and(iserror(index(sea_lice!G:G,match(A215,sea_lice!A:A,0))),M215=0),"NA",index(sea_lice!G:G,match(A215,sea_lice!A:A,0)))</f>
        <v>NA</v>
      </c>
      <c r="Q215" s="24">
        <f t="array" ref="Q215">if(isblank(A215),"",index(fish_lab_data!X:X,match(A215,fish_lab_data!C:C,0)))</f>
        <v>907</v>
      </c>
    </row>
    <row r="216">
      <c r="A216" s="25" t="s">
        <v>1327</v>
      </c>
      <c r="B216" s="25">
        <v>0.0</v>
      </c>
      <c r="C216" s="25">
        <v>0.0</v>
      </c>
      <c r="D216" s="25">
        <v>0.0</v>
      </c>
      <c r="E216" s="25">
        <v>0.0</v>
      </c>
      <c r="F216" s="25">
        <v>0.0</v>
      </c>
      <c r="G216" s="25">
        <v>0.0</v>
      </c>
      <c r="H216" s="25">
        <v>0.0</v>
      </c>
      <c r="I216" s="25">
        <v>0.0</v>
      </c>
      <c r="J216" s="25">
        <v>0.0</v>
      </c>
      <c r="K216" s="25">
        <v>0.0</v>
      </c>
      <c r="L216" s="25">
        <v>0.0</v>
      </c>
      <c r="M216" s="17">
        <f t="shared" si="1"/>
        <v>0</v>
      </c>
      <c r="N216" s="24" t="str">
        <f t="array" ref="N216">if(isblank(A216),"",index(fish_lab_data!O:O,match(A216,fish_lab_data!C:C,0)))</f>
        <v>KB</v>
      </c>
      <c r="O216" s="24" t="str">
        <f t="array" ref="O216">index(fish_lab_data!Q:Q,match(A216,fish_lab_data!C:C,0))</f>
        <v>lab_motiles_cryo</v>
      </c>
      <c r="P216" s="24" t="str">
        <f t="array" ref="P216">if(and(iserror(index(sea_lice!G:G,match(A216,sea_lice!A:A,0))),M216=0),"NA",index(sea_lice!G:G,match(A216,sea_lice!A:A,0)))</f>
        <v>NA</v>
      </c>
      <c r="Q216" s="24">
        <f t="array" ref="Q216">if(isblank(A216),"",index(fish_lab_data!X:X,match(A216,fish_lab_data!C:C,0)))</f>
        <v>908</v>
      </c>
    </row>
    <row r="217">
      <c r="A217" s="25" t="s">
        <v>1328</v>
      </c>
      <c r="B217" s="25">
        <v>0.0</v>
      </c>
      <c r="C217" s="25">
        <v>0.0</v>
      </c>
      <c r="D217" s="25">
        <v>0.0</v>
      </c>
      <c r="E217" s="25">
        <v>0.0</v>
      </c>
      <c r="F217" s="25">
        <v>0.0</v>
      </c>
      <c r="G217" s="25">
        <v>0.0</v>
      </c>
      <c r="H217" s="25">
        <v>0.0</v>
      </c>
      <c r="I217" s="25">
        <v>0.0</v>
      </c>
      <c r="J217" s="25">
        <v>0.0</v>
      </c>
      <c r="K217" s="25">
        <v>0.0</v>
      </c>
      <c r="L217" s="25">
        <v>0.0</v>
      </c>
      <c r="M217" s="17">
        <f t="shared" si="1"/>
        <v>0</v>
      </c>
      <c r="N217" s="24" t="str">
        <f t="array" ref="N217">if(isblank(A217),"",index(fish_lab_data!O:O,match(A217,fish_lab_data!C:C,0)))</f>
        <v>KB</v>
      </c>
      <c r="O217" s="24" t="str">
        <f t="array" ref="O217">index(fish_lab_data!Q:Q,match(A217,fish_lab_data!C:C,0))</f>
        <v>lab_motiles_cryo</v>
      </c>
      <c r="P217" s="24" t="str">
        <f t="array" ref="P217">if(and(iserror(index(sea_lice!G:G,match(A217,sea_lice!A:A,0))),M217=0),"NA",index(sea_lice!G:G,match(A217,sea_lice!A:A,0)))</f>
        <v>NA</v>
      </c>
      <c r="Q217" s="24">
        <f t="array" ref="Q217">if(isblank(A217),"",index(fish_lab_data!X:X,match(A217,fish_lab_data!C:C,0)))</f>
        <v>909</v>
      </c>
    </row>
    <row r="218">
      <c r="A218" s="6" t="s">
        <v>1329</v>
      </c>
      <c r="B218" s="9">
        <v>0.0</v>
      </c>
      <c r="C218" s="9">
        <v>0.0</v>
      </c>
      <c r="D218" s="9">
        <v>0.0</v>
      </c>
      <c r="E218" s="9">
        <v>2.0</v>
      </c>
      <c r="F218" s="9">
        <v>0.0</v>
      </c>
      <c r="G218" s="9">
        <v>0.0</v>
      </c>
      <c r="H218" s="9">
        <v>0.0</v>
      </c>
      <c r="I218" s="9">
        <v>0.0</v>
      </c>
      <c r="J218" s="9">
        <v>0.0</v>
      </c>
      <c r="K218" s="9">
        <v>0.0</v>
      </c>
      <c r="L218" s="9">
        <v>0.0</v>
      </c>
      <c r="M218" s="17">
        <f t="shared" si="1"/>
        <v>2</v>
      </c>
      <c r="N218" s="24" t="str">
        <f t="array" ref="N218">if(isblank(A218),"",index(fish_lab_data!O:O,match(A218,fish_lab_data!C:C,0)))</f>
        <v>KB</v>
      </c>
      <c r="O218" s="24" t="str">
        <f t="array" ref="O218">index(fish_lab_data!Q:Q,match(A218,fish_lab_data!C:C,0))</f>
        <v>lab_motiles_cryo</v>
      </c>
      <c r="P218" s="24" t="str">
        <f t="array" ref="P218">if(and(iserror(index(sea_lice!G:G,match(A218,sea_lice!A:A,0))),M218=0),"NA",index(sea_lice!G:G,match(A218,sea_lice!A:A,0)))</f>
        <v>BSL2-63</v>
      </c>
      <c r="Q218" s="24">
        <f t="array" ref="Q218">if(isblank(A218),"",index(fish_lab_data!X:X,match(A218,fish_lab_data!C:C,0)))</f>
        <v>910</v>
      </c>
    </row>
    <row r="219">
      <c r="A219" s="25" t="s">
        <v>1330</v>
      </c>
      <c r="B219" s="25">
        <v>0.0</v>
      </c>
      <c r="C219" s="25">
        <v>0.0</v>
      </c>
      <c r="D219" s="25">
        <v>0.0</v>
      </c>
      <c r="E219" s="25">
        <v>0.0</v>
      </c>
      <c r="F219" s="25">
        <v>0.0</v>
      </c>
      <c r="G219" s="25">
        <v>0.0</v>
      </c>
      <c r="H219" s="25">
        <v>0.0</v>
      </c>
      <c r="I219" s="25">
        <v>0.0</v>
      </c>
      <c r="J219" s="25">
        <v>0.0</v>
      </c>
      <c r="K219" s="25">
        <v>0.0</v>
      </c>
      <c r="L219" s="25">
        <v>0.0</v>
      </c>
      <c r="M219" s="17">
        <f t="shared" si="1"/>
        <v>0</v>
      </c>
      <c r="N219" s="24" t="str">
        <f t="array" ref="N219">if(isblank(A219),"",index(fish_lab_data!O:O,match(A219,fish_lab_data!C:C,0)))</f>
        <v>KB</v>
      </c>
      <c r="O219" s="24" t="str">
        <f t="array" ref="O219">index(fish_lab_data!Q:Q,match(A219,fish_lab_data!C:C,0))</f>
        <v>lab_motiles_cryo</v>
      </c>
      <c r="P219" s="24" t="str">
        <f t="array" ref="P219">if(and(iserror(index(sea_lice!G:G,match(A219,sea_lice!A:A,0))),M219=0),"NA",index(sea_lice!G:G,match(A219,sea_lice!A:A,0)))</f>
        <v>NA</v>
      </c>
      <c r="Q219" s="24">
        <f t="array" ref="Q219">if(isblank(A219),"",index(fish_lab_data!X:X,match(A219,fish_lab_data!C:C,0)))</f>
        <v>911</v>
      </c>
    </row>
    <row r="220">
      <c r="A220" s="25" t="s">
        <v>1331</v>
      </c>
      <c r="B220" s="25">
        <v>0.0</v>
      </c>
      <c r="C220" s="25">
        <v>0.0</v>
      </c>
      <c r="D220" s="25">
        <v>0.0</v>
      </c>
      <c r="E220" s="25">
        <v>0.0</v>
      </c>
      <c r="F220" s="25">
        <v>0.0</v>
      </c>
      <c r="G220" s="25">
        <v>0.0</v>
      </c>
      <c r="H220" s="25">
        <v>0.0</v>
      </c>
      <c r="I220" s="25">
        <v>0.0</v>
      </c>
      <c r="J220" s="25">
        <v>0.0</v>
      </c>
      <c r="K220" s="25">
        <v>0.0</v>
      </c>
      <c r="L220" s="25">
        <v>0.0</v>
      </c>
      <c r="M220" s="17">
        <f t="shared" si="1"/>
        <v>0</v>
      </c>
      <c r="N220" s="24" t="str">
        <f t="array" ref="N220">if(isblank(A220),"",index(fish_lab_data!O:O,match(A220,fish_lab_data!C:C,0)))</f>
        <v>KB</v>
      </c>
      <c r="O220" s="24" t="str">
        <f t="array" ref="O220">index(fish_lab_data!Q:Q,match(A220,fish_lab_data!C:C,0))</f>
        <v>lab_motiles_cryo</v>
      </c>
      <c r="P220" s="24" t="str">
        <f t="array" ref="P220">if(and(iserror(index(sea_lice!G:G,match(A220,sea_lice!A:A,0))),M220=0),"NA",index(sea_lice!G:G,match(A220,sea_lice!A:A,0)))</f>
        <v>NA</v>
      </c>
      <c r="Q220" s="24">
        <f t="array" ref="Q220">if(isblank(A220),"",index(fish_lab_data!X:X,match(A220,fish_lab_data!C:C,0)))</f>
        <v>912</v>
      </c>
    </row>
    <row r="221">
      <c r="A221" s="6" t="s">
        <v>1332</v>
      </c>
      <c r="B221" s="9">
        <v>0.0</v>
      </c>
      <c r="C221" s="9">
        <v>1.0</v>
      </c>
      <c r="D221" s="9">
        <v>0.0</v>
      </c>
      <c r="E221" s="9">
        <v>0.0</v>
      </c>
      <c r="F221" s="9">
        <v>0.0</v>
      </c>
      <c r="G221" s="9">
        <v>0.0</v>
      </c>
      <c r="H221" s="9">
        <v>0.0</v>
      </c>
      <c r="I221" s="9">
        <v>0.0</v>
      </c>
      <c r="J221" s="9">
        <v>0.0</v>
      </c>
      <c r="K221" s="9">
        <v>0.0</v>
      </c>
      <c r="L221" s="9">
        <v>0.0</v>
      </c>
      <c r="M221" s="17">
        <f t="shared" si="1"/>
        <v>1</v>
      </c>
      <c r="N221" s="24" t="str">
        <f t="array" ref="N221">if(isblank(A221),"",index(fish_lab_data!O:O,match(A221,fish_lab_data!C:C,0)))</f>
        <v>KB</v>
      </c>
      <c r="O221" s="24" t="str">
        <f t="array" ref="O221">index(fish_lab_data!Q:Q,match(A221,fish_lab_data!C:C,0))</f>
        <v>lab_motiles_etoh</v>
      </c>
      <c r="P221" s="24" t="str">
        <f t="array" ref="P221">if(and(iserror(index(sea_lice!G:G,match(A221,sea_lice!A:A,0))),M221=0),"NA",index(sea_lice!G:G,match(A221,sea_lice!A:A,0)))</f>
        <v>BSL7-5</v>
      </c>
      <c r="Q221" s="24">
        <f t="array" ref="Q221">if(isblank(A221),"",index(fish_lab_data!X:X,match(A221,fish_lab_data!C:C,0)))</f>
        <v>913</v>
      </c>
    </row>
    <row r="222">
      <c r="A222" s="25" t="s">
        <v>1333</v>
      </c>
      <c r="B222" s="25">
        <v>0.0</v>
      </c>
      <c r="C222" s="25">
        <v>0.0</v>
      </c>
      <c r="D222" s="25">
        <v>0.0</v>
      </c>
      <c r="E222" s="25">
        <v>0.0</v>
      </c>
      <c r="F222" s="25">
        <v>0.0</v>
      </c>
      <c r="G222" s="25">
        <v>0.0</v>
      </c>
      <c r="H222" s="25">
        <v>0.0</v>
      </c>
      <c r="I222" s="25">
        <v>0.0</v>
      </c>
      <c r="J222" s="25">
        <v>0.0</v>
      </c>
      <c r="K222" s="25">
        <v>0.0</v>
      </c>
      <c r="L222" s="25">
        <v>0.0</v>
      </c>
      <c r="M222" s="17">
        <f t="shared" si="1"/>
        <v>0</v>
      </c>
      <c r="N222" s="24" t="str">
        <f t="array" ref="N222">if(isblank(A222),"",index(fish_lab_data!O:O,match(A222,fish_lab_data!C:C,0)))</f>
        <v>KB</v>
      </c>
      <c r="O222" s="24" t="str">
        <f t="array" ref="O222">index(fish_lab_data!Q:Q,match(A222,fish_lab_data!C:C,0))</f>
        <v>lab_motiles_etoh</v>
      </c>
      <c r="P222" s="24" t="str">
        <f t="array" ref="P222">if(and(iserror(index(sea_lice!G:G,match(A222,sea_lice!A:A,0))),M222=0),"NA",index(sea_lice!G:G,match(A222,sea_lice!A:A,0)))</f>
        <v>NA</v>
      </c>
      <c r="Q222" s="24">
        <f t="array" ref="Q222">if(isblank(A222),"",index(fish_lab_data!X:X,match(A222,fish_lab_data!C:C,0)))</f>
        <v>914</v>
      </c>
    </row>
    <row r="223">
      <c r="A223" s="6" t="s">
        <v>1334</v>
      </c>
      <c r="B223" s="9">
        <v>0.0</v>
      </c>
      <c r="C223" s="9">
        <v>0.0</v>
      </c>
      <c r="D223" s="9">
        <v>0.0</v>
      </c>
      <c r="E223" s="9">
        <v>1.0</v>
      </c>
      <c r="F223" s="9">
        <v>0.0</v>
      </c>
      <c r="G223" s="9">
        <v>0.0</v>
      </c>
      <c r="H223" s="9">
        <v>0.0</v>
      </c>
      <c r="I223" s="9">
        <v>0.0</v>
      </c>
      <c r="J223" s="9">
        <v>0.0</v>
      </c>
      <c r="K223" s="9">
        <v>0.0</v>
      </c>
      <c r="L223" s="9">
        <v>0.0</v>
      </c>
      <c r="M223" s="17">
        <f t="shared" si="1"/>
        <v>1</v>
      </c>
      <c r="N223" s="24" t="str">
        <f t="array" ref="N223">if(isblank(A223),"",index(fish_lab_data!O:O,match(A223,fish_lab_data!C:C,0)))</f>
        <v>KB</v>
      </c>
      <c r="O223" s="24" t="str">
        <f t="array" ref="O223">index(fish_lab_data!Q:Q,match(A223,fish_lab_data!C:C,0))</f>
        <v>lab_motiles_etoh</v>
      </c>
      <c r="P223" s="24" t="str">
        <f t="array" ref="P223">if(and(iserror(index(sea_lice!G:G,match(A223,sea_lice!A:A,0))),M223=0),"NA",index(sea_lice!G:G,match(A223,sea_lice!A:A,0)))</f>
        <v>BSL7-9</v>
      </c>
      <c r="Q223" s="24">
        <f t="array" ref="Q223">if(isblank(A223),"",index(fish_lab_data!X:X,match(A223,fish_lab_data!C:C,0)))</f>
        <v>915</v>
      </c>
    </row>
    <row r="224">
      <c r="A224" s="25" t="s">
        <v>1335</v>
      </c>
      <c r="B224" s="25">
        <v>0.0</v>
      </c>
      <c r="C224" s="25">
        <v>0.0</v>
      </c>
      <c r="D224" s="25">
        <v>0.0</v>
      </c>
      <c r="E224" s="25">
        <v>0.0</v>
      </c>
      <c r="F224" s="25">
        <v>0.0</v>
      </c>
      <c r="G224" s="25">
        <v>0.0</v>
      </c>
      <c r="H224" s="25">
        <v>0.0</v>
      </c>
      <c r="I224" s="25">
        <v>0.0</v>
      </c>
      <c r="J224" s="25">
        <v>0.0</v>
      </c>
      <c r="K224" s="25">
        <v>0.0</v>
      </c>
      <c r="L224" s="25">
        <v>0.0</v>
      </c>
      <c r="M224" s="17">
        <f t="shared" si="1"/>
        <v>0</v>
      </c>
      <c r="N224" s="24" t="str">
        <f t="array" ref="N224">if(isblank(A224),"",index(fish_lab_data!O:O,match(A224,fish_lab_data!C:C,0)))</f>
        <v>KB</v>
      </c>
      <c r="O224" s="24" t="str">
        <f t="array" ref="O224">index(fish_lab_data!Q:Q,match(A224,fish_lab_data!C:C,0))</f>
        <v>lab_motiles_etoh</v>
      </c>
      <c r="P224" s="24" t="str">
        <f t="array" ref="P224">if(and(iserror(index(sea_lice!G:G,match(A224,sea_lice!A:A,0))),M224=0),"NA",index(sea_lice!G:G,match(A224,sea_lice!A:A,0)))</f>
        <v>NA</v>
      </c>
      <c r="Q224" s="24">
        <f t="array" ref="Q224">if(isblank(A224),"",index(fish_lab_data!X:X,match(A224,fish_lab_data!C:C,0)))</f>
        <v>916</v>
      </c>
    </row>
    <row r="225">
      <c r="A225" s="6" t="s">
        <v>1336</v>
      </c>
      <c r="B225" s="9">
        <v>1.0</v>
      </c>
      <c r="C225" s="9">
        <v>0.0</v>
      </c>
      <c r="D225" s="9">
        <v>0.0</v>
      </c>
      <c r="E225" s="9">
        <v>0.0</v>
      </c>
      <c r="F225" s="9">
        <v>0.0</v>
      </c>
      <c r="G225" s="9">
        <v>0.0</v>
      </c>
      <c r="H225" s="9">
        <v>0.0</v>
      </c>
      <c r="I225" s="9">
        <v>0.0</v>
      </c>
      <c r="J225" s="9">
        <v>0.0</v>
      </c>
      <c r="K225" s="9">
        <v>0.0</v>
      </c>
      <c r="L225" s="9">
        <v>0.0</v>
      </c>
      <c r="M225" s="17">
        <f t="shared" si="1"/>
        <v>1</v>
      </c>
      <c r="N225" s="24" t="str">
        <f t="array" ref="N225">if(isblank(A225),"",index(fish_lab_data!O:O,match(A225,fish_lab_data!C:C,0)))</f>
        <v>KB</v>
      </c>
      <c r="O225" s="24" t="str">
        <f t="array" ref="O225">index(fish_lab_data!Q:Q,match(A225,fish_lab_data!C:C,0))</f>
        <v>lab_motiles_etoh</v>
      </c>
      <c r="P225" s="24" t="str">
        <f t="array" ref="P225">if(and(iserror(index(sea_lice!G:G,match(A225,sea_lice!A:A,0))),M225=0),"NA",index(sea_lice!G:G,match(A225,sea_lice!A:A,0)))</f>
        <v>BSL7-10</v>
      </c>
      <c r="Q225" s="24">
        <f t="array" ref="Q225">if(isblank(A225),"",index(fish_lab_data!X:X,match(A225,fish_lab_data!C:C,0)))</f>
        <v>917</v>
      </c>
    </row>
    <row r="226">
      <c r="A226" s="25" t="s">
        <v>1337</v>
      </c>
      <c r="B226" s="25">
        <v>0.0</v>
      </c>
      <c r="C226" s="25">
        <v>0.0</v>
      </c>
      <c r="D226" s="25">
        <v>0.0</v>
      </c>
      <c r="E226" s="25">
        <v>0.0</v>
      </c>
      <c r="F226" s="25">
        <v>0.0</v>
      </c>
      <c r="G226" s="25">
        <v>0.0</v>
      </c>
      <c r="H226" s="25">
        <v>0.0</v>
      </c>
      <c r="I226" s="25">
        <v>0.0</v>
      </c>
      <c r="J226" s="25">
        <v>0.0</v>
      </c>
      <c r="K226" s="25">
        <v>0.0</v>
      </c>
      <c r="L226" s="25">
        <v>0.0</v>
      </c>
      <c r="M226" s="17">
        <f t="shared" si="1"/>
        <v>0</v>
      </c>
      <c r="N226" s="24" t="str">
        <f t="array" ref="N226">if(isblank(A226),"",index(fish_lab_data!O:O,match(A226,fish_lab_data!C:C,0)))</f>
        <v>KB</v>
      </c>
      <c r="O226" s="24" t="str">
        <f t="array" ref="O226">index(fish_lab_data!Q:Q,match(A226,fish_lab_data!C:C,0))</f>
        <v>lab_motiles_etoh</v>
      </c>
      <c r="P226" s="24" t="str">
        <f t="array" ref="P226">if(and(iserror(index(sea_lice!G:G,match(A226,sea_lice!A:A,0))),M226=0),"NA",index(sea_lice!G:G,match(A226,sea_lice!A:A,0)))</f>
        <v>NA</v>
      </c>
      <c r="Q226" s="24">
        <f t="array" ref="Q226">if(isblank(A226),"",index(fish_lab_data!X:X,match(A226,fish_lab_data!C:C,0)))</f>
        <v>918</v>
      </c>
    </row>
    <row r="227">
      <c r="A227" s="25" t="s">
        <v>1338</v>
      </c>
      <c r="B227" s="25">
        <v>0.0</v>
      </c>
      <c r="C227" s="25">
        <v>0.0</v>
      </c>
      <c r="D227" s="25">
        <v>0.0</v>
      </c>
      <c r="E227" s="25">
        <v>0.0</v>
      </c>
      <c r="F227" s="25">
        <v>0.0</v>
      </c>
      <c r="G227" s="25">
        <v>0.0</v>
      </c>
      <c r="H227" s="25">
        <v>0.0</v>
      </c>
      <c r="I227" s="25">
        <v>0.0</v>
      </c>
      <c r="J227" s="25">
        <v>0.0</v>
      </c>
      <c r="K227" s="25">
        <v>0.0</v>
      </c>
      <c r="L227" s="25">
        <v>0.0</v>
      </c>
      <c r="M227" s="17">
        <f t="shared" si="1"/>
        <v>0</v>
      </c>
      <c r="N227" s="24" t="str">
        <f t="array" ref="N227">if(isblank(A227),"",index(fish_lab_data!O:O,match(A227,fish_lab_data!C:C,0)))</f>
        <v>KB</v>
      </c>
      <c r="O227" s="24" t="str">
        <f t="array" ref="O227">index(fish_lab_data!Q:Q,match(A227,fish_lab_data!C:C,0))</f>
        <v>lab_motiles_etoh</v>
      </c>
      <c r="P227" s="24" t="str">
        <f t="array" ref="P227">if(and(iserror(index(sea_lice!G:G,match(A227,sea_lice!A:A,0))),M227=0),"NA",index(sea_lice!G:G,match(A227,sea_lice!A:A,0)))</f>
        <v>NA</v>
      </c>
      <c r="Q227" s="24">
        <f t="array" ref="Q227">if(isblank(A227),"",index(fish_lab_data!X:X,match(A227,fish_lab_data!C:C,0)))</f>
        <v>919</v>
      </c>
    </row>
    <row r="228">
      <c r="A228" s="25" t="s">
        <v>1339</v>
      </c>
      <c r="B228" s="25">
        <v>0.0</v>
      </c>
      <c r="C228" s="25">
        <v>0.0</v>
      </c>
      <c r="D228" s="25">
        <v>0.0</v>
      </c>
      <c r="E228" s="25">
        <v>0.0</v>
      </c>
      <c r="F228" s="25">
        <v>0.0</v>
      </c>
      <c r="G228" s="25">
        <v>0.0</v>
      </c>
      <c r="H228" s="25">
        <v>0.0</v>
      </c>
      <c r="I228" s="25">
        <v>0.0</v>
      </c>
      <c r="J228" s="25">
        <v>0.0</v>
      </c>
      <c r="K228" s="25">
        <v>0.0</v>
      </c>
      <c r="L228" s="25">
        <v>0.0</v>
      </c>
      <c r="M228" s="17">
        <f t="shared" si="1"/>
        <v>0</v>
      </c>
      <c r="N228" s="24" t="str">
        <f t="array" ref="N228">if(isblank(A228),"",index(fish_lab_data!O:O,match(A228,fish_lab_data!C:C,0)))</f>
        <v>KB</v>
      </c>
      <c r="O228" s="24" t="str">
        <f t="array" ref="O228">index(fish_lab_data!Q:Q,match(A228,fish_lab_data!C:C,0))</f>
        <v>lab_motiles_etoh</v>
      </c>
      <c r="P228" s="24" t="str">
        <f t="array" ref="P228">if(and(iserror(index(sea_lice!G:G,match(A228,sea_lice!A:A,0))),M228=0),"NA",index(sea_lice!G:G,match(A228,sea_lice!A:A,0)))</f>
        <v>NA</v>
      </c>
      <c r="Q228" s="24">
        <f t="array" ref="Q228">if(isblank(A228),"",index(fish_lab_data!X:X,match(A228,fish_lab_data!C:C,0)))</f>
        <v>920</v>
      </c>
    </row>
    <row r="229">
      <c r="A229" s="6" t="s">
        <v>1340</v>
      </c>
      <c r="B229" s="9">
        <v>1.0</v>
      </c>
      <c r="C229" s="9">
        <v>0.0</v>
      </c>
      <c r="D229" s="9">
        <v>0.0</v>
      </c>
      <c r="E229" s="9">
        <v>2.0</v>
      </c>
      <c r="F229" s="9">
        <v>0.0</v>
      </c>
      <c r="G229" s="9">
        <v>0.0</v>
      </c>
      <c r="H229" s="9">
        <v>0.0</v>
      </c>
      <c r="I229" s="9">
        <v>0.0</v>
      </c>
      <c r="J229" s="9">
        <v>0.0</v>
      </c>
      <c r="K229" s="9">
        <v>0.0</v>
      </c>
      <c r="L229" s="9">
        <v>0.0</v>
      </c>
      <c r="M229" s="17">
        <f t="shared" si="1"/>
        <v>3</v>
      </c>
      <c r="N229" s="24" t="str">
        <f t="array" ref="N229">if(isblank(A229),"",index(fish_lab_data!O:O,match(A229,fish_lab_data!C:C,0)))</f>
        <v>KB</v>
      </c>
      <c r="O229" s="24" t="str">
        <f t="array" ref="O229">index(fish_lab_data!Q:Q,match(A229,fish_lab_data!C:C,0))</f>
        <v>lab_motiles_etoh</v>
      </c>
      <c r="P229" s="24" t="str">
        <f t="array" ref="P229">if(and(iserror(index(sea_lice!G:G,match(A229,sea_lice!A:A,0))),M229=0),"NA",index(sea_lice!G:G,match(A229,sea_lice!A:A,0)))</f>
        <v>BSL7-12</v>
      </c>
      <c r="Q229" s="24">
        <f t="array" ref="Q229">if(isblank(A229),"",index(fish_lab_data!X:X,match(A229,fish_lab_data!C:C,0)))</f>
        <v>921</v>
      </c>
    </row>
    <row r="230">
      <c r="A230" s="25" t="s">
        <v>1341</v>
      </c>
      <c r="B230" s="25">
        <v>0.0</v>
      </c>
      <c r="C230" s="25">
        <v>0.0</v>
      </c>
      <c r="D230" s="25">
        <v>0.0</v>
      </c>
      <c r="E230" s="25">
        <v>0.0</v>
      </c>
      <c r="F230" s="25">
        <v>0.0</v>
      </c>
      <c r="G230" s="25">
        <v>0.0</v>
      </c>
      <c r="H230" s="25">
        <v>0.0</v>
      </c>
      <c r="I230" s="25">
        <v>0.0</v>
      </c>
      <c r="J230" s="25">
        <v>0.0</v>
      </c>
      <c r="K230" s="25">
        <v>0.0</v>
      </c>
      <c r="L230" s="25">
        <v>0.0</v>
      </c>
      <c r="M230" s="17">
        <f t="shared" si="1"/>
        <v>0</v>
      </c>
      <c r="N230" s="24" t="str">
        <f t="array" ref="N230">if(isblank(A230),"",index(fish_lab_data!O:O,match(A230,fish_lab_data!C:C,0)))</f>
        <v>EJ</v>
      </c>
      <c r="O230" s="24" t="str">
        <f t="array" ref="O230">index(fish_lab_data!Q:Q,match(A230,fish_lab_data!C:C,0))</f>
        <v>lab_motiles_etoh</v>
      </c>
      <c r="P230" s="24" t="str">
        <f t="array" ref="P230">if(and(iserror(index(sea_lice!G:G,match(A230,sea_lice!A:A,0))),M230=0),"NA",index(sea_lice!G:G,match(A230,sea_lice!A:A,0)))</f>
        <v>NA</v>
      </c>
      <c r="Q230" s="24">
        <f t="array" ref="Q230">if(isblank(A230),"",index(fish_lab_data!X:X,match(A230,fish_lab_data!C:C,0)))</f>
        <v>922</v>
      </c>
    </row>
    <row r="231">
      <c r="A231" s="25" t="s">
        <v>1342</v>
      </c>
      <c r="B231" s="25">
        <v>0.0</v>
      </c>
      <c r="C231" s="25">
        <v>0.0</v>
      </c>
      <c r="D231" s="25">
        <v>0.0</v>
      </c>
      <c r="E231" s="25">
        <v>0.0</v>
      </c>
      <c r="F231" s="25">
        <v>0.0</v>
      </c>
      <c r="G231" s="25">
        <v>0.0</v>
      </c>
      <c r="H231" s="25">
        <v>0.0</v>
      </c>
      <c r="I231" s="25">
        <v>0.0</v>
      </c>
      <c r="J231" s="25">
        <v>0.0</v>
      </c>
      <c r="K231" s="25">
        <v>0.0</v>
      </c>
      <c r="L231" s="25">
        <v>0.0</v>
      </c>
      <c r="M231" s="17">
        <f t="shared" si="1"/>
        <v>0</v>
      </c>
      <c r="N231" s="24" t="str">
        <f t="array" ref="N231">if(isblank(A231),"",index(fish_lab_data!O:O,match(A231,fish_lab_data!C:C,0)))</f>
        <v>EJ</v>
      </c>
      <c r="O231" s="24" t="str">
        <f t="array" ref="O231">index(fish_lab_data!Q:Q,match(A231,fish_lab_data!C:C,0))</f>
        <v>lab_motiles_etoh</v>
      </c>
      <c r="P231" s="24" t="str">
        <f t="array" ref="P231">if(and(iserror(index(sea_lice!G:G,match(A231,sea_lice!A:A,0))),M231=0),"NA",index(sea_lice!G:G,match(A231,sea_lice!A:A,0)))</f>
        <v>NA</v>
      </c>
      <c r="Q231" s="24">
        <f t="array" ref="Q231">if(isblank(A231),"",index(fish_lab_data!X:X,match(A231,fish_lab_data!C:C,0)))</f>
        <v>923</v>
      </c>
    </row>
    <row r="232">
      <c r="A232" s="25" t="s">
        <v>1343</v>
      </c>
      <c r="B232" s="25">
        <v>0.0</v>
      </c>
      <c r="C232" s="25">
        <v>0.0</v>
      </c>
      <c r="D232" s="25">
        <v>0.0</v>
      </c>
      <c r="E232" s="25">
        <v>0.0</v>
      </c>
      <c r="F232" s="25">
        <v>0.0</v>
      </c>
      <c r="G232" s="25">
        <v>0.0</v>
      </c>
      <c r="H232" s="25">
        <v>0.0</v>
      </c>
      <c r="I232" s="25">
        <v>0.0</v>
      </c>
      <c r="J232" s="25">
        <v>0.0</v>
      </c>
      <c r="K232" s="25">
        <v>0.0</v>
      </c>
      <c r="L232" s="25">
        <v>0.0</v>
      </c>
      <c r="M232" s="17">
        <f t="shared" si="1"/>
        <v>0</v>
      </c>
      <c r="N232" s="24" t="str">
        <f t="array" ref="N232">if(isblank(A232),"",index(fish_lab_data!O:O,match(A232,fish_lab_data!C:C,0)))</f>
        <v>EJ</v>
      </c>
      <c r="O232" s="24" t="str">
        <f t="array" ref="O232">index(fish_lab_data!Q:Q,match(A232,fish_lab_data!C:C,0))</f>
        <v>lab_motiles_etoh</v>
      </c>
      <c r="P232" s="24" t="str">
        <f t="array" ref="P232">if(and(iserror(index(sea_lice!G:G,match(A232,sea_lice!A:A,0))),M232=0),"NA",index(sea_lice!G:G,match(A232,sea_lice!A:A,0)))</f>
        <v>NA</v>
      </c>
      <c r="Q232" s="24">
        <f t="array" ref="Q232">if(isblank(A232),"",index(fish_lab_data!X:X,match(A232,fish_lab_data!C:C,0)))</f>
        <v>924</v>
      </c>
    </row>
    <row r="233">
      <c r="A233" s="6" t="s">
        <v>1344</v>
      </c>
      <c r="B233" s="9">
        <v>1.0</v>
      </c>
      <c r="C233" s="9">
        <v>0.0</v>
      </c>
      <c r="D233" s="9">
        <v>0.0</v>
      </c>
      <c r="E233" s="9">
        <v>0.0</v>
      </c>
      <c r="F233" s="9">
        <v>0.0</v>
      </c>
      <c r="G233" s="9">
        <v>0.0</v>
      </c>
      <c r="H233" s="9">
        <v>0.0</v>
      </c>
      <c r="I233" s="9">
        <v>0.0</v>
      </c>
      <c r="J233" s="9">
        <v>0.0</v>
      </c>
      <c r="K233" s="9">
        <v>0.0</v>
      </c>
      <c r="L233" s="9">
        <v>0.0</v>
      </c>
      <c r="M233" s="17">
        <f t="shared" si="1"/>
        <v>1</v>
      </c>
      <c r="N233" s="24" t="str">
        <f t="array" ref="N233">if(isblank(A233),"",index(fish_lab_data!O:O,match(A233,fish_lab_data!C:C,0)))</f>
        <v>EJ</v>
      </c>
      <c r="O233" s="24" t="str">
        <f t="array" ref="O233">index(fish_lab_data!Q:Q,match(A233,fish_lab_data!C:C,0))</f>
        <v>lab_motiles_etoh</v>
      </c>
      <c r="P233" s="24" t="str">
        <f t="array" ref="P233">if(and(iserror(index(sea_lice!G:G,match(A233,sea_lice!A:A,0))),M233=0),"NA",index(sea_lice!G:G,match(A233,sea_lice!A:A,0)))</f>
        <v>BSL7-2</v>
      </c>
      <c r="Q233" s="24">
        <f t="array" ref="Q233">if(isblank(A233),"",index(fish_lab_data!X:X,match(A233,fish_lab_data!C:C,0)))</f>
        <v>925</v>
      </c>
    </row>
    <row r="234">
      <c r="A234" s="25" t="s">
        <v>1345</v>
      </c>
      <c r="B234" s="25">
        <v>0.0</v>
      </c>
      <c r="C234" s="25">
        <v>0.0</v>
      </c>
      <c r="D234" s="25">
        <v>0.0</v>
      </c>
      <c r="E234" s="25">
        <v>0.0</v>
      </c>
      <c r="F234" s="25">
        <v>0.0</v>
      </c>
      <c r="G234" s="25">
        <v>0.0</v>
      </c>
      <c r="H234" s="25">
        <v>0.0</v>
      </c>
      <c r="I234" s="25">
        <v>0.0</v>
      </c>
      <c r="J234" s="25">
        <v>0.0</v>
      </c>
      <c r="K234" s="25">
        <v>0.0</v>
      </c>
      <c r="L234" s="25">
        <v>0.0</v>
      </c>
      <c r="M234" s="17">
        <f t="shared" si="1"/>
        <v>0</v>
      </c>
      <c r="N234" s="24" t="str">
        <f t="array" ref="N234">if(isblank(A234),"",index(fish_lab_data!O:O,match(A234,fish_lab_data!C:C,0)))</f>
        <v>EJ</v>
      </c>
      <c r="O234" s="24" t="str">
        <f t="array" ref="O234">index(fish_lab_data!Q:Q,match(A234,fish_lab_data!C:C,0))</f>
        <v>lab_motiles_etoh</v>
      </c>
      <c r="P234" s="24" t="str">
        <f t="array" ref="P234">if(and(iserror(index(sea_lice!G:G,match(A234,sea_lice!A:A,0))),M234=0),"NA",index(sea_lice!G:G,match(A234,sea_lice!A:A,0)))</f>
        <v>NA</v>
      </c>
      <c r="Q234" s="24">
        <f t="array" ref="Q234">if(isblank(A234),"",index(fish_lab_data!X:X,match(A234,fish_lab_data!C:C,0)))</f>
        <v>926</v>
      </c>
    </row>
    <row r="235">
      <c r="A235" s="9" t="s">
        <v>1346</v>
      </c>
      <c r="B235" s="9">
        <v>4.0</v>
      </c>
      <c r="C235" s="9">
        <v>0.0</v>
      </c>
      <c r="D235" s="9">
        <v>0.0</v>
      </c>
      <c r="E235" s="9">
        <v>0.0</v>
      </c>
      <c r="F235" s="9">
        <v>0.0</v>
      </c>
      <c r="G235" s="9">
        <v>0.0</v>
      </c>
      <c r="H235" s="9">
        <v>0.0</v>
      </c>
      <c r="I235" s="9">
        <v>0.0</v>
      </c>
      <c r="J235" s="9">
        <v>0.0</v>
      </c>
      <c r="K235" s="9">
        <v>0.0</v>
      </c>
      <c r="L235" s="9">
        <v>0.0</v>
      </c>
      <c r="M235" s="17">
        <f t="shared" si="1"/>
        <v>4</v>
      </c>
      <c r="N235" s="24" t="str">
        <f t="array" ref="N235">if(isblank(A235),"",index(fish_lab_data!O:O,match(A235,fish_lab_data!C:C,0)))</f>
        <v>EJ</v>
      </c>
      <c r="O235" s="24" t="str">
        <f t="array" ref="O235">index(fish_lab_data!Q:Q,match(A235,fish_lab_data!C:C,0))</f>
        <v>lab_motiles_etoh</v>
      </c>
      <c r="P235" s="24" t="str">
        <f t="array" ref="P235">if(and(iserror(index(sea_lice!G:G,match(A235,sea_lice!A:A,0))),M235=0),"NA",index(sea_lice!G:G,match(A235,sea_lice!A:A,0)))</f>
        <v>BSL7-3</v>
      </c>
      <c r="Q235" s="24">
        <f t="array" ref="Q235">if(isblank(A235),"",index(fish_lab_data!X:X,match(A235,fish_lab_data!C:C,0)))</f>
        <v>927</v>
      </c>
    </row>
    <row r="236">
      <c r="A236" s="25" t="s">
        <v>1347</v>
      </c>
      <c r="B236" s="25">
        <v>0.0</v>
      </c>
      <c r="C236" s="25">
        <v>0.0</v>
      </c>
      <c r="D236" s="25">
        <v>0.0</v>
      </c>
      <c r="E236" s="25">
        <v>0.0</v>
      </c>
      <c r="F236" s="25">
        <v>0.0</v>
      </c>
      <c r="G236" s="25">
        <v>0.0</v>
      </c>
      <c r="H236" s="25">
        <v>0.0</v>
      </c>
      <c r="I236" s="25">
        <v>0.0</v>
      </c>
      <c r="J236" s="25">
        <v>0.0</v>
      </c>
      <c r="K236" s="25">
        <v>0.0</v>
      </c>
      <c r="L236" s="25">
        <v>0.0</v>
      </c>
      <c r="M236" s="17">
        <f t="shared" si="1"/>
        <v>0</v>
      </c>
      <c r="N236" s="24" t="str">
        <f t="array" ref="N236">if(isblank(A236),"",index(fish_lab_data!O:O,match(A236,fish_lab_data!C:C,0)))</f>
        <v>EJ</v>
      </c>
      <c r="O236" s="24" t="str">
        <f t="array" ref="O236">index(fish_lab_data!Q:Q,match(A236,fish_lab_data!C:C,0))</f>
        <v>lab_motiles_etoh</v>
      </c>
      <c r="P236" s="24" t="str">
        <f t="array" ref="P236">if(and(iserror(index(sea_lice!G:G,match(A236,sea_lice!A:A,0))),M236=0),"NA",index(sea_lice!G:G,match(A236,sea_lice!A:A,0)))</f>
        <v>NA</v>
      </c>
      <c r="Q236" s="24">
        <f t="array" ref="Q236">if(isblank(A236),"",index(fish_lab_data!X:X,match(A236,fish_lab_data!C:C,0)))</f>
        <v>928</v>
      </c>
    </row>
    <row r="237">
      <c r="A237" s="9" t="s">
        <v>1348</v>
      </c>
      <c r="B237" s="9">
        <v>1.0</v>
      </c>
      <c r="C237" s="9">
        <v>0.0</v>
      </c>
      <c r="D237" s="9">
        <v>0.0</v>
      </c>
      <c r="E237" s="9">
        <v>0.0</v>
      </c>
      <c r="F237" s="9">
        <v>0.0</v>
      </c>
      <c r="G237" s="9">
        <v>0.0</v>
      </c>
      <c r="H237" s="9">
        <v>0.0</v>
      </c>
      <c r="I237" s="9">
        <v>0.0</v>
      </c>
      <c r="J237" s="9">
        <v>0.0</v>
      </c>
      <c r="K237" s="9">
        <v>0.0</v>
      </c>
      <c r="L237" s="9">
        <v>0.0</v>
      </c>
      <c r="M237" s="17">
        <f t="shared" si="1"/>
        <v>1</v>
      </c>
      <c r="N237" s="24" t="str">
        <f t="array" ref="N237">if(isblank(A237),"",index(fish_lab_data!O:O,match(A237,fish_lab_data!C:C,0)))</f>
        <v>EJ</v>
      </c>
      <c r="O237" s="24" t="str">
        <f t="array" ref="O237">index(fish_lab_data!Q:Q,match(A237,fish_lab_data!C:C,0))</f>
        <v>lab_motiles_etoh</v>
      </c>
      <c r="P237" s="24" t="str">
        <f t="array" ref="P237">if(and(iserror(index(sea_lice!G:G,match(A237,sea_lice!A:A,0))),M237=0),"NA",index(sea_lice!G:G,match(A237,sea_lice!A:A,0)))</f>
        <v>BSL7-4</v>
      </c>
      <c r="Q237" s="24">
        <f t="array" ref="Q237">if(isblank(A237),"",index(fish_lab_data!X:X,match(A237,fish_lab_data!C:C,0)))</f>
        <v>929</v>
      </c>
    </row>
    <row r="238">
      <c r="A238" s="9" t="s">
        <v>1350</v>
      </c>
      <c r="B238" s="9">
        <v>0.0</v>
      </c>
      <c r="C238" s="9">
        <v>0.0</v>
      </c>
      <c r="D238" s="9">
        <v>0.0</v>
      </c>
      <c r="E238" s="9">
        <v>1.0</v>
      </c>
      <c r="F238" s="9">
        <v>0.0</v>
      </c>
      <c r="G238" s="9">
        <v>0.0</v>
      </c>
      <c r="H238" s="9">
        <v>0.0</v>
      </c>
      <c r="I238" s="9">
        <v>0.0</v>
      </c>
      <c r="J238" s="9">
        <v>0.0</v>
      </c>
      <c r="K238" s="9">
        <v>0.0</v>
      </c>
      <c r="L238" s="9">
        <v>0.0</v>
      </c>
      <c r="M238" s="17">
        <f t="shared" si="1"/>
        <v>1</v>
      </c>
      <c r="N238" s="24" t="str">
        <f t="array" ref="N238">if(isblank(A238),"",index(fish_lab_data!O:O,match(A238,fish_lab_data!C:C,0)))</f>
        <v>EJ</v>
      </c>
      <c r="O238" s="24" t="str">
        <f t="array" ref="O238">index(fish_lab_data!Q:Q,match(A238,fish_lab_data!C:C,0))</f>
        <v>lab_motiles_etoh</v>
      </c>
      <c r="P238" s="24" t="str">
        <f t="array" ref="P238">if(and(iserror(index(sea_lice!G:G,match(A238,sea_lice!A:A,0))),M238=0),"NA",index(sea_lice!G:G,match(A238,sea_lice!A:A,0)))</f>
        <v>BSL7-6</v>
      </c>
      <c r="Q238" s="24">
        <f t="array" ref="Q238">if(isblank(A238),"",index(fish_lab_data!X:X,match(A238,fish_lab_data!C:C,0)))</f>
        <v>930</v>
      </c>
    </row>
    <row r="239">
      <c r="A239" s="9" t="s">
        <v>1351</v>
      </c>
      <c r="B239" s="9">
        <v>1.0</v>
      </c>
      <c r="C239" s="9">
        <v>0.0</v>
      </c>
      <c r="D239" s="9">
        <v>0.0</v>
      </c>
      <c r="E239" s="9">
        <v>1.0</v>
      </c>
      <c r="F239" s="9">
        <v>0.0</v>
      </c>
      <c r="G239" s="9">
        <v>0.0</v>
      </c>
      <c r="H239" s="9">
        <v>0.0</v>
      </c>
      <c r="I239" s="9">
        <v>0.0</v>
      </c>
      <c r="J239" s="9">
        <v>0.0</v>
      </c>
      <c r="K239" s="9">
        <v>0.0</v>
      </c>
      <c r="L239" s="9">
        <v>0.0</v>
      </c>
      <c r="M239" s="17">
        <f t="shared" si="1"/>
        <v>2</v>
      </c>
      <c r="N239" s="24" t="str">
        <f t="array" ref="N239">if(isblank(A239),"",index(fish_lab_data!O:O,match(A239,fish_lab_data!C:C,0)))</f>
        <v>EJ</v>
      </c>
      <c r="O239" s="24" t="str">
        <f t="array" ref="O239">index(fish_lab_data!Q:Q,match(A239,fish_lab_data!C:C,0))</f>
        <v>lab_motiles_etoh</v>
      </c>
      <c r="P239" s="24" t="str">
        <f t="array" ref="P239">if(and(iserror(index(sea_lice!G:G,match(A239,sea_lice!A:A,0))),M239=0),"NA",index(sea_lice!G:G,match(A239,sea_lice!A:A,0)))</f>
        <v>BSL7-7</v>
      </c>
      <c r="Q239" s="24">
        <f t="array" ref="Q239">if(isblank(A239),"",index(fish_lab_data!X:X,match(A239,fish_lab_data!C:C,0)))</f>
        <v>931</v>
      </c>
    </row>
    <row r="240">
      <c r="A240" s="25" t="s">
        <v>1352</v>
      </c>
      <c r="B240" s="25">
        <v>0.0</v>
      </c>
      <c r="C240" s="25">
        <v>0.0</v>
      </c>
      <c r="D240" s="25">
        <v>0.0</v>
      </c>
      <c r="E240" s="25">
        <v>0.0</v>
      </c>
      <c r="F240" s="25">
        <v>0.0</v>
      </c>
      <c r="G240" s="25">
        <v>0.0</v>
      </c>
      <c r="H240" s="25">
        <v>0.0</v>
      </c>
      <c r="I240" s="25">
        <v>0.0</v>
      </c>
      <c r="J240" s="25">
        <v>0.0</v>
      </c>
      <c r="K240" s="25">
        <v>0.0</v>
      </c>
      <c r="L240" s="25">
        <v>0.0</v>
      </c>
      <c r="M240" s="17">
        <f t="shared" si="1"/>
        <v>0</v>
      </c>
      <c r="N240" s="24" t="str">
        <f t="array" ref="N240">if(isblank(A240),"",index(fish_lab_data!O:O,match(A240,fish_lab_data!C:C,0)))</f>
        <v>EJ</v>
      </c>
      <c r="O240" s="24" t="str">
        <f t="array" ref="O240">index(fish_lab_data!Q:Q,match(A240,fish_lab_data!C:C,0))</f>
        <v>lab_motiles_etoh</v>
      </c>
      <c r="P240" s="24" t="str">
        <f t="array" ref="P240">if(and(iserror(index(sea_lice!G:G,match(A240,sea_lice!A:A,0))),M240=0),"NA",index(sea_lice!G:G,match(A240,sea_lice!A:A,0)))</f>
        <v>NA</v>
      </c>
      <c r="Q240" s="24">
        <f t="array" ref="Q240">if(isblank(A240),"",index(fish_lab_data!X:X,match(A240,fish_lab_data!C:C,0)))</f>
        <v>932</v>
      </c>
    </row>
    <row r="241">
      <c r="A241" s="6" t="s">
        <v>1353</v>
      </c>
      <c r="B241" s="9">
        <v>2.0</v>
      </c>
      <c r="C241" s="9">
        <v>0.0</v>
      </c>
      <c r="D241" s="9">
        <v>0.0</v>
      </c>
      <c r="E241" s="9">
        <v>0.0</v>
      </c>
      <c r="F241" s="9">
        <v>0.0</v>
      </c>
      <c r="G241" s="9">
        <v>0.0</v>
      </c>
      <c r="H241" s="9">
        <v>0.0</v>
      </c>
      <c r="I241" s="9">
        <v>0.0</v>
      </c>
      <c r="J241" s="9">
        <v>0.0</v>
      </c>
      <c r="K241" s="9">
        <v>0.0</v>
      </c>
      <c r="L241" s="9">
        <v>0.0</v>
      </c>
      <c r="M241" s="17">
        <f t="shared" si="1"/>
        <v>2</v>
      </c>
      <c r="N241" s="24" t="str">
        <f t="array" ref="N241">if(isblank(A241),"",index(fish_lab_data!O:O,match(A241,fish_lab_data!C:C,0)))</f>
        <v>EJ</v>
      </c>
      <c r="O241" s="24" t="str">
        <f t="array" ref="O241">index(fish_lab_data!Q:Q,match(A241,fish_lab_data!C:C,0))</f>
        <v>lab_motiles_etoh</v>
      </c>
      <c r="P241" s="24" t="str">
        <f t="array" ref="P241">if(and(iserror(index(sea_lice!G:G,match(A241,sea_lice!A:A,0))),M241=0),"NA",index(sea_lice!G:G,match(A241,sea_lice!A:A,0)))</f>
        <v>BSL7-8</v>
      </c>
      <c r="Q241" s="24">
        <f t="array" ref="Q241">if(isblank(A241),"",index(fish_lab_data!X:X,match(A241,fish_lab_data!C:C,0)))</f>
        <v>933</v>
      </c>
    </row>
    <row r="242">
      <c r="A242" s="25" t="s">
        <v>1355</v>
      </c>
      <c r="B242" s="25">
        <v>0.0</v>
      </c>
      <c r="C242" s="25">
        <v>0.0</v>
      </c>
      <c r="D242" s="25">
        <v>0.0</v>
      </c>
      <c r="E242" s="25">
        <v>0.0</v>
      </c>
      <c r="F242" s="25">
        <v>0.0</v>
      </c>
      <c r="G242" s="25">
        <v>0.0</v>
      </c>
      <c r="H242" s="25">
        <v>0.0</v>
      </c>
      <c r="I242" s="25">
        <v>0.0</v>
      </c>
      <c r="J242" s="25">
        <v>0.0</v>
      </c>
      <c r="K242" s="25">
        <v>0.0</v>
      </c>
      <c r="L242" s="25">
        <v>0.0</v>
      </c>
      <c r="M242" s="17">
        <f t="shared" si="1"/>
        <v>0</v>
      </c>
      <c r="N242" s="24" t="str">
        <f t="array" ref="N242">if(isblank(A242),"",index(fish_lab_data!O:O,match(A242,fish_lab_data!C:C,0)))</f>
        <v>EJ</v>
      </c>
      <c r="O242" s="24" t="str">
        <f t="array" ref="O242">index(fish_lab_data!Q:Q,match(A242,fish_lab_data!C:C,0))</f>
        <v>lab_motiles_etoh</v>
      </c>
      <c r="P242" s="24" t="str">
        <f t="array" ref="P242">if(and(iserror(index(sea_lice!G:G,match(A242,sea_lice!A:A,0))),M242=0),"NA",index(sea_lice!G:G,match(A242,sea_lice!A:A,0)))</f>
        <v>NA</v>
      </c>
      <c r="Q242" s="24">
        <f t="array" ref="Q242">if(isblank(A242),"",index(fish_lab_data!X:X,match(A242,fish_lab_data!C:C,0)))</f>
        <v>934</v>
      </c>
    </row>
    <row r="243">
      <c r="A243" s="25" t="s">
        <v>1356</v>
      </c>
      <c r="B243" s="25">
        <v>0.0</v>
      </c>
      <c r="C243" s="25">
        <v>0.0</v>
      </c>
      <c r="D243" s="25">
        <v>0.0</v>
      </c>
      <c r="E243" s="25">
        <v>0.0</v>
      </c>
      <c r="F243" s="25">
        <v>0.0</v>
      </c>
      <c r="G243" s="25">
        <v>0.0</v>
      </c>
      <c r="H243" s="25">
        <v>0.0</v>
      </c>
      <c r="I243" s="25">
        <v>0.0</v>
      </c>
      <c r="J243" s="25">
        <v>0.0</v>
      </c>
      <c r="K243" s="25">
        <v>0.0</v>
      </c>
      <c r="L243" s="25">
        <v>0.0</v>
      </c>
      <c r="M243" s="17">
        <f t="shared" si="1"/>
        <v>0</v>
      </c>
      <c r="N243" s="24" t="str">
        <f t="array" ref="N243">if(isblank(A243),"",index(fish_lab_data!O:O,match(A243,fish_lab_data!C:C,0)))</f>
        <v>EJ</v>
      </c>
      <c r="O243" s="24" t="str">
        <f t="array" ref="O243">index(fish_lab_data!Q:Q,match(A243,fish_lab_data!C:C,0))</f>
        <v>lab_motiles_etoh</v>
      </c>
      <c r="P243" s="24" t="str">
        <f t="array" ref="P243">if(and(iserror(index(sea_lice!G:G,match(A243,sea_lice!A:A,0))),M243=0),"NA",index(sea_lice!G:G,match(A243,sea_lice!A:A,0)))</f>
        <v>NA</v>
      </c>
      <c r="Q243" s="24">
        <f t="array" ref="Q243">if(isblank(A243),"",index(fish_lab_data!X:X,match(A243,fish_lab_data!C:C,0)))</f>
        <v>935</v>
      </c>
    </row>
    <row r="244">
      <c r="A244" s="25" t="s">
        <v>1357</v>
      </c>
      <c r="B244" s="25">
        <v>0.0</v>
      </c>
      <c r="C244" s="25">
        <v>0.0</v>
      </c>
      <c r="D244" s="25">
        <v>0.0</v>
      </c>
      <c r="E244" s="25">
        <v>0.0</v>
      </c>
      <c r="F244" s="25">
        <v>0.0</v>
      </c>
      <c r="G244" s="25">
        <v>0.0</v>
      </c>
      <c r="H244" s="25">
        <v>0.0</v>
      </c>
      <c r="I244" s="25">
        <v>0.0</v>
      </c>
      <c r="J244" s="25">
        <v>0.0</v>
      </c>
      <c r="K244" s="25">
        <v>0.0</v>
      </c>
      <c r="L244" s="25">
        <v>0.0</v>
      </c>
      <c r="M244" s="17">
        <f t="shared" si="1"/>
        <v>0</v>
      </c>
      <c r="N244" s="24" t="str">
        <f t="array" ref="N244">if(isblank(A244),"",index(fish_lab_data!O:O,match(A244,fish_lab_data!C:C,0)))</f>
        <v>EJ</v>
      </c>
      <c r="O244" s="24" t="str">
        <f t="array" ref="O244">index(fish_lab_data!Q:Q,match(A244,fish_lab_data!C:C,0))</f>
        <v>lab_motiles_etoh</v>
      </c>
      <c r="P244" s="24" t="str">
        <f t="array" ref="P244">if(and(iserror(index(sea_lice!G:G,match(A244,sea_lice!A:A,0))),M244=0),"NA",index(sea_lice!G:G,match(A244,sea_lice!A:A,0)))</f>
        <v>NA</v>
      </c>
      <c r="Q244" s="24">
        <f t="array" ref="Q244">if(isblank(A244),"",index(fish_lab_data!X:X,match(A244,fish_lab_data!C:C,0)))</f>
        <v>936</v>
      </c>
    </row>
    <row r="245">
      <c r="A245" s="6" t="s">
        <v>1358</v>
      </c>
      <c r="B245" s="9">
        <v>1.0</v>
      </c>
      <c r="C245" s="9">
        <v>0.0</v>
      </c>
      <c r="D245" s="9">
        <v>0.0</v>
      </c>
      <c r="E245" s="9">
        <v>1.0</v>
      </c>
      <c r="F245" s="9">
        <v>0.0</v>
      </c>
      <c r="G245" s="9">
        <v>0.0</v>
      </c>
      <c r="H245" s="9">
        <v>0.0</v>
      </c>
      <c r="I245" s="9">
        <v>0.0</v>
      </c>
      <c r="J245" s="9">
        <v>0.0</v>
      </c>
      <c r="K245" s="9">
        <v>0.0</v>
      </c>
      <c r="L245" s="9">
        <v>0.0</v>
      </c>
      <c r="M245" s="17">
        <f t="shared" si="1"/>
        <v>2</v>
      </c>
      <c r="N245" s="24" t="str">
        <f t="array" ref="N245">if(isblank(A245),"",index(fish_lab_data!O:O,match(A245,fish_lab_data!C:C,0)))</f>
        <v>EJ</v>
      </c>
      <c r="O245" s="24" t="str">
        <f t="array" ref="O245">index(fish_lab_data!Q:Q,match(A245,fish_lab_data!C:C,0))</f>
        <v>lab_motiles_etoh</v>
      </c>
      <c r="P245" s="24" t="str">
        <f t="array" ref="P245">if(and(iserror(index(sea_lice!G:G,match(A245,sea_lice!A:A,0))),M245=0),"NA",index(sea_lice!G:G,match(A245,sea_lice!A:A,0)))</f>
        <v>BSL7-11</v>
      </c>
      <c r="Q245" s="24">
        <f t="array" ref="Q245">if(isblank(A245),"",index(fish_lab_data!X:X,match(A245,fish_lab_data!C:C,0)))</f>
        <v>937</v>
      </c>
    </row>
    <row r="246">
      <c r="A246" s="25" t="s">
        <v>1359</v>
      </c>
      <c r="B246" s="25">
        <v>0.0</v>
      </c>
      <c r="C246" s="25">
        <v>0.0</v>
      </c>
      <c r="D246" s="25">
        <v>0.0</v>
      </c>
      <c r="E246" s="25">
        <v>0.0</v>
      </c>
      <c r="F246" s="25">
        <v>0.0</v>
      </c>
      <c r="G246" s="25">
        <v>0.0</v>
      </c>
      <c r="H246" s="25">
        <v>0.0</v>
      </c>
      <c r="I246" s="25">
        <v>0.0</v>
      </c>
      <c r="J246" s="25">
        <v>0.0</v>
      </c>
      <c r="K246" s="25">
        <v>0.0</v>
      </c>
      <c r="L246" s="25">
        <v>0.0</v>
      </c>
      <c r="M246" s="17">
        <f t="shared" si="1"/>
        <v>0</v>
      </c>
      <c r="N246" s="24" t="str">
        <f t="array" ref="N246">if(isblank(A246),"",index(fish_lab_data!O:O,match(A246,fish_lab_data!C:C,0)))</f>
        <v>EJ</v>
      </c>
      <c r="O246" s="24" t="str">
        <f t="array" ref="O246">index(fish_lab_data!Q:Q,match(A246,fish_lab_data!C:C,0))</f>
        <v>lab_motiles_etoh</v>
      </c>
      <c r="P246" s="24" t="str">
        <f t="array" ref="P246">if(and(iserror(index(sea_lice!G:G,match(A246,sea_lice!A:A,0))),M246=0),"NA",index(sea_lice!G:G,match(A246,sea_lice!A:A,0)))</f>
        <v>NA</v>
      </c>
      <c r="Q246" s="24">
        <f t="array" ref="Q246">if(isblank(A246),"",index(fish_lab_data!X:X,match(A246,fish_lab_data!C:C,0)))</f>
        <v>938</v>
      </c>
    </row>
    <row r="247">
      <c r="A247" s="25" t="s">
        <v>1360</v>
      </c>
      <c r="B247" s="25">
        <v>0.0</v>
      </c>
      <c r="C247" s="25">
        <v>0.0</v>
      </c>
      <c r="D247" s="25">
        <v>0.0</v>
      </c>
      <c r="E247" s="25">
        <v>0.0</v>
      </c>
      <c r="F247" s="25">
        <v>0.0</v>
      </c>
      <c r="G247" s="25">
        <v>0.0</v>
      </c>
      <c r="H247" s="25">
        <v>0.0</v>
      </c>
      <c r="I247" s="25">
        <v>0.0</v>
      </c>
      <c r="J247" s="25">
        <v>0.0</v>
      </c>
      <c r="K247" s="25">
        <v>0.0</v>
      </c>
      <c r="L247" s="25">
        <v>0.0</v>
      </c>
      <c r="M247" s="17">
        <f t="shared" si="1"/>
        <v>0</v>
      </c>
      <c r="N247" s="24" t="str">
        <f t="array" ref="N247">if(isblank(A247),"",index(fish_lab_data!O:O,match(A247,fish_lab_data!C:C,0)))</f>
        <v>EJ</v>
      </c>
      <c r="O247" s="24" t="str">
        <f t="array" ref="O247">index(fish_lab_data!Q:Q,match(A247,fish_lab_data!C:C,0))</f>
        <v>lab_motiles_etoh</v>
      </c>
      <c r="P247" s="24" t="str">
        <f t="array" ref="P247">if(and(iserror(index(sea_lice!G:G,match(A247,sea_lice!A:A,0))),M247=0),"NA",index(sea_lice!G:G,match(A247,sea_lice!A:A,0)))</f>
        <v>NA</v>
      </c>
      <c r="Q247" s="24">
        <f t="array" ref="Q247">if(isblank(A247),"",index(fish_lab_data!X:X,match(A247,fish_lab_data!C:C,0)))</f>
        <v>939</v>
      </c>
    </row>
    <row r="248">
      <c r="A248" s="6" t="s">
        <v>1361</v>
      </c>
      <c r="B248" s="9">
        <v>0.0</v>
      </c>
      <c r="C248" s="9">
        <v>0.0</v>
      </c>
      <c r="D248" s="9">
        <v>0.0</v>
      </c>
      <c r="E248" s="9">
        <v>1.0</v>
      </c>
      <c r="F248" s="9">
        <v>0.0</v>
      </c>
      <c r="G248" s="9">
        <v>0.0</v>
      </c>
      <c r="H248" s="9">
        <v>0.0</v>
      </c>
      <c r="I248" s="9">
        <v>0.0</v>
      </c>
      <c r="J248" s="9">
        <v>0.0</v>
      </c>
      <c r="K248" s="9">
        <v>0.0</v>
      </c>
      <c r="L248" s="9">
        <v>0.0</v>
      </c>
      <c r="M248" s="17">
        <f t="shared" si="1"/>
        <v>1</v>
      </c>
      <c r="N248" s="24" t="str">
        <f t="array" ref="N248">if(isblank(A248),"",index(fish_lab_data!O:O,match(A248,fish_lab_data!C:C,0)))</f>
        <v>EJ</v>
      </c>
      <c r="O248" s="24" t="str">
        <f t="array" ref="O248">index(fish_lab_data!Q:Q,match(A248,fish_lab_data!C:C,0))</f>
        <v>lab_motiles_etoh</v>
      </c>
      <c r="P248" s="24" t="str">
        <f t="array" ref="P248">if(and(iserror(index(sea_lice!G:G,match(A248,sea_lice!A:A,0))),M248=0),"NA",index(sea_lice!G:G,match(A248,sea_lice!A:A,0)))</f>
        <v>BSL7-13</v>
      </c>
      <c r="Q248" s="24">
        <f t="array" ref="Q248">if(isblank(A248),"",index(fish_lab_data!X:X,match(A248,fish_lab_data!C:C,0)))</f>
        <v>940</v>
      </c>
    </row>
    <row r="249">
      <c r="A249" s="25" t="s">
        <v>1362</v>
      </c>
      <c r="B249" s="25">
        <v>0.0</v>
      </c>
      <c r="C249" s="25">
        <v>0.0</v>
      </c>
      <c r="D249" s="25">
        <v>0.0</v>
      </c>
      <c r="E249" s="25">
        <v>0.0</v>
      </c>
      <c r="F249" s="25">
        <v>0.0</v>
      </c>
      <c r="G249" s="25">
        <v>0.0</v>
      </c>
      <c r="H249" s="25">
        <v>0.0</v>
      </c>
      <c r="I249" s="25">
        <v>0.0</v>
      </c>
      <c r="J249" s="25">
        <v>0.0</v>
      </c>
      <c r="K249" s="25">
        <v>0.0</v>
      </c>
      <c r="L249" s="25">
        <v>0.0</v>
      </c>
      <c r="M249" s="17">
        <f t="shared" si="1"/>
        <v>0</v>
      </c>
      <c r="N249" s="24" t="str">
        <f t="array" ref="N249">if(isblank(A249),"",index(fish_lab_data!O:O,match(A249,fish_lab_data!C:C,0)))</f>
        <v>EJ</v>
      </c>
      <c r="O249" s="24" t="str">
        <f t="array" ref="O249">index(fish_lab_data!Q:Q,match(A249,fish_lab_data!C:C,0))</f>
        <v>lab_motiles_etoh</v>
      </c>
      <c r="P249" s="24" t="str">
        <f t="array" ref="P249">if(and(iserror(index(sea_lice!G:G,match(A249,sea_lice!A:A,0))),M249=0),"NA",index(sea_lice!G:G,match(A249,sea_lice!A:A,0)))</f>
        <v>NA</v>
      </c>
      <c r="Q249" s="24">
        <f t="array" ref="Q249">if(isblank(A249),"",index(fish_lab_data!X:X,match(A249,fish_lab_data!C:C,0)))</f>
        <v>941</v>
      </c>
    </row>
    <row r="250">
      <c r="A250" s="25" t="s">
        <v>1363</v>
      </c>
      <c r="B250" s="25">
        <v>0.0</v>
      </c>
      <c r="C250" s="25">
        <v>0.0</v>
      </c>
      <c r="D250" s="25">
        <v>0.0</v>
      </c>
      <c r="E250" s="25">
        <v>0.0</v>
      </c>
      <c r="F250" s="25">
        <v>0.0</v>
      </c>
      <c r="G250" s="25">
        <v>0.0</v>
      </c>
      <c r="H250" s="25">
        <v>0.0</v>
      </c>
      <c r="I250" s="25">
        <v>0.0</v>
      </c>
      <c r="J250" s="25">
        <v>0.0</v>
      </c>
      <c r="K250" s="25">
        <v>0.0</v>
      </c>
      <c r="L250" s="25">
        <v>0.0</v>
      </c>
      <c r="M250" s="17">
        <f t="shared" si="1"/>
        <v>0</v>
      </c>
      <c r="N250" s="24" t="str">
        <f t="array" ref="N250">if(isblank(A250),"",index(fish_lab_data!O:O,match(A250,fish_lab_data!C:C,0)))</f>
        <v>EJ</v>
      </c>
      <c r="O250" s="24" t="str">
        <f t="array" ref="O250">index(fish_lab_data!Q:Q,match(A250,fish_lab_data!C:C,0))</f>
        <v>lab_motiles_etoh</v>
      </c>
      <c r="P250" s="24" t="str">
        <f t="array" ref="P250">if(and(iserror(index(sea_lice!G:G,match(A250,sea_lice!A:A,0))),M250=0),"NA",index(sea_lice!G:G,match(A250,sea_lice!A:A,0)))</f>
        <v>NA</v>
      </c>
      <c r="Q250" s="24">
        <f t="array" ref="Q250">if(isblank(A250),"",index(fish_lab_data!X:X,match(A250,fish_lab_data!C:C,0)))</f>
        <v>942</v>
      </c>
    </row>
    <row r="251">
      <c r="A251" s="9" t="s">
        <v>1364</v>
      </c>
      <c r="B251" s="9">
        <v>0.0</v>
      </c>
      <c r="C251" s="9">
        <v>0.0</v>
      </c>
      <c r="D251" s="9">
        <v>0.0</v>
      </c>
      <c r="E251" s="9">
        <v>1.0</v>
      </c>
      <c r="F251" s="9">
        <v>0.0</v>
      </c>
      <c r="G251" s="9">
        <v>0.0</v>
      </c>
      <c r="H251" s="9">
        <v>0.0</v>
      </c>
      <c r="I251" s="9">
        <v>0.0</v>
      </c>
      <c r="J251" s="9">
        <v>0.0</v>
      </c>
      <c r="K251" s="9">
        <v>0.0</v>
      </c>
      <c r="L251" s="9">
        <v>0.0</v>
      </c>
      <c r="M251" s="17">
        <f t="shared" si="1"/>
        <v>1</v>
      </c>
      <c r="N251" s="24" t="str">
        <f t="array" ref="N251">if(isblank(A251),"",index(fish_lab_data!O:O,match(A251,fish_lab_data!C:C,0)))</f>
        <v>EJ</v>
      </c>
      <c r="O251" s="24" t="str">
        <f t="array" ref="O251">index(fish_lab_data!Q:Q,match(A251,fish_lab_data!C:C,0))</f>
        <v>lab_motiles_etoh</v>
      </c>
      <c r="P251" s="24" t="str">
        <f t="array" ref="P251">if(and(iserror(index(sea_lice!G:G,match(A251,sea_lice!A:A,0))),M251=0),"NA",index(sea_lice!G:G,match(A251,sea_lice!A:A,0)))</f>
        <v>BSL7-14</v>
      </c>
      <c r="Q251" s="24">
        <f t="array" ref="Q251">if(isblank(A251),"",index(fish_lab_data!X:X,match(A251,fish_lab_data!C:C,0)))</f>
        <v>943</v>
      </c>
    </row>
    <row r="252">
      <c r="A252" s="25" t="s">
        <v>1376</v>
      </c>
      <c r="B252" s="25">
        <v>0.0</v>
      </c>
      <c r="C252" s="25">
        <v>0.0</v>
      </c>
      <c r="D252" s="25">
        <v>0.0</v>
      </c>
      <c r="E252" s="25">
        <v>0.0</v>
      </c>
      <c r="F252" s="25">
        <v>0.0</v>
      </c>
      <c r="G252" s="25">
        <v>0.0</v>
      </c>
      <c r="H252" s="25">
        <v>0.0</v>
      </c>
      <c r="I252" s="25">
        <v>0.0</v>
      </c>
      <c r="J252" s="25">
        <v>0.0</v>
      </c>
      <c r="K252" s="25">
        <v>0.0</v>
      </c>
      <c r="L252" s="25">
        <v>0.0</v>
      </c>
      <c r="M252" s="17">
        <f t="shared" si="1"/>
        <v>0</v>
      </c>
      <c r="N252" s="24" t="str">
        <f t="array" ref="N252">if(isblank(A252),"",index(fish_lab_data!O:O,match(A252,fish_lab_data!C:C,0)))</f>
        <v>KB</v>
      </c>
      <c r="O252" s="24" t="str">
        <f t="array" ref="O252">index(fish_lab_data!Q:Q,match(A252,fish_lab_data!C:C,0))</f>
        <v>lab_motiles_cryo</v>
      </c>
      <c r="P252" s="24" t="str">
        <f t="array" ref="P252">if(and(iserror(index(sea_lice!G:G,match(A252,sea_lice!A:A,0))),M252=0),"NA",index(sea_lice!G:G,match(A252,sea_lice!A:A,0)))</f>
        <v>NA</v>
      </c>
      <c r="Q252" s="24">
        <f t="array" ref="Q252">if(isblank(A252),"",index(fish_lab_data!X:X,match(A252,fish_lab_data!C:C,0)))</f>
        <v>954</v>
      </c>
    </row>
    <row r="253">
      <c r="A253" s="25" t="s">
        <v>1377</v>
      </c>
      <c r="B253" s="25">
        <v>0.0</v>
      </c>
      <c r="C253" s="25">
        <v>0.0</v>
      </c>
      <c r="D253" s="25">
        <v>0.0</v>
      </c>
      <c r="E253" s="25">
        <v>0.0</v>
      </c>
      <c r="F253" s="25">
        <v>0.0</v>
      </c>
      <c r="G253" s="25">
        <v>0.0</v>
      </c>
      <c r="H253" s="25">
        <v>0.0</v>
      </c>
      <c r="I253" s="25">
        <v>0.0</v>
      </c>
      <c r="J253" s="25">
        <v>0.0</v>
      </c>
      <c r="K253" s="25">
        <v>0.0</v>
      </c>
      <c r="L253" s="25">
        <v>0.0</v>
      </c>
      <c r="M253" s="17">
        <f t="shared" si="1"/>
        <v>0</v>
      </c>
      <c r="N253" s="24" t="str">
        <f t="array" ref="N253">if(isblank(A253),"",index(fish_lab_data!O:O,match(A253,fish_lab_data!C:C,0)))</f>
        <v>KB</v>
      </c>
      <c r="O253" s="24" t="str">
        <f t="array" ref="O253">index(fish_lab_data!Q:Q,match(A253,fish_lab_data!C:C,0))</f>
        <v>lab_motiles_cryo</v>
      </c>
      <c r="P253" s="24" t="str">
        <f t="array" ref="P253">if(and(iserror(index(sea_lice!G:G,match(A253,sea_lice!A:A,0))),M253=0),"NA",index(sea_lice!G:G,match(A253,sea_lice!A:A,0)))</f>
        <v>NA</v>
      </c>
      <c r="Q253" s="24">
        <f t="array" ref="Q253">if(isblank(A253),"",index(fish_lab_data!X:X,match(A253,fish_lab_data!C:C,0)))</f>
        <v>955</v>
      </c>
    </row>
    <row r="254">
      <c r="A254" s="25" t="s">
        <v>1379</v>
      </c>
      <c r="B254" s="25">
        <v>0.0</v>
      </c>
      <c r="C254" s="25">
        <v>0.0</v>
      </c>
      <c r="D254" s="25">
        <v>0.0</v>
      </c>
      <c r="E254" s="25">
        <v>0.0</v>
      </c>
      <c r="F254" s="25">
        <v>0.0</v>
      </c>
      <c r="G254" s="25">
        <v>0.0</v>
      </c>
      <c r="H254" s="25">
        <v>0.0</v>
      </c>
      <c r="I254" s="25">
        <v>0.0</v>
      </c>
      <c r="J254" s="25">
        <v>0.0</v>
      </c>
      <c r="K254" s="25">
        <v>0.0</v>
      </c>
      <c r="L254" s="25">
        <v>0.0</v>
      </c>
      <c r="M254" s="17">
        <f t="shared" si="1"/>
        <v>0</v>
      </c>
      <c r="N254" s="24" t="str">
        <f t="array" ref="N254">if(isblank(A254),"",index(fish_lab_data!O:O,match(A254,fish_lab_data!C:C,0)))</f>
        <v>KB</v>
      </c>
      <c r="O254" s="24" t="str">
        <f t="array" ref="O254">index(fish_lab_data!Q:Q,match(A254,fish_lab_data!C:C,0))</f>
        <v>lab_motiles_cryo</v>
      </c>
      <c r="P254" s="24" t="str">
        <f t="array" ref="P254">if(and(iserror(index(sea_lice!G:G,match(A254,sea_lice!A:A,0))),M254=0),"NA",index(sea_lice!G:G,match(A254,sea_lice!A:A,0)))</f>
        <v>NA</v>
      </c>
      <c r="Q254" s="24">
        <f t="array" ref="Q254">if(isblank(A254),"",index(fish_lab_data!X:X,match(A254,fish_lab_data!C:C,0)))</f>
        <v>956</v>
      </c>
    </row>
    <row r="255">
      <c r="A255" s="25" t="s">
        <v>1380</v>
      </c>
      <c r="B255" s="25">
        <v>0.0</v>
      </c>
      <c r="C255" s="25">
        <v>0.0</v>
      </c>
      <c r="D255" s="25">
        <v>0.0</v>
      </c>
      <c r="E255" s="25">
        <v>0.0</v>
      </c>
      <c r="F255" s="25">
        <v>0.0</v>
      </c>
      <c r="G255" s="25">
        <v>0.0</v>
      </c>
      <c r="H255" s="25">
        <v>0.0</v>
      </c>
      <c r="I255" s="25">
        <v>0.0</v>
      </c>
      <c r="J255" s="25">
        <v>0.0</v>
      </c>
      <c r="K255" s="25">
        <v>0.0</v>
      </c>
      <c r="L255" s="25">
        <v>0.0</v>
      </c>
      <c r="M255" s="17">
        <f t="shared" si="1"/>
        <v>0</v>
      </c>
      <c r="N255" s="24" t="str">
        <f t="array" ref="N255">if(isblank(A255),"",index(fish_lab_data!O:O,match(A255,fish_lab_data!C:C,0)))</f>
        <v>KB</v>
      </c>
      <c r="O255" s="24" t="str">
        <f t="array" ref="O255">index(fish_lab_data!Q:Q,match(A255,fish_lab_data!C:C,0))</f>
        <v>lab_motiles_cryo</v>
      </c>
      <c r="P255" s="24" t="str">
        <f t="array" ref="P255">if(and(iserror(index(sea_lice!G:G,match(A255,sea_lice!A:A,0))),M255=0),"NA",index(sea_lice!G:G,match(A255,sea_lice!A:A,0)))</f>
        <v>NA</v>
      </c>
      <c r="Q255" s="24">
        <f t="array" ref="Q255">if(isblank(A255),"",index(fish_lab_data!X:X,match(A255,fish_lab_data!C:C,0)))</f>
        <v>957</v>
      </c>
    </row>
    <row r="256">
      <c r="A256" s="33" t="s">
        <v>1381</v>
      </c>
      <c r="B256" s="9">
        <v>0.0</v>
      </c>
      <c r="C256" s="9">
        <v>1.0</v>
      </c>
      <c r="D256" s="9">
        <v>0.0</v>
      </c>
      <c r="E256" s="9">
        <v>0.0</v>
      </c>
      <c r="F256" s="9">
        <v>0.0</v>
      </c>
      <c r="G256" s="9">
        <v>0.0</v>
      </c>
      <c r="H256" s="9">
        <v>0.0</v>
      </c>
      <c r="I256" s="9">
        <v>0.0</v>
      </c>
      <c r="J256" s="9">
        <v>0.0</v>
      </c>
      <c r="K256" s="9">
        <v>0.0</v>
      </c>
      <c r="L256" s="9">
        <v>0.0</v>
      </c>
      <c r="M256" s="17">
        <f t="shared" si="1"/>
        <v>1</v>
      </c>
      <c r="N256" s="24" t="str">
        <f t="array" ref="N256">if(isblank(A256),"",index(fish_lab_data!O:O,match(A256,fish_lab_data!C:C,0)))</f>
        <v>KB</v>
      </c>
      <c r="O256" s="24" t="str">
        <f t="array" ref="O256">index(fish_lab_data!Q:Q,match(A256,fish_lab_data!C:C,0))</f>
        <v>lab_motiles_cryo</v>
      </c>
      <c r="P256" s="24" t="str">
        <f t="array" ref="P256">if(and(iserror(index(sea_lice!G:G,match(A256,sea_lice!A:A,0))),M256=0),"NA",index(sea_lice!G:G,match(A256,sea_lice!A:A,0)))</f>
        <v>BSL2-65</v>
      </c>
      <c r="Q256" s="24">
        <f t="array" ref="Q256">if(isblank(A256),"",index(fish_lab_data!X:X,match(A256,fish_lab_data!C:C,0)))</f>
        <v>958</v>
      </c>
    </row>
    <row r="257">
      <c r="A257" s="33" t="s">
        <v>1382</v>
      </c>
      <c r="B257" s="9">
        <v>0.0</v>
      </c>
      <c r="C257" s="9">
        <v>0.0</v>
      </c>
      <c r="D257" s="9">
        <v>0.0</v>
      </c>
      <c r="E257" s="9">
        <v>0.0</v>
      </c>
      <c r="F257" s="9">
        <v>0.0</v>
      </c>
      <c r="G257" s="9">
        <v>0.0</v>
      </c>
      <c r="H257" s="9">
        <v>1.0</v>
      </c>
      <c r="I257" s="9">
        <v>0.0</v>
      </c>
      <c r="J257" s="9">
        <v>0.0</v>
      </c>
      <c r="K257" s="9">
        <v>0.0</v>
      </c>
      <c r="L257" s="9">
        <v>0.0</v>
      </c>
      <c r="M257" s="17">
        <f t="shared" si="1"/>
        <v>1</v>
      </c>
      <c r="N257" s="24" t="str">
        <f t="array" ref="N257">if(isblank(A257),"",index(fish_lab_data!O:O,match(A257,fish_lab_data!C:C,0)))</f>
        <v>KB</v>
      </c>
      <c r="O257" s="24" t="str">
        <f t="array" ref="O257">index(fish_lab_data!Q:Q,match(A257,fish_lab_data!C:C,0))</f>
        <v>lab_motiles_cryo</v>
      </c>
      <c r="P257" s="24" t="str">
        <f t="array" ref="P257">if(and(iserror(index(sea_lice!G:G,match(A257,sea_lice!A:A,0))),M257=0),"NA",index(sea_lice!G:G,match(A257,sea_lice!A:A,0)))</f>
        <v>BSL2-67</v>
      </c>
      <c r="Q257" s="24">
        <f t="array" ref="Q257">if(isblank(A257),"",index(fish_lab_data!X:X,match(A257,fish_lab_data!C:C,0)))</f>
        <v>959</v>
      </c>
    </row>
    <row r="258">
      <c r="A258" s="25" t="s">
        <v>1383</v>
      </c>
      <c r="B258" s="25">
        <v>0.0</v>
      </c>
      <c r="C258" s="25">
        <v>0.0</v>
      </c>
      <c r="D258" s="25">
        <v>0.0</v>
      </c>
      <c r="E258" s="25">
        <v>0.0</v>
      </c>
      <c r="F258" s="25">
        <v>0.0</v>
      </c>
      <c r="G258" s="25">
        <v>0.0</v>
      </c>
      <c r="H258" s="25">
        <v>0.0</v>
      </c>
      <c r="I258" s="25">
        <v>0.0</v>
      </c>
      <c r="J258" s="25">
        <v>0.0</v>
      </c>
      <c r="K258" s="25">
        <v>0.0</v>
      </c>
      <c r="L258" s="25">
        <v>0.0</v>
      </c>
      <c r="M258" s="17">
        <f t="shared" si="1"/>
        <v>0</v>
      </c>
      <c r="N258" s="24" t="str">
        <f t="array" ref="N258">if(isblank(A258),"",index(fish_lab_data!O:O,match(A258,fish_lab_data!C:C,0)))</f>
        <v>KB</v>
      </c>
      <c r="O258" s="24" t="str">
        <f t="array" ref="O258">index(fish_lab_data!Q:Q,match(A258,fish_lab_data!C:C,0))</f>
        <v>lab_motiles_cryo</v>
      </c>
      <c r="P258" s="24" t="str">
        <f t="array" ref="P258">if(and(iserror(index(sea_lice!G:G,match(A258,sea_lice!A:A,0))),M258=0),"NA",index(sea_lice!G:G,match(A258,sea_lice!A:A,0)))</f>
        <v>NA</v>
      </c>
      <c r="Q258" s="24">
        <f t="array" ref="Q258">if(isblank(A258),"",index(fish_lab_data!X:X,match(A258,fish_lab_data!C:C,0)))</f>
        <v>960</v>
      </c>
    </row>
    <row r="259">
      <c r="A259" s="25" t="s">
        <v>1385</v>
      </c>
      <c r="B259" s="25">
        <v>0.0</v>
      </c>
      <c r="C259" s="25">
        <v>0.0</v>
      </c>
      <c r="D259" s="25">
        <v>0.0</v>
      </c>
      <c r="E259" s="25">
        <v>0.0</v>
      </c>
      <c r="F259" s="25">
        <v>0.0</v>
      </c>
      <c r="G259" s="25">
        <v>0.0</v>
      </c>
      <c r="H259" s="25">
        <v>0.0</v>
      </c>
      <c r="I259" s="25">
        <v>0.0</v>
      </c>
      <c r="J259" s="25">
        <v>0.0</v>
      </c>
      <c r="K259" s="25">
        <v>0.0</v>
      </c>
      <c r="L259" s="25">
        <v>0.0</v>
      </c>
      <c r="M259" s="17">
        <f t="shared" si="1"/>
        <v>0</v>
      </c>
      <c r="N259" s="24" t="str">
        <f t="array" ref="N259">if(isblank(A259),"",index(fish_lab_data!O:O,match(A259,fish_lab_data!C:C,0)))</f>
        <v>KB</v>
      </c>
      <c r="O259" s="24" t="str">
        <f t="array" ref="O259">index(fish_lab_data!Q:Q,match(A259,fish_lab_data!C:C,0))</f>
        <v>lab_motiles_cryo</v>
      </c>
      <c r="P259" s="24" t="str">
        <f t="array" ref="P259">if(and(iserror(index(sea_lice!G:G,match(A259,sea_lice!A:A,0))),M259=0),"NA",index(sea_lice!G:G,match(A259,sea_lice!A:A,0)))</f>
        <v>NA</v>
      </c>
      <c r="Q259" s="24">
        <f t="array" ref="Q259">if(isblank(A259),"",index(fish_lab_data!X:X,match(A259,fish_lab_data!C:C,0)))</f>
        <v>961</v>
      </c>
    </row>
    <row r="260">
      <c r="A260" s="25" t="s">
        <v>1386</v>
      </c>
      <c r="B260" s="25">
        <v>0.0</v>
      </c>
      <c r="C260" s="25">
        <v>0.0</v>
      </c>
      <c r="D260" s="25">
        <v>0.0</v>
      </c>
      <c r="E260" s="25">
        <v>0.0</v>
      </c>
      <c r="F260" s="25">
        <v>0.0</v>
      </c>
      <c r="G260" s="25">
        <v>0.0</v>
      </c>
      <c r="H260" s="25">
        <v>0.0</v>
      </c>
      <c r="I260" s="25">
        <v>0.0</v>
      </c>
      <c r="J260" s="25">
        <v>0.0</v>
      </c>
      <c r="K260" s="25">
        <v>0.0</v>
      </c>
      <c r="L260" s="25">
        <v>0.0</v>
      </c>
      <c r="M260" s="17">
        <f t="shared" si="1"/>
        <v>0</v>
      </c>
      <c r="N260" s="24" t="str">
        <f t="array" ref="N260">if(isblank(A260),"",index(fish_lab_data!O:O,match(A260,fish_lab_data!C:C,0)))</f>
        <v>KB</v>
      </c>
      <c r="O260" s="24" t="str">
        <f t="array" ref="O260">index(fish_lab_data!Q:Q,match(A260,fish_lab_data!C:C,0))</f>
        <v>lab_motiles_cryo</v>
      </c>
      <c r="P260" s="24" t="str">
        <f t="array" ref="P260">if(and(iserror(index(sea_lice!G:G,match(A260,sea_lice!A:A,0))),M260=0),"NA",index(sea_lice!G:G,match(A260,sea_lice!A:A,0)))</f>
        <v>NA</v>
      </c>
      <c r="Q260" s="24">
        <f t="array" ref="Q260">if(isblank(A260),"",index(fish_lab_data!X:X,match(A260,fish_lab_data!C:C,0)))</f>
        <v>962</v>
      </c>
    </row>
    <row r="261">
      <c r="A261" s="33" t="s">
        <v>1387</v>
      </c>
      <c r="B261" s="9">
        <v>0.0</v>
      </c>
      <c r="C261" s="9">
        <v>0.0</v>
      </c>
      <c r="D261" s="9">
        <v>0.0</v>
      </c>
      <c r="E261" s="9">
        <v>0.0</v>
      </c>
      <c r="F261" s="9">
        <v>0.0</v>
      </c>
      <c r="G261" s="9">
        <v>0.0</v>
      </c>
      <c r="H261" s="9">
        <v>0.0</v>
      </c>
      <c r="I261" s="9">
        <v>0.0</v>
      </c>
      <c r="J261" s="9">
        <v>0.0</v>
      </c>
      <c r="K261" s="9">
        <v>1.0</v>
      </c>
      <c r="L261" s="9">
        <v>0.0</v>
      </c>
      <c r="M261" s="17">
        <f t="shared" si="1"/>
        <v>1</v>
      </c>
      <c r="N261" s="24" t="str">
        <f t="array" ref="N261">if(isblank(A261),"",index(fish_lab_data!O:O,match(A261,fish_lab_data!C:C,0)))</f>
        <v>KB</v>
      </c>
      <c r="O261" s="24" t="str">
        <f t="array" ref="O261">index(fish_lab_data!Q:Q,match(A261,fish_lab_data!C:C,0))</f>
        <v>lab_motiles_cryo</v>
      </c>
      <c r="P261" s="24" t="str">
        <f t="array" ref="P261">if(and(iserror(index(sea_lice!G:G,match(A261,sea_lice!A:A,0))),M261=0),"NA",index(sea_lice!G:G,match(A261,sea_lice!A:A,0)))</f>
        <v>BSL2-69</v>
      </c>
      <c r="Q261" s="24">
        <f t="array" ref="Q261">if(isblank(A261),"",index(fish_lab_data!X:X,match(A261,fish_lab_data!C:C,0)))</f>
        <v>963</v>
      </c>
    </row>
    <row r="262">
      <c r="A262" s="25" t="s">
        <v>1389</v>
      </c>
      <c r="B262" s="25">
        <v>0.0</v>
      </c>
      <c r="C262" s="25">
        <v>0.0</v>
      </c>
      <c r="D262" s="25">
        <v>0.0</v>
      </c>
      <c r="E262" s="25">
        <v>0.0</v>
      </c>
      <c r="F262" s="25">
        <v>0.0</v>
      </c>
      <c r="G262" s="25">
        <v>0.0</v>
      </c>
      <c r="H262" s="25">
        <v>0.0</v>
      </c>
      <c r="I262" s="25">
        <v>0.0</v>
      </c>
      <c r="J262" s="25">
        <v>0.0</v>
      </c>
      <c r="K262" s="25">
        <v>0.0</v>
      </c>
      <c r="L262" s="25">
        <v>0.0</v>
      </c>
      <c r="M262" s="17">
        <f t="shared" si="1"/>
        <v>0</v>
      </c>
      <c r="N262" s="24" t="str">
        <f t="array" ref="N262">if(isblank(A262),"",index(fish_lab_data!O:O,match(A262,fish_lab_data!C:C,0)))</f>
        <v>KB</v>
      </c>
      <c r="O262" s="24" t="str">
        <f t="array" ref="O262">index(fish_lab_data!Q:Q,match(A262,fish_lab_data!C:C,0))</f>
        <v>lab_motiles_cryo</v>
      </c>
      <c r="P262" s="24" t="str">
        <f t="array" ref="P262">if(and(iserror(index(sea_lice!G:G,match(A262,sea_lice!A:A,0))),M262=0),"NA",index(sea_lice!G:G,match(A262,sea_lice!A:A,0)))</f>
        <v>NA</v>
      </c>
      <c r="Q262" s="24">
        <f t="array" ref="Q262">if(isblank(A262),"",index(fish_lab_data!X:X,match(A262,fish_lab_data!C:C,0)))</f>
        <v>964</v>
      </c>
    </row>
    <row r="263">
      <c r="A263" s="33" t="s">
        <v>1390</v>
      </c>
      <c r="B263" s="9">
        <v>1.0</v>
      </c>
      <c r="C263" s="9">
        <v>0.0</v>
      </c>
      <c r="D263" s="9">
        <v>0.0</v>
      </c>
      <c r="E263" s="9">
        <v>0.0</v>
      </c>
      <c r="F263" s="9">
        <v>0.0</v>
      </c>
      <c r="G263" s="9">
        <v>0.0</v>
      </c>
      <c r="H263" s="9">
        <v>0.0</v>
      </c>
      <c r="I263" s="9">
        <v>0.0</v>
      </c>
      <c r="J263" s="9">
        <v>0.0</v>
      </c>
      <c r="K263" s="9">
        <v>0.0</v>
      </c>
      <c r="L263" s="9">
        <v>0.0</v>
      </c>
      <c r="M263" s="17">
        <f t="shared" si="1"/>
        <v>1</v>
      </c>
      <c r="N263" s="24" t="str">
        <f t="array" ref="N263">if(isblank(A263),"",index(fish_lab_data!O:O,match(A263,fish_lab_data!C:C,0)))</f>
        <v>EJ</v>
      </c>
      <c r="O263" s="24" t="str">
        <f t="array" ref="O263">index(fish_lab_data!Q:Q,match(A263,fish_lab_data!C:C,0))</f>
        <v>lab_motiles_cryo</v>
      </c>
      <c r="P263" s="24" t="str">
        <f t="array" ref="P263">if(and(iserror(index(sea_lice!G:G,match(A263,sea_lice!A:A,0))),M263=0),"NA",index(sea_lice!G:G,match(A263,sea_lice!A:A,0)))</f>
        <v>BSL7-18</v>
      </c>
      <c r="Q263" s="24">
        <f t="array" ref="Q263">if(isblank(A263),"",index(fish_lab_data!X:X,match(A263,fish_lab_data!C:C,0)))</f>
        <v>965</v>
      </c>
    </row>
    <row r="264">
      <c r="A264" s="33" t="s">
        <v>1391</v>
      </c>
      <c r="B264" s="9">
        <v>1.0</v>
      </c>
      <c r="C264" s="9">
        <v>0.0</v>
      </c>
      <c r="D264" s="9">
        <v>0.0</v>
      </c>
      <c r="E264" s="9">
        <v>1.0</v>
      </c>
      <c r="F264" s="9">
        <v>0.0</v>
      </c>
      <c r="G264" s="9">
        <v>0.0</v>
      </c>
      <c r="H264" s="9">
        <v>0.0</v>
      </c>
      <c r="I264" s="9">
        <v>0.0</v>
      </c>
      <c r="J264" s="9">
        <v>0.0</v>
      </c>
      <c r="K264" s="9">
        <v>0.0</v>
      </c>
      <c r="L264" s="9">
        <v>0.0</v>
      </c>
      <c r="M264" s="17">
        <f t="shared" si="1"/>
        <v>2</v>
      </c>
      <c r="N264" s="24" t="str">
        <f t="array" ref="N264">if(isblank(A264),"",index(fish_lab_data!O:O,match(A264,fish_lab_data!C:C,0)))</f>
        <v>EJ</v>
      </c>
      <c r="O264" s="24" t="str">
        <f t="array" ref="O264">index(fish_lab_data!Q:Q,match(A264,fish_lab_data!C:C,0))</f>
        <v>lab_motiles_cryo</v>
      </c>
      <c r="P264" s="24" t="str">
        <f t="array" ref="P264">if(and(iserror(index(sea_lice!G:G,match(A264,sea_lice!A:A,0))),M264=0),"NA",index(sea_lice!G:G,match(A264,sea_lice!A:A,0)))</f>
        <v>BSL7-19</v>
      </c>
      <c r="Q264" s="24">
        <f t="array" ref="Q264">if(isblank(A264),"",index(fish_lab_data!X:X,match(A264,fish_lab_data!C:C,0)))</f>
        <v>966</v>
      </c>
    </row>
    <row r="265">
      <c r="A265" s="25" t="s">
        <v>1392</v>
      </c>
      <c r="B265" s="25">
        <v>0.0</v>
      </c>
      <c r="C265" s="25">
        <v>0.0</v>
      </c>
      <c r="D265" s="25">
        <v>0.0</v>
      </c>
      <c r="E265" s="25">
        <v>0.0</v>
      </c>
      <c r="F265" s="25">
        <v>0.0</v>
      </c>
      <c r="G265" s="25">
        <v>0.0</v>
      </c>
      <c r="H265" s="25">
        <v>0.0</v>
      </c>
      <c r="I265" s="25">
        <v>0.0</v>
      </c>
      <c r="J265" s="25">
        <v>0.0</v>
      </c>
      <c r="K265" s="25">
        <v>0.0</v>
      </c>
      <c r="L265" s="25">
        <v>0.0</v>
      </c>
      <c r="M265" s="17">
        <f t="shared" si="1"/>
        <v>0</v>
      </c>
      <c r="N265" s="24" t="str">
        <f t="array" ref="N265">if(isblank(A265),"",index(fish_lab_data!O:O,match(A265,fish_lab_data!C:C,0)))</f>
        <v>EJ</v>
      </c>
      <c r="O265" s="24" t="str">
        <f t="array" ref="O265">index(fish_lab_data!Q:Q,match(A265,fish_lab_data!C:C,0))</f>
        <v>lab_motiles_cryo</v>
      </c>
      <c r="P265" s="24" t="str">
        <f t="array" ref="P265">if(and(iserror(index(sea_lice!G:G,match(A265,sea_lice!A:A,0))),M265=0),"NA",index(sea_lice!G:G,match(A265,sea_lice!A:A,0)))</f>
        <v>NA</v>
      </c>
      <c r="Q265" s="24">
        <f t="array" ref="Q265">if(isblank(A265),"",index(fish_lab_data!X:X,match(A265,fish_lab_data!C:C,0)))</f>
        <v>967</v>
      </c>
    </row>
    <row r="266">
      <c r="A266" s="33" t="s">
        <v>1395</v>
      </c>
      <c r="B266" s="9">
        <v>3.0</v>
      </c>
      <c r="C266" s="9">
        <v>0.0</v>
      </c>
      <c r="D266" s="9">
        <v>0.0</v>
      </c>
      <c r="E266" s="9">
        <v>2.0</v>
      </c>
      <c r="F266" s="9">
        <v>0.0</v>
      </c>
      <c r="G266" s="9">
        <v>0.0</v>
      </c>
      <c r="H266" s="9">
        <v>0.0</v>
      </c>
      <c r="I266" s="9">
        <v>0.0</v>
      </c>
      <c r="J266" s="9">
        <v>0.0</v>
      </c>
      <c r="K266" s="9">
        <v>1.0</v>
      </c>
      <c r="L266" s="9">
        <v>0.0</v>
      </c>
      <c r="M266" s="17">
        <f t="shared" si="1"/>
        <v>6</v>
      </c>
      <c r="N266" s="24" t="str">
        <f t="array" ref="N266">if(isblank(A266),"",index(fish_lab_data!O:O,match(A266,fish_lab_data!C:C,0)))</f>
        <v>EJ</v>
      </c>
      <c r="O266" s="24" t="str">
        <f t="array" ref="O266">index(fish_lab_data!Q:Q,match(A266,fish_lab_data!C:C,0))</f>
        <v>lab_motiles_cryo</v>
      </c>
      <c r="P266" s="24" t="str">
        <f t="array" ref="P266">if(and(iserror(index(sea_lice!G:G,match(A266,sea_lice!A:A,0))),M266=0),"NA",index(sea_lice!G:G,match(A266,sea_lice!A:A,0)))</f>
        <v>BSL7-20</v>
      </c>
      <c r="Q266" s="24">
        <f t="array" ref="Q266">if(isblank(A266),"",index(fish_lab_data!X:X,match(A266,fish_lab_data!C:C,0)))</f>
        <v>968</v>
      </c>
    </row>
    <row r="267">
      <c r="A267" s="9" t="s">
        <v>1396</v>
      </c>
      <c r="B267" s="9">
        <v>0.0</v>
      </c>
      <c r="C267" s="9">
        <v>0.0</v>
      </c>
      <c r="D267" s="9">
        <v>0.0</v>
      </c>
      <c r="E267" s="9">
        <v>1.0</v>
      </c>
      <c r="F267" s="9">
        <v>0.0</v>
      </c>
      <c r="G267" s="9">
        <v>0.0</v>
      </c>
      <c r="H267" s="9">
        <v>0.0</v>
      </c>
      <c r="I267" s="9">
        <v>0.0</v>
      </c>
      <c r="J267" s="9">
        <v>0.0</v>
      </c>
      <c r="K267" s="9">
        <v>0.0</v>
      </c>
      <c r="L267" s="9">
        <v>0.0</v>
      </c>
      <c r="M267" s="17">
        <f t="shared" si="1"/>
        <v>1</v>
      </c>
      <c r="N267" s="24" t="str">
        <f t="array" ref="N267">if(isblank(A267),"",index(fish_lab_data!O:O,match(A267,fish_lab_data!C:C,0)))</f>
        <v>EJ</v>
      </c>
      <c r="O267" s="24" t="str">
        <f t="array" ref="O267">index(fish_lab_data!Q:Q,match(A267,fish_lab_data!C:C,0))</f>
        <v>lab_motiles_cryo</v>
      </c>
      <c r="P267" s="24" t="str">
        <f t="array" ref="P267">if(and(iserror(index(sea_lice!G:G,match(A267,sea_lice!A:A,0))),M267=0),"NA",index(sea_lice!G:G,match(A267,sea_lice!A:A,0)))</f>
        <v>BSL7-21</v>
      </c>
      <c r="Q267" s="24">
        <f t="array" ref="Q267">if(isblank(A267),"",index(fish_lab_data!X:X,match(A267,fish_lab_data!C:C,0)))</f>
        <v>969</v>
      </c>
    </row>
    <row r="268">
      <c r="A268" s="33" t="s">
        <v>1397</v>
      </c>
      <c r="B268" s="9">
        <v>0.0</v>
      </c>
      <c r="C268" s="9">
        <v>0.0</v>
      </c>
      <c r="D268" s="9">
        <v>0.0</v>
      </c>
      <c r="E268" s="9">
        <v>3.0</v>
      </c>
      <c r="F268" s="9">
        <v>0.0</v>
      </c>
      <c r="G268" s="9">
        <v>0.0</v>
      </c>
      <c r="H268" s="9">
        <v>0.0</v>
      </c>
      <c r="I268" s="9">
        <v>0.0</v>
      </c>
      <c r="J268" s="9">
        <v>0.0</v>
      </c>
      <c r="K268" s="9">
        <v>0.0</v>
      </c>
      <c r="L268" s="9">
        <v>0.0</v>
      </c>
      <c r="M268" s="17">
        <f t="shared" si="1"/>
        <v>3</v>
      </c>
      <c r="N268" s="24" t="str">
        <f t="array" ref="N268">if(isblank(A268),"",index(fish_lab_data!O:O,match(A268,fish_lab_data!C:C,0)))</f>
        <v>EJ</v>
      </c>
      <c r="O268" s="24" t="str">
        <f t="array" ref="O268">index(fish_lab_data!Q:Q,match(A268,fish_lab_data!C:C,0))</f>
        <v>lab_motiles_cryo</v>
      </c>
      <c r="P268" s="24" t="str">
        <f t="array" ref="P268">if(and(iserror(index(sea_lice!G:G,match(A268,sea_lice!A:A,0))),M268=0),"NA",index(sea_lice!G:G,match(A268,sea_lice!A:A,0)))</f>
        <v>BSL7-22</v>
      </c>
      <c r="Q268" s="24">
        <f t="array" ref="Q268">if(isblank(A268),"",index(fish_lab_data!X:X,match(A268,fish_lab_data!C:C,0)))</f>
        <v>970</v>
      </c>
    </row>
    <row r="269">
      <c r="A269" s="9" t="s">
        <v>1398</v>
      </c>
      <c r="B269" s="9">
        <v>1.0</v>
      </c>
      <c r="C269" s="9">
        <v>0.0</v>
      </c>
      <c r="D269" s="9">
        <v>0.0</v>
      </c>
      <c r="E269" s="9">
        <v>0.0</v>
      </c>
      <c r="F269" s="9">
        <v>0.0</v>
      </c>
      <c r="G269" s="9">
        <v>0.0</v>
      </c>
      <c r="H269" s="9">
        <v>0.0</v>
      </c>
      <c r="I269" s="9">
        <v>0.0</v>
      </c>
      <c r="J269" s="9">
        <v>0.0</v>
      </c>
      <c r="K269" s="9">
        <v>0.0</v>
      </c>
      <c r="L269" s="9">
        <v>0.0</v>
      </c>
      <c r="M269" s="17">
        <f t="shared" si="1"/>
        <v>1</v>
      </c>
      <c r="N269" s="24" t="str">
        <f t="array" ref="N269">if(isblank(A269),"",index(fish_lab_data!O:O,match(A269,fish_lab_data!C:C,0)))</f>
        <v>EJ</v>
      </c>
      <c r="O269" s="24" t="str">
        <f t="array" ref="O269">index(fish_lab_data!Q:Q,match(A269,fish_lab_data!C:C,0))</f>
        <v>lab_motiles_cryo</v>
      </c>
      <c r="P269" s="24" t="str">
        <f t="array" ref="P269">if(and(iserror(index(sea_lice!G:G,match(A269,sea_lice!A:A,0))),M269=0),"NA",index(sea_lice!G:G,match(A269,sea_lice!A:A,0)))</f>
        <v>BSL7-23</v>
      </c>
      <c r="Q269" s="24">
        <f t="array" ref="Q269">if(isblank(A269),"",index(fish_lab_data!X:X,match(A269,fish_lab_data!C:C,0)))</f>
        <v>971</v>
      </c>
    </row>
    <row r="270">
      <c r="A270" s="33" t="s">
        <v>1399</v>
      </c>
      <c r="B270" s="9">
        <v>1.0</v>
      </c>
      <c r="C270" s="9">
        <v>0.0</v>
      </c>
      <c r="D270" s="9">
        <v>0.0</v>
      </c>
      <c r="E270" s="9">
        <v>1.0</v>
      </c>
      <c r="F270" s="9">
        <v>0.0</v>
      </c>
      <c r="G270" s="9">
        <v>0.0</v>
      </c>
      <c r="H270" s="9">
        <v>0.0</v>
      </c>
      <c r="I270" s="9">
        <v>0.0</v>
      </c>
      <c r="J270" s="9">
        <v>0.0</v>
      </c>
      <c r="K270" s="9">
        <v>0.0</v>
      </c>
      <c r="L270" s="9">
        <v>0.0</v>
      </c>
      <c r="M270" s="17">
        <f t="shared" si="1"/>
        <v>2</v>
      </c>
      <c r="N270" s="24" t="str">
        <f t="array" ref="N270">if(isblank(A270),"",index(fish_lab_data!O:O,match(A270,fish_lab_data!C:C,0)))</f>
        <v>EJ</v>
      </c>
      <c r="O270" s="24" t="str">
        <f t="array" ref="O270">index(fish_lab_data!Q:Q,match(A270,fish_lab_data!C:C,0))</f>
        <v>lab_motiles_cryo</v>
      </c>
      <c r="P270" s="24" t="str">
        <f t="array" ref="P270">if(and(iserror(index(sea_lice!G:G,match(A270,sea_lice!A:A,0))),M270=0),"NA",index(sea_lice!G:G,match(A270,sea_lice!A:A,0)))</f>
        <v>BSL7-24</v>
      </c>
      <c r="Q270" s="24">
        <f t="array" ref="Q270">if(isblank(A270),"",index(fish_lab_data!X:X,match(A270,fish_lab_data!C:C,0)))</f>
        <v>972</v>
      </c>
    </row>
    <row r="271">
      <c r="A271" s="9" t="s">
        <v>1400</v>
      </c>
      <c r="B271" s="9">
        <v>1.0</v>
      </c>
      <c r="C271" s="9">
        <v>0.0</v>
      </c>
      <c r="D271" s="9">
        <v>0.0</v>
      </c>
      <c r="E271" s="9">
        <v>0.0</v>
      </c>
      <c r="F271" s="9">
        <v>0.0</v>
      </c>
      <c r="G271" s="9">
        <v>0.0</v>
      </c>
      <c r="H271" s="9">
        <v>0.0</v>
      </c>
      <c r="I271" s="9">
        <v>0.0</v>
      </c>
      <c r="J271" s="9">
        <v>0.0</v>
      </c>
      <c r="K271" s="9">
        <v>0.0</v>
      </c>
      <c r="L271" s="9">
        <v>0.0</v>
      </c>
      <c r="M271" s="17">
        <f t="shared" si="1"/>
        <v>1</v>
      </c>
      <c r="N271" s="24" t="str">
        <f t="array" ref="N271">if(isblank(A271),"",index(fish_lab_data!O:O,match(A271,fish_lab_data!C:C,0)))</f>
        <v>EJ</v>
      </c>
      <c r="O271" s="24" t="str">
        <f t="array" ref="O271">index(fish_lab_data!Q:Q,match(A271,fish_lab_data!C:C,0))</f>
        <v>lab_motiles_cryo</v>
      </c>
      <c r="P271" s="24" t="str">
        <f t="array" ref="P271">if(and(iserror(index(sea_lice!G:G,match(A271,sea_lice!A:A,0))),M271=0),"NA",index(sea_lice!G:G,match(A271,sea_lice!A:A,0)))</f>
        <v>BSL7-25</v>
      </c>
      <c r="Q271" s="24">
        <f t="array" ref="Q271">if(isblank(A271),"",index(fish_lab_data!X:X,match(A271,fish_lab_data!C:C,0)))</f>
        <v>973</v>
      </c>
    </row>
    <row r="272">
      <c r="A272" s="25" t="s">
        <v>1401</v>
      </c>
      <c r="B272" s="25">
        <v>0.0</v>
      </c>
      <c r="C272" s="25">
        <v>0.0</v>
      </c>
      <c r="D272" s="25">
        <v>0.0</v>
      </c>
      <c r="E272" s="25">
        <v>0.0</v>
      </c>
      <c r="F272" s="25">
        <v>0.0</v>
      </c>
      <c r="G272" s="25">
        <v>0.0</v>
      </c>
      <c r="H272" s="25">
        <v>0.0</v>
      </c>
      <c r="I272" s="25">
        <v>0.0</v>
      </c>
      <c r="J272" s="25">
        <v>0.0</v>
      </c>
      <c r="K272" s="25">
        <v>0.0</v>
      </c>
      <c r="L272" s="25">
        <v>0.0</v>
      </c>
      <c r="M272" s="17">
        <f t="shared" si="1"/>
        <v>0</v>
      </c>
      <c r="N272" s="24" t="str">
        <f t="array" ref="N272">if(isblank(A272),"",index(fish_lab_data!O:O,match(A272,fish_lab_data!C:C,0)))</f>
        <v>EJ</v>
      </c>
      <c r="O272" s="24" t="str">
        <f t="array" ref="O272">index(fish_lab_data!Q:Q,match(A272,fish_lab_data!C:C,0))</f>
        <v>lab_motiles_cryo</v>
      </c>
      <c r="P272" s="24" t="str">
        <f t="array" ref="P272">if(and(iserror(index(sea_lice!G:G,match(A272,sea_lice!A:A,0))),M272=0),"NA",index(sea_lice!G:G,match(A272,sea_lice!A:A,0)))</f>
        <v>NA</v>
      </c>
      <c r="Q272" s="24">
        <f t="array" ref="Q272">if(isblank(A272),"",index(fish_lab_data!X:X,match(A272,fish_lab_data!C:C,0)))</f>
        <v>974</v>
      </c>
    </row>
    <row r="273">
      <c r="A273" s="25" t="s">
        <v>1402</v>
      </c>
      <c r="B273" s="25">
        <v>0.0</v>
      </c>
      <c r="C273" s="25">
        <v>0.0</v>
      </c>
      <c r="D273" s="25">
        <v>0.0</v>
      </c>
      <c r="E273" s="25">
        <v>0.0</v>
      </c>
      <c r="F273" s="25">
        <v>0.0</v>
      </c>
      <c r="G273" s="25">
        <v>0.0</v>
      </c>
      <c r="H273" s="25">
        <v>0.0</v>
      </c>
      <c r="I273" s="25">
        <v>0.0</v>
      </c>
      <c r="J273" s="25">
        <v>0.0</v>
      </c>
      <c r="K273" s="25">
        <v>0.0</v>
      </c>
      <c r="L273" s="25">
        <v>0.0</v>
      </c>
      <c r="M273" s="17">
        <f t="shared" si="1"/>
        <v>0</v>
      </c>
      <c r="N273" s="24" t="str">
        <f t="array" ref="N273">if(isblank(A273),"",index(fish_lab_data!O:O,match(A273,fish_lab_data!C:C,0)))</f>
        <v>EJ</v>
      </c>
      <c r="O273" s="24" t="str">
        <f t="array" ref="O273">index(fish_lab_data!Q:Q,match(A273,fish_lab_data!C:C,0))</f>
        <v>lab_motiles_cryo</v>
      </c>
      <c r="P273" s="24" t="str">
        <f t="array" ref="P273">if(and(iserror(index(sea_lice!G:G,match(A273,sea_lice!A:A,0))),M273=0),"NA",index(sea_lice!G:G,match(A273,sea_lice!A:A,0)))</f>
        <v>NA</v>
      </c>
      <c r="Q273" s="24">
        <f t="array" ref="Q273">if(isblank(A273),"",index(fish_lab_data!X:X,match(A273,fish_lab_data!C:C,0)))</f>
        <v>975</v>
      </c>
    </row>
    <row r="274">
      <c r="A274" s="25" t="s">
        <v>1403</v>
      </c>
      <c r="B274" s="25">
        <v>0.0</v>
      </c>
      <c r="C274" s="25">
        <v>0.0</v>
      </c>
      <c r="D274" s="25">
        <v>0.0</v>
      </c>
      <c r="E274" s="25">
        <v>0.0</v>
      </c>
      <c r="F274" s="25">
        <v>0.0</v>
      </c>
      <c r="G274" s="25">
        <v>0.0</v>
      </c>
      <c r="H274" s="25">
        <v>0.0</v>
      </c>
      <c r="I274" s="25">
        <v>0.0</v>
      </c>
      <c r="J274" s="25">
        <v>0.0</v>
      </c>
      <c r="K274" s="25">
        <v>0.0</v>
      </c>
      <c r="L274" s="25">
        <v>0.0</v>
      </c>
      <c r="M274" s="17">
        <f t="shared" si="1"/>
        <v>0</v>
      </c>
      <c r="N274" s="24" t="str">
        <f t="array" ref="N274">if(isblank(A274),"",index(fish_lab_data!O:O,match(A274,fish_lab_data!C:C,0)))</f>
        <v>KB</v>
      </c>
      <c r="O274" s="24" t="str">
        <f t="array" ref="O274">index(fish_lab_data!Q:Q,match(A274,fish_lab_data!C:C,0))</f>
        <v>lab_motiles_cryo</v>
      </c>
      <c r="P274" s="24" t="str">
        <f t="array" ref="P274">if(and(iserror(index(sea_lice!G:G,match(A274,sea_lice!A:A,0))),M274=0),"NA",index(sea_lice!G:G,match(A274,sea_lice!A:A,0)))</f>
        <v>NA</v>
      </c>
      <c r="Q274" s="24">
        <f t="array" ref="Q274">if(isblank(A274),"",index(fish_lab_data!X:X,match(A274,fish_lab_data!C:C,0)))</f>
        <v>976</v>
      </c>
    </row>
    <row r="275">
      <c r="A275" s="25" t="s">
        <v>1404</v>
      </c>
      <c r="B275" s="25">
        <v>0.0</v>
      </c>
      <c r="C275" s="25">
        <v>0.0</v>
      </c>
      <c r="D275" s="25">
        <v>0.0</v>
      </c>
      <c r="E275" s="25">
        <v>0.0</v>
      </c>
      <c r="F275" s="25">
        <v>0.0</v>
      </c>
      <c r="G275" s="25">
        <v>0.0</v>
      </c>
      <c r="H275" s="25">
        <v>0.0</v>
      </c>
      <c r="I275" s="25">
        <v>0.0</v>
      </c>
      <c r="J275" s="25">
        <v>0.0</v>
      </c>
      <c r="K275" s="25">
        <v>0.0</v>
      </c>
      <c r="L275" s="25">
        <v>0.0</v>
      </c>
      <c r="M275" s="17">
        <f t="shared" si="1"/>
        <v>0</v>
      </c>
      <c r="N275" s="24" t="str">
        <f t="array" ref="N275">if(isblank(A275),"",index(fish_lab_data!O:O,match(A275,fish_lab_data!C:C,0)))</f>
        <v>KB</v>
      </c>
      <c r="O275" s="24" t="str">
        <f t="array" ref="O275">index(fish_lab_data!Q:Q,match(A275,fish_lab_data!C:C,0))</f>
        <v>lab_motiles_cryo</v>
      </c>
      <c r="P275" s="24" t="str">
        <f t="array" ref="P275">if(and(iserror(index(sea_lice!G:G,match(A275,sea_lice!A:A,0))),M275=0),"NA",index(sea_lice!G:G,match(A275,sea_lice!A:A,0)))</f>
        <v>NA</v>
      </c>
      <c r="Q275" s="24">
        <f t="array" ref="Q275">if(isblank(A275),"",index(fish_lab_data!X:X,match(A275,fish_lab_data!C:C,0)))</f>
        <v>977</v>
      </c>
    </row>
    <row r="276">
      <c r="A276" s="25" t="s">
        <v>1405</v>
      </c>
      <c r="B276" s="25">
        <v>0.0</v>
      </c>
      <c r="C276" s="25">
        <v>0.0</v>
      </c>
      <c r="D276" s="25">
        <v>0.0</v>
      </c>
      <c r="E276" s="25">
        <v>0.0</v>
      </c>
      <c r="F276" s="25">
        <v>0.0</v>
      </c>
      <c r="G276" s="25">
        <v>0.0</v>
      </c>
      <c r="H276" s="25">
        <v>0.0</v>
      </c>
      <c r="I276" s="25">
        <v>0.0</v>
      </c>
      <c r="J276" s="25">
        <v>0.0</v>
      </c>
      <c r="K276" s="25">
        <v>0.0</v>
      </c>
      <c r="L276" s="25">
        <v>0.0</v>
      </c>
      <c r="M276" s="17">
        <f t="shared" si="1"/>
        <v>0</v>
      </c>
      <c r="N276" s="24" t="str">
        <f t="array" ref="N276">if(isblank(A276),"",index(fish_lab_data!O:O,match(A276,fish_lab_data!C:C,0)))</f>
        <v>KB</v>
      </c>
      <c r="O276" s="24" t="str">
        <f t="array" ref="O276">index(fish_lab_data!Q:Q,match(A276,fish_lab_data!C:C,0))</f>
        <v>lab_motiles_cryo</v>
      </c>
      <c r="P276" s="24" t="str">
        <f t="array" ref="P276">if(and(iserror(index(sea_lice!G:G,match(A276,sea_lice!A:A,0))),M276=0),"NA",index(sea_lice!G:G,match(A276,sea_lice!A:A,0)))</f>
        <v>NA</v>
      </c>
      <c r="Q276" s="24">
        <f t="array" ref="Q276">if(isblank(A276),"",index(fish_lab_data!X:X,match(A276,fish_lab_data!C:C,0)))</f>
        <v>978</v>
      </c>
    </row>
    <row r="277">
      <c r="A277" s="9" t="s">
        <v>1406</v>
      </c>
      <c r="B277" s="9">
        <v>0.0</v>
      </c>
      <c r="C277" s="9">
        <v>0.0</v>
      </c>
      <c r="D277" s="9">
        <v>0.0</v>
      </c>
      <c r="E277" s="9">
        <v>0.0</v>
      </c>
      <c r="F277" s="9">
        <v>0.0</v>
      </c>
      <c r="G277" s="9">
        <v>0.0</v>
      </c>
      <c r="H277" s="9">
        <v>0.0</v>
      </c>
      <c r="I277" s="9">
        <v>0.0</v>
      </c>
      <c r="J277" s="9">
        <v>1.0</v>
      </c>
      <c r="K277" s="9">
        <v>0.0</v>
      </c>
      <c r="L277" s="9">
        <v>0.0</v>
      </c>
      <c r="M277" s="17">
        <f t="shared" si="1"/>
        <v>1</v>
      </c>
      <c r="N277" s="24" t="str">
        <f t="array" ref="N277">if(isblank(A277),"",index(fish_lab_data!O:O,match(A277,fish_lab_data!C:C,0)))</f>
        <v>KB</v>
      </c>
      <c r="O277" s="24" t="str">
        <f t="array" ref="O277">index(fish_lab_data!Q:Q,match(A277,fish_lab_data!C:C,0))</f>
        <v>lab_motiles_cryo</v>
      </c>
      <c r="P277" s="24" t="str">
        <f t="array" ref="P277">if(and(iserror(index(sea_lice!G:G,match(A277,sea_lice!A:A,0))),M277=0),"NA",index(sea_lice!G:G,match(A277,sea_lice!A:A,0)))</f>
        <v>BSL7-26</v>
      </c>
      <c r="Q277" s="24">
        <f t="array" ref="Q277">if(isblank(A277),"",index(fish_lab_data!X:X,match(A277,fish_lab_data!C:C,0)))</f>
        <v>979</v>
      </c>
    </row>
    <row r="278">
      <c r="A278" s="25" t="s">
        <v>1407</v>
      </c>
      <c r="B278" s="25">
        <v>0.0</v>
      </c>
      <c r="C278" s="25">
        <v>0.0</v>
      </c>
      <c r="D278" s="25">
        <v>0.0</v>
      </c>
      <c r="E278" s="25">
        <v>0.0</v>
      </c>
      <c r="F278" s="25">
        <v>0.0</v>
      </c>
      <c r="G278" s="25">
        <v>0.0</v>
      </c>
      <c r="H278" s="25">
        <v>0.0</v>
      </c>
      <c r="I278" s="25">
        <v>0.0</v>
      </c>
      <c r="J278" s="25">
        <v>0.0</v>
      </c>
      <c r="K278" s="25">
        <v>0.0</v>
      </c>
      <c r="L278" s="25">
        <v>0.0</v>
      </c>
      <c r="M278" s="17">
        <f t="shared" si="1"/>
        <v>0</v>
      </c>
      <c r="N278" s="24" t="str">
        <f t="array" ref="N278">if(isblank(A278),"",index(fish_lab_data!O:O,match(A278,fish_lab_data!C:C,0)))</f>
        <v>KB</v>
      </c>
      <c r="O278" s="24" t="str">
        <f t="array" ref="O278">index(fish_lab_data!Q:Q,match(A278,fish_lab_data!C:C,0))</f>
        <v>lab_motiles_cryo</v>
      </c>
      <c r="P278" s="24" t="str">
        <f t="array" ref="P278">if(and(iserror(index(sea_lice!G:G,match(A278,sea_lice!A:A,0))),M278=0),"NA",index(sea_lice!G:G,match(A278,sea_lice!A:A,0)))</f>
        <v>NA</v>
      </c>
      <c r="Q278" s="24">
        <f t="array" ref="Q278">if(isblank(A278),"",index(fish_lab_data!X:X,match(A278,fish_lab_data!C:C,0)))</f>
        <v>980</v>
      </c>
    </row>
    <row r="279">
      <c r="A279" s="25" t="s">
        <v>1408</v>
      </c>
      <c r="B279" s="25">
        <v>0.0</v>
      </c>
      <c r="C279" s="25">
        <v>0.0</v>
      </c>
      <c r="D279" s="25">
        <v>0.0</v>
      </c>
      <c r="E279" s="25">
        <v>0.0</v>
      </c>
      <c r="F279" s="25">
        <v>0.0</v>
      </c>
      <c r="G279" s="25">
        <v>0.0</v>
      </c>
      <c r="H279" s="25">
        <v>0.0</v>
      </c>
      <c r="I279" s="25">
        <v>0.0</v>
      </c>
      <c r="J279" s="25">
        <v>0.0</v>
      </c>
      <c r="K279" s="25">
        <v>0.0</v>
      </c>
      <c r="L279" s="25">
        <v>0.0</v>
      </c>
      <c r="M279" s="17">
        <f t="shared" si="1"/>
        <v>0</v>
      </c>
      <c r="N279" s="24" t="str">
        <f t="array" ref="N279">if(isblank(A279),"",index(fish_lab_data!O:O,match(A279,fish_lab_data!C:C,0)))</f>
        <v>KB</v>
      </c>
      <c r="O279" s="24" t="str">
        <f t="array" ref="O279">index(fish_lab_data!Q:Q,match(A279,fish_lab_data!C:C,0))</f>
        <v>lab_motiles_cryo</v>
      </c>
      <c r="P279" s="24" t="str">
        <f t="array" ref="P279">if(and(iserror(index(sea_lice!G:G,match(A279,sea_lice!A:A,0))),M279=0),"NA",index(sea_lice!G:G,match(A279,sea_lice!A:A,0)))</f>
        <v>NA</v>
      </c>
      <c r="Q279" s="24">
        <f t="array" ref="Q279">if(isblank(A279),"",index(fish_lab_data!X:X,match(A279,fish_lab_data!C:C,0)))</f>
        <v>981</v>
      </c>
    </row>
    <row r="280">
      <c r="A280" s="25" t="s">
        <v>1409</v>
      </c>
      <c r="B280" s="25">
        <v>0.0</v>
      </c>
      <c r="C280" s="25">
        <v>0.0</v>
      </c>
      <c r="D280" s="25">
        <v>0.0</v>
      </c>
      <c r="E280" s="25">
        <v>0.0</v>
      </c>
      <c r="F280" s="25">
        <v>0.0</v>
      </c>
      <c r="G280" s="25">
        <v>0.0</v>
      </c>
      <c r="H280" s="25">
        <v>0.0</v>
      </c>
      <c r="I280" s="25">
        <v>0.0</v>
      </c>
      <c r="J280" s="25">
        <v>0.0</v>
      </c>
      <c r="K280" s="25">
        <v>0.0</v>
      </c>
      <c r="L280" s="25">
        <v>0.0</v>
      </c>
      <c r="M280" s="17">
        <f t="shared" si="1"/>
        <v>0</v>
      </c>
      <c r="N280" s="24" t="str">
        <f t="array" ref="N280">if(isblank(A280),"",index(fish_lab_data!O:O,match(A280,fish_lab_data!C:C,0)))</f>
        <v>KB</v>
      </c>
      <c r="O280" s="24" t="str">
        <f t="array" ref="O280">index(fish_lab_data!Q:Q,match(A280,fish_lab_data!C:C,0))</f>
        <v>lab_motiles_cryo</v>
      </c>
      <c r="P280" s="24" t="str">
        <f t="array" ref="P280">if(and(iserror(index(sea_lice!G:G,match(A280,sea_lice!A:A,0))),M280=0),"NA",index(sea_lice!G:G,match(A280,sea_lice!A:A,0)))</f>
        <v>NA</v>
      </c>
      <c r="Q280" s="24">
        <f t="array" ref="Q280">if(isblank(A280),"",index(fish_lab_data!X:X,match(A280,fish_lab_data!C:C,0)))</f>
        <v>982</v>
      </c>
    </row>
    <row r="281">
      <c r="A281" s="25" t="s">
        <v>1411</v>
      </c>
      <c r="B281" s="25">
        <v>0.0</v>
      </c>
      <c r="C281" s="25">
        <v>0.0</v>
      </c>
      <c r="D281" s="25">
        <v>0.0</v>
      </c>
      <c r="E281" s="25">
        <v>0.0</v>
      </c>
      <c r="F281" s="25">
        <v>0.0</v>
      </c>
      <c r="G281" s="25">
        <v>0.0</v>
      </c>
      <c r="H281" s="25">
        <v>0.0</v>
      </c>
      <c r="I281" s="25">
        <v>0.0</v>
      </c>
      <c r="J281" s="25">
        <v>0.0</v>
      </c>
      <c r="K281" s="25">
        <v>0.0</v>
      </c>
      <c r="L281" s="25">
        <v>0.0</v>
      </c>
      <c r="M281" s="17">
        <f t="shared" si="1"/>
        <v>0</v>
      </c>
      <c r="N281" s="24" t="str">
        <f t="array" ref="N281">if(isblank(A281),"",index(fish_lab_data!O:O,match(A281,fish_lab_data!C:C,0)))</f>
        <v>KB</v>
      </c>
      <c r="O281" s="24" t="str">
        <f t="array" ref="O281">index(fish_lab_data!Q:Q,match(A281,fish_lab_data!C:C,0))</f>
        <v>lab_motiles_cryo</v>
      </c>
      <c r="P281" s="24" t="str">
        <f t="array" ref="P281">if(and(iserror(index(sea_lice!G:G,match(A281,sea_lice!A:A,0))),M281=0),"NA",index(sea_lice!G:G,match(A281,sea_lice!A:A,0)))</f>
        <v>NA</v>
      </c>
      <c r="Q281" s="24">
        <f t="array" ref="Q281">if(isblank(A281),"",index(fish_lab_data!X:X,match(A281,fish_lab_data!C:C,0)))</f>
        <v>983</v>
      </c>
    </row>
    <row r="282">
      <c r="A282" s="25" t="s">
        <v>1412</v>
      </c>
      <c r="B282" s="25">
        <v>0.0</v>
      </c>
      <c r="C282" s="25">
        <v>0.0</v>
      </c>
      <c r="D282" s="25">
        <v>0.0</v>
      </c>
      <c r="E282" s="25">
        <v>0.0</v>
      </c>
      <c r="F282" s="25">
        <v>0.0</v>
      </c>
      <c r="G282" s="25">
        <v>0.0</v>
      </c>
      <c r="H282" s="25">
        <v>0.0</v>
      </c>
      <c r="I282" s="25">
        <v>0.0</v>
      </c>
      <c r="J282" s="25">
        <v>0.0</v>
      </c>
      <c r="K282" s="25">
        <v>0.0</v>
      </c>
      <c r="L282" s="25">
        <v>0.0</v>
      </c>
      <c r="M282" s="17">
        <f t="shared" si="1"/>
        <v>0</v>
      </c>
      <c r="N282" s="24" t="str">
        <f t="array" ref="N282">if(isblank(A282),"",index(fish_lab_data!O:O,match(A282,fish_lab_data!C:C,0)))</f>
        <v>KB</v>
      </c>
      <c r="O282" s="24" t="str">
        <f t="array" ref="O282">index(fish_lab_data!Q:Q,match(A282,fish_lab_data!C:C,0))</f>
        <v>lab_motiles_cryo</v>
      </c>
      <c r="P282" s="24" t="str">
        <f t="array" ref="P282">if(and(iserror(index(sea_lice!G:G,match(A282,sea_lice!A:A,0))),M282=0),"NA",index(sea_lice!G:G,match(A282,sea_lice!A:A,0)))</f>
        <v>NA</v>
      </c>
      <c r="Q282" s="24">
        <f t="array" ref="Q282">if(isblank(A282),"",index(fish_lab_data!X:X,match(A282,fish_lab_data!C:C,0)))</f>
        <v>984</v>
      </c>
    </row>
    <row r="283">
      <c r="A283" s="25" t="s">
        <v>1413</v>
      </c>
      <c r="B283" s="25">
        <v>0.0</v>
      </c>
      <c r="C283" s="25">
        <v>0.0</v>
      </c>
      <c r="D283" s="25">
        <v>0.0</v>
      </c>
      <c r="E283" s="25">
        <v>0.0</v>
      </c>
      <c r="F283" s="25">
        <v>0.0</v>
      </c>
      <c r="G283" s="25">
        <v>0.0</v>
      </c>
      <c r="H283" s="25">
        <v>0.0</v>
      </c>
      <c r="I283" s="25">
        <v>0.0</v>
      </c>
      <c r="J283" s="25">
        <v>0.0</v>
      </c>
      <c r="K283" s="25">
        <v>0.0</v>
      </c>
      <c r="L283" s="25">
        <v>0.0</v>
      </c>
      <c r="M283" s="17">
        <f t="shared" si="1"/>
        <v>0</v>
      </c>
      <c r="N283" s="24" t="str">
        <f t="array" ref="N283">if(isblank(A283),"",index(fish_lab_data!O:O,match(A283,fish_lab_data!C:C,0)))</f>
        <v>KB</v>
      </c>
      <c r="O283" s="24" t="str">
        <f t="array" ref="O283">index(fish_lab_data!Q:Q,match(A283,fish_lab_data!C:C,0))</f>
        <v>lab_motiles_cryo</v>
      </c>
      <c r="P283" s="24" t="str">
        <f t="array" ref="P283">if(and(iserror(index(sea_lice!G:G,match(A283,sea_lice!A:A,0))),M283=0),"NA",index(sea_lice!G:G,match(A283,sea_lice!A:A,0)))</f>
        <v>NA</v>
      </c>
      <c r="Q283" s="24">
        <f t="array" ref="Q283">if(isblank(A283),"",index(fish_lab_data!X:X,match(A283,fish_lab_data!C:C,0)))</f>
        <v>985</v>
      </c>
    </row>
    <row r="284">
      <c r="A284" s="25" t="s">
        <v>1414</v>
      </c>
      <c r="B284" s="25">
        <v>0.0</v>
      </c>
      <c r="C284" s="25">
        <v>0.0</v>
      </c>
      <c r="D284" s="25">
        <v>0.0</v>
      </c>
      <c r="E284" s="25">
        <v>0.0</v>
      </c>
      <c r="F284" s="25">
        <v>0.0</v>
      </c>
      <c r="G284" s="25">
        <v>0.0</v>
      </c>
      <c r="H284" s="25">
        <v>0.0</v>
      </c>
      <c r="I284" s="25">
        <v>0.0</v>
      </c>
      <c r="J284" s="25">
        <v>0.0</v>
      </c>
      <c r="K284" s="25">
        <v>0.0</v>
      </c>
      <c r="L284" s="25">
        <v>0.0</v>
      </c>
      <c r="M284" s="17">
        <f t="shared" si="1"/>
        <v>0</v>
      </c>
      <c r="N284" s="24" t="str">
        <f t="array" ref="N284">if(isblank(A284),"",index(fish_lab_data!O:O,match(A284,fish_lab_data!C:C,0)))</f>
        <v>KB</v>
      </c>
      <c r="O284" s="24" t="str">
        <f t="array" ref="O284">index(fish_lab_data!Q:Q,match(A284,fish_lab_data!C:C,0))</f>
        <v>lab_motiles_cryo</v>
      </c>
      <c r="P284" s="24" t="str">
        <f t="array" ref="P284">if(and(iserror(index(sea_lice!G:G,match(A284,sea_lice!A:A,0))),M284=0),"NA",index(sea_lice!G:G,match(A284,sea_lice!A:A,0)))</f>
        <v>NA</v>
      </c>
      <c r="Q284" s="24">
        <f t="array" ref="Q284">if(isblank(A284),"",index(fish_lab_data!X:X,match(A284,fish_lab_data!C:C,0)))</f>
        <v>986</v>
      </c>
    </row>
    <row r="285">
      <c r="A285" s="25" t="s">
        <v>1415</v>
      </c>
      <c r="B285" s="25">
        <v>0.0</v>
      </c>
      <c r="C285" s="25">
        <v>0.0</v>
      </c>
      <c r="D285" s="25">
        <v>0.0</v>
      </c>
      <c r="E285" s="25">
        <v>0.0</v>
      </c>
      <c r="F285" s="25">
        <v>0.0</v>
      </c>
      <c r="G285" s="25">
        <v>0.0</v>
      </c>
      <c r="H285" s="25">
        <v>0.0</v>
      </c>
      <c r="I285" s="25">
        <v>0.0</v>
      </c>
      <c r="J285" s="25">
        <v>0.0</v>
      </c>
      <c r="K285" s="25">
        <v>0.0</v>
      </c>
      <c r="L285" s="25">
        <v>0.0</v>
      </c>
      <c r="M285" s="17">
        <f t="shared" si="1"/>
        <v>0</v>
      </c>
      <c r="N285" s="24" t="str">
        <f t="array" ref="N285">if(isblank(A285),"",index(fish_lab_data!O:O,match(A285,fish_lab_data!C:C,0)))</f>
        <v>KB</v>
      </c>
      <c r="O285" s="24" t="str">
        <f t="array" ref="O285">index(fish_lab_data!Q:Q,match(A285,fish_lab_data!C:C,0))</f>
        <v>lab_motiles_cryo</v>
      </c>
      <c r="P285" s="24" t="str">
        <f t="array" ref="P285">if(and(iserror(index(sea_lice!G:G,match(A285,sea_lice!A:A,0))),M285=0),"NA",index(sea_lice!G:G,match(A285,sea_lice!A:A,0)))</f>
        <v>NA</v>
      </c>
      <c r="Q285" s="24">
        <f t="array" ref="Q285">if(isblank(A285),"",index(fish_lab_data!X:X,match(A285,fish_lab_data!C:C,0)))</f>
        <v>987</v>
      </c>
    </row>
    <row r="286">
      <c r="A286" s="9" t="s">
        <v>1416</v>
      </c>
      <c r="B286" s="9">
        <v>0.0</v>
      </c>
      <c r="C286" s="9">
        <v>0.0</v>
      </c>
      <c r="D286" s="9">
        <v>0.0</v>
      </c>
      <c r="E286" s="9">
        <v>1.0</v>
      </c>
      <c r="F286" s="9">
        <v>0.0</v>
      </c>
      <c r="G286" s="9">
        <v>0.0</v>
      </c>
      <c r="H286" s="9">
        <v>0.0</v>
      </c>
      <c r="I286" s="9">
        <v>0.0</v>
      </c>
      <c r="J286" s="9">
        <v>0.0</v>
      </c>
      <c r="K286" s="9">
        <v>0.0</v>
      </c>
      <c r="L286" s="9">
        <v>0.0</v>
      </c>
      <c r="M286" s="17">
        <f t="shared" si="1"/>
        <v>1</v>
      </c>
      <c r="N286" s="24" t="str">
        <f t="array" ref="N286">if(isblank(A286),"",index(fish_lab_data!O:O,match(A286,fish_lab_data!C:C,0)))</f>
        <v>KB</v>
      </c>
      <c r="O286" s="24" t="str">
        <f t="array" ref="O286">index(fish_lab_data!Q:Q,match(A286,fish_lab_data!C:C,0))</f>
        <v>lab_motiles_cryo</v>
      </c>
      <c r="P286" s="24" t="str">
        <f t="array" ref="P286">if(and(iserror(index(sea_lice!G:G,match(A286,sea_lice!A:A,0))),M286=0),"NA",index(sea_lice!G:G,match(A286,sea_lice!A:A,0)))</f>
        <v>BSL7-27</v>
      </c>
      <c r="Q286" s="24">
        <f t="array" ref="Q286">if(isblank(A286),"",index(fish_lab_data!X:X,match(A286,fish_lab_data!C:C,0)))</f>
        <v>988</v>
      </c>
    </row>
    <row r="287">
      <c r="A287" s="25" t="s">
        <v>1417</v>
      </c>
      <c r="B287" s="25">
        <v>0.0</v>
      </c>
      <c r="C287" s="25">
        <v>0.0</v>
      </c>
      <c r="D287" s="25">
        <v>0.0</v>
      </c>
      <c r="E287" s="25">
        <v>0.0</v>
      </c>
      <c r="F287" s="25">
        <v>0.0</v>
      </c>
      <c r="G287" s="25">
        <v>0.0</v>
      </c>
      <c r="H287" s="25">
        <v>0.0</v>
      </c>
      <c r="I287" s="25">
        <v>0.0</v>
      </c>
      <c r="J287" s="25">
        <v>0.0</v>
      </c>
      <c r="K287" s="25">
        <v>0.0</v>
      </c>
      <c r="L287" s="25">
        <v>0.0</v>
      </c>
      <c r="M287" s="17">
        <f t="shared" si="1"/>
        <v>0</v>
      </c>
      <c r="N287" s="24" t="str">
        <f t="array" ref="N287">if(isblank(A287),"",index(fish_lab_data!O:O,match(A287,fish_lab_data!C:C,0)))</f>
        <v>KB</v>
      </c>
      <c r="O287" s="24" t="str">
        <f t="array" ref="O287">index(fish_lab_data!Q:Q,match(A287,fish_lab_data!C:C,0))</f>
        <v>lab_motiles_cryo</v>
      </c>
      <c r="P287" s="24" t="str">
        <f t="array" ref="P287">if(and(iserror(index(sea_lice!G:G,match(A287,sea_lice!A:A,0))),M287=0),"NA",index(sea_lice!G:G,match(A287,sea_lice!A:A,0)))</f>
        <v>NA</v>
      </c>
      <c r="Q287" s="24">
        <f t="array" ref="Q287">if(isblank(A287),"",index(fish_lab_data!X:X,match(A287,fish_lab_data!C:C,0)))</f>
        <v>989</v>
      </c>
    </row>
    <row r="288">
      <c r="A288" s="25" t="s">
        <v>1418</v>
      </c>
      <c r="B288" s="25">
        <v>0.0</v>
      </c>
      <c r="C288" s="25">
        <v>0.0</v>
      </c>
      <c r="D288" s="25">
        <v>0.0</v>
      </c>
      <c r="E288" s="25">
        <v>0.0</v>
      </c>
      <c r="F288" s="25">
        <v>0.0</v>
      </c>
      <c r="G288" s="25">
        <v>0.0</v>
      </c>
      <c r="H288" s="25">
        <v>0.0</v>
      </c>
      <c r="I288" s="25">
        <v>0.0</v>
      </c>
      <c r="J288" s="25">
        <v>0.0</v>
      </c>
      <c r="K288" s="25">
        <v>0.0</v>
      </c>
      <c r="L288" s="25">
        <v>0.0</v>
      </c>
      <c r="M288" s="17">
        <f t="shared" si="1"/>
        <v>0</v>
      </c>
      <c r="N288" s="24" t="str">
        <f t="array" ref="N288">if(isblank(A288),"",index(fish_lab_data!O:O,match(A288,fish_lab_data!C:C,0)))</f>
        <v>KB</v>
      </c>
      <c r="O288" s="24" t="str">
        <f t="array" ref="O288">index(fish_lab_data!Q:Q,match(A288,fish_lab_data!C:C,0))</f>
        <v>lab_motiles_cryo</v>
      </c>
      <c r="P288" s="24" t="str">
        <f t="array" ref="P288">if(and(iserror(index(sea_lice!G:G,match(A288,sea_lice!A:A,0))),M288=0),"NA",index(sea_lice!G:G,match(A288,sea_lice!A:A,0)))</f>
        <v>NA</v>
      </c>
      <c r="Q288" s="24">
        <f t="array" ref="Q288">if(isblank(A288),"",index(fish_lab_data!X:X,match(A288,fish_lab_data!C:C,0)))</f>
        <v>990</v>
      </c>
    </row>
    <row r="289">
      <c r="A289" s="25" t="s">
        <v>1420</v>
      </c>
      <c r="B289" s="25">
        <v>0.0</v>
      </c>
      <c r="C289" s="25">
        <v>0.0</v>
      </c>
      <c r="D289" s="25">
        <v>0.0</v>
      </c>
      <c r="E289" s="25">
        <v>0.0</v>
      </c>
      <c r="F289" s="25">
        <v>0.0</v>
      </c>
      <c r="G289" s="25">
        <v>0.0</v>
      </c>
      <c r="H289" s="25">
        <v>0.0</v>
      </c>
      <c r="I289" s="25">
        <v>0.0</v>
      </c>
      <c r="J289" s="25">
        <v>0.0</v>
      </c>
      <c r="K289" s="25">
        <v>0.0</v>
      </c>
      <c r="L289" s="25">
        <v>0.0</v>
      </c>
      <c r="M289" s="17">
        <f t="shared" si="1"/>
        <v>0</v>
      </c>
      <c r="N289" s="24" t="str">
        <f t="array" ref="N289">if(isblank(A289),"",index(fish_lab_data!O:O,match(A289,fish_lab_data!C:C,0)))</f>
        <v>KB</v>
      </c>
      <c r="O289" s="24" t="str">
        <f t="array" ref="O289">index(fish_lab_data!Q:Q,match(A289,fish_lab_data!C:C,0))</f>
        <v>lab_motiles_cryo</v>
      </c>
      <c r="P289" s="24" t="str">
        <f t="array" ref="P289">if(and(iserror(index(sea_lice!G:G,match(A289,sea_lice!A:A,0))),M289=0),"NA",index(sea_lice!G:G,match(A289,sea_lice!A:A,0)))</f>
        <v>NA</v>
      </c>
      <c r="Q289" s="24">
        <f t="array" ref="Q289">if(isblank(A289),"",index(fish_lab_data!X:X,match(A289,fish_lab_data!C:C,0)))</f>
        <v>991</v>
      </c>
    </row>
    <row r="290">
      <c r="A290" s="25" t="s">
        <v>1421</v>
      </c>
      <c r="B290" s="25">
        <v>0.0</v>
      </c>
      <c r="C290" s="25">
        <v>0.0</v>
      </c>
      <c r="D290" s="25">
        <v>0.0</v>
      </c>
      <c r="E290" s="25">
        <v>0.0</v>
      </c>
      <c r="F290" s="25">
        <v>0.0</v>
      </c>
      <c r="G290" s="25">
        <v>0.0</v>
      </c>
      <c r="H290" s="25">
        <v>0.0</v>
      </c>
      <c r="I290" s="25">
        <v>0.0</v>
      </c>
      <c r="J290" s="25">
        <v>0.0</v>
      </c>
      <c r="K290" s="25">
        <v>0.0</v>
      </c>
      <c r="L290" s="25">
        <v>0.0</v>
      </c>
      <c r="M290" s="17">
        <f t="shared" si="1"/>
        <v>0</v>
      </c>
      <c r="N290" s="24" t="str">
        <f t="array" ref="N290">if(isblank(A290),"",index(fish_lab_data!O:O,match(A290,fish_lab_data!C:C,0)))</f>
        <v>KB</v>
      </c>
      <c r="O290" s="24" t="str">
        <f t="array" ref="O290">index(fish_lab_data!Q:Q,match(A290,fish_lab_data!C:C,0))</f>
        <v>lab_motiles_cryo</v>
      </c>
      <c r="P290" s="24" t="str">
        <f t="array" ref="P290">if(and(iserror(index(sea_lice!G:G,match(A290,sea_lice!A:A,0))),M290=0),"NA",index(sea_lice!G:G,match(A290,sea_lice!A:A,0)))</f>
        <v>NA</v>
      </c>
      <c r="Q290" s="24">
        <f t="array" ref="Q290">if(isblank(A290),"",index(fish_lab_data!X:X,match(A290,fish_lab_data!C:C,0)))</f>
        <v>992</v>
      </c>
    </row>
    <row r="291">
      <c r="A291" s="9" t="s">
        <v>1422</v>
      </c>
      <c r="B291" s="9">
        <v>1.0</v>
      </c>
      <c r="C291" s="9">
        <v>0.0</v>
      </c>
      <c r="D291" s="9">
        <v>0.0</v>
      </c>
      <c r="E291" s="9">
        <v>0.0</v>
      </c>
      <c r="F291" s="9">
        <v>0.0</v>
      </c>
      <c r="G291" s="9">
        <v>0.0</v>
      </c>
      <c r="H291" s="9">
        <v>0.0</v>
      </c>
      <c r="I291" s="9">
        <v>0.0</v>
      </c>
      <c r="J291" s="9">
        <v>0.0</v>
      </c>
      <c r="K291" s="9">
        <v>0.0</v>
      </c>
      <c r="L291" s="9">
        <v>0.0</v>
      </c>
      <c r="M291" s="17">
        <f t="shared" si="1"/>
        <v>1</v>
      </c>
      <c r="N291" s="24" t="str">
        <f t="array" ref="N291">if(isblank(A291),"",index(fish_lab_data!O:O,match(A291,fish_lab_data!C:C,0)))</f>
        <v>KB</v>
      </c>
      <c r="O291" s="24" t="str">
        <f t="array" ref="O291">index(fish_lab_data!Q:Q,match(A291,fish_lab_data!C:C,0))</f>
        <v>lab_motiles_cryo</v>
      </c>
      <c r="P291" s="24" t="str">
        <f t="array" ref="P291">if(and(iserror(index(sea_lice!G:G,match(A291,sea_lice!A:A,0))),M291=0),"NA",index(sea_lice!G:G,match(A291,sea_lice!A:A,0)))</f>
        <v>BSL7-28</v>
      </c>
      <c r="Q291" s="24">
        <f t="array" ref="Q291">if(isblank(A291),"",index(fish_lab_data!X:X,match(A291,fish_lab_data!C:C,0)))</f>
        <v>993</v>
      </c>
    </row>
    <row r="292">
      <c r="A292" s="25" t="s">
        <v>1423</v>
      </c>
      <c r="B292" s="25">
        <v>0.0</v>
      </c>
      <c r="C292" s="25">
        <v>0.0</v>
      </c>
      <c r="D292" s="25">
        <v>0.0</v>
      </c>
      <c r="E292" s="25">
        <v>0.0</v>
      </c>
      <c r="F292" s="25">
        <v>0.0</v>
      </c>
      <c r="G292" s="25">
        <v>0.0</v>
      </c>
      <c r="H292" s="25">
        <v>0.0</v>
      </c>
      <c r="I292" s="25">
        <v>0.0</v>
      </c>
      <c r="J292" s="25">
        <v>0.0</v>
      </c>
      <c r="K292" s="25">
        <v>0.0</v>
      </c>
      <c r="L292" s="25">
        <v>0.0</v>
      </c>
      <c r="M292" s="17">
        <f t="shared" si="1"/>
        <v>0</v>
      </c>
      <c r="N292" s="24" t="str">
        <f t="array" ref="N292">if(isblank(A292),"",index(fish_lab_data!O:O,match(A292,fish_lab_data!C:C,0)))</f>
        <v>KB</v>
      </c>
      <c r="O292" s="24" t="str">
        <f t="array" ref="O292">index(fish_lab_data!Q:Q,match(A292,fish_lab_data!C:C,0))</f>
        <v>lab_motiles_cryo</v>
      </c>
      <c r="P292" s="24" t="str">
        <f t="array" ref="P292">if(and(iserror(index(sea_lice!G:G,match(A292,sea_lice!A:A,0))),M292=0),"NA",index(sea_lice!G:G,match(A292,sea_lice!A:A,0)))</f>
        <v>NA</v>
      </c>
      <c r="Q292" s="24">
        <f t="array" ref="Q292">if(isblank(A292),"",index(fish_lab_data!X:X,match(A292,fish_lab_data!C:C,0)))</f>
        <v>994</v>
      </c>
    </row>
    <row r="293">
      <c r="A293" s="25" t="s">
        <v>1424</v>
      </c>
      <c r="B293" s="25">
        <v>0.0</v>
      </c>
      <c r="C293" s="25">
        <v>0.0</v>
      </c>
      <c r="D293" s="25">
        <v>0.0</v>
      </c>
      <c r="E293" s="25">
        <v>0.0</v>
      </c>
      <c r="F293" s="25">
        <v>0.0</v>
      </c>
      <c r="G293" s="25">
        <v>0.0</v>
      </c>
      <c r="H293" s="25">
        <v>0.0</v>
      </c>
      <c r="I293" s="25">
        <v>0.0</v>
      </c>
      <c r="J293" s="25">
        <v>0.0</v>
      </c>
      <c r="K293" s="25">
        <v>0.0</v>
      </c>
      <c r="L293" s="25">
        <v>0.0</v>
      </c>
      <c r="M293" s="17">
        <f t="shared" si="1"/>
        <v>0</v>
      </c>
      <c r="N293" s="24" t="str">
        <f t="array" ref="N293">if(isblank(A293),"",index(fish_lab_data!O:O,match(A293,fish_lab_data!C:C,0)))</f>
        <v>KB</v>
      </c>
      <c r="O293" s="24" t="str">
        <f t="array" ref="O293">index(fish_lab_data!Q:Q,match(A293,fish_lab_data!C:C,0))</f>
        <v>lab_motiles_cryo</v>
      </c>
      <c r="P293" s="24" t="str">
        <f t="array" ref="P293">if(and(iserror(index(sea_lice!G:G,match(A293,sea_lice!A:A,0))),M293=0),"NA",index(sea_lice!G:G,match(A293,sea_lice!A:A,0)))</f>
        <v>NA</v>
      </c>
      <c r="Q293" s="24">
        <f t="array" ref="Q293">if(isblank(A293),"",index(fish_lab_data!X:X,match(A293,fish_lab_data!C:C,0)))</f>
        <v>995</v>
      </c>
    </row>
    <row r="294">
      <c r="A294" s="25" t="s">
        <v>1425</v>
      </c>
      <c r="B294" s="25">
        <v>0.0</v>
      </c>
      <c r="C294" s="25">
        <v>0.0</v>
      </c>
      <c r="D294" s="25">
        <v>0.0</v>
      </c>
      <c r="E294" s="25">
        <v>0.0</v>
      </c>
      <c r="F294" s="25">
        <v>0.0</v>
      </c>
      <c r="G294" s="25">
        <v>0.0</v>
      </c>
      <c r="H294" s="25">
        <v>0.0</v>
      </c>
      <c r="I294" s="25">
        <v>0.0</v>
      </c>
      <c r="J294" s="25">
        <v>0.0</v>
      </c>
      <c r="K294" s="25">
        <v>0.0</v>
      </c>
      <c r="L294" s="25">
        <v>0.0</v>
      </c>
      <c r="M294" s="17">
        <f t="shared" si="1"/>
        <v>0</v>
      </c>
      <c r="N294" s="24" t="str">
        <f t="array" ref="N294">if(isblank(A294),"",index(fish_lab_data!O:O,match(A294,fish_lab_data!C:C,0)))</f>
        <v>KB</v>
      </c>
      <c r="O294" s="24" t="str">
        <f t="array" ref="O294">index(fish_lab_data!Q:Q,match(A294,fish_lab_data!C:C,0))</f>
        <v>lab_motiles_cryo</v>
      </c>
      <c r="P294" s="24" t="str">
        <f t="array" ref="P294">if(and(iserror(index(sea_lice!G:G,match(A294,sea_lice!A:A,0))),M294=0),"NA",index(sea_lice!G:G,match(A294,sea_lice!A:A,0)))</f>
        <v>NA</v>
      </c>
      <c r="Q294" s="24">
        <f t="array" ref="Q294">if(isblank(A294),"",index(fish_lab_data!X:X,match(A294,fish_lab_data!C:C,0)))</f>
        <v>996</v>
      </c>
    </row>
    <row r="295">
      <c r="A295" s="25" t="s">
        <v>1426</v>
      </c>
      <c r="B295" s="25">
        <v>0.0</v>
      </c>
      <c r="C295" s="25">
        <v>0.0</v>
      </c>
      <c r="D295" s="25">
        <v>0.0</v>
      </c>
      <c r="E295" s="25">
        <v>0.0</v>
      </c>
      <c r="F295" s="25">
        <v>0.0</v>
      </c>
      <c r="G295" s="25">
        <v>0.0</v>
      </c>
      <c r="H295" s="25">
        <v>0.0</v>
      </c>
      <c r="I295" s="25">
        <v>0.0</v>
      </c>
      <c r="J295" s="25">
        <v>0.0</v>
      </c>
      <c r="K295" s="25">
        <v>0.0</v>
      </c>
      <c r="L295" s="25">
        <v>0.0</v>
      </c>
      <c r="M295" s="17">
        <f t="shared" si="1"/>
        <v>0</v>
      </c>
      <c r="N295" s="24" t="str">
        <f t="array" ref="N295">if(isblank(A295),"",index(fish_lab_data!O:O,match(A295,fish_lab_data!C:C,0)))</f>
        <v>KB</v>
      </c>
      <c r="O295" s="24" t="str">
        <f t="array" ref="O295">index(fish_lab_data!Q:Q,match(A295,fish_lab_data!C:C,0))</f>
        <v>lab_motiles_cryo</v>
      </c>
      <c r="P295" s="24" t="str">
        <f t="array" ref="P295">if(and(iserror(index(sea_lice!G:G,match(A295,sea_lice!A:A,0))),M295=0),"NA",index(sea_lice!G:G,match(A295,sea_lice!A:A,0)))</f>
        <v>NA</v>
      </c>
      <c r="Q295" s="24">
        <f t="array" ref="Q295">if(isblank(A295),"",index(fish_lab_data!X:X,match(A295,fish_lab_data!C:C,0)))</f>
        <v>997</v>
      </c>
    </row>
    <row r="296">
      <c r="A296" s="25" t="s">
        <v>1429</v>
      </c>
      <c r="B296" s="25">
        <v>0.0</v>
      </c>
      <c r="C296" s="25">
        <v>0.0</v>
      </c>
      <c r="D296" s="25">
        <v>0.0</v>
      </c>
      <c r="E296" s="25">
        <v>0.0</v>
      </c>
      <c r="F296" s="25">
        <v>0.0</v>
      </c>
      <c r="G296" s="25">
        <v>0.0</v>
      </c>
      <c r="H296" s="25">
        <v>0.0</v>
      </c>
      <c r="I296" s="25">
        <v>0.0</v>
      </c>
      <c r="J296" s="25">
        <v>0.0</v>
      </c>
      <c r="K296" s="25">
        <v>0.0</v>
      </c>
      <c r="L296" s="25">
        <v>0.0</v>
      </c>
      <c r="M296" s="17">
        <f t="shared" si="1"/>
        <v>0</v>
      </c>
      <c r="N296" s="24" t="str">
        <f t="array" ref="N296">if(isblank(A296),"",index(fish_lab_data!O:O,match(A296,fish_lab_data!C:C,0)))</f>
        <v>KB</v>
      </c>
      <c r="O296" s="24" t="str">
        <f t="array" ref="O296">index(fish_lab_data!Q:Q,match(A296,fish_lab_data!C:C,0))</f>
        <v>lab_motiles_cryo</v>
      </c>
      <c r="P296" s="24" t="str">
        <f t="array" ref="P296">if(and(iserror(index(sea_lice!G:G,match(A296,sea_lice!A:A,0))),M296=0),"NA",index(sea_lice!G:G,match(A296,sea_lice!A:A,0)))</f>
        <v>NA</v>
      </c>
      <c r="Q296" s="24">
        <f t="array" ref="Q296">if(isblank(A296),"",index(fish_lab_data!X:X,match(A296,fish_lab_data!C:C,0)))</f>
        <v>998</v>
      </c>
    </row>
    <row r="297">
      <c r="A297" s="25" t="s">
        <v>1430</v>
      </c>
      <c r="B297" s="25">
        <v>0.0</v>
      </c>
      <c r="C297" s="25">
        <v>0.0</v>
      </c>
      <c r="D297" s="25">
        <v>0.0</v>
      </c>
      <c r="E297" s="25">
        <v>0.0</v>
      </c>
      <c r="F297" s="25">
        <v>0.0</v>
      </c>
      <c r="G297" s="25">
        <v>0.0</v>
      </c>
      <c r="H297" s="25">
        <v>0.0</v>
      </c>
      <c r="I297" s="25">
        <v>0.0</v>
      </c>
      <c r="J297" s="25">
        <v>0.0</v>
      </c>
      <c r="K297" s="25">
        <v>0.0</v>
      </c>
      <c r="L297" s="25">
        <v>0.0</v>
      </c>
      <c r="M297" s="17">
        <f t="shared" si="1"/>
        <v>0</v>
      </c>
      <c r="N297" s="24" t="str">
        <f t="array" ref="N297">if(isblank(A297),"",index(fish_lab_data!O:O,match(A297,fish_lab_data!C:C,0)))</f>
        <v>KB</v>
      </c>
      <c r="O297" s="24" t="str">
        <f t="array" ref="O297">index(fish_lab_data!Q:Q,match(A297,fish_lab_data!C:C,0))</f>
        <v>lab_motiles_cryo</v>
      </c>
      <c r="P297" s="24" t="str">
        <f t="array" ref="P297">if(and(iserror(index(sea_lice!G:G,match(A297,sea_lice!A:A,0))),M297=0),"NA",index(sea_lice!G:G,match(A297,sea_lice!A:A,0)))</f>
        <v>NA</v>
      </c>
      <c r="Q297" s="24">
        <f t="array" ref="Q297">if(isblank(A297),"",index(fish_lab_data!X:X,match(A297,fish_lab_data!C:C,0)))</f>
        <v>999</v>
      </c>
    </row>
    <row r="298">
      <c r="A298" s="25" t="s">
        <v>1431</v>
      </c>
      <c r="B298" s="25">
        <v>0.0</v>
      </c>
      <c r="C298" s="25">
        <v>0.0</v>
      </c>
      <c r="D298" s="25">
        <v>0.0</v>
      </c>
      <c r="E298" s="25">
        <v>0.0</v>
      </c>
      <c r="F298" s="25">
        <v>0.0</v>
      </c>
      <c r="G298" s="25">
        <v>0.0</v>
      </c>
      <c r="H298" s="25">
        <v>0.0</v>
      </c>
      <c r="I298" s="25">
        <v>0.0</v>
      </c>
      <c r="J298" s="25">
        <v>0.0</v>
      </c>
      <c r="K298" s="25">
        <v>0.0</v>
      </c>
      <c r="L298" s="25">
        <v>0.0</v>
      </c>
      <c r="M298" s="17">
        <f t="shared" si="1"/>
        <v>0</v>
      </c>
      <c r="N298" s="24" t="str">
        <f t="array" ref="N298">if(isblank(A298),"",index(fish_lab_data!O:O,match(A298,fish_lab_data!C:C,0)))</f>
        <v>KB</v>
      </c>
      <c r="O298" s="24" t="str">
        <f t="array" ref="O298">index(fish_lab_data!Q:Q,match(A298,fish_lab_data!C:C,0))</f>
        <v>lab_motiles_cryo</v>
      </c>
      <c r="P298" s="24" t="str">
        <f t="array" ref="P298">if(and(iserror(index(sea_lice!G:G,match(A298,sea_lice!A:A,0))),M298=0),"NA",index(sea_lice!G:G,match(A298,sea_lice!A:A,0)))</f>
        <v>NA</v>
      </c>
      <c r="Q298" s="24">
        <f t="array" ref="Q298">if(isblank(A298),"",index(fish_lab_data!X:X,match(A298,fish_lab_data!C:C,0)))</f>
        <v>1000</v>
      </c>
    </row>
    <row r="299">
      <c r="A299" s="25" t="s">
        <v>1432</v>
      </c>
      <c r="B299" s="25">
        <v>0.0</v>
      </c>
      <c r="C299" s="25">
        <v>0.0</v>
      </c>
      <c r="D299" s="25">
        <v>0.0</v>
      </c>
      <c r="E299" s="25">
        <v>0.0</v>
      </c>
      <c r="F299" s="25">
        <v>0.0</v>
      </c>
      <c r="G299" s="25">
        <v>0.0</v>
      </c>
      <c r="H299" s="25">
        <v>0.0</v>
      </c>
      <c r="I299" s="25">
        <v>0.0</v>
      </c>
      <c r="J299" s="25">
        <v>0.0</v>
      </c>
      <c r="K299" s="25">
        <v>0.0</v>
      </c>
      <c r="L299" s="25">
        <v>0.0</v>
      </c>
      <c r="M299" s="17">
        <f t="shared" si="1"/>
        <v>0</v>
      </c>
      <c r="N299" s="24" t="str">
        <f t="array" ref="N299">if(isblank(A299),"",index(fish_lab_data!O:O,match(A299,fish_lab_data!C:C,0)))</f>
        <v>KB</v>
      </c>
      <c r="O299" s="24" t="str">
        <f t="array" ref="O299">index(fish_lab_data!Q:Q,match(A299,fish_lab_data!C:C,0))</f>
        <v>lab_motiles_cryo</v>
      </c>
      <c r="P299" s="24" t="str">
        <f t="array" ref="P299">if(and(iserror(index(sea_lice!G:G,match(A299,sea_lice!A:A,0))),M299=0),"NA",index(sea_lice!G:G,match(A299,sea_lice!A:A,0)))</f>
        <v>NA</v>
      </c>
      <c r="Q299" s="24">
        <f t="array" ref="Q299">if(isblank(A299),"",index(fish_lab_data!X:X,match(A299,fish_lab_data!C:C,0)))</f>
        <v>1001</v>
      </c>
    </row>
    <row r="300">
      <c r="A300" s="25" t="s">
        <v>1433</v>
      </c>
      <c r="B300" s="25">
        <v>0.0</v>
      </c>
      <c r="C300" s="25">
        <v>0.0</v>
      </c>
      <c r="D300" s="25">
        <v>0.0</v>
      </c>
      <c r="E300" s="25">
        <v>0.0</v>
      </c>
      <c r="F300" s="25">
        <v>0.0</v>
      </c>
      <c r="G300" s="25">
        <v>0.0</v>
      </c>
      <c r="H300" s="25">
        <v>0.0</v>
      </c>
      <c r="I300" s="25">
        <v>0.0</v>
      </c>
      <c r="J300" s="25">
        <v>0.0</v>
      </c>
      <c r="K300" s="25">
        <v>0.0</v>
      </c>
      <c r="L300" s="25">
        <v>0.0</v>
      </c>
      <c r="M300" s="17">
        <f t="shared" si="1"/>
        <v>0</v>
      </c>
      <c r="N300" s="24" t="str">
        <f t="array" ref="N300">if(isblank(A300),"",index(fish_lab_data!O:O,match(A300,fish_lab_data!C:C,0)))</f>
        <v>KB</v>
      </c>
      <c r="O300" s="24" t="str">
        <f t="array" ref="O300">index(fish_lab_data!Q:Q,match(A300,fish_lab_data!C:C,0))</f>
        <v>lab_motiles_cryo</v>
      </c>
      <c r="P300" s="24" t="str">
        <f t="array" ref="P300">if(and(iserror(index(sea_lice!G:G,match(A300,sea_lice!A:A,0))),M300=0),"NA",index(sea_lice!G:G,match(A300,sea_lice!A:A,0)))</f>
        <v>NA</v>
      </c>
      <c r="Q300" s="24">
        <f t="array" ref="Q300">if(isblank(A300),"",index(fish_lab_data!X:X,match(A300,fish_lab_data!C:C,0)))</f>
        <v>1002</v>
      </c>
    </row>
    <row r="301">
      <c r="A301" s="25" t="s">
        <v>1435</v>
      </c>
      <c r="B301" s="25">
        <v>0.0</v>
      </c>
      <c r="C301" s="25">
        <v>0.0</v>
      </c>
      <c r="D301" s="25">
        <v>0.0</v>
      </c>
      <c r="E301" s="25">
        <v>0.0</v>
      </c>
      <c r="F301" s="25">
        <v>0.0</v>
      </c>
      <c r="G301" s="25">
        <v>0.0</v>
      </c>
      <c r="H301" s="25">
        <v>0.0</v>
      </c>
      <c r="I301" s="25">
        <v>0.0</v>
      </c>
      <c r="J301" s="25">
        <v>0.0</v>
      </c>
      <c r="K301" s="25">
        <v>0.0</v>
      </c>
      <c r="L301" s="25">
        <v>0.0</v>
      </c>
      <c r="M301" s="17">
        <f t="shared" si="1"/>
        <v>0</v>
      </c>
      <c r="N301" s="24" t="str">
        <f t="array" ref="N301">if(isblank(A301),"",index(fish_lab_data!O:O,match(A301,fish_lab_data!C:C,0)))</f>
        <v>KB</v>
      </c>
      <c r="O301" s="24" t="str">
        <f t="array" ref="O301">index(fish_lab_data!Q:Q,match(A301,fish_lab_data!C:C,0))</f>
        <v>lab_motiles_cryo</v>
      </c>
      <c r="P301" s="24" t="str">
        <f t="array" ref="P301">if(and(iserror(index(sea_lice!G:G,match(A301,sea_lice!A:A,0))),M301=0),"NA",index(sea_lice!G:G,match(A301,sea_lice!A:A,0)))</f>
        <v>NA</v>
      </c>
      <c r="Q301" s="24">
        <f t="array" ref="Q301">if(isblank(A301),"",index(fish_lab_data!X:X,match(A301,fish_lab_data!C:C,0)))</f>
        <v>1003</v>
      </c>
    </row>
    <row r="302">
      <c r="A302" s="9" t="s">
        <v>1436</v>
      </c>
      <c r="B302" s="9">
        <v>0.0</v>
      </c>
      <c r="C302" s="9">
        <v>0.0</v>
      </c>
      <c r="D302" s="9">
        <v>0.0</v>
      </c>
      <c r="E302" s="9">
        <v>2.0</v>
      </c>
      <c r="F302" s="9">
        <v>0.0</v>
      </c>
      <c r="G302" s="9">
        <v>0.0</v>
      </c>
      <c r="H302" s="9">
        <v>0.0</v>
      </c>
      <c r="I302" s="9">
        <v>0.0</v>
      </c>
      <c r="J302" s="9">
        <v>0.0</v>
      </c>
      <c r="K302" s="9">
        <v>0.0</v>
      </c>
      <c r="L302" s="9">
        <v>0.0</v>
      </c>
      <c r="M302" s="17">
        <f t="shared" si="1"/>
        <v>2</v>
      </c>
      <c r="N302" s="24" t="str">
        <f t="array" ref="N302">if(isblank(A302),"",index(fish_lab_data!O:O,match(A302,fish_lab_data!C:C,0)))</f>
        <v>KB</v>
      </c>
      <c r="O302" s="24" t="str">
        <f t="array" ref="O302">index(fish_lab_data!Q:Q,match(A302,fish_lab_data!C:C,0))</f>
        <v>lab_motiles_etoh</v>
      </c>
      <c r="P302" s="24" t="str">
        <f t="array" ref="P302">if(and(iserror(index(sea_lice!G:G,match(A302,sea_lice!A:A,0))),M302=0),"NA",index(sea_lice!G:G,match(A302,sea_lice!A:A,0)))</f>
        <v>BSL7-29</v>
      </c>
      <c r="Q302" s="24">
        <f t="array" ref="Q302">if(isblank(A302),"",index(fish_lab_data!X:X,match(A302,fish_lab_data!C:C,0)))</f>
        <v>1004</v>
      </c>
    </row>
    <row r="303">
      <c r="A303" s="25" t="s">
        <v>1438</v>
      </c>
      <c r="B303" s="25">
        <v>0.0</v>
      </c>
      <c r="C303" s="25">
        <v>0.0</v>
      </c>
      <c r="D303" s="25">
        <v>0.0</v>
      </c>
      <c r="E303" s="25">
        <v>0.0</v>
      </c>
      <c r="F303" s="25">
        <v>0.0</v>
      </c>
      <c r="G303" s="25">
        <v>0.0</v>
      </c>
      <c r="H303" s="25">
        <v>0.0</v>
      </c>
      <c r="I303" s="25">
        <v>0.0</v>
      </c>
      <c r="J303" s="25">
        <v>0.0</v>
      </c>
      <c r="K303" s="25">
        <v>0.0</v>
      </c>
      <c r="L303" s="25">
        <v>0.0</v>
      </c>
      <c r="M303" s="17">
        <f t="shared" si="1"/>
        <v>0</v>
      </c>
      <c r="N303" s="24" t="str">
        <f t="array" ref="N303">if(isblank(A303),"",index(fish_lab_data!O:O,match(A303,fish_lab_data!C:C,0)))</f>
        <v>KB</v>
      </c>
      <c r="O303" s="24" t="str">
        <f t="array" ref="O303">index(fish_lab_data!Q:Q,match(A303,fish_lab_data!C:C,0))</f>
        <v>lab_motiles_etoh</v>
      </c>
      <c r="P303" s="24" t="str">
        <f t="array" ref="P303">if(and(iserror(index(sea_lice!G:G,match(A303,sea_lice!A:A,0))),M303=0),"NA",index(sea_lice!G:G,match(A303,sea_lice!A:A,0)))</f>
        <v>NA</v>
      </c>
      <c r="Q303" s="24">
        <f t="array" ref="Q303">if(isblank(A303),"",index(fish_lab_data!X:X,match(A303,fish_lab_data!C:C,0)))</f>
        <v>1005</v>
      </c>
    </row>
    <row r="304">
      <c r="A304" s="9" t="s">
        <v>1439</v>
      </c>
      <c r="B304" s="9">
        <v>0.0</v>
      </c>
      <c r="C304" s="9">
        <v>0.0</v>
      </c>
      <c r="D304" s="9">
        <v>0.0</v>
      </c>
      <c r="E304" s="9">
        <v>1.0</v>
      </c>
      <c r="F304" s="9">
        <v>0.0</v>
      </c>
      <c r="G304" s="9">
        <v>0.0</v>
      </c>
      <c r="H304" s="9">
        <v>0.0</v>
      </c>
      <c r="I304" s="9">
        <v>0.0</v>
      </c>
      <c r="J304" s="9">
        <v>0.0</v>
      </c>
      <c r="K304" s="9">
        <v>0.0</v>
      </c>
      <c r="L304" s="9">
        <v>0.0</v>
      </c>
      <c r="M304" s="17">
        <f t="shared" si="1"/>
        <v>1</v>
      </c>
      <c r="N304" s="24" t="str">
        <f t="array" ref="N304">if(isblank(A304),"",index(fish_lab_data!O:O,match(A304,fish_lab_data!C:C,0)))</f>
        <v>KB</v>
      </c>
      <c r="O304" s="24" t="str">
        <f t="array" ref="O304">index(fish_lab_data!Q:Q,match(A304,fish_lab_data!C:C,0))</f>
        <v>lab_motiles_etoh</v>
      </c>
      <c r="P304" s="24" t="str">
        <f t="array" ref="P304">if(and(iserror(index(sea_lice!G:G,match(A304,sea_lice!A:A,0))),M304=0),"NA",index(sea_lice!G:G,match(A304,sea_lice!A:A,0)))</f>
        <v>BSL7-30</v>
      </c>
      <c r="Q304" s="24">
        <f t="array" ref="Q304">if(isblank(A304),"",index(fish_lab_data!X:X,match(A304,fish_lab_data!C:C,0)))</f>
        <v>1006</v>
      </c>
    </row>
    <row r="305">
      <c r="A305" s="9" t="s">
        <v>1440</v>
      </c>
      <c r="B305" s="9">
        <v>0.0</v>
      </c>
      <c r="C305" s="9">
        <v>0.0</v>
      </c>
      <c r="D305" s="9">
        <v>0.0</v>
      </c>
      <c r="E305" s="9">
        <v>2.0</v>
      </c>
      <c r="F305" s="9">
        <v>0.0</v>
      </c>
      <c r="G305" s="9">
        <v>0.0</v>
      </c>
      <c r="H305" s="9">
        <v>0.0</v>
      </c>
      <c r="I305" s="9">
        <v>0.0</v>
      </c>
      <c r="J305" s="9">
        <v>0.0</v>
      </c>
      <c r="K305" s="9">
        <v>0.0</v>
      </c>
      <c r="L305" s="9">
        <v>0.0</v>
      </c>
      <c r="M305" s="17">
        <f t="shared" si="1"/>
        <v>2</v>
      </c>
      <c r="N305" s="24" t="str">
        <f t="array" ref="N305">if(isblank(A305),"",index(fish_lab_data!O:O,match(A305,fish_lab_data!C:C,0)))</f>
        <v>KB</v>
      </c>
      <c r="O305" s="24" t="str">
        <f t="array" ref="O305">index(fish_lab_data!Q:Q,match(A305,fish_lab_data!C:C,0))</f>
        <v>lab_motiles_etoh</v>
      </c>
      <c r="P305" s="24" t="str">
        <f t="array" ref="P305">if(and(iserror(index(sea_lice!G:G,match(A305,sea_lice!A:A,0))),M305=0),"NA",index(sea_lice!G:G,match(A305,sea_lice!A:A,0)))</f>
        <v>BSL7-31</v>
      </c>
      <c r="Q305" s="24">
        <f t="array" ref="Q305">if(isblank(A305),"",index(fish_lab_data!X:X,match(A305,fish_lab_data!C:C,0)))</f>
        <v>1007</v>
      </c>
    </row>
    <row r="306">
      <c r="A306" s="25" t="s">
        <v>1441</v>
      </c>
      <c r="B306" s="25">
        <v>0.0</v>
      </c>
      <c r="C306" s="25">
        <v>0.0</v>
      </c>
      <c r="D306" s="25">
        <v>0.0</v>
      </c>
      <c r="E306" s="25">
        <v>0.0</v>
      </c>
      <c r="F306" s="25">
        <v>0.0</v>
      </c>
      <c r="G306" s="25">
        <v>0.0</v>
      </c>
      <c r="H306" s="25">
        <v>0.0</v>
      </c>
      <c r="I306" s="25">
        <v>0.0</v>
      </c>
      <c r="J306" s="25">
        <v>0.0</v>
      </c>
      <c r="K306" s="25">
        <v>0.0</v>
      </c>
      <c r="L306" s="25">
        <v>0.0</v>
      </c>
      <c r="M306" s="17">
        <f t="shared" si="1"/>
        <v>0</v>
      </c>
      <c r="N306" s="24" t="str">
        <f t="array" ref="N306">if(isblank(A306),"",index(fish_lab_data!O:O,match(A306,fish_lab_data!C:C,0)))</f>
        <v>KB</v>
      </c>
      <c r="O306" s="24" t="str">
        <f t="array" ref="O306">index(fish_lab_data!Q:Q,match(A306,fish_lab_data!C:C,0))</f>
        <v>lab_motiles_etoh</v>
      </c>
      <c r="P306" s="24" t="str">
        <f t="array" ref="P306">if(and(iserror(index(sea_lice!G:G,match(A306,sea_lice!A:A,0))),M306=0),"NA",index(sea_lice!G:G,match(A306,sea_lice!A:A,0)))</f>
        <v>NA</v>
      </c>
      <c r="Q306" s="24">
        <f t="array" ref="Q306">if(isblank(A306),"",index(fish_lab_data!X:X,match(A306,fish_lab_data!C:C,0)))</f>
        <v>1008</v>
      </c>
    </row>
    <row r="307">
      <c r="A307" s="25" t="s">
        <v>1443</v>
      </c>
      <c r="B307" s="25">
        <v>0.0</v>
      </c>
      <c r="C307" s="25">
        <v>0.0</v>
      </c>
      <c r="D307" s="25">
        <v>0.0</v>
      </c>
      <c r="E307" s="25">
        <v>0.0</v>
      </c>
      <c r="F307" s="25">
        <v>0.0</v>
      </c>
      <c r="G307" s="25">
        <v>0.0</v>
      </c>
      <c r="H307" s="25">
        <v>0.0</v>
      </c>
      <c r="I307" s="25">
        <v>0.0</v>
      </c>
      <c r="J307" s="25">
        <v>0.0</v>
      </c>
      <c r="K307" s="25">
        <v>0.0</v>
      </c>
      <c r="L307" s="25">
        <v>0.0</v>
      </c>
      <c r="M307" s="17">
        <f t="shared" si="1"/>
        <v>0</v>
      </c>
      <c r="N307" s="24" t="str">
        <f t="array" ref="N307">if(isblank(A307),"",index(fish_lab_data!O:O,match(A307,fish_lab_data!C:C,0)))</f>
        <v>KB</v>
      </c>
      <c r="O307" s="24" t="str">
        <f t="array" ref="O307">index(fish_lab_data!Q:Q,match(A307,fish_lab_data!C:C,0))</f>
        <v>lab_motiles_etoh</v>
      </c>
      <c r="P307" s="24" t="str">
        <f t="array" ref="P307">if(and(iserror(index(sea_lice!G:G,match(A307,sea_lice!A:A,0))),M307=0),"NA",index(sea_lice!G:G,match(A307,sea_lice!A:A,0)))</f>
        <v>NA</v>
      </c>
      <c r="Q307" s="24">
        <f t="array" ref="Q307">if(isblank(A307),"",index(fish_lab_data!X:X,match(A307,fish_lab_data!C:C,0)))</f>
        <v>1009</v>
      </c>
    </row>
    <row r="308">
      <c r="A308" s="25" t="s">
        <v>1444</v>
      </c>
      <c r="B308" s="25">
        <v>0.0</v>
      </c>
      <c r="C308" s="25">
        <v>0.0</v>
      </c>
      <c r="D308" s="25">
        <v>0.0</v>
      </c>
      <c r="E308" s="25">
        <v>0.0</v>
      </c>
      <c r="F308" s="25">
        <v>0.0</v>
      </c>
      <c r="G308" s="25">
        <v>0.0</v>
      </c>
      <c r="H308" s="25">
        <v>0.0</v>
      </c>
      <c r="I308" s="25">
        <v>0.0</v>
      </c>
      <c r="J308" s="25">
        <v>0.0</v>
      </c>
      <c r="K308" s="25">
        <v>0.0</v>
      </c>
      <c r="L308" s="25">
        <v>0.0</v>
      </c>
      <c r="M308" s="17">
        <f t="shared" si="1"/>
        <v>0</v>
      </c>
      <c r="N308" s="24" t="str">
        <f t="array" ref="N308">if(isblank(A308),"",index(fish_lab_data!O:O,match(A308,fish_lab_data!C:C,0)))</f>
        <v>KB</v>
      </c>
      <c r="O308" s="24" t="str">
        <f t="array" ref="O308">index(fish_lab_data!Q:Q,match(A308,fish_lab_data!C:C,0))</f>
        <v>lab_motiles_etoh</v>
      </c>
      <c r="P308" s="24" t="str">
        <f t="array" ref="P308">if(and(iserror(index(sea_lice!G:G,match(A308,sea_lice!A:A,0))),M308=0),"NA",index(sea_lice!G:G,match(A308,sea_lice!A:A,0)))</f>
        <v>NA</v>
      </c>
      <c r="Q308" s="24">
        <f t="array" ref="Q308">if(isblank(A308),"",index(fish_lab_data!X:X,match(A308,fish_lab_data!C:C,0)))</f>
        <v>1010</v>
      </c>
    </row>
    <row r="309">
      <c r="A309" s="9" t="s">
        <v>1446</v>
      </c>
      <c r="B309" s="9">
        <v>0.0</v>
      </c>
      <c r="C309" s="9">
        <v>1.0</v>
      </c>
      <c r="D309" s="9">
        <v>0.0</v>
      </c>
      <c r="E309" s="9">
        <v>0.0</v>
      </c>
      <c r="F309" s="9">
        <v>0.0</v>
      </c>
      <c r="G309" s="9">
        <v>0.0</v>
      </c>
      <c r="H309" s="9">
        <v>0.0</v>
      </c>
      <c r="I309" s="9">
        <v>0.0</v>
      </c>
      <c r="J309" s="9">
        <v>0.0</v>
      </c>
      <c r="K309" s="9">
        <v>0.0</v>
      </c>
      <c r="L309" s="9">
        <v>0.0</v>
      </c>
      <c r="M309" s="17">
        <f t="shared" si="1"/>
        <v>1</v>
      </c>
      <c r="N309" s="24" t="str">
        <f t="array" ref="N309">if(isblank(A309),"",index(fish_lab_data!O:O,match(A309,fish_lab_data!C:C,0)))</f>
        <v>KB</v>
      </c>
      <c r="O309" s="24" t="str">
        <f t="array" ref="O309">index(fish_lab_data!Q:Q,match(A309,fish_lab_data!C:C,0))</f>
        <v>lab_motiles_etoh</v>
      </c>
      <c r="P309" s="24" t="str">
        <f t="array" ref="P309">if(and(iserror(index(sea_lice!G:G,match(A309,sea_lice!A:A,0))),M309=0),"NA",index(sea_lice!G:G,match(A309,sea_lice!A:A,0)))</f>
        <v>BSL7-32</v>
      </c>
      <c r="Q309" s="24">
        <f t="array" ref="Q309">if(isblank(A309),"",index(fish_lab_data!X:X,match(A309,fish_lab_data!C:C,0)))</f>
        <v>1011</v>
      </c>
    </row>
    <row r="310">
      <c r="A310" s="9" t="s">
        <v>1447</v>
      </c>
      <c r="B310" s="9">
        <v>0.0</v>
      </c>
      <c r="C310" s="9">
        <v>1.0</v>
      </c>
      <c r="D310" s="9">
        <v>0.0</v>
      </c>
      <c r="E310" s="9">
        <v>0.0</v>
      </c>
      <c r="F310" s="9">
        <v>0.0</v>
      </c>
      <c r="G310" s="9">
        <v>0.0</v>
      </c>
      <c r="H310" s="9">
        <v>0.0</v>
      </c>
      <c r="I310" s="9">
        <v>0.0</v>
      </c>
      <c r="J310" s="9">
        <v>0.0</v>
      </c>
      <c r="K310" s="9">
        <v>0.0</v>
      </c>
      <c r="L310" s="9">
        <v>0.0</v>
      </c>
      <c r="M310" s="17">
        <f t="shared" si="1"/>
        <v>1</v>
      </c>
      <c r="N310" s="24" t="str">
        <f t="array" ref="N310">if(isblank(A310),"",index(fish_lab_data!O:O,match(A310,fish_lab_data!C:C,0)))</f>
        <v>KB</v>
      </c>
      <c r="O310" s="24" t="str">
        <f t="array" ref="O310">index(fish_lab_data!Q:Q,match(A310,fish_lab_data!C:C,0))</f>
        <v>lab_motiles_etoh</v>
      </c>
      <c r="P310" s="24" t="str">
        <f t="array" ref="P310">if(and(iserror(index(sea_lice!G:G,match(A310,sea_lice!A:A,0))),M310=0),"NA",index(sea_lice!G:G,match(A310,sea_lice!A:A,0)))</f>
        <v>BSL7-33</v>
      </c>
      <c r="Q310" s="24">
        <f t="array" ref="Q310">if(isblank(A310),"",index(fish_lab_data!X:X,match(A310,fish_lab_data!C:C,0)))</f>
        <v>1012</v>
      </c>
    </row>
    <row r="311">
      <c r="A311" s="25" t="s">
        <v>1448</v>
      </c>
      <c r="B311" s="25">
        <v>0.0</v>
      </c>
      <c r="C311" s="25">
        <v>0.0</v>
      </c>
      <c r="D311" s="25">
        <v>0.0</v>
      </c>
      <c r="E311" s="25">
        <v>0.0</v>
      </c>
      <c r="F311" s="25">
        <v>0.0</v>
      </c>
      <c r="G311" s="25">
        <v>0.0</v>
      </c>
      <c r="H311" s="25">
        <v>0.0</v>
      </c>
      <c r="I311" s="25">
        <v>0.0</v>
      </c>
      <c r="J311" s="25">
        <v>0.0</v>
      </c>
      <c r="K311" s="25">
        <v>0.0</v>
      </c>
      <c r="L311" s="25">
        <v>0.0</v>
      </c>
      <c r="M311" s="17">
        <f t="shared" si="1"/>
        <v>0</v>
      </c>
      <c r="N311" s="24" t="str">
        <f t="array" ref="N311">if(isblank(A311),"",index(fish_lab_data!O:O,match(A311,fish_lab_data!C:C,0)))</f>
        <v>KB</v>
      </c>
      <c r="O311" s="24" t="str">
        <f t="array" ref="O311">index(fish_lab_data!Q:Q,match(A311,fish_lab_data!C:C,0))</f>
        <v>lab_motiles_etoh</v>
      </c>
      <c r="P311" s="24" t="str">
        <f t="array" ref="P311">if(and(iserror(index(sea_lice!G:G,match(A311,sea_lice!A:A,0))),M311=0),"NA",index(sea_lice!G:G,match(A311,sea_lice!A:A,0)))</f>
        <v>NA</v>
      </c>
      <c r="Q311" s="24">
        <f t="array" ref="Q311">if(isblank(A311),"",index(fish_lab_data!X:X,match(A311,fish_lab_data!C:C,0)))</f>
        <v>1013</v>
      </c>
    </row>
    <row r="312">
      <c r="A312" s="25" t="s">
        <v>1449</v>
      </c>
      <c r="B312" s="25">
        <v>0.0</v>
      </c>
      <c r="C312" s="25">
        <v>0.0</v>
      </c>
      <c r="D312" s="25">
        <v>0.0</v>
      </c>
      <c r="E312" s="25">
        <v>0.0</v>
      </c>
      <c r="F312" s="25">
        <v>0.0</v>
      </c>
      <c r="G312" s="25">
        <v>0.0</v>
      </c>
      <c r="H312" s="25">
        <v>0.0</v>
      </c>
      <c r="I312" s="25">
        <v>0.0</v>
      </c>
      <c r="J312" s="25">
        <v>0.0</v>
      </c>
      <c r="K312" s="25">
        <v>0.0</v>
      </c>
      <c r="L312" s="25">
        <v>0.0</v>
      </c>
      <c r="M312" s="17">
        <f t="shared" si="1"/>
        <v>0</v>
      </c>
      <c r="N312" s="24" t="str">
        <f t="array" ref="N312">if(isblank(A312),"",index(fish_lab_data!O:O,match(A312,fish_lab_data!C:C,0)))</f>
        <v>KB</v>
      </c>
      <c r="O312" s="24" t="str">
        <f t="array" ref="O312">index(fish_lab_data!Q:Q,match(A312,fish_lab_data!C:C,0))</f>
        <v>lab_motiles_etoh</v>
      </c>
      <c r="P312" s="24" t="str">
        <f t="array" ref="P312">if(and(iserror(index(sea_lice!G:G,match(A312,sea_lice!A:A,0))),M312=0),"NA",index(sea_lice!G:G,match(A312,sea_lice!A:A,0)))</f>
        <v>NA</v>
      </c>
      <c r="Q312" s="24">
        <f t="array" ref="Q312">if(isblank(A312),"",index(fish_lab_data!X:X,match(A312,fish_lab_data!C:C,0)))</f>
        <v>1014</v>
      </c>
    </row>
    <row r="313">
      <c r="A313" s="25" t="s">
        <v>1451</v>
      </c>
      <c r="B313" s="25">
        <v>0.0</v>
      </c>
      <c r="C313" s="25">
        <v>0.0</v>
      </c>
      <c r="D313" s="25">
        <v>0.0</v>
      </c>
      <c r="E313" s="25">
        <v>0.0</v>
      </c>
      <c r="F313" s="25">
        <v>0.0</v>
      </c>
      <c r="G313" s="25">
        <v>0.0</v>
      </c>
      <c r="H313" s="25">
        <v>0.0</v>
      </c>
      <c r="I313" s="25">
        <v>0.0</v>
      </c>
      <c r="J313" s="25">
        <v>0.0</v>
      </c>
      <c r="K313" s="25">
        <v>0.0</v>
      </c>
      <c r="L313" s="25">
        <v>0.0</v>
      </c>
      <c r="M313" s="17">
        <f t="shared" si="1"/>
        <v>0</v>
      </c>
      <c r="N313" s="24" t="str">
        <f t="array" ref="N313">if(isblank(A313),"",index(fish_lab_data!O:O,match(A313,fish_lab_data!C:C,0)))</f>
        <v>KB</v>
      </c>
      <c r="O313" s="24" t="str">
        <f t="array" ref="O313">index(fish_lab_data!Q:Q,match(A313,fish_lab_data!C:C,0))</f>
        <v>lab_motiles_etoh</v>
      </c>
      <c r="P313" s="24" t="str">
        <f t="array" ref="P313">if(and(iserror(index(sea_lice!G:G,match(A313,sea_lice!A:A,0))),M313=0),"NA",index(sea_lice!G:G,match(A313,sea_lice!A:A,0)))</f>
        <v>NA</v>
      </c>
      <c r="Q313" s="24">
        <f t="array" ref="Q313">if(isblank(A313),"",index(fish_lab_data!X:X,match(A313,fish_lab_data!C:C,0)))</f>
        <v>1015</v>
      </c>
    </row>
    <row r="314">
      <c r="A314" s="9" t="s">
        <v>1452</v>
      </c>
      <c r="B314" s="9">
        <v>0.0</v>
      </c>
      <c r="C314" s="9">
        <v>0.0</v>
      </c>
      <c r="D314" s="9">
        <v>0.0</v>
      </c>
      <c r="E314" s="9">
        <v>0.0</v>
      </c>
      <c r="F314" s="9">
        <v>0.0</v>
      </c>
      <c r="G314" s="9">
        <v>0.0</v>
      </c>
      <c r="H314" s="9">
        <v>0.0</v>
      </c>
      <c r="I314" s="9">
        <v>0.0</v>
      </c>
      <c r="J314" s="9">
        <v>1.0</v>
      </c>
      <c r="K314" s="9">
        <v>0.0</v>
      </c>
      <c r="L314" s="9">
        <v>0.0</v>
      </c>
      <c r="M314" s="17">
        <f t="shared" si="1"/>
        <v>1</v>
      </c>
      <c r="N314" s="24" t="str">
        <f t="array" ref="N314">if(isblank(A314),"",index(fish_lab_data!O:O,match(A314,fish_lab_data!C:C,0)))</f>
        <v>KB</v>
      </c>
      <c r="O314" s="24" t="str">
        <f t="array" ref="O314">index(fish_lab_data!Q:Q,match(A314,fish_lab_data!C:C,0))</f>
        <v>lab_motiles_etoh</v>
      </c>
      <c r="P314" s="24" t="str">
        <f t="array" ref="P314">if(and(iserror(index(sea_lice!G:G,match(A314,sea_lice!A:A,0))),M314=0),"NA",index(sea_lice!G:G,match(A314,sea_lice!A:A,0)))</f>
        <v>BSL7-34</v>
      </c>
      <c r="Q314" s="24">
        <f t="array" ref="Q314">if(isblank(A314),"",index(fish_lab_data!X:X,match(A314,fish_lab_data!C:C,0)))</f>
        <v>1016</v>
      </c>
    </row>
    <row r="315">
      <c r="A315" s="25" t="s">
        <v>1453</v>
      </c>
      <c r="B315" s="25">
        <v>0.0</v>
      </c>
      <c r="C315" s="25">
        <v>0.0</v>
      </c>
      <c r="D315" s="25">
        <v>0.0</v>
      </c>
      <c r="E315" s="25">
        <v>0.0</v>
      </c>
      <c r="F315" s="25">
        <v>0.0</v>
      </c>
      <c r="G315" s="25">
        <v>0.0</v>
      </c>
      <c r="H315" s="25">
        <v>0.0</v>
      </c>
      <c r="I315" s="25">
        <v>0.0</v>
      </c>
      <c r="J315" s="25">
        <v>0.0</v>
      </c>
      <c r="K315" s="25">
        <v>0.0</v>
      </c>
      <c r="L315" s="25">
        <v>0.0</v>
      </c>
      <c r="M315" s="17">
        <f t="shared" si="1"/>
        <v>0</v>
      </c>
      <c r="N315" s="24" t="str">
        <f t="array" ref="N315">if(isblank(A315),"",index(fish_lab_data!O:O,match(A315,fish_lab_data!C:C,0)))</f>
        <v>KB</v>
      </c>
      <c r="O315" s="24" t="str">
        <f t="array" ref="O315">index(fish_lab_data!Q:Q,match(A315,fish_lab_data!C:C,0))</f>
        <v>lab_motiles_etoh</v>
      </c>
      <c r="P315" s="24" t="str">
        <f t="array" ref="P315">if(and(iserror(index(sea_lice!G:G,match(A315,sea_lice!A:A,0))),M315=0),"NA",index(sea_lice!G:G,match(A315,sea_lice!A:A,0)))</f>
        <v>NA</v>
      </c>
      <c r="Q315" s="24">
        <f t="array" ref="Q315">if(isblank(A315),"",index(fish_lab_data!X:X,match(A315,fish_lab_data!C:C,0)))</f>
        <v>1017</v>
      </c>
    </row>
    <row r="316">
      <c r="A316" s="25" t="s">
        <v>1455</v>
      </c>
      <c r="B316" s="25">
        <v>0.0</v>
      </c>
      <c r="C316" s="25">
        <v>0.0</v>
      </c>
      <c r="D316" s="25">
        <v>0.0</v>
      </c>
      <c r="E316" s="25">
        <v>0.0</v>
      </c>
      <c r="F316" s="25">
        <v>0.0</v>
      </c>
      <c r="G316" s="25">
        <v>0.0</v>
      </c>
      <c r="H316" s="25">
        <v>0.0</v>
      </c>
      <c r="I316" s="25">
        <v>0.0</v>
      </c>
      <c r="J316" s="25">
        <v>0.0</v>
      </c>
      <c r="K316" s="25">
        <v>0.0</v>
      </c>
      <c r="L316" s="25">
        <v>0.0</v>
      </c>
      <c r="M316" s="17">
        <f t="shared" si="1"/>
        <v>0</v>
      </c>
      <c r="N316" s="24" t="str">
        <f t="array" ref="N316">if(isblank(A316),"",index(fish_lab_data!O:O,match(A316,fish_lab_data!C:C,0)))</f>
        <v>KB</v>
      </c>
      <c r="O316" s="24" t="str">
        <f t="array" ref="O316">index(fish_lab_data!Q:Q,match(A316,fish_lab_data!C:C,0))</f>
        <v>lab_motiles_etoh</v>
      </c>
      <c r="P316" s="24" t="str">
        <f t="array" ref="P316">if(and(iserror(index(sea_lice!G:G,match(A316,sea_lice!A:A,0))),M316=0),"NA",index(sea_lice!G:G,match(A316,sea_lice!A:A,0)))</f>
        <v>NA</v>
      </c>
      <c r="Q316" s="24">
        <f t="array" ref="Q316">if(isblank(A316),"",index(fish_lab_data!X:X,match(A316,fish_lab_data!C:C,0)))</f>
        <v>1018</v>
      </c>
    </row>
    <row r="317">
      <c r="A317" s="25" t="s">
        <v>1458</v>
      </c>
      <c r="B317" s="25">
        <v>0.0</v>
      </c>
      <c r="C317" s="25">
        <v>0.0</v>
      </c>
      <c r="D317" s="25">
        <v>0.0</v>
      </c>
      <c r="E317" s="25">
        <v>0.0</v>
      </c>
      <c r="F317" s="25">
        <v>0.0</v>
      </c>
      <c r="G317" s="25">
        <v>0.0</v>
      </c>
      <c r="H317" s="25">
        <v>0.0</v>
      </c>
      <c r="I317" s="25">
        <v>0.0</v>
      </c>
      <c r="J317" s="25">
        <v>0.0</v>
      </c>
      <c r="K317" s="25">
        <v>0.0</v>
      </c>
      <c r="L317" s="25">
        <v>0.0</v>
      </c>
      <c r="M317" s="17">
        <f t="shared" si="1"/>
        <v>0</v>
      </c>
      <c r="N317" s="24" t="str">
        <f t="array" ref="N317">if(isblank(A317),"",index(fish_lab_data!O:O,match(A317,fish_lab_data!C:C,0)))</f>
        <v>KB</v>
      </c>
      <c r="O317" s="24" t="str">
        <f t="array" ref="O317">index(fish_lab_data!Q:Q,match(A317,fish_lab_data!C:C,0))</f>
        <v>lab_motiles_etoh</v>
      </c>
      <c r="P317" s="24" t="str">
        <f t="array" ref="P317">if(and(iserror(index(sea_lice!G:G,match(A317,sea_lice!A:A,0))),M317=0),"NA",index(sea_lice!G:G,match(A317,sea_lice!A:A,0)))</f>
        <v>NA</v>
      </c>
      <c r="Q317" s="24">
        <f t="array" ref="Q317">if(isblank(A317),"",index(fish_lab_data!X:X,match(A317,fish_lab_data!C:C,0)))</f>
        <v>1019</v>
      </c>
    </row>
    <row r="318">
      <c r="A318" s="25" t="s">
        <v>1459</v>
      </c>
      <c r="B318" s="25">
        <v>0.0</v>
      </c>
      <c r="C318" s="25">
        <v>0.0</v>
      </c>
      <c r="D318" s="25">
        <v>0.0</v>
      </c>
      <c r="E318" s="25">
        <v>0.0</v>
      </c>
      <c r="F318" s="25">
        <v>0.0</v>
      </c>
      <c r="G318" s="25">
        <v>0.0</v>
      </c>
      <c r="H318" s="25">
        <v>0.0</v>
      </c>
      <c r="I318" s="25">
        <v>0.0</v>
      </c>
      <c r="J318" s="25">
        <v>0.0</v>
      </c>
      <c r="K318" s="25">
        <v>0.0</v>
      </c>
      <c r="L318" s="25">
        <v>0.0</v>
      </c>
      <c r="M318" s="17">
        <f t="shared" si="1"/>
        <v>0</v>
      </c>
      <c r="N318" s="24" t="str">
        <f t="array" ref="N318">if(isblank(A318),"",index(fish_lab_data!O:O,match(A318,fish_lab_data!C:C,0)))</f>
        <v>KB</v>
      </c>
      <c r="O318" s="24" t="str">
        <f t="array" ref="O318">index(fish_lab_data!Q:Q,match(A318,fish_lab_data!C:C,0))</f>
        <v>lab_motiles_etoh</v>
      </c>
      <c r="P318" s="24" t="str">
        <f t="array" ref="P318">if(and(iserror(index(sea_lice!G:G,match(A318,sea_lice!A:A,0))),M318=0),"NA",index(sea_lice!G:G,match(A318,sea_lice!A:A,0)))</f>
        <v>NA</v>
      </c>
      <c r="Q318" s="24">
        <f t="array" ref="Q318">if(isblank(A318),"",index(fish_lab_data!X:X,match(A318,fish_lab_data!C:C,0)))</f>
        <v>1020</v>
      </c>
    </row>
    <row r="319">
      <c r="A319" s="25" t="s">
        <v>1461</v>
      </c>
      <c r="B319" s="25">
        <v>0.0</v>
      </c>
      <c r="C319" s="25">
        <v>0.0</v>
      </c>
      <c r="D319" s="25">
        <v>0.0</v>
      </c>
      <c r="E319" s="25">
        <v>0.0</v>
      </c>
      <c r="F319" s="25">
        <v>0.0</v>
      </c>
      <c r="G319" s="25">
        <v>0.0</v>
      </c>
      <c r="H319" s="25">
        <v>0.0</v>
      </c>
      <c r="I319" s="25">
        <v>0.0</v>
      </c>
      <c r="J319" s="25">
        <v>0.0</v>
      </c>
      <c r="K319" s="25">
        <v>0.0</v>
      </c>
      <c r="L319" s="25">
        <v>0.0</v>
      </c>
      <c r="M319" s="17">
        <f t="shared" si="1"/>
        <v>0</v>
      </c>
      <c r="N319" s="24" t="str">
        <f t="array" ref="N319">if(isblank(A319),"",index(fish_lab_data!O:O,match(A319,fish_lab_data!C:C,0)))</f>
        <v>KB</v>
      </c>
      <c r="O319" s="24" t="str">
        <f t="array" ref="O319">index(fish_lab_data!Q:Q,match(A319,fish_lab_data!C:C,0))</f>
        <v>lab_motiles_etoh</v>
      </c>
      <c r="P319" s="24" t="str">
        <f t="array" ref="P319">if(and(iserror(index(sea_lice!G:G,match(A319,sea_lice!A:A,0))),M319=0),"NA",index(sea_lice!G:G,match(A319,sea_lice!A:A,0)))</f>
        <v>NA</v>
      </c>
      <c r="Q319" s="24">
        <f t="array" ref="Q319">if(isblank(A319),"",index(fish_lab_data!X:X,match(A319,fish_lab_data!C:C,0)))</f>
        <v>1021</v>
      </c>
    </row>
    <row r="320">
      <c r="A320" s="25" t="s">
        <v>1462</v>
      </c>
      <c r="B320" s="25">
        <v>0.0</v>
      </c>
      <c r="C320" s="25">
        <v>0.0</v>
      </c>
      <c r="D320" s="25">
        <v>0.0</v>
      </c>
      <c r="E320" s="25">
        <v>0.0</v>
      </c>
      <c r="F320" s="25">
        <v>0.0</v>
      </c>
      <c r="G320" s="25">
        <v>0.0</v>
      </c>
      <c r="H320" s="25">
        <v>0.0</v>
      </c>
      <c r="I320" s="25">
        <v>0.0</v>
      </c>
      <c r="J320" s="25">
        <v>0.0</v>
      </c>
      <c r="K320" s="25">
        <v>0.0</v>
      </c>
      <c r="L320" s="25">
        <v>0.0</v>
      </c>
      <c r="M320" s="17">
        <f t="shared" si="1"/>
        <v>0</v>
      </c>
      <c r="N320" s="24" t="str">
        <f t="array" ref="N320">if(isblank(A320),"",index(fish_lab_data!O:O,match(A320,fish_lab_data!C:C,0)))</f>
        <v>KB</v>
      </c>
      <c r="O320" s="24" t="str">
        <f t="array" ref="O320">index(fish_lab_data!Q:Q,match(A320,fish_lab_data!C:C,0))</f>
        <v>lab_motiles_etoh</v>
      </c>
      <c r="P320" s="24" t="str">
        <f t="array" ref="P320">if(and(iserror(index(sea_lice!G:G,match(A320,sea_lice!A:A,0))),M320=0),"NA",index(sea_lice!G:G,match(A320,sea_lice!A:A,0)))</f>
        <v>NA</v>
      </c>
      <c r="Q320" s="24">
        <f t="array" ref="Q320">if(isblank(A320),"",index(fish_lab_data!X:X,match(A320,fish_lab_data!C:C,0)))</f>
        <v>1022</v>
      </c>
    </row>
    <row r="321">
      <c r="A321" s="25" t="s">
        <v>1464</v>
      </c>
      <c r="B321" s="25">
        <v>0.0</v>
      </c>
      <c r="C321" s="25">
        <v>0.0</v>
      </c>
      <c r="D321" s="25">
        <v>0.0</v>
      </c>
      <c r="E321" s="25">
        <v>0.0</v>
      </c>
      <c r="F321" s="25">
        <v>0.0</v>
      </c>
      <c r="G321" s="25">
        <v>0.0</v>
      </c>
      <c r="H321" s="25">
        <v>0.0</v>
      </c>
      <c r="I321" s="25">
        <v>0.0</v>
      </c>
      <c r="J321" s="25">
        <v>0.0</v>
      </c>
      <c r="K321" s="25">
        <v>0.0</v>
      </c>
      <c r="L321" s="25">
        <v>0.0</v>
      </c>
      <c r="M321" s="17">
        <f t="shared" si="1"/>
        <v>0</v>
      </c>
      <c r="N321" s="24" t="str">
        <f t="array" ref="N321">if(isblank(A321),"",index(fish_lab_data!O:O,match(A321,fish_lab_data!C:C,0)))</f>
        <v>KB</v>
      </c>
      <c r="O321" s="24" t="str">
        <f t="array" ref="O321">index(fish_lab_data!Q:Q,match(A321,fish_lab_data!C:C,0))</f>
        <v>lab_motiles_etoh</v>
      </c>
      <c r="P321" s="24" t="str">
        <f t="array" ref="P321">if(and(iserror(index(sea_lice!G:G,match(A321,sea_lice!A:A,0))),M321=0),"NA",index(sea_lice!G:G,match(A321,sea_lice!A:A,0)))</f>
        <v>NA</v>
      </c>
      <c r="Q321" s="24">
        <f t="array" ref="Q321">if(isblank(A321),"",index(fish_lab_data!X:X,match(A321,fish_lab_data!C:C,0)))</f>
        <v>1023</v>
      </c>
    </row>
    <row r="322">
      <c r="A322" s="25" t="s">
        <v>1465</v>
      </c>
      <c r="B322" s="25">
        <v>0.0</v>
      </c>
      <c r="C322" s="25">
        <v>0.0</v>
      </c>
      <c r="D322" s="25">
        <v>0.0</v>
      </c>
      <c r="E322" s="25">
        <v>0.0</v>
      </c>
      <c r="F322" s="25">
        <v>0.0</v>
      </c>
      <c r="G322" s="25">
        <v>0.0</v>
      </c>
      <c r="H322" s="25">
        <v>0.0</v>
      </c>
      <c r="I322" s="25">
        <v>0.0</v>
      </c>
      <c r="J322" s="25">
        <v>0.0</v>
      </c>
      <c r="K322" s="25">
        <v>0.0</v>
      </c>
      <c r="L322" s="25">
        <v>0.0</v>
      </c>
      <c r="M322" s="17">
        <f t="shared" si="1"/>
        <v>0</v>
      </c>
      <c r="N322" s="24" t="str">
        <f t="array" ref="N322">if(isblank(A322),"",index(fish_lab_data!O:O,match(A322,fish_lab_data!C:C,0)))</f>
        <v>KB</v>
      </c>
      <c r="O322" s="24" t="str">
        <f t="array" ref="O322">index(fish_lab_data!Q:Q,match(A322,fish_lab_data!C:C,0))</f>
        <v>lab_motiles_etoh</v>
      </c>
      <c r="P322" s="24" t="str">
        <f t="array" ref="P322">if(and(iserror(index(sea_lice!G:G,match(A322,sea_lice!A:A,0))),M322=0),"NA",index(sea_lice!G:G,match(A322,sea_lice!A:A,0)))</f>
        <v>NA</v>
      </c>
      <c r="Q322" s="24">
        <f t="array" ref="Q322">if(isblank(A322),"",index(fish_lab_data!X:X,match(A322,fish_lab_data!C:C,0)))</f>
        <v>1024</v>
      </c>
    </row>
    <row r="323">
      <c r="A323" s="25" t="s">
        <v>1468</v>
      </c>
      <c r="B323" s="25">
        <v>0.0</v>
      </c>
      <c r="C323" s="25">
        <v>0.0</v>
      </c>
      <c r="D323" s="25">
        <v>0.0</v>
      </c>
      <c r="E323" s="25">
        <v>0.0</v>
      </c>
      <c r="F323" s="25">
        <v>0.0</v>
      </c>
      <c r="G323" s="25">
        <v>0.0</v>
      </c>
      <c r="H323" s="25">
        <v>0.0</v>
      </c>
      <c r="I323" s="25">
        <v>0.0</v>
      </c>
      <c r="J323" s="25">
        <v>0.0</v>
      </c>
      <c r="K323" s="25">
        <v>0.0</v>
      </c>
      <c r="L323" s="25">
        <v>0.0</v>
      </c>
      <c r="M323" s="17">
        <f t="shared" si="1"/>
        <v>0</v>
      </c>
      <c r="N323" s="24" t="str">
        <f t="array" ref="N323">if(isblank(A323),"",index(fish_lab_data!O:O,match(A323,fish_lab_data!C:C,0)))</f>
        <v>KB</v>
      </c>
      <c r="O323" s="24" t="str">
        <f t="array" ref="O323">index(fish_lab_data!Q:Q,match(A323,fish_lab_data!C:C,0))</f>
        <v>lab_motiles_etoh</v>
      </c>
      <c r="P323" s="24" t="str">
        <f t="array" ref="P323">if(and(iserror(index(sea_lice!G:G,match(A323,sea_lice!A:A,0))),M323=0),"NA",index(sea_lice!G:G,match(A323,sea_lice!A:A,0)))</f>
        <v>NA</v>
      </c>
      <c r="Q323" s="24">
        <f t="array" ref="Q323">if(isblank(A323),"",index(fish_lab_data!X:X,match(A323,fish_lab_data!C:C,0)))</f>
        <v>1025</v>
      </c>
    </row>
    <row r="324">
      <c r="A324" s="25" t="s">
        <v>1469</v>
      </c>
      <c r="B324" s="25">
        <v>0.0</v>
      </c>
      <c r="C324" s="25">
        <v>0.0</v>
      </c>
      <c r="D324" s="25">
        <v>0.0</v>
      </c>
      <c r="E324" s="25">
        <v>0.0</v>
      </c>
      <c r="F324" s="25">
        <v>0.0</v>
      </c>
      <c r="G324" s="25">
        <v>0.0</v>
      </c>
      <c r="H324" s="25">
        <v>0.0</v>
      </c>
      <c r="I324" s="25">
        <v>0.0</v>
      </c>
      <c r="J324" s="25">
        <v>0.0</v>
      </c>
      <c r="K324" s="25">
        <v>0.0</v>
      </c>
      <c r="L324" s="25">
        <v>0.0</v>
      </c>
      <c r="M324" s="17">
        <f t="shared" si="1"/>
        <v>0</v>
      </c>
      <c r="N324" s="24" t="str">
        <f t="array" ref="N324">if(isblank(A324),"",index(fish_lab_data!O:O,match(A324,fish_lab_data!C:C,0)))</f>
        <v>KB</v>
      </c>
      <c r="O324" s="24" t="str">
        <f t="array" ref="O324">index(fish_lab_data!Q:Q,match(A324,fish_lab_data!C:C,0))</f>
        <v>lab_motiles_etoh</v>
      </c>
      <c r="P324" s="24" t="str">
        <f t="array" ref="P324">if(and(iserror(index(sea_lice!G:G,match(A324,sea_lice!A:A,0))),M324=0),"NA",index(sea_lice!G:G,match(A324,sea_lice!A:A,0)))</f>
        <v>NA</v>
      </c>
      <c r="Q324" s="24">
        <f t="array" ref="Q324">if(isblank(A324),"",index(fish_lab_data!X:X,match(A324,fish_lab_data!C:C,0)))</f>
        <v>1026</v>
      </c>
    </row>
    <row r="325">
      <c r="A325" s="25" t="s">
        <v>1471</v>
      </c>
      <c r="B325" s="25">
        <v>0.0</v>
      </c>
      <c r="C325" s="25">
        <v>0.0</v>
      </c>
      <c r="D325" s="25">
        <v>0.0</v>
      </c>
      <c r="E325" s="25">
        <v>0.0</v>
      </c>
      <c r="F325" s="25">
        <v>0.0</v>
      </c>
      <c r="G325" s="25">
        <v>0.0</v>
      </c>
      <c r="H325" s="25">
        <v>0.0</v>
      </c>
      <c r="I325" s="25">
        <v>0.0</v>
      </c>
      <c r="J325" s="25">
        <v>0.0</v>
      </c>
      <c r="K325" s="25">
        <v>0.0</v>
      </c>
      <c r="L325" s="25">
        <v>0.0</v>
      </c>
      <c r="M325" s="17">
        <f t="shared" si="1"/>
        <v>0</v>
      </c>
      <c r="N325" s="24" t="str">
        <f t="array" ref="N325">if(isblank(A325),"",index(fish_lab_data!O:O,match(A325,fish_lab_data!C:C,0)))</f>
        <v>KB</v>
      </c>
      <c r="O325" s="24" t="str">
        <f t="array" ref="O325">index(fish_lab_data!Q:Q,match(A325,fish_lab_data!C:C,0))</f>
        <v>lab_motiles_etoh</v>
      </c>
      <c r="P325" s="24" t="str">
        <f t="array" ref="P325">if(and(iserror(index(sea_lice!G:G,match(A325,sea_lice!A:A,0))),M325=0),"NA",index(sea_lice!G:G,match(A325,sea_lice!A:A,0)))</f>
        <v>NA</v>
      </c>
      <c r="Q325" s="24">
        <f t="array" ref="Q325">if(isblank(A325),"",index(fish_lab_data!X:X,match(A325,fish_lab_data!C:C,0)))</f>
        <v>1027</v>
      </c>
    </row>
    <row r="326">
      <c r="A326" s="9" t="s">
        <v>1472</v>
      </c>
      <c r="B326" s="9">
        <v>0.0</v>
      </c>
      <c r="C326" s="9">
        <v>0.0</v>
      </c>
      <c r="D326" s="9">
        <v>0.0</v>
      </c>
      <c r="E326" s="9">
        <v>1.0</v>
      </c>
      <c r="F326" s="9">
        <v>0.0</v>
      </c>
      <c r="G326" s="9">
        <v>0.0</v>
      </c>
      <c r="H326" s="9">
        <v>0.0</v>
      </c>
      <c r="I326" s="9">
        <v>0.0</v>
      </c>
      <c r="J326" s="9">
        <v>0.0</v>
      </c>
      <c r="K326" s="9">
        <v>0.0</v>
      </c>
      <c r="L326" s="9">
        <v>0.0</v>
      </c>
      <c r="M326" s="17">
        <f t="shared" si="1"/>
        <v>1</v>
      </c>
      <c r="N326" s="24" t="str">
        <f t="array" ref="N326">if(isblank(A326),"",index(fish_lab_data!O:O,match(A326,fish_lab_data!C:C,0)))</f>
        <v>KB</v>
      </c>
      <c r="O326" s="24" t="str">
        <f t="array" ref="O326">index(fish_lab_data!Q:Q,match(A326,fish_lab_data!C:C,0))</f>
        <v>lab_motiles_etoh</v>
      </c>
      <c r="P326" s="24" t="str">
        <f t="array" ref="P326">if(and(iserror(index(sea_lice!G:G,match(A326,sea_lice!A:A,0))),M326=0),"NA",index(sea_lice!G:G,match(A326,sea_lice!A:A,0)))</f>
        <v>BSL7-35</v>
      </c>
      <c r="Q326" s="24">
        <f t="array" ref="Q326">if(isblank(A326),"",index(fish_lab_data!X:X,match(A326,fish_lab_data!C:C,0)))</f>
        <v>1028</v>
      </c>
    </row>
    <row r="327">
      <c r="A327" s="25" t="s">
        <v>1473</v>
      </c>
      <c r="B327" s="25">
        <v>0.0</v>
      </c>
      <c r="C327" s="25">
        <v>0.0</v>
      </c>
      <c r="D327" s="25">
        <v>0.0</v>
      </c>
      <c r="E327" s="25">
        <v>0.0</v>
      </c>
      <c r="F327" s="25">
        <v>0.0</v>
      </c>
      <c r="G327" s="25">
        <v>0.0</v>
      </c>
      <c r="H327" s="25">
        <v>0.0</v>
      </c>
      <c r="I327" s="25">
        <v>0.0</v>
      </c>
      <c r="J327" s="25">
        <v>0.0</v>
      </c>
      <c r="K327" s="25">
        <v>0.0</v>
      </c>
      <c r="L327" s="25">
        <v>0.0</v>
      </c>
      <c r="M327" s="17">
        <f t="shared" si="1"/>
        <v>0</v>
      </c>
      <c r="N327" s="24" t="str">
        <f t="array" ref="N327">if(isblank(A327),"",index(fish_lab_data!O:O,match(A327,fish_lab_data!C:C,0)))</f>
        <v>KB</v>
      </c>
      <c r="O327" s="24" t="str">
        <f t="array" ref="O327">index(fish_lab_data!Q:Q,match(A327,fish_lab_data!C:C,0))</f>
        <v>lab_motiles_etoh</v>
      </c>
      <c r="P327" s="24" t="str">
        <f t="array" ref="P327">if(and(iserror(index(sea_lice!G:G,match(A327,sea_lice!A:A,0))),M327=0),"NA",index(sea_lice!G:G,match(A327,sea_lice!A:A,0)))</f>
        <v>NA</v>
      </c>
      <c r="Q327" s="24">
        <f t="array" ref="Q327">if(isblank(A327),"",index(fish_lab_data!X:X,match(A327,fish_lab_data!C:C,0)))</f>
        <v>1029</v>
      </c>
    </row>
    <row r="328">
      <c r="A328" s="25" t="s">
        <v>1475</v>
      </c>
      <c r="B328" s="25">
        <v>0.0</v>
      </c>
      <c r="C328" s="25">
        <v>0.0</v>
      </c>
      <c r="D328" s="25">
        <v>0.0</v>
      </c>
      <c r="E328" s="25">
        <v>0.0</v>
      </c>
      <c r="F328" s="25">
        <v>0.0</v>
      </c>
      <c r="G328" s="25">
        <v>0.0</v>
      </c>
      <c r="H328" s="25">
        <v>0.0</v>
      </c>
      <c r="I328" s="25">
        <v>0.0</v>
      </c>
      <c r="J328" s="25">
        <v>0.0</v>
      </c>
      <c r="K328" s="25">
        <v>0.0</v>
      </c>
      <c r="L328" s="25">
        <v>0.0</v>
      </c>
      <c r="M328" s="17">
        <f t="shared" si="1"/>
        <v>0</v>
      </c>
      <c r="N328" s="24" t="str">
        <f t="array" ref="N328">if(isblank(A328),"",index(fish_lab_data!O:O,match(A328,fish_lab_data!C:C,0)))</f>
        <v>KB</v>
      </c>
      <c r="O328" s="24" t="str">
        <f t="array" ref="O328">index(fish_lab_data!Q:Q,match(A328,fish_lab_data!C:C,0))</f>
        <v>lab_motiles_etoh</v>
      </c>
      <c r="P328" s="24" t="str">
        <f t="array" ref="P328">if(and(iserror(index(sea_lice!G:G,match(A328,sea_lice!A:A,0))),M328=0),"NA",index(sea_lice!G:G,match(A328,sea_lice!A:A,0)))</f>
        <v>NA</v>
      </c>
      <c r="Q328" s="24">
        <f t="array" ref="Q328">if(isblank(A328),"",index(fish_lab_data!X:X,match(A328,fish_lab_data!C:C,0)))</f>
        <v>1030</v>
      </c>
    </row>
    <row r="329">
      <c r="A329" s="25" t="s">
        <v>1476</v>
      </c>
      <c r="B329" s="25">
        <v>0.0</v>
      </c>
      <c r="C329" s="25">
        <v>0.0</v>
      </c>
      <c r="D329" s="25">
        <v>0.0</v>
      </c>
      <c r="E329" s="25">
        <v>0.0</v>
      </c>
      <c r="F329" s="25">
        <v>0.0</v>
      </c>
      <c r="G329" s="25">
        <v>0.0</v>
      </c>
      <c r="H329" s="25">
        <v>0.0</v>
      </c>
      <c r="I329" s="25">
        <v>0.0</v>
      </c>
      <c r="J329" s="25">
        <v>0.0</v>
      </c>
      <c r="K329" s="25">
        <v>0.0</v>
      </c>
      <c r="L329" s="25">
        <v>0.0</v>
      </c>
      <c r="M329" s="17">
        <f t="shared" si="1"/>
        <v>0</v>
      </c>
      <c r="N329" s="24" t="str">
        <f t="array" ref="N329">if(isblank(A329),"",index(fish_lab_data!O:O,match(A329,fish_lab_data!C:C,0)))</f>
        <v>KB</v>
      </c>
      <c r="O329" s="24" t="str">
        <f t="array" ref="O329">index(fish_lab_data!Q:Q,match(A329,fish_lab_data!C:C,0))</f>
        <v>lab_motiles_etoh</v>
      </c>
      <c r="P329" s="24" t="str">
        <f t="array" ref="P329">if(and(iserror(index(sea_lice!G:G,match(A329,sea_lice!A:A,0))),M329=0),"NA",index(sea_lice!G:G,match(A329,sea_lice!A:A,0)))</f>
        <v>NA</v>
      </c>
      <c r="Q329" s="24">
        <f t="array" ref="Q329">if(isblank(A329),"",index(fish_lab_data!X:X,match(A329,fish_lab_data!C:C,0)))</f>
        <v>1031</v>
      </c>
    </row>
    <row r="330">
      <c r="A330" s="25" t="s">
        <v>1477</v>
      </c>
      <c r="B330" s="25">
        <v>0.0</v>
      </c>
      <c r="C330" s="25">
        <v>0.0</v>
      </c>
      <c r="D330" s="25">
        <v>0.0</v>
      </c>
      <c r="E330" s="25">
        <v>0.0</v>
      </c>
      <c r="F330" s="25">
        <v>0.0</v>
      </c>
      <c r="G330" s="25">
        <v>0.0</v>
      </c>
      <c r="H330" s="25">
        <v>0.0</v>
      </c>
      <c r="I330" s="25">
        <v>0.0</v>
      </c>
      <c r="J330" s="25">
        <v>0.0</v>
      </c>
      <c r="K330" s="25">
        <v>0.0</v>
      </c>
      <c r="L330" s="25">
        <v>0.0</v>
      </c>
      <c r="M330" s="17">
        <f t="shared" si="1"/>
        <v>0</v>
      </c>
      <c r="N330" s="24" t="str">
        <f t="array" ref="N330">if(isblank(A330),"",index(fish_lab_data!O:O,match(A330,fish_lab_data!C:C,0)))</f>
        <v>KB</v>
      </c>
      <c r="O330" s="24" t="str">
        <f t="array" ref="O330">index(fish_lab_data!Q:Q,match(A330,fish_lab_data!C:C,0))</f>
        <v>lab_motiles_etoh</v>
      </c>
      <c r="P330" s="24" t="str">
        <f t="array" ref="P330">if(and(iserror(index(sea_lice!G:G,match(A330,sea_lice!A:A,0))),M330=0),"NA",index(sea_lice!G:G,match(A330,sea_lice!A:A,0)))</f>
        <v>NA</v>
      </c>
      <c r="Q330" s="24">
        <f t="array" ref="Q330">if(isblank(A330),"",index(fish_lab_data!X:X,match(A330,fish_lab_data!C:C,0)))</f>
        <v>1032</v>
      </c>
    </row>
    <row r="331">
      <c r="A331" s="9" t="s">
        <v>1478</v>
      </c>
      <c r="B331" s="9">
        <v>0.0</v>
      </c>
      <c r="C331" s="9">
        <v>0.0</v>
      </c>
      <c r="D331" s="9">
        <v>1.0</v>
      </c>
      <c r="E331" s="9">
        <v>0.0</v>
      </c>
      <c r="F331" s="9">
        <v>0.0</v>
      </c>
      <c r="G331" s="9">
        <v>0.0</v>
      </c>
      <c r="H331" s="9">
        <v>0.0</v>
      </c>
      <c r="I331" s="9">
        <v>0.0</v>
      </c>
      <c r="J331" s="9">
        <v>0.0</v>
      </c>
      <c r="K331" s="9">
        <v>0.0</v>
      </c>
      <c r="L331" s="9">
        <v>0.0</v>
      </c>
      <c r="M331" s="17">
        <f t="shared" si="1"/>
        <v>1</v>
      </c>
      <c r="N331" s="24" t="str">
        <f t="array" ref="N331">if(isblank(A331),"",index(fish_lab_data!O:O,match(A331,fish_lab_data!C:C,0)))</f>
        <v>KB</v>
      </c>
      <c r="O331" s="24" t="str">
        <f t="array" ref="O331">index(fish_lab_data!Q:Q,match(A331,fish_lab_data!C:C,0))</f>
        <v>lab_motiles_etoh</v>
      </c>
      <c r="P331" s="24" t="str">
        <f t="array" ref="P331">if(and(iserror(index(sea_lice!G:G,match(A331,sea_lice!A:A,0))),M331=0),"NA",index(sea_lice!G:G,match(A331,sea_lice!A:A,0)))</f>
        <v>BSL7-36</v>
      </c>
      <c r="Q331" s="24">
        <f t="array" ref="Q331">if(isblank(A331),"",index(fish_lab_data!X:X,match(A331,fish_lab_data!C:C,0)))</f>
        <v>1033</v>
      </c>
    </row>
    <row r="332">
      <c r="A332" s="9" t="s">
        <v>1479</v>
      </c>
      <c r="B332" s="9">
        <v>0.0</v>
      </c>
      <c r="C332" s="9">
        <v>0.0</v>
      </c>
      <c r="D332" s="9">
        <v>0.0</v>
      </c>
      <c r="E332" s="9">
        <v>0.0</v>
      </c>
      <c r="F332" s="9">
        <v>0.0</v>
      </c>
      <c r="G332" s="9">
        <v>0.0</v>
      </c>
      <c r="H332" s="9">
        <v>0.0</v>
      </c>
      <c r="I332" s="9">
        <v>1.0</v>
      </c>
      <c r="J332" s="9">
        <v>0.0</v>
      </c>
      <c r="K332" s="9">
        <v>0.0</v>
      </c>
      <c r="L332" s="9">
        <v>0.0</v>
      </c>
      <c r="M332" s="17">
        <f t="shared" si="1"/>
        <v>1</v>
      </c>
      <c r="N332" s="24" t="str">
        <f t="array" ref="N332">if(isblank(A332),"",index(fish_lab_data!O:O,match(A332,fish_lab_data!C:C,0)))</f>
        <v>KB</v>
      </c>
      <c r="O332" s="24" t="str">
        <f t="array" ref="O332">index(fish_lab_data!Q:Q,match(A332,fish_lab_data!C:C,0))</f>
        <v>lab_motiles_etoh</v>
      </c>
      <c r="P332" s="24" t="str">
        <f t="array" ref="P332">if(and(iserror(index(sea_lice!G:G,match(A332,sea_lice!A:A,0))),M332=0),"NA",index(sea_lice!G:G,match(A332,sea_lice!A:A,0)))</f>
        <v>BSL7-37</v>
      </c>
      <c r="Q332" s="24">
        <f t="array" ref="Q332">if(isblank(A332),"",index(fish_lab_data!X:X,match(A332,fish_lab_data!C:C,0)))</f>
        <v>1034</v>
      </c>
    </row>
    <row r="333">
      <c r="A333" s="25" t="s">
        <v>1481</v>
      </c>
      <c r="B333" s="25">
        <v>0.0</v>
      </c>
      <c r="C333" s="25">
        <v>0.0</v>
      </c>
      <c r="D333" s="25">
        <v>0.0</v>
      </c>
      <c r="E333" s="25">
        <v>0.0</v>
      </c>
      <c r="F333" s="25">
        <v>0.0</v>
      </c>
      <c r="G333" s="25">
        <v>0.0</v>
      </c>
      <c r="H333" s="25">
        <v>0.0</v>
      </c>
      <c r="I333" s="25">
        <v>0.0</v>
      </c>
      <c r="J333" s="25">
        <v>0.0</v>
      </c>
      <c r="K333" s="25">
        <v>0.0</v>
      </c>
      <c r="L333" s="25">
        <v>0.0</v>
      </c>
      <c r="M333" s="17">
        <f t="shared" si="1"/>
        <v>0</v>
      </c>
      <c r="N333" s="24" t="str">
        <f t="array" ref="N333">if(isblank(A333),"",index(fish_lab_data!O:O,match(A333,fish_lab_data!C:C,0)))</f>
        <v>KB</v>
      </c>
      <c r="O333" s="24" t="str">
        <f t="array" ref="O333">index(fish_lab_data!Q:Q,match(A333,fish_lab_data!C:C,0))</f>
        <v>lab_motiles_etoh</v>
      </c>
      <c r="P333" s="24" t="str">
        <f t="array" ref="P333">if(and(iserror(index(sea_lice!G:G,match(A333,sea_lice!A:A,0))),M333=0),"NA",index(sea_lice!G:G,match(A333,sea_lice!A:A,0)))</f>
        <v>NA</v>
      </c>
      <c r="Q333" s="24">
        <f t="array" ref="Q333">if(isblank(A333),"",index(fish_lab_data!X:X,match(A333,fish_lab_data!C:C,0)))</f>
        <v>1035</v>
      </c>
    </row>
    <row r="334">
      <c r="A334" s="25" t="s">
        <v>1482</v>
      </c>
      <c r="B334" s="25">
        <v>0.0</v>
      </c>
      <c r="C334" s="25">
        <v>0.0</v>
      </c>
      <c r="D334" s="25">
        <v>0.0</v>
      </c>
      <c r="E334" s="25">
        <v>0.0</v>
      </c>
      <c r="F334" s="25">
        <v>0.0</v>
      </c>
      <c r="G334" s="25">
        <v>0.0</v>
      </c>
      <c r="H334" s="25">
        <v>0.0</v>
      </c>
      <c r="I334" s="25">
        <v>0.0</v>
      </c>
      <c r="J334" s="25">
        <v>0.0</v>
      </c>
      <c r="K334" s="25">
        <v>0.0</v>
      </c>
      <c r="L334" s="25">
        <v>0.0</v>
      </c>
      <c r="M334" s="17">
        <f t="shared" si="1"/>
        <v>0</v>
      </c>
      <c r="N334" s="24" t="str">
        <f t="array" ref="N334">if(isblank(A334),"",index(fish_lab_data!O:O,match(A334,fish_lab_data!C:C,0)))</f>
        <v>KB</v>
      </c>
      <c r="O334" s="24" t="str">
        <f t="array" ref="O334">index(fish_lab_data!Q:Q,match(A334,fish_lab_data!C:C,0))</f>
        <v>lab_motiles_etoh</v>
      </c>
      <c r="P334" s="24" t="str">
        <f t="array" ref="P334">if(and(iserror(index(sea_lice!G:G,match(A334,sea_lice!A:A,0))),M334=0),"NA",index(sea_lice!G:G,match(A334,sea_lice!A:A,0)))</f>
        <v>NA</v>
      </c>
      <c r="Q334" s="24">
        <f t="array" ref="Q334">if(isblank(A334),"",index(fish_lab_data!X:X,match(A334,fish_lab_data!C:C,0)))</f>
        <v>1036</v>
      </c>
    </row>
    <row r="335">
      <c r="A335" s="9" t="s">
        <v>1483</v>
      </c>
      <c r="B335" s="9">
        <v>0.0</v>
      </c>
      <c r="C335" s="9">
        <v>0.0</v>
      </c>
      <c r="D335" s="9">
        <v>0.0</v>
      </c>
      <c r="E335" s="9">
        <v>1.0</v>
      </c>
      <c r="F335" s="9">
        <v>0.0</v>
      </c>
      <c r="G335" s="9">
        <v>0.0</v>
      </c>
      <c r="H335" s="9">
        <v>0.0</v>
      </c>
      <c r="I335" s="9">
        <v>0.0</v>
      </c>
      <c r="J335" s="9">
        <v>0.0</v>
      </c>
      <c r="K335" s="9">
        <v>0.0</v>
      </c>
      <c r="L335" s="9">
        <v>0.0</v>
      </c>
      <c r="M335" s="17">
        <f t="shared" si="1"/>
        <v>1</v>
      </c>
      <c r="N335" s="24" t="str">
        <f t="array" ref="N335">if(isblank(A335),"",index(fish_lab_data!O:O,match(A335,fish_lab_data!C:C,0)))</f>
        <v>KB</v>
      </c>
      <c r="O335" s="24" t="str">
        <f t="array" ref="O335">index(fish_lab_data!Q:Q,match(A335,fish_lab_data!C:C,0))</f>
        <v>lab_motiles_etoh</v>
      </c>
      <c r="P335" s="24" t="str">
        <f t="array" ref="P335">if(and(iserror(index(sea_lice!G:G,match(A335,sea_lice!A:A,0))),M335=0),"NA",index(sea_lice!G:G,match(A335,sea_lice!A:A,0)))</f>
        <v>BSL7-39</v>
      </c>
      <c r="Q335" s="24">
        <f t="array" ref="Q335">if(isblank(A335),"",index(fish_lab_data!X:X,match(A335,fish_lab_data!C:C,0)))</f>
        <v>1037</v>
      </c>
    </row>
    <row r="336">
      <c r="A336" s="25" t="s">
        <v>1485</v>
      </c>
      <c r="B336" s="25">
        <v>0.0</v>
      </c>
      <c r="C336" s="25">
        <v>0.0</v>
      </c>
      <c r="D336" s="25">
        <v>0.0</v>
      </c>
      <c r="E336" s="25">
        <v>0.0</v>
      </c>
      <c r="F336" s="25">
        <v>0.0</v>
      </c>
      <c r="G336" s="25">
        <v>0.0</v>
      </c>
      <c r="H336" s="25">
        <v>0.0</v>
      </c>
      <c r="I336" s="25">
        <v>0.0</v>
      </c>
      <c r="J336" s="25">
        <v>0.0</v>
      </c>
      <c r="K336" s="25">
        <v>0.0</v>
      </c>
      <c r="L336" s="25">
        <v>0.0</v>
      </c>
      <c r="M336" s="17">
        <f t="shared" si="1"/>
        <v>0</v>
      </c>
      <c r="N336" s="24" t="str">
        <f t="array" ref="N336">if(isblank(A336),"",index(fish_lab_data!O:O,match(A336,fish_lab_data!C:C,0)))</f>
        <v>KB</v>
      </c>
      <c r="O336" s="24" t="str">
        <f t="array" ref="O336">index(fish_lab_data!Q:Q,match(A336,fish_lab_data!C:C,0))</f>
        <v>lab_motiles_etoh</v>
      </c>
      <c r="P336" s="24" t="str">
        <f t="array" ref="P336">if(and(iserror(index(sea_lice!G:G,match(A336,sea_lice!A:A,0))),M336=0),"NA",index(sea_lice!G:G,match(A336,sea_lice!A:A,0)))</f>
        <v>NA</v>
      </c>
      <c r="Q336" s="24">
        <f t="array" ref="Q336">if(isblank(A336),"",index(fish_lab_data!X:X,match(A336,fish_lab_data!C:C,0)))</f>
        <v>1038</v>
      </c>
    </row>
    <row r="337">
      <c r="A337" s="25" t="s">
        <v>1504</v>
      </c>
      <c r="B337" s="25">
        <v>0.0</v>
      </c>
      <c r="C337" s="25">
        <v>0.0</v>
      </c>
      <c r="D337" s="25">
        <v>0.0</v>
      </c>
      <c r="E337" s="25">
        <v>0.0</v>
      </c>
      <c r="F337" s="25">
        <v>0.0</v>
      </c>
      <c r="G337" s="25">
        <v>0.0</v>
      </c>
      <c r="H337" s="25">
        <v>0.0</v>
      </c>
      <c r="I337" s="25">
        <v>0.0</v>
      </c>
      <c r="J337" s="25">
        <v>0.0</v>
      </c>
      <c r="K337" s="25">
        <v>0.0</v>
      </c>
      <c r="L337" s="25">
        <v>0.0</v>
      </c>
      <c r="M337" s="17">
        <f t="shared" si="1"/>
        <v>0</v>
      </c>
      <c r="N337" s="24" t="str">
        <f t="array" ref="N337">if(isblank(A337),"",index(fish_lab_data!O:O,match(A337,fish_lab_data!C:C,0)))</f>
        <v>KB</v>
      </c>
      <c r="O337" s="24" t="str">
        <f t="array" ref="O337">index(fish_lab_data!Q:Q,match(A337,fish_lab_data!C:C,0))</f>
        <v>lab_motiles_etoh</v>
      </c>
      <c r="P337" s="24" t="str">
        <f t="array" ref="P337">if(and(iserror(index(sea_lice!G:G,match(A337,sea_lice!A:A,0))),M337=0),"NA",index(sea_lice!G:G,match(A337,sea_lice!A:A,0)))</f>
        <v>NA</v>
      </c>
      <c r="Q337" s="24">
        <f t="array" ref="Q337">if(isblank(A337),"",index(fish_lab_data!X:X,match(A337,fish_lab_data!C:C,0)))</f>
        <v>1051</v>
      </c>
    </row>
    <row r="338">
      <c r="A338" s="25" t="s">
        <v>1505</v>
      </c>
      <c r="B338" s="25">
        <v>0.0</v>
      </c>
      <c r="C338" s="25">
        <v>0.0</v>
      </c>
      <c r="D338" s="25">
        <v>0.0</v>
      </c>
      <c r="E338" s="25">
        <v>0.0</v>
      </c>
      <c r="F338" s="25">
        <v>0.0</v>
      </c>
      <c r="G338" s="25">
        <v>0.0</v>
      </c>
      <c r="H338" s="25">
        <v>0.0</v>
      </c>
      <c r="I338" s="25">
        <v>0.0</v>
      </c>
      <c r="J338" s="25">
        <v>0.0</v>
      </c>
      <c r="K338" s="25">
        <v>0.0</v>
      </c>
      <c r="L338" s="25">
        <v>0.0</v>
      </c>
      <c r="M338" s="17">
        <f t="shared" si="1"/>
        <v>0</v>
      </c>
      <c r="N338" s="24" t="str">
        <f t="array" ref="N338">if(isblank(A338),"",index(fish_lab_data!O:O,match(A338,fish_lab_data!C:C,0)))</f>
        <v>KB</v>
      </c>
      <c r="O338" s="24" t="str">
        <f t="array" ref="O338">index(fish_lab_data!Q:Q,match(A338,fish_lab_data!C:C,0))</f>
        <v>lab_motiles_etoh</v>
      </c>
      <c r="P338" s="24" t="str">
        <f t="array" ref="P338">if(and(iserror(index(sea_lice!G:G,match(A338,sea_lice!A:A,0))),M338=0),"NA",index(sea_lice!G:G,match(A338,sea_lice!A:A,0)))</f>
        <v>NA</v>
      </c>
      <c r="Q338" s="24">
        <f t="array" ref="Q338">if(isblank(A338),"",index(fish_lab_data!X:X,match(A338,fish_lab_data!C:C,0)))</f>
        <v>1052</v>
      </c>
    </row>
    <row r="339">
      <c r="A339" s="25" t="s">
        <v>1508</v>
      </c>
      <c r="B339" s="25">
        <v>0.0</v>
      </c>
      <c r="C339" s="25">
        <v>0.0</v>
      </c>
      <c r="D339" s="25">
        <v>0.0</v>
      </c>
      <c r="E339" s="25">
        <v>0.0</v>
      </c>
      <c r="F339" s="25">
        <v>0.0</v>
      </c>
      <c r="G339" s="25">
        <v>0.0</v>
      </c>
      <c r="H339" s="25">
        <v>0.0</v>
      </c>
      <c r="I339" s="25">
        <v>0.0</v>
      </c>
      <c r="J339" s="25">
        <v>0.0</v>
      </c>
      <c r="K339" s="25">
        <v>0.0</v>
      </c>
      <c r="L339" s="25">
        <v>0.0</v>
      </c>
      <c r="M339" s="17">
        <f t="shared" si="1"/>
        <v>0</v>
      </c>
      <c r="N339" s="24" t="str">
        <f t="array" ref="N339">if(isblank(A339),"",index(fish_lab_data!O:O,match(A339,fish_lab_data!C:C,0)))</f>
        <v>KB</v>
      </c>
      <c r="O339" s="24" t="str">
        <f t="array" ref="O339">index(fish_lab_data!Q:Q,match(A339,fish_lab_data!C:C,0))</f>
        <v>lab_motiles_etoh</v>
      </c>
      <c r="P339" s="24" t="str">
        <f t="array" ref="P339">if(and(iserror(index(sea_lice!G:G,match(A339,sea_lice!A:A,0))),M339=0),"NA",index(sea_lice!G:G,match(A339,sea_lice!A:A,0)))</f>
        <v>NA</v>
      </c>
      <c r="Q339" s="24">
        <f t="array" ref="Q339">if(isblank(A339),"",index(fish_lab_data!X:X,match(A339,fish_lab_data!C:C,0)))</f>
        <v>1053</v>
      </c>
    </row>
    <row r="340">
      <c r="A340" s="25" t="s">
        <v>1509</v>
      </c>
      <c r="B340" s="25">
        <v>0.0</v>
      </c>
      <c r="C340" s="25">
        <v>0.0</v>
      </c>
      <c r="D340" s="25">
        <v>0.0</v>
      </c>
      <c r="E340" s="25">
        <v>0.0</v>
      </c>
      <c r="F340" s="25">
        <v>0.0</v>
      </c>
      <c r="G340" s="25">
        <v>0.0</v>
      </c>
      <c r="H340" s="25">
        <v>0.0</v>
      </c>
      <c r="I340" s="25">
        <v>0.0</v>
      </c>
      <c r="J340" s="25">
        <v>0.0</v>
      </c>
      <c r="K340" s="25">
        <v>0.0</v>
      </c>
      <c r="L340" s="25">
        <v>0.0</v>
      </c>
      <c r="M340" s="17">
        <f t="shared" si="1"/>
        <v>0</v>
      </c>
      <c r="N340" s="24" t="str">
        <f t="array" ref="N340">if(isblank(A340),"",index(fish_lab_data!O:O,match(A340,fish_lab_data!C:C,0)))</f>
        <v>KB</v>
      </c>
      <c r="O340" s="24" t="str">
        <f t="array" ref="O340">index(fish_lab_data!Q:Q,match(A340,fish_lab_data!C:C,0))</f>
        <v>lab_motiles_etoh</v>
      </c>
      <c r="P340" s="24" t="str">
        <f t="array" ref="P340">if(and(iserror(index(sea_lice!G:G,match(A340,sea_lice!A:A,0))),M340=0),"NA",index(sea_lice!G:G,match(A340,sea_lice!A:A,0)))</f>
        <v>NA</v>
      </c>
      <c r="Q340" s="24">
        <f t="array" ref="Q340">if(isblank(A340),"",index(fish_lab_data!X:X,match(A340,fish_lab_data!C:C,0)))</f>
        <v>1054</v>
      </c>
    </row>
    <row r="341">
      <c r="A341" s="25" t="s">
        <v>1510</v>
      </c>
      <c r="B341" s="25">
        <v>0.0</v>
      </c>
      <c r="C341" s="25">
        <v>0.0</v>
      </c>
      <c r="D341" s="25">
        <v>0.0</v>
      </c>
      <c r="E341" s="25">
        <v>0.0</v>
      </c>
      <c r="F341" s="25">
        <v>0.0</v>
      </c>
      <c r="G341" s="25">
        <v>0.0</v>
      </c>
      <c r="H341" s="25">
        <v>0.0</v>
      </c>
      <c r="I341" s="25">
        <v>0.0</v>
      </c>
      <c r="J341" s="25">
        <v>0.0</v>
      </c>
      <c r="K341" s="25">
        <v>0.0</v>
      </c>
      <c r="L341" s="25">
        <v>0.0</v>
      </c>
      <c r="M341" s="17">
        <f t="shared" si="1"/>
        <v>0</v>
      </c>
      <c r="N341" s="24" t="str">
        <f t="array" ref="N341">if(isblank(A341),"",index(fish_lab_data!O:O,match(A341,fish_lab_data!C:C,0)))</f>
        <v>KB</v>
      </c>
      <c r="O341" s="24" t="str">
        <f t="array" ref="O341">index(fish_lab_data!Q:Q,match(A341,fish_lab_data!C:C,0))</f>
        <v>lab_motiles_etoh</v>
      </c>
      <c r="P341" s="24" t="str">
        <f t="array" ref="P341">if(and(iserror(index(sea_lice!G:G,match(A341,sea_lice!A:A,0))),M341=0),"NA",index(sea_lice!G:G,match(A341,sea_lice!A:A,0)))</f>
        <v>NA</v>
      </c>
      <c r="Q341" s="24">
        <f t="array" ref="Q341">if(isblank(A341),"",index(fish_lab_data!X:X,match(A341,fish_lab_data!C:C,0)))</f>
        <v>1055</v>
      </c>
    </row>
    <row r="342">
      <c r="A342" s="25" t="s">
        <v>1513</v>
      </c>
      <c r="B342" s="25">
        <v>0.0</v>
      </c>
      <c r="C342" s="25">
        <v>0.0</v>
      </c>
      <c r="D342" s="25">
        <v>0.0</v>
      </c>
      <c r="E342" s="25">
        <v>0.0</v>
      </c>
      <c r="F342" s="25">
        <v>0.0</v>
      </c>
      <c r="G342" s="25">
        <v>0.0</v>
      </c>
      <c r="H342" s="25">
        <v>0.0</v>
      </c>
      <c r="I342" s="25">
        <v>0.0</v>
      </c>
      <c r="J342" s="25">
        <v>0.0</v>
      </c>
      <c r="K342" s="25">
        <v>0.0</v>
      </c>
      <c r="L342" s="25">
        <v>0.0</v>
      </c>
      <c r="M342" s="17">
        <f t="shared" si="1"/>
        <v>0</v>
      </c>
      <c r="N342" s="24" t="str">
        <f t="array" ref="N342">if(isblank(A342),"",index(fish_lab_data!O:O,match(A342,fish_lab_data!C:C,0)))</f>
        <v>KB</v>
      </c>
      <c r="O342" s="24" t="str">
        <f t="array" ref="O342">index(fish_lab_data!Q:Q,match(A342,fish_lab_data!C:C,0))</f>
        <v>lab_motiles_etoh</v>
      </c>
      <c r="P342" s="24" t="str">
        <f t="array" ref="P342">if(and(iserror(index(sea_lice!G:G,match(A342,sea_lice!A:A,0))),M342=0),"NA",index(sea_lice!G:G,match(A342,sea_lice!A:A,0)))</f>
        <v>NA</v>
      </c>
      <c r="Q342" s="24">
        <f t="array" ref="Q342">if(isblank(A342),"",index(fish_lab_data!X:X,match(A342,fish_lab_data!C:C,0)))</f>
        <v>1056</v>
      </c>
    </row>
    <row r="343">
      <c r="A343" s="25" t="s">
        <v>1514</v>
      </c>
      <c r="B343" s="25">
        <v>0.0</v>
      </c>
      <c r="C343" s="25">
        <v>0.0</v>
      </c>
      <c r="D343" s="25">
        <v>0.0</v>
      </c>
      <c r="E343" s="25">
        <v>0.0</v>
      </c>
      <c r="F343" s="25">
        <v>0.0</v>
      </c>
      <c r="G343" s="25">
        <v>0.0</v>
      </c>
      <c r="H343" s="25">
        <v>0.0</v>
      </c>
      <c r="I343" s="25">
        <v>0.0</v>
      </c>
      <c r="J343" s="25">
        <v>0.0</v>
      </c>
      <c r="K343" s="25">
        <v>0.0</v>
      </c>
      <c r="L343" s="25">
        <v>0.0</v>
      </c>
      <c r="M343" s="17">
        <f t="shared" si="1"/>
        <v>0</v>
      </c>
      <c r="N343" s="24" t="str">
        <f t="array" ref="N343">if(isblank(A343),"",index(fish_lab_data!O:O,match(A343,fish_lab_data!C:C,0)))</f>
        <v>KB</v>
      </c>
      <c r="O343" s="24" t="str">
        <f t="array" ref="O343">index(fish_lab_data!Q:Q,match(A343,fish_lab_data!C:C,0))</f>
        <v>lab_motiles_etoh</v>
      </c>
      <c r="P343" s="24" t="str">
        <f t="array" ref="P343">if(and(iserror(index(sea_lice!G:G,match(A343,sea_lice!A:A,0))),M343=0),"NA",index(sea_lice!G:G,match(A343,sea_lice!A:A,0)))</f>
        <v>NA</v>
      </c>
      <c r="Q343" s="24">
        <f t="array" ref="Q343">if(isblank(A343),"",index(fish_lab_data!X:X,match(A343,fish_lab_data!C:C,0)))</f>
        <v>1057</v>
      </c>
    </row>
    <row r="344">
      <c r="A344" s="25" t="s">
        <v>1515</v>
      </c>
      <c r="B344" s="25">
        <v>0.0</v>
      </c>
      <c r="C344" s="25">
        <v>0.0</v>
      </c>
      <c r="D344" s="25">
        <v>0.0</v>
      </c>
      <c r="E344" s="25">
        <v>0.0</v>
      </c>
      <c r="F344" s="25">
        <v>0.0</v>
      </c>
      <c r="G344" s="25">
        <v>0.0</v>
      </c>
      <c r="H344" s="25">
        <v>0.0</v>
      </c>
      <c r="I344" s="25">
        <v>0.0</v>
      </c>
      <c r="J344" s="25">
        <v>0.0</v>
      </c>
      <c r="K344" s="25">
        <v>0.0</v>
      </c>
      <c r="L344" s="25">
        <v>0.0</v>
      </c>
      <c r="M344" s="17">
        <f t="shared" si="1"/>
        <v>0</v>
      </c>
      <c r="N344" s="24" t="str">
        <f t="array" ref="N344">if(isblank(A344),"",index(fish_lab_data!O:O,match(A344,fish_lab_data!C:C,0)))</f>
        <v>KB</v>
      </c>
      <c r="O344" s="24" t="str">
        <f t="array" ref="O344">index(fish_lab_data!Q:Q,match(A344,fish_lab_data!C:C,0))</f>
        <v>lab_motiles_etoh</v>
      </c>
      <c r="P344" s="24" t="str">
        <f t="array" ref="P344">if(and(iserror(index(sea_lice!G:G,match(A344,sea_lice!A:A,0))),M344=0),"NA",index(sea_lice!G:G,match(A344,sea_lice!A:A,0)))</f>
        <v>NA</v>
      </c>
      <c r="Q344" s="24">
        <f t="array" ref="Q344">if(isblank(A344),"",index(fish_lab_data!X:X,match(A344,fish_lab_data!C:C,0)))</f>
        <v>1058</v>
      </c>
    </row>
    <row r="345">
      <c r="A345" s="25" t="s">
        <v>1516</v>
      </c>
      <c r="B345" s="25">
        <v>0.0</v>
      </c>
      <c r="C345" s="25">
        <v>0.0</v>
      </c>
      <c r="D345" s="25">
        <v>0.0</v>
      </c>
      <c r="E345" s="25">
        <v>0.0</v>
      </c>
      <c r="F345" s="25">
        <v>0.0</v>
      </c>
      <c r="G345" s="25">
        <v>0.0</v>
      </c>
      <c r="H345" s="25">
        <v>0.0</v>
      </c>
      <c r="I345" s="25">
        <v>0.0</v>
      </c>
      <c r="J345" s="25">
        <v>0.0</v>
      </c>
      <c r="K345" s="25">
        <v>0.0</v>
      </c>
      <c r="L345" s="25">
        <v>0.0</v>
      </c>
      <c r="M345" s="17">
        <f t="shared" si="1"/>
        <v>0</v>
      </c>
      <c r="N345" s="24" t="str">
        <f t="array" ref="N345">if(isblank(A345),"",index(fish_lab_data!O:O,match(A345,fish_lab_data!C:C,0)))</f>
        <v>KB</v>
      </c>
      <c r="O345" s="24" t="str">
        <f t="array" ref="O345">index(fish_lab_data!Q:Q,match(A345,fish_lab_data!C:C,0))</f>
        <v>lab_motiles_etoh</v>
      </c>
      <c r="P345" s="24" t="str">
        <f t="array" ref="P345">if(and(iserror(index(sea_lice!G:G,match(A345,sea_lice!A:A,0))),M345=0),"NA",index(sea_lice!G:G,match(A345,sea_lice!A:A,0)))</f>
        <v>NA</v>
      </c>
      <c r="Q345" s="24">
        <f t="array" ref="Q345">if(isblank(A345),"",index(fish_lab_data!X:X,match(A345,fish_lab_data!C:C,0)))</f>
        <v>1059</v>
      </c>
    </row>
    <row r="346">
      <c r="A346" s="25" t="s">
        <v>1519</v>
      </c>
      <c r="B346" s="25">
        <v>0.0</v>
      </c>
      <c r="C346" s="25">
        <v>0.0</v>
      </c>
      <c r="D346" s="25">
        <v>0.0</v>
      </c>
      <c r="E346" s="25">
        <v>0.0</v>
      </c>
      <c r="F346" s="25">
        <v>0.0</v>
      </c>
      <c r="G346" s="25">
        <v>0.0</v>
      </c>
      <c r="H346" s="25">
        <v>0.0</v>
      </c>
      <c r="I346" s="25">
        <v>0.0</v>
      </c>
      <c r="J346" s="25">
        <v>0.0</v>
      </c>
      <c r="K346" s="25">
        <v>0.0</v>
      </c>
      <c r="L346" s="25">
        <v>0.0</v>
      </c>
      <c r="M346" s="17">
        <f t="shared" si="1"/>
        <v>0</v>
      </c>
      <c r="N346" s="24" t="str">
        <f t="array" ref="N346">if(isblank(A346),"",index(fish_lab_data!O:O,match(A346,fish_lab_data!C:C,0)))</f>
        <v>KB</v>
      </c>
      <c r="O346" s="24" t="str">
        <f t="array" ref="O346">index(fish_lab_data!Q:Q,match(A346,fish_lab_data!C:C,0))</f>
        <v>lab_motiles_etoh</v>
      </c>
      <c r="P346" s="24" t="str">
        <f t="array" ref="P346">if(and(iserror(index(sea_lice!G:G,match(A346,sea_lice!A:A,0))),M346=0),"NA",index(sea_lice!G:G,match(A346,sea_lice!A:A,0)))</f>
        <v>NA</v>
      </c>
      <c r="Q346" s="24">
        <f t="array" ref="Q346">if(isblank(A346),"",index(fish_lab_data!X:X,match(A346,fish_lab_data!C:C,0)))</f>
        <v>1060</v>
      </c>
    </row>
    <row r="347">
      <c r="A347" s="25" t="s">
        <v>1520</v>
      </c>
      <c r="B347" s="25">
        <v>0.0</v>
      </c>
      <c r="C347" s="25">
        <v>0.0</v>
      </c>
      <c r="D347" s="25">
        <v>0.0</v>
      </c>
      <c r="E347" s="25">
        <v>0.0</v>
      </c>
      <c r="F347" s="25">
        <v>0.0</v>
      </c>
      <c r="G347" s="25">
        <v>0.0</v>
      </c>
      <c r="H347" s="25">
        <v>0.0</v>
      </c>
      <c r="I347" s="25">
        <v>0.0</v>
      </c>
      <c r="J347" s="25">
        <v>0.0</v>
      </c>
      <c r="K347" s="25">
        <v>0.0</v>
      </c>
      <c r="L347" s="25">
        <v>0.0</v>
      </c>
      <c r="M347" s="17">
        <f t="shared" si="1"/>
        <v>0</v>
      </c>
      <c r="N347" s="24" t="str">
        <f t="array" ref="N347">if(isblank(A347),"",index(fish_lab_data!O:O,match(A347,fish_lab_data!C:C,0)))</f>
        <v>KB</v>
      </c>
      <c r="O347" s="24" t="str">
        <f t="array" ref="O347">index(fish_lab_data!Q:Q,match(A347,fish_lab_data!C:C,0))</f>
        <v>lab_motiles_etoh</v>
      </c>
      <c r="P347" s="24" t="str">
        <f t="array" ref="P347">if(and(iserror(index(sea_lice!G:G,match(A347,sea_lice!A:A,0))),M347=0),"NA",index(sea_lice!G:G,match(A347,sea_lice!A:A,0)))</f>
        <v>NA</v>
      </c>
      <c r="Q347" s="24">
        <f t="array" ref="Q347">if(isblank(A347),"",index(fish_lab_data!X:X,match(A347,fish_lab_data!C:C,0)))</f>
        <v>1061</v>
      </c>
    </row>
    <row r="348">
      <c r="A348" s="25" t="s">
        <v>1521</v>
      </c>
      <c r="B348" s="25">
        <v>0.0</v>
      </c>
      <c r="C348" s="25">
        <v>0.0</v>
      </c>
      <c r="D348" s="25">
        <v>0.0</v>
      </c>
      <c r="E348" s="25">
        <v>0.0</v>
      </c>
      <c r="F348" s="25">
        <v>0.0</v>
      </c>
      <c r="G348" s="25">
        <v>0.0</v>
      </c>
      <c r="H348" s="25">
        <v>0.0</v>
      </c>
      <c r="I348" s="25">
        <v>0.0</v>
      </c>
      <c r="J348" s="25">
        <v>0.0</v>
      </c>
      <c r="K348" s="25">
        <v>0.0</v>
      </c>
      <c r="L348" s="25">
        <v>0.0</v>
      </c>
      <c r="M348" s="17">
        <f t="shared" si="1"/>
        <v>0</v>
      </c>
      <c r="N348" s="24" t="str">
        <f t="array" ref="N348">if(isblank(A348),"",index(fish_lab_data!O:O,match(A348,fish_lab_data!C:C,0)))</f>
        <v>KB</v>
      </c>
      <c r="O348" s="24" t="str">
        <f t="array" ref="O348">index(fish_lab_data!Q:Q,match(A348,fish_lab_data!C:C,0))</f>
        <v>lab_motiles_etoh</v>
      </c>
      <c r="P348" s="24" t="str">
        <f t="array" ref="P348">if(and(iserror(index(sea_lice!G:G,match(A348,sea_lice!A:A,0))),M348=0),"NA",index(sea_lice!G:G,match(A348,sea_lice!A:A,0)))</f>
        <v>NA</v>
      </c>
      <c r="Q348" s="24">
        <f t="array" ref="Q348">if(isblank(A348),"",index(fish_lab_data!X:X,match(A348,fish_lab_data!C:C,0)))</f>
        <v>1062</v>
      </c>
    </row>
    <row r="349">
      <c r="A349" s="25" t="s">
        <v>1524</v>
      </c>
      <c r="B349" s="25">
        <v>0.0</v>
      </c>
      <c r="C349" s="25">
        <v>0.0</v>
      </c>
      <c r="D349" s="25">
        <v>0.0</v>
      </c>
      <c r="E349" s="25">
        <v>0.0</v>
      </c>
      <c r="F349" s="25">
        <v>0.0</v>
      </c>
      <c r="G349" s="25">
        <v>0.0</v>
      </c>
      <c r="H349" s="25">
        <v>0.0</v>
      </c>
      <c r="I349" s="25">
        <v>0.0</v>
      </c>
      <c r="J349" s="25">
        <v>0.0</v>
      </c>
      <c r="K349" s="25">
        <v>0.0</v>
      </c>
      <c r="L349" s="25">
        <v>0.0</v>
      </c>
      <c r="M349" s="17">
        <f t="shared" si="1"/>
        <v>0</v>
      </c>
      <c r="N349" s="24" t="str">
        <f t="array" ref="N349">if(isblank(A349),"",index(fish_lab_data!O:O,match(A349,fish_lab_data!C:C,0)))</f>
        <v>KB</v>
      </c>
      <c r="O349" s="24" t="str">
        <f t="array" ref="O349">index(fish_lab_data!Q:Q,match(A349,fish_lab_data!C:C,0))</f>
        <v>lab_motiles_etoh</v>
      </c>
      <c r="P349" s="24" t="str">
        <f t="array" ref="P349">if(and(iserror(index(sea_lice!G:G,match(A349,sea_lice!A:A,0))),M349=0),"NA",index(sea_lice!G:G,match(A349,sea_lice!A:A,0)))</f>
        <v>NA</v>
      </c>
      <c r="Q349" s="24">
        <f t="array" ref="Q349">if(isblank(A349),"",index(fish_lab_data!X:X,match(A349,fish_lab_data!C:C,0)))</f>
        <v>1063</v>
      </c>
    </row>
    <row r="350">
      <c r="A350" s="25" t="s">
        <v>1525</v>
      </c>
      <c r="B350" s="25">
        <v>0.0</v>
      </c>
      <c r="C350" s="25">
        <v>0.0</v>
      </c>
      <c r="D350" s="25">
        <v>0.0</v>
      </c>
      <c r="E350" s="25">
        <v>0.0</v>
      </c>
      <c r="F350" s="25">
        <v>0.0</v>
      </c>
      <c r="G350" s="25">
        <v>0.0</v>
      </c>
      <c r="H350" s="25">
        <v>0.0</v>
      </c>
      <c r="I350" s="25">
        <v>0.0</v>
      </c>
      <c r="J350" s="25">
        <v>0.0</v>
      </c>
      <c r="K350" s="25">
        <v>0.0</v>
      </c>
      <c r="L350" s="25">
        <v>0.0</v>
      </c>
      <c r="M350" s="17">
        <f t="shared" si="1"/>
        <v>0</v>
      </c>
      <c r="N350" s="24" t="str">
        <f t="array" ref="N350">if(isblank(A350),"",index(fish_lab_data!O:O,match(A350,fish_lab_data!C:C,0)))</f>
        <v>KB</v>
      </c>
      <c r="O350" s="24" t="str">
        <f t="array" ref="O350">index(fish_lab_data!Q:Q,match(A350,fish_lab_data!C:C,0))</f>
        <v>lab_motiles_etoh</v>
      </c>
      <c r="P350" s="24" t="str">
        <f t="array" ref="P350">if(and(iserror(index(sea_lice!G:G,match(A350,sea_lice!A:A,0))),M350=0),"NA",index(sea_lice!G:G,match(A350,sea_lice!A:A,0)))</f>
        <v>NA</v>
      </c>
      <c r="Q350" s="24">
        <f t="array" ref="Q350">if(isblank(A350),"",index(fish_lab_data!X:X,match(A350,fish_lab_data!C:C,0)))</f>
        <v>1064</v>
      </c>
    </row>
    <row r="351">
      <c r="A351" s="25" t="s">
        <v>1526</v>
      </c>
      <c r="B351" s="25">
        <v>0.0</v>
      </c>
      <c r="C351" s="25">
        <v>0.0</v>
      </c>
      <c r="D351" s="25">
        <v>0.0</v>
      </c>
      <c r="E351" s="25">
        <v>0.0</v>
      </c>
      <c r="F351" s="25">
        <v>0.0</v>
      </c>
      <c r="G351" s="25">
        <v>0.0</v>
      </c>
      <c r="H351" s="25">
        <v>0.0</v>
      </c>
      <c r="I351" s="25">
        <v>0.0</v>
      </c>
      <c r="J351" s="25">
        <v>0.0</v>
      </c>
      <c r="K351" s="25">
        <v>0.0</v>
      </c>
      <c r="L351" s="25">
        <v>0.0</v>
      </c>
      <c r="M351" s="17">
        <f t="shared" si="1"/>
        <v>0</v>
      </c>
      <c r="N351" s="24" t="str">
        <f t="array" ref="N351">if(isblank(A351),"",index(fish_lab_data!O:O,match(A351,fish_lab_data!C:C,0)))</f>
        <v>KB</v>
      </c>
      <c r="O351" s="24" t="str">
        <f t="array" ref="O351">index(fish_lab_data!Q:Q,match(A351,fish_lab_data!C:C,0))</f>
        <v>lab_motiles_etoh</v>
      </c>
      <c r="P351" s="24" t="str">
        <f t="array" ref="P351">if(and(iserror(index(sea_lice!G:G,match(A351,sea_lice!A:A,0))),M351=0),"NA",index(sea_lice!G:G,match(A351,sea_lice!A:A,0)))</f>
        <v>NA</v>
      </c>
      <c r="Q351" s="24">
        <f t="array" ref="Q351">if(isblank(A351),"",index(fish_lab_data!X:X,match(A351,fish_lab_data!C:C,0)))</f>
        <v>1065</v>
      </c>
    </row>
    <row r="352">
      <c r="A352" s="25" t="s">
        <v>1529</v>
      </c>
      <c r="B352" s="25">
        <v>0.0</v>
      </c>
      <c r="C352" s="25">
        <v>0.0</v>
      </c>
      <c r="D352" s="25">
        <v>0.0</v>
      </c>
      <c r="E352" s="25">
        <v>0.0</v>
      </c>
      <c r="F352" s="25">
        <v>0.0</v>
      </c>
      <c r="G352" s="25">
        <v>0.0</v>
      </c>
      <c r="H352" s="25">
        <v>0.0</v>
      </c>
      <c r="I352" s="25">
        <v>0.0</v>
      </c>
      <c r="J352" s="25">
        <v>0.0</v>
      </c>
      <c r="K352" s="25">
        <v>0.0</v>
      </c>
      <c r="L352" s="25">
        <v>0.0</v>
      </c>
      <c r="M352" s="17">
        <f t="shared" si="1"/>
        <v>0</v>
      </c>
      <c r="N352" s="24" t="str">
        <f t="array" ref="N352">if(isblank(A352),"",index(fish_lab_data!O:O,match(A352,fish_lab_data!C:C,0)))</f>
        <v>KB</v>
      </c>
      <c r="O352" s="24" t="str">
        <f t="array" ref="O352">index(fish_lab_data!Q:Q,match(A352,fish_lab_data!C:C,0))</f>
        <v>lab_motiles_etoh</v>
      </c>
      <c r="P352" s="24" t="str">
        <f t="array" ref="P352">if(and(iserror(index(sea_lice!G:G,match(A352,sea_lice!A:A,0))),M352=0),"NA",index(sea_lice!G:G,match(A352,sea_lice!A:A,0)))</f>
        <v>NA</v>
      </c>
      <c r="Q352" s="24">
        <f t="array" ref="Q352">if(isblank(A352),"",index(fish_lab_data!X:X,match(A352,fish_lab_data!C:C,0)))</f>
        <v>1066</v>
      </c>
    </row>
    <row r="353">
      <c r="A353" s="25" t="s">
        <v>1530</v>
      </c>
      <c r="B353" s="25">
        <v>0.0</v>
      </c>
      <c r="C353" s="25">
        <v>0.0</v>
      </c>
      <c r="D353" s="25">
        <v>0.0</v>
      </c>
      <c r="E353" s="25">
        <v>0.0</v>
      </c>
      <c r="F353" s="25">
        <v>0.0</v>
      </c>
      <c r="G353" s="25">
        <v>0.0</v>
      </c>
      <c r="H353" s="25">
        <v>0.0</v>
      </c>
      <c r="I353" s="25">
        <v>0.0</v>
      </c>
      <c r="J353" s="25">
        <v>0.0</v>
      </c>
      <c r="K353" s="25">
        <v>0.0</v>
      </c>
      <c r="L353" s="25">
        <v>0.0</v>
      </c>
      <c r="M353" s="17">
        <f t="shared" si="1"/>
        <v>0</v>
      </c>
      <c r="N353" s="24" t="str">
        <f t="array" ref="N353">if(isblank(A353),"",index(fish_lab_data!O:O,match(A353,fish_lab_data!C:C,0)))</f>
        <v>KB</v>
      </c>
      <c r="O353" s="24" t="str">
        <f t="array" ref="O353">index(fish_lab_data!Q:Q,match(A353,fish_lab_data!C:C,0))</f>
        <v>lab_motiles_etoh</v>
      </c>
      <c r="P353" s="24" t="str">
        <f t="array" ref="P353">if(and(iserror(index(sea_lice!G:G,match(A353,sea_lice!A:A,0))),M353=0),"NA",index(sea_lice!G:G,match(A353,sea_lice!A:A,0)))</f>
        <v>NA</v>
      </c>
      <c r="Q353" s="24">
        <f t="array" ref="Q353">if(isblank(A353),"",index(fish_lab_data!X:X,match(A353,fish_lab_data!C:C,0)))</f>
        <v>1067</v>
      </c>
    </row>
    <row r="354">
      <c r="A354" s="25" t="s">
        <v>1531</v>
      </c>
      <c r="B354" s="25">
        <v>0.0</v>
      </c>
      <c r="C354" s="25">
        <v>0.0</v>
      </c>
      <c r="D354" s="25">
        <v>0.0</v>
      </c>
      <c r="E354" s="25">
        <v>0.0</v>
      </c>
      <c r="F354" s="25">
        <v>0.0</v>
      </c>
      <c r="G354" s="25">
        <v>0.0</v>
      </c>
      <c r="H354" s="25">
        <v>0.0</v>
      </c>
      <c r="I354" s="25">
        <v>0.0</v>
      </c>
      <c r="J354" s="25">
        <v>0.0</v>
      </c>
      <c r="K354" s="25">
        <v>0.0</v>
      </c>
      <c r="L354" s="25">
        <v>0.0</v>
      </c>
      <c r="M354" s="17">
        <f t="shared" si="1"/>
        <v>0</v>
      </c>
      <c r="N354" s="24" t="str">
        <f t="array" ref="N354">if(isblank(A354),"",index(fish_lab_data!O:O,match(A354,fish_lab_data!C:C,0)))</f>
        <v>KB</v>
      </c>
      <c r="O354" s="24" t="str">
        <f t="array" ref="O354">index(fish_lab_data!Q:Q,match(A354,fish_lab_data!C:C,0))</f>
        <v>lab_motiles_etoh</v>
      </c>
      <c r="P354" s="24" t="str">
        <f t="array" ref="P354">if(and(iserror(index(sea_lice!G:G,match(A354,sea_lice!A:A,0))),M354=0),"NA",index(sea_lice!G:G,match(A354,sea_lice!A:A,0)))</f>
        <v>NA</v>
      </c>
      <c r="Q354" s="24">
        <f t="array" ref="Q354">if(isblank(A354),"",index(fish_lab_data!X:X,match(A354,fish_lab_data!C:C,0)))</f>
        <v>1068</v>
      </c>
    </row>
    <row r="355">
      <c r="A355" s="25" t="s">
        <v>1532</v>
      </c>
      <c r="B355" s="25">
        <v>0.0</v>
      </c>
      <c r="C355" s="25">
        <v>0.0</v>
      </c>
      <c r="D355" s="25">
        <v>0.0</v>
      </c>
      <c r="E355" s="25">
        <v>0.0</v>
      </c>
      <c r="F355" s="25">
        <v>0.0</v>
      </c>
      <c r="G355" s="25">
        <v>0.0</v>
      </c>
      <c r="H355" s="25">
        <v>0.0</v>
      </c>
      <c r="I355" s="25">
        <v>0.0</v>
      </c>
      <c r="J355" s="25">
        <v>0.0</v>
      </c>
      <c r="K355" s="25">
        <v>0.0</v>
      </c>
      <c r="L355" s="25">
        <v>0.0</v>
      </c>
      <c r="M355" s="17">
        <f t="shared" si="1"/>
        <v>0</v>
      </c>
      <c r="N355" s="24" t="str">
        <f t="array" ref="N355">if(isblank(A355),"",index(fish_lab_data!O:O,match(A355,fish_lab_data!C:C,0)))</f>
        <v>KB</v>
      </c>
      <c r="O355" s="24" t="str">
        <f t="array" ref="O355">index(fish_lab_data!Q:Q,match(A355,fish_lab_data!C:C,0))</f>
        <v>lab_motiles_etoh</v>
      </c>
      <c r="P355" s="24" t="str">
        <f t="array" ref="P355">if(and(iserror(index(sea_lice!G:G,match(A355,sea_lice!A:A,0))),M355=0),"NA",index(sea_lice!G:G,match(A355,sea_lice!A:A,0)))</f>
        <v>NA</v>
      </c>
      <c r="Q355" s="24">
        <f t="array" ref="Q355">if(isblank(A355),"",index(fish_lab_data!X:X,match(A355,fish_lab_data!C:C,0)))</f>
        <v>1069</v>
      </c>
    </row>
    <row r="356">
      <c r="A356" s="25" t="s">
        <v>1534</v>
      </c>
      <c r="B356" s="25">
        <v>0.0</v>
      </c>
      <c r="C356" s="25">
        <v>0.0</v>
      </c>
      <c r="D356" s="25">
        <v>0.0</v>
      </c>
      <c r="E356" s="25">
        <v>0.0</v>
      </c>
      <c r="F356" s="25">
        <v>0.0</v>
      </c>
      <c r="G356" s="25">
        <v>0.0</v>
      </c>
      <c r="H356" s="25">
        <v>0.0</v>
      </c>
      <c r="I356" s="25">
        <v>0.0</v>
      </c>
      <c r="J356" s="25">
        <v>0.0</v>
      </c>
      <c r="K356" s="25">
        <v>0.0</v>
      </c>
      <c r="L356" s="25">
        <v>0.0</v>
      </c>
      <c r="M356" s="17">
        <f t="shared" si="1"/>
        <v>0</v>
      </c>
      <c r="N356" s="24" t="str">
        <f t="array" ref="N356">if(isblank(A356),"",index(fish_lab_data!O:O,match(A356,fish_lab_data!C:C,0)))</f>
        <v>KB</v>
      </c>
      <c r="O356" s="24" t="str">
        <f t="array" ref="O356">index(fish_lab_data!Q:Q,match(A356,fish_lab_data!C:C,0))</f>
        <v>lab_motiles_etoh</v>
      </c>
      <c r="P356" s="24" t="str">
        <f t="array" ref="P356">if(and(iserror(index(sea_lice!G:G,match(A356,sea_lice!A:A,0))),M356=0),"NA",index(sea_lice!G:G,match(A356,sea_lice!A:A,0)))</f>
        <v>NA</v>
      </c>
      <c r="Q356" s="24">
        <f t="array" ref="Q356">if(isblank(A356),"",index(fish_lab_data!X:X,match(A356,fish_lab_data!C:C,0)))</f>
        <v>1070</v>
      </c>
    </row>
    <row r="357">
      <c r="A357" s="25" t="s">
        <v>1536</v>
      </c>
      <c r="B357" s="25">
        <v>0.0</v>
      </c>
      <c r="C357" s="25">
        <v>0.0</v>
      </c>
      <c r="D357" s="25">
        <v>0.0</v>
      </c>
      <c r="E357" s="25">
        <v>0.0</v>
      </c>
      <c r="F357" s="25">
        <v>0.0</v>
      </c>
      <c r="G357" s="25">
        <v>0.0</v>
      </c>
      <c r="H357" s="25">
        <v>0.0</v>
      </c>
      <c r="I357" s="25">
        <v>0.0</v>
      </c>
      <c r="J357" s="25">
        <v>0.0</v>
      </c>
      <c r="K357" s="25">
        <v>0.0</v>
      </c>
      <c r="L357" s="25">
        <v>0.0</v>
      </c>
      <c r="M357" s="17">
        <f t="shared" si="1"/>
        <v>0</v>
      </c>
      <c r="N357" s="24" t="str">
        <f t="array" ref="N357">if(isblank(A357),"",index(fish_lab_data!O:O,match(A357,fish_lab_data!C:C,0)))</f>
        <v>KB</v>
      </c>
      <c r="O357" s="24" t="str">
        <f t="array" ref="O357">index(fish_lab_data!Q:Q,match(A357,fish_lab_data!C:C,0))</f>
        <v>lab_motiles_etoh</v>
      </c>
      <c r="P357" s="24" t="str">
        <f t="array" ref="P357">if(and(iserror(index(sea_lice!G:G,match(A357,sea_lice!A:A,0))),M357=0),"NA",index(sea_lice!G:G,match(A357,sea_lice!A:A,0)))</f>
        <v>NA</v>
      </c>
      <c r="Q357" s="24">
        <f t="array" ref="Q357">if(isblank(A357),"",index(fish_lab_data!X:X,match(A357,fish_lab_data!C:C,0)))</f>
        <v>1071</v>
      </c>
    </row>
    <row r="358">
      <c r="A358" s="25" t="s">
        <v>1537</v>
      </c>
      <c r="B358" s="25">
        <v>0.0</v>
      </c>
      <c r="C358" s="25">
        <v>0.0</v>
      </c>
      <c r="D358" s="25">
        <v>0.0</v>
      </c>
      <c r="E358" s="25">
        <v>0.0</v>
      </c>
      <c r="F358" s="25">
        <v>0.0</v>
      </c>
      <c r="G358" s="25">
        <v>0.0</v>
      </c>
      <c r="H358" s="25">
        <v>0.0</v>
      </c>
      <c r="I358" s="25">
        <v>0.0</v>
      </c>
      <c r="J358" s="25">
        <v>0.0</v>
      </c>
      <c r="K358" s="25">
        <v>0.0</v>
      </c>
      <c r="L358" s="25">
        <v>0.0</v>
      </c>
      <c r="M358" s="17">
        <f t="shared" si="1"/>
        <v>0</v>
      </c>
      <c r="N358" s="24" t="str">
        <f t="array" ref="N358">if(isblank(A358),"",index(fish_lab_data!O:O,match(A358,fish_lab_data!C:C,0)))</f>
        <v>KB</v>
      </c>
      <c r="O358" s="24" t="str">
        <f t="array" ref="O358">index(fish_lab_data!Q:Q,match(A358,fish_lab_data!C:C,0))</f>
        <v>lab_motiles_cryo</v>
      </c>
      <c r="P358" s="24" t="str">
        <f t="array" ref="P358">if(and(iserror(index(sea_lice!G:G,match(A358,sea_lice!A:A,0))),M358=0),"NA",index(sea_lice!G:G,match(A358,sea_lice!A:A,0)))</f>
        <v>NA</v>
      </c>
      <c r="Q358" s="24">
        <f t="array" ref="Q358">if(isblank(A358),"",index(fish_lab_data!X:X,match(A358,fish_lab_data!C:C,0)))</f>
        <v>1072</v>
      </c>
    </row>
    <row r="359">
      <c r="A359" s="25" t="s">
        <v>1538</v>
      </c>
      <c r="B359" s="25">
        <v>0.0</v>
      </c>
      <c r="C359" s="25">
        <v>0.0</v>
      </c>
      <c r="D359" s="25">
        <v>0.0</v>
      </c>
      <c r="E359" s="25">
        <v>0.0</v>
      </c>
      <c r="F359" s="25">
        <v>0.0</v>
      </c>
      <c r="G359" s="25">
        <v>0.0</v>
      </c>
      <c r="H359" s="25">
        <v>0.0</v>
      </c>
      <c r="I359" s="25">
        <v>0.0</v>
      </c>
      <c r="J359" s="25">
        <v>0.0</v>
      </c>
      <c r="K359" s="25">
        <v>0.0</v>
      </c>
      <c r="L359" s="25">
        <v>0.0</v>
      </c>
      <c r="M359" s="17">
        <f t="shared" si="1"/>
        <v>0</v>
      </c>
      <c r="N359" s="24" t="str">
        <f t="array" ref="N359">if(isblank(A359),"",index(fish_lab_data!O:O,match(A359,fish_lab_data!C:C,0)))</f>
        <v>KB</v>
      </c>
      <c r="O359" s="24" t="str">
        <f t="array" ref="O359">index(fish_lab_data!Q:Q,match(A359,fish_lab_data!C:C,0))</f>
        <v>lab_motiles_cryo</v>
      </c>
      <c r="P359" s="24" t="str">
        <f t="array" ref="P359">if(and(iserror(index(sea_lice!G:G,match(A359,sea_lice!A:A,0))),M359=0),"NA",index(sea_lice!G:G,match(A359,sea_lice!A:A,0)))</f>
        <v>NA</v>
      </c>
      <c r="Q359" s="24">
        <f t="array" ref="Q359">if(isblank(A359),"",index(fish_lab_data!X:X,match(A359,fish_lab_data!C:C,0)))</f>
        <v>1073</v>
      </c>
    </row>
    <row r="360">
      <c r="A360" s="25" t="s">
        <v>1539</v>
      </c>
      <c r="B360" s="25">
        <v>0.0</v>
      </c>
      <c r="C360" s="25">
        <v>0.0</v>
      </c>
      <c r="D360" s="25">
        <v>0.0</v>
      </c>
      <c r="E360" s="25">
        <v>0.0</v>
      </c>
      <c r="F360" s="25">
        <v>0.0</v>
      </c>
      <c r="G360" s="25">
        <v>0.0</v>
      </c>
      <c r="H360" s="25">
        <v>0.0</v>
      </c>
      <c r="I360" s="25">
        <v>0.0</v>
      </c>
      <c r="J360" s="25">
        <v>0.0</v>
      </c>
      <c r="K360" s="25">
        <v>0.0</v>
      </c>
      <c r="L360" s="25">
        <v>0.0</v>
      </c>
      <c r="M360" s="17">
        <f t="shared" si="1"/>
        <v>0</v>
      </c>
      <c r="N360" s="24" t="str">
        <f t="array" ref="N360">if(isblank(A360),"",index(fish_lab_data!O:O,match(A360,fish_lab_data!C:C,0)))</f>
        <v>KB</v>
      </c>
      <c r="O360" s="24" t="str">
        <f t="array" ref="O360">index(fish_lab_data!Q:Q,match(A360,fish_lab_data!C:C,0))</f>
        <v>lab_motiles_cryo</v>
      </c>
      <c r="P360" s="24" t="str">
        <f t="array" ref="P360">if(and(iserror(index(sea_lice!G:G,match(A360,sea_lice!A:A,0))),M360=0),"NA",index(sea_lice!G:G,match(A360,sea_lice!A:A,0)))</f>
        <v>NA</v>
      </c>
      <c r="Q360" s="24">
        <f t="array" ref="Q360">if(isblank(A360),"",index(fish_lab_data!X:X,match(A360,fish_lab_data!C:C,0)))</f>
        <v>1074</v>
      </c>
    </row>
    <row r="361">
      <c r="A361" s="9" t="s">
        <v>1540</v>
      </c>
      <c r="B361" s="9">
        <v>1.0</v>
      </c>
      <c r="C361" s="9">
        <v>0.0</v>
      </c>
      <c r="D361" s="9">
        <v>0.0</v>
      </c>
      <c r="E361" s="9">
        <v>0.0</v>
      </c>
      <c r="F361" s="9">
        <v>0.0</v>
      </c>
      <c r="G361" s="9">
        <v>0.0</v>
      </c>
      <c r="H361" s="9">
        <v>0.0</v>
      </c>
      <c r="I361" s="9">
        <v>0.0</v>
      </c>
      <c r="J361" s="9">
        <v>0.0</v>
      </c>
      <c r="K361" s="9">
        <v>0.0</v>
      </c>
      <c r="L361" s="9">
        <v>0.0</v>
      </c>
      <c r="M361" s="17">
        <f t="shared" si="1"/>
        <v>1</v>
      </c>
      <c r="N361" s="24" t="str">
        <f t="array" ref="N361">if(isblank(A361),"",index(fish_lab_data!O:O,match(A361,fish_lab_data!C:C,0)))</f>
        <v>KB</v>
      </c>
      <c r="O361" s="24" t="str">
        <f t="array" ref="O361">index(fish_lab_data!Q:Q,match(A361,fish_lab_data!C:C,0))</f>
        <v>lab_motiles_etoh</v>
      </c>
      <c r="P361" s="24" t="str">
        <f t="array" ref="P361">if(and(iserror(index(sea_lice!G:G,match(A361,sea_lice!A:A,0))),M361=0),"NA",index(sea_lice!G:G,match(A361,sea_lice!A:A,0)))</f>
        <v>BSL7-44</v>
      </c>
      <c r="Q361" s="24">
        <f t="array" ref="Q361">if(isblank(A361),"",index(fish_lab_data!X:X,match(A361,fish_lab_data!C:C,0)))</f>
        <v>1075</v>
      </c>
    </row>
    <row r="362">
      <c r="A362" s="25" t="s">
        <v>1542</v>
      </c>
      <c r="B362" s="25">
        <v>0.0</v>
      </c>
      <c r="C362" s="25">
        <v>0.0</v>
      </c>
      <c r="D362" s="25">
        <v>0.0</v>
      </c>
      <c r="E362" s="25">
        <v>0.0</v>
      </c>
      <c r="F362" s="25">
        <v>0.0</v>
      </c>
      <c r="G362" s="25">
        <v>0.0</v>
      </c>
      <c r="H362" s="25">
        <v>0.0</v>
      </c>
      <c r="I362" s="25">
        <v>0.0</v>
      </c>
      <c r="J362" s="25">
        <v>0.0</v>
      </c>
      <c r="K362" s="25">
        <v>0.0</v>
      </c>
      <c r="L362" s="25">
        <v>0.0</v>
      </c>
      <c r="M362" s="17">
        <f t="shared" si="1"/>
        <v>0</v>
      </c>
      <c r="N362" s="24" t="str">
        <f t="array" ref="N362">if(isblank(A362),"",index(fish_lab_data!O:O,match(A362,fish_lab_data!C:C,0)))</f>
        <v>KB</v>
      </c>
      <c r="O362" s="24" t="str">
        <f t="array" ref="O362">index(fish_lab_data!Q:Q,match(A362,fish_lab_data!C:C,0))</f>
        <v>lab_motiles_etoh</v>
      </c>
      <c r="P362" s="24" t="str">
        <f t="array" ref="P362">if(and(iserror(index(sea_lice!G:G,match(A362,sea_lice!A:A,0))),M362=0),"NA",index(sea_lice!G:G,match(A362,sea_lice!A:A,0)))</f>
        <v>NA</v>
      </c>
      <c r="Q362" s="24">
        <f t="array" ref="Q362">if(isblank(A362),"",index(fish_lab_data!X:X,match(A362,fish_lab_data!C:C,0)))</f>
        <v>1076</v>
      </c>
    </row>
    <row r="363">
      <c r="A363" s="25" t="s">
        <v>1544</v>
      </c>
      <c r="B363" s="25">
        <v>0.0</v>
      </c>
      <c r="C363" s="25">
        <v>0.0</v>
      </c>
      <c r="D363" s="25">
        <v>0.0</v>
      </c>
      <c r="E363" s="25">
        <v>0.0</v>
      </c>
      <c r="F363" s="25">
        <v>0.0</v>
      </c>
      <c r="G363" s="25">
        <v>0.0</v>
      </c>
      <c r="H363" s="25">
        <v>0.0</v>
      </c>
      <c r="I363" s="25">
        <v>0.0</v>
      </c>
      <c r="J363" s="25">
        <v>0.0</v>
      </c>
      <c r="K363" s="25">
        <v>0.0</v>
      </c>
      <c r="L363" s="25">
        <v>0.0</v>
      </c>
      <c r="M363" s="17">
        <f t="shared" si="1"/>
        <v>0</v>
      </c>
      <c r="N363" s="24" t="str">
        <f t="array" ref="N363">if(isblank(A363),"",index(fish_lab_data!O:O,match(A363,fish_lab_data!C:C,0)))</f>
        <v>KB</v>
      </c>
      <c r="O363" s="24" t="str">
        <f t="array" ref="O363">index(fish_lab_data!Q:Q,match(A363,fish_lab_data!C:C,0))</f>
        <v>lab_motiles_etoh</v>
      </c>
      <c r="P363" s="24" t="str">
        <f t="array" ref="P363">if(and(iserror(index(sea_lice!G:G,match(A363,sea_lice!A:A,0))),M363=0),"NA",index(sea_lice!G:G,match(A363,sea_lice!A:A,0)))</f>
        <v>NA</v>
      </c>
      <c r="Q363" s="24">
        <f t="array" ref="Q363">if(isblank(A363),"",index(fish_lab_data!X:X,match(A363,fish_lab_data!C:C,0)))</f>
        <v>1077</v>
      </c>
    </row>
    <row r="364">
      <c r="A364" s="9" t="s">
        <v>1545</v>
      </c>
      <c r="B364" s="9">
        <v>0.0</v>
      </c>
      <c r="C364" s="9">
        <v>0.0</v>
      </c>
      <c r="D364" s="9">
        <v>0.0</v>
      </c>
      <c r="E364" s="9">
        <v>1.0</v>
      </c>
      <c r="F364" s="9">
        <v>0.0</v>
      </c>
      <c r="G364" s="9">
        <v>0.0</v>
      </c>
      <c r="H364" s="9">
        <v>0.0</v>
      </c>
      <c r="I364" s="9">
        <v>0.0</v>
      </c>
      <c r="J364" s="9">
        <v>0.0</v>
      </c>
      <c r="K364" s="9">
        <v>0.0</v>
      </c>
      <c r="L364" s="9">
        <v>0.0</v>
      </c>
      <c r="M364" s="17">
        <f t="shared" si="1"/>
        <v>1</v>
      </c>
      <c r="N364" s="24" t="str">
        <f t="array" ref="N364">if(isblank(A364),"",index(fish_lab_data!O:O,match(A364,fish_lab_data!C:C,0)))</f>
        <v>KB</v>
      </c>
      <c r="O364" s="24" t="str">
        <f t="array" ref="O364">index(fish_lab_data!Q:Q,match(A364,fish_lab_data!C:C,0))</f>
        <v>lab_motiles_cryo</v>
      </c>
      <c r="P364" s="24" t="str">
        <f t="array" ref="P364">if(and(iserror(index(sea_lice!G:G,match(A364,sea_lice!A:A,0))),M364=0),"NA",index(sea_lice!G:G,match(A364,sea_lice!A:A,0)))</f>
        <v>BSL2-72</v>
      </c>
      <c r="Q364" s="24">
        <f t="array" ref="Q364">if(isblank(A364),"",index(fish_lab_data!X:X,match(A364,fish_lab_data!C:C,0)))</f>
        <v>1078</v>
      </c>
    </row>
    <row r="365">
      <c r="A365" s="25" t="s">
        <v>1547</v>
      </c>
      <c r="B365" s="25">
        <v>0.0</v>
      </c>
      <c r="C365" s="25">
        <v>0.0</v>
      </c>
      <c r="D365" s="25">
        <v>0.0</v>
      </c>
      <c r="E365" s="25">
        <v>0.0</v>
      </c>
      <c r="F365" s="25">
        <v>0.0</v>
      </c>
      <c r="G365" s="25">
        <v>0.0</v>
      </c>
      <c r="H365" s="25">
        <v>0.0</v>
      </c>
      <c r="I365" s="25">
        <v>0.0</v>
      </c>
      <c r="J365" s="25">
        <v>0.0</v>
      </c>
      <c r="K365" s="25">
        <v>0.0</v>
      </c>
      <c r="L365" s="25">
        <v>0.0</v>
      </c>
      <c r="M365" s="17">
        <f t="shared" si="1"/>
        <v>0</v>
      </c>
      <c r="N365" s="24" t="str">
        <f t="array" ref="N365">if(isblank(A365),"",index(fish_lab_data!O:O,match(A365,fish_lab_data!C:C,0)))</f>
        <v>KB</v>
      </c>
      <c r="O365" s="24" t="str">
        <f t="array" ref="O365">index(fish_lab_data!Q:Q,match(A365,fish_lab_data!C:C,0))</f>
        <v>lab_motiles_etoh</v>
      </c>
      <c r="P365" s="24" t="str">
        <f t="array" ref="P365">if(and(iserror(index(sea_lice!G:G,match(A365,sea_lice!A:A,0))),M365=0),"NA",index(sea_lice!G:G,match(A365,sea_lice!A:A,0)))</f>
        <v>NA</v>
      </c>
      <c r="Q365" s="24">
        <f t="array" ref="Q365">if(isblank(A365),"",index(fish_lab_data!X:X,match(A365,fish_lab_data!C:C,0)))</f>
        <v>1079</v>
      </c>
    </row>
    <row r="366">
      <c r="A366" s="25" t="s">
        <v>1549</v>
      </c>
      <c r="B366" s="25">
        <v>0.0</v>
      </c>
      <c r="C366" s="25">
        <v>0.0</v>
      </c>
      <c r="D366" s="25">
        <v>0.0</v>
      </c>
      <c r="E366" s="25">
        <v>0.0</v>
      </c>
      <c r="F366" s="25">
        <v>0.0</v>
      </c>
      <c r="G366" s="25">
        <v>0.0</v>
      </c>
      <c r="H366" s="25">
        <v>0.0</v>
      </c>
      <c r="I366" s="25">
        <v>0.0</v>
      </c>
      <c r="J366" s="25">
        <v>0.0</v>
      </c>
      <c r="K366" s="25">
        <v>0.0</v>
      </c>
      <c r="L366" s="25">
        <v>0.0</v>
      </c>
      <c r="M366" s="17">
        <f t="shared" si="1"/>
        <v>0</v>
      </c>
      <c r="N366" s="24" t="str">
        <f t="array" ref="N366">if(isblank(A366),"",index(fish_lab_data!O:O,match(A366,fish_lab_data!C:C,0)))</f>
        <v>KB</v>
      </c>
      <c r="O366" s="24" t="str">
        <f t="array" ref="O366">index(fish_lab_data!Q:Q,match(A366,fish_lab_data!C:C,0))</f>
        <v>lab_motiles_etoh</v>
      </c>
      <c r="P366" s="24" t="str">
        <f t="array" ref="P366">if(and(iserror(index(sea_lice!G:G,match(A366,sea_lice!A:A,0))),M366=0),"NA",index(sea_lice!G:G,match(A366,sea_lice!A:A,0)))</f>
        <v>NA</v>
      </c>
      <c r="Q366" s="24">
        <f t="array" ref="Q366">if(isblank(A366),"",index(fish_lab_data!X:X,match(A366,fish_lab_data!C:C,0)))</f>
        <v>1080</v>
      </c>
    </row>
    <row r="367">
      <c r="A367" s="25" t="s">
        <v>1550</v>
      </c>
      <c r="B367" s="25">
        <v>0.0</v>
      </c>
      <c r="C367" s="25">
        <v>0.0</v>
      </c>
      <c r="D367" s="25">
        <v>0.0</v>
      </c>
      <c r="E367" s="25">
        <v>0.0</v>
      </c>
      <c r="F367" s="25">
        <v>0.0</v>
      </c>
      <c r="G367" s="25">
        <v>0.0</v>
      </c>
      <c r="H367" s="25">
        <v>0.0</v>
      </c>
      <c r="I367" s="25">
        <v>0.0</v>
      </c>
      <c r="J367" s="25">
        <v>0.0</v>
      </c>
      <c r="K367" s="25">
        <v>0.0</v>
      </c>
      <c r="L367" s="25">
        <v>0.0</v>
      </c>
      <c r="M367" s="17">
        <f t="shared" si="1"/>
        <v>0</v>
      </c>
      <c r="N367" s="24" t="str">
        <f t="array" ref="N367">if(isblank(A367),"",index(fish_lab_data!O:O,match(A367,fish_lab_data!C:C,0)))</f>
        <v>KB</v>
      </c>
      <c r="O367" s="24" t="str">
        <f t="array" ref="O367">index(fish_lab_data!Q:Q,match(A367,fish_lab_data!C:C,0))</f>
        <v>lab_motiles_etoh</v>
      </c>
      <c r="P367" s="24" t="str">
        <f t="array" ref="P367">if(and(iserror(index(sea_lice!G:G,match(A367,sea_lice!A:A,0))),M367=0),"NA",index(sea_lice!G:G,match(A367,sea_lice!A:A,0)))</f>
        <v>NA</v>
      </c>
      <c r="Q367" s="24">
        <f t="array" ref="Q367">if(isblank(A367),"",index(fish_lab_data!X:X,match(A367,fish_lab_data!C:C,0)))</f>
        <v>1081</v>
      </c>
    </row>
    <row r="368">
      <c r="A368" s="25" t="s">
        <v>1552</v>
      </c>
      <c r="B368" s="25">
        <v>0.0</v>
      </c>
      <c r="C368" s="25">
        <v>0.0</v>
      </c>
      <c r="D368" s="25">
        <v>0.0</v>
      </c>
      <c r="E368" s="25">
        <v>0.0</v>
      </c>
      <c r="F368" s="25">
        <v>0.0</v>
      </c>
      <c r="G368" s="25">
        <v>0.0</v>
      </c>
      <c r="H368" s="25">
        <v>0.0</v>
      </c>
      <c r="I368" s="25">
        <v>0.0</v>
      </c>
      <c r="J368" s="25">
        <v>0.0</v>
      </c>
      <c r="K368" s="25">
        <v>0.0</v>
      </c>
      <c r="L368" s="25">
        <v>0.0</v>
      </c>
      <c r="M368" s="17">
        <f t="shared" si="1"/>
        <v>0</v>
      </c>
      <c r="N368" s="24" t="str">
        <f t="array" ref="N368">if(isblank(A368),"",index(fish_lab_data!O:O,match(A368,fish_lab_data!C:C,0)))</f>
        <v>KB</v>
      </c>
      <c r="O368" s="24" t="str">
        <f t="array" ref="O368">index(fish_lab_data!Q:Q,match(A368,fish_lab_data!C:C,0))</f>
        <v>lab_motiles_etoh</v>
      </c>
      <c r="P368" s="24" t="str">
        <f t="array" ref="P368">if(and(iserror(index(sea_lice!G:G,match(A368,sea_lice!A:A,0))),M368=0),"NA",index(sea_lice!G:G,match(A368,sea_lice!A:A,0)))</f>
        <v>NA</v>
      </c>
      <c r="Q368" s="24">
        <f t="array" ref="Q368">if(isblank(A368),"",index(fish_lab_data!X:X,match(A368,fish_lab_data!C:C,0)))</f>
        <v>1082</v>
      </c>
    </row>
    <row r="369">
      <c r="A369" s="25" t="s">
        <v>1554</v>
      </c>
      <c r="B369" s="25">
        <v>0.0</v>
      </c>
      <c r="C369" s="25">
        <v>0.0</v>
      </c>
      <c r="D369" s="25">
        <v>0.0</v>
      </c>
      <c r="E369" s="25">
        <v>0.0</v>
      </c>
      <c r="F369" s="25">
        <v>0.0</v>
      </c>
      <c r="G369" s="25">
        <v>0.0</v>
      </c>
      <c r="H369" s="25">
        <v>0.0</v>
      </c>
      <c r="I369" s="25">
        <v>0.0</v>
      </c>
      <c r="J369" s="25">
        <v>0.0</v>
      </c>
      <c r="K369" s="25">
        <v>0.0</v>
      </c>
      <c r="L369" s="25">
        <v>0.0</v>
      </c>
      <c r="M369" s="17">
        <f t="shared" si="1"/>
        <v>0</v>
      </c>
      <c r="N369" s="24" t="str">
        <f t="array" ref="N369">if(isblank(A369),"",index(fish_lab_data!O:O,match(A369,fish_lab_data!C:C,0)))</f>
        <v>KB</v>
      </c>
      <c r="O369" s="24" t="str">
        <f t="array" ref="O369">index(fish_lab_data!Q:Q,match(A369,fish_lab_data!C:C,0))</f>
        <v>lab_motiles_etoh</v>
      </c>
      <c r="P369" s="24" t="str">
        <f t="array" ref="P369">if(and(iserror(index(sea_lice!G:G,match(A369,sea_lice!A:A,0))),M369=0),"NA",index(sea_lice!G:G,match(A369,sea_lice!A:A,0)))</f>
        <v>NA</v>
      </c>
      <c r="Q369" s="24">
        <f t="array" ref="Q369">if(isblank(A369),"",index(fish_lab_data!X:X,match(A369,fish_lab_data!C:C,0)))</f>
        <v>1083</v>
      </c>
    </row>
    <row r="370">
      <c r="A370" s="9" t="s">
        <v>1555</v>
      </c>
      <c r="B370" s="9">
        <v>0.0</v>
      </c>
      <c r="C370" s="9">
        <v>0.0</v>
      </c>
      <c r="D370" s="9">
        <v>0.0</v>
      </c>
      <c r="E370" s="9">
        <v>1.0</v>
      </c>
      <c r="F370" s="9">
        <v>0.0</v>
      </c>
      <c r="G370" s="9">
        <v>0.0</v>
      </c>
      <c r="H370" s="9">
        <v>0.0</v>
      </c>
      <c r="I370" s="9">
        <v>0.0</v>
      </c>
      <c r="J370" s="9">
        <v>0.0</v>
      </c>
      <c r="K370" s="9">
        <v>0.0</v>
      </c>
      <c r="L370" s="9">
        <v>0.0</v>
      </c>
      <c r="M370" s="17">
        <f t="shared" si="1"/>
        <v>1</v>
      </c>
      <c r="N370" s="24" t="str">
        <f t="array" ref="N370">if(isblank(A370),"",index(fish_lab_data!O:O,match(A370,fish_lab_data!C:C,0)))</f>
        <v>KB</v>
      </c>
      <c r="O370" s="24" t="str">
        <f t="array" ref="O370">index(fish_lab_data!Q:Q,match(A370,fish_lab_data!C:C,0))</f>
        <v>lab_motiles_etoh</v>
      </c>
      <c r="P370" s="24" t="str">
        <f t="array" ref="P370">if(and(iserror(index(sea_lice!G:G,match(A370,sea_lice!A:A,0))),M370=0),"NA",index(sea_lice!G:G,match(A370,sea_lice!A:A,0)))</f>
        <v>BSL7-45</v>
      </c>
      <c r="Q370" s="24">
        <f t="array" ref="Q370">if(isblank(A370),"",index(fish_lab_data!X:X,match(A370,fish_lab_data!C:C,0)))</f>
        <v>1084</v>
      </c>
    </row>
    <row r="371">
      <c r="A371" s="25" t="s">
        <v>1556</v>
      </c>
      <c r="B371" s="25">
        <v>0.0</v>
      </c>
      <c r="C371" s="25">
        <v>0.0</v>
      </c>
      <c r="D371" s="25">
        <v>0.0</v>
      </c>
      <c r="E371" s="25">
        <v>0.0</v>
      </c>
      <c r="F371" s="25">
        <v>0.0</v>
      </c>
      <c r="G371" s="25">
        <v>0.0</v>
      </c>
      <c r="H371" s="25">
        <v>0.0</v>
      </c>
      <c r="I371" s="25">
        <v>0.0</v>
      </c>
      <c r="J371" s="25">
        <v>0.0</v>
      </c>
      <c r="K371" s="25">
        <v>0.0</v>
      </c>
      <c r="L371" s="25">
        <v>0.0</v>
      </c>
      <c r="M371" s="17">
        <f t="shared" si="1"/>
        <v>0</v>
      </c>
      <c r="N371" s="24" t="str">
        <f t="array" ref="N371">if(isblank(A371),"",index(fish_lab_data!O:O,match(A371,fish_lab_data!C:C,0)))</f>
        <v>KB</v>
      </c>
      <c r="O371" s="24" t="str">
        <f t="array" ref="O371">index(fish_lab_data!Q:Q,match(A371,fish_lab_data!C:C,0))</f>
        <v>lab_motiles_etoh</v>
      </c>
      <c r="P371" s="24" t="str">
        <f t="array" ref="P371">if(and(iserror(index(sea_lice!G:G,match(A371,sea_lice!A:A,0))),M371=0),"NA",index(sea_lice!G:G,match(A371,sea_lice!A:A,0)))</f>
        <v>NA</v>
      </c>
      <c r="Q371" s="24">
        <f t="array" ref="Q371">if(isblank(A371),"",index(fish_lab_data!X:X,match(A371,fish_lab_data!C:C,0)))</f>
        <v>1085</v>
      </c>
    </row>
    <row r="372">
      <c r="A372" s="9" t="s">
        <v>1558</v>
      </c>
      <c r="B372" s="9">
        <v>0.0</v>
      </c>
      <c r="C372" s="9">
        <v>0.0</v>
      </c>
      <c r="D372" s="9">
        <v>0.0</v>
      </c>
      <c r="E372" s="9">
        <v>1.0</v>
      </c>
      <c r="F372" s="9">
        <v>0.0</v>
      </c>
      <c r="G372" s="9">
        <v>0.0</v>
      </c>
      <c r="H372" s="9">
        <v>0.0</v>
      </c>
      <c r="I372" s="9">
        <v>0.0</v>
      </c>
      <c r="J372" s="9">
        <v>0.0</v>
      </c>
      <c r="K372" s="9">
        <v>0.0</v>
      </c>
      <c r="L372" s="9">
        <v>0.0</v>
      </c>
      <c r="M372" s="17">
        <f t="shared" si="1"/>
        <v>1</v>
      </c>
      <c r="N372" s="24" t="str">
        <f t="array" ref="N372">if(isblank(A372),"",index(fish_lab_data!O:O,match(A372,fish_lab_data!C:C,0)))</f>
        <v>KB</v>
      </c>
      <c r="O372" s="24" t="str">
        <f t="array" ref="O372">index(fish_lab_data!Q:Q,match(A372,fish_lab_data!C:C,0))</f>
        <v>lab_motiles_etoh</v>
      </c>
      <c r="P372" s="24" t="str">
        <f t="array" ref="P372">if(and(iserror(index(sea_lice!G:G,match(A372,sea_lice!A:A,0))),M372=0),"NA",index(sea_lice!G:G,match(A372,sea_lice!A:A,0)))</f>
        <v>BSL7-46</v>
      </c>
      <c r="Q372" s="24">
        <f t="array" ref="Q372">if(isblank(A372),"",index(fish_lab_data!X:X,match(A372,fish_lab_data!C:C,0)))</f>
        <v>1086</v>
      </c>
    </row>
    <row r="373">
      <c r="A373" s="25" t="s">
        <v>1560</v>
      </c>
      <c r="B373" s="25">
        <v>0.0</v>
      </c>
      <c r="C373" s="25">
        <v>0.0</v>
      </c>
      <c r="D373" s="25">
        <v>0.0</v>
      </c>
      <c r="E373" s="25">
        <v>0.0</v>
      </c>
      <c r="F373" s="25">
        <v>0.0</v>
      </c>
      <c r="G373" s="25">
        <v>0.0</v>
      </c>
      <c r="H373" s="25">
        <v>0.0</v>
      </c>
      <c r="I373" s="25">
        <v>0.0</v>
      </c>
      <c r="J373" s="25">
        <v>0.0</v>
      </c>
      <c r="K373" s="25">
        <v>0.0</v>
      </c>
      <c r="L373" s="25">
        <v>0.0</v>
      </c>
      <c r="M373" s="17">
        <f t="shared" si="1"/>
        <v>0</v>
      </c>
      <c r="N373" s="24" t="str">
        <f t="array" ref="N373">if(isblank(A373),"",index(fish_lab_data!O:O,match(A373,fish_lab_data!C:C,0)))</f>
        <v>KB</v>
      </c>
      <c r="O373" s="24" t="str">
        <f t="array" ref="O373">index(fish_lab_data!Q:Q,match(A373,fish_lab_data!C:C,0))</f>
        <v>lab_motiles_etoh</v>
      </c>
      <c r="P373" s="24" t="str">
        <f t="array" ref="P373">if(and(iserror(index(sea_lice!G:G,match(A373,sea_lice!A:A,0))),M373=0),"NA",index(sea_lice!G:G,match(A373,sea_lice!A:A,0)))</f>
        <v>NA</v>
      </c>
      <c r="Q373" s="24">
        <f t="array" ref="Q373">if(isblank(A373),"",index(fish_lab_data!X:X,match(A373,fish_lab_data!C:C,0)))</f>
        <v>1087</v>
      </c>
    </row>
    <row r="374">
      <c r="A374" s="9" t="s">
        <v>1561</v>
      </c>
      <c r="B374" s="9">
        <v>1.0</v>
      </c>
      <c r="C374" s="9">
        <v>0.0</v>
      </c>
      <c r="D374" s="9">
        <v>0.0</v>
      </c>
      <c r="E374" s="9">
        <v>1.0</v>
      </c>
      <c r="F374" s="9">
        <v>0.0</v>
      </c>
      <c r="G374" s="9">
        <v>0.0</v>
      </c>
      <c r="H374" s="9">
        <v>0.0</v>
      </c>
      <c r="I374" s="9">
        <v>0.0</v>
      </c>
      <c r="J374" s="9">
        <v>0.0</v>
      </c>
      <c r="K374" s="9">
        <v>0.0</v>
      </c>
      <c r="L374" s="9">
        <v>0.0</v>
      </c>
      <c r="M374" s="17">
        <f t="shared" si="1"/>
        <v>2</v>
      </c>
      <c r="N374" s="24" t="str">
        <f t="array" ref="N374">if(isblank(A374),"",index(fish_lab_data!O:O,match(A374,fish_lab_data!C:C,0)))</f>
        <v>KB</v>
      </c>
      <c r="O374" s="24" t="str">
        <f t="array" ref="O374">index(fish_lab_data!Q:Q,match(A374,fish_lab_data!C:C,0))</f>
        <v>lab_motiles_etoh</v>
      </c>
      <c r="P374" s="24" t="str">
        <f t="array" ref="P374">if(and(iserror(index(sea_lice!G:G,match(A374,sea_lice!A:A,0))),M374=0),"NA",index(sea_lice!G:G,match(A374,sea_lice!A:A,0)))</f>
        <v>BSL7-47</v>
      </c>
      <c r="Q374" s="24">
        <f t="array" ref="Q374">if(isblank(A374),"",index(fish_lab_data!X:X,match(A374,fish_lab_data!C:C,0)))</f>
        <v>1088</v>
      </c>
    </row>
    <row r="375">
      <c r="A375" s="9" t="s">
        <v>1563</v>
      </c>
      <c r="B375" s="9">
        <v>0.0</v>
      </c>
      <c r="C375" s="9">
        <v>0.0</v>
      </c>
      <c r="D375" s="9">
        <v>0.0</v>
      </c>
      <c r="E375" s="9">
        <v>1.0</v>
      </c>
      <c r="F375" s="9">
        <v>0.0</v>
      </c>
      <c r="G375" s="9">
        <v>0.0</v>
      </c>
      <c r="H375" s="9">
        <v>0.0</v>
      </c>
      <c r="I375" s="9">
        <v>0.0</v>
      </c>
      <c r="J375" s="9">
        <v>0.0</v>
      </c>
      <c r="K375" s="9">
        <v>0.0</v>
      </c>
      <c r="L375" s="9">
        <v>0.0</v>
      </c>
      <c r="M375" s="17">
        <f t="shared" si="1"/>
        <v>1</v>
      </c>
      <c r="N375" s="24" t="str">
        <f t="array" ref="N375">if(isblank(A375),"",index(fish_lab_data!O:O,match(A375,fish_lab_data!C:C,0)))</f>
        <v>KB</v>
      </c>
      <c r="O375" s="24" t="str">
        <f t="array" ref="O375">index(fish_lab_data!Q:Q,match(A375,fish_lab_data!C:C,0))</f>
        <v>lab_motiles_etoh</v>
      </c>
      <c r="P375" s="24" t="str">
        <f t="array" ref="P375">if(and(iserror(index(sea_lice!G:G,match(A375,sea_lice!A:A,0))),M375=0),"NA",index(sea_lice!G:G,match(A375,sea_lice!A:A,0)))</f>
        <v>BSL7-48</v>
      </c>
      <c r="Q375" s="24">
        <f t="array" ref="Q375">if(isblank(A375),"",index(fish_lab_data!X:X,match(A375,fish_lab_data!C:C,0)))</f>
        <v>1089</v>
      </c>
    </row>
    <row r="376">
      <c r="A376" s="9" t="s">
        <v>1564</v>
      </c>
      <c r="B376" s="9">
        <v>1.0</v>
      </c>
      <c r="C376" s="9">
        <v>1.0</v>
      </c>
      <c r="D376" s="9">
        <v>0.0</v>
      </c>
      <c r="E376" s="9">
        <v>1.0</v>
      </c>
      <c r="F376" s="9">
        <v>0.0</v>
      </c>
      <c r="G376" s="9">
        <v>0.0</v>
      </c>
      <c r="H376" s="9">
        <v>0.0</v>
      </c>
      <c r="I376" s="9">
        <v>0.0</v>
      </c>
      <c r="J376" s="9">
        <v>0.0</v>
      </c>
      <c r="K376" s="9">
        <v>0.0</v>
      </c>
      <c r="L376" s="9">
        <v>0.0</v>
      </c>
      <c r="M376" s="17">
        <f t="shared" si="1"/>
        <v>3</v>
      </c>
      <c r="N376" s="24" t="str">
        <f t="array" ref="N376">if(isblank(A376),"",index(fish_lab_data!O:O,match(A376,fish_lab_data!C:C,0)))</f>
        <v>KB</v>
      </c>
      <c r="O376" s="24" t="str">
        <f t="array" ref="O376">index(fish_lab_data!Q:Q,match(A376,fish_lab_data!C:C,0))</f>
        <v>lab_motiles_etoh</v>
      </c>
      <c r="P376" s="24" t="str">
        <f t="array" ref="P376">if(and(iserror(index(sea_lice!G:G,match(A376,sea_lice!A:A,0))),M376=0),"NA",index(sea_lice!G:G,match(A376,sea_lice!A:A,0)))</f>
        <v>BSL7-49</v>
      </c>
      <c r="Q376" s="24">
        <f t="array" ref="Q376">if(isblank(A376),"",index(fish_lab_data!X:X,match(A376,fish_lab_data!C:C,0)))</f>
        <v>1090</v>
      </c>
    </row>
    <row r="377">
      <c r="A377" s="9" t="s">
        <v>1565</v>
      </c>
      <c r="B377" s="9">
        <v>0.0</v>
      </c>
      <c r="C377" s="9">
        <v>0.0</v>
      </c>
      <c r="D377" s="9">
        <v>0.0</v>
      </c>
      <c r="E377" s="9">
        <v>1.0</v>
      </c>
      <c r="F377" s="9">
        <v>0.0</v>
      </c>
      <c r="G377" s="9">
        <v>0.0</v>
      </c>
      <c r="H377" s="9">
        <v>0.0</v>
      </c>
      <c r="I377" s="9">
        <v>0.0</v>
      </c>
      <c r="J377" s="9">
        <v>0.0</v>
      </c>
      <c r="K377" s="9">
        <v>0.0</v>
      </c>
      <c r="L377" s="9">
        <v>0.0</v>
      </c>
      <c r="M377" s="17">
        <f t="shared" si="1"/>
        <v>1</v>
      </c>
      <c r="N377" s="24" t="str">
        <f t="array" ref="N377">if(isblank(A377),"",index(fish_lab_data!O:O,match(A377,fish_lab_data!C:C,0)))</f>
        <v>KB</v>
      </c>
      <c r="O377" s="24" t="str">
        <f t="array" ref="O377">index(fish_lab_data!Q:Q,match(A377,fish_lab_data!C:C,0))</f>
        <v>lab_motiles_etoh</v>
      </c>
      <c r="P377" s="24" t="str">
        <f t="array" ref="P377">if(and(iserror(index(sea_lice!G:G,match(A377,sea_lice!A:A,0))),M377=0),"NA",index(sea_lice!G:G,match(A377,sea_lice!A:A,0)))</f>
        <v>BSL7-50</v>
      </c>
      <c r="Q377" s="24">
        <f t="array" ref="Q377">if(isblank(A377),"",index(fish_lab_data!X:X,match(A377,fish_lab_data!C:C,0)))</f>
        <v>1091</v>
      </c>
    </row>
    <row r="378">
      <c r="A378" s="9" t="s">
        <v>1566</v>
      </c>
      <c r="B378" s="9">
        <v>1.0</v>
      </c>
      <c r="C378" s="9">
        <v>1.0</v>
      </c>
      <c r="D378" s="9">
        <v>0.0</v>
      </c>
      <c r="E378" s="9">
        <v>1.0</v>
      </c>
      <c r="F378" s="9">
        <v>0.0</v>
      </c>
      <c r="G378" s="9">
        <v>0.0</v>
      </c>
      <c r="H378" s="9">
        <v>0.0</v>
      </c>
      <c r="I378" s="9">
        <v>0.0</v>
      </c>
      <c r="J378" s="9">
        <v>0.0</v>
      </c>
      <c r="K378" s="9">
        <v>0.0</v>
      </c>
      <c r="L378" s="9">
        <v>0.0</v>
      </c>
      <c r="M378" s="17">
        <f t="shared" si="1"/>
        <v>3</v>
      </c>
      <c r="N378" s="24" t="str">
        <f t="array" ref="N378">if(isblank(A378),"",index(fish_lab_data!O:O,match(A378,fish_lab_data!C:C,0)))</f>
        <v>KB</v>
      </c>
      <c r="O378" s="24" t="str">
        <f t="array" ref="O378">index(fish_lab_data!Q:Q,match(A378,fish_lab_data!C:C,0))</f>
        <v>lab_motiles_etoh</v>
      </c>
      <c r="P378" s="24" t="str">
        <f t="array" ref="P378">if(and(iserror(index(sea_lice!G:G,match(A378,sea_lice!A:A,0))),M378=0),"NA",index(sea_lice!G:G,match(A378,sea_lice!A:A,0)))</f>
        <v>BSL7-51</v>
      </c>
      <c r="Q378" s="24">
        <f t="array" ref="Q378">if(isblank(A378),"",index(fish_lab_data!X:X,match(A378,fish_lab_data!C:C,0)))</f>
        <v>1092</v>
      </c>
    </row>
    <row r="379">
      <c r="A379" s="25" t="s">
        <v>1567</v>
      </c>
      <c r="B379" s="25">
        <v>0.0</v>
      </c>
      <c r="C379" s="25">
        <v>0.0</v>
      </c>
      <c r="D379" s="25">
        <v>0.0</v>
      </c>
      <c r="E379" s="25">
        <v>0.0</v>
      </c>
      <c r="F379" s="25">
        <v>0.0</v>
      </c>
      <c r="G379" s="25">
        <v>0.0</v>
      </c>
      <c r="H379" s="25">
        <v>0.0</v>
      </c>
      <c r="I379" s="25">
        <v>0.0</v>
      </c>
      <c r="J379" s="25">
        <v>0.0</v>
      </c>
      <c r="K379" s="25">
        <v>0.0</v>
      </c>
      <c r="L379" s="25">
        <v>0.0</v>
      </c>
      <c r="M379" s="17">
        <f t="shared" si="1"/>
        <v>0</v>
      </c>
      <c r="N379" s="24" t="str">
        <f t="array" ref="N379">if(isblank(A379),"",index(fish_lab_data!O:O,match(A379,fish_lab_data!C:C,0)))</f>
        <v>KB</v>
      </c>
      <c r="O379" s="24" t="str">
        <f t="array" ref="O379">index(fish_lab_data!Q:Q,match(A379,fish_lab_data!C:C,0))</f>
        <v>lab_motiles_etoh</v>
      </c>
      <c r="P379" s="24" t="str">
        <f t="array" ref="P379">if(and(iserror(index(sea_lice!G:G,match(A379,sea_lice!A:A,0))),M379=0),"NA",index(sea_lice!G:G,match(A379,sea_lice!A:A,0)))</f>
        <v>NA</v>
      </c>
      <c r="Q379" s="24">
        <f t="array" ref="Q379">if(isblank(A379),"",index(fish_lab_data!X:X,match(A379,fish_lab_data!C:C,0)))</f>
        <v>1093</v>
      </c>
    </row>
    <row r="380">
      <c r="A380" s="9" t="s">
        <v>1568</v>
      </c>
      <c r="B380" s="9">
        <v>1.0</v>
      </c>
      <c r="C380" s="9">
        <v>0.0</v>
      </c>
      <c r="D380" s="9">
        <v>0.0</v>
      </c>
      <c r="E380" s="9">
        <v>2.0</v>
      </c>
      <c r="F380" s="9">
        <v>0.0</v>
      </c>
      <c r="G380" s="9">
        <v>1.0</v>
      </c>
      <c r="H380" s="9">
        <v>0.0</v>
      </c>
      <c r="I380" s="9">
        <v>0.0</v>
      </c>
      <c r="J380" s="9">
        <v>0.0</v>
      </c>
      <c r="K380" s="9">
        <v>0.0</v>
      </c>
      <c r="L380" s="9">
        <v>0.0</v>
      </c>
      <c r="M380" s="17">
        <f t="shared" si="1"/>
        <v>4</v>
      </c>
      <c r="N380" s="24" t="str">
        <f t="array" ref="N380">if(isblank(A380),"",index(fish_lab_data!O:O,match(A380,fish_lab_data!C:C,0)))</f>
        <v>KB</v>
      </c>
      <c r="O380" s="24" t="str">
        <f t="array" ref="O380">index(fish_lab_data!Q:Q,match(A380,fish_lab_data!C:C,0))</f>
        <v>lab_motiles_etoh</v>
      </c>
      <c r="P380" s="24" t="str">
        <f t="array" ref="P380">if(and(iserror(index(sea_lice!G:G,match(A380,sea_lice!A:A,0))),M380=0),"NA",index(sea_lice!G:G,match(A380,sea_lice!A:A,0)))</f>
        <v>BSL7-53</v>
      </c>
      <c r="Q380" s="24">
        <f t="array" ref="Q380">if(isblank(A380),"",index(fish_lab_data!X:X,match(A380,fish_lab_data!C:C,0)))</f>
        <v>1094</v>
      </c>
    </row>
    <row r="381">
      <c r="A381" s="25" t="s">
        <v>1571</v>
      </c>
      <c r="B381" s="25">
        <v>0.0</v>
      </c>
      <c r="C381" s="25">
        <v>0.0</v>
      </c>
      <c r="D381" s="25">
        <v>0.0</v>
      </c>
      <c r="E381" s="25">
        <v>0.0</v>
      </c>
      <c r="F381" s="25">
        <v>0.0</v>
      </c>
      <c r="G381" s="25">
        <v>0.0</v>
      </c>
      <c r="H381" s="25">
        <v>0.0</v>
      </c>
      <c r="I381" s="25">
        <v>0.0</v>
      </c>
      <c r="J381" s="25">
        <v>0.0</v>
      </c>
      <c r="K381" s="25">
        <v>0.0</v>
      </c>
      <c r="L381" s="25">
        <v>0.0</v>
      </c>
      <c r="M381" s="17">
        <f t="shared" si="1"/>
        <v>0</v>
      </c>
      <c r="N381" s="24" t="str">
        <f t="array" ref="N381">if(isblank(A381),"",index(fish_lab_data!O:O,match(A381,fish_lab_data!C:C,0)))</f>
        <v>KB</v>
      </c>
      <c r="O381" s="24" t="str">
        <f t="array" ref="O381">index(fish_lab_data!Q:Q,match(A381,fish_lab_data!C:C,0))</f>
        <v>lab_motiles_etoh</v>
      </c>
      <c r="P381" s="24" t="str">
        <f t="array" ref="P381">if(and(iserror(index(sea_lice!G:G,match(A381,sea_lice!A:A,0))),M381=0),"NA",index(sea_lice!G:G,match(A381,sea_lice!A:A,0)))</f>
        <v>NA</v>
      </c>
      <c r="Q381" s="24">
        <f t="array" ref="Q381">if(isblank(A381),"",index(fish_lab_data!X:X,match(A381,fish_lab_data!C:C,0)))</f>
        <v>1095</v>
      </c>
    </row>
    <row r="382">
      <c r="A382" s="25" t="s">
        <v>1572</v>
      </c>
      <c r="B382" s="25">
        <v>0.0</v>
      </c>
      <c r="C382" s="25">
        <v>0.0</v>
      </c>
      <c r="D382" s="25">
        <v>0.0</v>
      </c>
      <c r="E382" s="25">
        <v>0.0</v>
      </c>
      <c r="F382" s="25">
        <v>0.0</v>
      </c>
      <c r="G382" s="25">
        <v>0.0</v>
      </c>
      <c r="H382" s="25">
        <v>0.0</v>
      </c>
      <c r="I382" s="25">
        <v>0.0</v>
      </c>
      <c r="J382" s="25">
        <v>0.0</v>
      </c>
      <c r="K382" s="25">
        <v>0.0</v>
      </c>
      <c r="L382" s="25">
        <v>0.0</v>
      </c>
      <c r="M382" s="17">
        <f t="shared" si="1"/>
        <v>0</v>
      </c>
      <c r="N382" s="24" t="str">
        <f t="array" ref="N382">if(isblank(A382),"",index(fish_lab_data!O:O,match(A382,fish_lab_data!C:C,0)))</f>
        <v>KB</v>
      </c>
      <c r="O382" s="24" t="str">
        <f t="array" ref="O382">index(fish_lab_data!Q:Q,match(A382,fish_lab_data!C:C,0))</f>
        <v>lab_motiles_etoh</v>
      </c>
      <c r="P382" s="24" t="str">
        <f t="array" ref="P382">if(and(iserror(index(sea_lice!G:G,match(A382,sea_lice!A:A,0))),M382=0),"NA",index(sea_lice!G:G,match(A382,sea_lice!A:A,0)))</f>
        <v>NA</v>
      </c>
      <c r="Q382" s="24">
        <f t="array" ref="Q382">if(isblank(A382),"",index(fish_lab_data!X:X,match(A382,fish_lab_data!C:C,0)))</f>
        <v>1096</v>
      </c>
    </row>
    <row r="383">
      <c r="A383" s="25" t="s">
        <v>1574</v>
      </c>
      <c r="B383" s="25">
        <v>0.0</v>
      </c>
      <c r="C383" s="25">
        <v>0.0</v>
      </c>
      <c r="D383" s="25">
        <v>0.0</v>
      </c>
      <c r="E383" s="25">
        <v>0.0</v>
      </c>
      <c r="F383" s="25">
        <v>0.0</v>
      </c>
      <c r="G383" s="25">
        <v>0.0</v>
      </c>
      <c r="H383" s="25">
        <v>0.0</v>
      </c>
      <c r="I383" s="25">
        <v>0.0</v>
      </c>
      <c r="J383" s="25">
        <v>0.0</v>
      </c>
      <c r="K383" s="25">
        <v>0.0</v>
      </c>
      <c r="L383" s="25">
        <v>0.0</v>
      </c>
      <c r="M383" s="17">
        <f t="shared" si="1"/>
        <v>0</v>
      </c>
      <c r="N383" s="24" t="str">
        <f t="array" ref="N383">if(isblank(A383),"",index(fish_lab_data!O:O,match(A383,fish_lab_data!C:C,0)))</f>
        <v>KB</v>
      </c>
      <c r="O383" s="24" t="str">
        <f t="array" ref="O383">index(fish_lab_data!Q:Q,match(A383,fish_lab_data!C:C,0))</f>
        <v>lab_motiles_etoh</v>
      </c>
      <c r="P383" s="24" t="str">
        <f t="array" ref="P383">if(and(iserror(index(sea_lice!G:G,match(A383,sea_lice!A:A,0))),M383=0),"NA",index(sea_lice!G:G,match(A383,sea_lice!A:A,0)))</f>
        <v>NA</v>
      </c>
      <c r="Q383" s="24">
        <f t="array" ref="Q383">if(isblank(A383),"",index(fish_lab_data!X:X,match(A383,fish_lab_data!C:C,0)))</f>
        <v>1097</v>
      </c>
    </row>
    <row r="384">
      <c r="A384" s="9" t="s">
        <v>1576</v>
      </c>
      <c r="B384" s="9">
        <v>0.0</v>
      </c>
      <c r="C384" s="9">
        <v>0.0</v>
      </c>
      <c r="D384" s="9">
        <v>0.0</v>
      </c>
      <c r="E384" s="9">
        <v>1.0</v>
      </c>
      <c r="F384" s="9">
        <v>0.0</v>
      </c>
      <c r="G384" s="9">
        <v>0.0</v>
      </c>
      <c r="H384" s="9">
        <v>0.0</v>
      </c>
      <c r="I384" s="9">
        <v>0.0</v>
      </c>
      <c r="J384" s="9">
        <v>0.0</v>
      </c>
      <c r="K384" s="9">
        <v>0.0</v>
      </c>
      <c r="L384" s="9">
        <v>0.0</v>
      </c>
      <c r="M384" s="17">
        <f t="shared" si="1"/>
        <v>1</v>
      </c>
      <c r="N384" s="24" t="str">
        <f t="array" ref="N384">if(isblank(A384),"",index(fish_lab_data!O:O,match(A384,fish_lab_data!C:C,0)))</f>
        <v>KB</v>
      </c>
      <c r="O384" s="24" t="str">
        <f t="array" ref="O384">index(fish_lab_data!Q:Q,match(A384,fish_lab_data!C:C,0))</f>
        <v>lab_motiles_etoh</v>
      </c>
      <c r="P384" s="24" t="str">
        <f t="array" ref="P384">if(and(iserror(index(sea_lice!G:G,match(A384,sea_lice!A:A,0))),M384=0),"NA",index(sea_lice!G:G,match(A384,sea_lice!A:A,0)))</f>
        <v>BSL7-56</v>
      </c>
      <c r="Q384" s="24">
        <f t="array" ref="Q384">if(isblank(A384),"",index(fish_lab_data!X:X,match(A384,fish_lab_data!C:C,0)))</f>
        <v>1098</v>
      </c>
    </row>
    <row r="385">
      <c r="A385" s="25" t="s">
        <v>1591</v>
      </c>
      <c r="B385" s="25">
        <v>0.0</v>
      </c>
      <c r="C385" s="25">
        <v>0.0</v>
      </c>
      <c r="D385" s="25">
        <v>0.0</v>
      </c>
      <c r="E385" s="25">
        <v>0.0</v>
      </c>
      <c r="F385" s="25">
        <v>0.0</v>
      </c>
      <c r="G385" s="25">
        <v>0.0</v>
      </c>
      <c r="H385" s="25">
        <v>0.0</v>
      </c>
      <c r="I385" s="25">
        <v>0.0</v>
      </c>
      <c r="J385" s="25">
        <v>0.0</v>
      </c>
      <c r="K385" s="25">
        <v>0.0</v>
      </c>
      <c r="L385" s="25">
        <v>0.0</v>
      </c>
      <c r="M385" s="17">
        <f t="shared" si="1"/>
        <v>0</v>
      </c>
      <c r="N385" s="24" t="str">
        <f t="array" ref="N385">if(isblank(A385),"",index(fish_lab_data!O:O,match(A385,fish_lab_data!C:C,0)))</f>
        <v>KB</v>
      </c>
      <c r="O385" s="24" t="str">
        <f t="array" ref="O385">index(fish_lab_data!Q:Q,match(A385,fish_lab_data!C:C,0))</f>
        <v>lab_motiles_etoh</v>
      </c>
      <c r="P385" s="24" t="str">
        <f t="array" ref="P385">if(and(iserror(index(sea_lice!G:G,match(A385,sea_lice!A:A,0))),M385=0),"NA",index(sea_lice!G:G,match(A385,sea_lice!A:A,0)))</f>
        <v>NA</v>
      </c>
      <c r="Q385" s="24">
        <f t="array" ref="Q385">if(isblank(A385),"",index(fish_lab_data!X:X,match(A385,fish_lab_data!C:C,0)))</f>
        <v>1108</v>
      </c>
    </row>
    <row r="386">
      <c r="A386" s="25" t="s">
        <v>1592</v>
      </c>
      <c r="B386" s="25">
        <v>0.0</v>
      </c>
      <c r="C386" s="25">
        <v>0.0</v>
      </c>
      <c r="D386" s="25">
        <v>0.0</v>
      </c>
      <c r="E386" s="25">
        <v>0.0</v>
      </c>
      <c r="F386" s="25">
        <v>0.0</v>
      </c>
      <c r="G386" s="25">
        <v>0.0</v>
      </c>
      <c r="H386" s="25">
        <v>0.0</v>
      </c>
      <c r="I386" s="25">
        <v>0.0</v>
      </c>
      <c r="J386" s="25">
        <v>0.0</v>
      </c>
      <c r="K386" s="25">
        <v>0.0</v>
      </c>
      <c r="L386" s="25">
        <v>0.0</v>
      </c>
      <c r="M386" s="17">
        <f t="shared" si="1"/>
        <v>0</v>
      </c>
      <c r="N386" s="24" t="str">
        <f t="array" ref="N386">if(isblank(A386),"",index(fish_lab_data!O:O,match(A386,fish_lab_data!C:C,0)))</f>
        <v>KB</v>
      </c>
      <c r="O386" s="24" t="str">
        <f t="array" ref="O386">index(fish_lab_data!Q:Q,match(A386,fish_lab_data!C:C,0))</f>
        <v>lab_motiles_etoh</v>
      </c>
      <c r="P386" s="24" t="str">
        <f t="array" ref="P386">if(and(iserror(index(sea_lice!G:G,match(A386,sea_lice!A:A,0))),M386=0),"NA",index(sea_lice!G:G,match(A386,sea_lice!A:A,0)))</f>
        <v>NA</v>
      </c>
      <c r="Q386" s="24">
        <f t="array" ref="Q386">if(isblank(A386),"",index(fish_lab_data!X:X,match(A386,fish_lab_data!C:C,0)))</f>
        <v>1109</v>
      </c>
    </row>
    <row r="387">
      <c r="A387" s="25" t="s">
        <v>1593</v>
      </c>
      <c r="B387" s="25">
        <v>0.0</v>
      </c>
      <c r="C387" s="25">
        <v>0.0</v>
      </c>
      <c r="D387" s="25">
        <v>0.0</v>
      </c>
      <c r="E387" s="25">
        <v>0.0</v>
      </c>
      <c r="F387" s="25">
        <v>0.0</v>
      </c>
      <c r="G387" s="25">
        <v>0.0</v>
      </c>
      <c r="H387" s="25">
        <v>0.0</v>
      </c>
      <c r="I387" s="25">
        <v>0.0</v>
      </c>
      <c r="J387" s="25">
        <v>0.0</v>
      </c>
      <c r="K387" s="25">
        <v>0.0</v>
      </c>
      <c r="L387" s="25">
        <v>0.0</v>
      </c>
      <c r="M387" s="17">
        <f t="shared" si="1"/>
        <v>0</v>
      </c>
      <c r="N387" s="24" t="str">
        <f t="array" ref="N387">if(isblank(A387),"",index(fish_lab_data!O:O,match(A387,fish_lab_data!C:C,0)))</f>
        <v>KB</v>
      </c>
      <c r="O387" s="24" t="str">
        <f t="array" ref="O387">index(fish_lab_data!Q:Q,match(A387,fish_lab_data!C:C,0))</f>
        <v>lab_motiles_etoh</v>
      </c>
      <c r="P387" s="24" t="str">
        <f t="array" ref="P387">if(and(iserror(index(sea_lice!G:G,match(A387,sea_lice!A:A,0))),M387=0),"NA",index(sea_lice!G:G,match(A387,sea_lice!A:A,0)))</f>
        <v>NA</v>
      </c>
      <c r="Q387" s="24">
        <f t="array" ref="Q387">if(isblank(A387),"",index(fish_lab_data!X:X,match(A387,fish_lab_data!C:C,0)))</f>
        <v>1110</v>
      </c>
    </row>
    <row r="388">
      <c r="A388" s="25" t="s">
        <v>1594</v>
      </c>
      <c r="B388" s="25">
        <v>0.0</v>
      </c>
      <c r="C388" s="25">
        <v>0.0</v>
      </c>
      <c r="D388" s="25">
        <v>0.0</v>
      </c>
      <c r="E388" s="25">
        <v>0.0</v>
      </c>
      <c r="F388" s="25">
        <v>0.0</v>
      </c>
      <c r="G388" s="25">
        <v>0.0</v>
      </c>
      <c r="H388" s="25">
        <v>0.0</v>
      </c>
      <c r="I388" s="25">
        <v>0.0</v>
      </c>
      <c r="J388" s="25">
        <v>0.0</v>
      </c>
      <c r="K388" s="25">
        <v>0.0</v>
      </c>
      <c r="L388" s="25">
        <v>0.0</v>
      </c>
      <c r="M388" s="17">
        <f t="shared" si="1"/>
        <v>0</v>
      </c>
      <c r="N388" s="24" t="str">
        <f t="array" ref="N388">if(isblank(A388),"",index(fish_lab_data!O:O,match(A388,fish_lab_data!C:C,0)))</f>
        <v>KB</v>
      </c>
      <c r="O388" s="24" t="str">
        <f t="array" ref="O388">index(fish_lab_data!Q:Q,match(A388,fish_lab_data!C:C,0))</f>
        <v>lab_motiles_etoh</v>
      </c>
      <c r="P388" s="24" t="str">
        <f t="array" ref="P388">if(and(iserror(index(sea_lice!G:G,match(A388,sea_lice!A:A,0))),M388=0),"NA",index(sea_lice!G:G,match(A388,sea_lice!A:A,0)))</f>
        <v>NA</v>
      </c>
      <c r="Q388" s="24">
        <f t="array" ref="Q388">if(isblank(A388),"",index(fish_lab_data!X:X,match(A388,fish_lab_data!C:C,0)))</f>
        <v>1111</v>
      </c>
    </row>
    <row r="389">
      <c r="A389" s="25" t="s">
        <v>1596</v>
      </c>
      <c r="B389" s="25">
        <v>0.0</v>
      </c>
      <c r="C389" s="25">
        <v>0.0</v>
      </c>
      <c r="D389" s="25">
        <v>0.0</v>
      </c>
      <c r="E389" s="25">
        <v>0.0</v>
      </c>
      <c r="F389" s="25">
        <v>0.0</v>
      </c>
      <c r="G389" s="25">
        <v>0.0</v>
      </c>
      <c r="H389" s="25">
        <v>0.0</v>
      </c>
      <c r="I389" s="25">
        <v>0.0</v>
      </c>
      <c r="J389" s="25">
        <v>0.0</v>
      </c>
      <c r="K389" s="25">
        <v>0.0</v>
      </c>
      <c r="L389" s="25">
        <v>0.0</v>
      </c>
      <c r="M389" s="17">
        <f t="shared" si="1"/>
        <v>0</v>
      </c>
      <c r="N389" s="24" t="str">
        <f t="array" ref="N389">if(isblank(A389),"",index(fish_lab_data!O:O,match(A389,fish_lab_data!C:C,0)))</f>
        <v>KB</v>
      </c>
      <c r="O389" s="24" t="str">
        <f t="array" ref="O389">index(fish_lab_data!Q:Q,match(A389,fish_lab_data!C:C,0))</f>
        <v>lab_motiles_etoh</v>
      </c>
      <c r="P389" s="24" t="str">
        <f t="array" ref="P389">if(and(iserror(index(sea_lice!G:G,match(A389,sea_lice!A:A,0))),M389=0),"NA",index(sea_lice!G:G,match(A389,sea_lice!A:A,0)))</f>
        <v>NA</v>
      </c>
      <c r="Q389" s="24">
        <f t="array" ref="Q389">if(isblank(A389),"",index(fish_lab_data!X:X,match(A389,fish_lab_data!C:C,0)))</f>
        <v>1112</v>
      </c>
    </row>
    <row r="390">
      <c r="A390" s="25" t="s">
        <v>1598</v>
      </c>
      <c r="B390" s="25">
        <v>0.0</v>
      </c>
      <c r="C390" s="25">
        <v>0.0</v>
      </c>
      <c r="D390" s="25">
        <v>0.0</v>
      </c>
      <c r="E390" s="25">
        <v>0.0</v>
      </c>
      <c r="F390" s="25">
        <v>0.0</v>
      </c>
      <c r="G390" s="25">
        <v>0.0</v>
      </c>
      <c r="H390" s="25">
        <v>0.0</v>
      </c>
      <c r="I390" s="25">
        <v>0.0</v>
      </c>
      <c r="J390" s="25">
        <v>0.0</v>
      </c>
      <c r="K390" s="25">
        <v>0.0</v>
      </c>
      <c r="L390" s="25">
        <v>0.0</v>
      </c>
      <c r="M390" s="17">
        <f t="shared" si="1"/>
        <v>0</v>
      </c>
      <c r="N390" s="24" t="str">
        <f t="array" ref="N390">if(isblank(A390),"",index(fish_lab_data!O:O,match(A390,fish_lab_data!C:C,0)))</f>
        <v>KB</v>
      </c>
      <c r="O390" s="24" t="str">
        <f t="array" ref="O390">index(fish_lab_data!Q:Q,match(A390,fish_lab_data!C:C,0))</f>
        <v>lab_motiles_etoh</v>
      </c>
      <c r="P390" s="24" t="str">
        <f t="array" ref="P390">if(and(iserror(index(sea_lice!G:G,match(A390,sea_lice!A:A,0))),M390=0),"NA",index(sea_lice!G:G,match(A390,sea_lice!A:A,0)))</f>
        <v>NA</v>
      </c>
      <c r="Q390" s="24">
        <f t="array" ref="Q390">if(isblank(A390),"",index(fish_lab_data!X:X,match(A390,fish_lab_data!C:C,0)))</f>
        <v>1113</v>
      </c>
    </row>
    <row r="391">
      <c r="A391" s="26" t="s">
        <v>1599</v>
      </c>
      <c r="B391" s="9">
        <v>0.0</v>
      </c>
      <c r="C391" s="9">
        <v>1.0</v>
      </c>
      <c r="D391" s="9">
        <v>0.0</v>
      </c>
      <c r="E391" s="9">
        <v>0.0</v>
      </c>
      <c r="F391" s="9">
        <v>0.0</v>
      </c>
      <c r="G391" s="9">
        <v>0.0</v>
      </c>
      <c r="H391" s="9">
        <v>0.0</v>
      </c>
      <c r="I391" s="9">
        <v>0.0</v>
      </c>
      <c r="J391" s="9">
        <v>0.0</v>
      </c>
      <c r="K391" s="9">
        <v>0.0</v>
      </c>
      <c r="L391" s="9">
        <v>0.0</v>
      </c>
      <c r="M391" s="17">
        <f t="shared" si="1"/>
        <v>1</v>
      </c>
      <c r="N391" s="24" t="str">
        <f t="array" ref="N391">if(isblank(A391),"",index(fish_lab_data!O:O,match(A391,fish_lab_data!C:C,0)))</f>
        <v>KB</v>
      </c>
      <c r="O391" s="24" t="str">
        <f t="array" ref="O391">index(fish_lab_data!Q:Q,match(A391,fish_lab_data!C:C,0))</f>
        <v>lab_motiles_etoh</v>
      </c>
      <c r="P391" s="24" t="str">
        <f t="array" ref="P391">if(and(iserror(index(sea_lice!G:G,match(A391,sea_lice!A:A,0))),M391=0),"NA",index(sea_lice!G:G,match(A391,sea_lice!A:A,0)))</f>
        <v>BSL7-61</v>
      </c>
      <c r="Q391" s="24">
        <f t="array" ref="Q391">if(isblank(A391),"",index(fish_lab_data!X:X,match(A391,fish_lab_data!C:C,0)))</f>
        <v>1114</v>
      </c>
    </row>
    <row r="392">
      <c r="A392" s="25" t="s">
        <v>1600</v>
      </c>
      <c r="B392" s="25">
        <v>0.0</v>
      </c>
      <c r="C392" s="25">
        <v>0.0</v>
      </c>
      <c r="D392" s="25">
        <v>0.0</v>
      </c>
      <c r="E392" s="25">
        <v>0.0</v>
      </c>
      <c r="F392" s="25">
        <v>0.0</v>
      </c>
      <c r="G392" s="25">
        <v>0.0</v>
      </c>
      <c r="H392" s="25">
        <v>0.0</v>
      </c>
      <c r="I392" s="25">
        <v>0.0</v>
      </c>
      <c r="J392" s="25">
        <v>0.0</v>
      </c>
      <c r="K392" s="25">
        <v>0.0</v>
      </c>
      <c r="L392" s="25">
        <v>0.0</v>
      </c>
      <c r="M392" s="17">
        <f t="shared" si="1"/>
        <v>0</v>
      </c>
      <c r="N392" s="24" t="str">
        <f t="array" ref="N392">if(isblank(A392),"",index(fish_lab_data!O:O,match(A392,fish_lab_data!C:C,0)))</f>
        <v>KB</v>
      </c>
      <c r="O392" s="24" t="str">
        <f t="array" ref="O392">index(fish_lab_data!Q:Q,match(A392,fish_lab_data!C:C,0))</f>
        <v>lab_motiles_etoh</v>
      </c>
      <c r="P392" s="24" t="str">
        <f t="array" ref="P392">if(and(iserror(index(sea_lice!G:G,match(A392,sea_lice!A:A,0))),M392=0),"NA",index(sea_lice!G:G,match(A392,sea_lice!A:A,0)))</f>
        <v>NA</v>
      </c>
      <c r="Q392" s="24">
        <f t="array" ref="Q392">if(isblank(A392),"",index(fish_lab_data!X:X,match(A392,fish_lab_data!C:C,0)))</f>
        <v>1115</v>
      </c>
    </row>
    <row r="393">
      <c r="A393" s="25" t="s">
        <v>1602</v>
      </c>
      <c r="B393" s="25">
        <v>0.0</v>
      </c>
      <c r="C393" s="25">
        <v>0.0</v>
      </c>
      <c r="D393" s="25">
        <v>0.0</v>
      </c>
      <c r="E393" s="25">
        <v>0.0</v>
      </c>
      <c r="F393" s="25">
        <v>0.0</v>
      </c>
      <c r="G393" s="25">
        <v>0.0</v>
      </c>
      <c r="H393" s="25">
        <v>0.0</v>
      </c>
      <c r="I393" s="25">
        <v>0.0</v>
      </c>
      <c r="J393" s="25">
        <v>0.0</v>
      </c>
      <c r="K393" s="25">
        <v>0.0</v>
      </c>
      <c r="L393" s="25">
        <v>0.0</v>
      </c>
      <c r="M393" s="17">
        <f t="shared" si="1"/>
        <v>0</v>
      </c>
      <c r="N393" s="24" t="str">
        <f t="array" ref="N393">if(isblank(A393),"",index(fish_lab_data!O:O,match(A393,fish_lab_data!C:C,0)))</f>
        <v>KB</v>
      </c>
      <c r="O393" s="24" t="str">
        <f t="array" ref="O393">index(fish_lab_data!Q:Q,match(A393,fish_lab_data!C:C,0))</f>
        <v>lab_motiles_etoh</v>
      </c>
      <c r="P393" s="24" t="str">
        <f t="array" ref="P393">if(and(iserror(index(sea_lice!G:G,match(A393,sea_lice!A:A,0))),M393=0),"NA",index(sea_lice!G:G,match(A393,sea_lice!A:A,0)))</f>
        <v>NA</v>
      </c>
      <c r="Q393" s="24">
        <f t="array" ref="Q393">if(isblank(A393),"",index(fish_lab_data!X:X,match(A393,fish_lab_data!C:C,0)))</f>
        <v>1116</v>
      </c>
    </row>
    <row r="394">
      <c r="A394" s="25" t="s">
        <v>1604</v>
      </c>
      <c r="B394" s="25">
        <v>0.0</v>
      </c>
      <c r="C394" s="25">
        <v>0.0</v>
      </c>
      <c r="D394" s="25">
        <v>0.0</v>
      </c>
      <c r="E394" s="25">
        <v>0.0</v>
      </c>
      <c r="F394" s="25">
        <v>0.0</v>
      </c>
      <c r="G394" s="25">
        <v>0.0</v>
      </c>
      <c r="H394" s="25">
        <v>0.0</v>
      </c>
      <c r="I394" s="25">
        <v>0.0</v>
      </c>
      <c r="J394" s="25">
        <v>0.0</v>
      </c>
      <c r="K394" s="25">
        <v>0.0</v>
      </c>
      <c r="L394" s="25">
        <v>0.0</v>
      </c>
      <c r="M394" s="17">
        <f t="shared" si="1"/>
        <v>0</v>
      </c>
      <c r="N394" s="24" t="str">
        <f t="array" ref="N394">if(isblank(A394),"",index(fish_lab_data!O:O,match(A394,fish_lab_data!C:C,0)))</f>
        <v>KB</v>
      </c>
      <c r="O394" s="24" t="str">
        <f t="array" ref="O394">index(fish_lab_data!Q:Q,match(A394,fish_lab_data!C:C,0))</f>
        <v>lab_motiles_etoh</v>
      </c>
      <c r="P394" s="24" t="str">
        <f t="array" ref="P394">if(and(iserror(index(sea_lice!G:G,match(A394,sea_lice!A:A,0))),M394=0),"NA",index(sea_lice!G:G,match(A394,sea_lice!A:A,0)))</f>
        <v>NA</v>
      </c>
      <c r="Q394" s="24">
        <f t="array" ref="Q394">if(isblank(A394),"",index(fish_lab_data!X:X,match(A394,fish_lab_data!C:C,0)))</f>
        <v>1117</v>
      </c>
    </row>
    <row r="395">
      <c r="A395" s="26" t="s">
        <v>1606</v>
      </c>
      <c r="B395" s="9">
        <v>1.0</v>
      </c>
      <c r="C395" s="9">
        <v>0.0</v>
      </c>
      <c r="D395" s="9">
        <v>0.0</v>
      </c>
      <c r="E395" s="9">
        <v>0.0</v>
      </c>
      <c r="F395" s="9">
        <v>0.0</v>
      </c>
      <c r="G395" s="9">
        <v>0.0</v>
      </c>
      <c r="H395" s="9">
        <v>0.0</v>
      </c>
      <c r="I395" s="9">
        <v>0.0</v>
      </c>
      <c r="J395" s="9">
        <v>0.0</v>
      </c>
      <c r="K395" s="9">
        <v>0.0</v>
      </c>
      <c r="L395" s="9">
        <v>0.0</v>
      </c>
      <c r="M395" s="17">
        <f t="shared" si="1"/>
        <v>1</v>
      </c>
      <c r="N395" s="24" t="str">
        <f t="array" ref="N395">if(isblank(A395),"",index(fish_lab_data!O:O,match(A395,fish_lab_data!C:C,0)))</f>
        <v>KB</v>
      </c>
      <c r="O395" s="24" t="str">
        <f t="array" ref="O395">index(fish_lab_data!Q:Q,match(A395,fish_lab_data!C:C,0))</f>
        <v>lab_motiles_etoh</v>
      </c>
      <c r="P395" s="24" t="str">
        <f t="array" ref="P395">if(and(iserror(index(sea_lice!G:G,match(A395,sea_lice!A:A,0))),M395=0),"NA",index(sea_lice!G:G,match(A395,sea_lice!A:A,0)))</f>
        <v>BSL7-64</v>
      </c>
      <c r="Q395" s="24">
        <f t="array" ref="Q395">if(isblank(A395),"",index(fish_lab_data!X:X,match(A395,fish_lab_data!C:C,0)))</f>
        <v>1118</v>
      </c>
    </row>
    <row r="396">
      <c r="A396" s="25" t="s">
        <v>1607</v>
      </c>
      <c r="B396" s="25">
        <v>0.0</v>
      </c>
      <c r="C396" s="25">
        <v>0.0</v>
      </c>
      <c r="D396" s="25">
        <v>0.0</v>
      </c>
      <c r="E396" s="25">
        <v>0.0</v>
      </c>
      <c r="F396" s="25">
        <v>0.0</v>
      </c>
      <c r="G396" s="25">
        <v>0.0</v>
      </c>
      <c r="H396" s="25">
        <v>0.0</v>
      </c>
      <c r="I396" s="25">
        <v>0.0</v>
      </c>
      <c r="J396" s="25">
        <v>0.0</v>
      </c>
      <c r="K396" s="25">
        <v>0.0</v>
      </c>
      <c r="L396" s="25">
        <v>0.0</v>
      </c>
      <c r="M396" s="17">
        <f t="shared" si="1"/>
        <v>0</v>
      </c>
      <c r="N396" s="24" t="str">
        <f t="array" ref="N396">if(isblank(A396),"",index(fish_lab_data!O:O,match(A396,fish_lab_data!C:C,0)))</f>
        <v>KB</v>
      </c>
      <c r="O396" s="24" t="str">
        <f t="array" ref="O396">index(fish_lab_data!Q:Q,match(A396,fish_lab_data!C:C,0))</f>
        <v>lab_motiles_etoh</v>
      </c>
      <c r="P396" s="24" t="str">
        <f t="array" ref="P396">if(and(iserror(index(sea_lice!G:G,match(A396,sea_lice!A:A,0))),M396=0),"NA",index(sea_lice!G:G,match(A396,sea_lice!A:A,0)))</f>
        <v>NA</v>
      </c>
      <c r="Q396" s="24">
        <f t="array" ref="Q396">if(isblank(A396),"",index(fish_lab_data!X:X,match(A396,fish_lab_data!C:C,0)))</f>
        <v>1119</v>
      </c>
    </row>
    <row r="397">
      <c r="A397" s="26" t="s">
        <v>1608</v>
      </c>
      <c r="B397" s="9">
        <v>0.0</v>
      </c>
      <c r="C397" s="9">
        <v>0.0</v>
      </c>
      <c r="D397" s="9">
        <v>1.0</v>
      </c>
      <c r="E397" s="9">
        <v>0.0</v>
      </c>
      <c r="F397" s="9">
        <v>0.0</v>
      </c>
      <c r="G397" s="9">
        <v>0.0</v>
      </c>
      <c r="H397" s="9">
        <v>0.0</v>
      </c>
      <c r="I397" s="9">
        <v>0.0</v>
      </c>
      <c r="J397" s="9">
        <v>0.0</v>
      </c>
      <c r="K397" s="9">
        <v>0.0</v>
      </c>
      <c r="L397" s="9">
        <v>0.0</v>
      </c>
      <c r="M397" s="17">
        <f t="shared" si="1"/>
        <v>1</v>
      </c>
      <c r="N397" s="24" t="str">
        <f t="array" ref="N397">if(isblank(A397),"",index(fish_lab_data!O:O,match(A397,fish_lab_data!C:C,0)))</f>
        <v>KB</v>
      </c>
      <c r="O397" s="24" t="str">
        <f t="array" ref="O397">index(fish_lab_data!Q:Q,match(A397,fish_lab_data!C:C,0))</f>
        <v>lab_motiles_etoh</v>
      </c>
      <c r="P397" s="24" t="str">
        <f t="array" ref="P397">if(and(iserror(index(sea_lice!G:G,match(A397,sea_lice!A:A,0))),M397=0),"NA",index(sea_lice!G:G,match(A397,sea_lice!A:A,0)))</f>
        <v>BSL7-65</v>
      </c>
      <c r="Q397" s="24">
        <f t="array" ref="Q397">if(isblank(A397),"",index(fish_lab_data!X:X,match(A397,fish_lab_data!C:C,0)))</f>
        <v>1120</v>
      </c>
    </row>
    <row r="398">
      <c r="A398" s="25" t="s">
        <v>1609</v>
      </c>
      <c r="B398" s="25">
        <v>0.0</v>
      </c>
      <c r="C398" s="25">
        <v>0.0</v>
      </c>
      <c r="D398" s="25">
        <v>0.0</v>
      </c>
      <c r="E398" s="25">
        <v>0.0</v>
      </c>
      <c r="F398" s="25">
        <v>0.0</v>
      </c>
      <c r="G398" s="25">
        <v>0.0</v>
      </c>
      <c r="H398" s="25">
        <v>0.0</v>
      </c>
      <c r="I398" s="25">
        <v>0.0</v>
      </c>
      <c r="J398" s="25">
        <v>0.0</v>
      </c>
      <c r="K398" s="25">
        <v>0.0</v>
      </c>
      <c r="L398" s="25">
        <v>0.0</v>
      </c>
      <c r="M398" s="17">
        <f t="shared" si="1"/>
        <v>0</v>
      </c>
      <c r="N398" s="24" t="str">
        <f t="array" ref="N398">if(isblank(A398),"",index(fish_lab_data!O:O,match(A398,fish_lab_data!C:C,0)))</f>
        <v>KB</v>
      </c>
      <c r="O398" s="24" t="str">
        <f t="array" ref="O398">index(fish_lab_data!Q:Q,match(A398,fish_lab_data!C:C,0))</f>
        <v>lab_motiles_etoh</v>
      </c>
      <c r="P398" s="24" t="str">
        <f t="array" ref="P398">if(and(iserror(index(sea_lice!G:G,match(A398,sea_lice!A:A,0))),M398=0),"NA",index(sea_lice!G:G,match(A398,sea_lice!A:A,0)))</f>
        <v>NA</v>
      </c>
      <c r="Q398" s="24">
        <f t="array" ref="Q398">if(isblank(A398),"",index(fish_lab_data!X:X,match(A398,fish_lab_data!C:C,0)))</f>
        <v>1121</v>
      </c>
    </row>
    <row r="399">
      <c r="A399" s="26" t="s">
        <v>1610</v>
      </c>
      <c r="B399" s="9">
        <v>2.0</v>
      </c>
      <c r="C399" s="9">
        <v>0.0</v>
      </c>
      <c r="D399" s="9">
        <v>0.0</v>
      </c>
      <c r="E399" s="9">
        <v>0.0</v>
      </c>
      <c r="F399" s="9">
        <v>0.0</v>
      </c>
      <c r="G399" s="9">
        <v>0.0</v>
      </c>
      <c r="H399" s="9">
        <v>0.0</v>
      </c>
      <c r="I399" s="9">
        <v>0.0</v>
      </c>
      <c r="J399" s="9">
        <v>0.0</v>
      </c>
      <c r="K399" s="9">
        <v>0.0</v>
      </c>
      <c r="L399" s="9">
        <v>0.0</v>
      </c>
      <c r="M399" s="17">
        <f t="shared" si="1"/>
        <v>2</v>
      </c>
      <c r="N399" s="24" t="str">
        <f t="array" ref="N399">if(isblank(A399),"",index(fish_lab_data!O:O,match(A399,fish_lab_data!C:C,0)))</f>
        <v>KB</v>
      </c>
      <c r="O399" s="24" t="str">
        <f t="array" ref="O399">index(fish_lab_data!Q:Q,match(A399,fish_lab_data!C:C,0))</f>
        <v>lab_motiles_etoh</v>
      </c>
      <c r="P399" s="24" t="str">
        <f t="array" ref="P399">if(and(iserror(index(sea_lice!G:G,match(A399,sea_lice!A:A,0))),M399=0),"NA",index(sea_lice!G:G,match(A399,sea_lice!A:A,0)))</f>
        <v>BSL7-67</v>
      </c>
      <c r="Q399" s="24">
        <f t="array" ref="Q399">if(isblank(A399),"",index(fish_lab_data!X:X,match(A399,fish_lab_data!C:C,0)))</f>
        <v>1122</v>
      </c>
    </row>
    <row r="400">
      <c r="A400" s="26" t="s">
        <v>1612</v>
      </c>
      <c r="B400" s="9">
        <v>0.0</v>
      </c>
      <c r="C400" s="9">
        <v>0.0</v>
      </c>
      <c r="D400" s="9">
        <v>0.0</v>
      </c>
      <c r="E400" s="9">
        <v>1.0</v>
      </c>
      <c r="F400" s="9">
        <v>0.0</v>
      </c>
      <c r="G400" s="9">
        <v>0.0</v>
      </c>
      <c r="H400" s="9">
        <v>0.0</v>
      </c>
      <c r="I400" s="9">
        <v>0.0</v>
      </c>
      <c r="J400" s="9">
        <v>0.0</v>
      </c>
      <c r="K400" s="9">
        <v>0.0</v>
      </c>
      <c r="L400" s="9">
        <v>0.0</v>
      </c>
      <c r="M400" s="17">
        <f t="shared" si="1"/>
        <v>1</v>
      </c>
      <c r="N400" s="24" t="str">
        <f t="array" ref="N400">if(isblank(A400),"",index(fish_lab_data!O:O,match(A400,fish_lab_data!C:C,0)))</f>
        <v>KB</v>
      </c>
      <c r="O400" s="24" t="str">
        <f t="array" ref="O400">index(fish_lab_data!Q:Q,match(A400,fish_lab_data!C:C,0))</f>
        <v>lab_motiles_etoh</v>
      </c>
      <c r="P400" s="24" t="str">
        <f t="array" ref="P400">if(and(iserror(index(sea_lice!G:G,match(A400,sea_lice!A:A,0))),M400=0),"NA",index(sea_lice!G:G,match(A400,sea_lice!A:A,0)))</f>
        <v>BSL7-69</v>
      </c>
      <c r="Q400" s="24">
        <f t="array" ref="Q400">if(isblank(A400),"",index(fish_lab_data!X:X,match(A400,fish_lab_data!C:C,0)))</f>
        <v>1123</v>
      </c>
    </row>
    <row r="401">
      <c r="A401" s="26" t="s">
        <v>1613</v>
      </c>
      <c r="B401" s="9">
        <v>0.0</v>
      </c>
      <c r="C401" s="9">
        <v>0.0</v>
      </c>
      <c r="D401" s="9">
        <v>0.0</v>
      </c>
      <c r="E401" s="9">
        <v>1.0</v>
      </c>
      <c r="F401" s="9">
        <v>0.0</v>
      </c>
      <c r="G401" s="9">
        <v>0.0</v>
      </c>
      <c r="H401" s="9">
        <v>0.0</v>
      </c>
      <c r="I401" s="9">
        <v>0.0</v>
      </c>
      <c r="J401" s="9">
        <v>0.0</v>
      </c>
      <c r="K401" s="9">
        <v>0.0</v>
      </c>
      <c r="L401" s="9">
        <v>0.0</v>
      </c>
      <c r="M401" s="17">
        <f t="shared" si="1"/>
        <v>1</v>
      </c>
      <c r="N401" s="24" t="str">
        <f t="array" ref="N401">if(isblank(A401),"",index(fish_lab_data!O:O,match(A401,fish_lab_data!C:C,0)))</f>
        <v>KB</v>
      </c>
      <c r="O401" s="24" t="str">
        <f t="array" ref="O401">index(fish_lab_data!Q:Q,match(A401,fish_lab_data!C:C,0))</f>
        <v>lab_motiles_etoh</v>
      </c>
      <c r="P401" s="24" t="str">
        <f t="array" ref="P401">if(and(iserror(index(sea_lice!G:G,match(A401,sea_lice!A:A,0))),M401=0),"NA",index(sea_lice!G:G,match(A401,sea_lice!A:A,0)))</f>
        <v>BSL7-70</v>
      </c>
      <c r="Q401" s="24">
        <f t="array" ref="Q401">if(isblank(A401),"",index(fish_lab_data!X:X,match(A401,fish_lab_data!C:C,0)))</f>
        <v>1124</v>
      </c>
    </row>
    <row r="402">
      <c r="A402" s="25" t="s">
        <v>1614</v>
      </c>
      <c r="B402" s="25">
        <v>0.0</v>
      </c>
      <c r="C402" s="25">
        <v>0.0</v>
      </c>
      <c r="D402" s="25">
        <v>0.0</v>
      </c>
      <c r="E402" s="25">
        <v>0.0</v>
      </c>
      <c r="F402" s="25">
        <v>0.0</v>
      </c>
      <c r="G402" s="25">
        <v>0.0</v>
      </c>
      <c r="H402" s="25">
        <v>0.0</v>
      </c>
      <c r="I402" s="25">
        <v>0.0</v>
      </c>
      <c r="J402" s="25">
        <v>0.0</v>
      </c>
      <c r="K402" s="25">
        <v>0.0</v>
      </c>
      <c r="L402" s="25">
        <v>0.0</v>
      </c>
      <c r="M402" s="17">
        <f t="shared" si="1"/>
        <v>0</v>
      </c>
      <c r="N402" s="24" t="str">
        <f t="array" ref="N402">if(isblank(A402),"",index(fish_lab_data!O:O,match(A402,fish_lab_data!C:C,0)))</f>
        <v>JG</v>
      </c>
      <c r="O402" s="24" t="str">
        <f t="array" ref="O402">index(fish_lab_data!Q:Q,match(A402,fish_lab_data!C:C,0))</f>
        <v>lab_motiles_etoh</v>
      </c>
      <c r="P402" s="24" t="str">
        <f t="array" ref="P402">if(and(iserror(index(sea_lice!G:G,match(A402,sea_lice!A:A,0))),M402=0),"NA",index(sea_lice!G:G,match(A402,sea_lice!A:A,0)))</f>
        <v>NA</v>
      </c>
      <c r="Q402" s="24">
        <f t="array" ref="Q402">if(isblank(A402),"",index(fish_lab_data!X:X,match(A402,fish_lab_data!C:C,0)))</f>
        <v>1125</v>
      </c>
    </row>
    <row r="403">
      <c r="A403" s="25" t="s">
        <v>1615</v>
      </c>
      <c r="B403" s="25">
        <v>0.0</v>
      </c>
      <c r="C403" s="25">
        <v>0.0</v>
      </c>
      <c r="D403" s="25">
        <v>0.0</v>
      </c>
      <c r="E403" s="25">
        <v>0.0</v>
      </c>
      <c r="F403" s="25">
        <v>0.0</v>
      </c>
      <c r="G403" s="25">
        <v>0.0</v>
      </c>
      <c r="H403" s="25">
        <v>0.0</v>
      </c>
      <c r="I403" s="25">
        <v>0.0</v>
      </c>
      <c r="J403" s="25">
        <v>0.0</v>
      </c>
      <c r="K403" s="25">
        <v>0.0</v>
      </c>
      <c r="L403" s="25">
        <v>0.0</v>
      </c>
      <c r="M403" s="17">
        <f t="shared" si="1"/>
        <v>0</v>
      </c>
      <c r="N403" s="24" t="str">
        <f t="array" ref="N403">if(isblank(A403),"",index(fish_lab_data!O:O,match(A403,fish_lab_data!C:C,0)))</f>
        <v>JG</v>
      </c>
      <c r="O403" s="24" t="str">
        <f t="array" ref="O403">index(fish_lab_data!Q:Q,match(A403,fish_lab_data!C:C,0))</f>
        <v>lab_motiles_etoh</v>
      </c>
      <c r="P403" s="24" t="str">
        <f t="array" ref="P403">if(and(iserror(index(sea_lice!G:G,match(A403,sea_lice!A:A,0))),M403=0),"NA",index(sea_lice!G:G,match(A403,sea_lice!A:A,0)))</f>
        <v>NA</v>
      </c>
      <c r="Q403" s="24">
        <f t="array" ref="Q403">if(isblank(A403),"",index(fish_lab_data!X:X,match(A403,fish_lab_data!C:C,0)))</f>
        <v>1126</v>
      </c>
    </row>
    <row r="404">
      <c r="A404" s="25" t="s">
        <v>1618</v>
      </c>
      <c r="B404" s="25">
        <v>0.0</v>
      </c>
      <c r="C404" s="25">
        <v>0.0</v>
      </c>
      <c r="D404" s="25">
        <v>0.0</v>
      </c>
      <c r="E404" s="25">
        <v>0.0</v>
      </c>
      <c r="F404" s="25">
        <v>0.0</v>
      </c>
      <c r="G404" s="25">
        <v>0.0</v>
      </c>
      <c r="H404" s="25">
        <v>0.0</v>
      </c>
      <c r="I404" s="25">
        <v>0.0</v>
      </c>
      <c r="J404" s="25">
        <v>0.0</v>
      </c>
      <c r="K404" s="25">
        <v>0.0</v>
      </c>
      <c r="L404" s="25">
        <v>0.0</v>
      </c>
      <c r="M404" s="17">
        <f t="shared" si="1"/>
        <v>0</v>
      </c>
      <c r="N404" s="24" t="str">
        <f t="array" ref="N404">if(isblank(A404),"",index(fish_lab_data!O:O,match(A404,fish_lab_data!C:C,0)))</f>
        <v>JG</v>
      </c>
      <c r="O404" s="24" t="str">
        <f t="array" ref="O404">index(fish_lab_data!Q:Q,match(A404,fish_lab_data!C:C,0))</f>
        <v>lab_motiles_etoh</v>
      </c>
      <c r="P404" s="24" t="str">
        <f t="array" ref="P404">if(and(iserror(index(sea_lice!G:G,match(A404,sea_lice!A:A,0))),M404=0),"NA",index(sea_lice!G:G,match(A404,sea_lice!A:A,0)))</f>
        <v>NA</v>
      </c>
      <c r="Q404" s="24">
        <f t="array" ref="Q404">if(isblank(A404),"",index(fish_lab_data!X:X,match(A404,fish_lab_data!C:C,0)))</f>
        <v>1127</v>
      </c>
    </row>
    <row r="405">
      <c r="A405" s="25" t="s">
        <v>1619</v>
      </c>
      <c r="B405" s="25">
        <v>0.0</v>
      </c>
      <c r="C405" s="25">
        <v>0.0</v>
      </c>
      <c r="D405" s="25">
        <v>0.0</v>
      </c>
      <c r="E405" s="25">
        <v>0.0</v>
      </c>
      <c r="F405" s="25">
        <v>0.0</v>
      </c>
      <c r="G405" s="25">
        <v>0.0</v>
      </c>
      <c r="H405" s="25">
        <v>0.0</v>
      </c>
      <c r="I405" s="25">
        <v>0.0</v>
      </c>
      <c r="J405" s="25">
        <v>0.0</v>
      </c>
      <c r="K405" s="25">
        <v>0.0</v>
      </c>
      <c r="L405" s="25">
        <v>0.0</v>
      </c>
      <c r="M405" s="17">
        <f t="shared" si="1"/>
        <v>0</v>
      </c>
      <c r="N405" s="24" t="str">
        <f t="array" ref="N405">if(isblank(A405),"",index(fish_lab_data!O:O,match(A405,fish_lab_data!C:C,0)))</f>
        <v>JG</v>
      </c>
      <c r="O405" s="24" t="str">
        <f t="array" ref="O405">index(fish_lab_data!Q:Q,match(A405,fish_lab_data!C:C,0))</f>
        <v>lab_motiles_etoh</v>
      </c>
      <c r="P405" s="24" t="str">
        <f t="array" ref="P405">if(and(iserror(index(sea_lice!G:G,match(A405,sea_lice!A:A,0))),M405=0),"NA",index(sea_lice!G:G,match(A405,sea_lice!A:A,0)))</f>
        <v>NA</v>
      </c>
      <c r="Q405" s="24">
        <f t="array" ref="Q405">if(isblank(A405),"",index(fish_lab_data!X:X,match(A405,fish_lab_data!C:C,0)))</f>
        <v>1128</v>
      </c>
    </row>
    <row r="406">
      <c r="A406" s="26" t="s">
        <v>1620</v>
      </c>
      <c r="B406" s="25">
        <v>0.0</v>
      </c>
      <c r="C406" s="25">
        <v>0.0</v>
      </c>
      <c r="D406" s="25">
        <v>0.0</v>
      </c>
      <c r="E406" s="9">
        <v>1.0</v>
      </c>
      <c r="F406" s="25">
        <v>0.0</v>
      </c>
      <c r="G406" s="25">
        <v>0.0</v>
      </c>
      <c r="H406" s="25">
        <v>0.0</v>
      </c>
      <c r="I406" s="25">
        <v>0.0</v>
      </c>
      <c r="J406" s="25">
        <v>0.0</v>
      </c>
      <c r="K406" s="25">
        <v>0.0</v>
      </c>
      <c r="L406" s="25">
        <v>0.0</v>
      </c>
      <c r="M406" s="17">
        <f t="shared" si="1"/>
        <v>1</v>
      </c>
      <c r="N406" s="24" t="str">
        <f t="array" ref="N406">if(isblank(A406),"",index(fish_lab_data!O:O,match(A406,fish_lab_data!C:C,0)))</f>
        <v>JG</v>
      </c>
      <c r="O406" s="24" t="str">
        <f t="array" ref="O406">index(fish_lab_data!Q:Q,match(A406,fish_lab_data!C:C,0))</f>
        <v>lab_motiles_etoh</v>
      </c>
      <c r="P406" s="24" t="str">
        <f t="array" ref="P406">if(and(iserror(index(sea_lice!G:G,match(A406,sea_lice!A:A,0))),M406=0),"NA",index(sea_lice!G:G,match(A406,sea_lice!A:A,0)))</f>
        <v>BSL7-60</v>
      </c>
      <c r="Q406" s="24">
        <f t="array" ref="Q406">if(isblank(A406),"",index(fish_lab_data!X:X,match(A406,fish_lab_data!C:C,0)))</f>
        <v>1129</v>
      </c>
    </row>
    <row r="407">
      <c r="A407" s="25" t="s">
        <v>1621</v>
      </c>
      <c r="B407" s="25">
        <v>0.0</v>
      </c>
      <c r="C407" s="25">
        <v>0.0</v>
      </c>
      <c r="D407" s="25">
        <v>0.0</v>
      </c>
      <c r="E407" s="25">
        <v>0.0</v>
      </c>
      <c r="F407" s="25">
        <v>0.0</v>
      </c>
      <c r="G407" s="25">
        <v>0.0</v>
      </c>
      <c r="H407" s="25">
        <v>0.0</v>
      </c>
      <c r="I407" s="25">
        <v>0.0</v>
      </c>
      <c r="J407" s="25">
        <v>0.0</v>
      </c>
      <c r="K407" s="25">
        <v>0.0</v>
      </c>
      <c r="L407" s="25">
        <v>0.0</v>
      </c>
      <c r="M407" s="17">
        <f t="shared" si="1"/>
        <v>0</v>
      </c>
      <c r="N407" s="24" t="str">
        <f t="array" ref="N407">if(isblank(A407),"",index(fish_lab_data!O:O,match(A407,fish_lab_data!C:C,0)))</f>
        <v>JG</v>
      </c>
      <c r="O407" s="24" t="str">
        <f t="array" ref="O407">index(fish_lab_data!Q:Q,match(A407,fish_lab_data!C:C,0))</f>
        <v>lab_motiles_etoh</v>
      </c>
      <c r="P407" s="24" t="str">
        <f t="array" ref="P407">if(and(iserror(index(sea_lice!G:G,match(A407,sea_lice!A:A,0))),M407=0),"NA",index(sea_lice!G:G,match(A407,sea_lice!A:A,0)))</f>
        <v>NA</v>
      </c>
      <c r="Q407" s="24">
        <f t="array" ref="Q407">if(isblank(A407),"",index(fish_lab_data!X:X,match(A407,fish_lab_data!C:C,0)))</f>
        <v>1130</v>
      </c>
    </row>
    <row r="408">
      <c r="A408" s="26" t="s">
        <v>1623</v>
      </c>
      <c r="B408" s="25">
        <v>0.0</v>
      </c>
      <c r="C408" s="25">
        <v>0.0</v>
      </c>
      <c r="D408" s="25">
        <v>0.0</v>
      </c>
      <c r="E408" s="9">
        <v>1.0</v>
      </c>
      <c r="F408" s="25">
        <v>0.0</v>
      </c>
      <c r="G408" s="25">
        <v>0.0</v>
      </c>
      <c r="H408" s="25">
        <v>0.0</v>
      </c>
      <c r="I408" s="25">
        <v>0.0</v>
      </c>
      <c r="J408" s="25">
        <v>0.0</v>
      </c>
      <c r="K408" s="25">
        <v>0.0</v>
      </c>
      <c r="L408" s="25">
        <v>0.0</v>
      </c>
      <c r="M408" s="17">
        <f t="shared" si="1"/>
        <v>1</v>
      </c>
      <c r="N408" s="24" t="str">
        <f t="array" ref="N408">if(isblank(A408),"",index(fish_lab_data!O:O,match(A408,fish_lab_data!C:C,0)))</f>
        <v>JG</v>
      </c>
      <c r="O408" s="24" t="str">
        <f t="array" ref="O408">index(fish_lab_data!Q:Q,match(A408,fish_lab_data!C:C,0))</f>
        <v>lab_motiles_etoh</v>
      </c>
      <c r="P408" s="24" t="str">
        <f t="array" ref="P408">if(and(iserror(index(sea_lice!G:G,match(A408,sea_lice!A:A,0))),M408=0),"NA",index(sea_lice!G:G,match(A408,sea_lice!A:A,0)))</f>
        <v>BSL7-62</v>
      </c>
      <c r="Q408" s="24">
        <f t="array" ref="Q408">if(isblank(A408),"",index(fish_lab_data!X:X,match(A408,fish_lab_data!C:C,0)))</f>
        <v>1131</v>
      </c>
    </row>
    <row r="409">
      <c r="A409" s="25" t="s">
        <v>1625</v>
      </c>
      <c r="B409" s="25">
        <v>0.0</v>
      </c>
      <c r="C409" s="25">
        <v>0.0</v>
      </c>
      <c r="D409" s="25">
        <v>0.0</v>
      </c>
      <c r="E409" s="25">
        <v>0.0</v>
      </c>
      <c r="F409" s="25">
        <v>0.0</v>
      </c>
      <c r="G409" s="25">
        <v>0.0</v>
      </c>
      <c r="H409" s="25">
        <v>0.0</v>
      </c>
      <c r="I409" s="25">
        <v>0.0</v>
      </c>
      <c r="J409" s="25">
        <v>0.0</v>
      </c>
      <c r="K409" s="25">
        <v>0.0</v>
      </c>
      <c r="L409" s="25">
        <v>0.0</v>
      </c>
      <c r="M409" s="17">
        <f t="shared" si="1"/>
        <v>0</v>
      </c>
      <c r="N409" s="24" t="str">
        <f t="array" ref="N409">if(isblank(A409),"",index(fish_lab_data!O:O,match(A409,fish_lab_data!C:C,0)))</f>
        <v>JG</v>
      </c>
      <c r="O409" s="24" t="str">
        <f t="array" ref="O409">index(fish_lab_data!Q:Q,match(A409,fish_lab_data!C:C,0))</f>
        <v>lab_motiles_etoh</v>
      </c>
      <c r="P409" s="24" t="str">
        <f t="array" ref="P409">if(and(iserror(index(sea_lice!G:G,match(A409,sea_lice!A:A,0))),M409=0),"NA",index(sea_lice!G:G,match(A409,sea_lice!A:A,0)))</f>
        <v>NA</v>
      </c>
      <c r="Q409" s="24">
        <f t="array" ref="Q409">if(isblank(A409),"",index(fish_lab_data!X:X,match(A409,fish_lab_data!C:C,0)))</f>
        <v>1133</v>
      </c>
    </row>
    <row r="410">
      <c r="A410" s="25" t="s">
        <v>1626</v>
      </c>
      <c r="B410" s="25">
        <v>0.0</v>
      </c>
      <c r="C410" s="25">
        <v>0.0</v>
      </c>
      <c r="D410" s="25">
        <v>0.0</v>
      </c>
      <c r="E410" s="25">
        <v>0.0</v>
      </c>
      <c r="F410" s="25">
        <v>0.0</v>
      </c>
      <c r="G410" s="25">
        <v>0.0</v>
      </c>
      <c r="H410" s="25">
        <v>0.0</v>
      </c>
      <c r="I410" s="25">
        <v>0.0</v>
      </c>
      <c r="J410" s="25">
        <v>0.0</v>
      </c>
      <c r="K410" s="25">
        <v>0.0</v>
      </c>
      <c r="L410" s="25">
        <v>0.0</v>
      </c>
      <c r="M410" s="17">
        <f t="shared" si="1"/>
        <v>0</v>
      </c>
      <c r="N410" s="24" t="str">
        <f t="array" ref="N410">if(isblank(A410),"",index(fish_lab_data!O:O,match(A410,fish_lab_data!C:C,0)))</f>
        <v>JG</v>
      </c>
      <c r="O410" s="24" t="str">
        <f t="array" ref="O410">index(fish_lab_data!Q:Q,match(A410,fish_lab_data!C:C,0))</f>
        <v>lab_motiles_etoh</v>
      </c>
      <c r="P410" s="24" t="str">
        <f t="array" ref="P410">if(and(iserror(index(sea_lice!G:G,match(A410,sea_lice!A:A,0))),M410=0),"NA",index(sea_lice!G:G,match(A410,sea_lice!A:A,0)))</f>
        <v>NA</v>
      </c>
      <c r="Q410" s="24">
        <f t="array" ref="Q410">if(isblank(A410),"",index(fish_lab_data!X:X,match(A410,fish_lab_data!C:C,0)))</f>
        <v>1134</v>
      </c>
    </row>
    <row r="411">
      <c r="A411" s="25" t="s">
        <v>1627</v>
      </c>
      <c r="B411" s="25">
        <v>0.0</v>
      </c>
      <c r="C411" s="25">
        <v>0.0</v>
      </c>
      <c r="D411" s="25">
        <v>0.0</v>
      </c>
      <c r="E411" s="25">
        <v>0.0</v>
      </c>
      <c r="F411" s="25">
        <v>0.0</v>
      </c>
      <c r="G411" s="25">
        <v>0.0</v>
      </c>
      <c r="H411" s="25">
        <v>0.0</v>
      </c>
      <c r="I411" s="25">
        <v>0.0</v>
      </c>
      <c r="J411" s="25">
        <v>0.0</v>
      </c>
      <c r="K411" s="25">
        <v>0.0</v>
      </c>
      <c r="L411" s="25">
        <v>0.0</v>
      </c>
      <c r="M411" s="17">
        <f t="shared" si="1"/>
        <v>0</v>
      </c>
      <c r="N411" s="24" t="str">
        <f t="array" ref="N411">if(isblank(A411),"",index(fish_lab_data!O:O,match(A411,fish_lab_data!C:C,0)))</f>
        <v>JG</v>
      </c>
      <c r="O411" s="24" t="str">
        <f t="array" ref="O411">index(fish_lab_data!Q:Q,match(A411,fish_lab_data!C:C,0))</f>
        <v>lab_motiles_etoh</v>
      </c>
      <c r="P411" s="24" t="str">
        <f t="array" ref="P411">if(and(iserror(index(sea_lice!G:G,match(A411,sea_lice!A:A,0))),M411=0),"NA",index(sea_lice!G:G,match(A411,sea_lice!A:A,0)))</f>
        <v>NA</v>
      </c>
      <c r="Q411" s="24">
        <f t="array" ref="Q411">if(isblank(A411),"",index(fish_lab_data!X:X,match(A411,fish_lab_data!C:C,0)))</f>
        <v>1135</v>
      </c>
    </row>
    <row r="412">
      <c r="A412" s="26" t="s">
        <v>1629</v>
      </c>
      <c r="B412" s="25">
        <v>0.0</v>
      </c>
      <c r="C412" s="25">
        <v>0.0</v>
      </c>
      <c r="D412" s="25">
        <v>0.0</v>
      </c>
      <c r="E412" s="9">
        <v>1.0</v>
      </c>
      <c r="F412" s="25">
        <v>0.0</v>
      </c>
      <c r="G412" s="25">
        <v>0.0</v>
      </c>
      <c r="H412" s="25">
        <v>0.0</v>
      </c>
      <c r="I412" s="25">
        <v>0.0</v>
      </c>
      <c r="J412" s="25">
        <v>0.0</v>
      </c>
      <c r="K412" s="25">
        <v>0.0</v>
      </c>
      <c r="L412" s="25">
        <v>0.0</v>
      </c>
      <c r="M412" s="17">
        <f t="shared" si="1"/>
        <v>1</v>
      </c>
      <c r="N412" s="24" t="str">
        <f t="array" ref="N412">if(isblank(A412),"",index(fish_lab_data!O:O,match(A412,fish_lab_data!C:C,0)))</f>
        <v>JG</v>
      </c>
      <c r="O412" s="24" t="str">
        <f t="array" ref="O412">index(fish_lab_data!Q:Q,match(A412,fish_lab_data!C:C,0))</f>
        <v>lab_motiles_etoh</v>
      </c>
      <c r="P412" s="24" t="str">
        <f t="array" ref="P412">if(and(iserror(index(sea_lice!G:G,match(A412,sea_lice!A:A,0))),M412=0),"NA",index(sea_lice!G:G,match(A412,sea_lice!A:A,0)))</f>
        <v>BSL7-66</v>
      </c>
      <c r="Q412" s="24">
        <f t="array" ref="Q412">if(isblank(A412),"",index(fish_lab_data!X:X,match(A412,fish_lab_data!C:C,0)))</f>
        <v>1136</v>
      </c>
    </row>
    <row r="413">
      <c r="A413" s="25" t="s">
        <v>1630</v>
      </c>
      <c r="B413" s="25">
        <v>0.0</v>
      </c>
      <c r="C413" s="25">
        <v>0.0</v>
      </c>
      <c r="D413" s="25">
        <v>0.0</v>
      </c>
      <c r="E413" s="25">
        <v>0.0</v>
      </c>
      <c r="F413" s="25">
        <v>0.0</v>
      </c>
      <c r="G413" s="25">
        <v>0.0</v>
      </c>
      <c r="H413" s="25">
        <v>0.0</v>
      </c>
      <c r="I413" s="25">
        <v>0.0</v>
      </c>
      <c r="J413" s="25">
        <v>0.0</v>
      </c>
      <c r="K413" s="25">
        <v>0.0</v>
      </c>
      <c r="L413" s="25">
        <v>0.0</v>
      </c>
      <c r="M413" s="17">
        <f t="shared" si="1"/>
        <v>0</v>
      </c>
      <c r="N413" s="24" t="str">
        <f t="array" ref="N413">if(isblank(A413),"",index(fish_lab_data!O:O,match(A413,fish_lab_data!C:C,0)))</f>
        <v>JG</v>
      </c>
      <c r="O413" s="24" t="str">
        <f t="array" ref="O413">index(fish_lab_data!Q:Q,match(A413,fish_lab_data!C:C,0))</f>
        <v>lab_motiles_etoh</v>
      </c>
      <c r="P413" s="24" t="str">
        <f t="array" ref="P413">if(and(iserror(index(sea_lice!G:G,match(A413,sea_lice!A:A,0))),M413=0),"NA",index(sea_lice!G:G,match(A413,sea_lice!A:A,0)))</f>
        <v>NA</v>
      </c>
      <c r="Q413" s="24">
        <f t="array" ref="Q413">if(isblank(A413),"",index(fish_lab_data!X:X,match(A413,fish_lab_data!C:C,0)))</f>
        <v>1137</v>
      </c>
    </row>
    <row r="414">
      <c r="A414" s="26" t="s">
        <v>1632</v>
      </c>
      <c r="B414" s="25">
        <v>0.0</v>
      </c>
      <c r="C414" s="25">
        <v>0.0</v>
      </c>
      <c r="D414" s="25">
        <v>0.0</v>
      </c>
      <c r="E414" s="9">
        <v>1.0</v>
      </c>
      <c r="F414" s="25">
        <v>0.0</v>
      </c>
      <c r="G414" s="25">
        <v>0.0</v>
      </c>
      <c r="H414" s="25">
        <v>0.0</v>
      </c>
      <c r="I414" s="25">
        <v>0.0</v>
      </c>
      <c r="J414" s="25">
        <v>0.0</v>
      </c>
      <c r="K414" s="25">
        <v>0.0</v>
      </c>
      <c r="L414" s="25">
        <v>0.0</v>
      </c>
      <c r="M414" s="17">
        <f t="shared" si="1"/>
        <v>1</v>
      </c>
      <c r="N414" s="24" t="str">
        <f t="array" ref="N414">if(isblank(A414),"",index(fish_lab_data!O:O,match(A414,fish_lab_data!C:C,0)))</f>
        <v>JG</v>
      </c>
      <c r="O414" s="24" t="str">
        <f t="array" ref="O414">index(fish_lab_data!Q:Q,match(A414,fish_lab_data!C:C,0))</f>
        <v>lab_motiles_etoh</v>
      </c>
      <c r="P414" s="24" t="str">
        <f t="array" ref="P414">if(and(iserror(index(sea_lice!G:G,match(A414,sea_lice!A:A,0))),M414=0),"NA",index(sea_lice!G:G,match(A414,sea_lice!A:A,0)))</f>
        <v>BSL7-68</v>
      </c>
      <c r="Q414" s="24">
        <f t="array" ref="Q414">if(isblank(A414),"",index(fish_lab_data!X:X,match(A414,fish_lab_data!C:C,0)))</f>
        <v>1138</v>
      </c>
    </row>
    <row r="415">
      <c r="A415" s="25" t="s">
        <v>1633</v>
      </c>
      <c r="B415" s="25">
        <v>0.0</v>
      </c>
      <c r="C415" s="25">
        <v>0.0</v>
      </c>
      <c r="D415" s="25">
        <v>0.0</v>
      </c>
      <c r="E415" s="25">
        <v>0.0</v>
      </c>
      <c r="F415" s="25">
        <v>0.0</v>
      </c>
      <c r="G415" s="25">
        <v>0.0</v>
      </c>
      <c r="H415" s="25">
        <v>0.0</v>
      </c>
      <c r="I415" s="25">
        <v>0.0</v>
      </c>
      <c r="J415" s="25">
        <v>0.0</v>
      </c>
      <c r="K415" s="25">
        <v>0.0</v>
      </c>
      <c r="L415" s="25">
        <v>0.0</v>
      </c>
      <c r="M415" s="17">
        <f t="shared" si="1"/>
        <v>0</v>
      </c>
      <c r="N415" s="24" t="str">
        <f t="array" ref="N415">if(isblank(A415),"",index(fish_lab_data!O:O,match(A415,fish_lab_data!C:C,0)))</f>
        <v>JG</v>
      </c>
      <c r="O415" s="24" t="str">
        <f t="array" ref="O415">index(fish_lab_data!Q:Q,match(A415,fish_lab_data!C:C,0))</f>
        <v>lab_motiles_etoh</v>
      </c>
      <c r="P415" s="24" t="str">
        <f t="array" ref="P415">if(and(iserror(index(sea_lice!G:G,match(A415,sea_lice!A:A,0))),M415=0),"NA",index(sea_lice!G:G,match(A415,sea_lice!A:A,0)))</f>
        <v>NA</v>
      </c>
      <c r="Q415" s="24">
        <f t="array" ref="Q415">if(isblank(A415),"",index(fish_lab_data!X:X,match(A415,fish_lab_data!C:C,0)))</f>
        <v>1139</v>
      </c>
    </row>
    <row r="416">
      <c r="A416" s="25" t="s">
        <v>1635</v>
      </c>
      <c r="B416" s="25">
        <v>0.0</v>
      </c>
      <c r="C416" s="25">
        <v>0.0</v>
      </c>
      <c r="D416" s="25">
        <v>0.0</v>
      </c>
      <c r="E416" s="25">
        <v>0.0</v>
      </c>
      <c r="F416" s="25">
        <v>0.0</v>
      </c>
      <c r="G416" s="25">
        <v>0.0</v>
      </c>
      <c r="H416" s="25">
        <v>0.0</v>
      </c>
      <c r="I416" s="25">
        <v>0.0</v>
      </c>
      <c r="J416" s="25">
        <v>0.0</v>
      </c>
      <c r="K416" s="25">
        <v>0.0</v>
      </c>
      <c r="L416" s="25">
        <v>0.0</v>
      </c>
      <c r="M416" s="17">
        <f t="shared" si="1"/>
        <v>0</v>
      </c>
      <c r="N416" s="24" t="str">
        <f t="array" ref="N416">if(isblank(A416),"",index(fish_lab_data!O:O,match(A416,fish_lab_data!C:C,0)))</f>
        <v>JG</v>
      </c>
      <c r="O416" s="24" t="str">
        <f t="array" ref="O416">index(fish_lab_data!Q:Q,match(A416,fish_lab_data!C:C,0))</f>
        <v>lab_motiles_etoh</v>
      </c>
      <c r="P416" s="24" t="str">
        <f t="array" ref="P416">if(and(iserror(index(sea_lice!G:G,match(A416,sea_lice!A:A,0))),M416=0),"NA",index(sea_lice!G:G,match(A416,sea_lice!A:A,0)))</f>
        <v>NA</v>
      </c>
      <c r="Q416" s="24">
        <f t="array" ref="Q416">if(isblank(A416),"",index(fish_lab_data!X:X,match(A416,fish_lab_data!C:C,0)))</f>
        <v>1140</v>
      </c>
    </row>
    <row r="417">
      <c r="A417" s="26" t="s">
        <v>1636</v>
      </c>
      <c r="B417" s="9">
        <v>1.0</v>
      </c>
      <c r="C417" s="25">
        <v>0.0</v>
      </c>
      <c r="D417" s="25">
        <v>0.0</v>
      </c>
      <c r="E417" s="9">
        <v>1.0</v>
      </c>
      <c r="F417" s="25">
        <v>0.0</v>
      </c>
      <c r="G417" s="25">
        <v>0.0</v>
      </c>
      <c r="H417" s="25">
        <v>0.0</v>
      </c>
      <c r="I417" s="25">
        <v>0.0</v>
      </c>
      <c r="J417" s="25">
        <v>0.0</v>
      </c>
      <c r="K417" s="25">
        <v>0.0</v>
      </c>
      <c r="L417" s="25">
        <v>0.0</v>
      </c>
      <c r="M417" s="17">
        <f t="shared" si="1"/>
        <v>2</v>
      </c>
      <c r="N417" s="24" t="str">
        <f t="array" ref="N417">if(isblank(A417),"",index(fish_lab_data!O:O,match(A417,fish_lab_data!C:C,0)))</f>
        <v>JG</v>
      </c>
      <c r="O417" s="24" t="str">
        <f t="array" ref="O417">index(fish_lab_data!Q:Q,match(A417,fish_lab_data!C:C,0))</f>
        <v>lab_motiles_etoh</v>
      </c>
      <c r="P417" s="24" t="str">
        <f t="array" ref="P417">if(and(iserror(index(sea_lice!G:G,match(A417,sea_lice!A:A,0))),M417=0),"NA",index(sea_lice!G:G,match(A417,sea_lice!A:A,0)))</f>
        <v>BSL7-71</v>
      </c>
      <c r="Q417" s="24">
        <f t="array" ref="Q417">if(isblank(A417),"",index(fish_lab_data!X:X,match(A417,fish_lab_data!C:C,0)))</f>
        <v>1141</v>
      </c>
    </row>
    <row r="418">
      <c r="A418" s="27" t="s">
        <v>1638</v>
      </c>
      <c r="B418" s="25">
        <v>0.0</v>
      </c>
      <c r="C418" s="25">
        <v>0.0</v>
      </c>
      <c r="D418" s="25">
        <v>0.0</v>
      </c>
      <c r="E418" s="9">
        <v>1.0</v>
      </c>
      <c r="F418" s="25">
        <v>0.0</v>
      </c>
      <c r="G418" s="25">
        <v>0.0</v>
      </c>
      <c r="H418" s="25">
        <v>0.0</v>
      </c>
      <c r="I418" s="25">
        <v>0.0</v>
      </c>
      <c r="J418" s="25">
        <v>0.0</v>
      </c>
      <c r="K418" s="25">
        <v>0.0</v>
      </c>
      <c r="L418" s="25">
        <v>0.0</v>
      </c>
      <c r="M418" s="17">
        <f t="shared" si="1"/>
        <v>1</v>
      </c>
      <c r="N418" s="24" t="str">
        <f t="array" ref="N418">if(isblank(A418),"",index(fish_lab_data!O:O,match(A418,fish_lab_data!C:C,0)))</f>
        <v>KB</v>
      </c>
      <c r="O418" s="24" t="str">
        <f t="array" ref="O418">index(fish_lab_data!Q:Q,match(A418,fish_lab_data!C:C,0))</f>
        <v>lab_motiles_etoh</v>
      </c>
      <c r="P418" s="24" t="str">
        <f t="array" ref="P418">if(and(iserror(index(sea_lice!G:G,match(A418,sea_lice!A:A,0))),M418=0),"NA",index(sea_lice!G:G,match(A418,sea_lice!A:A,0)))</f>
        <v>BSL7-72</v>
      </c>
      <c r="Q418" s="24">
        <f t="array" ref="Q418">if(isblank(A418),"",index(fish_lab_data!X:X,match(A418,fish_lab_data!C:C,0)))</f>
        <v>1142</v>
      </c>
    </row>
    <row r="419">
      <c r="A419" s="27" t="s">
        <v>1639</v>
      </c>
      <c r="B419" s="9">
        <v>1.0</v>
      </c>
      <c r="C419" s="25">
        <v>0.0</v>
      </c>
      <c r="D419" s="25">
        <v>0.0</v>
      </c>
      <c r="E419" s="9">
        <v>1.0</v>
      </c>
      <c r="F419" s="25">
        <v>0.0</v>
      </c>
      <c r="G419" s="25">
        <v>0.0</v>
      </c>
      <c r="H419" s="25">
        <v>0.0</v>
      </c>
      <c r="I419" s="25">
        <v>0.0</v>
      </c>
      <c r="J419" s="25">
        <v>0.0</v>
      </c>
      <c r="K419" s="25">
        <v>0.0</v>
      </c>
      <c r="L419" s="25">
        <v>0.0</v>
      </c>
      <c r="M419" s="17">
        <f t="shared" si="1"/>
        <v>2</v>
      </c>
      <c r="N419" s="24" t="str">
        <f t="array" ref="N419">if(isblank(A419),"",index(fish_lab_data!O:O,match(A419,fish_lab_data!C:C,0)))</f>
        <v>KB</v>
      </c>
      <c r="O419" s="24" t="str">
        <f t="array" ref="O419">index(fish_lab_data!Q:Q,match(A419,fish_lab_data!C:C,0))</f>
        <v>lab_motiles_etoh</v>
      </c>
      <c r="P419" s="24" t="str">
        <f t="array" ref="P419">if(and(iserror(index(sea_lice!G:G,match(A419,sea_lice!A:A,0))),M419=0),"NA",index(sea_lice!G:G,match(A419,sea_lice!A:A,0)))</f>
        <v>BSL7-73</v>
      </c>
      <c r="Q419" s="24">
        <f t="array" ref="Q419">if(isblank(A419),"",index(fish_lab_data!X:X,match(A419,fish_lab_data!C:C,0)))</f>
        <v>1143</v>
      </c>
    </row>
    <row r="420">
      <c r="A420" s="27" t="s">
        <v>1641</v>
      </c>
      <c r="B420" s="9">
        <v>0.0</v>
      </c>
      <c r="C420" s="25">
        <v>0.0</v>
      </c>
      <c r="D420" s="25">
        <v>0.0</v>
      </c>
      <c r="E420" s="25">
        <v>0.0</v>
      </c>
      <c r="F420" s="25">
        <v>0.0</v>
      </c>
      <c r="G420" s="25">
        <v>0.0</v>
      </c>
      <c r="H420" s="25">
        <v>0.0</v>
      </c>
      <c r="I420" s="25">
        <v>0.0</v>
      </c>
      <c r="J420" s="25">
        <v>0.0</v>
      </c>
      <c r="K420" s="25">
        <v>0.0</v>
      </c>
      <c r="L420" s="25">
        <v>0.0</v>
      </c>
      <c r="M420" s="17">
        <f t="shared" si="1"/>
        <v>0</v>
      </c>
      <c r="N420" s="24" t="str">
        <f t="array" ref="N420">if(isblank(A420),"",index(fish_lab_data!O:O,match(A420,fish_lab_data!C:C,0)))</f>
        <v>KB</v>
      </c>
      <c r="O420" s="24" t="str">
        <f t="array" ref="O420">index(fish_lab_data!Q:Q,match(A420,fish_lab_data!C:C,0))</f>
        <v>lab_motiles_etoh</v>
      </c>
      <c r="P420" s="24" t="str">
        <f t="array" ref="P420">if(and(iserror(index(sea_lice!G:G,match(A420,sea_lice!A:A,0))),M420=0),"NA",index(sea_lice!G:G,match(A420,sea_lice!A:A,0)))</f>
        <v>NA</v>
      </c>
      <c r="Q420" s="24">
        <f t="array" ref="Q420">if(isblank(A420),"",index(fish_lab_data!X:X,match(A420,fish_lab_data!C:C,0)))</f>
        <v>1144</v>
      </c>
    </row>
    <row r="421">
      <c r="A421" s="27" t="s">
        <v>1642</v>
      </c>
      <c r="B421" s="25">
        <v>0.0</v>
      </c>
      <c r="C421" s="25">
        <v>0.0</v>
      </c>
      <c r="D421" s="25">
        <v>0.0</v>
      </c>
      <c r="E421" s="9">
        <v>2.0</v>
      </c>
      <c r="F421" s="25">
        <v>0.0</v>
      </c>
      <c r="G421" s="25">
        <v>0.0</v>
      </c>
      <c r="H421" s="25">
        <v>0.0</v>
      </c>
      <c r="I421" s="25">
        <v>0.0</v>
      </c>
      <c r="J421" s="25">
        <v>0.0</v>
      </c>
      <c r="K421" s="25">
        <v>0.0</v>
      </c>
      <c r="L421" s="25">
        <v>0.0</v>
      </c>
      <c r="M421" s="17">
        <f t="shared" si="1"/>
        <v>2</v>
      </c>
      <c r="N421" s="24" t="str">
        <f t="array" ref="N421">if(isblank(A421),"",index(fish_lab_data!O:O,match(A421,fish_lab_data!C:C,0)))</f>
        <v>KB</v>
      </c>
      <c r="O421" s="24" t="str">
        <f t="array" ref="O421">index(fish_lab_data!Q:Q,match(A421,fish_lab_data!C:C,0))</f>
        <v>lab_motiles_etoh</v>
      </c>
      <c r="P421" s="24" t="str">
        <f t="array" ref="P421">if(and(iserror(index(sea_lice!G:G,match(A421,sea_lice!A:A,0))),M421=0),"NA",index(sea_lice!G:G,match(A421,sea_lice!A:A,0)))</f>
        <v>BSL7-74</v>
      </c>
      <c r="Q421" s="24">
        <f t="array" ref="Q421">if(isblank(A421),"",index(fish_lab_data!X:X,match(A421,fish_lab_data!C:C,0)))</f>
        <v>1145</v>
      </c>
    </row>
    <row r="422">
      <c r="A422" s="27" t="s">
        <v>1643</v>
      </c>
      <c r="B422" s="25">
        <v>0.0</v>
      </c>
      <c r="C422" s="25">
        <v>0.0</v>
      </c>
      <c r="D422" s="25">
        <v>0.0</v>
      </c>
      <c r="E422" s="9">
        <v>0.0</v>
      </c>
      <c r="F422" s="25">
        <v>0.0</v>
      </c>
      <c r="G422" s="25">
        <v>0.0</v>
      </c>
      <c r="H422" s="25">
        <v>0.0</v>
      </c>
      <c r="I422" s="25">
        <v>0.0</v>
      </c>
      <c r="J422" s="25">
        <v>0.0</v>
      </c>
      <c r="K422" s="25">
        <v>0.0</v>
      </c>
      <c r="L422" s="25">
        <v>0.0</v>
      </c>
      <c r="M422" s="17">
        <f t="shared" si="1"/>
        <v>0</v>
      </c>
      <c r="N422" s="24" t="str">
        <f t="array" ref="N422">if(isblank(A422),"",index(fish_lab_data!O:O,match(A422,fish_lab_data!C:C,0)))</f>
        <v>KB</v>
      </c>
      <c r="O422" s="24" t="str">
        <f t="array" ref="O422">index(fish_lab_data!Q:Q,match(A422,fish_lab_data!C:C,0))</f>
        <v>lab_motiles_etoh</v>
      </c>
      <c r="P422" s="24" t="str">
        <f t="array" ref="P422">if(and(iserror(index(sea_lice!G:G,match(A422,sea_lice!A:A,0))),M422=0),"NA",index(sea_lice!G:G,match(A422,sea_lice!A:A,0)))</f>
        <v>NA</v>
      </c>
      <c r="Q422" s="24">
        <f t="array" ref="Q422">if(isblank(A422),"",index(fish_lab_data!X:X,match(A422,fish_lab_data!C:C,0)))</f>
        <v>1146</v>
      </c>
    </row>
    <row r="423">
      <c r="A423" s="27" t="s">
        <v>1644</v>
      </c>
      <c r="B423" s="25">
        <v>0.0</v>
      </c>
      <c r="C423" s="25">
        <v>0.0</v>
      </c>
      <c r="D423" s="25">
        <v>0.0</v>
      </c>
      <c r="E423" s="9">
        <v>1.0</v>
      </c>
      <c r="F423" s="25">
        <v>0.0</v>
      </c>
      <c r="G423" s="25">
        <v>0.0</v>
      </c>
      <c r="H423" s="25">
        <v>0.0</v>
      </c>
      <c r="I423" s="25">
        <v>0.0</v>
      </c>
      <c r="J423" s="25">
        <v>0.0</v>
      </c>
      <c r="K423" s="25">
        <v>0.0</v>
      </c>
      <c r="L423" s="25">
        <v>0.0</v>
      </c>
      <c r="M423" s="17">
        <f t="shared" si="1"/>
        <v>1</v>
      </c>
      <c r="N423" s="24" t="str">
        <f t="array" ref="N423">if(isblank(A423),"",index(fish_lab_data!O:O,match(A423,fish_lab_data!C:C,0)))</f>
        <v>KB</v>
      </c>
      <c r="O423" s="24" t="str">
        <f t="array" ref="O423">index(fish_lab_data!Q:Q,match(A423,fish_lab_data!C:C,0))</f>
        <v>lab_motiles_etoh</v>
      </c>
      <c r="P423" s="24" t="str">
        <f t="array" ref="P423">if(and(iserror(index(sea_lice!G:G,match(A423,sea_lice!A:A,0))),M423=0),"NA",index(sea_lice!G:G,match(A423,sea_lice!A:A,0)))</f>
        <v>BSL7-75</v>
      </c>
      <c r="Q423" s="24">
        <f t="array" ref="Q423">if(isblank(A423),"",index(fish_lab_data!X:X,match(A423,fish_lab_data!C:C,0)))</f>
        <v>1147</v>
      </c>
    </row>
    <row r="424">
      <c r="A424" s="27" t="s">
        <v>1646</v>
      </c>
      <c r="B424" s="9">
        <v>2.0</v>
      </c>
      <c r="C424" s="25">
        <v>0.0</v>
      </c>
      <c r="D424" s="25">
        <v>0.0</v>
      </c>
      <c r="E424" s="25">
        <v>0.0</v>
      </c>
      <c r="F424" s="25">
        <v>0.0</v>
      </c>
      <c r="G424" s="25">
        <v>0.0</v>
      </c>
      <c r="H424" s="25">
        <v>0.0</v>
      </c>
      <c r="I424" s="25">
        <v>0.0</v>
      </c>
      <c r="J424" s="25">
        <v>0.0</v>
      </c>
      <c r="K424" s="25">
        <v>0.0</v>
      </c>
      <c r="L424" s="25">
        <v>0.0</v>
      </c>
      <c r="M424" s="17">
        <f t="shared" si="1"/>
        <v>2</v>
      </c>
      <c r="N424" s="24" t="str">
        <f t="array" ref="N424">if(isblank(A424),"",index(fish_lab_data!O:O,match(A424,fish_lab_data!C:C,0)))</f>
        <v>KB</v>
      </c>
      <c r="O424" s="24" t="str">
        <f t="array" ref="O424">index(fish_lab_data!Q:Q,match(A424,fish_lab_data!C:C,0))</f>
        <v>lab_motiles_etoh</v>
      </c>
      <c r="P424" s="24" t="str">
        <f t="array" ref="P424">if(and(iserror(index(sea_lice!G:G,match(A424,sea_lice!A:A,0))),M424=0),"NA",index(sea_lice!G:G,match(A424,sea_lice!A:A,0)))</f>
        <v>BSL7-76</v>
      </c>
      <c r="Q424" s="24">
        <f t="array" ref="Q424">if(isblank(A424),"",index(fish_lab_data!X:X,match(A424,fish_lab_data!C:C,0)))</f>
        <v>1148</v>
      </c>
    </row>
    <row r="425">
      <c r="A425" s="27" t="s">
        <v>1647</v>
      </c>
      <c r="B425" s="25">
        <v>0.0</v>
      </c>
      <c r="C425" s="25">
        <v>0.0</v>
      </c>
      <c r="D425" s="25">
        <v>0.0</v>
      </c>
      <c r="E425" s="9">
        <v>1.0</v>
      </c>
      <c r="F425" s="25">
        <v>0.0</v>
      </c>
      <c r="G425" s="25">
        <v>0.0</v>
      </c>
      <c r="H425" s="25">
        <v>0.0</v>
      </c>
      <c r="I425" s="25">
        <v>0.0</v>
      </c>
      <c r="J425" s="25">
        <v>0.0</v>
      </c>
      <c r="K425" s="25">
        <v>0.0</v>
      </c>
      <c r="L425" s="25">
        <v>0.0</v>
      </c>
      <c r="M425" s="17">
        <f t="shared" si="1"/>
        <v>1</v>
      </c>
      <c r="N425" s="24" t="str">
        <f t="array" ref="N425">if(isblank(A425),"",index(fish_lab_data!O:O,match(A425,fish_lab_data!C:C,0)))</f>
        <v>KB</v>
      </c>
      <c r="O425" s="24" t="str">
        <f t="array" ref="O425">index(fish_lab_data!Q:Q,match(A425,fish_lab_data!C:C,0))</f>
        <v>lab_motiles_etoh</v>
      </c>
      <c r="P425" s="24" t="str">
        <f t="array" ref="P425">if(and(iserror(index(sea_lice!G:G,match(A425,sea_lice!A:A,0))),M425=0),"NA",index(sea_lice!G:G,match(A425,sea_lice!A:A,0)))</f>
        <v>BSL7-77</v>
      </c>
      <c r="Q425" s="24">
        <f t="array" ref="Q425">if(isblank(A425),"",index(fish_lab_data!X:X,match(A425,fish_lab_data!C:C,0)))</f>
        <v>1149</v>
      </c>
    </row>
    <row r="426">
      <c r="A426" s="27" t="s">
        <v>1648</v>
      </c>
      <c r="B426" s="25">
        <v>0.0</v>
      </c>
      <c r="C426" s="25">
        <v>0.0</v>
      </c>
      <c r="D426" s="25">
        <v>0.0</v>
      </c>
      <c r="E426" s="9">
        <v>0.0</v>
      </c>
      <c r="F426" s="25">
        <v>0.0</v>
      </c>
      <c r="G426" s="25">
        <v>0.0</v>
      </c>
      <c r="H426" s="25">
        <v>0.0</v>
      </c>
      <c r="I426" s="25">
        <v>0.0</v>
      </c>
      <c r="J426" s="25">
        <v>0.0</v>
      </c>
      <c r="K426" s="25">
        <v>0.0</v>
      </c>
      <c r="L426" s="25">
        <v>0.0</v>
      </c>
      <c r="M426" s="17">
        <f t="shared" si="1"/>
        <v>0</v>
      </c>
      <c r="N426" s="24" t="str">
        <f t="array" ref="N426">if(isblank(A426),"",index(fish_lab_data!O:O,match(A426,fish_lab_data!C:C,0)))</f>
        <v>KB</v>
      </c>
      <c r="O426" s="24" t="str">
        <f t="array" ref="O426">index(fish_lab_data!Q:Q,match(A426,fish_lab_data!C:C,0))</f>
        <v>lab_motiles_etoh</v>
      </c>
      <c r="P426" s="24" t="str">
        <f t="array" ref="P426">if(and(iserror(index(sea_lice!G:G,match(A426,sea_lice!A:A,0))),M426=0),"NA",index(sea_lice!G:G,match(A426,sea_lice!A:A,0)))</f>
        <v>NA</v>
      </c>
      <c r="Q426" s="24">
        <f t="array" ref="Q426">if(isblank(A426),"",index(fish_lab_data!X:X,match(A426,fish_lab_data!C:C,0)))</f>
        <v>1150</v>
      </c>
    </row>
    <row r="427">
      <c r="A427" s="27" t="s">
        <v>1649</v>
      </c>
      <c r="B427" s="25">
        <v>0.0</v>
      </c>
      <c r="C427" s="25">
        <v>0.0</v>
      </c>
      <c r="D427" s="25">
        <v>0.0</v>
      </c>
      <c r="E427" s="9">
        <v>0.0</v>
      </c>
      <c r="F427" s="25">
        <v>0.0</v>
      </c>
      <c r="G427" s="25">
        <v>0.0</v>
      </c>
      <c r="H427" s="25">
        <v>0.0</v>
      </c>
      <c r="I427" s="25">
        <v>0.0</v>
      </c>
      <c r="J427" s="25">
        <v>0.0</v>
      </c>
      <c r="K427" s="25">
        <v>0.0</v>
      </c>
      <c r="L427" s="25">
        <v>0.0</v>
      </c>
      <c r="M427" s="17">
        <f t="shared" si="1"/>
        <v>0</v>
      </c>
      <c r="N427" s="24" t="str">
        <f t="array" ref="N427">if(isblank(A427),"",index(fish_lab_data!O:O,match(A427,fish_lab_data!C:C,0)))</f>
        <v>KB</v>
      </c>
      <c r="O427" s="24" t="str">
        <f t="array" ref="O427">index(fish_lab_data!Q:Q,match(A427,fish_lab_data!C:C,0))</f>
        <v>lab_motiles_etoh</v>
      </c>
      <c r="P427" s="24" t="str">
        <f t="array" ref="P427">if(and(iserror(index(sea_lice!G:G,match(A427,sea_lice!A:A,0))),M427=0),"NA",index(sea_lice!G:G,match(A427,sea_lice!A:A,0)))</f>
        <v>NA</v>
      </c>
      <c r="Q427" s="24">
        <f t="array" ref="Q427">if(isblank(A427),"",index(fish_lab_data!X:X,match(A427,fish_lab_data!C:C,0)))</f>
        <v>1151</v>
      </c>
    </row>
    <row r="428">
      <c r="A428" s="27" t="s">
        <v>1650</v>
      </c>
      <c r="B428" s="9">
        <v>1.0</v>
      </c>
      <c r="C428" s="25">
        <v>0.0</v>
      </c>
      <c r="D428" s="25">
        <v>0.0</v>
      </c>
      <c r="E428" s="25">
        <v>0.0</v>
      </c>
      <c r="F428" s="25">
        <v>0.0</v>
      </c>
      <c r="G428" s="25">
        <v>0.0</v>
      </c>
      <c r="H428" s="25">
        <v>0.0</v>
      </c>
      <c r="I428" s="25">
        <v>0.0</v>
      </c>
      <c r="J428" s="25">
        <v>0.0</v>
      </c>
      <c r="K428" s="25">
        <v>0.0</v>
      </c>
      <c r="L428" s="25">
        <v>0.0</v>
      </c>
      <c r="M428" s="17">
        <f t="shared" si="1"/>
        <v>1</v>
      </c>
      <c r="N428" s="24" t="str">
        <f t="array" ref="N428">if(isblank(A428),"",index(fish_lab_data!O:O,match(A428,fish_lab_data!C:C,0)))</f>
        <v>KB</v>
      </c>
      <c r="O428" s="24" t="str">
        <f t="array" ref="O428">index(fish_lab_data!Q:Q,match(A428,fish_lab_data!C:C,0))</f>
        <v>lab_motiles_etoh</v>
      </c>
      <c r="P428" s="24" t="str">
        <f t="array" ref="P428">if(and(iserror(index(sea_lice!G:G,match(A428,sea_lice!A:A,0))),M428=0),"NA",index(sea_lice!G:G,match(A428,sea_lice!A:A,0)))</f>
        <v>BSL7-78</v>
      </c>
      <c r="Q428" s="24">
        <f t="array" ref="Q428">if(isblank(A428),"",index(fish_lab_data!X:X,match(A428,fish_lab_data!C:C,0)))</f>
        <v>1152</v>
      </c>
    </row>
    <row r="429">
      <c r="A429" s="27" t="s">
        <v>1652</v>
      </c>
      <c r="B429" s="9">
        <v>2.0</v>
      </c>
      <c r="C429" s="25">
        <v>0.0</v>
      </c>
      <c r="D429" s="9">
        <v>1.0</v>
      </c>
      <c r="E429" s="25">
        <v>0.0</v>
      </c>
      <c r="F429" s="25">
        <v>0.0</v>
      </c>
      <c r="G429" s="9">
        <v>1.0</v>
      </c>
      <c r="H429" s="25">
        <v>0.0</v>
      </c>
      <c r="I429" s="25">
        <v>0.0</v>
      </c>
      <c r="J429" s="9">
        <v>1.0</v>
      </c>
      <c r="K429" s="25">
        <v>0.0</v>
      </c>
      <c r="L429" s="25">
        <v>0.0</v>
      </c>
      <c r="M429" s="17">
        <f t="shared" si="1"/>
        <v>5</v>
      </c>
      <c r="N429" s="24" t="str">
        <f t="array" ref="N429">if(isblank(A429),"",index(fish_lab_data!O:O,match(A429,fish_lab_data!C:C,0)))</f>
        <v>KB</v>
      </c>
      <c r="O429" s="24" t="str">
        <f t="array" ref="O429">index(fish_lab_data!Q:Q,match(A429,fish_lab_data!C:C,0))</f>
        <v>lab_motiles_etoh</v>
      </c>
      <c r="P429" s="24" t="str">
        <f t="array" ref="P429">if(and(iserror(index(sea_lice!G:G,match(A429,sea_lice!A:A,0))),M429=0),"NA",index(sea_lice!G:G,match(A429,sea_lice!A:A,0)))</f>
        <v>BSL7-79</v>
      </c>
      <c r="Q429" s="24">
        <f t="array" ref="Q429">if(isblank(A429),"",index(fish_lab_data!X:X,match(A429,fish_lab_data!C:C,0)))</f>
        <v>1153</v>
      </c>
    </row>
    <row r="430">
      <c r="A430" s="27" t="s">
        <v>1653</v>
      </c>
      <c r="B430" s="25">
        <v>0.0</v>
      </c>
      <c r="C430" s="25">
        <v>0.0</v>
      </c>
      <c r="D430" s="25">
        <v>0.0</v>
      </c>
      <c r="E430" s="9">
        <v>1.0</v>
      </c>
      <c r="F430" s="25">
        <v>0.0</v>
      </c>
      <c r="G430" s="25">
        <v>0.0</v>
      </c>
      <c r="H430" s="25">
        <v>0.0</v>
      </c>
      <c r="I430" s="25">
        <v>0.0</v>
      </c>
      <c r="J430" s="25">
        <v>0.0</v>
      </c>
      <c r="K430" s="25">
        <v>0.0</v>
      </c>
      <c r="L430" s="25">
        <v>0.0</v>
      </c>
      <c r="M430" s="17">
        <f t="shared" si="1"/>
        <v>1</v>
      </c>
      <c r="N430" s="24" t="str">
        <f t="array" ref="N430">if(isblank(A430),"",index(fish_lab_data!O:O,match(A430,fish_lab_data!C:C,0)))</f>
        <v>KB</v>
      </c>
      <c r="O430" s="24" t="str">
        <f t="array" ref="O430">index(fish_lab_data!Q:Q,match(A430,fish_lab_data!C:C,0))</f>
        <v>lab_motiles_etoh</v>
      </c>
      <c r="P430" s="24" t="str">
        <f t="array" ref="P430">if(and(iserror(index(sea_lice!G:G,match(A430,sea_lice!A:A,0))),M430=0),"NA",index(sea_lice!G:G,match(A430,sea_lice!A:A,0)))</f>
        <v>BSL7-80</v>
      </c>
      <c r="Q430" s="24">
        <f t="array" ref="Q430">if(isblank(A430),"",index(fish_lab_data!X:X,match(A430,fish_lab_data!C:C,0)))</f>
        <v>1154</v>
      </c>
    </row>
    <row r="431">
      <c r="A431" s="27" t="s">
        <v>1654</v>
      </c>
      <c r="B431" s="25">
        <v>0.0</v>
      </c>
      <c r="C431" s="25">
        <v>0.0</v>
      </c>
      <c r="D431" s="25">
        <v>0.0</v>
      </c>
      <c r="E431" s="9">
        <v>0.0</v>
      </c>
      <c r="F431" s="25">
        <v>0.0</v>
      </c>
      <c r="G431" s="25">
        <v>0.0</v>
      </c>
      <c r="H431" s="25">
        <v>0.0</v>
      </c>
      <c r="I431" s="25">
        <v>0.0</v>
      </c>
      <c r="J431" s="25">
        <v>0.0</v>
      </c>
      <c r="K431" s="25">
        <v>0.0</v>
      </c>
      <c r="L431" s="25">
        <v>0.0</v>
      </c>
      <c r="M431" s="17">
        <f t="shared" si="1"/>
        <v>0</v>
      </c>
      <c r="N431" s="24" t="str">
        <f t="array" ref="N431">if(isblank(A431),"",index(fish_lab_data!O:O,match(A431,fish_lab_data!C:C,0)))</f>
        <v>KB</v>
      </c>
      <c r="O431" s="24" t="str">
        <f t="array" ref="O431">index(fish_lab_data!Q:Q,match(A431,fish_lab_data!C:C,0))</f>
        <v>lab_motiles_cryo</v>
      </c>
      <c r="P431" s="24" t="str">
        <f t="array" ref="P431">if(and(iserror(index(sea_lice!G:G,match(A431,sea_lice!A:A,0))),M431=0),"NA",index(sea_lice!G:G,match(A431,sea_lice!A:A,0)))</f>
        <v>NA</v>
      </c>
      <c r="Q431" s="24">
        <f t="array" ref="Q431">if(isblank(A431),"",index(fish_lab_data!X:X,match(A431,fish_lab_data!C:C,0)))</f>
        <v>1155</v>
      </c>
    </row>
    <row r="432">
      <c r="A432" s="27" t="s">
        <v>1655</v>
      </c>
      <c r="B432" s="25">
        <v>0.0</v>
      </c>
      <c r="C432" s="25">
        <v>0.0</v>
      </c>
      <c r="D432" s="25">
        <v>0.0</v>
      </c>
      <c r="E432" s="9">
        <v>0.0</v>
      </c>
      <c r="F432" s="25">
        <v>0.0</v>
      </c>
      <c r="G432" s="25">
        <v>0.0</v>
      </c>
      <c r="H432" s="25">
        <v>0.0</v>
      </c>
      <c r="I432" s="25">
        <v>0.0</v>
      </c>
      <c r="J432" s="25">
        <v>0.0</v>
      </c>
      <c r="K432" s="25">
        <v>0.0</v>
      </c>
      <c r="L432" s="25">
        <v>0.0</v>
      </c>
      <c r="M432" s="17">
        <f t="shared" si="1"/>
        <v>0</v>
      </c>
      <c r="N432" s="24" t="str">
        <f t="array" ref="N432">if(isblank(A432),"",index(fish_lab_data!O:O,match(A432,fish_lab_data!C:C,0)))</f>
        <v>KB</v>
      </c>
      <c r="O432" s="24" t="str">
        <f t="array" ref="O432">index(fish_lab_data!Q:Q,match(A432,fish_lab_data!C:C,0))</f>
        <v>lab_motiles_cryo</v>
      </c>
      <c r="P432" s="24" t="str">
        <f t="array" ref="P432">if(and(iserror(index(sea_lice!G:G,match(A432,sea_lice!A:A,0))),M432=0),"NA",index(sea_lice!G:G,match(A432,sea_lice!A:A,0)))</f>
        <v>NA</v>
      </c>
      <c r="Q432" s="24">
        <f t="array" ref="Q432">if(isblank(A432),"",index(fish_lab_data!X:X,match(A432,fish_lab_data!C:C,0)))</f>
        <v>1156</v>
      </c>
    </row>
    <row r="433">
      <c r="A433" s="27" t="s">
        <v>1656</v>
      </c>
      <c r="B433" s="25">
        <v>0.0</v>
      </c>
      <c r="C433" s="25">
        <v>0.0</v>
      </c>
      <c r="D433" s="25">
        <v>0.0</v>
      </c>
      <c r="E433" s="9">
        <v>0.0</v>
      </c>
      <c r="F433" s="25">
        <v>0.0</v>
      </c>
      <c r="G433" s="25">
        <v>0.0</v>
      </c>
      <c r="H433" s="25">
        <v>0.0</v>
      </c>
      <c r="I433" s="25">
        <v>0.0</v>
      </c>
      <c r="J433" s="25">
        <v>0.0</v>
      </c>
      <c r="K433" s="25">
        <v>0.0</v>
      </c>
      <c r="L433" s="25">
        <v>0.0</v>
      </c>
      <c r="M433" s="17">
        <f t="shared" si="1"/>
        <v>0</v>
      </c>
      <c r="N433" s="24" t="str">
        <f t="array" ref="N433">if(isblank(A433),"",index(fish_lab_data!O:O,match(A433,fish_lab_data!C:C,0)))</f>
        <v>KB</v>
      </c>
      <c r="O433" s="24" t="str">
        <f t="array" ref="O433">index(fish_lab_data!Q:Q,match(A433,fish_lab_data!C:C,0))</f>
        <v>lab_motiles_cryo</v>
      </c>
      <c r="P433" s="24" t="str">
        <f t="array" ref="P433">if(and(iserror(index(sea_lice!G:G,match(A433,sea_lice!A:A,0))),M433=0),"NA",index(sea_lice!G:G,match(A433,sea_lice!A:A,0)))</f>
        <v>NA</v>
      </c>
      <c r="Q433" s="24">
        <f t="array" ref="Q433">if(isblank(A433),"",index(fish_lab_data!X:X,match(A433,fish_lab_data!C:C,0)))</f>
        <v>1157</v>
      </c>
    </row>
    <row r="434">
      <c r="A434" s="27" t="s">
        <v>1658</v>
      </c>
      <c r="B434" s="25">
        <v>0.0</v>
      </c>
      <c r="C434" s="25">
        <v>0.0</v>
      </c>
      <c r="D434" s="25">
        <v>0.0</v>
      </c>
      <c r="E434" s="9">
        <v>0.0</v>
      </c>
      <c r="F434" s="25">
        <v>0.0</v>
      </c>
      <c r="G434" s="25">
        <v>0.0</v>
      </c>
      <c r="H434" s="25">
        <v>0.0</v>
      </c>
      <c r="I434" s="25">
        <v>0.0</v>
      </c>
      <c r="J434" s="25">
        <v>0.0</v>
      </c>
      <c r="K434" s="25">
        <v>0.0</v>
      </c>
      <c r="L434" s="25">
        <v>0.0</v>
      </c>
      <c r="M434" s="17">
        <f t="shared" si="1"/>
        <v>0</v>
      </c>
      <c r="N434" s="24" t="str">
        <f t="array" ref="N434">if(isblank(A434),"",index(fish_lab_data!O:O,match(A434,fish_lab_data!C:C,0)))</f>
        <v>KB</v>
      </c>
      <c r="O434" s="24" t="str">
        <f t="array" ref="O434">index(fish_lab_data!Q:Q,match(A434,fish_lab_data!C:C,0))</f>
        <v>lab_motiles_cryo</v>
      </c>
      <c r="P434" s="24" t="str">
        <f t="array" ref="P434">if(and(iserror(index(sea_lice!G:G,match(A434,sea_lice!A:A,0))),M434=0),"NA",index(sea_lice!G:G,match(A434,sea_lice!A:A,0)))</f>
        <v>NA</v>
      </c>
      <c r="Q434" s="24">
        <f t="array" ref="Q434">if(isblank(A434),"",index(fish_lab_data!X:X,match(A434,fish_lab_data!C:C,0)))</f>
        <v>1158</v>
      </c>
    </row>
    <row r="435">
      <c r="A435" s="27" t="s">
        <v>1659</v>
      </c>
      <c r="B435" s="25">
        <v>0.0</v>
      </c>
      <c r="C435" s="25">
        <v>0.0</v>
      </c>
      <c r="D435" s="25">
        <v>0.0</v>
      </c>
      <c r="E435" s="9">
        <v>0.0</v>
      </c>
      <c r="F435" s="25">
        <v>0.0</v>
      </c>
      <c r="G435" s="25">
        <v>0.0</v>
      </c>
      <c r="H435" s="25">
        <v>0.0</v>
      </c>
      <c r="I435" s="25">
        <v>0.0</v>
      </c>
      <c r="J435" s="25">
        <v>0.0</v>
      </c>
      <c r="K435" s="25">
        <v>0.0</v>
      </c>
      <c r="L435" s="25">
        <v>0.0</v>
      </c>
      <c r="M435" s="17">
        <f t="shared" si="1"/>
        <v>0</v>
      </c>
      <c r="N435" s="24" t="str">
        <f t="array" ref="N435">if(isblank(A435),"",index(fish_lab_data!O:O,match(A435,fish_lab_data!C:C,0)))</f>
        <v>KB</v>
      </c>
      <c r="O435" s="24" t="str">
        <f t="array" ref="O435">index(fish_lab_data!Q:Q,match(A435,fish_lab_data!C:C,0))</f>
        <v>lab_motiles_cryo</v>
      </c>
      <c r="P435" s="24" t="str">
        <f t="array" ref="P435">if(and(iserror(index(sea_lice!G:G,match(A435,sea_lice!A:A,0))),M435=0),"NA",index(sea_lice!G:G,match(A435,sea_lice!A:A,0)))</f>
        <v>NA</v>
      </c>
      <c r="Q435" s="24">
        <f t="array" ref="Q435">if(isblank(A435),"",index(fish_lab_data!X:X,match(A435,fish_lab_data!C:C,0)))</f>
        <v>1159</v>
      </c>
    </row>
    <row r="436">
      <c r="A436" s="27" t="s">
        <v>1660</v>
      </c>
      <c r="B436" s="25">
        <v>0.0</v>
      </c>
      <c r="C436" s="25">
        <v>0.0</v>
      </c>
      <c r="D436" s="25">
        <v>0.0</v>
      </c>
      <c r="E436" s="25">
        <v>0.0</v>
      </c>
      <c r="F436" s="25">
        <v>0.0</v>
      </c>
      <c r="G436" s="9">
        <v>1.0</v>
      </c>
      <c r="H436" s="25">
        <v>0.0</v>
      </c>
      <c r="I436" s="25">
        <v>0.0</v>
      </c>
      <c r="J436" s="25">
        <v>0.0</v>
      </c>
      <c r="K436" s="25">
        <v>0.0</v>
      </c>
      <c r="L436" s="25">
        <v>0.0</v>
      </c>
      <c r="M436" s="17">
        <f t="shared" si="1"/>
        <v>1</v>
      </c>
      <c r="N436" s="24" t="str">
        <f t="array" ref="N436">if(isblank(A436),"",index(fish_lab_data!O:O,match(A436,fish_lab_data!C:C,0)))</f>
        <v>KB</v>
      </c>
      <c r="O436" s="24" t="str">
        <f t="array" ref="O436">index(fish_lab_data!Q:Q,match(A436,fish_lab_data!C:C,0))</f>
        <v>lab_motiles_cryo</v>
      </c>
      <c r="P436" s="24" t="str">
        <f t="array" ref="P436">if(and(iserror(index(sea_lice!G:G,match(A436,sea_lice!A:A,0))),M436=0),"NA",index(sea_lice!G:G,match(A436,sea_lice!A:A,0)))</f>
        <v>BSL2-74</v>
      </c>
      <c r="Q436" s="24">
        <f t="array" ref="Q436">if(isblank(A436),"",index(fish_lab_data!X:X,match(A436,fish_lab_data!C:C,0)))</f>
        <v>1160</v>
      </c>
    </row>
    <row r="437">
      <c r="A437" s="27" t="s">
        <v>1661</v>
      </c>
      <c r="B437" s="25">
        <v>0.0</v>
      </c>
      <c r="C437" s="25">
        <v>0.0</v>
      </c>
      <c r="D437" s="25">
        <v>0.0</v>
      </c>
      <c r="E437" s="25">
        <v>0.0</v>
      </c>
      <c r="F437" s="25">
        <v>0.0</v>
      </c>
      <c r="G437" s="9">
        <v>0.0</v>
      </c>
      <c r="H437" s="25">
        <v>0.0</v>
      </c>
      <c r="I437" s="25">
        <v>0.0</v>
      </c>
      <c r="J437" s="25">
        <v>0.0</v>
      </c>
      <c r="K437" s="25">
        <v>0.0</v>
      </c>
      <c r="L437" s="25">
        <v>0.0</v>
      </c>
      <c r="M437" s="17">
        <f t="shared" si="1"/>
        <v>0</v>
      </c>
      <c r="N437" s="24" t="str">
        <f t="array" ref="N437">if(isblank(A437),"",index(fish_lab_data!O:O,match(A437,fish_lab_data!C:C,0)))</f>
        <v>KB</v>
      </c>
      <c r="O437" s="24" t="str">
        <f t="array" ref="O437">index(fish_lab_data!Q:Q,match(A437,fish_lab_data!C:C,0))</f>
        <v>lab_motiles_cryo</v>
      </c>
      <c r="P437" s="24" t="str">
        <f t="array" ref="P437">if(and(iserror(index(sea_lice!G:G,match(A437,sea_lice!A:A,0))),M437=0),"NA",index(sea_lice!G:G,match(A437,sea_lice!A:A,0)))</f>
        <v>NA</v>
      </c>
      <c r="Q437" s="24">
        <f t="array" ref="Q437">if(isblank(A437),"",index(fish_lab_data!X:X,match(A437,fish_lab_data!C:C,0)))</f>
        <v>1161</v>
      </c>
    </row>
    <row r="438">
      <c r="A438" s="27" t="s">
        <v>1663</v>
      </c>
      <c r="B438" s="25">
        <v>0.0</v>
      </c>
      <c r="C438" s="25">
        <v>0.0</v>
      </c>
      <c r="D438" s="25">
        <v>0.0</v>
      </c>
      <c r="E438" s="25">
        <v>0.0</v>
      </c>
      <c r="F438" s="25">
        <v>0.0</v>
      </c>
      <c r="G438" s="9">
        <v>0.0</v>
      </c>
      <c r="H438" s="25">
        <v>0.0</v>
      </c>
      <c r="I438" s="25">
        <v>0.0</v>
      </c>
      <c r="J438" s="25">
        <v>0.0</v>
      </c>
      <c r="K438" s="25">
        <v>0.0</v>
      </c>
      <c r="L438" s="25">
        <v>0.0</v>
      </c>
      <c r="M438" s="17">
        <f t="shared" si="1"/>
        <v>0</v>
      </c>
      <c r="N438" s="24" t="str">
        <f t="array" ref="N438">if(isblank(A438),"",index(fish_lab_data!O:O,match(A438,fish_lab_data!C:C,0)))</f>
        <v>KB</v>
      </c>
      <c r="O438" s="24" t="str">
        <f t="array" ref="O438">index(fish_lab_data!Q:Q,match(A438,fish_lab_data!C:C,0))</f>
        <v>lab_motiles_cryo</v>
      </c>
      <c r="P438" s="24" t="str">
        <f t="array" ref="P438">if(and(iserror(index(sea_lice!G:G,match(A438,sea_lice!A:A,0))),M438=0),"NA",index(sea_lice!G:G,match(A438,sea_lice!A:A,0)))</f>
        <v>NA</v>
      </c>
      <c r="Q438" s="24">
        <f t="array" ref="Q438">if(isblank(A438),"",index(fish_lab_data!X:X,match(A438,fish_lab_data!C:C,0)))</f>
        <v>1162</v>
      </c>
    </row>
    <row r="439">
      <c r="A439" s="27" t="s">
        <v>1664</v>
      </c>
      <c r="B439" s="25">
        <v>0.0</v>
      </c>
      <c r="C439" s="25">
        <v>0.0</v>
      </c>
      <c r="D439" s="25">
        <v>0.0</v>
      </c>
      <c r="E439" s="25">
        <v>0.0</v>
      </c>
      <c r="F439" s="25">
        <v>0.0</v>
      </c>
      <c r="G439" s="9">
        <v>0.0</v>
      </c>
      <c r="H439" s="25">
        <v>0.0</v>
      </c>
      <c r="I439" s="25">
        <v>0.0</v>
      </c>
      <c r="J439" s="25">
        <v>0.0</v>
      </c>
      <c r="K439" s="25">
        <v>0.0</v>
      </c>
      <c r="L439" s="25">
        <v>0.0</v>
      </c>
      <c r="M439" s="17">
        <f t="shared" si="1"/>
        <v>0</v>
      </c>
      <c r="N439" s="24" t="str">
        <f t="array" ref="N439">if(isblank(A439),"",index(fish_lab_data!O:O,match(A439,fish_lab_data!C:C,0)))</f>
        <v>KB</v>
      </c>
      <c r="O439" s="24" t="str">
        <f t="array" ref="O439">index(fish_lab_data!Q:Q,match(A439,fish_lab_data!C:C,0))</f>
        <v>lab_motiles_cryo</v>
      </c>
      <c r="P439" s="24" t="str">
        <f t="array" ref="P439">if(and(iserror(index(sea_lice!G:G,match(A439,sea_lice!A:A,0))),M439=0),"NA",index(sea_lice!G:G,match(A439,sea_lice!A:A,0)))</f>
        <v>NA</v>
      </c>
      <c r="Q439" s="24">
        <f t="array" ref="Q439">if(isblank(A439),"",index(fish_lab_data!X:X,match(A439,fish_lab_data!C:C,0)))</f>
        <v>1163</v>
      </c>
    </row>
    <row r="440">
      <c r="A440" s="27" t="s">
        <v>1665</v>
      </c>
      <c r="B440" s="25">
        <v>0.0</v>
      </c>
      <c r="C440" s="25">
        <v>0.0</v>
      </c>
      <c r="D440" s="25">
        <v>0.0</v>
      </c>
      <c r="E440" s="25">
        <v>0.0</v>
      </c>
      <c r="F440" s="25">
        <v>0.0</v>
      </c>
      <c r="G440" s="9">
        <v>0.0</v>
      </c>
      <c r="H440" s="25">
        <v>0.0</v>
      </c>
      <c r="I440" s="25">
        <v>0.0</v>
      </c>
      <c r="J440" s="25">
        <v>0.0</v>
      </c>
      <c r="K440" s="25">
        <v>0.0</v>
      </c>
      <c r="L440" s="25">
        <v>0.0</v>
      </c>
      <c r="M440" s="17">
        <f t="shared" si="1"/>
        <v>0</v>
      </c>
      <c r="N440" s="24" t="str">
        <f t="array" ref="N440">if(isblank(A440),"",index(fish_lab_data!O:O,match(A440,fish_lab_data!C:C,0)))</f>
        <v>KB</v>
      </c>
      <c r="O440" s="24" t="str">
        <f t="array" ref="O440">index(fish_lab_data!Q:Q,match(A440,fish_lab_data!C:C,0))</f>
        <v>lab_motiles_cryo</v>
      </c>
      <c r="P440" s="24" t="str">
        <f t="array" ref="P440">if(and(iserror(index(sea_lice!G:G,match(A440,sea_lice!A:A,0))),M440=0),"NA",index(sea_lice!G:G,match(A440,sea_lice!A:A,0)))</f>
        <v>NA</v>
      </c>
      <c r="Q440" s="24">
        <f t="array" ref="Q440">if(isblank(A440),"",index(fish_lab_data!X:X,match(A440,fish_lab_data!C:C,0)))</f>
        <v>1164</v>
      </c>
    </row>
    <row r="441">
      <c r="A441" s="27" t="s">
        <v>1666</v>
      </c>
      <c r="B441" s="9">
        <v>1.0</v>
      </c>
      <c r="C441" s="25">
        <v>0.0</v>
      </c>
      <c r="D441" s="25">
        <v>0.0</v>
      </c>
      <c r="E441" s="9">
        <v>1.0</v>
      </c>
      <c r="F441" s="25">
        <v>0.0</v>
      </c>
      <c r="G441" s="25">
        <v>0.0</v>
      </c>
      <c r="H441" s="25">
        <v>0.0</v>
      </c>
      <c r="I441" s="25">
        <v>0.0</v>
      </c>
      <c r="J441" s="25">
        <v>0.0</v>
      </c>
      <c r="K441" s="25">
        <v>0.0</v>
      </c>
      <c r="L441" s="25">
        <v>0.0</v>
      </c>
      <c r="M441" s="17">
        <f t="shared" si="1"/>
        <v>2</v>
      </c>
      <c r="N441" s="24" t="str">
        <f t="array" ref="N441">if(isblank(A441),"",index(fish_lab_data!O:O,match(A441,fish_lab_data!C:C,0)))</f>
        <v>KB</v>
      </c>
      <c r="O441" s="24" t="str">
        <f t="array" ref="O441">index(fish_lab_data!Q:Q,match(A441,fish_lab_data!C:C,0))</f>
        <v>lab_motiles_etoh</v>
      </c>
      <c r="P441" s="24" t="str">
        <f t="array" ref="P441">if(and(iserror(index(sea_lice!G:G,match(A441,sea_lice!A:A,0))),M441=0),"NA",index(sea_lice!G:G,match(A441,sea_lice!A:A,0)))</f>
        <v>BSL7-84</v>
      </c>
      <c r="Q441" s="24">
        <f t="array" ref="Q441">if(isblank(A441),"",index(fish_lab_data!X:X,match(A441,fish_lab_data!C:C,0)))</f>
        <v>1165</v>
      </c>
    </row>
    <row r="442">
      <c r="A442" s="43" t="s">
        <v>1667</v>
      </c>
      <c r="B442" s="25">
        <v>0.0</v>
      </c>
      <c r="C442" s="25">
        <v>0.0</v>
      </c>
      <c r="D442" s="25">
        <v>0.0</v>
      </c>
      <c r="E442" s="25">
        <v>0.0</v>
      </c>
      <c r="F442" s="25">
        <v>0.0</v>
      </c>
      <c r="G442" s="25">
        <v>0.0</v>
      </c>
      <c r="H442" s="25">
        <v>0.0</v>
      </c>
      <c r="I442" s="25">
        <v>0.0</v>
      </c>
      <c r="J442" s="25">
        <v>0.0</v>
      </c>
      <c r="K442" s="25">
        <v>0.0</v>
      </c>
      <c r="L442" s="25">
        <v>0.0</v>
      </c>
      <c r="M442" s="17">
        <f t="shared" si="1"/>
        <v>0</v>
      </c>
      <c r="N442" s="24" t="str">
        <f t="array" ref="N442">if(isblank(A442),"",index(fish_lab_data!O:O,match(A442,fish_lab_data!C:C,0)))</f>
        <v>KB</v>
      </c>
      <c r="O442" s="24" t="str">
        <f t="array" ref="O442">index(fish_lab_data!Q:Q,match(A442,fish_lab_data!C:C,0))</f>
        <v>lab_motiles_etoh</v>
      </c>
      <c r="P442" s="24" t="str">
        <f t="array" ref="P442">if(and(iserror(index(sea_lice!G:G,match(A442,sea_lice!A:A,0))),M442=0),"NA",index(sea_lice!G:G,match(A442,sea_lice!A:A,0)))</f>
        <v>NA</v>
      </c>
      <c r="Q442" s="24">
        <f t="array" ref="Q442">if(isblank(A442),"",index(fish_lab_data!X:X,match(A442,fish_lab_data!C:C,0)))</f>
        <v>1166</v>
      </c>
    </row>
    <row r="443">
      <c r="A443" s="43" t="s">
        <v>1669</v>
      </c>
      <c r="B443" s="25">
        <v>0.0</v>
      </c>
      <c r="C443" s="25">
        <v>0.0</v>
      </c>
      <c r="D443" s="25">
        <v>0.0</v>
      </c>
      <c r="E443" s="9">
        <v>1.0</v>
      </c>
      <c r="F443" s="25">
        <v>0.0</v>
      </c>
      <c r="G443" s="25">
        <v>0.0</v>
      </c>
      <c r="H443" s="25">
        <v>0.0</v>
      </c>
      <c r="I443" s="25">
        <v>0.0</v>
      </c>
      <c r="J443" s="25">
        <v>0.0</v>
      </c>
      <c r="K443" s="25">
        <v>0.0</v>
      </c>
      <c r="L443" s="25">
        <v>0.0</v>
      </c>
      <c r="M443" s="17">
        <f t="shared" si="1"/>
        <v>1</v>
      </c>
      <c r="N443" s="24" t="str">
        <f t="array" ref="N443">if(isblank(A443),"",index(fish_lab_data!O:O,match(A443,fish_lab_data!C:C,0)))</f>
        <v>KB</v>
      </c>
      <c r="O443" s="24" t="str">
        <f t="array" ref="O443">index(fish_lab_data!Q:Q,match(A443,fish_lab_data!C:C,0))</f>
        <v>lab_motiles_etoh</v>
      </c>
      <c r="P443" s="24" t="str">
        <f t="array" ref="P443">if(and(iserror(index(sea_lice!G:G,match(A443,sea_lice!A:A,0))),M443=0),"NA",index(sea_lice!G:G,match(A443,sea_lice!A:A,0)))</f>
        <v>BSL7-86</v>
      </c>
      <c r="Q443" s="24">
        <f t="array" ref="Q443">if(isblank(A443),"",index(fish_lab_data!X:X,match(A443,fish_lab_data!C:C,0)))</f>
        <v>1167</v>
      </c>
    </row>
    <row r="444">
      <c r="A444" s="43" t="s">
        <v>1670</v>
      </c>
      <c r="B444" s="9">
        <v>2.0</v>
      </c>
      <c r="C444" s="25">
        <v>0.0</v>
      </c>
      <c r="D444" s="25">
        <v>0.0</v>
      </c>
      <c r="E444" s="9">
        <v>1.0</v>
      </c>
      <c r="F444" s="25">
        <v>0.0</v>
      </c>
      <c r="G444" s="25">
        <v>0.0</v>
      </c>
      <c r="H444" s="25">
        <v>0.0</v>
      </c>
      <c r="I444" s="25">
        <v>0.0</v>
      </c>
      <c r="J444" s="25">
        <v>0.0</v>
      </c>
      <c r="K444" s="25">
        <v>0.0</v>
      </c>
      <c r="L444" s="25">
        <v>0.0</v>
      </c>
      <c r="M444" s="17">
        <f t="shared" si="1"/>
        <v>3</v>
      </c>
      <c r="N444" s="24" t="str">
        <f t="array" ref="N444">if(isblank(A444),"",index(fish_lab_data!O:O,match(A444,fish_lab_data!C:C,0)))</f>
        <v>KB</v>
      </c>
      <c r="O444" s="24" t="str">
        <f t="array" ref="O444">index(fish_lab_data!Q:Q,match(A444,fish_lab_data!C:C,0))</f>
        <v>lab_motiles_etoh</v>
      </c>
      <c r="P444" s="24" t="str">
        <f t="array" ref="P444">if(and(iserror(index(sea_lice!G:G,match(A444,sea_lice!A:A,0))),M444=0),"NA",index(sea_lice!G:G,match(A444,sea_lice!A:A,0)))</f>
        <v>BSL7-87</v>
      </c>
      <c r="Q444" s="24">
        <f t="array" ref="Q444">if(isblank(A444),"",index(fish_lab_data!X:X,match(A444,fish_lab_data!C:C,0)))</f>
        <v>1168</v>
      </c>
    </row>
    <row r="445">
      <c r="A445" s="43" t="s">
        <v>1671</v>
      </c>
      <c r="B445" s="9">
        <v>1.0</v>
      </c>
      <c r="C445" s="25">
        <v>0.0</v>
      </c>
      <c r="D445" s="25">
        <v>0.0</v>
      </c>
      <c r="E445" s="25">
        <v>0.0</v>
      </c>
      <c r="F445" s="25">
        <v>0.0</v>
      </c>
      <c r="G445" s="25">
        <v>0.0</v>
      </c>
      <c r="H445" s="25">
        <v>0.0</v>
      </c>
      <c r="I445" s="25">
        <v>0.0</v>
      </c>
      <c r="J445" s="25">
        <v>0.0</v>
      </c>
      <c r="K445" s="25">
        <v>0.0</v>
      </c>
      <c r="L445" s="25">
        <v>0.0</v>
      </c>
      <c r="M445" s="17">
        <f t="shared" si="1"/>
        <v>1</v>
      </c>
      <c r="N445" s="24" t="str">
        <f t="array" ref="N445">if(isblank(A445),"",index(fish_lab_data!O:O,match(A445,fish_lab_data!C:C,0)))</f>
        <v>KB</v>
      </c>
      <c r="O445" s="24" t="str">
        <f t="array" ref="O445">index(fish_lab_data!Q:Q,match(A445,fish_lab_data!C:C,0))</f>
        <v>lab_motiles_etoh</v>
      </c>
      <c r="P445" s="24" t="str">
        <f t="array" ref="P445">if(and(iserror(index(sea_lice!G:G,match(A445,sea_lice!A:A,0))),M445=0),"NA",index(sea_lice!G:G,match(A445,sea_lice!A:A,0)))</f>
        <v>BSL7-88</v>
      </c>
      <c r="Q445" s="24">
        <f t="array" ref="Q445">if(isblank(A445),"",index(fish_lab_data!X:X,match(A445,fish_lab_data!C:C,0)))</f>
        <v>1169</v>
      </c>
    </row>
    <row r="446">
      <c r="A446" s="43" t="s">
        <v>1672</v>
      </c>
      <c r="B446" s="9">
        <v>1.0</v>
      </c>
      <c r="C446" s="25">
        <v>0.0</v>
      </c>
      <c r="D446" s="25">
        <v>0.0</v>
      </c>
      <c r="E446" s="25">
        <v>0.0</v>
      </c>
      <c r="F446" s="25">
        <v>0.0</v>
      </c>
      <c r="G446" s="25">
        <v>0.0</v>
      </c>
      <c r="H446" s="25">
        <v>0.0</v>
      </c>
      <c r="I446" s="25">
        <v>0.0</v>
      </c>
      <c r="J446" s="25">
        <v>0.0</v>
      </c>
      <c r="K446" s="25">
        <v>0.0</v>
      </c>
      <c r="L446" s="25">
        <v>0.0</v>
      </c>
      <c r="M446" s="17">
        <f t="shared" si="1"/>
        <v>1</v>
      </c>
      <c r="N446" s="24" t="str">
        <f t="array" ref="N446">if(isblank(A446),"",index(fish_lab_data!O:O,match(A446,fish_lab_data!C:C,0)))</f>
        <v>KB</v>
      </c>
      <c r="O446" s="24" t="str">
        <f t="array" ref="O446">index(fish_lab_data!Q:Q,match(A446,fish_lab_data!C:C,0))</f>
        <v>lab_motiles_etoh</v>
      </c>
      <c r="P446" s="24" t="str">
        <f t="array" ref="P446">if(and(iserror(index(sea_lice!G:G,match(A446,sea_lice!A:A,0))),M446=0),"NA",index(sea_lice!G:G,match(A446,sea_lice!A:A,0)))</f>
        <v>BSL7-89</v>
      </c>
      <c r="Q446" s="24">
        <f t="array" ref="Q446">if(isblank(A446),"",index(fish_lab_data!X:X,match(A446,fish_lab_data!C:C,0)))</f>
        <v>1170</v>
      </c>
    </row>
    <row r="447">
      <c r="A447" s="43" t="s">
        <v>1674</v>
      </c>
      <c r="B447" s="9">
        <v>1.0</v>
      </c>
      <c r="C447" s="25">
        <v>0.0</v>
      </c>
      <c r="D447" s="25">
        <v>0.0</v>
      </c>
      <c r="E447" s="25">
        <v>0.0</v>
      </c>
      <c r="F447" s="25">
        <v>0.0</v>
      </c>
      <c r="G447" s="25">
        <v>0.0</v>
      </c>
      <c r="H447" s="25">
        <v>0.0</v>
      </c>
      <c r="I447" s="25">
        <v>0.0</v>
      </c>
      <c r="J447" s="25">
        <v>0.0</v>
      </c>
      <c r="K447" s="25">
        <v>0.0</v>
      </c>
      <c r="L447" s="9">
        <v>1.0</v>
      </c>
      <c r="M447" s="17">
        <f t="shared" si="1"/>
        <v>2</v>
      </c>
      <c r="N447" s="24" t="str">
        <f t="array" ref="N447">if(isblank(A447),"",index(fish_lab_data!O:O,match(A447,fish_lab_data!C:C,0)))</f>
        <v>KB</v>
      </c>
      <c r="O447" s="24" t="str">
        <f t="array" ref="O447">index(fish_lab_data!Q:Q,match(A447,fish_lab_data!C:C,0))</f>
        <v>lab_motiles_etoh</v>
      </c>
      <c r="P447" s="24" t="str">
        <f t="array" ref="P447">if(and(iserror(index(sea_lice!G:G,match(A447,sea_lice!A:A,0))),M447=0),"NA",index(sea_lice!G:G,match(A447,sea_lice!A:A,0)))</f>
        <v>BSL7-90</v>
      </c>
      <c r="Q447" s="24">
        <f t="array" ref="Q447">if(isblank(A447),"",index(fish_lab_data!X:X,match(A447,fish_lab_data!C:C,0)))</f>
        <v>1171</v>
      </c>
    </row>
    <row r="448">
      <c r="A448" s="43" t="s">
        <v>1675</v>
      </c>
      <c r="B448" s="9">
        <v>2.0</v>
      </c>
      <c r="C448" s="25">
        <v>0.0</v>
      </c>
      <c r="D448" s="25">
        <v>0.0</v>
      </c>
      <c r="E448" s="25">
        <v>0.0</v>
      </c>
      <c r="F448" s="25">
        <v>0.0</v>
      </c>
      <c r="G448" s="25">
        <v>0.0</v>
      </c>
      <c r="H448" s="25">
        <v>0.0</v>
      </c>
      <c r="I448" s="25">
        <v>0.0</v>
      </c>
      <c r="J448" s="25">
        <v>0.0</v>
      </c>
      <c r="K448" s="25">
        <v>0.0</v>
      </c>
      <c r="L448" s="25">
        <v>0.0</v>
      </c>
      <c r="M448" s="17">
        <f t="shared" si="1"/>
        <v>2</v>
      </c>
      <c r="N448" s="24" t="str">
        <f t="array" ref="N448">if(isblank(A448),"",index(fish_lab_data!O:O,match(A448,fish_lab_data!C:C,0)))</f>
        <v>KB</v>
      </c>
      <c r="O448" s="24" t="str">
        <f t="array" ref="O448">index(fish_lab_data!Q:Q,match(A448,fish_lab_data!C:C,0))</f>
        <v>lab_motiles_etoh</v>
      </c>
      <c r="P448" s="24" t="str">
        <f t="array" ref="P448">if(and(iserror(index(sea_lice!G:G,match(A448,sea_lice!A:A,0))),M448=0),"NA",index(sea_lice!G:G,match(A448,sea_lice!A:A,0)))</f>
        <v>BSL7-91</v>
      </c>
      <c r="Q448" s="24">
        <f t="array" ref="Q448">if(isblank(A448),"",index(fish_lab_data!X:X,match(A448,fish_lab_data!C:C,0)))</f>
        <v>1172</v>
      </c>
    </row>
    <row r="449">
      <c r="A449" s="43" t="s">
        <v>1676</v>
      </c>
      <c r="B449" s="25">
        <v>0.0</v>
      </c>
      <c r="C449" s="25">
        <v>0.0</v>
      </c>
      <c r="D449" s="25">
        <v>0.0</v>
      </c>
      <c r="E449" s="25">
        <v>0.0</v>
      </c>
      <c r="F449" s="25">
        <v>0.0</v>
      </c>
      <c r="G449" s="25">
        <v>0.0</v>
      </c>
      <c r="H449" s="25">
        <v>0.0</v>
      </c>
      <c r="I449" s="25">
        <v>0.0</v>
      </c>
      <c r="J449" s="25">
        <v>0.0</v>
      </c>
      <c r="K449" s="25">
        <v>0.0</v>
      </c>
      <c r="L449" s="25">
        <v>0.0</v>
      </c>
      <c r="M449" s="17">
        <f t="shared" si="1"/>
        <v>0</v>
      </c>
      <c r="N449" s="24" t="str">
        <f t="array" ref="N449">if(isblank(A449),"",index(fish_lab_data!O:O,match(A449,fish_lab_data!C:C,0)))</f>
        <v>KB</v>
      </c>
      <c r="O449" s="24" t="str">
        <f t="array" ref="O449">index(fish_lab_data!Q:Q,match(A449,fish_lab_data!C:C,0))</f>
        <v>lab_motiles_etoh</v>
      </c>
      <c r="P449" s="24" t="str">
        <f t="array" ref="P449">if(and(iserror(index(sea_lice!G:G,match(A449,sea_lice!A:A,0))),M449=0),"NA",index(sea_lice!G:G,match(A449,sea_lice!A:A,0)))</f>
        <v>NA</v>
      </c>
      <c r="Q449" s="24">
        <f t="array" ref="Q449">if(isblank(A449),"",index(fish_lab_data!X:X,match(A449,fish_lab_data!C:C,0)))</f>
        <v>1173</v>
      </c>
    </row>
    <row r="450">
      <c r="A450" s="43" t="s">
        <v>1677</v>
      </c>
      <c r="B450" s="25">
        <v>0.0</v>
      </c>
      <c r="C450" s="25">
        <v>0.0</v>
      </c>
      <c r="D450" s="25">
        <v>0.0</v>
      </c>
      <c r="E450" s="25">
        <v>0.0</v>
      </c>
      <c r="F450" s="25">
        <v>0.0</v>
      </c>
      <c r="G450" s="25">
        <v>0.0</v>
      </c>
      <c r="H450" s="25">
        <v>0.0</v>
      </c>
      <c r="I450" s="25">
        <v>0.0</v>
      </c>
      <c r="J450" s="25">
        <v>0.0</v>
      </c>
      <c r="K450" s="25">
        <v>0.0</v>
      </c>
      <c r="L450" s="25">
        <v>0.0</v>
      </c>
      <c r="M450" s="17">
        <f t="shared" si="1"/>
        <v>0</v>
      </c>
      <c r="N450" s="24" t="str">
        <f t="array" ref="N450">if(isblank(A450),"",index(fish_lab_data!O:O,match(A450,fish_lab_data!C:C,0)))</f>
        <v>KB</v>
      </c>
      <c r="O450" s="24" t="str">
        <f t="array" ref="O450">index(fish_lab_data!Q:Q,match(A450,fish_lab_data!C:C,0))</f>
        <v>lab_motiles_etoh</v>
      </c>
      <c r="P450" s="24" t="str">
        <f t="array" ref="P450">if(and(iserror(index(sea_lice!G:G,match(A450,sea_lice!A:A,0))),M450=0),"NA",index(sea_lice!G:G,match(A450,sea_lice!A:A,0)))</f>
        <v>NA</v>
      </c>
      <c r="Q450" s="24">
        <f t="array" ref="Q450">if(isblank(A450),"",index(fish_lab_data!X:X,match(A450,fish_lab_data!C:C,0)))</f>
        <v>1174</v>
      </c>
    </row>
    <row r="451">
      <c r="A451" s="43" t="s">
        <v>1678</v>
      </c>
      <c r="B451" s="25">
        <v>0.0</v>
      </c>
      <c r="C451" s="25">
        <v>0.0</v>
      </c>
      <c r="D451" s="25">
        <v>0.0</v>
      </c>
      <c r="E451" s="25">
        <v>0.0</v>
      </c>
      <c r="F451" s="25">
        <v>0.0</v>
      </c>
      <c r="G451" s="25">
        <v>0.0</v>
      </c>
      <c r="H451" s="25">
        <v>0.0</v>
      </c>
      <c r="I451" s="25">
        <v>0.0</v>
      </c>
      <c r="J451" s="25">
        <v>0.0</v>
      </c>
      <c r="K451" s="25">
        <v>0.0</v>
      </c>
      <c r="L451" s="25">
        <v>0.0</v>
      </c>
      <c r="M451" s="17">
        <f t="shared" si="1"/>
        <v>0</v>
      </c>
      <c r="N451" s="24" t="str">
        <f t="array" ref="N451">if(isblank(A451),"",index(fish_lab_data!O:O,match(A451,fish_lab_data!C:C,0)))</f>
        <v>KB</v>
      </c>
      <c r="O451" s="24" t="str">
        <f t="array" ref="O451">index(fish_lab_data!Q:Q,match(A451,fish_lab_data!C:C,0))</f>
        <v>lab_motiles_etoh</v>
      </c>
      <c r="P451" s="24" t="str">
        <f t="array" ref="P451">if(and(iserror(index(sea_lice!G:G,match(A451,sea_lice!A:A,0))),M451=0),"NA",index(sea_lice!G:G,match(A451,sea_lice!A:A,0)))</f>
        <v>NA</v>
      </c>
      <c r="Q451" s="24">
        <f t="array" ref="Q451">if(isblank(A451),"",index(fish_lab_data!X:X,match(A451,fish_lab_data!C:C,0)))</f>
        <v>1175</v>
      </c>
    </row>
    <row r="452">
      <c r="A452" s="43" t="s">
        <v>1680</v>
      </c>
      <c r="B452" s="25">
        <v>0.0</v>
      </c>
      <c r="C452" s="25">
        <v>0.0</v>
      </c>
      <c r="D452" s="25">
        <v>0.0</v>
      </c>
      <c r="E452" s="25">
        <v>0.0</v>
      </c>
      <c r="F452" s="25">
        <v>0.0</v>
      </c>
      <c r="G452" s="25">
        <v>0.0</v>
      </c>
      <c r="H452" s="25">
        <v>0.0</v>
      </c>
      <c r="I452" s="25">
        <v>0.0</v>
      </c>
      <c r="J452" s="25">
        <v>0.0</v>
      </c>
      <c r="K452" s="25">
        <v>0.0</v>
      </c>
      <c r="L452" s="25">
        <v>0.0</v>
      </c>
      <c r="M452" s="17">
        <f t="shared" si="1"/>
        <v>0</v>
      </c>
      <c r="N452" s="24" t="str">
        <f t="array" ref="N452">if(isblank(A452),"",index(fish_lab_data!O:O,match(A452,fish_lab_data!C:C,0)))</f>
        <v>KB</v>
      </c>
      <c r="O452" s="24" t="str">
        <f t="array" ref="O452">index(fish_lab_data!Q:Q,match(A452,fish_lab_data!C:C,0))</f>
        <v>lab_motiles_etoh</v>
      </c>
      <c r="P452" s="24" t="str">
        <f t="array" ref="P452">if(and(iserror(index(sea_lice!G:G,match(A452,sea_lice!A:A,0))),M452=0),"NA",index(sea_lice!G:G,match(A452,sea_lice!A:A,0)))</f>
        <v>NA</v>
      </c>
      <c r="Q452" s="24">
        <f t="array" ref="Q452">if(isblank(A452),"",index(fish_lab_data!X:X,match(A452,fish_lab_data!C:C,0)))</f>
        <v>1176</v>
      </c>
    </row>
    <row r="453">
      <c r="A453" s="43" t="s">
        <v>1681</v>
      </c>
      <c r="B453" s="25">
        <v>0.0</v>
      </c>
      <c r="C453" s="25">
        <v>0.0</v>
      </c>
      <c r="D453" s="25">
        <v>0.0</v>
      </c>
      <c r="E453" s="25">
        <v>0.0</v>
      </c>
      <c r="F453" s="25">
        <v>0.0</v>
      </c>
      <c r="G453" s="25">
        <v>0.0</v>
      </c>
      <c r="H453" s="25">
        <v>0.0</v>
      </c>
      <c r="I453" s="25">
        <v>0.0</v>
      </c>
      <c r="J453" s="25">
        <v>0.0</v>
      </c>
      <c r="K453" s="25">
        <v>0.0</v>
      </c>
      <c r="L453" s="25">
        <v>0.0</v>
      </c>
      <c r="M453" s="17">
        <f t="shared" si="1"/>
        <v>0</v>
      </c>
      <c r="N453" s="24" t="str">
        <f t="array" ref="N453">if(isblank(A453),"",index(fish_lab_data!O:O,match(A453,fish_lab_data!C:C,0)))</f>
        <v>KB</v>
      </c>
      <c r="O453" s="24" t="str">
        <f t="array" ref="O453">index(fish_lab_data!Q:Q,match(A453,fish_lab_data!C:C,0))</f>
        <v>lab_motiles_etoh</v>
      </c>
      <c r="P453" s="24" t="str">
        <f t="array" ref="P453">if(and(iserror(index(sea_lice!G:G,match(A453,sea_lice!A:A,0))),M453=0),"NA",index(sea_lice!G:G,match(A453,sea_lice!A:A,0)))</f>
        <v>NA</v>
      </c>
      <c r="Q453" s="24">
        <f t="array" ref="Q453">if(isblank(A453),"",index(fish_lab_data!X:X,match(A453,fish_lab_data!C:C,0)))</f>
        <v>1177</v>
      </c>
    </row>
    <row r="454">
      <c r="A454" s="43" t="s">
        <v>1682</v>
      </c>
      <c r="B454" s="25">
        <v>0.0</v>
      </c>
      <c r="C454" s="25">
        <v>0.0</v>
      </c>
      <c r="D454" s="25">
        <v>0.0</v>
      </c>
      <c r="E454" s="25">
        <v>0.0</v>
      </c>
      <c r="F454" s="25">
        <v>0.0</v>
      </c>
      <c r="G454" s="25">
        <v>0.0</v>
      </c>
      <c r="H454" s="25">
        <v>0.0</v>
      </c>
      <c r="I454" s="25">
        <v>0.0</v>
      </c>
      <c r="J454" s="25">
        <v>0.0</v>
      </c>
      <c r="K454" s="25">
        <v>0.0</v>
      </c>
      <c r="L454" s="25">
        <v>0.0</v>
      </c>
      <c r="M454" s="17">
        <f t="shared" si="1"/>
        <v>0</v>
      </c>
      <c r="N454" s="24" t="str">
        <f t="array" ref="N454">if(isblank(A454),"",index(fish_lab_data!O:O,match(A454,fish_lab_data!C:C,0)))</f>
        <v>KB</v>
      </c>
      <c r="O454" s="24" t="str">
        <f t="array" ref="O454">index(fish_lab_data!Q:Q,match(A454,fish_lab_data!C:C,0))</f>
        <v>lab_motiles_etoh</v>
      </c>
      <c r="P454" s="24" t="str">
        <f t="array" ref="P454">if(and(iserror(index(sea_lice!G:G,match(A454,sea_lice!A:A,0))),M454=0),"NA",index(sea_lice!G:G,match(A454,sea_lice!A:A,0)))</f>
        <v>NA</v>
      </c>
      <c r="Q454" s="24">
        <f t="array" ref="Q454">if(isblank(A454),"",index(fish_lab_data!X:X,match(A454,fish_lab_data!C:C,0)))</f>
        <v>1178</v>
      </c>
    </row>
    <row r="455">
      <c r="A455" s="43" t="s">
        <v>1683</v>
      </c>
      <c r="B455" s="25">
        <v>0.0</v>
      </c>
      <c r="C455" s="25">
        <v>0.0</v>
      </c>
      <c r="D455" s="25">
        <v>0.0</v>
      </c>
      <c r="E455" s="25">
        <v>0.0</v>
      </c>
      <c r="F455" s="25">
        <v>0.0</v>
      </c>
      <c r="G455" s="25">
        <v>0.0</v>
      </c>
      <c r="H455" s="25">
        <v>0.0</v>
      </c>
      <c r="I455" s="25">
        <v>0.0</v>
      </c>
      <c r="J455" s="25">
        <v>0.0</v>
      </c>
      <c r="K455" s="25">
        <v>0.0</v>
      </c>
      <c r="L455" s="25">
        <v>0.0</v>
      </c>
      <c r="M455" s="17">
        <f t="shared" si="1"/>
        <v>0</v>
      </c>
      <c r="N455" s="24" t="str">
        <f t="array" ref="N455">if(isblank(A455),"",index(fish_lab_data!O:O,match(A455,fish_lab_data!C:C,0)))</f>
        <v>KB</v>
      </c>
      <c r="O455" s="24" t="str">
        <f t="array" ref="O455">index(fish_lab_data!Q:Q,match(A455,fish_lab_data!C:C,0))</f>
        <v>lab_motiles_etoh</v>
      </c>
      <c r="P455" s="24" t="str">
        <f t="array" ref="P455">if(and(iserror(index(sea_lice!G:G,match(A455,sea_lice!A:A,0))),M455=0),"NA",index(sea_lice!G:G,match(A455,sea_lice!A:A,0)))</f>
        <v>NA</v>
      </c>
      <c r="Q455" s="24">
        <f t="array" ref="Q455">if(isblank(A455),"",index(fish_lab_data!X:X,match(A455,fish_lab_data!C:C,0)))</f>
        <v>1179</v>
      </c>
    </row>
    <row r="456">
      <c r="A456" s="43" t="s">
        <v>1684</v>
      </c>
      <c r="B456" s="25">
        <v>0.0</v>
      </c>
      <c r="C456" s="25">
        <v>0.0</v>
      </c>
      <c r="D456" s="25">
        <v>0.0</v>
      </c>
      <c r="E456" s="25">
        <v>0.0</v>
      </c>
      <c r="F456" s="25">
        <v>0.0</v>
      </c>
      <c r="G456" s="25">
        <v>0.0</v>
      </c>
      <c r="H456" s="25">
        <v>0.0</v>
      </c>
      <c r="I456" s="25">
        <v>0.0</v>
      </c>
      <c r="J456" s="25">
        <v>0.0</v>
      </c>
      <c r="K456" s="25">
        <v>0.0</v>
      </c>
      <c r="L456" s="25">
        <v>0.0</v>
      </c>
      <c r="M456" s="17">
        <f t="shared" si="1"/>
        <v>0</v>
      </c>
      <c r="N456" s="24" t="str">
        <f t="array" ref="N456">if(isblank(A456),"",index(fish_lab_data!O:O,match(A456,fish_lab_data!C:C,0)))</f>
        <v>KB</v>
      </c>
      <c r="O456" s="24" t="str">
        <f t="array" ref="O456">index(fish_lab_data!Q:Q,match(A456,fish_lab_data!C:C,0))</f>
        <v>lab_motiles_etoh</v>
      </c>
      <c r="P456" s="24" t="str">
        <f t="array" ref="P456">if(and(iserror(index(sea_lice!G:G,match(A456,sea_lice!A:A,0))),M456=0),"NA",index(sea_lice!G:G,match(A456,sea_lice!A:A,0)))</f>
        <v>NA</v>
      </c>
      <c r="Q456" s="24">
        <f t="array" ref="Q456">if(isblank(A456),"",index(fish_lab_data!X:X,match(A456,fish_lab_data!C:C,0)))</f>
        <v>1180</v>
      </c>
    </row>
    <row r="457">
      <c r="A457" s="43" t="s">
        <v>1686</v>
      </c>
      <c r="B457" s="9">
        <v>1.0</v>
      </c>
      <c r="C457" s="25">
        <v>0.0</v>
      </c>
      <c r="D457" s="25">
        <v>0.0</v>
      </c>
      <c r="E457" s="25">
        <v>0.0</v>
      </c>
      <c r="F457" s="25">
        <v>0.0</v>
      </c>
      <c r="G457" s="25">
        <v>0.0</v>
      </c>
      <c r="H457" s="25">
        <v>0.0</v>
      </c>
      <c r="I457" s="25">
        <v>0.0</v>
      </c>
      <c r="J457" s="25">
        <v>0.0</v>
      </c>
      <c r="K457" s="25">
        <v>0.0</v>
      </c>
      <c r="L457" s="25">
        <v>0.0</v>
      </c>
      <c r="M457" s="17">
        <f t="shared" si="1"/>
        <v>1</v>
      </c>
      <c r="N457" s="24" t="str">
        <f t="array" ref="N457">if(isblank(A457),"",index(fish_lab_data!O:O,match(A457,fish_lab_data!C:C,0)))</f>
        <v>KB</v>
      </c>
      <c r="O457" s="24" t="str">
        <f t="array" ref="O457">index(fish_lab_data!Q:Q,match(A457,fish_lab_data!C:C,0))</f>
        <v>lab_motiles_etoh</v>
      </c>
      <c r="P457" s="24" t="str">
        <f t="array" ref="P457">if(and(iserror(index(sea_lice!G:G,match(A457,sea_lice!A:A,0))),M457=0),"NA",index(sea_lice!G:G,match(A457,sea_lice!A:A,0)))</f>
        <v>BSL7-93</v>
      </c>
      <c r="Q457" s="24">
        <f t="array" ref="Q457">if(isblank(A457),"",index(fish_lab_data!X:X,match(A457,fish_lab_data!C:C,0)))</f>
        <v>1181</v>
      </c>
    </row>
    <row r="458">
      <c r="A458" s="43" t="s">
        <v>1687</v>
      </c>
      <c r="B458" s="25">
        <v>0.0</v>
      </c>
      <c r="C458" s="25">
        <v>0.0</v>
      </c>
      <c r="D458" s="25">
        <v>0.0</v>
      </c>
      <c r="E458" s="25">
        <v>0.0</v>
      </c>
      <c r="F458" s="25">
        <v>0.0</v>
      </c>
      <c r="G458" s="25">
        <v>0.0</v>
      </c>
      <c r="H458" s="25">
        <v>0.0</v>
      </c>
      <c r="I458" s="25">
        <v>0.0</v>
      </c>
      <c r="J458" s="25">
        <v>0.0</v>
      </c>
      <c r="K458" s="25">
        <v>0.0</v>
      </c>
      <c r="L458" s="25">
        <v>0.0</v>
      </c>
      <c r="M458" s="17">
        <f t="shared" si="1"/>
        <v>0</v>
      </c>
      <c r="N458" s="24" t="str">
        <f t="array" ref="N458">if(isblank(A458),"",index(fish_lab_data!O:O,match(A458,fish_lab_data!C:C,0)))</f>
        <v>KB</v>
      </c>
      <c r="O458" s="24" t="str">
        <f t="array" ref="O458">index(fish_lab_data!Q:Q,match(A458,fish_lab_data!C:C,0))</f>
        <v>lab_motiles_etoh</v>
      </c>
      <c r="P458" s="24" t="str">
        <f t="array" ref="P458">if(and(iserror(index(sea_lice!G:G,match(A458,sea_lice!A:A,0))),M458=0),"NA",index(sea_lice!G:G,match(A458,sea_lice!A:A,0)))</f>
        <v>NA</v>
      </c>
      <c r="Q458" s="24">
        <f t="array" ref="Q458">if(isblank(A458),"",index(fish_lab_data!X:X,match(A458,fish_lab_data!C:C,0)))</f>
        <v>1182</v>
      </c>
    </row>
    <row r="459">
      <c r="A459" s="43" t="s">
        <v>1688</v>
      </c>
      <c r="B459" s="25">
        <v>0.0</v>
      </c>
      <c r="C459" s="9">
        <v>1.0</v>
      </c>
      <c r="D459" s="25">
        <v>0.0</v>
      </c>
      <c r="E459" s="25">
        <v>0.0</v>
      </c>
      <c r="F459" s="25">
        <v>0.0</v>
      </c>
      <c r="G459" s="25">
        <v>0.0</v>
      </c>
      <c r="H459" s="25">
        <v>0.0</v>
      </c>
      <c r="I459" s="25">
        <v>0.0</v>
      </c>
      <c r="J459" s="25">
        <v>0.0</v>
      </c>
      <c r="K459" s="25">
        <v>0.0</v>
      </c>
      <c r="L459" s="25">
        <v>0.0</v>
      </c>
      <c r="M459" s="17">
        <f t="shared" si="1"/>
        <v>1</v>
      </c>
      <c r="N459" s="24" t="str">
        <f t="array" ref="N459">if(isblank(A459),"",index(fish_lab_data!O:O,match(A459,fish_lab_data!C:C,0)))</f>
        <v>KB</v>
      </c>
      <c r="O459" s="24" t="str">
        <f t="array" ref="O459">index(fish_lab_data!Q:Q,match(A459,fish_lab_data!C:C,0))</f>
        <v>lab_motiles_etoh</v>
      </c>
      <c r="P459" s="24" t="str">
        <f t="array" ref="P459">if(and(iserror(index(sea_lice!G:G,match(A459,sea_lice!A:A,0))),M459=0),"NA",index(sea_lice!G:G,match(A459,sea_lice!A:A,0)))</f>
        <v>BSL7-94</v>
      </c>
      <c r="Q459" s="24">
        <f t="array" ref="Q459">if(isblank(A459),"",index(fish_lab_data!X:X,match(A459,fish_lab_data!C:C,0)))</f>
        <v>1183</v>
      </c>
    </row>
    <row r="460">
      <c r="A460" s="43" t="s">
        <v>1690</v>
      </c>
      <c r="B460" s="25">
        <v>0.0</v>
      </c>
      <c r="C460" s="25">
        <v>0.0</v>
      </c>
      <c r="D460" s="25">
        <v>0.0</v>
      </c>
      <c r="E460" s="25">
        <v>0.0</v>
      </c>
      <c r="F460" s="25">
        <v>0.0</v>
      </c>
      <c r="G460" s="25">
        <v>0.0</v>
      </c>
      <c r="H460" s="25">
        <v>0.0</v>
      </c>
      <c r="I460" s="25">
        <v>0.0</v>
      </c>
      <c r="J460" s="25">
        <v>0.0</v>
      </c>
      <c r="K460" s="25">
        <v>0.0</v>
      </c>
      <c r="L460" s="25">
        <v>0.0</v>
      </c>
      <c r="M460" s="17">
        <f t="shared" si="1"/>
        <v>0</v>
      </c>
      <c r="N460" s="24" t="str">
        <f t="array" ref="N460">if(isblank(A460),"",index(fish_lab_data!O:O,match(A460,fish_lab_data!C:C,0)))</f>
        <v>KB</v>
      </c>
      <c r="O460" s="24" t="str">
        <f t="array" ref="O460">index(fish_lab_data!Q:Q,match(A460,fish_lab_data!C:C,0))</f>
        <v>lab_motiles_etoh</v>
      </c>
      <c r="P460" s="24" t="str">
        <f t="array" ref="P460">if(and(iserror(index(sea_lice!G:G,match(A460,sea_lice!A:A,0))),M460=0),"NA",index(sea_lice!G:G,match(A460,sea_lice!A:A,0)))</f>
        <v>NA</v>
      </c>
      <c r="Q460" s="24">
        <f t="array" ref="Q460">if(isblank(A460),"",index(fish_lab_data!X:X,match(A460,fish_lab_data!C:C,0)))</f>
        <v>1184</v>
      </c>
    </row>
    <row r="461">
      <c r="A461" s="43" t="s">
        <v>1691</v>
      </c>
      <c r="B461" s="25">
        <v>0.0</v>
      </c>
      <c r="C461" s="25">
        <v>0.0</v>
      </c>
      <c r="D461" s="25">
        <v>0.0</v>
      </c>
      <c r="E461" s="25">
        <v>0.0</v>
      </c>
      <c r="F461" s="25">
        <v>0.0</v>
      </c>
      <c r="G461" s="25">
        <v>0.0</v>
      </c>
      <c r="H461" s="25">
        <v>0.0</v>
      </c>
      <c r="I461" s="25">
        <v>0.0</v>
      </c>
      <c r="J461" s="25">
        <v>0.0</v>
      </c>
      <c r="K461" s="25">
        <v>0.0</v>
      </c>
      <c r="L461" s="25">
        <v>0.0</v>
      </c>
      <c r="M461" s="17">
        <f t="shared" si="1"/>
        <v>0</v>
      </c>
      <c r="N461" s="24" t="str">
        <f t="array" ref="N461">if(isblank(A461),"",index(fish_lab_data!O:O,match(A461,fish_lab_data!C:C,0)))</f>
        <v>KB</v>
      </c>
      <c r="O461" s="24" t="str">
        <f t="array" ref="O461">index(fish_lab_data!Q:Q,match(A461,fish_lab_data!C:C,0))</f>
        <v>lab_motiles_cryo</v>
      </c>
      <c r="P461" s="24" t="str">
        <f t="array" ref="P461">if(and(iserror(index(sea_lice!G:G,match(A461,sea_lice!A:A,0))),M461=0),"NA",index(sea_lice!G:G,match(A461,sea_lice!A:A,0)))</f>
        <v>NA</v>
      </c>
      <c r="Q461" s="24">
        <f t="array" ref="Q461">if(isblank(A461),"",index(fish_lab_data!X:X,match(A461,fish_lab_data!C:C,0)))</f>
        <v>1185</v>
      </c>
    </row>
    <row r="462">
      <c r="A462" s="43" t="s">
        <v>1692</v>
      </c>
      <c r="B462" s="25">
        <v>0.0</v>
      </c>
      <c r="C462" s="25">
        <v>0.0</v>
      </c>
      <c r="D462" s="25">
        <v>0.0</v>
      </c>
      <c r="E462" s="25">
        <v>0.0</v>
      </c>
      <c r="F462" s="25">
        <v>0.0</v>
      </c>
      <c r="G462" s="25">
        <v>0.0</v>
      </c>
      <c r="H462" s="25">
        <v>0.0</v>
      </c>
      <c r="I462" s="25">
        <v>0.0</v>
      </c>
      <c r="J462" s="25">
        <v>0.0</v>
      </c>
      <c r="K462" s="25">
        <v>0.0</v>
      </c>
      <c r="L462" s="25">
        <v>0.0</v>
      </c>
      <c r="M462" s="17">
        <f t="shared" si="1"/>
        <v>0</v>
      </c>
      <c r="N462" s="24" t="str">
        <f t="array" ref="N462">if(isblank(A462),"",index(fish_lab_data!O:O,match(A462,fish_lab_data!C:C,0)))</f>
        <v>KB</v>
      </c>
      <c r="O462" s="24" t="str">
        <f t="array" ref="O462">index(fish_lab_data!Q:Q,match(A462,fish_lab_data!C:C,0))</f>
        <v>lab_motiles_cryo</v>
      </c>
      <c r="P462" s="24" t="str">
        <f t="array" ref="P462">if(and(iserror(index(sea_lice!G:G,match(A462,sea_lice!A:A,0))),M462=0),"NA",index(sea_lice!G:G,match(A462,sea_lice!A:A,0)))</f>
        <v>NA</v>
      </c>
      <c r="Q462" s="24">
        <f t="array" ref="Q462">if(isblank(A462),"",index(fish_lab_data!X:X,match(A462,fish_lab_data!C:C,0)))</f>
        <v>1186</v>
      </c>
    </row>
    <row r="463">
      <c r="A463" s="43" t="s">
        <v>1693</v>
      </c>
      <c r="B463" s="25">
        <v>0.0</v>
      </c>
      <c r="C463" s="25">
        <v>0.0</v>
      </c>
      <c r="D463" s="25">
        <v>0.0</v>
      </c>
      <c r="E463" s="25">
        <v>0.0</v>
      </c>
      <c r="F463" s="25">
        <v>0.0</v>
      </c>
      <c r="G463" s="25">
        <v>0.0</v>
      </c>
      <c r="H463" s="25">
        <v>0.0</v>
      </c>
      <c r="I463" s="25">
        <v>0.0</v>
      </c>
      <c r="J463" s="25">
        <v>0.0</v>
      </c>
      <c r="K463" s="25">
        <v>0.0</v>
      </c>
      <c r="L463" s="25">
        <v>0.0</v>
      </c>
      <c r="M463" s="17">
        <f t="shared" si="1"/>
        <v>0</v>
      </c>
      <c r="N463" s="24" t="str">
        <f t="array" ref="N463">if(isblank(A463),"",index(fish_lab_data!O:O,match(A463,fish_lab_data!C:C,0)))</f>
        <v>KB</v>
      </c>
      <c r="O463" s="24" t="str">
        <f t="array" ref="O463">index(fish_lab_data!Q:Q,match(A463,fish_lab_data!C:C,0))</f>
        <v>lab_motiles_cryo</v>
      </c>
      <c r="P463" s="24" t="str">
        <f t="array" ref="P463">if(and(iserror(index(sea_lice!G:G,match(A463,sea_lice!A:A,0))),M463=0),"NA",index(sea_lice!G:G,match(A463,sea_lice!A:A,0)))</f>
        <v>NA</v>
      </c>
      <c r="Q463" s="24">
        <f t="array" ref="Q463">if(isblank(A463),"",index(fish_lab_data!X:X,match(A463,fish_lab_data!C:C,0)))</f>
        <v>1187</v>
      </c>
    </row>
    <row r="464">
      <c r="A464" s="43" t="s">
        <v>1695</v>
      </c>
      <c r="B464" s="25">
        <v>0.0</v>
      </c>
      <c r="C464" s="25">
        <v>0.0</v>
      </c>
      <c r="D464" s="25">
        <v>0.0</v>
      </c>
      <c r="E464" s="25">
        <v>0.0</v>
      </c>
      <c r="F464" s="25">
        <v>0.0</v>
      </c>
      <c r="G464" s="25">
        <v>0.0</v>
      </c>
      <c r="H464" s="25">
        <v>0.0</v>
      </c>
      <c r="I464" s="25">
        <v>0.0</v>
      </c>
      <c r="J464" s="25">
        <v>0.0</v>
      </c>
      <c r="K464" s="25">
        <v>0.0</v>
      </c>
      <c r="L464" s="25">
        <v>0.0</v>
      </c>
      <c r="M464" s="17">
        <f t="shared" si="1"/>
        <v>0</v>
      </c>
      <c r="N464" s="24" t="str">
        <f t="array" ref="N464">if(isblank(A464),"",index(fish_lab_data!O:O,match(A464,fish_lab_data!C:C,0)))</f>
        <v>KB</v>
      </c>
      <c r="O464" s="24" t="str">
        <f t="array" ref="O464">index(fish_lab_data!Q:Q,match(A464,fish_lab_data!C:C,0))</f>
        <v>lab_motiles_cryo</v>
      </c>
      <c r="P464" s="24" t="str">
        <f t="array" ref="P464">if(and(iserror(index(sea_lice!G:G,match(A464,sea_lice!A:A,0))),M464=0),"NA",index(sea_lice!G:G,match(A464,sea_lice!A:A,0)))</f>
        <v>NA</v>
      </c>
      <c r="Q464" s="24">
        <f t="array" ref="Q464">if(isblank(A464),"",index(fish_lab_data!X:X,match(A464,fish_lab_data!C:C,0)))</f>
        <v>1188</v>
      </c>
    </row>
    <row r="465">
      <c r="A465" s="26" t="s">
        <v>1696</v>
      </c>
      <c r="B465" s="9">
        <v>1.0</v>
      </c>
      <c r="C465" s="25">
        <v>0.0</v>
      </c>
      <c r="D465" s="25">
        <v>0.0</v>
      </c>
      <c r="E465" s="9">
        <v>1.0</v>
      </c>
      <c r="F465" s="25">
        <v>0.0</v>
      </c>
      <c r="G465" s="25">
        <v>0.0</v>
      </c>
      <c r="H465" s="25">
        <v>0.0</v>
      </c>
      <c r="I465" s="25">
        <v>0.0</v>
      </c>
      <c r="J465" s="25">
        <v>0.0</v>
      </c>
      <c r="K465" s="25">
        <v>0.0</v>
      </c>
      <c r="L465" s="25">
        <v>0.0</v>
      </c>
      <c r="M465" s="17">
        <f t="shared" si="1"/>
        <v>2</v>
      </c>
      <c r="N465" s="24" t="str">
        <f t="array" ref="N465">if(isblank(A465),"",index(fish_lab_data!O:O,match(A465,fish_lab_data!C:C,0)))</f>
        <v>JG</v>
      </c>
      <c r="O465" s="24" t="str">
        <f t="array" ref="O465">index(fish_lab_data!Q:Q,match(A465,fish_lab_data!C:C,0))</f>
        <v>lab_motiles_etoh</v>
      </c>
      <c r="P465" s="24" t="str">
        <f t="array" ref="P465">if(and(iserror(index(sea_lice!G:G,match(A465,sea_lice!A:A,0))),M465=0),"NA",index(sea_lice!G:G,match(A465,sea_lice!A:A,0)))</f>
        <v>BSL7-81</v>
      </c>
      <c r="Q465" s="24">
        <f t="array" ref="Q465">if(isblank(A465),"",index(fish_lab_data!X:X,match(A465,fish_lab_data!C:C,0)))</f>
        <v>1189</v>
      </c>
    </row>
    <row r="466">
      <c r="A466" s="26" t="s">
        <v>1697</v>
      </c>
      <c r="B466" s="9">
        <v>1.0</v>
      </c>
      <c r="C466" s="25">
        <v>0.0</v>
      </c>
      <c r="D466" s="25">
        <v>0.0</v>
      </c>
      <c r="E466" s="25">
        <v>0.0</v>
      </c>
      <c r="F466" s="25">
        <v>0.0</v>
      </c>
      <c r="G466" s="25">
        <v>0.0</v>
      </c>
      <c r="H466" s="25">
        <v>0.0</v>
      </c>
      <c r="I466" s="25">
        <v>0.0</v>
      </c>
      <c r="J466" s="25">
        <v>0.0</v>
      </c>
      <c r="K466" s="25">
        <v>0.0</v>
      </c>
      <c r="L466" s="25">
        <v>0.0</v>
      </c>
      <c r="M466" s="17">
        <f t="shared" si="1"/>
        <v>1</v>
      </c>
      <c r="N466" s="24" t="str">
        <f t="array" ref="N466">if(isblank(A466),"",index(fish_lab_data!O:O,match(A466,fish_lab_data!C:C,0)))</f>
        <v>JG</v>
      </c>
      <c r="O466" s="24" t="str">
        <f t="array" ref="O466">index(fish_lab_data!Q:Q,match(A466,fish_lab_data!C:C,0))</f>
        <v>lab_motiles_etoh</v>
      </c>
      <c r="P466" s="24" t="str">
        <f t="array" ref="P466">if(and(iserror(index(sea_lice!G:G,match(A466,sea_lice!A:A,0))),M466=0),"NA",index(sea_lice!G:G,match(A466,sea_lice!A:A,0)))</f>
        <v>BSL7-82</v>
      </c>
      <c r="Q466" s="24">
        <f t="array" ref="Q466">if(isblank(A466),"",index(fish_lab_data!X:X,match(A466,fish_lab_data!C:C,0)))</f>
        <v>1190</v>
      </c>
    </row>
    <row r="467">
      <c r="A467" s="26" t="s">
        <v>1698</v>
      </c>
      <c r="B467" s="25">
        <v>0.0</v>
      </c>
      <c r="C467" s="25">
        <v>0.0</v>
      </c>
      <c r="D467" s="25">
        <v>0.0</v>
      </c>
      <c r="E467" s="9">
        <v>1.0</v>
      </c>
      <c r="F467" s="25">
        <v>0.0</v>
      </c>
      <c r="G467" s="25">
        <v>0.0</v>
      </c>
      <c r="H467" s="25">
        <v>0.0</v>
      </c>
      <c r="I467" s="25">
        <v>0.0</v>
      </c>
      <c r="J467" s="25">
        <v>0.0</v>
      </c>
      <c r="K467" s="25">
        <v>0.0</v>
      </c>
      <c r="L467" s="25">
        <v>0.0</v>
      </c>
      <c r="M467" s="17">
        <f t="shared" si="1"/>
        <v>1</v>
      </c>
      <c r="N467" s="24" t="str">
        <f t="array" ref="N467">if(isblank(A467),"",index(fish_lab_data!O:O,match(A467,fish_lab_data!C:C,0)))</f>
        <v>JG</v>
      </c>
      <c r="O467" s="24" t="str">
        <f t="array" ref="O467">index(fish_lab_data!Q:Q,match(A467,fish_lab_data!C:C,0))</f>
        <v>lab_motiles_etoh</v>
      </c>
      <c r="P467" s="24" t="str">
        <f t="array" ref="P467">if(and(iserror(index(sea_lice!G:G,match(A467,sea_lice!A:A,0))),M467=0),"NA",index(sea_lice!G:G,match(A467,sea_lice!A:A,0)))</f>
        <v>BSL7-83</v>
      </c>
      <c r="Q467" s="24">
        <f t="array" ref="Q467">if(isblank(A467),"",index(fish_lab_data!X:X,match(A467,fish_lab_data!C:C,0)))</f>
        <v>1191</v>
      </c>
    </row>
    <row r="468">
      <c r="A468" s="25" t="s">
        <v>1699</v>
      </c>
      <c r="B468" s="25">
        <v>0.0</v>
      </c>
      <c r="C468" s="25">
        <v>0.0</v>
      </c>
      <c r="D468" s="25">
        <v>0.0</v>
      </c>
      <c r="E468" s="25">
        <v>0.0</v>
      </c>
      <c r="F468" s="25">
        <v>0.0</v>
      </c>
      <c r="G468" s="25">
        <v>0.0</v>
      </c>
      <c r="H468" s="25">
        <v>0.0</v>
      </c>
      <c r="I468" s="25">
        <v>0.0</v>
      </c>
      <c r="J468" s="25">
        <v>0.0</v>
      </c>
      <c r="K468" s="25">
        <v>0.0</v>
      </c>
      <c r="L468" s="25">
        <v>0.0</v>
      </c>
      <c r="M468" s="17">
        <f t="shared" si="1"/>
        <v>0</v>
      </c>
      <c r="N468" s="24" t="str">
        <f t="array" ref="N468">if(isblank(A468),"",index(fish_lab_data!O:O,match(A468,fish_lab_data!C:C,0)))</f>
        <v>JG</v>
      </c>
      <c r="O468" s="24" t="str">
        <f t="array" ref="O468">index(fish_lab_data!Q:Q,match(A468,fish_lab_data!C:C,0))</f>
        <v>lab_motiles_etoh</v>
      </c>
      <c r="P468" s="24" t="str">
        <f t="array" ref="P468">if(and(iserror(index(sea_lice!G:G,match(A468,sea_lice!A:A,0))),M468=0),"NA",index(sea_lice!G:G,match(A468,sea_lice!A:A,0)))</f>
        <v>NA</v>
      </c>
      <c r="Q468" s="24">
        <f t="array" ref="Q468">if(isblank(A468),"",index(fish_lab_data!X:X,match(A468,fish_lab_data!C:C,0)))</f>
        <v>1192</v>
      </c>
    </row>
    <row r="469">
      <c r="A469" s="25" t="s">
        <v>1701</v>
      </c>
      <c r="B469" s="25">
        <v>0.0</v>
      </c>
      <c r="C469" s="25">
        <v>0.0</v>
      </c>
      <c r="D469" s="25">
        <v>0.0</v>
      </c>
      <c r="E469" s="25">
        <v>0.0</v>
      </c>
      <c r="F469" s="25">
        <v>0.0</v>
      </c>
      <c r="G469" s="25">
        <v>0.0</v>
      </c>
      <c r="H469" s="25">
        <v>0.0</v>
      </c>
      <c r="I469" s="25">
        <v>0.0</v>
      </c>
      <c r="J469" s="25">
        <v>0.0</v>
      </c>
      <c r="K469" s="25">
        <v>0.0</v>
      </c>
      <c r="L469" s="25">
        <v>0.0</v>
      </c>
      <c r="M469" s="17">
        <f t="shared" si="1"/>
        <v>0</v>
      </c>
      <c r="N469" s="24" t="str">
        <f t="array" ref="N469">if(isblank(A469),"",index(fish_lab_data!O:O,match(A469,fish_lab_data!C:C,0)))</f>
        <v>JG</v>
      </c>
      <c r="O469" s="24" t="str">
        <f t="array" ref="O469">index(fish_lab_data!Q:Q,match(A469,fish_lab_data!C:C,0))</f>
        <v>lab_motiles_etoh</v>
      </c>
      <c r="P469" s="24" t="str">
        <f t="array" ref="P469">if(and(iserror(index(sea_lice!G:G,match(A469,sea_lice!A:A,0))),M469=0),"NA",index(sea_lice!G:G,match(A469,sea_lice!A:A,0)))</f>
        <v>NA</v>
      </c>
      <c r="Q469" s="24">
        <f t="array" ref="Q469">if(isblank(A469),"",index(fish_lab_data!X:X,match(A469,fish_lab_data!C:C,0)))</f>
        <v>1193</v>
      </c>
    </row>
    <row r="470">
      <c r="A470" s="25" t="s">
        <v>1702</v>
      </c>
      <c r="B470" s="25">
        <v>0.0</v>
      </c>
      <c r="C470" s="25">
        <v>0.0</v>
      </c>
      <c r="D470" s="25">
        <v>0.0</v>
      </c>
      <c r="E470" s="25">
        <v>0.0</v>
      </c>
      <c r="F470" s="25">
        <v>0.0</v>
      </c>
      <c r="G470" s="25">
        <v>0.0</v>
      </c>
      <c r="H470" s="25">
        <v>0.0</v>
      </c>
      <c r="I470" s="25">
        <v>0.0</v>
      </c>
      <c r="J470" s="25">
        <v>0.0</v>
      </c>
      <c r="K470" s="25">
        <v>0.0</v>
      </c>
      <c r="L470" s="25">
        <v>0.0</v>
      </c>
      <c r="M470" s="17">
        <f t="shared" si="1"/>
        <v>0</v>
      </c>
      <c r="N470" s="24" t="str">
        <f t="array" ref="N470">if(isblank(A470),"",index(fish_lab_data!O:O,match(A470,fish_lab_data!C:C,0)))</f>
        <v>JG</v>
      </c>
      <c r="O470" s="24" t="str">
        <f t="array" ref="O470">index(fish_lab_data!Q:Q,match(A470,fish_lab_data!C:C,0))</f>
        <v>lab_motiles_etoh</v>
      </c>
      <c r="P470" s="24" t="str">
        <f t="array" ref="P470">if(and(iserror(index(sea_lice!G:G,match(A470,sea_lice!A:A,0))),M470=0),"NA",index(sea_lice!G:G,match(A470,sea_lice!A:A,0)))</f>
        <v>NA</v>
      </c>
      <c r="Q470" s="24">
        <f t="array" ref="Q470">if(isblank(A470),"",index(fish_lab_data!X:X,match(A470,fish_lab_data!C:C,0)))</f>
        <v>1194</v>
      </c>
    </row>
    <row r="471">
      <c r="A471" s="25" t="s">
        <v>1703</v>
      </c>
      <c r="B471" s="25">
        <v>0.0</v>
      </c>
      <c r="C471" s="25">
        <v>0.0</v>
      </c>
      <c r="D471" s="25">
        <v>0.0</v>
      </c>
      <c r="E471" s="25">
        <v>0.0</v>
      </c>
      <c r="F471" s="25">
        <v>0.0</v>
      </c>
      <c r="G471" s="25">
        <v>0.0</v>
      </c>
      <c r="H471" s="25">
        <v>0.0</v>
      </c>
      <c r="I471" s="25">
        <v>0.0</v>
      </c>
      <c r="J471" s="25">
        <v>0.0</v>
      </c>
      <c r="K471" s="25">
        <v>0.0</v>
      </c>
      <c r="L471" s="25">
        <v>0.0</v>
      </c>
      <c r="M471" s="17">
        <f t="shared" si="1"/>
        <v>0</v>
      </c>
      <c r="N471" s="24" t="str">
        <f t="array" ref="N471">if(isblank(A471),"",index(fish_lab_data!O:O,match(A471,fish_lab_data!C:C,0)))</f>
        <v>JG</v>
      </c>
      <c r="O471" s="24" t="str">
        <f t="array" ref="O471">index(fish_lab_data!Q:Q,match(A471,fish_lab_data!C:C,0))</f>
        <v>lab_motiles_etoh</v>
      </c>
      <c r="P471" s="24" t="str">
        <f t="array" ref="P471">if(and(iserror(index(sea_lice!G:G,match(A471,sea_lice!A:A,0))),M471=0),"NA",index(sea_lice!G:G,match(A471,sea_lice!A:A,0)))</f>
        <v>NA</v>
      </c>
      <c r="Q471" s="24">
        <f t="array" ref="Q471">if(isblank(A471),"",index(fish_lab_data!X:X,match(A471,fish_lab_data!C:C,0)))</f>
        <v>1195</v>
      </c>
    </row>
    <row r="472">
      <c r="A472" s="26" t="s">
        <v>1704</v>
      </c>
      <c r="B472" s="25">
        <v>0.0</v>
      </c>
      <c r="C472" s="25">
        <v>0.0</v>
      </c>
      <c r="D472" s="9">
        <v>1.0</v>
      </c>
      <c r="E472" s="9">
        <v>1.0</v>
      </c>
      <c r="F472" s="25">
        <v>0.0</v>
      </c>
      <c r="G472" s="25">
        <v>0.0</v>
      </c>
      <c r="H472" s="25">
        <v>0.0</v>
      </c>
      <c r="I472" s="25">
        <v>0.0</v>
      </c>
      <c r="J472" s="25">
        <v>0.0</v>
      </c>
      <c r="K472" s="25">
        <v>0.0</v>
      </c>
      <c r="L472" s="25">
        <v>0.0</v>
      </c>
      <c r="M472" s="17">
        <f t="shared" si="1"/>
        <v>2</v>
      </c>
      <c r="N472" s="24" t="str">
        <f t="array" ref="N472">if(isblank(A472),"",index(fish_lab_data!O:O,match(A472,fish_lab_data!C:C,0)))</f>
        <v>JG</v>
      </c>
      <c r="O472" s="24" t="str">
        <f t="array" ref="O472">index(fish_lab_data!Q:Q,match(A472,fish_lab_data!C:C,0))</f>
        <v>lab_motiles_etoh</v>
      </c>
      <c r="P472" s="24" t="str">
        <f t="array" ref="P472">if(and(iserror(index(sea_lice!G:G,match(A472,sea_lice!A:A,0))),M472=0),"NA",index(sea_lice!G:G,match(A472,sea_lice!A:A,0)))</f>
        <v>BSL7-85</v>
      </c>
      <c r="Q472" s="24">
        <f t="array" ref="Q472">if(isblank(A472),"",index(fish_lab_data!X:X,match(A472,fish_lab_data!C:C,0)))</f>
        <v>1196</v>
      </c>
    </row>
    <row r="473">
      <c r="A473" s="25" t="s">
        <v>1706</v>
      </c>
      <c r="B473" s="25">
        <v>0.0</v>
      </c>
      <c r="C473" s="25">
        <v>0.0</v>
      </c>
      <c r="D473" s="25">
        <v>0.0</v>
      </c>
      <c r="E473" s="25">
        <v>0.0</v>
      </c>
      <c r="F473" s="25">
        <v>0.0</v>
      </c>
      <c r="G473" s="25">
        <v>0.0</v>
      </c>
      <c r="H473" s="25">
        <v>0.0</v>
      </c>
      <c r="I473" s="25">
        <v>0.0</v>
      </c>
      <c r="J473" s="25">
        <v>0.0</v>
      </c>
      <c r="K473" s="25">
        <v>0.0</v>
      </c>
      <c r="L473" s="25">
        <v>0.0</v>
      </c>
      <c r="M473" s="17">
        <f t="shared" si="1"/>
        <v>0</v>
      </c>
      <c r="N473" s="24" t="str">
        <f t="array" ref="N473">if(isblank(A473),"",index(fish_lab_data!O:O,match(A473,fish_lab_data!C:C,0)))</f>
        <v>JG</v>
      </c>
      <c r="O473" s="24" t="str">
        <f t="array" ref="O473">index(fish_lab_data!Q:Q,match(A473,fish_lab_data!C:C,0))</f>
        <v>lab_motiles_etoh</v>
      </c>
      <c r="P473" s="24" t="str">
        <f t="array" ref="P473">if(and(iserror(index(sea_lice!G:G,match(A473,sea_lice!A:A,0))),M473=0),"NA",index(sea_lice!G:G,match(A473,sea_lice!A:A,0)))</f>
        <v>NA</v>
      </c>
      <c r="Q473" s="24">
        <f t="array" ref="Q473">if(isblank(A473),"",index(fish_lab_data!X:X,match(A473,fish_lab_data!C:C,0)))</f>
        <v>1197</v>
      </c>
    </row>
    <row r="474">
      <c r="A474" s="25" t="s">
        <v>1707</v>
      </c>
      <c r="B474" s="25">
        <v>0.0</v>
      </c>
      <c r="C474" s="25">
        <v>0.0</v>
      </c>
      <c r="D474" s="25">
        <v>0.0</v>
      </c>
      <c r="E474" s="25">
        <v>0.0</v>
      </c>
      <c r="F474" s="25">
        <v>0.0</v>
      </c>
      <c r="G474" s="25">
        <v>0.0</v>
      </c>
      <c r="H474" s="25">
        <v>0.0</v>
      </c>
      <c r="I474" s="25">
        <v>0.0</v>
      </c>
      <c r="J474" s="25">
        <v>0.0</v>
      </c>
      <c r="K474" s="25">
        <v>0.0</v>
      </c>
      <c r="L474" s="25">
        <v>0.0</v>
      </c>
      <c r="M474" s="17">
        <f t="shared" si="1"/>
        <v>0</v>
      </c>
      <c r="N474" s="24" t="str">
        <f t="array" ref="N474">if(isblank(A474),"",index(fish_lab_data!O:O,match(A474,fish_lab_data!C:C,0)))</f>
        <v>JG</v>
      </c>
      <c r="O474" s="24" t="str">
        <f t="array" ref="O474">index(fish_lab_data!Q:Q,match(A474,fish_lab_data!C:C,0))</f>
        <v>lab_motiles_etoh</v>
      </c>
      <c r="P474" s="24" t="str">
        <f t="array" ref="P474">if(and(iserror(index(sea_lice!G:G,match(A474,sea_lice!A:A,0))),M474=0),"NA",index(sea_lice!G:G,match(A474,sea_lice!A:A,0)))</f>
        <v>NA</v>
      </c>
      <c r="Q474" s="24">
        <f t="array" ref="Q474">if(isblank(A474),"",index(fish_lab_data!X:X,match(A474,fish_lab_data!C:C,0)))</f>
        <v>1198</v>
      </c>
    </row>
    <row r="475">
      <c r="A475" s="26" t="s">
        <v>1708</v>
      </c>
      <c r="B475" s="25">
        <v>0.0</v>
      </c>
      <c r="C475" s="25">
        <v>0.0</v>
      </c>
      <c r="D475" s="25">
        <v>0.0</v>
      </c>
      <c r="E475" s="9">
        <v>1.0</v>
      </c>
      <c r="F475" s="25">
        <v>0.0</v>
      </c>
      <c r="G475" s="25">
        <v>0.0</v>
      </c>
      <c r="H475" s="25">
        <v>0.0</v>
      </c>
      <c r="I475" s="25">
        <v>0.0</v>
      </c>
      <c r="J475" s="25">
        <v>0.0</v>
      </c>
      <c r="K475" s="25">
        <v>0.0</v>
      </c>
      <c r="L475" s="25">
        <v>0.0</v>
      </c>
      <c r="M475" s="17">
        <f t="shared" si="1"/>
        <v>1</v>
      </c>
      <c r="N475" s="24" t="str">
        <f t="array" ref="N475">if(isblank(A475),"",index(fish_lab_data!O:O,match(A475,fish_lab_data!C:C,0)))</f>
        <v>JG</v>
      </c>
      <c r="O475" s="24" t="str">
        <f t="array" ref="O475">index(fish_lab_data!Q:Q,match(A475,fish_lab_data!C:C,0))</f>
        <v>lab_motiles_etoh</v>
      </c>
      <c r="P475" s="24" t="str">
        <f t="array" ref="P475">if(and(iserror(index(sea_lice!G:G,match(A475,sea_lice!A:A,0))),M475=0),"NA",index(sea_lice!G:G,match(A475,sea_lice!A:A,0)))</f>
        <v>BSL7-92</v>
      </c>
      <c r="Q475" s="24">
        <f t="array" ref="Q475">if(isblank(A475),"",index(fish_lab_data!X:X,match(A475,fish_lab_data!C:C,0)))</f>
        <v>1199</v>
      </c>
    </row>
    <row r="476">
      <c r="A476" s="25" t="s">
        <v>1709</v>
      </c>
      <c r="B476" s="25">
        <v>0.0</v>
      </c>
      <c r="C476" s="25">
        <v>0.0</v>
      </c>
      <c r="D476" s="25">
        <v>0.0</v>
      </c>
      <c r="E476" s="25">
        <v>0.0</v>
      </c>
      <c r="F476" s="25">
        <v>0.0</v>
      </c>
      <c r="G476" s="25">
        <v>0.0</v>
      </c>
      <c r="H476" s="25">
        <v>0.0</v>
      </c>
      <c r="I476" s="25">
        <v>0.0</v>
      </c>
      <c r="J476" s="25">
        <v>0.0</v>
      </c>
      <c r="K476" s="25">
        <v>0.0</v>
      </c>
      <c r="L476" s="25">
        <v>0.0</v>
      </c>
      <c r="M476" s="17">
        <f t="shared" si="1"/>
        <v>0</v>
      </c>
      <c r="N476" s="24" t="str">
        <f t="array" ref="N476">if(isblank(A476),"",index(fish_lab_data!O:O,match(A476,fish_lab_data!C:C,0)))</f>
        <v>JG</v>
      </c>
      <c r="O476" s="24" t="str">
        <f t="array" ref="O476">index(fish_lab_data!Q:Q,match(A476,fish_lab_data!C:C,0))</f>
        <v>lab_motiles_etoh</v>
      </c>
      <c r="P476" s="24" t="str">
        <f t="array" ref="P476">if(and(iserror(index(sea_lice!G:G,match(A476,sea_lice!A:A,0))),M476=0),"NA",index(sea_lice!G:G,match(A476,sea_lice!A:A,0)))</f>
        <v>NA</v>
      </c>
      <c r="Q476" s="24">
        <f t="array" ref="Q476">if(isblank(A476),"",index(fish_lab_data!X:X,match(A476,fish_lab_data!C:C,0)))</f>
        <v>1200</v>
      </c>
    </row>
    <row r="477">
      <c r="A477" s="25" t="s">
        <v>1711</v>
      </c>
      <c r="B477" s="25">
        <v>0.0</v>
      </c>
      <c r="C477" s="25">
        <v>0.0</v>
      </c>
      <c r="D477" s="25">
        <v>0.0</v>
      </c>
      <c r="E477" s="25">
        <v>0.0</v>
      </c>
      <c r="F477" s="25">
        <v>0.0</v>
      </c>
      <c r="G477" s="25">
        <v>0.0</v>
      </c>
      <c r="H477" s="25">
        <v>0.0</v>
      </c>
      <c r="I477" s="25">
        <v>0.0</v>
      </c>
      <c r="J477" s="25">
        <v>0.0</v>
      </c>
      <c r="K477" s="25">
        <v>0.0</v>
      </c>
      <c r="L477" s="25">
        <v>0.0</v>
      </c>
      <c r="M477" s="17">
        <f t="shared" si="1"/>
        <v>0</v>
      </c>
      <c r="N477" s="24" t="str">
        <f t="array" ref="N477">if(isblank(A477),"",index(fish_lab_data!O:O,match(A477,fish_lab_data!C:C,0)))</f>
        <v>JG</v>
      </c>
      <c r="O477" s="24" t="str">
        <f t="array" ref="O477">index(fish_lab_data!Q:Q,match(A477,fish_lab_data!C:C,0))</f>
        <v>lab_motiles_etoh</v>
      </c>
      <c r="P477" s="24" t="str">
        <f t="array" ref="P477">if(and(iserror(index(sea_lice!G:G,match(A477,sea_lice!A:A,0))),M477=0),"NA",index(sea_lice!G:G,match(A477,sea_lice!A:A,0)))</f>
        <v>NA</v>
      </c>
      <c r="Q477" s="24">
        <f t="array" ref="Q477">if(isblank(A477),"",index(fish_lab_data!X:X,match(A477,fish_lab_data!C:C,0)))</f>
        <v>1201</v>
      </c>
    </row>
    <row r="478">
      <c r="A478" s="25" t="s">
        <v>1712</v>
      </c>
      <c r="B478" s="25">
        <v>0.0</v>
      </c>
      <c r="C478" s="25">
        <v>0.0</v>
      </c>
      <c r="D478" s="25">
        <v>0.0</v>
      </c>
      <c r="E478" s="25">
        <v>0.0</v>
      </c>
      <c r="F478" s="25">
        <v>0.0</v>
      </c>
      <c r="G478" s="25">
        <v>0.0</v>
      </c>
      <c r="H478" s="25">
        <v>0.0</v>
      </c>
      <c r="I478" s="25">
        <v>0.0</v>
      </c>
      <c r="J478" s="25">
        <v>0.0</v>
      </c>
      <c r="K478" s="25">
        <v>0.0</v>
      </c>
      <c r="L478" s="25">
        <v>0.0</v>
      </c>
      <c r="M478" s="17">
        <f t="shared" si="1"/>
        <v>0</v>
      </c>
      <c r="N478" s="24" t="str">
        <f t="array" ref="N478">if(isblank(A478),"",index(fish_lab_data!O:O,match(A478,fish_lab_data!C:C,0)))</f>
        <v>JG</v>
      </c>
      <c r="O478" s="24" t="str">
        <f t="array" ref="O478">index(fish_lab_data!Q:Q,match(A478,fish_lab_data!C:C,0))</f>
        <v>lab_motiles_etoh</v>
      </c>
      <c r="P478" s="24" t="str">
        <f t="array" ref="P478">if(and(iserror(index(sea_lice!G:G,match(A478,sea_lice!A:A,0))),M478=0),"NA",index(sea_lice!G:G,match(A478,sea_lice!A:A,0)))</f>
        <v>NA</v>
      </c>
      <c r="Q478" s="24">
        <f t="array" ref="Q478">if(isblank(A478),"",index(fish_lab_data!X:X,match(A478,fish_lab_data!C:C,0)))</f>
        <v>1202</v>
      </c>
    </row>
    <row r="479">
      <c r="A479" s="25" t="s">
        <v>1713</v>
      </c>
      <c r="B479" s="25">
        <v>0.0</v>
      </c>
      <c r="C479" s="25">
        <v>0.0</v>
      </c>
      <c r="D479" s="25">
        <v>0.0</v>
      </c>
      <c r="E479" s="25">
        <v>0.0</v>
      </c>
      <c r="F479" s="25">
        <v>0.0</v>
      </c>
      <c r="G479" s="25">
        <v>0.0</v>
      </c>
      <c r="H479" s="25">
        <v>0.0</v>
      </c>
      <c r="I479" s="25">
        <v>0.0</v>
      </c>
      <c r="J479" s="25">
        <v>0.0</v>
      </c>
      <c r="K479" s="25">
        <v>0.0</v>
      </c>
      <c r="L479" s="25">
        <v>0.0</v>
      </c>
      <c r="M479" s="17">
        <f t="shared" si="1"/>
        <v>0</v>
      </c>
      <c r="N479" s="24" t="str">
        <f t="array" ref="N479">if(isblank(A479),"",index(fish_lab_data!O:O,match(A479,fish_lab_data!C:C,0)))</f>
        <v>JG</v>
      </c>
      <c r="O479" s="24" t="str">
        <f t="array" ref="O479">index(fish_lab_data!Q:Q,match(A479,fish_lab_data!C:C,0))</f>
        <v>lab_motiles_etoh</v>
      </c>
      <c r="P479" s="24" t="str">
        <f t="array" ref="P479">if(and(iserror(index(sea_lice!G:G,match(A479,sea_lice!A:A,0))),M479=0),"NA",index(sea_lice!G:G,match(A479,sea_lice!A:A,0)))</f>
        <v>NA</v>
      </c>
      <c r="Q479" s="24">
        <f t="array" ref="Q479">if(isblank(A479),"",index(fish_lab_data!X:X,match(A479,fish_lab_data!C:C,0)))</f>
        <v>1203</v>
      </c>
    </row>
    <row r="480">
      <c r="A480" s="25" t="s">
        <v>1714</v>
      </c>
      <c r="B480" s="25">
        <v>0.0</v>
      </c>
      <c r="C480" s="25">
        <v>0.0</v>
      </c>
      <c r="D480" s="25">
        <v>0.0</v>
      </c>
      <c r="E480" s="25">
        <v>0.0</v>
      </c>
      <c r="F480" s="25">
        <v>0.0</v>
      </c>
      <c r="G480" s="25">
        <v>0.0</v>
      </c>
      <c r="H480" s="25">
        <v>0.0</v>
      </c>
      <c r="I480" s="25">
        <v>0.0</v>
      </c>
      <c r="J480" s="25">
        <v>0.0</v>
      </c>
      <c r="K480" s="25">
        <v>0.0</v>
      </c>
      <c r="L480" s="25">
        <v>0.0</v>
      </c>
      <c r="M480" s="17">
        <f t="shared" si="1"/>
        <v>0</v>
      </c>
      <c r="N480" s="24" t="str">
        <f t="array" ref="N480">if(isblank(A480),"",index(fish_lab_data!O:O,match(A480,fish_lab_data!C:C,0)))</f>
        <v>JG</v>
      </c>
      <c r="O480" s="24" t="str">
        <f t="array" ref="O480">index(fish_lab_data!Q:Q,match(A480,fish_lab_data!C:C,0))</f>
        <v>lab_motiles_etoh</v>
      </c>
      <c r="P480" s="24" t="str">
        <f t="array" ref="P480">if(and(iserror(index(sea_lice!G:G,match(A480,sea_lice!A:A,0))),M480=0),"NA",index(sea_lice!G:G,match(A480,sea_lice!A:A,0)))</f>
        <v>NA</v>
      </c>
      <c r="Q480" s="24">
        <f t="array" ref="Q480">if(isblank(A480),"",index(fish_lab_data!X:X,match(A480,fish_lab_data!C:C,0)))</f>
        <v>1204</v>
      </c>
    </row>
    <row r="481">
      <c r="A481" s="26" t="s">
        <v>1715</v>
      </c>
      <c r="B481" s="25">
        <v>0.0</v>
      </c>
      <c r="C481" s="25">
        <v>0.0</v>
      </c>
      <c r="D481" s="25">
        <v>0.0</v>
      </c>
      <c r="E481" s="9">
        <v>1.0</v>
      </c>
      <c r="F481" s="25">
        <v>0.0</v>
      </c>
      <c r="G481" s="25">
        <v>0.0</v>
      </c>
      <c r="H481" s="25">
        <v>0.0</v>
      </c>
      <c r="I481" s="25">
        <v>0.0</v>
      </c>
      <c r="J481" s="25">
        <v>0.0</v>
      </c>
      <c r="K481" s="25">
        <v>0.0</v>
      </c>
      <c r="L481" s="25">
        <v>0.0</v>
      </c>
      <c r="M481" s="17">
        <f t="shared" si="1"/>
        <v>1</v>
      </c>
      <c r="N481" s="24" t="str">
        <f t="array" ref="N481">if(isblank(A481),"",index(fish_lab_data!O:O,match(A481,fish_lab_data!C:C,0)))</f>
        <v>JG</v>
      </c>
      <c r="O481" s="24" t="str">
        <f t="array" ref="O481">index(fish_lab_data!Q:Q,match(A481,fish_lab_data!C:C,0))</f>
        <v>lab_motiles_etoh</v>
      </c>
      <c r="P481" s="24" t="str">
        <f t="array" ref="P481">if(and(iserror(index(sea_lice!G:G,match(A481,sea_lice!A:A,0))),M481=0),"NA",index(sea_lice!G:G,match(A481,sea_lice!A:A,0)))</f>
        <v>BSL7-95</v>
      </c>
      <c r="Q481" s="24">
        <f t="array" ref="Q481">if(isblank(A481),"",index(fish_lab_data!X:X,match(A481,fish_lab_data!C:C,0)))</f>
        <v>1205</v>
      </c>
    </row>
    <row r="482">
      <c r="A482" s="26" t="s">
        <v>1717</v>
      </c>
      <c r="B482" s="25">
        <v>0.0</v>
      </c>
      <c r="C482" s="25">
        <v>0.0</v>
      </c>
      <c r="D482" s="25">
        <v>0.0</v>
      </c>
      <c r="E482" s="9">
        <v>1.0</v>
      </c>
      <c r="F482" s="25">
        <v>0.0</v>
      </c>
      <c r="G482" s="25">
        <v>0.0</v>
      </c>
      <c r="H482" s="25">
        <v>0.0</v>
      </c>
      <c r="I482" s="25">
        <v>0.0</v>
      </c>
      <c r="J482" s="25">
        <v>0.0</v>
      </c>
      <c r="K482" s="25">
        <v>0.0</v>
      </c>
      <c r="L482" s="25">
        <v>0.0</v>
      </c>
      <c r="M482" s="17">
        <f t="shared" si="1"/>
        <v>1</v>
      </c>
      <c r="N482" s="24" t="str">
        <f t="array" ref="N482">if(isblank(A482),"",index(fish_lab_data!O:O,match(A482,fish_lab_data!C:C,0)))</f>
        <v>JG</v>
      </c>
      <c r="O482" s="24" t="str">
        <f t="array" ref="O482">index(fish_lab_data!Q:Q,match(A482,fish_lab_data!C:C,0))</f>
        <v>lab_motiles_etoh</v>
      </c>
      <c r="P482" s="24" t="str">
        <f t="array" ref="P482">if(and(iserror(index(sea_lice!G:G,match(A482,sea_lice!A:A,0))),M482=0),"NA",index(sea_lice!G:G,match(A482,sea_lice!A:A,0)))</f>
        <v>BSL7-96</v>
      </c>
      <c r="Q482" s="24">
        <f t="array" ref="Q482">if(isblank(A482),"",index(fish_lab_data!X:X,match(A482,fish_lab_data!C:C,0)))</f>
        <v>1206</v>
      </c>
    </row>
    <row r="483">
      <c r="A483" s="26" t="s">
        <v>1718</v>
      </c>
      <c r="B483" s="25">
        <v>0.0</v>
      </c>
      <c r="C483" s="25">
        <v>0.0</v>
      </c>
      <c r="D483" s="25">
        <v>0.0</v>
      </c>
      <c r="E483" s="9">
        <v>1.0</v>
      </c>
      <c r="F483" s="25">
        <v>0.0</v>
      </c>
      <c r="G483" s="25">
        <v>0.0</v>
      </c>
      <c r="H483" s="25">
        <v>0.0</v>
      </c>
      <c r="I483" s="25">
        <v>0.0</v>
      </c>
      <c r="J483" s="25">
        <v>0.0</v>
      </c>
      <c r="K483" s="25">
        <v>0.0</v>
      </c>
      <c r="L483" s="25">
        <v>0.0</v>
      </c>
      <c r="M483" s="17">
        <f t="shared" si="1"/>
        <v>1</v>
      </c>
      <c r="N483" s="24" t="str">
        <f t="array" ref="N483">if(isblank(A483),"",index(fish_lab_data!O:O,match(A483,fish_lab_data!C:C,0)))</f>
        <v>JG</v>
      </c>
      <c r="O483" s="24" t="str">
        <f t="array" ref="O483">index(fish_lab_data!Q:Q,match(A483,fish_lab_data!C:C,0))</f>
        <v>lab_motiles_etoh</v>
      </c>
      <c r="P483" s="24" t="str">
        <f t="array" ref="P483">if(and(iserror(index(sea_lice!G:G,match(A483,sea_lice!A:A,0))),M483=0),"NA",index(sea_lice!G:G,match(A483,sea_lice!A:A,0)))</f>
        <v>BSL7-97</v>
      </c>
      <c r="Q483" s="24">
        <f t="array" ref="Q483">if(isblank(A483),"",index(fish_lab_data!X:X,match(A483,fish_lab_data!C:C,0)))</f>
        <v>1207</v>
      </c>
    </row>
    <row r="484">
      <c r="A484" s="25" t="s">
        <v>1719</v>
      </c>
      <c r="B484" s="25">
        <v>0.0</v>
      </c>
      <c r="C484" s="25">
        <v>0.0</v>
      </c>
      <c r="D484" s="25">
        <v>0.0</v>
      </c>
      <c r="E484" s="25">
        <v>0.0</v>
      </c>
      <c r="F484" s="25">
        <v>0.0</v>
      </c>
      <c r="G484" s="25">
        <v>0.0</v>
      </c>
      <c r="H484" s="25">
        <v>0.0</v>
      </c>
      <c r="I484" s="25">
        <v>0.0</v>
      </c>
      <c r="J484" s="25">
        <v>0.0</v>
      </c>
      <c r="K484" s="25">
        <v>0.0</v>
      </c>
      <c r="L484" s="25">
        <v>0.0</v>
      </c>
      <c r="M484" s="17">
        <f t="shared" si="1"/>
        <v>0</v>
      </c>
      <c r="N484" s="24" t="str">
        <f t="array" ref="N484">if(isblank(A484),"",index(fish_lab_data!O:O,match(A484,fish_lab_data!C:C,0)))</f>
        <v>JG</v>
      </c>
      <c r="O484" s="24" t="str">
        <f t="array" ref="O484">index(fish_lab_data!Q:Q,match(A484,fish_lab_data!C:C,0))</f>
        <v>lab_motiles_etoh</v>
      </c>
      <c r="P484" s="24" t="str">
        <f t="array" ref="P484">if(and(iserror(index(sea_lice!G:G,match(A484,sea_lice!A:A,0))),M484=0),"NA",index(sea_lice!G:G,match(A484,sea_lice!A:A,0)))</f>
        <v>NA</v>
      </c>
      <c r="Q484" s="24">
        <f t="array" ref="Q484">if(isblank(A484),"",index(fish_lab_data!X:X,match(A484,fish_lab_data!C:C,0)))</f>
        <v>1208</v>
      </c>
    </row>
    <row r="485">
      <c r="A485" s="26" t="s">
        <v>1721</v>
      </c>
      <c r="B485" s="9">
        <v>1.0</v>
      </c>
      <c r="C485" s="25">
        <v>0.0</v>
      </c>
      <c r="D485" s="25">
        <v>0.0</v>
      </c>
      <c r="E485" s="9">
        <v>3.0</v>
      </c>
      <c r="F485" s="25">
        <v>0.0</v>
      </c>
      <c r="G485" s="25">
        <v>0.0</v>
      </c>
      <c r="H485" s="25">
        <v>0.0</v>
      </c>
      <c r="I485" s="25">
        <v>0.0</v>
      </c>
      <c r="J485" s="25">
        <v>0.0</v>
      </c>
      <c r="K485" s="25">
        <v>0.0</v>
      </c>
      <c r="L485" s="25">
        <v>0.0</v>
      </c>
      <c r="M485" s="17">
        <f t="shared" si="1"/>
        <v>4</v>
      </c>
      <c r="N485" s="24" t="str">
        <f t="array" ref="N485">if(isblank(A485),"",index(fish_lab_data!O:O,match(A485,fish_lab_data!C:C,0)))</f>
        <v>JG</v>
      </c>
      <c r="O485" s="24" t="str">
        <f t="array" ref="O485">index(fish_lab_data!Q:Q,match(A485,fish_lab_data!C:C,0))</f>
        <v>lab_motiles_etoh</v>
      </c>
      <c r="P485" s="24" t="str">
        <f t="array" ref="P485">if(and(iserror(index(sea_lice!G:G,match(A485,sea_lice!A:A,0))),M485=0),"NA",index(sea_lice!G:G,match(A485,sea_lice!A:A,0)))</f>
        <v>BSL7-98</v>
      </c>
      <c r="Q485" s="24">
        <f t="array" ref="Q485">if(isblank(A485),"",index(fish_lab_data!X:X,match(A485,fish_lab_data!C:C,0)))</f>
        <v>1209</v>
      </c>
    </row>
    <row r="486">
      <c r="A486" s="25" t="s">
        <v>1722</v>
      </c>
      <c r="B486" s="25">
        <v>0.0</v>
      </c>
      <c r="C486" s="25">
        <v>0.0</v>
      </c>
      <c r="D486" s="25">
        <v>0.0</v>
      </c>
      <c r="E486" s="25">
        <v>0.0</v>
      </c>
      <c r="F486" s="25">
        <v>0.0</v>
      </c>
      <c r="G486" s="25">
        <v>0.0</v>
      </c>
      <c r="H486" s="25">
        <v>0.0</v>
      </c>
      <c r="I486" s="25">
        <v>0.0</v>
      </c>
      <c r="J486" s="25">
        <v>0.0</v>
      </c>
      <c r="K486" s="25">
        <v>0.0</v>
      </c>
      <c r="L486" s="25">
        <v>0.0</v>
      </c>
      <c r="M486" s="17">
        <f t="shared" si="1"/>
        <v>0</v>
      </c>
      <c r="N486" s="24" t="str">
        <f t="array" ref="N486">if(isblank(A486),"",index(fish_lab_data!O:O,match(A486,fish_lab_data!C:C,0)))</f>
        <v>JG</v>
      </c>
      <c r="O486" s="24" t="str">
        <f t="array" ref="O486">index(fish_lab_data!Q:Q,match(A486,fish_lab_data!C:C,0))</f>
        <v>lab_motiles_etoh</v>
      </c>
      <c r="P486" s="24" t="str">
        <f t="array" ref="P486">if(and(iserror(index(sea_lice!G:G,match(A486,sea_lice!A:A,0))),M486=0),"NA",index(sea_lice!G:G,match(A486,sea_lice!A:A,0)))</f>
        <v>NA</v>
      </c>
      <c r="Q486" s="24">
        <f t="array" ref="Q486">if(isblank(A486),"",index(fish_lab_data!X:X,match(A486,fish_lab_data!C:C,0)))</f>
        <v>1210</v>
      </c>
    </row>
    <row r="487">
      <c r="A487" s="25" t="s">
        <v>1723</v>
      </c>
      <c r="B487" s="25">
        <v>0.0</v>
      </c>
      <c r="C487" s="25">
        <v>0.0</v>
      </c>
      <c r="D487" s="25">
        <v>0.0</v>
      </c>
      <c r="E487" s="25">
        <v>0.0</v>
      </c>
      <c r="F487" s="25">
        <v>0.0</v>
      </c>
      <c r="G487" s="25">
        <v>0.0</v>
      </c>
      <c r="H487" s="25">
        <v>0.0</v>
      </c>
      <c r="I487" s="25">
        <v>0.0</v>
      </c>
      <c r="J487" s="25">
        <v>0.0</v>
      </c>
      <c r="K487" s="25">
        <v>0.0</v>
      </c>
      <c r="L487" s="25">
        <v>0.0</v>
      </c>
      <c r="M487" s="17">
        <f t="shared" si="1"/>
        <v>0</v>
      </c>
      <c r="N487" s="24" t="str">
        <f t="array" ref="N487">if(isblank(A487),"",index(fish_lab_data!O:O,match(A487,fish_lab_data!C:C,0)))</f>
        <v>JG</v>
      </c>
      <c r="O487" s="24" t="str">
        <f t="array" ref="O487">index(fish_lab_data!Q:Q,match(A487,fish_lab_data!C:C,0))</f>
        <v>lab_motiles_etoh</v>
      </c>
      <c r="P487" s="24" t="str">
        <f t="array" ref="P487">if(and(iserror(index(sea_lice!G:G,match(A487,sea_lice!A:A,0))),M487=0),"NA",index(sea_lice!G:G,match(A487,sea_lice!A:A,0)))</f>
        <v>NA</v>
      </c>
      <c r="Q487" s="24">
        <f t="array" ref="Q487">if(isblank(A487),"",index(fish_lab_data!X:X,match(A487,fish_lab_data!C:C,0)))</f>
        <v>1211</v>
      </c>
    </row>
    <row r="488">
      <c r="A488" s="26" t="s">
        <v>1724</v>
      </c>
      <c r="B488" s="25">
        <v>0.0</v>
      </c>
      <c r="C488" s="25">
        <v>0.0</v>
      </c>
      <c r="D488" s="9">
        <v>1.0</v>
      </c>
      <c r="E488" s="25">
        <v>0.0</v>
      </c>
      <c r="F488" s="25">
        <v>0.0</v>
      </c>
      <c r="G488" s="25">
        <v>0.0</v>
      </c>
      <c r="H488" s="25">
        <v>0.0</v>
      </c>
      <c r="I488" s="25">
        <v>0.0</v>
      </c>
      <c r="J488" s="25">
        <v>0.0</v>
      </c>
      <c r="K488" s="25">
        <v>0.0</v>
      </c>
      <c r="L488" s="25">
        <v>0.0</v>
      </c>
      <c r="M488" s="17">
        <f t="shared" si="1"/>
        <v>1</v>
      </c>
      <c r="N488" s="24" t="str">
        <f t="array" ref="N488">if(isblank(A488),"",index(fish_lab_data!O:O,match(A488,fish_lab_data!C:C,0)))</f>
        <v>JG</v>
      </c>
      <c r="O488" s="24" t="str">
        <f t="array" ref="O488">index(fish_lab_data!Q:Q,match(A488,fish_lab_data!C:C,0))</f>
        <v>lab_motiles_etoh</v>
      </c>
      <c r="P488" s="24" t="str">
        <f t="array" ref="P488">if(and(iserror(index(sea_lice!G:G,match(A488,sea_lice!A:A,0))),M488=0),"NA",index(sea_lice!G:G,match(A488,sea_lice!A:A,0)))</f>
        <v>BSL7-99</v>
      </c>
      <c r="Q488" s="24">
        <f t="array" ref="Q488">if(isblank(A488),"",index(fish_lab_data!X:X,match(A488,fish_lab_data!C:C,0)))</f>
        <v>1212</v>
      </c>
    </row>
    <row r="489">
      <c r="A489" s="40" t="s">
        <v>1725</v>
      </c>
      <c r="B489" s="25">
        <v>0.0</v>
      </c>
      <c r="C489" s="25">
        <v>0.0</v>
      </c>
      <c r="D489" s="25">
        <v>0.0</v>
      </c>
      <c r="E489" s="25">
        <v>0.0</v>
      </c>
      <c r="F489" s="25">
        <v>0.0</v>
      </c>
      <c r="G489" s="25">
        <v>0.0</v>
      </c>
      <c r="H489" s="25">
        <v>0.0</v>
      </c>
      <c r="I489" s="25">
        <v>0.0</v>
      </c>
      <c r="J489" s="25">
        <v>0.0</v>
      </c>
      <c r="K489" s="25">
        <v>0.0</v>
      </c>
      <c r="L489" s="25">
        <v>0.0</v>
      </c>
      <c r="M489" s="17">
        <f t="shared" si="1"/>
        <v>0</v>
      </c>
      <c r="N489" s="24" t="str">
        <f t="array" ref="N489">if(isblank(A489),"",index(fish_lab_data!O:O,match(A489,fish_lab_data!C:C,0)))</f>
        <v>KB</v>
      </c>
      <c r="O489" s="24" t="str">
        <f t="array" ref="O489">index(fish_lab_data!Q:Q,match(A489,fish_lab_data!C:C,0))</f>
        <v>lab_motiles_etoh</v>
      </c>
      <c r="P489" s="24" t="str">
        <f t="array" ref="P489">if(and(iserror(index(sea_lice!G:G,match(A489,sea_lice!A:A,0))),M489=0),"NA",index(sea_lice!G:G,match(A489,sea_lice!A:A,0)))</f>
        <v>NA</v>
      </c>
      <c r="Q489" s="24">
        <f t="array" ref="Q489">if(isblank(A489),"",index(fish_lab_data!X:X,match(A489,fish_lab_data!C:C,0)))</f>
        <v>1213</v>
      </c>
    </row>
    <row r="490">
      <c r="A490" s="40" t="s">
        <v>1726</v>
      </c>
      <c r="B490" s="25">
        <v>0.0</v>
      </c>
      <c r="C490" s="25">
        <v>0.0</v>
      </c>
      <c r="D490" s="25">
        <v>0.0</v>
      </c>
      <c r="E490" s="25">
        <v>0.0</v>
      </c>
      <c r="F490" s="25">
        <v>0.0</v>
      </c>
      <c r="G490" s="25">
        <v>0.0</v>
      </c>
      <c r="H490" s="25">
        <v>0.0</v>
      </c>
      <c r="I490" s="25">
        <v>0.0</v>
      </c>
      <c r="J490" s="25">
        <v>0.0</v>
      </c>
      <c r="K490" s="25">
        <v>0.0</v>
      </c>
      <c r="L490" s="25">
        <v>0.0</v>
      </c>
      <c r="M490" s="17">
        <f t="shared" si="1"/>
        <v>0</v>
      </c>
      <c r="N490" s="24" t="str">
        <f t="array" ref="N490">if(isblank(A490),"",index(fish_lab_data!O:O,match(A490,fish_lab_data!C:C,0)))</f>
        <v>KB</v>
      </c>
      <c r="O490" s="24" t="str">
        <f t="array" ref="O490">index(fish_lab_data!Q:Q,match(A490,fish_lab_data!C:C,0))</f>
        <v>lab_motiles_etoh</v>
      </c>
      <c r="P490" s="24" t="str">
        <f t="array" ref="P490">if(and(iserror(index(sea_lice!G:G,match(A490,sea_lice!A:A,0))),M490=0),"NA",index(sea_lice!G:G,match(A490,sea_lice!A:A,0)))</f>
        <v>NA</v>
      </c>
      <c r="Q490" s="24">
        <f t="array" ref="Q490">if(isblank(A490),"",index(fish_lab_data!X:X,match(A490,fish_lab_data!C:C,0)))</f>
        <v>1214</v>
      </c>
    </row>
    <row r="491">
      <c r="A491" s="40" t="s">
        <v>1727</v>
      </c>
      <c r="B491" s="25">
        <v>0.0</v>
      </c>
      <c r="C491" s="25">
        <v>0.0</v>
      </c>
      <c r="D491" s="25">
        <v>0.0</v>
      </c>
      <c r="E491" s="25">
        <v>0.0</v>
      </c>
      <c r="F491" s="25">
        <v>0.0</v>
      </c>
      <c r="G491" s="25">
        <v>0.0</v>
      </c>
      <c r="H491" s="25">
        <v>0.0</v>
      </c>
      <c r="I491" s="25">
        <v>0.0</v>
      </c>
      <c r="J491" s="25">
        <v>0.0</v>
      </c>
      <c r="K491" s="25">
        <v>0.0</v>
      </c>
      <c r="L491" s="25">
        <v>0.0</v>
      </c>
      <c r="M491" s="17">
        <f t="shared" si="1"/>
        <v>0</v>
      </c>
      <c r="N491" s="24" t="str">
        <f t="array" ref="N491">if(isblank(A491),"",index(fish_lab_data!O:O,match(A491,fish_lab_data!C:C,0)))</f>
        <v>KB</v>
      </c>
      <c r="O491" s="24" t="str">
        <f t="array" ref="O491">index(fish_lab_data!Q:Q,match(A491,fish_lab_data!C:C,0))</f>
        <v>lab_motiles_etoh</v>
      </c>
      <c r="P491" s="24" t="str">
        <f t="array" ref="P491">if(and(iserror(index(sea_lice!G:G,match(A491,sea_lice!A:A,0))),M491=0),"NA",index(sea_lice!G:G,match(A491,sea_lice!A:A,0)))</f>
        <v>NA</v>
      </c>
      <c r="Q491" s="24">
        <f t="array" ref="Q491">if(isblank(A491),"",index(fish_lab_data!X:X,match(A491,fish_lab_data!C:C,0)))</f>
        <v>1215</v>
      </c>
    </row>
    <row r="492">
      <c r="A492" s="40" t="s">
        <v>1728</v>
      </c>
      <c r="B492" s="25">
        <v>0.0</v>
      </c>
      <c r="C492" s="25">
        <v>0.0</v>
      </c>
      <c r="D492" s="25">
        <v>0.0</v>
      </c>
      <c r="E492" s="25">
        <v>0.0</v>
      </c>
      <c r="F492" s="25">
        <v>0.0</v>
      </c>
      <c r="G492" s="25">
        <v>0.0</v>
      </c>
      <c r="H492" s="25">
        <v>0.0</v>
      </c>
      <c r="I492" s="25">
        <v>0.0</v>
      </c>
      <c r="J492" s="25">
        <v>0.0</v>
      </c>
      <c r="K492" s="25">
        <v>0.0</v>
      </c>
      <c r="L492" s="25">
        <v>0.0</v>
      </c>
      <c r="M492" s="17">
        <f t="shared" si="1"/>
        <v>0</v>
      </c>
      <c r="N492" s="24" t="str">
        <f t="array" ref="N492">if(isblank(A492),"",index(fish_lab_data!O:O,match(A492,fish_lab_data!C:C,0)))</f>
        <v>KB</v>
      </c>
      <c r="O492" s="24" t="str">
        <f t="array" ref="O492">index(fish_lab_data!Q:Q,match(A492,fish_lab_data!C:C,0))</f>
        <v>lab_motiles_etoh</v>
      </c>
      <c r="P492" s="24" t="str">
        <f t="array" ref="P492">if(and(iserror(index(sea_lice!G:G,match(A492,sea_lice!A:A,0))),M492=0),"NA",index(sea_lice!G:G,match(A492,sea_lice!A:A,0)))</f>
        <v>NA</v>
      </c>
      <c r="Q492" s="24">
        <f t="array" ref="Q492">if(isblank(A492),"",index(fish_lab_data!X:X,match(A492,fish_lab_data!C:C,0)))</f>
        <v>1216</v>
      </c>
    </row>
    <row r="493">
      <c r="A493" s="40" t="s">
        <v>1730</v>
      </c>
      <c r="B493" s="25">
        <v>0.0</v>
      </c>
      <c r="C493" s="25">
        <v>0.0</v>
      </c>
      <c r="D493" s="25">
        <v>0.0</v>
      </c>
      <c r="E493" s="25">
        <v>0.0</v>
      </c>
      <c r="F493" s="25">
        <v>0.0</v>
      </c>
      <c r="G493" s="25">
        <v>0.0</v>
      </c>
      <c r="H493" s="25">
        <v>0.0</v>
      </c>
      <c r="I493" s="25">
        <v>0.0</v>
      </c>
      <c r="J493" s="25">
        <v>0.0</v>
      </c>
      <c r="K493" s="25">
        <v>0.0</v>
      </c>
      <c r="L493" s="25">
        <v>0.0</v>
      </c>
      <c r="M493" s="17">
        <f t="shared" si="1"/>
        <v>0</v>
      </c>
      <c r="N493" s="24" t="str">
        <f t="array" ref="N493">if(isblank(A493),"",index(fish_lab_data!O:O,match(A493,fish_lab_data!C:C,0)))</f>
        <v>KB</v>
      </c>
      <c r="O493" s="24" t="str">
        <f t="array" ref="O493">index(fish_lab_data!Q:Q,match(A493,fish_lab_data!C:C,0))</f>
        <v>lab_motiles_etoh</v>
      </c>
      <c r="P493" s="24" t="str">
        <f t="array" ref="P493">if(and(iserror(index(sea_lice!G:G,match(A493,sea_lice!A:A,0))),M493=0),"NA",index(sea_lice!G:G,match(A493,sea_lice!A:A,0)))</f>
        <v>NA</v>
      </c>
      <c r="Q493" s="24">
        <f t="array" ref="Q493">if(isblank(A493),"",index(fish_lab_data!X:X,match(A493,fish_lab_data!C:C,0)))</f>
        <v>1217</v>
      </c>
    </row>
    <row r="494">
      <c r="A494" s="40" t="s">
        <v>1731</v>
      </c>
      <c r="B494" s="25">
        <v>0.0</v>
      </c>
      <c r="C494" s="25">
        <v>0.0</v>
      </c>
      <c r="D494" s="25">
        <v>0.0</v>
      </c>
      <c r="E494" s="25">
        <v>0.0</v>
      </c>
      <c r="F494" s="25">
        <v>0.0</v>
      </c>
      <c r="G494" s="25">
        <v>0.0</v>
      </c>
      <c r="H494" s="25">
        <v>0.0</v>
      </c>
      <c r="I494" s="25">
        <v>0.0</v>
      </c>
      <c r="J494" s="25">
        <v>0.0</v>
      </c>
      <c r="K494" s="25">
        <v>0.0</v>
      </c>
      <c r="L494" s="25">
        <v>0.0</v>
      </c>
      <c r="M494" s="17">
        <f t="shared" si="1"/>
        <v>0</v>
      </c>
      <c r="N494" s="24" t="str">
        <f t="array" ref="N494">if(isblank(A494),"",index(fish_lab_data!O:O,match(A494,fish_lab_data!C:C,0)))</f>
        <v>KB</v>
      </c>
      <c r="O494" s="24" t="str">
        <f t="array" ref="O494">index(fish_lab_data!Q:Q,match(A494,fish_lab_data!C:C,0))</f>
        <v>lab_motiles_etoh</v>
      </c>
      <c r="P494" s="24" t="str">
        <f t="array" ref="P494">if(and(iserror(index(sea_lice!G:G,match(A494,sea_lice!A:A,0))),M494=0),"NA",index(sea_lice!G:G,match(A494,sea_lice!A:A,0)))</f>
        <v>NA</v>
      </c>
      <c r="Q494" s="24">
        <f t="array" ref="Q494">if(isblank(A494),"",index(fish_lab_data!X:X,match(A494,fish_lab_data!C:C,0)))</f>
        <v>1218</v>
      </c>
    </row>
    <row r="495">
      <c r="A495" s="40" t="s">
        <v>1732</v>
      </c>
      <c r="B495" s="9">
        <v>2.0</v>
      </c>
      <c r="C495" s="25">
        <v>0.0</v>
      </c>
      <c r="D495" s="25">
        <v>0.0</v>
      </c>
      <c r="E495" s="25">
        <v>0.0</v>
      </c>
      <c r="F495" s="25">
        <v>0.0</v>
      </c>
      <c r="G495" s="25">
        <v>0.0</v>
      </c>
      <c r="H495" s="25">
        <v>0.0</v>
      </c>
      <c r="I495" s="25">
        <v>0.0</v>
      </c>
      <c r="J495" s="25">
        <v>0.0</v>
      </c>
      <c r="K495" s="25">
        <v>0.0</v>
      </c>
      <c r="L495" s="25">
        <v>0.0</v>
      </c>
      <c r="M495" s="17">
        <f t="shared" si="1"/>
        <v>2</v>
      </c>
      <c r="N495" s="24" t="str">
        <f t="array" ref="N495">if(isblank(A495),"",index(fish_lab_data!O:O,match(A495,fish_lab_data!C:C,0)))</f>
        <v>KB</v>
      </c>
      <c r="O495" s="24" t="str">
        <f t="array" ref="O495">index(fish_lab_data!Q:Q,match(A495,fish_lab_data!C:C,0))</f>
        <v>lab_motiles_etoh</v>
      </c>
      <c r="P495" s="24" t="str">
        <f t="array" ref="P495">if(and(iserror(index(sea_lice!G:G,match(A495,sea_lice!A:A,0))),M495=0),"NA",index(sea_lice!G:G,match(A495,sea_lice!A:A,0)))</f>
        <v>BSL8-2</v>
      </c>
      <c r="Q495" s="24">
        <f t="array" ref="Q495">if(isblank(A495),"",index(fish_lab_data!X:X,match(A495,fish_lab_data!C:C,0)))</f>
        <v>1219</v>
      </c>
    </row>
    <row r="496">
      <c r="A496" s="40" t="s">
        <v>1733</v>
      </c>
      <c r="B496" s="9">
        <v>1.0</v>
      </c>
      <c r="C496" s="25">
        <v>0.0</v>
      </c>
      <c r="D496" s="25">
        <v>0.0</v>
      </c>
      <c r="E496" s="9">
        <v>2.0</v>
      </c>
      <c r="F496" s="25">
        <v>0.0</v>
      </c>
      <c r="G496" s="25">
        <v>0.0</v>
      </c>
      <c r="H496" s="25">
        <v>0.0</v>
      </c>
      <c r="I496" s="25">
        <v>0.0</v>
      </c>
      <c r="J496" s="25">
        <v>0.0</v>
      </c>
      <c r="K496" s="25">
        <v>0.0</v>
      </c>
      <c r="L496" s="25">
        <v>0.0</v>
      </c>
      <c r="M496" s="17">
        <f t="shared" si="1"/>
        <v>3</v>
      </c>
      <c r="N496" s="24" t="str">
        <f t="array" ref="N496">if(isblank(A496),"",index(fish_lab_data!O:O,match(A496,fish_lab_data!C:C,0)))</f>
        <v>KB</v>
      </c>
      <c r="O496" s="24" t="str">
        <f t="array" ref="O496">index(fish_lab_data!Q:Q,match(A496,fish_lab_data!C:C,0))</f>
        <v>lab_motiles_etoh</v>
      </c>
      <c r="P496" s="24" t="str">
        <f t="array" ref="P496">if(and(iserror(index(sea_lice!G:G,match(A496,sea_lice!A:A,0))),M496=0),"NA",index(sea_lice!G:G,match(A496,sea_lice!A:A,0)))</f>
        <v>BSL8-3</v>
      </c>
      <c r="Q496" s="24">
        <f t="array" ref="Q496">if(isblank(A496),"",index(fish_lab_data!X:X,match(A496,fish_lab_data!C:C,0)))</f>
        <v>1220</v>
      </c>
    </row>
    <row r="497">
      <c r="A497" s="40" t="s">
        <v>1734</v>
      </c>
      <c r="B497" s="9">
        <v>1.0</v>
      </c>
      <c r="C497" s="25">
        <v>0.0</v>
      </c>
      <c r="D497" s="25">
        <v>0.0</v>
      </c>
      <c r="E497" s="9">
        <v>1.0</v>
      </c>
      <c r="F497" s="25">
        <v>0.0</v>
      </c>
      <c r="G497" s="25">
        <v>0.0</v>
      </c>
      <c r="H497" s="25">
        <v>0.0</v>
      </c>
      <c r="I497" s="25">
        <v>0.0</v>
      </c>
      <c r="J497" s="25">
        <v>0.0</v>
      </c>
      <c r="K497" s="25">
        <v>0.0</v>
      </c>
      <c r="L497" s="25">
        <v>0.0</v>
      </c>
      <c r="M497" s="17">
        <f t="shared" si="1"/>
        <v>2</v>
      </c>
      <c r="N497" s="24" t="str">
        <f t="array" ref="N497">if(isblank(A497),"",index(fish_lab_data!O:O,match(A497,fish_lab_data!C:C,0)))</f>
        <v>KB</v>
      </c>
      <c r="O497" s="24" t="str">
        <f t="array" ref="O497">index(fish_lab_data!Q:Q,match(A497,fish_lab_data!C:C,0))</f>
        <v>lab_motiles_etoh</v>
      </c>
      <c r="P497" s="24" t="str">
        <f t="array" ref="P497">if(and(iserror(index(sea_lice!G:G,match(A497,sea_lice!A:A,0))),M497=0),"NA",index(sea_lice!G:G,match(A497,sea_lice!A:A,0)))</f>
        <v>BSL8-4</v>
      </c>
      <c r="Q497" s="24">
        <f t="array" ref="Q497">if(isblank(A497),"",index(fish_lab_data!X:X,match(A497,fish_lab_data!C:C,0)))</f>
        <v>1221</v>
      </c>
    </row>
    <row r="498">
      <c r="A498" s="40" t="s">
        <v>1735</v>
      </c>
      <c r="B498" s="9">
        <v>1.0</v>
      </c>
      <c r="C498" s="25">
        <v>0.0</v>
      </c>
      <c r="D498" s="25">
        <v>0.0</v>
      </c>
      <c r="E498" s="9">
        <v>1.0</v>
      </c>
      <c r="F498" s="25">
        <v>0.0</v>
      </c>
      <c r="G498" s="25">
        <v>0.0</v>
      </c>
      <c r="H498" s="25">
        <v>0.0</v>
      </c>
      <c r="I498" s="25">
        <v>0.0</v>
      </c>
      <c r="J498" s="25">
        <v>0.0</v>
      </c>
      <c r="K498" s="25">
        <v>0.0</v>
      </c>
      <c r="L498" s="25">
        <v>0.0</v>
      </c>
      <c r="M498" s="17">
        <f t="shared" si="1"/>
        <v>2</v>
      </c>
      <c r="N498" s="24" t="str">
        <f t="array" ref="N498">if(isblank(A498),"",index(fish_lab_data!O:O,match(A498,fish_lab_data!C:C,0)))</f>
        <v>KB</v>
      </c>
      <c r="O498" s="24" t="str">
        <f t="array" ref="O498">index(fish_lab_data!Q:Q,match(A498,fish_lab_data!C:C,0))</f>
        <v>lab_motiles_etoh</v>
      </c>
      <c r="P498" s="24" t="str">
        <f t="array" ref="P498">if(and(iserror(index(sea_lice!G:G,match(A498,sea_lice!A:A,0))),M498=0),"NA",index(sea_lice!G:G,match(A498,sea_lice!A:A,0)))</f>
        <v>BSL8-6</v>
      </c>
      <c r="Q498" s="24">
        <f t="array" ref="Q498">if(isblank(A498),"",index(fish_lab_data!X:X,match(A498,fish_lab_data!C:C,0)))</f>
        <v>1222</v>
      </c>
    </row>
    <row r="499">
      <c r="A499" s="40" t="s">
        <v>1736</v>
      </c>
      <c r="B499" s="25">
        <v>0.0</v>
      </c>
      <c r="C499" s="25">
        <v>0.0</v>
      </c>
      <c r="D499" s="25">
        <v>0.0</v>
      </c>
      <c r="E499" s="9">
        <v>1.0</v>
      </c>
      <c r="F499" s="25">
        <v>0.0</v>
      </c>
      <c r="G499" s="25">
        <v>0.0</v>
      </c>
      <c r="H499" s="25">
        <v>0.0</v>
      </c>
      <c r="I499" s="25">
        <v>0.0</v>
      </c>
      <c r="J499" s="25">
        <v>0.0</v>
      </c>
      <c r="K499" s="25">
        <v>0.0</v>
      </c>
      <c r="L499" s="25">
        <v>0.0</v>
      </c>
      <c r="M499" s="17">
        <f t="shared" si="1"/>
        <v>1</v>
      </c>
      <c r="N499" s="24" t="str">
        <f t="array" ref="N499">if(isblank(A499),"",index(fish_lab_data!O:O,match(A499,fish_lab_data!C:C,0)))</f>
        <v>KB</v>
      </c>
      <c r="O499" s="24" t="str">
        <f t="array" ref="O499">index(fish_lab_data!Q:Q,match(A499,fish_lab_data!C:C,0))</f>
        <v>lab_motiles_etoh</v>
      </c>
      <c r="P499" s="24" t="str">
        <f t="array" ref="P499">if(and(iserror(index(sea_lice!G:G,match(A499,sea_lice!A:A,0))),M499=0),"NA",index(sea_lice!G:G,match(A499,sea_lice!A:A,0)))</f>
        <v>BSL8-8</v>
      </c>
      <c r="Q499" s="24">
        <f t="array" ref="Q499">if(isblank(A499),"",index(fish_lab_data!X:X,match(A499,fish_lab_data!C:C,0)))</f>
        <v>1223</v>
      </c>
    </row>
    <row r="500">
      <c r="A500" s="40" t="s">
        <v>1737</v>
      </c>
      <c r="B500" s="25">
        <v>0.0</v>
      </c>
      <c r="C500" s="25">
        <v>0.0</v>
      </c>
      <c r="D500" s="25">
        <v>0.0</v>
      </c>
      <c r="E500" s="9">
        <v>1.0</v>
      </c>
      <c r="F500" s="25">
        <v>0.0</v>
      </c>
      <c r="G500" s="25">
        <v>0.0</v>
      </c>
      <c r="H500" s="25">
        <v>0.0</v>
      </c>
      <c r="I500" s="25">
        <v>0.0</v>
      </c>
      <c r="J500" s="25">
        <v>0.0</v>
      </c>
      <c r="K500" s="25">
        <v>0.0</v>
      </c>
      <c r="L500" s="25">
        <v>0.0</v>
      </c>
      <c r="M500" s="17">
        <f t="shared" si="1"/>
        <v>1</v>
      </c>
      <c r="N500" s="24" t="str">
        <f t="array" ref="N500">if(isblank(A500),"",index(fish_lab_data!O:O,match(A500,fish_lab_data!C:C,0)))</f>
        <v>KB</v>
      </c>
      <c r="O500" s="24" t="str">
        <f t="array" ref="O500">index(fish_lab_data!Q:Q,match(A500,fish_lab_data!C:C,0))</f>
        <v>lab_motiles_etoh</v>
      </c>
      <c r="P500" s="24" t="str">
        <f t="array" ref="P500">if(and(iserror(index(sea_lice!G:G,match(A500,sea_lice!A:A,0))),M500=0),"NA",index(sea_lice!G:G,match(A500,sea_lice!A:A,0)))</f>
        <v>BSL8-9</v>
      </c>
      <c r="Q500" s="24">
        <f t="array" ref="Q500">if(isblank(A500),"",index(fish_lab_data!X:X,match(A500,fish_lab_data!C:C,0)))</f>
        <v>1224</v>
      </c>
    </row>
    <row r="501">
      <c r="A501" s="40" t="s">
        <v>1738</v>
      </c>
      <c r="B501" s="25">
        <v>0.0</v>
      </c>
      <c r="C501" s="25">
        <v>0.0</v>
      </c>
      <c r="D501" s="25">
        <v>0.0</v>
      </c>
      <c r="E501" s="9">
        <v>1.0</v>
      </c>
      <c r="F501" s="25">
        <v>0.0</v>
      </c>
      <c r="G501" s="25">
        <v>0.0</v>
      </c>
      <c r="H501" s="25">
        <v>0.0</v>
      </c>
      <c r="I501" s="25">
        <v>0.0</v>
      </c>
      <c r="J501" s="25">
        <v>0.0</v>
      </c>
      <c r="K501" s="25">
        <v>0.0</v>
      </c>
      <c r="L501" s="25">
        <v>0.0</v>
      </c>
      <c r="M501" s="17">
        <f t="shared" si="1"/>
        <v>1</v>
      </c>
      <c r="N501" s="24" t="str">
        <f t="array" ref="N501">if(isblank(A501),"",index(fish_lab_data!O:O,match(A501,fish_lab_data!C:C,0)))</f>
        <v>KB</v>
      </c>
      <c r="O501" s="24" t="str">
        <f t="array" ref="O501">index(fish_lab_data!Q:Q,match(A501,fish_lab_data!C:C,0))</f>
        <v>lab_motiles_etoh</v>
      </c>
      <c r="P501" s="24" t="str">
        <f t="array" ref="P501">if(and(iserror(index(sea_lice!G:G,match(A501,sea_lice!A:A,0))),M501=0),"NA",index(sea_lice!G:G,match(A501,sea_lice!A:A,0)))</f>
        <v>BSL8-10</v>
      </c>
      <c r="Q501" s="24">
        <f t="array" ref="Q501">if(isblank(A501),"",index(fish_lab_data!X:X,match(A501,fish_lab_data!C:C,0)))</f>
        <v>1225</v>
      </c>
    </row>
    <row r="502">
      <c r="A502" s="40" t="s">
        <v>1739</v>
      </c>
      <c r="B502" s="25">
        <v>0.0</v>
      </c>
      <c r="C502" s="25">
        <v>0.0</v>
      </c>
      <c r="D502" s="25">
        <v>0.0</v>
      </c>
      <c r="E502" s="9">
        <v>1.0</v>
      </c>
      <c r="F502" s="25">
        <v>0.0</v>
      </c>
      <c r="G502" s="25">
        <v>0.0</v>
      </c>
      <c r="H502" s="25">
        <v>0.0</v>
      </c>
      <c r="I502" s="25">
        <v>0.0</v>
      </c>
      <c r="J502" s="25">
        <v>0.0</v>
      </c>
      <c r="K502" s="25">
        <v>0.0</v>
      </c>
      <c r="L502" s="25">
        <v>0.0</v>
      </c>
      <c r="M502" s="17">
        <f t="shared" si="1"/>
        <v>1</v>
      </c>
      <c r="N502" s="24" t="str">
        <f t="array" ref="N502">if(isblank(A502),"",index(fish_lab_data!O:O,match(A502,fish_lab_data!C:C,0)))</f>
        <v>KB</v>
      </c>
      <c r="O502" s="24" t="str">
        <f t="array" ref="O502">index(fish_lab_data!Q:Q,match(A502,fish_lab_data!C:C,0))</f>
        <v>lab_motiles_etoh</v>
      </c>
      <c r="P502" s="24" t="str">
        <f t="array" ref="P502">if(and(iserror(index(sea_lice!G:G,match(A502,sea_lice!A:A,0))),M502=0),"NA",index(sea_lice!G:G,match(A502,sea_lice!A:A,0)))</f>
        <v>BSL8-11</v>
      </c>
      <c r="Q502" s="24">
        <f t="array" ref="Q502">if(isblank(A502),"",index(fish_lab_data!X:X,match(A502,fish_lab_data!C:C,0)))</f>
        <v>1226</v>
      </c>
    </row>
    <row r="503">
      <c r="A503" s="40" t="s">
        <v>1740</v>
      </c>
      <c r="B503" s="9">
        <v>1.0</v>
      </c>
      <c r="C503" s="25">
        <v>0.0</v>
      </c>
      <c r="D503" s="9">
        <v>2.0</v>
      </c>
      <c r="E503" s="9">
        <v>0.0</v>
      </c>
      <c r="F503" s="25">
        <v>0.0</v>
      </c>
      <c r="G503" s="25">
        <v>0.0</v>
      </c>
      <c r="H503" s="25">
        <v>0.0</v>
      </c>
      <c r="I503" s="25">
        <v>0.0</v>
      </c>
      <c r="J503" s="25">
        <v>0.0</v>
      </c>
      <c r="K503" s="25">
        <v>0.0</v>
      </c>
      <c r="L503" s="25">
        <v>0.0</v>
      </c>
      <c r="M503" s="17">
        <f t="shared" si="1"/>
        <v>3</v>
      </c>
      <c r="N503" s="24" t="str">
        <f t="array" ref="N503">if(isblank(A503),"",index(fish_lab_data!O:O,match(A503,fish_lab_data!C:C,0)))</f>
        <v>KB</v>
      </c>
      <c r="O503" s="24" t="str">
        <f t="array" ref="O503">index(fish_lab_data!Q:Q,match(A503,fish_lab_data!C:C,0))</f>
        <v>lab_motiles_etoh</v>
      </c>
      <c r="P503" s="24" t="str">
        <f t="array" ref="P503">if(and(iserror(index(sea_lice!G:G,match(A503,sea_lice!A:A,0))),M503=0),"NA",index(sea_lice!G:G,match(A503,sea_lice!A:A,0)))</f>
        <v>BSL8-13</v>
      </c>
      <c r="Q503" s="24">
        <f t="array" ref="Q503">if(isblank(A503),"",index(fish_lab_data!X:X,match(A503,fish_lab_data!C:C,0)))</f>
        <v>1227</v>
      </c>
    </row>
    <row r="504">
      <c r="A504" s="40" t="s">
        <v>1741</v>
      </c>
      <c r="B504" s="25">
        <v>0.0</v>
      </c>
      <c r="C504" s="25">
        <v>0.0</v>
      </c>
      <c r="D504" s="25">
        <v>0.0</v>
      </c>
      <c r="E504" s="25">
        <v>0.0</v>
      </c>
      <c r="F504" s="25">
        <v>0.0</v>
      </c>
      <c r="G504" s="25">
        <v>0.0</v>
      </c>
      <c r="H504" s="25">
        <v>0.0</v>
      </c>
      <c r="I504" s="25">
        <v>0.0</v>
      </c>
      <c r="J504" s="25">
        <v>0.0</v>
      </c>
      <c r="K504" s="25">
        <v>0.0</v>
      </c>
      <c r="L504" s="25">
        <v>0.0</v>
      </c>
      <c r="M504" s="17">
        <f t="shared" si="1"/>
        <v>0</v>
      </c>
      <c r="N504" s="24" t="str">
        <f t="array" ref="N504">if(isblank(A504),"",index(fish_lab_data!O:O,match(A504,fish_lab_data!C:C,0)))</f>
        <v>KB</v>
      </c>
      <c r="O504" s="24" t="str">
        <f t="array" ref="O504">index(fish_lab_data!Q:Q,match(A504,fish_lab_data!C:C,0))</f>
        <v>lab_motiles_etoh</v>
      </c>
      <c r="P504" s="24" t="str">
        <f t="array" ref="P504">if(and(iserror(index(sea_lice!G:G,match(A504,sea_lice!A:A,0))),M504=0),"NA",index(sea_lice!G:G,match(A504,sea_lice!A:A,0)))</f>
        <v>NA</v>
      </c>
      <c r="Q504" s="24">
        <f t="array" ref="Q504">if(isblank(A504),"",index(fish_lab_data!X:X,match(A504,fish_lab_data!C:C,0)))</f>
        <v>1228</v>
      </c>
    </row>
    <row r="505">
      <c r="A505" s="40" t="s">
        <v>1742</v>
      </c>
      <c r="B505" s="9">
        <v>1.0</v>
      </c>
      <c r="C505" s="25">
        <v>0.0</v>
      </c>
      <c r="D505" s="25">
        <v>0.0</v>
      </c>
      <c r="E505" s="9">
        <v>1.0</v>
      </c>
      <c r="F505" s="25">
        <v>0.0</v>
      </c>
      <c r="G505" s="25">
        <v>0.0</v>
      </c>
      <c r="H505" s="25">
        <v>0.0</v>
      </c>
      <c r="I505" s="25">
        <v>0.0</v>
      </c>
      <c r="J505" s="25">
        <v>0.0</v>
      </c>
      <c r="K505" s="25">
        <v>0.0</v>
      </c>
      <c r="L505" s="25">
        <v>0.0</v>
      </c>
      <c r="M505" s="17">
        <f t="shared" si="1"/>
        <v>2</v>
      </c>
      <c r="N505" s="24" t="str">
        <f t="array" ref="N505">if(isblank(A505),"",index(fish_lab_data!O:O,match(A505,fish_lab_data!C:C,0)))</f>
        <v>KB</v>
      </c>
      <c r="O505" s="24" t="str">
        <f t="array" ref="O505">index(fish_lab_data!Q:Q,match(A505,fish_lab_data!C:C,0))</f>
        <v>lab_motiles_cryo</v>
      </c>
      <c r="P505" s="24" t="str">
        <f t="array" ref="P505">if(and(iserror(index(sea_lice!G:G,match(A505,sea_lice!A:A,0))),M505=0),"NA",index(sea_lice!G:G,match(A505,sea_lice!A:A,0)))</f>
        <v>BSL2-76</v>
      </c>
      <c r="Q505" s="24">
        <f t="array" ref="Q505">if(isblank(A505),"",index(fish_lab_data!X:X,match(A505,fish_lab_data!C:C,0)))</f>
        <v>1229</v>
      </c>
    </row>
    <row r="506">
      <c r="A506" s="40" t="s">
        <v>1743</v>
      </c>
      <c r="B506" s="9">
        <v>1.0</v>
      </c>
      <c r="C506" s="25">
        <v>0.0</v>
      </c>
      <c r="D506" s="25">
        <v>0.0</v>
      </c>
      <c r="E506" s="9">
        <v>1.0</v>
      </c>
      <c r="F506" s="25">
        <v>0.0</v>
      </c>
      <c r="G506" s="25">
        <v>0.0</v>
      </c>
      <c r="H506" s="25">
        <v>0.0</v>
      </c>
      <c r="I506" s="25">
        <v>0.0</v>
      </c>
      <c r="J506" s="25">
        <v>0.0</v>
      </c>
      <c r="K506" s="25">
        <v>0.0</v>
      </c>
      <c r="L506" s="25">
        <v>0.0</v>
      </c>
      <c r="M506" s="17">
        <f t="shared" si="1"/>
        <v>2</v>
      </c>
      <c r="N506" s="24" t="str">
        <f t="array" ref="N506">if(isblank(A506),"",index(fish_lab_data!O:O,match(A506,fish_lab_data!C:C,0)))</f>
        <v>KB</v>
      </c>
      <c r="O506" s="24" t="str">
        <f t="array" ref="O506">index(fish_lab_data!Q:Q,match(A506,fish_lab_data!C:C,0))</f>
        <v>lab_motiles_cryo</v>
      </c>
      <c r="P506" s="24" t="str">
        <f t="array" ref="P506">if(and(iserror(index(sea_lice!G:G,match(A506,sea_lice!A:A,0))),M506=0),"NA",index(sea_lice!G:G,match(A506,sea_lice!A:A,0)))</f>
        <v>BSL2-78</v>
      </c>
      <c r="Q506" s="24">
        <f t="array" ref="Q506">if(isblank(A506),"",index(fish_lab_data!X:X,match(A506,fish_lab_data!C:C,0)))</f>
        <v>1230</v>
      </c>
    </row>
    <row r="507">
      <c r="A507" s="40" t="s">
        <v>1744</v>
      </c>
      <c r="B507" s="25">
        <v>0.0</v>
      </c>
      <c r="C507" s="25">
        <v>0.0</v>
      </c>
      <c r="D507" s="9">
        <v>1.0</v>
      </c>
      <c r="E507" s="25">
        <v>0.0</v>
      </c>
      <c r="F507" s="25">
        <v>0.0</v>
      </c>
      <c r="G507" s="25">
        <v>0.0</v>
      </c>
      <c r="H507" s="25">
        <v>0.0</v>
      </c>
      <c r="I507" s="25">
        <v>0.0</v>
      </c>
      <c r="J507" s="25">
        <v>0.0</v>
      </c>
      <c r="K507" s="25">
        <v>0.0</v>
      </c>
      <c r="L507" s="25">
        <v>0.0</v>
      </c>
      <c r="M507" s="17">
        <f t="shared" si="1"/>
        <v>1</v>
      </c>
      <c r="N507" s="24" t="str">
        <f t="array" ref="N507">if(isblank(A507),"",index(fish_lab_data!O:O,match(A507,fish_lab_data!C:C,0)))</f>
        <v>JG</v>
      </c>
      <c r="O507" s="24" t="str">
        <f t="array" ref="O507">index(fish_lab_data!Q:Q,match(A507,fish_lab_data!C:C,0))</f>
        <v>lab_motiles_etoh</v>
      </c>
      <c r="P507" s="24" t="str">
        <f t="array" ref="P507">if(and(iserror(index(sea_lice!G:G,match(A507,sea_lice!A:A,0))),M507=0),"NA",index(sea_lice!G:G,match(A507,sea_lice!A:A,0)))</f>
        <v>BSL7-100</v>
      </c>
      <c r="Q507" s="24">
        <f t="array" ref="Q507">if(isblank(A507),"",index(fish_lab_data!X:X,match(A507,fish_lab_data!C:C,0)))</f>
        <v>1231</v>
      </c>
    </row>
    <row r="508">
      <c r="A508" s="40" t="s">
        <v>1745</v>
      </c>
      <c r="B508" s="25">
        <v>0.0</v>
      </c>
      <c r="C508" s="25">
        <v>0.0</v>
      </c>
      <c r="D508" s="25">
        <v>0.0</v>
      </c>
      <c r="E508" s="25">
        <v>0.0</v>
      </c>
      <c r="F508" s="25">
        <v>0.0</v>
      </c>
      <c r="G508" s="25">
        <v>0.0</v>
      </c>
      <c r="H508" s="25">
        <v>0.0</v>
      </c>
      <c r="I508" s="25">
        <v>0.0</v>
      </c>
      <c r="J508" s="25">
        <v>0.0</v>
      </c>
      <c r="K508" s="25">
        <v>0.0</v>
      </c>
      <c r="L508" s="25">
        <v>0.0</v>
      </c>
      <c r="M508" s="17">
        <f t="shared" si="1"/>
        <v>0</v>
      </c>
      <c r="N508" s="24" t="str">
        <f t="array" ref="N508">if(isblank(A508),"",index(fish_lab_data!O:O,match(A508,fish_lab_data!C:C,0)))</f>
        <v>JG</v>
      </c>
      <c r="O508" s="24" t="str">
        <f t="array" ref="O508">index(fish_lab_data!Q:Q,match(A508,fish_lab_data!C:C,0))</f>
        <v>lab_motiles_etoh</v>
      </c>
      <c r="P508" s="24" t="str">
        <f t="array" ref="P508">if(and(iserror(index(sea_lice!G:G,match(A508,sea_lice!A:A,0))),M508=0),"NA",index(sea_lice!G:G,match(A508,sea_lice!A:A,0)))</f>
        <v>NA</v>
      </c>
      <c r="Q508" s="24">
        <f t="array" ref="Q508">if(isblank(A508),"",index(fish_lab_data!X:X,match(A508,fish_lab_data!C:C,0)))</f>
        <v>1232</v>
      </c>
    </row>
    <row r="509">
      <c r="A509" s="40" t="s">
        <v>1746</v>
      </c>
      <c r="B509" s="25">
        <v>0.0</v>
      </c>
      <c r="C509" s="9">
        <v>1.0</v>
      </c>
      <c r="D509" s="25">
        <v>0.0</v>
      </c>
      <c r="E509" s="25">
        <v>0.0</v>
      </c>
      <c r="F509" s="25">
        <v>0.0</v>
      </c>
      <c r="G509" s="25">
        <v>0.0</v>
      </c>
      <c r="H509" s="25">
        <v>0.0</v>
      </c>
      <c r="I509" s="25">
        <v>0.0</v>
      </c>
      <c r="J509" s="25">
        <v>0.0</v>
      </c>
      <c r="K509" s="25">
        <v>0.0</v>
      </c>
      <c r="L509" s="25">
        <v>0.0</v>
      </c>
      <c r="M509" s="17">
        <f t="shared" si="1"/>
        <v>1</v>
      </c>
      <c r="N509" s="24" t="str">
        <f t="array" ref="N509">if(isblank(A509),"",index(fish_lab_data!O:O,match(A509,fish_lab_data!C:C,0)))</f>
        <v>JG</v>
      </c>
      <c r="O509" s="24" t="str">
        <f t="array" ref="O509">index(fish_lab_data!Q:Q,match(A509,fish_lab_data!C:C,0))</f>
        <v>lab_motiles_etoh</v>
      </c>
      <c r="P509" s="24" t="str">
        <f t="array" ref="P509">if(and(iserror(index(sea_lice!G:G,match(A509,sea_lice!A:A,0))),M509=0),"NA",index(sea_lice!G:G,match(A509,sea_lice!A:A,0)))</f>
        <v>BSL8-1</v>
      </c>
      <c r="Q509" s="24">
        <f t="array" ref="Q509">if(isblank(A509),"",index(fish_lab_data!X:X,match(A509,fish_lab_data!C:C,0)))</f>
        <v>1233</v>
      </c>
    </row>
    <row r="510">
      <c r="A510" s="40" t="s">
        <v>1747</v>
      </c>
      <c r="B510" s="25">
        <v>0.0</v>
      </c>
      <c r="C510" s="25">
        <v>0.0</v>
      </c>
      <c r="D510" s="25">
        <v>0.0</v>
      </c>
      <c r="E510" s="25">
        <v>0.0</v>
      </c>
      <c r="F510" s="25">
        <v>0.0</v>
      </c>
      <c r="G510" s="25">
        <v>0.0</v>
      </c>
      <c r="H510" s="25">
        <v>0.0</v>
      </c>
      <c r="I510" s="25">
        <v>0.0</v>
      </c>
      <c r="J510" s="25">
        <v>0.0</v>
      </c>
      <c r="K510" s="25">
        <v>0.0</v>
      </c>
      <c r="L510" s="25">
        <v>0.0</v>
      </c>
      <c r="M510" s="17">
        <f t="shared" si="1"/>
        <v>0</v>
      </c>
      <c r="N510" s="24" t="str">
        <f t="array" ref="N510">if(isblank(A510),"",index(fish_lab_data!O:O,match(A510,fish_lab_data!C:C,0)))</f>
        <v>JG</v>
      </c>
      <c r="O510" s="24" t="str">
        <f t="array" ref="O510">index(fish_lab_data!Q:Q,match(A510,fish_lab_data!C:C,0))</f>
        <v>lab_motiles_etoh</v>
      </c>
      <c r="P510" s="24" t="str">
        <f t="array" ref="P510">if(and(iserror(index(sea_lice!G:G,match(A510,sea_lice!A:A,0))),M510=0),"NA",index(sea_lice!G:G,match(A510,sea_lice!A:A,0)))</f>
        <v>NA</v>
      </c>
      <c r="Q510" s="24">
        <f t="array" ref="Q510">if(isblank(A510),"",index(fish_lab_data!X:X,match(A510,fish_lab_data!C:C,0)))</f>
        <v>1234</v>
      </c>
    </row>
    <row r="511">
      <c r="A511" s="40" t="s">
        <v>1748</v>
      </c>
      <c r="B511" s="25">
        <v>0.0</v>
      </c>
      <c r="C511" s="25">
        <v>0.0</v>
      </c>
      <c r="D511" s="25">
        <v>0.0</v>
      </c>
      <c r="E511" s="25">
        <v>0.0</v>
      </c>
      <c r="F511" s="25">
        <v>0.0</v>
      </c>
      <c r="G511" s="25">
        <v>0.0</v>
      </c>
      <c r="H511" s="25">
        <v>0.0</v>
      </c>
      <c r="I511" s="25">
        <v>0.0</v>
      </c>
      <c r="J511" s="25">
        <v>0.0</v>
      </c>
      <c r="K511" s="25">
        <v>0.0</v>
      </c>
      <c r="L511" s="25">
        <v>0.0</v>
      </c>
      <c r="M511" s="17">
        <f t="shared" si="1"/>
        <v>0</v>
      </c>
      <c r="N511" s="24" t="str">
        <f t="array" ref="N511">if(isblank(A511),"",index(fish_lab_data!O:O,match(A511,fish_lab_data!C:C,0)))</f>
        <v>JG</v>
      </c>
      <c r="O511" s="24" t="str">
        <f t="array" ref="O511">index(fish_lab_data!Q:Q,match(A511,fish_lab_data!C:C,0))</f>
        <v>lab_motiles_etoh</v>
      </c>
      <c r="P511" s="24" t="str">
        <f t="array" ref="P511">if(and(iserror(index(sea_lice!G:G,match(A511,sea_lice!A:A,0))),M511=0),"NA",index(sea_lice!G:G,match(A511,sea_lice!A:A,0)))</f>
        <v>NA</v>
      </c>
      <c r="Q511" s="24">
        <f t="array" ref="Q511">if(isblank(A511),"",index(fish_lab_data!X:X,match(A511,fish_lab_data!C:C,0)))</f>
        <v>1235</v>
      </c>
    </row>
    <row r="512">
      <c r="A512" s="40" t="s">
        <v>1749</v>
      </c>
      <c r="B512" s="25">
        <v>0.0</v>
      </c>
      <c r="C512" s="25">
        <v>0.0</v>
      </c>
      <c r="D512" s="25">
        <v>0.0</v>
      </c>
      <c r="E512" s="25">
        <v>0.0</v>
      </c>
      <c r="F512" s="25">
        <v>0.0</v>
      </c>
      <c r="G512" s="25">
        <v>0.0</v>
      </c>
      <c r="H512" s="25">
        <v>0.0</v>
      </c>
      <c r="I512" s="25">
        <v>0.0</v>
      </c>
      <c r="J512" s="25">
        <v>0.0</v>
      </c>
      <c r="K512" s="25">
        <v>0.0</v>
      </c>
      <c r="L512" s="25">
        <v>0.0</v>
      </c>
      <c r="M512" s="17">
        <f t="shared" si="1"/>
        <v>0</v>
      </c>
      <c r="N512" s="24" t="str">
        <f t="array" ref="N512">if(isblank(A512),"",index(fish_lab_data!O:O,match(A512,fish_lab_data!C:C,0)))</f>
        <v>JG</v>
      </c>
      <c r="O512" s="24" t="str">
        <f t="array" ref="O512">index(fish_lab_data!Q:Q,match(A512,fish_lab_data!C:C,0))</f>
        <v>lab_motiles_etoh</v>
      </c>
      <c r="P512" s="24" t="str">
        <f t="array" ref="P512">if(and(iserror(index(sea_lice!G:G,match(A512,sea_lice!A:A,0))),M512=0),"NA",index(sea_lice!G:G,match(A512,sea_lice!A:A,0)))</f>
        <v>NA</v>
      </c>
      <c r="Q512" s="24">
        <f t="array" ref="Q512">if(isblank(A512),"",index(fish_lab_data!X:X,match(A512,fish_lab_data!C:C,0)))</f>
        <v>1236</v>
      </c>
    </row>
    <row r="513">
      <c r="A513" s="40" t="s">
        <v>1750</v>
      </c>
      <c r="B513" s="25">
        <v>0.0</v>
      </c>
      <c r="C513" s="25">
        <v>0.0</v>
      </c>
      <c r="D513" s="25">
        <v>0.0</v>
      </c>
      <c r="E513" s="9">
        <v>1.0</v>
      </c>
      <c r="F513" s="25">
        <v>0.0</v>
      </c>
      <c r="G513" s="25">
        <v>0.0</v>
      </c>
      <c r="H513" s="25">
        <v>0.0</v>
      </c>
      <c r="I513" s="25">
        <v>0.0</v>
      </c>
      <c r="J513" s="25">
        <v>0.0</v>
      </c>
      <c r="K513" s="25">
        <v>0.0</v>
      </c>
      <c r="L513" s="25">
        <v>0.0</v>
      </c>
      <c r="M513" s="17">
        <f t="shared" si="1"/>
        <v>1</v>
      </c>
      <c r="N513" s="24" t="str">
        <f t="array" ref="N513">if(isblank(A513),"",index(fish_lab_data!O:O,match(A513,fish_lab_data!C:C,0)))</f>
        <v>JG</v>
      </c>
      <c r="O513" s="24" t="str">
        <f t="array" ref="O513">index(fish_lab_data!Q:Q,match(A513,fish_lab_data!C:C,0))</f>
        <v>lab_motiles_etoh</v>
      </c>
      <c r="P513" s="24" t="str">
        <f t="array" ref="P513">if(and(iserror(index(sea_lice!G:G,match(A513,sea_lice!A:A,0))),M513=0),"NA",index(sea_lice!G:G,match(A513,sea_lice!A:A,0)))</f>
        <v>BSL8-5</v>
      </c>
      <c r="Q513" s="24">
        <f t="array" ref="Q513">if(isblank(A513),"",index(fish_lab_data!X:X,match(A513,fish_lab_data!C:C,0)))</f>
        <v>1237</v>
      </c>
    </row>
    <row r="514">
      <c r="A514" s="40" t="s">
        <v>1751</v>
      </c>
      <c r="B514" s="25">
        <v>0.0</v>
      </c>
      <c r="C514" s="25">
        <v>0.0</v>
      </c>
      <c r="D514" s="25">
        <v>0.0</v>
      </c>
      <c r="E514" s="25">
        <v>0.0</v>
      </c>
      <c r="F514" s="9">
        <v>1.0</v>
      </c>
      <c r="G514" s="25">
        <v>0.0</v>
      </c>
      <c r="H514" s="25">
        <v>0.0</v>
      </c>
      <c r="I514" s="25">
        <v>0.0</v>
      </c>
      <c r="J514" s="25">
        <v>0.0</v>
      </c>
      <c r="K514" s="25">
        <v>0.0</v>
      </c>
      <c r="L514" s="25">
        <v>0.0</v>
      </c>
      <c r="M514" s="17">
        <f t="shared" si="1"/>
        <v>1</v>
      </c>
      <c r="N514" s="24" t="str">
        <f t="array" ref="N514">if(isblank(A514),"",index(fish_lab_data!O:O,match(A514,fish_lab_data!C:C,0)))</f>
        <v>JG</v>
      </c>
      <c r="O514" s="24" t="str">
        <f t="array" ref="O514">index(fish_lab_data!Q:Q,match(A514,fish_lab_data!C:C,0))</f>
        <v>lab_motiles_etoh</v>
      </c>
      <c r="P514" s="24" t="str">
        <f t="array" ref="P514">if(and(iserror(index(sea_lice!G:G,match(A514,sea_lice!A:A,0))),M514=0),"NA",index(sea_lice!G:G,match(A514,sea_lice!A:A,0)))</f>
        <v>BSL8-7</v>
      </c>
      <c r="Q514" s="24">
        <f t="array" ref="Q514">if(isblank(A514),"",index(fish_lab_data!X:X,match(A514,fish_lab_data!C:C,0)))</f>
        <v>1238</v>
      </c>
    </row>
    <row r="515">
      <c r="A515" s="40" t="s">
        <v>1752</v>
      </c>
      <c r="B515" s="25">
        <v>0.0</v>
      </c>
      <c r="C515" s="25">
        <v>0.0</v>
      </c>
      <c r="D515" s="25">
        <v>0.0</v>
      </c>
      <c r="E515" s="25">
        <v>0.0</v>
      </c>
      <c r="F515" s="25">
        <v>0.0</v>
      </c>
      <c r="G515" s="25">
        <v>0.0</v>
      </c>
      <c r="H515" s="25">
        <v>0.0</v>
      </c>
      <c r="I515" s="25">
        <v>0.0</v>
      </c>
      <c r="J515" s="25">
        <v>0.0</v>
      </c>
      <c r="K515" s="25">
        <v>0.0</v>
      </c>
      <c r="L515" s="25">
        <v>0.0</v>
      </c>
      <c r="M515" s="17">
        <f t="shared" si="1"/>
        <v>0</v>
      </c>
      <c r="N515" s="24" t="str">
        <f t="array" ref="N515">if(isblank(A515),"",index(fish_lab_data!O:O,match(A515,fish_lab_data!C:C,0)))</f>
        <v>JG</v>
      </c>
      <c r="O515" s="24" t="str">
        <f t="array" ref="O515">index(fish_lab_data!Q:Q,match(A515,fish_lab_data!C:C,0))</f>
        <v>lab_motiles_etoh</v>
      </c>
      <c r="P515" s="24" t="str">
        <f t="array" ref="P515">if(and(iserror(index(sea_lice!G:G,match(A515,sea_lice!A:A,0))),M515=0),"NA",index(sea_lice!G:G,match(A515,sea_lice!A:A,0)))</f>
        <v>NA</v>
      </c>
      <c r="Q515" s="24">
        <f t="array" ref="Q515">if(isblank(A515),"",index(fish_lab_data!X:X,match(A515,fish_lab_data!C:C,0)))</f>
        <v>1239</v>
      </c>
    </row>
    <row r="516">
      <c r="A516" s="40" t="s">
        <v>1753</v>
      </c>
      <c r="B516" s="25">
        <v>0.0</v>
      </c>
      <c r="C516" s="25">
        <v>0.0</v>
      </c>
      <c r="D516" s="25">
        <v>0.0</v>
      </c>
      <c r="E516" s="25">
        <v>0.0</v>
      </c>
      <c r="F516" s="25">
        <v>0.0</v>
      </c>
      <c r="G516" s="25">
        <v>0.0</v>
      </c>
      <c r="H516" s="25">
        <v>0.0</v>
      </c>
      <c r="I516" s="25">
        <v>0.0</v>
      </c>
      <c r="J516" s="25">
        <v>0.0</v>
      </c>
      <c r="K516" s="25">
        <v>0.0</v>
      </c>
      <c r="L516" s="25">
        <v>0.0</v>
      </c>
      <c r="M516" s="17">
        <f t="shared" si="1"/>
        <v>0</v>
      </c>
      <c r="N516" s="24" t="str">
        <f t="array" ref="N516">if(isblank(A516),"",index(fish_lab_data!O:O,match(A516,fish_lab_data!C:C,0)))</f>
        <v>JG</v>
      </c>
      <c r="O516" s="24" t="str">
        <f t="array" ref="O516">index(fish_lab_data!Q:Q,match(A516,fish_lab_data!C:C,0))</f>
        <v>lab_motiles_etoh</v>
      </c>
      <c r="P516" s="24" t="str">
        <f t="array" ref="P516">if(and(iserror(index(sea_lice!G:G,match(A516,sea_lice!A:A,0))),M516=0),"NA",index(sea_lice!G:G,match(A516,sea_lice!A:A,0)))</f>
        <v>NA</v>
      </c>
      <c r="Q516" s="24">
        <f t="array" ref="Q516">if(isblank(A516),"",index(fish_lab_data!X:X,match(A516,fish_lab_data!C:C,0)))</f>
        <v>1240</v>
      </c>
    </row>
    <row r="517">
      <c r="A517" s="40" t="s">
        <v>1754</v>
      </c>
      <c r="B517" s="25">
        <v>0.0</v>
      </c>
      <c r="C517" s="25">
        <v>0.0</v>
      </c>
      <c r="D517" s="25">
        <v>0.0</v>
      </c>
      <c r="E517" s="9">
        <v>1.0</v>
      </c>
      <c r="F517" s="25">
        <v>0.0</v>
      </c>
      <c r="G517" s="25">
        <v>0.0</v>
      </c>
      <c r="H517" s="25">
        <v>0.0</v>
      </c>
      <c r="I517" s="25">
        <v>0.0</v>
      </c>
      <c r="J517" s="25">
        <v>0.0</v>
      </c>
      <c r="K517" s="25">
        <v>0.0</v>
      </c>
      <c r="L517" s="25">
        <v>0.0</v>
      </c>
      <c r="M517" s="17">
        <f t="shared" si="1"/>
        <v>1</v>
      </c>
      <c r="N517" s="24" t="str">
        <f t="array" ref="N517">if(isblank(A517),"",index(fish_lab_data!O:O,match(A517,fish_lab_data!C:C,0)))</f>
        <v>JG</v>
      </c>
      <c r="O517" s="24" t="str">
        <f t="array" ref="O517">index(fish_lab_data!Q:Q,match(A517,fish_lab_data!C:C,0))</f>
        <v>lab_motiles_etoh</v>
      </c>
      <c r="P517" s="24" t="str">
        <f t="array" ref="P517">if(and(iserror(index(sea_lice!G:G,match(A517,sea_lice!A:A,0))),M517=0),"NA",index(sea_lice!G:G,match(A517,sea_lice!A:A,0)))</f>
        <v>BSL8-12</v>
      </c>
      <c r="Q517" s="24">
        <f t="array" ref="Q517">if(isblank(A517),"",index(fish_lab_data!X:X,match(A517,fish_lab_data!C:C,0)))</f>
        <v>1241</v>
      </c>
    </row>
    <row r="518">
      <c r="A518" s="40" t="s">
        <v>1755</v>
      </c>
      <c r="B518" s="25">
        <v>0.0</v>
      </c>
      <c r="C518" s="25">
        <v>0.0</v>
      </c>
      <c r="D518" s="25">
        <v>0.0</v>
      </c>
      <c r="E518" s="25">
        <v>0.0</v>
      </c>
      <c r="F518" s="25">
        <v>0.0</v>
      </c>
      <c r="G518" s="25">
        <v>0.0</v>
      </c>
      <c r="H518" s="25">
        <v>0.0</v>
      </c>
      <c r="I518" s="25">
        <v>0.0</v>
      </c>
      <c r="J518" s="25">
        <v>0.0</v>
      </c>
      <c r="K518" s="25">
        <v>0.0</v>
      </c>
      <c r="L518" s="25">
        <v>0.0</v>
      </c>
      <c r="M518" s="17">
        <f t="shared" si="1"/>
        <v>0</v>
      </c>
      <c r="N518" s="24" t="str">
        <f t="array" ref="N518">if(isblank(A518),"",index(fish_lab_data!O:O,match(A518,fish_lab_data!C:C,0)))</f>
        <v>JG</v>
      </c>
      <c r="O518" s="24" t="str">
        <f t="array" ref="O518">index(fish_lab_data!Q:Q,match(A518,fish_lab_data!C:C,0))</f>
        <v>lab_motiles_etoh</v>
      </c>
      <c r="P518" s="24" t="str">
        <f t="array" ref="P518">if(and(iserror(index(sea_lice!G:G,match(A518,sea_lice!A:A,0))),M518=0),"NA",index(sea_lice!G:G,match(A518,sea_lice!A:A,0)))</f>
        <v>NA</v>
      </c>
      <c r="Q518" s="24">
        <f t="array" ref="Q518">if(isblank(A518),"",index(fish_lab_data!X:X,match(A518,fish_lab_data!C:C,0)))</f>
        <v>1242</v>
      </c>
    </row>
    <row r="519">
      <c r="A519" s="40" t="s">
        <v>1756</v>
      </c>
      <c r="B519" s="25">
        <v>0.0</v>
      </c>
      <c r="C519" s="25">
        <v>0.0</v>
      </c>
      <c r="D519" s="25">
        <v>0.0</v>
      </c>
      <c r="E519" s="25">
        <v>0.0</v>
      </c>
      <c r="F519" s="25">
        <v>0.0</v>
      </c>
      <c r="G519" s="25">
        <v>0.0</v>
      </c>
      <c r="H519" s="25">
        <v>0.0</v>
      </c>
      <c r="I519" s="25">
        <v>0.0</v>
      </c>
      <c r="J519" s="25">
        <v>0.0</v>
      </c>
      <c r="K519" s="25">
        <v>0.0</v>
      </c>
      <c r="L519" s="25">
        <v>0.0</v>
      </c>
      <c r="M519" s="17">
        <f t="shared" si="1"/>
        <v>0</v>
      </c>
      <c r="N519" s="24" t="str">
        <f t="array" ref="N519">if(isblank(A519),"",index(fish_lab_data!O:O,match(A519,fish_lab_data!C:C,0)))</f>
        <v>JG</v>
      </c>
      <c r="O519" s="24" t="str">
        <f t="array" ref="O519">index(fish_lab_data!Q:Q,match(A519,fish_lab_data!C:C,0))</f>
        <v>lab_motiles_etoh</v>
      </c>
      <c r="P519" s="24" t="str">
        <f t="array" ref="P519">if(and(iserror(index(sea_lice!G:G,match(A519,sea_lice!A:A,0))),M519=0),"NA",index(sea_lice!G:G,match(A519,sea_lice!A:A,0)))</f>
        <v>NA</v>
      </c>
      <c r="Q519" s="24">
        <f t="array" ref="Q519">if(isblank(A519),"",index(fish_lab_data!X:X,match(A519,fish_lab_data!C:C,0)))</f>
        <v>1243</v>
      </c>
    </row>
    <row r="520">
      <c r="A520" s="40" t="s">
        <v>1757</v>
      </c>
      <c r="B520" s="25">
        <v>0.0</v>
      </c>
      <c r="C520" s="25">
        <v>0.0</v>
      </c>
      <c r="D520" s="25">
        <v>0.0</v>
      </c>
      <c r="E520" s="25">
        <v>0.0</v>
      </c>
      <c r="F520" s="25">
        <v>0.0</v>
      </c>
      <c r="G520" s="25">
        <v>0.0</v>
      </c>
      <c r="H520" s="25">
        <v>0.0</v>
      </c>
      <c r="I520" s="25">
        <v>0.0</v>
      </c>
      <c r="J520" s="25">
        <v>0.0</v>
      </c>
      <c r="K520" s="25">
        <v>0.0</v>
      </c>
      <c r="L520" s="25">
        <v>0.0</v>
      </c>
      <c r="M520" s="17">
        <f t="shared" si="1"/>
        <v>0</v>
      </c>
      <c r="N520" s="24" t="str">
        <f t="array" ref="N520">if(isblank(A520),"",index(fish_lab_data!O:O,match(A520,fish_lab_data!C:C,0)))</f>
        <v>JG</v>
      </c>
      <c r="O520" s="24" t="str">
        <f t="array" ref="O520">index(fish_lab_data!Q:Q,match(A520,fish_lab_data!C:C,0))</f>
        <v>lab_motiles_etoh</v>
      </c>
      <c r="P520" s="24" t="str">
        <f t="array" ref="P520">if(and(iserror(index(sea_lice!G:G,match(A520,sea_lice!A:A,0))),M520=0),"NA",index(sea_lice!G:G,match(A520,sea_lice!A:A,0)))</f>
        <v>NA</v>
      </c>
      <c r="Q520" s="24">
        <f t="array" ref="Q520">if(isblank(A520),"",index(fish_lab_data!X:X,match(A520,fish_lab_data!C:C,0)))</f>
        <v>1244</v>
      </c>
    </row>
    <row r="521">
      <c r="A521" s="40" t="s">
        <v>1758</v>
      </c>
      <c r="B521" s="25">
        <v>0.0</v>
      </c>
      <c r="C521" s="25">
        <v>0.0</v>
      </c>
      <c r="D521" s="25">
        <v>0.0</v>
      </c>
      <c r="E521" s="25">
        <v>0.0</v>
      </c>
      <c r="F521" s="25">
        <v>0.0</v>
      </c>
      <c r="G521" s="25">
        <v>0.0</v>
      </c>
      <c r="H521" s="25">
        <v>0.0</v>
      </c>
      <c r="I521" s="25">
        <v>0.0</v>
      </c>
      <c r="J521" s="25">
        <v>0.0</v>
      </c>
      <c r="K521" s="25">
        <v>0.0</v>
      </c>
      <c r="L521" s="25">
        <v>0.0</v>
      </c>
      <c r="M521" s="17">
        <f t="shared" si="1"/>
        <v>0</v>
      </c>
      <c r="N521" s="24" t="str">
        <f t="array" ref="N521">if(isblank(A521),"",index(fish_lab_data!O:O,match(A521,fish_lab_data!C:C,0)))</f>
        <v>JG</v>
      </c>
      <c r="O521" s="24" t="str">
        <f t="array" ref="O521">index(fish_lab_data!Q:Q,match(A521,fish_lab_data!C:C,0))</f>
        <v>lab_motiles_etoh</v>
      </c>
      <c r="P521" s="24" t="str">
        <f t="array" ref="P521">if(and(iserror(index(sea_lice!G:G,match(A521,sea_lice!A:A,0))),M521=0),"NA",index(sea_lice!G:G,match(A521,sea_lice!A:A,0)))</f>
        <v>NA</v>
      </c>
      <c r="Q521" s="24">
        <f t="array" ref="Q521">if(isblank(A521),"",index(fish_lab_data!X:X,match(A521,fish_lab_data!C:C,0)))</f>
        <v>1245</v>
      </c>
    </row>
    <row r="522">
      <c r="A522" s="40" t="s">
        <v>1759</v>
      </c>
      <c r="B522" s="25">
        <v>0.0</v>
      </c>
      <c r="C522" s="25">
        <v>0.0</v>
      </c>
      <c r="D522" s="25">
        <v>0.0</v>
      </c>
      <c r="E522" s="25">
        <v>0.0</v>
      </c>
      <c r="F522" s="25">
        <v>0.0</v>
      </c>
      <c r="G522" s="25">
        <v>0.0</v>
      </c>
      <c r="H522" s="25">
        <v>0.0</v>
      </c>
      <c r="I522" s="25">
        <v>0.0</v>
      </c>
      <c r="J522" s="25">
        <v>0.0</v>
      </c>
      <c r="K522" s="25">
        <v>0.0</v>
      </c>
      <c r="L522" s="25">
        <v>0.0</v>
      </c>
      <c r="M522" s="17">
        <f t="shared" si="1"/>
        <v>0</v>
      </c>
      <c r="N522" s="24" t="str">
        <f t="array" ref="N522">if(isblank(A522),"",index(fish_lab_data!O:O,match(A522,fish_lab_data!C:C,0)))</f>
        <v>JG</v>
      </c>
      <c r="O522" s="24" t="str">
        <f t="array" ref="O522">index(fish_lab_data!Q:Q,match(A522,fish_lab_data!C:C,0))</f>
        <v>lab_motiles_etoh</v>
      </c>
      <c r="P522" s="24" t="str">
        <f t="array" ref="P522">if(and(iserror(index(sea_lice!G:G,match(A522,sea_lice!A:A,0))),M522=0),"NA",index(sea_lice!G:G,match(A522,sea_lice!A:A,0)))</f>
        <v>NA</v>
      </c>
      <c r="Q522" s="24">
        <f t="array" ref="Q522">if(isblank(A522),"",index(fish_lab_data!X:X,match(A522,fish_lab_data!C:C,0)))</f>
        <v>1246</v>
      </c>
    </row>
    <row r="523">
      <c r="A523" s="40" t="s">
        <v>1760</v>
      </c>
      <c r="B523" s="25">
        <v>0.0</v>
      </c>
      <c r="C523" s="25">
        <v>0.0</v>
      </c>
      <c r="D523" s="9">
        <v>1.0</v>
      </c>
      <c r="E523" s="25">
        <v>0.0</v>
      </c>
      <c r="F523" s="25">
        <v>0.0</v>
      </c>
      <c r="G523" s="25">
        <v>0.0</v>
      </c>
      <c r="H523" s="25">
        <v>0.0</v>
      </c>
      <c r="I523" s="25">
        <v>0.0</v>
      </c>
      <c r="J523" s="25">
        <v>0.0</v>
      </c>
      <c r="K523" s="25">
        <v>0.0</v>
      </c>
      <c r="L523" s="25">
        <v>0.0</v>
      </c>
      <c r="M523" s="17">
        <f t="shared" si="1"/>
        <v>1</v>
      </c>
      <c r="N523" s="24" t="str">
        <f t="array" ref="N523">if(isblank(A523),"",index(fish_lab_data!O:O,match(A523,fish_lab_data!C:C,0)))</f>
        <v>JG</v>
      </c>
      <c r="O523" s="24" t="str">
        <f t="array" ref="O523">index(fish_lab_data!Q:Q,match(A523,fish_lab_data!C:C,0))</f>
        <v>lab_motiles_etoh</v>
      </c>
      <c r="P523" s="24" t="str">
        <f t="array" ref="P523">if(and(iserror(index(sea_lice!G:G,match(A523,sea_lice!A:A,0))),M523=0),"NA",index(sea_lice!G:G,match(A523,sea_lice!A:A,0)))</f>
        <v>BSL8-14</v>
      </c>
      <c r="Q523" s="24">
        <f t="array" ref="Q523">if(isblank(A523),"",index(fish_lab_data!X:X,match(A523,fish_lab_data!C:C,0)))</f>
        <v>1247</v>
      </c>
    </row>
    <row r="524">
      <c r="A524" s="40" t="s">
        <v>1761</v>
      </c>
      <c r="B524" s="25">
        <v>0.0</v>
      </c>
      <c r="C524" s="25">
        <v>0.0</v>
      </c>
      <c r="D524" s="25">
        <v>0.0</v>
      </c>
      <c r="E524" s="25">
        <v>0.0</v>
      </c>
      <c r="F524" s="25">
        <v>0.0</v>
      </c>
      <c r="G524" s="25">
        <v>0.0</v>
      </c>
      <c r="H524" s="25">
        <v>0.0</v>
      </c>
      <c r="I524" s="25">
        <v>0.0</v>
      </c>
      <c r="J524" s="25">
        <v>0.0</v>
      </c>
      <c r="K524" s="25">
        <v>0.0</v>
      </c>
      <c r="L524" s="25">
        <v>0.0</v>
      </c>
      <c r="M524" s="17">
        <f t="shared" si="1"/>
        <v>0</v>
      </c>
      <c r="N524" s="24" t="str">
        <f t="array" ref="N524">if(isblank(A524),"",index(fish_lab_data!O:O,match(A524,fish_lab_data!C:C,0)))</f>
        <v>JG</v>
      </c>
      <c r="O524" s="24" t="str">
        <f t="array" ref="O524">index(fish_lab_data!Q:Q,match(A524,fish_lab_data!C:C,0))</f>
        <v>lab_motiles_etoh</v>
      </c>
      <c r="P524" s="24" t="str">
        <f t="array" ref="P524">if(and(iserror(index(sea_lice!G:G,match(A524,sea_lice!A:A,0))),M524=0),"NA",index(sea_lice!G:G,match(A524,sea_lice!A:A,0)))</f>
        <v>NA</v>
      </c>
      <c r="Q524" s="24">
        <f t="array" ref="Q524">if(isblank(A524),"",index(fish_lab_data!X:X,match(A524,fish_lab_data!C:C,0)))</f>
        <v>1248</v>
      </c>
    </row>
    <row r="525">
      <c r="A525" s="40" t="s">
        <v>1762</v>
      </c>
      <c r="B525" s="25">
        <v>0.0</v>
      </c>
      <c r="C525" s="25">
        <v>0.0</v>
      </c>
      <c r="D525" s="25">
        <v>0.0</v>
      </c>
      <c r="E525" s="25">
        <v>0.0</v>
      </c>
      <c r="F525" s="25">
        <v>0.0</v>
      </c>
      <c r="G525" s="25">
        <v>0.0</v>
      </c>
      <c r="H525" s="25">
        <v>0.0</v>
      </c>
      <c r="I525" s="25">
        <v>0.0</v>
      </c>
      <c r="J525" s="25">
        <v>0.0</v>
      </c>
      <c r="K525" s="25">
        <v>0.0</v>
      </c>
      <c r="L525" s="25">
        <v>0.0</v>
      </c>
      <c r="M525" s="17">
        <f t="shared" si="1"/>
        <v>0</v>
      </c>
      <c r="N525" s="24" t="str">
        <f t="array" ref="N525">if(isblank(A525),"",index(fish_lab_data!O:O,match(A525,fish_lab_data!C:C,0)))</f>
        <v>JG</v>
      </c>
      <c r="O525" s="24" t="str">
        <f t="array" ref="O525">index(fish_lab_data!Q:Q,match(A525,fish_lab_data!C:C,0))</f>
        <v>lab_motiles_etoh</v>
      </c>
      <c r="P525" s="24" t="str">
        <f t="array" ref="P525">if(and(iserror(index(sea_lice!G:G,match(A525,sea_lice!A:A,0))),M525=0),"NA",index(sea_lice!G:G,match(A525,sea_lice!A:A,0)))</f>
        <v>BSL8-15</v>
      </c>
      <c r="Q525" s="24">
        <f t="array" ref="Q525">if(isblank(A525),"",index(fish_lab_data!X:X,match(A525,fish_lab_data!C:C,0)))</f>
        <v>1249</v>
      </c>
    </row>
    <row r="526">
      <c r="A526" s="40" t="s">
        <v>1763</v>
      </c>
      <c r="B526" s="25">
        <v>0.0</v>
      </c>
      <c r="C526" s="25">
        <v>0.0</v>
      </c>
      <c r="D526" s="25">
        <v>0.0</v>
      </c>
      <c r="E526" s="9">
        <v>1.0</v>
      </c>
      <c r="F526" s="25">
        <v>0.0</v>
      </c>
      <c r="G526" s="25">
        <v>0.0</v>
      </c>
      <c r="H526" s="25">
        <v>0.0</v>
      </c>
      <c r="I526" s="25">
        <v>0.0</v>
      </c>
      <c r="J526" s="25">
        <v>0.0</v>
      </c>
      <c r="K526" s="25">
        <v>0.0</v>
      </c>
      <c r="L526" s="25">
        <v>0.0</v>
      </c>
      <c r="M526" s="17">
        <f t="shared" si="1"/>
        <v>1</v>
      </c>
      <c r="N526" s="24" t="str">
        <f t="array" ref="N526">if(isblank(A526),"",index(fish_lab_data!O:O,match(A526,fish_lab_data!C:C,0)))</f>
        <v>JG</v>
      </c>
      <c r="O526" s="24" t="str">
        <f t="array" ref="O526">index(fish_lab_data!Q:Q,match(A526,fish_lab_data!C:C,0))</f>
        <v>lab_motiles_etoh</v>
      </c>
      <c r="P526" s="24" t="str">
        <f t="array" ref="P526">if(and(iserror(index(sea_lice!G:G,match(A526,sea_lice!A:A,0))),M526=0),"NA",index(sea_lice!G:G,match(A526,sea_lice!A:A,0)))</f>
        <v>BSL8-16</v>
      </c>
      <c r="Q526" s="24">
        <f t="array" ref="Q526">if(isblank(A526),"",index(fish_lab_data!X:X,match(A526,fish_lab_data!C:C,0)))</f>
        <v>1250</v>
      </c>
    </row>
    <row r="527">
      <c r="A527" s="40" t="s">
        <v>1765</v>
      </c>
      <c r="B527" s="25">
        <v>0.0</v>
      </c>
      <c r="C527" s="25">
        <v>0.0</v>
      </c>
      <c r="D527" s="25">
        <v>0.0</v>
      </c>
      <c r="E527" s="25">
        <v>0.0</v>
      </c>
      <c r="F527" s="25">
        <v>0.0</v>
      </c>
      <c r="G527" s="25">
        <v>0.0</v>
      </c>
      <c r="H527" s="25">
        <v>0.0</v>
      </c>
      <c r="I527" s="25">
        <v>0.0</v>
      </c>
      <c r="J527" s="25">
        <v>0.0</v>
      </c>
      <c r="K527" s="25">
        <v>0.0</v>
      </c>
      <c r="L527" s="25">
        <v>0.0</v>
      </c>
      <c r="M527" s="17">
        <f t="shared" si="1"/>
        <v>0</v>
      </c>
      <c r="N527" s="24" t="str">
        <f t="array" ref="N527">if(isblank(A527),"",index(fish_lab_data!O:O,match(A527,fish_lab_data!C:C,0)))</f>
        <v>KB</v>
      </c>
      <c r="O527" s="24" t="str">
        <f t="array" ref="O527">index(fish_lab_data!Q:Q,match(A527,fish_lab_data!C:C,0))</f>
        <v>lab_motiles_cryo</v>
      </c>
      <c r="P527" s="24" t="str">
        <f t="array" ref="P527">if(and(iserror(index(sea_lice!G:G,match(A527,sea_lice!A:A,0))),M527=0),"NA",index(sea_lice!G:G,match(A527,sea_lice!A:A,0)))</f>
        <v>NA</v>
      </c>
      <c r="Q527" s="24">
        <f t="array" ref="Q527">if(isblank(A527),"",index(fish_lab_data!X:X,match(A527,fish_lab_data!C:C,0)))</f>
        <v>1251</v>
      </c>
    </row>
    <row r="528">
      <c r="A528" s="40" t="s">
        <v>1766</v>
      </c>
      <c r="B528" s="25">
        <v>0.0</v>
      </c>
      <c r="C528" s="25">
        <v>0.0</v>
      </c>
      <c r="D528" s="25">
        <v>0.0</v>
      </c>
      <c r="E528" s="25">
        <v>0.0</v>
      </c>
      <c r="F528" s="25">
        <v>0.0</v>
      </c>
      <c r="G528" s="25">
        <v>0.0</v>
      </c>
      <c r="H528" s="25">
        <v>0.0</v>
      </c>
      <c r="I528" s="25">
        <v>0.0</v>
      </c>
      <c r="J528" s="25">
        <v>0.0</v>
      </c>
      <c r="K528" s="25">
        <v>0.0</v>
      </c>
      <c r="L528" s="25">
        <v>0.0</v>
      </c>
      <c r="M528" s="17">
        <f t="shared" si="1"/>
        <v>0</v>
      </c>
      <c r="N528" s="24" t="str">
        <f t="array" ref="N528">if(isblank(A528),"",index(fish_lab_data!O:O,match(A528,fish_lab_data!C:C,0)))</f>
        <v>KB</v>
      </c>
      <c r="O528" s="24" t="str">
        <f t="array" ref="O528">index(fish_lab_data!Q:Q,match(A528,fish_lab_data!C:C,0))</f>
        <v>lab_motiles_cryo</v>
      </c>
      <c r="P528" s="24" t="str">
        <f t="array" ref="P528">if(and(iserror(index(sea_lice!G:G,match(A528,sea_lice!A:A,0))),M528=0),"NA",index(sea_lice!G:G,match(A528,sea_lice!A:A,0)))</f>
        <v>NA</v>
      </c>
      <c r="Q528" s="24">
        <f t="array" ref="Q528">if(isblank(A528),"",index(fish_lab_data!X:X,match(A528,fish_lab_data!C:C,0)))</f>
        <v>1252</v>
      </c>
    </row>
    <row r="529">
      <c r="A529" s="40" t="s">
        <v>1767</v>
      </c>
      <c r="B529" s="25">
        <v>0.0</v>
      </c>
      <c r="C529" s="25">
        <v>0.0</v>
      </c>
      <c r="D529" s="25">
        <v>0.0</v>
      </c>
      <c r="E529" s="9">
        <v>1.0</v>
      </c>
      <c r="F529" s="25">
        <v>0.0</v>
      </c>
      <c r="G529" s="25">
        <v>0.0</v>
      </c>
      <c r="H529" s="25">
        <v>0.0</v>
      </c>
      <c r="I529" s="25">
        <v>0.0</v>
      </c>
      <c r="J529" s="25">
        <v>0.0</v>
      </c>
      <c r="K529" s="25">
        <v>0.0</v>
      </c>
      <c r="L529" s="25">
        <v>0.0</v>
      </c>
      <c r="M529" s="17">
        <f t="shared" si="1"/>
        <v>1</v>
      </c>
      <c r="N529" s="24" t="str">
        <f t="array" ref="N529">if(isblank(A529),"",index(fish_lab_data!O:O,match(A529,fish_lab_data!C:C,0)))</f>
        <v>KB</v>
      </c>
      <c r="O529" s="24" t="str">
        <f t="array" ref="O529">index(fish_lab_data!Q:Q,match(A529,fish_lab_data!C:C,0))</f>
        <v>lab_motiles_cryo</v>
      </c>
      <c r="P529" s="24" t="str">
        <f t="array" ref="P529">if(and(iserror(index(sea_lice!G:G,match(A529,sea_lice!A:A,0))),M529=0),"NA",index(sea_lice!G:G,match(A529,sea_lice!A:A,0)))</f>
        <v>BSL2-80</v>
      </c>
      <c r="Q529" s="24">
        <f t="array" ref="Q529">if(isblank(A529),"",index(fish_lab_data!X:X,match(A529,fish_lab_data!C:C,0)))</f>
        <v>1253</v>
      </c>
    </row>
    <row r="530">
      <c r="A530" s="40" t="s">
        <v>1768</v>
      </c>
      <c r="B530" s="25">
        <v>0.0</v>
      </c>
      <c r="C530" s="25">
        <v>0.0</v>
      </c>
      <c r="D530" s="25">
        <v>0.0</v>
      </c>
      <c r="E530" s="25">
        <v>0.0</v>
      </c>
      <c r="F530" s="25">
        <v>0.0</v>
      </c>
      <c r="G530" s="25">
        <v>0.0</v>
      </c>
      <c r="H530" s="25">
        <v>0.0</v>
      </c>
      <c r="I530" s="25">
        <v>0.0</v>
      </c>
      <c r="J530" s="25">
        <v>0.0</v>
      </c>
      <c r="K530" s="25">
        <v>0.0</v>
      </c>
      <c r="L530" s="25">
        <v>0.0</v>
      </c>
      <c r="M530" s="17">
        <f t="shared" si="1"/>
        <v>0</v>
      </c>
      <c r="N530" s="24" t="str">
        <f t="array" ref="N530">if(isblank(A530),"",index(fish_lab_data!O:O,match(A530,fish_lab_data!C:C,0)))</f>
        <v>KB</v>
      </c>
      <c r="O530" s="24" t="str">
        <f t="array" ref="O530">index(fish_lab_data!Q:Q,match(A530,fish_lab_data!C:C,0))</f>
        <v>lab_motiles_cryo</v>
      </c>
      <c r="P530" s="24" t="str">
        <f t="array" ref="P530">if(and(iserror(index(sea_lice!G:G,match(A530,sea_lice!A:A,0))),M530=0),"NA",index(sea_lice!G:G,match(A530,sea_lice!A:A,0)))</f>
        <v>NA</v>
      </c>
      <c r="Q530" s="24">
        <f t="array" ref="Q530">if(isblank(A530),"",index(fish_lab_data!X:X,match(A530,fish_lab_data!C:C,0)))</f>
        <v>1254</v>
      </c>
    </row>
    <row r="531">
      <c r="A531" s="40" t="s">
        <v>1769</v>
      </c>
      <c r="B531" s="25">
        <v>0.0</v>
      </c>
      <c r="C531" s="25">
        <v>0.0</v>
      </c>
      <c r="D531" s="25">
        <v>0.0</v>
      </c>
      <c r="E531" s="25">
        <v>0.0</v>
      </c>
      <c r="F531" s="25">
        <v>0.0</v>
      </c>
      <c r="G531" s="25">
        <v>0.0</v>
      </c>
      <c r="H531" s="25">
        <v>0.0</v>
      </c>
      <c r="I531" s="25">
        <v>0.0</v>
      </c>
      <c r="J531" s="25">
        <v>0.0</v>
      </c>
      <c r="K531" s="25">
        <v>0.0</v>
      </c>
      <c r="L531" s="25">
        <v>0.0</v>
      </c>
      <c r="M531" s="17">
        <f t="shared" si="1"/>
        <v>0</v>
      </c>
      <c r="N531" s="24" t="str">
        <f t="array" ref="N531">if(isblank(A531),"",index(fish_lab_data!O:O,match(A531,fish_lab_data!C:C,0)))</f>
        <v>KB</v>
      </c>
      <c r="O531" s="24" t="str">
        <f t="array" ref="O531">index(fish_lab_data!Q:Q,match(A531,fish_lab_data!C:C,0))</f>
        <v>lab_motiles_cryo</v>
      </c>
      <c r="P531" s="24" t="str">
        <f t="array" ref="P531">if(and(iserror(index(sea_lice!G:G,match(A531,sea_lice!A:A,0))),M531=0),"NA",index(sea_lice!G:G,match(A531,sea_lice!A:A,0)))</f>
        <v>NA</v>
      </c>
      <c r="Q531" s="24">
        <f t="array" ref="Q531">if(isblank(A531),"",index(fish_lab_data!X:X,match(A531,fish_lab_data!C:C,0)))</f>
        <v>1255</v>
      </c>
    </row>
    <row r="532">
      <c r="A532" s="40" t="s">
        <v>1770</v>
      </c>
      <c r="B532" s="25">
        <v>0.0</v>
      </c>
      <c r="C532" s="25">
        <v>0.0</v>
      </c>
      <c r="D532" s="25">
        <v>0.0</v>
      </c>
      <c r="E532" s="25">
        <v>0.0</v>
      </c>
      <c r="F532" s="25">
        <v>0.0</v>
      </c>
      <c r="G532" s="25">
        <v>0.0</v>
      </c>
      <c r="H532" s="25">
        <v>0.0</v>
      </c>
      <c r="I532" s="25">
        <v>0.0</v>
      </c>
      <c r="J532" s="25">
        <v>0.0</v>
      </c>
      <c r="K532" s="25">
        <v>0.0</v>
      </c>
      <c r="L532" s="25">
        <v>0.0</v>
      </c>
      <c r="M532" s="17">
        <f t="shared" si="1"/>
        <v>0</v>
      </c>
      <c r="N532" s="24" t="str">
        <f t="array" ref="N532">if(isblank(A532),"",index(fish_lab_data!O:O,match(A532,fish_lab_data!C:C,0)))</f>
        <v>KB</v>
      </c>
      <c r="O532" s="24" t="str">
        <f t="array" ref="O532">index(fish_lab_data!Q:Q,match(A532,fish_lab_data!C:C,0))</f>
        <v>lab_motiles_cryo</v>
      </c>
      <c r="P532" s="24" t="str">
        <f t="array" ref="P532">if(and(iserror(index(sea_lice!G:G,match(A532,sea_lice!A:A,0))),M532=0),"NA",index(sea_lice!G:G,match(A532,sea_lice!A:A,0)))</f>
        <v>NA</v>
      </c>
      <c r="Q532" s="24">
        <f t="array" ref="Q532">if(isblank(A532),"",index(fish_lab_data!X:X,match(A532,fish_lab_data!C:C,0)))</f>
        <v>1256</v>
      </c>
    </row>
    <row r="533">
      <c r="A533" s="40" t="s">
        <v>1771</v>
      </c>
      <c r="B533" s="25">
        <v>0.0</v>
      </c>
      <c r="C533" s="25">
        <v>0.0</v>
      </c>
      <c r="D533" s="25">
        <v>0.0</v>
      </c>
      <c r="E533" s="9">
        <v>1.0</v>
      </c>
      <c r="F533" s="25">
        <v>0.0</v>
      </c>
      <c r="G533" s="25">
        <v>0.0</v>
      </c>
      <c r="H533" s="25">
        <v>0.0</v>
      </c>
      <c r="I533" s="25">
        <v>0.0</v>
      </c>
      <c r="J533" s="25">
        <v>0.0</v>
      </c>
      <c r="K533" s="25">
        <v>0.0</v>
      </c>
      <c r="L533" s="25">
        <v>0.0</v>
      </c>
      <c r="M533" s="17">
        <f t="shared" si="1"/>
        <v>1</v>
      </c>
      <c r="N533" s="24" t="str">
        <f t="array" ref="N533">if(isblank(A533),"",index(fish_lab_data!O:O,match(A533,fish_lab_data!C:C,0)))</f>
        <v>KB</v>
      </c>
      <c r="O533" s="24" t="str">
        <f t="array" ref="O533">index(fish_lab_data!Q:Q,match(A533,fish_lab_data!C:C,0))</f>
        <v>lab_motiles_cryo</v>
      </c>
      <c r="P533" s="24" t="str">
        <f t="array" ref="P533">if(and(iserror(index(sea_lice!G:G,match(A533,sea_lice!A:A,0))),M533=0),"NA",index(sea_lice!G:G,match(A533,sea_lice!A:A,0)))</f>
        <v>BSL2-81</v>
      </c>
      <c r="Q533" s="24">
        <f t="array" ref="Q533">if(isblank(A533),"",index(fish_lab_data!X:X,match(A533,fish_lab_data!C:C,0)))</f>
        <v>1257</v>
      </c>
    </row>
    <row r="534">
      <c r="A534" s="40" t="s">
        <v>1772</v>
      </c>
      <c r="B534" s="25">
        <v>0.0</v>
      </c>
      <c r="C534" s="25">
        <v>0.0</v>
      </c>
      <c r="D534" s="25">
        <v>0.0</v>
      </c>
      <c r="E534" s="25">
        <v>0.0</v>
      </c>
      <c r="F534" s="25">
        <v>0.0</v>
      </c>
      <c r="G534" s="25">
        <v>0.0</v>
      </c>
      <c r="H534" s="25">
        <v>0.0</v>
      </c>
      <c r="I534" s="25">
        <v>0.0</v>
      </c>
      <c r="J534" s="25">
        <v>0.0</v>
      </c>
      <c r="K534" s="25">
        <v>0.0</v>
      </c>
      <c r="L534" s="25">
        <v>0.0</v>
      </c>
      <c r="M534" s="17">
        <f t="shared" si="1"/>
        <v>0</v>
      </c>
      <c r="N534" s="24" t="str">
        <f t="array" ref="N534">if(isblank(A534),"",index(fish_lab_data!O:O,match(A534,fish_lab_data!C:C,0)))</f>
        <v>KB</v>
      </c>
      <c r="O534" s="24" t="str">
        <f t="array" ref="O534">index(fish_lab_data!Q:Q,match(A534,fish_lab_data!C:C,0))</f>
        <v>lab_motiles_cryo</v>
      </c>
      <c r="P534" s="24" t="str">
        <f t="array" ref="P534">if(and(iserror(index(sea_lice!G:G,match(A534,sea_lice!A:A,0))),M534=0),"NA",index(sea_lice!G:G,match(A534,sea_lice!A:A,0)))</f>
        <v>NA</v>
      </c>
      <c r="Q534" s="24">
        <f t="array" ref="Q534">if(isblank(A534),"",index(fish_lab_data!X:X,match(A534,fish_lab_data!C:C,0)))</f>
        <v>1258</v>
      </c>
    </row>
    <row r="535">
      <c r="A535" s="40" t="s">
        <v>1773</v>
      </c>
      <c r="B535" s="9">
        <v>0.0</v>
      </c>
      <c r="C535" s="9">
        <v>0.0</v>
      </c>
      <c r="D535" s="9">
        <v>0.0</v>
      </c>
      <c r="E535" s="9">
        <v>0.0</v>
      </c>
      <c r="F535" s="9">
        <v>0.0</v>
      </c>
      <c r="G535" s="9">
        <v>0.0</v>
      </c>
      <c r="H535" s="9">
        <v>0.0</v>
      </c>
      <c r="I535" s="9">
        <v>0.0</v>
      </c>
      <c r="J535" s="9">
        <v>0.0</v>
      </c>
      <c r="K535" s="9">
        <v>0.0</v>
      </c>
      <c r="L535" s="9">
        <v>0.0</v>
      </c>
      <c r="M535" s="17">
        <f t="shared" si="1"/>
        <v>0</v>
      </c>
      <c r="N535" s="24" t="str">
        <f t="array" ref="N535">if(isblank(A535),"",index(fish_lab_data!O:O,match(A535,fish_lab_data!C:C,0)))</f>
        <v>KB</v>
      </c>
      <c r="O535" s="24" t="str">
        <f t="array" ref="O535">index(fish_lab_data!Q:Q,match(A535,fish_lab_data!C:C,0))</f>
        <v>lab_motiles_cryo</v>
      </c>
      <c r="P535" s="24" t="str">
        <f t="array" ref="P535">if(and(iserror(index(sea_lice!G:G,match(A535,sea_lice!A:A,0))),M535=0),"NA",index(sea_lice!G:G,match(A535,sea_lice!A:A,0)))</f>
        <v>NA</v>
      </c>
      <c r="Q535" s="24">
        <f t="array" ref="Q535">if(isblank(A535),"",index(fish_lab_data!X:X,match(A535,fish_lab_data!C:C,0)))</f>
        <v>1259</v>
      </c>
    </row>
    <row r="536">
      <c r="A536" s="40" t="s">
        <v>1774</v>
      </c>
      <c r="B536" s="9">
        <v>0.0</v>
      </c>
      <c r="C536" s="9">
        <v>0.0</v>
      </c>
      <c r="D536" s="9">
        <v>0.0</v>
      </c>
      <c r="E536" s="9">
        <v>0.0</v>
      </c>
      <c r="F536" s="9">
        <v>0.0</v>
      </c>
      <c r="G536" s="9">
        <v>0.0</v>
      </c>
      <c r="H536" s="9">
        <v>0.0</v>
      </c>
      <c r="I536" s="9">
        <v>0.0</v>
      </c>
      <c r="J536" s="9">
        <v>0.0</v>
      </c>
      <c r="K536" s="9">
        <v>0.0</v>
      </c>
      <c r="L536" s="9">
        <v>0.0</v>
      </c>
      <c r="M536" s="17">
        <f t="shared" si="1"/>
        <v>0</v>
      </c>
      <c r="N536" s="24" t="str">
        <f t="array" ref="N536">if(isblank(A536),"",index(fish_lab_data!O:O,match(A536,fish_lab_data!C:C,0)))</f>
        <v>KB</v>
      </c>
      <c r="O536" s="24" t="str">
        <f t="array" ref="O536">index(fish_lab_data!Q:Q,match(A536,fish_lab_data!C:C,0))</f>
        <v>lab_motiles_cryo</v>
      </c>
      <c r="P536" s="24" t="str">
        <f t="array" ref="P536">if(and(iserror(index(sea_lice!G:G,match(A536,sea_lice!A:A,0))),M536=0),"NA",index(sea_lice!G:G,match(A536,sea_lice!A:A,0)))</f>
        <v>NA</v>
      </c>
      <c r="Q536" s="24">
        <f t="array" ref="Q536">if(isblank(A536),"",index(fish_lab_data!X:X,match(A536,fish_lab_data!C:C,0)))</f>
        <v>1260</v>
      </c>
    </row>
    <row r="537">
      <c r="A537" s="40" t="s">
        <v>1775</v>
      </c>
      <c r="B537" s="9">
        <v>0.0</v>
      </c>
      <c r="C537" s="9">
        <v>0.0</v>
      </c>
      <c r="D537" s="9">
        <v>0.0</v>
      </c>
      <c r="E537" s="9">
        <v>0.0</v>
      </c>
      <c r="F537" s="9">
        <v>0.0</v>
      </c>
      <c r="G537" s="9">
        <v>0.0</v>
      </c>
      <c r="H537" s="9">
        <v>0.0</v>
      </c>
      <c r="I537" s="9">
        <v>0.0</v>
      </c>
      <c r="J537" s="9">
        <v>0.0</v>
      </c>
      <c r="K537" s="9">
        <v>0.0</v>
      </c>
      <c r="L537" s="9">
        <v>0.0</v>
      </c>
      <c r="M537" s="17">
        <f t="shared" si="1"/>
        <v>0</v>
      </c>
      <c r="N537" s="24" t="str">
        <f t="array" ref="N537">if(isblank(A537),"",index(fish_lab_data!O:O,match(A537,fish_lab_data!C:C,0)))</f>
        <v>KB</v>
      </c>
      <c r="O537" s="24" t="str">
        <f t="array" ref="O537">index(fish_lab_data!Q:Q,match(A537,fish_lab_data!C:C,0))</f>
        <v>lab_motiles_cryo</v>
      </c>
      <c r="P537" s="24" t="str">
        <f t="array" ref="P537">if(and(iserror(index(sea_lice!G:G,match(A537,sea_lice!A:A,0))),M537=0),"NA",index(sea_lice!G:G,match(A537,sea_lice!A:A,0)))</f>
        <v>NA</v>
      </c>
      <c r="Q537" s="24">
        <f t="array" ref="Q537">if(isblank(A537),"",index(fish_lab_data!X:X,match(A537,fish_lab_data!C:C,0)))</f>
        <v>1261</v>
      </c>
    </row>
    <row r="538">
      <c r="A538" s="40" t="s">
        <v>1776</v>
      </c>
      <c r="B538" s="9">
        <v>0.0</v>
      </c>
      <c r="C538" s="9">
        <v>0.0</v>
      </c>
      <c r="D538" s="9">
        <v>0.0</v>
      </c>
      <c r="E538" s="9">
        <v>0.0</v>
      </c>
      <c r="F538" s="9">
        <v>0.0</v>
      </c>
      <c r="G538" s="9">
        <v>0.0</v>
      </c>
      <c r="H538" s="9">
        <v>0.0</v>
      </c>
      <c r="I538" s="9">
        <v>0.0</v>
      </c>
      <c r="J538" s="9">
        <v>0.0</v>
      </c>
      <c r="K538" s="9">
        <v>0.0</v>
      </c>
      <c r="L538" s="9">
        <v>0.0</v>
      </c>
      <c r="M538" s="17">
        <f t="shared" si="1"/>
        <v>0</v>
      </c>
      <c r="N538" s="24" t="str">
        <f t="array" ref="N538">if(isblank(A538),"",index(fish_lab_data!O:O,match(A538,fish_lab_data!C:C,0)))</f>
        <v>KB</v>
      </c>
      <c r="O538" s="24" t="str">
        <f t="array" ref="O538">index(fish_lab_data!Q:Q,match(A538,fish_lab_data!C:C,0))</f>
        <v>lab_motiles_cryo</v>
      </c>
      <c r="P538" s="24" t="str">
        <f t="array" ref="P538">if(and(iserror(index(sea_lice!G:G,match(A538,sea_lice!A:A,0))),M538=0),"NA",index(sea_lice!G:G,match(A538,sea_lice!A:A,0)))</f>
        <v>NA</v>
      </c>
      <c r="Q538" s="24">
        <f t="array" ref="Q538">if(isblank(A538),"",index(fish_lab_data!X:X,match(A538,fish_lab_data!C:C,0)))</f>
        <v>1262</v>
      </c>
    </row>
    <row r="539">
      <c r="A539" s="40" t="s">
        <v>1777</v>
      </c>
      <c r="B539" s="9">
        <v>0.0</v>
      </c>
      <c r="C539" s="9">
        <v>0.0</v>
      </c>
      <c r="D539" s="9">
        <v>0.0</v>
      </c>
      <c r="E539" s="9">
        <v>0.0</v>
      </c>
      <c r="F539" s="9">
        <v>0.0</v>
      </c>
      <c r="G539" s="9">
        <v>0.0</v>
      </c>
      <c r="H539" s="9">
        <v>0.0</v>
      </c>
      <c r="I539" s="9">
        <v>0.0</v>
      </c>
      <c r="J539" s="9">
        <v>0.0</v>
      </c>
      <c r="K539" s="9">
        <v>0.0</v>
      </c>
      <c r="L539" s="9">
        <v>0.0</v>
      </c>
      <c r="M539" s="17">
        <f t="shared" si="1"/>
        <v>0</v>
      </c>
      <c r="N539" s="24" t="str">
        <f t="array" ref="N539">if(isblank(A539),"",index(fish_lab_data!O:O,match(A539,fish_lab_data!C:C,0)))</f>
        <v>KB</v>
      </c>
      <c r="O539" s="24" t="str">
        <f t="array" ref="O539">index(fish_lab_data!Q:Q,match(A539,fish_lab_data!C:C,0))</f>
        <v>lab_motiles_cryo</v>
      </c>
      <c r="P539" s="24" t="str">
        <f t="array" ref="P539">if(and(iserror(index(sea_lice!G:G,match(A539,sea_lice!A:A,0))),M539=0),"NA",index(sea_lice!G:G,match(A539,sea_lice!A:A,0)))</f>
        <v>NA</v>
      </c>
      <c r="Q539" s="24">
        <f t="array" ref="Q539">if(isblank(A539),"",index(fish_lab_data!X:X,match(A539,fish_lab_data!C:C,0)))</f>
        <v>1263</v>
      </c>
    </row>
    <row r="540">
      <c r="A540" s="40" t="s">
        <v>1778</v>
      </c>
      <c r="B540" s="9">
        <v>0.0</v>
      </c>
      <c r="C540" s="9">
        <v>0.0</v>
      </c>
      <c r="D540" s="9">
        <v>0.0</v>
      </c>
      <c r="E540" s="9">
        <v>0.0</v>
      </c>
      <c r="F540" s="9">
        <v>0.0</v>
      </c>
      <c r="G540" s="9">
        <v>0.0</v>
      </c>
      <c r="H540" s="9">
        <v>0.0</v>
      </c>
      <c r="I540" s="9">
        <v>0.0</v>
      </c>
      <c r="J540" s="9">
        <v>0.0</v>
      </c>
      <c r="K540" s="9">
        <v>0.0</v>
      </c>
      <c r="L540" s="9">
        <v>0.0</v>
      </c>
      <c r="M540" s="17">
        <f t="shared" si="1"/>
        <v>0</v>
      </c>
      <c r="N540" s="24" t="str">
        <f t="array" ref="N540">if(isblank(A540),"",index(fish_lab_data!O:O,match(A540,fish_lab_data!C:C,0)))</f>
        <v>KB</v>
      </c>
      <c r="O540" s="24" t="str">
        <f t="array" ref="O540">index(fish_lab_data!Q:Q,match(A540,fish_lab_data!C:C,0))</f>
        <v>lab_motiles_cryo</v>
      </c>
      <c r="P540" s="24" t="str">
        <f t="array" ref="P540">if(and(iserror(index(sea_lice!G:G,match(A540,sea_lice!A:A,0))),M540=0),"NA",index(sea_lice!G:G,match(A540,sea_lice!A:A,0)))</f>
        <v>NA</v>
      </c>
      <c r="Q540" s="24">
        <f t="array" ref="Q540">if(isblank(A540),"",index(fish_lab_data!X:X,match(A540,fish_lab_data!C:C,0)))</f>
        <v>1264</v>
      </c>
    </row>
    <row r="541">
      <c r="A541" s="40" t="s">
        <v>1779</v>
      </c>
      <c r="B541" s="9">
        <v>0.0</v>
      </c>
      <c r="C541" s="9">
        <v>0.0</v>
      </c>
      <c r="D541" s="9">
        <v>0.0</v>
      </c>
      <c r="E541" s="9">
        <v>0.0</v>
      </c>
      <c r="F541" s="9">
        <v>0.0</v>
      </c>
      <c r="G541" s="9">
        <v>0.0</v>
      </c>
      <c r="H541" s="9">
        <v>0.0</v>
      </c>
      <c r="I541" s="9">
        <v>0.0</v>
      </c>
      <c r="J541" s="9">
        <v>0.0</v>
      </c>
      <c r="K541" s="9">
        <v>0.0</v>
      </c>
      <c r="L541" s="9">
        <v>0.0</v>
      </c>
      <c r="M541" s="17">
        <f t="shared" si="1"/>
        <v>0</v>
      </c>
      <c r="N541" s="24" t="str">
        <f t="array" ref="N541">if(isblank(A541),"",index(fish_lab_data!O:O,match(A541,fish_lab_data!C:C,0)))</f>
        <v>KB</v>
      </c>
      <c r="O541" s="24" t="str">
        <f t="array" ref="O541">index(fish_lab_data!Q:Q,match(A541,fish_lab_data!C:C,0))</f>
        <v>lab_motiles_cryo</v>
      </c>
      <c r="P541" s="24" t="str">
        <f t="array" ref="P541">if(and(iserror(index(sea_lice!G:G,match(A541,sea_lice!A:A,0))),M541=0),"NA",index(sea_lice!G:G,match(A541,sea_lice!A:A,0)))</f>
        <v>NA</v>
      </c>
      <c r="Q541" s="24">
        <f t="array" ref="Q541">if(isblank(A541),"",index(fish_lab_data!X:X,match(A541,fish_lab_data!C:C,0)))</f>
        <v>1265</v>
      </c>
    </row>
    <row r="542">
      <c r="A542" s="40" t="s">
        <v>1781</v>
      </c>
      <c r="B542" s="9">
        <v>0.0</v>
      </c>
      <c r="C542" s="9">
        <v>0.0</v>
      </c>
      <c r="D542" s="9">
        <v>0.0</v>
      </c>
      <c r="E542" s="9">
        <v>0.0</v>
      </c>
      <c r="F542" s="9">
        <v>0.0</v>
      </c>
      <c r="G542" s="9">
        <v>0.0</v>
      </c>
      <c r="H542" s="9">
        <v>0.0</v>
      </c>
      <c r="I542" s="9">
        <v>0.0</v>
      </c>
      <c r="J542" s="9">
        <v>0.0</v>
      </c>
      <c r="K542" s="9">
        <v>0.0</v>
      </c>
      <c r="L542" s="9">
        <v>0.0</v>
      </c>
      <c r="M542" s="17">
        <f t="shared" si="1"/>
        <v>0</v>
      </c>
      <c r="N542" s="24" t="str">
        <f t="array" ref="N542">if(isblank(A542),"",index(fish_lab_data!O:O,match(A542,fish_lab_data!C:C,0)))</f>
        <v>KB</v>
      </c>
      <c r="O542" s="24" t="str">
        <f t="array" ref="O542">index(fish_lab_data!Q:Q,match(A542,fish_lab_data!C:C,0))</f>
        <v>lab_motiles_cryo</v>
      </c>
      <c r="P542" s="24" t="str">
        <f t="array" ref="P542">if(and(iserror(index(sea_lice!G:G,match(A542,sea_lice!A:A,0))),M542=0),"NA",index(sea_lice!G:G,match(A542,sea_lice!A:A,0)))</f>
        <v>NA</v>
      </c>
      <c r="Q542" s="24">
        <f t="array" ref="Q542">if(isblank(A542),"",index(fish_lab_data!X:X,match(A542,fish_lab_data!C:C,0)))</f>
        <v>1266</v>
      </c>
    </row>
    <row r="543">
      <c r="A543" s="40" t="s">
        <v>1782</v>
      </c>
      <c r="B543" s="9">
        <v>0.0</v>
      </c>
      <c r="C543" s="9">
        <v>0.0</v>
      </c>
      <c r="D543" s="9">
        <v>0.0</v>
      </c>
      <c r="E543" s="9">
        <v>0.0</v>
      </c>
      <c r="F543" s="9">
        <v>0.0</v>
      </c>
      <c r="G543" s="9">
        <v>0.0</v>
      </c>
      <c r="H543" s="9">
        <v>0.0</v>
      </c>
      <c r="I543" s="9">
        <v>0.0</v>
      </c>
      <c r="J543" s="9">
        <v>0.0</v>
      </c>
      <c r="K543" s="9">
        <v>0.0</v>
      </c>
      <c r="L543" s="9">
        <v>0.0</v>
      </c>
      <c r="M543" s="17">
        <f t="shared" si="1"/>
        <v>0</v>
      </c>
      <c r="N543" s="24" t="str">
        <f t="array" ref="N543">if(isblank(A543),"",index(fish_lab_data!O:O,match(A543,fish_lab_data!C:C,0)))</f>
        <v>KB</v>
      </c>
      <c r="O543" s="24" t="str">
        <f t="array" ref="O543">index(fish_lab_data!Q:Q,match(A543,fish_lab_data!C:C,0))</f>
        <v>lab_motiles_cryo</v>
      </c>
      <c r="P543" s="24" t="str">
        <f t="array" ref="P543">if(and(iserror(index(sea_lice!G:G,match(A543,sea_lice!A:A,0))),M543=0),"NA",index(sea_lice!G:G,match(A543,sea_lice!A:A,0)))</f>
        <v>NA</v>
      </c>
      <c r="Q543" s="24">
        <f t="array" ref="Q543">if(isblank(A543),"",index(fish_lab_data!X:X,match(A543,fish_lab_data!C:C,0)))</f>
        <v>1267</v>
      </c>
    </row>
    <row r="544">
      <c r="A544" s="40" t="s">
        <v>1784</v>
      </c>
      <c r="B544" s="9">
        <v>0.0</v>
      </c>
      <c r="C544" s="9">
        <v>0.0</v>
      </c>
      <c r="D544" s="9">
        <v>0.0</v>
      </c>
      <c r="E544" s="9">
        <v>0.0</v>
      </c>
      <c r="F544" s="9">
        <v>0.0</v>
      </c>
      <c r="G544" s="9">
        <v>0.0</v>
      </c>
      <c r="H544" s="9">
        <v>0.0</v>
      </c>
      <c r="I544" s="9">
        <v>0.0</v>
      </c>
      <c r="J544" s="9">
        <v>0.0</v>
      </c>
      <c r="K544" s="9">
        <v>0.0</v>
      </c>
      <c r="L544" s="9">
        <v>0.0</v>
      </c>
      <c r="M544" s="17">
        <f t="shared" si="1"/>
        <v>0</v>
      </c>
      <c r="N544" s="24" t="str">
        <f t="array" ref="N544">if(isblank(A544),"",index(fish_lab_data!O:O,match(A544,fish_lab_data!C:C,0)))</f>
        <v>KB</v>
      </c>
      <c r="O544" s="24" t="str">
        <f t="array" ref="O544">index(fish_lab_data!Q:Q,match(A544,fish_lab_data!C:C,0))</f>
        <v>lab_motiles_cryo</v>
      </c>
      <c r="P544" s="24" t="str">
        <f t="array" ref="P544">if(and(iserror(index(sea_lice!G:G,match(A544,sea_lice!A:A,0))),M544=0),"NA",index(sea_lice!G:G,match(A544,sea_lice!A:A,0)))</f>
        <v>NA</v>
      </c>
      <c r="Q544" s="24">
        <f t="array" ref="Q544">if(isblank(A544),"",index(fish_lab_data!X:X,match(A544,fish_lab_data!C:C,0)))</f>
        <v>1268</v>
      </c>
    </row>
    <row r="545">
      <c r="A545" s="40" t="s">
        <v>1785</v>
      </c>
      <c r="B545" s="9">
        <v>0.0</v>
      </c>
      <c r="C545" s="9">
        <v>0.0</v>
      </c>
      <c r="D545" s="9">
        <v>0.0</v>
      </c>
      <c r="E545" s="9">
        <v>0.0</v>
      </c>
      <c r="F545" s="9">
        <v>0.0</v>
      </c>
      <c r="G545" s="9">
        <v>0.0</v>
      </c>
      <c r="H545" s="9">
        <v>0.0</v>
      </c>
      <c r="I545" s="9">
        <v>0.0</v>
      </c>
      <c r="J545" s="9">
        <v>0.0</v>
      </c>
      <c r="K545" s="9">
        <v>0.0</v>
      </c>
      <c r="L545" s="9">
        <v>0.0</v>
      </c>
      <c r="M545" s="17">
        <f t="shared" si="1"/>
        <v>0</v>
      </c>
      <c r="N545" s="24" t="str">
        <f t="array" ref="N545">if(isblank(A545),"",index(fish_lab_data!O:O,match(A545,fish_lab_data!C:C,0)))</f>
        <v>KB</v>
      </c>
      <c r="O545" s="24" t="str">
        <f t="array" ref="O545">index(fish_lab_data!Q:Q,match(A545,fish_lab_data!C:C,0))</f>
        <v>lab_motiles_etoh</v>
      </c>
      <c r="P545" s="24" t="str">
        <f t="array" ref="P545">if(and(iserror(index(sea_lice!G:G,match(A545,sea_lice!A:A,0))),M545=0),"NA",index(sea_lice!G:G,match(A545,sea_lice!A:A,0)))</f>
        <v>NA</v>
      </c>
      <c r="Q545" s="24">
        <f t="array" ref="Q545">if(isblank(A545),"",index(fish_lab_data!X:X,match(A545,fish_lab_data!C:C,0)))</f>
        <v>1269</v>
      </c>
    </row>
    <row r="546">
      <c r="A546" s="40" t="s">
        <v>1786</v>
      </c>
      <c r="B546" s="9">
        <v>0.0</v>
      </c>
      <c r="C546" s="9">
        <v>0.0</v>
      </c>
      <c r="D546" s="9">
        <v>0.0</v>
      </c>
      <c r="E546" s="9">
        <v>0.0</v>
      </c>
      <c r="F546" s="9">
        <v>0.0</v>
      </c>
      <c r="G546" s="9">
        <v>0.0</v>
      </c>
      <c r="H546" s="9">
        <v>0.0</v>
      </c>
      <c r="I546" s="9">
        <v>0.0</v>
      </c>
      <c r="J546" s="9">
        <v>0.0</v>
      </c>
      <c r="K546" s="9">
        <v>0.0</v>
      </c>
      <c r="L546" s="9">
        <v>0.0</v>
      </c>
      <c r="M546" s="17">
        <f t="shared" si="1"/>
        <v>0</v>
      </c>
      <c r="N546" s="24" t="str">
        <f t="array" ref="N546">if(isblank(A546),"",index(fish_lab_data!O:O,match(A546,fish_lab_data!C:C,0)))</f>
        <v>KB</v>
      </c>
      <c r="O546" s="24" t="str">
        <f t="array" ref="O546">index(fish_lab_data!Q:Q,match(A546,fish_lab_data!C:C,0))</f>
        <v>lab_motiles_etoh</v>
      </c>
      <c r="P546" s="24" t="str">
        <f t="array" ref="P546">if(and(iserror(index(sea_lice!G:G,match(A546,sea_lice!A:A,0))),M546=0),"NA",index(sea_lice!G:G,match(A546,sea_lice!A:A,0)))</f>
        <v>NA</v>
      </c>
      <c r="Q546" s="24">
        <f t="array" ref="Q546">if(isblank(A546),"",index(fish_lab_data!X:X,match(A546,fish_lab_data!C:C,0)))</f>
        <v>1270</v>
      </c>
    </row>
    <row r="547">
      <c r="A547" s="40" t="s">
        <v>1787</v>
      </c>
      <c r="B547" s="9">
        <v>0.0</v>
      </c>
      <c r="C547" s="9">
        <v>0.0</v>
      </c>
      <c r="D547" s="9">
        <v>0.0</v>
      </c>
      <c r="E547" s="9">
        <v>0.0</v>
      </c>
      <c r="F547" s="9">
        <v>0.0</v>
      </c>
      <c r="G547" s="9">
        <v>0.0</v>
      </c>
      <c r="H547" s="9">
        <v>0.0</v>
      </c>
      <c r="I547" s="9">
        <v>0.0</v>
      </c>
      <c r="J547" s="9">
        <v>0.0</v>
      </c>
      <c r="K547" s="9">
        <v>0.0</v>
      </c>
      <c r="L547" s="9">
        <v>0.0</v>
      </c>
      <c r="M547" s="17">
        <f t="shared" si="1"/>
        <v>0</v>
      </c>
      <c r="N547" s="24" t="str">
        <f t="array" ref="N547">if(isblank(A547),"",index(fish_lab_data!O:O,match(A547,fish_lab_data!C:C,0)))</f>
        <v>KB</v>
      </c>
      <c r="O547" s="24" t="str">
        <f t="array" ref="O547">index(fish_lab_data!Q:Q,match(A547,fish_lab_data!C:C,0))</f>
        <v>lab_motiles_etoh</v>
      </c>
      <c r="P547" s="24" t="str">
        <f t="array" ref="P547">if(and(iserror(index(sea_lice!G:G,match(A547,sea_lice!A:A,0))),M547=0),"NA",index(sea_lice!G:G,match(A547,sea_lice!A:A,0)))</f>
        <v>NA</v>
      </c>
      <c r="Q547" s="24">
        <f t="array" ref="Q547">if(isblank(A547),"",index(fish_lab_data!X:X,match(A547,fish_lab_data!C:C,0)))</f>
        <v>1271</v>
      </c>
    </row>
    <row r="548">
      <c r="A548" s="40" t="s">
        <v>1788</v>
      </c>
      <c r="B548" s="9">
        <v>0.0</v>
      </c>
      <c r="C548" s="9">
        <v>0.0</v>
      </c>
      <c r="D548" s="9">
        <v>0.0</v>
      </c>
      <c r="E548" s="9">
        <v>0.0</v>
      </c>
      <c r="F548" s="9">
        <v>0.0</v>
      </c>
      <c r="G548" s="9">
        <v>0.0</v>
      </c>
      <c r="H548" s="9">
        <v>0.0</v>
      </c>
      <c r="I548" s="9">
        <v>0.0</v>
      </c>
      <c r="J548" s="9">
        <v>0.0</v>
      </c>
      <c r="K548" s="9">
        <v>0.0</v>
      </c>
      <c r="L548" s="9">
        <v>0.0</v>
      </c>
      <c r="M548" s="17">
        <f t="shared" si="1"/>
        <v>0</v>
      </c>
      <c r="N548" s="24" t="str">
        <f t="array" ref="N548">if(isblank(A548),"",index(fish_lab_data!O:O,match(A548,fish_lab_data!C:C,0)))</f>
        <v>KB</v>
      </c>
      <c r="O548" s="24" t="str">
        <f t="array" ref="O548">index(fish_lab_data!Q:Q,match(A548,fish_lab_data!C:C,0))</f>
        <v>lab_motiles_etoh</v>
      </c>
      <c r="P548" s="24" t="str">
        <f t="array" ref="P548">if(and(iserror(index(sea_lice!G:G,match(A548,sea_lice!A:A,0))),M548=0),"NA",index(sea_lice!G:G,match(A548,sea_lice!A:A,0)))</f>
        <v>NA</v>
      </c>
      <c r="Q548" s="24">
        <f t="array" ref="Q548">if(isblank(A548),"",index(fish_lab_data!X:X,match(A548,fish_lab_data!C:C,0)))</f>
        <v>1272</v>
      </c>
    </row>
    <row r="549">
      <c r="A549" s="40" t="s">
        <v>1790</v>
      </c>
      <c r="B549" s="9">
        <v>0.0</v>
      </c>
      <c r="C549" s="9">
        <v>0.0</v>
      </c>
      <c r="D549" s="9">
        <v>0.0</v>
      </c>
      <c r="E549" s="9">
        <v>0.0</v>
      </c>
      <c r="F549" s="9">
        <v>0.0</v>
      </c>
      <c r="G549" s="9">
        <v>0.0</v>
      </c>
      <c r="H549" s="9">
        <v>0.0</v>
      </c>
      <c r="I549" s="9">
        <v>0.0</v>
      </c>
      <c r="J549" s="9">
        <v>0.0</v>
      </c>
      <c r="K549" s="9">
        <v>0.0</v>
      </c>
      <c r="L549" s="9">
        <v>0.0</v>
      </c>
      <c r="M549" s="17">
        <f t="shared" si="1"/>
        <v>0</v>
      </c>
      <c r="N549" s="24" t="str">
        <f t="array" ref="N549">if(isblank(A549),"",index(fish_lab_data!O:O,match(A549,fish_lab_data!C:C,0)))</f>
        <v>KB</v>
      </c>
      <c r="O549" s="24" t="str">
        <f t="array" ref="O549">index(fish_lab_data!Q:Q,match(A549,fish_lab_data!C:C,0))</f>
        <v>lab_motiles_etoh</v>
      </c>
      <c r="P549" s="24" t="str">
        <f t="array" ref="P549">if(and(iserror(index(sea_lice!G:G,match(A549,sea_lice!A:A,0))),M549=0),"NA",index(sea_lice!G:G,match(A549,sea_lice!A:A,0)))</f>
        <v>NA</v>
      </c>
      <c r="Q549" s="24">
        <f t="array" ref="Q549">if(isblank(A549),"",index(fish_lab_data!X:X,match(A549,fish_lab_data!C:C,0)))</f>
        <v>1273</v>
      </c>
    </row>
    <row r="550">
      <c r="A550" s="40" t="s">
        <v>1791</v>
      </c>
      <c r="B550" s="9">
        <v>0.0</v>
      </c>
      <c r="C550" s="9">
        <v>0.0</v>
      </c>
      <c r="D550" s="9">
        <v>0.0</v>
      </c>
      <c r="E550" s="9">
        <v>0.0</v>
      </c>
      <c r="F550" s="9">
        <v>0.0</v>
      </c>
      <c r="G550" s="9">
        <v>0.0</v>
      </c>
      <c r="H550" s="9">
        <v>0.0</v>
      </c>
      <c r="I550" s="9">
        <v>0.0</v>
      </c>
      <c r="J550" s="9">
        <v>0.0</v>
      </c>
      <c r="K550" s="9">
        <v>0.0</v>
      </c>
      <c r="L550" s="9">
        <v>0.0</v>
      </c>
      <c r="M550" s="17">
        <f t="shared" si="1"/>
        <v>0</v>
      </c>
      <c r="N550" s="24" t="str">
        <f t="array" ref="N550">if(isblank(A550),"",index(fish_lab_data!O:O,match(A550,fish_lab_data!C:C,0)))</f>
        <v>KB</v>
      </c>
      <c r="O550" s="24" t="str">
        <f t="array" ref="O550">index(fish_lab_data!Q:Q,match(A550,fish_lab_data!C:C,0))</f>
        <v>lab_motiles_etoh</v>
      </c>
      <c r="P550" s="24" t="str">
        <f t="array" ref="P550">if(and(iserror(index(sea_lice!G:G,match(A550,sea_lice!A:A,0))),M550=0),"NA",index(sea_lice!G:G,match(A550,sea_lice!A:A,0)))</f>
        <v>NA</v>
      </c>
      <c r="Q550" s="24">
        <f t="array" ref="Q550">if(isblank(A550),"",index(fish_lab_data!X:X,match(A550,fish_lab_data!C:C,0)))</f>
        <v>1274</v>
      </c>
    </row>
    <row r="551">
      <c r="A551" s="40" t="s">
        <v>1792</v>
      </c>
      <c r="B551" s="9">
        <v>0.0</v>
      </c>
      <c r="C551" s="9">
        <v>0.0</v>
      </c>
      <c r="D551" s="9">
        <v>0.0</v>
      </c>
      <c r="E551" s="9">
        <v>2.0</v>
      </c>
      <c r="F551" s="9">
        <v>0.0</v>
      </c>
      <c r="G551" s="9">
        <v>0.0</v>
      </c>
      <c r="H551" s="9">
        <v>0.0</v>
      </c>
      <c r="I551" s="9">
        <v>0.0</v>
      </c>
      <c r="J551" s="9">
        <v>0.0</v>
      </c>
      <c r="K551" s="9">
        <v>0.0</v>
      </c>
      <c r="L551" s="9">
        <v>0.0</v>
      </c>
      <c r="M551" s="17">
        <f t="shared" si="1"/>
        <v>2</v>
      </c>
      <c r="N551" s="24" t="str">
        <f t="array" ref="N551">if(isblank(A551),"",index(fish_lab_data!O:O,match(A551,fish_lab_data!C:C,0)))</f>
        <v>KB</v>
      </c>
      <c r="O551" s="24" t="str">
        <f t="array" ref="O551">index(fish_lab_data!Q:Q,match(A551,fish_lab_data!C:C,0))</f>
        <v>lab_motiles_etoh</v>
      </c>
      <c r="P551" s="24" t="str">
        <f t="array" ref="P551">if(and(iserror(index(sea_lice!G:G,match(A551,sea_lice!A:A,0))),M551=0),"NA",index(sea_lice!G:G,match(A551,sea_lice!A:A,0)))</f>
        <v>BSL8-25</v>
      </c>
      <c r="Q551" s="24">
        <f t="array" ref="Q551">if(isblank(A551),"",index(fish_lab_data!X:X,match(A551,fish_lab_data!C:C,0)))</f>
        <v>1275</v>
      </c>
    </row>
    <row r="552">
      <c r="A552" s="40" t="s">
        <v>1793</v>
      </c>
      <c r="B552" s="9">
        <v>0.0</v>
      </c>
      <c r="C552" s="9">
        <v>0.0</v>
      </c>
      <c r="D552" s="9">
        <v>0.0</v>
      </c>
      <c r="E552" s="9">
        <v>0.0</v>
      </c>
      <c r="F552" s="9">
        <v>0.0</v>
      </c>
      <c r="G552" s="9">
        <v>0.0</v>
      </c>
      <c r="H552" s="9">
        <v>0.0</v>
      </c>
      <c r="I552" s="9">
        <v>0.0</v>
      </c>
      <c r="J552" s="9">
        <v>0.0</v>
      </c>
      <c r="K552" s="9">
        <v>0.0</v>
      </c>
      <c r="L552" s="9">
        <v>0.0</v>
      </c>
      <c r="M552" s="17">
        <f t="shared" si="1"/>
        <v>0</v>
      </c>
      <c r="N552" s="24" t="str">
        <f t="array" ref="N552">if(isblank(A552),"",index(fish_lab_data!O:O,match(A552,fish_lab_data!C:C,0)))</f>
        <v>KB</v>
      </c>
      <c r="O552" s="24" t="str">
        <f t="array" ref="O552">index(fish_lab_data!Q:Q,match(A552,fish_lab_data!C:C,0))</f>
        <v>lab_motiles_etoh</v>
      </c>
      <c r="P552" s="24" t="str">
        <f t="array" ref="P552">if(and(iserror(index(sea_lice!G:G,match(A552,sea_lice!A:A,0))),M552=0),"NA",index(sea_lice!G:G,match(A552,sea_lice!A:A,0)))</f>
        <v>NA</v>
      </c>
      <c r="Q552" s="24">
        <f t="array" ref="Q552">if(isblank(A552),"",index(fish_lab_data!X:X,match(A552,fish_lab_data!C:C,0)))</f>
        <v>1276</v>
      </c>
    </row>
    <row r="553">
      <c r="A553" s="40" t="s">
        <v>1795</v>
      </c>
      <c r="B553" s="9">
        <v>0.0</v>
      </c>
      <c r="C553" s="9">
        <v>0.0</v>
      </c>
      <c r="D553" s="9">
        <v>0.0</v>
      </c>
      <c r="E553" s="9">
        <v>2.0</v>
      </c>
      <c r="F553" s="9">
        <v>0.0</v>
      </c>
      <c r="G553" s="9">
        <v>0.0</v>
      </c>
      <c r="H553" s="9">
        <v>0.0</v>
      </c>
      <c r="I553" s="9">
        <v>0.0</v>
      </c>
      <c r="J553" s="9">
        <v>0.0</v>
      </c>
      <c r="K553" s="9">
        <v>0.0</v>
      </c>
      <c r="L553" s="9">
        <v>0.0</v>
      </c>
      <c r="M553" s="17">
        <f t="shared" si="1"/>
        <v>2</v>
      </c>
      <c r="N553" s="24" t="str">
        <f t="array" ref="N553">if(isblank(A553),"",index(fish_lab_data!O:O,match(A553,fish_lab_data!C:C,0)))</f>
        <v>KB</v>
      </c>
      <c r="O553" s="24" t="str">
        <f t="array" ref="O553">index(fish_lab_data!Q:Q,match(A553,fish_lab_data!C:C,0))</f>
        <v>lab_motiles_etoh</v>
      </c>
      <c r="P553" s="24" t="str">
        <f t="array" ref="P553">if(and(iserror(index(sea_lice!G:G,match(A553,sea_lice!A:A,0))),M553=0),"NA",index(sea_lice!G:G,match(A553,sea_lice!A:A,0)))</f>
        <v>BSL8-26</v>
      </c>
      <c r="Q553" s="24">
        <f t="array" ref="Q553">if(isblank(A553),"",index(fish_lab_data!X:X,match(A553,fish_lab_data!C:C,0)))</f>
        <v>1277</v>
      </c>
    </row>
    <row r="554">
      <c r="A554" s="40" t="s">
        <v>1796</v>
      </c>
      <c r="B554" s="9">
        <v>0.0</v>
      </c>
      <c r="C554" s="9">
        <v>0.0</v>
      </c>
      <c r="D554" s="9">
        <v>0.0</v>
      </c>
      <c r="E554" s="9">
        <v>1.0</v>
      </c>
      <c r="F554" s="9">
        <v>0.0</v>
      </c>
      <c r="G554" s="9">
        <v>0.0</v>
      </c>
      <c r="H554" s="9">
        <v>0.0</v>
      </c>
      <c r="I554" s="9">
        <v>0.0</v>
      </c>
      <c r="J554" s="9">
        <v>0.0</v>
      </c>
      <c r="K554" s="9">
        <v>0.0</v>
      </c>
      <c r="L554" s="9">
        <v>0.0</v>
      </c>
      <c r="M554" s="17">
        <f t="shared" si="1"/>
        <v>1</v>
      </c>
      <c r="N554" s="24" t="str">
        <f t="array" ref="N554">if(isblank(A554),"",index(fish_lab_data!O:O,match(A554,fish_lab_data!C:C,0)))</f>
        <v>KB</v>
      </c>
      <c r="O554" s="24" t="str">
        <f t="array" ref="O554">index(fish_lab_data!Q:Q,match(A554,fish_lab_data!C:C,0))</f>
        <v>lab_motiles_etoh</v>
      </c>
      <c r="P554" s="24" t="str">
        <f t="array" ref="P554">if(and(iserror(index(sea_lice!G:G,match(A554,sea_lice!A:A,0))),M554=0),"NA",index(sea_lice!G:G,match(A554,sea_lice!A:A,0)))</f>
        <v>BSL8-27</v>
      </c>
      <c r="Q554" s="24">
        <f t="array" ref="Q554">if(isblank(A554),"",index(fish_lab_data!X:X,match(A554,fish_lab_data!C:C,0)))</f>
        <v>1278</v>
      </c>
    </row>
    <row r="555">
      <c r="A555" s="40" t="s">
        <v>1797</v>
      </c>
      <c r="B555" s="25">
        <v>0.0</v>
      </c>
      <c r="C555" s="25">
        <v>0.0</v>
      </c>
      <c r="D555" s="25">
        <v>0.0</v>
      </c>
      <c r="E555" s="25">
        <v>0.0</v>
      </c>
      <c r="F555" s="25">
        <v>0.0</v>
      </c>
      <c r="G555" s="25">
        <v>0.0</v>
      </c>
      <c r="H555" s="25">
        <v>0.0</v>
      </c>
      <c r="I555" s="25">
        <v>0.0</v>
      </c>
      <c r="J555" s="25">
        <v>0.0</v>
      </c>
      <c r="K555" s="25">
        <v>0.0</v>
      </c>
      <c r="L555" s="25">
        <v>0.0</v>
      </c>
      <c r="M555" s="17">
        <f t="shared" si="1"/>
        <v>0</v>
      </c>
      <c r="N555" s="24" t="str">
        <f t="array" ref="N555">if(isblank(A555),"",index(fish_lab_data!O:O,match(A555,fish_lab_data!C:C,0)))</f>
        <v>JG</v>
      </c>
      <c r="O555" s="24" t="str">
        <f t="array" ref="O555">index(fish_lab_data!Q:Q,match(A555,fish_lab_data!C:C,0))</f>
        <v>lab_motiles_etoh</v>
      </c>
      <c r="P555" s="24" t="str">
        <f t="array" ref="P555">if(and(iserror(index(sea_lice!G:G,match(A555,sea_lice!A:A,0))),M555=0),"NA",index(sea_lice!G:G,match(A555,sea_lice!A:A,0)))</f>
        <v>NA</v>
      </c>
      <c r="Q555" s="24">
        <f t="array" ref="Q555">if(isblank(A555),"",index(fish_lab_data!X:X,match(A555,fish_lab_data!C:C,0)))</f>
        <v>1279</v>
      </c>
    </row>
    <row r="556">
      <c r="A556" s="40" t="s">
        <v>1798</v>
      </c>
      <c r="B556" s="25">
        <v>0.0</v>
      </c>
      <c r="C556" s="25">
        <v>0.0</v>
      </c>
      <c r="D556" s="9">
        <v>1.0</v>
      </c>
      <c r="E556" s="25">
        <v>0.0</v>
      </c>
      <c r="F556" s="25">
        <v>0.0</v>
      </c>
      <c r="G556" s="25">
        <v>0.0</v>
      </c>
      <c r="H556" s="25">
        <v>0.0</v>
      </c>
      <c r="I556" s="25">
        <v>0.0</v>
      </c>
      <c r="J556" s="25">
        <v>0.0</v>
      </c>
      <c r="K556" s="25">
        <v>0.0</v>
      </c>
      <c r="L556" s="25">
        <v>0.0</v>
      </c>
      <c r="M556" s="17">
        <f t="shared" si="1"/>
        <v>1</v>
      </c>
      <c r="N556" s="24" t="str">
        <f t="array" ref="N556">if(isblank(A556),"",index(fish_lab_data!O:O,match(A556,fish_lab_data!C:C,0)))</f>
        <v>JG</v>
      </c>
      <c r="O556" s="24" t="str">
        <f t="array" ref="O556">index(fish_lab_data!Q:Q,match(A556,fish_lab_data!C:C,0))</f>
        <v>lab_motiles_etoh</v>
      </c>
      <c r="P556" s="24" t="str">
        <f t="array" ref="P556">if(and(iserror(index(sea_lice!G:G,match(A556,sea_lice!A:A,0))),M556=0),"NA",index(sea_lice!G:G,match(A556,sea_lice!A:A,0)))</f>
        <v>BSL8-17</v>
      </c>
      <c r="Q556" s="24">
        <f t="array" ref="Q556">if(isblank(A556),"",index(fish_lab_data!X:X,match(A556,fish_lab_data!C:C,0)))</f>
        <v>1280</v>
      </c>
    </row>
    <row r="557">
      <c r="A557" s="40" t="s">
        <v>1799</v>
      </c>
      <c r="B557" s="25">
        <v>0.0</v>
      </c>
      <c r="C557" s="25">
        <v>0.0</v>
      </c>
      <c r="D557" s="25">
        <v>0.0</v>
      </c>
      <c r="E557" s="25">
        <v>0.0</v>
      </c>
      <c r="F557" s="25">
        <v>0.0</v>
      </c>
      <c r="G557" s="25">
        <v>0.0</v>
      </c>
      <c r="H557" s="25">
        <v>0.0</v>
      </c>
      <c r="I557" s="25">
        <v>0.0</v>
      </c>
      <c r="J557" s="25">
        <v>0.0</v>
      </c>
      <c r="K557" s="25">
        <v>0.0</v>
      </c>
      <c r="L557" s="25">
        <v>0.0</v>
      </c>
      <c r="M557" s="17">
        <f t="shared" si="1"/>
        <v>0</v>
      </c>
      <c r="N557" s="24" t="str">
        <f t="array" ref="N557">if(isblank(A557),"",index(fish_lab_data!O:O,match(A557,fish_lab_data!C:C,0)))</f>
        <v>JG</v>
      </c>
      <c r="O557" s="24" t="str">
        <f t="array" ref="O557">index(fish_lab_data!Q:Q,match(A557,fish_lab_data!C:C,0))</f>
        <v>lab_motiles_etoh</v>
      </c>
      <c r="P557" s="24" t="str">
        <f t="array" ref="P557">if(and(iserror(index(sea_lice!G:G,match(A557,sea_lice!A:A,0))),M557=0),"NA",index(sea_lice!G:G,match(A557,sea_lice!A:A,0)))</f>
        <v>NA</v>
      </c>
      <c r="Q557" s="24">
        <f t="array" ref="Q557">if(isblank(A557),"",index(fish_lab_data!X:X,match(A557,fish_lab_data!C:C,0)))</f>
        <v>1281</v>
      </c>
    </row>
    <row r="558">
      <c r="A558" s="40" t="s">
        <v>1801</v>
      </c>
      <c r="B558" s="25">
        <v>0.0</v>
      </c>
      <c r="C558" s="25">
        <v>0.0</v>
      </c>
      <c r="D558" s="25">
        <v>0.0</v>
      </c>
      <c r="E558" s="9">
        <v>1.0</v>
      </c>
      <c r="F558" s="25">
        <v>0.0</v>
      </c>
      <c r="G558" s="25">
        <v>0.0</v>
      </c>
      <c r="H558" s="25">
        <v>0.0</v>
      </c>
      <c r="I558" s="25">
        <v>0.0</v>
      </c>
      <c r="J558" s="25">
        <v>0.0</v>
      </c>
      <c r="K558" s="25">
        <v>0.0</v>
      </c>
      <c r="L558" s="25">
        <v>0.0</v>
      </c>
      <c r="M558" s="17">
        <f t="shared" si="1"/>
        <v>1</v>
      </c>
      <c r="N558" s="24" t="str">
        <f t="array" ref="N558">if(isblank(A558),"",index(fish_lab_data!O:O,match(A558,fish_lab_data!C:C,0)))</f>
        <v>JG</v>
      </c>
      <c r="O558" s="24" t="str">
        <f t="array" ref="O558">index(fish_lab_data!Q:Q,match(A558,fish_lab_data!C:C,0))</f>
        <v>lab_motiles_etoh</v>
      </c>
      <c r="P558" s="24" t="str">
        <f t="array" ref="P558">if(and(iserror(index(sea_lice!G:G,match(A558,sea_lice!A:A,0))),M558=0),"NA",index(sea_lice!G:G,match(A558,sea_lice!A:A,0)))</f>
        <v>BSL8-18</v>
      </c>
      <c r="Q558" s="24">
        <f t="array" ref="Q558">if(isblank(A558),"",index(fish_lab_data!X:X,match(A558,fish_lab_data!C:C,0)))</f>
        <v>1282</v>
      </c>
    </row>
    <row r="559">
      <c r="A559" s="40" t="s">
        <v>1802</v>
      </c>
      <c r="B559" s="25">
        <v>0.0</v>
      </c>
      <c r="C559" s="25">
        <v>0.0</v>
      </c>
      <c r="D559" s="25">
        <v>0.0</v>
      </c>
      <c r="E559" s="25">
        <v>0.0</v>
      </c>
      <c r="F559" s="25">
        <v>0.0</v>
      </c>
      <c r="G559" s="25">
        <v>0.0</v>
      </c>
      <c r="H559" s="25">
        <v>0.0</v>
      </c>
      <c r="I559" s="25">
        <v>0.0</v>
      </c>
      <c r="J559" s="25">
        <v>0.0</v>
      </c>
      <c r="K559" s="25">
        <v>0.0</v>
      </c>
      <c r="L559" s="25">
        <v>0.0</v>
      </c>
      <c r="M559" s="17">
        <f t="shared" si="1"/>
        <v>0</v>
      </c>
      <c r="N559" s="24" t="str">
        <f t="array" ref="N559">if(isblank(A559),"",index(fish_lab_data!O:O,match(A559,fish_lab_data!C:C,0)))</f>
        <v>JG</v>
      </c>
      <c r="O559" s="24" t="str">
        <f t="array" ref="O559">index(fish_lab_data!Q:Q,match(A559,fish_lab_data!C:C,0))</f>
        <v>lab_motiles_etoh</v>
      </c>
      <c r="P559" s="24" t="str">
        <f t="array" ref="P559">if(and(iserror(index(sea_lice!G:G,match(A559,sea_lice!A:A,0))),M559=0),"NA",index(sea_lice!G:G,match(A559,sea_lice!A:A,0)))</f>
        <v>NA</v>
      </c>
      <c r="Q559" s="24">
        <f t="array" ref="Q559">if(isblank(A559),"",index(fish_lab_data!X:X,match(A559,fish_lab_data!C:C,0)))</f>
        <v>1283</v>
      </c>
    </row>
    <row r="560">
      <c r="A560" s="40" t="s">
        <v>1803</v>
      </c>
      <c r="B560" s="25">
        <v>0.0</v>
      </c>
      <c r="C560" s="25">
        <v>0.0</v>
      </c>
      <c r="D560" s="25">
        <v>0.0</v>
      </c>
      <c r="E560" s="25">
        <v>0.0</v>
      </c>
      <c r="F560" s="25">
        <v>0.0</v>
      </c>
      <c r="G560" s="25">
        <v>0.0</v>
      </c>
      <c r="H560" s="25">
        <v>0.0</v>
      </c>
      <c r="I560" s="25">
        <v>0.0</v>
      </c>
      <c r="J560" s="25">
        <v>0.0</v>
      </c>
      <c r="K560" s="25">
        <v>0.0</v>
      </c>
      <c r="L560" s="25">
        <v>0.0</v>
      </c>
      <c r="M560" s="17">
        <f t="shared" si="1"/>
        <v>0</v>
      </c>
      <c r="N560" s="24" t="str">
        <f t="array" ref="N560">if(isblank(A560),"",index(fish_lab_data!O:O,match(A560,fish_lab_data!C:C,0)))</f>
        <v>JG</v>
      </c>
      <c r="O560" s="24" t="str">
        <f t="array" ref="O560">index(fish_lab_data!Q:Q,match(A560,fish_lab_data!C:C,0))</f>
        <v>lab_motiles_etoh</v>
      </c>
      <c r="P560" s="24" t="str">
        <f t="array" ref="P560">if(and(iserror(index(sea_lice!G:G,match(A560,sea_lice!A:A,0))),M560=0),"NA",index(sea_lice!G:G,match(A560,sea_lice!A:A,0)))</f>
        <v>NA</v>
      </c>
      <c r="Q560" s="24">
        <f t="array" ref="Q560">if(isblank(A560),"",index(fish_lab_data!X:X,match(A560,fish_lab_data!C:C,0)))</f>
        <v>1284</v>
      </c>
    </row>
    <row r="561">
      <c r="A561" s="40" t="s">
        <v>1804</v>
      </c>
      <c r="B561" s="25">
        <v>0.0</v>
      </c>
      <c r="C561" s="25">
        <v>0.0</v>
      </c>
      <c r="D561" s="25">
        <v>0.0</v>
      </c>
      <c r="E561" s="25">
        <v>0.0</v>
      </c>
      <c r="F561" s="25">
        <v>0.0</v>
      </c>
      <c r="G561" s="25">
        <v>0.0</v>
      </c>
      <c r="H561" s="25">
        <v>0.0</v>
      </c>
      <c r="I561" s="25">
        <v>0.0</v>
      </c>
      <c r="J561" s="25">
        <v>0.0</v>
      </c>
      <c r="K561" s="25">
        <v>0.0</v>
      </c>
      <c r="L561" s="25">
        <v>0.0</v>
      </c>
      <c r="M561" s="17">
        <f t="shared" si="1"/>
        <v>0</v>
      </c>
      <c r="N561" s="24" t="str">
        <f t="array" ref="N561">if(isblank(A561),"",index(fish_lab_data!O:O,match(A561,fish_lab_data!C:C,0)))</f>
        <v>JG</v>
      </c>
      <c r="O561" s="24" t="str">
        <f t="array" ref="O561">index(fish_lab_data!Q:Q,match(A561,fish_lab_data!C:C,0))</f>
        <v>lab_motiles_etoh</v>
      </c>
      <c r="P561" s="24" t="str">
        <f t="array" ref="P561">if(and(iserror(index(sea_lice!G:G,match(A561,sea_lice!A:A,0))),M561=0),"NA",index(sea_lice!G:G,match(A561,sea_lice!A:A,0)))</f>
        <v>NA</v>
      </c>
      <c r="Q561" s="24">
        <f t="array" ref="Q561">if(isblank(A561),"",index(fish_lab_data!X:X,match(A561,fish_lab_data!C:C,0)))</f>
        <v>1285</v>
      </c>
    </row>
    <row r="562">
      <c r="A562" s="40" t="s">
        <v>1805</v>
      </c>
      <c r="B562" s="25">
        <v>0.0</v>
      </c>
      <c r="C562" s="25">
        <v>0.0</v>
      </c>
      <c r="D562" s="9">
        <v>1.0</v>
      </c>
      <c r="E562" s="25">
        <v>0.0</v>
      </c>
      <c r="F562" s="25">
        <v>0.0</v>
      </c>
      <c r="G562" s="25">
        <v>0.0</v>
      </c>
      <c r="H562" s="25">
        <v>0.0</v>
      </c>
      <c r="I562" s="25">
        <v>0.0</v>
      </c>
      <c r="J562" s="25">
        <v>0.0</v>
      </c>
      <c r="K562" s="25">
        <v>0.0</v>
      </c>
      <c r="L562" s="25">
        <v>0.0</v>
      </c>
      <c r="M562" s="17">
        <f t="shared" si="1"/>
        <v>1</v>
      </c>
      <c r="N562" s="24" t="str">
        <f t="array" ref="N562">if(isblank(A562),"",index(fish_lab_data!O:O,match(A562,fish_lab_data!C:C,0)))</f>
        <v>JG</v>
      </c>
      <c r="O562" s="24" t="str">
        <f t="array" ref="O562">index(fish_lab_data!Q:Q,match(A562,fish_lab_data!C:C,0))</f>
        <v>lab_motiles_etoh</v>
      </c>
      <c r="P562" s="24" t="str">
        <f t="array" ref="P562">if(and(iserror(index(sea_lice!G:G,match(A562,sea_lice!A:A,0))),M562=0),"NA",index(sea_lice!G:G,match(A562,sea_lice!A:A,0)))</f>
        <v>BSL8-19</v>
      </c>
      <c r="Q562" s="24">
        <f t="array" ref="Q562">if(isblank(A562),"",index(fish_lab_data!X:X,match(A562,fish_lab_data!C:C,0)))</f>
        <v>1286</v>
      </c>
    </row>
    <row r="563">
      <c r="A563" s="40" t="s">
        <v>1806</v>
      </c>
      <c r="B563" s="25">
        <v>0.0</v>
      </c>
      <c r="C563" s="25">
        <v>0.0</v>
      </c>
      <c r="D563" s="25">
        <v>0.0</v>
      </c>
      <c r="E563" s="9">
        <v>2.0</v>
      </c>
      <c r="F563" s="25">
        <v>0.0</v>
      </c>
      <c r="G563" s="25">
        <v>0.0</v>
      </c>
      <c r="H563" s="25">
        <v>0.0</v>
      </c>
      <c r="I563" s="25">
        <v>0.0</v>
      </c>
      <c r="J563" s="25">
        <v>0.0</v>
      </c>
      <c r="K563" s="25">
        <v>0.0</v>
      </c>
      <c r="L563" s="25">
        <v>0.0</v>
      </c>
      <c r="M563" s="17">
        <f t="shared" si="1"/>
        <v>2</v>
      </c>
      <c r="N563" s="24" t="str">
        <f t="array" ref="N563">if(isblank(A563),"",index(fish_lab_data!O:O,match(A563,fish_lab_data!C:C,0)))</f>
        <v>JG</v>
      </c>
      <c r="O563" s="24" t="str">
        <f t="array" ref="O563">index(fish_lab_data!Q:Q,match(A563,fish_lab_data!C:C,0))</f>
        <v>lab_motiles_etoh</v>
      </c>
      <c r="P563" s="24" t="str">
        <f t="array" ref="P563">if(and(iserror(index(sea_lice!G:G,match(A563,sea_lice!A:A,0))),M563=0),"NA",index(sea_lice!G:G,match(A563,sea_lice!A:A,0)))</f>
        <v>BSL8-20</v>
      </c>
      <c r="Q563" s="24">
        <f t="array" ref="Q563">if(isblank(A563),"",index(fish_lab_data!X:X,match(A563,fish_lab_data!C:C,0)))</f>
        <v>1287</v>
      </c>
    </row>
    <row r="564">
      <c r="A564" s="40" t="s">
        <v>1808</v>
      </c>
      <c r="B564" s="25">
        <v>0.0</v>
      </c>
      <c r="C564" s="25">
        <v>0.0</v>
      </c>
      <c r="D564" s="25">
        <v>0.0</v>
      </c>
      <c r="E564" s="9">
        <v>1.0</v>
      </c>
      <c r="F564" s="25">
        <v>0.0</v>
      </c>
      <c r="G564" s="25">
        <v>0.0</v>
      </c>
      <c r="H564" s="25">
        <v>0.0</v>
      </c>
      <c r="I564" s="25">
        <v>0.0</v>
      </c>
      <c r="J564" s="25">
        <v>0.0</v>
      </c>
      <c r="K564" s="25">
        <v>0.0</v>
      </c>
      <c r="L564" s="25">
        <v>0.0</v>
      </c>
      <c r="M564" s="17">
        <f t="shared" si="1"/>
        <v>1</v>
      </c>
      <c r="N564" s="24" t="str">
        <f t="array" ref="N564">if(isblank(A564),"",index(fish_lab_data!O:O,match(A564,fish_lab_data!C:C,0)))</f>
        <v>JG</v>
      </c>
      <c r="O564" s="24" t="str">
        <f t="array" ref="O564">index(fish_lab_data!Q:Q,match(A564,fish_lab_data!C:C,0))</f>
        <v>lab_motiles_etoh</v>
      </c>
      <c r="P564" s="24" t="str">
        <f t="array" ref="P564">if(and(iserror(index(sea_lice!G:G,match(A564,sea_lice!A:A,0))),M564=0),"NA",index(sea_lice!G:G,match(A564,sea_lice!A:A,0)))</f>
        <v>BSL8-21</v>
      </c>
      <c r="Q564" s="24">
        <f t="array" ref="Q564">if(isblank(A564),"",index(fish_lab_data!X:X,match(A564,fish_lab_data!C:C,0)))</f>
        <v>1288</v>
      </c>
    </row>
    <row r="565">
      <c r="A565" s="40" t="s">
        <v>1810</v>
      </c>
      <c r="B565" s="25">
        <v>0.0</v>
      </c>
      <c r="C565" s="25">
        <v>0.0</v>
      </c>
      <c r="D565" s="25">
        <v>0.0</v>
      </c>
      <c r="E565" s="25">
        <v>0.0</v>
      </c>
      <c r="F565" s="25">
        <v>0.0</v>
      </c>
      <c r="G565" s="25">
        <v>0.0</v>
      </c>
      <c r="H565" s="25">
        <v>0.0</v>
      </c>
      <c r="I565" s="25">
        <v>0.0</v>
      </c>
      <c r="J565" s="25">
        <v>0.0</v>
      </c>
      <c r="K565" s="25">
        <v>0.0</v>
      </c>
      <c r="L565" s="25">
        <v>0.0</v>
      </c>
      <c r="M565" s="17">
        <f t="shared" si="1"/>
        <v>0</v>
      </c>
      <c r="N565" s="24" t="str">
        <f t="array" ref="N565">if(isblank(A565),"",index(fish_lab_data!O:O,match(A565,fish_lab_data!C:C,0)))</f>
        <v>JG</v>
      </c>
      <c r="O565" s="24" t="str">
        <f t="array" ref="O565">index(fish_lab_data!Q:Q,match(A565,fish_lab_data!C:C,0))</f>
        <v>lab_motiles_etoh</v>
      </c>
      <c r="P565" s="24" t="str">
        <f t="array" ref="P565">if(and(iserror(index(sea_lice!G:G,match(A565,sea_lice!A:A,0))),M565=0),"NA",index(sea_lice!G:G,match(A565,sea_lice!A:A,0)))</f>
        <v>NA</v>
      </c>
      <c r="Q565" s="24">
        <f t="array" ref="Q565">if(isblank(A565),"",index(fish_lab_data!X:X,match(A565,fish_lab_data!C:C,0)))</f>
        <v>1289</v>
      </c>
    </row>
    <row r="566">
      <c r="A566" s="40" t="s">
        <v>1811</v>
      </c>
      <c r="B566" s="25">
        <v>0.0</v>
      </c>
      <c r="C566" s="25">
        <v>0.0</v>
      </c>
      <c r="D566" s="25">
        <v>0.0</v>
      </c>
      <c r="E566" s="25">
        <v>0.0</v>
      </c>
      <c r="F566" s="25">
        <v>0.0</v>
      </c>
      <c r="G566" s="25">
        <v>0.0</v>
      </c>
      <c r="H566" s="9">
        <v>1.0</v>
      </c>
      <c r="I566" s="25">
        <v>0.0</v>
      </c>
      <c r="J566" s="25">
        <v>0.0</v>
      </c>
      <c r="K566" s="25">
        <v>0.0</v>
      </c>
      <c r="L566" s="25">
        <v>0.0</v>
      </c>
      <c r="M566" s="17">
        <f t="shared" si="1"/>
        <v>1</v>
      </c>
      <c r="N566" s="24" t="str">
        <f t="array" ref="N566">if(isblank(A566),"",index(fish_lab_data!O:O,match(A566,fish_lab_data!C:C,0)))</f>
        <v>JG</v>
      </c>
      <c r="O566" s="24" t="str">
        <f t="array" ref="O566">index(fish_lab_data!Q:Q,match(A566,fish_lab_data!C:C,0))</f>
        <v>lab_motiles_etoh</v>
      </c>
      <c r="P566" s="24" t="str">
        <f t="array" ref="P566">if(and(iserror(index(sea_lice!G:G,match(A566,sea_lice!A:A,0))),M566=0),"NA",index(sea_lice!G:G,match(A566,sea_lice!A:A,0)))</f>
        <v>BSL8-22</v>
      </c>
      <c r="Q566" s="24">
        <f t="array" ref="Q566">if(isblank(A566),"",index(fish_lab_data!X:X,match(A566,fish_lab_data!C:C,0)))</f>
        <v>1290</v>
      </c>
    </row>
    <row r="567">
      <c r="A567" s="40" t="s">
        <v>1812</v>
      </c>
      <c r="B567" s="25">
        <v>0.0</v>
      </c>
      <c r="C567" s="25">
        <v>0.0</v>
      </c>
      <c r="D567" s="25">
        <v>0.0</v>
      </c>
      <c r="E567" s="25">
        <v>0.0</v>
      </c>
      <c r="F567" s="25">
        <v>0.0</v>
      </c>
      <c r="G567" s="25">
        <v>0.0</v>
      </c>
      <c r="H567" s="25">
        <v>0.0</v>
      </c>
      <c r="I567" s="25">
        <v>0.0</v>
      </c>
      <c r="J567" s="25">
        <v>0.0</v>
      </c>
      <c r="K567" s="25">
        <v>0.0</v>
      </c>
      <c r="L567" s="25">
        <v>0.0</v>
      </c>
      <c r="M567" s="17">
        <f t="shared" si="1"/>
        <v>0</v>
      </c>
      <c r="N567" s="24" t="str">
        <f t="array" ref="N567">if(isblank(A567),"",index(fish_lab_data!O:O,match(A567,fish_lab_data!C:C,0)))</f>
        <v>JG</v>
      </c>
      <c r="O567" s="24" t="str">
        <f t="array" ref="O567">index(fish_lab_data!Q:Q,match(A567,fish_lab_data!C:C,0))</f>
        <v>lab_motiles_etoh</v>
      </c>
      <c r="P567" s="24" t="str">
        <f t="array" ref="P567">if(and(iserror(index(sea_lice!G:G,match(A567,sea_lice!A:A,0))),M567=0),"NA",index(sea_lice!G:G,match(A567,sea_lice!A:A,0)))</f>
        <v>NA</v>
      </c>
      <c r="Q567" s="24">
        <f t="array" ref="Q567">if(isblank(A567),"",index(fish_lab_data!X:X,match(A567,fish_lab_data!C:C,0)))</f>
        <v>1291</v>
      </c>
    </row>
    <row r="568">
      <c r="A568" s="40" t="s">
        <v>1814</v>
      </c>
      <c r="B568" s="25">
        <v>0.0</v>
      </c>
      <c r="C568" s="25">
        <v>0.0</v>
      </c>
      <c r="D568" s="25">
        <v>0.0</v>
      </c>
      <c r="E568" s="25">
        <v>0.0</v>
      </c>
      <c r="F568" s="25">
        <v>0.0</v>
      </c>
      <c r="G568" s="25">
        <v>0.0</v>
      </c>
      <c r="H568" s="25">
        <v>0.0</v>
      </c>
      <c r="I568" s="25">
        <v>0.0</v>
      </c>
      <c r="J568" s="25">
        <v>0.0</v>
      </c>
      <c r="K568" s="25">
        <v>0.0</v>
      </c>
      <c r="L568" s="25">
        <v>0.0</v>
      </c>
      <c r="M568" s="17">
        <f t="shared" si="1"/>
        <v>0</v>
      </c>
      <c r="N568" s="24" t="str">
        <f t="array" ref="N568">if(isblank(A568),"",index(fish_lab_data!O:O,match(A568,fish_lab_data!C:C,0)))</f>
        <v>JG</v>
      </c>
      <c r="O568" s="24" t="str">
        <f t="array" ref="O568">index(fish_lab_data!Q:Q,match(A568,fish_lab_data!C:C,0))</f>
        <v>lab_motiles_etoh</v>
      </c>
      <c r="P568" s="24" t="str">
        <f t="array" ref="P568">if(and(iserror(index(sea_lice!G:G,match(A568,sea_lice!A:A,0))),M568=0),"NA",index(sea_lice!G:G,match(A568,sea_lice!A:A,0)))</f>
        <v>NA</v>
      </c>
      <c r="Q568" s="24">
        <f t="array" ref="Q568">if(isblank(A568),"",index(fish_lab_data!X:X,match(A568,fish_lab_data!C:C,0)))</f>
        <v>1292</v>
      </c>
    </row>
    <row r="569">
      <c r="A569" s="40" t="s">
        <v>1815</v>
      </c>
      <c r="B569" s="9">
        <v>1.0</v>
      </c>
      <c r="C569" s="25">
        <v>0.0</v>
      </c>
      <c r="D569" s="25">
        <v>0.0</v>
      </c>
      <c r="E569" s="25">
        <v>0.0</v>
      </c>
      <c r="F569" s="25">
        <v>0.0</v>
      </c>
      <c r="G569" s="25">
        <v>0.0</v>
      </c>
      <c r="H569" s="25">
        <v>0.0</v>
      </c>
      <c r="I569" s="25">
        <v>0.0</v>
      </c>
      <c r="J569" s="25">
        <v>0.0</v>
      </c>
      <c r="K569" s="25">
        <v>0.0</v>
      </c>
      <c r="L569" s="25">
        <v>0.0</v>
      </c>
      <c r="M569" s="17">
        <f t="shared" si="1"/>
        <v>1</v>
      </c>
      <c r="N569" s="24" t="str">
        <f t="array" ref="N569">if(isblank(A569),"",index(fish_lab_data!O:O,match(A569,fish_lab_data!C:C,0)))</f>
        <v>JG</v>
      </c>
      <c r="O569" s="24" t="str">
        <f t="array" ref="O569">index(fish_lab_data!Q:Q,match(A569,fish_lab_data!C:C,0))</f>
        <v>lab_motiles_etoh</v>
      </c>
      <c r="P569" s="24" t="str">
        <f t="array" ref="P569">if(and(iserror(index(sea_lice!G:G,match(A569,sea_lice!A:A,0))),M569=0),"NA",index(sea_lice!G:G,match(A569,sea_lice!A:A,0)))</f>
        <v>BSL8-23</v>
      </c>
      <c r="Q569" s="24">
        <f t="array" ref="Q569">if(isblank(A569),"",index(fish_lab_data!X:X,match(A569,fish_lab_data!C:C,0)))</f>
        <v>1293</v>
      </c>
    </row>
    <row r="570">
      <c r="A570" s="40" t="s">
        <v>1816</v>
      </c>
      <c r="B570" s="9">
        <v>1.0</v>
      </c>
      <c r="C570" s="25">
        <v>0.0</v>
      </c>
      <c r="D570" s="25">
        <v>0.0</v>
      </c>
      <c r="E570" s="25">
        <v>0.0</v>
      </c>
      <c r="F570" s="25">
        <v>0.0</v>
      </c>
      <c r="G570" s="25">
        <v>0.0</v>
      </c>
      <c r="H570" s="25">
        <v>0.0</v>
      </c>
      <c r="I570" s="25">
        <v>0.0</v>
      </c>
      <c r="J570" s="25">
        <v>0.0</v>
      </c>
      <c r="K570" s="25">
        <v>0.0</v>
      </c>
      <c r="L570" s="25">
        <v>0.0</v>
      </c>
      <c r="M570" s="17">
        <f t="shared" si="1"/>
        <v>1</v>
      </c>
      <c r="N570" s="24" t="str">
        <f t="array" ref="N570">if(isblank(A570),"",index(fish_lab_data!O:O,match(A570,fish_lab_data!C:C,0)))</f>
        <v>JG</v>
      </c>
      <c r="O570" s="24" t="str">
        <f t="array" ref="O570">index(fish_lab_data!Q:Q,match(A570,fish_lab_data!C:C,0))</f>
        <v>lab_motiles_etoh</v>
      </c>
      <c r="P570" s="24" t="str">
        <f t="array" ref="P570">if(and(iserror(index(sea_lice!G:G,match(A570,sea_lice!A:A,0))),M570=0),"NA",index(sea_lice!G:G,match(A570,sea_lice!A:A,0)))</f>
        <v>BSL8-24</v>
      </c>
      <c r="Q570" s="24">
        <f t="array" ref="Q570">if(isblank(A570),"",index(fish_lab_data!X:X,match(A570,fish_lab_data!C:C,0)))</f>
        <v>1294</v>
      </c>
    </row>
    <row r="571">
      <c r="A571" s="40" t="s">
        <v>1817</v>
      </c>
      <c r="B571" s="25">
        <v>0.0</v>
      </c>
      <c r="C571" s="25">
        <v>0.0</v>
      </c>
      <c r="D571" s="25">
        <v>0.0</v>
      </c>
      <c r="E571" s="25">
        <v>0.0</v>
      </c>
      <c r="F571" s="25">
        <v>0.0</v>
      </c>
      <c r="G571" s="25">
        <v>0.0</v>
      </c>
      <c r="H571" s="25">
        <v>0.0</v>
      </c>
      <c r="I571" s="25">
        <v>0.0</v>
      </c>
      <c r="J571" s="25">
        <v>0.0</v>
      </c>
      <c r="K571" s="25">
        <v>0.0</v>
      </c>
      <c r="L571" s="25">
        <v>0.0</v>
      </c>
      <c r="M571" s="17">
        <f t="shared" si="1"/>
        <v>0</v>
      </c>
      <c r="N571" s="24" t="str">
        <f t="array" ref="N571">if(isblank(A571),"",index(fish_lab_data!O:O,match(A571,fish_lab_data!C:C,0)))</f>
        <v>JG</v>
      </c>
      <c r="O571" s="24" t="str">
        <f t="array" ref="O571">index(fish_lab_data!Q:Q,match(A571,fish_lab_data!C:C,0))</f>
        <v>lab_motiles_etoh</v>
      </c>
      <c r="P571" s="24" t="str">
        <f t="array" ref="P571">if(and(iserror(index(sea_lice!G:G,match(A571,sea_lice!A:A,0))),M571=0),"NA",index(sea_lice!G:G,match(A571,sea_lice!A:A,0)))</f>
        <v>NA</v>
      </c>
      <c r="Q571" s="24">
        <f t="array" ref="Q571">if(isblank(A571),"",index(fish_lab_data!X:X,match(A571,fish_lab_data!C:C,0)))</f>
        <v>1295</v>
      </c>
    </row>
    <row r="572">
      <c r="A572" s="40" t="s">
        <v>1818</v>
      </c>
      <c r="B572" s="25">
        <v>0.0</v>
      </c>
      <c r="C572" s="25">
        <v>0.0</v>
      </c>
      <c r="D572" s="25">
        <v>0.0</v>
      </c>
      <c r="E572" s="25">
        <v>0.0</v>
      </c>
      <c r="F572" s="25">
        <v>0.0</v>
      </c>
      <c r="G572" s="25">
        <v>0.0</v>
      </c>
      <c r="H572" s="25">
        <v>0.0</v>
      </c>
      <c r="I572" s="25">
        <v>0.0</v>
      </c>
      <c r="J572" s="25">
        <v>0.0</v>
      </c>
      <c r="K572" s="25">
        <v>0.0</v>
      </c>
      <c r="L572" s="25">
        <v>0.0</v>
      </c>
      <c r="M572" s="17">
        <f t="shared" si="1"/>
        <v>0</v>
      </c>
      <c r="N572" s="24" t="str">
        <f t="array" ref="N572">if(isblank(A572),"",index(fish_lab_data!O:O,match(A572,fish_lab_data!C:C,0)))</f>
        <v>JG</v>
      </c>
      <c r="O572" s="24" t="str">
        <f t="array" ref="O572">index(fish_lab_data!Q:Q,match(A572,fish_lab_data!C:C,0))</f>
        <v>lab_motiles_etoh</v>
      </c>
      <c r="P572" s="24" t="str">
        <f t="array" ref="P572">if(and(iserror(index(sea_lice!G:G,match(A572,sea_lice!A:A,0))),M572=0),"NA",index(sea_lice!G:G,match(A572,sea_lice!A:A,0)))</f>
        <v>NA</v>
      </c>
      <c r="Q572" s="24">
        <f t="array" ref="Q572">if(isblank(A572),"",index(fish_lab_data!X:X,match(A572,fish_lab_data!C:C,0)))</f>
        <v>1296</v>
      </c>
    </row>
    <row r="573">
      <c r="A573" s="40" t="s">
        <v>1819</v>
      </c>
      <c r="B573" s="25">
        <v>0.0</v>
      </c>
      <c r="C573" s="25">
        <v>0.0</v>
      </c>
      <c r="D573" s="25">
        <v>0.0</v>
      </c>
      <c r="E573" s="25">
        <v>0.0</v>
      </c>
      <c r="F573" s="25">
        <v>0.0</v>
      </c>
      <c r="G573" s="25">
        <v>0.0</v>
      </c>
      <c r="H573" s="25">
        <v>0.0</v>
      </c>
      <c r="I573" s="25">
        <v>0.0</v>
      </c>
      <c r="J573" s="25">
        <v>0.0</v>
      </c>
      <c r="K573" s="25">
        <v>0.0</v>
      </c>
      <c r="L573" s="25">
        <v>0.0</v>
      </c>
      <c r="M573" s="17">
        <f t="shared" si="1"/>
        <v>0</v>
      </c>
      <c r="N573" s="24" t="str">
        <f t="array" ref="N573">if(isblank(A573),"",index(fish_lab_data!O:O,match(A573,fish_lab_data!C:C,0)))</f>
        <v>JG</v>
      </c>
      <c r="O573" s="24" t="str">
        <f t="array" ref="O573">index(fish_lab_data!Q:Q,match(A573,fish_lab_data!C:C,0))</f>
        <v>lab_motiles_etoh</v>
      </c>
      <c r="P573" s="24" t="str">
        <f t="array" ref="P573">if(and(iserror(index(sea_lice!G:G,match(A573,sea_lice!A:A,0))),M573=0),"NA",index(sea_lice!G:G,match(A573,sea_lice!A:A,0)))</f>
        <v>NA</v>
      </c>
      <c r="Q573" s="24">
        <f t="array" ref="Q573">if(isblank(A573),"",index(fish_lab_data!X:X,match(A573,fish_lab_data!C:C,0)))</f>
        <v>1297</v>
      </c>
    </row>
    <row r="574">
      <c r="A574" s="40" t="s">
        <v>1821</v>
      </c>
      <c r="B574" s="25">
        <v>0.0</v>
      </c>
      <c r="C574" s="25">
        <v>0.0</v>
      </c>
      <c r="D574" s="25">
        <v>0.0</v>
      </c>
      <c r="E574" s="25">
        <v>0.0</v>
      </c>
      <c r="F574" s="25">
        <v>0.0</v>
      </c>
      <c r="G574" s="25">
        <v>0.0</v>
      </c>
      <c r="H574" s="25">
        <v>0.0</v>
      </c>
      <c r="I574" s="25">
        <v>0.0</v>
      </c>
      <c r="J574" s="25">
        <v>0.0</v>
      </c>
      <c r="K574" s="25">
        <v>0.0</v>
      </c>
      <c r="L574" s="25">
        <v>0.0</v>
      </c>
      <c r="M574" s="17">
        <f t="shared" si="1"/>
        <v>0</v>
      </c>
      <c r="N574" s="24" t="str">
        <f t="array" ref="N574">if(isblank(A574),"",index(fish_lab_data!O:O,match(A574,fish_lab_data!C:C,0)))</f>
        <v>JG</v>
      </c>
      <c r="O574" s="24" t="str">
        <f t="array" ref="O574">index(fish_lab_data!Q:Q,match(A574,fish_lab_data!C:C,0))</f>
        <v>lab_motiles_etoh</v>
      </c>
      <c r="P574" s="24" t="str">
        <f t="array" ref="P574">if(and(iserror(index(sea_lice!G:G,match(A574,sea_lice!A:A,0))),M574=0),"NA",index(sea_lice!G:G,match(A574,sea_lice!A:A,0)))</f>
        <v>NA</v>
      </c>
      <c r="Q574" s="24">
        <f t="array" ref="Q574">if(isblank(A574),"",index(fish_lab_data!X:X,match(A574,fish_lab_data!C:C,0)))</f>
        <v>1298</v>
      </c>
    </row>
    <row r="575">
      <c r="A575" s="40" t="s">
        <v>1822</v>
      </c>
      <c r="B575" s="9">
        <v>1.0</v>
      </c>
      <c r="C575" s="25">
        <v>0.0</v>
      </c>
      <c r="D575" s="25">
        <v>0.0</v>
      </c>
      <c r="E575" s="25">
        <v>0.0</v>
      </c>
      <c r="F575" s="25">
        <v>0.0</v>
      </c>
      <c r="G575" s="25">
        <v>0.0</v>
      </c>
      <c r="H575" s="25">
        <v>0.0</v>
      </c>
      <c r="I575" s="25">
        <v>0.0</v>
      </c>
      <c r="J575" s="25">
        <v>0.0</v>
      </c>
      <c r="K575" s="25">
        <v>0.0</v>
      </c>
      <c r="L575" s="25">
        <v>0.0</v>
      </c>
      <c r="M575" s="17">
        <f t="shared" si="1"/>
        <v>1</v>
      </c>
      <c r="N575" s="24" t="str">
        <f t="array" ref="N575">if(isblank(A575),"",index(fish_lab_data!O:O,match(A575,fish_lab_data!C:C,0)))</f>
        <v>KB</v>
      </c>
      <c r="O575" s="24" t="str">
        <f t="array" ref="O575">index(fish_lab_data!Q:Q,match(A575,fish_lab_data!C:C,0))</f>
        <v>lab_motiles_etoh</v>
      </c>
      <c r="P575" s="24" t="str">
        <f t="array" ref="P575">if(and(iserror(index(sea_lice!G:G,match(A575,sea_lice!A:A,0))),M575=0),"NA",index(sea_lice!G:G,match(A575,sea_lice!A:A,0)))</f>
        <v>BSL8-28</v>
      </c>
      <c r="Q575" s="24">
        <f t="array" ref="Q575">if(isblank(A575),"",index(fish_lab_data!X:X,match(A575,fish_lab_data!C:C,0)))</f>
        <v>1299</v>
      </c>
    </row>
    <row r="576">
      <c r="A576" s="40" t="s">
        <v>1823</v>
      </c>
      <c r="B576" s="25">
        <v>0.0</v>
      </c>
      <c r="C576" s="25">
        <v>0.0</v>
      </c>
      <c r="D576" s="25">
        <v>0.0</v>
      </c>
      <c r="E576" s="25">
        <v>0.0</v>
      </c>
      <c r="F576" s="25">
        <v>0.0</v>
      </c>
      <c r="G576" s="25">
        <v>0.0</v>
      </c>
      <c r="H576" s="25">
        <v>0.0</v>
      </c>
      <c r="I576" s="25">
        <v>0.0</v>
      </c>
      <c r="J576" s="25">
        <v>0.0</v>
      </c>
      <c r="K576" s="25">
        <v>0.0</v>
      </c>
      <c r="L576" s="25">
        <v>0.0</v>
      </c>
      <c r="M576" s="17">
        <f t="shared" si="1"/>
        <v>0</v>
      </c>
      <c r="N576" s="24" t="str">
        <f t="array" ref="N576">if(isblank(A576),"",index(fish_lab_data!O:O,match(A576,fish_lab_data!C:C,0)))</f>
        <v>KB</v>
      </c>
      <c r="O576" s="24" t="str">
        <f t="array" ref="O576">index(fish_lab_data!Q:Q,match(A576,fish_lab_data!C:C,0))</f>
        <v>lab_motiles_etoh</v>
      </c>
      <c r="P576" s="24" t="str">
        <f t="array" ref="P576">if(and(iserror(index(sea_lice!G:G,match(A576,sea_lice!A:A,0))),M576=0),"NA",index(sea_lice!G:G,match(A576,sea_lice!A:A,0)))</f>
        <v>NA</v>
      </c>
      <c r="Q576" s="24">
        <f t="array" ref="Q576">if(isblank(A576),"",index(fish_lab_data!X:X,match(A576,fish_lab_data!C:C,0)))</f>
        <v>1300</v>
      </c>
    </row>
    <row r="577">
      <c r="A577" s="40" t="s">
        <v>1824</v>
      </c>
      <c r="B577" s="25">
        <v>0.0</v>
      </c>
      <c r="C577" s="25">
        <v>0.0</v>
      </c>
      <c r="D577" s="25">
        <v>0.0</v>
      </c>
      <c r="E577" s="25">
        <v>0.0</v>
      </c>
      <c r="F577" s="25">
        <v>0.0</v>
      </c>
      <c r="G577" s="25">
        <v>0.0</v>
      </c>
      <c r="H577" s="25">
        <v>0.0</v>
      </c>
      <c r="I577" s="25">
        <v>0.0</v>
      </c>
      <c r="J577" s="25">
        <v>0.0</v>
      </c>
      <c r="K577" s="25">
        <v>0.0</v>
      </c>
      <c r="L577" s="25">
        <v>0.0</v>
      </c>
      <c r="M577" s="17">
        <f t="shared" si="1"/>
        <v>0</v>
      </c>
      <c r="N577" s="24" t="str">
        <f t="array" ref="N577">if(isblank(A577),"",index(fish_lab_data!O:O,match(A577,fish_lab_data!C:C,0)))</f>
        <v>KB</v>
      </c>
      <c r="O577" s="24" t="str">
        <f t="array" ref="O577">index(fish_lab_data!Q:Q,match(A577,fish_lab_data!C:C,0))</f>
        <v>lab_motiles_etoh</v>
      </c>
      <c r="P577" s="24" t="str">
        <f t="array" ref="P577">if(and(iserror(index(sea_lice!G:G,match(A577,sea_lice!A:A,0))),M577=0),"NA",index(sea_lice!G:G,match(A577,sea_lice!A:A,0)))</f>
        <v>NA</v>
      </c>
      <c r="Q577" s="24">
        <f t="array" ref="Q577">if(isblank(A577),"",index(fish_lab_data!X:X,match(A577,fish_lab_data!C:C,0)))</f>
        <v>1301</v>
      </c>
    </row>
    <row r="578">
      <c r="A578" s="40" t="s">
        <v>1825</v>
      </c>
      <c r="B578" s="25">
        <v>0.0</v>
      </c>
      <c r="C578" s="25">
        <v>0.0</v>
      </c>
      <c r="D578" s="25">
        <v>0.0</v>
      </c>
      <c r="E578" s="25">
        <v>0.0</v>
      </c>
      <c r="F578" s="25">
        <v>0.0</v>
      </c>
      <c r="G578" s="25">
        <v>0.0</v>
      </c>
      <c r="H578" s="25">
        <v>0.0</v>
      </c>
      <c r="I578" s="25">
        <v>0.0</v>
      </c>
      <c r="J578" s="25">
        <v>0.0</v>
      </c>
      <c r="K578" s="25">
        <v>0.0</v>
      </c>
      <c r="L578" s="25">
        <v>0.0</v>
      </c>
      <c r="M578" s="17">
        <f t="shared" si="1"/>
        <v>0</v>
      </c>
      <c r="N578" s="24" t="str">
        <f t="array" ref="N578">if(isblank(A578),"",index(fish_lab_data!O:O,match(A578,fish_lab_data!C:C,0)))</f>
        <v>KB</v>
      </c>
      <c r="O578" s="24" t="str">
        <f t="array" ref="O578">index(fish_lab_data!Q:Q,match(A578,fish_lab_data!C:C,0))</f>
        <v>lab_motiles_etoh</v>
      </c>
      <c r="P578" s="24" t="str">
        <f t="array" ref="P578">if(and(iserror(index(sea_lice!G:G,match(A578,sea_lice!A:A,0))),M578=0),"NA",index(sea_lice!G:G,match(A578,sea_lice!A:A,0)))</f>
        <v>NA</v>
      </c>
      <c r="Q578" s="24">
        <f t="array" ref="Q578">if(isblank(A578),"",index(fish_lab_data!X:X,match(A578,fish_lab_data!C:C,0)))</f>
        <v>1302</v>
      </c>
    </row>
    <row r="579">
      <c r="A579" s="40" t="s">
        <v>1827</v>
      </c>
      <c r="B579" s="25">
        <v>0.0</v>
      </c>
      <c r="C579" s="25">
        <v>0.0</v>
      </c>
      <c r="D579" s="25">
        <v>0.0</v>
      </c>
      <c r="E579" s="25">
        <v>0.0</v>
      </c>
      <c r="F579" s="25">
        <v>0.0</v>
      </c>
      <c r="G579" s="25">
        <v>0.0</v>
      </c>
      <c r="H579" s="25">
        <v>0.0</v>
      </c>
      <c r="I579" s="25">
        <v>0.0</v>
      </c>
      <c r="J579" s="25">
        <v>0.0</v>
      </c>
      <c r="K579" s="25">
        <v>0.0</v>
      </c>
      <c r="L579" s="25">
        <v>0.0</v>
      </c>
      <c r="M579" s="17">
        <f t="shared" si="1"/>
        <v>0</v>
      </c>
      <c r="N579" s="24" t="str">
        <f t="array" ref="N579">if(isblank(A579),"",index(fish_lab_data!O:O,match(A579,fish_lab_data!C:C,0)))</f>
        <v>KB</v>
      </c>
      <c r="O579" s="24" t="str">
        <f t="array" ref="O579">index(fish_lab_data!Q:Q,match(A579,fish_lab_data!C:C,0))</f>
        <v>lab_motiles_etoh</v>
      </c>
      <c r="P579" s="24" t="str">
        <f t="array" ref="P579">if(and(iserror(index(sea_lice!G:G,match(A579,sea_lice!A:A,0))),M579=0),"NA",index(sea_lice!G:G,match(A579,sea_lice!A:A,0)))</f>
        <v>NA</v>
      </c>
      <c r="Q579" s="24">
        <f t="array" ref="Q579">if(isblank(A579),"",index(fish_lab_data!X:X,match(A579,fish_lab_data!C:C,0)))</f>
        <v>1303</v>
      </c>
    </row>
    <row r="580">
      <c r="A580" s="40" t="s">
        <v>1828</v>
      </c>
      <c r="B580" s="25">
        <v>0.0</v>
      </c>
      <c r="C580" s="25">
        <v>0.0</v>
      </c>
      <c r="D580" s="25">
        <v>0.0</v>
      </c>
      <c r="E580" s="25">
        <v>0.0</v>
      </c>
      <c r="F580" s="25">
        <v>0.0</v>
      </c>
      <c r="G580" s="25">
        <v>0.0</v>
      </c>
      <c r="H580" s="25">
        <v>0.0</v>
      </c>
      <c r="I580" s="25">
        <v>0.0</v>
      </c>
      <c r="J580" s="25">
        <v>0.0</v>
      </c>
      <c r="K580" s="25">
        <v>0.0</v>
      </c>
      <c r="L580" s="25">
        <v>0.0</v>
      </c>
      <c r="M580" s="17">
        <f t="shared" si="1"/>
        <v>0</v>
      </c>
      <c r="N580" s="24" t="str">
        <f t="array" ref="N580">if(isblank(A580),"",index(fish_lab_data!O:O,match(A580,fish_lab_data!C:C,0)))</f>
        <v>KB</v>
      </c>
      <c r="O580" s="24" t="str">
        <f t="array" ref="O580">index(fish_lab_data!Q:Q,match(A580,fish_lab_data!C:C,0))</f>
        <v>lab_motiles_etoh</v>
      </c>
      <c r="P580" s="24" t="str">
        <f t="array" ref="P580">if(and(iserror(index(sea_lice!G:G,match(A580,sea_lice!A:A,0))),M580=0),"NA",index(sea_lice!G:G,match(A580,sea_lice!A:A,0)))</f>
        <v>NA</v>
      </c>
      <c r="Q580" s="24">
        <f t="array" ref="Q580">if(isblank(A580),"",index(fish_lab_data!X:X,match(A580,fish_lab_data!C:C,0)))</f>
        <v>1304</v>
      </c>
    </row>
    <row r="581">
      <c r="A581" s="40" t="s">
        <v>1829</v>
      </c>
      <c r="B581" s="25">
        <v>0.0</v>
      </c>
      <c r="C581" s="25">
        <v>0.0</v>
      </c>
      <c r="D581" s="25">
        <v>0.0</v>
      </c>
      <c r="E581" s="25">
        <v>0.0</v>
      </c>
      <c r="F581" s="25">
        <v>0.0</v>
      </c>
      <c r="G581" s="25">
        <v>0.0</v>
      </c>
      <c r="H581" s="25">
        <v>0.0</v>
      </c>
      <c r="I581" s="25">
        <v>0.0</v>
      </c>
      <c r="J581" s="25">
        <v>0.0</v>
      </c>
      <c r="K581" s="25">
        <v>0.0</v>
      </c>
      <c r="L581" s="25">
        <v>0.0</v>
      </c>
      <c r="M581" s="17">
        <f t="shared" si="1"/>
        <v>0</v>
      </c>
      <c r="N581" s="24" t="str">
        <f t="array" ref="N581">if(isblank(A581),"",index(fish_lab_data!O:O,match(A581,fish_lab_data!C:C,0)))</f>
        <v>KB</v>
      </c>
      <c r="O581" s="24" t="str">
        <f t="array" ref="O581">index(fish_lab_data!Q:Q,match(A581,fish_lab_data!C:C,0))</f>
        <v>lab_motiles_etoh</v>
      </c>
      <c r="P581" s="24" t="str">
        <f t="array" ref="P581">if(and(iserror(index(sea_lice!G:G,match(A581,sea_lice!A:A,0))),M581=0),"NA",index(sea_lice!G:G,match(A581,sea_lice!A:A,0)))</f>
        <v>NA</v>
      </c>
      <c r="Q581" s="24">
        <f t="array" ref="Q581">if(isblank(A581),"",index(fish_lab_data!X:X,match(A581,fish_lab_data!C:C,0)))</f>
        <v>1305</v>
      </c>
    </row>
    <row r="582">
      <c r="A582" s="40" t="s">
        <v>1830</v>
      </c>
      <c r="B582" s="25">
        <v>0.0</v>
      </c>
      <c r="C582" s="25">
        <v>0.0</v>
      </c>
      <c r="D582" s="25">
        <v>0.0</v>
      </c>
      <c r="E582" s="25">
        <v>0.0</v>
      </c>
      <c r="F582" s="25">
        <v>0.0</v>
      </c>
      <c r="G582" s="25">
        <v>0.0</v>
      </c>
      <c r="H582" s="25">
        <v>0.0</v>
      </c>
      <c r="I582" s="25">
        <v>0.0</v>
      </c>
      <c r="J582" s="25">
        <v>0.0</v>
      </c>
      <c r="K582" s="25">
        <v>0.0</v>
      </c>
      <c r="L582" s="25">
        <v>0.0</v>
      </c>
      <c r="M582" s="17">
        <f t="shared" si="1"/>
        <v>0</v>
      </c>
      <c r="N582" s="24" t="str">
        <f t="array" ref="N582">if(isblank(A582),"",index(fish_lab_data!O:O,match(A582,fish_lab_data!C:C,0)))</f>
        <v>KB</v>
      </c>
      <c r="O582" s="24" t="str">
        <f t="array" ref="O582">index(fish_lab_data!Q:Q,match(A582,fish_lab_data!C:C,0))</f>
        <v>lab_motiles_etoh</v>
      </c>
      <c r="P582" s="24" t="str">
        <f t="array" ref="P582">if(and(iserror(index(sea_lice!G:G,match(A582,sea_lice!A:A,0))),M582=0),"NA",index(sea_lice!G:G,match(A582,sea_lice!A:A,0)))</f>
        <v>NA</v>
      </c>
      <c r="Q582" s="24">
        <f t="array" ref="Q582">if(isblank(A582),"",index(fish_lab_data!X:X,match(A582,fish_lab_data!C:C,0)))</f>
        <v>1306</v>
      </c>
    </row>
    <row r="583">
      <c r="A583" s="40" t="s">
        <v>1832</v>
      </c>
      <c r="B583" s="25">
        <v>0.0</v>
      </c>
      <c r="C583" s="25">
        <v>0.0</v>
      </c>
      <c r="D583" s="25">
        <v>0.0</v>
      </c>
      <c r="E583" s="25">
        <v>0.0</v>
      </c>
      <c r="F583" s="25">
        <v>0.0</v>
      </c>
      <c r="G583" s="25">
        <v>0.0</v>
      </c>
      <c r="H583" s="25">
        <v>0.0</v>
      </c>
      <c r="I583" s="25">
        <v>0.0</v>
      </c>
      <c r="J583" s="25">
        <v>0.0</v>
      </c>
      <c r="K583" s="25">
        <v>0.0</v>
      </c>
      <c r="L583" s="25">
        <v>0.0</v>
      </c>
      <c r="M583" s="17">
        <f t="shared" si="1"/>
        <v>0</v>
      </c>
      <c r="N583" s="24" t="str">
        <f t="array" ref="N583">if(isblank(A583),"",index(fish_lab_data!O:O,match(A583,fish_lab_data!C:C,0)))</f>
        <v>KB</v>
      </c>
      <c r="O583" s="24" t="str">
        <f t="array" ref="O583">index(fish_lab_data!Q:Q,match(A583,fish_lab_data!C:C,0))</f>
        <v>lab_motiles_etoh</v>
      </c>
      <c r="P583" s="24" t="str">
        <f t="array" ref="P583">if(and(iserror(index(sea_lice!G:G,match(A583,sea_lice!A:A,0))),M583=0),"NA",index(sea_lice!G:G,match(A583,sea_lice!A:A,0)))</f>
        <v>NA</v>
      </c>
      <c r="Q583" s="24">
        <f t="array" ref="Q583">if(isblank(A583),"",index(fish_lab_data!X:X,match(A583,fish_lab_data!C:C,0)))</f>
        <v>1307</v>
      </c>
    </row>
    <row r="584">
      <c r="A584" s="40" t="s">
        <v>1833</v>
      </c>
      <c r="B584" s="25">
        <v>0.0</v>
      </c>
      <c r="C584" s="25">
        <v>0.0</v>
      </c>
      <c r="D584" s="25">
        <v>0.0</v>
      </c>
      <c r="E584" s="25">
        <v>0.0</v>
      </c>
      <c r="F584" s="25">
        <v>0.0</v>
      </c>
      <c r="G584" s="25">
        <v>0.0</v>
      </c>
      <c r="H584" s="25">
        <v>0.0</v>
      </c>
      <c r="I584" s="25">
        <v>0.0</v>
      </c>
      <c r="J584" s="25">
        <v>0.0</v>
      </c>
      <c r="K584" s="25">
        <v>0.0</v>
      </c>
      <c r="L584" s="25">
        <v>0.0</v>
      </c>
      <c r="M584" s="17">
        <f t="shared" si="1"/>
        <v>0</v>
      </c>
      <c r="N584" s="24" t="str">
        <f t="array" ref="N584">if(isblank(A584),"",index(fish_lab_data!O:O,match(A584,fish_lab_data!C:C,0)))</f>
        <v>KB</v>
      </c>
      <c r="O584" s="24" t="str">
        <f t="array" ref="O584">index(fish_lab_data!Q:Q,match(A584,fish_lab_data!C:C,0))</f>
        <v>lab_motiles_etoh</v>
      </c>
      <c r="P584" s="24" t="str">
        <f t="array" ref="P584">if(and(iserror(index(sea_lice!G:G,match(A584,sea_lice!A:A,0))),M584=0),"NA",index(sea_lice!G:G,match(A584,sea_lice!A:A,0)))</f>
        <v>NA</v>
      </c>
      <c r="Q584" s="24">
        <f t="array" ref="Q584">if(isblank(A584),"",index(fish_lab_data!X:X,match(A584,fish_lab_data!C:C,0)))</f>
        <v>1308</v>
      </c>
    </row>
    <row r="585">
      <c r="A585" s="40" t="s">
        <v>1835</v>
      </c>
      <c r="B585" s="25">
        <v>0.0</v>
      </c>
      <c r="C585" s="25">
        <v>0.0</v>
      </c>
      <c r="D585" s="25">
        <v>0.0</v>
      </c>
      <c r="E585" s="25">
        <v>0.0</v>
      </c>
      <c r="F585" s="25">
        <v>0.0</v>
      </c>
      <c r="G585" s="25">
        <v>0.0</v>
      </c>
      <c r="H585" s="25">
        <v>0.0</v>
      </c>
      <c r="I585" s="25">
        <v>0.0</v>
      </c>
      <c r="J585" s="25">
        <v>0.0</v>
      </c>
      <c r="K585" s="25">
        <v>0.0</v>
      </c>
      <c r="L585" s="25">
        <v>0.0</v>
      </c>
      <c r="M585" s="17">
        <f t="shared" si="1"/>
        <v>0</v>
      </c>
      <c r="N585" s="24" t="str">
        <f t="array" ref="N585">if(isblank(A585),"",index(fish_lab_data!O:O,match(A585,fish_lab_data!C:C,0)))</f>
        <v>KB</v>
      </c>
      <c r="O585" s="24" t="str">
        <f t="array" ref="O585">index(fish_lab_data!Q:Q,match(A585,fish_lab_data!C:C,0))</f>
        <v>lab_motiles_cryo</v>
      </c>
      <c r="P585" s="24" t="str">
        <f t="array" ref="P585">if(and(iserror(index(sea_lice!G:G,match(A585,sea_lice!A:A,0))),M585=0),"NA",index(sea_lice!G:G,match(A585,sea_lice!A:A,0)))</f>
        <v>NA</v>
      </c>
      <c r="Q585" s="24">
        <f t="array" ref="Q585">if(isblank(A585),"",index(fish_lab_data!X:X,match(A585,fish_lab_data!C:C,0)))</f>
        <v>1309</v>
      </c>
    </row>
    <row r="586">
      <c r="A586" s="40" t="s">
        <v>1836</v>
      </c>
      <c r="B586" s="9">
        <v>1.0</v>
      </c>
      <c r="C586" s="25">
        <v>0.0</v>
      </c>
      <c r="D586" s="25">
        <v>0.0</v>
      </c>
      <c r="E586" s="25">
        <v>0.0</v>
      </c>
      <c r="F586" s="25">
        <v>0.0</v>
      </c>
      <c r="G586" s="25">
        <v>0.0</v>
      </c>
      <c r="H586" s="25">
        <v>0.0</v>
      </c>
      <c r="I586" s="25">
        <v>0.0</v>
      </c>
      <c r="J586" s="25">
        <v>0.0</v>
      </c>
      <c r="K586" s="25">
        <v>0.0</v>
      </c>
      <c r="L586" s="25">
        <v>0.0</v>
      </c>
      <c r="M586" s="17">
        <f t="shared" si="1"/>
        <v>1</v>
      </c>
      <c r="N586" s="24" t="str">
        <f t="array" ref="N586">if(isblank(A586),"",index(fish_lab_data!O:O,match(A586,fish_lab_data!C:C,0)))</f>
        <v>KB</v>
      </c>
      <c r="O586" s="24" t="str">
        <f t="array" ref="O586">index(fish_lab_data!Q:Q,match(A586,fish_lab_data!C:C,0))</f>
        <v>lab_motiles_cryo</v>
      </c>
      <c r="P586" s="24" t="str">
        <f t="array" ref="P586">if(and(iserror(index(sea_lice!G:G,match(A586,sea_lice!A:A,0))),M586=0),"NA",index(sea_lice!G:G,match(A586,sea_lice!A:A,0)))</f>
        <v>BSL2-83</v>
      </c>
      <c r="Q586" s="24">
        <f t="array" ref="Q586">if(isblank(A586),"",index(fish_lab_data!X:X,match(A586,fish_lab_data!C:C,0)))</f>
        <v>1310</v>
      </c>
    </row>
    <row r="587">
      <c r="A587" s="40" t="s">
        <v>1838</v>
      </c>
      <c r="B587" s="25">
        <v>0.0</v>
      </c>
      <c r="C587" s="25">
        <v>0.0</v>
      </c>
      <c r="D587" s="25">
        <v>0.0</v>
      </c>
      <c r="E587" s="25">
        <v>0.0</v>
      </c>
      <c r="F587" s="25">
        <v>0.0</v>
      </c>
      <c r="G587" s="25">
        <v>0.0</v>
      </c>
      <c r="H587" s="25">
        <v>0.0</v>
      </c>
      <c r="I587" s="25">
        <v>0.0</v>
      </c>
      <c r="J587" s="25">
        <v>0.0</v>
      </c>
      <c r="K587" s="25">
        <v>0.0</v>
      </c>
      <c r="L587" s="25">
        <v>0.0</v>
      </c>
      <c r="M587" s="17">
        <f t="shared" si="1"/>
        <v>0</v>
      </c>
      <c r="N587" s="24" t="str">
        <f t="array" ref="N587">if(isblank(A587),"",index(fish_lab_data!O:O,match(A587,fish_lab_data!C:C,0)))</f>
        <v>KB</v>
      </c>
      <c r="O587" s="24" t="str">
        <f t="array" ref="O587">index(fish_lab_data!Q:Q,match(A587,fish_lab_data!C:C,0))</f>
        <v>lab_motiles_cryo</v>
      </c>
      <c r="P587" s="24" t="str">
        <f t="array" ref="P587">if(and(iserror(index(sea_lice!G:G,match(A587,sea_lice!A:A,0))),M587=0),"NA",index(sea_lice!G:G,match(A587,sea_lice!A:A,0)))</f>
        <v>NA</v>
      </c>
      <c r="Q587" s="24">
        <f t="array" ref="Q587">if(isblank(A587),"",index(fish_lab_data!X:X,match(A587,fish_lab_data!C:C,0)))</f>
        <v>1311</v>
      </c>
    </row>
    <row r="588">
      <c r="A588" s="40" t="s">
        <v>1840</v>
      </c>
      <c r="B588" s="25">
        <v>0.0</v>
      </c>
      <c r="C588" s="25">
        <v>0.0</v>
      </c>
      <c r="D588" s="25">
        <v>0.0</v>
      </c>
      <c r="E588" s="25">
        <v>0.0</v>
      </c>
      <c r="F588" s="25">
        <v>0.0</v>
      </c>
      <c r="G588" s="25">
        <v>0.0</v>
      </c>
      <c r="H588" s="25">
        <v>0.0</v>
      </c>
      <c r="I588" s="25">
        <v>0.0</v>
      </c>
      <c r="J588" s="25">
        <v>0.0</v>
      </c>
      <c r="K588" s="25">
        <v>0.0</v>
      </c>
      <c r="L588" s="25">
        <v>0.0</v>
      </c>
      <c r="M588" s="17">
        <f t="shared" si="1"/>
        <v>0</v>
      </c>
      <c r="N588" s="24" t="str">
        <f t="array" ref="N588">if(isblank(A588),"",index(fish_lab_data!O:O,match(A588,fish_lab_data!C:C,0)))</f>
        <v>KB</v>
      </c>
      <c r="O588" s="24" t="str">
        <f t="array" ref="O588">index(fish_lab_data!Q:Q,match(A588,fish_lab_data!C:C,0))</f>
        <v>lab_motiles_cryo</v>
      </c>
      <c r="P588" s="24" t="str">
        <f t="array" ref="P588">if(and(iserror(index(sea_lice!G:G,match(A588,sea_lice!A:A,0))),M588=0),"NA",index(sea_lice!G:G,match(A588,sea_lice!A:A,0)))</f>
        <v>NA</v>
      </c>
      <c r="Q588" s="24">
        <f t="array" ref="Q588">if(isblank(A588),"",index(fish_lab_data!X:X,match(A588,fish_lab_data!C:C,0)))</f>
        <v>1312</v>
      </c>
    </row>
    <row r="589">
      <c r="A589" s="40" t="s">
        <v>1841</v>
      </c>
      <c r="B589" s="9">
        <v>1.0</v>
      </c>
      <c r="C589" s="25">
        <v>0.0</v>
      </c>
      <c r="D589" s="25">
        <v>0.0</v>
      </c>
      <c r="E589" s="25">
        <v>0.0</v>
      </c>
      <c r="F589" s="9">
        <v>1.0</v>
      </c>
      <c r="G589" s="25">
        <v>0.0</v>
      </c>
      <c r="H589" s="25">
        <v>0.0</v>
      </c>
      <c r="I589" s="25">
        <v>0.0</v>
      </c>
      <c r="J589" s="25">
        <v>0.0</v>
      </c>
      <c r="K589" s="25">
        <v>0.0</v>
      </c>
      <c r="L589" s="25">
        <v>0.0</v>
      </c>
      <c r="M589" s="17">
        <f t="shared" si="1"/>
        <v>2</v>
      </c>
      <c r="N589" s="24" t="str">
        <f t="array" ref="N589">if(isblank(A589),"",index(fish_lab_data!O:O,match(A589,fish_lab_data!C:C,0)))</f>
        <v>KB</v>
      </c>
      <c r="O589" s="24" t="str">
        <f t="array" ref="O589">index(fish_lab_data!Q:Q,match(A589,fish_lab_data!C:C,0))</f>
        <v>lab_motiles_cryo</v>
      </c>
      <c r="P589" s="24" t="str">
        <f t="array" ref="P589">if(and(iserror(index(sea_lice!G:G,match(A589,sea_lice!A:A,0))),M589=0),"NA",index(sea_lice!G:G,match(A589,sea_lice!A:A,0)))</f>
        <v>BSL2-85</v>
      </c>
      <c r="Q589" s="24">
        <f t="array" ref="Q589">if(isblank(A589),"",index(fish_lab_data!X:X,match(A589,fish_lab_data!C:C,0)))</f>
        <v>1313</v>
      </c>
    </row>
    <row r="590">
      <c r="A590" s="40" t="s">
        <v>1843</v>
      </c>
      <c r="B590" s="25">
        <v>0.0</v>
      </c>
      <c r="C590" s="25">
        <v>0.0</v>
      </c>
      <c r="D590" s="25">
        <v>0.0</v>
      </c>
      <c r="E590" s="25">
        <v>0.0</v>
      </c>
      <c r="F590" s="25">
        <v>0.0</v>
      </c>
      <c r="G590" s="25">
        <v>0.0</v>
      </c>
      <c r="H590" s="25">
        <v>0.0</v>
      </c>
      <c r="I590" s="25">
        <v>0.0</v>
      </c>
      <c r="J590" s="25">
        <v>0.0</v>
      </c>
      <c r="K590" s="25">
        <v>0.0</v>
      </c>
      <c r="L590" s="25">
        <v>0.0</v>
      </c>
      <c r="M590" s="17">
        <f t="shared" si="1"/>
        <v>0</v>
      </c>
      <c r="N590" s="24" t="str">
        <f t="array" ref="N590">if(isblank(A590),"",index(fish_lab_data!O:O,match(A590,fish_lab_data!C:C,0)))</f>
        <v>KB</v>
      </c>
      <c r="O590" s="24" t="str">
        <f t="array" ref="O590">index(fish_lab_data!Q:Q,match(A590,fish_lab_data!C:C,0))</f>
        <v>lab_motiles_cryo</v>
      </c>
      <c r="P590" s="24" t="str">
        <f t="array" ref="P590">if(and(iserror(index(sea_lice!G:G,match(A590,sea_lice!A:A,0))),M590=0),"NA",index(sea_lice!G:G,match(A590,sea_lice!A:A,0)))</f>
        <v>NA</v>
      </c>
      <c r="Q590" s="24">
        <f t="array" ref="Q590">if(isblank(A590),"",index(fish_lab_data!X:X,match(A590,fish_lab_data!C:C,0)))</f>
        <v>1314</v>
      </c>
    </row>
    <row r="591">
      <c r="A591" s="40" t="s">
        <v>1844</v>
      </c>
      <c r="B591" s="25">
        <v>0.0</v>
      </c>
      <c r="C591" s="25">
        <v>0.0</v>
      </c>
      <c r="D591" s="25">
        <v>0.0</v>
      </c>
      <c r="E591" s="25">
        <v>0.0</v>
      </c>
      <c r="F591" s="25">
        <v>0.0</v>
      </c>
      <c r="G591" s="25">
        <v>0.0</v>
      </c>
      <c r="H591" s="25">
        <v>0.0</v>
      </c>
      <c r="I591" s="25">
        <v>0.0</v>
      </c>
      <c r="J591" s="25">
        <v>0.0</v>
      </c>
      <c r="K591" s="25">
        <v>0.0</v>
      </c>
      <c r="L591" s="25">
        <v>0.0</v>
      </c>
      <c r="M591" s="17">
        <f t="shared" si="1"/>
        <v>0</v>
      </c>
      <c r="N591" s="24" t="str">
        <f t="array" ref="N591">if(isblank(A591),"",index(fish_lab_data!O:O,match(A591,fish_lab_data!C:C,0)))</f>
        <v>KB</v>
      </c>
      <c r="O591" s="24" t="str">
        <f t="array" ref="O591">index(fish_lab_data!Q:Q,match(A591,fish_lab_data!C:C,0))</f>
        <v>lab_motiles_cryo</v>
      </c>
      <c r="P591" s="24" t="str">
        <f t="array" ref="P591">if(and(iserror(index(sea_lice!G:G,match(A591,sea_lice!A:A,0))),M591=0),"NA",index(sea_lice!G:G,match(A591,sea_lice!A:A,0)))</f>
        <v>NA</v>
      </c>
      <c r="Q591" s="24">
        <f t="array" ref="Q591">if(isblank(A591),"",index(fish_lab_data!X:X,match(A591,fish_lab_data!C:C,0)))</f>
        <v>1315</v>
      </c>
    </row>
    <row r="592">
      <c r="A592" s="40" t="s">
        <v>1845</v>
      </c>
      <c r="B592" s="25">
        <v>0.0</v>
      </c>
      <c r="C592" s="25">
        <v>0.0</v>
      </c>
      <c r="D592" s="25">
        <v>0.0</v>
      </c>
      <c r="E592" s="25">
        <v>0.0</v>
      </c>
      <c r="F592" s="25">
        <v>0.0</v>
      </c>
      <c r="G592" s="25">
        <v>0.0</v>
      </c>
      <c r="H592" s="25">
        <v>0.0</v>
      </c>
      <c r="I592" s="25">
        <v>0.0</v>
      </c>
      <c r="J592" s="25">
        <v>0.0</v>
      </c>
      <c r="K592" s="25">
        <v>0.0</v>
      </c>
      <c r="L592" s="25">
        <v>0.0</v>
      </c>
      <c r="M592" s="17">
        <f t="shared" si="1"/>
        <v>0</v>
      </c>
      <c r="N592" s="24" t="str">
        <f t="array" ref="N592">if(isblank(A592),"",index(fish_lab_data!O:O,match(A592,fish_lab_data!C:C,0)))</f>
        <v>KB</v>
      </c>
      <c r="O592" s="24" t="str">
        <f t="array" ref="O592">index(fish_lab_data!Q:Q,match(A592,fish_lab_data!C:C,0))</f>
        <v>lab_motiles_cryo</v>
      </c>
      <c r="P592" s="24" t="str">
        <f t="array" ref="P592">if(and(iserror(index(sea_lice!G:G,match(A592,sea_lice!A:A,0))),M592=0),"NA",index(sea_lice!G:G,match(A592,sea_lice!A:A,0)))</f>
        <v>NA</v>
      </c>
      <c r="Q592" s="24">
        <f t="array" ref="Q592">if(isblank(A592),"",index(fish_lab_data!X:X,match(A592,fish_lab_data!C:C,0)))</f>
        <v>1316</v>
      </c>
    </row>
    <row r="593">
      <c r="A593" s="40" t="s">
        <v>1846</v>
      </c>
      <c r="B593" s="9">
        <v>1.0</v>
      </c>
      <c r="C593" s="25">
        <v>0.0</v>
      </c>
      <c r="D593" s="25">
        <v>0.0</v>
      </c>
      <c r="E593" s="9">
        <v>1.0</v>
      </c>
      <c r="F593" s="25">
        <v>0.0</v>
      </c>
      <c r="G593" s="25">
        <v>0.0</v>
      </c>
      <c r="H593" s="25">
        <v>0.0</v>
      </c>
      <c r="I593" s="25">
        <v>0.0</v>
      </c>
      <c r="J593" s="25">
        <v>0.0</v>
      </c>
      <c r="K593" s="25">
        <v>0.0</v>
      </c>
      <c r="L593" s="25">
        <v>0.0</v>
      </c>
      <c r="M593" s="17">
        <f t="shared" si="1"/>
        <v>2</v>
      </c>
      <c r="N593" s="24" t="str">
        <f t="array" ref="N593">if(isblank(A593),"",index(fish_lab_data!O:O,match(A593,fish_lab_data!C:C,0)))</f>
        <v>KB</v>
      </c>
      <c r="O593" s="24" t="str">
        <f t="array" ref="O593">index(fish_lab_data!Q:Q,match(A593,fish_lab_data!C:C,0))</f>
        <v>lab_motiles_cryo</v>
      </c>
      <c r="P593" s="24" t="str">
        <f t="array" ref="P593">if(and(iserror(index(sea_lice!G:G,match(A593,sea_lice!A:A,0))),M593=0),"NA",index(sea_lice!G:G,match(A593,sea_lice!A:A,0)))</f>
        <v>BSL2-87</v>
      </c>
      <c r="Q593" s="24">
        <f t="array" ref="Q593">if(isblank(A593),"",index(fish_lab_data!X:X,match(A593,fish_lab_data!C:C,0)))</f>
        <v>1317</v>
      </c>
    </row>
    <row r="594">
      <c r="A594" s="40" t="s">
        <v>1847</v>
      </c>
      <c r="B594" s="25">
        <v>0.0</v>
      </c>
      <c r="C594" s="25">
        <v>0.0</v>
      </c>
      <c r="D594" s="9">
        <v>1.0</v>
      </c>
      <c r="E594" s="25">
        <v>0.0</v>
      </c>
      <c r="F594" s="25">
        <v>0.0</v>
      </c>
      <c r="G594" s="25">
        <v>0.0</v>
      </c>
      <c r="H594" s="25">
        <v>0.0</v>
      </c>
      <c r="I594" s="25">
        <v>0.0</v>
      </c>
      <c r="J594" s="25">
        <v>0.0</v>
      </c>
      <c r="K594" s="25">
        <v>0.0</v>
      </c>
      <c r="L594" s="25">
        <v>0.0</v>
      </c>
      <c r="M594" s="17">
        <f t="shared" si="1"/>
        <v>1</v>
      </c>
      <c r="N594" s="24" t="str">
        <f t="array" ref="N594">if(isblank(A594),"",index(fish_lab_data!O:O,match(A594,fish_lab_data!C:C,0)))</f>
        <v>KB</v>
      </c>
      <c r="O594" s="24" t="str">
        <f t="array" ref="O594">index(fish_lab_data!Q:Q,match(A594,fish_lab_data!C:C,0))</f>
        <v>lab_motiles_cryo</v>
      </c>
      <c r="P594" s="24" t="str">
        <f t="array" ref="P594">if(and(iserror(index(sea_lice!G:G,match(A594,sea_lice!A:A,0))),M594=0),"NA",index(sea_lice!G:G,match(A594,sea_lice!A:A,0)))</f>
        <v>BSL2-89</v>
      </c>
      <c r="Q594" s="24">
        <f t="array" ref="Q594">if(isblank(A594),"",index(fish_lab_data!X:X,match(A594,fish_lab_data!C:C,0)))</f>
        <v>1318</v>
      </c>
    </row>
    <row r="595">
      <c r="A595" s="25" t="s">
        <v>1848</v>
      </c>
      <c r="B595" s="25">
        <v>0.0</v>
      </c>
      <c r="C595" s="25">
        <v>0.0</v>
      </c>
      <c r="D595" s="25">
        <v>0.0</v>
      </c>
      <c r="E595" s="25">
        <v>0.0</v>
      </c>
      <c r="F595" s="25">
        <v>0.0</v>
      </c>
      <c r="G595" s="25">
        <v>0.0</v>
      </c>
      <c r="H595" s="25">
        <v>0.0</v>
      </c>
      <c r="I595" s="25">
        <v>0.0</v>
      </c>
      <c r="J595" s="25">
        <v>0.0</v>
      </c>
      <c r="K595" s="25">
        <v>0.0</v>
      </c>
      <c r="L595" s="25">
        <v>0.0</v>
      </c>
      <c r="M595" s="17">
        <f t="shared" si="1"/>
        <v>0</v>
      </c>
      <c r="N595" s="24" t="str">
        <f t="array" ref="N595">if(isblank(A595),"",index(fish_lab_data!O:O,match(A595,fish_lab_data!C:C,0)))</f>
        <v>JG</v>
      </c>
      <c r="O595" s="24" t="str">
        <f t="array" ref="O595">index(fish_lab_data!Q:Q,match(A595,fish_lab_data!C:C,0))</f>
        <v>lab_motiles_cryo</v>
      </c>
      <c r="P595" s="24" t="str">
        <f t="array" ref="P595">if(and(iserror(index(sea_lice!G:G,match(A595,sea_lice!A:A,0))),M595=0),"NA",index(sea_lice!G:G,match(A595,sea_lice!A:A,0)))</f>
        <v>NA</v>
      </c>
      <c r="Q595" s="24">
        <f t="array" ref="Q595">if(isblank(A595),"",index(fish_lab_data!X:X,match(A595,fish_lab_data!C:C,0)))</f>
        <v>1319</v>
      </c>
    </row>
    <row r="596">
      <c r="A596" s="25" t="s">
        <v>1849</v>
      </c>
      <c r="B596" s="25">
        <v>0.0</v>
      </c>
      <c r="C596" s="25">
        <v>0.0</v>
      </c>
      <c r="D596" s="25">
        <v>0.0</v>
      </c>
      <c r="E596" s="25">
        <v>0.0</v>
      </c>
      <c r="F596" s="25">
        <v>0.0</v>
      </c>
      <c r="G596" s="25">
        <v>0.0</v>
      </c>
      <c r="H596" s="25">
        <v>0.0</v>
      </c>
      <c r="I596" s="25">
        <v>0.0</v>
      </c>
      <c r="J596" s="25">
        <v>0.0</v>
      </c>
      <c r="K596" s="25">
        <v>0.0</v>
      </c>
      <c r="L596" s="25">
        <v>0.0</v>
      </c>
      <c r="M596" s="17">
        <f t="shared" si="1"/>
        <v>0</v>
      </c>
      <c r="N596" s="24" t="str">
        <f t="array" ref="N596">if(isblank(A596),"",index(fish_lab_data!O:O,match(A596,fish_lab_data!C:C,0)))</f>
        <v>JG</v>
      </c>
      <c r="O596" s="24" t="str">
        <f t="array" ref="O596">index(fish_lab_data!Q:Q,match(A596,fish_lab_data!C:C,0))</f>
        <v>lab_motiles_cryo</v>
      </c>
      <c r="P596" s="24" t="str">
        <f t="array" ref="P596">if(and(iserror(index(sea_lice!G:G,match(A596,sea_lice!A:A,0))),M596=0),"NA",index(sea_lice!G:G,match(A596,sea_lice!A:A,0)))</f>
        <v>NA</v>
      </c>
      <c r="Q596" s="24">
        <f t="array" ref="Q596">if(isblank(A596),"",index(fish_lab_data!X:X,match(A596,fish_lab_data!C:C,0)))</f>
        <v>1320</v>
      </c>
    </row>
    <row r="597">
      <c r="A597" s="25" t="s">
        <v>1850</v>
      </c>
      <c r="B597" s="25">
        <v>0.0</v>
      </c>
      <c r="C597" s="25">
        <v>0.0</v>
      </c>
      <c r="D597" s="25">
        <v>0.0</v>
      </c>
      <c r="E597" s="25">
        <v>0.0</v>
      </c>
      <c r="F597" s="25">
        <v>0.0</v>
      </c>
      <c r="G597" s="25">
        <v>0.0</v>
      </c>
      <c r="H597" s="25">
        <v>0.0</v>
      </c>
      <c r="I597" s="25">
        <v>0.0</v>
      </c>
      <c r="J597" s="25">
        <v>0.0</v>
      </c>
      <c r="K597" s="25">
        <v>0.0</v>
      </c>
      <c r="L597" s="25">
        <v>0.0</v>
      </c>
      <c r="M597" s="17">
        <f t="shared" si="1"/>
        <v>0</v>
      </c>
      <c r="N597" s="24" t="str">
        <f t="array" ref="N597">if(isblank(A597),"",index(fish_lab_data!O:O,match(A597,fish_lab_data!C:C,0)))</f>
        <v>JG</v>
      </c>
      <c r="O597" s="24" t="str">
        <f t="array" ref="O597">index(fish_lab_data!Q:Q,match(A597,fish_lab_data!C:C,0))</f>
        <v>lab_motiles_cryo</v>
      </c>
      <c r="P597" s="24" t="str">
        <f t="array" ref="P597">if(and(iserror(index(sea_lice!G:G,match(A597,sea_lice!A:A,0))),M597=0),"NA",index(sea_lice!G:G,match(A597,sea_lice!A:A,0)))</f>
        <v>NA</v>
      </c>
      <c r="Q597" s="24">
        <f t="array" ref="Q597">if(isblank(A597),"",index(fish_lab_data!X:X,match(A597,fish_lab_data!C:C,0)))</f>
        <v>1321</v>
      </c>
    </row>
    <row r="598">
      <c r="A598" s="25" t="s">
        <v>1852</v>
      </c>
      <c r="B598" s="25">
        <v>0.0</v>
      </c>
      <c r="C598" s="9">
        <v>1.0</v>
      </c>
      <c r="D598" s="25">
        <v>0.0</v>
      </c>
      <c r="E598" s="25">
        <v>0.0</v>
      </c>
      <c r="F598" s="25">
        <v>0.0</v>
      </c>
      <c r="G598" s="25">
        <v>0.0</v>
      </c>
      <c r="H598" s="25">
        <v>0.0</v>
      </c>
      <c r="I598" s="25">
        <v>0.0</v>
      </c>
      <c r="J598" s="25">
        <v>0.0</v>
      </c>
      <c r="K598" s="9">
        <v>1.0</v>
      </c>
      <c r="L598" s="25">
        <v>0.0</v>
      </c>
      <c r="M598" s="17">
        <f t="shared" si="1"/>
        <v>2</v>
      </c>
      <c r="N598" s="24" t="str">
        <f t="array" ref="N598">if(isblank(A598),"",index(fish_lab_data!O:O,match(A598,fish_lab_data!C:C,0)))</f>
        <v>JG</v>
      </c>
      <c r="O598" s="24" t="str">
        <f t="array" ref="O598">index(fish_lab_data!Q:Q,match(A598,fish_lab_data!C:C,0))</f>
        <v>lab_motiles_cryo</v>
      </c>
      <c r="P598" s="24" t="str">
        <f t="array" ref="P598">if(and(iserror(index(sea_lice!G:G,match(A598,sea_lice!A:A,0))),M598=0),"NA",index(sea_lice!G:G,match(A598,sea_lice!A:A,0)))</f>
        <v>BSL8-29</v>
      </c>
      <c r="Q598" s="24">
        <f t="array" ref="Q598">if(isblank(A598),"",index(fish_lab_data!X:X,match(A598,fish_lab_data!C:C,0)))</f>
        <v>1322</v>
      </c>
    </row>
    <row r="599">
      <c r="A599" s="25" t="s">
        <v>1853</v>
      </c>
      <c r="B599" s="25">
        <v>0.0</v>
      </c>
      <c r="C599" s="9">
        <v>0.0</v>
      </c>
      <c r="D599" s="25">
        <v>0.0</v>
      </c>
      <c r="E599" s="9">
        <v>1.0</v>
      </c>
      <c r="F599" s="25">
        <v>0.0</v>
      </c>
      <c r="G599" s="25">
        <v>0.0</v>
      </c>
      <c r="H599" s="25">
        <v>0.0</v>
      </c>
      <c r="I599" s="25">
        <v>0.0</v>
      </c>
      <c r="J599" s="25">
        <v>0.0</v>
      </c>
      <c r="K599" s="9">
        <v>0.0</v>
      </c>
      <c r="L599" s="25">
        <v>0.0</v>
      </c>
      <c r="M599" s="17">
        <f t="shared" si="1"/>
        <v>1</v>
      </c>
      <c r="N599" s="24" t="str">
        <f t="array" ref="N599">if(isblank(A599),"",index(fish_lab_data!O:O,match(A599,fish_lab_data!C:C,0)))</f>
        <v>JG</v>
      </c>
      <c r="O599" s="24" t="str">
        <f t="array" ref="O599">index(fish_lab_data!Q:Q,match(A599,fish_lab_data!C:C,0))</f>
        <v>lab_motiles_cryo</v>
      </c>
      <c r="P599" s="24" t="str">
        <f t="array" ref="P599">if(and(iserror(index(sea_lice!G:G,match(A599,sea_lice!A:A,0))),M599=0),"NA",index(sea_lice!G:G,match(A599,sea_lice!A:A,0)))</f>
        <v>BSL8-30</v>
      </c>
      <c r="Q599" s="24">
        <f t="array" ref="Q599">if(isblank(A599),"",index(fish_lab_data!X:X,match(A599,fish_lab_data!C:C,0)))</f>
        <v>1323</v>
      </c>
    </row>
    <row r="600">
      <c r="A600" s="25" t="s">
        <v>1854</v>
      </c>
      <c r="B600" s="25">
        <v>0.0</v>
      </c>
      <c r="C600" s="25">
        <v>0.0</v>
      </c>
      <c r="D600" s="25">
        <v>0.0</v>
      </c>
      <c r="E600" s="9">
        <v>0.0</v>
      </c>
      <c r="F600" s="25">
        <v>0.0</v>
      </c>
      <c r="G600" s="25">
        <v>0.0</v>
      </c>
      <c r="H600" s="25">
        <v>0.0</v>
      </c>
      <c r="I600" s="25">
        <v>0.0</v>
      </c>
      <c r="J600" s="25">
        <v>0.0</v>
      </c>
      <c r="K600" s="25">
        <v>0.0</v>
      </c>
      <c r="L600" s="25">
        <v>0.0</v>
      </c>
      <c r="M600" s="17">
        <f t="shared" si="1"/>
        <v>0</v>
      </c>
      <c r="N600" s="24" t="str">
        <f t="array" ref="N600">if(isblank(A600),"",index(fish_lab_data!O:O,match(A600,fish_lab_data!C:C,0)))</f>
        <v>JG</v>
      </c>
      <c r="O600" s="24" t="str">
        <f t="array" ref="O600">index(fish_lab_data!Q:Q,match(A600,fish_lab_data!C:C,0))</f>
        <v>lab_motiles_cryo</v>
      </c>
      <c r="P600" s="24" t="str">
        <f t="array" ref="P600">if(and(iserror(index(sea_lice!G:G,match(A600,sea_lice!A:A,0))),M600=0),"NA",index(sea_lice!G:G,match(A600,sea_lice!A:A,0)))</f>
        <v>NA</v>
      </c>
      <c r="Q600" s="24">
        <f t="array" ref="Q600">if(isblank(A600),"",index(fish_lab_data!X:X,match(A600,fish_lab_data!C:C,0)))</f>
        <v>1324</v>
      </c>
    </row>
    <row r="601">
      <c r="A601" s="25" t="s">
        <v>1855</v>
      </c>
      <c r="B601" s="25">
        <v>0.0</v>
      </c>
      <c r="C601" s="25">
        <v>0.0</v>
      </c>
      <c r="D601" s="25">
        <v>0.0</v>
      </c>
      <c r="E601" s="25">
        <v>0.0</v>
      </c>
      <c r="F601" s="25">
        <v>0.0</v>
      </c>
      <c r="G601" s="25">
        <v>0.0</v>
      </c>
      <c r="H601" s="25">
        <v>0.0</v>
      </c>
      <c r="I601" s="25">
        <v>0.0</v>
      </c>
      <c r="J601" s="25">
        <v>0.0</v>
      </c>
      <c r="K601" s="25">
        <v>0.0</v>
      </c>
      <c r="L601" s="25">
        <v>0.0</v>
      </c>
      <c r="M601" s="17">
        <f t="shared" si="1"/>
        <v>0</v>
      </c>
      <c r="N601" s="24" t="str">
        <f t="array" ref="N601">if(isblank(A601),"",index(fish_lab_data!O:O,match(A601,fish_lab_data!C:C,0)))</f>
        <v>JG</v>
      </c>
      <c r="O601" s="24" t="str">
        <f t="array" ref="O601">index(fish_lab_data!Q:Q,match(A601,fish_lab_data!C:C,0))</f>
        <v>lab_motiles_cryo</v>
      </c>
      <c r="P601" s="24" t="str">
        <f t="array" ref="P601">if(and(iserror(index(sea_lice!G:G,match(A601,sea_lice!A:A,0))),M601=0),"NA",index(sea_lice!G:G,match(A601,sea_lice!A:A,0)))</f>
        <v>NA</v>
      </c>
      <c r="Q601" s="24">
        <f t="array" ref="Q601">if(isblank(A601),"",index(fish_lab_data!X:X,match(A601,fish_lab_data!C:C,0)))</f>
        <v>1325</v>
      </c>
    </row>
    <row r="602">
      <c r="A602" s="25" t="s">
        <v>1857</v>
      </c>
      <c r="B602" s="25">
        <v>0.0</v>
      </c>
      <c r="C602" s="25">
        <v>0.0</v>
      </c>
      <c r="D602" s="25">
        <v>0.0</v>
      </c>
      <c r="E602" s="25">
        <v>0.0</v>
      </c>
      <c r="F602" s="25">
        <v>0.0</v>
      </c>
      <c r="G602" s="25">
        <v>0.0</v>
      </c>
      <c r="H602" s="25">
        <v>0.0</v>
      </c>
      <c r="I602" s="25">
        <v>0.0</v>
      </c>
      <c r="J602" s="25">
        <v>0.0</v>
      </c>
      <c r="K602" s="25">
        <v>0.0</v>
      </c>
      <c r="L602" s="25">
        <v>0.0</v>
      </c>
      <c r="M602" s="17">
        <f t="shared" si="1"/>
        <v>0</v>
      </c>
      <c r="N602" s="24" t="str">
        <f t="array" ref="N602">if(isblank(A602),"",index(fish_lab_data!O:O,match(A602,fish_lab_data!C:C,0)))</f>
        <v>JG</v>
      </c>
      <c r="O602" s="24" t="str">
        <f t="array" ref="O602">index(fish_lab_data!Q:Q,match(A602,fish_lab_data!C:C,0))</f>
        <v>lab_motiles_cryo</v>
      </c>
      <c r="P602" s="24" t="str">
        <f t="array" ref="P602">if(and(iserror(index(sea_lice!G:G,match(A602,sea_lice!A:A,0))),M602=0),"NA",index(sea_lice!G:G,match(A602,sea_lice!A:A,0)))</f>
        <v>NA</v>
      </c>
      <c r="Q602" s="24">
        <f t="array" ref="Q602">if(isblank(A602),"",index(fish_lab_data!X:X,match(A602,fish_lab_data!C:C,0)))</f>
        <v>1326</v>
      </c>
    </row>
    <row r="603">
      <c r="A603" s="25" t="s">
        <v>1858</v>
      </c>
      <c r="B603" s="25">
        <v>0.0</v>
      </c>
      <c r="C603" s="25">
        <v>0.0</v>
      </c>
      <c r="D603" s="25">
        <v>0.0</v>
      </c>
      <c r="E603" s="25">
        <v>0.0</v>
      </c>
      <c r="F603" s="25">
        <v>0.0</v>
      </c>
      <c r="G603" s="25">
        <v>0.0</v>
      </c>
      <c r="H603" s="25">
        <v>0.0</v>
      </c>
      <c r="I603" s="25">
        <v>0.0</v>
      </c>
      <c r="J603" s="25">
        <v>0.0</v>
      </c>
      <c r="K603" s="25">
        <v>0.0</v>
      </c>
      <c r="L603" s="25">
        <v>0.0</v>
      </c>
      <c r="M603" s="17">
        <f t="shared" si="1"/>
        <v>0</v>
      </c>
      <c r="N603" s="24" t="str">
        <f t="array" ref="N603">if(isblank(A603),"",index(fish_lab_data!O:O,match(A603,fish_lab_data!C:C,0)))</f>
        <v>JG</v>
      </c>
      <c r="O603" s="24" t="str">
        <f t="array" ref="O603">index(fish_lab_data!Q:Q,match(A603,fish_lab_data!C:C,0))</f>
        <v>lab_motiles_cryo</v>
      </c>
      <c r="P603" s="24" t="str">
        <f t="array" ref="P603">if(and(iserror(index(sea_lice!G:G,match(A603,sea_lice!A:A,0))),M603=0),"NA",index(sea_lice!G:G,match(A603,sea_lice!A:A,0)))</f>
        <v>NA</v>
      </c>
      <c r="Q603" s="24">
        <f t="array" ref="Q603">if(isblank(A603),"",index(fish_lab_data!X:X,match(A603,fish_lab_data!C:C,0)))</f>
        <v>1327</v>
      </c>
    </row>
    <row r="604">
      <c r="A604" s="25" t="s">
        <v>1859</v>
      </c>
      <c r="B604" s="25">
        <v>0.0</v>
      </c>
      <c r="C604" s="25">
        <v>0.0</v>
      </c>
      <c r="D604" s="25">
        <v>0.0</v>
      </c>
      <c r="E604" s="25">
        <v>0.0</v>
      </c>
      <c r="F604" s="25">
        <v>0.0</v>
      </c>
      <c r="G604" s="25">
        <v>0.0</v>
      </c>
      <c r="H604" s="25">
        <v>0.0</v>
      </c>
      <c r="I604" s="25">
        <v>0.0</v>
      </c>
      <c r="J604" s="25">
        <v>0.0</v>
      </c>
      <c r="K604" s="25">
        <v>0.0</v>
      </c>
      <c r="L604" s="25">
        <v>0.0</v>
      </c>
      <c r="M604" s="17">
        <f t="shared" si="1"/>
        <v>0</v>
      </c>
      <c r="N604" s="24" t="str">
        <f t="array" ref="N604">if(isblank(A604),"",index(fish_lab_data!O:O,match(A604,fish_lab_data!C:C,0)))</f>
        <v>JG</v>
      </c>
      <c r="O604" s="24" t="str">
        <f t="array" ref="O604">index(fish_lab_data!Q:Q,match(A604,fish_lab_data!C:C,0))</f>
        <v>lab_motiles_cryo</v>
      </c>
      <c r="P604" s="24" t="str">
        <f t="array" ref="P604">if(and(iserror(index(sea_lice!G:G,match(A604,sea_lice!A:A,0))),M604=0),"NA",index(sea_lice!G:G,match(A604,sea_lice!A:A,0)))</f>
        <v>NA</v>
      </c>
      <c r="Q604" s="24">
        <f t="array" ref="Q604">if(isblank(A604),"",index(fish_lab_data!X:X,match(A604,fish_lab_data!C:C,0)))</f>
        <v>1328</v>
      </c>
    </row>
    <row r="605">
      <c r="A605" s="25" t="s">
        <v>1860</v>
      </c>
      <c r="B605" s="25">
        <v>0.0</v>
      </c>
      <c r="C605" s="25">
        <v>0.0</v>
      </c>
      <c r="D605" s="25">
        <v>0.0</v>
      </c>
      <c r="E605" s="25">
        <v>0.0</v>
      </c>
      <c r="F605" s="25">
        <v>0.0</v>
      </c>
      <c r="G605" s="25">
        <v>0.0</v>
      </c>
      <c r="H605" s="25">
        <v>0.0</v>
      </c>
      <c r="I605" s="25">
        <v>0.0</v>
      </c>
      <c r="J605" s="25">
        <v>0.0</v>
      </c>
      <c r="K605" s="25">
        <v>0.0</v>
      </c>
      <c r="L605" s="25">
        <v>0.0</v>
      </c>
      <c r="M605" s="17">
        <f t="shared" si="1"/>
        <v>0</v>
      </c>
      <c r="N605" s="24" t="str">
        <f t="array" ref="N605">if(isblank(A605),"",index(fish_lab_data!O:O,match(A605,fish_lab_data!C:C,0)))</f>
        <v>JG</v>
      </c>
      <c r="O605" s="24" t="str">
        <f t="array" ref="O605">index(fish_lab_data!Q:Q,match(A605,fish_lab_data!C:C,0))</f>
        <v>lab_motiles_cryo</v>
      </c>
      <c r="P605" s="24" t="str">
        <f t="array" ref="P605">if(and(iserror(index(sea_lice!G:G,match(A605,sea_lice!A:A,0))),M605=0),"NA",index(sea_lice!G:G,match(A605,sea_lice!A:A,0)))</f>
        <v>NA</v>
      </c>
      <c r="Q605" s="24">
        <f t="array" ref="Q605">if(isblank(A605),"",index(fish_lab_data!X:X,match(A605,fish_lab_data!C:C,0)))</f>
        <v>1329</v>
      </c>
    </row>
    <row r="606">
      <c r="A606" s="25" t="s">
        <v>1861</v>
      </c>
      <c r="B606" s="25">
        <v>0.0</v>
      </c>
      <c r="C606" s="25">
        <v>0.0</v>
      </c>
      <c r="D606" s="25">
        <v>0.0</v>
      </c>
      <c r="E606" s="9">
        <v>1.0</v>
      </c>
      <c r="F606" s="25">
        <v>0.0</v>
      </c>
      <c r="G606" s="25">
        <v>0.0</v>
      </c>
      <c r="H606" s="25">
        <v>0.0</v>
      </c>
      <c r="I606" s="25">
        <v>0.0</v>
      </c>
      <c r="J606" s="25">
        <v>0.0</v>
      </c>
      <c r="K606" s="25">
        <v>0.0</v>
      </c>
      <c r="L606" s="25">
        <v>0.0</v>
      </c>
      <c r="M606" s="17">
        <f t="shared" si="1"/>
        <v>1</v>
      </c>
      <c r="N606" s="24" t="str">
        <f t="array" ref="N606">if(isblank(A606),"",index(fish_lab_data!O:O,match(A606,fish_lab_data!C:C,0)))</f>
        <v>JG</v>
      </c>
      <c r="O606" s="24" t="str">
        <f t="array" ref="O606">index(fish_lab_data!Q:Q,match(A606,fish_lab_data!C:C,0))</f>
        <v>lab_motiles_cryo</v>
      </c>
      <c r="P606" s="24" t="str">
        <f t="array" ref="P606">if(and(iserror(index(sea_lice!G:G,match(A606,sea_lice!A:A,0))),M606=0),"NA",index(sea_lice!G:G,match(A606,sea_lice!A:A,0)))</f>
        <v>BSL8-31</v>
      </c>
      <c r="Q606" s="24">
        <f t="array" ref="Q606">if(isblank(A606),"",index(fish_lab_data!X:X,match(A606,fish_lab_data!C:C,0)))</f>
        <v>1330</v>
      </c>
    </row>
    <row r="607">
      <c r="A607" s="25" t="s">
        <v>1863</v>
      </c>
      <c r="B607" s="25">
        <v>0.0</v>
      </c>
      <c r="C607" s="25">
        <v>0.0</v>
      </c>
      <c r="D607" s="9">
        <v>1.0</v>
      </c>
      <c r="E607" s="25">
        <v>0.0</v>
      </c>
      <c r="F607" s="25">
        <v>0.0</v>
      </c>
      <c r="G607" s="25">
        <v>0.0</v>
      </c>
      <c r="H607" s="9">
        <v>1.0</v>
      </c>
      <c r="I607" s="25">
        <v>0.0</v>
      </c>
      <c r="J607" s="25">
        <v>0.0</v>
      </c>
      <c r="K607" s="25">
        <v>0.0</v>
      </c>
      <c r="L607" s="25">
        <v>0.0</v>
      </c>
      <c r="M607" s="17">
        <f t="shared" si="1"/>
        <v>2</v>
      </c>
      <c r="N607" s="24" t="str">
        <f t="array" ref="N607">if(isblank(A607),"",index(fish_lab_data!O:O,match(A607,fish_lab_data!C:C,0)))</f>
        <v>JG</v>
      </c>
      <c r="O607" s="24" t="str">
        <f t="array" ref="O607">index(fish_lab_data!Q:Q,match(A607,fish_lab_data!C:C,0))</f>
        <v>lab_motiles_cryo</v>
      </c>
      <c r="P607" s="24" t="str">
        <f t="array" ref="P607">if(and(iserror(index(sea_lice!G:G,match(A607,sea_lice!A:A,0))),M607=0),"NA",index(sea_lice!G:G,match(A607,sea_lice!A:A,0)))</f>
        <v>BSL8-32</v>
      </c>
      <c r="Q607" s="24">
        <f t="array" ref="Q607">if(isblank(A607),"",index(fish_lab_data!X:X,match(A607,fish_lab_data!C:C,0)))</f>
        <v>1331</v>
      </c>
    </row>
    <row r="608">
      <c r="A608" s="25" t="s">
        <v>1864</v>
      </c>
      <c r="B608" s="25">
        <v>0.0</v>
      </c>
      <c r="C608" s="25">
        <v>0.0</v>
      </c>
      <c r="D608" s="25">
        <v>0.0</v>
      </c>
      <c r="E608" s="25">
        <v>0.0</v>
      </c>
      <c r="F608" s="25">
        <v>0.0</v>
      </c>
      <c r="G608" s="25">
        <v>0.0</v>
      </c>
      <c r="H608" s="25">
        <v>0.0</v>
      </c>
      <c r="I608" s="25">
        <v>0.0</v>
      </c>
      <c r="J608" s="25">
        <v>0.0</v>
      </c>
      <c r="K608" s="25">
        <v>0.0</v>
      </c>
      <c r="L608" s="25">
        <v>0.0</v>
      </c>
      <c r="M608" s="17">
        <f t="shared" si="1"/>
        <v>0</v>
      </c>
      <c r="N608" s="24" t="str">
        <f t="array" ref="N608">if(isblank(A608),"",index(fish_lab_data!O:O,match(A608,fish_lab_data!C:C,0)))</f>
        <v>JG</v>
      </c>
      <c r="O608" s="24" t="str">
        <f t="array" ref="O608">index(fish_lab_data!Q:Q,match(A608,fish_lab_data!C:C,0))</f>
        <v>lab_motiles_cryo</v>
      </c>
      <c r="P608" s="24" t="str">
        <f t="array" ref="P608">if(and(iserror(index(sea_lice!G:G,match(A608,sea_lice!A:A,0))),M608=0),"NA",index(sea_lice!G:G,match(A608,sea_lice!A:A,0)))</f>
        <v>NA</v>
      </c>
      <c r="Q608" s="24">
        <f t="array" ref="Q608">if(isblank(A608),"",index(fish_lab_data!X:X,match(A608,fish_lab_data!C:C,0)))</f>
        <v>1332</v>
      </c>
    </row>
    <row r="609">
      <c r="A609" s="40" t="s">
        <v>1865</v>
      </c>
      <c r="B609" s="25">
        <v>0.0</v>
      </c>
      <c r="C609" s="25">
        <v>0.0</v>
      </c>
      <c r="D609" s="25">
        <v>0.0</v>
      </c>
      <c r="E609" s="25">
        <v>0.0</v>
      </c>
      <c r="F609" s="25">
        <v>0.0</v>
      </c>
      <c r="G609" s="25">
        <v>0.0</v>
      </c>
      <c r="H609" s="25">
        <v>0.0</v>
      </c>
      <c r="I609" s="25">
        <v>0.0</v>
      </c>
      <c r="J609" s="25">
        <v>0.0</v>
      </c>
      <c r="K609" s="25">
        <v>0.0</v>
      </c>
      <c r="L609" s="25">
        <v>0.0</v>
      </c>
      <c r="M609" s="17">
        <f t="shared" si="1"/>
        <v>0</v>
      </c>
      <c r="N609" s="24" t="str">
        <f t="array" ref="N609">if(isblank(A609),"",index(fish_lab_data!O:O,match(A609,fish_lab_data!C:C,0)))</f>
        <v>KB</v>
      </c>
      <c r="O609" s="24" t="str">
        <f t="array" ref="O609">index(fish_lab_data!Q:Q,match(A609,fish_lab_data!C:C,0))</f>
        <v>lab_motiles_etoh</v>
      </c>
      <c r="P609" s="24" t="str">
        <f t="array" ref="P609">if(and(iserror(index(sea_lice!G:G,match(A609,sea_lice!A:A,0))),M609=0),"NA",index(sea_lice!G:G,match(A609,sea_lice!A:A,0)))</f>
        <v>NA</v>
      </c>
      <c r="Q609" s="24">
        <f t="array" ref="Q609">if(isblank(A609),"",index(fish_lab_data!X:X,match(A609,fish_lab_data!C:C,0)))</f>
        <v>1333</v>
      </c>
    </row>
    <row r="610">
      <c r="A610" s="40" t="s">
        <v>1866</v>
      </c>
      <c r="B610" s="25">
        <v>0.0</v>
      </c>
      <c r="C610" s="25">
        <v>0.0</v>
      </c>
      <c r="D610" s="25">
        <v>0.0</v>
      </c>
      <c r="E610" s="25">
        <v>0.0</v>
      </c>
      <c r="F610" s="25">
        <v>0.0</v>
      </c>
      <c r="G610" s="25">
        <v>0.0</v>
      </c>
      <c r="H610" s="25">
        <v>0.0</v>
      </c>
      <c r="I610" s="25">
        <v>0.0</v>
      </c>
      <c r="J610" s="25">
        <v>0.0</v>
      </c>
      <c r="K610" s="25">
        <v>0.0</v>
      </c>
      <c r="L610" s="25">
        <v>0.0</v>
      </c>
      <c r="M610" s="17">
        <f t="shared" si="1"/>
        <v>0</v>
      </c>
      <c r="N610" s="24" t="str">
        <f t="array" ref="N610">if(isblank(A610),"",index(fish_lab_data!O:O,match(A610,fish_lab_data!C:C,0)))</f>
        <v>KB</v>
      </c>
      <c r="O610" s="24" t="str">
        <f t="array" ref="O610">index(fish_lab_data!Q:Q,match(A610,fish_lab_data!C:C,0))</f>
        <v>lab_motiles_etoh</v>
      </c>
      <c r="P610" s="24" t="str">
        <f t="array" ref="P610">if(and(iserror(index(sea_lice!G:G,match(A610,sea_lice!A:A,0))),M610=0),"NA",index(sea_lice!G:G,match(A610,sea_lice!A:A,0)))</f>
        <v>NA</v>
      </c>
      <c r="Q610" s="24">
        <f t="array" ref="Q610">if(isblank(A610),"",index(fish_lab_data!X:X,match(A610,fish_lab_data!C:C,0)))</f>
        <v>1334</v>
      </c>
    </row>
    <row r="611">
      <c r="A611" s="40" t="s">
        <v>1867</v>
      </c>
      <c r="B611" s="25">
        <v>0.0</v>
      </c>
      <c r="C611" s="25">
        <v>0.0</v>
      </c>
      <c r="D611" s="25">
        <v>0.0</v>
      </c>
      <c r="E611" s="25">
        <v>0.0</v>
      </c>
      <c r="F611" s="25">
        <v>0.0</v>
      </c>
      <c r="G611" s="25">
        <v>0.0</v>
      </c>
      <c r="H611" s="25">
        <v>0.0</v>
      </c>
      <c r="I611" s="25">
        <v>0.0</v>
      </c>
      <c r="J611" s="25">
        <v>0.0</v>
      </c>
      <c r="K611" s="25">
        <v>0.0</v>
      </c>
      <c r="L611" s="25">
        <v>0.0</v>
      </c>
      <c r="M611" s="17">
        <f t="shared" si="1"/>
        <v>0</v>
      </c>
      <c r="N611" s="24" t="str">
        <f t="array" ref="N611">if(isblank(A611),"",index(fish_lab_data!O:O,match(A611,fish_lab_data!C:C,0)))</f>
        <v>KB</v>
      </c>
      <c r="O611" s="24" t="str">
        <f t="array" ref="O611">index(fish_lab_data!Q:Q,match(A611,fish_lab_data!C:C,0))</f>
        <v>lab_motiles_etoh</v>
      </c>
      <c r="P611" s="24" t="str">
        <f t="array" ref="P611">if(and(iserror(index(sea_lice!G:G,match(A611,sea_lice!A:A,0))),M611=0),"NA",index(sea_lice!G:G,match(A611,sea_lice!A:A,0)))</f>
        <v>NA</v>
      </c>
      <c r="Q611" s="24">
        <f t="array" ref="Q611">if(isblank(A611),"",index(fish_lab_data!X:X,match(A611,fish_lab_data!C:C,0)))</f>
        <v>1335</v>
      </c>
    </row>
    <row r="612">
      <c r="A612" s="40" t="s">
        <v>1869</v>
      </c>
      <c r="B612" s="25">
        <v>0.0</v>
      </c>
      <c r="C612" s="25">
        <v>0.0</v>
      </c>
      <c r="D612" s="25">
        <v>0.0</v>
      </c>
      <c r="E612" s="25">
        <v>0.0</v>
      </c>
      <c r="F612" s="25">
        <v>0.0</v>
      </c>
      <c r="G612" s="25">
        <v>0.0</v>
      </c>
      <c r="H612" s="25">
        <v>0.0</v>
      </c>
      <c r="I612" s="25">
        <v>0.0</v>
      </c>
      <c r="J612" s="25">
        <v>0.0</v>
      </c>
      <c r="K612" s="25">
        <v>0.0</v>
      </c>
      <c r="L612" s="25">
        <v>0.0</v>
      </c>
      <c r="M612" s="17">
        <f t="shared" si="1"/>
        <v>0</v>
      </c>
      <c r="N612" s="24" t="str">
        <f t="array" ref="N612">if(isblank(A612),"",index(fish_lab_data!O:O,match(A612,fish_lab_data!C:C,0)))</f>
        <v>KB</v>
      </c>
      <c r="O612" s="24" t="str">
        <f t="array" ref="O612">index(fish_lab_data!Q:Q,match(A612,fish_lab_data!C:C,0))</f>
        <v>lab_motiles_etoh</v>
      </c>
      <c r="P612" s="24" t="str">
        <f t="array" ref="P612">if(and(iserror(index(sea_lice!G:G,match(A612,sea_lice!A:A,0))),M612=0),"NA",index(sea_lice!G:G,match(A612,sea_lice!A:A,0)))</f>
        <v>NA</v>
      </c>
      <c r="Q612" s="24">
        <f t="array" ref="Q612">if(isblank(A612),"",index(fish_lab_data!X:X,match(A612,fish_lab_data!C:C,0)))</f>
        <v>1336</v>
      </c>
    </row>
    <row r="613">
      <c r="A613" s="40" t="s">
        <v>1870</v>
      </c>
      <c r="B613" s="25">
        <v>0.0</v>
      </c>
      <c r="C613" s="25">
        <v>0.0</v>
      </c>
      <c r="D613" s="25">
        <v>0.0</v>
      </c>
      <c r="E613" s="25">
        <v>0.0</v>
      </c>
      <c r="F613" s="25">
        <v>0.0</v>
      </c>
      <c r="G613" s="25">
        <v>0.0</v>
      </c>
      <c r="H613" s="25">
        <v>0.0</v>
      </c>
      <c r="I613" s="25">
        <v>0.0</v>
      </c>
      <c r="J613" s="25">
        <v>0.0</v>
      </c>
      <c r="K613" s="25">
        <v>0.0</v>
      </c>
      <c r="L613" s="25">
        <v>0.0</v>
      </c>
      <c r="M613" s="17">
        <f t="shared" si="1"/>
        <v>0</v>
      </c>
      <c r="N613" s="24" t="str">
        <f t="array" ref="N613">if(isblank(A613),"",index(fish_lab_data!O:O,match(A613,fish_lab_data!C:C,0)))</f>
        <v>KB</v>
      </c>
      <c r="O613" s="24" t="str">
        <f t="array" ref="O613">index(fish_lab_data!Q:Q,match(A613,fish_lab_data!C:C,0))</f>
        <v>lab_motiles_etoh</v>
      </c>
      <c r="P613" s="24" t="str">
        <f t="array" ref="P613">if(and(iserror(index(sea_lice!G:G,match(A613,sea_lice!A:A,0))),M613=0),"NA",index(sea_lice!G:G,match(A613,sea_lice!A:A,0)))</f>
        <v>NA</v>
      </c>
      <c r="Q613" s="24">
        <f t="array" ref="Q613">if(isblank(A613),"",index(fish_lab_data!X:X,match(A613,fish_lab_data!C:C,0)))</f>
        <v>1337</v>
      </c>
    </row>
    <row r="614">
      <c r="A614" s="40" t="s">
        <v>1871</v>
      </c>
      <c r="B614" s="25">
        <v>0.0</v>
      </c>
      <c r="C614" s="25">
        <v>0.0</v>
      </c>
      <c r="D614" s="25">
        <v>0.0</v>
      </c>
      <c r="E614" s="25">
        <v>0.0</v>
      </c>
      <c r="F614" s="25">
        <v>0.0</v>
      </c>
      <c r="G614" s="25">
        <v>0.0</v>
      </c>
      <c r="H614" s="25">
        <v>0.0</v>
      </c>
      <c r="I614" s="25">
        <v>0.0</v>
      </c>
      <c r="J614" s="25">
        <v>0.0</v>
      </c>
      <c r="K614" s="25">
        <v>0.0</v>
      </c>
      <c r="L614" s="25">
        <v>0.0</v>
      </c>
      <c r="M614" s="17">
        <f t="shared" si="1"/>
        <v>0</v>
      </c>
      <c r="N614" s="24" t="str">
        <f t="array" ref="N614">if(isblank(A614),"",index(fish_lab_data!O:O,match(A614,fish_lab_data!C:C,0)))</f>
        <v>KB</v>
      </c>
      <c r="O614" s="24" t="str">
        <f t="array" ref="O614">index(fish_lab_data!Q:Q,match(A614,fish_lab_data!C:C,0))</f>
        <v>lab_motiles_etoh</v>
      </c>
      <c r="P614" s="24" t="str">
        <f t="array" ref="P614">if(and(iserror(index(sea_lice!G:G,match(A614,sea_lice!A:A,0))),M614=0),"NA",index(sea_lice!G:G,match(A614,sea_lice!A:A,0)))</f>
        <v>NA</v>
      </c>
      <c r="Q614" s="24">
        <f t="array" ref="Q614">if(isblank(A614),"",index(fish_lab_data!X:X,match(A614,fish_lab_data!C:C,0)))</f>
        <v>1338</v>
      </c>
    </row>
    <row r="615">
      <c r="A615" s="40" t="s">
        <v>1872</v>
      </c>
      <c r="B615" s="25">
        <v>0.0</v>
      </c>
      <c r="C615" s="25">
        <v>0.0</v>
      </c>
      <c r="D615" s="25">
        <v>0.0</v>
      </c>
      <c r="E615" s="25">
        <v>0.0</v>
      </c>
      <c r="F615" s="25">
        <v>0.0</v>
      </c>
      <c r="G615" s="25">
        <v>0.0</v>
      </c>
      <c r="H615" s="25">
        <v>0.0</v>
      </c>
      <c r="I615" s="25">
        <v>0.0</v>
      </c>
      <c r="J615" s="25">
        <v>0.0</v>
      </c>
      <c r="K615" s="25">
        <v>0.0</v>
      </c>
      <c r="L615" s="25">
        <v>0.0</v>
      </c>
      <c r="M615" s="17">
        <f t="shared" si="1"/>
        <v>0</v>
      </c>
      <c r="N615" s="24" t="str">
        <f t="array" ref="N615">if(isblank(A615),"",index(fish_lab_data!O:O,match(A615,fish_lab_data!C:C,0)))</f>
        <v>KB</v>
      </c>
      <c r="O615" s="24" t="str">
        <f t="array" ref="O615">index(fish_lab_data!Q:Q,match(A615,fish_lab_data!C:C,0))</f>
        <v>lab_motiles_etoh</v>
      </c>
      <c r="P615" s="24" t="str">
        <f t="array" ref="P615">if(and(iserror(index(sea_lice!G:G,match(A615,sea_lice!A:A,0))),M615=0),"NA",index(sea_lice!G:G,match(A615,sea_lice!A:A,0)))</f>
        <v>NA</v>
      </c>
      <c r="Q615" s="24">
        <f t="array" ref="Q615">if(isblank(A615),"",index(fish_lab_data!X:X,match(A615,fish_lab_data!C:C,0)))</f>
        <v>1339</v>
      </c>
    </row>
    <row r="616">
      <c r="A616" s="40" t="s">
        <v>1874</v>
      </c>
      <c r="B616" s="25">
        <v>0.0</v>
      </c>
      <c r="C616" s="25">
        <v>0.0</v>
      </c>
      <c r="D616" s="25">
        <v>0.0</v>
      </c>
      <c r="E616" s="25">
        <v>0.0</v>
      </c>
      <c r="F616" s="25">
        <v>0.0</v>
      </c>
      <c r="G616" s="25">
        <v>0.0</v>
      </c>
      <c r="H616" s="25">
        <v>0.0</v>
      </c>
      <c r="I616" s="25">
        <v>0.0</v>
      </c>
      <c r="J616" s="25">
        <v>0.0</v>
      </c>
      <c r="K616" s="25">
        <v>0.0</v>
      </c>
      <c r="L616" s="25">
        <v>0.0</v>
      </c>
      <c r="M616" s="17">
        <f t="shared" si="1"/>
        <v>0</v>
      </c>
      <c r="N616" s="24" t="str">
        <f t="array" ref="N616">if(isblank(A616),"",index(fish_lab_data!O:O,match(A616,fish_lab_data!C:C,0)))</f>
        <v>KB</v>
      </c>
      <c r="O616" s="24" t="str">
        <f t="array" ref="O616">index(fish_lab_data!Q:Q,match(A616,fish_lab_data!C:C,0))</f>
        <v>lab_motiles_etoh</v>
      </c>
      <c r="P616" s="24" t="str">
        <f t="array" ref="P616">if(and(iserror(index(sea_lice!G:G,match(A616,sea_lice!A:A,0))),M616=0),"NA",index(sea_lice!G:G,match(A616,sea_lice!A:A,0)))</f>
        <v>NA</v>
      </c>
      <c r="Q616" s="24">
        <f t="array" ref="Q616">if(isblank(A616),"",index(fish_lab_data!X:X,match(A616,fish_lab_data!C:C,0)))</f>
        <v>1340</v>
      </c>
    </row>
    <row r="617">
      <c r="A617" s="40" t="s">
        <v>1875</v>
      </c>
      <c r="B617" s="25">
        <v>0.0</v>
      </c>
      <c r="C617" s="25">
        <v>0.0</v>
      </c>
      <c r="D617" s="25">
        <v>0.0</v>
      </c>
      <c r="E617" s="25">
        <v>0.0</v>
      </c>
      <c r="F617" s="25">
        <v>0.0</v>
      </c>
      <c r="G617" s="25">
        <v>0.0</v>
      </c>
      <c r="H617" s="25">
        <v>0.0</v>
      </c>
      <c r="I617" s="25">
        <v>0.0</v>
      </c>
      <c r="J617" s="25">
        <v>0.0</v>
      </c>
      <c r="K617" s="25">
        <v>0.0</v>
      </c>
      <c r="L617" s="25">
        <v>0.0</v>
      </c>
      <c r="M617" s="17">
        <f t="shared" si="1"/>
        <v>0</v>
      </c>
      <c r="N617" s="24" t="str">
        <f t="array" ref="N617">if(isblank(A617),"",index(fish_lab_data!O:O,match(A617,fish_lab_data!C:C,0)))</f>
        <v>KB</v>
      </c>
      <c r="O617" s="24" t="str">
        <f t="array" ref="O617">index(fish_lab_data!Q:Q,match(A617,fish_lab_data!C:C,0))</f>
        <v>lab_motiles_etoh</v>
      </c>
      <c r="P617" s="24" t="str">
        <f t="array" ref="P617">if(and(iserror(index(sea_lice!G:G,match(A617,sea_lice!A:A,0))),M617=0),"NA",index(sea_lice!G:G,match(A617,sea_lice!A:A,0)))</f>
        <v>NA</v>
      </c>
      <c r="Q617" s="24">
        <f t="array" ref="Q617">if(isblank(A617),"",index(fish_lab_data!X:X,match(A617,fish_lab_data!C:C,0)))</f>
        <v>1341</v>
      </c>
    </row>
    <row r="618">
      <c r="A618" s="40" t="s">
        <v>1876</v>
      </c>
      <c r="B618" s="25">
        <v>0.0</v>
      </c>
      <c r="C618" s="9">
        <v>1.0</v>
      </c>
      <c r="D618" s="25">
        <v>0.0</v>
      </c>
      <c r="E618" s="9">
        <v>1.0</v>
      </c>
      <c r="F618" s="25">
        <v>0.0</v>
      </c>
      <c r="G618" s="25">
        <v>0.0</v>
      </c>
      <c r="H618" s="25">
        <v>0.0</v>
      </c>
      <c r="I618" s="25">
        <v>0.0</v>
      </c>
      <c r="J618" s="25">
        <v>0.0</v>
      </c>
      <c r="K618" s="25">
        <v>0.0</v>
      </c>
      <c r="L618" s="25">
        <v>0.0</v>
      </c>
      <c r="M618" s="17">
        <f t="shared" si="1"/>
        <v>2</v>
      </c>
      <c r="N618" s="24" t="str">
        <f t="array" ref="N618">if(isblank(A618),"",index(fish_lab_data!O:O,match(A618,fish_lab_data!C:C,0)))</f>
        <v>KB</v>
      </c>
      <c r="O618" s="24" t="str">
        <f t="array" ref="O618">index(fish_lab_data!Q:Q,match(A618,fish_lab_data!C:C,0))</f>
        <v>lab_motiles_etoh</v>
      </c>
      <c r="P618" s="24" t="str">
        <f t="array" ref="P618">if(and(iserror(index(sea_lice!G:G,match(A618,sea_lice!A:A,0))),M618=0),"NA",index(sea_lice!G:G,match(A618,sea_lice!A:A,0)))</f>
        <v>BSL8-38</v>
      </c>
      <c r="Q618" s="24">
        <f t="array" ref="Q618">if(isblank(A618),"",index(fish_lab_data!X:X,match(A618,fish_lab_data!C:C,0)))</f>
        <v>1342</v>
      </c>
    </row>
    <row r="619">
      <c r="A619" s="40" t="s">
        <v>1877</v>
      </c>
      <c r="B619" s="25">
        <v>0.0</v>
      </c>
      <c r="C619" s="25">
        <v>0.0</v>
      </c>
      <c r="D619" s="25">
        <v>0.0</v>
      </c>
      <c r="E619" s="25">
        <v>0.0</v>
      </c>
      <c r="F619" s="25">
        <v>0.0</v>
      </c>
      <c r="G619" s="25">
        <v>0.0</v>
      </c>
      <c r="H619" s="25">
        <v>0.0</v>
      </c>
      <c r="I619" s="25">
        <v>0.0</v>
      </c>
      <c r="J619" s="25">
        <v>0.0</v>
      </c>
      <c r="K619" s="25">
        <v>0.0</v>
      </c>
      <c r="L619" s="25">
        <v>0.0</v>
      </c>
      <c r="M619" s="17">
        <f t="shared" si="1"/>
        <v>0</v>
      </c>
      <c r="N619" s="24" t="str">
        <f t="array" ref="N619">if(isblank(A619),"",index(fish_lab_data!O:O,match(A619,fish_lab_data!C:C,0)))</f>
        <v>KB</v>
      </c>
      <c r="O619" s="24" t="str">
        <f t="array" ref="O619">index(fish_lab_data!Q:Q,match(A619,fish_lab_data!C:C,0))</f>
        <v>lab_motiles_etoh</v>
      </c>
      <c r="P619" s="24" t="str">
        <f t="array" ref="P619">if(and(iserror(index(sea_lice!G:G,match(A619,sea_lice!A:A,0))),M619=0),"NA",index(sea_lice!G:G,match(A619,sea_lice!A:A,0)))</f>
        <v>NA</v>
      </c>
      <c r="Q619" s="24">
        <f t="array" ref="Q619">if(isblank(A619),"",index(fish_lab_data!X:X,match(A619,fish_lab_data!C:C,0)))</f>
        <v>1343</v>
      </c>
    </row>
    <row r="620">
      <c r="A620" s="40" t="s">
        <v>1878</v>
      </c>
      <c r="B620" s="25">
        <v>0.0</v>
      </c>
      <c r="C620" s="25">
        <v>0.0</v>
      </c>
      <c r="D620" s="25">
        <v>0.0</v>
      </c>
      <c r="E620" s="25">
        <v>0.0</v>
      </c>
      <c r="F620" s="25">
        <v>0.0</v>
      </c>
      <c r="G620" s="25">
        <v>0.0</v>
      </c>
      <c r="H620" s="25">
        <v>0.0</v>
      </c>
      <c r="I620" s="25">
        <v>0.0</v>
      </c>
      <c r="J620" s="25">
        <v>0.0</v>
      </c>
      <c r="K620" s="25">
        <v>0.0</v>
      </c>
      <c r="L620" s="25">
        <v>0.0</v>
      </c>
      <c r="M620" s="17">
        <f t="shared" si="1"/>
        <v>0</v>
      </c>
      <c r="N620" s="24" t="str">
        <f t="array" ref="N620">if(isblank(A620),"",index(fish_lab_data!O:O,match(A620,fish_lab_data!C:C,0)))</f>
        <v>KB</v>
      </c>
      <c r="O620" s="24" t="str">
        <f t="array" ref="O620">index(fish_lab_data!Q:Q,match(A620,fish_lab_data!C:C,0))</f>
        <v>lab_motiles_etoh</v>
      </c>
      <c r="P620" s="24" t="str">
        <f t="array" ref="P620">if(and(iserror(index(sea_lice!G:G,match(A620,sea_lice!A:A,0))),M620=0),"NA",index(sea_lice!G:G,match(A620,sea_lice!A:A,0)))</f>
        <v>NA</v>
      </c>
      <c r="Q620" s="24">
        <f t="array" ref="Q620">if(isblank(A620),"",index(fish_lab_data!X:X,match(A620,fish_lab_data!C:C,0)))</f>
        <v>1344</v>
      </c>
    </row>
    <row r="621">
      <c r="A621" s="40" t="s">
        <v>1880</v>
      </c>
      <c r="B621" s="25">
        <v>0.0</v>
      </c>
      <c r="C621" s="25">
        <v>0.0</v>
      </c>
      <c r="D621" s="25">
        <v>0.0</v>
      </c>
      <c r="E621" s="25">
        <v>0.0</v>
      </c>
      <c r="F621" s="25">
        <v>0.0</v>
      </c>
      <c r="G621" s="25">
        <v>0.0</v>
      </c>
      <c r="H621" s="25">
        <v>0.0</v>
      </c>
      <c r="I621" s="25">
        <v>0.0</v>
      </c>
      <c r="J621" s="25">
        <v>0.0</v>
      </c>
      <c r="K621" s="25">
        <v>0.0</v>
      </c>
      <c r="L621" s="25">
        <v>0.0</v>
      </c>
      <c r="M621" s="17">
        <f t="shared" si="1"/>
        <v>0</v>
      </c>
      <c r="N621" s="24" t="str">
        <f t="array" ref="N621">if(isblank(A621),"",index(fish_lab_data!O:O,match(A621,fish_lab_data!C:C,0)))</f>
        <v>KB</v>
      </c>
      <c r="O621" s="24" t="str">
        <f t="array" ref="O621">index(fish_lab_data!Q:Q,match(A621,fish_lab_data!C:C,0))</f>
        <v>lab_motiles_etoh</v>
      </c>
      <c r="P621" s="24" t="str">
        <f t="array" ref="P621">if(and(iserror(index(sea_lice!G:G,match(A621,sea_lice!A:A,0))),M621=0),"NA",index(sea_lice!G:G,match(A621,sea_lice!A:A,0)))</f>
        <v>NA</v>
      </c>
      <c r="Q621" s="24">
        <f t="array" ref="Q621">if(isblank(A621),"",index(fish_lab_data!X:X,match(A621,fish_lab_data!C:C,0)))</f>
        <v>1345</v>
      </c>
    </row>
    <row r="622">
      <c r="A622" s="40" t="s">
        <v>1881</v>
      </c>
      <c r="B622" s="25">
        <v>0.0</v>
      </c>
      <c r="C622" s="25">
        <v>0.0</v>
      </c>
      <c r="D622" s="25">
        <v>0.0</v>
      </c>
      <c r="E622" s="25">
        <v>0.0</v>
      </c>
      <c r="F622" s="25">
        <v>0.0</v>
      </c>
      <c r="G622" s="25">
        <v>0.0</v>
      </c>
      <c r="H622" s="25">
        <v>0.0</v>
      </c>
      <c r="I622" s="25">
        <v>0.0</v>
      </c>
      <c r="J622" s="25">
        <v>0.0</v>
      </c>
      <c r="K622" s="25">
        <v>0.0</v>
      </c>
      <c r="L622" s="25">
        <v>0.0</v>
      </c>
      <c r="M622" s="17">
        <f t="shared" si="1"/>
        <v>0</v>
      </c>
      <c r="N622" s="24" t="str">
        <f t="array" ref="N622">if(isblank(A622),"",index(fish_lab_data!O:O,match(A622,fish_lab_data!C:C,0)))</f>
        <v>KB</v>
      </c>
      <c r="O622" s="24" t="str">
        <f t="array" ref="O622">index(fish_lab_data!Q:Q,match(A622,fish_lab_data!C:C,0))</f>
        <v>lab_motiles_etoh</v>
      </c>
      <c r="P622" s="24" t="str">
        <f t="array" ref="P622">if(and(iserror(index(sea_lice!G:G,match(A622,sea_lice!A:A,0))),M622=0),"NA",index(sea_lice!G:G,match(A622,sea_lice!A:A,0)))</f>
        <v>NA</v>
      </c>
      <c r="Q622" s="24">
        <f t="array" ref="Q622">if(isblank(A622),"",index(fish_lab_data!X:X,match(A622,fish_lab_data!C:C,0)))</f>
        <v>1346</v>
      </c>
    </row>
    <row r="623">
      <c r="A623" s="40" t="s">
        <v>1882</v>
      </c>
      <c r="B623" s="25">
        <v>0.0</v>
      </c>
      <c r="C623" s="25">
        <v>0.0</v>
      </c>
      <c r="D623" s="25">
        <v>0.0</v>
      </c>
      <c r="E623" s="9">
        <v>1.0</v>
      </c>
      <c r="F623" s="25">
        <v>0.0</v>
      </c>
      <c r="G623" s="25">
        <v>0.0</v>
      </c>
      <c r="H623" s="25">
        <v>0.0</v>
      </c>
      <c r="I623" s="25">
        <v>0.0</v>
      </c>
      <c r="J623" s="25">
        <v>0.0</v>
      </c>
      <c r="K623" s="25">
        <v>0.0</v>
      </c>
      <c r="L623" s="25">
        <v>0.0</v>
      </c>
      <c r="M623" s="17">
        <f t="shared" si="1"/>
        <v>1</v>
      </c>
      <c r="N623" s="24" t="str">
        <f t="array" ref="N623">if(isblank(A623),"",index(fish_lab_data!O:O,match(A623,fish_lab_data!C:C,0)))</f>
        <v>KB</v>
      </c>
      <c r="O623" s="24" t="str">
        <f t="array" ref="O623">index(fish_lab_data!Q:Q,match(A623,fish_lab_data!C:C,0))</f>
        <v>lab_motiles_etoh</v>
      </c>
      <c r="P623" s="24" t="str">
        <f t="array" ref="P623">if(and(iserror(index(sea_lice!G:G,match(A623,sea_lice!A:A,0))),M623=0),"NA",index(sea_lice!G:G,match(A623,sea_lice!A:A,0)))</f>
        <v>BSL8-44</v>
      </c>
      <c r="Q623" s="24">
        <f t="array" ref="Q623">if(isblank(A623),"",index(fish_lab_data!X:X,match(A623,fish_lab_data!C:C,0)))</f>
        <v>1347</v>
      </c>
    </row>
    <row r="624">
      <c r="A624" s="40" t="s">
        <v>1883</v>
      </c>
      <c r="B624" s="25">
        <v>0.0</v>
      </c>
      <c r="C624" s="25">
        <v>0.0</v>
      </c>
      <c r="D624" s="25">
        <v>0.0</v>
      </c>
      <c r="E624" s="25">
        <v>0.0</v>
      </c>
      <c r="F624" s="25">
        <v>0.0</v>
      </c>
      <c r="G624" s="25">
        <v>0.0</v>
      </c>
      <c r="H624" s="25">
        <v>0.0</v>
      </c>
      <c r="I624" s="25">
        <v>0.0</v>
      </c>
      <c r="J624" s="25">
        <v>0.0</v>
      </c>
      <c r="K624" s="25">
        <v>0.0</v>
      </c>
      <c r="L624" s="25">
        <v>0.0</v>
      </c>
      <c r="M624" s="17">
        <f t="shared" si="1"/>
        <v>0</v>
      </c>
      <c r="N624" s="24" t="str">
        <f t="array" ref="N624">if(isblank(A624),"",index(fish_lab_data!O:O,match(A624,fish_lab_data!C:C,0)))</f>
        <v>KB</v>
      </c>
      <c r="O624" s="24" t="str">
        <f t="array" ref="O624">index(fish_lab_data!Q:Q,match(A624,fish_lab_data!C:C,0))</f>
        <v>lab_motiles_etoh</v>
      </c>
      <c r="P624" s="24" t="str">
        <f t="array" ref="P624">if(and(iserror(index(sea_lice!G:G,match(A624,sea_lice!A:A,0))),M624=0),"NA",index(sea_lice!G:G,match(A624,sea_lice!A:A,0)))</f>
        <v>NA</v>
      </c>
      <c r="Q624" s="24">
        <f t="array" ref="Q624">if(isblank(A624),"",index(fish_lab_data!X:X,match(A624,fish_lab_data!C:C,0)))</f>
        <v>1348</v>
      </c>
    </row>
    <row r="625">
      <c r="A625" s="40" t="s">
        <v>1885</v>
      </c>
      <c r="B625" s="25">
        <v>0.0</v>
      </c>
      <c r="C625" s="25">
        <v>0.0</v>
      </c>
      <c r="D625" s="25">
        <v>0.0</v>
      </c>
      <c r="E625" s="25">
        <v>0.0</v>
      </c>
      <c r="F625" s="25">
        <v>0.0</v>
      </c>
      <c r="G625" s="25">
        <v>0.0</v>
      </c>
      <c r="H625" s="25">
        <v>0.0</v>
      </c>
      <c r="I625" s="25">
        <v>0.0</v>
      </c>
      <c r="J625" s="25">
        <v>0.0</v>
      </c>
      <c r="K625" s="25">
        <v>0.0</v>
      </c>
      <c r="L625" s="25">
        <v>0.0</v>
      </c>
      <c r="M625" s="17">
        <f t="shared" si="1"/>
        <v>0</v>
      </c>
      <c r="N625" s="24" t="str">
        <f t="array" ref="N625">if(isblank(A625),"",index(fish_lab_data!O:O,match(A625,fish_lab_data!C:C,0)))</f>
        <v>KB</v>
      </c>
      <c r="O625" s="24" t="str">
        <f t="array" ref="O625">index(fish_lab_data!Q:Q,match(A625,fish_lab_data!C:C,0))</f>
        <v>lab_motiles_etoh</v>
      </c>
      <c r="P625" s="24" t="str">
        <f t="array" ref="P625">if(and(iserror(index(sea_lice!G:G,match(A625,sea_lice!A:A,0))),M625=0),"NA",index(sea_lice!G:G,match(A625,sea_lice!A:A,0)))</f>
        <v>NA</v>
      </c>
      <c r="Q625" s="24">
        <f t="array" ref="Q625">if(isblank(A625),"",index(fish_lab_data!X:X,match(A625,fish_lab_data!C:C,0)))</f>
        <v>1349</v>
      </c>
    </row>
    <row r="626">
      <c r="A626" s="40" t="s">
        <v>1886</v>
      </c>
      <c r="B626" s="25">
        <v>0.0</v>
      </c>
      <c r="C626" s="25">
        <v>0.0</v>
      </c>
      <c r="D626" s="25">
        <v>0.0</v>
      </c>
      <c r="E626" s="25">
        <v>0.0</v>
      </c>
      <c r="F626" s="25">
        <v>0.0</v>
      </c>
      <c r="G626" s="25">
        <v>0.0</v>
      </c>
      <c r="H626" s="25">
        <v>0.0</v>
      </c>
      <c r="I626" s="25">
        <v>0.0</v>
      </c>
      <c r="J626" s="25">
        <v>0.0</v>
      </c>
      <c r="K626" s="25">
        <v>0.0</v>
      </c>
      <c r="L626" s="25">
        <v>0.0</v>
      </c>
      <c r="M626" s="17">
        <f t="shared" si="1"/>
        <v>0</v>
      </c>
      <c r="N626" s="24" t="str">
        <f t="array" ref="N626">if(isblank(A626),"",index(fish_lab_data!O:O,match(A626,fish_lab_data!C:C,0)))</f>
        <v>KB</v>
      </c>
      <c r="O626" s="24" t="str">
        <f t="array" ref="O626">index(fish_lab_data!Q:Q,match(A626,fish_lab_data!C:C,0))</f>
        <v>lab_motiles_etoh</v>
      </c>
      <c r="P626" s="24" t="str">
        <f t="array" ref="P626">if(and(iserror(index(sea_lice!G:G,match(A626,sea_lice!A:A,0))),M626=0),"NA",index(sea_lice!G:G,match(A626,sea_lice!A:A,0)))</f>
        <v>NA</v>
      </c>
      <c r="Q626" s="24">
        <f t="array" ref="Q626">if(isblank(A626),"",index(fish_lab_data!X:X,match(A626,fish_lab_data!C:C,0)))</f>
        <v>1350</v>
      </c>
    </row>
    <row r="627">
      <c r="A627" s="40" t="s">
        <v>1887</v>
      </c>
      <c r="B627" s="25">
        <v>0.0</v>
      </c>
      <c r="C627" s="25">
        <v>0.0</v>
      </c>
      <c r="D627" s="25">
        <v>0.0</v>
      </c>
      <c r="E627" s="25">
        <v>0.0</v>
      </c>
      <c r="F627" s="25">
        <v>0.0</v>
      </c>
      <c r="G627" s="25">
        <v>0.0</v>
      </c>
      <c r="H627" s="25">
        <v>0.0</v>
      </c>
      <c r="I627" s="25">
        <v>0.0</v>
      </c>
      <c r="J627" s="25">
        <v>0.0</v>
      </c>
      <c r="K627" s="25">
        <v>0.0</v>
      </c>
      <c r="L627" s="25">
        <v>0.0</v>
      </c>
      <c r="M627" s="17">
        <f t="shared" si="1"/>
        <v>0</v>
      </c>
      <c r="N627" s="24" t="str">
        <f t="array" ref="N627">if(isblank(A627),"",index(fish_lab_data!O:O,match(A627,fish_lab_data!C:C,0)))</f>
        <v>KB</v>
      </c>
      <c r="O627" s="24" t="str">
        <f t="array" ref="O627">index(fish_lab_data!Q:Q,match(A627,fish_lab_data!C:C,0))</f>
        <v>lab_motiles_etoh</v>
      </c>
      <c r="P627" s="24" t="str">
        <f t="array" ref="P627">if(and(iserror(index(sea_lice!G:G,match(A627,sea_lice!A:A,0))),M627=0),"NA",index(sea_lice!G:G,match(A627,sea_lice!A:A,0)))</f>
        <v>NA</v>
      </c>
      <c r="Q627" s="24">
        <f t="array" ref="Q627">if(isblank(A627),"",index(fish_lab_data!X:X,match(A627,fish_lab_data!C:C,0)))</f>
        <v>1351</v>
      </c>
    </row>
    <row r="628">
      <c r="A628" s="40" t="s">
        <v>1888</v>
      </c>
      <c r="B628" s="25">
        <v>0.0</v>
      </c>
      <c r="C628" s="25">
        <v>0.0</v>
      </c>
      <c r="D628" s="25">
        <v>0.0</v>
      </c>
      <c r="E628" s="25">
        <v>0.0</v>
      </c>
      <c r="F628" s="25">
        <v>0.0</v>
      </c>
      <c r="G628" s="25">
        <v>0.0</v>
      </c>
      <c r="H628" s="25">
        <v>0.0</v>
      </c>
      <c r="I628" s="25">
        <v>0.0</v>
      </c>
      <c r="J628" s="25">
        <v>0.0</v>
      </c>
      <c r="K628" s="25">
        <v>0.0</v>
      </c>
      <c r="L628" s="25">
        <v>0.0</v>
      </c>
      <c r="M628" s="17">
        <f t="shared" si="1"/>
        <v>0</v>
      </c>
      <c r="N628" s="24" t="str">
        <f t="array" ref="N628">if(isblank(A628),"",index(fish_lab_data!O:O,match(A628,fish_lab_data!C:C,0)))</f>
        <v>KB</v>
      </c>
      <c r="O628" s="24" t="str">
        <f t="array" ref="O628">index(fish_lab_data!Q:Q,match(A628,fish_lab_data!C:C,0))</f>
        <v>lab_motiles_etoh</v>
      </c>
      <c r="P628" s="24" t="str">
        <f t="array" ref="P628">if(and(iserror(index(sea_lice!G:G,match(A628,sea_lice!A:A,0))),M628=0),"NA",index(sea_lice!G:G,match(A628,sea_lice!A:A,0)))</f>
        <v>NA</v>
      </c>
      <c r="Q628" s="24">
        <f t="array" ref="Q628">if(isblank(A628),"",index(fish_lab_data!X:X,match(A628,fish_lab_data!C:C,0)))</f>
        <v>1352</v>
      </c>
    </row>
    <row r="629">
      <c r="A629" s="40" t="s">
        <v>1889</v>
      </c>
      <c r="B629" s="25">
        <v>0.0</v>
      </c>
      <c r="C629" s="25">
        <v>0.0</v>
      </c>
      <c r="D629" s="25">
        <v>0.0</v>
      </c>
      <c r="E629" s="9">
        <v>1.0</v>
      </c>
      <c r="F629" s="25">
        <v>0.0</v>
      </c>
      <c r="G629" s="25">
        <v>0.0</v>
      </c>
      <c r="H629" s="25">
        <v>0.0</v>
      </c>
      <c r="I629" s="25">
        <v>0.0</v>
      </c>
      <c r="J629" s="25">
        <v>0.0</v>
      </c>
      <c r="K629" s="25">
        <v>0.0</v>
      </c>
      <c r="L629" s="25">
        <v>0.0</v>
      </c>
      <c r="M629" s="17">
        <f t="shared" si="1"/>
        <v>1</v>
      </c>
      <c r="N629" s="24" t="str">
        <f t="array" ref="N629">if(isblank(A629),"",index(fish_lab_data!O:O,match(A629,fish_lab_data!C:C,0)))</f>
        <v>JG</v>
      </c>
      <c r="O629" s="24" t="str">
        <f t="array" ref="O629">index(fish_lab_data!Q:Q,match(A629,fish_lab_data!C:C,0))</f>
        <v>lab_motiles_etoh</v>
      </c>
      <c r="P629" s="24" t="str">
        <f t="array" ref="P629">if(and(iserror(index(sea_lice!G:G,match(A629,sea_lice!A:A,0))),M629=0),"NA",index(sea_lice!G:G,match(A629,sea_lice!A:A,0)))</f>
        <v>BSL8-33</v>
      </c>
      <c r="Q629" s="24">
        <f t="array" ref="Q629">if(isblank(A629),"",index(fish_lab_data!X:X,match(A629,fish_lab_data!C:C,0)))</f>
        <v>1353</v>
      </c>
    </row>
    <row r="630">
      <c r="A630" s="40" t="s">
        <v>1891</v>
      </c>
      <c r="B630" s="25">
        <v>0.0</v>
      </c>
      <c r="C630" s="25">
        <v>0.0</v>
      </c>
      <c r="D630" s="25">
        <v>0.0</v>
      </c>
      <c r="E630" s="25">
        <v>0.0</v>
      </c>
      <c r="F630" s="25">
        <v>0.0</v>
      </c>
      <c r="G630" s="25">
        <v>0.0</v>
      </c>
      <c r="H630" s="25">
        <v>0.0</v>
      </c>
      <c r="I630" s="25">
        <v>0.0</v>
      </c>
      <c r="J630" s="25">
        <v>0.0</v>
      </c>
      <c r="K630" s="25">
        <v>0.0</v>
      </c>
      <c r="L630" s="25">
        <v>0.0</v>
      </c>
      <c r="M630" s="17">
        <f t="shared" si="1"/>
        <v>0</v>
      </c>
      <c r="N630" s="24" t="str">
        <f t="array" ref="N630">if(isblank(A630),"",index(fish_lab_data!O:O,match(A630,fish_lab_data!C:C,0)))</f>
        <v>JG</v>
      </c>
      <c r="O630" s="24" t="str">
        <f t="array" ref="O630">index(fish_lab_data!Q:Q,match(A630,fish_lab_data!C:C,0))</f>
        <v>lab_motiles_etoh</v>
      </c>
      <c r="P630" s="24" t="str">
        <f t="array" ref="P630">if(and(iserror(index(sea_lice!G:G,match(A630,sea_lice!A:A,0))),M630=0),"NA",index(sea_lice!G:G,match(A630,sea_lice!A:A,0)))</f>
        <v>NA</v>
      </c>
      <c r="Q630" s="24">
        <f t="array" ref="Q630">if(isblank(A630),"",index(fish_lab_data!X:X,match(A630,fish_lab_data!C:C,0)))</f>
        <v>1354</v>
      </c>
    </row>
    <row r="631">
      <c r="A631" s="40" t="s">
        <v>1892</v>
      </c>
      <c r="B631" s="25">
        <v>0.0</v>
      </c>
      <c r="C631" s="25">
        <v>0.0</v>
      </c>
      <c r="D631" s="25">
        <v>0.0</v>
      </c>
      <c r="E631" s="25">
        <v>0.0</v>
      </c>
      <c r="F631" s="25">
        <v>0.0</v>
      </c>
      <c r="G631" s="25">
        <v>0.0</v>
      </c>
      <c r="H631" s="25">
        <v>0.0</v>
      </c>
      <c r="I631" s="25">
        <v>0.0</v>
      </c>
      <c r="J631" s="25">
        <v>0.0</v>
      </c>
      <c r="K631" s="25">
        <v>0.0</v>
      </c>
      <c r="L631" s="25">
        <v>0.0</v>
      </c>
      <c r="M631" s="17">
        <f t="shared" si="1"/>
        <v>0</v>
      </c>
      <c r="N631" s="24" t="str">
        <f t="array" ref="N631">if(isblank(A631),"",index(fish_lab_data!O:O,match(A631,fish_lab_data!C:C,0)))</f>
        <v>JG</v>
      </c>
      <c r="O631" s="24" t="str">
        <f t="array" ref="O631">index(fish_lab_data!Q:Q,match(A631,fish_lab_data!C:C,0))</f>
        <v>lab_motiles_etoh</v>
      </c>
      <c r="P631" s="24" t="str">
        <f t="array" ref="P631">if(and(iserror(index(sea_lice!G:G,match(A631,sea_lice!A:A,0))),M631=0),"NA",index(sea_lice!G:G,match(A631,sea_lice!A:A,0)))</f>
        <v>NA</v>
      </c>
      <c r="Q631" s="24">
        <f t="array" ref="Q631">if(isblank(A631),"",index(fish_lab_data!X:X,match(A631,fish_lab_data!C:C,0)))</f>
        <v>1355</v>
      </c>
    </row>
    <row r="632">
      <c r="A632" s="40" t="s">
        <v>1893</v>
      </c>
      <c r="B632" s="25">
        <v>0.0</v>
      </c>
      <c r="C632" s="9">
        <v>1.0</v>
      </c>
      <c r="D632" s="25">
        <v>0.0</v>
      </c>
      <c r="E632" s="9">
        <v>1.0</v>
      </c>
      <c r="F632" s="25">
        <v>0.0</v>
      </c>
      <c r="G632" s="25">
        <v>0.0</v>
      </c>
      <c r="H632" s="25">
        <v>0.0</v>
      </c>
      <c r="I632" s="25">
        <v>0.0</v>
      </c>
      <c r="J632" s="25">
        <v>0.0</v>
      </c>
      <c r="K632" s="25">
        <v>0.0</v>
      </c>
      <c r="L632" s="25">
        <v>0.0</v>
      </c>
      <c r="M632" s="17">
        <f t="shared" si="1"/>
        <v>2</v>
      </c>
      <c r="N632" s="24" t="str">
        <f t="array" ref="N632">if(isblank(A632),"",index(fish_lab_data!O:O,match(A632,fish_lab_data!C:C,0)))</f>
        <v>JG</v>
      </c>
      <c r="O632" s="24" t="str">
        <f t="array" ref="O632">index(fish_lab_data!Q:Q,match(A632,fish_lab_data!C:C,0))</f>
        <v>lab_motiles_etoh</v>
      </c>
      <c r="P632" s="24" t="str">
        <f t="array" ref="P632">if(and(iserror(index(sea_lice!G:G,match(A632,sea_lice!A:A,0))),M632=0),"NA",index(sea_lice!G:G,match(A632,sea_lice!A:A,0)))</f>
        <v>BSL8-34</v>
      </c>
      <c r="Q632" s="24">
        <f t="array" ref="Q632">if(isblank(A632),"",index(fish_lab_data!X:X,match(A632,fish_lab_data!C:C,0)))</f>
        <v>1356</v>
      </c>
    </row>
    <row r="633">
      <c r="A633" s="40" t="s">
        <v>1894</v>
      </c>
      <c r="B633" s="25">
        <v>0.0</v>
      </c>
      <c r="C633" s="25">
        <v>0.0</v>
      </c>
      <c r="D633" s="9">
        <v>1.0</v>
      </c>
      <c r="E633" s="9">
        <v>1.0</v>
      </c>
      <c r="F633" s="25">
        <v>0.0</v>
      </c>
      <c r="G633" s="25">
        <v>0.0</v>
      </c>
      <c r="H633" s="25">
        <v>0.0</v>
      </c>
      <c r="I633" s="25">
        <v>0.0</v>
      </c>
      <c r="J633" s="25">
        <v>0.0</v>
      </c>
      <c r="K633" s="25">
        <v>0.0</v>
      </c>
      <c r="L633" s="25">
        <v>0.0</v>
      </c>
      <c r="M633" s="17">
        <f t="shared" si="1"/>
        <v>2</v>
      </c>
      <c r="N633" s="24" t="str">
        <f t="array" ref="N633">if(isblank(A633),"",index(fish_lab_data!O:O,match(A633,fish_lab_data!C:C,0)))</f>
        <v>JG</v>
      </c>
      <c r="O633" s="24" t="str">
        <f t="array" ref="O633">index(fish_lab_data!Q:Q,match(A633,fish_lab_data!C:C,0))</f>
        <v>lab_motiles_etoh</v>
      </c>
      <c r="P633" s="24" t="str">
        <f t="array" ref="P633">if(and(iserror(index(sea_lice!G:G,match(A633,sea_lice!A:A,0))),M633=0),"NA",index(sea_lice!G:G,match(A633,sea_lice!A:A,0)))</f>
        <v>BSL8-35</v>
      </c>
      <c r="Q633" s="24">
        <f t="array" ref="Q633">if(isblank(A633),"",index(fish_lab_data!X:X,match(A633,fish_lab_data!C:C,0)))</f>
        <v>1357</v>
      </c>
    </row>
    <row r="634">
      <c r="A634" s="40" t="s">
        <v>1895</v>
      </c>
      <c r="B634" s="9">
        <v>1.0</v>
      </c>
      <c r="C634" s="25">
        <v>0.0</v>
      </c>
      <c r="D634" s="25">
        <v>0.0</v>
      </c>
      <c r="E634" s="9">
        <v>1.0</v>
      </c>
      <c r="F634" s="25">
        <v>0.0</v>
      </c>
      <c r="G634" s="25">
        <v>0.0</v>
      </c>
      <c r="H634" s="25">
        <v>0.0</v>
      </c>
      <c r="I634" s="25">
        <v>0.0</v>
      </c>
      <c r="J634" s="25">
        <v>0.0</v>
      </c>
      <c r="K634" s="25">
        <v>0.0</v>
      </c>
      <c r="L634" s="25">
        <v>0.0</v>
      </c>
      <c r="M634" s="17">
        <f t="shared" si="1"/>
        <v>2</v>
      </c>
      <c r="N634" s="24" t="str">
        <f t="array" ref="N634">if(isblank(A634),"",index(fish_lab_data!O:O,match(A634,fish_lab_data!C:C,0)))</f>
        <v>JG</v>
      </c>
      <c r="O634" s="24" t="str">
        <f t="array" ref="O634">index(fish_lab_data!Q:Q,match(A634,fish_lab_data!C:C,0))</f>
        <v>lab_motiles_etoh</v>
      </c>
      <c r="P634" s="24" t="str">
        <f t="array" ref="P634">if(and(iserror(index(sea_lice!G:G,match(A634,sea_lice!A:A,0))),M634=0),"NA",index(sea_lice!G:G,match(A634,sea_lice!A:A,0)))</f>
        <v>BSL8-36</v>
      </c>
      <c r="Q634" s="24">
        <f t="array" ref="Q634">if(isblank(A634),"",index(fish_lab_data!X:X,match(A634,fish_lab_data!C:C,0)))</f>
        <v>1358</v>
      </c>
    </row>
    <row r="635">
      <c r="A635" s="40" t="s">
        <v>1896</v>
      </c>
      <c r="B635" s="25">
        <v>0.0</v>
      </c>
      <c r="C635" s="25">
        <v>0.0</v>
      </c>
      <c r="D635" s="9">
        <v>1.0</v>
      </c>
      <c r="E635" s="25">
        <v>0.0</v>
      </c>
      <c r="F635" s="25">
        <v>0.0</v>
      </c>
      <c r="G635" s="25">
        <v>0.0</v>
      </c>
      <c r="H635" s="25">
        <v>0.0</v>
      </c>
      <c r="I635" s="25">
        <v>0.0</v>
      </c>
      <c r="J635" s="25">
        <v>0.0</v>
      </c>
      <c r="K635" s="25">
        <v>0.0</v>
      </c>
      <c r="L635" s="25">
        <v>0.0</v>
      </c>
      <c r="M635" s="17">
        <f t="shared" si="1"/>
        <v>1</v>
      </c>
      <c r="N635" s="24" t="str">
        <f t="array" ref="N635">if(isblank(A635),"",index(fish_lab_data!O:O,match(A635,fish_lab_data!C:C,0)))</f>
        <v>JG</v>
      </c>
      <c r="O635" s="24" t="str">
        <f t="array" ref="O635">index(fish_lab_data!Q:Q,match(A635,fish_lab_data!C:C,0))</f>
        <v>lab_motiles_etoh</v>
      </c>
      <c r="P635" s="24" t="str">
        <f t="array" ref="P635">if(and(iserror(index(sea_lice!G:G,match(A635,sea_lice!A:A,0))),M635=0),"NA",index(sea_lice!G:G,match(A635,sea_lice!A:A,0)))</f>
        <v>BSL8-37</v>
      </c>
      <c r="Q635" s="24">
        <f t="array" ref="Q635">if(isblank(A635),"",index(fish_lab_data!X:X,match(A635,fish_lab_data!C:C,0)))</f>
        <v>1359</v>
      </c>
    </row>
    <row r="636">
      <c r="A636" s="40" t="s">
        <v>1897</v>
      </c>
      <c r="B636" s="9">
        <v>1.0</v>
      </c>
      <c r="C636" s="25">
        <v>0.0</v>
      </c>
      <c r="D636" s="25">
        <v>0.0</v>
      </c>
      <c r="E636" s="25">
        <v>0.0</v>
      </c>
      <c r="F636" s="25">
        <v>0.0</v>
      </c>
      <c r="G636" s="25">
        <v>0.0</v>
      </c>
      <c r="H636" s="25">
        <v>0.0</v>
      </c>
      <c r="I636" s="25">
        <v>0.0</v>
      </c>
      <c r="J636" s="25">
        <v>0.0</v>
      </c>
      <c r="K636" s="25">
        <v>0.0</v>
      </c>
      <c r="L636" s="25">
        <v>0.0</v>
      </c>
      <c r="M636" s="17">
        <f t="shared" si="1"/>
        <v>1</v>
      </c>
      <c r="N636" s="24" t="str">
        <f t="array" ref="N636">if(isblank(A636),"",index(fish_lab_data!O:O,match(A636,fish_lab_data!C:C,0)))</f>
        <v>JG</v>
      </c>
      <c r="O636" s="24" t="str">
        <f t="array" ref="O636">index(fish_lab_data!Q:Q,match(A636,fish_lab_data!C:C,0))</f>
        <v>lab_motiles_etoh</v>
      </c>
      <c r="P636" s="24" t="str">
        <f t="array" ref="P636">if(and(iserror(index(sea_lice!G:G,match(A636,sea_lice!A:A,0))),M636=0),"NA",index(sea_lice!G:G,match(A636,sea_lice!A:A,0)))</f>
        <v>BSL8-39</v>
      </c>
      <c r="Q636" s="24">
        <f t="array" ref="Q636">if(isblank(A636),"",index(fish_lab_data!X:X,match(A636,fish_lab_data!C:C,0)))</f>
        <v>1360</v>
      </c>
    </row>
    <row r="637">
      <c r="A637" s="40" t="s">
        <v>1898</v>
      </c>
      <c r="B637" s="9">
        <v>1.0</v>
      </c>
      <c r="C637" s="9">
        <v>1.0</v>
      </c>
      <c r="D637" s="25">
        <v>0.0</v>
      </c>
      <c r="E637" s="9">
        <v>1.0</v>
      </c>
      <c r="F637" s="25">
        <v>0.0</v>
      </c>
      <c r="G637" s="25">
        <v>0.0</v>
      </c>
      <c r="H637" s="25">
        <v>0.0</v>
      </c>
      <c r="I637" s="25">
        <v>0.0</v>
      </c>
      <c r="J637" s="25">
        <v>0.0</v>
      </c>
      <c r="K637" s="25">
        <v>0.0</v>
      </c>
      <c r="L637" s="25">
        <v>0.0</v>
      </c>
      <c r="M637" s="17">
        <f t="shared" si="1"/>
        <v>3</v>
      </c>
      <c r="N637" s="24" t="str">
        <f t="array" ref="N637">if(isblank(A637),"",index(fish_lab_data!O:O,match(A637,fish_lab_data!C:C,0)))</f>
        <v>JG</v>
      </c>
      <c r="O637" s="24" t="str">
        <f t="array" ref="O637">index(fish_lab_data!Q:Q,match(A637,fish_lab_data!C:C,0))</f>
        <v>lab_motiles_etoh</v>
      </c>
      <c r="P637" s="24" t="str">
        <f t="array" ref="P637">if(and(iserror(index(sea_lice!G:G,match(A637,sea_lice!A:A,0))),M637=0),"NA",index(sea_lice!G:G,match(A637,sea_lice!A:A,0)))</f>
        <v>BSL8-40</v>
      </c>
      <c r="Q637" s="24">
        <f t="array" ref="Q637">if(isblank(A637),"",index(fish_lab_data!X:X,match(A637,fish_lab_data!C:C,0)))</f>
        <v>1361</v>
      </c>
    </row>
    <row r="638">
      <c r="A638" s="40" t="s">
        <v>1900</v>
      </c>
      <c r="B638" s="25">
        <v>0.0</v>
      </c>
      <c r="C638" s="25">
        <v>0.0</v>
      </c>
      <c r="D638" s="25">
        <v>0.0</v>
      </c>
      <c r="E638" s="25">
        <v>0.0</v>
      </c>
      <c r="F638" s="25">
        <v>0.0</v>
      </c>
      <c r="G638" s="25">
        <v>0.0</v>
      </c>
      <c r="H638" s="9">
        <v>1.0</v>
      </c>
      <c r="I638" s="25">
        <v>0.0</v>
      </c>
      <c r="J638" s="25">
        <v>0.0</v>
      </c>
      <c r="K638" s="25">
        <v>0.0</v>
      </c>
      <c r="L638" s="25">
        <v>0.0</v>
      </c>
      <c r="M638" s="17">
        <f t="shared" si="1"/>
        <v>1</v>
      </c>
      <c r="N638" s="24" t="str">
        <f t="array" ref="N638">if(isblank(A638),"",index(fish_lab_data!O:O,match(A638,fish_lab_data!C:C,0)))</f>
        <v>JG</v>
      </c>
      <c r="O638" s="24" t="str">
        <f t="array" ref="O638">index(fish_lab_data!Q:Q,match(A638,fish_lab_data!C:C,0))</f>
        <v>lab_motiles_etoh</v>
      </c>
      <c r="P638" s="24" t="str">
        <f t="array" ref="P638">if(and(iserror(index(sea_lice!G:G,match(A638,sea_lice!A:A,0))),M638=0),"NA",index(sea_lice!G:G,match(A638,sea_lice!A:A,0)))</f>
        <v>BSL8-41</v>
      </c>
      <c r="Q638" s="24">
        <f t="array" ref="Q638">if(isblank(A638),"",index(fish_lab_data!X:X,match(A638,fish_lab_data!C:C,0)))</f>
        <v>1362</v>
      </c>
    </row>
    <row r="639">
      <c r="A639" s="40" t="s">
        <v>1901</v>
      </c>
      <c r="B639" s="25">
        <v>0.0</v>
      </c>
      <c r="C639" s="25">
        <v>0.0</v>
      </c>
      <c r="D639" s="25">
        <v>0.0</v>
      </c>
      <c r="E639" s="9">
        <v>1.0</v>
      </c>
      <c r="F639" s="25">
        <v>0.0</v>
      </c>
      <c r="G639" s="25">
        <v>0.0</v>
      </c>
      <c r="H639" s="25">
        <v>0.0</v>
      </c>
      <c r="I639" s="25">
        <v>0.0</v>
      </c>
      <c r="J639" s="25">
        <v>0.0</v>
      </c>
      <c r="K639" s="25">
        <v>0.0</v>
      </c>
      <c r="L639" s="25">
        <v>0.0</v>
      </c>
      <c r="M639" s="17">
        <f t="shared" si="1"/>
        <v>1</v>
      </c>
      <c r="N639" s="24" t="str">
        <f t="array" ref="N639">if(isblank(A639),"",index(fish_lab_data!O:O,match(A639,fish_lab_data!C:C,0)))</f>
        <v>JG</v>
      </c>
      <c r="O639" s="24" t="str">
        <f t="array" ref="O639">index(fish_lab_data!Q:Q,match(A639,fish_lab_data!C:C,0))</f>
        <v>lab_motiles_etoh</v>
      </c>
      <c r="P639" s="24" t="str">
        <f t="array" ref="P639">if(and(iserror(index(sea_lice!G:G,match(A639,sea_lice!A:A,0))),M639=0),"NA",index(sea_lice!G:G,match(A639,sea_lice!A:A,0)))</f>
        <v>BSL8-42</v>
      </c>
      <c r="Q639" s="24">
        <f t="array" ref="Q639">if(isblank(A639),"",index(fish_lab_data!X:X,match(A639,fish_lab_data!C:C,0)))</f>
        <v>1363</v>
      </c>
    </row>
    <row r="640">
      <c r="A640" s="40" t="s">
        <v>1902</v>
      </c>
      <c r="B640" s="25">
        <v>0.0</v>
      </c>
      <c r="C640" s="25">
        <v>0.0</v>
      </c>
      <c r="D640" s="25">
        <v>0.0</v>
      </c>
      <c r="E640" s="25">
        <v>0.0</v>
      </c>
      <c r="F640" s="25">
        <v>0.0</v>
      </c>
      <c r="G640" s="25">
        <v>0.0</v>
      </c>
      <c r="H640" s="25">
        <v>0.0</v>
      </c>
      <c r="I640" s="25">
        <v>0.0</v>
      </c>
      <c r="J640" s="25">
        <v>0.0</v>
      </c>
      <c r="K640" s="25">
        <v>0.0</v>
      </c>
      <c r="L640" s="25">
        <v>0.0</v>
      </c>
      <c r="M640" s="17">
        <f t="shared" si="1"/>
        <v>0</v>
      </c>
      <c r="N640" s="24" t="str">
        <f t="array" ref="N640">if(isblank(A640),"",index(fish_lab_data!O:O,match(A640,fish_lab_data!C:C,0)))</f>
        <v>JG</v>
      </c>
      <c r="O640" s="24" t="str">
        <f t="array" ref="O640">index(fish_lab_data!Q:Q,match(A640,fish_lab_data!C:C,0))</f>
        <v>lab_motiles_etoh</v>
      </c>
      <c r="P640" s="24" t="str">
        <f t="array" ref="P640">if(and(iserror(index(sea_lice!G:G,match(A640,sea_lice!A:A,0))),M640=0),"NA",index(sea_lice!G:G,match(A640,sea_lice!A:A,0)))</f>
        <v>NA</v>
      </c>
      <c r="Q640" s="24">
        <f t="array" ref="Q640">if(isblank(A640),"",index(fish_lab_data!X:X,match(A640,fish_lab_data!C:C,0)))</f>
        <v>1364</v>
      </c>
    </row>
    <row r="641">
      <c r="A641" s="40" t="s">
        <v>1903</v>
      </c>
      <c r="B641" s="25">
        <v>0.0</v>
      </c>
      <c r="C641" s="25">
        <v>0.0</v>
      </c>
      <c r="D641" s="25">
        <v>0.0</v>
      </c>
      <c r="E641" s="9">
        <v>1.0</v>
      </c>
      <c r="F641" s="25">
        <v>0.0</v>
      </c>
      <c r="G641" s="25">
        <v>0.0</v>
      </c>
      <c r="H641" s="25">
        <v>0.0</v>
      </c>
      <c r="I641" s="25">
        <v>0.0</v>
      </c>
      <c r="J641" s="25">
        <v>0.0</v>
      </c>
      <c r="K641" s="25">
        <v>0.0</v>
      </c>
      <c r="L641" s="25">
        <v>0.0</v>
      </c>
      <c r="M641" s="17">
        <f t="shared" si="1"/>
        <v>1</v>
      </c>
      <c r="N641" s="24" t="str">
        <f t="array" ref="N641">if(isblank(A641),"",index(fish_lab_data!O:O,match(A641,fish_lab_data!C:C,0)))</f>
        <v>JG</v>
      </c>
      <c r="O641" s="24" t="str">
        <f t="array" ref="O641">index(fish_lab_data!Q:Q,match(A641,fish_lab_data!C:C,0))</f>
        <v>lab_motiles_etoh</v>
      </c>
      <c r="P641" s="24" t="str">
        <f t="array" ref="P641">if(and(iserror(index(sea_lice!G:G,match(A641,sea_lice!A:A,0))),M641=0),"NA",index(sea_lice!G:G,match(A641,sea_lice!A:A,0)))</f>
        <v>BSL8-43</v>
      </c>
      <c r="Q641" s="24">
        <f t="array" ref="Q641">if(isblank(A641),"",index(fish_lab_data!X:X,match(A641,fish_lab_data!C:C,0)))</f>
        <v>1365</v>
      </c>
    </row>
    <row r="642">
      <c r="A642" s="40" t="s">
        <v>1904</v>
      </c>
      <c r="B642" s="25">
        <v>0.0</v>
      </c>
      <c r="C642" s="25">
        <v>0.0</v>
      </c>
      <c r="D642" s="25">
        <v>0.0</v>
      </c>
      <c r="E642" s="25">
        <v>0.0</v>
      </c>
      <c r="F642" s="25">
        <v>0.0</v>
      </c>
      <c r="G642" s="25">
        <v>0.0</v>
      </c>
      <c r="H642" s="25">
        <v>0.0</v>
      </c>
      <c r="I642" s="25">
        <v>0.0</v>
      </c>
      <c r="J642" s="25">
        <v>0.0</v>
      </c>
      <c r="K642" s="25">
        <v>0.0</v>
      </c>
      <c r="L642" s="25">
        <v>0.0</v>
      </c>
      <c r="M642" s="17">
        <f t="shared" si="1"/>
        <v>0</v>
      </c>
      <c r="N642" s="24" t="str">
        <f t="array" ref="N642">if(isblank(A642),"",index(fish_lab_data!O:O,match(A642,fish_lab_data!C:C,0)))</f>
        <v>JG</v>
      </c>
      <c r="O642" s="24" t="str">
        <f t="array" ref="O642">index(fish_lab_data!Q:Q,match(A642,fish_lab_data!C:C,0))</f>
        <v>lab_motiles_etoh</v>
      </c>
      <c r="P642" s="24" t="str">
        <f t="array" ref="P642">if(and(iserror(index(sea_lice!G:G,match(A642,sea_lice!A:A,0))),M642=0),"NA",index(sea_lice!G:G,match(A642,sea_lice!A:A,0)))</f>
        <v>NA</v>
      </c>
      <c r="Q642" s="24">
        <f t="array" ref="Q642">if(isblank(A642),"",index(fish_lab_data!X:X,match(A642,fish_lab_data!C:C,0)))</f>
        <v>1366</v>
      </c>
    </row>
    <row r="643">
      <c r="A643" s="40" t="s">
        <v>1905</v>
      </c>
      <c r="B643" s="25">
        <v>0.0</v>
      </c>
      <c r="C643" s="25">
        <v>0.0</v>
      </c>
      <c r="D643" s="25">
        <v>0.0</v>
      </c>
      <c r="E643" s="9">
        <v>1.0</v>
      </c>
      <c r="F643" s="25">
        <v>0.0</v>
      </c>
      <c r="G643" s="25">
        <v>0.0</v>
      </c>
      <c r="H643" s="25">
        <v>0.0</v>
      </c>
      <c r="I643" s="25">
        <v>0.0</v>
      </c>
      <c r="J643" s="25">
        <v>0.0</v>
      </c>
      <c r="K643" s="25">
        <v>0.0</v>
      </c>
      <c r="L643" s="25">
        <v>0.0</v>
      </c>
      <c r="M643" s="17">
        <f t="shared" si="1"/>
        <v>1</v>
      </c>
      <c r="N643" s="24" t="str">
        <f t="array" ref="N643">if(isblank(A643),"",index(fish_lab_data!O:O,match(A643,fish_lab_data!C:C,0)))</f>
        <v>JG</v>
      </c>
      <c r="O643" s="24" t="str">
        <f t="array" ref="O643">index(fish_lab_data!Q:Q,match(A643,fish_lab_data!C:C,0))</f>
        <v>lab_motiles_etoh</v>
      </c>
      <c r="P643" s="24" t="str">
        <f t="array" ref="P643">if(and(iserror(index(sea_lice!G:G,match(A643,sea_lice!A:A,0))),M643=0),"NA",index(sea_lice!G:G,match(A643,sea_lice!A:A,0)))</f>
        <v>BSL8-45</v>
      </c>
      <c r="Q643" s="24">
        <f t="array" ref="Q643">if(isblank(A643),"",index(fish_lab_data!X:X,match(A643,fish_lab_data!C:C,0)))</f>
        <v>1367</v>
      </c>
    </row>
    <row r="644">
      <c r="A644" s="40" t="s">
        <v>1906</v>
      </c>
      <c r="B644" s="25">
        <v>0.0</v>
      </c>
      <c r="C644" s="25">
        <v>0.0</v>
      </c>
      <c r="D644" s="25">
        <v>0.0</v>
      </c>
      <c r="E644" s="25">
        <v>0.0</v>
      </c>
      <c r="F644" s="25">
        <v>0.0</v>
      </c>
      <c r="G644" s="25">
        <v>0.0</v>
      </c>
      <c r="H644" s="25">
        <v>0.0</v>
      </c>
      <c r="I644" s="25">
        <v>0.0</v>
      </c>
      <c r="J644" s="25">
        <v>0.0</v>
      </c>
      <c r="K644" s="25">
        <v>0.0</v>
      </c>
      <c r="L644" s="25">
        <v>0.0</v>
      </c>
      <c r="M644" s="17">
        <f t="shared" si="1"/>
        <v>0</v>
      </c>
      <c r="N644" s="24" t="str">
        <f t="array" ref="N644">if(isblank(A644),"",index(fish_lab_data!O:O,match(A644,fish_lab_data!C:C,0)))</f>
        <v>JG</v>
      </c>
      <c r="O644" s="24" t="str">
        <f t="array" ref="O644">index(fish_lab_data!Q:Q,match(A644,fish_lab_data!C:C,0))</f>
        <v>lab_motiles_etoh</v>
      </c>
      <c r="P644" s="24" t="str">
        <f t="array" ref="P644">if(and(iserror(index(sea_lice!G:G,match(A644,sea_lice!A:A,0))),M644=0),"NA",index(sea_lice!G:G,match(A644,sea_lice!A:A,0)))</f>
        <v>NA</v>
      </c>
      <c r="Q644" s="24">
        <f t="array" ref="Q644">if(isblank(A644),"",index(fish_lab_data!X:X,match(A644,fish_lab_data!C:C,0)))</f>
        <v>1368</v>
      </c>
    </row>
    <row r="645">
      <c r="A645" s="40" t="s">
        <v>1907</v>
      </c>
      <c r="B645" s="25">
        <v>0.0</v>
      </c>
      <c r="C645" s="25">
        <v>0.0</v>
      </c>
      <c r="D645" s="25">
        <v>0.0</v>
      </c>
      <c r="E645" s="25">
        <v>0.0</v>
      </c>
      <c r="F645" s="25">
        <v>0.0</v>
      </c>
      <c r="G645" s="25">
        <v>0.0</v>
      </c>
      <c r="H645" s="25">
        <v>0.0</v>
      </c>
      <c r="I645" s="25">
        <v>0.0</v>
      </c>
      <c r="J645" s="25">
        <v>0.0</v>
      </c>
      <c r="K645" s="25">
        <v>0.0</v>
      </c>
      <c r="L645" s="25">
        <v>0.0</v>
      </c>
      <c r="M645" s="17">
        <f t="shared" si="1"/>
        <v>0</v>
      </c>
      <c r="N645" s="24" t="str">
        <f t="array" ref="N645">if(isblank(A645),"",index(fish_lab_data!O:O,match(A645,fish_lab_data!C:C,0)))</f>
        <v>JG</v>
      </c>
      <c r="O645" s="24" t="str">
        <f t="array" ref="O645">index(fish_lab_data!Q:Q,match(A645,fish_lab_data!C:C,0))</f>
        <v>lab_motiles_etoh</v>
      </c>
      <c r="P645" s="24" t="str">
        <f t="array" ref="P645">if(and(iserror(index(sea_lice!G:G,match(A645,sea_lice!A:A,0))),M645=0),"NA",index(sea_lice!G:G,match(A645,sea_lice!A:A,0)))</f>
        <v>NA</v>
      </c>
      <c r="Q645" s="24">
        <f t="array" ref="Q645">if(isblank(A645),"",index(fish_lab_data!X:X,match(A645,fish_lab_data!C:C,0)))</f>
        <v>1369</v>
      </c>
    </row>
    <row r="646">
      <c r="A646" s="40" t="s">
        <v>1908</v>
      </c>
      <c r="B646" s="25">
        <v>0.0</v>
      </c>
      <c r="C646" s="25">
        <v>0.0</v>
      </c>
      <c r="D646" s="25">
        <v>0.0</v>
      </c>
      <c r="E646" s="25">
        <v>0.0</v>
      </c>
      <c r="F646" s="25">
        <v>0.0</v>
      </c>
      <c r="G646" s="25">
        <v>0.0</v>
      </c>
      <c r="H646" s="25">
        <v>0.0</v>
      </c>
      <c r="I646" s="25">
        <v>0.0</v>
      </c>
      <c r="J646" s="25">
        <v>0.0</v>
      </c>
      <c r="K646" s="25">
        <v>0.0</v>
      </c>
      <c r="L646" s="25">
        <v>0.0</v>
      </c>
      <c r="M646" s="17">
        <f t="shared" si="1"/>
        <v>0</v>
      </c>
      <c r="N646" s="24" t="str">
        <f t="array" ref="N646">if(isblank(A646),"",index(fish_lab_data!O:O,match(A646,fish_lab_data!C:C,0)))</f>
        <v>JG</v>
      </c>
      <c r="O646" s="24" t="str">
        <f t="array" ref="O646">index(fish_lab_data!Q:Q,match(A646,fish_lab_data!C:C,0))</f>
        <v>lab_motiles_etoh</v>
      </c>
      <c r="P646" s="24" t="str">
        <f t="array" ref="P646">if(and(iserror(index(sea_lice!G:G,match(A646,sea_lice!A:A,0))),M646=0),"NA",index(sea_lice!G:G,match(A646,sea_lice!A:A,0)))</f>
        <v>NA</v>
      </c>
      <c r="Q646" s="24">
        <f t="array" ref="Q646">if(isblank(A646),"",index(fish_lab_data!X:X,match(A646,fish_lab_data!C:C,0)))</f>
        <v>1370</v>
      </c>
    </row>
    <row r="647">
      <c r="A647" s="40" t="s">
        <v>1909</v>
      </c>
      <c r="B647" s="25">
        <v>0.0</v>
      </c>
      <c r="C647" s="25">
        <v>0.0</v>
      </c>
      <c r="D647" s="25">
        <v>0.0</v>
      </c>
      <c r="E647" s="25">
        <v>0.0</v>
      </c>
      <c r="F647" s="25">
        <v>0.0</v>
      </c>
      <c r="G647" s="25">
        <v>0.0</v>
      </c>
      <c r="H647" s="25">
        <v>0.0</v>
      </c>
      <c r="I647" s="25">
        <v>0.0</v>
      </c>
      <c r="J647" s="25">
        <v>0.0</v>
      </c>
      <c r="K647" s="25">
        <v>0.0</v>
      </c>
      <c r="L647" s="25">
        <v>0.0</v>
      </c>
      <c r="M647" s="17">
        <f t="shared" si="1"/>
        <v>0</v>
      </c>
      <c r="N647" s="24" t="str">
        <f t="array" ref="N647">if(isblank(A647),"",index(fish_lab_data!O:O,match(A647,fish_lab_data!C:C,0)))</f>
        <v>JG</v>
      </c>
      <c r="O647" s="24" t="str">
        <f t="array" ref="O647">index(fish_lab_data!Q:Q,match(A647,fish_lab_data!C:C,0))</f>
        <v>lab_motiles_etoh</v>
      </c>
      <c r="P647" s="24" t="str">
        <f t="array" ref="P647">if(and(iserror(index(sea_lice!G:G,match(A647,sea_lice!A:A,0))),M647=0),"NA",index(sea_lice!G:G,match(A647,sea_lice!A:A,0)))</f>
        <v>NA</v>
      </c>
      <c r="Q647" s="24">
        <f t="array" ref="Q647">if(isblank(A647),"",index(fish_lab_data!X:X,match(A647,fish_lab_data!C:C,0)))</f>
        <v>1371</v>
      </c>
    </row>
    <row r="648">
      <c r="A648" s="25" t="s">
        <v>1910</v>
      </c>
      <c r="B648" s="25">
        <v>0.0</v>
      </c>
      <c r="C648" s="25">
        <v>0.0</v>
      </c>
      <c r="D648" s="25">
        <v>0.0</v>
      </c>
      <c r="E648" s="25">
        <v>0.0</v>
      </c>
      <c r="F648" s="25">
        <v>0.0</v>
      </c>
      <c r="G648" s="25">
        <v>0.0</v>
      </c>
      <c r="H648" s="25">
        <v>0.0</v>
      </c>
      <c r="I648" s="25">
        <v>0.0</v>
      </c>
      <c r="J648" s="25">
        <v>0.0</v>
      </c>
      <c r="K648" s="25">
        <v>0.0</v>
      </c>
      <c r="L648" s="25">
        <v>0.0</v>
      </c>
      <c r="M648" s="17">
        <f t="shared" si="1"/>
        <v>0</v>
      </c>
      <c r="N648" s="24" t="str">
        <f t="array" ref="N648">if(isblank(A648),"",index(fish_lab_data!O:O,match(A648,fish_lab_data!C:C,0)))</f>
        <v>JG</v>
      </c>
      <c r="O648" s="24" t="str">
        <f t="array" ref="O648">index(fish_lab_data!Q:Q,match(A648,fish_lab_data!C:C,0))</f>
        <v>lab_motiles_etoh</v>
      </c>
      <c r="P648" s="24" t="str">
        <f t="array" ref="P648">if(and(iserror(index(sea_lice!G:G,match(A648,sea_lice!A:A,0))),M648=0),"NA",index(sea_lice!G:G,match(A648,sea_lice!A:A,0)))</f>
        <v>NA</v>
      </c>
      <c r="Q648" s="24">
        <f t="array" ref="Q648">if(isblank(A648),"",index(fish_lab_data!X:X,match(A648,fish_lab_data!C:C,0)))</f>
        <v>1372</v>
      </c>
    </row>
    <row r="649">
      <c r="A649" s="25" t="s">
        <v>1911</v>
      </c>
      <c r="B649" s="25">
        <v>0.0</v>
      </c>
      <c r="C649" s="25">
        <v>0.0</v>
      </c>
      <c r="D649" s="25">
        <v>0.0</v>
      </c>
      <c r="E649" s="25">
        <v>0.0</v>
      </c>
      <c r="F649" s="25">
        <v>0.0</v>
      </c>
      <c r="G649" s="25">
        <v>0.0</v>
      </c>
      <c r="H649" s="25">
        <v>0.0</v>
      </c>
      <c r="I649" s="25">
        <v>0.0</v>
      </c>
      <c r="J649" s="25">
        <v>0.0</v>
      </c>
      <c r="K649" s="25">
        <v>0.0</v>
      </c>
      <c r="L649" s="25">
        <v>0.0</v>
      </c>
      <c r="M649" s="17">
        <f t="shared" si="1"/>
        <v>0</v>
      </c>
      <c r="N649" s="24" t="str">
        <f t="array" ref="N649">if(isblank(A649),"",index(fish_lab_data!O:O,match(A649,fish_lab_data!C:C,0)))</f>
        <v>JG</v>
      </c>
      <c r="O649" s="24" t="str">
        <f t="array" ref="O649">index(fish_lab_data!Q:Q,match(A649,fish_lab_data!C:C,0))</f>
        <v>lab_motiles_etoh</v>
      </c>
      <c r="P649" s="24" t="str">
        <f t="array" ref="P649">if(and(iserror(index(sea_lice!G:G,match(A649,sea_lice!A:A,0))),M649=0),"NA",index(sea_lice!G:G,match(A649,sea_lice!A:A,0)))</f>
        <v>NA</v>
      </c>
      <c r="Q649" s="24">
        <f t="array" ref="Q649">if(isblank(A649),"",index(fish_lab_data!X:X,match(A649,fish_lab_data!C:C,0)))</f>
        <v>1373</v>
      </c>
    </row>
    <row r="650">
      <c r="A650" s="9" t="s">
        <v>1912</v>
      </c>
      <c r="B650" s="25">
        <v>0.0</v>
      </c>
      <c r="C650" s="25">
        <v>0.0</v>
      </c>
      <c r="D650" s="25">
        <v>0.0</v>
      </c>
      <c r="E650" s="9">
        <v>1.0</v>
      </c>
      <c r="F650" s="25">
        <v>0.0</v>
      </c>
      <c r="G650" s="25">
        <v>0.0</v>
      </c>
      <c r="H650" s="25">
        <v>0.0</v>
      </c>
      <c r="I650" s="25">
        <v>0.0</v>
      </c>
      <c r="J650" s="25">
        <v>0.0</v>
      </c>
      <c r="K650" s="25">
        <v>0.0</v>
      </c>
      <c r="L650" s="25">
        <v>0.0</v>
      </c>
      <c r="M650" s="17">
        <f t="shared" si="1"/>
        <v>1</v>
      </c>
      <c r="N650" s="24" t="str">
        <f t="array" ref="N650">if(isblank(A650),"",index(fish_lab_data!O:O,match(A650,fish_lab_data!C:C,0)))</f>
        <v>JG</v>
      </c>
      <c r="O650" s="24" t="str">
        <f t="array" ref="O650">index(fish_lab_data!Q:Q,match(A650,fish_lab_data!C:C,0))</f>
        <v>lab_motiles_etoh</v>
      </c>
      <c r="P650" s="24" t="str">
        <f t="array" ref="P650">if(and(iserror(index(sea_lice!G:G,match(A650,sea_lice!A:A,0))),M650=0),"NA",index(sea_lice!G:G,match(A650,sea_lice!A:A,0)))</f>
        <v>BSL8-46</v>
      </c>
      <c r="Q650" s="24">
        <f t="array" ref="Q650">if(isblank(A650),"",index(fish_lab_data!X:X,match(A650,fish_lab_data!C:C,0)))</f>
        <v>1374</v>
      </c>
    </row>
    <row r="651">
      <c r="A651" s="25" t="s">
        <v>1913</v>
      </c>
      <c r="B651" s="25">
        <v>0.0</v>
      </c>
      <c r="C651" s="25">
        <v>0.0</v>
      </c>
      <c r="D651" s="25">
        <v>0.0</v>
      </c>
      <c r="E651" s="9">
        <v>2.0</v>
      </c>
      <c r="F651" s="25">
        <v>0.0</v>
      </c>
      <c r="G651" s="9">
        <v>1.0</v>
      </c>
      <c r="H651" s="25">
        <v>0.0</v>
      </c>
      <c r="I651" s="25">
        <v>0.0</v>
      </c>
      <c r="J651" s="25">
        <v>0.0</v>
      </c>
      <c r="K651" s="25">
        <v>0.0</v>
      </c>
      <c r="L651" s="25">
        <v>0.0</v>
      </c>
      <c r="M651" s="17">
        <f t="shared" si="1"/>
        <v>3</v>
      </c>
      <c r="N651" s="24" t="str">
        <f t="array" ref="N651">if(isblank(A651),"",index(fish_lab_data!O:O,match(A651,fish_lab_data!C:C,0)))</f>
        <v>JG</v>
      </c>
      <c r="O651" s="24" t="str">
        <f t="array" ref="O651">index(fish_lab_data!Q:Q,match(A651,fish_lab_data!C:C,0))</f>
        <v>lab_motiles_etoh</v>
      </c>
      <c r="P651" s="24" t="str">
        <f t="array" ref="P651">if(and(iserror(index(sea_lice!G:G,match(A651,sea_lice!A:A,0))),M651=0),"NA",index(sea_lice!G:G,match(A651,sea_lice!A:A,0)))</f>
        <v>BSL8-47</v>
      </c>
      <c r="Q651" s="24">
        <f t="array" ref="Q651">if(isblank(A651),"",index(fish_lab_data!X:X,match(A651,fish_lab_data!C:C,0)))</f>
        <v>1375</v>
      </c>
    </row>
    <row r="652">
      <c r="A652" s="25" t="s">
        <v>1915</v>
      </c>
      <c r="B652" s="9">
        <v>2.0</v>
      </c>
      <c r="C652" s="25">
        <v>0.0</v>
      </c>
      <c r="D652" s="25">
        <v>0.0</v>
      </c>
      <c r="E652" s="25">
        <v>0.0</v>
      </c>
      <c r="F652" s="25">
        <v>0.0</v>
      </c>
      <c r="G652" s="25">
        <v>0.0</v>
      </c>
      <c r="H652" s="25">
        <v>0.0</v>
      </c>
      <c r="I652" s="25">
        <v>0.0</v>
      </c>
      <c r="J652" s="25">
        <v>0.0</v>
      </c>
      <c r="K652" s="25">
        <v>0.0</v>
      </c>
      <c r="L652" s="25">
        <v>0.0</v>
      </c>
      <c r="M652" s="17">
        <f t="shared" si="1"/>
        <v>2</v>
      </c>
      <c r="N652" s="24" t="str">
        <f t="array" ref="N652">if(isblank(A652),"",index(fish_lab_data!O:O,match(A652,fish_lab_data!C:C,0)))</f>
        <v>JG</v>
      </c>
      <c r="O652" s="24" t="str">
        <f t="array" ref="O652">index(fish_lab_data!Q:Q,match(A652,fish_lab_data!C:C,0))</f>
        <v>lab_motiles_etoh</v>
      </c>
      <c r="P652" s="24" t="str">
        <f t="array" ref="P652">if(and(iserror(index(sea_lice!G:G,match(A652,sea_lice!A:A,0))),M652=0),"NA",index(sea_lice!G:G,match(A652,sea_lice!A:A,0)))</f>
        <v>BSL8-48</v>
      </c>
      <c r="Q652" s="24">
        <f t="array" ref="Q652">if(isblank(A652),"",index(fish_lab_data!X:X,match(A652,fish_lab_data!C:C,0)))</f>
        <v>1376</v>
      </c>
    </row>
    <row r="653">
      <c r="A653" s="25" t="s">
        <v>1916</v>
      </c>
      <c r="B653" s="25">
        <v>0.0</v>
      </c>
      <c r="C653" s="25">
        <v>0.0</v>
      </c>
      <c r="D653" s="25">
        <v>0.0</v>
      </c>
      <c r="E653" s="25">
        <v>0.0</v>
      </c>
      <c r="F653" s="25">
        <v>0.0</v>
      </c>
      <c r="G653" s="25">
        <v>0.0</v>
      </c>
      <c r="H653" s="25">
        <v>0.0</v>
      </c>
      <c r="I653" s="25">
        <v>0.0</v>
      </c>
      <c r="J653" s="25">
        <v>0.0</v>
      </c>
      <c r="K653" s="25">
        <v>0.0</v>
      </c>
      <c r="L653" s="25">
        <v>0.0</v>
      </c>
      <c r="M653" s="17">
        <f t="shared" si="1"/>
        <v>0</v>
      </c>
      <c r="N653" s="24" t="str">
        <f t="array" ref="N653">if(isblank(A653),"",index(fish_lab_data!O:O,match(A653,fish_lab_data!C:C,0)))</f>
        <v>JG</v>
      </c>
      <c r="O653" s="24" t="str">
        <f t="array" ref="O653">index(fish_lab_data!Q:Q,match(A653,fish_lab_data!C:C,0))</f>
        <v>lab_motiles_etoh</v>
      </c>
      <c r="P653" s="24" t="str">
        <f t="array" ref="P653">if(and(iserror(index(sea_lice!G:G,match(A653,sea_lice!A:A,0))),M653=0),"NA",index(sea_lice!G:G,match(A653,sea_lice!A:A,0)))</f>
        <v>NA</v>
      </c>
      <c r="Q653" s="24">
        <f t="array" ref="Q653">if(isblank(A653),"",index(fish_lab_data!X:X,match(A653,fish_lab_data!C:C,0)))</f>
        <v>1377</v>
      </c>
    </row>
    <row r="654">
      <c r="A654" s="25" t="s">
        <v>1918</v>
      </c>
      <c r="B654" s="25">
        <v>0.0</v>
      </c>
      <c r="C654" s="25">
        <v>0.0</v>
      </c>
      <c r="D654" s="25">
        <v>0.0</v>
      </c>
      <c r="E654" s="25">
        <v>0.0</v>
      </c>
      <c r="F654" s="25">
        <v>0.0</v>
      </c>
      <c r="G654" s="25">
        <v>0.0</v>
      </c>
      <c r="H654" s="25">
        <v>0.0</v>
      </c>
      <c r="I654" s="25">
        <v>0.0</v>
      </c>
      <c r="J654" s="25">
        <v>0.0</v>
      </c>
      <c r="K654" s="25">
        <v>0.0</v>
      </c>
      <c r="L654" s="25">
        <v>0.0</v>
      </c>
      <c r="M654" s="17">
        <f t="shared" si="1"/>
        <v>0</v>
      </c>
      <c r="N654" s="24" t="str">
        <f t="array" ref="N654">if(isblank(A654),"",index(fish_lab_data!O:O,match(A654,fish_lab_data!C:C,0)))</f>
        <v>JG</v>
      </c>
      <c r="O654" s="24" t="str">
        <f t="array" ref="O654">index(fish_lab_data!Q:Q,match(A654,fish_lab_data!C:C,0))</f>
        <v>lab_motiles_etoh</v>
      </c>
      <c r="P654" s="24" t="str">
        <f t="array" ref="P654">if(and(iserror(index(sea_lice!G:G,match(A654,sea_lice!A:A,0))),M654=0),"NA",index(sea_lice!G:G,match(A654,sea_lice!A:A,0)))</f>
        <v>NA</v>
      </c>
      <c r="Q654" s="24">
        <f t="array" ref="Q654">if(isblank(A654),"",index(fish_lab_data!X:X,match(A654,fish_lab_data!C:C,0)))</f>
        <v>1378</v>
      </c>
    </row>
    <row r="655">
      <c r="A655" s="40" t="s">
        <v>1919</v>
      </c>
      <c r="B655" s="25">
        <v>0.0</v>
      </c>
      <c r="C655" s="25">
        <v>0.0</v>
      </c>
      <c r="D655" s="25">
        <v>0.0</v>
      </c>
      <c r="E655" s="9">
        <v>1.0</v>
      </c>
      <c r="F655" s="25">
        <v>0.0</v>
      </c>
      <c r="G655" s="25">
        <v>0.0</v>
      </c>
      <c r="H655" s="25">
        <v>0.0</v>
      </c>
      <c r="I655" s="25">
        <v>0.0</v>
      </c>
      <c r="J655" s="25">
        <v>0.0</v>
      </c>
      <c r="K655" s="25">
        <v>0.0</v>
      </c>
      <c r="L655" s="25">
        <v>0.0</v>
      </c>
      <c r="M655" s="17">
        <f t="shared" si="1"/>
        <v>1</v>
      </c>
      <c r="N655" s="24" t="str">
        <f t="array" ref="N655">if(isblank(A655),"",index(fish_lab_data!O:O,match(A655,fish_lab_data!C:C,0)))</f>
        <v>KB</v>
      </c>
      <c r="O655" s="24" t="str">
        <f t="array" ref="O655">index(fish_lab_data!Q:Q,match(A655,fish_lab_data!C:C,0))</f>
        <v>lab_motiles_etoh</v>
      </c>
      <c r="P655" s="24" t="str">
        <f t="array" ref="P655">if(and(iserror(index(sea_lice!G:G,match(A655,sea_lice!A:A,0))),M655=0),"NA",index(sea_lice!G:G,match(A655,sea_lice!A:A,0)))</f>
        <v>BSL8-49</v>
      </c>
      <c r="Q655" s="24">
        <f t="array" ref="Q655">if(isblank(A655),"",index(fish_lab_data!X:X,match(A655,fish_lab_data!C:C,0)))</f>
        <v>1379</v>
      </c>
    </row>
    <row r="656">
      <c r="A656" s="40" t="s">
        <v>1920</v>
      </c>
      <c r="B656" s="9">
        <v>1.0</v>
      </c>
      <c r="C656" s="25">
        <v>0.0</v>
      </c>
      <c r="D656" s="25">
        <v>0.0</v>
      </c>
      <c r="E656" s="9">
        <v>1.0</v>
      </c>
      <c r="F656" s="25">
        <v>0.0</v>
      </c>
      <c r="G656" s="25">
        <v>0.0</v>
      </c>
      <c r="H656" s="25">
        <v>0.0</v>
      </c>
      <c r="I656" s="25">
        <v>0.0</v>
      </c>
      <c r="J656" s="25">
        <v>0.0</v>
      </c>
      <c r="K656" s="25">
        <v>0.0</v>
      </c>
      <c r="L656" s="25">
        <v>0.0</v>
      </c>
      <c r="M656" s="17">
        <f t="shared" si="1"/>
        <v>2</v>
      </c>
      <c r="N656" s="24" t="str">
        <f t="array" ref="N656">if(isblank(A656),"",index(fish_lab_data!O:O,match(A656,fish_lab_data!C:C,0)))</f>
        <v>KB</v>
      </c>
      <c r="O656" s="24" t="str">
        <f t="array" ref="O656">index(fish_lab_data!Q:Q,match(A656,fish_lab_data!C:C,0))</f>
        <v>lab_motiles_etoh</v>
      </c>
      <c r="P656" s="24" t="str">
        <f t="array" ref="P656">if(and(iserror(index(sea_lice!G:G,match(A656,sea_lice!A:A,0))),M656=0),"NA",index(sea_lice!G:G,match(A656,sea_lice!A:A,0)))</f>
        <v>BSL8-50</v>
      </c>
      <c r="Q656" s="24">
        <f t="array" ref="Q656">if(isblank(A656),"",index(fish_lab_data!X:X,match(A656,fish_lab_data!C:C,0)))</f>
        <v>1380</v>
      </c>
    </row>
    <row r="657">
      <c r="A657" s="40" t="s">
        <v>1921</v>
      </c>
      <c r="B657" s="9">
        <v>1.0</v>
      </c>
      <c r="C657" s="25">
        <v>0.0</v>
      </c>
      <c r="D657" s="25">
        <v>0.0</v>
      </c>
      <c r="E657" s="25">
        <v>0.0</v>
      </c>
      <c r="F657" s="25">
        <v>0.0</v>
      </c>
      <c r="G657" s="25">
        <v>0.0</v>
      </c>
      <c r="H657" s="25">
        <v>0.0</v>
      </c>
      <c r="I657" s="25">
        <v>0.0</v>
      </c>
      <c r="J657" s="25">
        <v>0.0</v>
      </c>
      <c r="K657" s="25">
        <v>0.0</v>
      </c>
      <c r="L657" s="25">
        <v>0.0</v>
      </c>
      <c r="M657" s="17">
        <f t="shared" si="1"/>
        <v>1</v>
      </c>
      <c r="N657" s="24" t="str">
        <f t="array" ref="N657">if(isblank(A657),"",index(fish_lab_data!O:O,match(A657,fish_lab_data!C:C,0)))</f>
        <v>KB</v>
      </c>
      <c r="O657" s="24" t="str">
        <f t="array" ref="O657">index(fish_lab_data!Q:Q,match(A657,fish_lab_data!C:C,0))</f>
        <v>lab_motiles_etoh</v>
      </c>
      <c r="P657" s="24" t="str">
        <f t="array" ref="P657">if(and(iserror(index(sea_lice!G:G,match(A657,sea_lice!A:A,0))),M657=0),"NA",index(sea_lice!G:G,match(A657,sea_lice!A:A,0)))</f>
        <v>BSL8-51</v>
      </c>
      <c r="Q657" s="24">
        <f t="array" ref="Q657">if(isblank(A657),"",index(fish_lab_data!X:X,match(A657,fish_lab_data!C:C,0)))</f>
        <v>1381</v>
      </c>
    </row>
    <row r="658">
      <c r="A658" s="40" t="s">
        <v>1922</v>
      </c>
      <c r="B658" s="25">
        <v>0.0</v>
      </c>
      <c r="C658" s="25">
        <v>0.0</v>
      </c>
      <c r="D658" s="25">
        <v>0.0</v>
      </c>
      <c r="E658" s="9">
        <v>2.0</v>
      </c>
      <c r="F658" s="25">
        <v>0.0</v>
      </c>
      <c r="G658" s="25">
        <v>0.0</v>
      </c>
      <c r="H658" s="25">
        <v>0.0</v>
      </c>
      <c r="I658" s="25">
        <v>0.0</v>
      </c>
      <c r="J658" s="25">
        <v>0.0</v>
      </c>
      <c r="K658" s="25">
        <v>0.0</v>
      </c>
      <c r="L658" s="25">
        <v>0.0</v>
      </c>
      <c r="M658" s="17">
        <f t="shared" si="1"/>
        <v>2</v>
      </c>
      <c r="N658" s="24" t="str">
        <f t="array" ref="N658">if(isblank(A658),"",index(fish_lab_data!O:O,match(A658,fish_lab_data!C:C,0)))</f>
        <v>KB</v>
      </c>
      <c r="O658" s="24" t="str">
        <f t="array" ref="O658">index(fish_lab_data!Q:Q,match(A658,fish_lab_data!C:C,0))</f>
        <v>lab_motiles_etoh</v>
      </c>
      <c r="P658" s="24" t="str">
        <f t="array" ref="P658">if(and(iserror(index(sea_lice!G:G,match(A658,sea_lice!A:A,0))),M658=0),"NA",index(sea_lice!G:G,match(A658,sea_lice!A:A,0)))</f>
        <v>BSL8-52</v>
      </c>
      <c r="Q658" s="24">
        <f t="array" ref="Q658">if(isblank(A658),"",index(fish_lab_data!X:X,match(A658,fish_lab_data!C:C,0)))</f>
        <v>1382</v>
      </c>
    </row>
    <row r="659">
      <c r="A659" s="40" t="s">
        <v>1923</v>
      </c>
      <c r="B659" s="25">
        <v>0.0</v>
      </c>
      <c r="C659" s="25">
        <v>0.0</v>
      </c>
      <c r="D659" s="25">
        <v>0.0</v>
      </c>
      <c r="E659" s="9">
        <v>0.0</v>
      </c>
      <c r="F659" s="25">
        <v>0.0</v>
      </c>
      <c r="G659" s="25">
        <v>0.0</v>
      </c>
      <c r="H659" s="25">
        <v>0.0</v>
      </c>
      <c r="I659" s="25">
        <v>0.0</v>
      </c>
      <c r="J659" s="25">
        <v>0.0</v>
      </c>
      <c r="K659" s="25">
        <v>0.0</v>
      </c>
      <c r="L659" s="25">
        <v>0.0</v>
      </c>
      <c r="M659" s="17">
        <f t="shared" si="1"/>
        <v>0</v>
      </c>
      <c r="N659" s="24" t="str">
        <f t="array" ref="N659">if(isblank(A659),"",index(fish_lab_data!O:O,match(A659,fish_lab_data!C:C,0)))</f>
        <v>KB</v>
      </c>
      <c r="O659" s="24" t="str">
        <f t="array" ref="O659">index(fish_lab_data!Q:Q,match(A659,fish_lab_data!C:C,0))</f>
        <v>lab_motiles_etoh</v>
      </c>
      <c r="P659" s="24" t="str">
        <f t="array" ref="P659">if(and(iserror(index(sea_lice!G:G,match(A659,sea_lice!A:A,0))),M659=0),"NA",index(sea_lice!G:G,match(A659,sea_lice!A:A,0)))</f>
        <v>NA</v>
      </c>
      <c r="Q659" s="24">
        <f t="array" ref="Q659">if(isblank(A659),"",index(fish_lab_data!X:X,match(A659,fish_lab_data!C:C,0)))</f>
        <v>1383</v>
      </c>
    </row>
    <row r="660">
      <c r="A660" s="40" t="s">
        <v>1924</v>
      </c>
      <c r="B660" s="25">
        <v>0.0</v>
      </c>
      <c r="C660" s="25">
        <v>0.0</v>
      </c>
      <c r="D660" s="25">
        <v>0.0</v>
      </c>
      <c r="E660" s="9">
        <v>0.0</v>
      </c>
      <c r="F660" s="25">
        <v>0.0</v>
      </c>
      <c r="G660" s="25">
        <v>0.0</v>
      </c>
      <c r="H660" s="25">
        <v>0.0</v>
      </c>
      <c r="I660" s="25">
        <v>0.0</v>
      </c>
      <c r="J660" s="25">
        <v>0.0</v>
      </c>
      <c r="K660" s="25">
        <v>0.0</v>
      </c>
      <c r="L660" s="25">
        <v>0.0</v>
      </c>
      <c r="M660" s="17">
        <f t="shared" si="1"/>
        <v>0</v>
      </c>
      <c r="N660" s="24" t="str">
        <f t="array" ref="N660">if(isblank(A660),"",index(fish_lab_data!O:O,match(A660,fish_lab_data!C:C,0)))</f>
        <v>KB</v>
      </c>
      <c r="O660" s="24" t="str">
        <f t="array" ref="O660">index(fish_lab_data!Q:Q,match(A660,fish_lab_data!C:C,0))</f>
        <v>lab_motiles_etoh</v>
      </c>
      <c r="P660" s="24" t="str">
        <f t="array" ref="P660">if(and(iserror(index(sea_lice!G:G,match(A660,sea_lice!A:A,0))),M660=0),"NA",index(sea_lice!G:G,match(A660,sea_lice!A:A,0)))</f>
        <v>NA</v>
      </c>
      <c r="Q660" s="24">
        <f t="array" ref="Q660">if(isblank(A660),"",index(fish_lab_data!X:X,match(A660,fish_lab_data!C:C,0)))</f>
        <v>1384</v>
      </c>
    </row>
    <row r="661">
      <c r="A661" s="40" t="s">
        <v>1925</v>
      </c>
      <c r="B661" s="9">
        <v>1.0</v>
      </c>
      <c r="C661" s="25">
        <v>0.0</v>
      </c>
      <c r="D661" s="25">
        <v>0.0</v>
      </c>
      <c r="E661" s="9">
        <v>2.0</v>
      </c>
      <c r="F661" s="25">
        <v>0.0</v>
      </c>
      <c r="G661" s="25">
        <v>0.0</v>
      </c>
      <c r="H661" s="25">
        <v>0.0</v>
      </c>
      <c r="I661" s="25">
        <v>0.0</v>
      </c>
      <c r="J661" s="25">
        <v>0.0</v>
      </c>
      <c r="K661" s="25">
        <v>0.0</v>
      </c>
      <c r="L661" s="25">
        <v>0.0</v>
      </c>
      <c r="M661" s="17">
        <f t="shared" si="1"/>
        <v>3</v>
      </c>
      <c r="N661" s="24" t="str">
        <f t="array" ref="N661">if(isblank(A661),"",index(fish_lab_data!O:O,match(A661,fish_lab_data!C:C,0)))</f>
        <v>KB</v>
      </c>
      <c r="O661" s="24" t="str">
        <f t="array" ref="O661">index(fish_lab_data!Q:Q,match(A661,fish_lab_data!C:C,0))</f>
        <v>lab_motiles_etoh</v>
      </c>
      <c r="P661" s="24" t="str">
        <f t="array" ref="P661">if(and(iserror(index(sea_lice!G:G,match(A661,sea_lice!A:A,0))),M661=0),"NA",index(sea_lice!G:G,match(A661,sea_lice!A:A,0)))</f>
        <v>BSL8-53</v>
      </c>
      <c r="Q661" s="24">
        <f t="array" ref="Q661">if(isblank(A661),"",index(fish_lab_data!X:X,match(A661,fish_lab_data!C:C,0)))</f>
        <v>1385</v>
      </c>
    </row>
    <row r="662">
      <c r="A662" s="40" t="s">
        <v>1926</v>
      </c>
      <c r="B662" s="25">
        <v>0.0</v>
      </c>
      <c r="C662" s="25">
        <v>0.0</v>
      </c>
      <c r="D662" s="25">
        <v>0.0</v>
      </c>
      <c r="E662" s="9">
        <v>1.0</v>
      </c>
      <c r="F662" s="25">
        <v>0.0</v>
      </c>
      <c r="G662" s="25">
        <v>0.0</v>
      </c>
      <c r="H662" s="25">
        <v>0.0</v>
      </c>
      <c r="I662" s="25">
        <v>0.0</v>
      </c>
      <c r="J662" s="25">
        <v>0.0</v>
      </c>
      <c r="K662" s="25">
        <v>0.0</v>
      </c>
      <c r="L662" s="25">
        <v>0.0</v>
      </c>
      <c r="M662" s="17">
        <f t="shared" si="1"/>
        <v>1</v>
      </c>
      <c r="N662" s="24" t="str">
        <f t="array" ref="N662">if(isblank(A662),"",index(fish_lab_data!O:O,match(A662,fish_lab_data!C:C,0)))</f>
        <v>KB</v>
      </c>
      <c r="O662" s="24" t="str">
        <f t="array" ref="O662">index(fish_lab_data!Q:Q,match(A662,fish_lab_data!C:C,0))</f>
        <v>lab_motiles_etoh</v>
      </c>
      <c r="P662" s="24" t="str">
        <f t="array" ref="P662">if(and(iserror(index(sea_lice!G:G,match(A662,sea_lice!A:A,0))),M662=0),"NA",index(sea_lice!G:G,match(A662,sea_lice!A:A,0)))</f>
        <v>BSL8-54</v>
      </c>
      <c r="Q662" s="24">
        <f t="array" ref="Q662">if(isblank(A662),"",index(fish_lab_data!X:X,match(A662,fish_lab_data!C:C,0)))</f>
        <v>1386</v>
      </c>
    </row>
    <row r="663">
      <c r="A663" s="40" t="s">
        <v>1927</v>
      </c>
      <c r="B663" s="25">
        <v>0.0</v>
      </c>
      <c r="C663" s="25">
        <v>0.0</v>
      </c>
      <c r="D663" s="9">
        <v>1.0</v>
      </c>
      <c r="E663" s="25">
        <v>0.0</v>
      </c>
      <c r="F663" s="25">
        <v>0.0</v>
      </c>
      <c r="G663" s="25">
        <v>0.0</v>
      </c>
      <c r="H663" s="25">
        <v>0.0</v>
      </c>
      <c r="I663" s="25">
        <v>0.0</v>
      </c>
      <c r="J663" s="25">
        <v>0.0</v>
      </c>
      <c r="K663" s="25">
        <v>0.0</v>
      </c>
      <c r="L663" s="25">
        <v>0.0</v>
      </c>
      <c r="M663" s="17">
        <f t="shared" si="1"/>
        <v>1</v>
      </c>
      <c r="N663" s="24" t="str">
        <f t="array" ref="N663">if(isblank(A663),"",index(fish_lab_data!O:O,match(A663,fish_lab_data!C:C,0)))</f>
        <v>KB</v>
      </c>
      <c r="O663" s="24" t="str">
        <f t="array" ref="O663">index(fish_lab_data!Q:Q,match(A663,fish_lab_data!C:C,0))</f>
        <v>lab_motiles_etoh</v>
      </c>
      <c r="P663" s="24" t="str">
        <f t="array" ref="P663">if(and(iserror(index(sea_lice!G:G,match(A663,sea_lice!A:A,0))),M663=0),"NA",index(sea_lice!G:G,match(A663,sea_lice!A:A,0)))</f>
        <v>BSL8-56</v>
      </c>
      <c r="Q663" s="24">
        <f t="array" ref="Q663">if(isblank(A663),"",index(fish_lab_data!X:X,match(A663,fish_lab_data!C:C,0)))</f>
        <v>1387</v>
      </c>
    </row>
    <row r="664">
      <c r="A664" s="40" t="s">
        <v>1928</v>
      </c>
      <c r="B664" s="25">
        <v>0.0</v>
      </c>
      <c r="C664" s="25">
        <v>0.0</v>
      </c>
      <c r="D664" s="9">
        <v>0.0</v>
      </c>
      <c r="E664" s="25">
        <v>0.0</v>
      </c>
      <c r="F664" s="25">
        <v>0.0</v>
      </c>
      <c r="G664" s="25">
        <v>0.0</v>
      </c>
      <c r="H664" s="25">
        <v>0.0</v>
      </c>
      <c r="I664" s="25">
        <v>0.0</v>
      </c>
      <c r="J664" s="25">
        <v>0.0</v>
      </c>
      <c r="K664" s="25">
        <v>0.0</v>
      </c>
      <c r="L664" s="25">
        <v>0.0</v>
      </c>
      <c r="M664" s="17">
        <f t="shared" si="1"/>
        <v>0</v>
      </c>
      <c r="N664" s="24" t="str">
        <f t="array" ref="N664">if(isblank(A664),"",index(fish_lab_data!O:O,match(A664,fish_lab_data!C:C,0)))</f>
        <v>KB</v>
      </c>
      <c r="O664" s="24" t="str">
        <f t="array" ref="O664">index(fish_lab_data!Q:Q,match(A664,fish_lab_data!C:C,0))</f>
        <v>lab_motiles_etoh</v>
      </c>
      <c r="P664" s="24" t="str">
        <f t="array" ref="P664">if(and(iserror(index(sea_lice!G:G,match(A664,sea_lice!A:A,0))),M664=0),"NA",index(sea_lice!G:G,match(A664,sea_lice!A:A,0)))</f>
        <v>NA</v>
      </c>
      <c r="Q664" s="24">
        <f t="array" ref="Q664">if(isblank(A664),"",index(fish_lab_data!X:X,match(A664,fish_lab_data!C:C,0)))</f>
        <v>1388</v>
      </c>
    </row>
    <row r="665">
      <c r="A665" s="40" t="s">
        <v>1929</v>
      </c>
      <c r="B665" s="25">
        <v>0.0</v>
      </c>
      <c r="C665" s="25">
        <v>0.0</v>
      </c>
      <c r="D665" s="9">
        <v>0.0</v>
      </c>
      <c r="E665" s="25">
        <v>0.0</v>
      </c>
      <c r="F665" s="25">
        <v>0.0</v>
      </c>
      <c r="G665" s="25">
        <v>0.0</v>
      </c>
      <c r="H665" s="25">
        <v>0.0</v>
      </c>
      <c r="I665" s="25">
        <v>0.0</v>
      </c>
      <c r="J665" s="25">
        <v>0.0</v>
      </c>
      <c r="K665" s="25">
        <v>0.0</v>
      </c>
      <c r="L665" s="25">
        <v>0.0</v>
      </c>
      <c r="M665" s="17">
        <f t="shared" si="1"/>
        <v>0</v>
      </c>
      <c r="N665" s="24" t="str">
        <f t="array" ref="N665">if(isblank(A665),"",index(fish_lab_data!O:O,match(A665,fish_lab_data!C:C,0)))</f>
        <v>KB</v>
      </c>
      <c r="O665" s="24" t="str">
        <f t="array" ref="O665">index(fish_lab_data!Q:Q,match(A665,fish_lab_data!C:C,0))</f>
        <v>lab_motiles_etoh</v>
      </c>
      <c r="P665" s="24" t="str">
        <f t="array" ref="P665">if(and(iserror(index(sea_lice!G:G,match(A665,sea_lice!A:A,0))),M665=0),"NA",index(sea_lice!G:G,match(A665,sea_lice!A:A,0)))</f>
        <v>NA</v>
      </c>
      <c r="Q665" s="24">
        <f t="array" ref="Q665">if(isblank(A665),"",index(fish_lab_data!X:X,match(A665,fish_lab_data!C:C,0)))</f>
        <v>1389</v>
      </c>
    </row>
    <row r="666">
      <c r="A666" s="40" t="s">
        <v>1930</v>
      </c>
      <c r="B666" s="25">
        <v>0.0</v>
      </c>
      <c r="C666" s="25">
        <v>0.0</v>
      </c>
      <c r="D666" s="25">
        <v>0.0</v>
      </c>
      <c r="E666" s="25">
        <v>0.0</v>
      </c>
      <c r="F666" s="25">
        <v>0.0</v>
      </c>
      <c r="G666" s="25">
        <v>0.0</v>
      </c>
      <c r="H666" s="25">
        <v>0.0</v>
      </c>
      <c r="I666" s="25">
        <v>0.0</v>
      </c>
      <c r="J666" s="25">
        <v>0.0</v>
      </c>
      <c r="K666" s="25">
        <v>0.0</v>
      </c>
      <c r="L666" s="25">
        <v>0.0</v>
      </c>
      <c r="M666" s="17">
        <f t="shared" si="1"/>
        <v>0</v>
      </c>
      <c r="N666" s="24" t="str">
        <f t="array" ref="N666">if(isblank(A666),"",index(fish_lab_data!O:O,match(A666,fish_lab_data!C:C,0)))</f>
        <v>KB</v>
      </c>
      <c r="O666" s="24" t="str">
        <f t="array" ref="O666">index(fish_lab_data!Q:Q,match(A666,fish_lab_data!C:C,0))</f>
        <v>lab_motiles_etoh</v>
      </c>
      <c r="P666" s="24" t="str">
        <f t="array" ref="P666">if(and(iserror(index(sea_lice!G:G,match(A666,sea_lice!A:A,0))),M666=0),"NA",index(sea_lice!G:G,match(A666,sea_lice!A:A,0)))</f>
        <v>NA</v>
      </c>
      <c r="Q666" s="24">
        <f t="array" ref="Q666">if(isblank(A666),"",index(fish_lab_data!X:X,match(A666,fish_lab_data!C:C,0)))</f>
        <v>1390</v>
      </c>
    </row>
    <row r="667">
      <c r="A667" s="40" t="s">
        <v>1931</v>
      </c>
      <c r="B667" s="25">
        <v>0.0</v>
      </c>
      <c r="C667" s="25">
        <v>0.0</v>
      </c>
      <c r="D667" s="25">
        <v>0.0</v>
      </c>
      <c r="E667" s="25">
        <v>0.0</v>
      </c>
      <c r="F667" s="25">
        <v>0.0</v>
      </c>
      <c r="G667" s="25">
        <v>0.0</v>
      </c>
      <c r="H667" s="25">
        <v>0.0</v>
      </c>
      <c r="I667" s="25">
        <v>0.0</v>
      </c>
      <c r="J667" s="25">
        <v>0.0</v>
      </c>
      <c r="K667" s="25">
        <v>0.0</v>
      </c>
      <c r="L667" s="25">
        <v>0.0</v>
      </c>
      <c r="M667" s="17">
        <f t="shared" si="1"/>
        <v>0</v>
      </c>
      <c r="N667" s="24" t="str">
        <f t="array" ref="N667">if(isblank(A667),"",index(fish_lab_data!O:O,match(A667,fish_lab_data!C:C,0)))</f>
        <v>KB</v>
      </c>
      <c r="O667" s="24" t="str">
        <f t="array" ref="O667">index(fish_lab_data!Q:Q,match(A667,fish_lab_data!C:C,0))</f>
        <v>lab_motiles_etoh</v>
      </c>
      <c r="P667" s="24" t="str">
        <f t="array" ref="P667">if(and(iserror(index(sea_lice!G:G,match(A667,sea_lice!A:A,0))),M667=0),"NA",index(sea_lice!G:G,match(A667,sea_lice!A:A,0)))</f>
        <v>NA</v>
      </c>
      <c r="Q667" s="24">
        <f t="array" ref="Q667">if(isblank(A667),"",index(fish_lab_data!X:X,match(A667,fish_lab_data!C:C,0)))</f>
        <v>1391</v>
      </c>
    </row>
    <row r="668">
      <c r="A668" s="40" t="s">
        <v>1932</v>
      </c>
      <c r="B668" s="25">
        <v>0.0</v>
      </c>
      <c r="C668" s="25">
        <v>0.0</v>
      </c>
      <c r="D668" s="25">
        <v>0.0</v>
      </c>
      <c r="E668" s="25">
        <v>0.0</v>
      </c>
      <c r="F668" s="25">
        <v>0.0</v>
      </c>
      <c r="G668" s="25">
        <v>0.0</v>
      </c>
      <c r="H668" s="25">
        <v>0.0</v>
      </c>
      <c r="I668" s="25">
        <v>0.0</v>
      </c>
      <c r="J668" s="25">
        <v>0.0</v>
      </c>
      <c r="K668" s="25">
        <v>0.0</v>
      </c>
      <c r="L668" s="25">
        <v>0.0</v>
      </c>
      <c r="M668" s="17">
        <f t="shared" si="1"/>
        <v>0</v>
      </c>
      <c r="N668" s="24" t="str">
        <f t="array" ref="N668">if(isblank(A668),"",index(fish_lab_data!O:O,match(A668,fish_lab_data!C:C,0)))</f>
        <v>KB</v>
      </c>
      <c r="O668" s="24" t="str">
        <f t="array" ref="O668">index(fish_lab_data!Q:Q,match(A668,fish_lab_data!C:C,0))</f>
        <v>lab_motiles_etoh</v>
      </c>
      <c r="P668" s="24" t="str">
        <f t="array" ref="P668">if(and(iserror(index(sea_lice!G:G,match(A668,sea_lice!A:A,0))),M668=0),"NA",index(sea_lice!G:G,match(A668,sea_lice!A:A,0)))</f>
        <v>NA</v>
      </c>
      <c r="Q668" s="24">
        <f t="array" ref="Q668">if(isblank(A668),"",index(fish_lab_data!X:X,match(A668,fish_lab_data!C:C,0)))</f>
        <v>1392</v>
      </c>
    </row>
    <row r="669">
      <c r="A669" s="40" t="s">
        <v>1933</v>
      </c>
      <c r="B669" s="25">
        <v>0.0</v>
      </c>
      <c r="C669" s="25">
        <v>0.0</v>
      </c>
      <c r="D669" s="25">
        <v>0.0</v>
      </c>
      <c r="E669" s="25">
        <v>0.0</v>
      </c>
      <c r="F669" s="25">
        <v>0.0</v>
      </c>
      <c r="G669" s="25">
        <v>0.0</v>
      </c>
      <c r="H669" s="25">
        <v>0.0</v>
      </c>
      <c r="I669" s="25">
        <v>0.0</v>
      </c>
      <c r="J669" s="25">
        <v>0.0</v>
      </c>
      <c r="K669" s="25">
        <v>0.0</v>
      </c>
      <c r="L669" s="25">
        <v>0.0</v>
      </c>
      <c r="M669" s="17">
        <f t="shared" si="1"/>
        <v>0</v>
      </c>
      <c r="N669" s="24" t="str">
        <f t="array" ref="N669">if(isblank(A669),"",index(fish_lab_data!O:O,match(A669,fish_lab_data!C:C,0)))</f>
        <v>KB</v>
      </c>
      <c r="O669" s="24" t="str">
        <f t="array" ref="O669">index(fish_lab_data!Q:Q,match(A669,fish_lab_data!C:C,0))</f>
        <v>lab_motiles_etoh</v>
      </c>
      <c r="P669" s="24" t="str">
        <f t="array" ref="P669">if(and(iserror(index(sea_lice!G:G,match(A669,sea_lice!A:A,0))),M669=0),"NA",index(sea_lice!G:G,match(A669,sea_lice!A:A,0)))</f>
        <v>NA</v>
      </c>
      <c r="Q669" s="24">
        <f t="array" ref="Q669">if(isblank(A669),"",index(fish_lab_data!X:X,match(A669,fish_lab_data!C:C,0)))</f>
        <v>1393</v>
      </c>
    </row>
    <row r="670">
      <c r="A670" s="40" t="s">
        <v>1934</v>
      </c>
      <c r="B670" s="25">
        <v>0.0</v>
      </c>
      <c r="C670" s="25">
        <v>0.0</v>
      </c>
      <c r="D670" s="25">
        <v>0.0</v>
      </c>
      <c r="E670" s="25">
        <v>0.0</v>
      </c>
      <c r="F670" s="25">
        <v>0.0</v>
      </c>
      <c r="G670" s="25">
        <v>0.0</v>
      </c>
      <c r="H670" s="25">
        <v>0.0</v>
      </c>
      <c r="I670" s="25">
        <v>0.0</v>
      </c>
      <c r="J670" s="25">
        <v>0.0</v>
      </c>
      <c r="K670" s="25">
        <v>0.0</v>
      </c>
      <c r="L670" s="25">
        <v>0.0</v>
      </c>
      <c r="M670" s="17">
        <f t="shared" si="1"/>
        <v>0</v>
      </c>
      <c r="N670" s="24" t="str">
        <f t="array" ref="N670">if(isblank(A670),"",index(fish_lab_data!O:O,match(A670,fish_lab_data!C:C,0)))</f>
        <v>KB</v>
      </c>
      <c r="O670" s="24" t="str">
        <f t="array" ref="O670">index(fish_lab_data!Q:Q,match(A670,fish_lab_data!C:C,0))</f>
        <v>lab_motiles_etoh</v>
      </c>
      <c r="P670" s="24" t="str">
        <f t="array" ref="P670">if(and(iserror(index(sea_lice!G:G,match(A670,sea_lice!A:A,0))),M670=0),"NA",index(sea_lice!G:G,match(A670,sea_lice!A:A,0)))</f>
        <v>NA</v>
      </c>
      <c r="Q670" s="24">
        <f t="array" ref="Q670">if(isblank(A670),"",index(fish_lab_data!X:X,match(A670,fish_lab_data!C:C,0)))</f>
        <v>1394</v>
      </c>
    </row>
    <row r="671">
      <c r="A671" s="40" t="s">
        <v>1935</v>
      </c>
      <c r="B671" s="25">
        <v>0.0</v>
      </c>
      <c r="C671" s="25">
        <v>0.0</v>
      </c>
      <c r="D671" s="25">
        <v>0.0</v>
      </c>
      <c r="E671" s="25">
        <v>0.0</v>
      </c>
      <c r="F671" s="25">
        <v>0.0</v>
      </c>
      <c r="G671" s="25">
        <v>0.0</v>
      </c>
      <c r="H671" s="25">
        <v>0.0</v>
      </c>
      <c r="I671" s="25">
        <v>0.0</v>
      </c>
      <c r="J671" s="25">
        <v>0.0</v>
      </c>
      <c r="K671" s="25">
        <v>0.0</v>
      </c>
      <c r="L671" s="25">
        <v>0.0</v>
      </c>
      <c r="M671" s="17">
        <f t="shared" si="1"/>
        <v>0</v>
      </c>
      <c r="N671" s="24" t="str">
        <f t="array" ref="N671">if(isblank(A671),"",index(fish_lab_data!O:O,match(A671,fish_lab_data!C:C,0)))</f>
        <v>KB</v>
      </c>
      <c r="O671" s="24" t="str">
        <f t="array" ref="O671">index(fish_lab_data!Q:Q,match(A671,fish_lab_data!C:C,0))</f>
        <v>lab_motiles_etoh</v>
      </c>
      <c r="P671" s="24" t="str">
        <f t="array" ref="P671">if(and(iserror(index(sea_lice!G:G,match(A671,sea_lice!A:A,0))),M671=0),"NA",index(sea_lice!G:G,match(A671,sea_lice!A:A,0)))</f>
        <v>NA</v>
      </c>
      <c r="Q671" s="24">
        <f t="array" ref="Q671">if(isblank(A671),"",index(fish_lab_data!X:X,match(A671,fish_lab_data!C:C,0)))</f>
        <v>1395</v>
      </c>
    </row>
    <row r="672">
      <c r="A672" s="40" t="s">
        <v>1936</v>
      </c>
      <c r="B672" s="25">
        <v>0.0</v>
      </c>
      <c r="C672" s="25">
        <v>0.0</v>
      </c>
      <c r="D672" s="25">
        <v>0.0</v>
      </c>
      <c r="E672" s="25">
        <v>0.0</v>
      </c>
      <c r="F672" s="25">
        <v>0.0</v>
      </c>
      <c r="G672" s="25">
        <v>0.0</v>
      </c>
      <c r="H672" s="25">
        <v>0.0</v>
      </c>
      <c r="I672" s="25">
        <v>0.0</v>
      </c>
      <c r="J672" s="25">
        <v>0.0</v>
      </c>
      <c r="K672" s="25">
        <v>0.0</v>
      </c>
      <c r="L672" s="25">
        <v>0.0</v>
      </c>
      <c r="M672" s="17">
        <f t="shared" si="1"/>
        <v>0</v>
      </c>
      <c r="N672" s="24" t="str">
        <f t="array" ref="N672">if(isblank(A672),"",index(fish_lab_data!O:O,match(A672,fish_lab_data!C:C,0)))</f>
        <v>KB</v>
      </c>
      <c r="O672" s="24" t="str">
        <f t="array" ref="O672">index(fish_lab_data!Q:Q,match(A672,fish_lab_data!C:C,0))</f>
        <v>lab_motiles_etoh</v>
      </c>
      <c r="P672" s="24" t="str">
        <f t="array" ref="P672">if(and(iserror(index(sea_lice!G:G,match(A672,sea_lice!A:A,0))),M672=0),"NA",index(sea_lice!G:G,match(A672,sea_lice!A:A,0)))</f>
        <v>NA</v>
      </c>
      <c r="Q672" s="24">
        <f t="array" ref="Q672">if(isblank(A672),"",index(fish_lab_data!X:X,match(A672,fish_lab_data!C:C,0)))</f>
        <v>1396</v>
      </c>
    </row>
    <row r="673">
      <c r="A673" s="40" t="s">
        <v>1937</v>
      </c>
      <c r="B673" s="25">
        <v>0.0</v>
      </c>
      <c r="C673" s="25">
        <v>0.0</v>
      </c>
      <c r="D673" s="25">
        <v>0.0</v>
      </c>
      <c r="E673" s="25">
        <v>0.0</v>
      </c>
      <c r="F673" s="25">
        <v>0.0</v>
      </c>
      <c r="G673" s="25">
        <v>0.0</v>
      </c>
      <c r="H673" s="25">
        <v>0.0</v>
      </c>
      <c r="I673" s="25">
        <v>0.0</v>
      </c>
      <c r="J673" s="25">
        <v>0.0</v>
      </c>
      <c r="K673" s="25">
        <v>0.0</v>
      </c>
      <c r="L673" s="25">
        <v>0.0</v>
      </c>
      <c r="M673" s="17">
        <f t="shared" si="1"/>
        <v>0</v>
      </c>
      <c r="N673" s="24" t="str">
        <f t="array" ref="N673">if(isblank(A673),"",index(fish_lab_data!O:O,match(A673,fish_lab_data!C:C,0)))</f>
        <v>KB</v>
      </c>
      <c r="O673" s="24" t="str">
        <f t="array" ref="O673">index(fish_lab_data!Q:Q,match(A673,fish_lab_data!C:C,0))</f>
        <v>lab_motiles_etoh</v>
      </c>
      <c r="P673" s="24" t="str">
        <f t="array" ref="P673">if(and(iserror(index(sea_lice!G:G,match(A673,sea_lice!A:A,0))),M673=0),"NA",index(sea_lice!G:G,match(A673,sea_lice!A:A,0)))</f>
        <v>NA</v>
      </c>
      <c r="Q673" s="24">
        <f t="array" ref="Q673">if(isblank(A673),"",index(fish_lab_data!X:X,match(A673,fish_lab_data!C:C,0)))</f>
        <v>1397</v>
      </c>
    </row>
    <row r="674">
      <c r="A674" s="40" t="s">
        <v>1938</v>
      </c>
      <c r="B674" s="25">
        <v>0.0</v>
      </c>
      <c r="C674" s="25">
        <v>0.0</v>
      </c>
      <c r="D674" s="25">
        <v>0.0</v>
      </c>
      <c r="E674" s="25">
        <v>0.0</v>
      </c>
      <c r="F674" s="25">
        <v>0.0</v>
      </c>
      <c r="G674" s="25">
        <v>0.0</v>
      </c>
      <c r="H674" s="25">
        <v>0.0</v>
      </c>
      <c r="I674" s="25">
        <v>0.0</v>
      </c>
      <c r="J674" s="25">
        <v>0.0</v>
      </c>
      <c r="K674" s="25">
        <v>0.0</v>
      </c>
      <c r="L674" s="25">
        <v>0.0</v>
      </c>
      <c r="M674" s="17">
        <f t="shared" si="1"/>
        <v>0</v>
      </c>
      <c r="N674" s="24" t="str">
        <f t="array" ref="N674">if(isblank(A674),"",index(fish_lab_data!O:O,match(A674,fish_lab_data!C:C,0)))</f>
        <v>KB</v>
      </c>
      <c r="O674" s="24" t="str">
        <f t="array" ref="O674">index(fish_lab_data!Q:Q,match(A674,fish_lab_data!C:C,0))</f>
        <v>lab_motiles_etoh</v>
      </c>
      <c r="P674" s="24" t="str">
        <f t="array" ref="P674">if(and(iserror(index(sea_lice!G:G,match(A674,sea_lice!A:A,0))),M674=0),"NA",index(sea_lice!G:G,match(A674,sea_lice!A:A,0)))</f>
        <v>NA</v>
      </c>
      <c r="Q674" s="24">
        <f t="array" ref="Q674">if(isblank(A674),"",index(fish_lab_data!X:X,match(A674,fish_lab_data!C:C,0)))</f>
        <v>1398</v>
      </c>
    </row>
    <row r="675">
      <c r="A675" s="40" t="s">
        <v>1939</v>
      </c>
      <c r="B675" s="25">
        <v>0.0</v>
      </c>
      <c r="C675" s="25">
        <v>0.0</v>
      </c>
      <c r="D675" s="25">
        <v>0.0</v>
      </c>
      <c r="E675" s="25">
        <v>0.0</v>
      </c>
      <c r="F675" s="25">
        <v>0.0</v>
      </c>
      <c r="G675" s="25">
        <v>0.0</v>
      </c>
      <c r="H675" s="25">
        <v>0.0</v>
      </c>
      <c r="I675" s="25">
        <v>0.0</v>
      </c>
      <c r="J675" s="25">
        <v>0.0</v>
      </c>
      <c r="K675" s="25">
        <v>0.0</v>
      </c>
      <c r="L675" s="25">
        <v>0.0</v>
      </c>
      <c r="M675" s="17">
        <f t="shared" si="1"/>
        <v>0</v>
      </c>
      <c r="N675" s="24" t="str">
        <f t="array" ref="N675">if(isblank(A675),"",index(fish_lab_data!O:O,match(A675,fish_lab_data!C:C,0)))</f>
        <v>KB</v>
      </c>
      <c r="O675" s="24" t="str">
        <f t="array" ref="O675">index(fish_lab_data!Q:Q,match(A675,fish_lab_data!C:C,0))</f>
        <v>lab_motiles_etoh</v>
      </c>
      <c r="P675" s="24" t="str">
        <f t="array" ref="P675">if(and(iserror(index(sea_lice!G:G,match(A675,sea_lice!A:A,0))),M675=0),"NA",index(sea_lice!G:G,match(A675,sea_lice!A:A,0)))</f>
        <v>NA</v>
      </c>
      <c r="Q675" s="24">
        <f t="array" ref="Q675">if(isblank(A675),"",index(fish_lab_data!X:X,match(A675,fish_lab_data!C:C,0)))</f>
        <v>1399</v>
      </c>
    </row>
    <row r="676">
      <c r="A676" s="40" t="s">
        <v>1940</v>
      </c>
      <c r="B676" s="25">
        <v>0.0</v>
      </c>
      <c r="C676" s="25">
        <v>0.0</v>
      </c>
      <c r="D676" s="25">
        <v>0.0</v>
      </c>
      <c r="E676" s="25">
        <v>0.0</v>
      </c>
      <c r="F676" s="25">
        <v>0.0</v>
      </c>
      <c r="G676" s="25">
        <v>0.0</v>
      </c>
      <c r="H676" s="25">
        <v>0.0</v>
      </c>
      <c r="I676" s="25">
        <v>0.0</v>
      </c>
      <c r="J676" s="25">
        <v>0.0</v>
      </c>
      <c r="K676" s="25">
        <v>0.0</v>
      </c>
      <c r="L676" s="25">
        <v>0.0</v>
      </c>
      <c r="M676" s="17">
        <f t="shared" si="1"/>
        <v>0</v>
      </c>
      <c r="N676" s="24" t="str">
        <f t="array" ref="N676">if(isblank(A676),"",index(fish_lab_data!O:O,match(A676,fish_lab_data!C:C,0)))</f>
        <v>KB</v>
      </c>
      <c r="O676" s="24" t="str">
        <f t="array" ref="O676">index(fish_lab_data!Q:Q,match(A676,fish_lab_data!C:C,0))</f>
        <v>lab_motiles_etoh</v>
      </c>
      <c r="P676" s="24" t="str">
        <f t="array" ref="P676">if(and(iserror(index(sea_lice!G:G,match(A676,sea_lice!A:A,0))),M676=0),"NA",index(sea_lice!G:G,match(A676,sea_lice!A:A,0)))</f>
        <v>NA</v>
      </c>
      <c r="Q676" s="24">
        <f t="array" ref="Q676">if(isblank(A676),"",index(fish_lab_data!X:X,match(A676,fish_lab_data!C:C,0)))</f>
        <v>1400</v>
      </c>
    </row>
    <row r="677">
      <c r="A677" s="40" t="s">
        <v>1941</v>
      </c>
      <c r="B677" s="25">
        <v>0.0</v>
      </c>
      <c r="C677" s="25">
        <v>0.0</v>
      </c>
      <c r="D677" s="25">
        <v>0.0</v>
      </c>
      <c r="E677" s="25">
        <v>0.0</v>
      </c>
      <c r="F677" s="25">
        <v>0.0</v>
      </c>
      <c r="G677" s="25">
        <v>0.0</v>
      </c>
      <c r="H677" s="25">
        <v>0.0</v>
      </c>
      <c r="I677" s="25">
        <v>0.0</v>
      </c>
      <c r="J677" s="25">
        <v>0.0</v>
      </c>
      <c r="K677" s="25">
        <v>0.0</v>
      </c>
      <c r="L677" s="25">
        <v>0.0</v>
      </c>
      <c r="M677" s="17">
        <f t="shared" si="1"/>
        <v>0</v>
      </c>
      <c r="N677" s="24" t="str">
        <f t="array" ref="N677">if(isblank(A677),"",index(fish_lab_data!O:O,match(A677,fish_lab_data!C:C,0)))</f>
        <v>KB</v>
      </c>
      <c r="O677" s="24" t="str">
        <f t="array" ref="O677">index(fish_lab_data!Q:Q,match(A677,fish_lab_data!C:C,0))</f>
        <v>lab_motiles_etoh</v>
      </c>
      <c r="P677" s="24" t="str">
        <f t="array" ref="P677">if(and(iserror(index(sea_lice!G:G,match(A677,sea_lice!A:A,0))),M677=0),"NA",index(sea_lice!G:G,match(A677,sea_lice!A:A,0)))</f>
        <v>NA</v>
      </c>
      <c r="Q677" s="24">
        <f t="array" ref="Q677">if(isblank(A677),"",index(fish_lab_data!X:X,match(A677,fish_lab_data!C:C,0)))</f>
        <v>1401</v>
      </c>
    </row>
    <row r="678">
      <c r="A678" s="40" t="s">
        <v>1942</v>
      </c>
      <c r="B678" s="25">
        <v>0.0</v>
      </c>
      <c r="C678" s="25">
        <v>0.0</v>
      </c>
      <c r="D678" s="25">
        <v>0.0</v>
      </c>
      <c r="E678" s="25">
        <v>0.0</v>
      </c>
      <c r="F678" s="25">
        <v>0.0</v>
      </c>
      <c r="G678" s="25">
        <v>0.0</v>
      </c>
      <c r="H678" s="25">
        <v>0.0</v>
      </c>
      <c r="I678" s="25">
        <v>0.0</v>
      </c>
      <c r="J678" s="25">
        <v>0.0</v>
      </c>
      <c r="K678" s="25">
        <v>0.0</v>
      </c>
      <c r="L678" s="25">
        <v>0.0</v>
      </c>
      <c r="M678" s="17">
        <f t="shared" si="1"/>
        <v>0</v>
      </c>
      <c r="N678" s="24" t="str">
        <f t="array" ref="N678">if(isblank(A678),"",index(fish_lab_data!O:O,match(A678,fish_lab_data!C:C,0)))</f>
        <v>KB</v>
      </c>
      <c r="O678" s="24" t="str">
        <f t="array" ref="O678">index(fish_lab_data!Q:Q,match(A678,fish_lab_data!C:C,0))</f>
        <v>lab_motiles_etoh</v>
      </c>
      <c r="P678" s="24" t="str">
        <f t="array" ref="P678">if(and(iserror(index(sea_lice!G:G,match(A678,sea_lice!A:A,0))),M678=0),"NA",index(sea_lice!G:G,match(A678,sea_lice!A:A,0)))</f>
        <v>NA</v>
      </c>
      <c r="Q678" s="24">
        <f t="array" ref="Q678">if(isblank(A678),"",index(fish_lab_data!X:X,match(A678,fish_lab_data!C:C,0)))</f>
        <v>1402</v>
      </c>
    </row>
    <row r="679">
      <c r="A679" s="40" t="s">
        <v>1943</v>
      </c>
      <c r="B679" s="25">
        <v>0.0</v>
      </c>
      <c r="C679" s="25">
        <v>0.0</v>
      </c>
      <c r="D679" s="25">
        <v>0.0</v>
      </c>
      <c r="E679" s="25">
        <v>0.0</v>
      </c>
      <c r="F679" s="25">
        <v>0.0</v>
      </c>
      <c r="G679" s="25">
        <v>0.0</v>
      </c>
      <c r="H679" s="25">
        <v>0.0</v>
      </c>
      <c r="I679" s="25">
        <v>0.0</v>
      </c>
      <c r="J679" s="25">
        <v>0.0</v>
      </c>
      <c r="K679" s="25">
        <v>0.0</v>
      </c>
      <c r="L679" s="25">
        <v>0.0</v>
      </c>
      <c r="M679" s="17">
        <f t="shared" si="1"/>
        <v>0</v>
      </c>
      <c r="N679" s="24" t="str">
        <f t="array" ref="N679">if(isblank(A679),"",index(fish_lab_data!O:O,match(A679,fish_lab_data!C:C,0)))</f>
        <v>KB</v>
      </c>
      <c r="O679" s="24" t="str">
        <f t="array" ref="O679">index(fish_lab_data!Q:Q,match(A679,fish_lab_data!C:C,0))</f>
        <v>lab_motiles_etoh</v>
      </c>
      <c r="P679" s="24" t="str">
        <f t="array" ref="P679">if(and(iserror(index(sea_lice!G:G,match(A679,sea_lice!A:A,0))),M679=0),"NA",index(sea_lice!G:G,match(A679,sea_lice!A:A,0)))</f>
        <v>NA</v>
      </c>
      <c r="Q679" s="24">
        <f t="array" ref="Q679">if(isblank(A679),"",index(fish_lab_data!X:X,match(A679,fish_lab_data!C:C,0)))</f>
        <v>1403</v>
      </c>
    </row>
    <row r="680">
      <c r="A680" s="40" t="s">
        <v>1944</v>
      </c>
      <c r="B680" s="25">
        <v>0.0</v>
      </c>
      <c r="C680" s="25">
        <v>0.0</v>
      </c>
      <c r="D680" s="25">
        <v>0.0</v>
      </c>
      <c r="E680" s="25">
        <v>0.0</v>
      </c>
      <c r="F680" s="25">
        <v>0.0</v>
      </c>
      <c r="G680" s="25">
        <v>0.0</v>
      </c>
      <c r="H680" s="25">
        <v>0.0</v>
      </c>
      <c r="I680" s="25">
        <v>0.0</v>
      </c>
      <c r="J680" s="25">
        <v>0.0</v>
      </c>
      <c r="K680" s="25">
        <v>0.0</v>
      </c>
      <c r="L680" s="25">
        <v>0.0</v>
      </c>
      <c r="M680" s="17">
        <f t="shared" si="1"/>
        <v>0</v>
      </c>
      <c r="N680" s="24" t="str">
        <f t="array" ref="N680">if(isblank(A680),"",index(fish_lab_data!O:O,match(A680,fish_lab_data!C:C,0)))</f>
        <v>KB</v>
      </c>
      <c r="O680" s="24" t="str">
        <f t="array" ref="O680">index(fish_lab_data!Q:Q,match(A680,fish_lab_data!C:C,0))</f>
        <v>lab_motiles_etoh</v>
      </c>
      <c r="P680" s="24" t="str">
        <f t="array" ref="P680">if(and(iserror(index(sea_lice!G:G,match(A680,sea_lice!A:A,0))),M680=0),"NA",index(sea_lice!G:G,match(A680,sea_lice!A:A,0)))</f>
        <v>NA</v>
      </c>
      <c r="Q680" s="24">
        <f t="array" ref="Q680">if(isblank(A680),"",index(fish_lab_data!X:X,match(A680,fish_lab_data!C:C,0)))</f>
        <v>1404</v>
      </c>
    </row>
    <row r="681">
      <c r="A681" s="40" t="s">
        <v>1945</v>
      </c>
      <c r="B681" s="25">
        <v>0.0</v>
      </c>
      <c r="C681" s="25">
        <v>0.0</v>
      </c>
      <c r="D681" s="25">
        <v>0.0</v>
      </c>
      <c r="E681" s="25">
        <v>0.0</v>
      </c>
      <c r="F681" s="25">
        <v>0.0</v>
      </c>
      <c r="G681" s="25">
        <v>0.0</v>
      </c>
      <c r="H681" s="25">
        <v>0.0</v>
      </c>
      <c r="I681" s="25">
        <v>0.0</v>
      </c>
      <c r="J681" s="25">
        <v>0.0</v>
      </c>
      <c r="K681" s="25">
        <v>0.0</v>
      </c>
      <c r="L681" s="25">
        <v>0.0</v>
      </c>
      <c r="M681" s="17">
        <f t="shared" si="1"/>
        <v>0</v>
      </c>
      <c r="N681" s="24" t="str">
        <f t="array" ref="N681">if(isblank(A681),"",index(fish_lab_data!O:O,match(A681,fish_lab_data!C:C,0)))</f>
        <v>KB</v>
      </c>
      <c r="O681" s="24" t="str">
        <f t="array" ref="O681">index(fish_lab_data!Q:Q,match(A681,fish_lab_data!C:C,0))</f>
        <v>lab_motiles_etoh</v>
      </c>
      <c r="P681" s="24" t="str">
        <f t="array" ref="P681">if(and(iserror(index(sea_lice!G:G,match(A681,sea_lice!A:A,0))),M681=0),"NA",index(sea_lice!G:G,match(A681,sea_lice!A:A,0)))</f>
        <v>NA</v>
      </c>
      <c r="Q681" s="24">
        <f t="array" ref="Q681">if(isblank(A681),"",index(fish_lab_data!X:X,match(A681,fish_lab_data!C:C,0)))</f>
        <v>1405</v>
      </c>
    </row>
    <row r="682">
      <c r="A682" s="40" t="s">
        <v>1946</v>
      </c>
      <c r="B682" s="25">
        <v>0.0</v>
      </c>
      <c r="C682" s="25">
        <v>0.0</v>
      </c>
      <c r="D682" s="25">
        <v>0.0</v>
      </c>
      <c r="E682" s="25">
        <v>0.0</v>
      </c>
      <c r="F682" s="25">
        <v>0.0</v>
      </c>
      <c r="G682" s="25">
        <v>0.0</v>
      </c>
      <c r="H682" s="25">
        <v>0.0</v>
      </c>
      <c r="I682" s="25">
        <v>0.0</v>
      </c>
      <c r="J682" s="25">
        <v>0.0</v>
      </c>
      <c r="K682" s="25">
        <v>0.0</v>
      </c>
      <c r="L682" s="25">
        <v>0.0</v>
      </c>
      <c r="M682" s="17">
        <f t="shared" si="1"/>
        <v>0</v>
      </c>
      <c r="N682" s="24" t="str">
        <f t="array" ref="N682">if(isblank(A682),"",index(fish_lab_data!O:O,match(A682,fish_lab_data!C:C,0)))</f>
        <v>KB</v>
      </c>
      <c r="O682" s="24" t="str">
        <f t="array" ref="O682">index(fish_lab_data!Q:Q,match(A682,fish_lab_data!C:C,0))</f>
        <v>lab_motiles_etoh</v>
      </c>
      <c r="P682" s="24" t="str">
        <f t="array" ref="P682">if(and(iserror(index(sea_lice!G:G,match(A682,sea_lice!A:A,0))),M682=0),"NA",index(sea_lice!G:G,match(A682,sea_lice!A:A,0)))</f>
        <v>NA</v>
      </c>
      <c r="Q682" s="24">
        <f t="array" ref="Q682">if(isblank(A682),"",index(fish_lab_data!X:X,match(A682,fish_lab_data!C:C,0)))</f>
        <v>1406</v>
      </c>
    </row>
    <row r="683">
      <c r="A683" s="40" t="s">
        <v>1947</v>
      </c>
      <c r="B683" s="25">
        <v>0.0</v>
      </c>
      <c r="C683" s="25">
        <v>0.0</v>
      </c>
      <c r="D683" s="25">
        <v>0.0</v>
      </c>
      <c r="E683" s="25">
        <v>0.0</v>
      </c>
      <c r="F683" s="25">
        <v>0.0</v>
      </c>
      <c r="G683" s="25">
        <v>0.0</v>
      </c>
      <c r="H683" s="25">
        <v>0.0</v>
      </c>
      <c r="I683" s="25">
        <v>0.0</v>
      </c>
      <c r="J683" s="25">
        <v>0.0</v>
      </c>
      <c r="K683" s="25">
        <v>0.0</v>
      </c>
      <c r="L683" s="25">
        <v>0.0</v>
      </c>
      <c r="M683" s="17">
        <f t="shared" si="1"/>
        <v>0</v>
      </c>
      <c r="N683" s="24" t="str">
        <f t="array" ref="N683">if(isblank(A683),"",index(fish_lab_data!O:O,match(A683,fish_lab_data!C:C,0)))</f>
        <v>KB</v>
      </c>
      <c r="O683" s="24" t="str">
        <f t="array" ref="O683">index(fish_lab_data!Q:Q,match(A683,fish_lab_data!C:C,0))</f>
        <v>lab_motiles_etoh</v>
      </c>
      <c r="P683" s="24" t="str">
        <f t="array" ref="P683">if(and(iserror(index(sea_lice!G:G,match(A683,sea_lice!A:A,0))),M683=0),"NA",index(sea_lice!G:G,match(A683,sea_lice!A:A,0)))</f>
        <v>NA</v>
      </c>
      <c r="Q683" s="24">
        <f t="array" ref="Q683">if(isblank(A683),"",index(fish_lab_data!X:X,match(A683,fish_lab_data!C:C,0)))</f>
        <v>1407</v>
      </c>
    </row>
    <row r="684">
      <c r="A684" s="40" t="s">
        <v>1948</v>
      </c>
      <c r="B684" s="25">
        <v>0.0</v>
      </c>
      <c r="C684" s="25">
        <v>0.0</v>
      </c>
      <c r="D684" s="25">
        <v>0.0</v>
      </c>
      <c r="E684" s="25">
        <v>0.0</v>
      </c>
      <c r="F684" s="25">
        <v>0.0</v>
      </c>
      <c r="G684" s="25">
        <v>0.0</v>
      </c>
      <c r="H684" s="25">
        <v>0.0</v>
      </c>
      <c r="I684" s="25">
        <v>0.0</v>
      </c>
      <c r="J684" s="25">
        <v>0.0</v>
      </c>
      <c r="K684" s="25">
        <v>0.0</v>
      </c>
      <c r="L684" s="25">
        <v>0.0</v>
      </c>
      <c r="M684" s="17">
        <f t="shared" si="1"/>
        <v>0</v>
      </c>
      <c r="N684" s="24" t="str">
        <f t="array" ref="N684">if(isblank(A684),"",index(fish_lab_data!O:O,match(A684,fish_lab_data!C:C,0)))</f>
        <v>KB</v>
      </c>
      <c r="O684" s="24" t="str">
        <f t="array" ref="O684">index(fish_lab_data!Q:Q,match(A684,fish_lab_data!C:C,0))</f>
        <v>lab_motiles_etoh</v>
      </c>
      <c r="P684" s="24" t="str">
        <f t="array" ref="P684">if(and(iserror(index(sea_lice!G:G,match(A684,sea_lice!A:A,0))),M684=0),"NA",index(sea_lice!G:G,match(A684,sea_lice!A:A,0)))</f>
        <v>NA</v>
      </c>
      <c r="Q684" s="24">
        <f t="array" ref="Q684">if(isblank(A684),"",index(fish_lab_data!X:X,match(A684,fish_lab_data!C:C,0)))</f>
        <v>1408</v>
      </c>
    </row>
    <row r="685">
      <c r="A685" s="40" t="s">
        <v>1949</v>
      </c>
      <c r="B685" s="25">
        <v>0.0</v>
      </c>
      <c r="C685" s="25">
        <v>0.0</v>
      </c>
      <c r="D685" s="25">
        <v>0.0</v>
      </c>
      <c r="E685" s="25">
        <v>0.0</v>
      </c>
      <c r="F685" s="25">
        <v>0.0</v>
      </c>
      <c r="G685" s="25">
        <v>0.0</v>
      </c>
      <c r="H685" s="25">
        <v>0.0</v>
      </c>
      <c r="I685" s="25">
        <v>0.0</v>
      </c>
      <c r="J685" s="25">
        <v>0.0</v>
      </c>
      <c r="K685" s="25">
        <v>0.0</v>
      </c>
      <c r="L685" s="25">
        <v>0.0</v>
      </c>
      <c r="M685" s="17">
        <f t="shared" si="1"/>
        <v>0</v>
      </c>
      <c r="N685" s="24" t="str">
        <f t="array" ref="N685">if(isblank(A685),"",index(fish_lab_data!O:O,match(A685,fish_lab_data!C:C,0)))</f>
        <v>KB</v>
      </c>
      <c r="O685" s="24" t="str">
        <f t="array" ref="O685">index(fish_lab_data!Q:Q,match(A685,fish_lab_data!C:C,0))</f>
        <v>lab_motiles_etoh</v>
      </c>
      <c r="P685" s="24" t="str">
        <f t="array" ref="P685">if(and(iserror(index(sea_lice!G:G,match(A685,sea_lice!A:A,0))),M685=0),"NA",index(sea_lice!G:G,match(A685,sea_lice!A:A,0)))</f>
        <v>NA</v>
      </c>
      <c r="Q685" s="24">
        <f t="array" ref="Q685">if(isblank(A685),"",index(fish_lab_data!X:X,match(A685,fish_lab_data!C:C,0)))</f>
        <v>1409</v>
      </c>
    </row>
    <row r="686">
      <c r="A686" s="40" t="s">
        <v>1950</v>
      </c>
      <c r="B686" s="25">
        <v>0.0</v>
      </c>
      <c r="C686" s="25">
        <v>0.0</v>
      </c>
      <c r="D686" s="25">
        <v>0.0</v>
      </c>
      <c r="E686" s="25">
        <v>0.0</v>
      </c>
      <c r="F686" s="25">
        <v>0.0</v>
      </c>
      <c r="G686" s="25">
        <v>0.0</v>
      </c>
      <c r="H686" s="25">
        <v>0.0</v>
      </c>
      <c r="I686" s="25">
        <v>0.0</v>
      </c>
      <c r="J686" s="25">
        <v>0.0</v>
      </c>
      <c r="K686" s="25">
        <v>0.0</v>
      </c>
      <c r="L686" s="25">
        <v>0.0</v>
      </c>
      <c r="M686" s="17">
        <f t="shared" si="1"/>
        <v>0</v>
      </c>
      <c r="N686" s="24" t="str">
        <f t="array" ref="N686">if(isblank(A686),"",index(fish_lab_data!O:O,match(A686,fish_lab_data!C:C,0)))</f>
        <v>KB</v>
      </c>
      <c r="O686" s="24" t="str">
        <f t="array" ref="O686">index(fish_lab_data!Q:Q,match(A686,fish_lab_data!C:C,0))</f>
        <v>lab_motiles_etoh</v>
      </c>
      <c r="P686" s="24" t="str">
        <f t="array" ref="P686">if(and(iserror(index(sea_lice!G:G,match(A686,sea_lice!A:A,0))),M686=0),"NA",index(sea_lice!G:G,match(A686,sea_lice!A:A,0)))</f>
        <v>NA</v>
      </c>
      <c r="Q686" s="24">
        <f t="array" ref="Q686">if(isblank(A686),"",index(fish_lab_data!X:X,match(A686,fish_lab_data!C:C,0)))</f>
        <v>1410</v>
      </c>
    </row>
    <row r="687">
      <c r="A687" s="40" t="s">
        <v>1951</v>
      </c>
      <c r="B687" s="25">
        <v>0.0</v>
      </c>
      <c r="C687" s="25">
        <v>0.0</v>
      </c>
      <c r="D687" s="25">
        <v>0.0</v>
      </c>
      <c r="E687" s="25">
        <v>0.0</v>
      </c>
      <c r="F687" s="25">
        <v>0.0</v>
      </c>
      <c r="G687" s="25">
        <v>0.0</v>
      </c>
      <c r="H687" s="25">
        <v>0.0</v>
      </c>
      <c r="I687" s="25">
        <v>0.0</v>
      </c>
      <c r="J687" s="25">
        <v>0.0</v>
      </c>
      <c r="K687" s="25">
        <v>0.0</v>
      </c>
      <c r="L687" s="25">
        <v>0.0</v>
      </c>
      <c r="M687" s="17">
        <f t="shared" si="1"/>
        <v>0</v>
      </c>
      <c r="N687" s="24" t="str">
        <f t="array" ref="N687">if(isblank(A687),"",index(fish_lab_data!O:O,match(A687,fish_lab_data!C:C,0)))</f>
        <v>KB</v>
      </c>
      <c r="O687" s="24" t="str">
        <f t="array" ref="O687">index(fish_lab_data!Q:Q,match(A687,fish_lab_data!C:C,0))</f>
        <v>lab_motiles_etoh</v>
      </c>
      <c r="P687" s="24" t="str">
        <f t="array" ref="P687">if(and(iserror(index(sea_lice!G:G,match(A687,sea_lice!A:A,0))),M687=0),"NA",index(sea_lice!G:G,match(A687,sea_lice!A:A,0)))</f>
        <v>NA</v>
      </c>
      <c r="Q687" s="24">
        <f t="array" ref="Q687">if(isblank(A687),"",index(fish_lab_data!X:X,match(A687,fish_lab_data!C:C,0)))</f>
        <v>1411</v>
      </c>
    </row>
    <row r="688">
      <c r="A688" s="40" t="s">
        <v>1952</v>
      </c>
      <c r="B688" s="25">
        <v>0.0</v>
      </c>
      <c r="C688" s="25">
        <v>0.0</v>
      </c>
      <c r="D688" s="25">
        <v>0.0</v>
      </c>
      <c r="E688" s="25">
        <v>0.0</v>
      </c>
      <c r="F688" s="25">
        <v>0.0</v>
      </c>
      <c r="G688" s="25">
        <v>0.0</v>
      </c>
      <c r="H688" s="25">
        <v>0.0</v>
      </c>
      <c r="I688" s="25">
        <v>0.0</v>
      </c>
      <c r="J688" s="25">
        <v>0.0</v>
      </c>
      <c r="K688" s="25">
        <v>0.0</v>
      </c>
      <c r="L688" s="25">
        <v>0.0</v>
      </c>
      <c r="M688" s="17">
        <f t="shared" si="1"/>
        <v>0</v>
      </c>
      <c r="N688" s="24" t="str">
        <f t="array" ref="N688">if(isblank(A688),"",index(fish_lab_data!O:O,match(A688,fish_lab_data!C:C,0)))</f>
        <v>KB</v>
      </c>
      <c r="O688" s="24" t="str">
        <f t="array" ref="O688">index(fish_lab_data!Q:Q,match(A688,fish_lab_data!C:C,0))</f>
        <v>lab_motiles_etoh</v>
      </c>
      <c r="P688" s="24" t="str">
        <f t="array" ref="P688">if(and(iserror(index(sea_lice!G:G,match(A688,sea_lice!A:A,0))),M688=0),"NA",index(sea_lice!G:G,match(A688,sea_lice!A:A,0)))</f>
        <v>NA</v>
      </c>
      <c r="Q688" s="24">
        <f t="array" ref="Q688">if(isblank(A688),"",index(fish_lab_data!X:X,match(A688,fish_lab_data!C:C,0)))</f>
        <v>1412</v>
      </c>
    </row>
    <row r="689">
      <c r="A689" s="40" t="s">
        <v>1953</v>
      </c>
      <c r="B689" s="25">
        <v>0.0</v>
      </c>
      <c r="C689" s="25">
        <v>0.0</v>
      </c>
      <c r="D689" s="25">
        <v>0.0</v>
      </c>
      <c r="E689" s="25">
        <v>0.0</v>
      </c>
      <c r="F689" s="25">
        <v>0.0</v>
      </c>
      <c r="G689" s="25">
        <v>0.0</v>
      </c>
      <c r="H689" s="25">
        <v>0.0</v>
      </c>
      <c r="I689" s="25">
        <v>0.0</v>
      </c>
      <c r="J689" s="25">
        <v>0.0</v>
      </c>
      <c r="K689" s="25">
        <v>0.0</v>
      </c>
      <c r="L689" s="25">
        <v>0.0</v>
      </c>
      <c r="M689" s="17">
        <f t="shared" si="1"/>
        <v>0</v>
      </c>
      <c r="N689" s="24" t="str">
        <f t="array" ref="N689">if(isblank(A689),"",index(fish_lab_data!O:O,match(A689,fish_lab_data!C:C,0)))</f>
        <v>JG</v>
      </c>
      <c r="O689" s="24" t="str">
        <f t="array" ref="O689">index(fish_lab_data!Q:Q,match(A689,fish_lab_data!C:C,0))</f>
        <v>lab_motiles_etoh</v>
      </c>
      <c r="P689" s="24" t="str">
        <f t="array" ref="P689">if(and(iserror(index(sea_lice!G:G,match(A689,sea_lice!A:A,0))),M689=0),"NA",index(sea_lice!G:G,match(A689,sea_lice!A:A,0)))</f>
        <v>NA</v>
      </c>
      <c r="Q689" s="24">
        <f t="array" ref="Q689">if(isblank(A689),"",index(fish_lab_data!X:X,match(A689,fish_lab_data!C:C,0)))</f>
        <v>1413</v>
      </c>
    </row>
    <row r="690">
      <c r="A690" s="40" t="s">
        <v>1954</v>
      </c>
      <c r="B690" s="25">
        <v>0.0</v>
      </c>
      <c r="C690" s="25">
        <v>0.0</v>
      </c>
      <c r="D690" s="25">
        <v>0.0</v>
      </c>
      <c r="E690" s="25">
        <v>0.0</v>
      </c>
      <c r="F690" s="25">
        <v>0.0</v>
      </c>
      <c r="G690" s="25">
        <v>0.0</v>
      </c>
      <c r="H690" s="25">
        <v>0.0</v>
      </c>
      <c r="I690" s="25">
        <v>0.0</v>
      </c>
      <c r="J690" s="25">
        <v>0.0</v>
      </c>
      <c r="K690" s="25">
        <v>0.0</v>
      </c>
      <c r="L690" s="25">
        <v>0.0</v>
      </c>
      <c r="M690" s="17">
        <f t="shared" si="1"/>
        <v>0</v>
      </c>
      <c r="N690" s="24" t="str">
        <f t="array" ref="N690">if(isblank(A690),"",index(fish_lab_data!O:O,match(A690,fish_lab_data!C:C,0)))</f>
        <v>JG</v>
      </c>
      <c r="O690" s="24" t="str">
        <f t="array" ref="O690">index(fish_lab_data!Q:Q,match(A690,fish_lab_data!C:C,0))</f>
        <v>lab_motiles_etoh</v>
      </c>
      <c r="P690" s="24" t="str">
        <f t="array" ref="P690">if(and(iserror(index(sea_lice!G:G,match(A690,sea_lice!A:A,0))),M690=0),"NA",index(sea_lice!G:G,match(A690,sea_lice!A:A,0)))</f>
        <v>NA</v>
      </c>
      <c r="Q690" s="24">
        <f t="array" ref="Q690">if(isblank(A690),"",index(fish_lab_data!X:X,match(A690,fish_lab_data!C:C,0)))</f>
        <v>1414</v>
      </c>
    </row>
    <row r="691">
      <c r="A691" s="40" t="s">
        <v>1955</v>
      </c>
      <c r="B691" s="25">
        <v>0.0</v>
      </c>
      <c r="C691" s="25">
        <v>0.0</v>
      </c>
      <c r="D691" s="9">
        <v>1.0</v>
      </c>
      <c r="E691" s="25">
        <v>0.0</v>
      </c>
      <c r="F691" s="25">
        <v>0.0</v>
      </c>
      <c r="G691" s="25">
        <v>0.0</v>
      </c>
      <c r="H691" s="25">
        <v>0.0</v>
      </c>
      <c r="I691" s="25">
        <v>0.0</v>
      </c>
      <c r="J691" s="25">
        <v>0.0</v>
      </c>
      <c r="K691" s="25">
        <v>0.0</v>
      </c>
      <c r="L691" s="25">
        <v>0.0</v>
      </c>
      <c r="M691" s="17">
        <f t="shared" si="1"/>
        <v>1</v>
      </c>
      <c r="N691" s="24" t="str">
        <f t="array" ref="N691">if(isblank(A691),"",index(fish_lab_data!O:O,match(A691,fish_lab_data!C:C,0)))</f>
        <v>JG</v>
      </c>
      <c r="O691" s="24" t="str">
        <f t="array" ref="O691">index(fish_lab_data!Q:Q,match(A691,fish_lab_data!C:C,0))</f>
        <v>lab_motiles_etoh</v>
      </c>
      <c r="P691" s="24" t="str">
        <f t="array" ref="P691">if(and(iserror(index(sea_lice!G:G,match(A691,sea_lice!A:A,0))),M691=0),"NA",index(sea_lice!G:G,match(A691,sea_lice!A:A,0)))</f>
        <v>BSL8-55</v>
      </c>
      <c r="Q691" s="24">
        <f t="array" ref="Q691">if(isblank(A691),"",index(fish_lab_data!X:X,match(A691,fish_lab_data!C:C,0)))</f>
        <v>1415</v>
      </c>
    </row>
    <row r="692">
      <c r="A692" s="40" t="s">
        <v>1956</v>
      </c>
      <c r="B692" s="25">
        <v>0.0</v>
      </c>
      <c r="C692" s="25">
        <v>0.0</v>
      </c>
      <c r="D692" s="25">
        <v>0.0</v>
      </c>
      <c r="E692" s="25">
        <v>0.0</v>
      </c>
      <c r="F692" s="25">
        <v>0.0</v>
      </c>
      <c r="G692" s="25">
        <v>0.0</v>
      </c>
      <c r="H692" s="25">
        <v>0.0</v>
      </c>
      <c r="I692" s="25">
        <v>0.0</v>
      </c>
      <c r="J692" s="25">
        <v>0.0</v>
      </c>
      <c r="K692" s="25">
        <v>0.0</v>
      </c>
      <c r="L692" s="25">
        <v>0.0</v>
      </c>
      <c r="M692" s="17">
        <f t="shared" si="1"/>
        <v>0</v>
      </c>
      <c r="N692" s="24" t="str">
        <f t="array" ref="N692">if(isblank(A692),"",index(fish_lab_data!O:O,match(A692,fish_lab_data!C:C,0)))</f>
        <v>JG</v>
      </c>
      <c r="O692" s="24" t="str">
        <f t="array" ref="O692">index(fish_lab_data!Q:Q,match(A692,fish_lab_data!C:C,0))</f>
        <v>lab_motiles_etoh</v>
      </c>
      <c r="P692" s="24" t="str">
        <f t="array" ref="P692">if(and(iserror(index(sea_lice!G:G,match(A692,sea_lice!A:A,0))),M692=0),"NA",index(sea_lice!G:G,match(A692,sea_lice!A:A,0)))</f>
        <v>NA</v>
      </c>
      <c r="Q692" s="24">
        <f t="array" ref="Q692">if(isblank(A692),"",index(fish_lab_data!X:X,match(A692,fish_lab_data!C:C,0)))</f>
        <v>1416</v>
      </c>
    </row>
    <row r="693">
      <c r="A693" s="40" t="s">
        <v>1957</v>
      </c>
      <c r="B693" s="25">
        <v>0.0</v>
      </c>
      <c r="C693" s="25">
        <v>0.0</v>
      </c>
      <c r="D693" s="25">
        <v>0.0</v>
      </c>
      <c r="E693" s="25">
        <v>0.0</v>
      </c>
      <c r="F693" s="25">
        <v>0.0</v>
      </c>
      <c r="G693" s="25">
        <v>0.0</v>
      </c>
      <c r="H693" s="25">
        <v>0.0</v>
      </c>
      <c r="I693" s="25">
        <v>0.0</v>
      </c>
      <c r="J693" s="25">
        <v>0.0</v>
      </c>
      <c r="K693" s="25">
        <v>0.0</v>
      </c>
      <c r="L693" s="25">
        <v>0.0</v>
      </c>
      <c r="M693" s="17">
        <f t="shared" si="1"/>
        <v>0</v>
      </c>
      <c r="N693" s="24" t="str">
        <f t="array" ref="N693">if(isblank(A693),"",index(fish_lab_data!O:O,match(A693,fish_lab_data!C:C,0)))</f>
        <v>JG</v>
      </c>
      <c r="O693" s="24" t="str">
        <f t="array" ref="O693">index(fish_lab_data!Q:Q,match(A693,fish_lab_data!C:C,0))</f>
        <v>lab_motiles_etoh</v>
      </c>
      <c r="P693" s="24" t="str">
        <f t="array" ref="P693">if(and(iserror(index(sea_lice!G:G,match(A693,sea_lice!A:A,0))),M693=0),"NA",index(sea_lice!G:G,match(A693,sea_lice!A:A,0)))</f>
        <v>NA</v>
      </c>
      <c r="Q693" s="24">
        <f t="array" ref="Q693">if(isblank(A693),"",index(fish_lab_data!X:X,match(A693,fish_lab_data!C:C,0)))</f>
        <v>1417</v>
      </c>
    </row>
    <row r="694">
      <c r="A694" s="40" t="s">
        <v>1958</v>
      </c>
      <c r="B694" s="25">
        <v>0.0</v>
      </c>
      <c r="C694" s="25">
        <v>0.0</v>
      </c>
      <c r="D694" s="25">
        <v>0.0</v>
      </c>
      <c r="E694" s="25">
        <v>0.0</v>
      </c>
      <c r="F694" s="25">
        <v>0.0</v>
      </c>
      <c r="G694" s="25">
        <v>0.0</v>
      </c>
      <c r="H694" s="25">
        <v>0.0</v>
      </c>
      <c r="I694" s="25">
        <v>0.0</v>
      </c>
      <c r="J694" s="25">
        <v>0.0</v>
      </c>
      <c r="K694" s="25">
        <v>0.0</v>
      </c>
      <c r="L694" s="25">
        <v>0.0</v>
      </c>
      <c r="M694" s="17">
        <f t="shared" si="1"/>
        <v>0</v>
      </c>
      <c r="N694" s="24" t="str">
        <f t="array" ref="N694">if(isblank(A694),"",index(fish_lab_data!O:O,match(A694,fish_lab_data!C:C,0)))</f>
        <v>JG</v>
      </c>
      <c r="O694" s="24" t="str">
        <f t="array" ref="O694">index(fish_lab_data!Q:Q,match(A694,fish_lab_data!C:C,0))</f>
        <v>lab_motiles_etoh</v>
      </c>
      <c r="P694" s="24" t="str">
        <f t="array" ref="P694">if(and(iserror(index(sea_lice!G:G,match(A694,sea_lice!A:A,0))),M694=0),"NA",index(sea_lice!G:G,match(A694,sea_lice!A:A,0)))</f>
        <v>NA</v>
      </c>
      <c r="Q694" s="24">
        <f t="array" ref="Q694">if(isblank(A694),"",index(fish_lab_data!X:X,match(A694,fish_lab_data!C:C,0)))</f>
        <v>1418</v>
      </c>
    </row>
    <row r="695">
      <c r="A695" s="40" t="s">
        <v>1959</v>
      </c>
      <c r="B695" s="25">
        <v>0.0</v>
      </c>
      <c r="C695" s="9">
        <v>1.0</v>
      </c>
      <c r="D695" s="25">
        <v>0.0</v>
      </c>
      <c r="E695" s="9">
        <v>1.0</v>
      </c>
      <c r="F695" s="25">
        <v>0.0</v>
      </c>
      <c r="G695" s="25">
        <v>0.0</v>
      </c>
      <c r="H695" s="25">
        <v>0.0</v>
      </c>
      <c r="I695" s="25">
        <v>0.0</v>
      </c>
      <c r="J695" s="25">
        <v>0.0</v>
      </c>
      <c r="K695" s="25">
        <v>0.0</v>
      </c>
      <c r="L695" s="25">
        <v>0.0</v>
      </c>
      <c r="M695" s="17">
        <f t="shared" si="1"/>
        <v>2</v>
      </c>
      <c r="N695" s="24" t="str">
        <f t="array" ref="N695">if(isblank(A695),"",index(fish_lab_data!O:O,match(A695,fish_lab_data!C:C,0)))</f>
        <v>JG</v>
      </c>
      <c r="O695" s="24" t="str">
        <f t="array" ref="O695">index(fish_lab_data!Q:Q,match(A695,fish_lab_data!C:C,0))</f>
        <v>lab_motiles_etoh</v>
      </c>
      <c r="P695" s="24" t="str">
        <f t="array" ref="P695">if(and(iserror(index(sea_lice!G:G,match(A695,sea_lice!A:A,0))),M695=0),"NA",index(sea_lice!G:G,match(A695,sea_lice!A:A,0)))</f>
        <v>BSL8-57</v>
      </c>
      <c r="Q695" s="24">
        <f t="array" ref="Q695">if(isblank(A695),"",index(fish_lab_data!X:X,match(A695,fish_lab_data!C:C,0)))</f>
        <v>1419</v>
      </c>
    </row>
    <row r="696">
      <c r="A696" s="40" t="s">
        <v>1960</v>
      </c>
      <c r="B696" s="25">
        <v>0.0</v>
      </c>
      <c r="C696" s="25">
        <v>0.0</v>
      </c>
      <c r="D696" s="25">
        <v>0.0</v>
      </c>
      <c r="E696" s="25">
        <v>0.0</v>
      </c>
      <c r="F696" s="25">
        <v>0.0</v>
      </c>
      <c r="G696" s="25">
        <v>0.0</v>
      </c>
      <c r="H696" s="25">
        <v>0.0</v>
      </c>
      <c r="I696" s="25">
        <v>0.0</v>
      </c>
      <c r="J696" s="25">
        <v>0.0</v>
      </c>
      <c r="K696" s="25">
        <v>0.0</v>
      </c>
      <c r="L696" s="25">
        <v>0.0</v>
      </c>
      <c r="M696" s="17">
        <f t="shared" si="1"/>
        <v>0</v>
      </c>
      <c r="N696" s="24" t="str">
        <f t="array" ref="N696">if(isblank(A696),"",index(fish_lab_data!O:O,match(A696,fish_lab_data!C:C,0)))</f>
        <v>JG</v>
      </c>
      <c r="O696" s="24" t="str">
        <f t="array" ref="O696">index(fish_lab_data!Q:Q,match(A696,fish_lab_data!C:C,0))</f>
        <v>lab_motiles_etoh</v>
      </c>
      <c r="P696" s="24" t="str">
        <f t="array" ref="P696">if(and(iserror(index(sea_lice!G:G,match(A696,sea_lice!A:A,0))),M696=0),"NA",index(sea_lice!G:G,match(A696,sea_lice!A:A,0)))</f>
        <v>NA</v>
      </c>
      <c r="Q696" s="24">
        <f t="array" ref="Q696">if(isblank(A696),"",index(fish_lab_data!X:X,match(A696,fish_lab_data!C:C,0)))</f>
        <v>1420</v>
      </c>
    </row>
    <row r="697">
      <c r="A697" s="40" t="s">
        <v>1961</v>
      </c>
      <c r="B697" s="25">
        <v>0.0</v>
      </c>
      <c r="C697" s="25">
        <v>0.0</v>
      </c>
      <c r="D697" s="25">
        <v>0.0</v>
      </c>
      <c r="E697" s="25">
        <v>0.0</v>
      </c>
      <c r="F697" s="25">
        <v>0.0</v>
      </c>
      <c r="G697" s="25">
        <v>0.0</v>
      </c>
      <c r="H697" s="25">
        <v>0.0</v>
      </c>
      <c r="I697" s="25">
        <v>0.0</v>
      </c>
      <c r="J697" s="25">
        <v>0.0</v>
      </c>
      <c r="K697" s="25">
        <v>0.0</v>
      </c>
      <c r="L697" s="25">
        <v>0.0</v>
      </c>
      <c r="M697" s="17">
        <f t="shared" si="1"/>
        <v>0</v>
      </c>
      <c r="N697" s="24" t="str">
        <f t="array" ref="N697">if(isblank(A697),"",index(fish_lab_data!O:O,match(A697,fish_lab_data!C:C,0)))</f>
        <v>JG</v>
      </c>
      <c r="O697" s="24" t="str">
        <f t="array" ref="O697">index(fish_lab_data!Q:Q,match(A697,fish_lab_data!C:C,0))</f>
        <v>lab_motiles_etoh</v>
      </c>
      <c r="P697" s="24" t="str">
        <f t="array" ref="P697">if(and(iserror(index(sea_lice!G:G,match(A697,sea_lice!A:A,0))),M697=0),"NA",index(sea_lice!G:G,match(A697,sea_lice!A:A,0)))</f>
        <v>NA</v>
      </c>
      <c r="Q697" s="24">
        <f t="array" ref="Q697">if(isblank(A697),"",index(fish_lab_data!X:X,match(A697,fish_lab_data!C:C,0)))</f>
        <v>1421</v>
      </c>
    </row>
    <row r="698">
      <c r="A698" s="40" t="s">
        <v>1962</v>
      </c>
      <c r="B698" s="25">
        <v>0.0</v>
      </c>
      <c r="C698" s="25">
        <v>0.0</v>
      </c>
      <c r="D698" s="25">
        <v>0.0</v>
      </c>
      <c r="E698" s="25">
        <v>0.0</v>
      </c>
      <c r="F698" s="25">
        <v>0.0</v>
      </c>
      <c r="G698" s="25">
        <v>0.0</v>
      </c>
      <c r="H698" s="25">
        <v>0.0</v>
      </c>
      <c r="I698" s="25">
        <v>0.0</v>
      </c>
      <c r="J698" s="25">
        <v>0.0</v>
      </c>
      <c r="K698" s="25">
        <v>0.0</v>
      </c>
      <c r="L698" s="25">
        <v>0.0</v>
      </c>
      <c r="M698" s="17">
        <f t="shared" si="1"/>
        <v>0</v>
      </c>
      <c r="N698" s="24" t="str">
        <f t="array" ref="N698">if(isblank(A698),"",index(fish_lab_data!O:O,match(A698,fish_lab_data!C:C,0)))</f>
        <v>JG</v>
      </c>
      <c r="O698" s="24" t="str">
        <f t="array" ref="O698">index(fish_lab_data!Q:Q,match(A698,fish_lab_data!C:C,0))</f>
        <v>lab_motiles_etoh</v>
      </c>
      <c r="P698" s="24" t="str">
        <f t="array" ref="P698">if(and(iserror(index(sea_lice!G:G,match(A698,sea_lice!A:A,0))),M698=0),"NA",index(sea_lice!G:G,match(A698,sea_lice!A:A,0)))</f>
        <v>NA</v>
      </c>
      <c r="Q698" s="24">
        <f t="array" ref="Q698">if(isblank(A698),"",index(fish_lab_data!X:X,match(A698,fish_lab_data!C:C,0)))</f>
        <v>1422</v>
      </c>
    </row>
    <row r="699">
      <c r="A699" s="40" t="s">
        <v>1963</v>
      </c>
      <c r="B699" s="25">
        <v>0.0</v>
      </c>
      <c r="C699" s="25">
        <v>0.0</v>
      </c>
      <c r="D699" s="25">
        <v>0.0</v>
      </c>
      <c r="E699" s="25">
        <v>0.0</v>
      </c>
      <c r="F699" s="25">
        <v>0.0</v>
      </c>
      <c r="G699" s="25">
        <v>0.0</v>
      </c>
      <c r="H699" s="25">
        <v>0.0</v>
      </c>
      <c r="I699" s="25">
        <v>0.0</v>
      </c>
      <c r="J699" s="25">
        <v>0.0</v>
      </c>
      <c r="K699" s="25">
        <v>0.0</v>
      </c>
      <c r="L699" s="25">
        <v>0.0</v>
      </c>
      <c r="M699" s="17">
        <f t="shared" si="1"/>
        <v>0</v>
      </c>
      <c r="N699" s="24" t="str">
        <f t="array" ref="N699">if(isblank(A699),"",index(fish_lab_data!O:O,match(A699,fish_lab_data!C:C,0)))</f>
        <v>JG</v>
      </c>
      <c r="O699" s="24" t="str">
        <f t="array" ref="O699">index(fish_lab_data!Q:Q,match(A699,fish_lab_data!C:C,0))</f>
        <v>lab_motiles_cryo</v>
      </c>
      <c r="P699" s="24" t="str">
        <f t="array" ref="P699">if(and(iserror(index(sea_lice!G:G,match(A699,sea_lice!A:A,0))),M699=0),"NA",index(sea_lice!G:G,match(A699,sea_lice!A:A,0)))</f>
        <v>NA</v>
      </c>
      <c r="Q699" s="24">
        <f t="array" ref="Q699">if(isblank(A699),"",index(fish_lab_data!X:X,match(A699,fish_lab_data!C:C,0)))</f>
        <v>1423</v>
      </c>
    </row>
    <row r="700">
      <c r="A700" s="40" t="s">
        <v>1964</v>
      </c>
      <c r="B700" s="9">
        <v>1.0</v>
      </c>
      <c r="C700" s="25">
        <v>0.0</v>
      </c>
      <c r="D700" s="25">
        <v>0.0</v>
      </c>
      <c r="E700" s="25">
        <v>0.0</v>
      </c>
      <c r="F700" s="25">
        <v>0.0</v>
      </c>
      <c r="G700" s="25">
        <v>0.0</v>
      </c>
      <c r="H700" s="25">
        <v>0.0</v>
      </c>
      <c r="I700" s="25">
        <v>0.0</v>
      </c>
      <c r="J700" s="25">
        <v>0.0</v>
      </c>
      <c r="K700" s="25">
        <v>0.0</v>
      </c>
      <c r="L700" s="25">
        <v>0.0</v>
      </c>
      <c r="M700" s="17">
        <f t="shared" si="1"/>
        <v>1</v>
      </c>
      <c r="N700" s="24" t="str">
        <f t="array" ref="N700">if(isblank(A700),"",index(fish_lab_data!O:O,match(A700,fish_lab_data!C:C,0)))</f>
        <v>JG</v>
      </c>
      <c r="O700" s="24" t="str">
        <f t="array" ref="O700">index(fish_lab_data!Q:Q,match(A700,fish_lab_data!C:C,0))</f>
        <v>lab_motiles_cryo</v>
      </c>
      <c r="P700" s="24" t="str">
        <f t="array" ref="P700">if(and(iserror(index(sea_lice!G:G,match(A700,sea_lice!A:A,0))),M700=0),"NA",index(sea_lice!G:G,match(A700,sea_lice!A:A,0)))</f>
        <v>BSL2-92</v>
      </c>
      <c r="Q700" s="24">
        <f t="array" ref="Q700">if(isblank(A700),"",index(fish_lab_data!X:X,match(A700,fish_lab_data!C:C,0)))</f>
        <v>1424</v>
      </c>
    </row>
    <row r="701">
      <c r="A701" s="40" t="s">
        <v>1965</v>
      </c>
      <c r="B701" s="25">
        <v>0.0</v>
      </c>
      <c r="C701" s="25">
        <v>0.0</v>
      </c>
      <c r="D701" s="25">
        <v>0.0</v>
      </c>
      <c r="E701" s="9">
        <v>1.0</v>
      </c>
      <c r="F701" s="25">
        <v>0.0</v>
      </c>
      <c r="G701" s="25">
        <v>0.0</v>
      </c>
      <c r="H701" s="25">
        <v>0.0</v>
      </c>
      <c r="I701" s="25">
        <v>0.0</v>
      </c>
      <c r="J701" s="25">
        <v>0.0</v>
      </c>
      <c r="K701" s="25">
        <v>0.0</v>
      </c>
      <c r="L701" s="25">
        <v>0.0</v>
      </c>
      <c r="M701" s="17">
        <f t="shared" si="1"/>
        <v>1</v>
      </c>
      <c r="N701" s="24" t="str">
        <f t="array" ref="N701">if(isblank(A701),"",index(fish_lab_data!O:O,match(A701,fish_lab_data!C:C,0)))</f>
        <v>JG</v>
      </c>
      <c r="O701" s="24" t="str">
        <f t="array" ref="O701">index(fish_lab_data!Q:Q,match(A701,fish_lab_data!C:C,0))</f>
        <v>lab_motiles_cryo</v>
      </c>
      <c r="P701" s="24" t="str">
        <f t="array" ref="P701">if(and(iserror(index(sea_lice!G:G,match(A701,sea_lice!A:A,0))),M701=0),"NA",index(sea_lice!G:G,match(A701,sea_lice!A:A,0)))</f>
        <v>BSL2-94</v>
      </c>
      <c r="Q701" s="24">
        <f t="array" ref="Q701">if(isblank(A701),"",index(fish_lab_data!X:X,match(A701,fish_lab_data!C:C,0)))</f>
        <v>1425</v>
      </c>
    </row>
    <row r="702">
      <c r="A702" s="40" t="s">
        <v>1966</v>
      </c>
      <c r="B702" s="25">
        <v>0.0</v>
      </c>
      <c r="C702" s="25">
        <v>0.0</v>
      </c>
      <c r="D702" s="25">
        <v>0.0</v>
      </c>
      <c r="E702" s="25">
        <v>0.0</v>
      </c>
      <c r="F702" s="25">
        <v>0.0</v>
      </c>
      <c r="G702" s="25">
        <v>0.0</v>
      </c>
      <c r="H702" s="25">
        <v>0.0</v>
      </c>
      <c r="I702" s="25">
        <v>0.0</v>
      </c>
      <c r="J702" s="25">
        <v>0.0</v>
      </c>
      <c r="K702" s="25">
        <v>0.0</v>
      </c>
      <c r="L702" s="25">
        <v>0.0</v>
      </c>
      <c r="M702" s="17">
        <f t="shared" si="1"/>
        <v>0</v>
      </c>
      <c r="N702" s="24" t="str">
        <f t="array" ref="N702">if(isblank(A702),"",index(fish_lab_data!O:O,match(A702,fish_lab_data!C:C,0)))</f>
        <v>JG</v>
      </c>
      <c r="O702" s="24" t="str">
        <f t="array" ref="O702">index(fish_lab_data!Q:Q,match(A702,fish_lab_data!C:C,0))</f>
        <v>lab_motiles_cryo</v>
      </c>
      <c r="P702" s="24" t="str">
        <f t="array" ref="P702">if(and(iserror(index(sea_lice!G:G,match(A702,sea_lice!A:A,0))),M702=0),"NA",index(sea_lice!G:G,match(A702,sea_lice!A:A,0)))</f>
        <v>NA</v>
      </c>
      <c r="Q702" s="24">
        <f t="array" ref="Q702">if(isblank(A702),"",index(fish_lab_data!X:X,match(A702,fish_lab_data!C:C,0)))</f>
        <v>1426</v>
      </c>
    </row>
    <row r="703">
      <c r="A703" s="40" t="s">
        <v>1967</v>
      </c>
      <c r="B703" s="25">
        <v>0.0</v>
      </c>
      <c r="C703" s="25">
        <v>0.0</v>
      </c>
      <c r="D703" s="25">
        <v>0.0</v>
      </c>
      <c r="E703" s="25">
        <v>0.0</v>
      </c>
      <c r="F703" s="25">
        <v>0.0</v>
      </c>
      <c r="G703" s="25">
        <v>0.0</v>
      </c>
      <c r="H703" s="25">
        <v>0.0</v>
      </c>
      <c r="I703" s="25">
        <v>0.0</v>
      </c>
      <c r="J703" s="25">
        <v>0.0</v>
      </c>
      <c r="K703" s="25">
        <v>0.0</v>
      </c>
      <c r="L703" s="25">
        <v>0.0</v>
      </c>
      <c r="M703" s="17">
        <f t="shared" si="1"/>
        <v>0</v>
      </c>
      <c r="N703" s="24" t="str">
        <f t="array" ref="N703">if(isblank(A703),"",index(fish_lab_data!O:O,match(A703,fish_lab_data!C:C,0)))</f>
        <v>JG</v>
      </c>
      <c r="O703" s="24" t="str">
        <f t="array" ref="O703">index(fish_lab_data!Q:Q,match(A703,fish_lab_data!C:C,0))</f>
        <v>lab_motiles_cryo</v>
      </c>
      <c r="P703" s="24" t="str">
        <f t="array" ref="P703">if(and(iserror(index(sea_lice!G:G,match(A703,sea_lice!A:A,0))),M703=0),"NA",index(sea_lice!G:G,match(A703,sea_lice!A:A,0)))</f>
        <v>NA</v>
      </c>
      <c r="Q703" s="24">
        <f t="array" ref="Q703">if(isblank(A703),"",index(fish_lab_data!X:X,match(A703,fish_lab_data!C:C,0)))</f>
        <v>1427</v>
      </c>
    </row>
    <row r="704">
      <c r="A704" s="40" t="s">
        <v>1968</v>
      </c>
      <c r="B704" s="25">
        <v>0.0</v>
      </c>
      <c r="C704" s="9">
        <v>1.0</v>
      </c>
      <c r="D704" s="25">
        <v>0.0</v>
      </c>
      <c r="E704" s="25">
        <v>0.0</v>
      </c>
      <c r="F704" s="25">
        <v>0.0</v>
      </c>
      <c r="G704" s="25">
        <v>0.0</v>
      </c>
      <c r="H704" s="25">
        <v>0.0</v>
      </c>
      <c r="I704" s="25">
        <v>0.0</v>
      </c>
      <c r="J704" s="25">
        <v>0.0</v>
      </c>
      <c r="K704" s="25">
        <v>0.0</v>
      </c>
      <c r="L704" s="25">
        <v>0.0</v>
      </c>
      <c r="M704" s="17">
        <f t="shared" si="1"/>
        <v>1</v>
      </c>
      <c r="N704" s="24" t="str">
        <f t="array" ref="N704">if(isblank(A704),"",index(fish_lab_data!O:O,match(A704,fish_lab_data!C:C,0)))</f>
        <v>JG</v>
      </c>
      <c r="O704" s="24" t="str">
        <f t="array" ref="O704">index(fish_lab_data!Q:Q,match(A704,fish_lab_data!C:C,0))</f>
        <v>lab_motiles_cryo</v>
      </c>
      <c r="P704" s="24" t="str">
        <f t="array" ref="P704">if(and(iserror(index(sea_lice!G:G,match(A704,sea_lice!A:A,0))),M704=0),"NA",index(sea_lice!G:G,match(A704,sea_lice!A:A,0)))</f>
        <v>BSL2-96</v>
      </c>
      <c r="Q704" s="24">
        <f t="array" ref="Q704">if(isblank(A704),"",index(fish_lab_data!X:X,match(A704,fish_lab_data!C:C,0)))</f>
        <v>1428</v>
      </c>
    </row>
    <row r="705">
      <c r="A705" s="40" t="s">
        <v>1969</v>
      </c>
      <c r="B705" s="25">
        <v>0.0</v>
      </c>
      <c r="C705" s="25">
        <v>0.0</v>
      </c>
      <c r="D705" s="25">
        <v>0.0</v>
      </c>
      <c r="E705" s="25">
        <v>0.0</v>
      </c>
      <c r="F705" s="25">
        <v>0.0</v>
      </c>
      <c r="G705" s="25">
        <v>0.0</v>
      </c>
      <c r="H705" s="25">
        <v>0.0</v>
      </c>
      <c r="I705" s="25">
        <v>0.0</v>
      </c>
      <c r="J705" s="25">
        <v>0.0</v>
      </c>
      <c r="K705" s="25">
        <v>0.0</v>
      </c>
      <c r="L705" s="25">
        <v>0.0</v>
      </c>
      <c r="M705" s="17">
        <f t="shared" si="1"/>
        <v>0</v>
      </c>
      <c r="N705" s="24" t="str">
        <f t="array" ref="N705">if(isblank(A705),"",index(fish_lab_data!O:O,match(A705,fish_lab_data!C:C,0)))</f>
        <v>JG</v>
      </c>
      <c r="O705" s="24" t="str">
        <f t="array" ref="O705">index(fish_lab_data!Q:Q,match(A705,fish_lab_data!C:C,0))</f>
        <v>lab_motiles_cryo</v>
      </c>
      <c r="P705" s="24" t="str">
        <f t="array" ref="P705">if(and(iserror(index(sea_lice!G:G,match(A705,sea_lice!A:A,0))),M705=0),"NA",index(sea_lice!G:G,match(A705,sea_lice!A:A,0)))</f>
        <v>NA</v>
      </c>
      <c r="Q705" s="24">
        <f t="array" ref="Q705">if(isblank(A705),"",index(fish_lab_data!X:X,match(A705,fish_lab_data!C:C,0)))</f>
        <v>1429</v>
      </c>
    </row>
    <row r="706">
      <c r="A706" s="40" t="s">
        <v>1970</v>
      </c>
      <c r="B706" s="25">
        <v>0.0</v>
      </c>
      <c r="C706" s="25">
        <v>0.0</v>
      </c>
      <c r="D706" s="25">
        <v>0.0</v>
      </c>
      <c r="E706" s="25">
        <v>0.0</v>
      </c>
      <c r="F706" s="25">
        <v>0.0</v>
      </c>
      <c r="G706" s="25">
        <v>0.0</v>
      </c>
      <c r="H706" s="25">
        <v>0.0</v>
      </c>
      <c r="I706" s="25">
        <v>0.0</v>
      </c>
      <c r="J706" s="25">
        <v>0.0</v>
      </c>
      <c r="K706" s="25">
        <v>0.0</v>
      </c>
      <c r="L706" s="25">
        <v>0.0</v>
      </c>
      <c r="M706" s="17">
        <f t="shared" si="1"/>
        <v>0</v>
      </c>
      <c r="N706" s="24" t="str">
        <f t="array" ref="N706">if(isblank(A706),"",index(fish_lab_data!O:O,match(A706,fish_lab_data!C:C,0)))</f>
        <v>JG</v>
      </c>
      <c r="O706" s="24" t="str">
        <f t="array" ref="O706">index(fish_lab_data!Q:Q,match(A706,fish_lab_data!C:C,0))</f>
        <v>lab_motiles_cryo</v>
      </c>
      <c r="P706" s="24" t="str">
        <f t="array" ref="P706">if(and(iserror(index(sea_lice!G:G,match(A706,sea_lice!A:A,0))),M706=0),"NA",index(sea_lice!G:G,match(A706,sea_lice!A:A,0)))</f>
        <v>NA</v>
      </c>
      <c r="Q706" s="24">
        <f t="array" ref="Q706">if(isblank(A706),"",index(fish_lab_data!X:X,match(A706,fish_lab_data!C:C,0)))</f>
        <v>1430</v>
      </c>
    </row>
    <row r="707">
      <c r="A707" s="40" t="s">
        <v>1971</v>
      </c>
      <c r="B707" s="25">
        <v>0.0</v>
      </c>
      <c r="C707" s="25">
        <v>0.0</v>
      </c>
      <c r="D707" s="25">
        <v>0.0</v>
      </c>
      <c r="E707" s="25">
        <v>0.0</v>
      </c>
      <c r="F707" s="25">
        <v>0.0</v>
      </c>
      <c r="G707" s="25">
        <v>0.0</v>
      </c>
      <c r="H707" s="25">
        <v>0.0</v>
      </c>
      <c r="I707" s="25">
        <v>0.0</v>
      </c>
      <c r="J707" s="25">
        <v>0.0</v>
      </c>
      <c r="K707" s="25">
        <v>0.0</v>
      </c>
      <c r="L707" s="25">
        <v>0.0</v>
      </c>
      <c r="M707" s="17">
        <f t="shared" si="1"/>
        <v>0</v>
      </c>
      <c r="N707" s="24" t="str">
        <f t="array" ref="N707">if(isblank(A707),"",index(fish_lab_data!O:O,match(A707,fish_lab_data!C:C,0)))</f>
        <v>JG</v>
      </c>
      <c r="O707" s="24" t="str">
        <f t="array" ref="O707">index(fish_lab_data!Q:Q,match(A707,fish_lab_data!C:C,0))</f>
        <v>lab_motiles_cryo</v>
      </c>
      <c r="P707" s="24" t="str">
        <f t="array" ref="P707">if(and(iserror(index(sea_lice!G:G,match(A707,sea_lice!A:A,0))),M707=0),"NA",index(sea_lice!G:G,match(A707,sea_lice!A:A,0)))</f>
        <v>NA</v>
      </c>
      <c r="Q707" s="24">
        <f t="array" ref="Q707">if(isblank(A707),"",index(fish_lab_data!X:X,match(A707,fish_lab_data!C:C,0)))</f>
        <v>1431</v>
      </c>
    </row>
    <row r="708">
      <c r="A708" s="40" t="s">
        <v>1972</v>
      </c>
      <c r="B708" s="25">
        <v>0.0</v>
      </c>
      <c r="C708" s="25">
        <v>0.0</v>
      </c>
      <c r="D708" s="25">
        <v>0.0</v>
      </c>
      <c r="E708" s="25">
        <v>0.0</v>
      </c>
      <c r="F708" s="25">
        <v>0.0</v>
      </c>
      <c r="G708" s="25">
        <v>0.0</v>
      </c>
      <c r="H708" s="25">
        <v>0.0</v>
      </c>
      <c r="I708" s="25">
        <v>0.0</v>
      </c>
      <c r="J708" s="25">
        <v>0.0</v>
      </c>
      <c r="K708" s="25">
        <v>0.0</v>
      </c>
      <c r="L708" s="25">
        <v>0.0</v>
      </c>
      <c r="M708" s="17">
        <f t="shared" si="1"/>
        <v>0</v>
      </c>
      <c r="N708" s="24" t="str">
        <f t="array" ref="N708">if(isblank(A708),"",index(fish_lab_data!O:O,match(A708,fish_lab_data!C:C,0)))</f>
        <v>JG</v>
      </c>
      <c r="O708" s="24" t="str">
        <f t="array" ref="O708">index(fish_lab_data!Q:Q,match(A708,fish_lab_data!C:C,0))</f>
        <v>lab_motiles_cryo</v>
      </c>
      <c r="P708" s="24" t="str">
        <f t="array" ref="P708">if(and(iserror(index(sea_lice!G:G,match(A708,sea_lice!A:A,0))),M708=0),"NA",index(sea_lice!G:G,match(A708,sea_lice!A:A,0)))</f>
        <v>NA</v>
      </c>
      <c r="Q708" s="24">
        <f t="array" ref="Q708">if(isblank(A708),"",index(fish_lab_data!X:X,match(A708,fish_lab_data!C:C,0)))</f>
        <v>1432</v>
      </c>
    </row>
    <row r="709">
      <c r="A709" s="40" t="s">
        <v>1973</v>
      </c>
      <c r="B709" s="25">
        <v>0.0</v>
      </c>
      <c r="C709" s="25">
        <v>0.0</v>
      </c>
      <c r="D709" s="25">
        <v>0.0</v>
      </c>
      <c r="E709" s="25">
        <v>0.0</v>
      </c>
      <c r="F709" s="25">
        <v>0.0</v>
      </c>
      <c r="G709" s="25">
        <v>0.0</v>
      </c>
      <c r="H709" s="25">
        <v>0.0</v>
      </c>
      <c r="I709" s="25">
        <v>0.0</v>
      </c>
      <c r="J709" s="25">
        <v>0.0</v>
      </c>
      <c r="K709" s="25">
        <v>0.0</v>
      </c>
      <c r="L709" s="25">
        <v>0.0</v>
      </c>
      <c r="M709" s="17">
        <f t="shared" si="1"/>
        <v>0</v>
      </c>
      <c r="N709" s="24" t="str">
        <f t="array" ref="N709">if(isblank(A709),"",index(fish_lab_data!O:O,match(A709,fish_lab_data!C:C,0)))</f>
        <v>JG</v>
      </c>
      <c r="O709" s="24" t="str">
        <f t="array" ref="O709">index(fish_lab_data!Q:Q,match(A709,fish_lab_data!C:C,0))</f>
        <v>lab_motiles_etoh</v>
      </c>
      <c r="P709" s="24" t="str">
        <f t="array" ref="P709">if(and(iserror(index(sea_lice!G:G,match(A709,sea_lice!A:A,0))),M709=0),"NA",index(sea_lice!G:G,match(A709,sea_lice!A:A,0)))</f>
        <v>NA</v>
      </c>
      <c r="Q709" s="24">
        <f t="array" ref="Q709">if(isblank(A709),"",index(fish_lab_data!X:X,match(A709,fish_lab_data!C:C,0)))</f>
        <v>1433</v>
      </c>
    </row>
    <row r="710">
      <c r="A710" s="40" t="s">
        <v>1974</v>
      </c>
      <c r="B710" s="9">
        <v>1.0</v>
      </c>
      <c r="C710" s="25">
        <v>0.0</v>
      </c>
      <c r="D710" s="25">
        <v>0.0</v>
      </c>
      <c r="E710" s="25">
        <v>0.0</v>
      </c>
      <c r="F710" s="25">
        <v>0.0</v>
      </c>
      <c r="G710" s="25">
        <v>0.0</v>
      </c>
      <c r="H710" s="25">
        <v>0.0</v>
      </c>
      <c r="I710" s="25">
        <v>0.0</v>
      </c>
      <c r="J710" s="25">
        <v>0.0</v>
      </c>
      <c r="K710" s="25">
        <v>0.0</v>
      </c>
      <c r="L710" s="25">
        <v>0.0</v>
      </c>
      <c r="M710" s="17">
        <f t="shared" si="1"/>
        <v>1</v>
      </c>
      <c r="N710" s="24" t="str">
        <f t="array" ref="N710">if(isblank(A710),"",index(fish_lab_data!O:O,match(A710,fish_lab_data!C:C,0)))</f>
        <v>JG</v>
      </c>
      <c r="O710" s="24" t="str">
        <f t="array" ref="O710">index(fish_lab_data!Q:Q,match(A710,fish_lab_data!C:C,0))</f>
        <v>lab_motiles_etoh</v>
      </c>
      <c r="P710" s="24" t="str">
        <f t="array" ref="P710">if(and(iserror(index(sea_lice!G:G,match(A710,sea_lice!A:A,0))),M710=0),"NA",index(sea_lice!G:G,match(A710,sea_lice!A:A,0)))</f>
        <v>BSL8-58</v>
      </c>
      <c r="Q710" s="24">
        <f t="array" ref="Q710">if(isblank(A710),"",index(fish_lab_data!X:X,match(A710,fish_lab_data!C:C,0)))</f>
        <v>1434</v>
      </c>
    </row>
    <row r="711">
      <c r="A711" s="40" t="s">
        <v>1975</v>
      </c>
      <c r="B711" s="25">
        <v>0.0</v>
      </c>
      <c r="C711" s="25">
        <v>0.0</v>
      </c>
      <c r="D711" s="25">
        <v>0.0</v>
      </c>
      <c r="E711" s="25">
        <v>0.0</v>
      </c>
      <c r="F711" s="25">
        <v>0.0</v>
      </c>
      <c r="G711" s="25">
        <v>0.0</v>
      </c>
      <c r="H711" s="25">
        <v>0.0</v>
      </c>
      <c r="I711" s="25">
        <v>0.0</v>
      </c>
      <c r="J711" s="25">
        <v>0.0</v>
      </c>
      <c r="K711" s="25">
        <v>0.0</v>
      </c>
      <c r="L711" s="25">
        <v>0.0</v>
      </c>
      <c r="M711" s="17">
        <f t="shared" si="1"/>
        <v>0</v>
      </c>
      <c r="N711" s="24" t="str">
        <f t="array" ref="N711">if(isblank(A711),"",index(fish_lab_data!O:O,match(A711,fish_lab_data!C:C,0)))</f>
        <v>JG</v>
      </c>
      <c r="O711" s="24" t="str">
        <f t="array" ref="O711">index(fish_lab_data!Q:Q,match(A711,fish_lab_data!C:C,0))</f>
        <v>lab_motiles_etoh</v>
      </c>
      <c r="P711" s="24" t="str">
        <f t="array" ref="P711">if(and(iserror(index(sea_lice!G:G,match(A711,sea_lice!A:A,0))),M711=0),"NA",index(sea_lice!G:G,match(A711,sea_lice!A:A,0)))</f>
        <v>NA</v>
      </c>
      <c r="Q711" s="24">
        <f t="array" ref="Q711">if(isblank(A711),"",index(fish_lab_data!X:X,match(A711,fish_lab_data!C:C,0)))</f>
        <v>1435</v>
      </c>
    </row>
    <row r="712">
      <c r="A712" s="40" t="s">
        <v>1976</v>
      </c>
      <c r="B712" s="25">
        <v>0.0</v>
      </c>
      <c r="C712" s="9">
        <v>1.0</v>
      </c>
      <c r="D712" s="25">
        <v>0.0</v>
      </c>
      <c r="E712" s="25">
        <v>0.0</v>
      </c>
      <c r="F712" s="25">
        <v>0.0</v>
      </c>
      <c r="G712" s="25">
        <v>0.0</v>
      </c>
      <c r="H712" s="25">
        <v>0.0</v>
      </c>
      <c r="I712" s="25">
        <v>0.0</v>
      </c>
      <c r="J712" s="25">
        <v>0.0</v>
      </c>
      <c r="K712" s="25">
        <v>0.0</v>
      </c>
      <c r="L712" s="25">
        <v>0.0</v>
      </c>
      <c r="M712" s="17">
        <f t="shared" si="1"/>
        <v>1</v>
      </c>
      <c r="N712" s="24" t="str">
        <f t="array" ref="N712">if(isblank(A712),"",index(fish_lab_data!O:O,match(A712,fish_lab_data!C:C,0)))</f>
        <v>JG</v>
      </c>
      <c r="O712" s="24" t="str">
        <f t="array" ref="O712">index(fish_lab_data!Q:Q,match(A712,fish_lab_data!C:C,0))</f>
        <v>lab_motiles_etoh</v>
      </c>
      <c r="P712" s="24" t="str">
        <f t="array" ref="P712">if(and(iserror(index(sea_lice!G:G,match(A712,sea_lice!A:A,0))),M712=0),"NA",index(sea_lice!G:G,match(A712,sea_lice!A:A,0)))</f>
        <v>BSL8-59</v>
      </c>
      <c r="Q712" s="24">
        <f t="array" ref="Q712">if(isblank(A712),"",index(fish_lab_data!X:X,match(A712,fish_lab_data!C:C,0)))</f>
        <v>1436</v>
      </c>
    </row>
    <row r="713">
      <c r="A713" s="40" t="s">
        <v>1977</v>
      </c>
      <c r="B713" s="25">
        <v>0.0</v>
      </c>
      <c r="C713" s="25">
        <v>0.0</v>
      </c>
      <c r="D713" s="9">
        <v>1.0</v>
      </c>
      <c r="E713" s="25">
        <v>0.0</v>
      </c>
      <c r="F713" s="25">
        <v>0.0</v>
      </c>
      <c r="G713" s="25">
        <v>0.0</v>
      </c>
      <c r="H713" s="25">
        <v>0.0</v>
      </c>
      <c r="I713" s="25">
        <v>0.0</v>
      </c>
      <c r="J713" s="25">
        <v>0.0</v>
      </c>
      <c r="K713" s="25">
        <v>0.0</v>
      </c>
      <c r="L713" s="25">
        <v>0.0</v>
      </c>
      <c r="M713" s="17">
        <f t="shared" si="1"/>
        <v>1</v>
      </c>
      <c r="N713" s="24" t="str">
        <f t="array" ref="N713">if(isblank(A713),"",index(fish_lab_data!O:O,match(A713,fish_lab_data!C:C,0)))</f>
        <v>JG</v>
      </c>
      <c r="O713" s="24" t="str">
        <f t="array" ref="O713">index(fish_lab_data!Q:Q,match(A713,fish_lab_data!C:C,0))</f>
        <v>lab_motiles_etoh</v>
      </c>
      <c r="P713" s="24" t="str">
        <f t="array" ref="P713">if(and(iserror(index(sea_lice!G:G,match(A713,sea_lice!A:A,0))),M713=0),"NA",index(sea_lice!G:G,match(A713,sea_lice!A:A,0)))</f>
        <v>BSL8-60</v>
      </c>
      <c r="Q713" s="24">
        <f t="array" ref="Q713">if(isblank(A713),"",index(fish_lab_data!X:X,match(A713,fish_lab_data!C:C,0)))</f>
        <v>1437</v>
      </c>
    </row>
    <row r="714">
      <c r="A714" s="40" t="s">
        <v>1978</v>
      </c>
      <c r="B714" s="25">
        <v>0.0</v>
      </c>
      <c r="C714" s="25">
        <v>0.0</v>
      </c>
      <c r="D714" s="25">
        <v>0.0</v>
      </c>
      <c r="E714" s="25">
        <v>0.0</v>
      </c>
      <c r="F714" s="25">
        <v>0.0</v>
      </c>
      <c r="G714" s="25">
        <v>0.0</v>
      </c>
      <c r="H714" s="25">
        <v>0.0</v>
      </c>
      <c r="I714" s="25">
        <v>0.0</v>
      </c>
      <c r="J714" s="25">
        <v>0.0</v>
      </c>
      <c r="K714" s="25">
        <v>0.0</v>
      </c>
      <c r="L714" s="25">
        <v>0.0</v>
      </c>
      <c r="M714" s="17">
        <f t="shared" si="1"/>
        <v>0</v>
      </c>
      <c r="N714" s="24" t="str">
        <f t="array" ref="N714">if(isblank(A714),"",index(fish_lab_data!O:O,match(A714,fish_lab_data!C:C,0)))</f>
        <v>JG</v>
      </c>
      <c r="O714" s="24" t="str">
        <f t="array" ref="O714">index(fish_lab_data!Q:Q,match(A714,fish_lab_data!C:C,0))</f>
        <v>lab_motiles_etoh</v>
      </c>
      <c r="P714" s="24" t="str">
        <f t="array" ref="P714">if(and(iserror(index(sea_lice!G:G,match(A714,sea_lice!A:A,0))),M714=0),"NA",index(sea_lice!G:G,match(A714,sea_lice!A:A,0)))</f>
        <v>NA</v>
      </c>
      <c r="Q714" s="24">
        <f t="array" ref="Q714">if(isblank(A714),"",index(fish_lab_data!X:X,match(A714,fish_lab_data!C:C,0)))</f>
        <v>1438</v>
      </c>
    </row>
    <row r="715">
      <c r="A715" s="40" t="s">
        <v>1979</v>
      </c>
      <c r="B715" s="9">
        <v>1.0</v>
      </c>
      <c r="C715" s="25">
        <v>0.0</v>
      </c>
      <c r="D715" s="25">
        <v>0.0</v>
      </c>
      <c r="E715" s="25">
        <v>0.0</v>
      </c>
      <c r="F715" s="25">
        <v>0.0</v>
      </c>
      <c r="G715" s="25">
        <v>0.0</v>
      </c>
      <c r="H715" s="25">
        <v>0.0</v>
      </c>
      <c r="I715" s="25">
        <v>0.0</v>
      </c>
      <c r="J715" s="25">
        <v>0.0</v>
      </c>
      <c r="K715" s="25">
        <v>0.0</v>
      </c>
      <c r="L715" s="25">
        <v>0.0</v>
      </c>
      <c r="M715" s="17">
        <f t="shared" si="1"/>
        <v>1</v>
      </c>
      <c r="N715" s="24" t="str">
        <f t="array" ref="N715">if(isblank(A715),"",index(fish_lab_data!O:O,match(A715,fish_lab_data!C:C,0)))</f>
        <v>JG</v>
      </c>
      <c r="O715" s="24" t="str">
        <f t="array" ref="O715">index(fish_lab_data!Q:Q,match(A715,fish_lab_data!C:C,0))</f>
        <v>lab_motiles_etoh</v>
      </c>
      <c r="P715" s="24" t="str">
        <f t="array" ref="P715">if(and(iserror(index(sea_lice!G:G,match(A715,sea_lice!A:A,0))),M715=0),"NA",index(sea_lice!G:G,match(A715,sea_lice!A:A,0)))</f>
        <v>BSL8-61</v>
      </c>
      <c r="Q715" s="24">
        <f t="array" ref="Q715">if(isblank(A715),"",index(fish_lab_data!X:X,match(A715,fish_lab_data!C:C,0)))</f>
        <v>1439</v>
      </c>
    </row>
    <row r="716">
      <c r="A716" s="40" t="s">
        <v>1980</v>
      </c>
      <c r="B716" s="25">
        <v>0.0</v>
      </c>
      <c r="C716" s="25">
        <v>0.0</v>
      </c>
      <c r="D716" s="25">
        <v>0.0</v>
      </c>
      <c r="E716" s="25">
        <v>0.0</v>
      </c>
      <c r="F716" s="25">
        <v>0.0</v>
      </c>
      <c r="G716" s="25">
        <v>0.0</v>
      </c>
      <c r="H716" s="25">
        <v>0.0</v>
      </c>
      <c r="I716" s="25">
        <v>0.0</v>
      </c>
      <c r="J716" s="25">
        <v>0.0</v>
      </c>
      <c r="K716" s="25">
        <v>0.0</v>
      </c>
      <c r="L716" s="25">
        <v>0.0</v>
      </c>
      <c r="M716" s="17">
        <f t="shared" si="1"/>
        <v>0</v>
      </c>
      <c r="N716" s="24" t="str">
        <f t="array" ref="N716">if(isblank(A716),"",index(fish_lab_data!O:O,match(A716,fish_lab_data!C:C,0)))</f>
        <v>JG</v>
      </c>
      <c r="O716" s="24" t="str">
        <f t="array" ref="O716">index(fish_lab_data!Q:Q,match(A716,fish_lab_data!C:C,0))</f>
        <v>lab_motiles_etoh</v>
      </c>
      <c r="P716" s="24" t="str">
        <f t="array" ref="P716">if(and(iserror(index(sea_lice!G:G,match(A716,sea_lice!A:A,0))),M716=0),"NA",index(sea_lice!G:G,match(A716,sea_lice!A:A,0)))</f>
        <v>NA</v>
      </c>
      <c r="Q716" s="24">
        <f t="array" ref="Q716">if(isblank(A716),"",index(fish_lab_data!X:X,match(A716,fish_lab_data!C:C,0)))</f>
        <v>1440</v>
      </c>
    </row>
    <row r="717">
      <c r="A717" s="40" t="s">
        <v>1981</v>
      </c>
      <c r="B717" s="25">
        <v>0.0</v>
      </c>
      <c r="C717" s="9">
        <v>1.0</v>
      </c>
      <c r="D717" s="25">
        <v>0.0</v>
      </c>
      <c r="E717" s="25">
        <v>0.0</v>
      </c>
      <c r="F717" s="25">
        <v>0.0</v>
      </c>
      <c r="G717" s="25">
        <v>0.0</v>
      </c>
      <c r="H717" s="25">
        <v>0.0</v>
      </c>
      <c r="I717" s="25">
        <v>0.0</v>
      </c>
      <c r="J717" s="25">
        <v>0.0</v>
      </c>
      <c r="K717" s="25">
        <v>0.0</v>
      </c>
      <c r="L717" s="25">
        <v>0.0</v>
      </c>
      <c r="M717" s="17">
        <f t="shared" si="1"/>
        <v>1</v>
      </c>
      <c r="N717" s="24" t="str">
        <f t="array" ref="N717">if(isblank(A717),"",index(fish_lab_data!O:O,match(A717,fish_lab_data!C:C,0)))</f>
        <v>JG</v>
      </c>
      <c r="O717" s="24" t="str">
        <f t="array" ref="O717">index(fish_lab_data!Q:Q,match(A717,fish_lab_data!C:C,0))</f>
        <v>lab_motiles_etoh</v>
      </c>
      <c r="P717" s="24" t="str">
        <f t="array" ref="P717">if(and(iserror(index(sea_lice!G:G,match(A717,sea_lice!A:A,0))),M717=0),"NA",index(sea_lice!G:G,match(A717,sea_lice!A:A,0)))</f>
        <v>BSL8-63</v>
      </c>
      <c r="Q717" s="24">
        <f t="array" ref="Q717">if(isblank(A717),"",index(fish_lab_data!X:X,match(A717,fish_lab_data!C:C,0)))</f>
        <v>1441</v>
      </c>
    </row>
    <row r="718">
      <c r="A718" s="40" t="s">
        <v>1982</v>
      </c>
      <c r="B718" s="25">
        <v>0.0</v>
      </c>
      <c r="C718" s="25">
        <v>0.0</v>
      </c>
      <c r="D718" s="9">
        <v>1.0</v>
      </c>
      <c r="E718" s="9">
        <v>2.0</v>
      </c>
      <c r="F718" s="25">
        <v>0.0</v>
      </c>
      <c r="G718" s="25">
        <v>0.0</v>
      </c>
      <c r="H718" s="25">
        <v>0.0</v>
      </c>
      <c r="I718" s="25">
        <v>0.0</v>
      </c>
      <c r="J718" s="25">
        <v>0.0</v>
      </c>
      <c r="K718" s="25">
        <v>0.0</v>
      </c>
      <c r="L718" s="25">
        <v>0.0</v>
      </c>
      <c r="M718" s="17">
        <f t="shared" si="1"/>
        <v>3</v>
      </c>
      <c r="N718" s="24" t="str">
        <f t="array" ref="N718">if(isblank(A718),"",index(fish_lab_data!O:O,match(A718,fish_lab_data!C:C,0)))</f>
        <v>JG</v>
      </c>
      <c r="O718" s="24" t="str">
        <f t="array" ref="O718">index(fish_lab_data!Q:Q,match(A718,fish_lab_data!C:C,0))</f>
        <v>lab_motiles_etoh</v>
      </c>
      <c r="P718" s="24" t="str">
        <f t="array" ref="P718">if(and(iserror(index(sea_lice!G:G,match(A718,sea_lice!A:A,0))),M718=0),"NA",index(sea_lice!G:G,match(A718,sea_lice!A:A,0)))</f>
        <v>BSL8-64</v>
      </c>
      <c r="Q718" s="24">
        <f t="array" ref="Q718">if(isblank(A718),"",index(fish_lab_data!X:X,match(A718,fish_lab_data!C:C,0)))</f>
        <v>1442</v>
      </c>
    </row>
    <row r="719">
      <c r="A719" s="40" t="s">
        <v>1983</v>
      </c>
      <c r="B719" s="25">
        <v>0.0</v>
      </c>
      <c r="C719" s="25">
        <v>0.0</v>
      </c>
      <c r="D719" s="25">
        <v>0.0</v>
      </c>
      <c r="E719" s="25">
        <v>0.0</v>
      </c>
      <c r="F719" s="25">
        <v>0.0</v>
      </c>
      <c r="G719" s="25">
        <v>0.0</v>
      </c>
      <c r="H719" s="25">
        <v>0.0</v>
      </c>
      <c r="I719" s="25">
        <v>0.0</v>
      </c>
      <c r="J719" s="25">
        <v>0.0</v>
      </c>
      <c r="K719" s="25">
        <v>0.0</v>
      </c>
      <c r="L719" s="25">
        <v>0.0</v>
      </c>
      <c r="M719" s="17">
        <f t="shared" si="1"/>
        <v>0</v>
      </c>
      <c r="N719" s="24" t="str">
        <f t="array" ref="N719">if(isblank(A719),"",index(fish_lab_data!O:O,match(A719,fish_lab_data!C:C,0)))</f>
        <v>JG</v>
      </c>
      <c r="O719" s="24" t="str">
        <f t="array" ref="O719">index(fish_lab_data!Q:Q,match(A719,fish_lab_data!C:C,0))</f>
        <v>lab_motiles_cryo</v>
      </c>
      <c r="P719" s="24" t="str">
        <f t="array" ref="P719">if(and(iserror(index(sea_lice!G:G,match(A719,sea_lice!A:A,0))),M719=0),"NA",index(sea_lice!G:G,match(A719,sea_lice!A:A,0)))</f>
        <v>NA</v>
      </c>
      <c r="Q719" s="24">
        <f t="array" ref="Q719">if(isblank(A719),"",index(fish_lab_data!X:X,match(A719,fish_lab_data!C:C,0)))</f>
        <v>1443</v>
      </c>
    </row>
    <row r="720">
      <c r="A720" s="40" t="s">
        <v>1984</v>
      </c>
      <c r="B720" s="25">
        <v>0.0</v>
      </c>
      <c r="C720" s="25">
        <v>0.0</v>
      </c>
      <c r="D720" s="25">
        <v>0.0</v>
      </c>
      <c r="E720" s="25">
        <v>0.0</v>
      </c>
      <c r="F720" s="25">
        <v>0.0</v>
      </c>
      <c r="G720" s="25">
        <v>0.0</v>
      </c>
      <c r="H720" s="25">
        <v>0.0</v>
      </c>
      <c r="I720" s="25">
        <v>0.0</v>
      </c>
      <c r="J720" s="25">
        <v>0.0</v>
      </c>
      <c r="K720" s="25">
        <v>0.0</v>
      </c>
      <c r="L720" s="25">
        <v>0.0</v>
      </c>
      <c r="M720" s="17">
        <f t="shared" si="1"/>
        <v>0</v>
      </c>
      <c r="N720" s="24" t="str">
        <f t="array" ref="N720">if(isblank(A720),"",index(fish_lab_data!O:O,match(A720,fish_lab_data!C:C,0)))</f>
        <v>JG</v>
      </c>
      <c r="O720" s="24" t="str">
        <f t="array" ref="O720">index(fish_lab_data!Q:Q,match(A720,fish_lab_data!C:C,0))</f>
        <v>lab_motiles_cryo</v>
      </c>
      <c r="P720" s="24" t="str">
        <f t="array" ref="P720">if(and(iserror(index(sea_lice!G:G,match(A720,sea_lice!A:A,0))),M720=0),"NA",index(sea_lice!G:G,match(A720,sea_lice!A:A,0)))</f>
        <v>NA</v>
      </c>
      <c r="Q720" s="24">
        <f t="array" ref="Q720">if(isblank(A720),"",index(fish_lab_data!X:X,match(A720,fish_lab_data!C:C,0)))</f>
        <v>1444</v>
      </c>
    </row>
    <row r="721">
      <c r="A721" s="40" t="s">
        <v>1985</v>
      </c>
      <c r="B721" s="25">
        <v>0.0</v>
      </c>
      <c r="C721" s="25">
        <v>0.0</v>
      </c>
      <c r="D721" s="25">
        <v>0.0</v>
      </c>
      <c r="E721" s="25">
        <v>0.0</v>
      </c>
      <c r="F721" s="25">
        <v>0.0</v>
      </c>
      <c r="G721" s="25">
        <v>0.0</v>
      </c>
      <c r="H721" s="25">
        <v>0.0</v>
      </c>
      <c r="I721" s="25">
        <v>0.0</v>
      </c>
      <c r="J721" s="25">
        <v>0.0</v>
      </c>
      <c r="K721" s="25">
        <v>0.0</v>
      </c>
      <c r="L721" s="25">
        <v>0.0</v>
      </c>
      <c r="M721" s="17">
        <f t="shared" si="1"/>
        <v>0</v>
      </c>
      <c r="N721" s="24" t="str">
        <f t="array" ref="N721">if(isblank(A721),"",index(fish_lab_data!O:O,match(A721,fish_lab_data!C:C,0)))</f>
        <v>JG</v>
      </c>
      <c r="O721" s="24" t="str">
        <f t="array" ref="O721">index(fish_lab_data!Q:Q,match(A721,fish_lab_data!C:C,0))</f>
        <v>lab_motiles_cryo</v>
      </c>
      <c r="P721" s="24" t="str">
        <f t="array" ref="P721">if(and(iserror(index(sea_lice!G:G,match(A721,sea_lice!A:A,0))),M721=0),"NA",index(sea_lice!G:G,match(A721,sea_lice!A:A,0)))</f>
        <v>NA</v>
      </c>
      <c r="Q721" s="24">
        <f t="array" ref="Q721">if(isblank(A721),"",index(fish_lab_data!X:X,match(A721,fish_lab_data!C:C,0)))</f>
        <v>1445</v>
      </c>
    </row>
    <row r="722">
      <c r="A722" s="40" t="s">
        <v>1987</v>
      </c>
      <c r="B722" s="25">
        <v>0.0</v>
      </c>
      <c r="C722" s="25">
        <v>0.0</v>
      </c>
      <c r="D722" s="25">
        <v>0.0</v>
      </c>
      <c r="E722" s="25">
        <v>0.0</v>
      </c>
      <c r="F722" s="25">
        <v>0.0</v>
      </c>
      <c r="G722" s="25">
        <v>0.0</v>
      </c>
      <c r="H722" s="25">
        <v>0.0</v>
      </c>
      <c r="I722" s="25">
        <v>0.0</v>
      </c>
      <c r="J722" s="9">
        <v>1.0</v>
      </c>
      <c r="K722" s="25">
        <v>0.0</v>
      </c>
      <c r="L722" s="25">
        <v>0.0</v>
      </c>
      <c r="M722" s="17">
        <f t="shared" si="1"/>
        <v>1</v>
      </c>
      <c r="N722" s="24" t="str">
        <f t="array" ref="N722">if(isblank(A722),"",index(fish_lab_data!O:O,match(A722,fish_lab_data!C:C,0)))</f>
        <v>JG</v>
      </c>
      <c r="O722" s="24" t="str">
        <f t="array" ref="O722">index(fish_lab_data!Q:Q,match(A722,fish_lab_data!C:C,0))</f>
        <v>lab_motiles_cryo</v>
      </c>
      <c r="P722" s="24" t="str">
        <f t="array" ref="P722">if(and(iserror(index(sea_lice!G:G,match(A722,sea_lice!A:A,0))),M722=0),"NA",index(sea_lice!G:G,match(A722,sea_lice!A:A,0)))</f>
        <v>BSL2-98</v>
      </c>
      <c r="Q722" s="24">
        <f t="array" ref="Q722">if(isblank(A722),"",index(fish_lab_data!X:X,match(A722,fish_lab_data!C:C,0)))</f>
        <v>1446</v>
      </c>
    </row>
    <row r="723">
      <c r="A723" s="40" t="s">
        <v>1988</v>
      </c>
      <c r="B723" s="25">
        <v>0.0</v>
      </c>
      <c r="C723" s="25">
        <v>0.0</v>
      </c>
      <c r="D723" s="25">
        <v>0.0</v>
      </c>
      <c r="E723" s="25">
        <v>0.0</v>
      </c>
      <c r="F723" s="25">
        <v>0.0</v>
      </c>
      <c r="G723" s="25">
        <v>0.0</v>
      </c>
      <c r="H723" s="25">
        <v>0.0</v>
      </c>
      <c r="I723" s="25">
        <v>0.0</v>
      </c>
      <c r="J723" s="25">
        <v>0.0</v>
      </c>
      <c r="K723" s="25">
        <v>0.0</v>
      </c>
      <c r="L723" s="25">
        <v>0.0</v>
      </c>
      <c r="M723" s="17">
        <f t="shared" si="1"/>
        <v>0</v>
      </c>
      <c r="N723" s="24" t="str">
        <f t="array" ref="N723">if(isblank(A723),"",index(fish_lab_data!O:O,match(A723,fish_lab_data!C:C,0)))</f>
        <v>JG</v>
      </c>
      <c r="O723" s="24" t="str">
        <f t="array" ref="O723">index(fish_lab_data!Q:Q,match(A723,fish_lab_data!C:C,0))</f>
        <v>lab_motiles_cryo</v>
      </c>
      <c r="P723" s="24" t="str">
        <f t="array" ref="P723">if(and(iserror(index(sea_lice!G:G,match(A723,sea_lice!A:A,0))),M723=0),"NA",index(sea_lice!G:G,match(A723,sea_lice!A:A,0)))</f>
        <v>NA</v>
      </c>
      <c r="Q723" s="24">
        <f t="array" ref="Q723">if(isblank(A723),"",index(fish_lab_data!X:X,match(A723,fish_lab_data!C:C,0)))</f>
        <v>1447</v>
      </c>
    </row>
    <row r="724">
      <c r="A724" s="40" t="s">
        <v>1989</v>
      </c>
      <c r="B724" s="25">
        <v>0.0</v>
      </c>
      <c r="C724" s="25">
        <v>0.0</v>
      </c>
      <c r="D724" s="25">
        <v>0.0</v>
      </c>
      <c r="E724" s="25">
        <v>0.0</v>
      </c>
      <c r="F724" s="25">
        <v>0.0</v>
      </c>
      <c r="G724" s="25">
        <v>0.0</v>
      </c>
      <c r="H724" s="25">
        <v>0.0</v>
      </c>
      <c r="I724" s="25">
        <v>0.0</v>
      </c>
      <c r="J724" s="25">
        <v>0.0</v>
      </c>
      <c r="K724" s="25">
        <v>0.0</v>
      </c>
      <c r="L724" s="25">
        <v>0.0</v>
      </c>
      <c r="M724" s="17">
        <f t="shared" si="1"/>
        <v>0</v>
      </c>
      <c r="N724" s="24" t="str">
        <f t="array" ref="N724">if(isblank(A724),"",index(fish_lab_data!O:O,match(A724,fish_lab_data!C:C,0)))</f>
        <v>JG</v>
      </c>
      <c r="O724" s="24" t="str">
        <f t="array" ref="O724">index(fish_lab_data!Q:Q,match(A724,fish_lab_data!C:C,0))</f>
        <v>lab_motiles_cryo</v>
      </c>
      <c r="P724" s="24" t="str">
        <f t="array" ref="P724">if(and(iserror(index(sea_lice!G:G,match(A724,sea_lice!A:A,0))),M724=0),"NA",index(sea_lice!G:G,match(A724,sea_lice!A:A,0)))</f>
        <v>NA</v>
      </c>
      <c r="Q724" s="24">
        <f t="array" ref="Q724">if(isblank(A724),"",index(fish_lab_data!X:X,match(A724,fish_lab_data!C:C,0)))</f>
        <v>1448</v>
      </c>
    </row>
    <row r="725">
      <c r="A725" s="40" t="s">
        <v>1990</v>
      </c>
      <c r="B725" s="25">
        <v>0.0</v>
      </c>
      <c r="C725" s="25">
        <v>0.0</v>
      </c>
      <c r="D725" s="25">
        <v>0.0</v>
      </c>
      <c r="E725" s="25">
        <v>0.0</v>
      </c>
      <c r="F725" s="25">
        <v>0.0</v>
      </c>
      <c r="G725" s="25">
        <v>0.0</v>
      </c>
      <c r="H725" s="25">
        <v>0.0</v>
      </c>
      <c r="I725" s="25">
        <v>0.0</v>
      </c>
      <c r="J725" s="25">
        <v>0.0</v>
      </c>
      <c r="K725" s="25">
        <v>0.0</v>
      </c>
      <c r="L725" s="25">
        <v>0.0</v>
      </c>
      <c r="M725" s="17">
        <f t="shared" si="1"/>
        <v>0</v>
      </c>
      <c r="N725" s="24" t="str">
        <f t="array" ref="N725">if(isblank(A725),"",index(fish_lab_data!O:O,match(A725,fish_lab_data!C:C,0)))</f>
        <v>JG</v>
      </c>
      <c r="O725" s="24" t="str">
        <f t="array" ref="O725">index(fish_lab_data!Q:Q,match(A725,fish_lab_data!C:C,0))</f>
        <v>lab_motiles_etoh</v>
      </c>
      <c r="P725" s="24" t="str">
        <f t="array" ref="P725">if(and(iserror(index(sea_lice!G:G,match(A725,sea_lice!A:A,0))),M725=0),"NA",index(sea_lice!G:G,match(A725,sea_lice!A:A,0)))</f>
        <v>NA</v>
      </c>
      <c r="Q725" s="24">
        <f t="array" ref="Q725">if(isblank(A725),"",index(fish_lab_data!X:X,match(A725,fish_lab_data!C:C,0)))</f>
        <v>1449</v>
      </c>
    </row>
    <row r="726">
      <c r="A726" s="40" t="s">
        <v>1991</v>
      </c>
      <c r="B726" s="25">
        <v>0.0</v>
      </c>
      <c r="C726" s="25">
        <v>0.0</v>
      </c>
      <c r="D726" s="25">
        <v>0.0</v>
      </c>
      <c r="E726" s="25">
        <v>0.0</v>
      </c>
      <c r="F726" s="25">
        <v>0.0</v>
      </c>
      <c r="G726" s="25">
        <v>0.0</v>
      </c>
      <c r="H726" s="25">
        <v>0.0</v>
      </c>
      <c r="I726" s="25">
        <v>0.0</v>
      </c>
      <c r="J726" s="25">
        <v>0.0</v>
      </c>
      <c r="K726" s="25">
        <v>0.0</v>
      </c>
      <c r="L726" s="25">
        <v>0.0</v>
      </c>
      <c r="M726" s="17">
        <f t="shared" si="1"/>
        <v>0</v>
      </c>
      <c r="N726" s="24" t="str">
        <f t="array" ref="N726">if(isblank(A726),"",index(fish_lab_data!O:O,match(A726,fish_lab_data!C:C,0)))</f>
        <v>JG</v>
      </c>
      <c r="O726" s="24" t="str">
        <f t="array" ref="O726">index(fish_lab_data!Q:Q,match(A726,fish_lab_data!C:C,0))</f>
        <v>lab_motiles_etoh</v>
      </c>
      <c r="P726" s="24" t="str">
        <f t="array" ref="P726">if(and(iserror(index(sea_lice!G:G,match(A726,sea_lice!A:A,0))),M726=0),"NA",index(sea_lice!G:G,match(A726,sea_lice!A:A,0)))</f>
        <v>NA</v>
      </c>
      <c r="Q726" s="24">
        <f t="array" ref="Q726">if(isblank(A726),"",index(fish_lab_data!X:X,match(A726,fish_lab_data!C:C,0)))</f>
        <v>1450</v>
      </c>
    </row>
    <row r="727">
      <c r="A727" s="40" t="s">
        <v>1992</v>
      </c>
      <c r="B727" s="25">
        <v>0.0</v>
      </c>
      <c r="C727" s="25">
        <v>0.0</v>
      </c>
      <c r="D727" s="25">
        <v>0.0</v>
      </c>
      <c r="E727" s="25">
        <v>0.0</v>
      </c>
      <c r="F727" s="25">
        <v>0.0</v>
      </c>
      <c r="G727" s="25">
        <v>0.0</v>
      </c>
      <c r="H727" s="25">
        <v>0.0</v>
      </c>
      <c r="I727" s="25">
        <v>0.0</v>
      </c>
      <c r="J727" s="25">
        <v>0.0</v>
      </c>
      <c r="K727" s="25">
        <v>0.0</v>
      </c>
      <c r="L727" s="25">
        <v>0.0</v>
      </c>
      <c r="M727" s="17">
        <f t="shared" si="1"/>
        <v>0</v>
      </c>
      <c r="N727" s="24" t="str">
        <f t="array" ref="N727">if(isblank(A727),"",index(fish_lab_data!O:O,match(A727,fish_lab_data!C:C,0)))</f>
        <v>JG</v>
      </c>
      <c r="O727" s="24" t="str">
        <f t="array" ref="O727">index(fish_lab_data!Q:Q,match(A727,fish_lab_data!C:C,0))</f>
        <v>lab_motiles_etoh</v>
      </c>
      <c r="P727" s="24" t="str">
        <f t="array" ref="P727">if(and(iserror(index(sea_lice!G:G,match(A727,sea_lice!A:A,0))),M727=0),"NA",index(sea_lice!G:G,match(A727,sea_lice!A:A,0)))</f>
        <v>NA</v>
      </c>
      <c r="Q727" s="24">
        <f t="array" ref="Q727">if(isblank(A727),"",index(fish_lab_data!X:X,match(A727,fish_lab_data!C:C,0)))</f>
        <v>1451</v>
      </c>
    </row>
    <row r="728">
      <c r="A728" s="40" t="s">
        <v>1993</v>
      </c>
      <c r="B728" s="25">
        <v>0.0</v>
      </c>
      <c r="C728" s="25">
        <v>0.0</v>
      </c>
      <c r="D728" s="25">
        <v>0.0</v>
      </c>
      <c r="E728" s="25">
        <v>0.0</v>
      </c>
      <c r="F728" s="25">
        <v>0.0</v>
      </c>
      <c r="G728" s="25">
        <v>0.0</v>
      </c>
      <c r="H728" s="25">
        <v>0.0</v>
      </c>
      <c r="I728" s="25">
        <v>0.0</v>
      </c>
      <c r="J728" s="25">
        <v>0.0</v>
      </c>
      <c r="K728" s="25">
        <v>0.0</v>
      </c>
      <c r="L728" s="25">
        <v>0.0</v>
      </c>
      <c r="M728" s="17">
        <f t="shared" si="1"/>
        <v>0</v>
      </c>
      <c r="N728" s="24" t="str">
        <f t="array" ref="N728">if(isblank(A728),"",index(fish_lab_data!O:O,match(A728,fish_lab_data!C:C,0)))</f>
        <v>JG</v>
      </c>
      <c r="O728" s="24" t="str">
        <f t="array" ref="O728">index(fish_lab_data!Q:Q,match(A728,fish_lab_data!C:C,0))</f>
        <v>lab_motiles_etoh</v>
      </c>
      <c r="P728" s="24" t="str">
        <f t="array" ref="P728">if(and(iserror(index(sea_lice!G:G,match(A728,sea_lice!A:A,0))),M728=0),"NA",index(sea_lice!G:G,match(A728,sea_lice!A:A,0)))</f>
        <v>NA</v>
      </c>
      <c r="Q728" s="24">
        <f t="array" ref="Q728">if(isblank(A728),"",index(fish_lab_data!X:X,match(A728,fish_lab_data!C:C,0)))</f>
        <v>1452</v>
      </c>
    </row>
    <row r="729">
      <c r="A729" s="40" t="s">
        <v>1994</v>
      </c>
      <c r="B729" s="25">
        <v>0.0</v>
      </c>
      <c r="C729" s="25">
        <v>0.0</v>
      </c>
      <c r="D729" s="25">
        <v>0.0</v>
      </c>
      <c r="E729" s="25">
        <v>0.0</v>
      </c>
      <c r="F729" s="25">
        <v>0.0</v>
      </c>
      <c r="G729" s="25">
        <v>0.0</v>
      </c>
      <c r="H729" s="25">
        <v>0.0</v>
      </c>
      <c r="I729" s="25">
        <v>0.0</v>
      </c>
      <c r="J729" s="25">
        <v>0.0</v>
      </c>
      <c r="K729" s="25">
        <v>0.0</v>
      </c>
      <c r="L729" s="25">
        <v>0.0</v>
      </c>
      <c r="M729" s="17">
        <f t="shared" si="1"/>
        <v>0</v>
      </c>
      <c r="N729" s="24" t="str">
        <f t="array" ref="N729">if(isblank(A729),"",index(fish_lab_data!O:O,match(A729,fish_lab_data!C:C,0)))</f>
        <v>JG</v>
      </c>
      <c r="O729" s="24" t="str">
        <f t="array" ref="O729">index(fish_lab_data!Q:Q,match(A729,fish_lab_data!C:C,0))</f>
        <v>lab_motiles_etoh</v>
      </c>
      <c r="P729" s="24" t="str">
        <f t="array" ref="P729">if(and(iserror(index(sea_lice!G:G,match(A729,sea_lice!A:A,0))),M729=0),"NA",index(sea_lice!G:G,match(A729,sea_lice!A:A,0)))</f>
        <v>NA</v>
      </c>
      <c r="Q729" s="24">
        <f t="array" ref="Q729">if(isblank(A729),"",index(fish_lab_data!X:X,match(A729,fish_lab_data!C:C,0)))</f>
        <v>1453</v>
      </c>
    </row>
  </sheetData>
  <dataValidations>
    <dataValidation type="custom" allowBlank="1" showDropDown="1" sqref="A1:A729">
      <formula1>countif(A:A,A1)=1</formula1>
    </dataValidation>
  </dataValidation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93C47D"/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0" max="10" width="46.71"/>
  </cols>
  <sheetData>
    <row r="1">
      <c r="A1" s="1" t="s">
        <v>0</v>
      </c>
      <c r="B1" s="4" t="s">
        <v>1</v>
      </c>
      <c r="C1" s="4" t="s">
        <v>16</v>
      </c>
      <c r="D1" s="1" t="s">
        <v>17</v>
      </c>
      <c r="E1" s="4" t="s">
        <v>18</v>
      </c>
      <c r="F1" s="1" t="s">
        <v>19</v>
      </c>
      <c r="G1" s="1" t="s">
        <v>20</v>
      </c>
      <c r="H1" s="4" t="s">
        <v>21</v>
      </c>
      <c r="I1" s="4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</row>
    <row r="2">
      <c r="A2" s="6" t="s">
        <v>28</v>
      </c>
      <c r="B2" s="10" t="str">
        <f t="shared" ref="B2:B1558" si="1">if(isblank(A2),"","RNA-muscle")</f>
        <v>RNA-muscle</v>
      </c>
      <c r="C2" s="10" t="str">
        <f t="shared" ref="C2:C1558" si="2">I2</f>
        <v>BRN63M-H1</v>
      </c>
      <c r="D2" s="6">
        <v>63.0</v>
      </c>
      <c r="E2" s="10" t="str">
        <f t="shared" ref="E2:E1558" si="3">if(isblank(D2),"",concatenate("BRN",D2,"M"))</f>
        <v>BRN63M</v>
      </c>
      <c r="F2" s="6" t="s">
        <v>51</v>
      </c>
      <c r="G2" s="6">
        <v>1.0</v>
      </c>
      <c r="H2" s="11" t="str">
        <f t="shared" ref="H2:H1558" si="4">concatenate(F2,G2)</f>
        <v>H1</v>
      </c>
      <c r="I2" s="10" t="str">
        <f t="shared" ref="I2:I1558" si="5">if(H2="","",concatenate(E2,"-",H2))</f>
        <v>BRN63M-H1</v>
      </c>
      <c r="J2" s="15"/>
      <c r="K2" s="16" t="str">
        <f t="shared" ref="K2:K1558" si="6">if(I2="","","collected")</f>
        <v>collected</v>
      </c>
      <c r="L2" s="16" t="str">
        <f t="shared" ref="L2:L1558" si="7">if(I2="","",if(or(countif(A:A,A2)&gt;1,countif(I:I,I2)&gt;1),"Y","N"))</f>
        <v>N</v>
      </c>
      <c r="M2" s="16"/>
      <c r="N2" s="16"/>
    </row>
    <row r="3">
      <c r="A3" s="6" t="s">
        <v>55</v>
      </c>
      <c r="B3" s="10" t="str">
        <f t="shared" si="1"/>
        <v>RNA-muscle</v>
      </c>
      <c r="C3" s="10" t="str">
        <f t="shared" si="2"/>
        <v>BRN63M-G1</v>
      </c>
      <c r="D3" s="6">
        <v>63.0</v>
      </c>
      <c r="E3" s="10" t="str">
        <f t="shared" si="3"/>
        <v>BRN63M</v>
      </c>
      <c r="F3" s="6" t="s">
        <v>56</v>
      </c>
      <c r="G3" s="6">
        <v>1.0</v>
      </c>
      <c r="H3" s="11" t="str">
        <f t="shared" si="4"/>
        <v>G1</v>
      </c>
      <c r="I3" s="10" t="str">
        <f t="shared" si="5"/>
        <v>BRN63M-G1</v>
      </c>
      <c r="J3" s="15"/>
      <c r="K3" s="16" t="str">
        <f t="shared" si="6"/>
        <v>collected</v>
      </c>
      <c r="L3" s="16" t="str">
        <f t="shared" si="7"/>
        <v>N</v>
      </c>
      <c r="M3" s="16"/>
      <c r="N3" s="16"/>
    </row>
    <row r="4">
      <c r="A4" s="6" t="s">
        <v>59</v>
      </c>
      <c r="B4" s="10" t="str">
        <f t="shared" si="1"/>
        <v>RNA-muscle</v>
      </c>
      <c r="C4" s="10" t="str">
        <f t="shared" si="2"/>
        <v>BRN63M-F1</v>
      </c>
      <c r="D4" s="6">
        <v>63.0</v>
      </c>
      <c r="E4" s="10" t="str">
        <f t="shared" si="3"/>
        <v>BRN63M</v>
      </c>
      <c r="F4" s="6" t="s">
        <v>61</v>
      </c>
      <c r="G4" s="6">
        <v>1.0</v>
      </c>
      <c r="H4" s="11" t="str">
        <f t="shared" si="4"/>
        <v>F1</v>
      </c>
      <c r="I4" s="10" t="str">
        <f t="shared" si="5"/>
        <v>BRN63M-F1</v>
      </c>
      <c r="K4" s="16" t="str">
        <f t="shared" si="6"/>
        <v>collected</v>
      </c>
      <c r="L4" s="16" t="str">
        <f t="shared" si="7"/>
        <v>N</v>
      </c>
      <c r="M4" s="16"/>
      <c r="N4" s="16"/>
    </row>
    <row r="5">
      <c r="A5" s="6" t="s">
        <v>65</v>
      </c>
      <c r="B5" s="10" t="str">
        <f t="shared" si="1"/>
        <v>RNA-muscle</v>
      </c>
      <c r="C5" s="10" t="str">
        <f t="shared" si="2"/>
        <v>BRN63M-E1</v>
      </c>
      <c r="D5" s="6">
        <v>63.0</v>
      </c>
      <c r="E5" s="10" t="str">
        <f t="shared" si="3"/>
        <v>BRN63M</v>
      </c>
      <c r="F5" s="6" t="s">
        <v>66</v>
      </c>
      <c r="G5" s="6">
        <v>1.0</v>
      </c>
      <c r="H5" s="11" t="str">
        <f t="shared" si="4"/>
        <v>E1</v>
      </c>
      <c r="I5" s="10" t="str">
        <f t="shared" si="5"/>
        <v>BRN63M-E1</v>
      </c>
      <c r="J5" s="18"/>
      <c r="K5" s="16" t="str">
        <f t="shared" si="6"/>
        <v>collected</v>
      </c>
      <c r="L5" s="16" t="str">
        <f t="shared" si="7"/>
        <v>N</v>
      </c>
      <c r="M5" s="16"/>
      <c r="N5" s="16"/>
    </row>
    <row r="6">
      <c r="A6" s="6" t="s">
        <v>67</v>
      </c>
      <c r="B6" s="10" t="str">
        <f t="shared" si="1"/>
        <v>RNA-muscle</v>
      </c>
      <c r="C6" s="10" t="str">
        <f t="shared" si="2"/>
        <v>BRN63M-D1</v>
      </c>
      <c r="D6" s="6">
        <v>63.0</v>
      </c>
      <c r="E6" s="10" t="str">
        <f t="shared" si="3"/>
        <v>BRN63M</v>
      </c>
      <c r="F6" s="6" t="s">
        <v>68</v>
      </c>
      <c r="G6" s="6">
        <v>1.0</v>
      </c>
      <c r="H6" s="11" t="str">
        <f t="shared" si="4"/>
        <v>D1</v>
      </c>
      <c r="I6" s="10" t="str">
        <f t="shared" si="5"/>
        <v>BRN63M-D1</v>
      </c>
      <c r="K6" s="16" t="str">
        <f t="shared" si="6"/>
        <v>collected</v>
      </c>
      <c r="L6" s="16" t="str">
        <f t="shared" si="7"/>
        <v>N</v>
      </c>
      <c r="M6" s="16"/>
      <c r="N6" s="16"/>
    </row>
    <row r="7">
      <c r="A7" s="6" t="s">
        <v>71</v>
      </c>
      <c r="B7" s="10" t="str">
        <f t="shared" si="1"/>
        <v>RNA-muscle</v>
      </c>
      <c r="C7" s="10" t="str">
        <f t="shared" si="2"/>
        <v>BRN63M-C1</v>
      </c>
      <c r="D7" s="6">
        <v>63.0</v>
      </c>
      <c r="E7" s="10" t="str">
        <f t="shared" si="3"/>
        <v>BRN63M</v>
      </c>
      <c r="F7" s="6" t="s">
        <v>72</v>
      </c>
      <c r="G7" s="6">
        <v>1.0</v>
      </c>
      <c r="H7" s="11" t="str">
        <f t="shared" si="4"/>
        <v>C1</v>
      </c>
      <c r="I7" s="10" t="str">
        <f t="shared" si="5"/>
        <v>BRN63M-C1</v>
      </c>
      <c r="J7" s="15"/>
      <c r="K7" s="16" t="str">
        <f t="shared" si="6"/>
        <v>collected</v>
      </c>
      <c r="L7" s="16" t="str">
        <f t="shared" si="7"/>
        <v>N</v>
      </c>
      <c r="M7" s="16"/>
      <c r="N7" s="16"/>
    </row>
    <row r="8">
      <c r="A8" s="6" t="s">
        <v>73</v>
      </c>
      <c r="B8" s="10" t="str">
        <f t="shared" si="1"/>
        <v>RNA-muscle</v>
      </c>
      <c r="C8" s="10" t="str">
        <f t="shared" si="2"/>
        <v>BRN63M-B1</v>
      </c>
      <c r="D8" s="6">
        <v>63.0</v>
      </c>
      <c r="E8" s="10" t="str">
        <f t="shared" si="3"/>
        <v>BRN63M</v>
      </c>
      <c r="F8" s="6" t="s">
        <v>74</v>
      </c>
      <c r="G8" s="6">
        <v>1.0</v>
      </c>
      <c r="H8" s="11" t="str">
        <f t="shared" si="4"/>
        <v>B1</v>
      </c>
      <c r="I8" s="10" t="str">
        <f t="shared" si="5"/>
        <v>BRN63M-B1</v>
      </c>
      <c r="J8" s="15"/>
      <c r="K8" s="16" t="str">
        <f t="shared" si="6"/>
        <v>collected</v>
      </c>
      <c r="L8" s="16" t="str">
        <f t="shared" si="7"/>
        <v>N</v>
      </c>
      <c r="M8" s="16"/>
      <c r="N8" s="16"/>
    </row>
    <row r="9">
      <c r="A9" s="6" t="s">
        <v>75</v>
      </c>
      <c r="B9" s="10" t="str">
        <f t="shared" si="1"/>
        <v>RNA-muscle</v>
      </c>
      <c r="C9" s="10" t="str">
        <f t="shared" si="2"/>
        <v>BRN63M-A1</v>
      </c>
      <c r="D9" s="6">
        <v>63.0</v>
      </c>
      <c r="E9" s="10" t="str">
        <f t="shared" si="3"/>
        <v>BRN63M</v>
      </c>
      <c r="F9" s="6" t="s">
        <v>76</v>
      </c>
      <c r="G9" s="6">
        <v>1.0</v>
      </c>
      <c r="H9" s="11" t="str">
        <f t="shared" si="4"/>
        <v>A1</v>
      </c>
      <c r="I9" s="10" t="str">
        <f t="shared" si="5"/>
        <v>BRN63M-A1</v>
      </c>
      <c r="J9" s="15"/>
      <c r="K9" s="16" t="str">
        <f t="shared" si="6"/>
        <v>collected</v>
      </c>
      <c r="L9" s="16" t="str">
        <f t="shared" si="7"/>
        <v>N</v>
      </c>
      <c r="M9" s="16"/>
      <c r="N9" s="16"/>
    </row>
    <row r="10">
      <c r="A10" s="6" t="s">
        <v>77</v>
      </c>
      <c r="B10" s="10" t="str">
        <f t="shared" si="1"/>
        <v>RNA-muscle</v>
      </c>
      <c r="C10" s="10" t="str">
        <f t="shared" si="2"/>
        <v>BRN63M-H2</v>
      </c>
      <c r="D10" s="6">
        <v>63.0</v>
      </c>
      <c r="E10" s="10" t="str">
        <f t="shared" si="3"/>
        <v>BRN63M</v>
      </c>
      <c r="F10" s="6" t="s">
        <v>51</v>
      </c>
      <c r="G10" s="6">
        <v>2.0</v>
      </c>
      <c r="H10" s="11" t="str">
        <f t="shared" si="4"/>
        <v>H2</v>
      </c>
      <c r="I10" s="10" t="str">
        <f t="shared" si="5"/>
        <v>BRN63M-H2</v>
      </c>
      <c r="J10" s="15"/>
      <c r="K10" s="16" t="str">
        <f t="shared" si="6"/>
        <v>collected</v>
      </c>
      <c r="L10" s="16" t="str">
        <f t="shared" si="7"/>
        <v>N</v>
      </c>
      <c r="M10" s="16"/>
      <c r="N10" s="16"/>
    </row>
    <row r="11">
      <c r="A11" s="6" t="s">
        <v>79</v>
      </c>
      <c r="B11" s="10" t="str">
        <f t="shared" si="1"/>
        <v>RNA-muscle</v>
      </c>
      <c r="C11" s="10" t="str">
        <f t="shared" si="2"/>
        <v>BRN63M-G2</v>
      </c>
      <c r="D11" s="6">
        <v>63.0</v>
      </c>
      <c r="E11" s="10" t="str">
        <f t="shared" si="3"/>
        <v>BRN63M</v>
      </c>
      <c r="F11" s="6" t="s">
        <v>56</v>
      </c>
      <c r="G11" s="6">
        <v>2.0</v>
      </c>
      <c r="H11" s="11" t="str">
        <f t="shared" si="4"/>
        <v>G2</v>
      </c>
      <c r="I11" s="10" t="str">
        <f t="shared" si="5"/>
        <v>BRN63M-G2</v>
      </c>
      <c r="J11" s="15"/>
      <c r="K11" s="16" t="str">
        <f t="shared" si="6"/>
        <v>collected</v>
      </c>
      <c r="L11" s="16" t="str">
        <f t="shared" si="7"/>
        <v>N</v>
      </c>
      <c r="M11" s="16"/>
      <c r="N11" s="16"/>
    </row>
    <row r="12">
      <c r="A12" s="6" t="s">
        <v>82</v>
      </c>
      <c r="B12" s="10" t="str">
        <f t="shared" si="1"/>
        <v>RNA-muscle</v>
      </c>
      <c r="C12" s="10" t="str">
        <f t="shared" si="2"/>
        <v>BRN60M-H10</v>
      </c>
      <c r="D12" s="6">
        <v>60.0</v>
      </c>
      <c r="E12" s="10" t="str">
        <f t="shared" si="3"/>
        <v>BRN60M</v>
      </c>
      <c r="F12" s="6" t="s">
        <v>51</v>
      </c>
      <c r="G12" s="6">
        <v>10.0</v>
      </c>
      <c r="H12" s="11" t="str">
        <f t="shared" si="4"/>
        <v>H10</v>
      </c>
      <c r="I12" s="10" t="str">
        <f t="shared" si="5"/>
        <v>BRN60M-H10</v>
      </c>
      <c r="J12" s="15"/>
      <c r="K12" s="16" t="str">
        <f t="shared" si="6"/>
        <v>collected</v>
      </c>
      <c r="L12" s="16" t="str">
        <f t="shared" si="7"/>
        <v>N</v>
      </c>
      <c r="M12" s="16"/>
      <c r="N12" s="16"/>
    </row>
    <row r="13">
      <c r="A13" s="6" t="s">
        <v>85</v>
      </c>
      <c r="B13" s="10" t="str">
        <f t="shared" si="1"/>
        <v>RNA-muscle</v>
      </c>
      <c r="C13" s="10" t="str">
        <f t="shared" si="2"/>
        <v>BRN60M-G10</v>
      </c>
      <c r="D13" s="6">
        <v>60.0</v>
      </c>
      <c r="E13" s="10" t="str">
        <f t="shared" si="3"/>
        <v>BRN60M</v>
      </c>
      <c r="F13" s="6" t="s">
        <v>56</v>
      </c>
      <c r="G13" s="6">
        <v>10.0</v>
      </c>
      <c r="H13" s="11" t="str">
        <f t="shared" si="4"/>
        <v>G10</v>
      </c>
      <c r="I13" s="10" t="str">
        <f t="shared" si="5"/>
        <v>BRN60M-G10</v>
      </c>
      <c r="J13" s="15"/>
      <c r="K13" s="16" t="str">
        <f t="shared" si="6"/>
        <v>collected</v>
      </c>
      <c r="L13" s="16" t="str">
        <f t="shared" si="7"/>
        <v>N</v>
      </c>
      <c r="M13" s="16"/>
      <c r="N13" s="16"/>
    </row>
    <row r="14">
      <c r="A14" s="6" t="s">
        <v>86</v>
      </c>
      <c r="B14" s="10" t="str">
        <f t="shared" si="1"/>
        <v>RNA-muscle</v>
      </c>
      <c r="C14" s="10" t="str">
        <f t="shared" si="2"/>
        <v>BRN60M-F10</v>
      </c>
      <c r="D14" s="6">
        <v>60.0</v>
      </c>
      <c r="E14" s="10" t="str">
        <f t="shared" si="3"/>
        <v>BRN60M</v>
      </c>
      <c r="F14" s="6" t="s">
        <v>61</v>
      </c>
      <c r="G14" s="6">
        <v>10.0</v>
      </c>
      <c r="H14" s="11" t="str">
        <f t="shared" si="4"/>
        <v>F10</v>
      </c>
      <c r="I14" s="10" t="str">
        <f t="shared" si="5"/>
        <v>BRN60M-F10</v>
      </c>
      <c r="J14" s="15"/>
      <c r="K14" s="16" t="str">
        <f t="shared" si="6"/>
        <v>collected</v>
      </c>
      <c r="L14" s="16" t="str">
        <f t="shared" si="7"/>
        <v>N</v>
      </c>
      <c r="M14" s="16"/>
      <c r="N14" s="16"/>
    </row>
    <row r="15">
      <c r="A15" s="6" t="s">
        <v>87</v>
      </c>
      <c r="B15" s="10" t="str">
        <f t="shared" si="1"/>
        <v>RNA-muscle</v>
      </c>
      <c r="C15" s="10" t="str">
        <f t="shared" si="2"/>
        <v>BRN60M-E10</v>
      </c>
      <c r="D15" s="6">
        <v>60.0</v>
      </c>
      <c r="E15" s="10" t="str">
        <f t="shared" si="3"/>
        <v>BRN60M</v>
      </c>
      <c r="F15" s="6" t="s">
        <v>66</v>
      </c>
      <c r="G15" s="6">
        <v>10.0</v>
      </c>
      <c r="H15" s="11" t="str">
        <f t="shared" si="4"/>
        <v>E10</v>
      </c>
      <c r="I15" s="10" t="str">
        <f t="shared" si="5"/>
        <v>BRN60M-E10</v>
      </c>
      <c r="J15" s="15"/>
      <c r="K15" s="16" t="str">
        <f t="shared" si="6"/>
        <v>collected</v>
      </c>
      <c r="L15" s="16" t="str">
        <f t="shared" si="7"/>
        <v>N</v>
      </c>
      <c r="M15" s="16"/>
      <c r="N15" s="16"/>
    </row>
    <row r="16">
      <c r="A16" s="6" t="s">
        <v>89</v>
      </c>
      <c r="B16" s="10" t="str">
        <f t="shared" si="1"/>
        <v>RNA-muscle</v>
      </c>
      <c r="C16" s="10" t="str">
        <f t="shared" si="2"/>
        <v>BRN60M-D10</v>
      </c>
      <c r="D16" s="6">
        <v>60.0</v>
      </c>
      <c r="E16" s="10" t="str">
        <f t="shared" si="3"/>
        <v>BRN60M</v>
      </c>
      <c r="F16" s="6" t="s">
        <v>68</v>
      </c>
      <c r="G16" s="6">
        <v>10.0</v>
      </c>
      <c r="H16" s="11" t="str">
        <f t="shared" si="4"/>
        <v>D10</v>
      </c>
      <c r="I16" s="10" t="str">
        <f t="shared" si="5"/>
        <v>BRN60M-D10</v>
      </c>
      <c r="J16" s="15"/>
      <c r="K16" s="16" t="str">
        <f t="shared" si="6"/>
        <v>collected</v>
      </c>
      <c r="L16" s="16" t="str">
        <f t="shared" si="7"/>
        <v>N</v>
      </c>
      <c r="M16" s="16"/>
      <c r="N16" s="16"/>
    </row>
    <row r="17">
      <c r="A17" s="6" t="s">
        <v>90</v>
      </c>
      <c r="B17" s="10" t="str">
        <f t="shared" si="1"/>
        <v>RNA-muscle</v>
      </c>
      <c r="C17" s="10" t="str">
        <f t="shared" si="2"/>
        <v>BRN60M-C10</v>
      </c>
      <c r="D17" s="6">
        <v>60.0</v>
      </c>
      <c r="E17" s="10" t="str">
        <f t="shared" si="3"/>
        <v>BRN60M</v>
      </c>
      <c r="F17" s="6" t="s">
        <v>72</v>
      </c>
      <c r="G17" s="6">
        <v>10.0</v>
      </c>
      <c r="H17" s="11" t="str">
        <f t="shared" si="4"/>
        <v>C10</v>
      </c>
      <c r="I17" s="10" t="str">
        <f t="shared" si="5"/>
        <v>BRN60M-C10</v>
      </c>
      <c r="J17" s="15"/>
      <c r="K17" s="16" t="str">
        <f t="shared" si="6"/>
        <v>collected</v>
      </c>
      <c r="L17" s="16" t="str">
        <f t="shared" si="7"/>
        <v>N</v>
      </c>
      <c r="M17" s="16"/>
      <c r="N17" s="16"/>
    </row>
    <row r="18">
      <c r="A18" s="6" t="s">
        <v>92</v>
      </c>
      <c r="B18" s="10" t="str">
        <f t="shared" si="1"/>
        <v>RNA-muscle</v>
      </c>
      <c r="C18" s="10" t="str">
        <f t="shared" si="2"/>
        <v>BRN60M-B10</v>
      </c>
      <c r="D18" s="6">
        <v>60.0</v>
      </c>
      <c r="E18" s="10" t="str">
        <f t="shared" si="3"/>
        <v>BRN60M</v>
      </c>
      <c r="F18" s="6" t="s">
        <v>74</v>
      </c>
      <c r="G18" s="6">
        <v>10.0</v>
      </c>
      <c r="H18" s="11" t="str">
        <f t="shared" si="4"/>
        <v>B10</v>
      </c>
      <c r="I18" s="10" t="str">
        <f t="shared" si="5"/>
        <v>BRN60M-B10</v>
      </c>
      <c r="J18" s="15"/>
      <c r="K18" s="16" t="str">
        <f t="shared" si="6"/>
        <v>collected</v>
      </c>
      <c r="L18" s="16" t="str">
        <f t="shared" si="7"/>
        <v>N</v>
      </c>
      <c r="M18" s="16"/>
      <c r="N18" s="16"/>
    </row>
    <row r="19">
      <c r="A19" s="6" t="s">
        <v>93</v>
      </c>
      <c r="B19" s="10" t="str">
        <f t="shared" si="1"/>
        <v>RNA-muscle</v>
      </c>
      <c r="C19" s="10" t="str">
        <f t="shared" si="2"/>
        <v>BRN60M-A10</v>
      </c>
      <c r="D19" s="6">
        <v>60.0</v>
      </c>
      <c r="E19" s="10" t="str">
        <f t="shared" si="3"/>
        <v>BRN60M</v>
      </c>
      <c r="F19" s="6" t="s">
        <v>76</v>
      </c>
      <c r="G19" s="6">
        <v>10.0</v>
      </c>
      <c r="H19" s="11" t="str">
        <f t="shared" si="4"/>
        <v>A10</v>
      </c>
      <c r="I19" s="10" t="str">
        <f t="shared" si="5"/>
        <v>BRN60M-A10</v>
      </c>
      <c r="J19" s="15"/>
      <c r="K19" s="16" t="str">
        <f t="shared" si="6"/>
        <v>collected</v>
      </c>
      <c r="L19" s="16" t="str">
        <f t="shared" si="7"/>
        <v>N</v>
      </c>
      <c r="M19" s="16"/>
      <c r="N19" s="16"/>
    </row>
    <row r="20">
      <c r="A20" s="6" t="s">
        <v>95</v>
      </c>
      <c r="B20" s="10" t="str">
        <f t="shared" si="1"/>
        <v>RNA-muscle</v>
      </c>
      <c r="C20" s="10" t="str">
        <f t="shared" si="2"/>
        <v>BRN60M-H11</v>
      </c>
      <c r="D20" s="6">
        <v>60.0</v>
      </c>
      <c r="E20" s="10" t="str">
        <f t="shared" si="3"/>
        <v>BRN60M</v>
      </c>
      <c r="F20" s="6" t="s">
        <v>51</v>
      </c>
      <c r="G20" s="6">
        <v>11.0</v>
      </c>
      <c r="H20" s="11" t="str">
        <f t="shared" si="4"/>
        <v>H11</v>
      </c>
      <c r="I20" s="10" t="str">
        <f t="shared" si="5"/>
        <v>BRN60M-H11</v>
      </c>
      <c r="J20" s="15"/>
      <c r="K20" s="16" t="str">
        <f t="shared" si="6"/>
        <v>collected</v>
      </c>
      <c r="L20" s="16" t="str">
        <f t="shared" si="7"/>
        <v>N</v>
      </c>
      <c r="M20" s="16"/>
      <c r="N20" s="16"/>
    </row>
    <row r="21">
      <c r="A21" s="6" t="s">
        <v>96</v>
      </c>
      <c r="B21" s="10" t="str">
        <f t="shared" si="1"/>
        <v>RNA-muscle</v>
      </c>
      <c r="C21" s="10" t="str">
        <f t="shared" si="2"/>
        <v>BRN60M-G11</v>
      </c>
      <c r="D21" s="6">
        <v>60.0</v>
      </c>
      <c r="E21" s="10" t="str">
        <f t="shared" si="3"/>
        <v>BRN60M</v>
      </c>
      <c r="F21" s="6" t="s">
        <v>56</v>
      </c>
      <c r="G21" s="6">
        <v>11.0</v>
      </c>
      <c r="H21" s="11" t="str">
        <f t="shared" si="4"/>
        <v>G11</v>
      </c>
      <c r="I21" s="10" t="str">
        <f t="shared" si="5"/>
        <v>BRN60M-G11</v>
      </c>
      <c r="J21" s="15"/>
      <c r="K21" s="16" t="str">
        <f t="shared" si="6"/>
        <v>collected</v>
      </c>
      <c r="L21" s="16" t="str">
        <f t="shared" si="7"/>
        <v>N</v>
      </c>
      <c r="M21" s="16"/>
      <c r="N21" s="16"/>
    </row>
    <row r="22">
      <c r="A22" s="6" t="s">
        <v>99</v>
      </c>
      <c r="B22" s="10" t="str">
        <f t="shared" si="1"/>
        <v>RNA-muscle</v>
      </c>
      <c r="C22" s="10" t="str">
        <f t="shared" si="2"/>
        <v>BRN60M-F11</v>
      </c>
      <c r="D22" s="6">
        <v>60.0</v>
      </c>
      <c r="E22" s="10" t="str">
        <f t="shared" si="3"/>
        <v>BRN60M</v>
      </c>
      <c r="F22" s="6" t="s">
        <v>61</v>
      </c>
      <c r="G22" s="6">
        <v>11.0</v>
      </c>
      <c r="H22" s="11" t="str">
        <f t="shared" si="4"/>
        <v>F11</v>
      </c>
      <c r="I22" s="10" t="str">
        <f t="shared" si="5"/>
        <v>BRN60M-F11</v>
      </c>
      <c r="J22" s="15"/>
      <c r="K22" s="16" t="str">
        <f t="shared" si="6"/>
        <v>collected</v>
      </c>
      <c r="L22" s="16" t="str">
        <f t="shared" si="7"/>
        <v>N</v>
      </c>
      <c r="M22" s="16"/>
      <c r="N22" s="16"/>
    </row>
    <row r="23">
      <c r="A23" s="6" t="s">
        <v>100</v>
      </c>
      <c r="B23" s="10" t="str">
        <f t="shared" si="1"/>
        <v>RNA-muscle</v>
      </c>
      <c r="C23" s="10" t="str">
        <f t="shared" si="2"/>
        <v>BRN60M-E11</v>
      </c>
      <c r="D23" s="6">
        <v>60.0</v>
      </c>
      <c r="E23" s="10" t="str">
        <f t="shared" si="3"/>
        <v>BRN60M</v>
      </c>
      <c r="F23" s="6" t="s">
        <v>66</v>
      </c>
      <c r="G23" s="6">
        <v>11.0</v>
      </c>
      <c r="H23" s="11" t="str">
        <f t="shared" si="4"/>
        <v>E11</v>
      </c>
      <c r="I23" s="10" t="str">
        <f t="shared" si="5"/>
        <v>BRN60M-E11</v>
      </c>
      <c r="J23" s="15"/>
      <c r="K23" s="16" t="str">
        <f t="shared" si="6"/>
        <v>collected</v>
      </c>
      <c r="L23" s="16" t="str">
        <f t="shared" si="7"/>
        <v>N</v>
      </c>
      <c r="M23" s="16"/>
      <c r="N23" s="16"/>
    </row>
    <row r="24">
      <c r="A24" s="6" t="s">
        <v>102</v>
      </c>
      <c r="B24" s="10" t="str">
        <f t="shared" si="1"/>
        <v>RNA-muscle</v>
      </c>
      <c r="C24" s="10" t="str">
        <f t="shared" si="2"/>
        <v>BRN60M-D11</v>
      </c>
      <c r="D24" s="6">
        <v>60.0</v>
      </c>
      <c r="E24" s="10" t="str">
        <f t="shared" si="3"/>
        <v>BRN60M</v>
      </c>
      <c r="F24" s="6" t="s">
        <v>68</v>
      </c>
      <c r="G24" s="6">
        <v>11.0</v>
      </c>
      <c r="H24" s="11" t="str">
        <f t="shared" si="4"/>
        <v>D11</v>
      </c>
      <c r="I24" s="10" t="str">
        <f t="shared" si="5"/>
        <v>BRN60M-D11</v>
      </c>
      <c r="J24" s="15"/>
      <c r="K24" s="16" t="str">
        <f t="shared" si="6"/>
        <v>collected</v>
      </c>
      <c r="L24" s="16" t="str">
        <f t="shared" si="7"/>
        <v>N</v>
      </c>
      <c r="M24" s="16"/>
      <c r="N24" s="16"/>
    </row>
    <row r="25">
      <c r="A25" s="6" t="s">
        <v>103</v>
      </c>
      <c r="B25" s="10" t="str">
        <f t="shared" si="1"/>
        <v>RNA-muscle</v>
      </c>
      <c r="C25" s="10" t="str">
        <f t="shared" si="2"/>
        <v>BRN60M-C11</v>
      </c>
      <c r="D25" s="6">
        <v>60.0</v>
      </c>
      <c r="E25" s="10" t="str">
        <f t="shared" si="3"/>
        <v>BRN60M</v>
      </c>
      <c r="F25" s="6" t="s">
        <v>72</v>
      </c>
      <c r="G25" s="6">
        <v>11.0</v>
      </c>
      <c r="H25" s="11" t="str">
        <f t="shared" si="4"/>
        <v>C11</v>
      </c>
      <c r="I25" s="10" t="str">
        <f t="shared" si="5"/>
        <v>BRN60M-C11</v>
      </c>
      <c r="J25" s="15"/>
      <c r="K25" s="16" t="str">
        <f t="shared" si="6"/>
        <v>collected</v>
      </c>
      <c r="L25" s="16" t="str">
        <f t="shared" si="7"/>
        <v>N</v>
      </c>
      <c r="M25" s="16"/>
      <c r="N25" s="16"/>
    </row>
    <row r="26">
      <c r="A26" s="6" t="s">
        <v>104</v>
      </c>
      <c r="B26" s="10" t="str">
        <f t="shared" si="1"/>
        <v>RNA-muscle</v>
      </c>
      <c r="C26" s="10" t="str">
        <f t="shared" si="2"/>
        <v>BRN60M-B11</v>
      </c>
      <c r="D26" s="6">
        <v>60.0</v>
      </c>
      <c r="E26" s="10" t="str">
        <f t="shared" si="3"/>
        <v>BRN60M</v>
      </c>
      <c r="F26" s="6" t="s">
        <v>74</v>
      </c>
      <c r="G26" s="6">
        <v>11.0</v>
      </c>
      <c r="H26" s="11" t="str">
        <f t="shared" si="4"/>
        <v>B11</v>
      </c>
      <c r="I26" s="10" t="str">
        <f t="shared" si="5"/>
        <v>BRN60M-B11</v>
      </c>
      <c r="J26" s="15"/>
      <c r="K26" s="16" t="str">
        <f t="shared" si="6"/>
        <v>collected</v>
      </c>
      <c r="L26" s="16" t="str">
        <f t="shared" si="7"/>
        <v>N</v>
      </c>
      <c r="M26" s="16"/>
      <c r="N26" s="16"/>
    </row>
    <row r="27">
      <c r="A27" s="6" t="s">
        <v>106</v>
      </c>
      <c r="B27" s="10" t="str">
        <f t="shared" si="1"/>
        <v>RNA-muscle</v>
      </c>
      <c r="C27" s="10" t="str">
        <f t="shared" si="2"/>
        <v>BRN60M-A11</v>
      </c>
      <c r="D27" s="6">
        <v>60.0</v>
      </c>
      <c r="E27" s="10" t="str">
        <f t="shared" si="3"/>
        <v>BRN60M</v>
      </c>
      <c r="F27" s="6" t="s">
        <v>76</v>
      </c>
      <c r="G27" s="6">
        <v>11.0</v>
      </c>
      <c r="H27" s="11" t="str">
        <f t="shared" si="4"/>
        <v>A11</v>
      </c>
      <c r="I27" s="10" t="str">
        <f t="shared" si="5"/>
        <v>BRN60M-A11</v>
      </c>
      <c r="J27" s="18"/>
      <c r="K27" s="16" t="str">
        <f t="shared" si="6"/>
        <v>collected</v>
      </c>
      <c r="L27" s="16" t="str">
        <f t="shared" si="7"/>
        <v>N</v>
      </c>
      <c r="M27" s="16"/>
      <c r="N27" s="16"/>
    </row>
    <row r="28">
      <c r="A28" s="6" t="s">
        <v>109</v>
      </c>
      <c r="B28" s="10" t="str">
        <f t="shared" si="1"/>
        <v>RNA-muscle</v>
      </c>
      <c r="C28" s="10" t="str">
        <f t="shared" si="2"/>
        <v>BRN60M-H12</v>
      </c>
      <c r="D28" s="6">
        <v>60.0</v>
      </c>
      <c r="E28" s="10" t="str">
        <f t="shared" si="3"/>
        <v>BRN60M</v>
      </c>
      <c r="F28" s="6" t="s">
        <v>51</v>
      </c>
      <c r="G28" s="6">
        <v>12.0</v>
      </c>
      <c r="H28" s="11" t="str">
        <f t="shared" si="4"/>
        <v>H12</v>
      </c>
      <c r="I28" s="10" t="str">
        <f t="shared" si="5"/>
        <v>BRN60M-H12</v>
      </c>
      <c r="J28" s="15"/>
      <c r="K28" s="16" t="str">
        <f t="shared" si="6"/>
        <v>collected</v>
      </c>
      <c r="L28" s="16" t="str">
        <f t="shared" si="7"/>
        <v>N</v>
      </c>
      <c r="M28" s="16"/>
      <c r="N28" s="16"/>
    </row>
    <row r="29">
      <c r="A29" s="6" t="s">
        <v>110</v>
      </c>
      <c r="B29" s="10" t="str">
        <f t="shared" si="1"/>
        <v>RNA-muscle</v>
      </c>
      <c r="C29" s="10" t="str">
        <f t="shared" si="2"/>
        <v>BRN60M-G12</v>
      </c>
      <c r="D29" s="6">
        <v>60.0</v>
      </c>
      <c r="E29" s="10" t="str">
        <f t="shared" si="3"/>
        <v>BRN60M</v>
      </c>
      <c r="F29" s="6" t="s">
        <v>56</v>
      </c>
      <c r="G29" s="6">
        <v>12.0</v>
      </c>
      <c r="H29" s="11" t="str">
        <f t="shared" si="4"/>
        <v>G12</v>
      </c>
      <c r="I29" s="10" t="str">
        <f t="shared" si="5"/>
        <v>BRN60M-G12</v>
      </c>
      <c r="J29" s="15"/>
      <c r="K29" s="16" t="str">
        <f t="shared" si="6"/>
        <v>collected</v>
      </c>
      <c r="L29" s="16" t="str">
        <f t="shared" si="7"/>
        <v>N</v>
      </c>
      <c r="M29" s="16"/>
      <c r="N29" s="16"/>
    </row>
    <row r="30">
      <c r="A30" s="6" t="s">
        <v>111</v>
      </c>
      <c r="B30" s="10" t="str">
        <f t="shared" si="1"/>
        <v>RNA-muscle</v>
      </c>
      <c r="C30" s="10" t="str">
        <f t="shared" si="2"/>
        <v>BRN60M-F12</v>
      </c>
      <c r="D30" s="6">
        <v>60.0</v>
      </c>
      <c r="E30" s="10" t="str">
        <f t="shared" si="3"/>
        <v>BRN60M</v>
      </c>
      <c r="F30" s="6" t="s">
        <v>61</v>
      </c>
      <c r="G30" s="6">
        <v>12.0</v>
      </c>
      <c r="H30" s="11" t="str">
        <f t="shared" si="4"/>
        <v>F12</v>
      </c>
      <c r="I30" s="10" t="str">
        <f t="shared" si="5"/>
        <v>BRN60M-F12</v>
      </c>
      <c r="J30" s="18"/>
      <c r="K30" s="16" t="str">
        <f t="shared" si="6"/>
        <v>collected</v>
      </c>
      <c r="L30" s="16" t="str">
        <f t="shared" si="7"/>
        <v>N</v>
      </c>
      <c r="M30" s="16"/>
      <c r="N30" s="16"/>
    </row>
    <row r="31">
      <c r="A31" s="6" t="s">
        <v>112</v>
      </c>
      <c r="B31" s="10" t="str">
        <f t="shared" si="1"/>
        <v>RNA-muscle</v>
      </c>
      <c r="C31" s="10" t="str">
        <f t="shared" si="2"/>
        <v>BRN60M-E12</v>
      </c>
      <c r="D31" s="6">
        <v>60.0</v>
      </c>
      <c r="E31" s="10" t="str">
        <f t="shared" si="3"/>
        <v>BRN60M</v>
      </c>
      <c r="F31" s="6" t="s">
        <v>66</v>
      </c>
      <c r="G31" s="6">
        <v>12.0</v>
      </c>
      <c r="H31" s="11" t="str">
        <f t="shared" si="4"/>
        <v>E12</v>
      </c>
      <c r="I31" s="10" t="str">
        <f t="shared" si="5"/>
        <v>BRN60M-E12</v>
      </c>
      <c r="J31" s="15"/>
      <c r="K31" s="16" t="str">
        <f t="shared" si="6"/>
        <v>collected</v>
      </c>
      <c r="L31" s="16" t="str">
        <f t="shared" si="7"/>
        <v>N</v>
      </c>
      <c r="M31" s="16"/>
      <c r="N31" s="16"/>
    </row>
    <row r="32">
      <c r="A32" s="6" t="s">
        <v>114</v>
      </c>
      <c r="B32" s="10" t="str">
        <f t="shared" si="1"/>
        <v>RNA-muscle</v>
      </c>
      <c r="C32" s="10" t="str">
        <f t="shared" si="2"/>
        <v>BRN60M-C12</v>
      </c>
      <c r="D32" s="6">
        <v>60.0</v>
      </c>
      <c r="E32" s="10" t="str">
        <f t="shared" si="3"/>
        <v>BRN60M</v>
      </c>
      <c r="F32" s="6" t="s">
        <v>72</v>
      </c>
      <c r="G32" s="6">
        <v>12.0</v>
      </c>
      <c r="H32" s="11" t="str">
        <f t="shared" si="4"/>
        <v>C12</v>
      </c>
      <c r="I32" s="10" t="str">
        <f t="shared" si="5"/>
        <v>BRN60M-C12</v>
      </c>
      <c r="J32" s="15"/>
      <c r="K32" s="16" t="str">
        <f t="shared" si="6"/>
        <v>collected</v>
      </c>
      <c r="L32" s="16" t="str">
        <f t="shared" si="7"/>
        <v>N</v>
      </c>
      <c r="M32" s="16"/>
      <c r="N32" s="16"/>
    </row>
    <row r="33">
      <c r="A33" s="6" t="s">
        <v>116</v>
      </c>
      <c r="B33" s="10" t="str">
        <f t="shared" si="1"/>
        <v>RNA-muscle</v>
      </c>
      <c r="C33" s="10" t="str">
        <f t="shared" si="2"/>
        <v>BRN60M-B12</v>
      </c>
      <c r="D33" s="6">
        <v>60.0</v>
      </c>
      <c r="E33" s="10" t="str">
        <f t="shared" si="3"/>
        <v>BRN60M</v>
      </c>
      <c r="F33" s="6" t="s">
        <v>74</v>
      </c>
      <c r="G33" s="6">
        <v>12.0</v>
      </c>
      <c r="H33" s="11" t="str">
        <f t="shared" si="4"/>
        <v>B12</v>
      </c>
      <c r="I33" s="10" t="str">
        <f t="shared" si="5"/>
        <v>BRN60M-B12</v>
      </c>
      <c r="J33" s="15"/>
      <c r="K33" s="16" t="str">
        <f t="shared" si="6"/>
        <v>collected</v>
      </c>
      <c r="L33" s="16" t="str">
        <f t="shared" si="7"/>
        <v>N</v>
      </c>
      <c r="M33" s="16"/>
      <c r="N33" s="16"/>
    </row>
    <row r="34">
      <c r="A34" s="6" t="s">
        <v>117</v>
      </c>
      <c r="B34" s="10" t="str">
        <f t="shared" si="1"/>
        <v>RNA-muscle</v>
      </c>
      <c r="C34" s="10" t="str">
        <f t="shared" si="2"/>
        <v>BRN60M-A12</v>
      </c>
      <c r="D34" s="6">
        <v>60.0</v>
      </c>
      <c r="E34" s="10" t="str">
        <f t="shared" si="3"/>
        <v>BRN60M</v>
      </c>
      <c r="F34" s="6" t="s">
        <v>76</v>
      </c>
      <c r="G34" s="6">
        <v>12.0</v>
      </c>
      <c r="H34" s="11" t="str">
        <f t="shared" si="4"/>
        <v>A12</v>
      </c>
      <c r="I34" s="10" t="str">
        <f t="shared" si="5"/>
        <v>BRN60M-A12</v>
      </c>
      <c r="J34" s="15"/>
      <c r="K34" s="16" t="str">
        <f t="shared" si="6"/>
        <v>collected</v>
      </c>
      <c r="L34" s="16" t="str">
        <f t="shared" si="7"/>
        <v>N</v>
      </c>
      <c r="M34" s="16"/>
      <c r="N34" s="16"/>
    </row>
    <row r="35">
      <c r="A35" s="6" t="s">
        <v>119</v>
      </c>
      <c r="B35" s="10" t="str">
        <f t="shared" si="1"/>
        <v>RNA-muscle</v>
      </c>
      <c r="C35" s="10" t="str">
        <f t="shared" si="2"/>
        <v>BRN66M-H1</v>
      </c>
      <c r="D35" s="6">
        <v>66.0</v>
      </c>
      <c r="E35" s="10" t="str">
        <f t="shared" si="3"/>
        <v>BRN66M</v>
      </c>
      <c r="F35" s="6" t="s">
        <v>51</v>
      </c>
      <c r="G35" s="6">
        <v>1.0</v>
      </c>
      <c r="H35" s="11" t="str">
        <f t="shared" si="4"/>
        <v>H1</v>
      </c>
      <c r="I35" s="10" t="str">
        <f t="shared" si="5"/>
        <v>BRN66M-H1</v>
      </c>
      <c r="J35" s="15"/>
      <c r="K35" s="16" t="str">
        <f t="shared" si="6"/>
        <v>collected</v>
      </c>
      <c r="L35" s="16" t="str">
        <f t="shared" si="7"/>
        <v>N</v>
      </c>
      <c r="M35" s="16"/>
      <c r="N35" s="16"/>
    </row>
    <row r="36">
      <c r="A36" s="6" t="s">
        <v>121</v>
      </c>
      <c r="B36" s="10" t="str">
        <f t="shared" si="1"/>
        <v>RNA-muscle</v>
      </c>
      <c r="C36" s="10" t="str">
        <f t="shared" si="2"/>
        <v>BRN66M-G1</v>
      </c>
      <c r="D36" s="6">
        <v>66.0</v>
      </c>
      <c r="E36" s="10" t="str">
        <f t="shared" si="3"/>
        <v>BRN66M</v>
      </c>
      <c r="F36" s="6" t="s">
        <v>56</v>
      </c>
      <c r="G36" s="6">
        <v>1.0</v>
      </c>
      <c r="H36" s="11" t="str">
        <f t="shared" si="4"/>
        <v>G1</v>
      </c>
      <c r="I36" s="10" t="str">
        <f t="shared" si="5"/>
        <v>BRN66M-G1</v>
      </c>
      <c r="J36" s="15"/>
      <c r="K36" s="16" t="str">
        <f t="shared" si="6"/>
        <v>collected</v>
      </c>
      <c r="L36" s="16" t="str">
        <f t="shared" si="7"/>
        <v>N</v>
      </c>
      <c r="M36" s="16"/>
      <c r="N36" s="16"/>
    </row>
    <row r="37">
      <c r="A37" s="6" t="s">
        <v>124</v>
      </c>
      <c r="B37" s="10" t="str">
        <f t="shared" si="1"/>
        <v>RNA-muscle</v>
      </c>
      <c r="C37" s="10" t="str">
        <f t="shared" si="2"/>
        <v>BRN66M-F1</v>
      </c>
      <c r="D37" s="6">
        <v>66.0</v>
      </c>
      <c r="E37" s="10" t="str">
        <f t="shared" si="3"/>
        <v>BRN66M</v>
      </c>
      <c r="F37" s="6" t="s">
        <v>61</v>
      </c>
      <c r="G37" s="6">
        <v>1.0</v>
      </c>
      <c r="H37" s="11" t="str">
        <f t="shared" si="4"/>
        <v>F1</v>
      </c>
      <c r="I37" s="10" t="str">
        <f t="shared" si="5"/>
        <v>BRN66M-F1</v>
      </c>
      <c r="J37" s="15"/>
      <c r="K37" s="16" t="str">
        <f t="shared" si="6"/>
        <v>collected</v>
      </c>
      <c r="L37" s="16" t="str">
        <f t="shared" si="7"/>
        <v>N</v>
      </c>
      <c r="M37" s="16"/>
      <c r="N37" s="16"/>
    </row>
    <row r="38">
      <c r="A38" s="6" t="s">
        <v>126</v>
      </c>
      <c r="B38" s="10" t="str">
        <f t="shared" si="1"/>
        <v>RNA-muscle</v>
      </c>
      <c r="C38" s="10" t="str">
        <f t="shared" si="2"/>
        <v>BRN66M-E1</v>
      </c>
      <c r="D38" s="6">
        <v>66.0</v>
      </c>
      <c r="E38" s="10" t="str">
        <f t="shared" si="3"/>
        <v>BRN66M</v>
      </c>
      <c r="F38" s="6" t="s">
        <v>66</v>
      </c>
      <c r="G38" s="6">
        <v>1.0</v>
      </c>
      <c r="H38" s="11" t="str">
        <f t="shared" si="4"/>
        <v>E1</v>
      </c>
      <c r="I38" s="10" t="str">
        <f t="shared" si="5"/>
        <v>BRN66M-E1</v>
      </c>
      <c r="J38" s="15"/>
      <c r="K38" s="16" t="str">
        <f t="shared" si="6"/>
        <v>collected</v>
      </c>
      <c r="L38" s="16" t="str">
        <f t="shared" si="7"/>
        <v>N</v>
      </c>
      <c r="M38" s="16"/>
      <c r="N38" s="16"/>
    </row>
    <row r="39">
      <c r="A39" s="6" t="s">
        <v>128</v>
      </c>
      <c r="B39" s="10" t="str">
        <f t="shared" si="1"/>
        <v>RNA-muscle</v>
      </c>
      <c r="C39" s="10" t="str">
        <f t="shared" si="2"/>
        <v>BRN66M-D1</v>
      </c>
      <c r="D39" s="6">
        <v>66.0</v>
      </c>
      <c r="E39" s="10" t="str">
        <f t="shared" si="3"/>
        <v>BRN66M</v>
      </c>
      <c r="F39" s="6" t="s">
        <v>68</v>
      </c>
      <c r="G39" s="6">
        <v>1.0</v>
      </c>
      <c r="H39" s="11" t="str">
        <f t="shared" si="4"/>
        <v>D1</v>
      </c>
      <c r="I39" s="10" t="str">
        <f t="shared" si="5"/>
        <v>BRN66M-D1</v>
      </c>
      <c r="J39" s="15"/>
      <c r="K39" s="16" t="str">
        <f t="shared" si="6"/>
        <v>collected</v>
      </c>
      <c r="L39" s="16" t="str">
        <f t="shared" si="7"/>
        <v>N</v>
      </c>
      <c r="M39" s="16"/>
      <c r="N39" s="16"/>
    </row>
    <row r="40">
      <c r="A40" s="6" t="s">
        <v>129</v>
      </c>
      <c r="B40" s="10" t="str">
        <f t="shared" si="1"/>
        <v>RNA-muscle</v>
      </c>
      <c r="C40" s="10" t="str">
        <f t="shared" si="2"/>
        <v>BRN66M-C1</v>
      </c>
      <c r="D40" s="6">
        <v>66.0</v>
      </c>
      <c r="E40" s="10" t="str">
        <f t="shared" si="3"/>
        <v>BRN66M</v>
      </c>
      <c r="F40" s="6" t="s">
        <v>72</v>
      </c>
      <c r="G40" s="6">
        <v>1.0</v>
      </c>
      <c r="H40" s="11" t="str">
        <f t="shared" si="4"/>
        <v>C1</v>
      </c>
      <c r="I40" s="10" t="str">
        <f t="shared" si="5"/>
        <v>BRN66M-C1</v>
      </c>
      <c r="J40" s="15"/>
      <c r="K40" s="16" t="str">
        <f t="shared" si="6"/>
        <v>collected</v>
      </c>
      <c r="L40" s="16" t="str">
        <f t="shared" si="7"/>
        <v>N</v>
      </c>
      <c r="M40" s="16"/>
      <c r="N40" s="16"/>
    </row>
    <row r="41">
      <c r="A41" s="6" t="s">
        <v>131</v>
      </c>
      <c r="B41" s="10" t="str">
        <f t="shared" si="1"/>
        <v>RNA-muscle</v>
      </c>
      <c r="C41" s="10" t="str">
        <f t="shared" si="2"/>
        <v>BRN66M-A1</v>
      </c>
      <c r="D41" s="6">
        <v>66.0</v>
      </c>
      <c r="E41" s="10" t="str">
        <f t="shared" si="3"/>
        <v>BRN66M</v>
      </c>
      <c r="F41" s="6" t="s">
        <v>76</v>
      </c>
      <c r="G41" s="6">
        <v>1.0</v>
      </c>
      <c r="H41" s="11" t="str">
        <f t="shared" si="4"/>
        <v>A1</v>
      </c>
      <c r="I41" s="10" t="str">
        <f t="shared" si="5"/>
        <v>BRN66M-A1</v>
      </c>
      <c r="J41" s="15"/>
      <c r="K41" s="16" t="str">
        <f t="shared" si="6"/>
        <v>collected</v>
      </c>
      <c r="L41" s="16" t="str">
        <f t="shared" si="7"/>
        <v>N</v>
      </c>
      <c r="M41" s="16"/>
      <c r="N41" s="16"/>
    </row>
    <row r="42">
      <c r="A42" s="6" t="s">
        <v>133</v>
      </c>
      <c r="B42" s="10" t="str">
        <f t="shared" si="1"/>
        <v>RNA-muscle</v>
      </c>
      <c r="C42" s="10" t="str">
        <f t="shared" si="2"/>
        <v>BRN66M-H2</v>
      </c>
      <c r="D42" s="6">
        <v>66.0</v>
      </c>
      <c r="E42" s="10" t="str">
        <f t="shared" si="3"/>
        <v>BRN66M</v>
      </c>
      <c r="F42" s="6" t="s">
        <v>51</v>
      </c>
      <c r="G42" s="6">
        <v>2.0</v>
      </c>
      <c r="H42" s="11" t="str">
        <f t="shared" si="4"/>
        <v>H2</v>
      </c>
      <c r="I42" s="10" t="str">
        <f t="shared" si="5"/>
        <v>BRN66M-H2</v>
      </c>
      <c r="J42" s="15"/>
      <c r="K42" s="16" t="str">
        <f t="shared" si="6"/>
        <v>collected</v>
      </c>
      <c r="L42" s="16" t="str">
        <f t="shared" si="7"/>
        <v>N</v>
      </c>
      <c r="M42" s="16"/>
      <c r="N42" s="16"/>
    </row>
    <row r="43">
      <c r="A43" s="6" t="s">
        <v>135</v>
      </c>
      <c r="B43" s="10" t="str">
        <f t="shared" si="1"/>
        <v>RNA-muscle</v>
      </c>
      <c r="C43" s="10" t="str">
        <f t="shared" si="2"/>
        <v>BRN66M-G2</v>
      </c>
      <c r="D43" s="6">
        <v>66.0</v>
      </c>
      <c r="E43" s="10" t="str">
        <f t="shared" si="3"/>
        <v>BRN66M</v>
      </c>
      <c r="F43" s="6" t="s">
        <v>56</v>
      </c>
      <c r="G43" s="6">
        <v>2.0</v>
      </c>
      <c r="H43" s="11" t="str">
        <f t="shared" si="4"/>
        <v>G2</v>
      </c>
      <c r="I43" s="10" t="str">
        <f t="shared" si="5"/>
        <v>BRN66M-G2</v>
      </c>
      <c r="J43" s="15"/>
      <c r="K43" s="16" t="str">
        <f t="shared" si="6"/>
        <v>collected</v>
      </c>
      <c r="L43" s="16" t="str">
        <f t="shared" si="7"/>
        <v>N</v>
      </c>
      <c r="M43" s="16"/>
      <c r="N43" s="16"/>
    </row>
    <row r="44">
      <c r="A44" s="6" t="s">
        <v>136</v>
      </c>
      <c r="B44" s="10" t="str">
        <f t="shared" si="1"/>
        <v>RNA-muscle</v>
      </c>
      <c r="C44" s="10" t="str">
        <f t="shared" si="2"/>
        <v>BRN66M-F2</v>
      </c>
      <c r="D44" s="6">
        <v>66.0</v>
      </c>
      <c r="E44" s="10" t="str">
        <f t="shared" si="3"/>
        <v>BRN66M</v>
      </c>
      <c r="F44" s="6" t="s">
        <v>61</v>
      </c>
      <c r="G44" s="6">
        <v>2.0</v>
      </c>
      <c r="H44" s="11" t="str">
        <f t="shared" si="4"/>
        <v>F2</v>
      </c>
      <c r="I44" s="10" t="str">
        <f t="shared" si="5"/>
        <v>BRN66M-F2</v>
      </c>
      <c r="J44" s="15"/>
      <c r="K44" s="16" t="str">
        <f t="shared" si="6"/>
        <v>collected</v>
      </c>
      <c r="L44" s="16" t="str">
        <f t="shared" si="7"/>
        <v>N</v>
      </c>
      <c r="M44" s="16"/>
      <c r="N44" s="16"/>
    </row>
    <row r="45">
      <c r="A45" s="6" t="s">
        <v>138</v>
      </c>
      <c r="B45" s="10" t="str">
        <f t="shared" si="1"/>
        <v>RNA-muscle</v>
      </c>
      <c r="C45" s="10" t="str">
        <f t="shared" si="2"/>
        <v>BRN66M-E2</v>
      </c>
      <c r="D45" s="6">
        <v>66.0</v>
      </c>
      <c r="E45" s="10" t="str">
        <f t="shared" si="3"/>
        <v>BRN66M</v>
      </c>
      <c r="F45" s="6" t="s">
        <v>66</v>
      </c>
      <c r="G45" s="6">
        <v>2.0</v>
      </c>
      <c r="H45" s="11" t="str">
        <f t="shared" si="4"/>
        <v>E2</v>
      </c>
      <c r="I45" s="10" t="str">
        <f t="shared" si="5"/>
        <v>BRN66M-E2</v>
      </c>
      <c r="J45" s="15"/>
      <c r="K45" s="16" t="str">
        <f t="shared" si="6"/>
        <v>collected</v>
      </c>
      <c r="L45" s="16" t="str">
        <f t="shared" si="7"/>
        <v>N</v>
      </c>
      <c r="M45" s="16"/>
      <c r="N45" s="16"/>
    </row>
    <row r="46">
      <c r="A46" s="6" t="s">
        <v>139</v>
      </c>
      <c r="B46" s="10" t="str">
        <f t="shared" si="1"/>
        <v>RNA-muscle</v>
      </c>
      <c r="C46" s="10" t="str">
        <f t="shared" si="2"/>
        <v>BRN66M-D2</v>
      </c>
      <c r="D46" s="6">
        <v>66.0</v>
      </c>
      <c r="E46" s="10" t="str">
        <f t="shared" si="3"/>
        <v>BRN66M</v>
      </c>
      <c r="F46" s="6" t="s">
        <v>68</v>
      </c>
      <c r="G46" s="6">
        <v>2.0</v>
      </c>
      <c r="H46" s="11" t="str">
        <f t="shared" si="4"/>
        <v>D2</v>
      </c>
      <c r="I46" s="10" t="str">
        <f t="shared" si="5"/>
        <v>BRN66M-D2</v>
      </c>
      <c r="J46" s="15"/>
      <c r="K46" s="16" t="str">
        <f t="shared" si="6"/>
        <v>collected</v>
      </c>
      <c r="L46" s="16" t="str">
        <f t="shared" si="7"/>
        <v>N</v>
      </c>
      <c r="M46" s="16"/>
      <c r="N46" s="16"/>
    </row>
    <row r="47">
      <c r="A47" s="6" t="s">
        <v>141</v>
      </c>
      <c r="B47" s="10" t="str">
        <f t="shared" si="1"/>
        <v>RNA-muscle</v>
      </c>
      <c r="C47" s="10" t="str">
        <f t="shared" si="2"/>
        <v>BRN66M-C2</v>
      </c>
      <c r="D47" s="6">
        <v>66.0</v>
      </c>
      <c r="E47" s="10" t="str">
        <f t="shared" si="3"/>
        <v>BRN66M</v>
      </c>
      <c r="F47" s="6" t="s">
        <v>72</v>
      </c>
      <c r="G47" s="6">
        <v>2.0</v>
      </c>
      <c r="H47" s="11" t="str">
        <f t="shared" si="4"/>
        <v>C2</v>
      </c>
      <c r="I47" s="10" t="str">
        <f t="shared" si="5"/>
        <v>BRN66M-C2</v>
      </c>
      <c r="K47" s="16" t="str">
        <f t="shared" si="6"/>
        <v>collected</v>
      </c>
      <c r="L47" s="16" t="str">
        <f t="shared" si="7"/>
        <v>N</v>
      </c>
      <c r="M47" s="16"/>
      <c r="N47" s="16"/>
    </row>
    <row r="48">
      <c r="A48" s="6" t="s">
        <v>143</v>
      </c>
      <c r="B48" s="10" t="str">
        <f t="shared" si="1"/>
        <v>RNA-muscle</v>
      </c>
      <c r="C48" s="10" t="str">
        <f t="shared" si="2"/>
        <v>BRN66M-B2</v>
      </c>
      <c r="D48" s="6">
        <v>66.0</v>
      </c>
      <c r="E48" s="10" t="str">
        <f t="shared" si="3"/>
        <v>BRN66M</v>
      </c>
      <c r="F48" s="6" t="s">
        <v>74</v>
      </c>
      <c r="G48" s="6">
        <v>2.0</v>
      </c>
      <c r="H48" s="11" t="str">
        <f t="shared" si="4"/>
        <v>B2</v>
      </c>
      <c r="I48" s="10" t="str">
        <f t="shared" si="5"/>
        <v>BRN66M-B2</v>
      </c>
      <c r="K48" s="16" t="str">
        <f t="shared" si="6"/>
        <v>collected</v>
      </c>
      <c r="L48" s="16" t="str">
        <f t="shared" si="7"/>
        <v>N</v>
      </c>
      <c r="M48" s="16"/>
      <c r="N48" s="16"/>
    </row>
    <row r="49">
      <c r="A49" s="6" t="s">
        <v>144</v>
      </c>
      <c r="B49" s="10" t="str">
        <f t="shared" si="1"/>
        <v>RNA-muscle</v>
      </c>
      <c r="C49" s="10" t="str">
        <f t="shared" si="2"/>
        <v>BRN66M-A2</v>
      </c>
      <c r="D49" s="6">
        <v>66.0</v>
      </c>
      <c r="E49" s="10" t="str">
        <f t="shared" si="3"/>
        <v>BRN66M</v>
      </c>
      <c r="F49" s="6" t="s">
        <v>76</v>
      </c>
      <c r="G49" s="6">
        <v>2.0</v>
      </c>
      <c r="H49" s="11" t="str">
        <f t="shared" si="4"/>
        <v>A2</v>
      </c>
      <c r="I49" s="10" t="str">
        <f t="shared" si="5"/>
        <v>BRN66M-A2</v>
      </c>
      <c r="K49" s="16" t="str">
        <f t="shared" si="6"/>
        <v>collected</v>
      </c>
      <c r="L49" s="16" t="str">
        <f t="shared" si="7"/>
        <v>N</v>
      </c>
      <c r="M49" s="16"/>
      <c r="N49" s="16"/>
    </row>
    <row r="50">
      <c r="A50" s="6" t="s">
        <v>146</v>
      </c>
      <c r="B50" s="10" t="str">
        <f t="shared" si="1"/>
        <v>RNA-muscle</v>
      </c>
      <c r="C50" s="10" t="str">
        <f t="shared" si="2"/>
        <v>BRN66M-H4</v>
      </c>
      <c r="D50" s="6">
        <v>66.0</v>
      </c>
      <c r="E50" s="10" t="str">
        <f t="shared" si="3"/>
        <v>BRN66M</v>
      </c>
      <c r="F50" s="6" t="s">
        <v>51</v>
      </c>
      <c r="G50" s="6">
        <v>4.0</v>
      </c>
      <c r="H50" s="11" t="str">
        <f t="shared" si="4"/>
        <v>H4</v>
      </c>
      <c r="I50" s="10" t="str">
        <f t="shared" si="5"/>
        <v>BRN66M-H4</v>
      </c>
      <c r="K50" s="16" t="str">
        <f t="shared" si="6"/>
        <v>collected</v>
      </c>
      <c r="L50" s="16" t="str">
        <f t="shared" si="7"/>
        <v>N</v>
      </c>
      <c r="M50" s="16"/>
      <c r="N50" s="16"/>
    </row>
    <row r="51">
      <c r="A51" s="6" t="s">
        <v>149</v>
      </c>
      <c r="B51" s="10" t="str">
        <f t="shared" si="1"/>
        <v>RNA-muscle</v>
      </c>
      <c r="C51" s="10" t="str">
        <f t="shared" si="2"/>
        <v>BRN66M-G4</v>
      </c>
      <c r="D51" s="6">
        <v>66.0</v>
      </c>
      <c r="E51" s="10" t="str">
        <f t="shared" si="3"/>
        <v>BRN66M</v>
      </c>
      <c r="F51" s="6" t="s">
        <v>56</v>
      </c>
      <c r="G51" s="6">
        <v>4.0</v>
      </c>
      <c r="H51" s="11" t="str">
        <f t="shared" si="4"/>
        <v>G4</v>
      </c>
      <c r="I51" s="10" t="str">
        <f t="shared" si="5"/>
        <v>BRN66M-G4</v>
      </c>
      <c r="K51" s="16" t="str">
        <f t="shared" si="6"/>
        <v>collected</v>
      </c>
      <c r="L51" s="16" t="str">
        <f t="shared" si="7"/>
        <v>N</v>
      </c>
      <c r="M51" s="16"/>
      <c r="N51" s="16"/>
    </row>
    <row r="52">
      <c r="A52" s="6" t="s">
        <v>151</v>
      </c>
      <c r="B52" s="10" t="str">
        <f t="shared" si="1"/>
        <v>RNA-muscle</v>
      </c>
      <c r="C52" s="10" t="str">
        <f t="shared" si="2"/>
        <v>BRN66M-F4</v>
      </c>
      <c r="D52" s="6">
        <v>66.0</v>
      </c>
      <c r="E52" s="10" t="str">
        <f t="shared" si="3"/>
        <v>BRN66M</v>
      </c>
      <c r="F52" s="6" t="s">
        <v>61</v>
      </c>
      <c r="G52" s="6">
        <v>4.0</v>
      </c>
      <c r="H52" s="11" t="str">
        <f t="shared" si="4"/>
        <v>F4</v>
      </c>
      <c r="I52" s="10" t="str">
        <f t="shared" si="5"/>
        <v>BRN66M-F4</v>
      </c>
      <c r="J52" s="18"/>
      <c r="K52" s="16" t="str">
        <f t="shared" si="6"/>
        <v>collected</v>
      </c>
      <c r="L52" s="16" t="str">
        <f t="shared" si="7"/>
        <v>N</v>
      </c>
      <c r="M52" s="16"/>
      <c r="N52" s="16"/>
    </row>
    <row r="53">
      <c r="A53" s="6" t="s">
        <v>153</v>
      </c>
      <c r="B53" s="10" t="str">
        <f t="shared" si="1"/>
        <v>RNA-muscle</v>
      </c>
      <c r="C53" s="10" t="str">
        <f t="shared" si="2"/>
        <v>BRN66M-E4</v>
      </c>
      <c r="D53" s="6">
        <v>66.0</v>
      </c>
      <c r="E53" s="10" t="str">
        <f t="shared" si="3"/>
        <v>BRN66M</v>
      </c>
      <c r="F53" s="6" t="s">
        <v>66</v>
      </c>
      <c r="G53" s="6">
        <v>4.0</v>
      </c>
      <c r="H53" s="11" t="str">
        <f t="shared" si="4"/>
        <v>E4</v>
      </c>
      <c r="I53" s="10" t="str">
        <f t="shared" si="5"/>
        <v>BRN66M-E4</v>
      </c>
      <c r="K53" s="16" t="str">
        <f t="shared" si="6"/>
        <v>collected</v>
      </c>
      <c r="L53" s="16" t="str">
        <f t="shared" si="7"/>
        <v>N</v>
      </c>
      <c r="M53" s="16"/>
      <c r="N53" s="16"/>
    </row>
    <row r="54">
      <c r="A54" s="6" t="s">
        <v>154</v>
      </c>
      <c r="B54" s="10" t="str">
        <f t="shared" si="1"/>
        <v>RNA-muscle</v>
      </c>
      <c r="C54" s="10" t="str">
        <f t="shared" si="2"/>
        <v>BRN66M-D4</v>
      </c>
      <c r="D54" s="6">
        <v>66.0</v>
      </c>
      <c r="E54" s="10" t="str">
        <f t="shared" si="3"/>
        <v>BRN66M</v>
      </c>
      <c r="F54" s="6" t="s">
        <v>68</v>
      </c>
      <c r="G54" s="6">
        <v>4.0</v>
      </c>
      <c r="H54" s="11" t="str">
        <f t="shared" si="4"/>
        <v>D4</v>
      </c>
      <c r="I54" s="10" t="str">
        <f t="shared" si="5"/>
        <v>BRN66M-D4</v>
      </c>
      <c r="J54" s="18"/>
      <c r="K54" s="16" t="str">
        <f t="shared" si="6"/>
        <v>collected</v>
      </c>
      <c r="L54" s="16" t="str">
        <f t="shared" si="7"/>
        <v>N</v>
      </c>
      <c r="M54" s="16"/>
      <c r="N54" s="16"/>
    </row>
    <row r="55">
      <c r="A55" s="6" t="s">
        <v>156</v>
      </c>
      <c r="B55" s="10" t="str">
        <f t="shared" si="1"/>
        <v>RNA-muscle</v>
      </c>
      <c r="C55" s="10" t="str">
        <f t="shared" si="2"/>
        <v>BRN66M-C4</v>
      </c>
      <c r="D55" s="6">
        <v>66.0</v>
      </c>
      <c r="E55" s="10" t="str">
        <f t="shared" si="3"/>
        <v>BRN66M</v>
      </c>
      <c r="F55" s="6" t="s">
        <v>72</v>
      </c>
      <c r="G55" s="6">
        <v>4.0</v>
      </c>
      <c r="H55" s="11" t="str">
        <f t="shared" si="4"/>
        <v>C4</v>
      </c>
      <c r="I55" s="10" t="str">
        <f t="shared" si="5"/>
        <v>BRN66M-C4</v>
      </c>
      <c r="J55" s="15"/>
      <c r="K55" s="16" t="str">
        <f t="shared" si="6"/>
        <v>collected</v>
      </c>
      <c r="L55" s="16" t="str">
        <f t="shared" si="7"/>
        <v>N</v>
      </c>
      <c r="M55" s="16"/>
      <c r="N55" s="16"/>
    </row>
    <row r="56">
      <c r="A56" s="6" t="s">
        <v>158</v>
      </c>
      <c r="B56" s="10" t="str">
        <f t="shared" si="1"/>
        <v>RNA-muscle</v>
      </c>
      <c r="C56" s="10" t="str">
        <f t="shared" si="2"/>
        <v>BRN66M-B4</v>
      </c>
      <c r="D56" s="6">
        <v>66.0</v>
      </c>
      <c r="E56" s="10" t="str">
        <f t="shared" si="3"/>
        <v>BRN66M</v>
      </c>
      <c r="F56" s="6" t="s">
        <v>74</v>
      </c>
      <c r="G56" s="6">
        <v>4.0</v>
      </c>
      <c r="H56" s="11" t="str">
        <f t="shared" si="4"/>
        <v>B4</v>
      </c>
      <c r="I56" s="10" t="str">
        <f t="shared" si="5"/>
        <v>BRN66M-B4</v>
      </c>
      <c r="J56" s="15"/>
      <c r="K56" s="16" t="str">
        <f t="shared" si="6"/>
        <v>collected</v>
      </c>
      <c r="L56" s="16" t="str">
        <f t="shared" si="7"/>
        <v>N</v>
      </c>
      <c r="M56" s="16"/>
      <c r="N56" s="16"/>
    </row>
    <row r="57">
      <c r="A57" s="6" t="s">
        <v>160</v>
      </c>
      <c r="B57" s="10" t="str">
        <f t="shared" si="1"/>
        <v>RNA-muscle</v>
      </c>
      <c r="C57" s="10" t="str">
        <f t="shared" si="2"/>
        <v>BRN66M-A4</v>
      </c>
      <c r="D57" s="6">
        <v>66.0</v>
      </c>
      <c r="E57" s="10" t="str">
        <f t="shared" si="3"/>
        <v>BRN66M</v>
      </c>
      <c r="F57" s="6" t="s">
        <v>76</v>
      </c>
      <c r="G57" s="6">
        <v>4.0</v>
      </c>
      <c r="H57" s="11" t="str">
        <f t="shared" si="4"/>
        <v>A4</v>
      </c>
      <c r="I57" s="10" t="str">
        <f t="shared" si="5"/>
        <v>BRN66M-A4</v>
      </c>
      <c r="J57" s="15"/>
      <c r="K57" s="16" t="str">
        <f t="shared" si="6"/>
        <v>collected</v>
      </c>
      <c r="L57" s="16" t="str">
        <f t="shared" si="7"/>
        <v>N</v>
      </c>
      <c r="M57" s="16"/>
      <c r="N57" s="16"/>
    </row>
    <row r="58">
      <c r="A58" s="6" t="s">
        <v>161</v>
      </c>
      <c r="B58" s="10" t="str">
        <f t="shared" si="1"/>
        <v>RNA-muscle</v>
      </c>
      <c r="C58" s="10" t="str">
        <f t="shared" si="2"/>
        <v>BRN66M-G6</v>
      </c>
      <c r="D58" s="6">
        <v>66.0</v>
      </c>
      <c r="E58" s="10" t="str">
        <f t="shared" si="3"/>
        <v>BRN66M</v>
      </c>
      <c r="F58" s="6" t="s">
        <v>56</v>
      </c>
      <c r="G58" s="6">
        <v>6.0</v>
      </c>
      <c r="H58" s="11" t="str">
        <f t="shared" si="4"/>
        <v>G6</v>
      </c>
      <c r="I58" s="10" t="str">
        <f t="shared" si="5"/>
        <v>BRN66M-G6</v>
      </c>
      <c r="J58" s="18" t="s">
        <v>162</v>
      </c>
      <c r="K58" s="16" t="str">
        <f t="shared" si="6"/>
        <v>collected</v>
      </c>
      <c r="L58" s="16" t="str">
        <f t="shared" si="7"/>
        <v>N</v>
      </c>
      <c r="M58" s="16"/>
      <c r="N58" s="16"/>
    </row>
    <row r="59">
      <c r="A59" s="6" t="s">
        <v>163</v>
      </c>
      <c r="B59" s="10" t="str">
        <f t="shared" si="1"/>
        <v>RNA-muscle</v>
      </c>
      <c r="C59" s="10" t="str">
        <f t="shared" si="2"/>
        <v>BRN66M-F6</v>
      </c>
      <c r="D59" s="6">
        <v>66.0</v>
      </c>
      <c r="E59" s="10" t="str">
        <f t="shared" si="3"/>
        <v>BRN66M</v>
      </c>
      <c r="F59" s="6" t="s">
        <v>61</v>
      </c>
      <c r="G59" s="6">
        <v>6.0</v>
      </c>
      <c r="H59" s="11" t="str">
        <f t="shared" si="4"/>
        <v>F6</v>
      </c>
      <c r="I59" s="10" t="str">
        <f t="shared" si="5"/>
        <v>BRN66M-F6</v>
      </c>
      <c r="J59" s="15"/>
      <c r="K59" s="16" t="str">
        <f t="shared" si="6"/>
        <v>collected</v>
      </c>
      <c r="L59" s="16" t="str">
        <f t="shared" si="7"/>
        <v>N</v>
      </c>
      <c r="M59" s="16"/>
      <c r="N59" s="16"/>
    </row>
    <row r="60">
      <c r="A60" s="6" t="s">
        <v>166</v>
      </c>
      <c r="B60" s="10" t="str">
        <f t="shared" si="1"/>
        <v>RNA-muscle</v>
      </c>
      <c r="C60" s="10" t="str">
        <f t="shared" si="2"/>
        <v>BRN66M-E6</v>
      </c>
      <c r="D60" s="6">
        <v>66.0</v>
      </c>
      <c r="E60" s="10" t="str">
        <f t="shared" si="3"/>
        <v>BRN66M</v>
      </c>
      <c r="F60" s="6" t="s">
        <v>66</v>
      </c>
      <c r="G60" s="6">
        <v>6.0</v>
      </c>
      <c r="H60" s="11" t="str">
        <f t="shared" si="4"/>
        <v>E6</v>
      </c>
      <c r="I60" s="10" t="str">
        <f t="shared" si="5"/>
        <v>BRN66M-E6</v>
      </c>
      <c r="J60" s="15"/>
      <c r="K60" s="16" t="str">
        <f t="shared" si="6"/>
        <v>collected</v>
      </c>
      <c r="L60" s="16" t="str">
        <f t="shared" si="7"/>
        <v>N</v>
      </c>
      <c r="M60" s="16"/>
      <c r="N60" s="16"/>
    </row>
    <row r="61">
      <c r="A61" s="6" t="s">
        <v>167</v>
      </c>
      <c r="B61" s="10" t="str">
        <f t="shared" si="1"/>
        <v>RNA-muscle</v>
      </c>
      <c r="C61" s="10" t="str">
        <f t="shared" si="2"/>
        <v>BRN66M-D6</v>
      </c>
      <c r="D61" s="6">
        <v>66.0</v>
      </c>
      <c r="E61" s="10" t="str">
        <f t="shared" si="3"/>
        <v>BRN66M</v>
      </c>
      <c r="F61" s="6" t="s">
        <v>68</v>
      </c>
      <c r="G61" s="6">
        <v>6.0</v>
      </c>
      <c r="H61" s="11" t="str">
        <f t="shared" si="4"/>
        <v>D6</v>
      </c>
      <c r="I61" s="10" t="str">
        <f t="shared" si="5"/>
        <v>BRN66M-D6</v>
      </c>
      <c r="J61" s="15"/>
      <c r="K61" s="16" t="str">
        <f t="shared" si="6"/>
        <v>collected</v>
      </c>
      <c r="L61" s="16" t="str">
        <f t="shared" si="7"/>
        <v>N</v>
      </c>
      <c r="M61" s="16"/>
      <c r="N61" s="16"/>
    </row>
    <row r="62">
      <c r="A62" s="6" t="s">
        <v>168</v>
      </c>
      <c r="B62" s="10" t="str">
        <f t="shared" si="1"/>
        <v>RNA-muscle</v>
      </c>
      <c r="C62" s="10" t="str">
        <f t="shared" si="2"/>
        <v>BRN66M-H3</v>
      </c>
      <c r="D62" s="6">
        <v>66.0</v>
      </c>
      <c r="E62" s="10" t="str">
        <f t="shared" si="3"/>
        <v>BRN66M</v>
      </c>
      <c r="F62" s="6" t="s">
        <v>51</v>
      </c>
      <c r="G62" s="6">
        <v>3.0</v>
      </c>
      <c r="H62" s="11" t="str">
        <f t="shared" si="4"/>
        <v>H3</v>
      </c>
      <c r="I62" s="10" t="str">
        <f t="shared" si="5"/>
        <v>BRN66M-H3</v>
      </c>
      <c r="J62" s="15"/>
      <c r="K62" s="16" t="str">
        <f t="shared" si="6"/>
        <v>collected</v>
      </c>
      <c r="L62" s="16" t="str">
        <f t="shared" si="7"/>
        <v>N</v>
      </c>
      <c r="M62" s="16"/>
      <c r="N62" s="16"/>
    </row>
    <row r="63">
      <c r="A63" s="6" t="s">
        <v>171</v>
      </c>
      <c r="B63" s="10" t="str">
        <f t="shared" si="1"/>
        <v>RNA-muscle</v>
      </c>
      <c r="C63" s="10" t="str">
        <f t="shared" si="2"/>
        <v>BRN66M-G3</v>
      </c>
      <c r="D63" s="6">
        <v>66.0</v>
      </c>
      <c r="E63" s="10" t="str">
        <f t="shared" si="3"/>
        <v>BRN66M</v>
      </c>
      <c r="F63" s="6" t="s">
        <v>56</v>
      </c>
      <c r="G63" s="6">
        <v>3.0</v>
      </c>
      <c r="H63" s="11" t="str">
        <f t="shared" si="4"/>
        <v>G3</v>
      </c>
      <c r="I63" s="10" t="str">
        <f t="shared" si="5"/>
        <v>BRN66M-G3</v>
      </c>
      <c r="J63" s="15"/>
      <c r="K63" s="16" t="str">
        <f t="shared" si="6"/>
        <v>collected</v>
      </c>
      <c r="L63" s="16" t="str">
        <f t="shared" si="7"/>
        <v>N</v>
      </c>
      <c r="M63" s="16"/>
      <c r="N63" s="16"/>
    </row>
    <row r="64">
      <c r="A64" s="6" t="s">
        <v>173</v>
      </c>
      <c r="B64" s="10" t="str">
        <f t="shared" si="1"/>
        <v>RNA-muscle</v>
      </c>
      <c r="C64" s="10" t="str">
        <f t="shared" si="2"/>
        <v>BRN66M-F3</v>
      </c>
      <c r="D64" s="6">
        <v>66.0</v>
      </c>
      <c r="E64" s="10" t="str">
        <f t="shared" si="3"/>
        <v>BRN66M</v>
      </c>
      <c r="F64" s="6" t="s">
        <v>61</v>
      </c>
      <c r="G64" s="6">
        <v>3.0</v>
      </c>
      <c r="H64" s="11" t="str">
        <f t="shared" si="4"/>
        <v>F3</v>
      </c>
      <c r="I64" s="10" t="str">
        <f t="shared" si="5"/>
        <v>BRN66M-F3</v>
      </c>
      <c r="J64" s="18" t="s">
        <v>174</v>
      </c>
      <c r="K64" s="16" t="str">
        <f t="shared" si="6"/>
        <v>collected</v>
      </c>
      <c r="L64" s="16" t="str">
        <f t="shared" si="7"/>
        <v>N</v>
      </c>
      <c r="M64" s="16"/>
      <c r="N64" s="16"/>
    </row>
    <row r="65">
      <c r="A65" s="6" t="s">
        <v>175</v>
      </c>
      <c r="B65" s="10" t="str">
        <f t="shared" si="1"/>
        <v>RNA-muscle</v>
      </c>
      <c r="C65" s="10" t="str">
        <f t="shared" si="2"/>
        <v>BRN66M-E3</v>
      </c>
      <c r="D65" s="6">
        <v>66.0</v>
      </c>
      <c r="E65" s="10" t="str">
        <f t="shared" si="3"/>
        <v>BRN66M</v>
      </c>
      <c r="F65" s="6" t="s">
        <v>66</v>
      </c>
      <c r="G65" s="6">
        <v>3.0</v>
      </c>
      <c r="H65" s="11" t="str">
        <f t="shared" si="4"/>
        <v>E3</v>
      </c>
      <c r="I65" s="10" t="str">
        <f t="shared" si="5"/>
        <v>BRN66M-E3</v>
      </c>
      <c r="J65" s="15"/>
      <c r="K65" s="16" t="str">
        <f t="shared" si="6"/>
        <v>collected</v>
      </c>
      <c r="L65" s="16" t="str">
        <f t="shared" si="7"/>
        <v>N</v>
      </c>
      <c r="M65" s="16"/>
      <c r="N65" s="16"/>
    </row>
    <row r="66">
      <c r="A66" s="6" t="s">
        <v>177</v>
      </c>
      <c r="B66" s="10" t="str">
        <f t="shared" si="1"/>
        <v>RNA-muscle</v>
      </c>
      <c r="C66" s="10" t="str">
        <f t="shared" si="2"/>
        <v>BRN66M-D3</v>
      </c>
      <c r="D66" s="6">
        <v>66.0</v>
      </c>
      <c r="E66" s="10" t="str">
        <f t="shared" si="3"/>
        <v>BRN66M</v>
      </c>
      <c r="F66" s="6" t="s">
        <v>68</v>
      </c>
      <c r="G66" s="6">
        <v>3.0</v>
      </c>
      <c r="H66" s="11" t="str">
        <f t="shared" si="4"/>
        <v>D3</v>
      </c>
      <c r="I66" s="10" t="str">
        <f t="shared" si="5"/>
        <v>BRN66M-D3</v>
      </c>
      <c r="J66" s="15"/>
      <c r="K66" s="16" t="str">
        <f t="shared" si="6"/>
        <v>collected</v>
      </c>
      <c r="L66" s="16" t="str">
        <f t="shared" si="7"/>
        <v>N</v>
      </c>
      <c r="M66" s="16"/>
      <c r="N66" s="16"/>
    </row>
    <row r="67">
      <c r="A67" s="6" t="s">
        <v>179</v>
      </c>
      <c r="B67" s="10" t="str">
        <f t="shared" si="1"/>
        <v>RNA-muscle</v>
      </c>
      <c r="C67" s="10" t="str">
        <f t="shared" si="2"/>
        <v>BRN66M-C3</v>
      </c>
      <c r="D67" s="6">
        <v>66.0</v>
      </c>
      <c r="E67" s="10" t="str">
        <f t="shared" si="3"/>
        <v>BRN66M</v>
      </c>
      <c r="F67" s="6" t="s">
        <v>72</v>
      </c>
      <c r="G67" s="6">
        <v>3.0</v>
      </c>
      <c r="H67" s="11" t="str">
        <f t="shared" si="4"/>
        <v>C3</v>
      </c>
      <c r="I67" s="10" t="str">
        <f t="shared" si="5"/>
        <v>BRN66M-C3</v>
      </c>
      <c r="J67" s="15"/>
      <c r="K67" s="16" t="str">
        <f t="shared" si="6"/>
        <v>collected</v>
      </c>
      <c r="L67" s="16" t="str">
        <f t="shared" si="7"/>
        <v>N</v>
      </c>
      <c r="M67" s="16"/>
      <c r="N67" s="16"/>
    </row>
    <row r="68">
      <c r="A68" s="6" t="s">
        <v>180</v>
      </c>
      <c r="B68" s="10" t="str">
        <f t="shared" si="1"/>
        <v>RNA-muscle</v>
      </c>
      <c r="C68" s="10" t="str">
        <f t="shared" si="2"/>
        <v>BRN66M-B3</v>
      </c>
      <c r="D68" s="6">
        <v>66.0</v>
      </c>
      <c r="E68" s="10" t="str">
        <f t="shared" si="3"/>
        <v>BRN66M</v>
      </c>
      <c r="F68" s="6" t="s">
        <v>74</v>
      </c>
      <c r="G68" s="6">
        <v>3.0</v>
      </c>
      <c r="H68" s="11" t="str">
        <f t="shared" si="4"/>
        <v>B3</v>
      </c>
      <c r="I68" s="10" t="str">
        <f t="shared" si="5"/>
        <v>BRN66M-B3</v>
      </c>
      <c r="J68" s="18" t="s">
        <v>183</v>
      </c>
      <c r="K68" s="16" t="str">
        <f t="shared" si="6"/>
        <v>collected</v>
      </c>
      <c r="L68" s="16" t="str">
        <f t="shared" si="7"/>
        <v>N</v>
      </c>
      <c r="M68" s="16"/>
      <c r="N68" s="16"/>
    </row>
    <row r="69">
      <c r="A69" s="6" t="s">
        <v>184</v>
      </c>
      <c r="B69" s="10" t="str">
        <f t="shared" si="1"/>
        <v>RNA-muscle</v>
      </c>
      <c r="C69" s="10" t="str">
        <f t="shared" si="2"/>
        <v>BRN66M-A3</v>
      </c>
      <c r="D69" s="6">
        <v>66.0</v>
      </c>
      <c r="E69" s="10" t="str">
        <f t="shared" si="3"/>
        <v>BRN66M</v>
      </c>
      <c r="F69" s="6" t="s">
        <v>76</v>
      </c>
      <c r="G69" s="6">
        <v>3.0</v>
      </c>
      <c r="H69" s="11" t="str">
        <f t="shared" si="4"/>
        <v>A3</v>
      </c>
      <c r="I69" s="10" t="str">
        <f t="shared" si="5"/>
        <v>BRN66M-A3</v>
      </c>
      <c r="J69" s="15"/>
      <c r="K69" s="16" t="str">
        <f t="shared" si="6"/>
        <v>collected</v>
      </c>
      <c r="L69" s="16" t="str">
        <f t="shared" si="7"/>
        <v>N</v>
      </c>
      <c r="M69" s="16"/>
      <c r="N69" s="16"/>
    </row>
    <row r="70">
      <c r="A70" s="6" t="s">
        <v>185</v>
      </c>
      <c r="B70" s="10" t="str">
        <f t="shared" si="1"/>
        <v>RNA-muscle</v>
      </c>
      <c r="C70" s="10" t="str">
        <f t="shared" si="2"/>
        <v>BRN66M-H5</v>
      </c>
      <c r="D70" s="6">
        <v>66.0</v>
      </c>
      <c r="E70" s="10" t="str">
        <f t="shared" si="3"/>
        <v>BRN66M</v>
      </c>
      <c r="F70" s="6" t="s">
        <v>51</v>
      </c>
      <c r="G70" s="6">
        <v>5.0</v>
      </c>
      <c r="H70" s="11" t="str">
        <f t="shared" si="4"/>
        <v>H5</v>
      </c>
      <c r="I70" s="10" t="str">
        <f t="shared" si="5"/>
        <v>BRN66M-H5</v>
      </c>
      <c r="J70" s="15"/>
      <c r="K70" s="16" t="str">
        <f t="shared" si="6"/>
        <v>collected</v>
      </c>
      <c r="L70" s="16" t="str">
        <f t="shared" si="7"/>
        <v>N</v>
      </c>
      <c r="M70" s="16"/>
      <c r="N70" s="16"/>
    </row>
    <row r="71">
      <c r="A71" s="6" t="s">
        <v>187</v>
      </c>
      <c r="B71" s="10" t="str">
        <f t="shared" si="1"/>
        <v>RNA-muscle</v>
      </c>
      <c r="C71" s="10" t="str">
        <f t="shared" si="2"/>
        <v>BRN66M-G5</v>
      </c>
      <c r="D71" s="6">
        <v>66.0</v>
      </c>
      <c r="E71" s="10" t="str">
        <f t="shared" si="3"/>
        <v>BRN66M</v>
      </c>
      <c r="F71" s="6" t="s">
        <v>56</v>
      </c>
      <c r="G71" s="6">
        <v>5.0</v>
      </c>
      <c r="H71" s="11" t="str">
        <f t="shared" si="4"/>
        <v>G5</v>
      </c>
      <c r="I71" s="10" t="str">
        <f t="shared" si="5"/>
        <v>BRN66M-G5</v>
      </c>
      <c r="J71" s="15"/>
      <c r="K71" s="16" t="str">
        <f t="shared" si="6"/>
        <v>collected</v>
      </c>
      <c r="L71" s="16" t="str">
        <f t="shared" si="7"/>
        <v>N</v>
      </c>
      <c r="M71" s="16"/>
      <c r="N71" s="16"/>
    </row>
    <row r="72">
      <c r="A72" s="6" t="s">
        <v>189</v>
      </c>
      <c r="B72" s="10" t="str">
        <f t="shared" si="1"/>
        <v>RNA-muscle</v>
      </c>
      <c r="C72" s="10" t="str">
        <f t="shared" si="2"/>
        <v>BRN66M-F5</v>
      </c>
      <c r="D72" s="6">
        <v>66.0</v>
      </c>
      <c r="E72" s="10" t="str">
        <f t="shared" si="3"/>
        <v>BRN66M</v>
      </c>
      <c r="F72" s="6" t="s">
        <v>61</v>
      </c>
      <c r="G72" s="6">
        <v>5.0</v>
      </c>
      <c r="H72" s="11" t="str">
        <f t="shared" si="4"/>
        <v>F5</v>
      </c>
      <c r="I72" s="10" t="str">
        <f t="shared" si="5"/>
        <v>BRN66M-F5</v>
      </c>
      <c r="J72" s="15"/>
      <c r="K72" s="16" t="str">
        <f t="shared" si="6"/>
        <v>collected</v>
      </c>
      <c r="L72" s="16" t="str">
        <f t="shared" si="7"/>
        <v>N</v>
      </c>
      <c r="M72" s="16"/>
      <c r="N72" s="16"/>
    </row>
    <row r="73">
      <c r="A73" s="6" t="s">
        <v>191</v>
      </c>
      <c r="B73" s="10" t="str">
        <f t="shared" si="1"/>
        <v>RNA-muscle</v>
      </c>
      <c r="C73" s="10" t="str">
        <f t="shared" si="2"/>
        <v>BRN66M-E5</v>
      </c>
      <c r="D73" s="6">
        <v>66.0</v>
      </c>
      <c r="E73" s="10" t="str">
        <f t="shared" si="3"/>
        <v>BRN66M</v>
      </c>
      <c r="F73" s="6" t="s">
        <v>66</v>
      </c>
      <c r="G73" s="6">
        <v>5.0</v>
      </c>
      <c r="H73" s="11" t="str">
        <f t="shared" si="4"/>
        <v>E5</v>
      </c>
      <c r="I73" s="10" t="str">
        <f t="shared" si="5"/>
        <v>BRN66M-E5</v>
      </c>
      <c r="J73" s="15"/>
      <c r="K73" s="16" t="str">
        <f t="shared" si="6"/>
        <v>collected</v>
      </c>
      <c r="L73" s="16" t="str">
        <f t="shared" si="7"/>
        <v>N</v>
      </c>
      <c r="M73" s="16"/>
      <c r="N73" s="16"/>
    </row>
    <row r="74">
      <c r="A74" s="6" t="s">
        <v>194</v>
      </c>
      <c r="B74" s="10" t="str">
        <f t="shared" si="1"/>
        <v>RNA-muscle</v>
      </c>
      <c r="C74" s="10" t="str">
        <f t="shared" si="2"/>
        <v>BRN66M-D5</v>
      </c>
      <c r="D74" s="6">
        <v>66.0</v>
      </c>
      <c r="E74" s="10" t="str">
        <f t="shared" si="3"/>
        <v>BRN66M</v>
      </c>
      <c r="F74" s="6" t="s">
        <v>68</v>
      </c>
      <c r="G74" s="6">
        <v>5.0</v>
      </c>
      <c r="H74" s="11" t="str">
        <f t="shared" si="4"/>
        <v>D5</v>
      </c>
      <c r="I74" s="10" t="str">
        <f t="shared" si="5"/>
        <v>BRN66M-D5</v>
      </c>
      <c r="J74" s="15"/>
      <c r="K74" s="16" t="str">
        <f t="shared" si="6"/>
        <v>collected</v>
      </c>
      <c r="L74" s="16" t="str">
        <f t="shared" si="7"/>
        <v>N</v>
      </c>
      <c r="M74" s="16"/>
      <c r="N74" s="16"/>
    </row>
    <row r="75">
      <c r="A75" s="6" t="s">
        <v>195</v>
      </c>
      <c r="B75" s="10" t="str">
        <f t="shared" si="1"/>
        <v>RNA-muscle</v>
      </c>
      <c r="C75" s="10" t="str">
        <f t="shared" si="2"/>
        <v>BRN66M-C5</v>
      </c>
      <c r="D75" s="6">
        <v>66.0</v>
      </c>
      <c r="E75" s="10" t="str">
        <f t="shared" si="3"/>
        <v>BRN66M</v>
      </c>
      <c r="F75" s="6" t="s">
        <v>72</v>
      </c>
      <c r="G75" s="6">
        <v>5.0</v>
      </c>
      <c r="H75" s="11" t="str">
        <f t="shared" si="4"/>
        <v>C5</v>
      </c>
      <c r="I75" s="10" t="str">
        <f t="shared" si="5"/>
        <v>BRN66M-C5</v>
      </c>
      <c r="J75" s="15"/>
      <c r="K75" s="16" t="str">
        <f t="shared" si="6"/>
        <v>collected</v>
      </c>
      <c r="L75" s="16" t="str">
        <f t="shared" si="7"/>
        <v>N</v>
      </c>
      <c r="M75" s="16"/>
      <c r="N75" s="16"/>
    </row>
    <row r="76">
      <c r="A76" s="6" t="s">
        <v>196</v>
      </c>
      <c r="B76" s="10" t="str">
        <f t="shared" si="1"/>
        <v>RNA-muscle</v>
      </c>
      <c r="C76" s="10" t="str">
        <f t="shared" si="2"/>
        <v>BRN66M-B5</v>
      </c>
      <c r="D76" s="6">
        <v>66.0</v>
      </c>
      <c r="E76" s="10" t="str">
        <f t="shared" si="3"/>
        <v>BRN66M</v>
      </c>
      <c r="F76" s="6" t="s">
        <v>74</v>
      </c>
      <c r="G76" s="6">
        <v>5.0</v>
      </c>
      <c r="H76" s="11" t="str">
        <f t="shared" si="4"/>
        <v>B5</v>
      </c>
      <c r="I76" s="10" t="str">
        <f t="shared" si="5"/>
        <v>BRN66M-B5</v>
      </c>
      <c r="J76" s="15"/>
      <c r="K76" s="16" t="str">
        <f t="shared" si="6"/>
        <v>collected</v>
      </c>
      <c r="L76" s="16" t="str">
        <f t="shared" si="7"/>
        <v>N</v>
      </c>
      <c r="M76" s="16"/>
      <c r="N76" s="16"/>
    </row>
    <row r="77">
      <c r="A77" s="6" t="s">
        <v>198</v>
      </c>
      <c r="B77" s="10" t="str">
        <f t="shared" si="1"/>
        <v>RNA-muscle</v>
      </c>
      <c r="C77" s="10" t="str">
        <f t="shared" si="2"/>
        <v>BRN66M-A5</v>
      </c>
      <c r="D77" s="6">
        <v>66.0</v>
      </c>
      <c r="E77" s="10" t="str">
        <f t="shared" si="3"/>
        <v>BRN66M</v>
      </c>
      <c r="F77" s="6" t="s">
        <v>76</v>
      </c>
      <c r="G77" s="6">
        <v>5.0</v>
      </c>
      <c r="H77" s="11" t="str">
        <f t="shared" si="4"/>
        <v>A5</v>
      </c>
      <c r="I77" s="10" t="str">
        <f t="shared" si="5"/>
        <v>BRN66M-A5</v>
      </c>
      <c r="J77" s="15"/>
      <c r="K77" s="16" t="str">
        <f t="shared" si="6"/>
        <v>collected</v>
      </c>
      <c r="L77" s="16" t="str">
        <f t="shared" si="7"/>
        <v>N</v>
      </c>
      <c r="M77" s="16"/>
      <c r="N77" s="16"/>
    </row>
    <row r="78">
      <c r="A78" s="6" t="s">
        <v>199</v>
      </c>
      <c r="B78" s="10" t="str">
        <f t="shared" si="1"/>
        <v>RNA-muscle</v>
      </c>
      <c r="C78" s="10" t="str">
        <f t="shared" si="2"/>
        <v>BRN66M-C6</v>
      </c>
      <c r="D78" s="6">
        <v>66.0</v>
      </c>
      <c r="E78" s="10" t="str">
        <f t="shared" si="3"/>
        <v>BRN66M</v>
      </c>
      <c r="F78" s="6" t="s">
        <v>72</v>
      </c>
      <c r="G78" s="6">
        <v>6.0</v>
      </c>
      <c r="H78" s="11" t="str">
        <f t="shared" si="4"/>
        <v>C6</v>
      </c>
      <c r="I78" s="10" t="str">
        <f t="shared" si="5"/>
        <v>BRN66M-C6</v>
      </c>
      <c r="J78" s="16"/>
      <c r="K78" s="16" t="str">
        <f t="shared" si="6"/>
        <v>collected</v>
      </c>
      <c r="L78" s="16" t="str">
        <f t="shared" si="7"/>
        <v>N</v>
      </c>
      <c r="M78" s="16"/>
      <c r="N78" s="16"/>
    </row>
    <row r="79">
      <c r="A79" s="6" t="s">
        <v>202</v>
      </c>
      <c r="B79" s="10" t="str">
        <f t="shared" si="1"/>
        <v>RNA-muscle</v>
      </c>
      <c r="C79" s="10" t="str">
        <f t="shared" si="2"/>
        <v>BRN66M-B6</v>
      </c>
      <c r="D79" s="6">
        <v>66.0</v>
      </c>
      <c r="E79" s="10" t="str">
        <f t="shared" si="3"/>
        <v>BRN66M</v>
      </c>
      <c r="F79" s="6" t="s">
        <v>74</v>
      </c>
      <c r="G79" s="6">
        <v>6.0</v>
      </c>
      <c r="H79" s="11" t="str">
        <f t="shared" si="4"/>
        <v>B6</v>
      </c>
      <c r="I79" s="10" t="str">
        <f t="shared" si="5"/>
        <v>BRN66M-B6</v>
      </c>
      <c r="J79" s="16"/>
      <c r="K79" s="16" t="str">
        <f t="shared" si="6"/>
        <v>collected</v>
      </c>
      <c r="L79" s="16" t="str">
        <f t="shared" si="7"/>
        <v>N</v>
      </c>
      <c r="M79" s="16"/>
      <c r="N79" s="16"/>
    </row>
    <row r="80">
      <c r="A80" s="6" t="s">
        <v>204</v>
      </c>
      <c r="B80" s="10" t="str">
        <f t="shared" si="1"/>
        <v>RNA-muscle</v>
      </c>
      <c r="C80" s="10" t="str">
        <f t="shared" si="2"/>
        <v>BRN66M-A6</v>
      </c>
      <c r="D80" s="6">
        <v>66.0</v>
      </c>
      <c r="E80" s="10" t="str">
        <f t="shared" si="3"/>
        <v>BRN66M</v>
      </c>
      <c r="F80" s="6" t="s">
        <v>76</v>
      </c>
      <c r="G80" s="6">
        <v>6.0</v>
      </c>
      <c r="H80" s="11" t="str">
        <f t="shared" si="4"/>
        <v>A6</v>
      </c>
      <c r="I80" s="10" t="str">
        <f t="shared" si="5"/>
        <v>BRN66M-A6</v>
      </c>
      <c r="J80" s="16"/>
      <c r="K80" s="16" t="str">
        <f t="shared" si="6"/>
        <v>collected</v>
      </c>
      <c r="L80" s="16" t="str">
        <f t="shared" si="7"/>
        <v>N</v>
      </c>
      <c r="M80" s="16"/>
      <c r="N80" s="16"/>
    </row>
    <row r="81">
      <c r="A81" s="6" t="s">
        <v>205</v>
      </c>
      <c r="B81" s="10" t="str">
        <f t="shared" si="1"/>
        <v>RNA-muscle</v>
      </c>
      <c r="C81" s="10" t="str">
        <f t="shared" si="2"/>
        <v>BRN66M-H7</v>
      </c>
      <c r="D81" s="6">
        <v>66.0</v>
      </c>
      <c r="E81" s="10" t="str">
        <f t="shared" si="3"/>
        <v>BRN66M</v>
      </c>
      <c r="F81" s="6" t="s">
        <v>51</v>
      </c>
      <c r="G81" s="6">
        <v>7.0</v>
      </c>
      <c r="H81" s="11" t="str">
        <f t="shared" si="4"/>
        <v>H7</v>
      </c>
      <c r="I81" s="10" t="str">
        <f t="shared" si="5"/>
        <v>BRN66M-H7</v>
      </c>
      <c r="J81" s="16"/>
      <c r="K81" s="16" t="str">
        <f t="shared" si="6"/>
        <v>collected</v>
      </c>
      <c r="L81" s="16" t="str">
        <f t="shared" si="7"/>
        <v>N</v>
      </c>
      <c r="M81" s="16"/>
      <c r="N81" s="16"/>
    </row>
    <row r="82">
      <c r="A82" s="25" t="s">
        <v>209</v>
      </c>
      <c r="B82" s="10" t="str">
        <f t="shared" si="1"/>
        <v>RNA-muscle</v>
      </c>
      <c r="C82" s="10" t="str">
        <f t="shared" si="2"/>
        <v>BRN66M-G7</v>
      </c>
      <c r="D82" s="6">
        <v>66.0</v>
      </c>
      <c r="E82" s="10" t="str">
        <f t="shared" si="3"/>
        <v>BRN66M</v>
      </c>
      <c r="F82" s="6" t="s">
        <v>56</v>
      </c>
      <c r="G82" s="6">
        <v>7.0</v>
      </c>
      <c r="H82" s="11" t="str">
        <f t="shared" si="4"/>
        <v>G7</v>
      </c>
      <c r="I82" s="10" t="str">
        <f t="shared" si="5"/>
        <v>BRN66M-G7</v>
      </c>
      <c r="J82" s="16"/>
      <c r="K82" s="16" t="str">
        <f t="shared" si="6"/>
        <v>collected</v>
      </c>
      <c r="L82" s="16" t="str">
        <f t="shared" si="7"/>
        <v>N</v>
      </c>
      <c r="M82" s="16"/>
      <c r="N82" s="16"/>
    </row>
    <row r="83">
      <c r="A83" s="25" t="s">
        <v>210</v>
      </c>
      <c r="B83" s="10" t="str">
        <f t="shared" si="1"/>
        <v>RNA-muscle</v>
      </c>
      <c r="C83" s="10" t="str">
        <f t="shared" si="2"/>
        <v>BRN66M-F7</v>
      </c>
      <c r="D83" s="6">
        <v>66.0</v>
      </c>
      <c r="E83" s="10" t="str">
        <f t="shared" si="3"/>
        <v>BRN66M</v>
      </c>
      <c r="F83" s="6" t="s">
        <v>61</v>
      </c>
      <c r="G83" s="6">
        <v>7.0</v>
      </c>
      <c r="H83" s="11" t="str">
        <f t="shared" si="4"/>
        <v>F7</v>
      </c>
      <c r="I83" s="10" t="str">
        <f t="shared" si="5"/>
        <v>BRN66M-F7</v>
      </c>
      <c r="J83" s="16"/>
      <c r="K83" s="16" t="str">
        <f t="shared" si="6"/>
        <v>collected</v>
      </c>
      <c r="L83" s="16" t="str">
        <f t="shared" si="7"/>
        <v>N</v>
      </c>
      <c r="M83" s="16"/>
      <c r="N83" s="16"/>
    </row>
    <row r="84">
      <c r="A84" s="25" t="s">
        <v>212</v>
      </c>
      <c r="B84" s="10" t="str">
        <f t="shared" si="1"/>
        <v>RNA-muscle</v>
      </c>
      <c r="C84" s="10" t="str">
        <f t="shared" si="2"/>
        <v>BRN66M-E7</v>
      </c>
      <c r="D84" s="6">
        <v>66.0</v>
      </c>
      <c r="E84" s="10" t="str">
        <f t="shared" si="3"/>
        <v>BRN66M</v>
      </c>
      <c r="F84" s="6" t="s">
        <v>66</v>
      </c>
      <c r="G84" s="6">
        <v>7.0</v>
      </c>
      <c r="H84" s="11" t="str">
        <f t="shared" si="4"/>
        <v>E7</v>
      </c>
      <c r="I84" s="10" t="str">
        <f t="shared" si="5"/>
        <v>BRN66M-E7</v>
      </c>
      <c r="J84" s="16"/>
      <c r="K84" s="16" t="str">
        <f t="shared" si="6"/>
        <v>collected</v>
      </c>
      <c r="L84" s="16" t="str">
        <f t="shared" si="7"/>
        <v>N</v>
      </c>
      <c r="M84" s="16"/>
      <c r="N84" s="16"/>
    </row>
    <row r="85">
      <c r="A85" s="25" t="s">
        <v>215</v>
      </c>
      <c r="B85" s="10" t="str">
        <f t="shared" si="1"/>
        <v>RNA-muscle</v>
      </c>
      <c r="C85" s="10" t="str">
        <f t="shared" si="2"/>
        <v>BRN66M-D7</v>
      </c>
      <c r="D85" s="6">
        <v>66.0</v>
      </c>
      <c r="E85" s="10" t="str">
        <f t="shared" si="3"/>
        <v>BRN66M</v>
      </c>
      <c r="F85" s="6" t="s">
        <v>68</v>
      </c>
      <c r="G85" s="6">
        <v>7.0</v>
      </c>
      <c r="H85" s="11" t="str">
        <f t="shared" si="4"/>
        <v>D7</v>
      </c>
      <c r="I85" s="10" t="str">
        <f t="shared" si="5"/>
        <v>BRN66M-D7</v>
      </c>
      <c r="J85" s="16"/>
      <c r="K85" s="16" t="str">
        <f t="shared" si="6"/>
        <v>collected</v>
      </c>
      <c r="L85" s="16" t="str">
        <f t="shared" si="7"/>
        <v>N</v>
      </c>
      <c r="M85" s="16"/>
      <c r="N85" s="16"/>
    </row>
    <row r="86">
      <c r="A86" s="25" t="s">
        <v>217</v>
      </c>
      <c r="B86" s="10" t="str">
        <f t="shared" si="1"/>
        <v>RNA-muscle</v>
      </c>
      <c r="C86" s="10" t="str">
        <f t="shared" si="2"/>
        <v>BRN66M-C7</v>
      </c>
      <c r="D86" s="6">
        <v>66.0</v>
      </c>
      <c r="E86" s="10" t="str">
        <f t="shared" si="3"/>
        <v>BRN66M</v>
      </c>
      <c r="F86" s="6" t="s">
        <v>72</v>
      </c>
      <c r="G86" s="6">
        <v>7.0</v>
      </c>
      <c r="H86" s="11" t="str">
        <f t="shared" si="4"/>
        <v>C7</v>
      </c>
      <c r="I86" s="10" t="str">
        <f t="shared" si="5"/>
        <v>BRN66M-C7</v>
      </c>
      <c r="J86" s="6"/>
      <c r="K86" s="16" t="str">
        <f t="shared" si="6"/>
        <v>collected</v>
      </c>
      <c r="L86" s="16" t="str">
        <f t="shared" si="7"/>
        <v>N</v>
      </c>
      <c r="M86" s="16"/>
      <c r="N86" s="16"/>
    </row>
    <row r="87">
      <c r="A87" s="25" t="s">
        <v>220</v>
      </c>
      <c r="B87" s="10" t="str">
        <f t="shared" si="1"/>
        <v>RNA-muscle</v>
      </c>
      <c r="C87" s="10" t="str">
        <f t="shared" si="2"/>
        <v>BRN66M-B7</v>
      </c>
      <c r="D87" s="6">
        <v>66.0</v>
      </c>
      <c r="E87" s="10" t="str">
        <f t="shared" si="3"/>
        <v>BRN66M</v>
      </c>
      <c r="F87" s="6" t="s">
        <v>74</v>
      </c>
      <c r="G87" s="6">
        <v>7.0</v>
      </c>
      <c r="H87" s="11" t="str">
        <f t="shared" si="4"/>
        <v>B7</v>
      </c>
      <c r="I87" s="10" t="str">
        <f t="shared" si="5"/>
        <v>BRN66M-B7</v>
      </c>
      <c r="J87" s="16"/>
      <c r="K87" s="16" t="str">
        <f t="shared" si="6"/>
        <v>collected</v>
      </c>
      <c r="L87" s="16" t="str">
        <f t="shared" si="7"/>
        <v>N</v>
      </c>
      <c r="M87" s="16"/>
      <c r="N87" s="16"/>
    </row>
    <row r="88">
      <c r="A88" s="25" t="s">
        <v>222</v>
      </c>
      <c r="B88" s="10" t="str">
        <f t="shared" si="1"/>
        <v>RNA-muscle</v>
      </c>
      <c r="C88" s="10" t="str">
        <f t="shared" si="2"/>
        <v>BRN66M-A7</v>
      </c>
      <c r="D88" s="6">
        <v>66.0</v>
      </c>
      <c r="E88" s="10" t="str">
        <f t="shared" si="3"/>
        <v>BRN66M</v>
      </c>
      <c r="F88" s="6" t="s">
        <v>76</v>
      </c>
      <c r="G88" s="6">
        <v>7.0</v>
      </c>
      <c r="H88" s="11" t="str">
        <f t="shared" si="4"/>
        <v>A7</v>
      </c>
      <c r="I88" s="10" t="str">
        <f t="shared" si="5"/>
        <v>BRN66M-A7</v>
      </c>
      <c r="J88" s="16"/>
      <c r="K88" s="16" t="str">
        <f t="shared" si="6"/>
        <v>collected</v>
      </c>
      <c r="L88" s="16" t="str">
        <f t="shared" si="7"/>
        <v>N</v>
      </c>
      <c r="M88" s="16"/>
      <c r="N88" s="16"/>
    </row>
    <row r="89">
      <c r="A89" s="25" t="s">
        <v>225</v>
      </c>
      <c r="B89" s="10" t="str">
        <f t="shared" si="1"/>
        <v>RNA-muscle</v>
      </c>
      <c r="C89" s="10" t="str">
        <f t="shared" si="2"/>
        <v>BRN66M-H8</v>
      </c>
      <c r="D89" s="6">
        <v>66.0</v>
      </c>
      <c r="E89" s="10" t="str">
        <f t="shared" si="3"/>
        <v>BRN66M</v>
      </c>
      <c r="F89" s="6" t="s">
        <v>51</v>
      </c>
      <c r="G89" s="6">
        <v>8.0</v>
      </c>
      <c r="H89" s="11" t="str">
        <f t="shared" si="4"/>
        <v>H8</v>
      </c>
      <c r="I89" s="10" t="str">
        <f t="shared" si="5"/>
        <v>BRN66M-H8</v>
      </c>
      <c r="J89" s="16"/>
      <c r="K89" s="16" t="str">
        <f t="shared" si="6"/>
        <v>collected</v>
      </c>
      <c r="L89" s="16" t="str">
        <f t="shared" si="7"/>
        <v>N</v>
      </c>
      <c r="M89" s="16"/>
      <c r="N89" s="16"/>
    </row>
    <row r="90">
      <c r="A90" s="25" t="s">
        <v>226</v>
      </c>
      <c r="B90" s="10" t="str">
        <f t="shared" si="1"/>
        <v>RNA-muscle</v>
      </c>
      <c r="C90" s="10" t="str">
        <f t="shared" si="2"/>
        <v>BRN66M-G8</v>
      </c>
      <c r="D90" s="6">
        <v>66.0</v>
      </c>
      <c r="E90" s="10" t="str">
        <f t="shared" si="3"/>
        <v>BRN66M</v>
      </c>
      <c r="F90" s="6" t="s">
        <v>56</v>
      </c>
      <c r="G90" s="6">
        <v>8.0</v>
      </c>
      <c r="H90" s="11" t="str">
        <f t="shared" si="4"/>
        <v>G8</v>
      </c>
      <c r="I90" s="10" t="str">
        <f t="shared" si="5"/>
        <v>BRN66M-G8</v>
      </c>
      <c r="J90" s="6"/>
      <c r="K90" s="16" t="str">
        <f t="shared" si="6"/>
        <v>collected</v>
      </c>
      <c r="L90" s="16" t="str">
        <f t="shared" si="7"/>
        <v>N</v>
      </c>
      <c r="M90" s="16"/>
      <c r="N90" s="16"/>
    </row>
    <row r="91">
      <c r="A91" s="25" t="s">
        <v>228</v>
      </c>
      <c r="B91" s="10" t="str">
        <f t="shared" si="1"/>
        <v>RNA-muscle</v>
      </c>
      <c r="C91" s="10" t="str">
        <f t="shared" si="2"/>
        <v>BRN66M-F8</v>
      </c>
      <c r="D91" s="6">
        <v>66.0</v>
      </c>
      <c r="E91" s="10" t="str">
        <f t="shared" si="3"/>
        <v>BRN66M</v>
      </c>
      <c r="F91" s="6" t="s">
        <v>61</v>
      </c>
      <c r="G91" s="6">
        <v>8.0</v>
      </c>
      <c r="H91" s="11" t="str">
        <f t="shared" si="4"/>
        <v>F8</v>
      </c>
      <c r="I91" s="10" t="str">
        <f t="shared" si="5"/>
        <v>BRN66M-F8</v>
      </c>
      <c r="J91" s="6"/>
      <c r="K91" s="16" t="str">
        <f t="shared" si="6"/>
        <v>collected</v>
      </c>
      <c r="L91" s="16" t="str">
        <f t="shared" si="7"/>
        <v>N</v>
      </c>
      <c r="M91" s="16"/>
      <c r="N91" s="16"/>
    </row>
    <row r="92">
      <c r="A92" s="25" t="s">
        <v>230</v>
      </c>
      <c r="B92" s="10" t="str">
        <f t="shared" si="1"/>
        <v>RNA-muscle</v>
      </c>
      <c r="C92" s="10" t="str">
        <f t="shared" si="2"/>
        <v>BRN66M-E8</v>
      </c>
      <c r="D92" s="6">
        <v>66.0</v>
      </c>
      <c r="E92" s="10" t="str">
        <f t="shared" si="3"/>
        <v>BRN66M</v>
      </c>
      <c r="F92" s="6" t="s">
        <v>66</v>
      </c>
      <c r="G92" s="6">
        <v>8.0</v>
      </c>
      <c r="H92" s="11" t="str">
        <f t="shared" si="4"/>
        <v>E8</v>
      </c>
      <c r="I92" s="10" t="str">
        <f t="shared" si="5"/>
        <v>BRN66M-E8</v>
      </c>
      <c r="J92" s="6"/>
      <c r="K92" s="16" t="str">
        <f t="shared" si="6"/>
        <v>collected</v>
      </c>
      <c r="L92" s="16" t="str">
        <f t="shared" si="7"/>
        <v>N</v>
      </c>
      <c r="M92" s="16"/>
      <c r="N92" s="16"/>
    </row>
    <row r="93">
      <c r="A93" s="25" t="s">
        <v>232</v>
      </c>
      <c r="B93" s="10" t="str">
        <f t="shared" si="1"/>
        <v>RNA-muscle</v>
      </c>
      <c r="C93" s="10" t="str">
        <f t="shared" si="2"/>
        <v>BRN66M-D8</v>
      </c>
      <c r="D93" s="6">
        <v>66.0</v>
      </c>
      <c r="E93" s="10" t="str">
        <f t="shared" si="3"/>
        <v>BRN66M</v>
      </c>
      <c r="F93" s="6" t="s">
        <v>68</v>
      </c>
      <c r="G93" s="6">
        <v>8.0</v>
      </c>
      <c r="H93" s="11" t="str">
        <f t="shared" si="4"/>
        <v>D8</v>
      </c>
      <c r="I93" s="10" t="str">
        <f t="shared" si="5"/>
        <v>BRN66M-D8</v>
      </c>
      <c r="J93" s="16"/>
      <c r="K93" s="16" t="str">
        <f t="shared" si="6"/>
        <v>collected</v>
      </c>
      <c r="L93" s="16" t="str">
        <f t="shared" si="7"/>
        <v>N</v>
      </c>
      <c r="M93" s="16"/>
      <c r="N93" s="16"/>
    </row>
    <row r="94">
      <c r="A94" s="25" t="s">
        <v>234</v>
      </c>
      <c r="B94" s="10" t="str">
        <f t="shared" si="1"/>
        <v>RNA-muscle</v>
      </c>
      <c r="C94" s="10" t="str">
        <f t="shared" si="2"/>
        <v>BRN66M-C8</v>
      </c>
      <c r="D94" s="6">
        <v>66.0</v>
      </c>
      <c r="E94" s="10" t="str">
        <f t="shared" si="3"/>
        <v>BRN66M</v>
      </c>
      <c r="F94" s="6" t="s">
        <v>72</v>
      </c>
      <c r="G94" s="6">
        <v>8.0</v>
      </c>
      <c r="H94" s="11" t="str">
        <f t="shared" si="4"/>
        <v>C8</v>
      </c>
      <c r="I94" s="10" t="str">
        <f t="shared" si="5"/>
        <v>BRN66M-C8</v>
      </c>
      <c r="J94" s="16"/>
      <c r="K94" s="16" t="str">
        <f t="shared" si="6"/>
        <v>collected</v>
      </c>
      <c r="L94" s="16" t="str">
        <f t="shared" si="7"/>
        <v>N</v>
      </c>
      <c r="M94" s="16"/>
      <c r="N94" s="16"/>
    </row>
    <row r="95">
      <c r="A95" s="25" t="s">
        <v>235</v>
      </c>
      <c r="B95" s="10" t="str">
        <f t="shared" si="1"/>
        <v>RNA-muscle</v>
      </c>
      <c r="C95" s="10" t="str">
        <f t="shared" si="2"/>
        <v>BRN66M-B8</v>
      </c>
      <c r="D95" s="6">
        <v>66.0</v>
      </c>
      <c r="E95" s="10" t="str">
        <f t="shared" si="3"/>
        <v>BRN66M</v>
      </c>
      <c r="F95" s="6" t="s">
        <v>74</v>
      </c>
      <c r="G95" s="6">
        <v>8.0</v>
      </c>
      <c r="H95" s="11" t="str">
        <f t="shared" si="4"/>
        <v>B8</v>
      </c>
      <c r="I95" s="10" t="str">
        <f t="shared" si="5"/>
        <v>BRN66M-B8</v>
      </c>
      <c r="J95" s="6"/>
      <c r="K95" s="16" t="str">
        <f t="shared" si="6"/>
        <v>collected</v>
      </c>
      <c r="L95" s="16" t="str">
        <f t="shared" si="7"/>
        <v>N</v>
      </c>
      <c r="M95" s="16"/>
      <c r="N95" s="16"/>
    </row>
    <row r="96">
      <c r="A96" s="25" t="s">
        <v>238</v>
      </c>
      <c r="B96" s="10" t="str">
        <f t="shared" si="1"/>
        <v>RNA-muscle</v>
      </c>
      <c r="C96" s="10" t="str">
        <f t="shared" si="2"/>
        <v>BRN66M-A8</v>
      </c>
      <c r="D96" s="6">
        <v>66.0</v>
      </c>
      <c r="E96" s="10" t="str">
        <f t="shared" si="3"/>
        <v>BRN66M</v>
      </c>
      <c r="F96" s="6" t="s">
        <v>76</v>
      </c>
      <c r="G96" s="6">
        <v>8.0</v>
      </c>
      <c r="H96" s="11" t="str">
        <f t="shared" si="4"/>
        <v>A8</v>
      </c>
      <c r="I96" s="10" t="str">
        <f t="shared" si="5"/>
        <v>BRN66M-A8</v>
      </c>
      <c r="J96" s="6"/>
      <c r="K96" s="16" t="str">
        <f t="shared" si="6"/>
        <v>collected</v>
      </c>
      <c r="L96" s="16" t="str">
        <f t="shared" si="7"/>
        <v>N</v>
      </c>
      <c r="M96" s="16"/>
      <c r="N96" s="16"/>
    </row>
    <row r="97">
      <c r="A97" s="25" t="s">
        <v>239</v>
      </c>
      <c r="B97" s="10" t="str">
        <f t="shared" si="1"/>
        <v>RNA-muscle</v>
      </c>
      <c r="C97" s="10" t="str">
        <f t="shared" si="2"/>
        <v>BRN66M-H10</v>
      </c>
      <c r="D97" s="6">
        <v>66.0</v>
      </c>
      <c r="E97" s="10" t="str">
        <f t="shared" si="3"/>
        <v>BRN66M</v>
      </c>
      <c r="F97" s="6" t="s">
        <v>51</v>
      </c>
      <c r="G97" s="6">
        <v>10.0</v>
      </c>
      <c r="H97" s="11" t="str">
        <f t="shared" si="4"/>
        <v>H10</v>
      </c>
      <c r="I97" s="10" t="str">
        <f t="shared" si="5"/>
        <v>BRN66M-H10</v>
      </c>
      <c r="J97" s="16"/>
      <c r="K97" s="16" t="str">
        <f t="shared" si="6"/>
        <v>collected</v>
      </c>
      <c r="L97" s="16" t="str">
        <f t="shared" si="7"/>
        <v>N</v>
      </c>
      <c r="M97" s="16"/>
      <c r="N97" s="16"/>
    </row>
    <row r="98">
      <c r="A98" s="26" t="s">
        <v>241</v>
      </c>
      <c r="B98" s="10" t="str">
        <f t="shared" si="1"/>
        <v>RNA-muscle</v>
      </c>
      <c r="C98" s="10" t="str">
        <f t="shared" si="2"/>
        <v>BRN66M-G10</v>
      </c>
      <c r="D98" s="6">
        <v>66.0</v>
      </c>
      <c r="E98" s="10" t="str">
        <f t="shared" si="3"/>
        <v>BRN66M</v>
      </c>
      <c r="F98" s="6" t="s">
        <v>56</v>
      </c>
      <c r="G98" s="6">
        <v>10.0</v>
      </c>
      <c r="H98" s="11" t="str">
        <f t="shared" si="4"/>
        <v>G10</v>
      </c>
      <c r="I98" s="10" t="str">
        <f t="shared" si="5"/>
        <v>BRN66M-G10</v>
      </c>
      <c r="J98" s="16"/>
      <c r="K98" s="16" t="str">
        <f t="shared" si="6"/>
        <v>collected</v>
      </c>
      <c r="L98" s="16" t="str">
        <f t="shared" si="7"/>
        <v>N</v>
      </c>
      <c r="M98" s="16"/>
      <c r="N98" s="16"/>
    </row>
    <row r="99">
      <c r="A99" s="26" t="s">
        <v>245</v>
      </c>
      <c r="B99" s="10" t="str">
        <f t="shared" si="1"/>
        <v>RNA-muscle</v>
      </c>
      <c r="C99" s="10" t="str">
        <f t="shared" si="2"/>
        <v>BRN66M-F10</v>
      </c>
      <c r="D99" s="6">
        <v>66.0</v>
      </c>
      <c r="E99" s="10" t="str">
        <f t="shared" si="3"/>
        <v>BRN66M</v>
      </c>
      <c r="F99" s="6" t="s">
        <v>61</v>
      </c>
      <c r="G99" s="6">
        <v>10.0</v>
      </c>
      <c r="H99" s="11" t="str">
        <f t="shared" si="4"/>
        <v>F10</v>
      </c>
      <c r="I99" s="10" t="str">
        <f t="shared" si="5"/>
        <v>BRN66M-F10</v>
      </c>
      <c r="J99" s="16"/>
      <c r="K99" s="16" t="str">
        <f t="shared" si="6"/>
        <v>collected</v>
      </c>
      <c r="L99" s="16" t="str">
        <f t="shared" si="7"/>
        <v>N</v>
      </c>
      <c r="M99" s="16"/>
      <c r="N99" s="16"/>
    </row>
    <row r="100">
      <c r="A100" s="26" t="s">
        <v>247</v>
      </c>
      <c r="B100" s="10" t="str">
        <f t="shared" si="1"/>
        <v>RNA-muscle</v>
      </c>
      <c r="C100" s="10" t="str">
        <f t="shared" si="2"/>
        <v>BRN66M-E10</v>
      </c>
      <c r="D100" s="6">
        <v>66.0</v>
      </c>
      <c r="E100" s="10" t="str">
        <f t="shared" si="3"/>
        <v>BRN66M</v>
      </c>
      <c r="F100" s="6" t="s">
        <v>66</v>
      </c>
      <c r="G100" s="6">
        <v>10.0</v>
      </c>
      <c r="H100" s="11" t="str">
        <f t="shared" si="4"/>
        <v>E10</v>
      </c>
      <c r="I100" s="10" t="str">
        <f t="shared" si="5"/>
        <v>BRN66M-E10</v>
      </c>
      <c r="J100" s="16"/>
      <c r="K100" s="16" t="str">
        <f t="shared" si="6"/>
        <v>collected</v>
      </c>
      <c r="L100" s="16" t="str">
        <f t="shared" si="7"/>
        <v>N</v>
      </c>
      <c r="M100" s="16"/>
      <c r="N100" s="16"/>
    </row>
    <row r="101">
      <c r="A101" s="26" t="s">
        <v>248</v>
      </c>
      <c r="B101" s="10" t="str">
        <f t="shared" si="1"/>
        <v>RNA-muscle</v>
      </c>
      <c r="C101" s="10" t="str">
        <f t="shared" si="2"/>
        <v>BRN66M-D10</v>
      </c>
      <c r="D101" s="6">
        <v>66.0</v>
      </c>
      <c r="E101" s="10" t="str">
        <f t="shared" si="3"/>
        <v>BRN66M</v>
      </c>
      <c r="F101" s="6" t="s">
        <v>68</v>
      </c>
      <c r="G101" s="6">
        <v>10.0</v>
      </c>
      <c r="H101" s="11" t="str">
        <f t="shared" si="4"/>
        <v>D10</v>
      </c>
      <c r="I101" s="10" t="str">
        <f t="shared" si="5"/>
        <v>BRN66M-D10</v>
      </c>
      <c r="J101" s="6"/>
      <c r="K101" s="16" t="str">
        <f t="shared" si="6"/>
        <v>collected</v>
      </c>
      <c r="L101" s="16" t="str">
        <f t="shared" si="7"/>
        <v>N</v>
      </c>
      <c r="M101" s="16"/>
      <c r="N101" s="16"/>
    </row>
    <row r="102">
      <c r="A102" s="26" t="s">
        <v>250</v>
      </c>
      <c r="B102" s="10" t="str">
        <f t="shared" si="1"/>
        <v>RNA-muscle</v>
      </c>
      <c r="C102" s="10" t="str">
        <f t="shared" si="2"/>
        <v>BRN66M-C10</v>
      </c>
      <c r="D102" s="6">
        <v>66.0</v>
      </c>
      <c r="E102" s="10" t="str">
        <f t="shared" si="3"/>
        <v>BRN66M</v>
      </c>
      <c r="F102" s="6" t="s">
        <v>72</v>
      </c>
      <c r="G102" s="6">
        <v>10.0</v>
      </c>
      <c r="H102" s="11" t="str">
        <f t="shared" si="4"/>
        <v>C10</v>
      </c>
      <c r="I102" s="10" t="str">
        <f t="shared" si="5"/>
        <v>BRN66M-C10</v>
      </c>
      <c r="J102" s="6"/>
      <c r="K102" s="16" t="str">
        <f t="shared" si="6"/>
        <v>collected</v>
      </c>
      <c r="L102" s="16" t="str">
        <f t="shared" si="7"/>
        <v>N</v>
      </c>
      <c r="M102" s="16"/>
      <c r="N102" s="16"/>
    </row>
    <row r="103">
      <c r="A103" s="26" t="s">
        <v>252</v>
      </c>
      <c r="B103" s="10" t="str">
        <f t="shared" si="1"/>
        <v>RNA-muscle</v>
      </c>
      <c r="C103" s="10" t="str">
        <f t="shared" si="2"/>
        <v>BRN66M-B10</v>
      </c>
      <c r="D103" s="6">
        <v>66.0</v>
      </c>
      <c r="E103" s="10" t="str">
        <f t="shared" si="3"/>
        <v>BRN66M</v>
      </c>
      <c r="F103" s="6" t="s">
        <v>74</v>
      </c>
      <c r="G103" s="6">
        <v>10.0</v>
      </c>
      <c r="H103" s="11" t="str">
        <f t="shared" si="4"/>
        <v>B10</v>
      </c>
      <c r="I103" s="10" t="str">
        <f t="shared" si="5"/>
        <v>BRN66M-B10</v>
      </c>
      <c r="J103" s="16"/>
      <c r="K103" s="16" t="str">
        <f t="shared" si="6"/>
        <v>collected</v>
      </c>
      <c r="L103" s="16" t="str">
        <f t="shared" si="7"/>
        <v>N</v>
      </c>
      <c r="M103" s="16"/>
      <c r="N103" s="16"/>
    </row>
    <row r="104">
      <c r="A104" s="26" t="s">
        <v>254</v>
      </c>
      <c r="B104" s="10" t="str">
        <f t="shared" si="1"/>
        <v>RNA-muscle</v>
      </c>
      <c r="C104" s="10" t="str">
        <f t="shared" si="2"/>
        <v>BRN66M-H9</v>
      </c>
      <c r="D104" s="6">
        <v>66.0</v>
      </c>
      <c r="E104" s="10" t="str">
        <f t="shared" si="3"/>
        <v>BRN66M</v>
      </c>
      <c r="F104" s="6" t="s">
        <v>51</v>
      </c>
      <c r="G104" s="6">
        <v>9.0</v>
      </c>
      <c r="H104" s="11" t="str">
        <f t="shared" si="4"/>
        <v>H9</v>
      </c>
      <c r="I104" s="10" t="str">
        <f t="shared" si="5"/>
        <v>BRN66M-H9</v>
      </c>
      <c r="J104" s="6"/>
      <c r="K104" s="16" t="str">
        <f t="shared" si="6"/>
        <v>collected</v>
      </c>
      <c r="L104" s="16" t="str">
        <f t="shared" si="7"/>
        <v>N</v>
      </c>
      <c r="M104" s="16"/>
      <c r="N104" s="16"/>
    </row>
    <row r="105">
      <c r="A105" s="26" t="s">
        <v>256</v>
      </c>
      <c r="B105" s="10" t="str">
        <f t="shared" si="1"/>
        <v>RNA-muscle</v>
      </c>
      <c r="C105" s="10" t="str">
        <f t="shared" si="2"/>
        <v>BRN66M-G9</v>
      </c>
      <c r="D105" s="6">
        <v>66.0</v>
      </c>
      <c r="E105" s="10" t="str">
        <f t="shared" si="3"/>
        <v>BRN66M</v>
      </c>
      <c r="F105" s="6" t="s">
        <v>56</v>
      </c>
      <c r="G105" s="6">
        <v>9.0</v>
      </c>
      <c r="H105" s="11" t="str">
        <f t="shared" si="4"/>
        <v>G9</v>
      </c>
      <c r="I105" s="10" t="str">
        <f t="shared" si="5"/>
        <v>BRN66M-G9</v>
      </c>
      <c r="J105" s="16"/>
      <c r="K105" s="16" t="str">
        <f t="shared" si="6"/>
        <v>collected</v>
      </c>
      <c r="L105" s="16" t="str">
        <f t="shared" si="7"/>
        <v>N</v>
      </c>
      <c r="M105" s="16"/>
      <c r="N105" s="16"/>
    </row>
    <row r="106">
      <c r="A106" s="26" t="s">
        <v>258</v>
      </c>
      <c r="B106" s="10" t="str">
        <f t="shared" si="1"/>
        <v>RNA-muscle</v>
      </c>
      <c r="C106" s="10" t="str">
        <f t="shared" si="2"/>
        <v>BRN66M-F9</v>
      </c>
      <c r="D106" s="6">
        <v>66.0</v>
      </c>
      <c r="E106" s="10" t="str">
        <f t="shared" si="3"/>
        <v>BRN66M</v>
      </c>
      <c r="F106" s="6" t="s">
        <v>61</v>
      </c>
      <c r="G106" s="6">
        <v>9.0</v>
      </c>
      <c r="H106" s="11" t="str">
        <f t="shared" si="4"/>
        <v>F9</v>
      </c>
      <c r="I106" s="10" t="str">
        <f t="shared" si="5"/>
        <v>BRN66M-F9</v>
      </c>
      <c r="J106" s="6"/>
      <c r="K106" s="16" t="str">
        <f t="shared" si="6"/>
        <v>collected</v>
      </c>
      <c r="L106" s="16" t="str">
        <f t="shared" si="7"/>
        <v>N</v>
      </c>
      <c r="M106" s="16"/>
      <c r="N106" s="16"/>
    </row>
    <row r="107">
      <c r="A107" s="27" t="s">
        <v>260</v>
      </c>
      <c r="B107" s="10" t="str">
        <f t="shared" si="1"/>
        <v>RNA-muscle</v>
      </c>
      <c r="C107" s="10" t="str">
        <f t="shared" si="2"/>
        <v>BRN66M-E9</v>
      </c>
      <c r="D107" s="6">
        <v>66.0</v>
      </c>
      <c r="E107" s="10" t="str">
        <f t="shared" si="3"/>
        <v>BRN66M</v>
      </c>
      <c r="F107" s="6" t="s">
        <v>66</v>
      </c>
      <c r="G107" s="6">
        <v>9.0</v>
      </c>
      <c r="H107" s="11" t="str">
        <f t="shared" si="4"/>
        <v>E9</v>
      </c>
      <c r="I107" s="10" t="str">
        <f t="shared" si="5"/>
        <v>BRN66M-E9</v>
      </c>
      <c r="J107" s="16"/>
      <c r="K107" s="16" t="str">
        <f t="shared" si="6"/>
        <v>collected</v>
      </c>
      <c r="L107" s="16" t="str">
        <f t="shared" si="7"/>
        <v>N</v>
      </c>
      <c r="M107" s="16"/>
      <c r="N107" s="16"/>
    </row>
    <row r="108">
      <c r="A108" s="27" t="s">
        <v>262</v>
      </c>
      <c r="B108" s="10" t="str">
        <f t="shared" si="1"/>
        <v>RNA-muscle</v>
      </c>
      <c r="C108" s="10" t="str">
        <f t="shared" si="2"/>
        <v>BRN66M-D9</v>
      </c>
      <c r="D108" s="6">
        <v>66.0</v>
      </c>
      <c r="E108" s="10" t="str">
        <f t="shared" si="3"/>
        <v>BRN66M</v>
      </c>
      <c r="F108" s="6" t="s">
        <v>68</v>
      </c>
      <c r="G108" s="6">
        <v>9.0</v>
      </c>
      <c r="H108" s="11" t="str">
        <f t="shared" si="4"/>
        <v>D9</v>
      </c>
      <c r="I108" s="10" t="str">
        <f t="shared" si="5"/>
        <v>BRN66M-D9</v>
      </c>
      <c r="J108" s="16"/>
      <c r="K108" s="16" t="str">
        <f t="shared" si="6"/>
        <v>collected</v>
      </c>
      <c r="L108" s="16" t="str">
        <f t="shared" si="7"/>
        <v>N</v>
      </c>
      <c r="M108" s="16"/>
      <c r="N108" s="16"/>
    </row>
    <row r="109">
      <c r="A109" s="27" t="s">
        <v>264</v>
      </c>
      <c r="B109" s="10" t="str">
        <f t="shared" si="1"/>
        <v>RNA-muscle</v>
      </c>
      <c r="C109" s="10" t="str">
        <f t="shared" si="2"/>
        <v>BRN66M-C9</v>
      </c>
      <c r="D109" s="6">
        <v>66.0</v>
      </c>
      <c r="E109" s="10" t="str">
        <f t="shared" si="3"/>
        <v>BRN66M</v>
      </c>
      <c r="F109" s="6" t="s">
        <v>72</v>
      </c>
      <c r="G109" s="6">
        <v>9.0</v>
      </c>
      <c r="H109" s="11" t="str">
        <f t="shared" si="4"/>
        <v>C9</v>
      </c>
      <c r="I109" s="10" t="str">
        <f t="shared" si="5"/>
        <v>BRN66M-C9</v>
      </c>
      <c r="J109" s="16"/>
      <c r="K109" s="16" t="str">
        <f t="shared" si="6"/>
        <v>collected</v>
      </c>
      <c r="L109" s="16" t="str">
        <f t="shared" si="7"/>
        <v>N</v>
      </c>
      <c r="M109" s="16"/>
      <c r="N109" s="16"/>
    </row>
    <row r="110">
      <c r="A110" s="27" t="s">
        <v>266</v>
      </c>
      <c r="B110" s="10" t="str">
        <f t="shared" si="1"/>
        <v>RNA-muscle</v>
      </c>
      <c r="C110" s="10" t="str">
        <f t="shared" si="2"/>
        <v>BRN66M-B9</v>
      </c>
      <c r="D110" s="6">
        <v>66.0</v>
      </c>
      <c r="E110" s="10" t="str">
        <f t="shared" si="3"/>
        <v>BRN66M</v>
      </c>
      <c r="F110" s="6" t="s">
        <v>74</v>
      </c>
      <c r="G110" s="6">
        <v>9.0</v>
      </c>
      <c r="H110" s="11" t="str">
        <f t="shared" si="4"/>
        <v>B9</v>
      </c>
      <c r="I110" s="10" t="str">
        <f t="shared" si="5"/>
        <v>BRN66M-B9</v>
      </c>
      <c r="J110" s="6"/>
      <c r="K110" s="16" t="str">
        <f t="shared" si="6"/>
        <v>collected</v>
      </c>
      <c r="L110" s="16" t="str">
        <f t="shared" si="7"/>
        <v>N</v>
      </c>
      <c r="M110" s="16"/>
      <c r="N110" s="16"/>
    </row>
    <row r="111">
      <c r="A111" s="27" t="s">
        <v>269</v>
      </c>
      <c r="B111" s="10" t="str">
        <f t="shared" si="1"/>
        <v>RNA-muscle</v>
      </c>
      <c r="C111" s="10" t="str">
        <f t="shared" si="2"/>
        <v>BRN66M-A9</v>
      </c>
      <c r="D111" s="6">
        <v>66.0</v>
      </c>
      <c r="E111" s="10" t="str">
        <f t="shared" si="3"/>
        <v>BRN66M</v>
      </c>
      <c r="F111" s="6" t="s">
        <v>76</v>
      </c>
      <c r="G111" s="6">
        <v>9.0</v>
      </c>
      <c r="H111" s="11" t="str">
        <f t="shared" si="4"/>
        <v>A9</v>
      </c>
      <c r="I111" s="10" t="str">
        <f t="shared" si="5"/>
        <v>BRN66M-A9</v>
      </c>
      <c r="J111" s="16"/>
      <c r="K111" s="16" t="str">
        <f t="shared" si="6"/>
        <v>collected</v>
      </c>
      <c r="L111" s="16" t="str">
        <f t="shared" si="7"/>
        <v>N</v>
      </c>
      <c r="M111" s="16"/>
      <c r="N111" s="16"/>
    </row>
    <row r="112">
      <c r="A112" s="27" t="s">
        <v>271</v>
      </c>
      <c r="B112" s="10" t="str">
        <f t="shared" si="1"/>
        <v>RNA-muscle</v>
      </c>
      <c r="C112" s="10" t="str">
        <f t="shared" si="2"/>
        <v>BRN64M-H1</v>
      </c>
      <c r="D112" s="6">
        <v>64.0</v>
      </c>
      <c r="E112" s="10" t="str">
        <f t="shared" si="3"/>
        <v>BRN64M</v>
      </c>
      <c r="F112" s="6" t="s">
        <v>51</v>
      </c>
      <c r="G112" s="6">
        <v>1.0</v>
      </c>
      <c r="H112" s="11" t="str">
        <f t="shared" si="4"/>
        <v>H1</v>
      </c>
      <c r="I112" s="10" t="str">
        <f t="shared" si="5"/>
        <v>BRN64M-H1</v>
      </c>
      <c r="J112" s="16"/>
      <c r="K112" s="16" t="str">
        <f t="shared" si="6"/>
        <v>collected</v>
      </c>
      <c r="L112" s="16" t="str">
        <f t="shared" si="7"/>
        <v>N</v>
      </c>
      <c r="M112" s="16"/>
      <c r="N112" s="16"/>
    </row>
    <row r="113">
      <c r="A113" s="27" t="s">
        <v>272</v>
      </c>
      <c r="B113" s="10" t="str">
        <f t="shared" si="1"/>
        <v>RNA-muscle</v>
      </c>
      <c r="C113" s="10" t="str">
        <f t="shared" si="2"/>
        <v>BRN64M-G1</v>
      </c>
      <c r="D113" s="6">
        <v>64.0</v>
      </c>
      <c r="E113" s="10" t="str">
        <f t="shared" si="3"/>
        <v>BRN64M</v>
      </c>
      <c r="F113" s="6" t="s">
        <v>56</v>
      </c>
      <c r="G113" s="6">
        <v>1.0</v>
      </c>
      <c r="H113" s="11" t="str">
        <f t="shared" si="4"/>
        <v>G1</v>
      </c>
      <c r="I113" s="10" t="str">
        <f t="shared" si="5"/>
        <v>BRN64M-G1</v>
      </c>
      <c r="J113" s="16"/>
      <c r="K113" s="16" t="str">
        <f t="shared" si="6"/>
        <v>collected</v>
      </c>
      <c r="L113" s="16" t="str">
        <f t="shared" si="7"/>
        <v>N</v>
      </c>
      <c r="M113" s="16"/>
      <c r="N113" s="16"/>
    </row>
    <row r="114">
      <c r="A114" s="27" t="s">
        <v>274</v>
      </c>
      <c r="B114" s="10" t="str">
        <f t="shared" si="1"/>
        <v>RNA-muscle</v>
      </c>
      <c r="C114" s="10" t="str">
        <f t="shared" si="2"/>
        <v>BRN64M-F1</v>
      </c>
      <c r="D114" s="6">
        <v>64.0</v>
      </c>
      <c r="E114" s="10" t="str">
        <f t="shared" si="3"/>
        <v>BRN64M</v>
      </c>
      <c r="F114" s="6" t="s">
        <v>61</v>
      </c>
      <c r="G114" s="6">
        <v>1.0</v>
      </c>
      <c r="H114" s="11" t="str">
        <f t="shared" si="4"/>
        <v>F1</v>
      </c>
      <c r="I114" s="10" t="str">
        <f t="shared" si="5"/>
        <v>BRN64M-F1</v>
      </c>
      <c r="J114" s="16"/>
      <c r="K114" s="16" t="str">
        <f t="shared" si="6"/>
        <v>collected</v>
      </c>
      <c r="L114" s="16" t="str">
        <f t="shared" si="7"/>
        <v>N</v>
      </c>
      <c r="M114" s="16"/>
      <c r="N114" s="16"/>
    </row>
    <row r="115">
      <c r="A115" s="27" t="s">
        <v>276</v>
      </c>
      <c r="B115" s="10" t="str">
        <f t="shared" si="1"/>
        <v>RNA-muscle</v>
      </c>
      <c r="C115" s="10" t="str">
        <f t="shared" si="2"/>
        <v>BRN64M-E1</v>
      </c>
      <c r="D115" s="6">
        <v>64.0</v>
      </c>
      <c r="E115" s="10" t="str">
        <f t="shared" si="3"/>
        <v>BRN64M</v>
      </c>
      <c r="F115" s="6" t="s">
        <v>66</v>
      </c>
      <c r="G115" s="6">
        <v>1.0</v>
      </c>
      <c r="H115" s="11" t="str">
        <f t="shared" si="4"/>
        <v>E1</v>
      </c>
      <c r="I115" s="10" t="str">
        <f t="shared" si="5"/>
        <v>BRN64M-E1</v>
      </c>
      <c r="J115" s="16"/>
      <c r="K115" s="16" t="str">
        <f t="shared" si="6"/>
        <v>collected</v>
      </c>
      <c r="L115" s="16" t="str">
        <f t="shared" si="7"/>
        <v>N</v>
      </c>
      <c r="M115" s="16"/>
      <c r="N115" s="16"/>
    </row>
    <row r="116">
      <c r="A116" s="26" t="s">
        <v>278</v>
      </c>
      <c r="B116" s="10" t="str">
        <f t="shared" si="1"/>
        <v>RNA-muscle</v>
      </c>
      <c r="C116" s="10" t="str">
        <f t="shared" si="2"/>
        <v>BRN64M-D1</v>
      </c>
      <c r="D116" s="6">
        <v>64.0</v>
      </c>
      <c r="E116" s="10" t="str">
        <f t="shared" si="3"/>
        <v>BRN64M</v>
      </c>
      <c r="F116" s="6" t="s">
        <v>68</v>
      </c>
      <c r="G116" s="6">
        <v>1.0</v>
      </c>
      <c r="H116" s="11" t="str">
        <f t="shared" si="4"/>
        <v>D1</v>
      </c>
      <c r="I116" s="10" t="str">
        <f t="shared" si="5"/>
        <v>BRN64M-D1</v>
      </c>
      <c r="J116" s="6"/>
      <c r="K116" s="16" t="str">
        <f t="shared" si="6"/>
        <v>collected</v>
      </c>
      <c r="L116" s="16" t="str">
        <f t="shared" si="7"/>
        <v>N</v>
      </c>
      <c r="M116" s="16"/>
      <c r="N116" s="16"/>
    </row>
    <row r="117">
      <c r="A117" s="26" t="s">
        <v>279</v>
      </c>
      <c r="B117" s="10" t="str">
        <f t="shared" si="1"/>
        <v>RNA-muscle</v>
      </c>
      <c r="C117" s="10" t="str">
        <f t="shared" si="2"/>
        <v>BRN64M-C1</v>
      </c>
      <c r="D117" s="6">
        <v>64.0</v>
      </c>
      <c r="E117" s="10" t="str">
        <f t="shared" si="3"/>
        <v>BRN64M</v>
      </c>
      <c r="F117" s="6" t="s">
        <v>72</v>
      </c>
      <c r="G117" s="6">
        <v>1.0</v>
      </c>
      <c r="H117" s="11" t="str">
        <f t="shared" si="4"/>
        <v>C1</v>
      </c>
      <c r="I117" s="10" t="str">
        <f t="shared" si="5"/>
        <v>BRN64M-C1</v>
      </c>
      <c r="J117" s="16"/>
      <c r="K117" s="16" t="str">
        <f t="shared" si="6"/>
        <v>collected</v>
      </c>
      <c r="L117" s="16" t="str">
        <f t="shared" si="7"/>
        <v>N</v>
      </c>
      <c r="M117" s="16"/>
      <c r="N117" s="16"/>
    </row>
    <row r="118">
      <c r="A118" s="26" t="s">
        <v>280</v>
      </c>
      <c r="B118" s="10" t="str">
        <f t="shared" si="1"/>
        <v>RNA-muscle</v>
      </c>
      <c r="C118" s="10" t="str">
        <f t="shared" si="2"/>
        <v>BRN66M-A10</v>
      </c>
      <c r="D118" s="6">
        <v>66.0</v>
      </c>
      <c r="E118" s="10" t="str">
        <f t="shared" si="3"/>
        <v>BRN66M</v>
      </c>
      <c r="F118" s="6" t="s">
        <v>76</v>
      </c>
      <c r="G118" s="6">
        <v>10.0</v>
      </c>
      <c r="H118" s="11" t="str">
        <f t="shared" si="4"/>
        <v>A10</v>
      </c>
      <c r="I118" s="10" t="str">
        <f t="shared" si="5"/>
        <v>BRN66M-A10</v>
      </c>
      <c r="J118" s="16"/>
      <c r="K118" s="16" t="str">
        <f t="shared" si="6"/>
        <v>collected</v>
      </c>
      <c r="L118" s="16" t="str">
        <f t="shared" si="7"/>
        <v>N</v>
      </c>
      <c r="M118" s="16"/>
      <c r="N118" s="16"/>
    </row>
    <row r="119">
      <c r="A119" s="26" t="s">
        <v>286</v>
      </c>
      <c r="B119" s="10" t="str">
        <f t="shared" si="1"/>
        <v>RNA-muscle</v>
      </c>
      <c r="C119" s="10" t="str">
        <f t="shared" si="2"/>
        <v>BRN66M-H11</v>
      </c>
      <c r="D119" s="6">
        <v>66.0</v>
      </c>
      <c r="E119" s="10" t="str">
        <f t="shared" si="3"/>
        <v>BRN66M</v>
      </c>
      <c r="F119" s="6" t="s">
        <v>51</v>
      </c>
      <c r="G119" s="6">
        <v>11.0</v>
      </c>
      <c r="H119" s="11" t="str">
        <f t="shared" si="4"/>
        <v>H11</v>
      </c>
      <c r="I119" s="10" t="str">
        <f t="shared" si="5"/>
        <v>BRN66M-H11</v>
      </c>
      <c r="J119" s="16"/>
      <c r="K119" s="16" t="str">
        <f t="shared" si="6"/>
        <v>collected</v>
      </c>
      <c r="L119" s="16" t="str">
        <f t="shared" si="7"/>
        <v>N</v>
      </c>
      <c r="M119" s="16"/>
      <c r="N119" s="16"/>
    </row>
    <row r="120">
      <c r="A120" s="26" t="s">
        <v>287</v>
      </c>
      <c r="B120" s="10" t="str">
        <f t="shared" si="1"/>
        <v>RNA-muscle</v>
      </c>
      <c r="C120" s="10" t="str">
        <f t="shared" si="2"/>
        <v>BRN66M-G11</v>
      </c>
      <c r="D120" s="6">
        <v>66.0</v>
      </c>
      <c r="E120" s="10" t="str">
        <f t="shared" si="3"/>
        <v>BRN66M</v>
      </c>
      <c r="F120" s="6" t="s">
        <v>56</v>
      </c>
      <c r="G120" s="6">
        <v>11.0</v>
      </c>
      <c r="H120" s="11" t="str">
        <f t="shared" si="4"/>
        <v>G11</v>
      </c>
      <c r="I120" s="10" t="str">
        <f t="shared" si="5"/>
        <v>BRN66M-G11</v>
      </c>
      <c r="J120" s="16"/>
      <c r="K120" s="16" t="str">
        <f t="shared" si="6"/>
        <v>collected</v>
      </c>
      <c r="L120" s="16" t="str">
        <f t="shared" si="7"/>
        <v>N</v>
      </c>
      <c r="M120" s="16"/>
      <c r="N120" s="16"/>
    </row>
    <row r="121">
      <c r="A121" s="26" t="s">
        <v>289</v>
      </c>
      <c r="B121" s="10" t="str">
        <f t="shared" si="1"/>
        <v>RNA-muscle</v>
      </c>
      <c r="C121" s="10" t="str">
        <f t="shared" si="2"/>
        <v>BRN66M-F11</v>
      </c>
      <c r="D121" s="6">
        <v>66.0</v>
      </c>
      <c r="E121" s="10" t="str">
        <f t="shared" si="3"/>
        <v>BRN66M</v>
      </c>
      <c r="F121" s="6" t="s">
        <v>61</v>
      </c>
      <c r="G121" s="6">
        <v>11.0</v>
      </c>
      <c r="H121" s="11" t="str">
        <f t="shared" si="4"/>
        <v>F11</v>
      </c>
      <c r="I121" s="10" t="str">
        <f t="shared" si="5"/>
        <v>BRN66M-F11</v>
      </c>
      <c r="J121" s="16"/>
      <c r="K121" s="16" t="str">
        <f t="shared" si="6"/>
        <v>collected</v>
      </c>
      <c r="L121" s="16" t="str">
        <f t="shared" si="7"/>
        <v>N</v>
      </c>
      <c r="M121" s="16"/>
      <c r="N121" s="16"/>
    </row>
    <row r="122">
      <c r="A122" s="26" t="s">
        <v>291</v>
      </c>
      <c r="B122" s="10" t="str">
        <f t="shared" si="1"/>
        <v>RNA-muscle</v>
      </c>
      <c r="C122" s="10" t="str">
        <f t="shared" si="2"/>
        <v>BRN66M-E11</v>
      </c>
      <c r="D122" s="6">
        <v>66.0</v>
      </c>
      <c r="E122" s="10" t="str">
        <f t="shared" si="3"/>
        <v>BRN66M</v>
      </c>
      <c r="F122" s="6" t="s">
        <v>66</v>
      </c>
      <c r="G122" s="6">
        <v>11.0</v>
      </c>
      <c r="H122" s="11" t="str">
        <f t="shared" si="4"/>
        <v>E11</v>
      </c>
      <c r="I122" s="10" t="str">
        <f t="shared" si="5"/>
        <v>BRN66M-E11</v>
      </c>
      <c r="J122" s="16"/>
      <c r="K122" s="16" t="str">
        <f t="shared" si="6"/>
        <v>collected</v>
      </c>
      <c r="L122" s="16" t="str">
        <f t="shared" si="7"/>
        <v>N</v>
      </c>
      <c r="M122" s="16"/>
      <c r="N122" s="16"/>
    </row>
    <row r="123">
      <c r="A123" s="26" t="s">
        <v>292</v>
      </c>
      <c r="B123" s="10" t="str">
        <f t="shared" si="1"/>
        <v>RNA-muscle</v>
      </c>
      <c r="C123" s="10" t="str">
        <f t="shared" si="2"/>
        <v>BRN66M-D11</v>
      </c>
      <c r="D123" s="6">
        <v>66.0</v>
      </c>
      <c r="E123" s="10" t="str">
        <f t="shared" si="3"/>
        <v>BRN66M</v>
      </c>
      <c r="F123" s="6" t="s">
        <v>68</v>
      </c>
      <c r="G123" s="6">
        <v>11.0</v>
      </c>
      <c r="H123" s="11" t="str">
        <f t="shared" si="4"/>
        <v>D11</v>
      </c>
      <c r="I123" s="10" t="str">
        <f t="shared" si="5"/>
        <v>BRN66M-D11</v>
      </c>
      <c r="J123" s="16"/>
      <c r="K123" s="16" t="str">
        <f t="shared" si="6"/>
        <v>collected</v>
      </c>
      <c r="L123" s="16" t="str">
        <f t="shared" si="7"/>
        <v>N</v>
      </c>
      <c r="M123" s="16"/>
      <c r="N123" s="16"/>
    </row>
    <row r="124">
      <c r="A124" s="26" t="s">
        <v>294</v>
      </c>
      <c r="B124" s="10" t="str">
        <f t="shared" si="1"/>
        <v>RNA-muscle</v>
      </c>
      <c r="C124" s="10" t="str">
        <f t="shared" si="2"/>
        <v>BRN66M-C11</v>
      </c>
      <c r="D124" s="6">
        <v>66.0</v>
      </c>
      <c r="E124" s="10" t="str">
        <f t="shared" si="3"/>
        <v>BRN66M</v>
      </c>
      <c r="F124" s="6" t="s">
        <v>72</v>
      </c>
      <c r="G124" s="6">
        <v>11.0</v>
      </c>
      <c r="H124" s="11" t="str">
        <f t="shared" si="4"/>
        <v>C11</v>
      </c>
      <c r="I124" s="10" t="str">
        <f t="shared" si="5"/>
        <v>BRN66M-C11</v>
      </c>
      <c r="J124" s="6"/>
      <c r="K124" s="16" t="str">
        <f t="shared" si="6"/>
        <v>collected</v>
      </c>
      <c r="L124" s="16" t="str">
        <f t="shared" si="7"/>
        <v>N</v>
      </c>
      <c r="M124" s="16"/>
      <c r="N124" s="16"/>
    </row>
    <row r="125">
      <c r="A125" s="26" t="s">
        <v>295</v>
      </c>
      <c r="B125" s="10" t="str">
        <f t="shared" si="1"/>
        <v>RNA-muscle</v>
      </c>
      <c r="C125" s="10" t="str">
        <f t="shared" si="2"/>
        <v>BRN66M-B11</v>
      </c>
      <c r="D125" s="6">
        <v>66.0</v>
      </c>
      <c r="E125" s="10" t="str">
        <f t="shared" si="3"/>
        <v>BRN66M</v>
      </c>
      <c r="F125" s="6" t="s">
        <v>74</v>
      </c>
      <c r="G125" s="6">
        <v>11.0</v>
      </c>
      <c r="H125" s="11" t="str">
        <f t="shared" si="4"/>
        <v>B11</v>
      </c>
      <c r="I125" s="10" t="str">
        <f t="shared" si="5"/>
        <v>BRN66M-B11</v>
      </c>
      <c r="J125" s="16"/>
      <c r="K125" s="16" t="str">
        <f t="shared" si="6"/>
        <v>collected</v>
      </c>
      <c r="L125" s="16" t="str">
        <f t="shared" si="7"/>
        <v>N</v>
      </c>
      <c r="M125" s="16"/>
      <c r="N125" s="16"/>
    </row>
    <row r="126">
      <c r="A126" s="6" t="s">
        <v>297</v>
      </c>
      <c r="B126" s="10" t="str">
        <f t="shared" si="1"/>
        <v>RNA-muscle</v>
      </c>
      <c r="C126" s="10" t="str">
        <f t="shared" si="2"/>
        <v>BRN66M-A11</v>
      </c>
      <c r="D126" s="6">
        <v>66.0</v>
      </c>
      <c r="E126" s="10" t="str">
        <f t="shared" si="3"/>
        <v>BRN66M</v>
      </c>
      <c r="F126" s="6" t="s">
        <v>76</v>
      </c>
      <c r="G126" s="6">
        <v>11.0</v>
      </c>
      <c r="H126" s="11" t="str">
        <f t="shared" si="4"/>
        <v>A11</v>
      </c>
      <c r="I126" s="10" t="str">
        <f t="shared" si="5"/>
        <v>BRN66M-A11</v>
      </c>
      <c r="J126" s="16"/>
      <c r="K126" s="16" t="str">
        <f t="shared" si="6"/>
        <v>collected</v>
      </c>
      <c r="L126" s="16" t="str">
        <f t="shared" si="7"/>
        <v>N</v>
      </c>
      <c r="M126" s="16"/>
      <c r="N126" s="16"/>
    </row>
    <row r="127">
      <c r="A127" s="6" t="s">
        <v>298</v>
      </c>
      <c r="B127" s="10" t="str">
        <f t="shared" si="1"/>
        <v>RNA-muscle</v>
      </c>
      <c r="C127" s="10" t="str">
        <f t="shared" si="2"/>
        <v>BRN66M-G12</v>
      </c>
      <c r="D127" s="6">
        <v>66.0</v>
      </c>
      <c r="E127" s="10" t="str">
        <f t="shared" si="3"/>
        <v>BRN66M</v>
      </c>
      <c r="F127" s="6" t="s">
        <v>56</v>
      </c>
      <c r="G127" s="6">
        <v>12.0</v>
      </c>
      <c r="H127" s="11" t="str">
        <f t="shared" si="4"/>
        <v>G12</v>
      </c>
      <c r="I127" s="10" t="str">
        <f t="shared" si="5"/>
        <v>BRN66M-G12</v>
      </c>
      <c r="J127" s="6"/>
      <c r="K127" s="16" t="str">
        <f t="shared" si="6"/>
        <v>collected</v>
      </c>
      <c r="L127" s="16" t="str">
        <f t="shared" si="7"/>
        <v>N</v>
      </c>
      <c r="M127" s="16"/>
      <c r="N127" s="16"/>
    </row>
    <row r="128">
      <c r="A128" s="27" t="s">
        <v>301</v>
      </c>
      <c r="B128" s="10" t="str">
        <f t="shared" si="1"/>
        <v>RNA-muscle</v>
      </c>
      <c r="C128" s="10" t="str">
        <f t="shared" si="2"/>
        <v>BRN66M-F12</v>
      </c>
      <c r="D128" s="6">
        <v>66.0</v>
      </c>
      <c r="E128" s="10" t="str">
        <f t="shared" si="3"/>
        <v>BRN66M</v>
      </c>
      <c r="F128" s="6" t="s">
        <v>61</v>
      </c>
      <c r="G128" s="6">
        <v>12.0</v>
      </c>
      <c r="H128" s="11" t="str">
        <f t="shared" si="4"/>
        <v>F12</v>
      </c>
      <c r="I128" s="10" t="str">
        <f t="shared" si="5"/>
        <v>BRN66M-F12</v>
      </c>
      <c r="J128" s="16"/>
      <c r="K128" s="16" t="str">
        <f t="shared" si="6"/>
        <v>collected</v>
      </c>
      <c r="L128" s="16" t="str">
        <f t="shared" si="7"/>
        <v>N</v>
      </c>
      <c r="M128" s="16"/>
      <c r="N128" s="16"/>
    </row>
    <row r="129">
      <c r="A129" s="27" t="s">
        <v>302</v>
      </c>
      <c r="B129" s="10" t="str">
        <f t="shared" si="1"/>
        <v>RNA-muscle</v>
      </c>
      <c r="C129" s="10" t="str">
        <f t="shared" si="2"/>
        <v>BRN66M-E12</v>
      </c>
      <c r="D129" s="6">
        <v>66.0</v>
      </c>
      <c r="E129" s="10" t="str">
        <f t="shared" si="3"/>
        <v>BRN66M</v>
      </c>
      <c r="F129" s="6" t="s">
        <v>66</v>
      </c>
      <c r="G129" s="6">
        <v>12.0</v>
      </c>
      <c r="H129" s="11" t="str">
        <f t="shared" si="4"/>
        <v>E12</v>
      </c>
      <c r="I129" s="10" t="str">
        <f t="shared" si="5"/>
        <v>BRN66M-E12</v>
      </c>
      <c r="J129" s="16"/>
      <c r="K129" s="16" t="str">
        <f t="shared" si="6"/>
        <v>collected</v>
      </c>
      <c r="L129" s="16" t="str">
        <f t="shared" si="7"/>
        <v>N</v>
      </c>
      <c r="M129" s="16"/>
      <c r="N129" s="16"/>
    </row>
    <row r="130">
      <c r="A130" s="27" t="s">
        <v>304</v>
      </c>
      <c r="B130" s="10" t="str">
        <f t="shared" si="1"/>
        <v>RNA-muscle</v>
      </c>
      <c r="C130" s="10" t="str">
        <f t="shared" si="2"/>
        <v>BRN66M-D12</v>
      </c>
      <c r="D130" s="6">
        <v>66.0</v>
      </c>
      <c r="E130" s="10" t="str">
        <f t="shared" si="3"/>
        <v>BRN66M</v>
      </c>
      <c r="F130" s="6" t="s">
        <v>68</v>
      </c>
      <c r="G130" s="6">
        <v>12.0</v>
      </c>
      <c r="H130" s="11" t="str">
        <f t="shared" si="4"/>
        <v>D12</v>
      </c>
      <c r="I130" s="10" t="str">
        <f t="shared" si="5"/>
        <v>BRN66M-D12</v>
      </c>
      <c r="J130" s="16"/>
      <c r="K130" s="16" t="str">
        <f t="shared" si="6"/>
        <v>collected</v>
      </c>
      <c r="L130" s="16" t="str">
        <f t="shared" si="7"/>
        <v>N</v>
      </c>
      <c r="M130" s="16"/>
      <c r="N130" s="16"/>
    </row>
    <row r="131">
      <c r="A131" s="27" t="s">
        <v>305</v>
      </c>
      <c r="B131" s="10" t="str">
        <f t="shared" si="1"/>
        <v>RNA-muscle</v>
      </c>
      <c r="C131" s="10" t="str">
        <f t="shared" si="2"/>
        <v>BRN66M-C12</v>
      </c>
      <c r="D131" s="6">
        <v>66.0</v>
      </c>
      <c r="E131" s="10" t="str">
        <f t="shared" si="3"/>
        <v>BRN66M</v>
      </c>
      <c r="F131" s="6" t="s">
        <v>72</v>
      </c>
      <c r="G131" s="6">
        <v>12.0</v>
      </c>
      <c r="H131" s="11" t="str">
        <f t="shared" si="4"/>
        <v>C12</v>
      </c>
      <c r="I131" s="10" t="str">
        <f t="shared" si="5"/>
        <v>BRN66M-C12</v>
      </c>
      <c r="J131" s="16"/>
      <c r="K131" s="16" t="str">
        <f t="shared" si="6"/>
        <v>collected</v>
      </c>
      <c r="L131" s="16" t="str">
        <f t="shared" si="7"/>
        <v>N</v>
      </c>
      <c r="M131" s="16"/>
      <c r="N131" s="16"/>
    </row>
    <row r="132">
      <c r="A132" s="27" t="s">
        <v>307</v>
      </c>
      <c r="B132" s="10" t="str">
        <f t="shared" si="1"/>
        <v>RNA-muscle</v>
      </c>
      <c r="C132" s="10" t="str">
        <f t="shared" si="2"/>
        <v>BRN66M-B12</v>
      </c>
      <c r="D132" s="6">
        <v>66.0</v>
      </c>
      <c r="E132" s="10" t="str">
        <f t="shared" si="3"/>
        <v>BRN66M</v>
      </c>
      <c r="F132" s="6" t="s">
        <v>74</v>
      </c>
      <c r="G132" s="6">
        <v>12.0</v>
      </c>
      <c r="H132" s="11" t="str">
        <f t="shared" si="4"/>
        <v>B12</v>
      </c>
      <c r="I132" s="10" t="str">
        <f t="shared" si="5"/>
        <v>BRN66M-B12</v>
      </c>
      <c r="J132" s="16"/>
      <c r="K132" s="16" t="str">
        <f t="shared" si="6"/>
        <v>collected</v>
      </c>
      <c r="L132" s="16" t="str">
        <f t="shared" si="7"/>
        <v>N</v>
      </c>
      <c r="M132" s="16"/>
      <c r="N132" s="16"/>
    </row>
    <row r="133">
      <c r="A133" s="27" t="s">
        <v>309</v>
      </c>
      <c r="B133" s="10" t="str">
        <f t="shared" si="1"/>
        <v>RNA-muscle</v>
      </c>
      <c r="C133" s="10" t="str">
        <f t="shared" si="2"/>
        <v>BRN66M-A12</v>
      </c>
      <c r="D133" s="6">
        <v>66.0</v>
      </c>
      <c r="E133" s="10" t="str">
        <f t="shared" si="3"/>
        <v>BRN66M</v>
      </c>
      <c r="F133" s="6" t="s">
        <v>76</v>
      </c>
      <c r="G133" s="6">
        <v>12.0</v>
      </c>
      <c r="H133" s="11" t="str">
        <f t="shared" si="4"/>
        <v>A12</v>
      </c>
      <c r="I133" s="10" t="str">
        <f t="shared" si="5"/>
        <v>BRN66M-A12</v>
      </c>
      <c r="J133" s="16"/>
      <c r="K133" s="16" t="str">
        <f t="shared" si="6"/>
        <v>collected</v>
      </c>
      <c r="L133" s="16" t="str">
        <f t="shared" si="7"/>
        <v>N</v>
      </c>
      <c r="M133" s="16"/>
      <c r="N133" s="16"/>
    </row>
    <row r="134">
      <c r="A134" s="27" t="s">
        <v>310</v>
      </c>
      <c r="B134" s="10" t="str">
        <f t="shared" si="1"/>
        <v>RNA-muscle</v>
      </c>
      <c r="C134" s="10" t="str">
        <f t="shared" si="2"/>
        <v>BRN64M-H2</v>
      </c>
      <c r="D134" s="6">
        <v>64.0</v>
      </c>
      <c r="E134" s="10" t="str">
        <f t="shared" si="3"/>
        <v>BRN64M</v>
      </c>
      <c r="F134" s="6" t="s">
        <v>51</v>
      </c>
      <c r="G134" s="6">
        <v>2.0</v>
      </c>
      <c r="H134" s="11" t="str">
        <f t="shared" si="4"/>
        <v>H2</v>
      </c>
      <c r="I134" s="10" t="str">
        <f t="shared" si="5"/>
        <v>BRN64M-H2</v>
      </c>
      <c r="J134" s="16"/>
      <c r="K134" s="16" t="str">
        <f t="shared" si="6"/>
        <v>collected</v>
      </c>
      <c r="L134" s="16" t="str">
        <f t="shared" si="7"/>
        <v>N</v>
      </c>
      <c r="M134" s="16"/>
      <c r="N134" s="16"/>
    </row>
    <row r="135">
      <c r="A135" s="26" t="s">
        <v>312</v>
      </c>
      <c r="B135" s="10" t="str">
        <f t="shared" si="1"/>
        <v>RNA-muscle</v>
      </c>
      <c r="C135" s="10" t="str">
        <f t="shared" si="2"/>
        <v>BRN64M-G2</v>
      </c>
      <c r="D135" s="6">
        <v>64.0</v>
      </c>
      <c r="E135" s="10" t="str">
        <f t="shared" si="3"/>
        <v>BRN64M</v>
      </c>
      <c r="F135" s="6" t="s">
        <v>56</v>
      </c>
      <c r="G135" s="6">
        <v>2.0</v>
      </c>
      <c r="H135" s="11" t="str">
        <f t="shared" si="4"/>
        <v>G2</v>
      </c>
      <c r="I135" s="10" t="str">
        <f t="shared" si="5"/>
        <v>BRN64M-G2</v>
      </c>
      <c r="J135" s="6"/>
      <c r="K135" s="16" t="str">
        <f t="shared" si="6"/>
        <v>collected</v>
      </c>
      <c r="L135" s="16" t="str">
        <f t="shared" si="7"/>
        <v>N</v>
      </c>
      <c r="M135" s="16"/>
      <c r="N135" s="16"/>
    </row>
    <row r="136">
      <c r="A136" s="26" t="s">
        <v>314</v>
      </c>
      <c r="B136" s="10" t="str">
        <f t="shared" si="1"/>
        <v>RNA-muscle</v>
      </c>
      <c r="C136" s="10" t="str">
        <f t="shared" si="2"/>
        <v>BRN64M-F2</v>
      </c>
      <c r="D136" s="6">
        <v>64.0</v>
      </c>
      <c r="E136" s="10" t="str">
        <f t="shared" si="3"/>
        <v>BRN64M</v>
      </c>
      <c r="F136" s="6" t="s">
        <v>61</v>
      </c>
      <c r="G136" s="6">
        <v>2.0</v>
      </c>
      <c r="H136" s="11" t="str">
        <f t="shared" si="4"/>
        <v>F2</v>
      </c>
      <c r="I136" s="10" t="str">
        <f t="shared" si="5"/>
        <v>BRN64M-F2</v>
      </c>
      <c r="J136" s="16"/>
      <c r="K136" s="16" t="str">
        <f t="shared" si="6"/>
        <v>collected</v>
      </c>
      <c r="L136" s="16" t="str">
        <f t="shared" si="7"/>
        <v>N</v>
      </c>
      <c r="M136" s="16"/>
      <c r="N136" s="16"/>
    </row>
    <row r="137">
      <c r="A137" s="26" t="s">
        <v>316</v>
      </c>
      <c r="B137" s="10" t="str">
        <f t="shared" si="1"/>
        <v>RNA-muscle</v>
      </c>
      <c r="C137" s="10" t="str">
        <f t="shared" si="2"/>
        <v>BRN64M-E2</v>
      </c>
      <c r="D137" s="6">
        <v>64.0</v>
      </c>
      <c r="E137" s="10" t="str">
        <f t="shared" si="3"/>
        <v>BRN64M</v>
      </c>
      <c r="F137" s="6" t="s">
        <v>66</v>
      </c>
      <c r="G137" s="6">
        <v>2.0</v>
      </c>
      <c r="H137" s="11" t="str">
        <f t="shared" si="4"/>
        <v>E2</v>
      </c>
      <c r="I137" s="10" t="str">
        <f t="shared" si="5"/>
        <v>BRN64M-E2</v>
      </c>
      <c r="J137" s="16"/>
      <c r="K137" s="16" t="str">
        <f t="shared" si="6"/>
        <v>collected</v>
      </c>
      <c r="L137" s="16" t="str">
        <f t="shared" si="7"/>
        <v>N</v>
      </c>
      <c r="M137" s="16"/>
      <c r="N137" s="16"/>
    </row>
    <row r="138">
      <c r="A138" s="26" t="s">
        <v>317</v>
      </c>
      <c r="B138" s="10" t="str">
        <f t="shared" si="1"/>
        <v>RNA-muscle</v>
      </c>
      <c r="C138" s="10" t="str">
        <f t="shared" si="2"/>
        <v>BRN64M-D2</v>
      </c>
      <c r="D138" s="6">
        <v>64.0</v>
      </c>
      <c r="E138" s="10" t="str">
        <f t="shared" si="3"/>
        <v>BRN64M</v>
      </c>
      <c r="F138" s="6" t="s">
        <v>68</v>
      </c>
      <c r="G138" s="6">
        <v>2.0</v>
      </c>
      <c r="H138" s="11" t="str">
        <f t="shared" si="4"/>
        <v>D2</v>
      </c>
      <c r="I138" s="10" t="str">
        <f t="shared" si="5"/>
        <v>BRN64M-D2</v>
      </c>
      <c r="J138" s="16"/>
      <c r="K138" s="16" t="str">
        <f t="shared" si="6"/>
        <v>collected</v>
      </c>
      <c r="L138" s="16" t="str">
        <f t="shared" si="7"/>
        <v>N</v>
      </c>
      <c r="M138" s="16"/>
      <c r="N138" s="16"/>
    </row>
    <row r="139">
      <c r="A139" s="26" t="s">
        <v>318</v>
      </c>
      <c r="B139" s="10" t="str">
        <f t="shared" si="1"/>
        <v>RNA-muscle</v>
      </c>
      <c r="C139" s="10" t="str">
        <f t="shared" si="2"/>
        <v>BRN64M-C2</v>
      </c>
      <c r="D139" s="6">
        <v>64.0</v>
      </c>
      <c r="E139" s="10" t="str">
        <f t="shared" si="3"/>
        <v>BRN64M</v>
      </c>
      <c r="F139" s="6" t="s">
        <v>72</v>
      </c>
      <c r="G139" s="6">
        <v>2.0</v>
      </c>
      <c r="H139" s="11" t="str">
        <f t="shared" si="4"/>
        <v>C2</v>
      </c>
      <c r="I139" s="10" t="str">
        <f t="shared" si="5"/>
        <v>BRN64M-C2</v>
      </c>
      <c r="J139" s="16"/>
      <c r="K139" s="16" t="str">
        <f t="shared" si="6"/>
        <v>collected</v>
      </c>
      <c r="L139" s="16" t="str">
        <f t="shared" si="7"/>
        <v>N</v>
      </c>
      <c r="M139" s="16"/>
      <c r="N139" s="16"/>
    </row>
    <row r="140">
      <c r="A140" s="26" t="s">
        <v>322</v>
      </c>
      <c r="B140" s="10" t="str">
        <f t="shared" si="1"/>
        <v>RNA-muscle</v>
      </c>
      <c r="C140" s="10" t="str">
        <f t="shared" si="2"/>
        <v>BRN64M-B2</v>
      </c>
      <c r="D140" s="6">
        <v>64.0</v>
      </c>
      <c r="E140" s="10" t="str">
        <f t="shared" si="3"/>
        <v>BRN64M</v>
      </c>
      <c r="F140" s="6" t="s">
        <v>74</v>
      </c>
      <c r="G140" s="6">
        <v>2.0</v>
      </c>
      <c r="H140" s="11" t="str">
        <f t="shared" si="4"/>
        <v>B2</v>
      </c>
      <c r="I140" s="10" t="str">
        <f t="shared" si="5"/>
        <v>BRN64M-B2</v>
      </c>
      <c r="J140" s="16"/>
      <c r="K140" s="16" t="str">
        <f t="shared" si="6"/>
        <v>collected</v>
      </c>
      <c r="L140" s="16" t="str">
        <f t="shared" si="7"/>
        <v>N</v>
      </c>
      <c r="M140" s="16"/>
      <c r="N140" s="16"/>
    </row>
    <row r="141">
      <c r="A141" s="26" t="s">
        <v>327</v>
      </c>
      <c r="B141" s="10" t="str">
        <f t="shared" si="1"/>
        <v>RNA-muscle</v>
      </c>
      <c r="C141" s="10" t="str">
        <f t="shared" si="2"/>
        <v>BRN64M-A2</v>
      </c>
      <c r="D141" s="6">
        <v>64.0</v>
      </c>
      <c r="E141" s="10" t="str">
        <f t="shared" si="3"/>
        <v>BRN64M</v>
      </c>
      <c r="F141" s="6" t="s">
        <v>76</v>
      </c>
      <c r="G141" s="6">
        <v>2.0</v>
      </c>
      <c r="H141" s="11" t="str">
        <f t="shared" si="4"/>
        <v>A2</v>
      </c>
      <c r="I141" s="10" t="str">
        <f t="shared" si="5"/>
        <v>BRN64M-A2</v>
      </c>
      <c r="J141" s="16"/>
      <c r="K141" s="16" t="str">
        <f t="shared" si="6"/>
        <v>collected</v>
      </c>
      <c r="L141" s="16" t="str">
        <f t="shared" si="7"/>
        <v>N</v>
      </c>
      <c r="M141" s="16"/>
      <c r="N141" s="16"/>
    </row>
    <row r="142">
      <c r="A142" s="27" t="s">
        <v>328</v>
      </c>
      <c r="B142" s="10" t="str">
        <f t="shared" si="1"/>
        <v>RNA-muscle</v>
      </c>
      <c r="C142" s="10" t="str">
        <f t="shared" si="2"/>
        <v>BRN64M-H4</v>
      </c>
      <c r="D142" s="6">
        <v>64.0</v>
      </c>
      <c r="E142" s="10" t="str">
        <f t="shared" si="3"/>
        <v>BRN64M</v>
      </c>
      <c r="F142" s="6" t="s">
        <v>51</v>
      </c>
      <c r="G142" s="6">
        <v>4.0</v>
      </c>
      <c r="H142" s="11" t="str">
        <f t="shared" si="4"/>
        <v>H4</v>
      </c>
      <c r="I142" s="10" t="str">
        <f t="shared" si="5"/>
        <v>BRN64M-H4</v>
      </c>
      <c r="J142" s="9" t="s">
        <v>330</v>
      </c>
      <c r="K142" s="16" t="str">
        <f t="shared" si="6"/>
        <v>collected</v>
      </c>
      <c r="L142" s="16" t="str">
        <f t="shared" si="7"/>
        <v>N</v>
      </c>
      <c r="M142" s="16"/>
      <c r="N142" s="16"/>
    </row>
    <row r="143">
      <c r="A143" s="27" t="s">
        <v>332</v>
      </c>
      <c r="B143" s="10" t="str">
        <f t="shared" si="1"/>
        <v>RNA-muscle</v>
      </c>
      <c r="C143" s="10" t="str">
        <f t="shared" si="2"/>
        <v>BRN64M-G4</v>
      </c>
      <c r="D143" s="6">
        <v>64.0</v>
      </c>
      <c r="E143" s="10" t="str">
        <f t="shared" si="3"/>
        <v>BRN64M</v>
      </c>
      <c r="F143" s="6" t="s">
        <v>56</v>
      </c>
      <c r="G143" s="6">
        <v>4.0</v>
      </c>
      <c r="H143" s="11" t="str">
        <f t="shared" si="4"/>
        <v>G4</v>
      </c>
      <c r="I143" s="10" t="str">
        <f t="shared" si="5"/>
        <v>BRN64M-G4</v>
      </c>
      <c r="J143" s="6"/>
      <c r="K143" s="16" t="str">
        <f t="shared" si="6"/>
        <v>collected</v>
      </c>
      <c r="L143" s="16" t="str">
        <f t="shared" si="7"/>
        <v>N</v>
      </c>
      <c r="M143" s="16"/>
      <c r="N143" s="16"/>
    </row>
    <row r="144">
      <c r="A144" s="27" t="s">
        <v>334</v>
      </c>
      <c r="B144" s="10" t="str">
        <f t="shared" si="1"/>
        <v>RNA-muscle</v>
      </c>
      <c r="C144" s="10" t="str">
        <f t="shared" si="2"/>
        <v>BRN64M-F4</v>
      </c>
      <c r="D144" s="6">
        <v>64.0</v>
      </c>
      <c r="E144" s="10" t="str">
        <f t="shared" si="3"/>
        <v>BRN64M</v>
      </c>
      <c r="F144" s="6" t="s">
        <v>61</v>
      </c>
      <c r="G144" s="6">
        <v>4.0</v>
      </c>
      <c r="H144" s="11" t="str">
        <f t="shared" si="4"/>
        <v>F4</v>
      </c>
      <c r="I144" s="10" t="str">
        <f t="shared" si="5"/>
        <v>BRN64M-F4</v>
      </c>
      <c r="J144" s="6"/>
      <c r="K144" s="16" t="str">
        <f t="shared" si="6"/>
        <v>collected</v>
      </c>
      <c r="L144" s="16" t="str">
        <f t="shared" si="7"/>
        <v>N</v>
      </c>
      <c r="M144" s="16"/>
      <c r="N144" s="16"/>
    </row>
    <row r="145">
      <c r="A145" s="27" t="s">
        <v>335</v>
      </c>
      <c r="B145" s="10" t="str">
        <f t="shared" si="1"/>
        <v>RNA-muscle</v>
      </c>
      <c r="C145" s="10" t="str">
        <f t="shared" si="2"/>
        <v>BRN64M-E4</v>
      </c>
      <c r="D145" s="6">
        <v>64.0</v>
      </c>
      <c r="E145" s="10" t="str">
        <f t="shared" si="3"/>
        <v>BRN64M</v>
      </c>
      <c r="F145" s="6" t="s">
        <v>66</v>
      </c>
      <c r="G145" s="6">
        <v>4.0</v>
      </c>
      <c r="H145" s="11" t="str">
        <f t="shared" si="4"/>
        <v>E4</v>
      </c>
      <c r="I145" s="10" t="str">
        <f t="shared" si="5"/>
        <v>BRN64M-E4</v>
      </c>
      <c r="J145" s="16"/>
      <c r="K145" s="16" t="str">
        <f t="shared" si="6"/>
        <v>collected</v>
      </c>
      <c r="L145" s="16" t="str">
        <f t="shared" si="7"/>
        <v>N</v>
      </c>
      <c r="M145" s="16"/>
      <c r="N145" s="16"/>
    </row>
    <row r="146">
      <c r="A146" s="27" t="s">
        <v>336</v>
      </c>
      <c r="B146" s="10" t="str">
        <f t="shared" si="1"/>
        <v>RNA-muscle</v>
      </c>
      <c r="C146" s="10" t="str">
        <f t="shared" si="2"/>
        <v>BRN64M-D4</v>
      </c>
      <c r="D146" s="6">
        <v>64.0</v>
      </c>
      <c r="E146" s="10" t="str">
        <f t="shared" si="3"/>
        <v>BRN64M</v>
      </c>
      <c r="F146" s="6" t="s">
        <v>68</v>
      </c>
      <c r="G146" s="6">
        <v>4.0</v>
      </c>
      <c r="H146" s="11" t="str">
        <f t="shared" si="4"/>
        <v>D4</v>
      </c>
      <c r="I146" s="10" t="str">
        <f t="shared" si="5"/>
        <v>BRN64M-D4</v>
      </c>
      <c r="J146" s="16"/>
      <c r="K146" s="16" t="str">
        <f t="shared" si="6"/>
        <v>collected</v>
      </c>
      <c r="L146" s="16" t="str">
        <f t="shared" si="7"/>
        <v>N</v>
      </c>
      <c r="M146" s="16"/>
      <c r="N146" s="16"/>
    </row>
    <row r="147">
      <c r="A147" s="27" t="s">
        <v>338</v>
      </c>
      <c r="B147" s="10" t="str">
        <f t="shared" si="1"/>
        <v>RNA-muscle</v>
      </c>
      <c r="C147" s="10" t="str">
        <f t="shared" si="2"/>
        <v>BRN64M-C4</v>
      </c>
      <c r="D147" s="6">
        <v>64.0</v>
      </c>
      <c r="E147" s="10" t="str">
        <f t="shared" si="3"/>
        <v>BRN64M</v>
      </c>
      <c r="F147" s="6" t="s">
        <v>72</v>
      </c>
      <c r="G147" s="6">
        <v>4.0</v>
      </c>
      <c r="H147" s="11" t="str">
        <f t="shared" si="4"/>
        <v>C4</v>
      </c>
      <c r="I147" s="10" t="str">
        <f t="shared" si="5"/>
        <v>BRN64M-C4</v>
      </c>
      <c r="J147" s="16"/>
      <c r="K147" s="16" t="str">
        <f t="shared" si="6"/>
        <v>collected</v>
      </c>
      <c r="L147" s="16" t="str">
        <f t="shared" si="7"/>
        <v>N</v>
      </c>
      <c r="M147" s="16"/>
      <c r="N147" s="16"/>
    </row>
    <row r="148">
      <c r="A148" s="27" t="s">
        <v>339</v>
      </c>
      <c r="B148" s="10" t="str">
        <f t="shared" si="1"/>
        <v>RNA-muscle</v>
      </c>
      <c r="C148" s="10" t="str">
        <f t="shared" si="2"/>
        <v>BRN64M-B4</v>
      </c>
      <c r="D148" s="6">
        <v>64.0</v>
      </c>
      <c r="E148" s="10" t="str">
        <f t="shared" si="3"/>
        <v>BRN64M</v>
      </c>
      <c r="F148" s="6" t="s">
        <v>74</v>
      </c>
      <c r="G148" s="6">
        <v>4.0</v>
      </c>
      <c r="H148" s="11" t="str">
        <f t="shared" si="4"/>
        <v>B4</v>
      </c>
      <c r="I148" s="10" t="str">
        <f t="shared" si="5"/>
        <v>BRN64M-B4</v>
      </c>
      <c r="J148" s="16"/>
      <c r="K148" s="16" t="str">
        <f t="shared" si="6"/>
        <v>collected</v>
      </c>
      <c r="L148" s="16" t="str">
        <f t="shared" si="7"/>
        <v>N</v>
      </c>
      <c r="M148" s="16"/>
      <c r="N148" s="16"/>
    </row>
    <row r="149">
      <c r="A149" s="27" t="s">
        <v>340</v>
      </c>
      <c r="B149" s="10" t="str">
        <f t="shared" si="1"/>
        <v>RNA-muscle</v>
      </c>
      <c r="C149" s="10" t="str">
        <f t="shared" si="2"/>
        <v>BRN64M-A4</v>
      </c>
      <c r="D149" s="6">
        <v>64.0</v>
      </c>
      <c r="E149" s="10" t="str">
        <f t="shared" si="3"/>
        <v>BRN64M</v>
      </c>
      <c r="F149" s="6" t="s">
        <v>76</v>
      </c>
      <c r="G149" s="6">
        <v>4.0</v>
      </c>
      <c r="H149" s="11" t="str">
        <f t="shared" si="4"/>
        <v>A4</v>
      </c>
      <c r="I149" s="10" t="str">
        <f t="shared" si="5"/>
        <v>BRN64M-A4</v>
      </c>
      <c r="J149" s="6"/>
      <c r="K149" s="16" t="str">
        <f t="shared" si="6"/>
        <v>collected</v>
      </c>
      <c r="L149" s="16" t="str">
        <f t="shared" si="7"/>
        <v>N</v>
      </c>
      <c r="M149" s="16"/>
      <c r="N149" s="16"/>
    </row>
    <row r="150">
      <c r="A150" s="27" t="s">
        <v>341</v>
      </c>
      <c r="B150" s="10" t="str">
        <f t="shared" si="1"/>
        <v>RNA-muscle</v>
      </c>
      <c r="C150" s="10" t="str">
        <f t="shared" si="2"/>
        <v>BRN64M-G6</v>
      </c>
      <c r="D150" s="6">
        <v>64.0</v>
      </c>
      <c r="E150" s="10" t="str">
        <f t="shared" si="3"/>
        <v>BRN64M</v>
      </c>
      <c r="F150" s="6" t="s">
        <v>56</v>
      </c>
      <c r="G150" s="6">
        <v>6.0</v>
      </c>
      <c r="H150" s="11" t="str">
        <f t="shared" si="4"/>
        <v>G6</v>
      </c>
      <c r="I150" s="10" t="str">
        <f t="shared" si="5"/>
        <v>BRN64M-G6</v>
      </c>
      <c r="J150" s="6"/>
      <c r="K150" s="16" t="str">
        <f t="shared" si="6"/>
        <v>collected</v>
      </c>
      <c r="L150" s="16" t="str">
        <f t="shared" si="7"/>
        <v>N</v>
      </c>
      <c r="M150" s="16"/>
      <c r="N150" s="16"/>
    </row>
    <row r="151">
      <c r="A151" s="26" t="s">
        <v>342</v>
      </c>
      <c r="B151" s="10" t="str">
        <f t="shared" si="1"/>
        <v>RNA-muscle</v>
      </c>
      <c r="C151" s="10" t="str">
        <f t="shared" si="2"/>
        <v>BRN64M-H3</v>
      </c>
      <c r="D151" s="6">
        <v>64.0</v>
      </c>
      <c r="E151" s="10" t="str">
        <f t="shared" si="3"/>
        <v>BRN64M</v>
      </c>
      <c r="F151" s="6" t="s">
        <v>51</v>
      </c>
      <c r="G151" s="6">
        <v>3.0</v>
      </c>
      <c r="H151" s="11" t="str">
        <f t="shared" si="4"/>
        <v>H3</v>
      </c>
      <c r="I151" s="10" t="str">
        <f t="shared" si="5"/>
        <v>BRN64M-H3</v>
      </c>
      <c r="J151" s="16"/>
      <c r="K151" s="16" t="str">
        <f t="shared" si="6"/>
        <v>collected</v>
      </c>
      <c r="L151" s="16" t="str">
        <f t="shared" si="7"/>
        <v>N</v>
      </c>
      <c r="M151" s="16"/>
      <c r="N151" s="16"/>
    </row>
    <row r="152">
      <c r="A152" s="26" t="s">
        <v>344</v>
      </c>
      <c r="B152" s="10" t="str">
        <f t="shared" si="1"/>
        <v>RNA-muscle</v>
      </c>
      <c r="C152" s="10" t="str">
        <f t="shared" si="2"/>
        <v>BRN64M-G3</v>
      </c>
      <c r="D152" s="6">
        <v>64.0</v>
      </c>
      <c r="E152" s="10" t="str">
        <f t="shared" si="3"/>
        <v>BRN64M</v>
      </c>
      <c r="F152" s="6" t="s">
        <v>56</v>
      </c>
      <c r="G152" s="6">
        <v>3.0</v>
      </c>
      <c r="H152" s="11" t="str">
        <f t="shared" si="4"/>
        <v>G3</v>
      </c>
      <c r="I152" s="10" t="str">
        <f t="shared" si="5"/>
        <v>BRN64M-G3</v>
      </c>
      <c r="J152" s="16"/>
      <c r="K152" s="16" t="str">
        <f t="shared" si="6"/>
        <v>collected</v>
      </c>
      <c r="L152" s="16" t="str">
        <f t="shared" si="7"/>
        <v>N</v>
      </c>
      <c r="M152" s="16"/>
      <c r="N152" s="16"/>
    </row>
    <row r="153">
      <c r="A153" s="26" t="s">
        <v>345</v>
      </c>
      <c r="B153" s="10" t="str">
        <f t="shared" si="1"/>
        <v>RNA-muscle</v>
      </c>
      <c r="C153" s="10" t="str">
        <f t="shared" si="2"/>
        <v>BRN64M-F3</v>
      </c>
      <c r="D153" s="6">
        <v>64.0</v>
      </c>
      <c r="E153" s="10" t="str">
        <f t="shared" si="3"/>
        <v>BRN64M</v>
      </c>
      <c r="F153" s="6" t="s">
        <v>61</v>
      </c>
      <c r="G153" s="6">
        <v>3.0</v>
      </c>
      <c r="H153" s="11" t="str">
        <f t="shared" si="4"/>
        <v>F3</v>
      </c>
      <c r="I153" s="10" t="str">
        <f t="shared" si="5"/>
        <v>BRN64M-F3</v>
      </c>
      <c r="J153" s="16"/>
      <c r="K153" s="16" t="str">
        <f t="shared" si="6"/>
        <v>collected</v>
      </c>
      <c r="L153" s="16" t="str">
        <f t="shared" si="7"/>
        <v>N</v>
      </c>
      <c r="M153" s="16"/>
      <c r="N153" s="16"/>
    </row>
    <row r="154">
      <c r="A154" s="26" t="s">
        <v>347</v>
      </c>
      <c r="B154" s="10" t="str">
        <f t="shared" si="1"/>
        <v>RNA-muscle</v>
      </c>
      <c r="C154" s="10" t="str">
        <f t="shared" si="2"/>
        <v>BRN64M-E3</v>
      </c>
      <c r="D154" s="6">
        <v>64.0</v>
      </c>
      <c r="E154" s="10" t="str">
        <f t="shared" si="3"/>
        <v>BRN64M</v>
      </c>
      <c r="F154" s="6" t="s">
        <v>66</v>
      </c>
      <c r="G154" s="6">
        <v>3.0</v>
      </c>
      <c r="H154" s="11" t="str">
        <f t="shared" si="4"/>
        <v>E3</v>
      </c>
      <c r="I154" s="10" t="str">
        <f t="shared" si="5"/>
        <v>BRN64M-E3</v>
      </c>
      <c r="J154" s="16"/>
      <c r="K154" s="16" t="str">
        <f t="shared" si="6"/>
        <v>collected</v>
      </c>
      <c r="L154" s="16" t="str">
        <f t="shared" si="7"/>
        <v>N</v>
      </c>
      <c r="M154" s="16"/>
      <c r="N154" s="16"/>
    </row>
    <row r="155">
      <c r="A155" s="26" t="s">
        <v>348</v>
      </c>
      <c r="B155" s="10" t="str">
        <f t="shared" si="1"/>
        <v>RNA-muscle</v>
      </c>
      <c r="C155" s="10" t="str">
        <f t="shared" si="2"/>
        <v>BRN64M-D3</v>
      </c>
      <c r="D155" s="6">
        <v>64.0</v>
      </c>
      <c r="E155" s="10" t="str">
        <f t="shared" si="3"/>
        <v>BRN64M</v>
      </c>
      <c r="F155" s="6" t="s">
        <v>68</v>
      </c>
      <c r="G155" s="6">
        <v>3.0</v>
      </c>
      <c r="H155" s="11" t="str">
        <f t="shared" si="4"/>
        <v>D3</v>
      </c>
      <c r="I155" s="10" t="str">
        <f t="shared" si="5"/>
        <v>BRN64M-D3</v>
      </c>
      <c r="J155" s="16"/>
      <c r="K155" s="16" t="str">
        <f t="shared" si="6"/>
        <v>collected</v>
      </c>
      <c r="L155" s="16" t="str">
        <f t="shared" si="7"/>
        <v>N</v>
      </c>
      <c r="M155" s="16"/>
      <c r="N155" s="16"/>
    </row>
    <row r="156">
      <c r="A156" s="26" t="s">
        <v>349</v>
      </c>
      <c r="B156" s="10" t="str">
        <f t="shared" si="1"/>
        <v>RNA-muscle</v>
      </c>
      <c r="C156" s="10" t="str">
        <f t="shared" si="2"/>
        <v>BRN64M-C3</v>
      </c>
      <c r="D156" s="6">
        <v>64.0</v>
      </c>
      <c r="E156" s="10" t="str">
        <f t="shared" si="3"/>
        <v>BRN64M</v>
      </c>
      <c r="F156" s="6" t="s">
        <v>72</v>
      </c>
      <c r="G156" s="6">
        <v>3.0</v>
      </c>
      <c r="H156" s="11" t="str">
        <f t="shared" si="4"/>
        <v>C3</v>
      </c>
      <c r="I156" s="10" t="str">
        <f t="shared" si="5"/>
        <v>BRN64M-C3</v>
      </c>
      <c r="J156" s="16"/>
      <c r="K156" s="16" t="str">
        <f t="shared" si="6"/>
        <v>collected</v>
      </c>
      <c r="L156" s="16" t="str">
        <f t="shared" si="7"/>
        <v>N</v>
      </c>
      <c r="M156" s="16"/>
      <c r="N156" s="16"/>
    </row>
    <row r="157">
      <c r="A157" s="26" t="s">
        <v>351</v>
      </c>
      <c r="B157" s="10" t="str">
        <f t="shared" si="1"/>
        <v>RNA-muscle</v>
      </c>
      <c r="C157" s="10" t="str">
        <f t="shared" si="2"/>
        <v>BRN64M-B3</v>
      </c>
      <c r="D157" s="6">
        <v>64.0</v>
      </c>
      <c r="E157" s="10" t="str">
        <f t="shared" si="3"/>
        <v>BRN64M</v>
      </c>
      <c r="F157" s="6" t="s">
        <v>74</v>
      </c>
      <c r="G157" s="6">
        <v>3.0</v>
      </c>
      <c r="H157" s="11" t="str">
        <f t="shared" si="4"/>
        <v>B3</v>
      </c>
      <c r="I157" s="10" t="str">
        <f t="shared" si="5"/>
        <v>BRN64M-B3</v>
      </c>
      <c r="J157" s="16"/>
      <c r="K157" s="16" t="str">
        <f t="shared" si="6"/>
        <v>collected</v>
      </c>
      <c r="L157" s="16" t="str">
        <f t="shared" si="7"/>
        <v>N</v>
      </c>
      <c r="M157" s="16"/>
      <c r="N157" s="16"/>
    </row>
    <row r="158">
      <c r="A158" s="26" t="s">
        <v>353</v>
      </c>
      <c r="B158" s="10" t="str">
        <f t="shared" si="1"/>
        <v>RNA-muscle</v>
      </c>
      <c r="C158" s="10" t="str">
        <f t="shared" si="2"/>
        <v>BRN64M-A3</v>
      </c>
      <c r="D158" s="6">
        <v>64.0</v>
      </c>
      <c r="E158" s="10" t="str">
        <f t="shared" si="3"/>
        <v>BRN64M</v>
      </c>
      <c r="F158" s="6" t="s">
        <v>76</v>
      </c>
      <c r="G158" s="6">
        <v>3.0</v>
      </c>
      <c r="H158" s="11" t="str">
        <f t="shared" si="4"/>
        <v>A3</v>
      </c>
      <c r="I158" s="10" t="str">
        <f t="shared" si="5"/>
        <v>BRN64M-A3</v>
      </c>
      <c r="J158" s="16"/>
      <c r="K158" s="16" t="str">
        <f t="shared" si="6"/>
        <v>collected</v>
      </c>
      <c r="L158" s="16" t="str">
        <f t="shared" si="7"/>
        <v>N</v>
      </c>
      <c r="M158" s="16"/>
      <c r="N158" s="16"/>
    </row>
    <row r="159">
      <c r="A159" s="26" t="s">
        <v>354</v>
      </c>
      <c r="B159" s="10" t="str">
        <f t="shared" si="1"/>
        <v>RNA-muscle</v>
      </c>
      <c r="C159" s="10" t="str">
        <f t="shared" si="2"/>
        <v>BRN64M-H5</v>
      </c>
      <c r="D159" s="6">
        <v>64.0</v>
      </c>
      <c r="E159" s="10" t="str">
        <f t="shared" si="3"/>
        <v>BRN64M</v>
      </c>
      <c r="F159" s="6" t="s">
        <v>51</v>
      </c>
      <c r="G159" s="6">
        <v>5.0</v>
      </c>
      <c r="H159" s="11" t="str">
        <f t="shared" si="4"/>
        <v>H5</v>
      </c>
      <c r="I159" s="10" t="str">
        <f t="shared" si="5"/>
        <v>BRN64M-H5</v>
      </c>
      <c r="J159" s="16"/>
      <c r="K159" s="16" t="str">
        <f t="shared" si="6"/>
        <v>collected</v>
      </c>
      <c r="L159" s="16" t="str">
        <f t="shared" si="7"/>
        <v>N</v>
      </c>
      <c r="M159" s="16"/>
      <c r="N159" s="16"/>
    </row>
    <row r="160">
      <c r="A160" s="26" t="s">
        <v>355</v>
      </c>
      <c r="B160" s="10" t="str">
        <f t="shared" si="1"/>
        <v>RNA-muscle</v>
      </c>
      <c r="C160" s="10" t="str">
        <f t="shared" si="2"/>
        <v>BRN64M-G5</v>
      </c>
      <c r="D160" s="6">
        <v>64.0</v>
      </c>
      <c r="E160" s="10" t="str">
        <f t="shared" si="3"/>
        <v>BRN64M</v>
      </c>
      <c r="F160" s="6" t="s">
        <v>56</v>
      </c>
      <c r="G160" s="6">
        <v>5.0</v>
      </c>
      <c r="H160" s="11" t="str">
        <f t="shared" si="4"/>
        <v>G5</v>
      </c>
      <c r="I160" s="10" t="str">
        <f t="shared" si="5"/>
        <v>BRN64M-G5</v>
      </c>
      <c r="J160" s="6"/>
      <c r="K160" s="16" t="str">
        <f t="shared" si="6"/>
        <v>collected</v>
      </c>
      <c r="L160" s="16" t="str">
        <f t="shared" si="7"/>
        <v>N</v>
      </c>
      <c r="M160" s="16"/>
      <c r="N160" s="16"/>
    </row>
    <row r="161">
      <c r="A161" s="26" t="s">
        <v>356</v>
      </c>
      <c r="B161" s="10" t="str">
        <f t="shared" si="1"/>
        <v>RNA-muscle</v>
      </c>
      <c r="C161" s="10" t="str">
        <f t="shared" si="2"/>
        <v>BRN64M-F5</v>
      </c>
      <c r="D161" s="6">
        <v>64.0</v>
      </c>
      <c r="E161" s="10" t="str">
        <f t="shared" si="3"/>
        <v>BRN64M</v>
      </c>
      <c r="F161" s="6" t="s">
        <v>61</v>
      </c>
      <c r="G161" s="6">
        <v>5.0</v>
      </c>
      <c r="H161" s="11" t="str">
        <f t="shared" si="4"/>
        <v>F5</v>
      </c>
      <c r="I161" s="10" t="str">
        <f t="shared" si="5"/>
        <v>BRN64M-F5</v>
      </c>
      <c r="J161" s="16"/>
      <c r="K161" s="16" t="str">
        <f t="shared" si="6"/>
        <v>collected</v>
      </c>
      <c r="L161" s="16" t="str">
        <f t="shared" si="7"/>
        <v>N</v>
      </c>
      <c r="M161" s="16"/>
      <c r="N161" s="16"/>
    </row>
    <row r="162">
      <c r="A162" s="26" t="s">
        <v>359</v>
      </c>
      <c r="B162" s="10" t="str">
        <f t="shared" si="1"/>
        <v>RNA-muscle</v>
      </c>
      <c r="C162" s="10" t="str">
        <f t="shared" si="2"/>
        <v>BRN64M-E5</v>
      </c>
      <c r="D162" s="6">
        <v>64.0</v>
      </c>
      <c r="E162" s="10" t="str">
        <f t="shared" si="3"/>
        <v>BRN64M</v>
      </c>
      <c r="F162" s="6" t="s">
        <v>66</v>
      </c>
      <c r="G162" s="6">
        <v>5.0</v>
      </c>
      <c r="H162" s="11" t="str">
        <f t="shared" si="4"/>
        <v>E5</v>
      </c>
      <c r="I162" s="10" t="str">
        <f t="shared" si="5"/>
        <v>BRN64M-E5</v>
      </c>
      <c r="J162" s="16"/>
      <c r="K162" s="16" t="str">
        <f t="shared" si="6"/>
        <v>collected</v>
      </c>
      <c r="L162" s="16" t="str">
        <f t="shared" si="7"/>
        <v>N</v>
      </c>
      <c r="M162" s="16"/>
      <c r="N162" s="16"/>
    </row>
    <row r="163">
      <c r="A163" s="26" t="s">
        <v>360</v>
      </c>
      <c r="B163" s="10" t="str">
        <f t="shared" si="1"/>
        <v>RNA-muscle</v>
      </c>
      <c r="C163" s="10" t="str">
        <f t="shared" si="2"/>
        <v>BRN64M-D5</v>
      </c>
      <c r="D163" s="6">
        <v>64.0</v>
      </c>
      <c r="E163" s="10" t="str">
        <f t="shared" si="3"/>
        <v>BRN64M</v>
      </c>
      <c r="F163" s="6" t="s">
        <v>68</v>
      </c>
      <c r="G163" s="6">
        <v>5.0</v>
      </c>
      <c r="H163" s="11" t="str">
        <f t="shared" si="4"/>
        <v>D5</v>
      </c>
      <c r="I163" s="10" t="str">
        <f t="shared" si="5"/>
        <v>BRN64M-D5</v>
      </c>
      <c r="J163" s="16"/>
      <c r="K163" s="16" t="str">
        <f t="shared" si="6"/>
        <v>collected</v>
      </c>
      <c r="L163" s="16" t="str">
        <f t="shared" si="7"/>
        <v>N</v>
      </c>
      <c r="M163" s="16"/>
      <c r="N163" s="16"/>
    </row>
    <row r="164">
      <c r="A164" s="26" t="s">
        <v>361</v>
      </c>
      <c r="B164" s="10" t="str">
        <f t="shared" si="1"/>
        <v>RNA-muscle</v>
      </c>
      <c r="C164" s="10" t="str">
        <f t="shared" si="2"/>
        <v>BRN64M-C5</v>
      </c>
      <c r="D164" s="6">
        <v>64.0</v>
      </c>
      <c r="E164" s="10" t="str">
        <f t="shared" si="3"/>
        <v>BRN64M</v>
      </c>
      <c r="F164" s="6" t="s">
        <v>72</v>
      </c>
      <c r="G164" s="6">
        <v>5.0</v>
      </c>
      <c r="H164" s="11" t="str">
        <f t="shared" si="4"/>
        <v>C5</v>
      </c>
      <c r="I164" s="10" t="str">
        <f t="shared" si="5"/>
        <v>BRN64M-C5</v>
      </c>
      <c r="J164" s="6"/>
      <c r="K164" s="16" t="str">
        <f t="shared" si="6"/>
        <v>collected</v>
      </c>
      <c r="L164" s="16" t="str">
        <f t="shared" si="7"/>
        <v>N</v>
      </c>
      <c r="M164" s="16"/>
      <c r="N164" s="16"/>
    </row>
    <row r="165">
      <c r="A165" s="26" t="s">
        <v>362</v>
      </c>
      <c r="B165" s="10" t="str">
        <f t="shared" si="1"/>
        <v>RNA-muscle</v>
      </c>
      <c r="C165" s="10" t="str">
        <f t="shared" si="2"/>
        <v>BRN64M-B5</v>
      </c>
      <c r="D165" s="6">
        <v>64.0</v>
      </c>
      <c r="E165" s="10" t="str">
        <f t="shared" si="3"/>
        <v>BRN64M</v>
      </c>
      <c r="F165" s="6" t="s">
        <v>74</v>
      </c>
      <c r="G165" s="6">
        <v>5.0</v>
      </c>
      <c r="H165" s="11" t="str">
        <f t="shared" si="4"/>
        <v>B5</v>
      </c>
      <c r="I165" s="10" t="str">
        <f t="shared" si="5"/>
        <v>BRN64M-B5</v>
      </c>
      <c r="J165" s="16"/>
      <c r="K165" s="16" t="str">
        <f t="shared" si="6"/>
        <v>collected</v>
      </c>
      <c r="L165" s="16" t="str">
        <f t="shared" si="7"/>
        <v>N</v>
      </c>
      <c r="M165" s="16"/>
      <c r="N165" s="16"/>
    </row>
    <row r="166">
      <c r="A166" s="26" t="s">
        <v>365</v>
      </c>
      <c r="B166" s="10" t="str">
        <f t="shared" si="1"/>
        <v>RNA-muscle</v>
      </c>
      <c r="C166" s="10" t="str">
        <f t="shared" si="2"/>
        <v>BRN64M-A5</v>
      </c>
      <c r="D166" s="6">
        <v>64.0</v>
      </c>
      <c r="E166" s="10" t="str">
        <f t="shared" si="3"/>
        <v>BRN64M</v>
      </c>
      <c r="F166" s="6" t="s">
        <v>76</v>
      </c>
      <c r="G166" s="6">
        <v>5.0</v>
      </c>
      <c r="H166" s="11" t="str">
        <f t="shared" si="4"/>
        <v>A5</v>
      </c>
      <c r="I166" s="10" t="str">
        <f t="shared" si="5"/>
        <v>BRN64M-A5</v>
      </c>
      <c r="J166" s="9" t="s">
        <v>366</v>
      </c>
      <c r="K166" s="16" t="str">
        <f t="shared" si="6"/>
        <v>collected</v>
      </c>
      <c r="L166" s="16" t="str">
        <f t="shared" si="7"/>
        <v>N</v>
      </c>
      <c r="M166" s="16"/>
      <c r="N166" s="16"/>
    </row>
    <row r="167">
      <c r="A167" s="27" t="s">
        <v>367</v>
      </c>
      <c r="B167" s="10" t="str">
        <f t="shared" si="1"/>
        <v>RNA-muscle</v>
      </c>
      <c r="C167" s="10" t="str">
        <f t="shared" si="2"/>
        <v>BRN64M-F6</v>
      </c>
      <c r="D167" s="6">
        <v>64.0</v>
      </c>
      <c r="E167" s="10" t="str">
        <f t="shared" si="3"/>
        <v>BRN64M</v>
      </c>
      <c r="F167" s="6" t="s">
        <v>61</v>
      </c>
      <c r="G167" s="6">
        <v>6.0</v>
      </c>
      <c r="H167" s="11" t="str">
        <f t="shared" si="4"/>
        <v>F6</v>
      </c>
      <c r="I167" s="10" t="str">
        <f t="shared" si="5"/>
        <v>BRN64M-F6</v>
      </c>
      <c r="K167" s="16" t="str">
        <f t="shared" si="6"/>
        <v>collected</v>
      </c>
      <c r="L167" s="16" t="str">
        <f t="shared" si="7"/>
        <v>N</v>
      </c>
      <c r="M167" s="16"/>
      <c r="N167" s="16"/>
    </row>
    <row r="168">
      <c r="A168" s="27" t="s">
        <v>368</v>
      </c>
      <c r="B168" s="10" t="str">
        <f t="shared" si="1"/>
        <v>RNA-muscle</v>
      </c>
      <c r="C168" s="10" t="str">
        <f t="shared" si="2"/>
        <v>BRN64M-E6</v>
      </c>
      <c r="D168" s="6">
        <v>64.0</v>
      </c>
      <c r="E168" s="10" t="str">
        <f t="shared" si="3"/>
        <v>BRN64M</v>
      </c>
      <c r="F168" s="6" t="s">
        <v>66</v>
      </c>
      <c r="G168" s="6">
        <v>6.0</v>
      </c>
      <c r="H168" s="11" t="str">
        <f t="shared" si="4"/>
        <v>E6</v>
      </c>
      <c r="I168" s="10" t="str">
        <f t="shared" si="5"/>
        <v>BRN64M-E6</v>
      </c>
      <c r="K168" s="16" t="str">
        <f t="shared" si="6"/>
        <v>collected</v>
      </c>
      <c r="L168" s="16" t="str">
        <f t="shared" si="7"/>
        <v>N</v>
      </c>
      <c r="M168" s="16"/>
      <c r="N168" s="16"/>
    </row>
    <row r="169">
      <c r="A169" s="27" t="s">
        <v>369</v>
      </c>
      <c r="B169" s="10" t="str">
        <f t="shared" si="1"/>
        <v>RNA-muscle</v>
      </c>
      <c r="C169" s="10" t="str">
        <f t="shared" si="2"/>
        <v>BRN64M-D6</v>
      </c>
      <c r="D169" s="6">
        <v>64.0</v>
      </c>
      <c r="E169" s="10" t="str">
        <f t="shared" si="3"/>
        <v>BRN64M</v>
      </c>
      <c r="F169" s="6" t="s">
        <v>68</v>
      </c>
      <c r="G169" s="6">
        <v>6.0</v>
      </c>
      <c r="H169" s="11" t="str">
        <f t="shared" si="4"/>
        <v>D6</v>
      </c>
      <c r="I169" s="10" t="str">
        <f t="shared" si="5"/>
        <v>BRN64M-D6</v>
      </c>
      <c r="K169" s="16" t="str">
        <f t="shared" si="6"/>
        <v>collected</v>
      </c>
      <c r="L169" s="16" t="str">
        <f t="shared" si="7"/>
        <v>N</v>
      </c>
      <c r="M169" s="16"/>
      <c r="N169" s="16"/>
    </row>
    <row r="170">
      <c r="A170" s="27" t="s">
        <v>371</v>
      </c>
      <c r="B170" s="10" t="str">
        <f t="shared" si="1"/>
        <v>RNA-muscle</v>
      </c>
      <c r="C170" s="10" t="str">
        <f t="shared" si="2"/>
        <v>BRN64M-C6</v>
      </c>
      <c r="D170" s="6">
        <v>64.0</v>
      </c>
      <c r="E170" s="10" t="str">
        <f t="shared" si="3"/>
        <v>BRN64M</v>
      </c>
      <c r="F170" s="6" t="s">
        <v>72</v>
      </c>
      <c r="G170" s="6">
        <v>6.0</v>
      </c>
      <c r="H170" s="11" t="str">
        <f t="shared" si="4"/>
        <v>C6</v>
      </c>
      <c r="I170" s="10" t="str">
        <f t="shared" si="5"/>
        <v>BRN64M-C6</v>
      </c>
      <c r="K170" s="16" t="str">
        <f t="shared" si="6"/>
        <v>collected</v>
      </c>
      <c r="L170" s="16" t="str">
        <f t="shared" si="7"/>
        <v>N</v>
      </c>
      <c r="M170" s="16"/>
      <c r="N170" s="16"/>
    </row>
    <row r="171">
      <c r="A171" s="27" t="s">
        <v>373</v>
      </c>
      <c r="B171" s="10" t="str">
        <f t="shared" si="1"/>
        <v>RNA-muscle</v>
      </c>
      <c r="C171" s="10" t="str">
        <f t="shared" si="2"/>
        <v>BRN56M-H11</v>
      </c>
      <c r="D171" s="6">
        <v>56.0</v>
      </c>
      <c r="E171" s="10" t="str">
        <f t="shared" si="3"/>
        <v>BRN56M</v>
      </c>
      <c r="F171" s="6" t="s">
        <v>51</v>
      </c>
      <c r="G171" s="6">
        <v>11.0</v>
      </c>
      <c r="H171" s="11" t="str">
        <f t="shared" si="4"/>
        <v>H11</v>
      </c>
      <c r="I171" s="10" t="str">
        <f t="shared" si="5"/>
        <v>BRN56M-H11</v>
      </c>
      <c r="K171" s="16" t="str">
        <f t="shared" si="6"/>
        <v>collected</v>
      </c>
      <c r="L171" s="16" t="str">
        <f t="shared" si="7"/>
        <v>N</v>
      </c>
      <c r="M171" s="16"/>
      <c r="N171" s="16"/>
    </row>
    <row r="172">
      <c r="A172" s="27" t="s">
        <v>374</v>
      </c>
      <c r="B172" s="10" t="str">
        <f t="shared" si="1"/>
        <v>RNA-muscle</v>
      </c>
      <c r="C172" s="10" t="str">
        <f t="shared" si="2"/>
        <v>BRN56M-G11</v>
      </c>
      <c r="D172" s="6">
        <v>56.0</v>
      </c>
      <c r="E172" s="10" t="str">
        <f t="shared" si="3"/>
        <v>BRN56M</v>
      </c>
      <c r="F172" s="6" t="s">
        <v>56</v>
      </c>
      <c r="G172" s="6">
        <v>11.0</v>
      </c>
      <c r="H172" s="11" t="str">
        <f t="shared" si="4"/>
        <v>G11</v>
      </c>
      <c r="I172" s="10" t="str">
        <f t="shared" si="5"/>
        <v>BRN56M-G11</v>
      </c>
      <c r="K172" s="16" t="str">
        <f t="shared" si="6"/>
        <v>collected</v>
      </c>
      <c r="L172" s="16" t="str">
        <f t="shared" si="7"/>
        <v>N</v>
      </c>
      <c r="M172" s="16"/>
      <c r="N172" s="16"/>
    </row>
    <row r="173">
      <c r="A173" s="27" t="s">
        <v>375</v>
      </c>
      <c r="B173" s="10" t="str">
        <f t="shared" si="1"/>
        <v>RNA-muscle</v>
      </c>
      <c r="C173" s="10" t="str">
        <f t="shared" si="2"/>
        <v>BRN56M-F11</v>
      </c>
      <c r="D173" s="6">
        <v>56.0</v>
      </c>
      <c r="E173" s="10" t="str">
        <f t="shared" si="3"/>
        <v>BRN56M</v>
      </c>
      <c r="F173" s="6" t="s">
        <v>61</v>
      </c>
      <c r="G173" s="6">
        <v>11.0</v>
      </c>
      <c r="H173" s="11" t="str">
        <f t="shared" si="4"/>
        <v>F11</v>
      </c>
      <c r="I173" s="10" t="str">
        <f t="shared" si="5"/>
        <v>BRN56M-F11</v>
      </c>
      <c r="K173" s="16" t="str">
        <f t="shared" si="6"/>
        <v>collected</v>
      </c>
      <c r="L173" s="16" t="str">
        <f t="shared" si="7"/>
        <v>N</v>
      </c>
      <c r="M173" s="16"/>
      <c r="N173" s="16"/>
    </row>
    <row r="174">
      <c r="A174" s="27" t="s">
        <v>377</v>
      </c>
      <c r="B174" s="10" t="str">
        <f t="shared" si="1"/>
        <v>RNA-muscle</v>
      </c>
      <c r="C174" s="10" t="str">
        <f t="shared" si="2"/>
        <v>BRN56M-E11</v>
      </c>
      <c r="D174" s="6">
        <v>56.0</v>
      </c>
      <c r="E174" s="10" t="str">
        <f t="shared" si="3"/>
        <v>BRN56M</v>
      </c>
      <c r="F174" s="6" t="s">
        <v>66</v>
      </c>
      <c r="G174" s="6">
        <v>11.0</v>
      </c>
      <c r="H174" s="11" t="str">
        <f t="shared" si="4"/>
        <v>E11</v>
      </c>
      <c r="I174" s="10" t="str">
        <f t="shared" si="5"/>
        <v>BRN56M-E11</v>
      </c>
      <c r="K174" s="16" t="str">
        <f t="shared" si="6"/>
        <v>collected</v>
      </c>
      <c r="L174" s="16" t="str">
        <f t="shared" si="7"/>
        <v>N</v>
      </c>
      <c r="M174" s="16"/>
      <c r="N174" s="16"/>
    </row>
    <row r="175">
      <c r="A175" s="6" t="s">
        <v>382</v>
      </c>
      <c r="B175" s="10" t="str">
        <f t="shared" si="1"/>
        <v>RNA-muscle</v>
      </c>
      <c r="C175" s="10" t="str">
        <f t="shared" si="2"/>
        <v>BRN56M-D11</v>
      </c>
      <c r="D175" s="6">
        <v>56.0</v>
      </c>
      <c r="E175" s="10" t="str">
        <f t="shared" si="3"/>
        <v>BRN56M</v>
      </c>
      <c r="F175" s="6" t="s">
        <v>68</v>
      </c>
      <c r="G175" s="6">
        <v>11.0</v>
      </c>
      <c r="H175" s="11" t="str">
        <f t="shared" si="4"/>
        <v>D11</v>
      </c>
      <c r="I175" s="10" t="str">
        <f t="shared" si="5"/>
        <v>BRN56M-D11</v>
      </c>
      <c r="K175" s="16" t="str">
        <f t="shared" si="6"/>
        <v>collected</v>
      </c>
      <c r="L175" s="16" t="str">
        <f t="shared" si="7"/>
        <v>N</v>
      </c>
      <c r="M175" s="16"/>
      <c r="N175" s="16"/>
    </row>
    <row r="176">
      <c r="A176" s="6" t="s">
        <v>384</v>
      </c>
      <c r="B176" s="10" t="str">
        <f t="shared" si="1"/>
        <v>RNA-muscle</v>
      </c>
      <c r="C176" s="10" t="str">
        <f t="shared" si="2"/>
        <v>BRN56M-C11</v>
      </c>
      <c r="D176" s="6">
        <v>56.0</v>
      </c>
      <c r="E176" s="10" t="str">
        <f t="shared" si="3"/>
        <v>BRN56M</v>
      </c>
      <c r="F176" s="6" t="s">
        <v>72</v>
      </c>
      <c r="G176" s="6">
        <v>11.0</v>
      </c>
      <c r="H176" s="11" t="str">
        <f t="shared" si="4"/>
        <v>C11</v>
      </c>
      <c r="I176" s="10" t="str">
        <f t="shared" si="5"/>
        <v>BRN56M-C11</v>
      </c>
      <c r="K176" s="16" t="str">
        <f t="shared" si="6"/>
        <v>collected</v>
      </c>
      <c r="L176" s="16" t="str">
        <f t="shared" si="7"/>
        <v>N</v>
      </c>
      <c r="M176" s="16"/>
      <c r="N176" s="16"/>
    </row>
    <row r="177">
      <c r="A177" s="6" t="s">
        <v>387</v>
      </c>
      <c r="B177" s="10" t="str">
        <f t="shared" si="1"/>
        <v>RNA-muscle</v>
      </c>
      <c r="C177" s="10" t="str">
        <f t="shared" si="2"/>
        <v>BRN56M-B11</v>
      </c>
      <c r="D177" s="6">
        <v>56.0</v>
      </c>
      <c r="E177" s="10" t="str">
        <f t="shared" si="3"/>
        <v>BRN56M</v>
      </c>
      <c r="F177" s="6" t="s">
        <v>74</v>
      </c>
      <c r="G177" s="6">
        <v>11.0</v>
      </c>
      <c r="H177" s="11" t="str">
        <f t="shared" si="4"/>
        <v>B11</v>
      </c>
      <c r="I177" s="10" t="str">
        <f t="shared" si="5"/>
        <v>BRN56M-B11</v>
      </c>
      <c r="J177" s="9" t="s">
        <v>366</v>
      </c>
      <c r="K177" s="16" t="str">
        <f t="shared" si="6"/>
        <v>collected</v>
      </c>
      <c r="L177" s="16" t="str">
        <f t="shared" si="7"/>
        <v>N</v>
      </c>
      <c r="M177" s="16"/>
      <c r="N177" s="16"/>
    </row>
    <row r="178">
      <c r="A178" s="6" t="s">
        <v>389</v>
      </c>
      <c r="B178" s="10" t="str">
        <f t="shared" si="1"/>
        <v>RNA-muscle</v>
      </c>
      <c r="C178" s="10" t="str">
        <f t="shared" si="2"/>
        <v>BRN56M-A11</v>
      </c>
      <c r="D178" s="6">
        <v>56.0</v>
      </c>
      <c r="E178" s="10" t="str">
        <f t="shared" si="3"/>
        <v>BRN56M</v>
      </c>
      <c r="F178" s="6" t="s">
        <v>76</v>
      </c>
      <c r="G178" s="6">
        <v>11.0</v>
      </c>
      <c r="H178" s="11" t="str">
        <f t="shared" si="4"/>
        <v>A11</v>
      </c>
      <c r="I178" s="10" t="str">
        <f t="shared" si="5"/>
        <v>BRN56M-A11</v>
      </c>
      <c r="J178" s="16"/>
      <c r="K178" s="16" t="str">
        <f t="shared" si="6"/>
        <v>collected</v>
      </c>
      <c r="L178" s="16" t="str">
        <f t="shared" si="7"/>
        <v>N</v>
      </c>
      <c r="M178" s="16"/>
      <c r="N178" s="16"/>
    </row>
    <row r="179">
      <c r="A179" s="6" t="s">
        <v>391</v>
      </c>
      <c r="B179" s="10" t="str">
        <f t="shared" si="1"/>
        <v>RNA-muscle</v>
      </c>
      <c r="C179" s="10" t="str">
        <f t="shared" si="2"/>
        <v>BRN63M-F2</v>
      </c>
      <c r="D179" s="6">
        <v>63.0</v>
      </c>
      <c r="E179" s="10" t="str">
        <f t="shared" si="3"/>
        <v>BRN63M</v>
      </c>
      <c r="F179" s="6" t="s">
        <v>61</v>
      </c>
      <c r="G179" s="6">
        <v>2.0</v>
      </c>
      <c r="H179" s="11" t="str">
        <f t="shared" si="4"/>
        <v>F2</v>
      </c>
      <c r="I179" s="10" t="str">
        <f t="shared" si="5"/>
        <v>BRN63M-F2</v>
      </c>
      <c r="J179" s="16"/>
      <c r="K179" s="16" t="str">
        <f t="shared" si="6"/>
        <v>collected</v>
      </c>
      <c r="L179" s="16" t="str">
        <f t="shared" si="7"/>
        <v>N</v>
      </c>
      <c r="M179" s="16"/>
      <c r="N179" s="16"/>
    </row>
    <row r="180">
      <c r="A180" s="6" t="s">
        <v>392</v>
      </c>
      <c r="B180" s="10" t="str">
        <f t="shared" si="1"/>
        <v>RNA-muscle</v>
      </c>
      <c r="C180" s="10" t="str">
        <f t="shared" si="2"/>
        <v>BRN63M-E2</v>
      </c>
      <c r="D180" s="6">
        <v>63.0</v>
      </c>
      <c r="E180" s="10" t="str">
        <f t="shared" si="3"/>
        <v>BRN63M</v>
      </c>
      <c r="F180" s="6" t="s">
        <v>66</v>
      </c>
      <c r="G180" s="6">
        <v>2.0</v>
      </c>
      <c r="H180" s="11" t="str">
        <f t="shared" si="4"/>
        <v>E2</v>
      </c>
      <c r="I180" s="10" t="str">
        <f t="shared" si="5"/>
        <v>BRN63M-E2</v>
      </c>
      <c r="J180" s="16"/>
      <c r="K180" s="16" t="str">
        <f t="shared" si="6"/>
        <v>collected</v>
      </c>
      <c r="L180" s="16" t="str">
        <f t="shared" si="7"/>
        <v>N</v>
      </c>
      <c r="M180" s="16"/>
      <c r="N180" s="16"/>
    </row>
    <row r="181">
      <c r="A181" s="6" t="s">
        <v>394</v>
      </c>
      <c r="B181" s="10" t="str">
        <f t="shared" si="1"/>
        <v>RNA-muscle</v>
      </c>
      <c r="C181" s="10" t="str">
        <f t="shared" si="2"/>
        <v>BRN56M-H10</v>
      </c>
      <c r="D181" s="6">
        <v>56.0</v>
      </c>
      <c r="E181" s="10" t="str">
        <f t="shared" si="3"/>
        <v>BRN56M</v>
      </c>
      <c r="F181" s="6" t="s">
        <v>51</v>
      </c>
      <c r="G181" s="6">
        <v>10.0</v>
      </c>
      <c r="H181" s="11" t="str">
        <f t="shared" si="4"/>
        <v>H10</v>
      </c>
      <c r="I181" s="10" t="str">
        <f t="shared" si="5"/>
        <v>BRN56M-H10</v>
      </c>
      <c r="J181" s="6"/>
      <c r="K181" s="16" t="str">
        <f t="shared" si="6"/>
        <v>collected</v>
      </c>
      <c r="L181" s="16" t="str">
        <f t="shared" si="7"/>
        <v>N</v>
      </c>
      <c r="M181" s="16"/>
      <c r="N181" s="16"/>
    </row>
    <row r="182">
      <c r="A182" s="26" t="s">
        <v>395</v>
      </c>
      <c r="B182" s="10" t="str">
        <f t="shared" si="1"/>
        <v>RNA-muscle</v>
      </c>
      <c r="C182" s="10" t="str">
        <f t="shared" si="2"/>
        <v>BRN56M-G10</v>
      </c>
      <c r="D182" s="6">
        <v>56.0</v>
      </c>
      <c r="E182" s="10" t="str">
        <f t="shared" si="3"/>
        <v>BRN56M</v>
      </c>
      <c r="F182" s="6" t="s">
        <v>56</v>
      </c>
      <c r="G182" s="6">
        <v>10.0</v>
      </c>
      <c r="H182" s="11" t="str">
        <f t="shared" si="4"/>
        <v>G10</v>
      </c>
      <c r="I182" s="10" t="str">
        <f t="shared" si="5"/>
        <v>BRN56M-G10</v>
      </c>
      <c r="J182" s="6"/>
      <c r="K182" s="16" t="str">
        <f t="shared" si="6"/>
        <v>collected</v>
      </c>
      <c r="L182" s="16" t="str">
        <f t="shared" si="7"/>
        <v>N</v>
      </c>
      <c r="M182" s="16"/>
      <c r="N182" s="16"/>
    </row>
    <row r="183">
      <c r="A183" s="26" t="s">
        <v>396</v>
      </c>
      <c r="B183" s="10" t="str">
        <f t="shared" si="1"/>
        <v>RNA-muscle</v>
      </c>
      <c r="C183" s="10" t="str">
        <f t="shared" si="2"/>
        <v>BRN56M-F10</v>
      </c>
      <c r="D183" s="6">
        <v>56.0</v>
      </c>
      <c r="E183" s="10" t="str">
        <f t="shared" si="3"/>
        <v>BRN56M</v>
      </c>
      <c r="F183" s="6" t="s">
        <v>61</v>
      </c>
      <c r="G183" s="6">
        <v>10.0</v>
      </c>
      <c r="H183" s="11" t="str">
        <f t="shared" si="4"/>
        <v>F10</v>
      </c>
      <c r="I183" s="10" t="str">
        <f t="shared" si="5"/>
        <v>BRN56M-F10</v>
      </c>
      <c r="J183" s="6"/>
      <c r="K183" s="16" t="str">
        <f t="shared" si="6"/>
        <v>collected</v>
      </c>
      <c r="L183" s="16" t="str">
        <f t="shared" si="7"/>
        <v>N</v>
      </c>
      <c r="M183" s="16"/>
      <c r="N183" s="16"/>
    </row>
    <row r="184">
      <c r="A184" s="26" t="s">
        <v>397</v>
      </c>
      <c r="B184" s="10" t="str">
        <f t="shared" si="1"/>
        <v>RNA-muscle</v>
      </c>
      <c r="C184" s="10" t="str">
        <f t="shared" si="2"/>
        <v>BRN56M-E10</v>
      </c>
      <c r="D184" s="6">
        <v>56.0</v>
      </c>
      <c r="E184" s="10" t="str">
        <f t="shared" si="3"/>
        <v>BRN56M</v>
      </c>
      <c r="F184" s="6" t="s">
        <v>66</v>
      </c>
      <c r="G184" s="6">
        <v>10.0</v>
      </c>
      <c r="H184" s="11" t="str">
        <f t="shared" si="4"/>
        <v>E10</v>
      </c>
      <c r="I184" s="10" t="str">
        <f t="shared" si="5"/>
        <v>BRN56M-E10</v>
      </c>
      <c r="J184" s="16"/>
      <c r="K184" s="16" t="str">
        <f t="shared" si="6"/>
        <v>collected</v>
      </c>
      <c r="L184" s="16" t="str">
        <f t="shared" si="7"/>
        <v>N</v>
      </c>
      <c r="M184" s="16"/>
      <c r="N184" s="16"/>
    </row>
    <row r="185">
      <c r="A185" s="26" t="s">
        <v>400</v>
      </c>
      <c r="B185" s="10" t="str">
        <f t="shared" si="1"/>
        <v>RNA-muscle</v>
      </c>
      <c r="C185" s="10" t="str">
        <f t="shared" si="2"/>
        <v>BRN56M-D10</v>
      </c>
      <c r="D185" s="6">
        <v>56.0</v>
      </c>
      <c r="E185" s="10" t="str">
        <f t="shared" si="3"/>
        <v>BRN56M</v>
      </c>
      <c r="F185" s="6" t="s">
        <v>68</v>
      </c>
      <c r="G185" s="6">
        <v>10.0</v>
      </c>
      <c r="H185" s="11" t="str">
        <f t="shared" si="4"/>
        <v>D10</v>
      </c>
      <c r="I185" s="10" t="str">
        <f t="shared" si="5"/>
        <v>BRN56M-D10</v>
      </c>
      <c r="J185" s="16"/>
      <c r="K185" s="16" t="str">
        <f t="shared" si="6"/>
        <v>collected</v>
      </c>
      <c r="L185" s="16" t="str">
        <f t="shared" si="7"/>
        <v>N</v>
      </c>
      <c r="M185" s="16"/>
      <c r="N185" s="16"/>
    </row>
    <row r="186">
      <c r="A186" s="26" t="s">
        <v>401</v>
      </c>
      <c r="B186" s="10" t="str">
        <f t="shared" si="1"/>
        <v>RNA-muscle</v>
      </c>
      <c r="C186" s="10" t="str">
        <f t="shared" si="2"/>
        <v>BRN56M-C10</v>
      </c>
      <c r="D186" s="6">
        <v>56.0</v>
      </c>
      <c r="E186" s="10" t="str">
        <f t="shared" si="3"/>
        <v>BRN56M</v>
      </c>
      <c r="F186" s="6" t="s">
        <v>72</v>
      </c>
      <c r="G186" s="6">
        <v>10.0</v>
      </c>
      <c r="H186" s="11" t="str">
        <f t="shared" si="4"/>
        <v>C10</v>
      </c>
      <c r="I186" s="10" t="str">
        <f t="shared" si="5"/>
        <v>BRN56M-C10</v>
      </c>
      <c r="J186" s="16"/>
      <c r="K186" s="16" t="str">
        <f t="shared" si="6"/>
        <v>collected</v>
      </c>
      <c r="L186" s="16" t="str">
        <f t="shared" si="7"/>
        <v>N</v>
      </c>
      <c r="M186" s="16"/>
      <c r="N186" s="16"/>
    </row>
    <row r="187">
      <c r="A187" s="26" t="s">
        <v>402</v>
      </c>
      <c r="B187" s="10" t="str">
        <f t="shared" si="1"/>
        <v>RNA-muscle</v>
      </c>
      <c r="C187" s="10" t="str">
        <f t="shared" si="2"/>
        <v>BRN56M-B10</v>
      </c>
      <c r="D187" s="6">
        <v>56.0</v>
      </c>
      <c r="E187" s="10" t="str">
        <f t="shared" si="3"/>
        <v>BRN56M</v>
      </c>
      <c r="F187" s="6" t="s">
        <v>74</v>
      </c>
      <c r="G187" s="6">
        <v>10.0</v>
      </c>
      <c r="H187" s="11" t="str">
        <f t="shared" si="4"/>
        <v>B10</v>
      </c>
      <c r="I187" s="10" t="str">
        <f t="shared" si="5"/>
        <v>BRN56M-B10</v>
      </c>
      <c r="J187" s="16"/>
      <c r="K187" s="16" t="str">
        <f t="shared" si="6"/>
        <v>collected</v>
      </c>
      <c r="L187" s="16" t="str">
        <f t="shared" si="7"/>
        <v>N</v>
      </c>
      <c r="M187" s="16"/>
      <c r="N187" s="16"/>
    </row>
    <row r="188">
      <c r="A188" s="26" t="s">
        <v>404</v>
      </c>
      <c r="B188" s="10" t="str">
        <f t="shared" si="1"/>
        <v>RNA-muscle</v>
      </c>
      <c r="C188" s="10" t="str">
        <f t="shared" si="2"/>
        <v>BRN56M-A10</v>
      </c>
      <c r="D188" s="6">
        <v>56.0</v>
      </c>
      <c r="E188" s="10" t="str">
        <f t="shared" si="3"/>
        <v>BRN56M</v>
      </c>
      <c r="F188" s="6" t="s">
        <v>76</v>
      </c>
      <c r="G188" s="6">
        <v>10.0</v>
      </c>
      <c r="H188" s="11" t="str">
        <f t="shared" si="4"/>
        <v>A10</v>
      </c>
      <c r="I188" s="10" t="str">
        <f t="shared" si="5"/>
        <v>BRN56M-A10</v>
      </c>
      <c r="J188" s="16"/>
      <c r="K188" s="16" t="str">
        <f t="shared" si="6"/>
        <v>collected</v>
      </c>
      <c r="L188" s="16" t="str">
        <f t="shared" si="7"/>
        <v>N</v>
      </c>
      <c r="M188" s="16"/>
      <c r="N188" s="16"/>
    </row>
    <row r="189">
      <c r="A189" s="26" t="s">
        <v>405</v>
      </c>
      <c r="B189" s="10" t="str">
        <f t="shared" si="1"/>
        <v>RNA-muscle</v>
      </c>
      <c r="C189" s="10" t="str">
        <f t="shared" si="2"/>
        <v>BRN56M-G12</v>
      </c>
      <c r="D189" s="6">
        <v>56.0</v>
      </c>
      <c r="E189" s="10" t="str">
        <f t="shared" si="3"/>
        <v>BRN56M</v>
      </c>
      <c r="F189" s="6" t="s">
        <v>56</v>
      </c>
      <c r="G189" s="6">
        <v>12.0</v>
      </c>
      <c r="H189" s="11" t="str">
        <f t="shared" si="4"/>
        <v>G12</v>
      </c>
      <c r="I189" s="10" t="str">
        <f t="shared" si="5"/>
        <v>BRN56M-G12</v>
      </c>
      <c r="J189" s="16"/>
      <c r="K189" s="16" t="str">
        <f t="shared" si="6"/>
        <v>collected</v>
      </c>
      <c r="L189" s="16" t="str">
        <f t="shared" si="7"/>
        <v>N</v>
      </c>
      <c r="M189" s="16"/>
      <c r="N189" s="16"/>
    </row>
    <row r="190">
      <c r="A190" s="26" t="s">
        <v>408</v>
      </c>
      <c r="B190" s="10" t="str">
        <f t="shared" si="1"/>
        <v>RNA-muscle</v>
      </c>
      <c r="C190" s="10" t="str">
        <f t="shared" si="2"/>
        <v>BRN56M-F12</v>
      </c>
      <c r="D190" s="6">
        <v>56.0</v>
      </c>
      <c r="E190" s="10" t="str">
        <f t="shared" si="3"/>
        <v>BRN56M</v>
      </c>
      <c r="F190" s="6" t="s">
        <v>61</v>
      </c>
      <c r="G190" s="6">
        <v>12.0</v>
      </c>
      <c r="H190" s="11" t="str">
        <f t="shared" si="4"/>
        <v>F12</v>
      </c>
      <c r="I190" s="10" t="str">
        <f t="shared" si="5"/>
        <v>BRN56M-F12</v>
      </c>
      <c r="J190" s="16"/>
      <c r="K190" s="16" t="str">
        <f t="shared" si="6"/>
        <v>collected</v>
      </c>
      <c r="L190" s="16" t="str">
        <f t="shared" si="7"/>
        <v>N</v>
      </c>
      <c r="M190" s="16"/>
      <c r="N190" s="16"/>
    </row>
    <row r="191">
      <c r="A191" s="6" t="s">
        <v>409</v>
      </c>
      <c r="B191" s="10" t="str">
        <f t="shared" si="1"/>
        <v>RNA-muscle</v>
      </c>
      <c r="C191" s="10" t="str">
        <f t="shared" si="2"/>
        <v>BRN56M-E12</v>
      </c>
      <c r="D191" s="6">
        <v>56.0</v>
      </c>
      <c r="E191" s="10" t="str">
        <f t="shared" si="3"/>
        <v>BRN56M</v>
      </c>
      <c r="F191" s="6" t="s">
        <v>66</v>
      </c>
      <c r="G191" s="6">
        <v>12.0</v>
      </c>
      <c r="H191" s="11" t="str">
        <f t="shared" si="4"/>
        <v>E12</v>
      </c>
      <c r="I191" s="10" t="str">
        <f t="shared" si="5"/>
        <v>BRN56M-E12</v>
      </c>
      <c r="J191" s="16"/>
      <c r="K191" s="16" t="str">
        <f t="shared" si="6"/>
        <v>collected</v>
      </c>
      <c r="L191" s="16" t="str">
        <f t="shared" si="7"/>
        <v>N</v>
      </c>
      <c r="M191" s="16"/>
      <c r="N191" s="16"/>
    </row>
    <row r="192">
      <c r="A192" s="6" t="s">
        <v>410</v>
      </c>
      <c r="B192" s="10" t="str">
        <f t="shared" si="1"/>
        <v>RNA-muscle</v>
      </c>
      <c r="C192" s="10" t="str">
        <f t="shared" si="2"/>
        <v>BRN56M-D12</v>
      </c>
      <c r="D192" s="6">
        <v>56.0</v>
      </c>
      <c r="E192" s="10" t="str">
        <f t="shared" si="3"/>
        <v>BRN56M</v>
      </c>
      <c r="F192" s="6" t="s">
        <v>68</v>
      </c>
      <c r="G192" s="6">
        <v>12.0</v>
      </c>
      <c r="H192" s="11" t="str">
        <f t="shared" si="4"/>
        <v>D12</v>
      </c>
      <c r="I192" s="10" t="str">
        <f t="shared" si="5"/>
        <v>BRN56M-D12</v>
      </c>
      <c r="J192" s="16"/>
      <c r="K192" s="16" t="str">
        <f t="shared" si="6"/>
        <v>collected</v>
      </c>
      <c r="L192" s="16" t="str">
        <f t="shared" si="7"/>
        <v>N</v>
      </c>
      <c r="M192" s="16"/>
      <c r="N192" s="16"/>
    </row>
    <row r="193">
      <c r="A193" s="26" t="s">
        <v>412</v>
      </c>
      <c r="B193" s="10" t="str">
        <f t="shared" si="1"/>
        <v>RNA-muscle</v>
      </c>
      <c r="C193" s="10" t="str">
        <f t="shared" si="2"/>
        <v>BRN56M-C12</v>
      </c>
      <c r="D193" s="6">
        <v>56.0</v>
      </c>
      <c r="E193" s="10" t="str">
        <f t="shared" si="3"/>
        <v>BRN56M</v>
      </c>
      <c r="F193" s="6" t="s">
        <v>72</v>
      </c>
      <c r="G193" s="6">
        <v>12.0</v>
      </c>
      <c r="H193" s="11" t="str">
        <f t="shared" si="4"/>
        <v>C12</v>
      </c>
      <c r="I193" s="10" t="str">
        <f t="shared" si="5"/>
        <v>BRN56M-C12</v>
      </c>
      <c r="J193" s="16"/>
      <c r="K193" s="16" t="str">
        <f t="shared" si="6"/>
        <v>collected</v>
      </c>
      <c r="L193" s="16" t="str">
        <f t="shared" si="7"/>
        <v>N</v>
      </c>
      <c r="M193" s="16"/>
      <c r="N193" s="16"/>
    </row>
    <row r="194">
      <c r="A194" s="26" t="s">
        <v>413</v>
      </c>
      <c r="B194" s="10" t="str">
        <f t="shared" si="1"/>
        <v>RNA-muscle</v>
      </c>
      <c r="C194" s="10" t="str">
        <f t="shared" si="2"/>
        <v>BRN56M-B12</v>
      </c>
      <c r="D194" s="6">
        <v>56.0</v>
      </c>
      <c r="E194" s="10" t="str">
        <f t="shared" si="3"/>
        <v>BRN56M</v>
      </c>
      <c r="F194" s="6" t="s">
        <v>74</v>
      </c>
      <c r="G194" s="6">
        <v>12.0</v>
      </c>
      <c r="H194" s="11" t="str">
        <f t="shared" si="4"/>
        <v>B12</v>
      </c>
      <c r="I194" s="10" t="str">
        <f t="shared" si="5"/>
        <v>BRN56M-B12</v>
      </c>
      <c r="J194" s="6"/>
      <c r="K194" s="16" t="str">
        <f t="shared" si="6"/>
        <v>collected</v>
      </c>
      <c r="L194" s="16" t="str">
        <f t="shared" si="7"/>
        <v>N</v>
      </c>
      <c r="M194" s="16"/>
      <c r="N194" s="16"/>
    </row>
    <row r="195">
      <c r="A195" s="26" t="s">
        <v>415</v>
      </c>
      <c r="B195" s="10" t="str">
        <f t="shared" si="1"/>
        <v>RNA-muscle</v>
      </c>
      <c r="C195" s="10" t="str">
        <f t="shared" si="2"/>
        <v>BRN56M-A12</v>
      </c>
      <c r="D195" s="6">
        <v>56.0</v>
      </c>
      <c r="E195" s="10" t="str">
        <f t="shared" si="3"/>
        <v>BRN56M</v>
      </c>
      <c r="F195" s="6" t="s">
        <v>76</v>
      </c>
      <c r="G195" s="6">
        <v>12.0</v>
      </c>
      <c r="H195" s="11" t="str">
        <f t="shared" si="4"/>
        <v>A12</v>
      </c>
      <c r="I195" s="10" t="str">
        <f t="shared" si="5"/>
        <v>BRN56M-A12</v>
      </c>
      <c r="J195" s="16"/>
      <c r="K195" s="16" t="str">
        <f t="shared" si="6"/>
        <v>collected</v>
      </c>
      <c r="L195" s="16" t="str">
        <f t="shared" si="7"/>
        <v>N</v>
      </c>
      <c r="M195" s="16"/>
      <c r="N195" s="16"/>
    </row>
    <row r="196">
      <c r="A196" s="26" t="s">
        <v>417</v>
      </c>
      <c r="B196" s="10" t="str">
        <f t="shared" si="1"/>
        <v>RNA-muscle</v>
      </c>
      <c r="C196" s="10" t="str">
        <f t="shared" si="2"/>
        <v>BRN63M-H4</v>
      </c>
      <c r="D196" s="6">
        <v>63.0</v>
      </c>
      <c r="E196" s="10" t="str">
        <f t="shared" si="3"/>
        <v>BRN63M</v>
      </c>
      <c r="F196" s="6" t="s">
        <v>51</v>
      </c>
      <c r="G196" s="6">
        <v>4.0</v>
      </c>
      <c r="H196" s="11" t="str">
        <f t="shared" si="4"/>
        <v>H4</v>
      </c>
      <c r="I196" s="10" t="str">
        <f t="shared" si="5"/>
        <v>BRN63M-H4</v>
      </c>
      <c r="J196" s="6" t="s">
        <v>418</v>
      </c>
      <c r="K196" s="16" t="str">
        <f t="shared" si="6"/>
        <v>collected</v>
      </c>
      <c r="L196" s="16" t="str">
        <f t="shared" si="7"/>
        <v>N</v>
      </c>
      <c r="M196" s="16"/>
      <c r="N196" s="16"/>
    </row>
    <row r="197">
      <c r="A197" s="26" t="s">
        <v>419</v>
      </c>
      <c r="B197" s="10" t="str">
        <f t="shared" si="1"/>
        <v>RNA-muscle</v>
      </c>
      <c r="C197" s="10" t="str">
        <f t="shared" si="2"/>
        <v>BRN63M-G4</v>
      </c>
      <c r="D197" s="6">
        <v>63.0</v>
      </c>
      <c r="E197" s="10" t="str">
        <f t="shared" si="3"/>
        <v>BRN63M</v>
      </c>
      <c r="F197" s="6" t="s">
        <v>56</v>
      </c>
      <c r="G197" s="6">
        <v>4.0</v>
      </c>
      <c r="H197" s="11" t="str">
        <f t="shared" si="4"/>
        <v>G4</v>
      </c>
      <c r="I197" s="10" t="str">
        <f t="shared" si="5"/>
        <v>BRN63M-G4</v>
      </c>
      <c r="J197" s="16"/>
      <c r="K197" s="16" t="str">
        <f t="shared" si="6"/>
        <v>collected</v>
      </c>
      <c r="L197" s="16" t="str">
        <f t="shared" si="7"/>
        <v>N</v>
      </c>
      <c r="M197" s="16"/>
      <c r="N197" s="16"/>
    </row>
    <row r="198">
      <c r="A198" s="26" t="s">
        <v>421</v>
      </c>
      <c r="B198" s="10" t="str">
        <f t="shared" si="1"/>
        <v>RNA-muscle</v>
      </c>
      <c r="C198" s="10" t="str">
        <f t="shared" si="2"/>
        <v>BRN63M-F4</v>
      </c>
      <c r="D198" s="6">
        <v>63.0</v>
      </c>
      <c r="E198" s="10" t="str">
        <f t="shared" si="3"/>
        <v>BRN63M</v>
      </c>
      <c r="F198" s="6" t="s">
        <v>61</v>
      </c>
      <c r="G198" s="6">
        <v>4.0</v>
      </c>
      <c r="H198" s="11" t="str">
        <f t="shared" si="4"/>
        <v>F4</v>
      </c>
      <c r="I198" s="10" t="str">
        <f t="shared" si="5"/>
        <v>BRN63M-F4</v>
      </c>
      <c r="J198" s="6"/>
      <c r="K198" s="16" t="str">
        <f t="shared" si="6"/>
        <v>collected</v>
      </c>
      <c r="L198" s="16" t="str">
        <f t="shared" si="7"/>
        <v>N</v>
      </c>
      <c r="M198" s="16"/>
      <c r="N198" s="16"/>
    </row>
    <row r="199">
      <c r="A199" s="26" t="s">
        <v>422</v>
      </c>
      <c r="B199" s="10" t="str">
        <f t="shared" si="1"/>
        <v>RNA-muscle</v>
      </c>
      <c r="C199" s="10" t="str">
        <f t="shared" si="2"/>
        <v>BRN63M-E4</v>
      </c>
      <c r="D199" s="6">
        <v>63.0</v>
      </c>
      <c r="E199" s="10" t="str">
        <f t="shared" si="3"/>
        <v>BRN63M</v>
      </c>
      <c r="F199" s="6" t="s">
        <v>66</v>
      </c>
      <c r="G199" s="6">
        <v>4.0</v>
      </c>
      <c r="H199" s="11" t="str">
        <f t="shared" si="4"/>
        <v>E4</v>
      </c>
      <c r="I199" s="10" t="str">
        <f t="shared" si="5"/>
        <v>BRN63M-E4</v>
      </c>
      <c r="J199" s="16"/>
      <c r="K199" s="16" t="str">
        <f t="shared" si="6"/>
        <v>collected</v>
      </c>
      <c r="L199" s="16" t="str">
        <f t="shared" si="7"/>
        <v>N</v>
      </c>
      <c r="M199" s="16"/>
      <c r="N199" s="16"/>
    </row>
    <row r="200">
      <c r="A200" s="26" t="s">
        <v>423</v>
      </c>
      <c r="B200" s="10" t="str">
        <f t="shared" si="1"/>
        <v>RNA-muscle</v>
      </c>
      <c r="C200" s="10" t="str">
        <f t="shared" si="2"/>
        <v>BRN63M-D4</v>
      </c>
      <c r="D200" s="6">
        <v>63.0</v>
      </c>
      <c r="E200" s="10" t="str">
        <f t="shared" si="3"/>
        <v>BRN63M</v>
      </c>
      <c r="F200" s="6" t="s">
        <v>68</v>
      </c>
      <c r="G200" s="6">
        <v>4.0</v>
      </c>
      <c r="H200" s="11" t="str">
        <f t="shared" si="4"/>
        <v>D4</v>
      </c>
      <c r="I200" s="10" t="str">
        <f t="shared" si="5"/>
        <v>BRN63M-D4</v>
      </c>
      <c r="J200" s="16"/>
      <c r="K200" s="16" t="str">
        <f t="shared" si="6"/>
        <v>collected</v>
      </c>
      <c r="L200" s="16" t="str">
        <f t="shared" si="7"/>
        <v>N</v>
      </c>
      <c r="M200" s="16"/>
      <c r="N200" s="16"/>
    </row>
    <row r="201">
      <c r="A201" s="26" t="s">
        <v>427</v>
      </c>
      <c r="B201" s="10" t="str">
        <f t="shared" si="1"/>
        <v>RNA-muscle</v>
      </c>
      <c r="C201" s="10" t="str">
        <f t="shared" si="2"/>
        <v>BRN63M-C4</v>
      </c>
      <c r="D201" s="6">
        <v>63.0</v>
      </c>
      <c r="E201" s="10" t="str">
        <f t="shared" si="3"/>
        <v>BRN63M</v>
      </c>
      <c r="F201" s="6" t="s">
        <v>72</v>
      </c>
      <c r="G201" s="6">
        <v>4.0</v>
      </c>
      <c r="H201" s="11" t="str">
        <f t="shared" si="4"/>
        <v>C4</v>
      </c>
      <c r="I201" s="10" t="str">
        <f t="shared" si="5"/>
        <v>BRN63M-C4</v>
      </c>
      <c r="J201" s="16"/>
      <c r="K201" s="16" t="str">
        <f t="shared" si="6"/>
        <v>collected</v>
      </c>
      <c r="L201" s="16" t="str">
        <f t="shared" si="7"/>
        <v>N</v>
      </c>
      <c r="M201" s="16"/>
      <c r="N201" s="16"/>
    </row>
    <row r="202">
      <c r="A202" s="26" t="s">
        <v>428</v>
      </c>
      <c r="B202" s="10" t="str">
        <f t="shared" si="1"/>
        <v>RNA-muscle</v>
      </c>
      <c r="C202" s="10" t="str">
        <f t="shared" si="2"/>
        <v>BRN63M-D2</v>
      </c>
      <c r="D202" s="6">
        <v>63.0</v>
      </c>
      <c r="E202" s="10" t="str">
        <f t="shared" si="3"/>
        <v>BRN63M</v>
      </c>
      <c r="F202" s="6" t="s">
        <v>68</v>
      </c>
      <c r="G202" s="6">
        <v>2.0</v>
      </c>
      <c r="H202" s="11" t="str">
        <f t="shared" si="4"/>
        <v>D2</v>
      </c>
      <c r="I202" s="10" t="str">
        <f t="shared" si="5"/>
        <v>BRN63M-D2</v>
      </c>
      <c r="J202" s="16"/>
      <c r="K202" s="16" t="str">
        <f t="shared" si="6"/>
        <v>collected</v>
      </c>
      <c r="L202" s="16" t="str">
        <f t="shared" si="7"/>
        <v>N</v>
      </c>
      <c r="M202" s="16"/>
      <c r="N202" s="16"/>
    </row>
    <row r="203">
      <c r="A203" s="26" t="s">
        <v>430</v>
      </c>
      <c r="B203" s="10" t="str">
        <f t="shared" si="1"/>
        <v>RNA-muscle</v>
      </c>
      <c r="C203" s="10" t="str">
        <f t="shared" si="2"/>
        <v>BRN63M-C2</v>
      </c>
      <c r="D203" s="6">
        <v>63.0</v>
      </c>
      <c r="E203" s="10" t="str">
        <f t="shared" si="3"/>
        <v>BRN63M</v>
      </c>
      <c r="F203" s="6" t="s">
        <v>72</v>
      </c>
      <c r="G203" s="6">
        <v>2.0</v>
      </c>
      <c r="H203" s="11" t="str">
        <f t="shared" si="4"/>
        <v>C2</v>
      </c>
      <c r="I203" s="10" t="str">
        <f t="shared" si="5"/>
        <v>BRN63M-C2</v>
      </c>
      <c r="J203" s="16"/>
      <c r="K203" s="16" t="str">
        <f t="shared" si="6"/>
        <v>collected</v>
      </c>
      <c r="L203" s="16" t="str">
        <f t="shared" si="7"/>
        <v>N</v>
      </c>
      <c r="M203" s="16"/>
      <c r="N203" s="16"/>
    </row>
    <row r="204">
      <c r="A204" s="26" t="s">
        <v>431</v>
      </c>
      <c r="B204" s="10" t="str">
        <f t="shared" si="1"/>
        <v>RNA-muscle</v>
      </c>
      <c r="C204" s="10" t="str">
        <f t="shared" si="2"/>
        <v>BRN63M-B2</v>
      </c>
      <c r="D204" s="6">
        <v>63.0</v>
      </c>
      <c r="E204" s="10" t="str">
        <f t="shared" si="3"/>
        <v>BRN63M</v>
      </c>
      <c r="F204" s="6" t="s">
        <v>74</v>
      </c>
      <c r="G204" s="6">
        <v>2.0</v>
      </c>
      <c r="H204" s="11" t="str">
        <f t="shared" si="4"/>
        <v>B2</v>
      </c>
      <c r="I204" s="10" t="str">
        <f t="shared" si="5"/>
        <v>BRN63M-B2</v>
      </c>
      <c r="J204" s="6"/>
      <c r="K204" s="16" t="str">
        <f t="shared" si="6"/>
        <v>collected</v>
      </c>
      <c r="L204" s="16" t="str">
        <f t="shared" si="7"/>
        <v>N</v>
      </c>
      <c r="M204" s="16"/>
      <c r="N204" s="16"/>
    </row>
    <row r="205">
      <c r="A205" s="27" t="s">
        <v>432</v>
      </c>
      <c r="B205" s="10" t="str">
        <f t="shared" si="1"/>
        <v>RNA-muscle</v>
      </c>
      <c r="C205" s="10" t="str">
        <f t="shared" si="2"/>
        <v>BRN63M-A2</v>
      </c>
      <c r="D205" s="6">
        <v>63.0</v>
      </c>
      <c r="E205" s="10" t="str">
        <f t="shared" si="3"/>
        <v>BRN63M</v>
      </c>
      <c r="F205" s="6" t="s">
        <v>76</v>
      </c>
      <c r="G205" s="6">
        <v>2.0</v>
      </c>
      <c r="H205" s="11" t="str">
        <f t="shared" si="4"/>
        <v>A2</v>
      </c>
      <c r="I205" s="10" t="str">
        <f t="shared" si="5"/>
        <v>BRN63M-A2</v>
      </c>
      <c r="J205" s="6"/>
      <c r="K205" s="16" t="str">
        <f t="shared" si="6"/>
        <v>collected</v>
      </c>
      <c r="L205" s="16" t="str">
        <f t="shared" si="7"/>
        <v>N</v>
      </c>
      <c r="M205" s="16"/>
      <c r="N205" s="16"/>
    </row>
    <row r="206">
      <c r="A206" s="27" t="s">
        <v>435</v>
      </c>
      <c r="B206" s="10" t="str">
        <f t="shared" si="1"/>
        <v>RNA-muscle</v>
      </c>
      <c r="C206" s="10" t="str">
        <f t="shared" si="2"/>
        <v>BRN63M-H3</v>
      </c>
      <c r="D206" s="6">
        <v>63.0</v>
      </c>
      <c r="E206" s="10" t="str">
        <f t="shared" si="3"/>
        <v>BRN63M</v>
      </c>
      <c r="F206" s="6" t="s">
        <v>51</v>
      </c>
      <c r="G206" s="6">
        <v>3.0</v>
      </c>
      <c r="H206" s="11" t="str">
        <f t="shared" si="4"/>
        <v>H3</v>
      </c>
      <c r="I206" s="10" t="str">
        <f t="shared" si="5"/>
        <v>BRN63M-H3</v>
      </c>
      <c r="J206" s="16"/>
      <c r="K206" s="16" t="str">
        <f t="shared" si="6"/>
        <v>collected</v>
      </c>
      <c r="L206" s="16" t="str">
        <f t="shared" si="7"/>
        <v>N</v>
      </c>
      <c r="M206" s="16"/>
      <c r="N206" s="16"/>
    </row>
    <row r="207">
      <c r="A207" s="27" t="s">
        <v>436</v>
      </c>
      <c r="B207" s="10" t="str">
        <f t="shared" si="1"/>
        <v>RNA-muscle</v>
      </c>
      <c r="C207" s="10" t="str">
        <f t="shared" si="2"/>
        <v>BRN63M-G3</v>
      </c>
      <c r="D207" s="6">
        <v>63.0</v>
      </c>
      <c r="E207" s="10" t="str">
        <f t="shared" si="3"/>
        <v>BRN63M</v>
      </c>
      <c r="F207" s="6" t="s">
        <v>56</v>
      </c>
      <c r="G207" s="6">
        <v>3.0</v>
      </c>
      <c r="H207" s="11" t="str">
        <f t="shared" si="4"/>
        <v>G3</v>
      </c>
      <c r="I207" s="10" t="str">
        <f t="shared" si="5"/>
        <v>BRN63M-G3</v>
      </c>
      <c r="J207" s="9" t="s">
        <v>437</v>
      </c>
      <c r="K207" s="16" t="str">
        <f t="shared" si="6"/>
        <v>collected</v>
      </c>
      <c r="L207" s="16" t="str">
        <f t="shared" si="7"/>
        <v>N</v>
      </c>
      <c r="M207" s="16"/>
      <c r="N207" s="16"/>
    </row>
    <row r="208">
      <c r="A208" s="27" t="s">
        <v>438</v>
      </c>
      <c r="B208" s="10" t="str">
        <f t="shared" si="1"/>
        <v>RNA-muscle</v>
      </c>
      <c r="C208" s="10" t="str">
        <f t="shared" si="2"/>
        <v>BRN63M-F3</v>
      </c>
      <c r="D208" s="6">
        <v>63.0</v>
      </c>
      <c r="E208" s="10" t="str">
        <f t="shared" si="3"/>
        <v>BRN63M</v>
      </c>
      <c r="F208" s="6" t="s">
        <v>61</v>
      </c>
      <c r="G208" s="6">
        <v>3.0</v>
      </c>
      <c r="H208" s="11" t="str">
        <f t="shared" si="4"/>
        <v>F3</v>
      </c>
      <c r="I208" s="10" t="str">
        <f t="shared" si="5"/>
        <v>BRN63M-F3</v>
      </c>
      <c r="K208" s="16" t="str">
        <f t="shared" si="6"/>
        <v>collected</v>
      </c>
      <c r="L208" s="16" t="str">
        <f t="shared" si="7"/>
        <v>N</v>
      </c>
      <c r="M208" s="16"/>
      <c r="N208" s="16"/>
    </row>
    <row r="209">
      <c r="A209" s="27" t="s">
        <v>440</v>
      </c>
      <c r="B209" s="10" t="str">
        <f t="shared" si="1"/>
        <v>RNA-muscle</v>
      </c>
      <c r="C209" s="10" t="str">
        <f t="shared" si="2"/>
        <v>BRN63M-E3</v>
      </c>
      <c r="D209" s="6">
        <v>63.0</v>
      </c>
      <c r="E209" s="10" t="str">
        <f t="shared" si="3"/>
        <v>BRN63M</v>
      </c>
      <c r="F209" s="6" t="s">
        <v>66</v>
      </c>
      <c r="G209" s="6">
        <v>3.0</v>
      </c>
      <c r="H209" s="11" t="str">
        <f t="shared" si="4"/>
        <v>E3</v>
      </c>
      <c r="I209" s="10" t="str">
        <f t="shared" si="5"/>
        <v>BRN63M-E3</v>
      </c>
      <c r="J209" s="9" t="s">
        <v>366</v>
      </c>
      <c r="K209" s="16" t="str">
        <f t="shared" si="6"/>
        <v>collected</v>
      </c>
      <c r="L209" s="16" t="str">
        <f t="shared" si="7"/>
        <v>N</v>
      </c>
      <c r="M209" s="16"/>
      <c r="N209" s="16"/>
    </row>
    <row r="210">
      <c r="A210" s="27" t="s">
        <v>441</v>
      </c>
      <c r="B210" s="10" t="str">
        <f t="shared" si="1"/>
        <v>RNA-muscle</v>
      </c>
      <c r="C210" s="10" t="str">
        <f t="shared" si="2"/>
        <v>BRN63M-D3</v>
      </c>
      <c r="D210" s="6">
        <v>63.0</v>
      </c>
      <c r="E210" s="10" t="str">
        <f t="shared" si="3"/>
        <v>BRN63M</v>
      </c>
      <c r="F210" s="6" t="s">
        <v>68</v>
      </c>
      <c r="G210" s="6">
        <v>3.0</v>
      </c>
      <c r="H210" s="11" t="str">
        <f t="shared" si="4"/>
        <v>D3</v>
      </c>
      <c r="I210" s="10" t="str">
        <f t="shared" si="5"/>
        <v>BRN63M-D3</v>
      </c>
      <c r="J210" s="16"/>
      <c r="K210" s="16" t="str">
        <f t="shared" si="6"/>
        <v>collected</v>
      </c>
      <c r="L210" s="16" t="str">
        <f t="shared" si="7"/>
        <v>N</v>
      </c>
      <c r="M210" s="16"/>
      <c r="N210" s="16"/>
    </row>
    <row r="211">
      <c r="A211" s="27" t="s">
        <v>444</v>
      </c>
      <c r="B211" s="10" t="str">
        <f t="shared" si="1"/>
        <v>RNA-muscle</v>
      </c>
      <c r="C211" s="10" t="str">
        <f t="shared" si="2"/>
        <v>BRN63M-C3</v>
      </c>
      <c r="D211" s="6">
        <v>63.0</v>
      </c>
      <c r="E211" s="10" t="str">
        <f t="shared" si="3"/>
        <v>BRN63M</v>
      </c>
      <c r="F211" s="6" t="s">
        <v>72</v>
      </c>
      <c r="G211" s="6">
        <v>3.0</v>
      </c>
      <c r="H211" s="11" t="str">
        <f t="shared" si="4"/>
        <v>C3</v>
      </c>
      <c r="I211" s="10" t="str">
        <f t="shared" si="5"/>
        <v>BRN63M-C3</v>
      </c>
      <c r="J211" s="16"/>
      <c r="K211" s="16" t="str">
        <f t="shared" si="6"/>
        <v>collected</v>
      </c>
      <c r="L211" s="16" t="str">
        <f t="shared" si="7"/>
        <v>N</v>
      </c>
      <c r="M211" s="16"/>
      <c r="N211" s="16"/>
    </row>
    <row r="212">
      <c r="A212" s="27" t="s">
        <v>445</v>
      </c>
      <c r="B212" s="10" t="str">
        <f t="shared" si="1"/>
        <v>RNA-muscle</v>
      </c>
      <c r="C212" s="10" t="str">
        <f t="shared" si="2"/>
        <v>BRN63M-B3</v>
      </c>
      <c r="D212" s="6">
        <v>63.0</v>
      </c>
      <c r="E212" s="10" t="str">
        <f t="shared" si="3"/>
        <v>BRN63M</v>
      </c>
      <c r="F212" s="6" t="s">
        <v>74</v>
      </c>
      <c r="G212" s="6">
        <v>3.0</v>
      </c>
      <c r="H212" s="11" t="str">
        <f t="shared" si="4"/>
        <v>B3</v>
      </c>
      <c r="I212" s="10" t="str">
        <f t="shared" si="5"/>
        <v>BRN63M-B3</v>
      </c>
      <c r="J212" s="16"/>
      <c r="K212" s="16" t="str">
        <f t="shared" si="6"/>
        <v>collected</v>
      </c>
      <c r="L212" s="16" t="str">
        <f t="shared" si="7"/>
        <v>N</v>
      </c>
      <c r="M212" s="16"/>
      <c r="N212" s="16"/>
    </row>
    <row r="213">
      <c r="A213" s="27" t="s">
        <v>446</v>
      </c>
      <c r="B213" s="10" t="str">
        <f t="shared" si="1"/>
        <v>RNA-muscle</v>
      </c>
      <c r="C213" s="10" t="str">
        <f t="shared" si="2"/>
        <v>BRN63M-A3</v>
      </c>
      <c r="D213" s="6">
        <v>63.0</v>
      </c>
      <c r="E213" s="10" t="str">
        <f t="shared" si="3"/>
        <v>BRN63M</v>
      </c>
      <c r="F213" s="6" t="s">
        <v>76</v>
      </c>
      <c r="G213" s="6">
        <v>3.0</v>
      </c>
      <c r="H213" s="11" t="str">
        <f t="shared" si="4"/>
        <v>A3</v>
      </c>
      <c r="I213" s="10" t="str">
        <f t="shared" si="5"/>
        <v>BRN63M-A3</v>
      </c>
      <c r="J213" s="16"/>
      <c r="K213" s="16" t="str">
        <f t="shared" si="6"/>
        <v>collected</v>
      </c>
      <c r="L213" s="16" t="str">
        <f t="shared" si="7"/>
        <v>N</v>
      </c>
      <c r="M213" s="16"/>
      <c r="N213" s="16"/>
    </row>
    <row r="214">
      <c r="A214" s="27" t="s">
        <v>448</v>
      </c>
      <c r="B214" s="10" t="str">
        <f t="shared" si="1"/>
        <v>RNA-muscle</v>
      </c>
      <c r="C214" s="10" t="str">
        <f t="shared" si="2"/>
        <v>BRN63M-H5</v>
      </c>
      <c r="D214" s="6">
        <v>63.0</v>
      </c>
      <c r="E214" s="10" t="str">
        <f t="shared" si="3"/>
        <v>BRN63M</v>
      </c>
      <c r="F214" s="6" t="s">
        <v>51</v>
      </c>
      <c r="G214" s="6">
        <v>5.0</v>
      </c>
      <c r="H214" s="11" t="str">
        <f t="shared" si="4"/>
        <v>H5</v>
      </c>
      <c r="I214" s="10" t="str">
        <f t="shared" si="5"/>
        <v>BRN63M-H5</v>
      </c>
      <c r="J214" s="16"/>
      <c r="K214" s="16" t="str">
        <f t="shared" si="6"/>
        <v>collected</v>
      </c>
      <c r="L214" s="16" t="str">
        <f t="shared" si="7"/>
        <v>N</v>
      </c>
      <c r="M214" s="16"/>
      <c r="N214" s="16"/>
    </row>
    <row r="215">
      <c r="A215" s="27" t="s">
        <v>449</v>
      </c>
      <c r="B215" s="10" t="str">
        <f t="shared" si="1"/>
        <v>RNA-muscle</v>
      </c>
      <c r="C215" s="10" t="str">
        <f t="shared" si="2"/>
        <v>BRN63M-G5</v>
      </c>
      <c r="D215" s="6">
        <v>63.0</v>
      </c>
      <c r="E215" s="10" t="str">
        <f t="shared" si="3"/>
        <v>BRN63M</v>
      </c>
      <c r="F215" s="6" t="s">
        <v>56</v>
      </c>
      <c r="G215" s="6">
        <v>5.0</v>
      </c>
      <c r="H215" s="11" t="str">
        <f t="shared" si="4"/>
        <v>G5</v>
      </c>
      <c r="I215" s="10" t="str">
        <f t="shared" si="5"/>
        <v>BRN63M-G5</v>
      </c>
      <c r="J215" s="16"/>
      <c r="K215" s="16" t="str">
        <f t="shared" si="6"/>
        <v>collected</v>
      </c>
      <c r="L215" s="16" t="str">
        <f t="shared" si="7"/>
        <v>N</v>
      </c>
      <c r="M215" s="16"/>
      <c r="N215" s="16"/>
    </row>
    <row r="216">
      <c r="A216" s="27" t="s">
        <v>451</v>
      </c>
      <c r="B216" s="10" t="str">
        <f t="shared" si="1"/>
        <v>RNA-muscle</v>
      </c>
      <c r="C216" s="10" t="str">
        <f t="shared" si="2"/>
        <v>BRN63M-F5</v>
      </c>
      <c r="D216" s="6">
        <v>63.0</v>
      </c>
      <c r="E216" s="10" t="str">
        <f t="shared" si="3"/>
        <v>BRN63M</v>
      </c>
      <c r="F216" s="6" t="s">
        <v>61</v>
      </c>
      <c r="G216" s="6">
        <v>5.0</v>
      </c>
      <c r="H216" s="11" t="str">
        <f t="shared" si="4"/>
        <v>F5</v>
      </c>
      <c r="I216" s="10" t="str">
        <f t="shared" si="5"/>
        <v>BRN63M-F5</v>
      </c>
      <c r="J216" s="16"/>
      <c r="K216" s="16" t="str">
        <f t="shared" si="6"/>
        <v>collected</v>
      </c>
      <c r="L216" s="16" t="str">
        <f t="shared" si="7"/>
        <v>N</v>
      </c>
      <c r="M216" s="16"/>
      <c r="N216" s="16"/>
    </row>
    <row r="217">
      <c r="A217" s="27" t="s">
        <v>452</v>
      </c>
      <c r="B217" s="10" t="str">
        <f t="shared" si="1"/>
        <v>RNA-muscle</v>
      </c>
      <c r="C217" s="10" t="str">
        <f t="shared" si="2"/>
        <v>BRN63M-E5</v>
      </c>
      <c r="D217" s="6">
        <v>63.0</v>
      </c>
      <c r="E217" s="10" t="str">
        <f t="shared" si="3"/>
        <v>BRN63M</v>
      </c>
      <c r="F217" s="6" t="s">
        <v>66</v>
      </c>
      <c r="G217" s="6">
        <v>5.0</v>
      </c>
      <c r="H217" s="11" t="str">
        <f t="shared" si="4"/>
        <v>E5</v>
      </c>
      <c r="I217" s="10" t="str">
        <f t="shared" si="5"/>
        <v>BRN63M-E5</v>
      </c>
      <c r="J217" s="16"/>
      <c r="K217" s="16" t="str">
        <f t="shared" si="6"/>
        <v>collected</v>
      </c>
      <c r="L217" s="16" t="str">
        <f t="shared" si="7"/>
        <v>N</v>
      </c>
      <c r="M217" s="16"/>
      <c r="N217" s="16"/>
    </row>
    <row r="218">
      <c r="A218" s="27" t="s">
        <v>454</v>
      </c>
      <c r="B218" s="10" t="str">
        <f t="shared" si="1"/>
        <v>RNA-muscle</v>
      </c>
      <c r="C218" s="10" t="str">
        <f t="shared" si="2"/>
        <v>BRN63M-D5</v>
      </c>
      <c r="D218" s="6">
        <v>63.0</v>
      </c>
      <c r="E218" s="10" t="str">
        <f t="shared" si="3"/>
        <v>BRN63M</v>
      </c>
      <c r="F218" s="6" t="s">
        <v>68</v>
      </c>
      <c r="G218" s="6">
        <v>5.0</v>
      </c>
      <c r="H218" s="11" t="str">
        <f t="shared" si="4"/>
        <v>D5</v>
      </c>
      <c r="I218" s="10" t="str">
        <f t="shared" si="5"/>
        <v>BRN63M-D5</v>
      </c>
      <c r="J218" s="16"/>
      <c r="K218" s="16" t="str">
        <f t="shared" si="6"/>
        <v>collected</v>
      </c>
      <c r="L218" s="16" t="str">
        <f t="shared" si="7"/>
        <v>N</v>
      </c>
      <c r="M218" s="16"/>
      <c r="N218" s="16"/>
    </row>
    <row r="219">
      <c r="A219" s="27" t="s">
        <v>455</v>
      </c>
      <c r="B219" s="10" t="str">
        <f t="shared" si="1"/>
        <v>RNA-muscle</v>
      </c>
      <c r="C219" s="10" t="str">
        <f t="shared" si="2"/>
        <v>BRN63M-C5</v>
      </c>
      <c r="D219" s="6">
        <v>63.0</v>
      </c>
      <c r="E219" s="10" t="str">
        <f t="shared" si="3"/>
        <v>BRN63M</v>
      </c>
      <c r="F219" s="6" t="s">
        <v>72</v>
      </c>
      <c r="G219" s="6">
        <v>5.0</v>
      </c>
      <c r="H219" s="11" t="str">
        <f t="shared" si="4"/>
        <v>C5</v>
      </c>
      <c r="I219" s="10" t="str">
        <f t="shared" si="5"/>
        <v>BRN63M-C5</v>
      </c>
      <c r="J219" s="16"/>
      <c r="K219" s="16" t="str">
        <f t="shared" si="6"/>
        <v>collected</v>
      </c>
      <c r="L219" s="16" t="str">
        <f t="shared" si="7"/>
        <v>N</v>
      </c>
      <c r="M219" s="16"/>
      <c r="N219" s="16"/>
    </row>
    <row r="220">
      <c r="A220" s="27" t="s">
        <v>456</v>
      </c>
      <c r="B220" s="10" t="str">
        <f t="shared" si="1"/>
        <v>RNA-muscle</v>
      </c>
      <c r="C220" s="10" t="str">
        <f t="shared" si="2"/>
        <v>BRN63M-B5</v>
      </c>
      <c r="D220" s="6">
        <v>63.0</v>
      </c>
      <c r="E220" s="10" t="str">
        <f t="shared" si="3"/>
        <v>BRN63M</v>
      </c>
      <c r="F220" s="6" t="s">
        <v>74</v>
      </c>
      <c r="G220" s="6">
        <v>5.0</v>
      </c>
      <c r="H220" s="11" t="str">
        <f t="shared" si="4"/>
        <v>B5</v>
      </c>
      <c r="I220" s="10" t="str">
        <f t="shared" si="5"/>
        <v>BRN63M-B5</v>
      </c>
      <c r="J220" s="16"/>
      <c r="K220" s="16" t="str">
        <f t="shared" si="6"/>
        <v>collected</v>
      </c>
      <c r="L220" s="16" t="str">
        <f t="shared" si="7"/>
        <v>N</v>
      </c>
      <c r="M220" s="16"/>
      <c r="N220" s="16"/>
    </row>
    <row r="221">
      <c r="A221" s="27" t="s">
        <v>457</v>
      </c>
      <c r="B221" s="10" t="str">
        <f t="shared" si="1"/>
        <v>RNA-muscle</v>
      </c>
      <c r="C221" s="10" t="str">
        <f t="shared" si="2"/>
        <v>BRN63M-A5</v>
      </c>
      <c r="D221" s="6">
        <v>63.0</v>
      </c>
      <c r="E221" s="10" t="str">
        <f t="shared" si="3"/>
        <v>BRN63M</v>
      </c>
      <c r="F221" s="6" t="s">
        <v>76</v>
      </c>
      <c r="G221" s="6">
        <v>5.0</v>
      </c>
      <c r="H221" s="11" t="str">
        <f t="shared" si="4"/>
        <v>A5</v>
      </c>
      <c r="I221" s="10" t="str">
        <f t="shared" si="5"/>
        <v>BRN63M-A5</v>
      </c>
      <c r="J221" s="16"/>
      <c r="K221" s="16" t="str">
        <f t="shared" si="6"/>
        <v>collected</v>
      </c>
      <c r="L221" s="16" t="str">
        <f t="shared" si="7"/>
        <v>N</v>
      </c>
      <c r="M221" s="16"/>
      <c r="N221" s="16"/>
    </row>
    <row r="222">
      <c r="A222" s="27" t="s">
        <v>459</v>
      </c>
      <c r="B222" s="10" t="str">
        <f t="shared" si="1"/>
        <v>RNA-muscle</v>
      </c>
      <c r="C222" s="10" t="str">
        <f t="shared" si="2"/>
        <v>BRN63M-G6</v>
      </c>
      <c r="D222" s="6">
        <v>63.0</v>
      </c>
      <c r="E222" s="10" t="str">
        <f t="shared" si="3"/>
        <v>BRN63M</v>
      </c>
      <c r="F222" s="6" t="s">
        <v>56</v>
      </c>
      <c r="G222" s="6">
        <v>6.0</v>
      </c>
      <c r="H222" s="11" t="str">
        <f t="shared" si="4"/>
        <v>G6</v>
      </c>
      <c r="I222" s="10" t="str">
        <f t="shared" si="5"/>
        <v>BRN63M-G6</v>
      </c>
      <c r="J222" s="6"/>
      <c r="K222" s="16" t="str">
        <f t="shared" si="6"/>
        <v>collected</v>
      </c>
      <c r="L222" s="16" t="str">
        <f t="shared" si="7"/>
        <v>N</v>
      </c>
      <c r="M222" s="16"/>
      <c r="N222" s="16"/>
    </row>
    <row r="223">
      <c r="A223" s="27" t="s">
        <v>461</v>
      </c>
      <c r="B223" s="10" t="str">
        <f t="shared" si="1"/>
        <v>RNA-muscle</v>
      </c>
      <c r="C223" s="10" t="str">
        <f t="shared" si="2"/>
        <v>BRN63M-F6</v>
      </c>
      <c r="D223" s="6">
        <v>63.0</v>
      </c>
      <c r="E223" s="10" t="str">
        <f t="shared" si="3"/>
        <v>BRN63M</v>
      </c>
      <c r="F223" s="6" t="s">
        <v>61</v>
      </c>
      <c r="G223" s="6">
        <v>6.0</v>
      </c>
      <c r="H223" s="11" t="str">
        <f t="shared" si="4"/>
        <v>F6</v>
      </c>
      <c r="I223" s="10" t="str">
        <f t="shared" si="5"/>
        <v>BRN63M-F6</v>
      </c>
      <c r="J223" s="16"/>
      <c r="K223" s="16" t="str">
        <f t="shared" si="6"/>
        <v>collected</v>
      </c>
      <c r="L223" s="16" t="str">
        <f t="shared" si="7"/>
        <v>N</v>
      </c>
      <c r="M223" s="16"/>
      <c r="N223" s="16"/>
    </row>
    <row r="224">
      <c r="A224" s="27" t="s">
        <v>462</v>
      </c>
      <c r="B224" s="10" t="str">
        <f t="shared" si="1"/>
        <v>RNA-muscle</v>
      </c>
      <c r="C224" s="10" t="str">
        <f t="shared" si="2"/>
        <v>BRN63M-E6</v>
      </c>
      <c r="D224" s="6">
        <v>63.0</v>
      </c>
      <c r="E224" s="10" t="str">
        <f t="shared" si="3"/>
        <v>BRN63M</v>
      </c>
      <c r="F224" s="6" t="s">
        <v>66</v>
      </c>
      <c r="G224" s="6">
        <v>6.0</v>
      </c>
      <c r="H224" s="11" t="str">
        <f t="shared" si="4"/>
        <v>E6</v>
      </c>
      <c r="I224" s="10" t="str">
        <f t="shared" si="5"/>
        <v>BRN63M-E6</v>
      </c>
      <c r="J224" s="16"/>
      <c r="K224" s="16" t="str">
        <f t="shared" si="6"/>
        <v>collected</v>
      </c>
      <c r="L224" s="16" t="str">
        <f t="shared" si="7"/>
        <v>N</v>
      </c>
      <c r="M224" s="16"/>
      <c r="N224" s="16"/>
    </row>
    <row r="225">
      <c r="A225" s="27" t="s">
        <v>463</v>
      </c>
      <c r="B225" s="10" t="str">
        <f t="shared" si="1"/>
        <v>RNA-muscle</v>
      </c>
      <c r="C225" s="10" t="str">
        <f t="shared" si="2"/>
        <v>BRN63M-D6</v>
      </c>
      <c r="D225" s="6">
        <v>63.0</v>
      </c>
      <c r="E225" s="10" t="str">
        <f t="shared" si="3"/>
        <v>BRN63M</v>
      </c>
      <c r="F225" s="6" t="s">
        <v>68</v>
      </c>
      <c r="G225" s="6">
        <v>6.0</v>
      </c>
      <c r="H225" s="11" t="str">
        <f t="shared" si="4"/>
        <v>D6</v>
      </c>
      <c r="I225" s="10" t="str">
        <f t="shared" si="5"/>
        <v>BRN63M-D6</v>
      </c>
      <c r="J225" s="16"/>
      <c r="K225" s="16" t="str">
        <f t="shared" si="6"/>
        <v>collected</v>
      </c>
      <c r="L225" s="16" t="str">
        <f t="shared" si="7"/>
        <v>N</v>
      </c>
      <c r="M225" s="16"/>
      <c r="N225" s="16"/>
    </row>
    <row r="226">
      <c r="A226" s="27" t="s">
        <v>466</v>
      </c>
      <c r="B226" s="10" t="str">
        <f t="shared" si="1"/>
        <v>RNA-muscle</v>
      </c>
      <c r="C226" s="10" t="str">
        <f t="shared" si="2"/>
        <v>BRN63M-C6</v>
      </c>
      <c r="D226" s="6">
        <v>63.0</v>
      </c>
      <c r="E226" s="10" t="str">
        <f t="shared" si="3"/>
        <v>BRN63M</v>
      </c>
      <c r="F226" s="6" t="s">
        <v>72</v>
      </c>
      <c r="G226" s="6">
        <v>6.0</v>
      </c>
      <c r="H226" s="11" t="str">
        <f t="shared" si="4"/>
        <v>C6</v>
      </c>
      <c r="I226" s="10" t="str">
        <f t="shared" si="5"/>
        <v>BRN63M-C6</v>
      </c>
      <c r="J226" s="16"/>
      <c r="K226" s="16" t="str">
        <f t="shared" si="6"/>
        <v>collected</v>
      </c>
      <c r="L226" s="16" t="str">
        <f t="shared" si="7"/>
        <v>N</v>
      </c>
      <c r="M226" s="16"/>
      <c r="N226" s="16"/>
    </row>
    <row r="227">
      <c r="A227" s="27" t="s">
        <v>467</v>
      </c>
      <c r="B227" s="10" t="str">
        <f t="shared" si="1"/>
        <v>RNA-muscle</v>
      </c>
      <c r="C227" s="10" t="str">
        <f t="shared" si="2"/>
        <v>BRN63M-B6</v>
      </c>
      <c r="D227" s="6">
        <v>63.0</v>
      </c>
      <c r="E227" s="10" t="str">
        <f t="shared" si="3"/>
        <v>BRN63M</v>
      </c>
      <c r="F227" s="6" t="s">
        <v>74</v>
      </c>
      <c r="G227" s="6">
        <v>6.0</v>
      </c>
      <c r="H227" s="11" t="str">
        <f t="shared" si="4"/>
        <v>B6</v>
      </c>
      <c r="I227" s="10" t="str">
        <f t="shared" si="5"/>
        <v>BRN63M-B6</v>
      </c>
      <c r="J227" s="6"/>
      <c r="K227" s="16" t="str">
        <f t="shared" si="6"/>
        <v>collected</v>
      </c>
      <c r="L227" s="16" t="str">
        <f t="shared" si="7"/>
        <v>N</v>
      </c>
      <c r="M227" s="16"/>
      <c r="N227" s="16"/>
    </row>
    <row r="228">
      <c r="A228" s="27" t="s">
        <v>468</v>
      </c>
      <c r="B228" s="10" t="str">
        <f t="shared" si="1"/>
        <v>RNA-muscle</v>
      </c>
      <c r="C228" s="10" t="str">
        <f t="shared" si="2"/>
        <v>BRN63M-A6</v>
      </c>
      <c r="D228" s="6">
        <v>63.0</v>
      </c>
      <c r="E228" s="10" t="str">
        <f t="shared" si="3"/>
        <v>BRN63M</v>
      </c>
      <c r="F228" s="6" t="s">
        <v>76</v>
      </c>
      <c r="G228" s="6">
        <v>6.0</v>
      </c>
      <c r="H228" s="11" t="str">
        <f t="shared" si="4"/>
        <v>A6</v>
      </c>
      <c r="I228" s="10" t="str">
        <f t="shared" si="5"/>
        <v>BRN63M-A6</v>
      </c>
      <c r="J228" s="6"/>
      <c r="K228" s="16" t="str">
        <f t="shared" si="6"/>
        <v>collected</v>
      </c>
      <c r="L228" s="16" t="str">
        <f t="shared" si="7"/>
        <v>N</v>
      </c>
      <c r="M228" s="16"/>
      <c r="N228" s="16"/>
    </row>
    <row r="229">
      <c r="A229" s="6" t="s">
        <v>470</v>
      </c>
      <c r="B229" s="10" t="str">
        <f t="shared" si="1"/>
        <v>RNA-muscle</v>
      </c>
      <c r="C229" s="10" t="str">
        <f t="shared" si="2"/>
        <v>BRN63M-H7</v>
      </c>
      <c r="D229" s="6">
        <v>63.0</v>
      </c>
      <c r="E229" s="10" t="str">
        <f t="shared" si="3"/>
        <v>BRN63M</v>
      </c>
      <c r="F229" s="6" t="s">
        <v>51</v>
      </c>
      <c r="G229" s="6">
        <v>7.0</v>
      </c>
      <c r="H229" s="11" t="str">
        <f t="shared" si="4"/>
        <v>H7</v>
      </c>
      <c r="I229" s="10" t="str">
        <f t="shared" si="5"/>
        <v>BRN63M-H7</v>
      </c>
      <c r="J229" s="16"/>
      <c r="K229" s="16" t="str">
        <f t="shared" si="6"/>
        <v>collected</v>
      </c>
      <c r="L229" s="16" t="str">
        <f t="shared" si="7"/>
        <v>N</v>
      </c>
      <c r="M229" s="16"/>
      <c r="N229" s="16"/>
    </row>
    <row r="230">
      <c r="A230" s="28" t="s">
        <v>471</v>
      </c>
      <c r="B230" s="10" t="str">
        <f t="shared" si="1"/>
        <v>RNA-muscle</v>
      </c>
      <c r="C230" s="10" t="str">
        <f t="shared" si="2"/>
        <v>BRN63M-G7</v>
      </c>
      <c r="D230" s="6">
        <v>63.0</v>
      </c>
      <c r="E230" s="10" t="str">
        <f t="shared" si="3"/>
        <v>BRN63M</v>
      </c>
      <c r="F230" s="6" t="s">
        <v>56</v>
      </c>
      <c r="G230" s="6">
        <v>7.0</v>
      </c>
      <c r="H230" s="11" t="str">
        <f t="shared" si="4"/>
        <v>G7</v>
      </c>
      <c r="I230" s="10" t="str">
        <f t="shared" si="5"/>
        <v>BRN63M-G7</v>
      </c>
      <c r="J230" s="16"/>
      <c r="K230" s="16" t="str">
        <f t="shared" si="6"/>
        <v>collected</v>
      </c>
      <c r="L230" s="16" t="str">
        <f t="shared" si="7"/>
        <v>N</v>
      </c>
      <c r="M230" s="16"/>
      <c r="N230" s="16"/>
    </row>
    <row r="231">
      <c r="A231" s="28" t="s">
        <v>476</v>
      </c>
      <c r="B231" s="10" t="str">
        <f t="shared" si="1"/>
        <v>RNA-muscle</v>
      </c>
      <c r="C231" s="10" t="str">
        <f t="shared" si="2"/>
        <v>BRN63M-F7</v>
      </c>
      <c r="D231" s="6">
        <v>63.0</v>
      </c>
      <c r="E231" s="10" t="str">
        <f t="shared" si="3"/>
        <v>BRN63M</v>
      </c>
      <c r="F231" s="6" t="s">
        <v>61</v>
      </c>
      <c r="G231" s="6">
        <v>7.0</v>
      </c>
      <c r="H231" s="11" t="str">
        <f t="shared" si="4"/>
        <v>F7</v>
      </c>
      <c r="I231" s="10" t="str">
        <f t="shared" si="5"/>
        <v>BRN63M-F7</v>
      </c>
      <c r="J231" s="16"/>
      <c r="K231" s="16" t="str">
        <f t="shared" si="6"/>
        <v>collected</v>
      </c>
      <c r="L231" s="16" t="str">
        <f t="shared" si="7"/>
        <v>N</v>
      </c>
      <c r="M231" s="16"/>
      <c r="N231" s="16"/>
    </row>
    <row r="232">
      <c r="A232" s="28" t="s">
        <v>478</v>
      </c>
      <c r="B232" s="10" t="str">
        <f t="shared" si="1"/>
        <v>RNA-muscle</v>
      </c>
      <c r="C232" s="10" t="str">
        <f t="shared" si="2"/>
        <v>BRN63M-E7</v>
      </c>
      <c r="D232" s="6">
        <v>63.0</v>
      </c>
      <c r="E232" s="10" t="str">
        <f t="shared" si="3"/>
        <v>BRN63M</v>
      </c>
      <c r="F232" s="6" t="s">
        <v>66</v>
      </c>
      <c r="G232" s="6">
        <v>7.0</v>
      </c>
      <c r="H232" s="11" t="str">
        <f t="shared" si="4"/>
        <v>E7</v>
      </c>
      <c r="I232" s="10" t="str">
        <f t="shared" si="5"/>
        <v>BRN63M-E7</v>
      </c>
      <c r="J232" s="16"/>
      <c r="K232" s="16" t="str">
        <f t="shared" si="6"/>
        <v>collected</v>
      </c>
      <c r="L232" s="16" t="str">
        <f t="shared" si="7"/>
        <v>N</v>
      </c>
      <c r="M232" s="16"/>
      <c r="N232" s="16"/>
    </row>
    <row r="233">
      <c r="A233" s="28" t="s">
        <v>480</v>
      </c>
      <c r="B233" s="10" t="str">
        <f t="shared" si="1"/>
        <v>RNA-muscle</v>
      </c>
      <c r="C233" s="10" t="str">
        <f t="shared" si="2"/>
        <v>BRN63M-D7</v>
      </c>
      <c r="D233" s="6">
        <v>63.0</v>
      </c>
      <c r="E233" s="10" t="str">
        <f t="shared" si="3"/>
        <v>BRN63M</v>
      </c>
      <c r="F233" s="6" t="s">
        <v>68</v>
      </c>
      <c r="G233" s="6">
        <v>7.0</v>
      </c>
      <c r="H233" s="11" t="str">
        <f t="shared" si="4"/>
        <v>D7</v>
      </c>
      <c r="I233" s="10" t="str">
        <f t="shared" si="5"/>
        <v>BRN63M-D7</v>
      </c>
      <c r="J233" s="16"/>
      <c r="K233" s="16" t="str">
        <f t="shared" si="6"/>
        <v>collected</v>
      </c>
      <c r="L233" s="16" t="str">
        <f t="shared" si="7"/>
        <v>N</v>
      </c>
      <c r="M233" s="16"/>
      <c r="N233" s="16"/>
    </row>
    <row r="234">
      <c r="A234" s="27" t="s">
        <v>482</v>
      </c>
      <c r="B234" s="10" t="str">
        <f t="shared" si="1"/>
        <v>RNA-muscle</v>
      </c>
      <c r="C234" s="10" t="str">
        <f t="shared" si="2"/>
        <v>BRN63M-C7</v>
      </c>
      <c r="D234" s="6">
        <v>63.0</v>
      </c>
      <c r="E234" s="10" t="str">
        <f t="shared" si="3"/>
        <v>BRN63M</v>
      </c>
      <c r="F234" s="6" t="s">
        <v>72</v>
      </c>
      <c r="G234" s="6">
        <v>7.0</v>
      </c>
      <c r="H234" s="11" t="str">
        <f t="shared" si="4"/>
        <v>C7</v>
      </c>
      <c r="I234" s="10" t="str">
        <f t="shared" si="5"/>
        <v>BRN63M-C7</v>
      </c>
      <c r="J234" s="16"/>
      <c r="K234" s="16" t="str">
        <f t="shared" si="6"/>
        <v>collected</v>
      </c>
      <c r="L234" s="16" t="str">
        <f t="shared" si="7"/>
        <v>N</v>
      </c>
      <c r="M234" s="16"/>
      <c r="N234" s="16"/>
    </row>
    <row r="235">
      <c r="A235" s="27" t="s">
        <v>483</v>
      </c>
      <c r="B235" s="10" t="str">
        <f t="shared" si="1"/>
        <v>RNA-muscle</v>
      </c>
      <c r="C235" s="10" t="str">
        <f t="shared" si="2"/>
        <v>BRN63M-B7</v>
      </c>
      <c r="D235" s="6">
        <v>63.0</v>
      </c>
      <c r="E235" s="10" t="str">
        <f t="shared" si="3"/>
        <v>BRN63M</v>
      </c>
      <c r="F235" s="6" t="s">
        <v>74</v>
      </c>
      <c r="G235" s="6">
        <v>7.0</v>
      </c>
      <c r="H235" s="11" t="str">
        <f t="shared" si="4"/>
        <v>B7</v>
      </c>
      <c r="I235" s="10" t="str">
        <f t="shared" si="5"/>
        <v>BRN63M-B7</v>
      </c>
      <c r="J235" s="16"/>
      <c r="K235" s="16" t="str">
        <f t="shared" si="6"/>
        <v>collected</v>
      </c>
      <c r="L235" s="16" t="str">
        <f t="shared" si="7"/>
        <v>N</v>
      </c>
      <c r="M235" s="16"/>
      <c r="N235" s="16"/>
    </row>
    <row r="236">
      <c r="A236" s="27" t="s">
        <v>484</v>
      </c>
      <c r="B236" s="10" t="str">
        <f t="shared" si="1"/>
        <v>RNA-muscle</v>
      </c>
      <c r="C236" s="10" t="str">
        <f t="shared" si="2"/>
        <v>BRN63M-A7</v>
      </c>
      <c r="D236" s="6">
        <v>63.0</v>
      </c>
      <c r="E236" s="10" t="str">
        <f t="shared" si="3"/>
        <v>BRN63M</v>
      </c>
      <c r="F236" s="6" t="s">
        <v>76</v>
      </c>
      <c r="G236" s="6">
        <v>7.0</v>
      </c>
      <c r="H236" s="11" t="str">
        <f t="shared" si="4"/>
        <v>A7</v>
      </c>
      <c r="I236" s="10" t="str">
        <f t="shared" si="5"/>
        <v>BRN63M-A7</v>
      </c>
      <c r="J236" s="16"/>
      <c r="K236" s="16" t="str">
        <f t="shared" si="6"/>
        <v>collected</v>
      </c>
      <c r="L236" s="16" t="str">
        <f t="shared" si="7"/>
        <v>N</v>
      </c>
      <c r="M236" s="16"/>
      <c r="N236" s="16"/>
    </row>
    <row r="237">
      <c r="A237" s="27" t="s">
        <v>487</v>
      </c>
      <c r="B237" s="10" t="str">
        <f t="shared" si="1"/>
        <v>RNA-muscle</v>
      </c>
      <c r="C237" s="10" t="str">
        <f t="shared" si="2"/>
        <v>BRN63M-H9</v>
      </c>
      <c r="D237" s="6">
        <v>63.0</v>
      </c>
      <c r="E237" s="10" t="str">
        <f t="shared" si="3"/>
        <v>BRN63M</v>
      </c>
      <c r="F237" s="6" t="s">
        <v>51</v>
      </c>
      <c r="G237" s="6">
        <v>9.0</v>
      </c>
      <c r="H237" s="11" t="str">
        <f t="shared" si="4"/>
        <v>H9</v>
      </c>
      <c r="I237" s="10" t="str">
        <f t="shared" si="5"/>
        <v>BRN63M-H9</v>
      </c>
      <c r="J237" s="16"/>
      <c r="K237" s="16" t="str">
        <f t="shared" si="6"/>
        <v>collected</v>
      </c>
      <c r="L237" s="16" t="str">
        <f t="shared" si="7"/>
        <v>N</v>
      </c>
      <c r="M237" s="16"/>
      <c r="N237" s="16"/>
    </row>
    <row r="238">
      <c r="A238" s="27" t="s">
        <v>488</v>
      </c>
      <c r="B238" s="10" t="str">
        <f t="shared" si="1"/>
        <v>RNA-muscle</v>
      </c>
      <c r="C238" s="10" t="str">
        <f t="shared" si="2"/>
        <v>BRN63M-G9</v>
      </c>
      <c r="D238" s="6">
        <v>63.0</v>
      </c>
      <c r="E238" s="10" t="str">
        <f t="shared" si="3"/>
        <v>BRN63M</v>
      </c>
      <c r="F238" s="6" t="s">
        <v>56</v>
      </c>
      <c r="G238" s="6">
        <v>9.0</v>
      </c>
      <c r="H238" s="11" t="str">
        <f t="shared" si="4"/>
        <v>G9</v>
      </c>
      <c r="I238" s="10" t="str">
        <f t="shared" si="5"/>
        <v>BRN63M-G9</v>
      </c>
      <c r="J238" s="16"/>
      <c r="K238" s="16" t="str">
        <f t="shared" si="6"/>
        <v>collected</v>
      </c>
      <c r="L238" s="16" t="str">
        <f t="shared" si="7"/>
        <v>N</v>
      </c>
      <c r="M238" s="16"/>
      <c r="N238" s="16"/>
    </row>
    <row r="239">
      <c r="A239" s="27" t="s">
        <v>490</v>
      </c>
      <c r="B239" s="10" t="str">
        <f t="shared" si="1"/>
        <v>RNA-muscle</v>
      </c>
      <c r="C239" s="10" t="str">
        <f t="shared" si="2"/>
        <v>BRN63M-F9</v>
      </c>
      <c r="D239" s="6">
        <v>63.0</v>
      </c>
      <c r="E239" s="10" t="str">
        <f t="shared" si="3"/>
        <v>BRN63M</v>
      </c>
      <c r="F239" s="6" t="s">
        <v>61</v>
      </c>
      <c r="G239" s="6">
        <v>9.0</v>
      </c>
      <c r="H239" s="11" t="str">
        <f t="shared" si="4"/>
        <v>F9</v>
      </c>
      <c r="I239" s="10" t="str">
        <f t="shared" si="5"/>
        <v>BRN63M-F9</v>
      </c>
      <c r="J239" s="16"/>
      <c r="K239" s="16" t="str">
        <f t="shared" si="6"/>
        <v>collected</v>
      </c>
      <c r="L239" s="16" t="str">
        <f t="shared" si="7"/>
        <v>N</v>
      </c>
      <c r="M239" s="16"/>
      <c r="N239" s="16"/>
    </row>
    <row r="240">
      <c r="A240" s="27" t="s">
        <v>492</v>
      </c>
      <c r="B240" s="10" t="str">
        <f t="shared" si="1"/>
        <v>RNA-muscle</v>
      </c>
      <c r="C240" s="10" t="str">
        <f t="shared" si="2"/>
        <v>BRN63M-E9</v>
      </c>
      <c r="D240" s="6">
        <v>63.0</v>
      </c>
      <c r="E240" s="10" t="str">
        <f t="shared" si="3"/>
        <v>BRN63M</v>
      </c>
      <c r="F240" s="6" t="s">
        <v>66</v>
      </c>
      <c r="G240" s="6">
        <v>9.0</v>
      </c>
      <c r="H240" s="11" t="str">
        <f t="shared" si="4"/>
        <v>E9</v>
      </c>
      <c r="I240" s="10" t="str">
        <f t="shared" si="5"/>
        <v>BRN63M-E9</v>
      </c>
      <c r="J240" s="16"/>
      <c r="K240" s="16" t="str">
        <f t="shared" si="6"/>
        <v>collected</v>
      </c>
      <c r="L240" s="16" t="str">
        <f t="shared" si="7"/>
        <v>N</v>
      </c>
      <c r="M240" s="16"/>
      <c r="N240" s="16"/>
    </row>
    <row r="241">
      <c r="A241" s="27" t="s">
        <v>493</v>
      </c>
      <c r="B241" s="10" t="str">
        <f t="shared" si="1"/>
        <v>RNA-muscle</v>
      </c>
      <c r="C241" s="10" t="str">
        <f t="shared" si="2"/>
        <v>BRN63M-D9</v>
      </c>
      <c r="D241" s="6">
        <v>63.0</v>
      </c>
      <c r="E241" s="10" t="str">
        <f t="shared" si="3"/>
        <v>BRN63M</v>
      </c>
      <c r="F241" s="6" t="s">
        <v>68</v>
      </c>
      <c r="G241" s="6">
        <v>9.0</v>
      </c>
      <c r="H241" s="11" t="str">
        <f t="shared" si="4"/>
        <v>D9</v>
      </c>
      <c r="I241" s="10" t="str">
        <f t="shared" si="5"/>
        <v>BRN63M-D9</v>
      </c>
      <c r="J241" s="16"/>
      <c r="K241" s="16" t="str">
        <f t="shared" si="6"/>
        <v>collected</v>
      </c>
      <c r="L241" s="16" t="str">
        <f t="shared" si="7"/>
        <v>N</v>
      </c>
      <c r="M241" s="16"/>
      <c r="N241" s="16"/>
    </row>
    <row r="242">
      <c r="A242" s="27" t="s">
        <v>495</v>
      </c>
      <c r="B242" s="10" t="str">
        <f t="shared" si="1"/>
        <v>RNA-muscle</v>
      </c>
      <c r="C242" s="10" t="str">
        <f t="shared" si="2"/>
        <v>BRN63M-C9</v>
      </c>
      <c r="D242" s="6">
        <v>63.0</v>
      </c>
      <c r="E242" s="10" t="str">
        <f t="shared" si="3"/>
        <v>BRN63M</v>
      </c>
      <c r="F242" s="6" t="s">
        <v>72</v>
      </c>
      <c r="G242" s="6">
        <v>9.0</v>
      </c>
      <c r="H242" s="11" t="str">
        <f t="shared" si="4"/>
        <v>C9</v>
      </c>
      <c r="I242" s="10" t="str">
        <f t="shared" si="5"/>
        <v>BRN63M-C9</v>
      </c>
      <c r="J242" s="6"/>
      <c r="K242" s="16" t="str">
        <f t="shared" si="6"/>
        <v>collected</v>
      </c>
      <c r="L242" s="16" t="str">
        <f t="shared" si="7"/>
        <v>N</v>
      </c>
      <c r="M242" s="16"/>
      <c r="N242" s="16"/>
    </row>
    <row r="243">
      <c r="A243" s="27" t="s">
        <v>498</v>
      </c>
      <c r="B243" s="10" t="str">
        <f t="shared" si="1"/>
        <v>RNA-muscle</v>
      </c>
      <c r="C243" s="10" t="str">
        <f t="shared" si="2"/>
        <v>BRN63M-B9</v>
      </c>
      <c r="D243" s="6">
        <v>63.0</v>
      </c>
      <c r="E243" s="10" t="str">
        <f t="shared" si="3"/>
        <v>BRN63M</v>
      </c>
      <c r="F243" s="6" t="s">
        <v>74</v>
      </c>
      <c r="G243" s="6">
        <v>9.0</v>
      </c>
      <c r="H243" s="11" t="str">
        <f t="shared" si="4"/>
        <v>B9</v>
      </c>
      <c r="I243" s="10" t="str">
        <f t="shared" si="5"/>
        <v>BRN63M-B9</v>
      </c>
      <c r="J243" s="16"/>
      <c r="K243" s="16" t="str">
        <f t="shared" si="6"/>
        <v>collected</v>
      </c>
      <c r="L243" s="16" t="str">
        <f t="shared" si="7"/>
        <v>N</v>
      </c>
      <c r="M243" s="16"/>
      <c r="N243" s="16"/>
    </row>
    <row r="244">
      <c r="A244" s="27" t="s">
        <v>500</v>
      </c>
      <c r="B244" s="10" t="str">
        <f t="shared" si="1"/>
        <v>RNA-muscle</v>
      </c>
      <c r="C244" s="10" t="str">
        <f t="shared" si="2"/>
        <v>BRN63M-B4</v>
      </c>
      <c r="D244" s="6">
        <v>63.0</v>
      </c>
      <c r="E244" s="10" t="str">
        <f t="shared" si="3"/>
        <v>BRN63M</v>
      </c>
      <c r="F244" s="6" t="s">
        <v>74</v>
      </c>
      <c r="G244" s="6">
        <v>4.0</v>
      </c>
      <c r="H244" s="11" t="str">
        <f t="shared" si="4"/>
        <v>B4</v>
      </c>
      <c r="I244" s="10" t="str">
        <f t="shared" si="5"/>
        <v>BRN63M-B4</v>
      </c>
      <c r="J244" s="16"/>
      <c r="K244" s="16" t="str">
        <f t="shared" si="6"/>
        <v>collected</v>
      </c>
      <c r="L244" s="16" t="str">
        <f t="shared" si="7"/>
        <v>N</v>
      </c>
      <c r="M244" s="16"/>
      <c r="N244" s="16"/>
    </row>
    <row r="245">
      <c r="A245" s="27" t="s">
        <v>501</v>
      </c>
      <c r="B245" s="10" t="str">
        <f t="shared" si="1"/>
        <v>RNA-muscle</v>
      </c>
      <c r="C245" s="10" t="str">
        <f t="shared" si="2"/>
        <v>BRN63M-A4</v>
      </c>
      <c r="D245" s="6">
        <v>63.0</v>
      </c>
      <c r="E245" s="10" t="str">
        <f t="shared" si="3"/>
        <v>BRN63M</v>
      </c>
      <c r="F245" s="6" t="s">
        <v>76</v>
      </c>
      <c r="G245" s="6">
        <v>4.0</v>
      </c>
      <c r="H245" s="11" t="str">
        <f t="shared" si="4"/>
        <v>A4</v>
      </c>
      <c r="I245" s="10" t="str">
        <f t="shared" si="5"/>
        <v>BRN63M-A4</v>
      </c>
      <c r="J245" s="6"/>
      <c r="K245" s="16" t="str">
        <f t="shared" si="6"/>
        <v>collected</v>
      </c>
      <c r="L245" s="16" t="str">
        <f t="shared" si="7"/>
        <v>N</v>
      </c>
      <c r="M245" s="16"/>
      <c r="N245" s="16"/>
    </row>
    <row r="246">
      <c r="A246" s="29" t="s">
        <v>504</v>
      </c>
      <c r="B246" s="10" t="str">
        <f t="shared" si="1"/>
        <v>RNA-muscle</v>
      </c>
      <c r="C246" s="10" t="str">
        <f t="shared" si="2"/>
        <v>BRN63M-H8</v>
      </c>
      <c r="D246" s="6">
        <v>63.0</v>
      </c>
      <c r="E246" s="10" t="str">
        <f t="shared" si="3"/>
        <v>BRN63M</v>
      </c>
      <c r="F246" s="6" t="s">
        <v>51</v>
      </c>
      <c r="G246" s="6">
        <v>8.0</v>
      </c>
      <c r="H246" s="11" t="str">
        <f t="shared" si="4"/>
        <v>H8</v>
      </c>
      <c r="I246" s="10" t="str">
        <f t="shared" si="5"/>
        <v>BRN63M-H8</v>
      </c>
      <c r="J246" s="16"/>
      <c r="K246" s="16" t="str">
        <f t="shared" si="6"/>
        <v>collected</v>
      </c>
      <c r="L246" s="16" t="str">
        <f t="shared" si="7"/>
        <v>N</v>
      </c>
      <c r="M246" s="16"/>
      <c r="N246" s="16"/>
    </row>
    <row r="247">
      <c r="A247" s="29" t="s">
        <v>506</v>
      </c>
      <c r="B247" s="10" t="str">
        <f t="shared" si="1"/>
        <v>RNA-muscle</v>
      </c>
      <c r="C247" s="10" t="str">
        <f t="shared" si="2"/>
        <v>BRN63M-G8</v>
      </c>
      <c r="D247" s="6">
        <v>63.0</v>
      </c>
      <c r="E247" s="10" t="str">
        <f t="shared" si="3"/>
        <v>BRN63M</v>
      </c>
      <c r="F247" s="6" t="s">
        <v>56</v>
      </c>
      <c r="G247" s="6">
        <v>8.0</v>
      </c>
      <c r="H247" s="11" t="str">
        <f t="shared" si="4"/>
        <v>G8</v>
      </c>
      <c r="I247" s="10" t="str">
        <f t="shared" si="5"/>
        <v>BRN63M-G8</v>
      </c>
      <c r="J247" s="16"/>
      <c r="K247" s="16" t="str">
        <f t="shared" si="6"/>
        <v>collected</v>
      </c>
      <c r="L247" s="16" t="str">
        <f t="shared" si="7"/>
        <v>N</v>
      </c>
      <c r="M247" s="16"/>
      <c r="N247" s="16"/>
    </row>
    <row r="248">
      <c r="A248" s="29" t="s">
        <v>507</v>
      </c>
      <c r="B248" s="10" t="str">
        <f t="shared" si="1"/>
        <v>RNA-muscle</v>
      </c>
      <c r="C248" s="10" t="str">
        <f t="shared" si="2"/>
        <v>BRN63M-F8</v>
      </c>
      <c r="D248" s="6">
        <v>63.0</v>
      </c>
      <c r="E248" s="10" t="str">
        <f t="shared" si="3"/>
        <v>BRN63M</v>
      </c>
      <c r="F248" s="6" t="s">
        <v>61</v>
      </c>
      <c r="G248" s="6">
        <v>8.0</v>
      </c>
      <c r="H248" s="11" t="str">
        <f t="shared" si="4"/>
        <v>F8</v>
      </c>
      <c r="I248" s="10" t="str">
        <f t="shared" si="5"/>
        <v>BRN63M-F8</v>
      </c>
      <c r="J248" s="16"/>
      <c r="K248" s="16" t="str">
        <f t="shared" si="6"/>
        <v>collected</v>
      </c>
      <c r="L248" s="16" t="str">
        <f t="shared" si="7"/>
        <v>N</v>
      </c>
      <c r="M248" s="16"/>
      <c r="N248" s="16"/>
    </row>
    <row r="249">
      <c r="A249" s="29" t="s">
        <v>509</v>
      </c>
      <c r="B249" s="10" t="str">
        <f t="shared" si="1"/>
        <v>RNA-muscle</v>
      </c>
      <c r="C249" s="10" t="str">
        <f t="shared" si="2"/>
        <v>BRN63M-E8</v>
      </c>
      <c r="D249" s="6">
        <v>63.0</v>
      </c>
      <c r="E249" s="10" t="str">
        <f t="shared" si="3"/>
        <v>BRN63M</v>
      </c>
      <c r="F249" s="6" t="s">
        <v>66</v>
      </c>
      <c r="G249" s="6">
        <v>8.0</v>
      </c>
      <c r="H249" s="11" t="str">
        <f t="shared" si="4"/>
        <v>E8</v>
      </c>
      <c r="I249" s="10" t="str">
        <f t="shared" si="5"/>
        <v>BRN63M-E8</v>
      </c>
      <c r="J249" s="16"/>
      <c r="K249" s="16" t="str">
        <f t="shared" si="6"/>
        <v>collected</v>
      </c>
      <c r="L249" s="16" t="str">
        <f t="shared" si="7"/>
        <v>N</v>
      </c>
      <c r="M249" s="16"/>
      <c r="N249" s="16"/>
    </row>
    <row r="250">
      <c r="A250" s="26" t="s">
        <v>511</v>
      </c>
      <c r="B250" s="10" t="str">
        <f t="shared" si="1"/>
        <v>RNA-muscle</v>
      </c>
      <c r="C250" s="10" t="str">
        <f t="shared" si="2"/>
        <v>BRN63M-D8</v>
      </c>
      <c r="D250" s="6">
        <v>63.0</v>
      </c>
      <c r="E250" s="10" t="str">
        <f t="shared" si="3"/>
        <v>BRN63M</v>
      </c>
      <c r="F250" s="6" t="s">
        <v>68</v>
      </c>
      <c r="G250" s="6">
        <v>8.0</v>
      </c>
      <c r="H250" s="11" t="str">
        <f t="shared" si="4"/>
        <v>D8</v>
      </c>
      <c r="I250" s="10" t="str">
        <f t="shared" si="5"/>
        <v>BRN63M-D8</v>
      </c>
      <c r="J250" s="16"/>
      <c r="K250" s="16" t="str">
        <f t="shared" si="6"/>
        <v>collected</v>
      </c>
      <c r="L250" s="16" t="str">
        <f t="shared" si="7"/>
        <v>N</v>
      </c>
      <c r="M250" s="16"/>
      <c r="N250" s="16"/>
    </row>
    <row r="251">
      <c r="A251" s="26" t="s">
        <v>512</v>
      </c>
      <c r="B251" s="10" t="str">
        <f t="shared" si="1"/>
        <v>RNA-muscle</v>
      </c>
      <c r="C251" s="10" t="str">
        <f t="shared" si="2"/>
        <v>BRN63M-C8</v>
      </c>
      <c r="D251" s="6">
        <v>63.0</v>
      </c>
      <c r="E251" s="10" t="str">
        <f t="shared" si="3"/>
        <v>BRN63M</v>
      </c>
      <c r="F251" s="6" t="s">
        <v>72</v>
      </c>
      <c r="G251" s="6">
        <v>8.0</v>
      </c>
      <c r="H251" s="11" t="str">
        <f t="shared" si="4"/>
        <v>C8</v>
      </c>
      <c r="I251" s="10" t="str">
        <f t="shared" si="5"/>
        <v>BRN63M-C8</v>
      </c>
      <c r="J251" s="16"/>
      <c r="K251" s="16" t="str">
        <f t="shared" si="6"/>
        <v>collected</v>
      </c>
      <c r="L251" s="16" t="str">
        <f t="shared" si="7"/>
        <v>N</v>
      </c>
      <c r="M251" s="16"/>
      <c r="N251" s="16"/>
    </row>
    <row r="252">
      <c r="A252" s="26" t="s">
        <v>514</v>
      </c>
      <c r="B252" s="10" t="str">
        <f t="shared" si="1"/>
        <v>RNA-muscle</v>
      </c>
      <c r="C252" s="10" t="str">
        <f t="shared" si="2"/>
        <v>BRN63M-B8</v>
      </c>
      <c r="D252" s="6">
        <v>63.0</v>
      </c>
      <c r="E252" s="10" t="str">
        <f t="shared" si="3"/>
        <v>BRN63M</v>
      </c>
      <c r="F252" s="6" t="s">
        <v>74</v>
      </c>
      <c r="G252" s="6">
        <v>8.0</v>
      </c>
      <c r="H252" s="11" t="str">
        <f t="shared" si="4"/>
        <v>B8</v>
      </c>
      <c r="I252" s="10" t="str">
        <f t="shared" si="5"/>
        <v>BRN63M-B8</v>
      </c>
      <c r="J252" s="16"/>
      <c r="K252" s="16" t="str">
        <f t="shared" si="6"/>
        <v>collected</v>
      </c>
      <c r="L252" s="16" t="str">
        <f t="shared" si="7"/>
        <v>N</v>
      </c>
      <c r="M252" s="16"/>
      <c r="N252" s="16"/>
    </row>
    <row r="253">
      <c r="A253" s="26" t="s">
        <v>515</v>
      </c>
      <c r="B253" s="10" t="str">
        <f t="shared" si="1"/>
        <v>RNA-muscle</v>
      </c>
      <c r="C253" s="10" t="str">
        <f t="shared" si="2"/>
        <v>BRN63M-A8</v>
      </c>
      <c r="D253" s="6">
        <v>63.0</v>
      </c>
      <c r="E253" s="10" t="str">
        <f t="shared" si="3"/>
        <v>BRN63M</v>
      </c>
      <c r="F253" s="6" t="s">
        <v>76</v>
      </c>
      <c r="G253" s="6">
        <v>8.0</v>
      </c>
      <c r="H253" s="11" t="str">
        <f t="shared" si="4"/>
        <v>A8</v>
      </c>
      <c r="I253" s="10" t="str">
        <f t="shared" si="5"/>
        <v>BRN63M-A8</v>
      </c>
      <c r="J253" s="16"/>
      <c r="K253" s="16" t="str">
        <f t="shared" si="6"/>
        <v>collected</v>
      </c>
      <c r="L253" s="16" t="str">
        <f t="shared" si="7"/>
        <v>N</v>
      </c>
      <c r="M253" s="16"/>
      <c r="N253" s="16"/>
    </row>
    <row r="254">
      <c r="A254" s="26" t="s">
        <v>516</v>
      </c>
      <c r="B254" s="10" t="str">
        <f t="shared" si="1"/>
        <v>RNA-muscle</v>
      </c>
      <c r="C254" s="10" t="str">
        <f t="shared" si="2"/>
        <v>BRN63M-H10</v>
      </c>
      <c r="D254" s="6">
        <v>63.0</v>
      </c>
      <c r="E254" s="10" t="str">
        <f t="shared" si="3"/>
        <v>BRN63M</v>
      </c>
      <c r="F254" s="6" t="s">
        <v>51</v>
      </c>
      <c r="G254" s="6">
        <v>10.0</v>
      </c>
      <c r="H254" s="11" t="str">
        <f t="shared" si="4"/>
        <v>H10</v>
      </c>
      <c r="I254" s="10" t="str">
        <f t="shared" si="5"/>
        <v>BRN63M-H10</v>
      </c>
      <c r="J254" s="6"/>
      <c r="K254" s="16" t="str">
        <f t="shared" si="6"/>
        <v>collected</v>
      </c>
      <c r="L254" s="16" t="str">
        <f t="shared" si="7"/>
        <v>N</v>
      </c>
      <c r="M254" s="16"/>
      <c r="N254" s="16"/>
    </row>
    <row r="255">
      <c r="A255" s="26" t="s">
        <v>519</v>
      </c>
      <c r="B255" s="10" t="str">
        <f t="shared" si="1"/>
        <v>RNA-muscle</v>
      </c>
      <c r="C255" s="10" t="str">
        <f t="shared" si="2"/>
        <v>BRN63M-G10</v>
      </c>
      <c r="D255" s="6">
        <v>63.0</v>
      </c>
      <c r="E255" s="10" t="str">
        <f t="shared" si="3"/>
        <v>BRN63M</v>
      </c>
      <c r="F255" s="6" t="s">
        <v>56</v>
      </c>
      <c r="G255" s="6">
        <v>10.0</v>
      </c>
      <c r="H255" s="11" t="str">
        <f t="shared" si="4"/>
        <v>G10</v>
      </c>
      <c r="I255" s="10" t="str">
        <f t="shared" si="5"/>
        <v>BRN63M-G10</v>
      </c>
      <c r="J255" s="6"/>
      <c r="K255" s="16" t="str">
        <f t="shared" si="6"/>
        <v>collected</v>
      </c>
      <c r="L255" s="16" t="str">
        <f t="shared" si="7"/>
        <v>N</v>
      </c>
      <c r="M255" s="16"/>
      <c r="N255" s="16"/>
    </row>
    <row r="256">
      <c r="A256" s="26" t="s">
        <v>520</v>
      </c>
      <c r="B256" s="10" t="str">
        <f t="shared" si="1"/>
        <v>RNA-muscle</v>
      </c>
      <c r="C256" s="10" t="str">
        <f t="shared" si="2"/>
        <v>BRN63M-F10</v>
      </c>
      <c r="D256" s="6">
        <v>63.0</v>
      </c>
      <c r="E256" s="10" t="str">
        <f t="shared" si="3"/>
        <v>BRN63M</v>
      </c>
      <c r="F256" s="6" t="s">
        <v>61</v>
      </c>
      <c r="G256" s="6">
        <v>10.0</v>
      </c>
      <c r="H256" s="11" t="str">
        <f t="shared" si="4"/>
        <v>F10</v>
      </c>
      <c r="I256" s="10" t="str">
        <f t="shared" si="5"/>
        <v>BRN63M-F10</v>
      </c>
      <c r="J256" s="16"/>
      <c r="K256" s="16" t="str">
        <f t="shared" si="6"/>
        <v>collected</v>
      </c>
      <c r="L256" s="16" t="str">
        <f t="shared" si="7"/>
        <v>N</v>
      </c>
      <c r="M256" s="16"/>
      <c r="N256" s="16"/>
    </row>
    <row r="257">
      <c r="A257" s="26" t="s">
        <v>522</v>
      </c>
      <c r="B257" s="10" t="str">
        <f t="shared" si="1"/>
        <v>RNA-muscle</v>
      </c>
      <c r="C257" s="10" t="str">
        <f t="shared" si="2"/>
        <v>BRN63M-E10</v>
      </c>
      <c r="D257" s="6">
        <v>63.0</v>
      </c>
      <c r="E257" s="10" t="str">
        <f t="shared" si="3"/>
        <v>BRN63M</v>
      </c>
      <c r="F257" s="6" t="s">
        <v>66</v>
      </c>
      <c r="G257" s="6">
        <v>10.0</v>
      </c>
      <c r="H257" s="11" t="str">
        <f t="shared" si="4"/>
        <v>E10</v>
      </c>
      <c r="I257" s="10" t="str">
        <f t="shared" si="5"/>
        <v>BRN63M-E10</v>
      </c>
      <c r="J257" s="16"/>
      <c r="K257" s="16" t="str">
        <f t="shared" si="6"/>
        <v>collected</v>
      </c>
      <c r="L257" s="16" t="str">
        <f t="shared" si="7"/>
        <v>N</v>
      </c>
      <c r="M257" s="16"/>
      <c r="N257" s="16"/>
    </row>
    <row r="258">
      <c r="A258" s="26" t="s">
        <v>523</v>
      </c>
      <c r="B258" s="10" t="str">
        <f t="shared" si="1"/>
        <v>RNA-muscle</v>
      </c>
      <c r="C258" s="10" t="str">
        <f t="shared" si="2"/>
        <v>BRN63M-D10</v>
      </c>
      <c r="D258" s="6">
        <v>63.0</v>
      </c>
      <c r="E258" s="10" t="str">
        <f t="shared" si="3"/>
        <v>BRN63M</v>
      </c>
      <c r="F258" s="6" t="s">
        <v>68</v>
      </c>
      <c r="G258" s="6">
        <v>10.0</v>
      </c>
      <c r="H258" s="11" t="str">
        <f t="shared" si="4"/>
        <v>D10</v>
      </c>
      <c r="I258" s="10" t="str">
        <f t="shared" si="5"/>
        <v>BRN63M-D10</v>
      </c>
      <c r="J258" s="6"/>
      <c r="K258" s="16" t="str">
        <f t="shared" si="6"/>
        <v>collected</v>
      </c>
      <c r="L258" s="16" t="str">
        <f t="shared" si="7"/>
        <v>N</v>
      </c>
      <c r="M258" s="16"/>
      <c r="N258" s="16"/>
    </row>
    <row r="259">
      <c r="A259" s="26" t="s">
        <v>524</v>
      </c>
      <c r="B259" s="10" t="str">
        <f t="shared" si="1"/>
        <v>RNA-muscle</v>
      </c>
      <c r="C259" s="10" t="str">
        <f t="shared" si="2"/>
        <v>BRN63M-C10</v>
      </c>
      <c r="D259" s="6">
        <v>63.0</v>
      </c>
      <c r="E259" s="10" t="str">
        <f t="shared" si="3"/>
        <v>BRN63M</v>
      </c>
      <c r="F259" s="6" t="s">
        <v>72</v>
      </c>
      <c r="G259" s="6">
        <v>10.0</v>
      </c>
      <c r="H259" s="11" t="str">
        <f t="shared" si="4"/>
        <v>C10</v>
      </c>
      <c r="I259" s="10" t="str">
        <f t="shared" si="5"/>
        <v>BRN63M-C10</v>
      </c>
      <c r="J259" s="16"/>
      <c r="K259" s="16" t="str">
        <f t="shared" si="6"/>
        <v>collected</v>
      </c>
      <c r="L259" s="16" t="str">
        <f t="shared" si="7"/>
        <v>N</v>
      </c>
      <c r="M259" s="16"/>
      <c r="N259" s="16"/>
    </row>
    <row r="260">
      <c r="A260" s="26" t="s">
        <v>527</v>
      </c>
      <c r="B260" s="10" t="str">
        <f t="shared" si="1"/>
        <v>RNA-muscle</v>
      </c>
      <c r="C260" s="10" t="str">
        <f t="shared" si="2"/>
        <v>BRN63M-H11</v>
      </c>
      <c r="D260" s="6">
        <v>63.0</v>
      </c>
      <c r="E260" s="10" t="str">
        <f t="shared" si="3"/>
        <v>BRN63M</v>
      </c>
      <c r="F260" s="6" t="s">
        <v>51</v>
      </c>
      <c r="G260" s="6">
        <v>11.0</v>
      </c>
      <c r="H260" s="11" t="str">
        <f t="shared" si="4"/>
        <v>H11</v>
      </c>
      <c r="I260" s="10" t="str">
        <f t="shared" si="5"/>
        <v>BRN63M-H11</v>
      </c>
      <c r="J260" s="6"/>
      <c r="K260" s="16" t="str">
        <f t="shared" si="6"/>
        <v>collected</v>
      </c>
      <c r="L260" s="16" t="str">
        <f t="shared" si="7"/>
        <v>N</v>
      </c>
      <c r="M260" s="16"/>
      <c r="N260" s="16"/>
    </row>
    <row r="261">
      <c r="A261" s="26" t="s">
        <v>528</v>
      </c>
      <c r="B261" s="10" t="str">
        <f t="shared" si="1"/>
        <v>RNA-muscle</v>
      </c>
      <c r="C261" s="10" t="str">
        <f t="shared" si="2"/>
        <v>BRN63M-G11</v>
      </c>
      <c r="D261" s="6">
        <v>63.0</v>
      </c>
      <c r="E261" s="10" t="str">
        <f t="shared" si="3"/>
        <v>BRN63M</v>
      </c>
      <c r="F261" s="6" t="s">
        <v>56</v>
      </c>
      <c r="G261" s="6">
        <v>11.0</v>
      </c>
      <c r="H261" s="11" t="str">
        <f t="shared" si="4"/>
        <v>G11</v>
      </c>
      <c r="I261" s="10" t="str">
        <f t="shared" si="5"/>
        <v>BRN63M-G11</v>
      </c>
      <c r="J261" s="16"/>
      <c r="K261" s="16" t="str">
        <f t="shared" si="6"/>
        <v>collected</v>
      </c>
      <c r="L261" s="16" t="str">
        <f t="shared" si="7"/>
        <v>N</v>
      </c>
      <c r="M261" s="16"/>
      <c r="N261" s="16"/>
    </row>
    <row r="262">
      <c r="A262" s="26" t="s">
        <v>529</v>
      </c>
      <c r="B262" s="10" t="str">
        <f t="shared" si="1"/>
        <v>RNA-muscle</v>
      </c>
      <c r="C262" s="10" t="str">
        <f t="shared" si="2"/>
        <v>BRN63M-F11</v>
      </c>
      <c r="D262" s="6">
        <v>63.0</v>
      </c>
      <c r="E262" s="10" t="str">
        <f t="shared" si="3"/>
        <v>BRN63M</v>
      </c>
      <c r="F262" s="6" t="s">
        <v>61</v>
      </c>
      <c r="G262" s="6">
        <v>11.0</v>
      </c>
      <c r="H262" s="11" t="str">
        <f t="shared" si="4"/>
        <v>F11</v>
      </c>
      <c r="I262" s="10" t="str">
        <f t="shared" si="5"/>
        <v>BRN63M-F11</v>
      </c>
      <c r="J262" s="9" t="s">
        <v>437</v>
      </c>
      <c r="K262" s="16" t="str">
        <f t="shared" si="6"/>
        <v>collected</v>
      </c>
      <c r="L262" s="16" t="str">
        <f t="shared" si="7"/>
        <v>N</v>
      </c>
      <c r="M262" s="16"/>
      <c r="N262" s="16"/>
    </row>
    <row r="263">
      <c r="A263" s="26" t="s">
        <v>530</v>
      </c>
      <c r="B263" s="10" t="str">
        <f t="shared" si="1"/>
        <v>RNA-muscle</v>
      </c>
      <c r="C263" s="10" t="str">
        <f t="shared" si="2"/>
        <v>BRN63M-E11</v>
      </c>
      <c r="D263" s="6">
        <v>63.0</v>
      </c>
      <c r="E263" s="10" t="str">
        <f t="shared" si="3"/>
        <v>BRN63M</v>
      </c>
      <c r="F263" s="6" t="s">
        <v>66</v>
      </c>
      <c r="G263" s="6">
        <v>11.0</v>
      </c>
      <c r="H263" s="11" t="str">
        <f t="shared" si="4"/>
        <v>E11</v>
      </c>
      <c r="I263" s="10" t="str">
        <f t="shared" si="5"/>
        <v>BRN63M-E11</v>
      </c>
      <c r="J263" s="16"/>
      <c r="K263" s="16" t="str">
        <f t="shared" si="6"/>
        <v>collected</v>
      </c>
      <c r="L263" s="16" t="str">
        <f t="shared" si="7"/>
        <v>N</v>
      </c>
      <c r="M263" s="16"/>
      <c r="N263" s="16"/>
    </row>
    <row r="264">
      <c r="A264" s="26" t="s">
        <v>531</v>
      </c>
      <c r="B264" s="10" t="str">
        <f t="shared" si="1"/>
        <v>RNA-muscle</v>
      </c>
      <c r="C264" s="10" t="str">
        <f t="shared" si="2"/>
        <v>BRN63M-D11</v>
      </c>
      <c r="D264" s="6">
        <v>63.0</v>
      </c>
      <c r="E264" s="10" t="str">
        <f t="shared" si="3"/>
        <v>BRN63M</v>
      </c>
      <c r="F264" s="6" t="s">
        <v>68</v>
      </c>
      <c r="G264" s="6">
        <v>11.0</v>
      </c>
      <c r="H264" s="11" t="str">
        <f t="shared" si="4"/>
        <v>D11</v>
      </c>
      <c r="I264" s="10" t="str">
        <f t="shared" si="5"/>
        <v>BRN63M-D11</v>
      </c>
      <c r="J264" s="16"/>
      <c r="K264" s="16" t="str">
        <f t="shared" si="6"/>
        <v>collected</v>
      </c>
      <c r="L264" s="16" t="str">
        <f t="shared" si="7"/>
        <v>N</v>
      </c>
      <c r="M264" s="16"/>
      <c r="N264" s="16"/>
    </row>
    <row r="265">
      <c r="A265" s="26" t="s">
        <v>534</v>
      </c>
      <c r="B265" s="10" t="str">
        <f t="shared" si="1"/>
        <v>RNA-muscle</v>
      </c>
      <c r="C265" s="10" t="str">
        <f t="shared" si="2"/>
        <v>BRN63M-C11</v>
      </c>
      <c r="D265" s="6">
        <v>63.0</v>
      </c>
      <c r="E265" s="10" t="str">
        <f t="shared" si="3"/>
        <v>BRN63M</v>
      </c>
      <c r="F265" s="6" t="s">
        <v>72</v>
      </c>
      <c r="G265" s="6">
        <v>11.0</v>
      </c>
      <c r="H265" s="11" t="str">
        <f t="shared" si="4"/>
        <v>C11</v>
      </c>
      <c r="I265" s="10" t="str">
        <f t="shared" si="5"/>
        <v>BRN63M-C11</v>
      </c>
      <c r="J265" s="16"/>
      <c r="K265" s="16" t="str">
        <f t="shared" si="6"/>
        <v>collected</v>
      </c>
      <c r="L265" s="16" t="str">
        <f t="shared" si="7"/>
        <v>N</v>
      </c>
      <c r="M265" s="16"/>
      <c r="N265" s="16"/>
    </row>
    <row r="266">
      <c r="A266" s="26" t="s">
        <v>535</v>
      </c>
      <c r="B266" s="10" t="str">
        <f t="shared" si="1"/>
        <v>RNA-muscle</v>
      </c>
      <c r="C266" s="10" t="str">
        <f t="shared" si="2"/>
        <v>BRN63M-B11</v>
      </c>
      <c r="D266" s="6">
        <v>63.0</v>
      </c>
      <c r="E266" s="10" t="str">
        <f t="shared" si="3"/>
        <v>BRN63M</v>
      </c>
      <c r="F266" s="6" t="s">
        <v>74</v>
      </c>
      <c r="G266" s="6">
        <v>11.0</v>
      </c>
      <c r="H266" s="11" t="str">
        <f t="shared" si="4"/>
        <v>B11</v>
      </c>
      <c r="I266" s="10" t="str">
        <f t="shared" si="5"/>
        <v>BRN63M-B11</v>
      </c>
      <c r="J266" s="16"/>
      <c r="K266" s="16" t="str">
        <f t="shared" si="6"/>
        <v>collected</v>
      </c>
      <c r="L266" s="16" t="str">
        <f t="shared" si="7"/>
        <v>N</v>
      </c>
      <c r="M266" s="16"/>
      <c r="N266" s="16"/>
    </row>
    <row r="267">
      <c r="A267" s="26" t="s">
        <v>537</v>
      </c>
      <c r="B267" s="10" t="str">
        <f t="shared" si="1"/>
        <v>RNA-muscle</v>
      </c>
      <c r="C267" s="10" t="str">
        <f t="shared" si="2"/>
        <v>BRN63M-A11</v>
      </c>
      <c r="D267" s="6">
        <v>63.0</v>
      </c>
      <c r="E267" s="10" t="str">
        <f t="shared" si="3"/>
        <v>BRN63M</v>
      </c>
      <c r="F267" s="6" t="s">
        <v>76</v>
      </c>
      <c r="G267" s="6">
        <v>11.0</v>
      </c>
      <c r="H267" s="11" t="str">
        <f t="shared" si="4"/>
        <v>A11</v>
      </c>
      <c r="I267" s="10" t="str">
        <f t="shared" si="5"/>
        <v>BRN63M-A11</v>
      </c>
      <c r="J267" s="16"/>
      <c r="K267" s="16" t="str">
        <f t="shared" si="6"/>
        <v>collected</v>
      </c>
      <c r="L267" s="16" t="str">
        <f t="shared" si="7"/>
        <v>N</v>
      </c>
      <c r="M267" s="16"/>
      <c r="N267" s="16"/>
    </row>
    <row r="268">
      <c r="A268" s="26" t="s">
        <v>539</v>
      </c>
      <c r="B268" s="10" t="str">
        <f t="shared" si="1"/>
        <v>RNA-muscle</v>
      </c>
      <c r="C268" s="10" t="str">
        <f t="shared" si="2"/>
        <v>BRN63M-G12</v>
      </c>
      <c r="D268" s="6">
        <v>63.0</v>
      </c>
      <c r="E268" s="10" t="str">
        <f t="shared" si="3"/>
        <v>BRN63M</v>
      </c>
      <c r="F268" s="6" t="s">
        <v>56</v>
      </c>
      <c r="G268" s="6">
        <v>12.0</v>
      </c>
      <c r="H268" s="11" t="str">
        <f t="shared" si="4"/>
        <v>G12</v>
      </c>
      <c r="I268" s="10" t="str">
        <f t="shared" si="5"/>
        <v>BRN63M-G12</v>
      </c>
      <c r="J268" s="16"/>
      <c r="K268" s="16" t="str">
        <f t="shared" si="6"/>
        <v>collected</v>
      </c>
      <c r="L268" s="16" t="str">
        <f t="shared" si="7"/>
        <v>N</v>
      </c>
      <c r="M268" s="16"/>
      <c r="N268" s="16"/>
    </row>
    <row r="269">
      <c r="A269" s="26" t="s">
        <v>540</v>
      </c>
      <c r="B269" s="10" t="str">
        <f t="shared" si="1"/>
        <v>RNA-muscle</v>
      </c>
      <c r="C269" s="10" t="str">
        <f t="shared" si="2"/>
        <v>BRN63M-F12</v>
      </c>
      <c r="D269" s="6">
        <v>63.0</v>
      </c>
      <c r="E269" s="10" t="str">
        <f t="shared" si="3"/>
        <v>BRN63M</v>
      </c>
      <c r="F269" s="6" t="s">
        <v>61</v>
      </c>
      <c r="G269" s="6">
        <v>12.0</v>
      </c>
      <c r="H269" s="11" t="str">
        <f t="shared" si="4"/>
        <v>F12</v>
      </c>
      <c r="I269" s="10" t="str">
        <f t="shared" si="5"/>
        <v>BRN63M-F12</v>
      </c>
      <c r="J269" s="16"/>
      <c r="K269" s="16" t="str">
        <f t="shared" si="6"/>
        <v>collected</v>
      </c>
      <c r="L269" s="16" t="str">
        <f t="shared" si="7"/>
        <v>N</v>
      </c>
      <c r="M269" s="16"/>
      <c r="N269" s="16"/>
    </row>
    <row r="270">
      <c r="A270" s="26" t="s">
        <v>543</v>
      </c>
      <c r="B270" s="10" t="str">
        <f t="shared" si="1"/>
        <v>RNA-muscle</v>
      </c>
      <c r="C270" s="10" t="str">
        <f t="shared" si="2"/>
        <v>BRN63M-E12</v>
      </c>
      <c r="D270" s="6">
        <v>63.0</v>
      </c>
      <c r="E270" s="10" t="str">
        <f t="shared" si="3"/>
        <v>BRN63M</v>
      </c>
      <c r="F270" s="6" t="s">
        <v>66</v>
      </c>
      <c r="G270" s="6">
        <v>12.0</v>
      </c>
      <c r="H270" s="11" t="str">
        <f t="shared" si="4"/>
        <v>E12</v>
      </c>
      <c r="I270" s="10" t="str">
        <f t="shared" si="5"/>
        <v>BRN63M-E12</v>
      </c>
      <c r="J270" s="16"/>
      <c r="K270" s="16" t="str">
        <f t="shared" si="6"/>
        <v>collected</v>
      </c>
      <c r="L270" s="16" t="str">
        <f t="shared" si="7"/>
        <v>N</v>
      </c>
      <c r="M270" s="16"/>
      <c r="N270" s="16"/>
    </row>
    <row r="271">
      <c r="A271" s="26" t="s">
        <v>544</v>
      </c>
      <c r="B271" s="10" t="str">
        <f t="shared" si="1"/>
        <v>RNA-muscle</v>
      </c>
      <c r="C271" s="10" t="str">
        <f t="shared" si="2"/>
        <v>BRN63M-D12</v>
      </c>
      <c r="D271" s="6">
        <v>63.0</v>
      </c>
      <c r="E271" s="10" t="str">
        <f t="shared" si="3"/>
        <v>BRN63M</v>
      </c>
      <c r="F271" s="6" t="s">
        <v>68</v>
      </c>
      <c r="G271" s="6">
        <v>12.0</v>
      </c>
      <c r="H271" s="11" t="str">
        <f t="shared" si="4"/>
        <v>D12</v>
      </c>
      <c r="I271" s="10" t="str">
        <f t="shared" si="5"/>
        <v>BRN63M-D12</v>
      </c>
      <c r="J271" s="6"/>
      <c r="K271" s="16" t="str">
        <f t="shared" si="6"/>
        <v>collected</v>
      </c>
      <c r="L271" s="16" t="str">
        <f t="shared" si="7"/>
        <v>N</v>
      </c>
      <c r="M271" s="16"/>
      <c r="N271" s="16"/>
    </row>
    <row r="272">
      <c r="A272" s="26" t="s">
        <v>546</v>
      </c>
      <c r="B272" s="10" t="str">
        <f t="shared" si="1"/>
        <v>RNA-muscle</v>
      </c>
      <c r="C272" s="10" t="str">
        <f t="shared" si="2"/>
        <v>BRN63M-C12</v>
      </c>
      <c r="D272" s="6">
        <v>63.0</v>
      </c>
      <c r="E272" s="10" t="str">
        <f t="shared" si="3"/>
        <v>BRN63M</v>
      </c>
      <c r="F272" s="6" t="s">
        <v>72</v>
      </c>
      <c r="G272" s="6">
        <v>12.0</v>
      </c>
      <c r="H272" s="11" t="str">
        <f t="shared" si="4"/>
        <v>C12</v>
      </c>
      <c r="I272" s="10" t="str">
        <f t="shared" si="5"/>
        <v>BRN63M-C12</v>
      </c>
      <c r="J272" s="16"/>
      <c r="K272" s="16" t="str">
        <f t="shared" si="6"/>
        <v>collected</v>
      </c>
      <c r="L272" s="16" t="str">
        <f t="shared" si="7"/>
        <v>N</v>
      </c>
      <c r="M272" s="16"/>
      <c r="N272" s="16"/>
    </row>
    <row r="273">
      <c r="A273" s="26" t="s">
        <v>547</v>
      </c>
      <c r="B273" s="10" t="str">
        <f t="shared" si="1"/>
        <v>RNA-muscle</v>
      </c>
      <c r="C273" s="10" t="str">
        <f t="shared" si="2"/>
        <v>BRN63M-B10</v>
      </c>
      <c r="D273" s="6">
        <v>63.0</v>
      </c>
      <c r="E273" s="10" t="str">
        <f t="shared" si="3"/>
        <v>BRN63M</v>
      </c>
      <c r="F273" s="6" t="s">
        <v>74</v>
      </c>
      <c r="G273" s="6">
        <v>10.0</v>
      </c>
      <c r="H273" s="11" t="str">
        <f t="shared" si="4"/>
        <v>B10</v>
      </c>
      <c r="I273" s="10" t="str">
        <f t="shared" si="5"/>
        <v>BRN63M-B10</v>
      </c>
      <c r="J273" s="6"/>
      <c r="K273" s="16" t="str">
        <f t="shared" si="6"/>
        <v>collected</v>
      </c>
      <c r="L273" s="16" t="str">
        <f t="shared" si="7"/>
        <v>N</v>
      </c>
      <c r="M273" s="16"/>
      <c r="N273" s="16"/>
    </row>
    <row r="274">
      <c r="A274" s="26" t="s">
        <v>548</v>
      </c>
      <c r="B274" s="10" t="str">
        <f t="shared" si="1"/>
        <v>RNA-muscle</v>
      </c>
      <c r="C274" s="10" t="str">
        <f t="shared" si="2"/>
        <v>BRN63M-A10</v>
      </c>
      <c r="D274" s="6">
        <v>63.0</v>
      </c>
      <c r="E274" s="10" t="str">
        <f t="shared" si="3"/>
        <v>BRN63M</v>
      </c>
      <c r="F274" s="6" t="s">
        <v>76</v>
      </c>
      <c r="G274" s="6">
        <v>10.0</v>
      </c>
      <c r="H274" s="11" t="str">
        <f t="shared" si="4"/>
        <v>A10</v>
      </c>
      <c r="I274" s="10" t="str">
        <f t="shared" si="5"/>
        <v>BRN63M-A10</v>
      </c>
      <c r="J274" s="16"/>
      <c r="K274" s="16" t="str">
        <f t="shared" si="6"/>
        <v>collected</v>
      </c>
      <c r="L274" s="16" t="str">
        <f t="shared" si="7"/>
        <v>N</v>
      </c>
      <c r="M274" s="16"/>
      <c r="N274" s="16"/>
    </row>
    <row r="275">
      <c r="A275" s="26" t="s">
        <v>549</v>
      </c>
      <c r="B275" s="10" t="str">
        <f t="shared" si="1"/>
        <v>RNA-muscle</v>
      </c>
      <c r="C275" s="10" t="str">
        <f t="shared" si="2"/>
        <v>BRN65M-H2</v>
      </c>
      <c r="D275" s="6">
        <v>65.0</v>
      </c>
      <c r="E275" s="10" t="str">
        <f t="shared" si="3"/>
        <v>BRN65M</v>
      </c>
      <c r="F275" s="6" t="s">
        <v>51</v>
      </c>
      <c r="G275" s="6">
        <v>2.0</v>
      </c>
      <c r="H275" s="11" t="str">
        <f t="shared" si="4"/>
        <v>H2</v>
      </c>
      <c r="I275" s="10" t="str">
        <f t="shared" si="5"/>
        <v>BRN65M-H2</v>
      </c>
      <c r="J275" s="16"/>
      <c r="K275" s="16" t="str">
        <f t="shared" si="6"/>
        <v>collected</v>
      </c>
      <c r="L275" s="16" t="str">
        <f t="shared" si="7"/>
        <v>N</v>
      </c>
      <c r="M275" s="16"/>
      <c r="N275" s="16"/>
    </row>
    <row r="276">
      <c r="A276" s="26" t="s">
        <v>552</v>
      </c>
      <c r="B276" s="10" t="str">
        <f t="shared" si="1"/>
        <v>RNA-muscle</v>
      </c>
      <c r="C276" s="10" t="str">
        <f t="shared" si="2"/>
        <v>BRN65M-G2</v>
      </c>
      <c r="D276" s="6">
        <v>65.0</v>
      </c>
      <c r="E276" s="10" t="str">
        <f t="shared" si="3"/>
        <v>BRN65M</v>
      </c>
      <c r="F276" s="6" t="s">
        <v>56</v>
      </c>
      <c r="G276" s="6">
        <v>2.0</v>
      </c>
      <c r="H276" s="11" t="str">
        <f t="shared" si="4"/>
        <v>G2</v>
      </c>
      <c r="I276" s="10" t="str">
        <f t="shared" si="5"/>
        <v>BRN65M-G2</v>
      </c>
      <c r="J276" s="16"/>
      <c r="K276" s="16" t="str">
        <f t="shared" si="6"/>
        <v>collected</v>
      </c>
      <c r="L276" s="16" t="str">
        <f t="shared" si="7"/>
        <v>N</v>
      </c>
      <c r="M276" s="16"/>
      <c r="N276" s="16"/>
    </row>
    <row r="277">
      <c r="A277" s="26" t="s">
        <v>553</v>
      </c>
      <c r="B277" s="10" t="str">
        <f t="shared" si="1"/>
        <v>RNA-muscle</v>
      </c>
      <c r="C277" s="10" t="str">
        <f t="shared" si="2"/>
        <v>BRN65M-F2</v>
      </c>
      <c r="D277" s="6">
        <v>65.0</v>
      </c>
      <c r="E277" s="10" t="str">
        <f t="shared" si="3"/>
        <v>BRN65M</v>
      </c>
      <c r="F277" s="6" t="s">
        <v>61</v>
      </c>
      <c r="G277" s="6">
        <v>2.0</v>
      </c>
      <c r="H277" s="11" t="str">
        <f t="shared" si="4"/>
        <v>F2</v>
      </c>
      <c r="I277" s="10" t="str">
        <f t="shared" si="5"/>
        <v>BRN65M-F2</v>
      </c>
      <c r="J277" s="16"/>
      <c r="K277" s="16" t="str">
        <f t="shared" si="6"/>
        <v>collected</v>
      </c>
      <c r="L277" s="16" t="str">
        <f t="shared" si="7"/>
        <v>N</v>
      </c>
      <c r="M277" s="16"/>
      <c r="N277" s="16"/>
    </row>
    <row r="278">
      <c r="A278" s="26" t="s">
        <v>554</v>
      </c>
      <c r="B278" s="10" t="str">
        <f t="shared" si="1"/>
        <v>RNA-muscle</v>
      </c>
      <c r="C278" s="10" t="str">
        <f t="shared" si="2"/>
        <v>BRN65M-E2</v>
      </c>
      <c r="D278" s="6">
        <v>65.0</v>
      </c>
      <c r="E278" s="10" t="str">
        <f t="shared" si="3"/>
        <v>BRN65M</v>
      </c>
      <c r="F278" s="6" t="s">
        <v>66</v>
      </c>
      <c r="G278" s="6">
        <v>2.0</v>
      </c>
      <c r="H278" s="11" t="str">
        <f t="shared" si="4"/>
        <v>E2</v>
      </c>
      <c r="I278" s="10" t="str">
        <f t="shared" si="5"/>
        <v>BRN65M-E2</v>
      </c>
      <c r="J278" s="16"/>
      <c r="K278" s="16" t="str">
        <f t="shared" si="6"/>
        <v>collected</v>
      </c>
      <c r="L278" s="16" t="str">
        <f t="shared" si="7"/>
        <v>N</v>
      </c>
      <c r="M278" s="16"/>
      <c r="N278" s="16"/>
    </row>
    <row r="279">
      <c r="A279" s="26" t="s">
        <v>556</v>
      </c>
      <c r="B279" s="10" t="str">
        <f t="shared" si="1"/>
        <v>RNA-muscle</v>
      </c>
      <c r="C279" s="10" t="str">
        <f t="shared" si="2"/>
        <v>BRN65M-D2</v>
      </c>
      <c r="D279" s="6">
        <v>65.0</v>
      </c>
      <c r="E279" s="10" t="str">
        <f t="shared" si="3"/>
        <v>BRN65M</v>
      </c>
      <c r="F279" s="6" t="s">
        <v>68</v>
      </c>
      <c r="G279" s="6">
        <v>2.0</v>
      </c>
      <c r="H279" s="11" t="str">
        <f t="shared" si="4"/>
        <v>D2</v>
      </c>
      <c r="I279" s="10" t="str">
        <f t="shared" si="5"/>
        <v>BRN65M-D2</v>
      </c>
      <c r="J279" s="6"/>
      <c r="K279" s="16" t="str">
        <f t="shared" si="6"/>
        <v>collected</v>
      </c>
      <c r="L279" s="16" t="str">
        <f t="shared" si="7"/>
        <v>N</v>
      </c>
      <c r="M279" s="16"/>
      <c r="N279" s="16"/>
    </row>
    <row r="280">
      <c r="A280" s="26" t="s">
        <v>558</v>
      </c>
      <c r="B280" s="10" t="str">
        <f t="shared" si="1"/>
        <v>RNA-muscle</v>
      </c>
      <c r="C280" s="10" t="str">
        <f t="shared" si="2"/>
        <v>BRN65M-C2</v>
      </c>
      <c r="D280" s="6">
        <v>65.0</v>
      </c>
      <c r="E280" s="10" t="str">
        <f t="shared" si="3"/>
        <v>BRN65M</v>
      </c>
      <c r="F280" s="6" t="s">
        <v>72</v>
      </c>
      <c r="G280" s="6">
        <v>2.0</v>
      </c>
      <c r="H280" s="11" t="str">
        <f t="shared" si="4"/>
        <v>C2</v>
      </c>
      <c r="I280" s="10" t="str">
        <f t="shared" si="5"/>
        <v>BRN65M-C2</v>
      </c>
      <c r="J280" s="16"/>
      <c r="K280" s="16" t="str">
        <f t="shared" si="6"/>
        <v>collected</v>
      </c>
      <c r="L280" s="16" t="str">
        <f t="shared" si="7"/>
        <v>N</v>
      </c>
      <c r="M280" s="16"/>
      <c r="N280" s="16"/>
    </row>
    <row r="281">
      <c r="A281" s="26" t="s">
        <v>559</v>
      </c>
      <c r="B281" s="10" t="str">
        <f t="shared" si="1"/>
        <v>RNA-muscle</v>
      </c>
      <c r="C281" s="10" t="str">
        <f t="shared" si="2"/>
        <v>BRN65M-B2</v>
      </c>
      <c r="D281" s="6">
        <v>65.0</v>
      </c>
      <c r="E281" s="10" t="str">
        <f t="shared" si="3"/>
        <v>BRN65M</v>
      </c>
      <c r="F281" s="6" t="s">
        <v>74</v>
      </c>
      <c r="G281" s="6">
        <v>2.0</v>
      </c>
      <c r="H281" s="11" t="str">
        <f t="shared" si="4"/>
        <v>B2</v>
      </c>
      <c r="I281" s="10" t="str">
        <f t="shared" si="5"/>
        <v>BRN65M-B2</v>
      </c>
      <c r="J281" s="16"/>
      <c r="K281" s="16" t="str">
        <f t="shared" si="6"/>
        <v>collected</v>
      </c>
      <c r="L281" s="16" t="str">
        <f t="shared" si="7"/>
        <v>N</v>
      </c>
      <c r="M281" s="16"/>
      <c r="N281" s="16"/>
    </row>
    <row r="282">
      <c r="A282" s="26" t="s">
        <v>561</v>
      </c>
      <c r="B282" s="10" t="str">
        <f t="shared" si="1"/>
        <v>RNA-muscle</v>
      </c>
      <c r="C282" s="10" t="str">
        <f t="shared" si="2"/>
        <v>BRN65M-A2</v>
      </c>
      <c r="D282" s="6">
        <v>65.0</v>
      </c>
      <c r="E282" s="10" t="str">
        <f t="shared" si="3"/>
        <v>BRN65M</v>
      </c>
      <c r="F282" s="6" t="s">
        <v>76</v>
      </c>
      <c r="G282" s="6">
        <v>2.0</v>
      </c>
      <c r="H282" s="11" t="str">
        <f t="shared" si="4"/>
        <v>A2</v>
      </c>
      <c r="I282" s="10" t="str">
        <f t="shared" si="5"/>
        <v>BRN65M-A2</v>
      </c>
      <c r="J282" s="16"/>
      <c r="K282" s="16" t="str">
        <f t="shared" si="6"/>
        <v>collected</v>
      </c>
      <c r="L282" s="16" t="str">
        <f t="shared" si="7"/>
        <v>N</v>
      </c>
      <c r="M282" s="16"/>
      <c r="N282" s="16"/>
    </row>
    <row r="283">
      <c r="A283" s="26" t="s">
        <v>562</v>
      </c>
      <c r="B283" s="10" t="str">
        <f t="shared" si="1"/>
        <v>RNA-muscle</v>
      </c>
      <c r="C283" s="10" t="str">
        <f t="shared" si="2"/>
        <v>BRN65M-H4</v>
      </c>
      <c r="D283" s="6">
        <v>65.0</v>
      </c>
      <c r="E283" s="10" t="str">
        <f t="shared" si="3"/>
        <v>BRN65M</v>
      </c>
      <c r="F283" s="6" t="s">
        <v>51</v>
      </c>
      <c r="G283" s="6">
        <v>4.0</v>
      </c>
      <c r="H283" s="11" t="str">
        <f t="shared" si="4"/>
        <v>H4</v>
      </c>
      <c r="I283" s="10" t="str">
        <f t="shared" si="5"/>
        <v>BRN65M-H4</v>
      </c>
      <c r="J283" s="6"/>
      <c r="K283" s="16" t="str">
        <f t="shared" si="6"/>
        <v>collected</v>
      </c>
      <c r="L283" s="16" t="str">
        <f t="shared" si="7"/>
        <v>N</v>
      </c>
      <c r="M283" s="16"/>
      <c r="N283" s="16"/>
    </row>
    <row r="284">
      <c r="A284" s="26" t="s">
        <v>564</v>
      </c>
      <c r="B284" s="10" t="str">
        <f t="shared" si="1"/>
        <v>RNA-muscle</v>
      </c>
      <c r="C284" s="10" t="str">
        <f t="shared" si="2"/>
        <v>BRN65M-G4</v>
      </c>
      <c r="D284" s="6">
        <v>65.0</v>
      </c>
      <c r="E284" s="10" t="str">
        <f t="shared" si="3"/>
        <v>BRN65M</v>
      </c>
      <c r="F284" s="6" t="s">
        <v>56</v>
      </c>
      <c r="G284" s="6">
        <v>4.0</v>
      </c>
      <c r="H284" s="11" t="str">
        <f t="shared" si="4"/>
        <v>G4</v>
      </c>
      <c r="I284" s="10" t="str">
        <f t="shared" si="5"/>
        <v>BRN65M-G4</v>
      </c>
      <c r="J284" s="16"/>
      <c r="K284" s="16" t="str">
        <f t="shared" si="6"/>
        <v>collected</v>
      </c>
      <c r="L284" s="16" t="str">
        <f t="shared" si="7"/>
        <v>N</v>
      </c>
      <c r="M284" s="16"/>
      <c r="N284" s="16"/>
    </row>
    <row r="285">
      <c r="A285" s="26" t="s">
        <v>566</v>
      </c>
      <c r="B285" s="10" t="str">
        <f t="shared" si="1"/>
        <v>RNA-muscle</v>
      </c>
      <c r="C285" s="10" t="str">
        <f t="shared" si="2"/>
        <v>BRN65M-F4</v>
      </c>
      <c r="D285" s="6">
        <v>65.0</v>
      </c>
      <c r="E285" s="10" t="str">
        <f t="shared" si="3"/>
        <v>BRN65M</v>
      </c>
      <c r="F285" s="6" t="s">
        <v>61</v>
      </c>
      <c r="G285" s="6">
        <v>4.0</v>
      </c>
      <c r="H285" s="11" t="str">
        <f t="shared" si="4"/>
        <v>F4</v>
      </c>
      <c r="I285" s="10" t="str">
        <f t="shared" si="5"/>
        <v>BRN65M-F4</v>
      </c>
      <c r="J285" s="16"/>
      <c r="K285" s="16" t="str">
        <f t="shared" si="6"/>
        <v>collected</v>
      </c>
      <c r="L285" s="16" t="str">
        <f t="shared" si="7"/>
        <v>N</v>
      </c>
      <c r="M285" s="16"/>
      <c r="N285" s="16"/>
    </row>
    <row r="286">
      <c r="A286" s="26" t="s">
        <v>567</v>
      </c>
      <c r="B286" s="10" t="str">
        <f t="shared" si="1"/>
        <v>RNA-muscle</v>
      </c>
      <c r="C286" s="10" t="str">
        <f t="shared" si="2"/>
        <v>BRN65M-E4</v>
      </c>
      <c r="D286" s="6">
        <v>65.0</v>
      </c>
      <c r="E286" s="10" t="str">
        <f t="shared" si="3"/>
        <v>BRN65M</v>
      </c>
      <c r="F286" s="6" t="s">
        <v>66</v>
      </c>
      <c r="G286" s="6">
        <v>4.0</v>
      </c>
      <c r="H286" s="11" t="str">
        <f t="shared" si="4"/>
        <v>E4</v>
      </c>
      <c r="I286" s="10" t="str">
        <f t="shared" si="5"/>
        <v>BRN65M-E4</v>
      </c>
      <c r="J286" s="16"/>
      <c r="K286" s="16" t="str">
        <f t="shared" si="6"/>
        <v>collected</v>
      </c>
      <c r="L286" s="16" t="str">
        <f t="shared" si="7"/>
        <v>N</v>
      </c>
      <c r="M286" s="16"/>
      <c r="N286" s="16"/>
    </row>
    <row r="287">
      <c r="A287" s="26" t="s">
        <v>569</v>
      </c>
      <c r="B287" s="10" t="str">
        <f t="shared" si="1"/>
        <v>RNA-muscle</v>
      </c>
      <c r="C287" s="10" t="str">
        <f t="shared" si="2"/>
        <v>BRN65M-D4</v>
      </c>
      <c r="D287" s="6">
        <v>65.0</v>
      </c>
      <c r="E287" s="10" t="str">
        <f t="shared" si="3"/>
        <v>BRN65M</v>
      </c>
      <c r="F287" s="6" t="s">
        <v>68</v>
      </c>
      <c r="G287" s="6">
        <v>4.0</v>
      </c>
      <c r="H287" s="11" t="str">
        <f t="shared" si="4"/>
        <v>D4</v>
      </c>
      <c r="I287" s="10" t="str">
        <f t="shared" si="5"/>
        <v>BRN65M-D4</v>
      </c>
      <c r="J287" s="6"/>
      <c r="K287" s="16" t="str">
        <f t="shared" si="6"/>
        <v>collected</v>
      </c>
      <c r="L287" s="16" t="str">
        <f t="shared" si="7"/>
        <v>N</v>
      </c>
      <c r="M287" s="16"/>
      <c r="N287" s="16"/>
    </row>
    <row r="288">
      <c r="A288" s="26" t="s">
        <v>570</v>
      </c>
      <c r="B288" s="10" t="str">
        <f t="shared" si="1"/>
        <v>RNA-muscle</v>
      </c>
      <c r="C288" s="10" t="str">
        <f t="shared" si="2"/>
        <v>BRN63M-A9</v>
      </c>
      <c r="D288" s="6">
        <v>63.0</v>
      </c>
      <c r="E288" s="10" t="str">
        <f t="shared" si="3"/>
        <v>BRN63M</v>
      </c>
      <c r="F288" s="6" t="s">
        <v>76</v>
      </c>
      <c r="G288" s="6">
        <v>9.0</v>
      </c>
      <c r="H288" s="11" t="str">
        <f t="shared" si="4"/>
        <v>A9</v>
      </c>
      <c r="I288" s="10" t="str">
        <f t="shared" si="5"/>
        <v>BRN63M-A9</v>
      </c>
      <c r="J288" s="16"/>
      <c r="K288" s="16" t="str">
        <f t="shared" si="6"/>
        <v>collected</v>
      </c>
      <c r="L288" s="16" t="str">
        <f t="shared" si="7"/>
        <v>N</v>
      </c>
      <c r="M288" s="16"/>
      <c r="N288" s="16"/>
    </row>
    <row r="289">
      <c r="A289" s="26" t="s">
        <v>571</v>
      </c>
      <c r="B289" s="10" t="str">
        <f t="shared" si="1"/>
        <v>RNA-muscle</v>
      </c>
      <c r="C289" s="10" t="str">
        <f t="shared" si="2"/>
        <v>BRN65M-H1</v>
      </c>
      <c r="D289" s="6">
        <v>65.0</v>
      </c>
      <c r="E289" s="10" t="str">
        <f t="shared" si="3"/>
        <v>BRN65M</v>
      </c>
      <c r="F289" s="6" t="s">
        <v>51</v>
      </c>
      <c r="G289" s="6">
        <v>1.0</v>
      </c>
      <c r="H289" s="11" t="str">
        <f t="shared" si="4"/>
        <v>H1</v>
      </c>
      <c r="I289" s="10" t="str">
        <f t="shared" si="5"/>
        <v>BRN65M-H1</v>
      </c>
      <c r="J289" s="16"/>
      <c r="K289" s="16" t="str">
        <f t="shared" si="6"/>
        <v>collected</v>
      </c>
      <c r="L289" s="16" t="str">
        <f t="shared" si="7"/>
        <v>N</v>
      </c>
      <c r="M289" s="16"/>
      <c r="N289" s="16"/>
    </row>
    <row r="290">
      <c r="A290" s="26" t="s">
        <v>574</v>
      </c>
      <c r="B290" s="10" t="str">
        <f t="shared" si="1"/>
        <v>RNA-muscle</v>
      </c>
      <c r="C290" s="10" t="str">
        <f t="shared" si="2"/>
        <v>BRN65M-G1</v>
      </c>
      <c r="D290" s="6">
        <v>65.0</v>
      </c>
      <c r="E290" s="10" t="str">
        <f t="shared" si="3"/>
        <v>BRN65M</v>
      </c>
      <c r="F290" s="6" t="s">
        <v>56</v>
      </c>
      <c r="G290" s="6">
        <v>1.0</v>
      </c>
      <c r="H290" s="11" t="str">
        <f t="shared" si="4"/>
        <v>G1</v>
      </c>
      <c r="I290" s="10" t="str">
        <f t="shared" si="5"/>
        <v>BRN65M-G1</v>
      </c>
      <c r="J290" s="6"/>
      <c r="K290" s="16" t="str">
        <f t="shared" si="6"/>
        <v>collected</v>
      </c>
      <c r="L290" s="16" t="str">
        <f t="shared" si="7"/>
        <v>N</v>
      </c>
      <c r="M290" s="16"/>
      <c r="N290" s="16"/>
    </row>
    <row r="291">
      <c r="A291" s="26" t="s">
        <v>575</v>
      </c>
      <c r="B291" s="10" t="str">
        <f t="shared" si="1"/>
        <v>RNA-muscle</v>
      </c>
      <c r="C291" s="10" t="str">
        <f t="shared" si="2"/>
        <v>BRN65M-F1</v>
      </c>
      <c r="D291" s="6">
        <v>65.0</v>
      </c>
      <c r="E291" s="10" t="str">
        <f t="shared" si="3"/>
        <v>BRN65M</v>
      </c>
      <c r="F291" s="6" t="s">
        <v>61</v>
      </c>
      <c r="G291" s="6">
        <v>1.0</v>
      </c>
      <c r="H291" s="11" t="str">
        <f t="shared" si="4"/>
        <v>F1</v>
      </c>
      <c r="I291" s="10" t="str">
        <f t="shared" si="5"/>
        <v>BRN65M-F1</v>
      </c>
      <c r="J291" s="16"/>
      <c r="K291" s="16" t="str">
        <f t="shared" si="6"/>
        <v>collected</v>
      </c>
      <c r="L291" s="16" t="str">
        <f t="shared" si="7"/>
        <v>N</v>
      </c>
      <c r="M291" s="16"/>
      <c r="N291" s="16"/>
    </row>
    <row r="292">
      <c r="A292" s="27" t="s">
        <v>577</v>
      </c>
      <c r="B292" s="10" t="str">
        <f t="shared" si="1"/>
        <v>RNA-muscle</v>
      </c>
      <c r="C292" s="10" t="str">
        <f t="shared" si="2"/>
        <v>BRN65M-E1</v>
      </c>
      <c r="D292" s="6">
        <v>65.0</v>
      </c>
      <c r="E292" s="10" t="str">
        <f t="shared" si="3"/>
        <v>BRN65M</v>
      </c>
      <c r="F292" s="6" t="s">
        <v>66</v>
      </c>
      <c r="G292" s="6">
        <v>1.0</v>
      </c>
      <c r="H292" s="11" t="str">
        <f t="shared" si="4"/>
        <v>E1</v>
      </c>
      <c r="I292" s="10" t="str">
        <f t="shared" si="5"/>
        <v>BRN65M-E1</v>
      </c>
      <c r="J292" s="6"/>
      <c r="K292" s="16" t="str">
        <f t="shared" si="6"/>
        <v>collected</v>
      </c>
      <c r="L292" s="16" t="str">
        <f t="shared" si="7"/>
        <v>N</v>
      </c>
      <c r="M292" s="16"/>
      <c r="N292" s="16"/>
    </row>
    <row r="293">
      <c r="A293" s="27" t="s">
        <v>578</v>
      </c>
      <c r="B293" s="10" t="str">
        <f t="shared" si="1"/>
        <v>RNA-muscle</v>
      </c>
      <c r="C293" s="10" t="str">
        <f t="shared" si="2"/>
        <v>BRN65M-D1</v>
      </c>
      <c r="D293" s="6">
        <v>65.0</v>
      </c>
      <c r="E293" s="10" t="str">
        <f t="shared" si="3"/>
        <v>BRN65M</v>
      </c>
      <c r="F293" s="6" t="s">
        <v>68</v>
      </c>
      <c r="G293" s="6">
        <v>1.0</v>
      </c>
      <c r="H293" s="11" t="str">
        <f t="shared" si="4"/>
        <v>D1</v>
      </c>
      <c r="I293" s="10" t="str">
        <f t="shared" si="5"/>
        <v>BRN65M-D1</v>
      </c>
      <c r="J293" s="6"/>
      <c r="K293" s="16" t="str">
        <f t="shared" si="6"/>
        <v>collected</v>
      </c>
      <c r="L293" s="16" t="str">
        <f t="shared" si="7"/>
        <v>N</v>
      </c>
      <c r="M293" s="16"/>
      <c r="N293" s="16"/>
    </row>
    <row r="294">
      <c r="A294" s="27" t="s">
        <v>580</v>
      </c>
      <c r="B294" s="10" t="str">
        <f t="shared" si="1"/>
        <v>RNA-muscle</v>
      </c>
      <c r="C294" s="10" t="str">
        <f t="shared" si="2"/>
        <v>BRN65M-C1</v>
      </c>
      <c r="D294" s="6">
        <v>65.0</v>
      </c>
      <c r="E294" s="10" t="str">
        <f t="shared" si="3"/>
        <v>BRN65M</v>
      </c>
      <c r="F294" s="6" t="s">
        <v>72</v>
      </c>
      <c r="G294" s="6">
        <v>1.0</v>
      </c>
      <c r="H294" s="11" t="str">
        <f t="shared" si="4"/>
        <v>C1</v>
      </c>
      <c r="I294" s="10" t="str">
        <f t="shared" si="5"/>
        <v>BRN65M-C1</v>
      </c>
      <c r="J294" s="6"/>
      <c r="K294" s="16" t="str">
        <f t="shared" si="6"/>
        <v>collected</v>
      </c>
      <c r="L294" s="16" t="str">
        <f t="shared" si="7"/>
        <v>N</v>
      </c>
      <c r="M294" s="16"/>
      <c r="N294" s="16"/>
    </row>
    <row r="295">
      <c r="A295" s="27" t="s">
        <v>581</v>
      </c>
      <c r="B295" s="10" t="str">
        <f t="shared" si="1"/>
        <v>RNA-muscle</v>
      </c>
      <c r="C295" s="10" t="str">
        <f t="shared" si="2"/>
        <v>BRN65M-B1</v>
      </c>
      <c r="D295" s="6">
        <v>65.0</v>
      </c>
      <c r="E295" s="10" t="str">
        <f t="shared" si="3"/>
        <v>BRN65M</v>
      </c>
      <c r="F295" s="6" t="s">
        <v>74</v>
      </c>
      <c r="G295" s="6">
        <v>1.0</v>
      </c>
      <c r="H295" s="11" t="str">
        <f t="shared" si="4"/>
        <v>B1</v>
      </c>
      <c r="I295" s="10" t="str">
        <f t="shared" si="5"/>
        <v>BRN65M-B1</v>
      </c>
      <c r="J295" s="16"/>
      <c r="K295" s="16" t="str">
        <f t="shared" si="6"/>
        <v>collected</v>
      </c>
      <c r="L295" s="16" t="str">
        <f t="shared" si="7"/>
        <v>N</v>
      </c>
      <c r="M295" s="16"/>
      <c r="N295" s="16"/>
    </row>
    <row r="296">
      <c r="A296" s="27" t="s">
        <v>583</v>
      </c>
      <c r="B296" s="10" t="str">
        <f t="shared" si="1"/>
        <v>RNA-muscle</v>
      </c>
      <c r="C296" s="10" t="str">
        <f t="shared" si="2"/>
        <v>BRN65M-A1</v>
      </c>
      <c r="D296" s="6">
        <v>65.0</v>
      </c>
      <c r="E296" s="10" t="str">
        <f t="shared" si="3"/>
        <v>BRN65M</v>
      </c>
      <c r="F296" s="6" t="s">
        <v>76</v>
      </c>
      <c r="G296" s="6">
        <v>1.0</v>
      </c>
      <c r="H296" s="11" t="str">
        <f t="shared" si="4"/>
        <v>A1</v>
      </c>
      <c r="I296" s="10" t="str">
        <f t="shared" si="5"/>
        <v>BRN65M-A1</v>
      </c>
      <c r="J296" s="16"/>
      <c r="K296" s="16" t="str">
        <f t="shared" si="6"/>
        <v>collected</v>
      </c>
      <c r="L296" s="16" t="str">
        <f t="shared" si="7"/>
        <v>N</v>
      </c>
      <c r="M296" s="16"/>
      <c r="N296" s="16"/>
    </row>
    <row r="297">
      <c r="A297" s="27" t="s">
        <v>584</v>
      </c>
      <c r="B297" s="10" t="str">
        <f t="shared" si="1"/>
        <v>RNA-muscle</v>
      </c>
      <c r="C297" s="10" t="str">
        <f t="shared" si="2"/>
        <v>BRN65M-H3</v>
      </c>
      <c r="D297" s="6">
        <v>65.0</v>
      </c>
      <c r="E297" s="10" t="str">
        <f t="shared" si="3"/>
        <v>BRN65M</v>
      </c>
      <c r="F297" s="6" t="s">
        <v>51</v>
      </c>
      <c r="G297" s="6">
        <v>3.0</v>
      </c>
      <c r="H297" s="11" t="str">
        <f t="shared" si="4"/>
        <v>H3</v>
      </c>
      <c r="I297" s="10" t="str">
        <f t="shared" si="5"/>
        <v>BRN65M-H3</v>
      </c>
      <c r="J297" s="16"/>
      <c r="K297" s="16" t="str">
        <f t="shared" si="6"/>
        <v>collected</v>
      </c>
      <c r="L297" s="16" t="str">
        <f t="shared" si="7"/>
        <v>N</v>
      </c>
      <c r="M297" s="16"/>
      <c r="N297" s="16"/>
    </row>
    <row r="298">
      <c r="A298" s="27" t="s">
        <v>585</v>
      </c>
      <c r="B298" s="10" t="str">
        <f t="shared" si="1"/>
        <v>RNA-muscle</v>
      </c>
      <c r="C298" s="10" t="str">
        <f t="shared" si="2"/>
        <v>BRN65M-G3</v>
      </c>
      <c r="D298" s="6">
        <v>65.0</v>
      </c>
      <c r="E298" s="10" t="str">
        <f t="shared" si="3"/>
        <v>BRN65M</v>
      </c>
      <c r="F298" s="6" t="s">
        <v>56</v>
      </c>
      <c r="G298" s="6">
        <v>3.0</v>
      </c>
      <c r="H298" s="11" t="str">
        <f t="shared" si="4"/>
        <v>G3</v>
      </c>
      <c r="I298" s="10" t="str">
        <f t="shared" si="5"/>
        <v>BRN65M-G3</v>
      </c>
      <c r="J298" s="16"/>
      <c r="K298" s="16" t="str">
        <f t="shared" si="6"/>
        <v>collected</v>
      </c>
      <c r="L298" s="16" t="str">
        <f t="shared" si="7"/>
        <v>N</v>
      </c>
      <c r="M298" s="16"/>
      <c r="N298" s="16"/>
    </row>
    <row r="299">
      <c r="A299" s="27" t="s">
        <v>588</v>
      </c>
      <c r="B299" s="10" t="str">
        <f t="shared" si="1"/>
        <v>RNA-muscle</v>
      </c>
      <c r="C299" s="10" t="str">
        <f t="shared" si="2"/>
        <v>BRN65M-F3</v>
      </c>
      <c r="D299" s="6">
        <v>65.0</v>
      </c>
      <c r="E299" s="10" t="str">
        <f t="shared" si="3"/>
        <v>BRN65M</v>
      </c>
      <c r="F299" s="6" t="s">
        <v>61</v>
      </c>
      <c r="G299" s="6">
        <v>3.0</v>
      </c>
      <c r="H299" s="11" t="str">
        <f t="shared" si="4"/>
        <v>F3</v>
      </c>
      <c r="I299" s="10" t="str">
        <f t="shared" si="5"/>
        <v>BRN65M-F3</v>
      </c>
      <c r="J299" s="6"/>
      <c r="K299" s="16" t="str">
        <f t="shared" si="6"/>
        <v>collected</v>
      </c>
      <c r="L299" s="16" t="str">
        <f t="shared" si="7"/>
        <v>N</v>
      </c>
      <c r="M299" s="16"/>
      <c r="N299" s="16"/>
    </row>
    <row r="300">
      <c r="A300" s="27" t="s">
        <v>590</v>
      </c>
      <c r="B300" s="10" t="str">
        <f t="shared" si="1"/>
        <v>RNA-muscle</v>
      </c>
      <c r="C300" s="10" t="str">
        <f t="shared" si="2"/>
        <v>BRN65M-E3</v>
      </c>
      <c r="D300" s="6">
        <v>65.0</v>
      </c>
      <c r="E300" s="10" t="str">
        <f t="shared" si="3"/>
        <v>BRN65M</v>
      </c>
      <c r="F300" s="6" t="s">
        <v>66</v>
      </c>
      <c r="G300" s="6">
        <v>3.0</v>
      </c>
      <c r="H300" s="11" t="str">
        <f t="shared" si="4"/>
        <v>E3</v>
      </c>
      <c r="I300" s="10" t="str">
        <f t="shared" si="5"/>
        <v>BRN65M-E3</v>
      </c>
      <c r="J300" s="16"/>
      <c r="K300" s="16" t="str">
        <f t="shared" si="6"/>
        <v>collected</v>
      </c>
      <c r="L300" s="16" t="str">
        <f t="shared" si="7"/>
        <v>N</v>
      </c>
      <c r="M300" s="16"/>
      <c r="N300" s="16"/>
    </row>
    <row r="301">
      <c r="A301" s="27" t="s">
        <v>591</v>
      </c>
      <c r="B301" s="10" t="str">
        <f t="shared" si="1"/>
        <v>RNA-muscle</v>
      </c>
      <c r="C301" s="10" t="str">
        <f t="shared" si="2"/>
        <v>BRN65M-D3</v>
      </c>
      <c r="D301" s="6">
        <v>65.0</v>
      </c>
      <c r="E301" s="10" t="str">
        <f t="shared" si="3"/>
        <v>BRN65M</v>
      </c>
      <c r="F301" s="6" t="s">
        <v>68</v>
      </c>
      <c r="G301" s="6">
        <v>3.0</v>
      </c>
      <c r="H301" s="11" t="str">
        <f t="shared" si="4"/>
        <v>D3</v>
      </c>
      <c r="I301" s="10" t="str">
        <f t="shared" si="5"/>
        <v>BRN65M-D3</v>
      </c>
      <c r="J301" s="16"/>
      <c r="K301" s="16" t="str">
        <f t="shared" si="6"/>
        <v>collected</v>
      </c>
      <c r="L301" s="16" t="str">
        <f t="shared" si="7"/>
        <v>N</v>
      </c>
      <c r="M301" s="16"/>
      <c r="N301" s="16"/>
    </row>
    <row r="302">
      <c r="A302" s="27" t="s">
        <v>592</v>
      </c>
      <c r="B302" s="10" t="str">
        <f t="shared" si="1"/>
        <v>RNA-muscle</v>
      </c>
      <c r="C302" s="10" t="str">
        <f t="shared" si="2"/>
        <v>BRN65M-C3</v>
      </c>
      <c r="D302" s="6">
        <v>65.0</v>
      </c>
      <c r="E302" s="10" t="str">
        <f t="shared" si="3"/>
        <v>BRN65M</v>
      </c>
      <c r="F302" s="6" t="s">
        <v>72</v>
      </c>
      <c r="G302" s="6">
        <v>3.0</v>
      </c>
      <c r="H302" s="11" t="str">
        <f t="shared" si="4"/>
        <v>C3</v>
      </c>
      <c r="I302" s="10" t="str">
        <f t="shared" si="5"/>
        <v>BRN65M-C3</v>
      </c>
      <c r="J302" s="16"/>
      <c r="K302" s="16" t="str">
        <f t="shared" si="6"/>
        <v>collected</v>
      </c>
      <c r="L302" s="16" t="str">
        <f t="shared" si="7"/>
        <v>N</v>
      </c>
      <c r="M302" s="16"/>
      <c r="N302" s="16"/>
    </row>
    <row r="303">
      <c r="A303" s="27" t="s">
        <v>593</v>
      </c>
      <c r="B303" s="10" t="str">
        <f t="shared" si="1"/>
        <v>RNA-muscle</v>
      </c>
      <c r="C303" s="10" t="str">
        <f t="shared" si="2"/>
        <v>BRN65M-B3</v>
      </c>
      <c r="D303" s="6">
        <v>65.0</v>
      </c>
      <c r="E303" s="10" t="str">
        <f t="shared" si="3"/>
        <v>BRN65M</v>
      </c>
      <c r="F303" s="6" t="s">
        <v>74</v>
      </c>
      <c r="G303" s="6">
        <v>3.0</v>
      </c>
      <c r="H303" s="11" t="str">
        <f t="shared" si="4"/>
        <v>B3</v>
      </c>
      <c r="I303" s="10" t="str">
        <f t="shared" si="5"/>
        <v>BRN65M-B3</v>
      </c>
      <c r="J303" s="16"/>
      <c r="K303" s="16" t="str">
        <f t="shared" si="6"/>
        <v>collected</v>
      </c>
      <c r="L303" s="16" t="str">
        <f t="shared" si="7"/>
        <v>N</v>
      </c>
      <c r="M303" s="16"/>
      <c r="N303" s="16"/>
    </row>
    <row r="304">
      <c r="A304" s="27" t="s">
        <v>595</v>
      </c>
      <c r="B304" s="10" t="str">
        <f t="shared" si="1"/>
        <v>RNA-muscle</v>
      </c>
      <c r="C304" s="10" t="str">
        <f t="shared" si="2"/>
        <v>BRN65M-A3</v>
      </c>
      <c r="D304" s="6">
        <v>65.0</v>
      </c>
      <c r="E304" s="10" t="str">
        <f t="shared" si="3"/>
        <v>BRN65M</v>
      </c>
      <c r="F304" s="6" t="s">
        <v>76</v>
      </c>
      <c r="G304" s="6">
        <v>3.0</v>
      </c>
      <c r="H304" s="11" t="str">
        <f t="shared" si="4"/>
        <v>A3</v>
      </c>
      <c r="I304" s="10" t="str">
        <f t="shared" si="5"/>
        <v>BRN65M-A3</v>
      </c>
      <c r="J304" s="6"/>
      <c r="K304" s="16" t="str">
        <f t="shared" si="6"/>
        <v>collected</v>
      </c>
      <c r="L304" s="16" t="str">
        <f t="shared" si="7"/>
        <v>N</v>
      </c>
      <c r="M304" s="16"/>
      <c r="N304" s="16"/>
    </row>
    <row r="305">
      <c r="A305" s="27" t="s">
        <v>596</v>
      </c>
      <c r="B305" s="10" t="str">
        <f t="shared" si="1"/>
        <v>RNA-muscle</v>
      </c>
      <c r="C305" s="10" t="str">
        <f t="shared" si="2"/>
        <v>BRN63M-B12</v>
      </c>
      <c r="D305" s="6">
        <v>63.0</v>
      </c>
      <c r="E305" s="10" t="str">
        <f t="shared" si="3"/>
        <v>BRN63M</v>
      </c>
      <c r="F305" s="6" t="s">
        <v>74</v>
      </c>
      <c r="G305" s="6">
        <v>12.0</v>
      </c>
      <c r="H305" s="11" t="str">
        <f t="shared" si="4"/>
        <v>B12</v>
      </c>
      <c r="I305" s="10" t="str">
        <f t="shared" si="5"/>
        <v>BRN63M-B12</v>
      </c>
      <c r="J305" s="16"/>
      <c r="K305" s="16" t="str">
        <f t="shared" si="6"/>
        <v>collected</v>
      </c>
      <c r="L305" s="16" t="str">
        <f t="shared" si="7"/>
        <v>N</v>
      </c>
      <c r="M305" s="16"/>
      <c r="N305" s="16"/>
    </row>
    <row r="306">
      <c r="A306" s="27" t="s">
        <v>597</v>
      </c>
      <c r="B306" s="10" t="str">
        <f t="shared" si="1"/>
        <v>RNA-muscle</v>
      </c>
      <c r="C306" s="10" t="str">
        <f t="shared" si="2"/>
        <v>BRN63M-A12</v>
      </c>
      <c r="D306" s="6">
        <v>63.0</v>
      </c>
      <c r="E306" s="10" t="str">
        <f t="shared" si="3"/>
        <v>BRN63M</v>
      </c>
      <c r="F306" s="6" t="s">
        <v>76</v>
      </c>
      <c r="G306" s="6">
        <v>12.0</v>
      </c>
      <c r="H306" s="11" t="str">
        <f t="shared" si="4"/>
        <v>A12</v>
      </c>
      <c r="I306" s="10" t="str">
        <f t="shared" si="5"/>
        <v>BRN63M-A12</v>
      </c>
      <c r="J306" s="16"/>
      <c r="K306" s="16" t="str">
        <f t="shared" si="6"/>
        <v>collected</v>
      </c>
      <c r="L306" s="16" t="str">
        <f t="shared" si="7"/>
        <v>N</v>
      </c>
      <c r="M306" s="16"/>
      <c r="N306" s="16"/>
    </row>
    <row r="307">
      <c r="A307" s="29" t="s">
        <v>598</v>
      </c>
      <c r="B307" s="10" t="str">
        <f t="shared" si="1"/>
        <v>RNA-muscle</v>
      </c>
      <c r="C307" s="10" t="str">
        <f t="shared" si="2"/>
        <v>BRN65M-H7</v>
      </c>
      <c r="D307" s="6">
        <v>65.0</v>
      </c>
      <c r="E307" s="10" t="str">
        <f t="shared" si="3"/>
        <v>BRN65M</v>
      </c>
      <c r="F307" s="6" t="s">
        <v>51</v>
      </c>
      <c r="G307" s="6">
        <v>7.0</v>
      </c>
      <c r="H307" s="11" t="str">
        <f t="shared" si="4"/>
        <v>H7</v>
      </c>
      <c r="I307" s="10" t="str">
        <f t="shared" si="5"/>
        <v>BRN65M-H7</v>
      </c>
      <c r="J307" s="16"/>
      <c r="K307" s="16" t="str">
        <f t="shared" si="6"/>
        <v>collected</v>
      </c>
      <c r="L307" s="16" t="str">
        <f t="shared" si="7"/>
        <v>N</v>
      </c>
      <c r="M307" s="16"/>
      <c r="N307" s="16"/>
    </row>
    <row r="308">
      <c r="A308" s="29" t="s">
        <v>600</v>
      </c>
      <c r="B308" s="10" t="str">
        <f t="shared" si="1"/>
        <v>RNA-muscle</v>
      </c>
      <c r="C308" s="10" t="str">
        <f t="shared" si="2"/>
        <v>BRN65M-G7</v>
      </c>
      <c r="D308" s="6">
        <v>65.0</v>
      </c>
      <c r="E308" s="10" t="str">
        <f t="shared" si="3"/>
        <v>BRN65M</v>
      </c>
      <c r="F308" s="6" t="s">
        <v>56</v>
      </c>
      <c r="G308" s="6">
        <v>7.0</v>
      </c>
      <c r="H308" s="11" t="str">
        <f t="shared" si="4"/>
        <v>G7</v>
      </c>
      <c r="I308" s="10" t="str">
        <f t="shared" si="5"/>
        <v>BRN65M-G7</v>
      </c>
      <c r="J308" s="16"/>
      <c r="K308" s="16" t="str">
        <f t="shared" si="6"/>
        <v>collected</v>
      </c>
      <c r="L308" s="16" t="str">
        <f t="shared" si="7"/>
        <v>N</v>
      </c>
      <c r="M308" s="16"/>
      <c r="N308" s="16"/>
    </row>
    <row r="309">
      <c r="A309" s="29" t="s">
        <v>601</v>
      </c>
      <c r="B309" s="10" t="str">
        <f t="shared" si="1"/>
        <v>RNA-muscle</v>
      </c>
      <c r="C309" s="10" t="str">
        <f t="shared" si="2"/>
        <v>BRN65M-F7</v>
      </c>
      <c r="D309" s="6">
        <v>65.0</v>
      </c>
      <c r="E309" s="10" t="str">
        <f t="shared" si="3"/>
        <v>BRN65M</v>
      </c>
      <c r="F309" s="6" t="s">
        <v>61</v>
      </c>
      <c r="G309" s="6">
        <v>7.0</v>
      </c>
      <c r="H309" s="11" t="str">
        <f t="shared" si="4"/>
        <v>F7</v>
      </c>
      <c r="I309" s="10" t="str">
        <f t="shared" si="5"/>
        <v>BRN65M-F7</v>
      </c>
      <c r="J309" s="6" t="s">
        <v>602</v>
      </c>
      <c r="K309" s="16" t="str">
        <f t="shared" si="6"/>
        <v>collected</v>
      </c>
      <c r="L309" s="16" t="str">
        <f t="shared" si="7"/>
        <v>N</v>
      </c>
      <c r="M309" s="16"/>
      <c r="N309" s="16"/>
    </row>
    <row r="310">
      <c r="A310" s="29" t="s">
        <v>603</v>
      </c>
      <c r="B310" s="10" t="str">
        <f t="shared" si="1"/>
        <v>RNA-muscle</v>
      </c>
      <c r="C310" s="10" t="str">
        <f t="shared" si="2"/>
        <v>BRN65M-E7</v>
      </c>
      <c r="D310" s="6">
        <v>65.0</v>
      </c>
      <c r="E310" s="10" t="str">
        <f t="shared" si="3"/>
        <v>BRN65M</v>
      </c>
      <c r="F310" s="6" t="s">
        <v>66</v>
      </c>
      <c r="G310" s="6">
        <v>7.0</v>
      </c>
      <c r="H310" s="11" t="str">
        <f t="shared" si="4"/>
        <v>E7</v>
      </c>
      <c r="I310" s="10" t="str">
        <f t="shared" si="5"/>
        <v>BRN65M-E7</v>
      </c>
      <c r="J310" s="16"/>
      <c r="K310" s="16" t="str">
        <f t="shared" si="6"/>
        <v>collected</v>
      </c>
      <c r="L310" s="16" t="str">
        <f t="shared" si="7"/>
        <v>N</v>
      </c>
      <c r="M310" s="16"/>
      <c r="N310" s="16"/>
    </row>
    <row r="311">
      <c r="A311" s="29" t="s">
        <v>604</v>
      </c>
      <c r="B311" s="10" t="str">
        <f t="shared" si="1"/>
        <v>RNA-muscle</v>
      </c>
      <c r="C311" s="10" t="str">
        <f t="shared" si="2"/>
        <v>BRN65M-D7</v>
      </c>
      <c r="D311" s="6">
        <v>65.0</v>
      </c>
      <c r="E311" s="10" t="str">
        <f t="shared" si="3"/>
        <v>BRN65M</v>
      </c>
      <c r="F311" s="6" t="s">
        <v>68</v>
      </c>
      <c r="G311" s="6">
        <v>7.0</v>
      </c>
      <c r="H311" s="11" t="str">
        <f t="shared" si="4"/>
        <v>D7</v>
      </c>
      <c r="I311" s="10" t="str">
        <f t="shared" si="5"/>
        <v>BRN65M-D7</v>
      </c>
      <c r="J311" s="16"/>
      <c r="K311" s="16" t="str">
        <f t="shared" si="6"/>
        <v>collected</v>
      </c>
      <c r="L311" s="16" t="str">
        <f t="shared" si="7"/>
        <v>N</v>
      </c>
      <c r="M311" s="16"/>
      <c r="N311" s="16"/>
    </row>
    <row r="312">
      <c r="A312" s="27" t="s">
        <v>606</v>
      </c>
      <c r="B312" s="10" t="str">
        <f t="shared" si="1"/>
        <v>RNA-muscle</v>
      </c>
      <c r="C312" s="10" t="str">
        <f t="shared" si="2"/>
        <v>BRN65M-H5</v>
      </c>
      <c r="D312" s="6">
        <v>65.0</v>
      </c>
      <c r="E312" s="10" t="str">
        <f t="shared" si="3"/>
        <v>BRN65M</v>
      </c>
      <c r="F312" s="6" t="s">
        <v>51</v>
      </c>
      <c r="G312" s="6">
        <v>5.0</v>
      </c>
      <c r="H312" s="11" t="str">
        <f t="shared" si="4"/>
        <v>H5</v>
      </c>
      <c r="I312" s="10" t="str">
        <f t="shared" si="5"/>
        <v>BRN65M-H5</v>
      </c>
      <c r="J312" s="16"/>
      <c r="K312" s="16" t="str">
        <f t="shared" si="6"/>
        <v>collected</v>
      </c>
      <c r="L312" s="16" t="str">
        <f t="shared" si="7"/>
        <v>N</v>
      </c>
      <c r="M312" s="16"/>
      <c r="N312" s="16"/>
    </row>
    <row r="313">
      <c r="A313" s="27" t="s">
        <v>607</v>
      </c>
      <c r="B313" s="10" t="str">
        <f t="shared" si="1"/>
        <v>RNA-muscle</v>
      </c>
      <c r="C313" s="10" t="str">
        <f t="shared" si="2"/>
        <v>BRN65M-G5</v>
      </c>
      <c r="D313" s="6">
        <v>65.0</v>
      </c>
      <c r="E313" s="10" t="str">
        <f t="shared" si="3"/>
        <v>BRN65M</v>
      </c>
      <c r="F313" s="6" t="s">
        <v>56</v>
      </c>
      <c r="G313" s="6">
        <v>5.0</v>
      </c>
      <c r="H313" s="11" t="str">
        <f t="shared" si="4"/>
        <v>G5</v>
      </c>
      <c r="I313" s="10" t="str">
        <f t="shared" si="5"/>
        <v>BRN65M-G5</v>
      </c>
      <c r="J313" s="16"/>
      <c r="K313" s="16" t="str">
        <f t="shared" si="6"/>
        <v>collected</v>
      </c>
      <c r="L313" s="16" t="str">
        <f t="shared" si="7"/>
        <v>N</v>
      </c>
      <c r="M313" s="16"/>
      <c r="N313" s="16"/>
    </row>
    <row r="314">
      <c r="A314" s="27" t="s">
        <v>608</v>
      </c>
      <c r="B314" s="10" t="str">
        <f t="shared" si="1"/>
        <v>RNA-muscle</v>
      </c>
      <c r="C314" s="10" t="str">
        <f t="shared" si="2"/>
        <v>BRN65M-F5</v>
      </c>
      <c r="D314" s="6">
        <v>65.0</v>
      </c>
      <c r="E314" s="10" t="str">
        <f t="shared" si="3"/>
        <v>BRN65M</v>
      </c>
      <c r="F314" s="6" t="s">
        <v>61</v>
      </c>
      <c r="G314" s="6">
        <v>5.0</v>
      </c>
      <c r="H314" s="11" t="str">
        <f t="shared" si="4"/>
        <v>F5</v>
      </c>
      <c r="I314" s="10" t="str">
        <f t="shared" si="5"/>
        <v>BRN65M-F5</v>
      </c>
      <c r="J314" s="6"/>
      <c r="K314" s="16" t="str">
        <f t="shared" si="6"/>
        <v>collected</v>
      </c>
      <c r="L314" s="16" t="str">
        <f t="shared" si="7"/>
        <v>N</v>
      </c>
      <c r="M314" s="16"/>
      <c r="N314" s="16"/>
    </row>
    <row r="315">
      <c r="A315" s="27" t="s">
        <v>610</v>
      </c>
      <c r="B315" s="10" t="str">
        <f t="shared" si="1"/>
        <v>RNA-muscle</v>
      </c>
      <c r="C315" s="10" t="str">
        <f t="shared" si="2"/>
        <v>BRN65M-E5</v>
      </c>
      <c r="D315" s="6">
        <v>65.0</v>
      </c>
      <c r="E315" s="10" t="str">
        <f t="shared" si="3"/>
        <v>BRN65M</v>
      </c>
      <c r="F315" s="6" t="s">
        <v>66</v>
      </c>
      <c r="G315" s="6">
        <v>5.0</v>
      </c>
      <c r="H315" s="11" t="str">
        <f t="shared" si="4"/>
        <v>E5</v>
      </c>
      <c r="I315" s="10" t="str">
        <f t="shared" si="5"/>
        <v>BRN65M-E5</v>
      </c>
      <c r="J315" s="6"/>
      <c r="K315" s="16" t="str">
        <f t="shared" si="6"/>
        <v>collected</v>
      </c>
      <c r="L315" s="16" t="str">
        <f t="shared" si="7"/>
        <v>N</v>
      </c>
      <c r="M315" s="16"/>
      <c r="N315" s="16"/>
    </row>
    <row r="316">
      <c r="A316" s="27" t="s">
        <v>611</v>
      </c>
      <c r="B316" s="10" t="str">
        <f t="shared" si="1"/>
        <v>RNA-muscle</v>
      </c>
      <c r="C316" s="10" t="str">
        <f t="shared" si="2"/>
        <v>BRN65M-D5</v>
      </c>
      <c r="D316" s="6">
        <v>65.0</v>
      </c>
      <c r="E316" s="10" t="str">
        <f t="shared" si="3"/>
        <v>BRN65M</v>
      </c>
      <c r="F316" s="6" t="s">
        <v>68</v>
      </c>
      <c r="G316" s="6">
        <v>5.0</v>
      </c>
      <c r="H316" s="11" t="str">
        <f t="shared" si="4"/>
        <v>D5</v>
      </c>
      <c r="I316" s="10" t="str">
        <f t="shared" si="5"/>
        <v>BRN65M-D5</v>
      </c>
      <c r="J316" s="16"/>
      <c r="K316" s="16" t="str">
        <f t="shared" si="6"/>
        <v>collected</v>
      </c>
      <c r="L316" s="16" t="str">
        <f t="shared" si="7"/>
        <v>N</v>
      </c>
      <c r="M316" s="16"/>
      <c r="N316" s="16"/>
    </row>
    <row r="317">
      <c r="A317" s="27" t="s">
        <v>613</v>
      </c>
      <c r="B317" s="10" t="str">
        <f t="shared" si="1"/>
        <v>RNA-muscle</v>
      </c>
      <c r="C317" s="10" t="str">
        <f t="shared" si="2"/>
        <v>BRN65M-C5</v>
      </c>
      <c r="D317" s="6">
        <v>65.0</v>
      </c>
      <c r="E317" s="10" t="str">
        <f t="shared" si="3"/>
        <v>BRN65M</v>
      </c>
      <c r="F317" s="6" t="s">
        <v>72</v>
      </c>
      <c r="G317" s="6">
        <v>5.0</v>
      </c>
      <c r="H317" s="11" t="str">
        <f t="shared" si="4"/>
        <v>C5</v>
      </c>
      <c r="I317" s="10" t="str">
        <f t="shared" si="5"/>
        <v>BRN65M-C5</v>
      </c>
      <c r="J317" s="16"/>
      <c r="K317" s="16" t="str">
        <f t="shared" si="6"/>
        <v>collected</v>
      </c>
      <c r="L317" s="16" t="str">
        <f t="shared" si="7"/>
        <v>N</v>
      </c>
      <c r="M317" s="16"/>
      <c r="N317" s="16"/>
    </row>
    <row r="318">
      <c r="A318" s="27" t="s">
        <v>614</v>
      </c>
      <c r="B318" s="10" t="str">
        <f t="shared" si="1"/>
        <v>RNA-muscle</v>
      </c>
      <c r="C318" s="10" t="str">
        <f t="shared" si="2"/>
        <v>BRN65M-B5</v>
      </c>
      <c r="D318" s="6">
        <v>65.0</v>
      </c>
      <c r="E318" s="10" t="str">
        <f t="shared" si="3"/>
        <v>BRN65M</v>
      </c>
      <c r="F318" s="6" t="s">
        <v>74</v>
      </c>
      <c r="G318" s="6">
        <v>5.0</v>
      </c>
      <c r="H318" s="11" t="str">
        <f t="shared" si="4"/>
        <v>B5</v>
      </c>
      <c r="I318" s="10" t="str">
        <f t="shared" si="5"/>
        <v>BRN65M-B5</v>
      </c>
      <c r="J318" s="6" t="s">
        <v>366</v>
      </c>
      <c r="K318" s="16" t="str">
        <f t="shared" si="6"/>
        <v>collected</v>
      </c>
      <c r="L318" s="16" t="str">
        <f t="shared" si="7"/>
        <v>N</v>
      </c>
      <c r="M318" s="16"/>
      <c r="N318" s="16"/>
    </row>
    <row r="319">
      <c r="A319" s="26" t="s">
        <v>615</v>
      </c>
      <c r="B319" s="10" t="str">
        <f t="shared" si="1"/>
        <v>RNA-muscle</v>
      </c>
      <c r="C319" s="10" t="str">
        <f t="shared" si="2"/>
        <v>BRN65M-A5</v>
      </c>
      <c r="D319" s="6">
        <v>65.0</v>
      </c>
      <c r="E319" s="10" t="str">
        <f t="shared" si="3"/>
        <v>BRN65M</v>
      </c>
      <c r="F319" s="6" t="s">
        <v>76</v>
      </c>
      <c r="G319" s="6">
        <v>5.0</v>
      </c>
      <c r="H319" s="11" t="str">
        <f t="shared" si="4"/>
        <v>A5</v>
      </c>
      <c r="I319" s="10" t="str">
        <f t="shared" si="5"/>
        <v>BRN65M-A5</v>
      </c>
      <c r="J319" s="16"/>
      <c r="K319" s="16" t="str">
        <f t="shared" si="6"/>
        <v>collected</v>
      </c>
      <c r="L319" s="16" t="str">
        <f t="shared" si="7"/>
        <v>N</v>
      </c>
      <c r="M319" s="16"/>
      <c r="N319" s="16"/>
    </row>
    <row r="320">
      <c r="A320" s="26" t="s">
        <v>618</v>
      </c>
      <c r="B320" s="10" t="str">
        <f t="shared" si="1"/>
        <v>RNA-muscle</v>
      </c>
      <c r="C320" s="10" t="str">
        <f t="shared" si="2"/>
        <v>BRN65M-H8</v>
      </c>
      <c r="D320" s="6">
        <v>65.0</v>
      </c>
      <c r="E320" s="10" t="str">
        <f t="shared" si="3"/>
        <v>BRN65M</v>
      </c>
      <c r="F320" s="6" t="s">
        <v>51</v>
      </c>
      <c r="G320" s="6">
        <v>8.0</v>
      </c>
      <c r="H320" s="11" t="str">
        <f t="shared" si="4"/>
        <v>H8</v>
      </c>
      <c r="I320" s="10" t="str">
        <f t="shared" si="5"/>
        <v>BRN65M-H8</v>
      </c>
      <c r="J320" s="6"/>
      <c r="K320" s="16" t="str">
        <f t="shared" si="6"/>
        <v>collected</v>
      </c>
      <c r="L320" s="16" t="str">
        <f t="shared" si="7"/>
        <v>N</v>
      </c>
      <c r="M320" s="16"/>
      <c r="N320" s="16"/>
    </row>
    <row r="321">
      <c r="A321" s="26" t="s">
        <v>619</v>
      </c>
      <c r="B321" s="10" t="str">
        <f t="shared" si="1"/>
        <v>RNA-muscle</v>
      </c>
      <c r="C321" s="10" t="str">
        <f t="shared" si="2"/>
        <v>BRN64M-H7</v>
      </c>
      <c r="D321" s="6">
        <v>64.0</v>
      </c>
      <c r="E321" s="10" t="str">
        <f t="shared" si="3"/>
        <v>BRN64M</v>
      </c>
      <c r="F321" s="6" t="s">
        <v>51</v>
      </c>
      <c r="G321" s="6">
        <v>7.0</v>
      </c>
      <c r="H321" s="11" t="str">
        <f t="shared" si="4"/>
        <v>H7</v>
      </c>
      <c r="I321" s="10" t="str">
        <f t="shared" si="5"/>
        <v>BRN64M-H7</v>
      </c>
      <c r="J321" s="16"/>
      <c r="K321" s="16" t="str">
        <f t="shared" si="6"/>
        <v>collected</v>
      </c>
      <c r="L321" s="16" t="str">
        <f t="shared" si="7"/>
        <v>N</v>
      </c>
      <c r="M321" s="16"/>
      <c r="N321" s="16"/>
    </row>
    <row r="322">
      <c r="A322" s="26" t="s">
        <v>621</v>
      </c>
      <c r="B322" s="10" t="str">
        <f t="shared" si="1"/>
        <v>RNA-muscle</v>
      </c>
      <c r="C322" s="10" t="str">
        <f t="shared" si="2"/>
        <v>BRN64M-G7</v>
      </c>
      <c r="D322" s="6">
        <v>64.0</v>
      </c>
      <c r="E322" s="10" t="str">
        <f t="shared" si="3"/>
        <v>BRN64M</v>
      </c>
      <c r="F322" s="6" t="s">
        <v>56</v>
      </c>
      <c r="G322" s="6">
        <v>7.0</v>
      </c>
      <c r="H322" s="11" t="str">
        <f t="shared" si="4"/>
        <v>G7</v>
      </c>
      <c r="I322" s="10" t="str">
        <f t="shared" si="5"/>
        <v>BRN64M-G7</v>
      </c>
      <c r="J322" s="6" t="s">
        <v>366</v>
      </c>
      <c r="K322" s="16" t="str">
        <f t="shared" si="6"/>
        <v>collected</v>
      </c>
      <c r="L322" s="16" t="str">
        <f t="shared" si="7"/>
        <v>N</v>
      </c>
      <c r="M322" s="16"/>
      <c r="N322" s="16"/>
    </row>
    <row r="323">
      <c r="A323" s="26" t="s">
        <v>622</v>
      </c>
      <c r="B323" s="10" t="str">
        <f t="shared" si="1"/>
        <v>RNA-muscle</v>
      </c>
      <c r="C323" s="10" t="str">
        <f t="shared" si="2"/>
        <v>BRN64M-F7</v>
      </c>
      <c r="D323" s="6">
        <v>64.0</v>
      </c>
      <c r="E323" s="10" t="str">
        <f t="shared" si="3"/>
        <v>BRN64M</v>
      </c>
      <c r="F323" s="6" t="s">
        <v>61</v>
      </c>
      <c r="G323" s="6">
        <v>7.0</v>
      </c>
      <c r="H323" s="11" t="str">
        <f t="shared" si="4"/>
        <v>F7</v>
      </c>
      <c r="I323" s="10" t="str">
        <f t="shared" si="5"/>
        <v>BRN64M-F7</v>
      </c>
      <c r="J323" s="16"/>
      <c r="K323" s="16" t="str">
        <f t="shared" si="6"/>
        <v>collected</v>
      </c>
      <c r="L323" s="16" t="str">
        <f t="shared" si="7"/>
        <v>N</v>
      </c>
      <c r="M323" s="16"/>
      <c r="N323" s="16"/>
    </row>
    <row r="324">
      <c r="A324" s="26" t="s">
        <v>624</v>
      </c>
      <c r="B324" s="10" t="str">
        <f t="shared" si="1"/>
        <v>RNA-muscle</v>
      </c>
      <c r="C324" s="10" t="str">
        <f t="shared" si="2"/>
        <v>BRN64M-E7</v>
      </c>
      <c r="D324" s="6">
        <v>64.0</v>
      </c>
      <c r="E324" s="10" t="str">
        <f t="shared" si="3"/>
        <v>BRN64M</v>
      </c>
      <c r="F324" s="6" t="s">
        <v>66</v>
      </c>
      <c r="G324" s="6">
        <v>7.0</v>
      </c>
      <c r="H324" s="11" t="str">
        <f t="shared" si="4"/>
        <v>E7</v>
      </c>
      <c r="I324" s="10" t="str">
        <f t="shared" si="5"/>
        <v>BRN64M-E7</v>
      </c>
      <c r="J324" s="16"/>
      <c r="K324" s="16" t="str">
        <f t="shared" si="6"/>
        <v>collected</v>
      </c>
      <c r="L324" s="16" t="str">
        <f t="shared" si="7"/>
        <v>N</v>
      </c>
      <c r="M324" s="16"/>
      <c r="N324" s="16"/>
    </row>
    <row r="325">
      <c r="A325" s="26" t="s">
        <v>626</v>
      </c>
      <c r="B325" s="10" t="str">
        <f t="shared" si="1"/>
        <v>RNA-muscle</v>
      </c>
      <c r="C325" s="10" t="str">
        <f t="shared" si="2"/>
        <v>BRN64M-D7</v>
      </c>
      <c r="D325" s="6">
        <v>64.0</v>
      </c>
      <c r="E325" s="10" t="str">
        <f t="shared" si="3"/>
        <v>BRN64M</v>
      </c>
      <c r="F325" s="6" t="s">
        <v>68</v>
      </c>
      <c r="G325" s="6">
        <v>7.0</v>
      </c>
      <c r="H325" s="11" t="str">
        <f t="shared" si="4"/>
        <v>D7</v>
      </c>
      <c r="I325" s="10" t="str">
        <f t="shared" si="5"/>
        <v>BRN64M-D7</v>
      </c>
      <c r="J325" s="16"/>
      <c r="K325" s="16" t="str">
        <f t="shared" si="6"/>
        <v>collected</v>
      </c>
      <c r="L325" s="16" t="str">
        <f t="shared" si="7"/>
        <v>N</v>
      </c>
      <c r="M325" s="16"/>
      <c r="N325" s="16"/>
    </row>
    <row r="326">
      <c r="A326" s="26" t="s">
        <v>627</v>
      </c>
      <c r="B326" s="10" t="str">
        <f t="shared" si="1"/>
        <v>RNA-muscle</v>
      </c>
      <c r="C326" s="10" t="str">
        <f t="shared" si="2"/>
        <v>BRN64M-C7</v>
      </c>
      <c r="D326" s="6">
        <v>64.0</v>
      </c>
      <c r="E326" s="10" t="str">
        <f t="shared" si="3"/>
        <v>BRN64M</v>
      </c>
      <c r="F326" s="6" t="s">
        <v>72</v>
      </c>
      <c r="G326" s="6">
        <v>7.0</v>
      </c>
      <c r="H326" s="11" t="str">
        <f t="shared" si="4"/>
        <v>C7</v>
      </c>
      <c r="I326" s="10" t="str">
        <f t="shared" si="5"/>
        <v>BRN64M-C7</v>
      </c>
      <c r="J326" s="16"/>
      <c r="K326" s="16" t="str">
        <f t="shared" si="6"/>
        <v>collected</v>
      </c>
      <c r="L326" s="16" t="str">
        <f t="shared" si="7"/>
        <v>N</v>
      </c>
      <c r="M326" s="16"/>
      <c r="N326" s="16"/>
    </row>
    <row r="327">
      <c r="A327" s="26" t="s">
        <v>628</v>
      </c>
      <c r="B327" s="10" t="str">
        <f t="shared" si="1"/>
        <v>RNA-muscle</v>
      </c>
      <c r="C327" s="10" t="str">
        <f t="shared" si="2"/>
        <v>BRN64M-B7</v>
      </c>
      <c r="D327" s="6">
        <v>64.0</v>
      </c>
      <c r="E327" s="10" t="str">
        <f t="shared" si="3"/>
        <v>BRN64M</v>
      </c>
      <c r="F327" s="6" t="s">
        <v>74</v>
      </c>
      <c r="G327" s="6">
        <v>7.0</v>
      </c>
      <c r="H327" s="11" t="str">
        <f t="shared" si="4"/>
        <v>B7</v>
      </c>
      <c r="I327" s="10" t="str">
        <f t="shared" si="5"/>
        <v>BRN64M-B7</v>
      </c>
      <c r="J327" s="16"/>
      <c r="K327" s="16" t="str">
        <f t="shared" si="6"/>
        <v>collected</v>
      </c>
      <c r="L327" s="16" t="str">
        <f t="shared" si="7"/>
        <v>N</v>
      </c>
      <c r="M327" s="16"/>
      <c r="N327" s="16"/>
    </row>
    <row r="328">
      <c r="A328" s="26" t="s">
        <v>632</v>
      </c>
      <c r="B328" s="10" t="str">
        <f t="shared" si="1"/>
        <v>RNA-muscle</v>
      </c>
      <c r="C328" s="10" t="str">
        <f t="shared" si="2"/>
        <v>BRN64M-A7</v>
      </c>
      <c r="D328" s="6">
        <v>64.0</v>
      </c>
      <c r="E328" s="10" t="str">
        <f t="shared" si="3"/>
        <v>BRN64M</v>
      </c>
      <c r="F328" s="6" t="s">
        <v>76</v>
      </c>
      <c r="G328" s="6">
        <v>7.0</v>
      </c>
      <c r="H328" s="11" t="str">
        <f t="shared" si="4"/>
        <v>A7</v>
      </c>
      <c r="I328" s="10" t="str">
        <f t="shared" si="5"/>
        <v>BRN64M-A7</v>
      </c>
      <c r="J328" s="6"/>
      <c r="K328" s="16" t="str">
        <f t="shared" si="6"/>
        <v>collected</v>
      </c>
      <c r="L328" s="16" t="str">
        <f t="shared" si="7"/>
        <v>N</v>
      </c>
      <c r="M328" s="16"/>
      <c r="N328" s="16"/>
    </row>
    <row r="329">
      <c r="A329" s="26" t="s">
        <v>633</v>
      </c>
      <c r="B329" s="10" t="str">
        <f t="shared" si="1"/>
        <v>RNA-muscle</v>
      </c>
      <c r="C329" s="10" t="str">
        <f t="shared" si="2"/>
        <v>BRN64M-H9</v>
      </c>
      <c r="D329" s="6">
        <v>64.0</v>
      </c>
      <c r="E329" s="10" t="str">
        <f t="shared" si="3"/>
        <v>BRN64M</v>
      </c>
      <c r="F329" s="6" t="s">
        <v>51</v>
      </c>
      <c r="G329" s="6">
        <v>9.0</v>
      </c>
      <c r="H329" s="11" t="str">
        <f t="shared" si="4"/>
        <v>H9</v>
      </c>
      <c r="I329" s="10" t="str">
        <f t="shared" si="5"/>
        <v>BRN64M-H9</v>
      </c>
      <c r="J329" s="16"/>
      <c r="K329" s="16" t="str">
        <f t="shared" si="6"/>
        <v>collected</v>
      </c>
      <c r="L329" s="16" t="str">
        <f t="shared" si="7"/>
        <v>N</v>
      </c>
      <c r="M329" s="16"/>
      <c r="N329" s="16"/>
    </row>
    <row r="330">
      <c r="A330" s="26" t="s">
        <v>634</v>
      </c>
      <c r="B330" s="10" t="str">
        <f t="shared" si="1"/>
        <v>RNA-muscle</v>
      </c>
      <c r="C330" s="10" t="str">
        <f t="shared" si="2"/>
        <v>BRN64M-G9</v>
      </c>
      <c r="D330" s="6">
        <v>64.0</v>
      </c>
      <c r="E330" s="10" t="str">
        <f t="shared" si="3"/>
        <v>BRN64M</v>
      </c>
      <c r="F330" s="6" t="s">
        <v>56</v>
      </c>
      <c r="G330" s="6">
        <v>9.0</v>
      </c>
      <c r="H330" s="11" t="str">
        <f t="shared" si="4"/>
        <v>G9</v>
      </c>
      <c r="I330" s="10" t="str">
        <f t="shared" si="5"/>
        <v>BRN64M-G9</v>
      </c>
      <c r="J330" s="16"/>
      <c r="K330" s="16" t="str">
        <f t="shared" si="6"/>
        <v>collected</v>
      </c>
      <c r="L330" s="16" t="str">
        <f t="shared" si="7"/>
        <v>N</v>
      </c>
      <c r="M330" s="16"/>
      <c r="N330" s="16"/>
    </row>
    <row r="331">
      <c r="A331" s="26" t="s">
        <v>635</v>
      </c>
      <c r="B331" s="10" t="str">
        <f t="shared" si="1"/>
        <v>RNA-muscle</v>
      </c>
      <c r="C331" s="10" t="str">
        <f t="shared" si="2"/>
        <v>BRN62M-H2</v>
      </c>
      <c r="D331" s="6">
        <v>62.0</v>
      </c>
      <c r="E331" s="10" t="str">
        <f t="shared" si="3"/>
        <v>BRN62M</v>
      </c>
      <c r="F331" s="6" t="s">
        <v>51</v>
      </c>
      <c r="G331" s="6">
        <v>2.0</v>
      </c>
      <c r="H331" s="11" t="str">
        <f t="shared" si="4"/>
        <v>H2</v>
      </c>
      <c r="I331" s="10" t="str">
        <f t="shared" si="5"/>
        <v>BRN62M-H2</v>
      </c>
      <c r="J331" s="16"/>
      <c r="K331" s="16" t="str">
        <f t="shared" si="6"/>
        <v>collected</v>
      </c>
      <c r="L331" s="16" t="str">
        <f t="shared" si="7"/>
        <v>N</v>
      </c>
      <c r="M331" s="16"/>
      <c r="N331" s="16"/>
    </row>
    <row r="332">
      <c r="A332" s="26" t="s">
        <v>637</v>
      </c>
      <c r="B332" s="10" t="str">
        <f t="shared" si="1"/>
        <v>RNA-muscle</v>
      </c>
      <c r="C332" s="10" t="str">
        <f t="shared" si="2"/>
        <v>BRN62M-G2</v>
      </c>
      <c r="D332" s="6">
        <v>62.0</v>
      </c>
      <c r="E332" s="10" t="str">
        <f t="shared" si="3"/>
        <v>BRN62M</v>
      </c>
      <c r="F332" s="6" t="s">
        <v>56</v>
      </c>
      <c r="G332" s="6">
        <v>2.0</v>
      </c>
      <c r="H332" s="11" t="str">
        <f t="shared" si="4"/>
        <v>G2</v>
      </c>
      <c r="I332" s="10" t="str">
        <f t="shared" si="5"/>
        <v>BRN62M-G2</v>
      </c>
      <c r="J332" s="16"/>
      <c r="K332" s="16" t="str">
        <f t="shared" si="6"/>
        <v>collected</v>
      </c>
      <c r="L332" s="16" t="str">
        <f t="shared" si="7"/>
        <v>N</v>
      </c>
      <c r="M332" s="16"/>
      <c r="N332" s="16"/>
    </row>
    <row r="333">
      <c r="A333" s="27" t="s">
        <v>640</v>
      </c>
      <c r="B333" s="10" t="str">
        <f t="shared" si="1"/>
        <v>RNA-muscle</v>
      </c>
      <c r="C333" s="10" t="str">
        <f t="shared" si="2"/>
        <v>BRN62M-F2</v>
      </c>
      <c r="D333" s="6">
        <v>62.0</v>
      </c>
      <c r="E333" s="10" t="str">
        <f t="shared" si="3"/>
        <v>BRN62M</v>
      </c>
      <c r="F333" s="6" t="s">
        <v>61</v>
      </c>
      <c r="G333" s="6">
        <v>2.0</v>
      </c>
      <c r="H333" s="11" t="str">
        <f t="shared" si="4"/>
        <v>F2</v>
      </c>
      <c r="I333" s="10" t="str">
        <f t="shared" si="5"/>
        <v>BRN62M-F2</v>
      </c>
      <c r="J333" s="6"/>
      <c r="K333" s="16" t="str">
        <f t="shared" si="6"/>
        <v>collected</v>
      </c>
      <c r="L333" s="16" t="str">
        <f t="shared" si="7"/>
        <v>N</v>
      </c>
      <c r="M333" s="16"/>
      <c r="N333" s="16"/>
    </row>
    <row r="334">
      <c r="A334" s="27" t="s">
        <v>642</v>
      </c>
      <c r="B334" s="10" t="str">
        <f t="shared" si="1"/>
        <v>RNA-muscle</v>
      </c>
      <c r="C334" s="10" t="str">
        <f t="shared" si="2"/>
        <v>BRN62M-E2</v>
      </c>
      <c r="D334" s="6">
        <v>62.0</v>
      </c>
      <c r="E334" s="10" t="str">
        <f t="shared" si="3"/>
        <v>BRN62M</v>
      </c>
      <c r="F334" s="6" t="s">
        <v>66</v>
      </c>
      <c r="G334" s="6">
        <v>2.0</v>
      </c>
      <c r="H334" s="11" t="str">
        <f t="shared" si="4"/>
        <v>E2</v>
      </c>
      <c r="I334" s="10" t="str">
        <f t="shared" si="5"/>
        <v>BRN62M-E2</v>
      </c>
      <c r="J334" s="16"/>
      <c r="K334" s="16" t="str">
        <f t="shared" si="6"/>
        <v>collected</v>
      </c>
      <c r="L334" s="16" t="str">
        <f t="shared" si="7"/>
        <v>N</v>
      </c>
      <c r="M334" s="16"/>
      <c r="N334" s="16"/>
    </row>
    <row r="335">
      <c r="A335" s="27" t="s">
        <v>643</v>
      </c>
      <c r="B335" s="10" t="str">
        <f t="shared" si="1"/>
        <v>RNA-muscle</v>
      </c>
      <c r="C335" s="10" t="str">
        <f t="shared" si="2"/>
        <v>BRN62M-D2</v>
      </c>
      <c r="D335" s="6">
        <v>62.0</v>
      </c>
      <c r="E335" s="10" t="str">
        <f t="shared" si="3"/>
        <v>BRN62M</v>
      </c>
      <c r="F335" s="6" t="s">
        <v>68</v>
      </c>
      <c r="G335" s="6">
        <v>2.0</v>
      </c>
      <c r="H335" s="11" t="str">
        <f t="shared" si="4"/>
        <v>D2</v>
      </c>
      <c r="I335" s="10" t="str">
        <f t="shared" si="5"/>
        <v>BRN62M-D2</v>
      </c>
      <c r="J335" s="6"/>
      <c r="K335" s="16" t="str">
        <f t="shared" si="6"/>
        <v>collected</v>
      </c>
      <c r="L335" s="16" t="str">
        <f t="shared" si="7"/>
        <v>N</v>
      </c>
      <c r="M335" s="16"/>
      <c r="N335" s="16"/>
    </row>
    <row r="336">
      <c r="A336" s="27" t="s">
        <v>644</v>
      </c>
      <c r="B336" s="10" t="str">
        <f t="shared" si="1"/>
        <v>RNA-muscle</v>
      </c>
      <c r="C336" s="10" t="str">
        <f t="shared" si="2"/>
        <v>BRN62M-C2</v>
      </c>
      <c r="D336" s="6">
        <v>62.0</v>
      </c>
      <c r="E336" s="10" t="str">
        <f t="shared" si="3"/>
        <v>BRN62M</v>
      </c>
      <c r="F336" s="6" t="s">
        <v>72</v>
      </c>
      <c r="G336" s="6">
        <v>2.0</v>
      </c>
      <c r="H336" s="11" t="str">
        <f t="shared" si="4"/>
        <v>C2</v>
      </c>
      <c r="I336" s="10" t="str">
        <f t="shared" si="5"/>
        <v>BRN62M-C2</v>
      </c>
      <c r="J336" s="16"/>
      <c r="K336" s="16" t="str">
        <f t="shared" si="6"/>
        <v>collected</v>
      </c>
      <c r="L336" s="16" t="str">
        <f t="shared" si="7"/>
        <v>N</v>
      </c>
      <c r="M336" s="16"/>
      <c r="N336" s="16"/>
    </row>
    <row r="337">
      <c r="A337" s="27" t="s">
        <v>647</v>
      </c>
      <c r="B337" s="10" t="str">
        <f t="shared" si="1"/>
        <v>RNA-muscle</v>
      </c>
      <c r="C337" s="10" t="str">
        <f t="shared" si="2"/>
        <v>BRN62M-B2</v>
      </c>
      <c r="D337" s="6">
        <v>62.0</v>
      </c>
      <c r="E337" s="10" t="str">
        <f t="shared" si="3"/>
        <v>BRN62M</v>
      </c>
      <c r="F337" s="6" t="s">
        <v>74</v>
      </c>
      <c r="G337" s="6">
        <v>2.0</v>
      </c>
      <c r="H337" s="11" t="str">
        <f t="shared" si="4"/>
        <v>B2</v>
      </c>
      <c r="I337" s="10" t="str">
        <f t="shared" si="5"/>
        <v>BRN62M-B2</v>
      </c>
      <c r="J337" s="16"/>
      <c r="K337" s="16" t="str">
        <f t="shared" si="6"/>
        <v>collected</v>
      </c>
      <c r="L337" s="16" t="str">
        <f t="shared" si="7"/>
        <v>N</v>
      </c>
      <c r="M337" s="16"/>
      <c r="N337" s="16"/>
    </row>
    <row r="338">
      <c r="A338" s="27" t="s">
        <v>648</v>
      </c>
      <c r="B338" s="10" t="str">
        <f t="shared" si="1"/>
        <v>RNA-muscle</v>
      </c>
      <c r="C338" s="10" t="str">
        <f t="shared" si="2"/>
        <v>BRN62M-A2</v>
      </c>
      <c r="D338" s="6">
        <v>62.0</v>
      </c>
      <c r="E338" s="10" t="str">
        <f t="shared" si="3"/>
        <v>BRN62M</v>
      </c>
      <c r="F338" s="6" t="s">
        <v>76</v>
      </c>
      <c r="G338" s="6">
        <v>2.0</v>
      </c>
      <c r="H338" s="11" t="str">
        <f t="shared" si="4"/>
        <v>A2</v>
      </c>
      <c r="I338" s="10" t="str">
        <f t="shared" si="5"/>
        <v>BRN62M-A2</v>
      </c>
      <c r="J338" s="16"/>
      <c r="K338" s="16" t="str">
        <f t="shared" si="6"/>
        <v>collected</v>
      </c>
      <c r="L338" s="16" t="str">
        <f t="shared" si="7"/>
        <v>N</v>
      </c>
      <c r="M338" s="16"/>
      <c r="N338" s="16"/>
    </row>
    <row r="339">
      <c r="A339" s="27" t="s">
        <v>650</v>
      </c>
      <c r="B339" s="10" t="str">
        <f t="shared" si="1"/>
        <v>RNA-muscle</v>
      </c>
      <c r="C339" s="10" t="str">
        <f t="shared" si="2"/>
        <v>BRN62M-H3</v>
      </c>
      <c r="D339" s="6">
        <v>62.0</v>
      </c>
      <c r="E339" s="10" t="str">
        <f t="shared" si="3"/>
        <v>BRN62M</v>
      </c>
      <c r="F339" s="6" t="s">
        <v>51</v>
      </c>
      <c r="G339" s="6">
        <v>3.0</v>
      </c>
      <c r="H339" s="11" t="str">
        <f t="shared" si="4"/>
        <v>H3</v>
      </c>
      <c r="I339" s="10" t="str">
        <f t="shared" si="5"/>
        <v>BRN62M-H3</v>
      </c>
      <c r="J339" s="16"/>
      <c r="K339" s="16" t="str">
        <f t="shared" si="6"/>
        <v>collected</v>
      </c>
      <c r="L339" s="16" t="str">
        <f t="shared" si="7"/>
        <v>N</v>
      </c>
      <c r="M339" s="16"/>
      <c r="N339" s="16"/>
    </row>
    <row r="340">
      <c r="A340" s="26" t="s">
        <v>651</v>
      </c>
      <c r="B340" s="10" t="str">
        <f t="shared" si="1"/>
        <v>RNA-muscle</v>
      </c>
      <c r="C340" s="10" t="str">
        <f t="shared" si="2"/>
        <v>BRN62M-G3</v>
      </c>
      <c r="D340" s="6">
        <v>62.0</v>
      </c>
      <c r="E340" s="10" t="str">
        <f t="shared" si="3"/>
        <v>BRN62M</v>
      </c>
      <c r="F340" s="6" t="s">
        <v>56</v>
      </c>
      <c r="G340" s="6">
        <v>3.0</v>
      </c>
      <c r="H340" s="11" t="str">
        <f t="shared" si="4"/>
        <v>G3</v>
      </c>
      <c r="I340" s="10" t="str">
        <f t="shared" si="5"/>
        <v>BRN62M-G3</v>
      </c>
      <c r="J340" s="16"/>
      <c r="K340" s="16" t="str">
        <f t="shared" si="6"/>
        <v>collected</v>
      </c>
      <c r="L340" s="16" t="str">
        <f t="shared" si="7"/>
        <v>N</v>
      </c>
      <c r="M340" s="16"/>
      <c r="N340" s="16"/>
    </row>
    <row r="341">
      <c r="A341" s="26" t="s">
        <v>653</v>
      </c>
      <c r="B341" s="10" t="str">
        <f t="shared" si="1"/>
        <v>RNA-muscle</v>
      </c>
      <c r="C341" s="10" t="str">
        <f t="shared" si="2"/>
        <v>BRN65M-C4</v>
      </c>
      <c r="D341" s="6">
        <v>65.0</v>
      </c>
      <c r="E341" s="10" t="str">
        <f t="shared" si="3"/>
        <v>BRN65M</v>
      </c>
      <c r="F341" s="6" t="s">
        <v>72</v>
      </c>
      <c r="G341" s="6">
        <v>4.0</v>
      </c>
      <c r="H341" s="11" t="str">
        <f t="shared" si="4"/>
        <v>C4</v>
      </c>
      <c r="I341" s="10" t="str">
        <f t="shared" si="5"/>
        <v>BRN65M-C4</v>
      </c>
      <c r="J341" s="16"/>
      <c r="K341" s="16" t="str">
        <f t="shared" si="6"/>
        <v>collected</v>
      </c>
      <c r="L341" s="16" t="str">
        <f t="shared" si="7"/>
        <v>N</v>
      </c>
      <c r="M341" s="16"/>
      <c r="N341" s="16"/>
    </row>
    <row r="342">
      <c r="A342" s="26" t="s">
        <v>656</v>
      </c>
      <c r="B342" s="10" t="str">
        <f t="shared" si="1"/>
        <v>RNA-muscle</v>
      </c>
      <c r="C342" s="10" t="str">
        <f t="shared" si="2"/>
        <v>BRN65M-B4</v>
      </c>
      <c r="D342" s="6">
        <v>65.0</v>
      </c>
      <c r="E342" s="10" t="str">
        <f t="shared" si="3"/>
        <v>BRN65M</v>
      </c>
      <c r="F342" s="6" t="s">
        <v>74</v>
      </c>
      <c r="G342" s="6">
        <v>4.0</v>
      </c>
      <c r="H342" s="11" t="str">
        <f t="shared" si="4"/>
        <v>B4</v>
      </c>
      <c r="I342" s="10" t="str">
        <f t="shared" si="5"/>
        <v>BRN65M-B4</v>
      </c>
      <c r="J342" s="16"/>
      <c r="K342" s="16" t="str">
        <f t="shared" si="6"/>
        <v>collected</v>
      </c>
      <c r="L342" s="16" t="str">
        <f t="shared" si="7"/>
        <v>N</v>
      </c>
      <c r="M342" s="16"/>
      <c r="N342" s="16"/>
    </row>
    <row r="343">
      <c r="A343" s="26" t="s">
        <v>657</v>
      </c>
      <c r="B343" s="10" t="str">
        <f t="shared" si="1"/>
        <v>RNA-muscle</v>
      </c>
      <c r="C343" s="10" t="str">
        <f t="shared" si="2"/>
        <v>BRN65M-A4</v>
      </c>
      <c r="D343" s="6">
        <v>65.0</v>
      </c>
      <c r="E343" s="10" t="str">
        <f t="shared" si="3"/>
        <v>BRN65M</v>
      </c>
      <c r="F343" s="6" t="s">
        <v>76</v>
      </c>
      <c r="G343" s="6">
        <v>4.0</v>
      </c>
      <c r="H343" s="11" t="str">
        <f t="shared" si="4"/>
        <v>A4</v>
      </c>
      <c r="I343" s="10" t="str">
        <f t="shared" si="5"/>
        <v>BRN65M-A4</v>
      </c>
      <c r="J343" s="16"/>
      <c r="K343" s="16" t="str">
        <f t="shared" si="6"/>
        <v>collected</v>
      </c>
      <c r="L343" s="16" t="str">
        <f t="shared" si="7"/>
        <v>N</v>
      </c>
      <c r="M343" s="16"/>
      <c r="N343" s="16"/>
    </row>
    <row r="344">
      <c r="A344" s="26" t="s">
        <v>658</v>
      </c>
      <c r="B344" s="10" t="str">
        <f t="shared" si="1"/>
        <v>RNA-muscle</v>
      </c>
      <c r="C344" s="10" t="str">
        <f t="shared" si="2"/>
        <v>BRN65M-G6</v>
      </c>
      <c r="D344" s="6">
        <v>65.0</v>
      </c>
      <c r="E344" s="10" t="str">
        <f t="shared" si="3"/>
        <v>BRN65M</v>
      </c>
      <c r="F344" s="6" t="s">
        <v>56</v>
      </c>
      <c r="G344" s="6">
        <v>6.0</v>
      </c>
      <c r="H344" s="11" t="str">
        <f t="shared" si="4"/>
        <v>G6</v>
      </c>
      <c r="I344" s="10" t="str">
        <f t="shared" si="5"/>
        <v>BRN65M-G6</v>
      </c>
      <c r="J344" s="16"/>
      <c r="K344" s="16" t="str">
        <f t="shared" si="6"/>
        <v>collected</v>
      </c>
      <c r="L344" s="16" t="str">
        <f t="shared" si="7"/>
        <v>N</v>
      </c>
      <c r="M344" s="16"/>
      <c r="N344" s="16"/>
    </row>
    <row r="345">
      <c r="A345" s="26" t="s">
        <v>659</v>
      </c>
      <c r="B345" s="10" t="str">
        <f t="shared" si="1"/>
        <v>RNA-muscle</v>
      </c>
      <c r="C345" s="10" t="str">
        <f t="shared" si="2"/>
        <v>BRN65M-F6</v>
      </c>
      <c r="D345" s="6">
        <v>65.0</v>
      </c>
      <c r="E345" s="10" t="str">
        <f t="shared" si="3"/>
        <v>BRN65M</v>
      </c>
      <c r="F345" s="6" t="s">
        <v>61</v>
      </c>
      <c r="G345" s="6">
        <v>6.0</v>
      </c>
      <c r="H345" s="11" t="str">
        <f t="shared" si="4"/>
        <v>F6</v>
      </c>
      <c r="I345" s="10" t="str">
        <f t="shared" si="5"/>
        <v>BRN65M-F6</v>
      </c>
      <c r="J345" s="16"/>
      <c r="K345" s="16" t="str">
        <f t="shared" si="6"/>
        <v>collected</v>
      </c>
      <c r="L345" s="16" t="str">
        <f t="shared" si="7"/>
        <v>N</v>
      </c>
      <c r="M345" s="16"/>
      <c r="N345" s="16"/>
    </row>
    <row r="346">
      <c r="A346" s="26" t="s">
        <v>661</v>
      </c>
      <c r="B346" s="10" t="str">
        <f t="shared" si="1"/>
        <v>RNA-muscle</v>
      </c>
      <c r="C346" s="10" t="str">
        <f t="shared" si="2"/>
        <v>BRN65M-E6</v>
      </c>
      <c r="D346" s="6">
        <v>65.0</v>
      </c>
      <c r="E346" s="10" t="str">
        <f t="shared" si="3"/>
        <v>BRN65M</v>
      </c>
      <c r="F346" s="6" t="s">
        <v>66</v>
      </c>
      <c r="G346" s="6">
        <v>6.0</v>
      </c>
      <c r="H346" s="11" t="str">
        <f t="shared" si="4"/>
        <v>E6</v>
      </c>
      <c r="I346" s="10" t="str">
        <f t="shared" si="5"/>
        <v>BRN65M-E6</v>
      </c>
      <c r="J346" s="16"/>
      <c r="K346" s="16" t="str">
        <f t="shared" si="6"/>
        <v>collected</v>
      </c>
      <c r="L346" s="16" t="str">
        <f t="shared" si="7"/>
        <v>N</v>
      </c>
      <c r="M346" s="16"/>
      <c r="N346" s="16"/>
    </row>
    <row r="347">
      <c r="A347" s="25" t="s">
        <v>662</v>
      </c>
      <c r="B347" s="10" t="str">
        <f t="shared" si="1"/>
        <v>RNA-muscle</v>
      </c>
      <c r="C347" s="10" t="str">
        <f t="shared" si="2"/>
        <v>BRN65M-D6</v>
      </c>
      <c r="D347" s="6">
        <v>65.0</v>
      </c>
      <c r="E347" s="10" t="str">
        <f t="shared" si="3"/>
        <v>BRN65M</v>
      </c>
      <c r="F347" s="6" t="s">
        <v>68</v>
      </c>
      <c r="G347" s="6">
        <v>6.0</v>
      </c>
      <c r="H347" s="11" t="str">
        <f t="shared" si="4"/>
        <v>D6</v>
      </c>
      <c r="I347" s="10" t="str">
        <f t="shared" si="5"/>
        <v>BRN65M-D6</v>
      </c>
      <c r="J347" s="16"/>
      <c r="K347" s="16" t="str">
        <f t="shared" si="6"/>
        <v>collected</v>
      </c>
      <c r="L347" s="16" t="str">
        <f t="shared" si="7"/>
        <v>N</v>
      </c>
      <c r="M347" s="16"/>
      <c r="N347" s="16"/>
    </row>
    <row r="348">
      <c r="A348" s="27" t="s">
        <v>664</v>
      </c>
      <c r="B348" s="10" t="str">
        <f t="shared" si="1"/>
        <v>RNA-muscle</v>
      </c>
      <c r="C348" s="10" t="str">
        <f t="shared" si="2"/>
        <v>BRN65M-C6</v>
      </c>
      <c r="D348" s="6">
        <v>65.0</v>
      </c>
      <c r="E348" s="10" t="str">
        <f t="shared" si="3"/>
        <v>BRN65M</v>
      </c>
      <c r="F348" s="6" t="s">
        <v>72</v>
      </c>
      <c r="G348" s="6">
        <v>6.0</v>
      </c>
      <c r="H348" s="11" t="str">
        <f t="shared" si="4"/>
        <v>C6</v>
      </c>
      <c r="I348" s="10" t="str">
        <f t="shared" si="5"/>
        <v>BRN65M-C6</v>
      </c>
      <c r="J348" s="16"/>
      <c r="K348" s="16" t="str">
        <f t="shared" si="6"/>
        <v>collected</v>
      </c>
      <c r="L348" s="16" t="str">
        <f t="shared" si="7"/>
        <v>N</v>
      </c>
      <c r="M348" s="16"/>
      <c r="N348" s="16"/>
    </row>
    <row r="349">
      <c r="A349" s="27" t="s">
        <v>665</v>
      </c>
      <c r="B349" s="10" t="str">
        <f t="shared" si="1"/>
        <v>RNA-muscle</v>
      </c>
      <c r="C349" s="10" t="str">
        <f t="shared" si="2"/>
        <v>BRN65M-B6</v>
      </c>
      <c r="D349" s="6">
        <v>65.0</v>
      </c>
      <c r="E349" s="10" t="str">
        <f t="shared" si="3"/>
        <v>BRN65M</v>
      </c>
      <c r="F349" s="6" t="s">
        <v>74</v>
      </c>
      <c r="G349" s="6">
        <v>6.0</v>
      </c>
      <c r="H349" s="11" t="str">
        <f t="shared" si="4"/>
        <v>B6</v>
      </c>
      <c r="I349" s="10" t="str">
        <f t="shared" si="5"/>
        <v>BRN65M-B6</v>
      </c>
      <c r="J349" s="6" t="s">
        <v>366</v>
      </c>
      <c r="K349" s="16" t="str">
        <f t="shared" si="6"/>
        <v>collected</v>
      </c>
      <c r="L349" s="16" t="str">
        <f t="shared" si="7"/>
        <v>N</v>
      </c>
      <c r="M349" s="16"/>
      <c r="N349" s="16"/>
    </row>
    <row r="350">
      <c r="A350" s="27" t="s">
        <v>666</v>
      </c>
      <c r="B350" s="10" t="str">
        <f t="shared" si="1"/>
        <v>RNA-muscle</v>
      </c>
      <c r="C350" s="10" t="str">
        <f t="shared" si="2"/>
        <v>BRN65M-A6</v>
      </c>
      <c r="D350" s="6">
        <v>65.0</v>
      </c>
      <c r="E350" s="10" t="str">
        <f t="shared" si="3"/>
        <v>BRN65M</v>
      </c>
      <c r="F350" s="6" t="s">
        <v>76</v>
      </c>
      <c r="G350" s="6">
        <v>6.0</v>
      </c>
      <c r="H350" s="11" t="str">
        <f t="shared" si="4"/>
        <v>A6</v>
      </c>
      <c r="I350" s="10" t="str">
        <f t="shared" si="5"/>
        <v>BRN65M-A6</v>
      </c>
      <c r="J350" s="16"/>
      <c r="K350" s="16" t="str">
        <f t="shared" si="6"/>
        <v>collected</v>
      </c>
      <c r="L350" s="16" t="str">
        <f t="shared" si="7"/>
        <v>N</v>
      </c>
      <c r="M350" s="16"/>
      <c r="N350" s="16"/>
    </row>
    <row r="351">
      <c r="A351" s="27" t="s">
        <v>668</v>
      </c>
      <c r="B351" s="10" t="str">
        <f t="shared" si="1"/>
        <v>RNA-muscle</v>
      </c>
      <c r="C351" s="10" t="str">
        <f t="shared" si="2"/>
        <v>BRN64M-H8</v>
      </c>
      <c r="D351" s="6">
        <v>64.0</v>
      </c>
      <c r="E351" s="10" t="str">
        <f t="shared" si="3"/>
        <v>BRN64M</v>
      </c>
      <c r="F351" s="6" t="s">
        <v>51</v>
      </c>
      <c r="G351" s="6">
        <v>8.0</v>
      </c>
      <c r="H351" s="11" t="str">
        <f t="shared" si="4"/>
        <v>H8</v>
      </c>
      <c r="I351" s="10" t="str">
        <f t="shared" si="5"/>
        <v>BRN64M-H8</v>
      </c>
      <c r="J351" s="16"/>
      <c r="K351" s="16" t="str">
        <f t="shared" si="6"/>
        <v>collected</v>
      </c>
      <c r="L351" s="16" t="str">
        <f t="shared" si="7"/>
        <v>N</v>
      </c>
      <c r="M351" s="16"/>
      <c r="N351" s="16"/>
    </row>
    <row r="352">
      <c r="A352" s="27" t="s">
        <v>670</v>
      </c>
      <c r="B352" s="10" t="str">
        <f t="shared" si="1"/>
        <v>RNA-muscle</v>
      </c>
      <c r="C352" s="10" t="str">
        <f t="shared" si="2"/>
        <v>BRN64M-G8</v>
      </c>
      <c r="D352" s="6">
        <v>64.0</v>
      </c>
      <c r="E352" s="10" t="str">
        <f t="shared" si="3"/>
        <v>BRN64M</v>
      </c>
      <c r="F352" s="6" t="s">
        <v>56</v>
      </c>
      <c r="G352" s="6">
        <v>8.0</v>
      </c>
      <c r="H352" s="11" t="str">
        <f t="shared" si="4"/>
        <v>G8</v>
      </c>
      <c r="I352" s="10" t="str">
        <f t="shared" si="5"/>
        <v>BRN64M-G8</v>
      </c>
      <c r="J352" s="16"/>
      <c r="K352" s="16" t="str">
        <f t="shared" si="6"/>
        <v>collected</v>
      </c>
      <c r="L352" s="16" t="str">
        <f t="shared" si="7"/>
        <v>N</v>
      </c>
      <c r="M352" s="16"/>
      <c r="N352" s="16"/>
    </row>
    <row r="353">
      <c r="A353" s="27" t="s">
        <v>671</v>
      </c>
      <c r="B353" s="10" t="str">
        <f t="shared" si="1"/>
        <v>RNA-muscle</v>
      </c>
      <c r="C353" s="10" t="str">
        <f t="shared" si="2"/>
        <v>BRN64M-F8</v>
      </c>
      <c r="D353" s="6">
        <v>64.0</v>
      </c>
      <c r="E353" s="10" t="str">
        <f t="shared" si="3"/>
        <v>BRN64M</v>
      </c>
      <c r="F353" s="6" t="s">
        <v>61</v>
      </c>
      <c r="G353" s="6">
        <v>8.0</v>
      </c>
      <c r="H353" s="11" t="str">
        <f t="shared" si="4"/>
        <v>F8</v>
      </c>
      <c r="I353" s="10" t="str">
        <f t="shared" si="5"/>
        <v>BRN64M-F8</v>
      </c>
      <c r="J353" s="6"/>
      <c r="K353" s="16" t="str">
        <f t="shared" si="6"/>
        <v>collected</v>
      </c>
      <c r="L353" s="16" t="str">
        <f t="shared" si="7"/>
        <v>N</v>
      </c>
      <c r="M353" s="16"/>
      <c r="N353" s="16"/>
    </row>
    <row r="354">
      <c r="A354" s="27" t="s">
        <v>674</v>
      </c>
      <c r="B354" s="10" t="str">
        <f t="shared" si="1"/>
        <v>RNA-muscle</v>
      </c>
      <c r="C354" s="10" t="str">
        <f t="shared" si="2"/>
        <v>BRN64M-E8</v>
      </c>
      <c r="D354" s="6">
        <v>64.0</v>
      </c>
      <c r="E354" s="10" t="str">
        <f t="shared" si="3"/>
        <v>BRN64M</v>
      </c>
      <c r="F354" s="6" t="s">
        <v>66</v>
      </c>
      <c r="G354" s="6">
        <v>8.0</v>
      </c>
      <c r="H354" s="11" t="str">
        <f t="shared" si="4"/>
        <v>E8</v>
      </c>
      <c r="I354" s="10" t="str">
        <f t="shared" si="5"/>
        <v>BRN64M-E8</v>
      </c>
      <c r="J354" s="16"/>
      <c r="K354" s="16" t="str">
        <f t="shared" si="6"/>
        <v>collected</v>
      </c>
      <c r="L354" s="16" t="str">
        <f t="shared" si="7"/>
        <v>N</v>
      </c>
      <c r="M354" s="16"/>
      <c r="N354" s="16"/>
    </row>
    <row r="355">
      <c r="A355" s="6" t="s">
        <v>676</v>
      </c>
      <c r="B355" s="10" t="str">
        <f t="shared" si="1"/>
        <v>RNA-muscle</v>
      </c>
      <c r="C355" s="10" t="str">
        <f t="shared" si="2"/>
        <v>BRN64M-D8</v>
      </c>
      <c r="D355" s="6">
        <v>64.0</v>
      </c>
      <c r="E355" s="10" t="str">
        <f t="shared" si="3"/>
        <v>BRN64M</v>
      </c>
      <c r="F355" s="6" t="s">
        <v>68</v>
      </c>
      <c r="G355" s="6">
        <v>8.0</v>
      </c>
      <c r="H355" s="11" t="str">
        <f t="shared" si="4"/>
        <v>D8</v>
      </c>
      <c r="I355" s="10" t="str">
        <f t="shared" si="5"/>
        <v>BRN64M-D8</v>
      </c>
      <c r="J355" s="16"/>
      <c r="K355" s="16" t="str">
        <f t="shared" si="6"/>
        <v>collected</v>
      </c>
      <c r="L355" s="16" t="str">
        <f t="shared" si="7"/>
        <v>N</v>
      </c>
      <c r="M355" s="16"/>
      <c r="N355" s="16"/>
    </row>
    <row r="356">
      <c r="A356" s="27" t="s">
        <v>677</v>
      </c>
      <c r="B356" s="10" t="str">
        <f t="shared" si="1"/>
        <v>RNA-muscle</v>
      </c>
      <c r="C356" s="10" t="str">
        <f t="shared" si="2"/>
        <v>BRN64M-C8</v>
      </c>
      <c r="D356" s="6">
        <v>64.0</v>
      </c>
      <c r="E356" s="10" t="str">
        <f t="shared" si="3"/>
        <v>BRN64M</v>
      </c>
      <c r="F356" s="6" t="s">
        <v>72</v>
      </c>
      <c r="G356" s="6">
        <v>8.0</v>
      </c>
      <c r="H356" s="11" t="str">
        <f t="shared" si="4"/>
        <v>C8</v>
      </c>
      <c r="I356" s="10" t="str">
        <f t="shared" si="5"/>
        <v>BRN64M-C8</v>
      </c>
      <c r="J356" s="16"/>
      <c r="K356" s="16" t="str">
        <f t="shared" si="6"/>
        <v>collected</v>
      </c>
      <c r="L356" s="16" t="str">
        <f t="shared" si="7"/>
        <v>N</v>
      </c>
      <c r="M356" s="16"/>
      <c r="N356" s="16"/>
    </row>
    <row r="357">
      <c r="A357" s="27" t="s">
        <v>678</v>
      </c>
      <c r="B357" s="10" t="str">
        <f t="shared" si="1"/>
        <v>RNA-muscle</v>
      </c>
      <c r="C357" s="10" t="str">
        <f t="shared" si="2"/>
        <v>BRN64M-B8</v>
      </c>
      <c r="D357" s="6">
        <v>64.0</v>
      </c>
      <c r="E357" s="10" t="str">
        <f t="shared" si="3"/>
        <v>BRN64M</v>
      </c>
      <c r="F357" s="6" t="s">
        <v>74</v>
      </c>
      <c r="G357" s="6">
        <v>8.0</v>
      </c>
      <c r="H357" s="11" t="str">
        <f t="shared" si="4"/>
        <v>B8</v>
      </c>
      <c r="I357" s="10" t="str">
        <f t="shared" si="5"/>
        <v>BRN64M-B8</v>
      </c>
      <c r="J357" s="16"/>
      <c r="K357" s="16" t="str">
        <f t="shared" si="6"/>
        <v>collected</v>
      </c>
      <c r="L357" s="16" t="str">
        <f t="shared" si="7"/>
        <v>N</v>
      </c>
      <c r="M357" s="16"/>
      <c r="N357" s="16"/>
    </row>
    <row r="358">
      <c r="A358" s="27" t="s">
        <v>681</v>
      </c>
      <c r="B358" s="10" t="str">
        <f t="shared" si="1"/>
        <v>RNA-muscle</v>
      </c>
      <c r="C358" s="10" t="str">
        <f t="shared" si="2"/>
        <v>BRN64M-A8</v>
      </c>
      <c r="D358" s="6">
        <v>64.0</v>
      </c>
      <c r="E358" s="10" t="str">
        <f t="shared" si="3"/>
        <v>BRN64M</v>
      </c>
      <c r="F358" s="6" t="s">
        <v>76</v>
      </c>
      <c r="G358" s="6">
        <v>8.0</v>
      </c>
      <c r="H358" s="11" t="str">
        <f t="shared" si="4"/>
        <v>A8</v>
      </c>
      <c r="I358" s="10" t="str">
        <f t="shared" si="5"/>
        <v>BRN64M-A8</v>
      </c>
      <c r="J358" s="16"/>
      <c r="K358" s="16" t="str">
        <f t="shared" si="6"/>
        <v>collected</v>
      </c>
      <c r="L358" s="16" t="str">
        <f t="shared" si="7"/>
        <v>N</v>
      </c>
      <c r="M358" s="16"/>
      <c r="N358" s="16"/>
    </row>
    <row r="359">
      <c r="A359" s="27" t="s">
        <v>682</v>
      </c>
      <c r="B359" s="10" t="str">
        <f t="shared" si="1"/>
        <v>RNA-muscle</v>
      </c>
      <c r="C359" s="10" t="str">
        <f t="shared" si="2"/>
        <v>BRN64M-B6</v>
      </c>
      <c r="D359" s="6">
        <v>64.0</v>
      </c>
      <c r="E359" s="10" t="str">
        <f t="shared" si="3"/>
        <v>BRN64M</v>
      </c>
      <c r="F359" s="6" t="s">
        <v>74</v>
      </c>
      <c r="G359" s="6">
        <v>6.0</v>
      </c>
      <c r="H359" s="11" t="str">
        <f t="shared" si="4"/>
        <v>B6</v>
      </c>
      <c r="I359" s="10" t="str">
        <f t="shared" si="5"/>
        <v>BRN64M-B6</v>
      </c>
      <c r="J359" s="16"/>
      <c r="K359" s="16" t="str">
        <f t="shared" si="6"/>
        <v>collected</v>
      </c>
      <c r="L359" s="16" t="str">
        <f t="shared" si="7"/>
        <v>N</v>
      </c>
      <c r="M359" s="16"/>
      <c r="N359" s="16"/>
    </row>
    <row r="360">
      <c r="A360" s="27" t="s">
        <v>683</v>
      </c>
      <c r="B360" s="10" t="str">
        <f t="shared" si="1"/>
        <v>RNA-muscle</v>
      </c>
      <c r="C360" s="10" t="str">
        <f t="shared" si="2"/>
        <v>BRN64M-A6</v>
      </c>
      <c r="D360" s="6">
        <v>64.0</v>
      </c>
      <c r="E360" s="10" t="str">
        <f t="shared" si="3"/>
        <v>BRN64M</v>
      </c>
      <c r="F360" s="6" t="s">
        <v>76</v>
      </c>
      <c r="G360" s="6">
        <v>6.0</v>
      </c>
      <c r="H360" s="11" t="str">
        <f t="shared" si="4"/>
        <v>A6</v>
      </c>
      <c r="I360" s="10" t="str">
        <f t="shared" si="5"/>
        <v>BRN64M-A6</v>
      </c>
      <c r="J360" s="16"/>
      <c r="K360" s="16" t="str">
        <f t="shared" si="6"/>
        <v>collected</v>
      </c>
      <c r="L360" s="16" t="str">
        <f t="shared" si="7"/>
        <v>N</v>
      </c>
      <c r="M360" s="16"/>
      <c r="N360" s="16"/>
    </row>
    <row r="361">
      <c r="A361" s="27" t="s">
        <v>685</v>
      </c>
      <c r="B361" s="10" t="str">
        <f t="shared" si="1"/>
        <v>RNA-muscle</v>
      </c>
      <c r="C361" s="10" t="str">
        <f t="shared" si="2"/>
        <v>BRN62M-H4</v>
      </c>
      <c r="D361" s="6">
        <v>62.0</v>
      </c>
      <c r="E361" s="10" t="str">
        <f t="shared" si="3"/>
        <v>BRN62M</v>
      </c>
      <c r="F361" s="6" t="s">
        <v>51</v>
      </c>
      <c r="G361" s="6">
        <v>4.0</v>
      </c>
      <c r="H361" s="11" t="str">
        <f t="shared" si="4"/>
        <v>H4</v>
      </c>
      <c r="I361" s="10" t="str">
        <f t="shared" si="5"/>
        <v>BRN62M-H4</v>
      </c>
      <c r="J361" s="16"/>
      <c r="K361" s="16" t="str">
        <f t="shared" si="6"/>
        <v>collected</v>
      </c>
      <c r="L361" s="16" t="str">
        <f t="shared" si="7"/>
        <v>N</v>
      </c>
      <c r="M361" s="16"/>
      <c r="N361" s="16"/>
    </row>
    <row r="362">
      <c r="A362" s="27" t="s">
        <v>686</v>
      </c>
      <c r="B362" s="10" t="str">
        <f t="shared" si="1"/>
        <v>RNA-muscle</v>
      </c>
      <c r="C362" s="10" t="str">
        <f t="shared" si="2"/>
        <v>BRN62M-G4</v>
      </c>
      <c r="D362" s="6">
        <v>62.0</v>
      </c>
      <c r="E362" s="10" t="str">
        <f t="shared" si="3"/>
        <v>BRN62M</v>
      </c>
      <c r="F362" s="6" t="s">
        <v>56</v>
      </c>
      <c r="G362" s="6">
        <v>4.0</v>
      </c>
      <c r="H362" s="11" t="str">
        <f t="shared" si="4"/>
        <v>G4</v>
      </c>
      <c r="I362" s="10" t="str">
        <f t="shared" si="5"/>
        <v>BRN62M-G4</v>
      </c>
      <c r="J362" s="16"/>
      <c r="K362" s="16" t="str">
        <f t="shared" si="6"/>
        <v>collected</v>
      </c>
      <c r="L362" s="16" t="str">
        <f t="shared" si="7"/>
        <v>N</v>
      </c>
      <c r="M362" s="16"/>
      <c r="N362" s="16"/>
    </row>
    <row r="363">
      <c r="A363" s="27" t="s">
        <v>689</v>
      </c>
      <c r="B363" s="10" t="str">
        <f t="shared" si="1"/>
        <v>RNA-muscle</v>
      </c>
      <c r="C363" s="10" t="str">
        <f t="shared" si="2"/>
        <v>BRN62M-F4</v>
      </c>
      <c r="D363" s="6">
        <v>62.0</v>
      </c>
      <c r="E363" s="10" t="str">
        <f t="shared" si="3"/>
        <v>BRN62M</v>
      </c>
      <c r="F363" s="6" t="s">
        <v>61</v>
      </c>
      <c r="G363" s="6">
        <v>4.0</v>
      </c>
      <c r="H363" s="11" t="str">
        <f t="shared" si="4"/>
        <v>F4</v>
      </c>
      <c r="I363" s="10" t="str">
        <f t="shared" si="5"/>
        <v>BRN62M-F4</v>
      </c>
      <c r="J363" s="6"/>
      <c r="K363" s="16" t="str">
        <f t="shared" si="6"/>
        <v>collected</v>
      </c>
      <c r="L363" s="16" t="str">
        <f t="shared" si="7"/>
        <v>N</v>
      </c>
      <c r="M363" s="16"/>
      <c r="N363" s="16"/>
    </row>
    <row r="364">
      <c r="A364" s="27" t="s">
        <v>690</v>
      </c>
      <c r="B364" s="10" t="str">
        <f t="shared" si="1"/>
        <v>RNA-muscle</v>
      </c>
      <c r="C364" s="10" t="str">
        <f t="shared" si="2"/>
        <v>BRN62M-E4</v>
      </c>
      <c r="D364" s="6">
        <v>62.0</v>
      </c>
      <c r="E364" s="10" t="str">
        <f t="shared" si="3"/>
        <v>BRN62M</v>
      </c>
      <c r="F364" s="6" t="s">
        <v>66</v>
      </c>
      <c r="G364" s="6">
        <v>4.0</v>
      </c>
      <c r="H364" s="11" t="str">
        <f t="shared" si="4"/>
        <v>E4</v>
      </c>
      <c r="I364" s="10" t="str">
        <f t="shared" si="5"/>
        <v>BRN62M-E4</v>
      </c>
      <c r="J364" s="16"/>
      <c r="K364" s="16" t="str">
        <f t="shared" si="6"/>
        <v>collected</v>
      </c>
      <c r="L364" s="16" t="str">
        <f t="shared" si="7"/>
        <v>N</v>
      </c>
      <c r="M364" s="16"/>
      <c r="N364" s="16"/>
    </row>
    <row r="365">
      <c r="A365" s="27" t="s">
        <v>691</v>
      </c>
      <c r="B365" s="10" t="str">
        <f t="shared" si="1"/>
        <v>RNA-muscle</v>
      </c>
      <c r="C365" s="10" t="str">
        <f t="shared" si="2"/>
        <v>BRN62M-D4</v>
      </c>
      <c r="D365" s="6">
        <v>62.0</v>
      </c>
      <c r="E365" s="10" t="str">
        <f t="shared" si="3"/>
        <v>BRN62M</v>
      </c>
      <c r="F365" s="6" t="s">
        <v>68</v>
      </c>
      <c r="G365" s="6">
        <v>4.0</v>
      </c>
      <c r="H365" s="11" t="str">
        <f t="shared" si="4"/>
        <v>D4</v>
      </c>
      <c r="I365" s="10" t="str">
        <f t="shared" si="5"/>
        <v>BRN62M-D4</v>
      </c>
      <c r="J365" s="16"/>
      <c r="K365" s="16" t="str">
        <f t="shared" si="6"/>
        <v>collected</v>
      </c>
      <c r="L365" s="16" t="str">
        <f t="shared" si="7"/>
        <v>N</v>
      </c>
      <c r="M365" s="16"/>
      <c r="N365" s="16"/>
    </row>
    <row r="366">
      <c r="A366" s="27" t="s">
        <v>693</v>
      </c>
      <c r="B366" s="10" t="str">
        <f t="shared" si="1"/>
        <v>RNA-muscle</v>
      </c>
      <c r="C366" s="10" t="str">
        <f t="shared" si="2"/>
        <v>BRN62M-C4</v>
      </c>
      <c r="D366" s="6">
        <v>62.0</v>
      </c>
      <c r="E366" s="10" t="str">
        <f t="shared" si="3"/>
        <v>BRN62M</v>
      </c>
      <c r="F366" s="6" t="s">
        <v>72</v>
      </c>
      <c r="G366" s="6">
        <v>4.0</v>
      </c>
      <c r="H366" s="11" t="str">
        <f t="shared" si="4"/>
        <v>C4</v>
      </c>
      <c r="I366" s="10" t="str">
        <f t="shared" si="5"/>
        <v>BRN62M-C4</v>
      </c>
      <c r="J366" s="16"/>
      <c r="K366" s="16" t="str">
        <f t="shared" si="6"/>
        <v>collected</v>
      </c>
      <c r="L366" s="16" t="str">
        <f t="shared" si="7"/>
        <v>N</v>
      </c>
      <c r="M366" s="16"/>
      <c r="N366" s="16"/>
    </row>
    <row r="367">
      <c r="A367" s="27" t="s">
        <v>694</v>
      </c>
      <c r="B367" s="10" t="str">
        <f t="shared" si="1"/>
        <v>RNA-muscle</v>
      </c>
      <c r="C367" s="10" t="str">
        <f t="shared" si="2"/>
        <v>BRN62M-B4</v>
      </c>
      <c r="D367" s="6">
        <v>62.0</v>
      </c>
      <c r="E367" s="10" t="str">
        <f t="shared" si="3"/>
        <v>BRN62M</v>
      </c>
      <c r="F367" s="6" t="s">
        <v>74</v>
      </c>
      <c r="G367" s="6">
        <v>4.0</v>
      </c>
      <c r="H367" s="11" t="str">
        <f t="shared" si="4"/>
        <v>B4</v>
      </c>
      <c r="I367" s="10" t="str">
        <f t="shared" si="5"/>
        <v>BRN62M-B4</v>
      </c>
      <c r="J367" s="6" t="s">
        <v>696</v>
      </c>
      <c r="K367" s="16" t="str">
        <f t="shared" si="6"/>
        <v>collected</v>
      </c>
      <c r="L367" s="16" t="str">
        <f t="shared" si="7"/>
        <v>N</v>
      </c>
      <c r="M367" s="16"/>
      <c r="N367" s="16"/>
    </row>
    <row r="368">
      <c r="A368" s="26" t="s">
        <v>698</v>
      </c>
      <c r="B368" s="10" t="str">
        <f t="shared" si="1"/>
        <v>RNA-muscle</v>
      </c>
      <c r="C368" s="10" t="str">
        <f t="shared" si="2"/>
        <v>BRN62M-A4</v>
      </c>
      <c r="D368" s="6">
        <v>62.0</v>
      </c>
      <c r="E368" s="10" t="str">
        <f t="shared" si="3"/>
        <v>BRN62M</v>
      </c>
      <c r="F368" s="6" t="s">
        <v>76</v>
      </c>
      <c r="G368" s="6">
        <v>4.0</v>
      </c>
      <c r="H368" s="11" t="str">
        <f t="shared" si="4"/>
        <v>A4</v>
      </c>
      <c r="I368" s="10" t="str">
        <f t="shared" si="5"/>
        <v>BRN62M-A4</v>
      </c>
      <c r="J368" s="6"/>
      <c r="K368" s="16" t="str">
        <f t="shared" si="6"/>
        <v>collected</v>
      </c>
      <c r="L368" s="16" t="str">
        <f t="shared" si="7"/>
        <v>N</v>
      </c>
      <c r="M368" s="16"/>
      <c r="N368" s="16"/>
    </row>
    <row r="369">
      <c r="A369" s="26" t="s">
        <v>699</v>
      </c>
      <c r="B369" s="10" t="str">
        <f t="shared" si="1"/>
        <v>RNA-muscle</v>
      </c>
      <c r="C369" s="10" t="str">
        <f t="shared" si="2"/>
        <v>BRN62M-G6</v>
      </c>
      <c r="D369" s="6">
        <v>62.0</v>
      </c>
      <c r="E369" s="10" t="str">
        <f t="shared" si="3"/>
        <v>BRN62M</v>
      </c>
      <c r="F369" s="6" t="s">
        <v>56</v>
      </c>
      <c r="G369" s="6">
        <v>6.0</v>
      </c>
      <c r="H369" s="11" t="str">
        <f t="shared" si="4"/>
        <v>G6</v>
      </c>
      <c r="I369" s="10" t="str">
        <f t="shared" si="5"/>
        <v>BRN62M-G6</v>
      </c>
      <c r="J369" s="16"/>
      <c r="K369" s="16" t="str">
        <f t="shared" si="6"/>
        <v>collected</v>
      </c>
      <c r="L369" s="16" t="str">
        <f t="shared" si="7"/>
        <v>N</v>
      </c>
      <c r="M369" s="16"/>
      <c r="N369" s="16"/>
    </row>
    <row r="370">
      <c r="A370" s="26" t="s">
        <v>700</v>
      </c>
      <c r="B370" s="10" t="str">
        <f t="shared" si="1"/>
        <v>RNA-muscle</v>
      </c>
      <c r="C370" s="10" t="str">
        <f t="shared" si="2"/>
        <v>BRN62M-F6</v>
      </c>
      <c r="D370" s="6">
        <v>62.0</v>
      </c>
      <c r="E370" s="10" t="str">
        <f t="shared" si="3"/>
        <v>BRN62M</v>
      </c>
      <c r="F370" s="6" t="s">
        <v>61</v>
      </c>
      <c r="G370" s="6">
        <v>6.0</v>
      </c>
      <c r="H370" s="11" t="str">
        <f t="shared" si="4"/>
        <v>F6</v>
      </c>
      <c r="I370" s="10" t="str">
        <f t="shared" si="5"/>
        <v>BRN62M-F6</v>
      </c>
      <c r="J370" s="16"/>
      <c r="K370" s="16" t="str">
        <f t="shared" si="6"/>
        <v>collected</v>
      </c>
      <c r="L370" s="16" t="str">
        <f t="shared" si="7"/>
        <v>N</v>
      </c>
      <c r="M370" s="16"/>
      <c r="N370" s="16"/>
    </row>
    <row r="371">
      <c r="A371" s="26" t="s">
        <v>702</v>
      </c>
      <c r="B371" s="10" t="str">
        <f t="shared" si="1"/>
        <v>RNA-muscle</v>
      </c>
      <c r="C371" s="10" t="str">
        <f t="shared" si="2"/>
        <v>BRN62M-E6</v>
      </c>
      <c r="D371" s="6">
        <v>62.0</v>
      </c>
      <c r="E371" s="10" t="str">
        <f t="shared" si="3"/>
        <v>BRN62M</v>
      </c>
      <c r="F371" s="6" t="s">
        <v>66</v>
      </c>
      <c r="G371" s="6">
        <v>6.0</v>
      </c>
      <c r="H371" s="11" t="str">
        <f t="shared" si="4"/>
        <v>E6</v>
      </c>
      <c r="I371" s="10" t="str">
        <f t="shared" si="5"/>
        <v>BRN62M-E6</v>
      </c>
      <c r="J371" s="16"/>
      <c r="K371" s="16" t="str">
        <f t="shared" si="6"/>
        <v>collected</v>
      </c>
      <c r="L371" s="16" t="str">
        <f t="shared" si="7"/>
        <v>N</v>
      </c>
      <c r="M371" s="16"/>
      <c r="N371" s="16"/>
    </row>
    <row r="372">
      <c r="A372" s="26" t="s">
        <v>704</v>
      </c>
      <c r="B372" s="10" t="str">
        <f t="shared" si="1"/>
        <v>RNA-muscle</v>
      </c>
      <c r="C372" s="10" t="str">
        <f t="shared" si="2"/>
        <v>BRN62M-D6</v>
      </c>
      <c r="D372" s="6">
        <v>62.0</v>
      </c>
      <c r="E372" s="10" t="str">
        <f t="shared" si="3"/>
        <v>BRN62M</v>
      </c>
      <c r="F372" s="6" t="s">
        <v>68</v>
      </c>
      <c r="G372" s="6">
        <v>6.0</v>
      </c>
      <c r="H372" s="11" t="str">
        <f t="shared" si="4"/>
        <v>D6</v>
      </c>
      <c r="I372" s="10" t="str">
        <f t="shared" si="5"/>
        <v>BRN62M-D6</v>
      </c>
      <c r="J372" s="16"/>
      <c r="K372" s="16" t="str">
        <f t="shared" si="6"/>
        <v>collected</v>
      </c>
      <c r="L372" s="16" t="str">
        <f t="shared" si="7"/>
        <v>N</v>
      </c>
      <c r="M372" s="16"/>
      <c r="N372" s="16"/>
    </row>
    <row r="373">
      <c r="A373" s="26" t="s">
        <v>706</v>
      </c>
      <c r="B373" s="10" t="str">
        <f t="shared" si="1"/>
        <v>RNA-muscle</v>
      </c>
      <c r="C373" s="10" t="str">
        <f t="shared" si="2"/>
        <v>BRN62M-C6</v>
      </c>
      <c r="D373" s="6">
        <v>62.0</v>
      </c>
      <c r="E373" s="10" t="str">
        <f t="shared" si="3"/>
        <v>BRN62M</v>
      </c>
      <c r="F373" s="6" t="s">
        <v>72</v>
      </c>
      <c r="G373" s="6">
        <v>6.0</v>
      </c>
      <c r="H373" s="11" t="str">
        <f t="shared" si="4"/>
        <v>C6</v>
      </c>
      <c r="I373" s="10" t="str">
        <f t="shared" si="5"/>
        <v>BRN62M-C6</v>
      </c>
      <c r="J373" s="16"/>
      <c r="K373" s="16" t="str">
        <f t="shared" si="6"/>
        <v>collected</v>
      </c>
      <c r="L373" s="16" t="str">
        <f t="shared" si="7"/>
        <v>N</v>
      </c>
      <c r="M373" s="16"/>
      <c r="N373" s="16"/>
    </row>
    <row r="374">
      <c r="A374" s="26" t="s">
        <v>707</v>
      </c>
      <c r="B374" s="10" t="str">
        <f t="shared" si="1"/>
        <v>RNA-muscle</v>
      </c>
      <c r="C374" s="10" t="str">
        <f t="shared" si="2"/>
        <v>BRN62M-B6</v>
      </c>
      <c r="D374" s="6">
        <v>62.0</v>
      </c>
      <c r="E374" s="10" t="str">
        <f t="shared" si="3"/>
        <v>BRN62M</v>
      </c>
      <c r="F374" s="6" t="s">
        <v>74</v>
      </c>
      <c r="G374" s="6">
        <v>6.0</v>
      </c>
      <c r="H374" s="11" t="str">
        <f t="shared" si="4"/>
        <v>B6</v>
      </c>
      <c r="I374" s="10" t="str">
        <f t="shared" si="5"/>
        <v>BRN62M-B6</v>
      </c>
      <c r="J374" s="16"/>
      <c r="K374" s="16" t="str">
        <f t="shared" si="6"/>
        <v>collected</v>
      </c>
      <c r="L374" s="16" t="str">
        <f t="shared" si="7"/>
        <v>N</v>
      </c>
      <c r="M374" s="16"/>
      <c r="N374" s="16"/>
    </row>
    <row r="375">
      <c r="A375" s="26" t="s">
        <v>709</v>
      </c>
      <c r="B375" s="10" t="str">
        <f t="shared" si="1"/>
        <v>RNA-muscle</v>
      </c>
      <c r="C375" s="10" t="str">
        <f t="shared" si="2"/>
        <v>BRN62M-F3</v>
      </c>
      <c r="D375" s="6">
        <v>62.0</v>
      </c>
      <c r="E375" s="10" t="str">
        <f t="shared" si="3"/>
        <v>BRN62M</v>
      </c>
      <c r="F375" s="6" t="s">
        <v>61</v>
      </c>
      <c r="G375" s="6">
        <v>3.0</v>
      </c>
      <c r="H375" s="11" t="str">
        <f t="shared" si="4"/>
        <v>F3</v>
      </c>
      <c r="I375" s="10" t="str">
        <f t="shared" si="5"/>
        <v>BRN62M-F3</v>
      </c>
      <c r="J375" s="16"/>
      <c r="K375" s="16" t="str">
        <f t="shared" si="6"/>
        <v>collected</v>
      </c>
      <c r="L375" s="16" t="str">
        <f t="shared" si="7"/>
        <v>N</v>
      </c>
      <c r="M375" s="16"/>
      <c r="N375" s="16"/>
    </row>
    <row r="376">
      <c r="A376" s="26" t="s">
        <v>711</v>
      </c>
      <c r="B376" s="10" t="str">
        <f t="shared" si="1"/>
        <v>RNA-muscle</v>
      </c>
      <c r="C376" s="10" t="str">
        <f t="shared" si="2"/>
        <v>BRN62M-E3</v>
      </c>
      <c r="D376" s="6">
        <v>62.0</v>
      </c>
      <c r="E376" s="10" t="str">
        <f t="shared" si="3"/>
        <v>BRN62M</v>
      </c>
      <c r="F376" s="6" t="s">
        <v>66</v>
      </c>
      <c r="G376" s="6">
        <v>3.0</v>
      </c>
      <c r="H376" s="11" t="str">
        <f t="shared" si="4"/>
        <v>E3</v>
      </c>
      <c r="I376" s="10" t="str">
        <f t="shared" si="5"/>
        <v>BRN62M-E3</v>
      </c>
      <c r="J376" s="16"/>
      <c r="K376" s="16" t="str">
        <f t="shared" si="6"/>
        <v>collected</v>
      </c>
      <c r="L376" s="16" t="str">
        <f t="shared" si="7"/>
        <v>N</v>
      </c>
      <c r="M376" s="16"/>
      <c r="N376" s="16"/>
    </row>
    <row r="377">
      <c r="A377" s="26" t="s">
        <v>712</v>
      </c>
      <c r="B377" s="10" t="str">
        <f t="shared" si="1"/>
        <v>RNA-muscle</v>
      </c>
      <c r="C377" s="10" t="str">
        <f t="shared" si="2"/>
        <v>BRN62M-D3</v>
      </c>
      <c r="D377" s="6">
        <v>62.0</v>
      </c>
      <c r="E377" s="10" t="str">
        <f t="shared" si="3"/>
        <v>BRN62M</v>
      </c>
      <c r="F377" s="6" t="s">
        <v>68</v>
      </c>
      <c r="G377" s="6">
        <v>3.0</v>
      </c>
      <c r="H377" s="11" t="str">
        <f t="shared" si="4"/>
        <v>D3</v>
      </c>
      <c r="I377" s="10" t="str">
        <f t="shared" si="5"/>
        <v>BRN62M-D3</v>
      </c>
      <c r="J377" s="6"/>
      <c r="K377" s="16" t="str">
        <f t="shared" si="6"/>
        <v>collected</v>
      </c>
      <c r="L377" s="16" t="str">
        <f t="shared" si="7"/>
        <v>N</v>
      </c>
      <c r="M377" s="16"/>
      <c r="N377" s="16"/>
    </row>
    <row r="378">
      <c r="A378" s="26" t="s">
        <v>714</v>
      </c>
      <c r="B378" s="10" t="str">
        <f t="shared" si="1"/>
        <v>RNA-muscle</v>
      </c>
      <c r="C378" s="10" t="str">
        <f t="shared" si="2"/>
        <v>BRN62M-C3</v>
      </c>
      <c r="D378" s="6">
        <v>62.0</v>
      </c>
      <c r="E378" s="10" t="str">
        <f t="shared" si="3"/>
        <v>BRN62M</v>
      </c>
      <c r="F378" s="6" t="s">
        <v>72</v>
      </c>
      <c r="G378" s="6">
        <v>3.0</v>
      </c>
      <c r="H378" s="11" t="str">
        <f t="shared" si="4"/>
        <v>C3</v>
      </c>
      <c r="I378" s="10" t="str">
        <f t="shared" si="5"/>
        <v>BRN62M-C3</v>
      </c>
      <c r="J378" s="16"/>
      <c r="K378" s="16" t="str">
        <f t="shared" si="6"/>
        <v>collected</v>
      </c>
      <c r="L378" s="16" t="str">
        <f t="shared" si="7"/>
        <v>N</v>
      </c>
      <c r="M378" s="16"/>
      <c r="N378" s="16"/>
    </row>
    <row r="379">
      <c r="A379" s="26" t="s">
        <v>715</v>
      </c>
      <c r="B379" s="10" t="str">
        <f t="shared" si="1"/>
        <v>RNA-muscle</v>
      </c>
      <c r="C379" s="10" t="str">
        <f t="shared" si="2"/>
        <v>BRN62M-B3</v>
      </c>
      <c r="D379" s="6">
        <v>62.0</v>
      </c>
      <c r="E379" s="10" t="str">
        <f t="shared" si="3"/>
        <v>BRN62M</v>
      </c>
      <c r="F379" s="6" t="s">
        <v>74</v>
      </c>
      <c r="G379" s="6">
        <v>3.0</v>
      </c>
      <c r="H379" s="11" t="str">
        <f t="shared" si="4"/>
        <v>B3</v>
      </c>
      <c r="I379" s="10" t="str">
        <f t="shared" si="5"/>
        <v>BRN62M-B3</v>
      </c>
      <c r="J379" s="6"/>
      <c r="K379" s="16" t="str">
        <f t="shared" si="6"/>
        <v>collected</v>
      </c>
      <c r="L379" s="16" t="str">
        <f t="shared" si="7"/>
        <v>N</v>
      </c>
      <c r="M379" s="16"/>
      <c r="N379" s="16"/>
    </row>
    <row r="380">
      <c r="A380" s="26" t="s">
        <v>716</v>
      </c>
      <c r="B380" s="10" t="str">
        <f t="shared" si="1"/>
        <v>RNA-muscle</v>
      </c>
      <c r="C380" s="10" t="str">
        <f t="shared" si="2"/>
        <v>BRN62M-A3</v>
      </c>
      <c r="D380" s="6">
        <v>62.0</v>
      </c>
      <c r="E380" s="10" t="str">
        <f t="shared" si="3"/>
        <v>BRN62M</v>
      </c>
      <c r="F380" s="6" t="s">
        <v>76</v>
      </c>
      <c r="G380" s="6">
        <v>3.0</v>
      </c>
      <c r="H380" s="11" t="str">
        <f t="shared" si="4"/>
        <v>A3</v>
      </c>
      <c r="I380" s="10" t="str">
        <f t="shared" si="5"/>
        <v>BRN62M-A3</v>
      </c>
      <c r="J380" s="6"/>
      <c r="K380" s="16" t="str">
        <f t="shared" si="6"/>
        <v>collected</v>
      </c>
      <c r="L380" s="16" t="str">
        <f t="shared" si="7"/>
        <v>N</v>
      </c>
      <c r="M380" s="16"/>
      <c r="N380" s="16"/>
    </row>
    <row r="381">
      <c r="A381" s="26" t="s">
        <v>717</v>
      </c>
      <c r="B381" s="10" t="str">
        <f t="shared" si="1"/>
        <v>RNA-muscle</v>
      </c>
      <c r="C381" s="10" t="str">
        <f t="shared" si="2"/>
        <v>BRN62M-H5</v>
      </c>
      <c r="D381" s="6">
        <v>62.0</v>
      </c>
      <c r="E381" s="10" t="str">
        <f t="shared" si="3"/>
        <v>BRN62M</v>
      </c>
      <c r="F381" s="6" t="s">
        <v>51</v>
      </c>
      <c r="G381" s="6">
        <v>5.0</v>
      </c>
      <c r="H381" s="11" t="str">
        <f t="shared" si="4"/>
        <v>H5</v>
      </c>
      <c r="I381" s="10" t="str">
        <f t="shared" si="5"/>
        <v>BRN62M-H5</v>
      </c>
      <c r="J381" s="6"/>
      <c r="K381" s="16" t="str">
        <f t="shared" si="6"/>
        <v>collected</v>
      </c>
      <c r="L381" s="16" t="str">
        <f t="shared" si="7"/>
        <v>N</v>
      </c>
      <c r="M381" s="16"/>
      <c r="N381" s="16"/>
    </row>
    <row r="382">
      <c r="A382" s="26" t="s">
        <v>720</v>
      </c>
      <c r="B382" s="10" t="str">
        <f t="shared" si="1"/>
        <v>RNA-muscle</v>
      </c>
      <c r="C382" s="10" t="str">
        <f t="shared" si="2"/>
        <v>BRN62M-G5</v>
      </c>
      <c r="D382" s="6">
        <v>62.0</v>
      </c>
      <c r="E382" s="10" t="str">
        <f t="shared" si="3"/>
        <v>BRN62M</v>
      </c>
      <c r="F382" s="6" t="s">
        <v>56</v>
      </c>
      <c r="G382" s="6">
        <v>5.0</v>
      </c>
      <c r="H382" s="11" t="str">
        <f t="shared" si="4"/>
        <v>G5</v>
      </c>
      <c r="I382" s="10" t="str">
        <f t="shared" si="5"/>
        <v>BRN62M-G5</v>
      </c>
      <c r="J382" s="6"/>
      <c r="K382" s="16" t="str">
        <f t="shared" si="6"/>
        <v>collected</v>
      </c>
      <c r="L382" s="16" t="str">
        <f t="shared" si="7"/>
        <v>N</v>
      </c>
      <c r="M382" s="16"/>
      <c r="N382" s="16"/>
    </row>
    <row r="383">
      <c r="A383" s="26" t="s">
        <v>721</v>
      </c>
      <c r="B383" s="10" t="str">
        <f t="shared" si="1"/>
        <v>RNA-muscle</v>
      </c>
      <c r="C383" s="10" t="str">
        <f t="shared" si="2"/>
        <v>BRN62M-F5</v>
      </c>
      <c r="D383" s="6">
        <v>62.0</v>
      </c>
      <c r="E383" s="10" t="str">
        <f t="shared" si="3"/>
        <v>BRN62M</v>
      </c>
      <c r="F383" s="6" t="s">
        <v>61</v>
      </c>
      <c r="G383" s="6">
        <v>5.0</v>
      </c>
      <c r="H383" s="11" t="str">
        <f t="shared" si="4"/>
        <v>F5</v>
      </c>
      <c r="I383" s="10" t="str">
        <f t="shared" si="5"/>
        <v>BRN62M-F5</v>
      </c>
      <c r="J383" s="6"/>
      <c r="K383" s="16" t="str">
        <f t="shared" si="6"/>
        <v>collected</v>
      </c>
      <c r="L383" s="16" t="str">
        <f t="shared" si="7"/>
        <v>N</v>
      </c>
      <c r="M383" s="16"/>
      <c r="N383" s="16"/>
    </row>
    <row r="384">
      <c r="A384" s="26" t="s">
        <v>722</v>
      </c>
      <c r="B384" s="10" t="str">
        <f t="shared" si="1"/>
        <v>RNA-muscle</v>
      </c>
      <c r="C384" s="10" t="str">
        <f t="shared" si="2"/>
        <v>BRN62M-E5</v>
      </c>
      <c r="D384" s="6">
        <v>62.0</v>
      </c>
      <c r="E384" s="10" t="str">
        <f t="shared" si="3"/>
        <v>BRN62M</v>
      </c>
      <c r="F384" s="6" t="s">
        <v>66</v>
      </c>
      <c r="G384" s="6">
        <v>5.0</v>
      </c>
      <c r="H384" s="11" t="str">
        <f t="shared" si="4"/>
        <v>E5</v>
      </c>
      <c r="I384" s="10" t="str">
        <f t="shared" si="5"/>
        <v>BRN62M-E5</v>
      </c>
      <c r="J384" s="6"/>
      <c r="K384" s="16" t="str">
        <f t="shared" si="6"/>
        <v>collected</v>
      </c>
      <c r="L384" s="16" t="str">
        <f t="shared" si="7"/>
        <v>N</v>
      </c>
      <c r="M384" s="16"/>
      <c r="N384" s="16"/>
    </row>
    <row r="385">
      <c r="A385" s="26" t="s">
        <v>723</v>
      </c>
      <c r="B385" s="10" t="str">
        <f t="shared" si="1"/>
        <v>RNA-muscle</v>
      </c>
      <c r="C385" s="10" t="str">
        <f t="shared" si="2"/>
        <v>BRN62M-D5</v>
      </c>
      <c r="D385" s="6">
        <v>62.0</v>
      </c>
      <c r="E385" s="10" t="str">
        <f t="shared" si="3"/>
        <v>BRN62M</v>
      </c>
      <c r="F385" s="6" t="s">
        <v>68</v>
      </c>
      <c r="G385" s="6">
        <v>5.0</v>
      </c>
      <c r="H385" s="11" t="str">
        <f t="shared" si="4"/>
        <v>D5</v>
      </c>
      <c r="I385" s="10" t="str">
        <f t="shared" si="5"/>
        <v>BRN62M-D5</v>
      </c>
      <c r="J385" s="16"/>
      <c r="K385" s="16" t="str">
        <f t="shared" si="6"/>
        <v>collected</v>
      </c>
      <c r="L385" s="16" t="str">
        <f t="shared" si="7"/>
        <v>N</v>
      </c>
      <c r="M385" s="16"/>
      <c r="N385" s="16"/>
    </row>
    <row r="386">
      <c r="A386" s="26" t="s">
        <v>724</v>
      </c>
      <c r="B386" s="10" t="str">
        <f t="shared" si="1"/>
        <v>RNA-muscle</v>
      </c>
      <c r="C386" s="10" t="str">
        <f t="shared" si="2"/>
        <v>BRN62M-C5</v>
      </c>
      <c r="D386" s="6">
        <v>62.0</v>
      </c>
      <c r="E386" s="10" t="str">
        <f t="shared" si="3"/>
        <v>BRN62M</v>
      </c>
      <c r="F386" s="6" t="s">
        <v>72</v>
      </c>
      <c r="G386" s="6">
        <v>5.0</v>
      </c>
      <c r="H386" s="11" t="str">
        <f t="shared" si="4"/>
        <v>C5</v>
      </c>
      <c r="I386" s="10" t="str">
        <f t="shared" si="5"/>
        <v>BRN62M-C5</v>
      </c>
      <c r="J386" s="16"/>
      <c r="K386" s="16" t="str">
        <f t="shared" si="6"/>
        <v>collected</v>
      </c>
      <c r="L386" s="16" t="str">
        <f t="shared" si="7"/>
        <v>N</v>
      </c>
      <c r="M386" s="16"/>
      <c r="N386" s="16"/>
    </row>
    <row r="387">
      <c r="A387" s="26" t="s">
        <v>726</v>
      </c>
      <c r="B387" s="10" t="str">
        <f t="shared" si="1"/>
        <v>RNA-muscle</v>
      </c>
      <c r="C387" s="10" t="str">
        <f t="shared" si="2"/>
        <v>BRN62M-B5</v>
      </c>
      <c r="D387" s="6">
        <v>62.0</v>
      </c>
      <c r="E387" s="10" t="str">
        <f t="shared" si="3"/>
        <v>BRN62M</v>
      </c>
      <c r="F387" s="6" t="s">
        <v>74</v>
      </c>
      <c r="G387" s="6">
        <v>5.0</v>
      </c>
      <c r="H387" s="11" t="str">
        <f t="shared" si="4"/>
        <v>B5</v>
      </c>
      <c r="I387" s="10" t="str">
        <f t="shared" si="5"/>
        <v>BRN62M-B5</v>
      </c>
      <c r="J387" s="16"/>
      <c r="K387" s="16" t="str">
        <f t="shared" si="6"/>
        <v>collected</v>
      </c>
      <c r="L387" s="16" t="str">
        <f t="shared" si="7"/>
        <v>N</v>
      </c>
      <c r="M387" s="16"/>
      <c r="N387" s="16"/>
    </row>
    <row r="388">
      <c r="A388" s="26" t="s">
        <v>728</v>
      </c>
      <c r="B388" s="10" t="str">
        <f t="shared" si="1"/>
        <v>RNA-muscle</v>
      </c>
      <c r="C388" s="10" t="str">
        <f t="shared" si="2"/>
        <v>BRN62M-A5</v>
      </c>
      <c r="D388" s="6">
        <v>62.0</v>
      </c>
      <c r="E388" s="10" t="str">
        <f t="shared" si="3"/>
        <v>BRN62M</v>
      </c>
      <c r="F388" s="6" t="s">
        <v>76</v>
      </c>
      <c r="G388" s="6">
        <v>5.0</v>
      </c>
      <c r="H388" s="11" t="str">
        <f t="shared" si="4"/>
        <v>A5</v>
      </c>
      <c r="I388" s="10" t="str">
        <f t="shared" si="5"/>
        <v>BRN62M-A5</v>
      </c>
      <c r="J388" s="16"/>
      <c r="K388" s="16" t="str">
        <f t="shared" si="6"/>
        <v>collected</v>
      </c>
      <c r="L388" s="16" t="str">
        <f t="shared" si="7"/>
        <v>N</v>
      </c>
      <c r="M388" s="16"/>
      <c r="N388" s="16"/>
    </row>
    <row r="389">
      <c r="A389" s="26" t="s">
        <v>729</v>
      </c>
      <c r="B389" s="10" t="str">
        <f t="shared" si="1"/>
        <v>RNA-muscle</v>
      </c>
      <c r="C389" s="10" t="str">
        <f t="shared" si="2"/>
        <v>BRN62M-H7</v>
      </c>
      <c r="D389" s="6">
        <v>62.0</v>
      </c>
      <c r="E389" s="10" t="str">
        <f t="shared" si="3"/>
        <v>BRN62M</v>
      </c>
      <c r="F389" s="6" t="s">
        <v>51</v>
      </c>
      <c r="G389" s="6">
        <v>7.0</v>
      </c>
      <c r="H389" s="11" t="str">
        <f t="shared" si="4"/>
        <v>H7</v>
      </c>
      <c r="I389" s="10" t="str">
        <f t="shared" si="5"/>
        <v>BRN62M-H7</v>
      </c>
      <c r="J389" s="6" t="s">
        <v>730</v>
      </c>
      <c r="K389" s="16" t="str">
        <f t="shared" si="6"/>
        <v>collected</v>
      </c>
      <c r="L389" s="16" t="str">
        <f t="shared" si="7"/>
        <v>N</v>
      </c>
      <c r="M389" s="16"/>
      <c r="N389" s="16"/>
    </row>
    <row r="390">
      <c r="A390" s="26" t="s">
        <v>731</v>
      </c>
      <c r="B390" s="10" t="str">
        <f t="shared" si="1"/>
        <v>RNA-muscle</v>
      </c>
      <c r="C390" s="10" t="str">
        <f t="shared" si="2"/>
        <v>BRN62M-G7</v>
      </c>
      <c r="D390" s="6">
        <v>62.0</v>
      </c>
      <c r="E390" s="10" t="str">
        <f t="shared" si="3"/>
        <v>BRN62M</v>
      </c>
      <c r="F390" s="6" t="s">
        <v>56</v>
      </c>
      <c r="G390" s="6">
        <v>7.0</v>
      </c>
      <c r="H390" s="11" t="str">
        <f t="shared" si="4"/>
        <v>G7</v>
      </c>
      <c r="I390" s="10" t="str">
        <f t="shared" si="5"/>
        <v>BRN62M-G7</v>
      </c>
      <c r="J390" s="16"/>
      <c r="K390" s="16" t="str">
        <f t="shared" si="6"/>
        <v>collected</v>
      </c>
      <c r="L390" s="16" t="str">
        <f t="shared" si="7"/>
        <v>N</v>
      </c>
      <c r="M390" s="16"/>
      <c r="N390" s="16"/>
    </row>
    <row r="391">
      <c r="A391" s="26" t="s">
        <v>734</v>
      </c>
      <c r="B391" s="10" t="str">
        <f t="shared" si="1"/>
        <v>RNA-muscle</v>
      </c>
      <c r="C391" s="10" t="str">
        <f t="shared" si="2"/>
        <v>BRN62M-F7</v>
      </c>
      <c r="D391" s="6">
        <v>62.0</v>
      </c>
      <c r="E391" s="10" t="str">
        <f t="shared" si="3"/>
        <v>BRN62M</v>
      </c>
      <c r="F391" s="6" t="s">
        <v>61</v>
      </c>
      <c r="G391" s="6">
        <v>7.0</v>
      </c>
      <c r="H391" s="11" t="str">
        <f t="shared" si="4"/>
        <v>F7</v>
      </c>
      <c r="I391" s="10" t="str">
        <f t="shared" si="5"/>
        <v>BRN62M-F7</v>
      </c>
      <c r="J391" s="16"/>
      <c r="K391" s="16" t="str">
        <f t="shared" si="6"/>
        <v>collected</v>
      </c>
      <c r="L391" s="16" t="str">
        <f t="shared" si="7"/>
        <v>N</v>
      </c>
      <c r="M391" s="16"/>
      <c r="N391" s="16"/>
    </row>
    <row r="392">
      <c r="A392" s="6" t="s">
        <v>735</v>
      </c>
      <c r="B392" s="10" t="str">
        <f t="shared" si="1"/>
        <v>RNA-muscle</v>
      </c>
      <c r="C392" s="10" t="str">
        <f t="shared" si="2"/>
        <v>BRN62M-A6</v>
      </c>
      <c r="D392" s="6">
        <v>62.0</v>
      </c>
      <c r="E392" s="10" t="str">
        <f t="shared" si="3"/>
        <v>BRN62M</v>
      </c>
      <c r="F392" s="6" t="s">
        <v>76</v>
      </c>
      <c r="G392" s="6">
        <v>6.0</v>
      </c>
      <c r="H392" s="11" t="str">
        <f t="shared" si="4"/>
        <v>A6</v>
      </c>
      <c r="I392" s="10" t="str">
        <f t="shared" si="5"/>
        <v>BRN62M-A6</v>
      </c>
      <c r="J392" s="16"/>
      <c r="K392" s="16" t="str">
        <f t="shared" si="6"/>
        <v>collected</v>
      </c>
      <c r="L392" s="16" t="str">
        <f t="shared" si="7"/>
        <v>N</v>
      </c>
      <c r="M392" s="16"/>
      <c r="N392" s="16"/>
    </row>
    <row r="393">
      <c r="A393" s="6" t="s">
        <v>736</v>
      </c>
      <c r="B393" s="10" t="str">
        <f t="shared" si="1"/>
        <v>RNA-muscle</v>
      </c>
      <c r="C393" s="10" t="str">
        <f t="shared" si="2"/>
        <v>BRN62M-H8</v>
      </c>
      <c r="D393" s="6">
        <v>62.0</v>
      </c>
      <c r="E393" s="10" t="str">
        <f t="shared" si="3"/>
        <v>BRN62M</v>
      </c>
      <c r="F393" s="6" t="s">
        <v>51</v>
      </c>
      <c r="G393" s="6">
        <v>8.0</v>
      </c>
      <c r="H393" s="11" t="str">
        <f t="shared" si="4"/>
        <v>H8</v>
      </c>
      <c r="I393" s="10" t="str">
        <f t="shared" si="5"/>
        <v>BRN62M-H8</v>
      </c>
      <c r="J393" s="16"/>
      <c r="K393" s="16" t="str">
        <f t="shared" si="6"/>
        <v>collected</v>
      </c>
      <c r="L393" s="16" t="str">
        <f t="shared" si="7"/>
        <v>N</v>
      </c>
      <c r="M393" s="16"/>
      <c r="N393" s="16"/>
    </row>
    <row r="394">
      <c r="A394" s="6" t="s">
        <v>738</v>
      </c>
      <c r="B394" s="10" t="str">
        <f t="shared" si="1"/>
        <v>RNA-muscle</v>
      </c>
      <c r="C394" s="10" t="str">
        <f t="shared" si="2"/>
        <v>BRN62M-G8</v>
      </c>
      <c r="D394" s="6">
        <v>62.0</v>
      </c>
      <c r="E394" s="10" t="str">
        <f t="shared" si="3"/>
        <v>BRN62M</v>
      </c>
      <c r="F394" s="6" t="s">
        <v>56</v>
      </c>
      <c r="G394" s="6">
        <v>8.0</v>
      </c>
      <c r="H394" s="11" t="str">
        <f t="shared" si="4"/>
        <v>G8</v>
      </c>
      <c r="I394" s="10" t="str">
        <f t="shared" si="5"/>
        <v>BRN62M-G8</v>
      </c>
      <c r="J394" s="16"/>
      <c r="K394" s="16" t="str">
        <f t="shared" si="6"/>
        <v>collected</v>
      </c>
      <c r="L394" s="16" t="str">
        <f t="shared" si="7"/>
        <v>N</v>
      </c>
      <c r="M394" s="16"/>
      <c r="N394" s="16"/>
    </row>
    <row r="395">
      <c r="A395" s="6" t="s">
        <v>740</v>
      </c>
      <c r="B395" s="10" t="str">
        <f t="shared" si="1"/>
        <v>RNA-muscle</v>
      </c>
      <c r="C395" s="10" t="str">
        <f t="shared" si="2"/>
        <v>BRN62M-F8</v>
      </c>
      <c r="D395" s="6">
        <v>62.0</v>
      </c>
      <c r="E395" s="10" t="str">
        <f t="shared" si="3"/>
        <v>BRN62M</v>
      </c>
      <c r="F395" s="6" t="s">
        <v>61</v>
      </c>
      <c r="G395" s="6">
        <v>8.0</v>
      </c>
      <c r="H395" s="11" t="str">
        <f t="shared" si="4"/>
        <v>F8</v>
      </c>
      <c r="I395" s="10" t="str">
        <f t="shared" si="5"/>
        <v>BRN62M-F8</v>
      </c>
      <c r="J395" s="16"/>
      <c r="K395" s="16" t="str">
        <f t="shared" si="6"/>
        <v>collected</v>
      </c>
      <c r="L395" s="16" t="str">
        <f t="shared" si="7"/>
        <v>N</v>
      </c>
      <c r="M395" s="16"/>
      <c r="N395" s="16"/>
    </row>
    <row r="396">
      <c r="A396" s="6" t="s">
        <v>741</v>
      </c>
      <c r="B396" s="10" t="str">
        <f t="shared" si="1"/>
        <v>RNA-muscle</v>
      </c>
      <c r="C396" s="10" t="str">
        <f t="shared" si="2"/>
        <v>BRN62M-E8</v>
      </c>
      <c r="D396" s="6">
        <v>62.0</v>
      </c>
      <c r="E396" s="10" t="str">
        <f t="shared" si="3"/>
        <v>BRN62M</v>
      </c>
      <c r="F396" s="6" t="s">
        <v>66</v>
      </c>
      <c r="G396" s="6">
        <v>8.0</v>
      </c>
      <c r="H396" s="11" t="str">
        <f t="shared" si="4"/>
        <v>E8</v>
      </c>
      <c r="I396" s="10" t="str">
        <f t="shared" si="5"/>
        <v>BRN62M-E8</v>
      </c>
      <c r="J396" s="16"/>
      <c r="K396" s="16" t="str">
        <f t="shared" si="6"/>
        <v>collected</v>
      </c>
      <c r="L396" s="16" t="str">
        <f t="shared" si="7"/>
        <v>N</v>
      </c>
      <c r="M396" s="16"/>
      <c r="N396" s="16"/>
    </row>
    <row r="397">
      <c r="A397" s="26" t="s">
        <v>743</v>
      </c>
      <c r="B397" s="10" t="str">
        <f t="shared" si="1"/>
        <v>RNA-muscle</v>
      </c>
      <c r="C397" s="10" t="str">
        <f t="shared" si="2"/>
        <v>BRN62M-D8</v>
      </c>
      <c r="D397" s="6">
        <v>62.0</v>
      </c>
      <c r="E397" s="10" t="str">
        <f t="shared" si="3"/>
        <v>BRN62M</v>
      </c>
      <c r="F397" s="6" t="s">
        <v>68</v>
      </c>
      <c r="G397" s="6">
        <v>8.0</v>
      </c>
      <c r="H397" s="11" t="str">
        <f t="shared" si="4"/>
        <v>D8</v>
      </c>
      <c r="I397" s="10" t="str">
        <f t="shared" si="5"/>
        <v>BRN62M-D8</v>
      </c>
      <c r="J397" s="16"/>
      <c r="K397" s="16" t="str">
        <f t="shared" si="6"/>
        <v>collected</v>
      </c>
      <c r="L397" s="16" t="str">
        <f t="shared" si="7"/>
        <v>N</v>
      </c>
      <c r="M397" s="16"/>
      <c r="N397" s="16"/>
    </row>
    <row r="398">
      <c r="A398" s="26" t="s">
        <v>744</v>
      </c>
      <c r="B398" s="10" t="str">
        <f t="shared" si="1"/>
        <v>RNA-muscle</v>
      </c>
      <c r="C398" s="10" t="str">
        <f t="shared" si="2"/>
        <v>BRN62M-C8</v>
      </c>
      <c r="D398" s="6">
        <v>62.0</v>
      </c>
      <c r="E398" s="10" t="str">
        <f t="shared" si="3"/>
        <v>BRN62M</v>
      </c>
      <c r="F398" s="6" t="s">
        <v>72</v>
      </c>
      <c r="G398" s="6">
        <v>8.0</v>
      </c>
      <c r="H398" s="11" t="str">
        <f t="shared" si="4"/>
        <v>C8</v>
      </c>
      <c r="I398" s="10" t="str">
        <f t="shared" si="5"/>
        <v>BRN62M-C8</v>
      </c>
      <c r="J398" s="16"/>
      <c r="K398" s="16" t="str">
        <f t="shared" si="6"/>
        <v>collected</v>
      </c>
      <c r="L398" s="16" t="str">
        <f t="shared" si="7"/>
        <v>N</v>
      </c>
      <c r="M398" s="16"/>
      <c r="N398" s="16"/>
    </row>
    <row r="399">
      <c r="A399" s="26" t="s">
        <v>745</v>
      </c>
      <c r="B399" s="10" t="str">
        <f t="shared" si="1"/>
        <v>RNA-muscle</v>
      </c>
      <c r="C399" s="10" t="str">
        <f t="shared" si="2"/>
        <v>BRN62M-B8</v>
      </c>
      <c r="D399" s="6">
        <v>62.0</v>
      </c>
      <c r="E399" s="10" t="str">
        <f t="shared" si="3"/>
        <v>BRN62M</v>
      </c>
      <c r="F399" s="6" t="s">
        <v>74</v>
      </c>
      <c r="G399" s="6">
        <v>8.0</v>
      </c>
      <c r="H399" s="11" t="str">
        <f t="shared" si="4"/>
        <v>B8</v>
      </c>
      <c r="I399" s="10" t="str">
        <f t="shared" si="5"/>
        <v>BRN62M-B8</v>
      </c>
      <c r="J399" s="16"/>
      <c r="K399" s="16" t="str">
        <f t="shared" si="6"/>
        <v>collected</v>
      </c>
      <c r="L399" s="16" t="str">
        <f t="shared" si="7"/>
        <v>N</v>
      </c>
      <c r="M399" s="16"/>
      <c r="N399" s="16"/>
    </row>
    <row r="400">
      <c r="A400" s="26" t="s">
        <v>747</v>
      </c>
      <c r="B400" s="10" t="str">
        <f t="shared" si="1"/>
        <v>RNA-muscle</v>
      </c>
      <c r="C400" s="10" t="str">
        <f t="shared" si="2"/>
        <v>BRN62M-A8</v>
      </c>
      <c r="D400" s="6">
        <v>62.0</v>
      </c>
      <c r="E400" s="10" t="str">
        <f t="shared" si="3"/>
        <v>BRN62M</v>
      </c>
      <c r="F400" s="6" t="s">
        <v>76</v>
      </c>
      <c r="G400" s="6">
        <v>8.0</v>
      </c>
      <c r="H400" s="11" t="str">
        <f t="shared" si="4"/>
        <v>A8</v>
      </c>
      <c r="I400" s="10" t="str">
        <f t="shared" si="5"/>
        <v>BRN62M-A8</v>
      </c>
      <c r="J400" s="16"/>
      <c r="K400" s="16" t="str">
        <f t="shared" si="6"/>
        <v>collected</v>
      </c>
      <c r="L400" s="16" t="str">
        <f t="shared" si="7"/>
        <v>N</v>
      </c>
      <c r="M400" s="16"/>
      <c r="N400" s="16"/>
    </row>
    <row r="401">
      <c r="A401" s="26" t="s">
        <v>749</v>
      </c>
      <c r="B401" s="10" t="str">
        <f t="shared" si="1"/>
        <v>RNA-muscle</v>
      </c>
      <c r="C401" s="10" t="str">
        <f t="shared" si="2"/>
        <v>BRN62M-H10</v>
      </c>
      <c r="D401" s="6">
        <v>62.0</v>
      </c>
      <c r="E401" s="10" t="str">
        <f t="shared" si="3"/>
        <v>BRN62M</v>
      </c>
      <c r="F401" s="6" t="s">
        <v>51</v>
      </c>
      <c r="G401" s="6">
        <v>10.0</v>
      </c>
      <c r="H401" s="11" t="str">
        <f t="shared" si="4"/>
        <v>H10</v>
      </c>
      <c r="I401" s="10" t="str">
        <f t="shared" si="5"/>
        <v>BRN62M-H10</v>
      </c>
      <c r="J401" s="16"/>
      <c r="K401" s="16" t="str">
        <f t="shared" si="6"/>
        <v>collected</v>
      </c>
      <c r="L401" s="16" t="str">
        <f t="shared" si="7"/>
        <v>N</v>
      </c>
      <c r="M401" s="16"/>
      <c r="N401" s="16"/>
    </row>
    <row r="402">
      <c r="A402" s="26" t="s">
        <v>751</v>
      </c>
      <c r="B402" s="10" t="str">
        <f t="shared" si="1"/>
        <v>RNA-muscle</v>
      </c>
      <c r="C402" s="10" t="str">
        <f t="shared" si="2"/>
        <v>BRN62M-G10</v>
      </c>
      <c r="D402" s="6">
        <v>62.0</v>
      </c>
      <c r="E402" s="10" t="str">
        <f t="shared" si="3"/>
        <v>BRN62M</v>
      </c>
      <c r="F402" s="6" t="s">
        <v>56</v>
      </c>
      <c r="G402" s="6">
        <v>10.0</v>
      </c>
      <c r="H402" s="11" t="str">
        <f t="shared" si="4"/>
        <v>G10</v>
      </c>
      <c r="I402" s="10" t="str">
        <f t="shared" si="5"/>
        <v>BRN62M-G10</v>
      </c>
      <c r="J402" s="16"/>
      <c r="K402" s="16" t="str">
        <f t="shared" si="6"/>
        <v>collected</v>
      </c>
      <c r="L402" s="16" t="str">
        <f t="shared" si="7"/>
        <v>N</v>
      </c>
      <c r="M402" s="16"/>
      <c r="N402" s="16"/>
    </row>
    <row r="403">
      <c r="A403" s="26" t="s">
        <v>753</v>
      </c>
      <c r="B403" s="10" t="str">
        <f t="shared" si="1"/>
        <v>RNA-muscle</v>
      </c>
      <c r="C403" s="10" t="str">
        <f t="shared" si="2"/>
        <v>BRN62M-F10</v>
      </c>
      <c r="D403" s="6">
        <v>62.0</v>
      </c>
      <c r="E403" s="10" t="str">
        <f t="shared" si="3"/>
        <v>BRN62M</v>
      </c>
      <c r="F403" s="6" t="s">
        <v>61</v>
      </c>
      <c r="G403" s="6">
        <v>10.0</v>
      </c>
      <c r="H403" s="11" t="str">
        <f t="shared" si="4"/>
        <v>F10</v>
      </c>
      <c r="I403" s="10" t="str">
        <f t="shared" si="5"/>
        <v>BRN62M-F10</v>
      </c>
      <c r="J403" s="16"/>
      <c r="K403" s="16" t="str">
        <f t="shared" si="6"/>
        <v>collected</v>
      </c>
      <c r="L403" s="16" t="str">
        <f t="shared" si="7"/>
        <v>N</v>
      </c>
      <c r="M403" s="16"/>
      <c r="N403" s="16"/>
    </row>
    <row r="404">
      <c r="A404" s="27" t="s">
        <v>755</v>
      </c>
      <c r="B404" s="10" t="str">
        <f t="shared" si="1"/>
        <v>RNA-muscle</v>
      </c>
      <c r="C404" s="10" t="str">
        <f t="shared" si="2"/>
        <v>BRN62M-E10</v>
      </c>
      <c r="D404" s="6">
        <v>62.0</v>
      </c>
      <c r="E404" s="10" t="str">
        <f t="shared" si="3"/>
        <v>BRN62M</v>
      </c>
      <c r="F404" s="6" t="s">
        <v>66</v>
      </c>
      <c r="G404" s="6">
        <v>10.0</v>
      </c>
      <c r="H404" s="11" t="str">
        <f t="shared" si="4"/>
        <v>E10</v>
      </c>
      <c r="I404" s="10" t="str">
        <f t="shared" si="5"/>
        <v>BRN62M-E10</v>
      </c>
      <c r="J404" s="16"/>
      <c r="K404" s="16" t="str">
        <f t="shared" si="6"/>
        <v>collected</v>
      </c>
      <c r="L404" s="16" t="str">
        <f t="shared" si="7"/>
        <v>N</v>
      </c>
      <c r="M404" s="16"/>
      <c r="N404" s="16"/>
    </row>
    <row r="405">
      <c r="A405" s="27" t="s">
        <v>757</v>
      </c>
      <c r="B405" s="10" t="str">
        <f t="shared" si="1"/>
        <v>RNA-muscle</v>
      </c>
      <c r="C405" s="10" t="str">
        <f t="shared" si="2"/>
        <v>BRN62M-D10</v>
      </c>
      <c r="D405" s="6">
        <v>62.0</v>
      </c>
      <c r="E405" s="10" t="str">
        <f t="shared" si="3"/>
        <v>BRN62M</v>
      </c>
      <c r="F405" s="6" t="s">
        <v>68</v>
      </c>
      <c r="G405" s="6">
        <v>10.0</v>
      </c>
      <c r="H405" s="11" t="str">
        <f t="shared" si="4"/>
        <v>D10</v>
      </c>
      <c r="I405" s="10" t="str">
        <f t="shared" si="5"/>
        <v>BRN62M-D10</v>
      </c>
      <c r="J405" s="6"/>
      <c r="K405" s="16" t="str">
        <f t="shared" si="6"/>
        <v>collected</v>
      </c>
      <c r="L405" s="16" t="str">
        <f t="shared" si="7"/>
        <v>N</v>
      </c>
      <c r="M405" s="16"/>
      <c r="N405" s="16"/>
    </row>
    <row r="406">
      <c r="A406" s="27" t="s">
        <v>758</v>
      </c>
      <c r="B406" s="10" t="str">
        <f t="shared" si="1"/>
        <v>RNA-muscle</v>
      </c>
      <c r="C406" s="10" t="str">
        <f t="shared" si="2"/>
        <v>BRN62M-C10</v>
      </c>
      <c r="D406" s="6">
        <v>62.0</v>
      </c>
      <c r="E406" s="10" t="str">
        <f t="shared" si="3"/>
        <v>BRN62M</v>
      </c>
      <c r="F406" s="6" t="s">
        <v>72</v>
      </c>
      <c r="G406" s="6">
        <v>10.0</v>
      </c>
      <c r="H406" s="11" t="str">
        <f t="shared" si="4"/>
        <v>C10</v>
      </c>
      <c r="I406" s="10" t="str">
        <f t="shared" si="5"/>
        <v>BRN62M-C10</v>
      </c>
      <c r="J406" s="6"/>
      <c r="K406" s="16" t="str">
        <f t="shared" si="6"/>
        <v>collected</v>
      </c>
      <c r="L406" s="16" t="str">
        <f t="shared" si="7"/>
        <v>N</v>
      </c>
      <c r="M406" s="16"/>
      <c r="N406" s="16"/>
    </row>
    <row r="407">
      <c r="A407" s="27" t="s">
        <v>760</v>
      </c>
      <c r="B407" s="10" t="str">
        <f t="shared" si="1"/>
        <v>RNA-muscle</v>
      </c>
      <c r="C407" s="10" t="str">
        <f t="shared" si="2"/>
        <v>BRN62M-B10</v>
      </c>
      <c r="D407" s="6">
        <v>62.0</v>
      </c>
      <c r="E407" s="10" t="str">
        <f t="shared" si="3"/>
        <v>BRN62M</v>
      </c>
      <c r="F407" s="6" t="s">
        <v>74</v>
      </c>
      <c r="G407" s="6">
        <v>10.0</v>
      </c>
      <c r="H407" s="11" t="str">
        <f t="shared" si="4"/>
        <v>B10</v>
      </c>
      <c r="I407" s="10" t="str">
        <f t="shared" si="5"/>
        <v>BRN62M-B10</v>
      </c>
      <c r="J407" s="16"/>
      <c r="K407" s="16" t="str">
        <f t="shared" si="6"/>
        <v>collected</v>
      </c>
      <c r="L407" s="16" t="str">
        <f t="shared" si="7"/>
        <v>N</v>
      </c>
      <c r="M407" s="16"/>
      <c r="N407" s="16"/>
    </row>
    <row r="408">
      <c r="A408" s="27" t="s">
        <v>762</v>
      </c>
      <c r="B408" s="10" t="str">
        <f t="shared" si="1"/>
        <v>RNA-muscle</v>
      </c>
      <c r="C408" s="10" t="str">
        <f t="shared" si="2"/>
        <v>BRN62M-A10</v>
      </c>
      <c r="D408" s="6">
        <v>62.0</v>
      </c>
      <c r="E408" s="10" t="str">
        <f t="shared" si="3"/>
        <v>BRN62M</v>
      </c>
      <c r="F408" s="6" t="s">
        <v>76</v>
      </c>
      <c r="G408" s="6">
        <v>10.0</v>
      </c>
      <c r="H408" s="11" t="str">
        <f t="shared" si="4"/>
        <v>A10</v>
      </c>
      <c r="I408" s="10" t="str">
        <f t="shared" si="5"/>
        <v>BRN62M-A10</v>
      </c>
      <c r="J408" s="16"/>
      <c r="K408" s="16" t="str">
        <f t="shared" si="6"/>
        <v>collected</v>
      </c>
      <c r="L408" s="16" t="str">
        <f t="shared" si="7"/>
        <v>N</v>
      </c>
      <c r="M408" s="16"/>
      <c r="N408" s="16"/>
    </row>
    <row r="409">
      <c r="A409" s="27" t="s">
        <v>763</v>
      </c>
      <c r="B409" s="10" t="str">
        <f t="shared" si="1"/>
        <v>RNA-muscle</v>
      </c>
      <c r="C409" s="10" t="str">
        <f t="shared" si="2"/>
        <v>BRN62M-E7</v>
      </c>
      <c r="D409" s="6">
        <v>62.0</v>
      </c>
      <c r="E409" s="10" t="str">
        <f t="shared" si="3"/>
        <v>BRN62M</v>
      </c>
      <c r="F409" s="6" t="s">
        <v>66</v>
      </c>
      <c r="G409" s="6">
        <v>7.0</v>
      </c>
      <c r="H409" s="11" t="str">
        <f t="shared" si="4"/>
        <v>E7</v>
      </c>
      <c r="I409" s="10" t="str">
        <f t="shared" si="5"/>
        <v>BRN62M-E7</v>
      </c>
      <c r="J409" s="16"/>
      <c r="K409" s="16" t="str">
        <f t="shared" si="6"/>
        <v>collected</v>
      </c>
      <c r="L409" s="16" t="str">
        <f t="shared" si="7"/>
        <v>N</v>
      </c>
      <c r="M409" s="16"/>
      <c r="N409" s="16"/>
    </row>
    <row r="410">
      <c r="A410" s="27" t="s">
        <v>764</v>
      </c>
      <c r="B410" s="10" t="str">
        <f t="shared" si="1"/>
        <v>RNA-muscle</v>
      </c>
      <c r="C410" s="10" t="str">
        <f t="shared" si="2"/>
        <v>BRN62M-D7</v>
      </c>
      <c r="D410" s="6">
        <v>62.0</v>
      </c>
      <c r="E410" s="10" t="str">
        <f t="shared" si="3"/>
        <v>BRN62M</v>
      </c>
      <c r="F410" s="6" t="s">
        <v>68</v>
      </c>
      <c r="G410" s="6">
        <v>7.0</v>
      </c>
      <c r="H410" s="11" t="str">
        <f t="shared" si="4"/>
        <v>D7</v>
      </c>
      <c r="I410" s="10" t="str">
        <f t="shared" si="5"/>
        <v>BRN62M-D7</v>
      </c>
      <c r="J410" s="16"/>
      <c r="K410" s="16" t="str">
        <f t="shared" si="6"/>
        <v>collected</v>
      </c>
      <c r="L410" s="16" t="str">
        <f t="shared" si="7"/>
        <v>N</v>
      </c>
      <c r="M410" s="16"/>
      <c r="N410" s="16"/>
    </row>
    <row r="411">
      <c r="A411" s="27" t="s">
        <v>767</v>
      </c>
      <c r="B411" s="10" t="str">
        <f t="shared" si="1"/>
        <v>RNA-muscle</v>
      </c>
      <c r="C411" s="10" t="str">
        <f t="shared" si="2"/>
        <v>BRN62M-C7</v>
      </c>
      <c r="D411" s="6">
        <v>62.0</v>
      </c>
      <c r="E411" s="10" t="str">
        <f t="shared" si="3"/>
        <v>BRN62M</v>
      </c>
      <c r="F411" s="6" t="s">
        <v>72</v>
      </c>
      <c r="G411" s="6">
        <v>7.0</v>
      </c>
      <c r="H411" s="11" t="str">
        <f t="shared" si="4"/>
        <v>C7</v>
      </c>
      <c r="I411" s="10" t="str">
        <f t="shared" si="5"/>
        <v>BRN62M-C7</v>
      </c>
      <c r="J411" s="16"/>
      <c r="K411" s="16" t="str">
        <f t="shared" si="6"/>
        <v>collected</v>
      </c>
      <c r="L411" s="16" t="str">
        <f t="shared" si="7"/>
        <v>N</v>
      </c>
      <c r="M411" s="16"/>
      <c r="N411" s="16"/>
    </row>
    <row r="412">
      <c r="A412" s="27" t="s">
        <v>768</v>
      </c>
      <c r="B412" s="10" t="str">
        <f t="shared" si="1"/>
        <v>RNA-muscle</v>
      </c>
      <c r="C412" s="10" t="str">
        <f t="shared" si="2"/>
        <v>BRN62M-B7</v>
      </c>
      <c r="D412" s="6">
        <v>62.0</v>
      </c>
      <c r="E412" s="10" t="str">
        <f t="shared" si="3"/>
        <v>BRN62M</v>
      </c>
      <c r="F412" s="6" t="s">
        <v>74</v>
      </c>
      <c r="G412" s="6">
        <v>7.0</v>
      </c>
      <c r="H412" s="11" t="str">
        <f t="shared" si="4"/>
        <v>B7</v>
      </c>
      <c r="I412" s="10" t="str">
        <f t="shared" si="5"/>
        <v>BRN62M-B7</v>
      </c>
      <c r="J412" s="16"/>
      <c r="K412" s="16" t="str">
        <f t="shared" si="6"/>
        <v>collected</v>
      </c>
      <c r="L412" s="16" t="str">
        <f t="shared" si="7"/>
        <v>N</v>
      </c>
      <c r="M412" s="16"/>
      <c r="N412" s="16"/>
    </row>
    <row r="413">
      <c r="A413" s="27" t="s">
        <v>770</v>
      </c>
      <c r="B413" s="10" t="str">
        <f t="shared" si="1"/>
        <v>RNA-muscle</v>
      </c>
      <c r="C413" s="10" t="str">
        <f t="shared" si="2"/>
        <v>BRN62M-A7</v>
      </c>
      <c r="D413" s="6">
        <v>62.0</v>
      </c>
      <c r="E413" s="10" t="str">
        <f t="shared" si="3"/>
        <v>BRN62M</v>
      </c>
      <c r="F413" s="6" t="s">
        <v>76</v>
      </c>
      <c r="G413" s="6">
        <v>7.0</v>
      </c>
      <c r="H413" s="11" t="str">
        <f t="shared" si="4"/>
        <v>A7</v>
      </c>
      <c r="I413" s="10" t="str">
        <f t="shared" si="5"/>
        <v>BRN62M-A7</v>
      </c>
      <c r="J413" s="16"/>
      <c r="K413" s="16" t="str">
        <f t="shared" si="6"/>
        <v>collected</v>
      </c>
      <c r="L413" s="16" t="str">
        <f t="shared" si="7"/>
        <v>N</v>
      </c>
      <c r="M413" s="16"/>
      <c r="N413" s="16"/>
    </row>
    <row r="414">
      <c r="A414" s="27" t="s">
        <v>771</v>
      </c>
      <c r="B414" s="10" t="str">
        <f t="shared" si="1"/>
        <v>RNA-muscle</v>
      </c>
      <c r="C414" s="10" t="str">
        <f t="shared" si="2"/>
        <v>BRN62M-H9</v>
      </c>
      <c r="D414" s="6">
        <v>62.0</v>
      </c>
      <c r="E414" s="10" t="str">
        <f t="shared" si="3"/>
        <v>BRN62M</v>
      </c>
      <c r="F414" s="6" t="s">
        <v>51</v>
      </c>
      <c r="G414" s="6">
        <v>9.0</v>
      </c>
      <c r="H414" s="11" t="str">
        <f t="shared" si="4"/>
        <v>H9</v>
      </c>
      <c r="I414" s="10" t="str">
        <f t="shared" si="5"/>
        <v>BRN62M-H9</v>
      </c>
      <c r="J414" s="16"/>
      <c r="K414" s="16" t="str">
        <f t="shared" si="6"/>
        <v>collected</v>
      </c>
      <c r="L414" s="16" t="str">
        <f t="shared" si="7"/>
        <v>N</v>
      </c>
      <c r="M414" s="16"/>
      <c r="N414" s="16"/>
    </row>
    <row r="415">
      <c r="A415" s="27" t="s">
        <v>773</v>
      </c>
      <c r="B415" s="10" t="str">
        <f t="shared" si="1"/>
        <v>RNA-muscle</v>
      </c>
      <c r="C415" s="10" t="str">
        <f t="shared" si="2"/>
        <v>BRN62M-G9</v>
      </c>
      <c r="D415" s="6">
        <v>62.0</v>
      </c>
      <c r="E415" s="10" t="str">
        <f t="shared" si="3"/>
        <v>BRN62M</v>
      </c>
      <c r="F415" s="6" t="s">
        <v>56</v>
      </c>
      <c r="G415" s="6">
        <v>9.0</v>
      </c>
      <c r="H415" s="11" t="str">
        <f t="shared" si="4"/>
        <v>G9</v>
      </c>
      <c r="I415" s="10" t="str">
        <f t="shared" si="5"/>
        <v>BRN62M-G9</v>
      </c>
      <c r="J415" s="16"/>
      <c r="K415" s="16" t="str">
        <f t="shared" si="6"/>
        <v>collected</v>
      </c>
      <c r="L415" s="16" t="str">
        <f t="shared" si="7"/>
        <v>N</v>
      </c>
      <c r="M415" s="16"/>
      <c r="N415" s="16"/>
    </row>
    <row r="416">
      <c r="A416" s="27" t="s">
        <v>775</v>
      </c>
      <c r="B416" s="10" t="str">
        <f t="shared" si="1"/>
        <v>RNA-muscle</v>
      </c>
      <c r="C416" s="10" t="str">
        <f t="shared" si="2"/>
        <v>BRN62M-F9</v>
      </c>
      <c r="D416" s="6">
        <v>62.0</v>
      </c>
      <c r="E416" s="10" t="str">
        <f t="shared" si="3"/>
        <v>BRN62M</v>
      </c>
      <c r="F416" s="6" t="s">
        <v>61</v>
      </c>
      <c r="G416" s="6">
        <v>9.0</v>
      </c>
      <c r="H416" s="11" t="str">
        <f t="shared" si="4"/>
        <v>F9</v>
      </c>
      <c r="I416" s="10" t="str">
        <f t="shared" si="5"/>
        <v>BRN62M-F9</v>
      </c>
      <c r="J416" s="16"/>
      <c r="K416" s="16" t="str">
        <f t="shared" si="6"/>
        <v>collected</v>
      </c>
      <c r="L416" s="16" t="str">
        <f t="shared" si="7"/>
        <v>N</v>
      </c>
      <c r="M416" s="16"/>
      <c r="N416" s="16"/>
    </row>
    <row r="417">
      <c r="A417" s="27" t="s">
        <v>777</v>
      </c>
      <c r="B417" s="10" t="str">
        <f t="shared" si="1"/>
        <v>RNA-muscle</v>
      </c>
      <c r="C417" s="10" t="str">
        <f t="shared" si="2"/>
        <v>BRN62M-E9</v>
      </c>
      <c r="D417" s="6">
        <v>62.0</v>
      </c>
      <c r="E417" s="10" t="str">
        <f t="shared" si="3"/>
        <v>BRN62M</v>
      </c>
      <c r="F417" s="6" t="s">
        <v>66</v>
      </c>
      <c r="G417" s="6">
        <v>9.0</v>
      </c>
      <c r="H417" s="11" t="str">
        <f t="shared" si="4"/>
        <v>E9</v>
      </c>
      <c r="I417" s="10" t="str">
        <f t="shared" si="5"/>
        <v>BRN62M-E9</v>
      </c>
      <c r="J417" s="16"/>
      <c r="K417" s="16" t="str">
        <f t="shared" si="6"/>
        <v>collected</v>
      </c>
      <c r="L417" s="16" t="str">
        <f t="shared" si="7"/>
        <v>N</v>
      </c>
      <c r="M417" s="16"/>
      <c r="N417" s="16"/>
    </row>
    <row r="418">
      <c r="A418" s="27" t="s">
        <v>778</v>
      </c>
      <c r="B418" s="10" t="str">
        <f t="shared" si="1"/>
        <v>RNA-muscle</v>
      </c>
      <c r="C418" s="10" t="str">
        <f t="shared" si="2"/>
        <v>BRN62M-D9</v>
      </c>
      <c r="D418" s="6">
        <v>62.0</v>
      </c>
      <c r="E418" s="10" t="str">
        <f t="shared" si="3"/>
        <v>BRN62M</v>
      </c>
      <c r="F418" s="6" t="s">
        <v>68</v>
      </c>
      <c r="G418" s="6">
        <v>9.0</v>
      </c>
      <c r="H418" s="11" t="str">
        <f t="shared" si="4"/>
        <v>D9</v>
      </c>
      <c r="I418" s="10" t="str">
        <f t="shared" si="5"/>
        <v>BRN62M-D9</v>
      </c>
      <c r="J418" s="16"/>
      <c r="K418" s="16" t="str">
        <f t="shared" si="6"/>
        <v>collected</v>
      </c>
      <c r="L418" s="16" t="str">
        <f t="shared" si="7"/>
        <v>N</v>
      </c>
      <c r="M418" s="16"/>
      <c r="N418" s="16"/>
    </row>
    <row r="419">
      <c r="A419" s="6" t="s">
        <v>781</v>
      </c>
      <c r="B419" s="10" t="str">
        <f t="shared" si="1"/>
        <v>RNA-muscle</v>
      </c>
      <c r="C419" s="10" t="str">
        <f t="shared" si="2"/>
        <v>BRN62M-C9</v>
      </c>
      <c r="D419" s="6">
        <v>62.0</v>
      </c>
      <c r="E419" s="10" t="str">
        <f t="shared" si="3"/>
        <v>BRN62M</v>
      </c>
      <c r="F419" s="6" t="s">
        <v>72</v>
      </c>
      <c r="G419" s="6">
        <v>9.0</v>
      </c>
      <c r="H419" s="11" t="str">
        <f t="shared" si="4"/>
        <v>C9</v>
      </c>
      <c r="I419" s="10" t="str">
        <f t="shared" si="5"/>
        <v>BRN62M-C9</v>
      </c>
      <c r="J419" s="16"/>
      <c r="K419" s="16" t="str">
        <f t="shared" si="6"/>
        <v>collected</v>
      </c>
      <c r="L419" s="16" t="str">
        <f t="shared" si="7"/>
        <v>N</v>
      </c>
      <c r="M419" s="16"/>
      <c r="N419" s="16"/>
    </row>
    <row r="420">
      <c r="A420" s="6" t="s">
        <v>782</v>
      </c>
      <c r="B420" s="10" t="str">
        <f t="shared" si="1"/>
        <v>RNA-muscle</v>
      </c>
      <c r="C420" s="10" t="str">
        <f t="shared" si="2"/>
        <v>BRN62M-B9</v>
      </c>
      <c r="D420" s="6">
        <v>62.0</v>
      </c>
      <c r="E420" s="10" t="str">
        <f t="shared" si="3"/>
        <v>BRN62M</v>
      </c>
      <c r="F420" s="6" t="s">
        <v>74</v>
      </c>
      <c r="G420" s="6">
        <v>9.0</v>
      </c>
      <c r="H420" s="11" t="str">
        <f t="shared" si="4"/>
        <v>B9</v>
      </c>
      <c r="I420" s="10" t="str">
        <f t="shared" si="5"/>
        <v>BRN62M-B9</v>
      </c>
      <c r="J420" s="16"/>
      <c r="K420" s="16" t="str">
        <f t="shared" si="6"/>
        <v>collected</v>
      </c>
      <c r="L420" s="16" t="str">
        <f t="shared" si="7"/>
        <v>N</v>
      </c>
      <c r="M420" s="16"/>
      <c r="N420" s="16"/>
    </row>
    <row r="421">
      <c r="A421" s="6" t="s">
        <v>783</v>
      </c>
      <c r="B421" s="10" t="str">
        <f t="shared" si="1"/>
        <v>RNA-muscle</v>
      </c>
      <c r="C421" s="10" t="str">
        <f t="shared" si="2"/>
        <v>BRN62M-A9</v>
      </c>
      <c r="D421" s="6">
        <v>62.0</v>
      </c>
      <c r="E421" s="10" t="str">
        <f t="shared" si="3"/>
        <v>BRN62M</v>
      </c>
      <c r="F421" s="6" t="s">
        <v>76</v>
      </c>
      <c r="G421" s="6">
        <v>9.0</v>
      </c>
      <c r="H421" s="11" t="str">
        <f t="shared" si="4"/>
        <v>A9</v>
      </c>
      <c r="I421" s="10" t="str">
        <f t="shared" si="5"/>
        <v>BRN62M-A9</v>
      </c>
      <c r="J421" s="16"/>
      <c r="K421" s="16" t="str">
        <f t="shared" si="6"/>
        <v>collected</v>
      </c>
      <c r="L421" s="16" t="str">
        <f t="shared" si="7"/>
        <v>N</v>
      </c>
      <c r="M421" s="16"/>
      <c r="N421" s="16"/>
    </row>
    <row r="422">
      <c r="A422" s="27" t="s">
        <v>785</v>
      </c>
      <c r="B422" s="10" t="str">
        <f t="shared" si="1"/>
        <v>RNA-muscle</v>
      </c>
      <c r="C422" s="10" t="str">
        <f t="shared" si="2"/>
        <v>BRN62M-H11</v>
      </c>
      <c r="D422" s="6">
        <v>62.0</v>
      </c>
      <c r="E422" s="10" t="str">
        <f t="shared" si="3"/>
        <v>BRN62M</v>
      </c>
      <c r="F422" s="6" t="s">
        <v>51</v>
      </c>
      <c r="G422" s="6">
        <v>11.0</v>
      </c>
      <c r="H422" s="11" t="str">
        <f t="shared" si="4"/>
        <v>H11</v>
      </c>
      <c r="I422" s="10" t="str">
        <f t="shared" si="5"/>
        <v>BRN62M-H11</v>
      </c>
      <c r="J422" s="16"/>
      <c r="K422" s="16" t="str">
        <f t="shared" si="6"/>
        <v>collected</v>
      </c>
      <c r="L422" s="16" t="str">
        <f t="shared" si="7"/>
        <v>N</v>
      </c>
      <c r="M422" s="16"/>
      <c r="N422" s="16"/>
    </row>
    <row r="423">
      <c r="A423" s="27" t="s">
        <v>787</v>
      </c>
      <c r="B423" s="10" t="str">
        <f t="shared" si="1"/>
        <v>RNA-muscle</v>
      </c>
      <c r="C423" s="10" t="str">
        <f t="shared" si="2"/>
        <v>BRN62M-G11</v>
      </c>
      <c r="D423" s="6">
        <v>62.0</v>
      </c>
      <c r="E423" s="10" t="str">
        <f t="shared" si="3"/>
        <v>BRN62M</v>
      </c>
      <c r="F423" s="6" t="s">
        <v>56</v>
      </c>
      <c r="G423" s="6">
        <v>11.0</v>
      </c>
      <c r="H423" s="11" t="str">
        <f t="shared" si="4"/>
        <v>G11</v>
      </c>
      <c r="I423" s="10" t="str">
        <f t="shared" si="5"/>
        <v>BRN62M-G11</v>
      </c>
      <c r="J423" s="16"/>
      <c r="K423" s="16" t="str">
        <f t="shared" si="6"/>
        <v>collected</v>
      </c>
      <c r="L423" s="16" t="str">
        <f t="shared" si="7"/>
        <v>N</v>
      </c>
      <c r="M423" s="16"/>
      <c r="N423" s="16"/>
    </row>
    <row r="424">
      <c r="A424" s="27" t="s">
        <v>789</v>
      </c>
      <c r="B424" s="10" t="str">
        <f t="shared" si="1"/>
        <v>RNA-muscle</v>
      </c>
      <c r="C424" s="10" t="str">
        <f t="shared" si="2"/>
        <v>BRN62M-F11</v>
      </c>
      <c r="D424" s="6">
        <v>62.0</v>
      </c>
      <c r="E424" s="10" t="str">
        <f t="shared" si="3"/>
        <v>BRN62M</v>
      </c>
      <c r="F424" s="6" t="s">
        <v>61</v>
      </c>
      <c r="G424" s="6">
        <v>11.0</v>
      </c>
      <c r="H424" s="11" t="str">
        <f t="shared" si="4"/>
        <v>F11</v>
      </c>
      <c r="I424" s="10" t="str">
        <f t="shared" si="5"/>
        <v>BRN62M-F11</v>
      </c>
      <c r="J424" s="16"/>
      <c r="K424" s="16" t="str">
        <f t="shared" si="6"/>
        <v>collected</v>
      </c>
      <c r="L424" s="16" t="str">
        <f t="shared" si="7"/>
        <v>N</v>
      </c>
      <c r="M424" s="16"/>
      <c r="N424" s="16"/>
    </row>
    <row r="425">
      <c r="A425" s="27" t="s">
        <v>790</v>
      </c>
      <c r="B425" s="10" t="str">
        <f t="shared" si="1"/>
        <v>RNA-muscle</v>
      </c>
      <c r="C425" s="10" t="str">
        <f t="shared" si="2"/>
        <v>BRN62M-E11</v>
      </c>
      <c r="D425" s="6">
        <v>62.0</v>
      </c>
      <c r="E425" s="10" t="str">
        <f t="shared" si="3"/>
        <v>BRN62M</v>
      </c>
      <c r="F425" s="6" t="s">
        <v>66</v>
      </c>
      <c r="G425" s="6">
        <v>11.0</v>
      </c>
      <c r="H425" s="11" t="str">
        <f t="shared" si="4"/>
        <v>E11</v>
      </c>
      <c r="I425" s="10" t="str">
        <f t="shared" si="5"/>
        <v>BRN62M-E11</v>
      </c>
      <c r="J425" s="16"/>
      <c r="K425" s="16" t="str">
        <f t="shared" si="6"/>
        <v>collected</v>
      </c>
      <c r="L425" s="16" t="str">
        <f t="shared" si="7"/>
        <v>N</v>
      </c>
      <c r="M425" s="16"/>
      <c r="N425" s="16"/>
    </row>
    <row r="426">
      <c r="A426" s="6" t="s">
        <v>791</v>
      </c>
      <c r="B426" s="10" t="str">
        <f t="shared" si="1"/>
        <v>RNA-muscle</v>
      </c>
      <c r="C426" s="10" t="str">
        <f t="shared" si="2"/>
        <v>BRN62M-D11</v>
      </c>
      <c r="D426" s="6">
        <v>62.0</v>
      </c>
      <c r="E426" s="10" t="str">
        <f t="shared" si="3"/>
        <v>BRN62M</v>
      </c>
      <c r="F426" s="6" t="s">
        <v>68</v>
      </c>
      <c r="G426" s="6">
        <v>11.0</v>
      </c>
      <c r="H426" s="11" t="str">
        <f t="shared" si="4"/>
        <v>D11</v>
      </c>
      <c r="I426" s="10" t="str">
        <f t="shared" si="5"/>
        <v>BRN62M-D11</v>
      </c>
      <c r="J426" s="16"/>
      <c r="K426" s="16" t="str">
        <f t="shared" si="6"/>
        <v>collected</v>
      </c>
      <c r="L426" s="16" t="str">
        <f t="shared" si="7"/>
        <v>N</v>
      </c>
      <c r="M426" s="16"/>
      <c r="N426" s="16"/>
    </row>
    <row r="427">
      <c r="A427" s="6" t="s">
        <v>794</v>
      </c>
      <c r="B427" s="10" t="str">
        <f t="shared" si="1"/>
        <v>RNA-muscle</v>
      </c>
      <c r="C427" s="10" t="str">
        <f t="shared" si="2"/>
        <v>BRN62M-C11</v>
      </c>
      <c r="D427" s="6">
        <v>62.0</v>
      </c>
      <c r="E427" s="10" t="str">
        <f t="shared" si="3"/>
        <v>BRN62M</v>
      </c>
      <c r="F427" s="6" t="s">
        <v>72</v>
      </c>
      <c r="G427" s="6">
        <v>11.0</v>
      </c>
      <c r="H427" s="11" t="str">
        <f t="shared" si="4"/>
        <v>C11</v>
      </c>
      <c r="I427" s="10" t="str">
        <f t="shared" si="5"/>
        <v>BRN62M-C11</v>
      </c>
      <c r="J427" s="6"/>
      <c r="K427" s="16" t="str">
        <f t="shared" si="6"/>
        <v>collected</v>
      </c>
      <c r="L427" s="16" t="str">
        <f t="shared" si="7"/>
        <v>N</v>
      </c>
      <c r="M427" s="16"/>
      <c r="N427" s="16"/>
    </row>
    <row r="428">
      <c r="A428" s="6" t="s">
        <v>795</v>
      </c>
      <c r="B428" s="10" t="str">
        <f t="shared" si="1"/>
        <v>RNA-muscle</v>
      </c>
      <c r="C428" s="10" t="str">
        <f t="shared" si="2"/>
        <v>BRN62M-B11</v>
      </c>
      <c r="D428" s="6">
        <v>62.0</v>
      </c>
      <c r="E428" s="10" t="str">
        <f t="shared" si="3"/>
        <v>BRN62M</v>
      </c>
      <c r="F428" s="6" t="s">
        <v>74</v>
      </c>
      <c r="G428" s="6">
        <v>11.0</v>
      </c>
      <c r="H428" s="11" t="str">
        <f t="shared" si="4"/>
        <v>B11</v>
      </c>
      <c r="I428" s="10" t="str">
        <f t="shared" si="5"/>
        <v>BRN62M-B11</v>
      </c>
      <c r="J428" s="6"/>
      <c r="K428" s="16" t="str">
        <f t="shared" si="6"/>
        <v>collected</v>
      </c>
      <c r="L428" s="16" t="str">
        <f t="shared" si="7"/>
        <v>N</v>
      </c>
      <c r="M428" s="16"/>
      <c r="N428" s="16"/>
    </row>
    <row r="429">
      <c r="A429" s="6" t="s">
        <v>797</v>
      </c>
      <c r="B429" s="10" t="str">
        <f t="shared" si="1"/>
        <v>RNA-muscle</v>
      </c>
      <c r="C429" s="10" t="str">
        <f t="shared" si="2"/>
        <v>BRN62M-A11</v>
      </c>
      <c r="D429" s="6">
        <v>62.0</v>
      </c>
      <c r="E429" s="10" t="str">
        <f t="shared" si="3"/>
        <v>BRN62M</v>
      </c>
      <c r="F429" s="6" t="s">
        <v>76</v>
      </c>
      <c r="G429" s="6">
        <v>11.0</v>
      </c>
      <c r="H429" s="11" t="str">
        <f t="shared" si="4"/>
        <v>A11</v>
      </c>
      <c r="I429" s="10" t="str">
        <f t="shared" si="5"/>
        <v>BRN62M-A11</v>
      </c>
      <c r="K429" s="16" t="str">
        <f t="shared" si="6"/>
        <v>collected</v>
      </c>
      <c r="L429" s="16" t="str">
        <f t="shared" si="7"/>
        <v>N</v>
      </c>
      <c r="M429" s="16"/>
      <c r="N429" s="16"/>
    </row>
    <row r="430">
      <c r="A430" s="6" t="s">
        <v>798</v>
      </c>
      <c r="B430" s="10" t="str">
        <f t="shared" si="1"/>
        <v>RNA-muscle</v>
      </c>
      <c r="C430" s="10" t="str">
        <f t="shared" si="2"/>
        <v>BRN67M-H1</v>
      </c>
      <c r="D430" s="6">
        <v>67.0</v>
      </c>
      <c r="E430" s="10" t="str">
        <f t="shared" si="3"/>
        <v>BRN67M</v>
      </c>
      <c r="F430" s="6" t="s">
        <v>51</v>
      </c>
      <c r="G430" s="6">
        <v>1.0</v>
      </c>
      <c r="H430" s="11" t="str">
        <f t="shared" si="4"/>
        <v>H1</v>
      </c>
      <c r="I430" s="10" t="str">
        <f t="shared" si="5"/>
        <v>BRN67M-H1</v>
      </c>
      <c r="J430" s="6"/>
      <c r="K430" s="16" t="str">
        <f t="shared" si="6"/>
        <v>collected</v>
      </c>
      <c r="L430" s="16" t="str">
        <f t="shared" si="7"/>
        <v>N</v>
      </c>
      <c r="M430" s="16"/>
      <c r="N430" s="16"/>
    </row>
    <row r="431">
      <c r="A431" s="6" t="s">
        <v>799</v>
      </c>
      <c r="B431" s="10" t="str">
        <f t="shared" si="1"/>
        <v>RNA-muscle</v>
      </c>
      <c r="C431" s="10" t="str">
        <f t="shared" si="2"/>
        <v>BRN67M-G1</v>
      </c>
      <c r="D431" s="6">
        <v>67.0</v>
      </c>
      <c r="E431" s="10" t="str">
        <f t="shared" si="3"/>
        <v>BRN67M</v>
      </c>
      <c r="F431" s="6" t="s">
        <v>56</v>
      </c>
      <c r="G431" s="6">
        <v>1.0</v>
      </c>
      <c r="H431" s="11" t="str">
        <f t="shared" si="4"/>
        <v>G1</v>
      </c>
      <c r="I431" s="10" t="str">
        <f t="shared" si="5"/>
        <v>BRN67M-G1</v>
      </c>
      <c r="J431" s="16"/>
      <c r="K431" s="16" t="str">
        <f t="shared" si="6"/>
        <v>collected</v>
      </c>
      <c r="L431" s="16" t="str">
        <f t="shared" si="7"/>
        <v>N</v>
      </c>
      <c r="M431" s="16"/>
      <c r="N431" s="16"/>
    </row>
    <row r="432">
      <c r="A432" s="6" t="s">
        <v>802</v>
      </c>
      <c r="B432" s="10" t="str">
        <f t="shared" si="1"/>
        <v>RNA-muscle</v>
      </c>
      <c r="C432" s="10" t="str">
        <f t="shared" si="2"/>
        <v>BRN67M-F1</v>
      </c>
      <c r="D432" s="6">
        <v>67.0</v>
      </c>
      <c r="E432" s="10" t="str">
        <f t="shared" si="3"/>
        <v>BRN67M</v>
      </c>
      <c r="F432" s="6" t="s">
        <v>61</v>
      </c>
      <c r="G432" s="6">
        <v>1.0</v>
      </c>
      <c r="H432" s="11" t="str">
        <f t="shared" si="4"/>
        <v>F1</v>
      </c>
      <c r="I432" s="10" t="str">
        <f t="shared" si="5"/>
        <v>BRN67M-F1</v>
      </c>
      <c r="J432" s="6"/>
      <c r="K432" s="16" t="str">
        <f t="shared" si="6"/>
        <v>collected</v>
      </c>
      <c r="L432" s="16" t="str">
        <f t="shared" si="7"/>
        <v>N</v>
      </c>
      <c r="M432" s="16"/>
      <c r="N432" s="16"/>
    </row>
    <row r="433">
      <c r="A433" s="6" t="s">
        <v>803</v>
      </c>
      <c r="B433" s="10" t="str">
        <f t="shared" si="1"/>
        <v>RNA-muscle</v>
      </c>
      <c r="C433" s="10" t="str">
        <f t="shared" si="2"/>
        <v>BRN67M-E1</v>
      </c>
      <c r="D433" s="6">
        <v>67.0</v>
      </c>
      <c r="E433" s="10" t="str">
        <f t="shared" si="3"/>
        <v>BRN67M</v>
      </c>
      <c r="F433" s="6" t="s">
        <v>66</v>
      </c>
      <c r="G433" s="6">
        <v>1.0</v>
      </c>
      <c r="H433" s="11" t="str">
        <f t="shared" si="4"/>
        <v>E1</v>
      </c>
      <c r="I433" s="10" t="str">
        <f t="shared" si="5"/>
        <v>BRN67M-E1</v>
      </c>
      <c r="J433" s="6"/>
      <c r="K433" s="16" t="str">
        <f t="shared" si="6"/>
        <v>collected</v>
      </c>
      <c r="L433" s="16" t="str">
        <f t="shared" si="7"/>
        <v>N</v>
      </c>
      <c r="M433" s="16"/>
      <c r="N433" s="16"/>
    </row>
    <row r="434">
      <c r="A434" s="6" t="s">
        <v>804</v>
      </c>
      <c r="B434" s="10" t="str">
        <f t="shared" si="1"/>
        <v>RNA-muscle</v>
      </c>
      <c r="C434" s="10" t="str">
        <f t="shared" si="2"/>
        <v>BRN67M-D1</v>
      </c>
      <c r="D434" s="6">
        <v>67.0</v>
      </c>
      <c r="E434" s="10" t="str">
        <f t="shared" si="3"/>
        <v>BRN67M</v>
      </c>
      <c r="F434" s="6" t="s">
        <v>68</v>
      </c>
      <c r="G434" s="6">
        <v>1.0</v>
      </c>
      <c r="H434" s="11" t="str">
        <f t="shared" si="4"/>
        <v>D1</v>
      </c>
      <c r="I434" s="10" t="str">
        <f t="shared" si="5"/>
        <v>BRN67M-D1</v>
      </c>
      <c r="J434" s="16"/>
      <c r="K434" s="16" t="str">
        <f t="shared" si="6"/>
        <v>collected</v>
      </c>
      <c r="L434" s="16" t="str">
        <f t="shared" si="7"/>
        <v>N</v>
      </c>
      <c r="M434" s="16"/>
      <c r="N434" s="16"/>
    </row>
    <row r="435">
      <c r="A435" s="6" t="s">
        <v>806</v>
      </c>
      <c r="B435" s="10" t="str">
        <f t="shared" si="1"/>
        <v>RNA-muscle</v>
      </c>
      <c r="C435" s="10" t="str">
        <f t="shared" si="2"/>
        <v>BRN67M-C1</v>
      </c>
      <c r="D435" s="6">
        <v>67.0</v>
      </c>
      <c r="E435" s="10" t="str">
        <f t="shared" si="3"/>
        <v>BRN67M</v>
      </c>
      <c r="F435" s="6" t="s">
        <v>72</v>
      </c>
      <c r="G435" s="6">
        <v>1.0</v>
      </c>
      <c r="H435" s="11" t="str">
        <f t="shared" si="4"/>
        <v>C1</v>
      </c>
      <c r="I435" s="10" t="str">
        <f t="shared" si="5"/>
        <v>BRN67M-C1</v>
      </c>
      <c r="J435" s="6"/>
      <c r="K435" s="16" t="str">
        <f t="shared" si="6"/>
        <v>collected</v>
      </c>
      <c r="L435" s="16" t="str">
        <f t="shared" si="7"/>
        <v>N</v>
      </c>
      <c r="M435" s="16"/>
      <c r="N435" s="16"/>
    </row>
    <row r="436">
      <c r="A436" s="26" t="s">
        <v>807</v>
      </c>
      <c r="B436" s="10" t="str">
        <f t="shared" si="1"/>
        <v>RNA-muscle</v>
      </c>
      <c r="C436" s="10" t="str">
        <f t="shared" si="2"/>
        <v>BRN67M-B1</v>
      </c>
      <c r="D436" s="6">
        <v>67.0</v>
      </c>
      <c r="E436" s="10" t="str">
        <f t="shared" si="3"/>
        <v>BRN67M</v>
      </c>
      <c r="F436" s="6" t="s">
        <v>74</v>
      </c>
      <c r="G436" s="6">
        <v>1.0</v>
      </c>
      <c r="H436" s="11" t="str">
        <f t="shared" si="4"/>
        <v>B1</v>
      </c>
      <c r="I436" s="10" t="str">
        <f t="shared" si="5"/>
        <v>BRN67M-B1</v>
      </c>
      <c r="J436" s="6"/>
      <c r="K436" s="16" t="str">
        <f t="shared" si="6"/>
        <v>collected</v>
      </c>
      <c r="L436" s="16" t="str">
        <f t="shared" si="7"/>
        <v>N</v>
      </c>
      <c r="M436" s="16"/>
      <c r="N436" s="16"/>
    </row>
    <row r="437">
      <c r="A437" s="26" t="s">
        <v>809</v>
      </c>
      <c r="B437" s="10" t="str">
        <f t="shared" si="1"/>
        <v>RNA-muscle</v>
      </c>
      <c r="C437" s="10" t="str">
        <f t="shared" si="2"/>
        <v>BRN67M-A1</v>
      </c>
      <c r="D437" s="6">
        <v>67.0</v>
      </c>
      <c r="E437" s="10" t="str">
        <f t="shared" si="3"/>
        <v>BRN67M</v>
      </c>
      <c r="F437" s="6" t="s">
        <v>76</v>
      </c>
      <c r="G437" s="6">
        <v>1.0</v>
      </c>
      <c r="H437" s="11" t="str">
        <f t="shared" si="4"/>
        <v>A1</v>
      </c>
      <c r="I437" s="10" t="str">
        <f t="shared" si="5"/>
        <v>BRN67M-A1</v>
      </c>
      <c r="J437" s="16"/>
      <c r="K437" s="16" t="str">
        <f t="shared" si="6"/>
        <v>collected</v>
      </c>
      <c r="L437" s="16" t="str">
        <f t="shared" si="7"/>
        <v>N</v>
      </c>
      <c r="M437" s="16"/>
      <c r="N437" s="16"/>
    </row>
    <row r="438">
      <c r="A438" s="26" t="s">
        <v>810</v>
      </c>
      <c r="B438" s="10" t="str">
        <f t="shared" si="1"/>
        <v>RNA-muscle</v>
      </c>
      <c r="C438" s="10" t="str">
        <f t="shared" si="2"/>
        <v>BRN67M-H2</v>
      </c>
      <c r="D438" s="6">
        <v>67.0</v>
      </c>
      <c r="E438" s="10" t="str">
        <f t="shared" si="3"/>
        <v>BRN67M</v>
      </c>
      <c r="F438" s="6" t="s">
        <v>51</v>
      </c>
      <c r="G438" s="6">
        <v>2.0</v>
      </c>
      <c r="H438" s="11" t="str">
        <f t="shared" si="4"/>
        <v>H2</v>
      </c>
      <c r="I438" s="10" t="str">
        <f t="shared" si="5"/>
        <v>BRN67M-H2</v>
      </c>
      <c r="J438" s="16"/>
      <c r="K438" s="16" t="str">
        <f t="shared" si="6"/>
        <v>collected</v>
      </c>
      <c r="L438" s="16" t="str">
        <f t="shared" si="7"/>
        <v>N</v>
      </c>
      <c r="M438" s="16"/>
      <c r="N438" s="16"/>
    </row>
    <row r="439">
      <c r="A439" s="26" t="s">
        <v>812</v>
      </c>
      <c r="B439" s="10" t="str">
        <f t="shared" si="1"/>
        <v>RNA-muscle</v>
      </c>
      <c r="C439" s="10" t="str">
        <f t="shared" si="2"/>
        <v>BRN67M-G2</v>
      </c>
      <c r="D439" s="6">
        <v>67.0</v>
      </c>
      <c r="E439" s="10" t="str">
        <f t="shared" si="3"/>
        <v>BRN67M</v>
      </c>
      <c r="F439" s="6" t="s">
        <v>56</v>
      </c>
      <c r="G439" s="6">
        <v>2.0</v>
      </c>
      <c r="H439" s="11" t="str">
        <f t="shared" si="4"/>
        <v>G2</v>
      </c>
      <c r="I439" s="10" t="str">
        <f t="shared" si="5"/>
        <v>BRN67M-G2</v>
      </c>
      <c r="J439" s="16"/>
      <c r="K439" s="16" t="str">
        <f t="shared" si="6"/>
        <v>collected</v>
      </c>
      <c r="L439" s="16" t="str">
        <f t="shared" si="7"/>
        <v>N</v>
      </c>
      <c r="M439" s="16"/>
      <c r="N439" s="16"/>
    </row>
    <row r="440">
      <c r="A440" s="26" t="s">
        <v>813</v>
      </c>
      <c r="B440" s="10" t="str">
        <f t="shared" si="1"/>
        <v>RNA-muscle</v>
      </c>
      <c r="C440" s="10" t="str">
        <f t="shared" si="2"/>
        <v>BRN67M-F2</v>
      </c>
      <c r="D440" s="6">
        <v>67.0</v>
      </c>
      <c r="E440" s="10" t="str">
        <f t="shared" si="3"/>
        <v>BRN67M</v>
      </c>
      <c r="F440" s="6" t="s">
        <v>61</v>
      </c>
      <c r="G440" s="6">
        <v>2.0</v>
      </c>
      <c r="H440" s="11" t="str">
        <f t="shared" si="4"/>
        <v>F2</v>
      </c>
      <c r="I440" s="10" t="str">
        <f t="shared" si="5"/>
        <v>BRN67M-F2</v>
      </c>
      <c r="J440" s="16"/>
      <c r="K440" s="16" t="str">
        <f t="shared" si="6"/>
        <v>collected</v>
      </c>
      <c r="L440" s="16" t="str">
        <f t="shared" si="7"/>
        <v>N</v>
      </c>
      <c r="M440" s="16"/>
      <c r="N440" s="16"/>
    </row>
    <row r="441">
      <c r="A441" s="26" t="s">
        <v>815</v>
      </c>
      <c r="B441" s="10" t="str">
        <f t="shared" si="1"/>
        <v>RNA-muscle</v>
      </c>
      <c r="C441" s="10" t="str">
        <f t="shared" si="2"/>
        <v>BRN67M-E2</v>
      </c>
      <c r="D441" s="6">
        <v>67.0</v>
      </c>
      <c r="E441" s="10" t="str">
        <f t="shared" si="3"/>
        <v>BRN67M</v>
      </c>
      <c r="F441" s="6" t="s">
        <v>66</v>
      </c>
      <c r="G441" s="6">
        <v>2.0</v>
      </c>
      <c r="H441" s="11" t="str">
        <f t="shared" si="4"/>
        <v>E2</v>
      </c>
      <c r="I441" s="10" t="str">
        <f t="shared" si="5"/>
        <v>BRN67M-E2</v>
      </c>
      <c r="J441" s="16"/>
      <c r="K441" s="16" t="str">
        <f t="shared" si="6"/>
        <v>collected</v>
      </c>
      <c r="L441" s="16" t="str">
        <f t="shared" si="7"/>
        <v>N</v>
      </c>
      <c r="M441" s="16"/>
      <c r="N441" s="16"/>
    </row>
    <row r="442">
      <c r="A442" s="26" t="s">
        <v>817</v>
      </c>
      <c r="B442" s="10" t="str">
        <f t="shared" si="1"/>
        <v>RNA-muscle</v>
      </c>
      <c r="C442" s="10" t="str">
        <f t="shared" si="2"/>
        <v>BRN67M-D2</v>
      </c>
      <c r="D442" s="6">
        <v>67.0</v>
      </c>
      <c r="E442" s="10" t="str">
        <f t="shared" si="3"/>
        <v>BRN67M</v>
      </c>
      <c r="F442" s="6" t="s">
        <v>68</v>
      </c>
      <c r="G442" s="6">
        <v>2.0</v>
      </c>
      <c r="H442" s="11" t="str">
        <f t="shared" si="4"/>
        <v>D2</v>
      </c>
      <c r="I442" s="10" t="str">
        <f t="shared" si="5"/>
        <v>BRN67M-D2</v>
      </c>
      <c r="J442" s="16"/>
      <c r="K442" s="16" t="str">
        <f t="shared" si="6"/>
        <v>collected</v>
      </c>
      <c r="L442" s="16" t="str">
        <f t="shared" si="7"/>
        <v>N</v>
      </c>
      <c r="M442" s="16"/>
      <c r="N442" s="16"/>
    </row>
    <row r="443">
      <c r="A443" s="26" t="s">
        <v>820</v>
      </c>
      <c r="B443" s="10" t="str">
        <f t="shared" si="1"/>
        <v>RNA-muscle</v>
      </c>
      <c r="C443" s="10" t="str">
        <f t="shared" si="2"/>
        <v>BRN67M-C2</v>
      </c>
      <c r="D443" s="6">
        <v>67.0</v>
      </c>
      <c r="E443" s="10" t="str">
        <f t="shared" si="3"/>
        <v>BRN67M</v>
      </c>
      <c r="F443" s="6" t="s">
        <v>72</v>
      </c>
      <c r="G443" s="6">
        <v>2.0</v>
      </c>
      <c r="H443" s="11" t="str">
        <f t="shared" si="4"/>
        <v>C2</v>
      </c>
      <c r="I443" s="10" t="str">
        <f t="shared" si="5"/>
        <v>BRN67M-C2</v>
      </c>
      <c r="J443" s="16"/>
      <c r="K443" s="16" t="str">
        <f t="shared" si="6"/>
        <v>collected</v>
      </c>
      <c r="L443" s="16" t="str">
        <f t="shared" si="7"/>
        <v>N</v>
      </c>
      <c r="M443" s="16"/>
      <c r="N443" s="16"/>
    </row>
    <row r="444">
      <c r="A444" s="26" t="s">
        <v>821</v>
      </c>
      <c r="B444" s="10" t="str">
        <f t="shared" si="1"/>
        <v>RNA-muscle</v>
      </c>
      <c r="C444" s="10" t="str">
        <f t="shared" si="2"/>
        <v>BRN67M-B2</v>
      </c>
      <c r="D444" s="6">
        <v>67.0</v>
      </c>
      <c r="E444" s="10" t="str">
        <f t="shared" si="3"/>
        <v>BRN67M</v>
      </c>
      <c r="F444" s="6" t="s">
        <v>74</v>
      </c>
      <c r="G444" s="6">
        <v>2.0</v>
      </c>
      <c r="H444" s="11" t="str">
        <f t="shared" si="4"/>
        <v>B2</v>
      </c>
      <c r="I444" s="10" t="str">
        <f t="shared" si="5"/>
        <v>BRN67M-B2</v>
      </c>
      <c r="J444" s="16"/>
      <c r="K444" s="16" t="str">
        <f t="shared" si="6"/>
        <v>collected</v>
      </c>
      <c r="L444" s="16" t="str">
        <f t="shared" si="7"/>
        <v>N</v>
      </c>
      <c r="M444" s="16"/>
      <c r="N444" s="16"/>
    </row>
    <row r="445">
      <c r="A445" s="26" t="s">
        <v>822</v>
      </c>
      <c r="B445" s="10" t="str">
        <f t="shared" si="1"/>
        <v>RNA-muscle</v>
      </c>
      <c r="C445" s="10" t="str">
        <f t="shared" si="2"/>
        <v>BRN67M-A2</v>
      </c>
      <c r="D445" s="6">
        <v>67.0</v>
      </c>
      <c r="E445" s="10" t="str">
        <f t="shared" si="3"/>
        <v>BRN67M</v>
      </c>
      <c r="F445" s="6" t="s">
        <v>76</v>
      </c>
      <c r="G445" s="6">
        <v>2.0</v>
      </c>
      <c r="H445" s="11" t="str">
        <f t="shared" si="4"/>
        <v>A2</v>
      </c>
      <c r="I445" s="10" t="str">
        <f t="shared" si="5"/>
        <v>BRN67M-A2</v>
      </c>
      <c r="J445" s="16"/>
      <c r="K445" s="16" t="str">
        <f t="shared" si="6"/>
        <v>collected</v>
      </c>
      <c r="L445" s="16" t="str">
        <f t="shared" si="7"/>
        <v>N</v>
      </c>
      <c r="M445" s="16"/>
      <c r="N445" s="16"/>
    </row>
    <row r="446">
      <c r="A446" s="26" t="s">
        <v>825</v>
      </c>
      <c r="B446" s="10" t="str">
        <f t="shared" si="1"/>
        <v>RNA-muscle</v>
      </c>
      <c r="C446" s="10" t="str">
        <f t="shared" si="2"/>
        <v>BRN67M-H4</v>
      </c>
      <c r="D446" s="6">
        <v>67.0</v>
      </c>
      <c r="E446" s="10" t="str">
        <f t="shared" si="3"/>
        <v>BRN67M</v>
      </c>
      <c r="F446" s="6" t="s">
        <v>51</v>
      </c>
      <c r="G446" s="6">
        <v>4.0</v>
      </c>
      <c r="H446" s="11" t="str">
        <f t="shared" si="4"/>
        <v>H4</v>
      </c>
      <c r="I446" s="10" t="str">
        <f t="shared" si="5"/>
        <v>BRN67M-H4</v>
      </c>
      <c r="J446" s="16"/>
      <c r="K446" s="16" t="str">
        <f t="shared" si="6"/>
        <v>collected</v>
      </c>
      <c r="L446" s="16" t="str">
        <f t="shared" si="7"/>
        <v>N</v>
      </c>
      <c r="M446" s="16"/>
      <c r="N446" s="16"/>
    </row>
    <row r="447">
      <c r="A447" s="26" t="s">
        <v>826</v>
      </c>
      <c r="B447" s="10" t="str">
        <f t="shared" si="1"/>
        <v>RNA-muscle</v>
      </c>
      <c r="C447" s="10" t="str">
        <f t="shared" si="2"/>
        <v>BRN67M-G4</v>
      </c>
      <c r="D447" s="6">
        <v>67.0</v>
      </c>
      <c r="E447" s="10" t="str">
        <f t="shared" si="3"/>
        <v>BRN67M</v>
      </c>
      <c r="F447" s="6" t="s">
        <v>56</v>
      </c>
      <c r="G447" s="6">
        <v>4.0</v>
      </c>
      <c r="H447" s="11" t="str">
        <f t="shared" si="4"/>
        <v>G4</v>
      </c>
      <c r="I447" s="10" t="str">
        <f t="shared" si="5"/>
        <v>BRN67M-G4</v>
      </c>
      <c r="J447" s="16"/>
      <c r="K447" s="16" t="str">
        <f t="shared" si="6"/>
        <v>collected</v>
      </c>
      <c r="L447" s="16" t="str">
        <f t="shared" si="7"/>
        <v>N</v>
      </c>
      <c r="M447" s="16"/>
      <c r="N447" s="16"/>
    </row>
    <row r="448">
      <c r="A448" s="26" t="s">
        <v>828</v>
      </c>
      <c r="B448" s="10" t="str">
        <f t="shared" si="1"/>
        <v>RNA-muscle</v>
      </c>
      <c r="C448" s="10" t="str">
        <f t="shared" si="2"/>
        <v>BRN67M-F4</v>
      </c>
      <c r="D448" s="6">
        <v>67.0</v>
      </c>
      <c r="E448" s="10" t="str">
        <f t="shared" si="3"/>
        <v>BRN67M</v>
      </c>
      <c r="F448" s="6" t="s">
        <v>61</v>
      </c>
      <c r="G448" s="6">
        <v>4.0</v>
      </c>
      <c r="H448" s="11" t="str">
        <f t="shared" si="4"/>
        <v>F4</v>
      </c>
      <c r="I448" s="10" t="str">
        <f t="shared" si="5"/>
        <v>BRN67M-F4</v>
      </c>
      <c r="J448" s="16"/>
      <c r="K448" s="16" t="str">
        <f t="shared" si="6"/>
        <v>collected</v>
      </c>
      <c r="L448" s="16" t="str">
        <f t="shared" si="7"/>
        <v>N</v>
      </c>
      <c r="M448" s="16"/>
      <c r="N448" s="16"/>
    </row>
    <row r="449">
      <c r="A449" s="26" t="s">
        <v>830</v>
      </c>
      <c r="B449" s="10" t="str">
        <f t="shared" si="1"/>
        <v>RNA-muscle</v>
      </c>
      <c r="C449" s="10" t="str">
        <f t="shared" si="2"/>
        <v>BRN67M-E4</v>
      </c>
      <c r="D449" s="6">
        <v>67.0</v>
      </c>
      <c r="E449" s="10" t="str">
        <f t="shared" si="3"/>
        <v>BRN67M</v>
      </c>
      <c r="F449" s="6" t="s">
        <v>66</v>
      </c>
      <c r="G449" s="6">
        <v>4.0</v>
      </c>
      <c r="H449" s="11" t="str">
        <f t="shared" si="4"/>
        <v>E4</v>
      </c>
      <c r="I449" s="10" t="str">
        <f t="shared" si="5"/>
        <v>BRN67M-E4</v>
      </c>
      <c r="J449" s="6"/>
      <c r="K449" s="16" t="str">
        <f t="shared" si="6"/>
        <v>collected</v>
      </c>
      <c r="L449" s="16" t="str">
        <f t="shared" si="7"/>
        <v>N</v>
      </c>
      <c r="M449" s="16"/>
      <c r="N449" s="16"/>
    </row>
    <row r="450">
      <c r="A450" s="26" t="s">
        <v>832</v>
      </c>
      <c r="B450" s="10" t="str">
        <f t="shared" si="1"/>
        <v>RNA-muscle</v>
      </c>
      <c r="C450" s="10" t="str">
        <f t="shared" si="2"/>
        <v>BRN67M-D4</v>
      </c>
      <c r="D450" s="6">
        <v>67.0</v>
      </c>
      <c r="E450" s="10" t="str">
        <f t="shared" si="3"/>
        <v>BRN67M</v>
      </c>
      <c r="F450" s="6" t="s">
        <v>68</v>
      </c>
      <c r="G450" s="6">
        <v>4.0</v>
      </c>
      <c r="H450" s="11" t="str">
        <f t="shared" si="4"/>
        <v>D4</v>
      </c>
      <c r="I450" s="10" t="str">
        <f t="shared" si="5"/>
        <v>BRN67M-D4</v>
      </c>
      <c r="J450" s="6"/>
      <c r="K450" s="16" t="str">
        <f t="shared" si="6"/>
        <v>collected</v>
      </c>
      <c r="L450" s="16" t="str">
        <f t="shared" si="7"/>
        <v>N</v>
      </c>
      <c r="M450" s="16"/>
      <c r="N450" s="16"/>
    </row>
    <row r="451">
      <c r="A451" s="26" t="s">
        <v>833</v>
      </c>
      <c r="B451" s="10" t="str">
        <f t="shared" si="1"/>
        <v>RNA-muscle</v>
      </c>
      <c r="C451" s="10" t="str">
        <f t="shared" si="2"/>
        <v>BRN67M-C4</v>
      </c>
      <c r="D451" s="6">
        <v>67.0</v>
      </c>
      <c r="E451" s="10" t="str">
        <f t="shared" si="3"/>
        <v>BRN67M</v>
      </c>
      <c r="F451" s="6" t="s">
        <v>72</v>
      </c>
      <c r="G451" s="6">
        <v>4.0</v>
      </c>
      <c r="H451" s="11" t="str">
        <f t="shared" si="4"/>
        <v>C4</v>
      </c>
      <c r="I451" s="10" t="str">
        <f t="shared" si="5"/>
        <v>BRN67M-C4</v>
      </c>
      <c r="J451" s="16"/>
      <c r="K451" s="16" t="str">
        <f t="shared" si="6"/>
        <v>collected</v>
      </c>
      <c r="L451" s="16" t="str">
        <f t="shared" si="7"/>
        <v>N</v>
      </c>
      <c r="M451" s="16"/>
      <c r="N451" s="16"/>
    </row>
    <row r="452">
      <c r="A452" s="26" t="s">
        <v>834</v>
      </c>
      <c r="B452" s="10" t="str">
        <f t="shared" si="1"/>
        <v>RNA-muscle</v>
      </c>
      <c r="C452" s="10" t="str">
        <f t="shared" si="2"/>
        <v>BRN67M-B4</v>
      </c>
      <c r="D452" s="6">
        <v>67.0</v>
      </c>
      <c r="E452" s="10" t="str">
        <f t="shared" si="3"/>
        <v>BRN67M</v>
      </c>
      <c r="F452" s="6" t="s">
        <v>74</v>
      </c>
      <c r="G452" s="6">
        <v>4.0</v>
      </c>
      <c r="H452" s="11" t="str">
        <f t="shared" si="4"/>
        <v>B4</v>
      </c>
      <c r="I452" s="10" t="str">
        <f t="shared" si="5"/>
        <v>BRN67M-B4</v>
      </c>
      <c r="J452" s="16"/>
      <c r="K452" s="16" t="str">
        <f t="shared" si="6"/>
        <v>collected</v>
      </c>
      <c r="L452" s="16" t="str">
        <f t="shared" si="7"/>
        <v>N</v>
      </c>
      <c r="M452" s="16"/>
      <c r="N452" s="16"/>
    </row>
    <row r="453">
      <c r="A453" s="26" t="s">
        <v>837</v>
      </c>
      <c r="B453" s="10" t="str">
        <f t="shared" si="1"/>
        <v>RNA-muscle</v>
      </c>
      <c r="C453" s="10" t="str">
        <f t="shared" si="2"/>
        <v>BRN67M-A4</v>
      </c>
      <c r="D453" s="6">
        <v>67.0</v>
      </c>
      <c r="E453" s="10" t="str">
        <f t="shared" si="3"/>
        <v>BRN67M</v>
      </c>
      <c r="F453" s="6" t="s">
        <v>76</v>
      </c>
      <c r="G453" s="6">
        <v>4.0</v>
      </c>
      <c r="H453" s="11" t="str">
        <f t="shared" si="4"/>
        <v>A4</v>
      </c>
      <c r="I453" s="10" t="str">
        <f t="shared" si="5"/>
        <v>BRN67M-A4</v>
      </c>
      <c r="J453" s="16"/>
      <c r="K453" s="16" t="str">
        <f t="shared" si="6"/>
        <v>collected</v>
      </c>
      <c r="L453" s="16" t="str">
        <f t="shared" si="7"/>
        <v>N</v>
      </c>
      <c r="M453" s="16"/>
      <c r="N453" s="16"/>
    </row>
    <row r="454">
      <c r="A454" s="26" t="s">
        <v>838</v>
      </c>
      <c r="B454" s="10" t="str">
        <f t="shared" si="1"/>
        <v>RNA-muscle</v>
      </c>
      <c r="C454" s="10" t="str">
        <f t="shared" si="2"/>
        <v>BRN67M-G6</v>
      </c>
      <c r="D454" s="6">
        <v>67.0</v>
      </c>
      <c r="E454" s="10" t="str">
        <f t="shared" si="3"/>
        <v>BRN67M</v>
      </c>
      <c r="F454" s="6" t="s">
        <v>56</v>
      </c>
      <c r="G454" s="6">
        <v>6.0</v>
      </c>
      <c r="H454" s="11" t="str">
        <f t="shared" si="4"/>
        <v>G6</v>
      </c>
      <c r="I454" s="10" t="str">
        <f t="shared" si="5"/>
        <v>BRN67M-G6</v>
      </c>
      <c r="J454" s="16"/>
      <c r="K454" s="16" t="str">
        <f t="shared" si="6"/>
        <v>collected</v>
      </c>
      <c r="L454" s="16" t="str">
        <f t="shared" si="7"/>
        <v>N</v>
      </c>
      <c r="M454" s="16"/>
      <c r="N454" s="16"/>
    </row>
    <row r="455">
      <c r="A455" s="26" t="s">
        <v>839</v>
      </c>
      <c r="B455" s="10" t="str">
        <f t="shared" si="1"/>
        <v>RNA-muscle</v>
      </c>
      <c r="C455" s="10" t="str">
        <f t="shared" si="2"/>
        <v>BRN62M-G12</v>
      </c>
      <c r="D455" s="6">
        <v>62.0</v>
      </c>
      <c r="E455" s="10" t="str">
        <f t="shared" si="3"/>
        <v>BRN62M</v>
      </c>
      <c r="F455" s="6" t="s">
        <v>56</v>
      </c>
      <c r="G455" s="6">
        <v>12.0</v>
      </c>
      <c r="H455" s="11" t="str">
        <f t="shared" si="4"/>
        <v>G12</v>
      </c>
      <c r="I455" s="10" t="str">
        <f t="shared" si="5"/>
        <v>BRN62M-G12</v>
      </c>
      <c r="J455" s="16"/>
      <c r="K455" s="16" t="str">
        <f t="shared" si="6"/>
        <v>collected</v>
      </c>
      <c r="L455" s="16" t="str">
        <f t="shared" si="7"/>
        <v>N</v>
      </c>
      <c r="M455" s="16"/>
      <c r="N455" s="16"/>
    </row>
    <row r="456">
      <c r="A456" s="26" t="s">
        <v>841</v>
      </c>
      <c r="B456" s="10" t="str">
        <f t="shared" si="1"/>
        <v>RNA-muscle</v>
      </c>
      <c r="C456" s="10" t="str">
        <f t="shared" si="2"/>
        <v>BRN62M-F12</v>
      </c>
      <c r="D456" s="6">
        <v>62.0</v>
      </c>
      <c r="E456" s="10" t="str">
        <f t="shared" si="3"/>
        <v>BRN62M</v>
      </c>
      <c r="F456" s="6" t="s">
        <v>61</v>
      </c>
      <c r="G456" s="6">
        <v>12.0</v>
      </c>
      <c r="H456" s="11" t="str">
        <f t="shared" si="4"/>
        <v>F12</v>
      </c>
      <c r="I456" s="10" t="str">
        <f t="shared" si="5"/>
        <v>BRN62M-F12</v>
      </c>
      <c r="J456" s="16"/>
      <c r="K456" s="16" t="str">
        <f t="shared" si="6"/>
        <v>collected</v>
      </c>
      <c r="L456" s="16" t="str">
        <f t="shared" si="7"/>
        <v>N</v>
      </c>
      <c r="M456" s="16"/>
      <c r="N456" s="16"/>
    </row>
    <row r="457">
      <c r="A457" s="30" t="s">
        <v>843</v>
      </c>
      <c r="B457" s="10" t="str">
        <f t="shared" si="1"/>
        <v>RNA-muscle</v>
      </c>
      <c r="C457" s="10" t="str">
        <f t="shared" si="2"/>
        <v>BRN62M-E12</v>
      </c>
      <c r="D457" s="6">
        <v>62.0</v>
      </c>
      <c r="E457" s="10" t="str">
        <f t="shared" si="3"/>
        <v>BRN62M</v>
      </c>
      <c r="F457" s="6" t="s">
        <v>66</v>
      </c>
      <c r="G457" s="6">
        <v>12.0</v>
      </c>
      <c r="H457" s="11" t="str">
        <f t="shared" si="4"/>
        <v>E12</v>
      </c>
      <c r="I457" s="10" t="str">
        <f t="shared" si="5"/>
        <v>BRN62M-E12</v>
      </c>
      <c r="J457" s="16"/>
      <c r="K457" s="16" t="str">
        <f t="shared" si="6"/>
        <v>collected</v>
      </c>
      <c r="L457" s="16" t="str">
        <f t="shared" si="7"/>
        <v>N</v>
      </c>
      <c r="M457" s="16"/>
      <c r="N457" s="16"/>
    </row>
    <row r="458">
      <c r="A458" s="30" t="s">
        <v>846</v>
      </c>
      <c r="B458" s="10" t="str">
        <f t="shared" si="1"/>
        <v>RNA-muscle</v>
      </c>
      <c r="C458" s="10" t="str">
        <f t="shared" si="2"/>
        <v>BRN62M-D12</v>
      </c>
      <c r="D458" s="6">
        <v>62.0</v>
      </c>
      <c r="E458" s="10" t="str">
        <f t="shared" si="3"/>
        <v>BRN62M</v>
      </c>
      <c r="F458" s="6" t="s">
        <v>68</v>
      </c>
      <c r="G458" s="6">
        <v>12.0</v>
      </c>
      <c r="H458" s="11" t="str">
        <f t="shared" si="4"/>
        <v>D12</v>
      </c>
      <c r="I458" s="10" t="str">
        <f t="shared" si="5"/>
        <v>BRN62M-D12</v>
      </c>
      <c r="J458" s="16"/>
      <c r="K458" s="16" t="str">
        <f t="shared" si="6"/>
        <v>collected</v>
      </c>
      <c r="L458" s="16" t="str">
        <f t="shared" si="7"/>
        <v>N</v>
      </c>
      <c r="M458" s="16"/>
      <c r="N458" s="16"/>
    </row>
    <row r="459">
      <c r="A459" s="30" t="s">
        <v>847</v>
      </c>
      <c r="B459" s="10" t="str">
        <f t="shared" si="1"/>
        <v>RNA-muscle</v>
      </c>
      <c r="C459" s="10" t="str">
        <f t="shared" si="2"/>
        <v>BRN62M-C12</v>
      </c>
      <c r="D459" s="6">
        <v>62.0</v>
      </c>
      <c r="E459" s="10" t="str">
        <f t="shared" si="3"/>
        <v>BRN62M</v>
      </c>
      <c r="F459" s="6" t="s">
        <v>72</v>
      </c>
      <c r="G459" s="6">
        <v>12.0</v>
      </c>
      <c r="H459" s="11" t="str">
        <f t="shared" si="4"/>
        <v>C12</v>
      </c>
      <c r="I459" s="10" t="str">
        <f t="shared" si="5"/>
        <v>BRN62M-C12</v>
      </c>
      <c r="J459" s="16"/>
      <c r="K459" s="16" t="str">
        <f t="shared" si="6"/>
        <v>collected</v>
      </c>
      <c r="L459" s="16" t="str">
        <f t="shared" si="7"/>
        <v>N</v>
      </c>
      <c r="M459" s="16"/>
      <c r="N459" s="16"/>
    </row>
    <row r="460">
      <c r="A460" s="30" t="s">
        <v>849</v>
      </c>
      <c r="B460" s="10" t="str">
        <f t="shared" si="1"/>
        <v>RNA-muscle</v>
      </c>
      <c r="C460" s="10" t="str">
        <f t="shared" si="2"/>
        <v>BRN62M-B12</v>
      </c>
      <c r="D460" s="6">
        <v>62.0</v>
      </c>
      <c r="E460" s="10" t="str">
        <f t="shared" si="3"/>
        <v>BRN62M</v>
      </c>
      <c r="F460" s="6" t="s">
        <v>74</v>
      </c>
      <c r="G460" s="6">
        <v>12.0</v>
      </c>
      <c r="H460" s="11" t="str">
        <f t="shared" si="4"/>
        <v>B12</v>
      </c>
      <c r="I460" s="10" t="str">
        <f t="shared" si="5"/>
        <v>BRN62M-B12</v>
      </c>
      <c r="J460" s="16"/>
      <c r="K460" s="16" t="str">
        <f t="shared" si="6"/>
        <v>collected</v>
      </c>
      <c r="L460" s="16" t="str">
        <f t="shared" si="7"/>
        <v>N</v>
      </c>
      <c r="M460" s="16"/>
      <c r="N460" s="16"/>
    </row>
    <row r="461">
      <c r="A461" s="30" t="s">
        <v>851</v>
      </c>
      <c r="B461" s="10" t="str">
        <f t="shared" si="1"/>
        <v>RNA-muscle</v>
      </c>
      <c r="C461" s="10" t="str">
        <f t="shared" si="2"/>
        <v>BRN62M-A12</v>
      </c>
      <c r="D461" s="6">
        <v>62.0</v>
      </c>
      <c r="E461" s="10" t="str">
        <f t="shared" si="3"/>
        <v>BRN62M</v>
      </c>
      <c r="F461" s="6" t="s">
        <v>76</v>
      </c>
      <c r="G461" s="6">
        <v>12.0</v>
      </c>
      <c r="H461" s="11" t="str">
        <f t="shared" si="4"/>
        <v>A12</v>
      </c>
      <c r="I461" s="10" t="str">
        <f t="shared" si="5"/>
        <v>BRN62M-A12</v>
      </c>
      <c r="J461" s="16"/>
      <c r="K461" s="16" t="str">
        <f t="shared" si="6"/>
        <v>collected</v>
      </c>
      <c r="L461" s="16" t="str">
        <f t="shared" si="7"/>
        <v>N</v>
      </c>
      <c r="M461" s="16"/>
      <c r="N461" s="16"/>
    </row>
    <row r="462">
      <c r="A462" s="30" t="s">
        <v>852</v>
      </c>
      <c r="B462" s="10" t="str">
        <f t="shared" si="1"/>
        <v>RNA-muscle</v>
      </c>
      <c r="C462" s="10" t="str">
        <f t="shared" si="2"/>
        <v>BRN67M-H3</v>
      </c>
      <c r="D462" s="6">
        <v>67.0</v>
      </c>
      <c r="E462" s="10" t="str">
        <f t="shared" si="3"/>
        <v>BRN67M</v>
      </c>
      <c r="F462" s="6" t="s">
        <v>51</v>
      </c>
      <c r="G462" s="6">
        <v>3.0</v>
      </c>
      <c r="H462" s="11" t="str">
        <f t="shared" si="4"/>
        <v>H3</v>
      </c>
      <c r="I462" s="10" t="str">
        <f t="shared" si="5"/>
        <v>BRN67M-H3</v>
      </c>
      <c r="J462" s="16"/>
      <c r="K462" s="16" t="str">
        <f t="shared" si="6"/>
        <v>collected</v>
      </c>
      <c r="L462" s="16" t="str">
        <f t="shared" si="7"/>
        <v>N</v>
      </c>
      <c r="M462" s="16"/>
      <c r="N462" s="16"/>
    </row>
    <row r="463">
      <c r="A463" s="30" t="s">
        <v>853</v>
      </c>
      <c r="B463" s="10" t="str">
        <f t="shared" si="1"/>
        <v>RNA-muscle</v>
      </c>
      <c r="C463" s="10" t="str">
        <f t="shared" si="2"/>
        <v>BRN67M-G3</v>
      </c>
      <c r="D463" s="6">
        <v>67.0</v>
      </c>
      <c r="E463" s="10" t="str">
        <f t="shared" si="3"/>
        <v>BRN67M</v>
      </c>
      <c r="F463" s="6" t="s">
        <v>56</v>
      </c>
      <c r="G463" s="6">
        <v>3.0</v>
      </c>
      <c r="H463" s="11" t="str">
        <f t="shared" si="4"/>
        <v>G3</v>
      </c>
      <c r="I463" s="10" t="str">
        <f t="shared" si="5"/>
        <v>BRN67M-G3</v>
      </c>
      <c r="J463" s="16"/>
      <c r="K463" s="16" t="str">
        <f t="shared" si="6"/>
        <v>collected</v>
      </c>
      <c r="L463" s="16" t="str">
        <f t="shared" si="7"/>
        <v>N</v>
      </c>
      <c r="M463" s="16"/>
      <c r="N463" s="16"/>
    </row>
    <row r="464">
      <c r="A464" s="30" t="s">
        <v>854</v>
      </c>
      <c r="B464" s="10" t="str">
        <f t="shared" si="1"/>
        <v>RNA-muscle</v>
      </c>
      <c r="C464" s="10" t="str">
        <f t="shared" si="2"/>
        <v>BRN67M-F3</v>
      </c>
      <c r="D464" s="6">
        <v>67.0</v>
      </c>
      <c r="E464" s="10" t="str">
        <f t="shared" si="3"/>
        <v>BRN67M</v>
      </c>
      <c r="F464" s="6" t="s">
        <v>61</v>
      </c>
      <c r="G464" s="6">
        <v>3.0</v>
      </c>
      <c r="H464" s="11" t="str">
        <f t="shared" si="4"/>
        <v>F3</v>
      </c>
      <c r="I464" s="10" t="str">
        <f t="shared" si="5"/>
        <v>BRN67M-F3</v>
      </c>
      <c r="J464" s="16"/>
      <c r="K464" s="16" t="str">
        <f t="shared" si="6"/>
        <v>collected</v>
      </c>
      <c r="L464" s="16" t="str">
        <f t="shared" si="7"/>
        <v>N</v>
      </c>
      <c r="M464" s="16"/>
      <c r="N464" s="16"/>
    </row>
    <row r="465">
      <c r="A465" s="30" t="s">
        <v>857</v>
      </c>
      <c r="B465" s="10" t="str">
        <f t="shared" si="1"/>
        <v>RNA-muscle</v>
      </c>
      <c r="C465" s="10" t="str">
        <f t="shared" si="2"/>
        <v>BRN67M-E3</v>
      </c>
      <c r="D465" s="6">
        <v>67.0</v>
      </c>
      <c r="E465" s="10" t="str">
        <f t="shared" si="3"/>
        <v>BRN67M</v>
      </c>
      <c r="F465" s="6" t="s">
        <v>66</v>
      </c>
      <c r="G465" s="6">
        <v>3.0</v>
      </c>
      <c r="H465" s="11" t="str">
        <f t="shared" si="4"/>
        <v>E3</v>
      </c>
      <c r="I465" s="10" t="str">
        <f t="shared" si="5"/>
        <v>BRN67M-E3</v>
      </c>
      <c r="J465" s="6" t="s">
        <v>366</v>
      </c>
      <c r="K465" s="16" t="str">
        <f t="shared" si="6"/>
        <v>collected</v>
      </c>
      <c r="L465" s="16" t="str">
        <f t="shared" si="7"/>
        <v>N</v>
      </c>
      <c r="M465" s="16"/>
      <c r="N465" s="16"/>
    </row>
    <row r="466">
      <c r="A466" s="30" t="s">
        <v>858</v>
      </c>
      <c r="B466" s="10" t="str">
        <f t="shared" si="1"/>
        <v>RNA-muscle</v>
      </c>
      <c r="C466" s="10" t="str">
        <f t="shared" si="2"/>
        <v>BRN67M-D3</v>
      </c>
      <c r="D466" s="6">
        <v>67.0</v>
      </c>
      <c r="E466" s="10" t="str">
        <f t="shared" si="3"/>
        <v>BRN67M</v>
      </c>
      <c r="F466" s="6" t="s">
        <v>68</v>
      </c>
      <c r="G466" s="6">
        <v>3.0</v>
      </c>
      <c r="H466" s="11" t="str">
        <f t="shared" si="4"/>
        <v>D3</v>
      </c>
      <c r="I466" s="10" t="str">
        <f t="shared" si="5"/>
        <v>BRN67M-D3</v>
      </c>
      <c r="J466" s="16"/>
      <c r="K466" s="16" t="str">
        <f t="shared" si="6"/>
        <v>collected</v>
      </c>
      <c r="L466" s="16" t="str">
        <f t="shared" si="7"/>
        <v>N</v>
      </c>
      <c r="M466" s="16"/>
      <c r="N466" s="16"/>
    </row>
    <row r="467">
      <c r="A467" s="30" t="s">
        <v>859</v>
      </c>
      <c r="B467" s="10" t="str">
        <f t="shared" si="1"/>
        <v>RNA-muscle</v>
      </c>
      <c r="C467" s="10" t="str">
        <f t="shared" si="2"/>
        <v>BRN67M-C3</v>
      </c>
      <c r="D467" s="6">
        <v>67.0</v>
      </c>
      <c r="E467" s="10" t="str">
        <f t="shared" si="3"/>
        <v>BRN67M</v>
      </c>
      <c r="F467" s="6" t="s">
        <v>72</v>
      </c>
      <c r="G467" s="6">
        <v>3.0</v>
      </c>
      <c r="H467" s="11" t="str">
        <f t="shared" si="4"/>
        <v>C3</v>
      </c>
      <c r="I467" s="10" t="str">
        <f t="shared" si="5"/>
        <v>BRN67M-C3</v>
      </c>
      <c r="J467" s="16"/>
      <c r="K467" s="16" t="str">
        <f t="shared" si="6"/>
        <v>collected</v>
      </c>
      <c r="L467" s="16" t="str">
        <f t="shared" si="7"/>
        <v>N</v>
      </c>
      <c r="M467" s="16"/>
      <c r="N467" s="16"/>
    </row>
    <row r="468">
      <c r="A468" s="30" t="s">
        <v>860</v>
      </c>
      <c r="B468" s="10" t="str">
        <f t="shared" si="1"/>
        <v>RNA-muscle</v>
      </c>
      <c r="C468" s="10" t="str">
        <f t="shared" si="2"/>
        <v>BRN67M-B3</v>
      </c>
      <c r="D468" s="6">
        <v>67.0</v>
      </c>
      <c r="E468" s="10" t="str">
        <f t="shared" si="3"/>
        <v>BRN67M</v>
      </c>
      <c r="F468" s="6" t="s">
        <v>74</v>
      </c>
      <c r="G468" s="6">
        <v>3.0</v>
      </c>
      <c r="H468" s="11" t="str">
        <f t="shared" si="4"/>
        <v>B3</v>
      </c>
      <c r="I468" s="10" t="str">
        <f t="shared" si="5"/>
        <v>BRN67M-B3</v>
      </c>
      <c r="J468" s="16"/>
      <c r="K468" s="16" t="str">
        <f t="shared" si="6"/>
        <v>collected</v>
      </c>
      <c r="L468" s="16" t="str">
        <f t="shared" si="7"/>
        <v>N</v>
      </c>
      <c r="M468" s="16"/>
      <c r="N468" s="16"/>
    </row>
    <row r="469">
      <c r="A469" s="30" t="s">
        <v>863</v>
      </c>
      <c r="B469" s="10" t="str">
        <f t="shared" si="1"/>
        <v>RNA-muscle</v>
      </c>
      <c r="C469" s="10" t="str">
        <f t="shared" si="2"/>
        <v>BRN67M-A3</v>
      </c>
      <c r="D469" s="6">
        <v>67.0</v>
      </c>
      <c r="E469" s="10" t="str">
        <f t="shared" si="3"/>
        <v>BRN67M</v>
      </c>
      <c r="F469" s="6" t="s">
        <v>76</v>
      </c>
      <c r="G469" s="6">
        <v>3.0</v>
      </c>
      <c r="H469" s="11" t="str">
        <f t="shared" si="4"/>
        <v>A3</v>
      </c>
      <c r="I469" s="10" t="str">
        <f t="shared" si="5"/>
        <v>BRN67M-A3</v>
      </c>
      <c r="J469" s="16"/>
      <c r="K469" s="16" t="str">
        <f t="shared" si="6"/>
        <v>collected</v>
      </c>
      <c r="L469" s="16" t="str">
        <f t="shared" si="7"/>
        <v>N</v>
      </c>
      <c r="M469" s="16"/>
      <c r="N469" s="16"/>
    </row>
    <row r="470">
      <c r="A470" s="30" t="s">
        <v>864</v>
      </c>
      <c r="B470" s="10" t="str">
        <f t="shared" si="1"/>
        <v>RNA-muscle</v>
      </c>
      <c r="C470" s="10" t="str">
        <f t="shared" si="2"/>
        <v>BRN67M-H5</v>
      </c>
      <c r="D470" s="6">
        <v>67.0</v>
      </c>
      <c r="E470" s="10" t="str">
        <f t="shared" si="3"/>
        <v>BRN67M</v>
      </c>
      <c r="F470" s="6" t="s">
        <v>51</v>
      </c>
      <c r="G470" s="6">
        <v>5.0</v>
      </c>
      <c r="H470" s="11" t="str">
        <f t="shared" si="4"/>
        <v>H5</v>
      </c>
      <c r="I470" s="10" t="str">
        <f t="shared" si="5"/>
        <v>BRN67M-H5</v>
      </c>
      <c r="J470" s="16"/>
      <c r="K470" s="16" t="str">
        <f t="shared" si="6"/>
        <v>collected</v>
      </c>
      <c r="L470" s="16" t="str">
        <f t="shared" si="7"/>
        <v>N</v>
      </c>
      <c r="M470" s="16"/>
      <c r="N470" s="16"/>
    </row>
    <row r="471">
      <c r="A471" s="30" t="s">
        <v>865</v>
      </c>
      <c r="B471" s="10" t="str">
        <f t="shared" si="1"/>
        <v>RNA-muscle</v>
      </c>
      <c r="C471" s="10" t="str">
        <f t="shared" si="2"/>
        <v>BRN67M-G5</v>
      </c>
      <c r="D471" s="6">
        <v>67.0</v>
      </c>
      <c r="E471" s="10" t="str">
        <f t="shared" si="3"/>
        <v>BRN67M</v>
      </c>
      <c r="F471" s="6" t="s">
        <v>56</v>
      </c>
      <c r="G471" s="6">
        <v>5.0</v>
      </c>
      <c r="H471" s="11" t="str">
        <f t="shared" si="4"/>
        <v>G5</v>
      </c>
      <c r="I471" s="10" t="str">
        <f t="shared" si="5"/>
        <v>BRN67M-G5</v>
      </c>
      <c r="J471" s="6"/>
      <c r="K471" s="16" t="str">
        <f t="shared" si="6"/>
        <v>collected</v>
      </c>
      <c r="L471" s="16" t="str">
        <f t="shared" si="7"/>
        <v>N</v>
      </c>
      <c r="M471" s="16"/>
      <c r="N471" s="16"/>
    </row>
    <row r="472">
      <c r="A472" s="30" t="s">
        <v>866</v>
      </c>
      <c r="B472" s="10" t="str">
        <f t="shared" si="1"/>
        <v>RNA-muscle</v>
      </c>
      <c r="C472" s="10" t="str">
        <f t="shared" si="2"/>
        <v>BRN67M-F5</v>
      </c>
      <c r="D472" s="6">
        <v>67.0</v>
      </c>
      <c r="E472" s="10" t="str">
        <f t="shared" si="3"/>
        <v>BRN67M</v>
      </c>
      <c r="F472" s="6" t="s">
        <v>61</v>
      </c>
      <c r="G472" s="6">
        <v>5.0</v>
      </c>
      <c r="H472" s="11" t="str">
        <f t="shared" si="4"/>
        <v>F5</v>
      </c>
      <c r="I472" s="10" t="str">
        <f t="shared" si="5"/>
        <v>BRN67M-F5</v>
      </c>
      <c r="J472" s="16"/>
      <c r="K472" s="16" t="str">
        <f t="shared" si="6"/>
        <v>collected</v>
      </c>
      <c r="L472" s="16" t="str">
        <f t="shared" si="7"/>
        <v>N</v>
      </c>
      <c r="M472" s="16"/>
      <c r="N472" s="16"/>
    </row>
    <row r="473">
      <c r="A473" s="16" t="s">
        <v>870</v>
      </c>
      <c r="B473" s="10" t="str">
        <f t="shared" si="1"/>
        <v>RNA-muscle</v>
      </c>
      <c r="C473" s="10" t="str">
        <f t="shared" si="2"/>
        <v>BRN67M-E5</v>
      </c>
      <c r="D473" s="6">
        <v>67.0</v>
      </c>
      <c r="E473" s="10" t="str">
        <f t="shared" si="3"/>
        <v>BRN67M</v>
      </c>
      <c r="F473" s="6" t="s">
        <v>66</v>
      </c>
      <c r="G473" s="6">
        <v>5.0</v>
      </c>
      <c r="H473" s="11" t="str">
        <f t="shared" si="4"/>
        <v>E5</v>
      </c>
      <c r="I473" s="10" t="str">
        <f t="shared" si="5"/>
        <v>BRN67M-E5</v>
      </c>
      <c r="J473" s="16"/>
      <c r="K473" s="16" t="str">
        <f t="shared" si="6"/>
        <v>collected</v>
      </c>
      <c r="L473" s="16" t="str">
        <f t="shared" si="7"/>
        <v>N</v>
      </c>
      <c r="M473" s="16"/>
      <c r="N473" s="16"/>
    </row>
    <row r="474">
      <c r="A474" s="27" t="s">
        <v>871</v>
      </c>
      <c r="B474" s="10" t="str">
        <f t="shared" si="1"/>
        <v>RNA-muscle</v>
      </c>
      <c r="C474" s="10" t="str">
        <f t="shared" si="2"/>
        <v>BRN67M-D5</v>
      </c>
      <c r="D474" s="6">
        <v>67.0</v>
      </c>
      <c r="E474" s="10" t="str">
        <f t="shared" si="3"/>
        <v>BRN67M</v>
      </c>
      <c r="F474" s="6" t="s">
        <v>68</v>
      </c>
      <c r="G474" s="6">
        <v>5.0</v>
      </c>
      <c r="H474" s="11" t="str">
        <f t="shared" si="4"/>
        <v>D5</v>
      </c>
      <c r="I474" s="10" t="str">
        <f t="shared" si="5"/>
        <v>BRN67M-D5</v>
      </c>
      <c r="J474" s="16"/>
      <c r="K474" s="16" t="str">
        <f t="shared" si="6"/>
        <v>collected</v>
      </c>
      <c r="L474" s="16" t="str">
        <f t="shared" si="7"/>
        <v>N</v>
      </c>
      <c r="M474" s="16"/>
      <c r="N474" s="16"/>
    </row>
    <row r="475">
      <c r="A475" s="27" t="s">
        <v>872</v>
      </c>
      <c r="B475" s="10" t="str">
        <f t="shared" si="1"/>
        <v>RNA-muscle</v>
      </c>
      <c r="C475" s="10" t="str">
        <f t="shared" si="2"/>
        <v>BRN67M-C5</v>
      </c>
      <c r="D475" s="6">
        <v>67.0</v>
      </c>
      <c r="E475" s="10" t="str">
        <f t="shared" si="3"/>
        <v>BRN67M</v>
      </c>
      <c r="F475" s="6" t="s">
        <v>72</v>
      </c>
      <c r="G475" s="6">
        <v>5.0</v>
      </c>
      <c r="H475" s="11" t="str">
        <f t="shared" si="4"/>
        <v>C5</v>
      </c>
      <c r="I475" s="10" t="str">
        <f t="shared" si="5"/>
        <v>BRN67M-C5</v>
      </c>
      <c r="J475" s="16"/>
      <c r="K475" s="16" t="str">
        <f t="shared" si="6"/>
        <v>collected</v>
      </c>
      <c r="L475" s="16" t="str">
        <f t="shared" si="7"/>
        <v>N</v>
      </c>
      <c r="M475" s="16"/>
      <c r="N475" s="16"/>
    </row>
    <row r="476">
      <c r="A476" s="27" t="s">
        <v>873</v>
      </c>
      <c r="B476" s="10" t="str">
        <f t="shared" si="1"/>
        <v>RNA-muscle</v>
      </c>
      <c r="C476" s="10" t="str">
        <f t="shared" si="2"/>
        <v>BRN67M-B5</v>
      </c>
      <c r="D476" s="6">
        <v>67.0</v>
      </c>
      <c r="E476" s="10" t="str">
        <f t="shared" si="3"/>
        <v>BRN67M</v>
      </c>
      <c r="F476" s="6" t="s">
        <v>74</v>
      </c>
      <c r="G476" s="6">
        <v>5.0</v>
      </c>
      <c r="H476" s="11" t="str">
        <f t="shared" si="4"/>
        <v>B5</v>
      </c>
      <c r="I476" s="10" t="str">
        <f t="shared" si="5"/>
        <v>BRN67M-B5</v>
      </c>
      <c r="J476" s="16"/>
      <c r="K476" s="16" t="str">
        <f t="shared" si="6"/>
        <v>collected</v>
      </c>
      <c r="L476" s="16" t="str">
        <f t="shared" si="7"/>
        <v>N</v>
      </c>
      <c r="M476" s="16"/>
      <c r="N476" s="16"/>
    </row>
    <row r="477">
      <c r="A477" s="27" t="s">
        <v>875</v>
      </c>
      <c r="B477" s="10" t="str">
        <f t="shared" si="1"/>
        <v>RNA-muscle</v>
      </c>
      <c r="C477" s="10" t="str">
        <f t="shared" si="2"/>
        <v>BRN67M-A5</v>
      </c>
      <c r="D477" s="6">
        <v>67.0</v>
      </c>
      <c r="E477" s="10" t="str">
        <f t="shared" si="3"/>
        <v>BRN67M</v>
      </c>
      <c r="F477" s="6" t="s">
        <v>76</v>
      </c>
      <c r="G477" s="6">
        <v>5.0</v>
      </c>
      <c r="H477" s="11" t="str">
        <f t="shared" si="4"/>
        <v>A5</v>
      </c>
      <c r="I477" s="10" t="str">
        <f t="shared" si="5"/>
        <v>BRN67M-A5</v>
      </c>
      <c r="J477" s="6"/>
      <c r="K477" s="16" t="str">
        <f t="shared" si="6"/>
        <v>collected</v>
      </c>
      <c r="L477" s="16" t="str">
        <f t="shared" si="7"/>
        <v>N</v>
      </c>
      <c r="M477" s="16"/>
      <c r="N477" s="16"/>
    </row>
    <row r="478">
      <c r="A478" s="27" t="s">
        <v>877</v>
      </c>
      <c r="B478" s="10" t="str">
        <f t="shared" si="1"/>
        <v>RNA-muscle</v>
      </c>
      <c r="C478" s="10" t="str">
        <f t="shared" si="2"/>
        <v>BRN67M-H7</v>
      </c>
      <c r="D478" s="6">
        <v>67.0</v>
      </c>
      <c r="E478" s="10" t="str">
        <f t="shared" si="3"/>
        <v>BRN67M</v>
      </c>
      <c r="F478" s="6" t="s">
        <v>51</v>
      </c>
      <c r="G478" s="6">
        <v>7.0</v>
      </c>
      <c r="H478" s="11" t="str">
        <f t="shared" si="4"/>
        <v>H7</v>
      </c>
      <c r="I478" s="10" t="str">
        <f t="shared" si="5"/>
        <v>BRN67M-H7</v>
      </c>
      <c r="J478" s="6"/>
      <c r="K478" s="16" t="str">
        <f t="shared" si="6"/>
        <v>collected</v>
      </c>
      <c r="L478" s="16" t="str">
        <f t="shared" si="7"/>
        <v>N</v>
      </c>
      <c r="M478" s="16"/>
      <c r="N478" s="16"/>
    </row>
    <row r="479">
      <c r="A479" s="27" t="s">
        <v>878</v>
      </c>
      <c r="B479" s="10" t="str">
        <f t="shared" si="1"/>
        <v>RNA-muscle</v>
      </c>
      <c r="C479" s="10" t="str">
        <f t="shared" si="2"/>
        <v>BRN67M-G7</v>
      </c>
      <c r="D479" s="6">
        <v>67.0</v>
      </c>
      <c r="E479" s="10" t="str">
        <f t="shared" si="3"/>
        <v>BRN67M</v>
      </c>
      <c r="F479" s="6" t="s">
        <v>56</v>
      </c>
      <c r="G479" s="6">
        <v>7.0</v>
      </c>
      <c r="H479" s="11" t="str">
        <f t="shared" si="4"/>
        <v>G7</v>
      </c>
      <c r="I479" s="10" t="str">
        <f t="shared" si="5"/>
        <v>BRN67M-G7</v>
      </c>
      <c r="J479" s="16"/>
      <c r="K479" s="16" t="str">
        <f t="shared" si="6"/>
        <v>collected</v>
      </c>
      <c r="L479" s="16" t="str">
        <f t="shared" si="7"/>
        <v>N</v>
      </c>
      <c r="M479" s="16"/>
      <c r="N479" s="16"/>
    </row>
    <row r="480">
      <c r="A480" s="27" t="s">
        <v>881</v>
      </c>
      <c r="B480" s="10" t="str">
        <f t="shared" si="1"/>
        <v>RNA-muscle</v>
      </c>
      <c r="C480" s="10" t="str">
        <f t="shared" si="2"/>
        <v>BRN67M-F7</v>
      </c>
      <c r="D480" s="6">
        <v>67.0</v>
      </c>
      <c r="E480" s="10" t="str">
        <f t="shared" si="3"/>
        <v>BRN67M</v>
      </c>
      <c r="F480" s="6" t="s">
        <v>61</v>
      </c>
      <c r="G480" s="6">
        <v>7.0</v>
      </c>
      <c r="H480" s="11" t="str">
        <f t="shared" si="4"/>
        <v>F7</v>
      </c>
      <c r="I480" s="10" t="str">
        <f t="shared" si="5"/>
        <v>BRN67M-F7</v>
      </c>
      <c r="J480" s="6"/>
      <c r="K480" s="16" t="str">
        <f t="shared" si="6"/>
        <v>collected</v>
      </c>
      <c r="L480" s="16" t="str">
        <f t="shared" si="7"/>
        <v>N</v>
      </c>
      <c r="M480" s="16"/>
      <c r="N480" s="16"/>
    </row>
    <row r="481">
      <c r="A481" s="27" t="s">
        <v>882</v>
      </c>
      <c r="B481" s="10" t="str">
        <f t="shared" si="1"/>
        <v>RNA-muscle</v>
      </c>
      <c r="C481" s="10" t="str">
        <f t="shared" si="2"/>
        <v>BRN67M-E7</v>
      </c>
      <c r="D481" s="6">
        <v>67.0</v>
      </c>
      <c r="E481" s="10" t="str">
        <f t="shared" si="3"/>
        <v>BRN67M</v>
      </c>
      <c r="F481" s="6" t="s">
        <v>66</v>
      </c>
      <c r="G481" s="6">
        <v>7.0</v>
      </c>
      <c r="H481" s="11" t="str">
        <f t="shared" si="4"/>
        <v>E7</v>
      </c>
      <c r="I481" s="10" t="str">
        <f t="shared" si="5"/>
        <v>BRN67M-E7</v>
      </c>
      <c r="J481" s="16"/>
      <c r="K481" s="16" t="str">
        <f t="shared" si="6"/>
        <v>collected</v>
      </c>
      <c r="L481" s="16" t="str">
        <f t="shared" si="7"/>
        <v>N</v>
      </c>
      <c r="M481" s="16"/>
      <c r="N481" s="16"/>
    </row>
    <row r="482">
      <c r="A482" s="27" t="s">
        <v>884</v>
      </c>
      <c r="B482" s="10" t="str">
        <f t="shared" si="1"/>
        <v>RNA-muscle</v>
      </c>
      <c r="C482" s="10" t="str">
        <f t="shared" si="2"/>
        <v>BRN67M-D7</v>
      </c>
      <c r="D482" s="6">
        <v>67.0</v>
      </c>
      <c r="E482" s="10" t="str">
        <f t="shared" si="3"/>
        <v>BRN67M</v>
      </c>
      <c r="F482" s="6" t="s">
        <v>68</v>
      </c>
      <c r="G482" s="6">
        <v>7.0</v>
      </c>
      <c r="H482" s="11" t="str">
        <f t="shared" si="4"/>
        <v>D7</v>
      </c>
      <c r="I482" s="10" t="str">
        <f t="shared" si="5"/>
        <v>BRN67M-D7</v>
      </c>
      <c r="J482" s="16"/>
      <c r="K482" s="16" t="str">
        <f t="shared" si="6"/>
        <v>collected</v>
      </c>
      <c r="L482" s="16" t="str">
        <f t="shared" si="7"/>
        <v>N</v>
      </c>
      <c r="M482" s="16"/>
      <c r="N482" s="16"/>
    </row>
    <row r="483">
      <c r="A483" s="27" t="s">
        <v>885</v>
      </c>
      <c r="B483" s="10" t="str">
        <f t="shared" si="1"/>
        <v>RNA-muscle</v>
      </c>
      <c r="C483" s="10" t="str">
        <f t="shared" si="2"/>
        <v>BRN67M-C7</v>
      </c>
      <c r="D483" s="6">
        <v>67.0</v>
      </c>
      <c r="E483" s="10" t="str">
        <f t="shared" si="3"/>
        <v>BRN67M</v>
      </c>
      <c r="F483" s="6" t="s">
        <v>72</v>
      </c>
      <c r="G483" s="6">
        <v>7.0</v>
      </c>
      <c r="H483" s="11" t="str">
        <f t="shared" si="4"/>
        <v>C7</v>
      </c>
      <c r="I483" s="10" t="str">
        <f t="shared" si="5"/>
        <v>BRN67M-C7</v>
      </c>
      <c r="J483" s="16"/>
      <c r="K483" s="16" t="str">
        <f t="shared" si="6"/>
        <v>collected</v>
      </c>
      <c r="L483" s="16" t="str">
        <f t="shared" si="7"/>
        <v>N</v>
      </c>
      <c r="M483" s="16"/>
      <c r="N483" s="16"/>
    </row>
    <row r="484">
      <c r="A484" s="27" t="s">
        <v>886</v>
      </c>
      <c r="B484" s="10" t="str">
        <f t="shared" si="1"/>
        <v>RNA-muscle</v>
      </c>
      <c r="C484" s="10" t="str">
        <f t="shared" si="2"/>
        <v>BRN67M-B7</v>
      </c>
      <c r="D484" s="6">
        <v>67.0</v>
      </c>
      <c r="E484" s="10" t="str">
        <f t="shared" si="3"/>
        <v>BRN67M</v>
      </c>
      <c r="F484" s="6" t="s">
        <v>74</v>
      </c>
      <c r="G484" s="6">
        <v>7.0</v>
      </c>
      <c r="H484" s="11" t="str">
        <f t="shared" si="4"/>
        <v>B7</v>
      </c>
      <c r="I484" s="10" t="str">
        <f t="shared" si="5"/>
        <v>BRN67M-B7</v>
      </c>
      <c r="J484" s="16"/>
      <c r="K484" s="16" t="str">
        <f t="shared" si="6"/>
        <v>collected</v>
      </c>
      <c r="L484" s="16" t="str">
        <f t="shared" si="7"/>
        <v>N</v>
      </c>
      <c r="M484" s="16"/>
      <c r="N484" s="16"/>
    </row>
    <row r="485">
      <c r="A485" s="27" t="s">
        <v>887</v>
      </c>
      <c r="B485" s="10" t="str">
        <f t="shared" si="1"/>
        <v>RNA-muscle</v>
      </c>
      <c r="C485" s="10" t="str">
        <f t="shared" si="2"/>
        <v>BRN67M-A7</v>
      </c>
      <c r="D485" s="6">
        <v>67.0</v>
      </c>
      <c r="E485" s="10" t="str">
        <f t="shared" si="3"/>
        <v>BRN67M</v>
      </c>
      <c r="F485" s="6" t="s">
        <v>76</v>
      </c>
      <c r="G485" s="6">
        <v>7.0</v>
      </c>
      <c r="H485" s="11" t="str">
        <f t="shared" si="4"/>
        <v>A7</v>
      </c>
      <c r="I485" s="10" t="str">
        <f t="shared" si="5"/>
        <v>BRN67M-A7</v>
      </c>
      <c r="J485" s="16"/>
      <c r="K485" s="16" t="str">
        <f t="shared" si="6"/>
        <v>collected</v>
      </c>
      <c r="L485" s="16" t="str">
        <f t="shared" si="7"/>
        <v>N</v>
      </c>
      <c r="M485" s="16"/>
      <c r="N485" s="16"/>
    </row>
    <row r="486">
      <c r="A486" s="27" t="s">
        <v>889</v>
      </c>
      <c r="B486" s="10" t="str">
        <f t="shared" si="1"/>
        <v>RNA-muscle</v>
      </c>
      <c r="C486" s="10" t="str">
        <f t="shared" si="2"/>
        <v>BRN67M-H9</v>
      </c>
      <c r="D486" s="6">
        <v>67.0</v>
      </c>
      <c r="E486" s="10" t="str">
        <f t="shared" si="3"/>
        <v>BRN67M</v>
      </c>
      <c r="F486" s="6" t="s">
        <v>51</v>
      </c>
      <c r="G486" s="6">
        <v>9.0</v>
      </c>
      <c r="H486" s="11" t="str">
        <f t="shared" si="4"/>
        <v>H9</v>
      </c>
      <c r="I486" s="10" t="str">
        <f t="shared" si="5"/>
        <v>BRN67M-H9</v>
      </c>
      <c r="J486" s="16"/>
      <c r="K486" s="16" t="str">
        <f t="shared" si="6"/>
        <v>collected</v>
      </c>
      <c r="L486" s="16" t="str">
        <f t="shared" si="7"/>
        <v>N</v>
      </c>
      <c r="M486" s="16"/>
      <c r="N486" s="16"/>
    </row>
    <row r="487">
      <c r="A487" s="27" t="s">
        <v>891</v>
      </c>
      <c r="B487" s="10" t="str">
        <f t="shared" si="1"/>
        <v>RNA-muscle</v>
      </c>
      <c r="C487" s="10" t="str">
        <f t="shared" si="2"/>
        <v>BRN67M-G9</v>
      </c>
      <c r="D487" s="6">
        <v>67.0</v>
      </c>
      <c r="E487" s="10" t="str">
        <f t="shared" si="3"/>
        <v>BRN67M</v>
      </c>
      <c r="F487" s="6" t="s">
        <v>56</v>
      </c>
      <c r="G487" s="6">
        <v>9.0</v>
      </c>
      <c r="H487" s="11" t="str">
        <f t="shared" si="4"/>
        <v>G9</v>
      </c>
      <c r="I487" s="10" t="str">
        <f t="shared" si="5"/>
        <v>BRN67M-G9</v>
      </c>
      <c r="J487" s="16"/>
      <c r="K487" s="16" t="str">
        <f t="shared" si="6"/>
        <v>collected</v>
      </c>
      <c r="L487" s="16" t="str">
        <f t="shared" si="7"/>
        <v>N</v>
      </c>
      <c r="M487" s="16"/>
      <c r="N487" s="16"/>
    </row>
    <row r="488">
      <c r="A488" s="27" t="s">
        <v>892</v>
      </c>
      <c r="B488" s="10" t="str">
        <f t="shared" si="1"/>
        <v>RNA-muscle</v>
      </c>
      <c r="C488" s="10" t="str">
        <f t="shared" si="2"/>
        <v>BRN67M-F9</v>
      </c>
      <c r="D488" s="6">
        <v>67.0</v>
      </c>
      <c r="E488" s="10" t="str">
        <f t="shared" si="3"/>
        <v>BRN67M</v>
      </c>
      <c r="F488" s="6" t="s">
        <v>61</v>
      </c>
      <c r="G488" s="6">
        <v>9.0</v>
      </c>
      <c r="H488" s="11" t="str">
        <f t="shared" si="4"/>
        <v>F9</v>
      </c>
      <c r="I488" s="10" t="str">
        <f t="shared" si="5"/>
        <v>BRN67M-F9</v>
      </c>
      <c r="J488" s="16"/>
      <c r="K488" s="16" t="str">
        <f t="shared" si="6"/>
        <v>collected</v>
      </c>
      <c r="L488" s="16" t="str">
        <f t="shared" si="7"/>
        <v>N</v>
      </c>
      <c r="M488" s="16"/>
      <c r="N488" s="16"/>
    </row>
    <row r="489">
      <c r="A489" s="27" t="s">
        <v>893</v>
      </c>
      <c r="B489" s="10" t="str">
        <f t="shared" si="1"/>
        <v>RNA-muscle</v>
      </c>
      <c r="C489" s="10" t="str">
        <f t="shared" si="2"/>
        <v>BRN67M-E9</v>
      </c>
      <c r="D489" s="6">
        <v>67.0</v>
      </c>
      <c r="E489" s="10" t="str">
        <f t="shared" si="3"/>
        <v>BRN67M</v>
      </c>
      <c r="F489" s="6" t="s">
        <v>66</v>
      </c>
      <c r="G489" s="6">
        <v>9.0</v>
      </c>
      <c r="H489" s="11" t="str">
        <f t="shared" si="4"/>
        <v>E9</v>
      </c>
      <c r="I489" s="10" t="str">
        <f t="shared" si="5"/>
        <v>BRN67M-E9</v>
      </c>
      <c r="J489" s="16"/>
      <c r="K489" s="16" t="str">
        <f t="shared" si="6"/>
        <v>collected</v>
      </c>
      <c r="L489" s="16" t="str">
        <f t="shared" si="7"/>
        <v>N</v>
      </c>
      <c r="M489" s="16"/>
      <c r="N489" s="16"/>
    </row>
    <row r="490">
      <c r="A490" s="27" t="s">
        <v>894</v>
      </c>
      <c r="B490" s="10" t="str">
        <f t="shared" si="1"/>
        <v>RNA-muscle</v>
      </c>
      <c r="C490" s="10" t="str">
        <f t="shared" si="2"/>
        <v>BRN67M-D9</v>
      </c>
      <c r="D490" s="6">
        <v>67.0</v>
      </c>
      <c r="E490" s="10" t="str">
        <f t="shared" si="3"/>
        <v>BRN67M</v>
      </c>
      <c r="F490" s="6" t="s">
        <v>68</v>
      </c>
      <c r="G490" s="6">
        <v>9.0</v>
      </c>
      <c r="H490" s="11" t="str">
        <f t="shared" si="4"/>
        <v>D9</v>
      </c>
      <c r="I490" s="10" t="str">
        <f t="shared" si="5"/>
        <v>BRN67M-D9</v>
      </c>
      <c r="J490" s="16"/>
      <c r="K490" s="16" t="str">
        <f t="shared" si="6"/>
        <v>collected</v>
      </c>
      <c r="L490" s="16" t="str">
        <f t="shared" si="7"/>
        <v>N</v>
      </c>
      <c r="M490" s="16"/>
      <c r="N490" s="16"/>
    </row>
    <row r="491">
      <c r="A491" s="27" t="s">
        <v>895</v>
      </c>
      <c r="B491" s="10" t="str">
        <f t="shared" si="1"/>
        <v>RNA-muscle</v>
      </c>
      <c r="C491" s="10" t="str">
        <f t="shared" si="2"/>
        <v>BRN67M-C9</v>
      </c>
      <c r="D491" s="6">
        <v>67.0</v>
      </c>
      <c r="E491" s="10" t="str">
        <f t="shared" si="3"/>
        <v>BRN67M</v>
      </c>
      <c r="F491" s="6" t="s">
        <v>72</v>
      </c>
      <c r="G491" s="6">
        <v>9.0</v>
      </c>
      <c r="H491" s="11" t="str">
        <f t="shared" si="4"/>
        <v>C9</v>
      </c>
      <c r="I491" s="10" t="str">
        <f t="shared" si="5"/>
        <v>BRN67M-C9</v>
      </c>
      <c r="J491" s="16"/>
      <c r="K491" s="16" t="str">
        <f t="shared" si="6"/>
        <v>collected</v>
      </c>
      <c r="L491" s="16" t="str">
        <f t="shared" si="7"/>
        <v>N</v>
      </c>
      <c r="M491" s="16"/>
      <c r="N491" s="16"/>
    </row>
    <row r="492">
      <c r="A492" s="27" t="s">
        <v>897</v>
      </c>
      <c r="B492" s="10" t="str">
        <f t="shared" si="1"/>
        <v>RNA-muscle</v>
      </c>
      <c r="C492" s="10" t="str">
        <f t="shared" si="2"/>
        <v>BRN67M-F6</v>
      </c>
      <c r="D492" s="6">
        <v>67.0</v>
      </c>
      <c r="E492" s="10" t="str">
        <f t="shared" si="3"/>
        <v>BRN67M</v>
      </c>
      <c r="F492" s="6" t="s">
        <v>61</v>
      </c>
      <c r="G492" s="6">
        <v>6.0</v>
      </c>
      <c r="H492" s="11" t="str">
        <f t="shared" si="4"/>
        <v>F6</v>
      </c>
      <c r="I492" s="10" t="str">
        <f t="shared" si="5"/>
        <v>BRN67M-F6</v>
      </c>
      <c r="J492" s="16"/>
      <c r="K492" s="16" t="str">
        <f t="shared" si="6"/>
        <v>collected</v>
      </c>
      <c r="L492" s="16" t="str">
        <f t="shared" si="7"/>
        <v>N</v>
      </c>
      <c r="M492" s="16"/>
      <c r="N492" s="16"/>
    </row>
    <row r="493">
      <c r="A493" s="27" t="s">
        <v>898</v>
      </c>
      <c r="B493" s="10" t="str">
        <f t="shared" si="1"/>
        <v>RNA-muscle</v>
      </c>
      <c r="C493" s="10" t="str">
        <f t="shared" si="2"/>
        <v>BRN67M-E6</v>
      </c>
      <c r="D493" s="6">
        <v>67.0</v>
      </c>
      <c r="E493" s="10" t="str">
        <f t="shared" si="3"/>
        <v>BRN67M</v>
      </c>
      <c r="F493" s="6" t="s">
        <v>66</v>
      </c>
      <c r="G493" s="6">
        <v>6.0</v>
      </c>
      <c r="H493" s="11" t="str">
        <f t="shared" si="4"/>
        <v>E6</v>
      </c>
      <c r="I493" s="10" t="str">
        <f t="shared" si="5"/>
        <v>BRN67M-E6</v>
      </c>
      <c r="J493" s="16"/>
      <c r="K493" s="16" t="str">
        <f t="shared" si="6"/>
        <v>collected</v>
      </c>
      <c r="L493" s="16" t="str">
        <f t="shared" si="7"/>
        <v>N</v>
      </c>
      <c r="M493" s="16"/>
      <c r="N493" s="16"/>
    </row>
    <row r="494">
      <c r="A494" s="26" t="s">
        <v>899</v>
      </c>
      <c r="B494" s="10" t="str">
        <f t="shared" si="1"/>
        <v>RNA-muscle</v>
      </c>
      <c r="C494" s="10" t="str">
        <f t="shared" si="2"/>
        <v>BRN67M-D6</v>
      </c>
      <c r="D494" s="6">
        <v>67.0</v>
      </c>
      <c r="E494" s="10" t="str">
        <f t="shared" si="3"/>
        <v>BRN67M</v>
      </c>
      <c r="F494" s="6" t="s">
        <v>68</v>
      </c>
      <c r="G494" s="6">
        <v>6.0</v>
      </c>
      <c r="H494" s="11" t="str">
        <f t="shared" si="4"/>
        <v>D6</v>
      </c>
      <c r="I494" s="10" t="str">
        <f t="shared" si="5"/>
        <v>BRN67M-D6</v>
      </c>
      <c r="J494" s="16"/>
      <c r="K494" s="16" t="str">
        <f t="shared" si="6"/>
        <v>collected</v>
      </c>
      <c r="L494" s="16" t="str">
        <f t="shared" si="7"/>
        <v>N</v>
      </c>
      <c r="M494" s="16"/>
      <c r="N494" s="16"/>
    </row>
    <row r="495">
      <c r="A495" s="26" t="s">
        <v>901</v>
      </c>
      <c r="B495" s="10" t="str">
        <f t="shared" si="1"/>
        <v>RNA-muscle</v>
      </c>
      <c r="C495" s="10" t="str">
        <f t="shared" si="2"/>
        <v>BRN67M-C6</v>
      </c>
      <c r="D495" s="6">
        <v>67.0</v>
      </c>
      <c r="E495" s="10" t="str">
        <f t="shared" si="3"/>
        <v>BRN67M</v>
      </c>
      <c r="F495" s="6" t="s">
        <v>72</v>
      </c>
      <c r="G495" s="6">
        <v>6.0</v>
      </c>
      <c r="H495" s="11" t="str">
        <f t="shared" si="4"/>
        <v>C6</v>
      </c>
      <c r="I495" s="10" t="str">
        <f t="shared" si="5"/>
        <v>BRN67M-C6</v>
      </c>
      <c r="J495" s="16"/>
      <c r="K495" s="16" t="str">
        <f t="shared" si="6"/>
        <v>collected</v>
      </c>
      <c r="L495" s="16" t="str">
        <f t="shared" si="7"/>
        <v>N</v>
      </c>
      <c r="M495" s="16"/>
      <c r="N495" s="16"/>
    </row>
    <row r="496">
      <c r="A496" s="26" t="s">
        <v>903</v>
      </c>
      <c r="B496" s="10" t="str">
        <f t="shared" si="1"/>
        <v>RNA-muscle</v>
      </c>
      <c r="C496" s="10" t="str">
        <f t="shared" si="2"/>
        <v>BRN67M-B6</v>
      </c>
      <c r="D496" s="6">
        <v>67.0</v>
      </c>
      <c r="E496" s="10" t="str">
        <f t="shared" si="3"/>
        <v>BRN67M</v>
      </c>
      <c r="F496" s="6" t="s">
        <v>74</v>
      </c>
      <c r="G496" s="6">
        <v>6.0</v>
      </c>
      <c r="H496" s="11" t="str">
        <f t="shared" si="4"/>
        <v>B6</v>
      </c>
      <c r="I496" s="10" t="str">
        <f t="shared" si="5"/>
        <v>BRN67M-B6</v>
      </c>
      <c r="J496" s="16"/>
      <c r="K496" s="16" t="str">
        <f t="shared" si="6"/>
        <v>collected</v>
      </c>
      <c r="L496" s="16" t="str">
        <f t="shared" si="7"/>
        <v>N</v>
      </c>
      <c r="M496" s="16"/>
      <c r="N496" s="16"/>
    </row>
    <row r="497">
      <c r="A497" s="26" t="s">
        <v>904</v>
      </c>
      <c r="B497" s="10" t="str">
        <f t="shared" si="1"/>
        <v>RNA-muscle</v>
      </c>
      <c r="C497" s="10" t="str">
        <f t="shared" si="2"/>
        <v>BRN67M-H8</v>
      </c>
      <c r="D497" s="6">
        <v>67.0</v>
      </c>
      <c r="E497" s="10" t="str">
        <f t="shared" si="3"/>
        <v>BRN67M</v>
      </c>
      <c r="F497" s="6" t="s">
        <v>51</v>
      </c>
      <c r="G497" s="6">
        <v>8.0</v>
      </c>
      <c r="H497" s="11" t="str">
        <f t="shared" si="4"/>
        <v>H8</v>
      </c>
      <c r="I497" s="10" t="str">
        <f t="shared" si="5"/>
        <v>BRN67M-H8</v>
      </c>
      <c r="J497" s="16"/>
      <c r="K497" s="16" t="str">
        <f t="shared" si="6"/>
        <v>collected</v>
      </c>
      <c r="L497" s="16" t="str">
        <f t="shared" si="7"/>
        <v>N</v>
      </c>
      <c r="M497" s="16"/>
      <c r="N497" s="16"/>
    </row>
    <row r="498">
      <c r="A498" s="26" t="s">
        <v>905</v>
      </c>
      <c r="B498" s="10" t="str">
        <f t="shared" si="1"/>
        <v>RNA-muscle</v>
      </c>
      <c r="C498" s="10" t="str">
        <f t="shared" si="2"/>
        <v>BRN67M-G8</v>
      </c>
      <c r="D498" s="6">
        <v>67.0</v>
      </c>
      <c r="E498" s="10" t="str">
        <f t="shared" si="3"/>
        <v>BRN67M</v>
      </c>
      <c r="F498" s="6" t="s">
        <v>56</v>
      </c>
      <c r="G498" s="6">
        <v>8.0</v>
      </c>
      <c r="H498" s="11" t="str">
        <f t="shared" si="4"/>
        <v>G8</v>
      </c>
      <c r="I498" s="10" t="str">
        <f t="shared" si="5"/>
        <v>BRN67M-G8</v>
      </c>
      <c r="J498" s="16"/>
      <c r="K498" s="16" t="str">
        <f t="shared" si="6"/>
        <v>collected</v>
      </c>
      <c r="L498" s="16" t="str">
        <f t="shared" si="7"/>
        <v>N</v>
      </c>
      <c r="M498" s="16"/>
      <c r="N498" s="16"/>
    </row>
    <row r="499">
      <c r="A499" s="26" t="s">
        <v>906</v>
      </c>
      <c r="B499" s="10" t="str">
        <f t="shared" si="1"/>
        <v>RNA-muscle</v>
      </c>
      <c r="C499" s="10" t="str">
        <f t="shared" si="2"/>
        <v>BRN67M-F8</v>
      </c>
      <c r="D499" s="6">
        <v>67.0</v>
      </c>
      <c r="E499" s="10" t="str">
        <f t="shared" si="3"/>
        <v>BRN67M</v>
      </c>
      <c r="F499" s="6" t="s">
        <v>61</v>
      </c>
      <c r="G499" s="6">
        <v>8.0</v>
      </c>
      <c r="H499" s="11" t="str">
        <f t="shared" si="4"/>
        <v>F8</v>
      </c>
      <c r="I499" s="10" t="str">
        <f t="shared" si="5"/>
        <v>BRN67M-F8</v>
      </c>
      <c r="J499" s="16"/>
      <c r="K499" s="16" t="str">
        <f t="shared" si="6"/>
        <v>collected</v>
      </c>
      <c r="L499" s="16" t="str">
        <f t="shared" si="7"/>
        <v>N</v>
      </c>
      <c r="M499" s="16"/>
      <c r="N499" s="16"/>
    </row>
    <row r="500">
      <c r="A500" s="26" t="s">
        <v>907</v>
      </c>
      <c r="B500" s="10" t="str">
        <f t="shared" si="1"/>
        <v>RNA-muscle</v>
      </c>
      <c r="C500" s="10" t="str">
        <f t="shared" si="2"/>
        <v>BRN67M-E8</v>
      </c>
      <c r="D500" s="6">
        <v>67.0</v>
      </c>
      <c r="E500" s="10" t="str">
        <f t="shared" si="3"/>
        <v>BRN67M</v>
      </c>
      <c r="F500" s="6" t="s">
        <v>66</v>
      </c>
      <c r="G500" s="6">
        <v>8.0</v>
      </c>
      <c r="H500" s="11" t="str">
        <f t="shared" si="4"/>
        <v>E8</v>
      </c>
      <c r="I500" s="10" t="str">
        <f t="shared" si="5"/>
        <v>BRN67M-E8</v>
      </c>
      <c r="J500" s="16"/>
      <c r="K500" s="16" t="str">
        <f t="shared" si="6"/>
        <v>collected</v>
      </c>
      <c r="L500" s="16" t="str">
        <f t="shared" si="7"/>
        <v>N</v>
      </c>
      <c r="M500" s="16"/>
      <c r="N500" s="16"/>
    </row>
    <row r="501">
      <c r="A501" s="26" t="s">
        <v>908</v>
      </c>
      <c r="B501" s="10" t="str">
        <f t="shared" si="1"/>
        <v>RNA-muscle</v>
      </c>
      <c r="C501" s="10" t="str">
        <f t="shared" si="2"/>
        <v>BRN67M-D8</v>
      </c>
      <c r="D501" s="6">
        <v>67.0</v>
      </c>
      <c r="E501" s="10" t="str">
        <f t="shared" si="3"/>
        <v>BRN67M</v>
      </c>
      <c r="F501" s="6" t="s">
        <v>68</v>
      </c>
      <c r="G501" s="6">
        <v>8.0</v>
      </c>
      <c r="H501" s="11" t="str">
        <f t="shared" si="4"/>
        <v>D8</v>
      </c>
      <c r="I501" s="10" t="str">
        <f t="shared" si="5"/>
        <v>BRN67M-D8</v>
      </c>
      <c r="J501" s="16"/>
      <c r="K501" s="16" t="str">
        <f t="shared" si="6"/>
        <v>collected</v>
      </c>
      <c r="L501" s="16" t="str">
        <f t="shared" si="7"/>
        <v>N</v>
      </c>
      <c r="M501" s="16"/>
      <c r="N501" s="16"/>
    </row>
    <row r="502">
      <c r="A502" s="26" t="s">
        <v>910</v>
      </c>
      <c r="B502" s="10" t="str">
        <f t="shared" si="1"/>
        <v>RNA-muscle</v>
      </c>
      <c r="C502" s="10" t="str">
        <f t="shared" si="2"/>
        <v>BRN67M-C8</v>
      </c>
      <c r="D502" s="6">
        <v>67.0</v>
      </c>
      <c r="E502" s="10" t="str">
        <f t="shared" si="3"/>
        <v>BRN67M</v>
      </c>
      <c r="F502" s="6" t="s">
        <v>72</v>
      </c>
      <c r="G502" s="6">
        <v>8.0</v>
      </c>
      <c r="H502" s="11" t="str">
        <f t="shared" si="4"/>
        <v>C8</v>
      </c>
      <c r="I502" s="10" t="str">
        <f t="shared" si="5"/>
        <v>BRN67M-C8</v>
      </c>
      <c r="J502" s="16"/>
      <c r="K502" s="16" t="str">
        <f t="shared" si="6"/>
        <v>collected</v>
      </c>
      <c r="L502" s="16" t="str">
        <f t="shared" si="7"/>
        <v>N</v>
      </c>
      <c r="M502" s="16"/>
      <c r="N502" s="16"/>
    </row>
    <row r="503">
      <c r="A503" s="26" t="s">
        <v>911</v>
      </c>
      <c r="B503" s="10" t="str">
        <f t="shared" si="1"/>
        <v>RNA-muscle</v>
      </c>
      <c r="C503" s="10" t="str">
        <f t="shared" si="2"/>
        <v>BRN67M-B8</v>
      </c>
      <c r="D503" s="6">
        <v>67.0</v>
      </c>
      <c r="E503" s="10" t="str">
        <f t="shared" si="3"/>
        <v>BRN67M</v>
      </c>
      <c r="F503" s="6" t="s">
        <v>74</v>
      </c>
      <c r="G503" s="6">
        <v>8.0</v>
      </c>
      <c r="H503" s="11" t="str">
        <f t="shared" si="4"/>
        <v>B8</v>
      </c>
      <c r="I503" s="10" t="str">
        <f t="shared" si="5"/>
        <v>BRN67M-B8</v>
      </c>
      <c r="J503" s="16"/>
      <c r="K503" s="16" t="str">
        <f t="shared" si="6"/>
        <v>collected</v>
      </c>
      <c r="L503" s="16" t="str">
        <f t="shared" si="7"/>
        <v>N</v>
      </c>
      <c r="M503" s="16"/>
      <c r="N503" s="16"/>
    </row>
    <row r="504">
      <c r="A504" s="27" t="s">
        <v>913</v>
      </c>
      <c r="B504" s="10" t="str">
        <f t="shared" si="1"/>
        <v>RNA-muscle</v>
      </c>
      <c r="C504" s="10" t="str">
        <f t="shared" si="2"/>
        <v>BRN67M-A8</v>
      </c>
      <c r="D504" s="6">
        <v>67.0</v>
      </c>
      <c r="E504" s="10" t="str">
        <f t="shared" si="3"/>
        <v>BRN67M</v>
      </c>
      <c r="F504" s="6" t="s">
        <v>76</v>
      </c>
      <c r="G504" s="6">
        <v>8.0</v>
      </c>
      <c r="H504" s="11" t="str">
        <f t="shared" si="4"/>
        <v>A8</v>
      </c>
      <c r="I504" s="10" t="str">
        <f t="shared" si="5"/>
        <v>BRN67M-A8</v>
      </c>
      <c r="J504" s="16"/>
      <c r="K504" s="16" t="str">
        <f t="shared" si="6"/>
        <v>collected</v>
      </c>
      <c r="L504" s="16" t="str">
        <f t="shared" si="7"/>
        <v>N</v>
      </c>
      <c r="M504" s="16"/>
      <c r="N504" s="16"/>
    </row>
    <row r="505">
      <c r="A505" s="27" t="s">
        <v>914</v>
      </c>
      <c r="B505" s="10" t="str">
        <f t="shared" si="1"/>
        <v>RNA-muscle</v>
      </c>
      <c r="C505" s="10" t="str">
        <f t="shared" si="2"/>
        <v>BRN67M-H10</v>
      </c>
      <c r="D505" s="6">
        <v>67.0</v>
      </c>
      <c r="E505" s="10" t="str">
        <f t="shared" si="3"/>
        <v>BRN67M</v>
      </c>
      <c r="F505" s="6" t="s">
        <v>51</v>
      </c>
      <c r="G505" s="6">
        <v>10.0</v>
      </c>
      <c r="H505" s="11" t="str">
        <f t="shared" si="4"/>
        <v>H10</v>
      </c>
      <c r="I505" s="10" t="str">
        <f t="shared" si="5"/>
        <v>BRN67M-H10</v>
      </c>
      <c r="J505" s="16"/>
      <c r="K505" s="16" t="str">
        <f t="shared" si="6"/>
        <v>collected</v>
      </c>
      <c r="L505" s="16" t="str">
        <f t="shared" si="7"/>
        <v>N</v>
      </c>
      <c r="M505" s="16"/>
      <c r="N505" s="16"/>
    </row>
    <row r="506">
      <c r="A506" s="27" t="s">
        <v>916</v>
      </c>
      <c r="B506" s="10" t="str">
        <f t="shared" si="1"/>
        <v>RNA-muscle</v>
      </c>
      <c r="C506" s="10" t="str">
        <f t="shared" si="2"/>
        <v>BRN67M-G10</v>
      </c>
      <c r="D506" s="6">
        <v>67.0</v>
      </c>
      <c r="E506" s="10" t="str">
        <f t="shared" si="3"/>
        <v>BRN67M</v>
      </c>
      <c r="F506" s="6" t="s">
        <v>56</v>
      </c>
      <c r="G506" s="6">
        <v>10.0</v>
      </c>
      <c r="H506" s="11" t="str">
        <f t="shared" si="4"/>
        <v>G10</v>
      </c>
      <c r="I506" s="10" t="str">
        <f t="shared" si="5"/>
        <v>BRN67M-G10</v>
      </c>
      <c r="J506" s="16"/>
      <c r="K506" s="16" t="str">
        <f t="shared" si="6"/>
        <v>collected</v>
      </c>
      <c r="L506" s="16" t="str">
        <f t="shared" si="7"/>
        <v>N</v>
      </c>
      <c r="M506" s="16"/>
      <c r="N506" s="16"/>
    </row>
    <row r="507">
      <c r="A507" s="6" t="s">
        <v>917</v>
      </c>
      <c r="B507" s="10" t="str">
        <f t="shared" si="1"/>
        <v>RNA-muscle</v>
      </c>
      <c r="C507" s="10" t="str">
        <f t="shared" si="2"/>
        <v>BRN67M-B9</v>
      </c>
      <c r="D507" s="6">
        <v>67.0</v>
      </c>
      <c r="E507" s="10" t="str">
        <f t="shared" si="3"/>
        <v>BRN67M</v>
      </c>
      <c r="F507" s="6" t="s">
        <v>74</v>
      </c>
      <c r="G507" s="6">
        <v>9.0</v>
      </c>
      <c r="H507" s="11" t="str">
        <f t="shared" si="4"/>
        <v>B9</v>
      </c>
      <c r="I507" s="10" t="str">
        <f t="shared" si="5"/>
        <v>BRN67M-B9</v>
      </c>
      <c r="J507" s="6"/>
      <c r="K507" s="16" t="str">
        <f t="shared" si="6"/>
        <v>collected</v>
      </c>
      <c r="L507" s="16" t="str">
        <f t="shared" si="7"/>
        <v>N</v>
      </c>
      <c r="M507" s="16"/>
      <c r="N507" s="16"/>
    </row>
    <row r="508">
      <c r="A508" s="27" t="s">
        <v>918</v>
      </c>
      <c r="B508" s="10" t="str">
        <f t="shared" si="1"/>
        <v>RNA-muscle</v>
      </c>
      <c r="C508" s="10" t="str">
        <f t="shared" si="2"/>
        <v>BRN67M-A9</v>
      </c>
      <c r="D508" s="6">
        <v>67.0</v>
      </c>
      <c r="E508" s="10" t="str">
        <f t="shared" si="3"/>
        <v>BRN67M</v>
      </c>
      <c r="F508" s="6" t="s">
        <v>76</v>
      </c>
      <c r="G508" s="6">
        <v>9.0</v>
      </c>
      <c r="H508" s="11" t="str">
        <f t="shared" si="4"/>
        <v>A9</v>
      </c>
      <c r="I508" s="10" t="str">
        <f t="shared" si="5"/>
        <v>BRN67M-A9</v>
      </c>
      <c r="J508" s="16"/>
      <c r="K508" s="16" t="str">
        <f t="shared" si="6"/>
        <v>collected</v>
      </c>
      <c r="L508" s="16" t="str">
        <f t="shared" si="7"/>
        <v>N</v>
      </c>
      <c r="M508" s="16"/>
      <c r="N508" s="16"/>
    </row>
    <row r="509">
      <c r="A509" s="27" t="s">
        <v>921</v>
      </c>
      <c r="B509" s="10" t="str">
        <f t="shared" si="1"/>
        <v>RNA-muscle</v>
      </c>
      <c r="C509" s="10" t="str">
        <f t="shared" si="2"/>
        <v>BRN67M-H11</v>
      </c>
      <c r="D509" s="6">
        <v>67.0</v>
      </c>
      <c r="E509" s="10" t="str">
        <f t="shared" si="3"/>
        <v>BRN67M</v>
      </c>
      <c r="F509" s="6" t="s">
        <v>51</v>
      </c>
      <c r="G509" s="6">
        <v>11.0</v>
      </c>
      <c r="H509" s="11" t="str">
        <f t="shared" si="4"/>
        <v>H11</v>
      </c>
      <c r="I509" s="10" t="str">
        <f t="shared" si="5"/>
        <v>BRN67M-H11</v>
      </c>
      <c r="J509" s="16"/>
      <c r="K509" s="16" t="str">
        <f t="shared" si="6"/>
        <v>collected</v>
      </c>
      <c r="L509" s="16" t="str">
        <f t="shared" si="7"/>
        <v>N</v>
      </c>
      <c r="M509" s="16"/>
      <c r="N509" s="16"/>
    </row>
    <row r="510">
      <c r="A510" s="27" t="s">
        <v>922</v>
      </c>
      <c r="B510" s="10" t="str">
        <f t="shared" si="1"/>
        <v>RNA-muscle</v>
      </c>
      <c r="C510" s="10" t="str">
        <f t="shared" si="2"/>
        <v>BRN67M-G11</v>
      </c>
      <c r="D510" s="6">
        <v>67.0</v>
      </c>
      <c r="E510" s="10" t="str">
        <f t="shared" si="3"/>
        <v>BRN67M</v>
      </c>
      <c r="F510" s="6" t="s">
        <v>56</v>
      </c>
      <c r="G510" s="6">
        <v>11.0</v>
      </c>
      <c r="H510" s="11" t="str">
        <f t="shared" si="4"/>
        <v>G11</v>
      </c>
      <c r="I510" s="10" t="str">
        <f t="shared" si="5"/>
        <v>BRN67M-G11</v>
      </c>
      <c r="J510" s="16"/>
      <c r="K510" s="16" t="str">
        <f t="shared" si="6"/>
        <v>collected</v>
      </c>
      <c r="L510" s="16" t="str">
        <f t="shared" si="7"/>
        <v>N</v>
      </c>
      <c r="M510" s="16"/>
      <c r="N510" s="16"/>
    </row>
    <row r="511">
      <c r="A511" s="27" t="s">
        <v>923</v>
      </c>
      <c r="B511" s="10" t="str">
        <f t="shared" si="1"/>
        <v>RNA-muscle</v>
      </c>
      <c r="C511" s="10" t="str">
        <f t="shared" si="2"/>
        <v>BRN67M-F11</v>
      </c>
      <c r="D511" s="6">
        <v>67.0</v>
      </c>
      <c r="E511" s="10" t="str">
        <f t="shared" si="3"/>
        <v>BRN67M</v>
      </c>
      <c r="F511" s="6" t="s">
        <v>61</v>
      </c>
      <c r="G511" s="6">
        <v>11.0</v>
      </c>
      <c r="H511" s="11" t="str">
        <f t="shared" si="4"/>
        <v>F11</v>
      </c>
      <c r="I511" s="10" t="str">
        <f t="shared" si="5"/>
        <v>BRN67M-F11</v>
      </c>
      <c r="J511" s="16"/>
      <c r="K511" s="16" t="str">
        <f t="shared" si="6"/>
        <v>collected</v>
      </c>
      <c r="L511" s="16" t="str">
        <f t="shared" si="7"/>
        <v>N</v>
      </c>
      <c r="M511" s="16"/>
      <c r="N511" s="16"/>
    </row>
    <row r="512">
      <c r="A512" s="27" t="s">
        <v>924</v>
      </c>
      <c r="B512" s="10" t="str">
        <f t="shared" si="1"/>
        <v>RNA-muscle</v>
      </c>
      <c r="C512" s="10" t="str">
        <f t="shared" si="2"/>
        <v>BRN67M-E11</v>
      </c>
      <c r="D512" s="6">
        <v>67.0</v>
      </c>
      <c r="E512" s="10" t="str">
        <f t="shared" si="3"/>
        <v>BRN67M</v>
      </c>
      <c r="F512" s="6" t="s">
        <v>66</v>
      </c>
      <c r="G512" s="6">
        <v>11.0</v>
      </c>
      <c r="H512" s="11" t="str">
        <f t="shared" si="4"/>
        <v>E11</v>
      </c>
      <c r="I512" s="10" t="str">
        <f t="shared" si="5"/>
        <v>BRN67M-E11</v>
      </c>
      <c r="J512" s="6"/>
      <c r="K512" s="16" t="str">
        <f t="shared" si="6"/>
        <v>collected</v>
      </c>
      <c r="L512" s="16" t="str">
        <f t="shared" si="7"/>
        <v>N</v>
      </c>
      <c r="M512" s="16"/>
      <c r="N512" s="16"/>
    </row>
    <row r="513">
      <c r="A513" s="27" t="s">
        <v>927</v>
      </c>
      <c r="B513" s="10" t="str">
        <f t="shared" si="1"/>
        <v>RNA-muscle</v>
      </c>
      <c r="C513" s="10" t="str">
        <f t="shared" si="2"/>
        <v>BRN67M-D11</v>
      </c>
      <c r="D513" s="6">
        <v>67.0</v>
      </c>
      <c r="E513" s="10" t="str">
        <f t="shared" si="3"/>
        <v>BRN67M</v>
      </c>
      <c r="F513" s="6" t="s">
        <v>68</v>
      </c>
      <c r="G513" s="6">
        <v>11.0</v>
      </c>
      <c r="H513" s="11" t="str">
        <f t="shared" si="4"/>
        <v>D11</v>
      </c>
      <c r="I513" s="10" t="str">
        <f t="shared" si="5"/>
        <v>BRN67M-D11</v>
      </c>
      <c r="J513" s="16"/>
      <c r="K513" s="16" t="str">
        <f t="shared" si="6"/>
        <v>collected</v>
      </c>
      <c r="L513" s="16" t="str">
        <f t="shared" si="7"/>
        <v>N</v>
      </c>
      <c r="M513" s="16"/>
      <c r="N513" s="16"/>
    </row>
    <row r="514">
      <c r="A514" s="27" t="s">
        <v>929</v>
      </c>
      <c r="B514" s="10" t="str">
        <f t="shared" si="1"/>
        <v>RNA-muscle</v>
      </c>
      <c r="C514" s="10" t="str">
        <f t="shared" si="2"/>
        <v>BRN67M-C11</v>
      </c>
      <c r="D514" s="6">
        <v>67.0</v>
      </c>
      <c r="E514" s="10" t="str">
        <f t="shared" si="3"/>
        <v>BRN67M</v>
      </c>
      <c r="F514" s="6" t="s">
        <v>72</v>
      </c>
      <c r="G514" s="6">
        <v>11.0</v>
      </c>
      <c r="H514" s="11" t="str">
        <f t="shared" si="4"/>
        <v>C11</v>
      </c>
      <c r="I514" s="10" t="str">
        <f t="shared" si="5"/>
        <v>BRN67M-C11</v>
      </c>
      <c r="J514" s="6"/>
      <c r="K514" s="16" t="str">
        <f t="shared" si="6"/>
        <v>collected</v>
      </c>
      <c r="L514" s="16" t="str">
        <f t="shared" si="7"/>
        <v>N</v>
      </c>
      <c r="M514" s="16"/>
      <c r="N514" s="16"/>
    </row>
    <row r="515">
      <c r="A515" s="27" t="s">
        <v>930</v>
      </c>
      <c r="B515" s="10" t="str">
        <f t="shared" si="1"/>
        <v>RNA-muscle</v>
      </c>
      <c r="C515" s="10" t="str">
        <f t="shared" si="2"/>
        <v>BRN67M-B11</v>
      </c>
      <c r="D515" s="6">
        <v>67.0</v>
      </c>
      <c r="E515" s="10" t="str">
        <f t="shared" si="3"/>
        <v>BRN67M</v>
      </c>
      <c r="F515" s="6" t="s">
        <v>74</v>
      </c>
      <c r="G515" s="6">
        <v>11.0</v>
      </c>
      <c r="H515" s="11" t="str">
        <f t="shared" si="4"/>
        <v>B11</v>
      </c>
      <c r="I515" s="10" t="str">
        <f t="shared" si="5"/>
        <v>BRN67M-B11</v>
      </c>
      <c r="J515" s="6"/>
      <c r="K515" s="16" t="str">
        <f t="shared" si="6"/>
        <v>collected</v>
      </c>
      <c r="L515" s="16" t="str">
        <f t="shared" si="7"/>
        <v>N</v>
      </c>
      <c r="M515" s="16"/>
      <c r="N515" s="16"/>
    </row>
    <row r="516">
      <c r="A516" s="27" t="s">
        <v>931</v>
      </c>
      <c r="B516" s="10" t="str">
        <f t="shared" si="1"/>
        <v>RNA-muscle</v>
      </c>
      <c r="C516" s="10" t="str">
        <f t="shared" si="2"/>
        <v>BRN67M-A11</v>
      </c>
      <c r="D516" s="6">
        <v>67.0</v>
      </c>
      <c r="E516" s="10" t="str">
        <f t="shared" si="3"/>
        <v>BRN67M</v>
      </c>
      <c r="F516" s="6" t="s">
        <v>76</v>
      </c>
      <c r="G516" s="6">
        <v>11.0</v>
      </c>
      <c r="H516" s="11" t="str">
        <f t="shared" si="4"/>
        <v>A11</v>
      </c>
      <c r="I516" s="10" t="str">
        <f t="shared" si="5"/>
        <v>BRN67M-A11</v>
      </c>
      <c r="J516" s="16"/>
      <c r="K516" s="16" t="str">
        <f t="shared" si="6"/>
        <v>collected</v>
      </c>
      <c r="L516" s="16" t="str">
        <f t="shared" si="7"/>
        <v>N</v>
      </c>
      <c r="M516" s="16"/>
      <c r="N516" s="16"/>
    </row>
    <row r="517">
      <c r="A517" s="27" t="s">
        <v>933</v>
      </c>
      <c r="B517" s="10" t="str">
        <f t="shared" si="1"/>
        <v>RNA-muscle</v>
      </c>
      <c r="C517" s="10" t="str">
        <f t="shared" si="2"/>
        <v>BRN68M-H2</v>
      </c>
      <c r="D517" s="6">
        <v>68.0</v>
      </c>
      <c r="E517" s="10" t="str">
        <f t="shared" si="3"/>
        <v>BRN68M</v>
      </c>
      <c r="F517" s="6" t="s">
        <v>51</v>
      </c>
      <c r="G517" s="6">
        <v>2.0</v>
      </c>
      <c r="H517" s="11" t="str">
        <f t="shared" si="4"/>
        <v>H2</v>
      </c>
      <c r="I517" s="10" t="str">
        <f t="shared" si="5"/>
        <v>BRN68M-H2</v>
      </c>
      <c r="J517" s="16"/>
      <c r="K517" s="16" t="str">
        <f t="shared" si="6"/>
        <v>collected</v>
      </c>
      <c r="L517" s="16" t="str">
        <f t="shared" si="7"/>
        <v>N</v>
      </c>
      <c r="M517" s="16"/>
      <c r="N517" s="16"/>
    </row>
    <row r="518">
      <c r="A518" s="27" t="s">
        <v>934</v>
      </c>
      <c r="B518" s="10" t="str">
        <f t="shared" si="1"/>
        <v>RNA-muscle</v>
      </c>
      <c r="C518" s="10" t="str">
        <f t="shared" si="2"/>
        <v>BRN68M-G2</v>
      </c>
      <c r="D518" s="6">
        <v>68.0</v>
      </c>
      <c r="E518" s="10" t="str">
        <f t="shared" si="3"/>
        <v>BRN68M</v>
      </c>
      <c r="F518" s="6" t="s">
        <v>56</v>
      </c>
      <c r="G518" s="6">
        <v>2.0</v>
      </c>
      <c r="H518" s="11" t="str">
        <f t="shared" si="4"/>
        <v>G2</v>
      </c>
      <c r="I518" s="10" t="str">
        <f t="shared" si="5"/>
        <v>BRN68M-G2</v>
      </c>
      <c r="J518" s="16"/>
      <c r="K518" s="16" t="str">
        <f t="shared" si="6"/>
        <v>collected</v>
      </c>
      <c r="L518" s="16" t="str">
        <f t="shared" si="7"/>
        <v>N</v>
      </c>
      <c r="M518" s="16"/>
      <c r="N518" s="16"/>
    </row>
    <row r="519">
      <c r="A519" s="27" t="s">
        <v>935</v>
      </c>
      <c r="B519" s="10" t="str">
        <f t="shared" si="1"/>
        <v>RNA-muscle</v>
      </c>
      <c r="C519" s="10" t="str">
        <f t="shared" si="2"/>
        <v>BRN68M-F2</v>
      </c>
      <c r="D519" s="6">
        <v>68.0</v>
      </c>
      <c r="E519" s="10" t="str">
        <f t="shared" si="3"/>
        <v>BRN68M</v>
      </c>
      <c r="F519" s="6" t="s">
        <v>61</v>
      </c>
      <c r="G519" s="6">
        <v>2.0</v>
      </c>
      <c r="H519" s="11" t="str">
        <f t="shared" si="4"/>
        <v>F2</v>
      </c>
      <c r="I519" s="10" t="str">
        <f t="shared" si="5"/>
        <v>BRN68M-F2</v>
      </c>
      <c r="J519" s="16"/>
      <c r="K519" s="16" t="str">
        <f t="shared" si="6"/>
        <v>collected</v>
      </c>
      <c r="L519" s="16" t="str">
        <f t="shared" si="7"/>
        <v>N</v>
      </c>
      <c r="M519" s="16"/>
      <c r="N519" s="16"/>
    </row>
    <row r="520">
      <c r="A520" s="27" t="s">
        <v>937</v>
      </c>
      <c r="B520" s="10" t="str">
        <f t="shared" si="1"/>
        <v>RNA-muscle</v>
      </c>
      <c r="C520" s="10" t="str">
        <f t="shared" si="2"/>
        <v>BRN68M-E2</v>
      </c>
      <c r="D520" s="6">
        <v>68.0</v>
      </c>
      <c r="E520" s="10" t="str">
        <f t="shared" si="3"/>
        <v>BRN68M</v>
      </c>
      <c r="F520" s="6" t="s">
        <v>66</v>
      </c>
      <c r="G520" s="6">
        <v>2.0</v>
      </c>
      <c r="H520" s="11" t="str">
        <f t="shared" si="4"/>
        <v>E2</v>
      </c>
      <c r="I520" s="10" t="str">
        <f t="shared" si="5"/>
        <v>BRN68M-E2</v>
      </c>
      <c r="J520" s="16"/>
      <c r="K520" s="16" t="str">
        <f t="shared" si="6"/>
        <v>collected</v>
      </c>
      <c r="L520" s="16" t="str">
        <f t="shared" si="7"/>
        <v>N</v>
      </c>
      <c r="M520" s="16"/>
      <c r="N520" s="16"/>
    </row>
    <row r="521">
      <c r="A521" s="27" t="s">
        <v>938</v>
      </c>
      <c r="B521" s="10" t="str">
        <f t="shared" si="1"/>
        <v>RNA-muscle</v>
      </c>
      <c r="C521" s="10" t="str">
        <f t="shared" si="2"/>
        <v>BRN68M-D2</v>
      </c>
      <c r="D521" s="6">
        <v>68.0</v>
      </c>
      <c r="E521" s="10" t="str">
        <f t="shared" si="3"/>
        <v>BRN68M</v>
      </c>
      <c r="F521" s="6" t="s">
        <v>68</v>
      </c>
      <c r="G521" s="6">
        <v>2.0</v>
      </c>
      <c r="H521" s="11" t="str">
        <f t="shared" si="4"/>
        <v>D2</v>
      </c>
      <c r="I521" s="10" t="str">
        <f t="shared" si="5"/>
        <v>BRN68M-D2</v>
      </c>
      <c r="J521" s="16"/>
      <c r="K521" s="16" t="str">
        <f t="shared" si="6"/>
        <v>collected</v>
      </c>
      <c r="L521" s="16" t="str">
        <f t="shared" si="7"/>
        <v>N</v>
      </c>
      <c r="M521" s="16"/>
      <c r="N521" s="16"/>
    </row>
    <row r="522">
      <c r="A522" s="27" t="s">
        <v>940</v>
      </c>
      <c r="B522" s="10" t="str">
        <f t="shared" si="1"/>
        <v>RNA-muscle</v>
      </c>
      <c r="C522" s="10" t="str">
        <f t="shared" si="2"/>
        <v>BRN68M-C2</v>
      </c>
      <c r="D522" s="6">
        <v>68.0</v>
      </c>
      <c r="E522" s="10" t="str">
        <f t="shared" si="3"/>
        <v>BRN68M</v>
      </c>
      <c r="F522" s="6" t="s">
        <v>72</v>
      </c>
      <c r="G522" s="6">
        <v>2.0</v>
      </c>
      <c r="H522" s="11" t="str">
        <f t="shared" si="4"/>
        <v>C2</v>
      </c>
      <c r="I522" s="10" t="str">
        <f t="shared" si="5"/>
        <v>BRN68M-C2</v>
      </c>
      <c r="J522" s="16"/>
      <c r="K522" s="16" t="str">
        <f t="shared" si="6"/>
        <v>collected</v>
      </c>
      <c r="L522" s="16" t="str">
        <f t="shared" si="7"/>
        <v>N</v>
      </c>
      <c r="M522" s="16"/>
      <c r="N522" s="16"/>
    </row>
    <row r="523">
      <c r="A523" s="27" t="s">
        <v>941</v>
      </c>
      <c r="B523" s="10" t="str">
        <f t="shared" si="1"/>
        <v>RNA-muscle</v>
      </c>
      <c r="C523" s="10" t="str">
        <f t="shared" si="2"/>
        <v>BRN68M-B2</v>
      </c>
      <c r="D523" s="6">
        <v>68.0</v>
      </c>
      <c r="E523" s="10" t="str">
        <f t="shared" si="3"/>
        <v>BRN68M</v>
      </c>
      <c r="F523" s="6" t="s">
        <v>74</v>
      </c>
      <c r="G523" s="6">
        <v>2.0</v>
      </c>
      <c r="H523" s="11" t="str">
        <f t="shared" si="4"/>
        <v>B2</v>
      </c>
      <c r="I523" s="10" t="str">
        <f t="shared" si="5"/>
        <v>BRN68M-B2</v>
      </c>
      <c r="J523" s="16"/>
      <c r="K523" s="16" t="str">
        <f t="shared" si="6"/>
        <v>collected</v>
      </c>
      <c r="L523" s="16" t="str">
        <f t="shared" si="7"/>
        <v>N</v>
      </c>
      <c r="M523" s="16"/>
      <c r="N523" s="16"/>
    </row>
    <row r="524">
      <c r="A524" s="27" t="s">
        <v>942</v>
      </c>
      <c r="B524" s="10" t="str">
        <f t="shared" si="1"/>
        <v>RNA-muscle</v>
      </c>
      <c r="C524" s="10" t="str">
        <f t="shared" si="2"/>
        <v>BRN68M-A2</v>
      </c>
      <c r="D524" s="6">
        <v>68.0</v>
      </c>
      <c r="E524" s="10" t="str">
        <f t="shared" si="3"/>
        <v>BRN68M</v>
      </c>
      <c r="F524" s="6" t="s">
        <v>76</v>
      </c>
      <c r="G524" s="6">
        <v>2.0</v>
      </c>
      <c r="H524" s="11" t="str">
        <f t="shared" si="4"/>
        <v>A2</v>
      </c>
      <c r="I524" s="10" t="str">
        <f t="shared" si="5"/>
        <v>BRN68M-A2</v>
      </c>
      <c r="J524" s="16"/>
      <c r="K524" s="16" t="str">
        <f t="shared" si="6"/>
        <v>collected</v>
      </c>
      <c r="L524" s="16" t="str">
        <f t="shared" si="7"/>
        <v>N</v>
      </c>
      <c r="M524" s="16"/>
      <c r="N524" s="16"/>
    </row>
    <row r="525">
      <c r="A525" s="27" t="s">
        <v>943</v>
      </c>
      <c r="B525" s="10" t="str">
        <f t="shared" si="1"/>
        <v>RNA-muscle</v>
      </c>
      <c r="C525" s="10" t="str">
        <f t="shared" si="2"/>
        <v>BRN67M-F10</v>
      </c>
      <c r="D525" s="6">
        <v>67.0</v>
      </c>
      <c r="E525" s="10" t="str">
        <f t="shared" si="3"/>
        <v>BRN67M</v>
      </c>
      <c r="F525" s="6" t="s">
        <v>61</v>
      </c>
      <c r="G525" s="6">
        <v>10.0</v>
      </c>
      <c r="H525" s="11" t="str">
        <f t="shared" si="4"/>
        <v>F10</v>
      </c>
      <c r="I525" s="10" t="str">
        <f t="shared" si="5"/>
        <v>BRN67M-F10</v>
      </c>
      <c r="K525" s="16" t="str">
        <f t="shared" si="6"/>
        <v>collected</v>
      </c>
      <c r="L525" s="16" t="str">
        <f t="shared" si="7"/>
        <v>N</v>
      </c>
      <c r="M525" s="16"/>
      <c r="N525" s="16"/>
    </row>
    <row r="526">
      <c r="A526" s="27" t="s">
        <v>946</v>
      </c>
      <c r="B526" s="10" t="str">
        <f t="shared" si="1"/>
        <v>RNA-muscle</v>
      </c>
      <c r="C526" s="10" t="str">
        <f t="shared" si="2"/>
        <v>BRN67M-E10</v>
      </c>
      <c r="D526" s="6">
        <v>67.0</v>
      </c>
      <c r="E526" s="10" t="str">
        <f t="shared" si="3"/>
        <v>BRN67M</v>
      </c>
      <c r="F526" s="6" t="s">
        <v>66</v>
      </c>
      <c r="G526" s="6">
        <v>10.0</v>
      </c>
      <c r="H526" s="11" t="str">
        <f t="shared" si="4"/>
        <v>E10</v>
      </c>
      <c r="I526" s="10" t="str">
        <f t="shared" si="5"/>
        <v>BRN67M-E10</v>
      </c>
      <c r="K526" s="16" t="str">
        <f t="shared" si="6"/>
        <v>collected</v>
      </c>
      <c r="L526" s="16" t="str">
        <f t="shared" si="7"/>
        <v>N</v>
      </c>
      <c r="M526" s="16"/>
      <c r="N526" s="16"/>
    </row>
    <row r="527">
      <c r="A527" s="27" t="s">
        <v>947</v>
      </c>
      <c r="B527" s="10" t="str">
        <f t="shared" si="1"/>
        <v>RNA-muscle</v>
      </c>
      <c r="C527" s="10" t="str">
        <f t="shared" si="2"/>
        <v>BRN67M-D10</v>
      </c>
      <c r="D527" s="6">
        <v>67.0</v>
      </c>
      <c r="E527" s="10" t="str">
        <f t="shared" si="3"/>
        <v>BRN67M</v>
      </c>
      <c r="F527" s="6" t="s">
        <v>68</v>
      </c>
      <c r="G527" s="6">
        <v>10.0</v>
      </c>
      <c r="H527" s="11" t="str">
        <f t="shared" si="4"/>
        <v>D10</v>
      </c>
      <c r="I527" s="10" t="str">
        <f t="shared" si="5"/>
        <v>BRN67M-D10</v>
      </c>
      <c r="J527" s="16"/>
      <c r="K527" s="16" t="str">
        <f t="shared" si="6"/>
        <v>collected</v>
      </c>
      <c r="L527" s="16" t="str">
        <f t="shared" si="7"/>
        <v>N</v>
      </c>
      <c r="M527" s="16"/>
      <c r="N527" s="16"/>
    </row>
    <row r="528">
      <c r="A528" s="27" t="s">
        <v>948</v>
      </c>
      <c r="B528" s="10" t="str">
        <f t="shared" si="1"/>
        <v>RNA-muscle</v>
      </c>
      <c r="C528" s="10" t="str">
        <f t="shared" si="2"/>
        <v>BRN67M-C10</v>
      </c>
      <c r="D528" s="6">
        <v>67.0</v>
      </c>
      <c r="E528" s="10" t="str">
        <f t="shared" si="3"/>
        <v>BRN67M</v>
      </c>
      <c r="F528" s="6" t="s">
        <v>72</v>
      </c>
      <c r="G528" s="6">
        <v>10.0</v>
      </c>
      <c r="H528" s="11" t="str">
        <f t="shared" si="4"/>
        <v>C10</v>
      </c>
      <c r="I528" s="10" t="str">
        <f t="shared" si="5"/>
        <v>BRN67M-C10</v>
      </c>
      <c r="J528" s="16"/>
      <c r="K528" s="16" t="str">
        <f t="shared" si="6"/>
        <v>collected</v>
      </c>
      <c r="L528" s="16" t="str">
        <f t="shared" si="7"/>
        <v>N</v>
      </c>
      <c r="M528" s="16"/>
      <c r="N528" s="16"/>
    </row>
    <row r="529">
      <c r="A529" s="27" t="s">
        <v>949</v>
      </c>
      <c r="B529" s="10" t="str">
        <f t="shared" si="1"/>
        <v>RNA-muscle</v>
      </c>
      <c r="C529" s="10" t="str">
        <f t="shared" si="2"/>
        <v>BRN67M-B10</v>
      </c>
      <c r="D529" s="6">
        <v>67.0</v>
      </c>
      <c r="E529" s="10" t="str">
        <f t="shared" si="3"/>
        <v>BRN67M</v>
      </c>
      <c r="F529" s="6" t="s">
        <v>74</v>
      </c>
      <c r="G529" s="6">
        <v>10.0</v>
      </c>
      <c r="H529" s="11" t="str">
        <f t="shared" si="4"/>
        <v>B10</v>
      </c>
      <c r="I529" s="10" t="str">
        <f t="shared" si="5"/>
        <v>BRN67M-B10</v>
      </c>
      <c r="J529" s="16"/>
      <c r="K529" s="16" t="str">
        <f t="shared" si="6"/>
        <v>collected</v>
      </c>
      <c r="L529" s="16" t="str">
        <f t="shared" si="7"/>
        <v>N</v>
      </c>
      <c r="M529" s="16"/>
      <c r="N529" s="16"/>
    </row>
    <row r="530">
      <c r="A530" s="26" t="s">
        <v>950</v>
      </c>
      <c r="B530" s="10" t="str">
        <f t="shared" si="1"/>
        <v>RNA-muscle</v>
      </c>
      <c r="C530" s="10" t="str">
        <f t="shared" si="2"/>
        <v>BRN67M-A10</v>
      </c>
      <c r="D530" s="6">
        <v>67.0</v>
      </c>
      <c r="E530" s="10" t="str">
        <f t="shared" si="3"/>
        <v>BRN67M</v>
      </c>
      <c r="F530" s="6" t="s">
        <v>76</v>
      </c>
      <c r="G530" s="6">
        <v>10.0</v>
      </c>
      <c r="H530" s="11" t="str">
        <f t="shared" si="4"/>
        <v>A10</v>
      </c>
      <c r="I530" s="10" t="str">
        <f t="shared" si="5"/>
        <v>BRN67M-A10</v>
      </c>
      <c r="J530" s="16"/>
      <c r="K530" s="16" t="str">
        <f t="shared" si="6"/>
        <v>collected</v>
      </c>
      <c r="L530" s="16" t="str">
        <f t="shared" si="7"/>
        <v>N</v>
      </c>
      <c r="M530" s="16"/>
      <c r="N530" s="16"/>
    </row>
    <row r="531">
      <c r="A531" s="26" t="s">
        <v>952</v>
      </c>
      <c r="B531" s="10" t="str">
        <f t="shared" si="1"/>
        <v>RNA-muscle</v>
      </c>
      <c r="C531" s="10" t="str">
        <f t="shared" si="2"/>
        <v>BRN67M-G12</v>
      </c>
      <c r="D531" s="6">
        <v>67.0</v>
      </c>
      <c r="E531" s="10" t="str">
        <f t="shared" si="3"/>
        <v>BRN67M</v>
      </c>
      <c r="F531" s="6" t="s">
        <v>56</v>
      </c>
      <c r="G531" s="6">
        <v>12.0</v>
      </c>
      <c r="H531" s="11" t="str">
        <f t="shared" si="4"/>
        <v>G12</v>
      </c>
      <c r="I531" s="10" t="str">
        <f t="shared" si="5"/>
        <v>BRN67M-G12</v>
      </c>
      <c r="J531" s="16"/>
      <c r="K531" s="16" t="str">
        <f t="shared" si="6"/>
        <v>collected</v>
      </c>
      <c r="L531" s="16" t="str">
        <f t="shared" si="7"/>
        <v>N</v>
      </c>
      <c r="M531" s="16"/>
      <c r="N531" s="16"/>
    </row>
    <row r="532">
      <c r="A532" s="26" t="s">
        <v>954</v>
      </c>
      <c r="B532" s="10" t="str">
        <f t="shared" si="1"/>
        <v>RNA-muscle</v>
      </c>
      <c r="C532" s="10" t="str">
        <f t="shared" si="2"/>
        <v>BRN67M-F12</v>
      </c>
      <c r="D532" s="6">
        <v>67.0</v>
      </c>
      <c r="E532" s="10" t="str">
        <f t="shared" si="3"/>
        <v>BRN67M</v>
      </c>
      <c r="F532" s="6" t="s">
        <v>61</v>
      </c>
      <c r="G532" s="6">
        <v>12.0</v>
      </c>
      <c r="H532" s="11" t="str">
        <f t="shared" si="4"/>
        <v>F12</v>
      </c>
      <c r="I532" s="10" t="str">
        <f t="shared" si="5"/>
        <v>BRN67M-F12</v>
      </c>
      <c r="J532" s="16"/>
      <c r="K532" s="16" t="str">
        <f t="shared" si="6"/>
        <v>collected</v>
      </c>
      <c r="L532" s="16" t="str">
        <f t="shared" si="7"/>
        <v>N</v>
      </c>
      <c r="M532" s="16"/>
      <c r="N532" s="16"/>
    </row>
    <row r="533">
      <c r="A533" s="26" t="s">
        <v>955</v>
      </c>
      <c r="B533" s="10" t="str">
        <f t="shared" si="1"/>
        <v>RNA-muscle</v>
      </c>
      <c r="C533" s="10" t="str">
        <f t="shared" si="2"/>
        <v>BRN67M-E12</v>
      </c>
      <c r="D533" s="6">
        <v>67.0</v>
      </c>
      <c r="E533" s="10" t="str">
        <f t="shared" si="3"/>
        <v>BRN67M</v>
      </c>
      <c r="F533" s="6" t="s">
        <v>66</v>
      </c>
      <c r="G533" s="6">
        <v>12.0</v>
      </c>
      <c r="H533" s="11" t="str">
        <f t="shared" si="4"/>
        <v>E12</v>
      </c>
      <c r="I533" s="10" t="str">
        <f t="shared" si="5"/>
        <v>BRN67M-E12</v>
      </c>
      <c r="J533" s="16"/>
      <c r="K533" s="16" t="str">
        <f t="shared" si="6"/>
        <v>collected</v>
      </c>
      <c r="L533" s="16" t="str">
        <f t="shared" si="7"/>
        <v>N</v>
      </c>
      <c r="M533" s="16"/>
      <c r="N533" s="16"/>
    </row>
    <row r="534">
      <c r="A534" s="26" t="s">
        <v>956</v>
      </c>
      <c r="B534" s="10" t="str">
        <f t="shared" si="1"/>
        <v>RNA-muscle</v>
      </c>
      <c r="C534" s="10" t="str">
        <f t="shared" si="2"/>
        <v>BRN67M-D12</v>
      </c>
      <c r="D534" s="6">
        <v>67.0</v>
      </c>
      <c r="E534" s="10" t="str">
        <f t="shared" si="3"/>
        <v>BRN67M</v>
      </c>
      <c r="F534" s="6" t="s">
        <v>68</v>
      </c>
      <c r="G534" s="6">
        <v>12.0</v>
      </c>
      <c r="H534" s="11" t="str">
        <f t="shared" si="4"/>
        <v>D12</v>
      </c>
      <c r="I534" s="10" t="str">
        <f t="shared" si="5"/>
        <v>BRN67M-D12</v>
      </c>
      <c r="J534" s="16"/>
      <c r="K534" s="16" t="str">
        <f t="shared" si="6"/>
        <v>collected</v>
      </c>
      <c r="L534" s="16" t="str">
        <f t="shared" si="7"/>
        <v>N</v>
      </c>
      <c r="M534" s="16"/>
      <c r="N534" s="16"/>
    </row>
    <row r="535">
      <c r="A535" s="26" t="s">
        <v>958</v>
      </c>
      <c r="B535" s="10" t="str">
        <f t="shared" si="1"/>
        <v>RNA-muscle</v>
      </c>
      <c r="C535" s="10" t="str">
        <f t="shared" si="2"/>
        <v>BRN67M-C12</v>
      </c>
      <c r="D535" s="6">
        <v>67.0</v>
      </c>
      <c r="E535" s="10" t="str">
        <f t="shared" si="3"/>
        <v>BRN67M</v>
      </c>
      <c r="F535" s="6" t="s">
        <v>72</v>
      </c>
      <c r="G535" s="6">
        <v>12.0</v>
      </c>
      <c r="H535" s="11" t="str">
        <f t="shared" si="4"/>
        <v>C12</v>
      </c>
      <c r="I535" s="10" t="str">
        <f t="shared" si="5"/>
        <v>BRN67M-C12</v>
      </c>
      <c r="J535" s="16"/>
      <c r="K535" s="16" t="str">
        <f t="shared" si="6"/>
        <v>collected</v>
      </c>
      <c r="L535" s="16" t="str">
        <f t="shared" si="7"/>
        <v>N</v>
      </c>
      <c r="M535" s="16"/>
      <c r="N535" s="16"/>
    </row>
    <row r="536">
      <c r="A536" s="26" t="s">
        <v>959</v>
      </c>
      <c r="B536" s="10" t="str">
        <f t="shared" si="1"/>
        <v>RNA-muscle</v>
      </c>
      <c r="C536" s="10" t="str">
        <f t="shared" si="2"/>
        <v>BRN67M-B12</v>
      </c>
      <c r="D536" s="6">
        <v>67.0</v>
      </c>
      <c r="E536" s="10" t="str">
        <f t="shared" si="3"/>
        <v>BRN67M</v>
      </c>
      <c r="F536" s="6" t="s">
        <v>74</v>
      </c>
      <c r="G536" s="6">
        <v>12.0</v>
      </c>
      <c r="H536" s="11" t="str">
        <f t="shared" si="4"/>
        <v>B12</v>
      </c>
      <c r="I536" s="10" t="str">
        <f t="shared" si="5"/>
        <v>BRN67M-B12</v>
      </c>
      <c r="J536" s="16"/>
      <c r="K536" s="16" t="str">
        <f t="shared" si="6"/>
        <v>collected</v>
      </c>
      <c r="L536" s="16" t="str">
        <f t="shared" si="7"/>
        <v>N</v>
      </c>
      <c r="M536" s="16"/>
      <c r="N536" s="16"/>
    </row>
    <row r="537">
      <c r="A537" s="26" t="s">
        <v>960</v>
      </c>
      <c r="B537" s="10" t="str">
        <f t="shared" si="1"/>
        <v>RNA-muscle</v>
      </c>
      <c r="C537" s="10" t="str">
        <f t="shared" si="2"/>
        <v>BRN67M-A12</v>
      </c>
      <c r="D537" s="6">
        <v>67.0</v>
      </c>
      <c r="E537" s="10" t="str">
        <f t="shared" si="3"/>
        <v>BRN67M</v>
      </c>
      <c r="F537" s="6" t="s">
        <v>76</v>
      </c>
      <c r="G537" s="6">
        <v>12.0</v>
      </c>
      <c r="H537" s="11" t="str">
        <f t="shared" si="4"/>
        <v>A12</v>
      </c>
      <c r="I537" s="10" t="str">
        <f t="shared" si="5"/>
        <v>BRN67M-A12</v>
      </c>
      <c r="J537" s="6" t="s">
        <v>962</v>
      </c>
      <c r="K537" s="16" t="str">
        <f t="shared" si="6"/>
        <v>collected</v>
      </c>
      <c r="L537" s="16" t="str">
        <f t="shared" si="7"/>
        <v>N</v>
      </c>
      <c r="M537" s="16"/>
      <c r="N537" s="16"/>
    </row>
    <row r="538">
      <c r="A538" s="26" t="s">
        <v>963</v>
      </c>
      <c r="B538" s="10" t="str">
        <f t="shared" si="1"/>
        <v>RNA-muscle</v>
      </c>
      <c r="C538" s="10" t="str">
        <f t="shared" si="2"/>
        <v>BRN68M-H1</v>
      </c>
      <c r="D538" s="6">
        <v>68.0</v>
      </c>
      <c r="E538" s="10" t="str">
        <f t="shared" si="3"/>
        <v>BRN68M</v>
      </c>
      <c r="F538" s="6" t="s">
        <v>51</v>
      </c>
      <c r="G538" s="6">
        <v>1.0</v>
      </c>
      <c r="H538" s="11" t="str">
        <f t="shared" si="4"/>
        <v>H1</v>
      </c>
      <c r="I538" s="10" t="str">
        <f t="shared" si="5"/>
        <v>BRN68M-H1</v>
      </c>
      <c r="J538" s="16"/>
      <c r="K538" s="16" t="str">
        <f t="shared" si="6"/>
        <v>collected</v>
      </c>
      <c r="L538" s="16" t="str">
        <f t="shared" si="7"/>
        <v>N</v>
      </c>
      <c r="M538" s="16"/>
      <c r="N538" s="16"/>
    </row>
    <row r="539">
      <c r="A539" s="27" t="s">
        <v>966</v>
      </c>
      <c r="B539" s="10" t="str">
        <f t="shared" si="1"/>
        <v>RNA-muscle</v>
      </c>
      <c r="C539" s="10" t="str">
        <f t="shared" si="2"/>
        <v>BRN68M-G1</v>
      </c>
      <c r="D539" s="6">
        <v>68.0</v>
      </c>
      <c r="E539" s="10" t="str">
        <f t="shared" si="3"/>
        <v>BRN68M</v>
      </c>
      <c r="F539" s="6" t="s">
        <v>56</v>
      </c>
      <c r="G539" s="6">
        <v>1.0</v>
      </c>
      <c r="H539" s="11" t="str">
        <f t="shared" si="4"/>
        <v>G1</v>
      </c>
      <c r="I539" s="10" t="str">
        <f t="shared" si="5"/>
        <v>BRN68M-G1</v>
      </c>
      <c r="J539" s="16"/>
      <c r="K539" s="16" t="str">
        <f t="shared" si="6"/>
        <v>collected</v>
      </c>
      <c r="L539" s="16" t="str">
        <f t="shared" si="7"/>
        <v>N</v>
      </c>
      <c r="M539" s="16"/>
      <c r="N539" s="16"/>
    </row>
    <row r="540">
      <c r="A540" s="27" t="s">
        <v>967</v>
      </c>
      <c r="B540" s="10" t="str">
        <f t="shared" si="1"/>
        <v>RNA-muscle</v>
      </c>
      <c r="C540" s="10" t="str">
        <f t="shared" si="2"/>
        <v>BRN68M-F1</v>
      </c>
      <c r="D540" s="6">
        <v>68.0</v>
      </c>
      <c r="E540" s="10" t="str">
        <f t="shared" si="3"/>
        <v>BRN68M</v>
      </c>
      <c r="F540" s="6" t="s">
        <v>61</v>
      </c>
      <c r="G540" s="6">
        <v>1.0</v>
      </c>
      <c r="H540" s="11" t="str">
        <f t="shared" si="4"/>
        <v>F1</v>
      </c>
      <c r="I540" s="10" t="str">
        <f t="shared" si="5"/>
        <v>BRN68M-F1</v>
      </c>
      <c r="J540" s="16"/>
      <c r="K540" s="16" t="str">
        <f t="shared" si="6"/>
        <v>collected</v>
      </c>
      <c r="L540" s="16" t="str">
        <f t="shared" si="7"/>
        <v>N</v>
      </c>
      <c r="M540" s="16"/>
      <c r="N540" s="16"/>
    </row>
    <row r="541">
      <c r="A541" s="27" t="s">
        <v>969</v>
      </c>
      <c r="B541" s="10" t="str">
        <f t="shared" si="1"/>
        <v>RNA-muscle</v>
      </c>
      <c r="C541" s="10" t="str">
        <f t="shared" si="2"/>
        <v>BRN68M-E1</v>
      </c>
      <c r="D541" s="6">
        <v>68.0</v>
      </c>
      <c r="E541" s="10" t="str">
        <f t="shared" si="3"/>
        <v>BRN68M</v>
      </c>
      <c r="F541" s="6" t="s">
        <v>66</v>
      </c>
      <c r="G541" s="6">
        <v>1.0</v>
      </c>
      <c r="H541" s="11" t="str">
        <f t="shared" si="4"/>
        <v>E1</v>
      </c>
      <c r="I541" s="10" t="str">
        <f t="shared" si="5"/>
        <v>BRN68M-E1</v>
      </c>
      <c r="J541" s="16"/>
      <c r="K541" s="16" t="str">
        <f t="shared" si="6"/>
        <v>collected</v>
      </c>
      <c r="L541" s="16" t="str">
        <f t="shared" si="7"/>
        <v>N</v>
      </c>
      <c r="M541" s="16"/>
      <c r="N541" s="16"/>
    </row>
    <row r="542">
      <c r="A542" s="27" t="s">
        <v>971</v>
      </c>
      <c r="B542" s="10" t="str">
        <f t="shared" si="1"/>
        <v>RNA-muscle</v>
      </c>
      <c r="C542" s="10" t="str">
        <f t="shared" si="2"/>
        <v>BRN68M-D1</v>
      </c>
      <c r="D542" s="6">
        <v>68.0</v>
      </c>
      <c r="E542" s="10" t="str">
        <f t="shared" si="3"/>
        <v>BRN68M</v>
      </c>
      <c r="F542" s="6" t="s">
        <v>68</v>
      </c>
      <c r="G542" s="6">
        <v>1.0</v>
      </c>
      <c r="H542" s="11" t="str">
        <f t="shared" si="4"/>
        <v>D1</v>
      </c>
      <c r="I542" s="10" t="str">
        <f t="shared" si="5"/>
        <v>BRN68M-D1</v>
      </c>
      <c r="J542" s="6"/>
      <c r="K542" s="16" t="str">
        <f t="shared" si="6"/>
        <v>collected</v>
      </c>
      <c r="L542" s="16" t="str">
        <f t="shared" si="7"/>
        <v>N</v>
      </c>
      <c r="M542" s="16"/>
      <c r="N542" s="16"/>
    </row>
    <row r="543">
      <c r="A543" s="27" t="s">
        <v>972</v>
      </c>
      <c r="B543" s="10" t="str">
        <f t="shared" si="1"/>
        <v>RNA-muscle</v>
      </c>
      <c r="C543" s="10" t="str">
        <f t="shared" si="2"/>
        <v>BRN68M-C1</v>
      </c>
      <c r="D543" s="6">
        <v>68.0</v>
      </c>
      <c r="E543" s="10" t="str">
        <f t="shared" si="3"/>
        <v>BRN68M</v>
      </c>
      <c r="F543" s="6" t="s">
        <v>72</v>
      </c>
      <c r="G543" s="6">
        <v>1.0</v>
      </c>
      <c r="H543" s="11" t="str">
        <f t="shared" si="4"/>
        <v>C1</v>
      </c>
      <c r="I543" s="10" t="str">
        <f t="shared" si="5"/>
        <v>BRN68M-C1</v>
      </c>
      <c r="J543" s="16"/>
      <c r="K543" s="16" t="str">
        <f t="shared" si="6"/>
        <v>collected</v>
      </c>
      <c r="L543" s="16" t="str">
        <f t="shared" si="7"/>
        <v>N</v>
      </c>
      <c r="M543" s="16"/>
      <c r="N543" s="16"/>
    </row>
    <row r="544">
      <c r="A544" s="27" t="s">
        <v>974</v>
      </c>
      <c r="B544" s="10" t="str">
        <f t="shared" si="1"/>
        <v>RNA-muscle</v>
      </c>
      <c r="C544" s="10" t="str">
        <f t="shared" si="2"/>
        <v>BRN68M-H3</v>
      </c>
      <c r="D544" s="6">
        <v>68.0</v>
      </c>
      <c r="E544" s="10" t="str">
        <f t="shared" si="3"/>
        <v>BRN68M</v>
      </c>
      <c r="F544" s="6" t="s">
        <v>51</v>
      </c>
      <c r="G544" s="6">
        <v>3.0</v>
      </c>
      <c r="H544" s="11" t="str">
        <f t="shared" si="4"/>
        <v>H3</v>
      </c>
      <c r="I544" s="10" t="str">
        <f t="shared" si="5"/>
        <v>BRN68M-H3</v>
      </c>
      <c r="J544" s="16"/>
      <c r="K544" s="16" t="str">
        <f t="shared" si="6"/>
        <v>collected</v>
      </c>
      <c r="L544" s="16" t="str">
        <f t="shared" si="7"/>
        <v>N</v>
      </c>
      <c r="M544" s="16"/>
      <c r="N544" s="16"/>
    </row>
    <row r="545">
      <c r="A545" s="27" t="s">
        <v>975</v>
      </c>
      <c r="B545" s="10" t="str">
        <f t="shared" si="1"/>
        <v>RNA-muscle</v>
      </c>
      <c r="C545" s="10" t="str">
        <f t="shared" si="2"/>
        <v>BRN68M-G3</v>
      </c>
      <c r="D545" s="6">
        <v>68.0</v>
      </c>
      <c r="E545" s="10" t="str">
        <f t="shared" si="3"/>
        <v>BRN68M</v>
      </c>
      <c r="F545" s="6" t="s">
        <v>56</v>
      </c>
      <c r="G545" s="6">
        <v>3.0</v>
      </c>
      <c r="H545" s="11" t="str">
        <f t="shared" si="4"/>
        <v>G3</v>
      </c>
      <c r="I545" s="10" t="str">
        <f t="shared" si="5"/>
        <v>BRN68M-G3</v>
      </c>
      <c r="J545" s="16"/>
      <c r="K545" s="16" t="str">
        <f t="shared" si="6"/>
        <v>collected</v>
      </c>
      <c r="L545" s="16" t="str">
        <f t="shared" si="7"/>
        <v>N</v>
      </c>
      <c r="M545" s="16"/>
      <c r="N545" s="16"/>
    </row>
    <row r="546">
      <c r="A546" s="27" t="s">
        <v>976</v>
      </c>
      <c r="B546" s="10" t="str">
        <f t="shared" si="1"/>
        <v>RNA-muscle</v>
      </c>
      <c r="C546" s="10" t="str">
        <f t="shared" si="2"/>
        <v>BRN68M-F3</v>
      </c>
      <c r="D546" s="6">
        <v>68.0</v>
      </c>
      <c r="E546" s="10" t="str">
        <f t="shared" si="3"/>
        <v>BRN68M</v>
      </c>
      <c r="F546" s="6" t="s">
        <v>61</v>
      </c>
      <c r="G546" s="6">
        <v>3.0</v>
      </c>
      <c r="H546" s="11" t="str">
        <f t="shared" si="4"/>
        <v>F3</v>
      </c>
      <c r="I546" s="10" t="str">
        <f t="shared" si="5"/>
        <v>BRN68M-F3</v>
      </c>
      <c r="J546" s="16"/>
      <c r="K546" s="16" t="str">
        <f t="shared" si="6"/>
        <v>collected</v>
      </c>
      <c r="L546" s="16" t="str">
        <f t="shared" si="7"/>
        <v>N</v>
      </c>
      <c r="M546" s="16"/>
      <c r="N546" s="16"/>
    </row>
    <row r="547">
      <c r="A547" s="27" t="s">
        <v>978</v>
      </c>
      <c r="B547" s="10" t="str">
        <f t="shared" si="1"/>
        <v>RNA-muscle</v>
      </c>
      <c r="C547" s="10" t="str">
        <f t="shared" si="2"/>
        <v>BRN68M-E3</v>
      </c>
      <c r="D547" s="6">
        <v>68.0</v>
      </c>
      <c r="E547" s="10" t="str">
        <f t="shared" si="3"/>
        <v>BRN68M</v>
      </c>
      <c r="F547" s="6" t="s">
        <v>66</v>
      </c>
      <c r="G547" s="6">
        <v>3.0</v>
      </c>
      <c r="H547" s="11" t="str">
        <f t="shared" si="4"/>
        <v>E3</v>
      </c>
      <c r="I547" s="10" t="str">
        <f t="shared" si="5"/>
        <v>BRN68M-E3</v>
      </c>
      <c r="J547" s="6"/>
      <c r="K547" s="16" t="str">
        <f t="shared" si="6"/>
        <v>collected</v>
      </c>
      <c r="L547" s="16" t="str">
        <f t="shared" si="7"/>
        <v>N</v>
      </c>
      <c r="M547" s="16"/>
      <c r="N547" s="16"/>
    </row>
    <row r="548">
      <c r="A548" s="27" t="s">
        <v>979</v>
      </c>
      <c r="B548" s="10" t="str">
        <f t="shared" si="1"/>
        <v>RNA-muscle</v>
      </c>
      <c r="C548" s="10" t="str">
        <f t="shared" si="2"/>
        <v>BRN68M-D3</v>
      </c>
      <c r="D548" s="6">
        <v>68.0</v>
      </c>
      <c r="E548" s="10" t="str">
        <f t="shared" si="3"/>
        <v>BRN68M</v>
      </c>
      <c r="F548" s="6" t="s">
        <v>68</v>
      </c>
      <c r="G548" s="6">
        <v>3.0</v>
      </c>
      <c r="H548" s="11" t="str">
        <f t="shared" si="4"/>
        <v>D3</v>
      </c>
      <c r="I548" s="10" t="str">
        <f t="shared" si="5"/>
        <v>BRN68M-D3</v>
      </c>
      <c r="J548" s="6"/>
      <c r="K548" s="16" t="str">
        <f t="shared" si="6"/>
        <v>collected</v>
      </c>
      <c r="L548" s="16" t="str">
        <f t="shared" si="7"/>
        <v>N</v>
      </c>
      <c r="M548" s="16"/>
      <c r="N548" s="16"/>
    </row>
    <row r="549">
      <c r="A549" s="27" t="s">
        <v>981</v>
      </c>
      <c r="B549" s="10" t="str">
        <f t="shared" si="1"/>
        <v>RNA-muscle</v>
      </c>
      <c r="C549" s="10" t="str">
        <f t="shared" si="2"/>
        <v>BRN68M-C3</v>
      </c>
      <c r="D549" s="6">
        <v>68.0</v>
      </c>
      <c r="E549" s="10" t="str">
        <f t="shared" si="3"/>
        <v>BRN68M</v>
      </c>
      <c r="F549" s="6" t="s">
        <v>72</v>
      </c>
      <c r="G549" s="6">
        <v>3.0</v>
      </c>
      <c r="H549" s="11" t="str">
        <f t="shared" si="4"/>
        <v>C3</v>
      </c>
      <c r="I549" s="10" t="str">
        <f t="shared" si="5"/>
        <v>BRN68M-C3</v>
      </c>
      <c r="J549" s="6"/>
      <c r="K549" s="16" t="str">
        <f t="shared" si="6"/>
        <v>collected</v>
      </c>
      <c r="L549" s="16" t="str">
        <f t="shared" si="7"/>
        <v>N</v>
      </c>
      <c r="M549" s="16"/>
      <c r="N549" s="16"/>
    </row>
    <row r="550">
      <c r="A550" s="27" t="s">
        <v>982</v>
      </c>
      <c r="B550" s="10" t="str">
        <f t="shared" si="1"/>
        <v>RNA-muscle</v>
      </c>
      <c r="C550" s="10" t="str">
        <f t="shared" si="2"/>
        <v>BRN68M-B3</v>
      </c>
      <c r="D550" s="6">
        <v>68.0</v>
      </c>
      <c r="E550" s="10" t="str">
        <f t="shared" si="3"/>
        <v>BRN68M</v>
      </c>
      <c r="F550" s="6" t="s">
        <v>74</v>
      </c>
      <c r="G550" s="6">
        <v>3.0</v>
      </c>
      <c r="H550" s="11" t="str">
        <f t="shared" si="4"/>
        <v>B3</v>
      </c>
      <c r="I550" s="10" t="str">
        <f t="shared" si="5"/>
        <v>BRN68M-B3</v>
      </c>
      <c r="J550" s="16"/>
      <c r="K550" s="16" t="str">
        <f t="shared" si="6"/>
        <v>collected</v>
      </c>
      <c r="L550" s="16" t="str">
        <f t="shared" si="7"/>
        <v>N</v>
      </c>
      <c r="M550" s="16"/>
      <c r="N550" s="16"/>
    </row>
    <row r="551">
      <c r="A551" s="27" t="s">
        <v>983</v>
      </c>
      <c r="B551" s="10" t="str">
        <f t="shared" si="1"/>
        <v>RNA-muscle</v>
      </c>
      <c r="C551" s="10" t="str">
        <f t="shared" si="2"/>
        <v>BRN68M-A3</v>
      </c>
      <c r="D551" s="6">
        <v>68.0</v>
      </c>
      <c r="E551" s="10" t="str">
        <f t="shared" si="3"/>
        <v>BRN68M</v>
      </c>
      <c r="F551" s="6" t="s">
        <v>76</v>
      </c>
      <c r="G551" s="6">
        <v>3.0</v>
      </c>
      <c r="H551" s="11" t="str">
        <f t="shared" si="4"/>
        <v>A3</v>
      </c>
      <c r="I551" s="10" t="str">
        <f t="shared" si="5"/>
        <v>BRN68M-A3</v>
      </c>
      <c r="J551" s="6"/>
      <c r="K551" s="16" t="str">
        <f t="shared" si="6"/>
        <v>collected</v>
      </c>
      <c r="L551" s="16" t="str">
        <f t="shared" si="7"/>
        <v>N</v>
      </c>
      <c r="M551" s="16"/>
      <c r="N551" s="16"/>
    </row>
    <row r="552">
      <c r="A552" s="27" t="s">
        <v>985</v>
      </c>
      <c r="B552" s="10" t="str">
        <f t="shared" si="1"/>
        <v>RNA-muscle</v>
      </c>
      <c r="C552" s="10" t="str">
        <f t="shared" si="2"/>
        <v>BRN68M-H5</v>
      </c>
      <c r="D552" s="6">
        <v>68.0</v>
      </c>
      <c r="E552" s="10" t="str">
        <f t="shared" si="3"/>
        <v>BRN68M</v>
      </c>
      <c r="F552" s="6" t="s">
        <v>51</v>
      </c>
      <c r="G552" s="6">
        <v>5.0</v>
      </c>
      <c r="H552" s="11" t="str">
        <f t="shared" si="4"/>
        <v>H5</v>
      </c>
      <c r="I552" s="10" t="str">
        <f t="shared" si="5"/>
        <v>BRN68M-H5</v>
      </c>
      <c r="J552" s="16"/>
      <c r="K552" s="16" t="str">
        <f t="shared" si="6"/>
        <v>collected</v>
      </c>
      <c r="L552" s="16" t="str">
        <f t="shared" si="7"/>
        <v>N</v>
      </c>
      <c r="M552" s="16"/>
      <c r="N552" s="16"/>
    </row>
    <row r="553">
      <c r="A553" s="27" t="s">
        <v>986</v>
      </c>
      <c r="B553" s="10" t="str">
        <f t="shared" si="1"/>
        <v>RNA-muscle</v>
      </c>
      <c r="C553" s="10" t="str">
        <f t="shared" si="2"/>
        <v>BRN68M-G5</v>
      </c>
      <c r="D553" s="6">
        <v>68.0</v>
      </c>
      <c r="E553" s="10" t="str">
        <f t="shared" si="3"/>
        <v>BRN68M</v>
      </c>
      <c r="F553" s="6" t="s">
        <v>56</v>
      </c>
      <c r="G553" s="6">
        <v>5.0</v>
      </c>
      <c r="H553" s="11" t="str">
        <f t="shared" si="4"/>
        <v>G5</v>
      </c>
      <c r="I553" s="10" t="str">
        <f t="shared" si="5"/>
        <v>BRN68M-G5</v>
      </c>
      <c r="J553" s="6"/>
      <c r="K553" s="16" t="str">
        <f t="shared" si="6"/>
        <v>collected</v>
      </c>
      <c r="L553" s="16" t="str">
        <f t="shared" si="7"/>
        <v>N</v>
      </c>
      <c r="M553" s="16"/>
      <c r="N553" s="16"/>
    </row>
    <row r="554">
      <c r="A554" s="27" t="s">
        <v>988</v>
      </c>
      <c r="B554" s="10" t="str">
        <f t="shared" si="1"/>
        <v>RNA-muscle</v>
      </c>
      <c r="C554" s="10" t="str">
        <f t="shared" si="2"/>
        <v>BRN68M-F5</v>
      </c>
      <c r="D554" s="6">
        <v>68.0</v>
      </c>
      <c r="E554" s="10" t="str">
        <f t="shared" si="3"/>
        <v>BRN68M</v>
      </c>
      <c r="F554" s="6" t="s">
        <v>61</v>
      </c>
      <c r="G554" s="6">
        <v>5.0</v>
      </c>
      <c r="H554" s="11" t="str">
        <f t="shared" si="4"/>
        <v>F5</v>
      </c>
      <c r="I554" s="10" t="str">
        <f t="shared" si="5"/>
        <v>BRN68M-F5</v>
      </c>
      <c r="J554" s="16"/>
      <c r="K554" s="16" t="str">
        <f t="shared" si="6"/>
        <v>collected</v>
      </c>
      <c r="L554" s="16" t="str">
        <f t="shared" si="7"/>
        <v>N</v>
      </c>
      <c r="M554" s="16"/>
      <c r="N554" s="16"/>
    </row>
    <row r="555">
      <c r="A555" s="27" t="s">
        <v>990</v>
      </c>
      <c r="B555" s="10" t="str">
        <f t="shared" si="1"/>
        <v>RNA-muscle</v>
      </c>
      <c r="C555" s="10" t="str">
        <f t="shared" si="2"/>
        <v>BRN68M-E5</v>
      </c>
      <c r="D555" s="6">
        <v>68.0</v>
      </c>
      <c r="E555" s="10" t="str">
        <f t="shared" si="3"/>
        <v>BRN68M</v>
      </c>
      <c r="F555" s="6" t="s">
        <v>66</v>
      </c>
      <c r="G555" s="6">
        <v>5.0</v>
      </c>
      <c r="H555" s="11" t="str">
        <f t="shared" si="4"/>
        <v>E5</v>
      </c>
      <c r="I555" s="10" t="str">
        <f t="shared" si="5"/>
        <v>BRN68M-E5</v>
      </c>
      <c r="J555" s="16"/>
      <c r="K555" s="16" t="str">
        <f t="shared" si="6"/>
        <v>collected</v>
      </c>
      <c r="L555" s="16" t="str">
        <f t="shared" si="7"/>
        <v>N</v>
      </c>
      <c r="M555" s="16"/>
      <c r="N555" s="16"/>
    </row>
    <row r="556">
      <c r="A556" s="27" t="s">
        <v>991</v>
      </c>
      <c r="B556" s="10" t="str">
        <f t="shared" si="1"/>
        <v>RNA-muscle</v>
      </c>
      <c r="C556" s="10" t="str">
        <f t="shared" si="2"/>
        <v>BRN68M-D5</v>
      </c>
      <c r="D556" s="6">
        <v>68.0</v>
      </c>
      <c r="E556" s="10" t="str">
        <f t="shared" si="3"/>
        <v>BRN68M</v>
      </c>
      <c r="F556" s="6" t="s">
        <v>68</v>
      </c>
      <c r="G556" s="6">
        <v>5.0</v>
      </c>
      <c r="H556" s="11" t="str">
        <f t="shared" si="4"/>
        <v>D5</v>
      </c>
      <c r="I556" s="10" t="str">
        <f t="shared" si="5"/>
        <v>BRN68M-D5</v>
      </c>
      <c r="J556" s="16"/>
      <c r="K556" s="16" t="str">
        <f t="shared" si="6"/>
        <v>collected</v>
      </c>
      <c r="L556" s="16" t="str">
        <f t="shared" si="7"/>
        <v>N</v>
      </c>
      <c r="M556" s="16"/>
      <c r="N556" s="16"/>
    </row>
    <row r="557">
      <c r="A557" s="27" t="s">
        <v>993</v>
      </c>
      <c r="B557" s="10" t="str">
        <f t="shared" si="1"/>
        <v>RNA-muscle</v>
      </c>
      <c r="C557" s="10" t="str">
        <f t="shared" si="2"/>
        <v>BRN68M-C5</v>
      </c>
      <c r="D557" s="6">
        <v>68.0</v>
      </c>
      <c r="E557" s="10" t="str">
        <f t="shared" si="3"/>
        <v>BRN68M</v>
      </c>
      <c r="F557" s="6" t="s">
        <v>72</v>
      </c>
      <c r="G557" s="6">
        <v>5.0</v>
      </c>
      <c r="H557" s="11" t="str">
        <f t="shared" si="4"/>
        <v>C5</v>
      </c>
      <c r="I557" s="10" t="str">
        <f t="shared" si="5"/>
        <v>BRN68M-C5</v>
      </c>
      <c r="J557" s="16"/>
      <c r="K557" s="16" t="str">
        <f t="shared" si="6"/>
        <v>collected</v>
      </c>
      <c r="L557" s="16" t="str">
        <f t="shared" si="7"/>
        <v>N</v>
      </c>
      <c r="M557" s="16"/>
      <c r="N557" s="16"/>
    </row>
    <row r="558">
      <c r="A558" s="27" t="s">
        <v>995</v>
      </c>
      <c r="B558" s="10" t="str">
        <f t="shared" si="1"/>
        <v>RNA-muscle</v>
      </c>
      <c r="C558" s="10" t="str">
        <f t="shared" si="2"/>
        <v>BRN68M-B5</v>
      </c>
      <c r="D558" s="6">
        <v>68.0</v>
      </c>
      <c r="E558" s="10" t="str">
        <f t="shared" si="3"/>
        <v>BRN68M</v>
      </c>
      <c r="F558" s="6" t="s">
        <v>74</v>
      </c>
      <c r="G558" s="6">
        <v>5.0</v>
      </c>
      <c r="H558" s="11" t="str">
        <f t="shared" si="4"/>
        <v>B5</v>
      </c>
      <c r="I558" s="10" t="str">
        <f t="shared" si="5"/>
        <v>BRN68M-B5</v>
      </c>
      <c r="J558" s="16"/>
      <c r="K558" s="16" t="str">
        <f t="shared" si="6"/>
        <v>collected</v>
      </c>
      <c r="L558" s="16" t="str">
        <f t="shared" si="7"/>
        <v>N</v>
      </c>
      <c r="M558" s="16"/>
      <c r="N558" s="16"/>
    </row>
    <row r="559">
      <c r="A559" s="27" t="s">
        <v>996</v>
      </c>
      <c r="B559" s="10" t="str">
        <f t="shared" si="1"/>
        <v>RNA-muscle</v>
      </c>
      <c r="C559" s="10" t="str">
        <f t="shared" si="2"/>
        <v>BRN68M-A5</v>
      </c>
      <c r="D559" s="6">
        <v>68.0</v>
      </c>
      <c r="E559" s="10" t="str">
        <f t="shared" si="3"/>
        <v>BRN68M</v>
      </c>
      <c r="F559" s="6" t="s">
        <v>76</v>
      </c>
      <c r="G559" s="6">
        <v>5.0</v>
      </c>
      <c r="H559" s="11" t="str">
        <f t="shared" si="4"/>
        <v>A5</v>
      </c>
      <c r="I559" s="10" t="str">
        <f t="shared" si="5"/>
        <v>BRN68M-A5</v>
      </c>
      <c r="J559" s="16"/>
      <c r="K559" s="16" t="str">
        <f t="shared" si="6"/>
        <v>collected</v>
      </c>
      <c r="L559" s="16" t="str">
        <f t="shared" si="7"/>
        <v>N</v>
      </c>
      <c r="M559" s="16"/>
      <c r="N559" s="16"/>
    </row>
    <row r="560">
      <c r="A560" s="27" t="s">
        <v>997</v>
      </c>
      <c r="B560" s="10" t="str">
        <f t="shared" si="1"/>
        <v>RNA-muscle</v>
      </c>
      <c r="C560" s="10" t="str">
        <f t="shared" si="2"/>
        <v>BRN68M-H7</v>
      </c>
      <c r="D560" s="6">
        <v>68.0</v>
      </c>
      <c r="E560" s="10" t="str">
        <f t="shared" si="3"/>
        <v>BRN68M</v>
      </c>
      <c r="F560" s="6" t="s">
        <v>51</v>
      </c>
      <c r="G560" s="6">
        <v>7.0</v>
      </c>
      <c r="H560" s="11" t="str">
        <f t="shared" si="4"/>
        <v>H7</v>
      </c>
      <c r="I560" s="10" t="str">
        <f t="shared" si="5"/>
        <v>BRN68M-H7</v>
      </c>
      <c r="J560" s="16"/>
      <c r="K560" s="16" t="str">
        <f t="shared" si="6"/>
        <v>collected</v>
      </c>
      <c r="L560" s="16" t="str">
        <f t="shared" si="7"/>
        <v>N</v>
      </c>
      <c r="M560" s="16"/>
      <c r="N560" s="16"/>
    </row>
    <row r="561">
      <c r="A561" s="27" t="s">
        <v>998</v>
      </c>
      <c r="B561" s="10" t="str">
        <f t="shared" si="1"/>
        <v>RNA-muscle</v>
      </c>
      <c r="C561" s="10" t="str">
        <f t="shared" si="2"/>
        <v>BRN68M-G7</v>
      </c>
      <c r="D561" s="6">
        <v>68.0</v>
      </c>
      <c r="E561" s="10" t="str">
        <f t="shared" si="3"/>
        <v>BRN68M</v>
      </c>
      <c r="F561" s="6" t="s">
        <v>56</v>
      </c>
      <c r="G561" s="6">
        <v>7.0</v>
      </c>
      <c r="H561" s="11" t="str">
        <f t="shared" si="4"/>
        <v>G7</v>
      </c>
      <c r="I561" s="10" t="str">
        <f t="shared" si="5"/>
        <v>BRN68M-G7</v>
      </c>
      <c r="J561" s="16"/>
      <c r="K561" s="16" t="str">
        <f t="shared" si="6"/>
        <v>collected</v>
      </c>
      <c r="L561" s="16" t="str">
        <f t="shared" si="7"/>
        <v>N</v>
      </c>
      <c r="M561" s="16"/>
      <c r="N561" s="16"/>
    </row>
    <row r="562">
      <c r="A562" s="27" t="s">
        <v>1001</v>
      </c>
      <c r="B562" s="10" t="str">
        <f t="shared" si="1"/>
        <v>RNA-muscle</v>
      </c>
      <c r="C562" s="10" t="str">
        <f t="shared" si="2"/>
        <v>BRN68M-F7</v>
      </c>
      <c r="D562" s="6">
        <v>68.0</v>
      </c>
      <c r="E562" s="10" t="str">
        <f t="shared" si="3"/>
        <v>BRN68M</v>
      </c>
      <c r="F562" s="6" t="s">
        <v>61</v>
      </c>
      <c r="G562" s="6">
        <v>7.0</v>
      </c>
      <c r="H562" s="11" t="str">
        <f t="shared" si="4"/>
        <v>F7</v>
      </c>
      <c r="I562" s="10" t="str">
        <f t="shared" si="5"/>
        <v>BRN68M-F7</v>
      </c>
      <c r="J562" s="16"/>
      <c r="K562" s="16" t="str">
        <f t="shared" si="6"/>
        <v>collected</v>
      </c>
      <c r="L562" s="16" t="str">
        <f t="shared" si="7"/>
        <v>N</v>
      </c>
      <c r="M562" s="16"/>
      <c r="N562" s="16"/>
    </row>
    <row r="563">
      <c r="A563" s="27" t="s">
        <v>1002</v>
      </c>
      <c r="B563" s="10" t="str">
        <f t="shared" si="1"/>
        <v>RNA-muscle</v>
      </c>
      <c r="C563" s="10" t="str">
        <f t="shared" si="2"/>
        <v>BRN68M-E7</v>
      </c>
      <c r="D563" s="6">
        <v>68.0</v>
      </c>
      <c r="E563" s="10" t="str">
        <f t="shared" si="3"/>
        <v>BRN68M</v>
      </c>
      <c r="F563" s="6" t="s">
        <v>66</v>
      </c>
      <c r="G563" s="6">
        <v>7.0</v>
      </c>
      <c r="H563" s="11" t="str">
        <f t="shared" si="4"/>
        <v>E7</v>
      </c>
      <c r="I563" s="10" t="str">
        <f t="shared" si="5"/>
        <v>BRN68M-E7</v>
      </c>
      <c r="J563" s="16"/>
      <c r="K563" s="16" t="str">
        <f t="shared" si="6"/>
        <v>collected</v>
      </c>
      <c r="L563" s="16" t="str">
        <f t="shared" si="7"/>
        <v>N</v>
      </c>
      <c r="M563" s="16"/>
      <c r="N563" s="16"/>
    </row>
    <row r="564">
      <c r="A564" s="27" t="s">
        <v>1003</v>
      </c>
      <c r="B564" s="10" t="str">
        <f t="shared" si="1"/>
        <v>RNA-muscle</v>
      </c>
      <c r="C564" s="10" t="str">
        <f t="shared" si="2"/>
        <v>BRN68M-B1</v>
      </c>
      <c r="D564" s="6">
        <v>68.0</v>
      </c>
      <c r="E564" s="10" t="str">
        <f t="shared" si="3"/>
        <v>BRN68M</v>
      </c>
      <c r="F564" s="6" t="s">
        <v>74</v>
      </c>
      <c r="G564" s="6">
        <v>1.0</v>
      </c>
      <c r="H564" s="11" t="str">
        <f t="shared" si="4"/>
        <v>B1</v>
      </c>
      <c r="I564" s="10" t="str">
        <f t="shared" si="5"/>
        <v>BRN68M-B1</v>
      </c>
      <c r="J564" s="16"/>
      <c r="K564" s="16" t="str">
        <f t="shared" si="6"/>
        <v>collected</v>
      </c>
      <c r="L564" s="16" t="str">
        <f t="shared" si="7"/>
        <v>N</v>
      </c>
      <c r="M564" s="16"/>
      <c r="N564" s="16"/>
    </row>
    <row r="565">
      <c r="A565" s="27" t="s">
        <v>1005</v>
      </c>
      <c r="B565" s="10" t="str">
        <f t="shared" si="1"/>
        <v>RNA-muscle</v>
      </c>
      <c r="C565" s="10" t="str">
        <f t="shared" si="2"/>
        <v>BRN68M-A1</v>
      </c>
      <c r="D565" s="6">
        <v>68.0</v>
      </c>
      <c r="E565" s="10" t="str">
        <f t="shared" si="3"/>
        <v>BRN68M</v>
      </c>
      <c r="F565" s="6" t="s">
        <v>76</v>
      </c>
      <c r="G565" s="6">
        <v>1.0</v>
      </c>
      <c r="H565" s="11" t="str">
        <f t="shared" si="4"/>
        <v>A1</v>
      </c>
      <c r="I565" s="10" t="str">
        <f t="shared" si="5"/>
        <v>BRN68M-A1</v>
      </c>
      <c r="J565" s="6"/>
      <c r="K565" s="16" t="str">
        <f t="shared" si="6"/>
        <v>collected</v>
      </c>
      <c r="L565" s="16" t="str">
        <f t="shared" si="7"/>
        <v>N</v>
      </c>
      <c r="M565" s="16"/>
      <c r="N565" s="16"/>
    </row>
    <row r="566">
      <c r="A566" s="26" t="s">
        <v>1006</v>
      </c>
      <c r="B566" s="10" t="str">
        <f t="shared" si="1"/>
        <v>RNA-muscle</v>
      </c>
      <c r="C566" s="10" t="str">
        <f t="shared" si="2"/>
        <v>BRN68M-H4</v>
      </c>
      <c r="D566" s="6">
        <v>68.0</v>
      </c>
      <c r="E566" s="10" t="str">
        <f t="shared" si="3"/>
        <v>BRN68M</v>
      </c>
      <c r="F566" s="6" t="s">
        <v>51</v>
      </c>
      <c r="G566" s="6">
        <v>4.0</v>
      </c>
      <c r="H566" s="11" t="str">
        <f t="shared" si="4"/>
        <v>H4</v>
      </c>
      <c r="I566" s="10" t="str">
        <f t="shared" si="5"/>
        <v>BRN68M-H4</v>
      </c>
      <c r="J566" s="16"/>
      <c r="K566" s="16" t="str">
        <f t="shared" si="6"/>
        <v>collected</v>
      </c>
      <c r="L566" s="16" t="str">
        <f t="shared" si="7"/>
        <v>N</v>
      </c>
      <c r="M566" s="16"/>
      <c r="N566" s="16"/>
    </row>
    <row r="567">
      <c r="A567" s="26" t="s">
        <v>1008</v>
      </c>
      <c r="B567" s="10" t="str">
        <f t="shared" si="1"/>
        <v>RNA-muscle</v>
      </c>
      <c r="C567" s="10" t="str">
        <f t="shared" si="2"/>
        <v>BRN68M-G4</v>
      </c>
      <c r="D567" s="6">
        <v>68.0</v>
      </c>
      <c r="E567" s="10" t="str">
        <f t="shared" si="3"/>
        <v>BRN68M</v>
      </c>
      <c r="F567" s="6" t="s">
        <v>56</v>
      </c>
      <c r="G567" s="6">
        <v>4.0</v>
      </c>
      <c r="H567" s="11" t="str">
        <f t="shared" si="4"/>
        <v>G4</v>
      </c>
      <c r="I567" s="10" t="str">
        <f t="shared" si="5"/>
        <v>BRN68M-G4</v>
      </c>
      <c r="J567" s="16"/>
      <c r="K567" s="16" t="str">
        <f t="shared" si="6"/>
        <v>collected</v>
      </c>
      <c r="L567" s="16" t="str">
        <f t="shared" si="7"/>
        <v>N</v>
      </c>
      <c r="M567" s="16"/>
      <c r="N567" s="16"/>
    </row>
    <row r="568">
      <c r="A568" s="26" t="s">
        <v>1009</v>
      </c>
      <c r="B568" s="10" t="str">
        <f t="shared" si="1"/>
        <v>RNA-muscle</v>
      </c>
      <c r="C568" s="10" t="str">
        <f t="shared" si="2"/>
        <v>BRN68M-F4</v>
      </c>
      <c r="D568" s="6">
        <v>68.0</v>
      </c>
      <c r="E568" s="10" t="str">
        <f t="shared" si="3"/>
        <v>BRN68M</v>
      </c>
      <c r="F568" s="6" t="s">
        <v>61</v>
      </c>
      <c r="G568" s="6">
        <v>4.0</v>
      </c>
      <c r="H568" s="11" t="str">
        <f t="shared" si="4"/>
        <v>F4</v>
      </c>
      <c r="I568" s="10" t="str">
        <f t="shared" si="5"/>
        <v>BRN68M-F4</v>
      </c>
      <c r="J568" s="16"/>
      <c r="K568" s="16" t="str">
        <f t="shared" si="6"/>
        <v>collected</v>
      </c>
      <c r="L568" s="16" t="str">
        <f t="shared" si="7"/>
        <v>N</v>
      </c>
      <c r="M568" s="16"/>
      <c r="N568" s="16"/>
    </row>
    <row r="569">
      <c r="A569" s="26" t="s">
        <v>1011</v>
      </c>
      <c r="B569" s="10" t="str">
        <f t="shared" si="1"/>
        <v>RNA-muscle</v>
      </c>
      <c r="C569" s="10" t="str">
        <f t="shared" si="2"/>
        <v>BRN68M-E4</v>
      </c>
      <c r="D569" s="6">
        <v>68.0</v>
      </c>
      <c r="E569" s="10" t="str">
        <f t="shared" si="3"/>
        <v>BRN68M</v>
      </c>
      <c r="F569" s="6" t="s">
        <v>66</v>
      </c>
      <c r="G569" s="6">
        <v>4.0</v>
      </c>
      <c r="H569" s="11" t="str">
        <f t="shared" si="4"/>
        <v>E4</v>
      </c>
      <c r="I569" s="10" t="str">
        <f t="shared" si="5"/>
        <v>BRN68M-E4</v>
      </c>
      <c r="J569" s="6"/>
      <c r="K569" s="16" t="str">
        <f t="shared" si="6"/>
        <v>collected</v>
      </c>
      <c r="L569" s="16" t="str">
        <f t="shared" si="7"/>
        <v>N</v>
      </c>
      <c r="M569" s="16"/>
      <c r="N569" s="16"/>
    </row>
    <row r="570">
      <c r="A570" s="26" t="s">
        <v>1012</v>
      </c>
      <c r="B570" s="10" t="str">
        <f t="shared" si="1"/>
        <v>RNA-muscle</v>
      </c>
      <c r="C570" s="10" t="str">
        <f t="shared" si="2"/>
        <v>BRN68M-D4</v>
      </c>
      <c r="D570" s="6">
        <v>68.0</v>
      </c>
      <c r="E570" s="10" t="str">
        <f t="shared" si="3"/>
        <v>BRN68M</v>
      </c>
      <c r="F570" s="6" t="s">
        <v>68</v>
      </c>
      <c r="G570" s="6">
        <v>4.0</v>
      </c>
      <c r="H570" s="11" t="str">
        <f t="shared" si="4"/>
        <v>D4</v>
      </c>
      <c r="I570" s="10" t="str">
        <f t="shared" si="5"/>
        <v>BRN68M-D4</v>
      </c>
      <c r="J570" s="6"/>
      <c r="K570" s="16" t="str">
        <f t="shared" si="6"/>
        <v>collected</v>
      </c>
      <c r="L570" s="16" t="str">
        <f t="shared" si="7"/>
        <v>N</v>
      </c>
      <c r="M570" s="16"/>
      <c r="N570" s="16"/>
    </row>
    <row r="571">
      <c r="A571" s="26" t="s">
        <v>1013</v>
      </c>
      <c r="B571" s="10" t="str">
        <f t="shared" si="1"/>
        <v>RNA-muscle</v>
      </c>
      <c r="C571" s="10" t="str">
        <f t="shared" si="2"/>
        <v>BRN68M-C4</v>
      </c>
      <c r="D571" s="6">
        <v>68.0</v>
      </c>
      <c r="E571" s="10" t="str">
        <f t="shared" si="3"/>
        <v>BRN68M</v>
      </c>
      <c r="F571" s="6" t="s">
        <v>72</v>
      </c>
      <c r="G571" s="6">
        <v>4.0</v>
      </c>
      <c r="H571" s="11" t="str">
        <f t="shared" si="4"/>
        <v>C4</v>
      </c>
      <c r="I571" s="10" t="str">
        <f t="shared" si="5"/>
        <v>BRN68M-C4</v>
      </c>
      <c r="J571" s="16"/>
      <c r="K571" s="16" t="str">
        <f t="shared" si="6"/>
        <v>collected</v>
      </c>
      <c r="L571" s="16" t="str">
        <f t="shared" si="7"/>
        <v>N</v>
      </c>
      <c r="M571" s="16"/>
      <c r="N571" s="16"/>
    </row>
    <row r="572">
      <c r="A572" s="26" t="s">
        <v>1016</v>
      </c>
      <c r="B572" s="10" t="str">
        <f t="shared" si="1"/>
        <v>RNA-muscle</v>
      </c>
      <c r="C572" s="10" t="str">
        <f t="shared" si="2"/>
        <v>BRN68M-B4</v>
      </c>
      <c r="D572" s="6">
        <v>68.0</v>
      </c>
      <c r="E572" s="10" t="str">
        <f t="shared" si="3"/>
        <v>BRN68M</v>
      </c>
      <c r="F572" s="6" t="s">
        <v>74</v>
      </c>
      <c r="G572" s="6">
        <v>4.0</v>
      </c>
      <c r="H572" s="11" t="str">
        <f t="shared" si="4"/>
        <v>B4</v>
      </c>
      <c r="I572" s="10" t="str">
        <f t="shared" si="5"/>
        <v>BRN68M-B4</v>
      </c>
      <c r="J572" s="16"/>
      <c r="K572" s="16" t="str">
        <f t="shared" si="6"/>
        <v>collected</v>
      </c>
      <c r="L572" s="16" t="str">
        <f t="shared" si="7"/>
        <v>N</v>
      </c>
      <c r="M572" s="16"/>
      <c r="N572" s="16"/>
    </row>
    <row r="573">
      <c r="A573" s="26" t="s">
        <v>1017</v>
      </c>
      <c r="B573" s="10" t="str">
        <f t="shared" si="1"/>
        <v>RNA-muscle</v>
      </c>
      <c r="C573" s="10" t="str">
        <f t="shared" si="2"/>
        <v>BRN68M-A4</v>
      </c>
      <c r="D573" s="6">
        <v>68.0</v>
      </c>
      <c r="E573" s="10" t="str">
        <f t="shared" si="3"/>
        <v>BRN68M</v>
      </c>
      <c r="F573" s="6" t="s">
        <v>76</v>
      </c>
      <c r="G573" s="6">
        <v>4.0</v>
      </c>
      <c r="H573" s="11" t="str">
        <f t="shared" si="4"/>
        <v>A4</v>
      </c>
      <c r="I573" s="10" t="str">
        <f t="shared" si="5"/>
        <v>BRN68M-A4</v>
      </c>
      <c r="J573" s="16"/>
      <c r="K573" s="16" t="str">
        <f t="shared" si="6"/>
        <v>collected</v>
      </c>
      <c r="L573" s="16" t="str">
        <f t="shared" si="7"/>
        <v>N</v>
      </c>
      <c r="M573" s="16"/>
      <c r="N573" s="16"/>
    </row>
    <row r="574">
      <c r="A574" s="26" t="s">
        <v>1018</v>
      </c>
      <c r="B574" s="10" t="str">
        <f t="shared" si="1"/>
        <v>RNA-muscle</v>
      </c>
      <c r="C574" s="10" t="str">
        <f t="shared" si="2"/>
        <v>BRN68M-G6</v>
      </c>
      <c r="D574" s="6">
        <v>68.0</v>
      </c>
      <c r="E574" s="10" t="str">
        <f t="shared" si="3"/>
        <v>BRN68M</v>
      </c>
      <c r="F574" s="6" t="s">
        <v>56</v>
      </c>
      <c r="G574" s="6">
        <v>6.0</v>
      </c>
      <c r="H574" s="11" t="str">
        <f t="shared" si="4"/>
        <v>G6</v>
      </c>
      <c r="I574" s="10" t="str">
        <f t="shared" si="5"/>
        <v>BRN68M-G6</v>
      </c>
      <c r="J574" s="16"/>
      <c r="K574" s="16" t="str">
        <f t="shared" si="6"/>
        <v>collected</v>
      </c>
      <c r="L574" s="16" t="str">
        <f t="shared" si="7"/>
        <v>N</v>
      </c>
      <c r="M574" s="16"/>
      <c r="N574" s="16"/>
    </row>
    <row r="575">
      <c r="A575" s="26" t="s">
        <v>1019</v>
      </c>
      <c r="B575" s="10" t="str">
        <f t="shared" si="1"/>
        <v>RNA-muscle</v>
      </c>
      <c r="C575" s="10" t="str">
        <f t="shared" si="2"/>
        <v>BRN68M-F6</v>
      </c>
      <c r="D575" s="6">
        <v>68.0</v>
      </c>
      <c r="E575" s="10" t="str">
        <f t="shared" si="3"/>
        <v>BRN68M</v>
      </c>
      <c r="F575" s="6" t="s">
        <v>61</v>
      </c>
      <c r="G575" s="6">
        <v>6.0</v>
      </c>
      <c r="H575" s="11" t="str">
        <f t="shared" si="4"/>
        <v>F6</v>
      </c>
      <c r="I575" s="10" t="str">
        <f t="shared" si="5"/>
        <v>BRN68M-F6</v>
      </c>
      <c r="J575" s="16"/>
      <c r="K575" s="16" t="str">
        <f t="shared" si="6"/>
        <v>collected</v>
      </c>
      <c r="L575" s="16" t="str">
        <f t="shared" si="7"/>
        <v>N</v>
      </c>
      <c r="M575" s="16"/>
      <c r="N575" s="16"/>
    </row>
    <row r="576">
      <c r="A576" s="26" t="s">
        <v>1021</v>
      </c>
      <c r="B576" s="10" t="str">
        <f t="shared" si="1"/>
        <v>RNA-muscle</v>
      </c>
      <c r="C576" s="10" t="str">
        <f t="shared" si="2"/>
        <v>BRN68M-E6</v>
      </c>
      <c r="D576" s="6">
        <v>68.0</v>
      </c>
      <c r="E576" s="10" t="str">
        <f t="shared" si="3"/>
        <v>BRN68M</v>
      </c>
      <c r="F576" s="6" t="s">
        <v>66</v>
      </c>
      <c r="G576" s="6">
        <v>6.0</v>
      </c>
      <c r="H576" s="11" t="str">
        <f t="shared" si="4"/>
        <v>E6</v>
      </c>
      <c r="I576" s="10" t="str">
        <f t="shared" si="5"/>
        <v>BRN68M-E6</v>
      </c>
      <c r="J576" s="16"/>
      <c r="K576" s="16" t="str">
        <f t="shared" si="6"/>
        <v>collected</v>
      </c>
      <c r="L576" s="16" t="str">
        <f t="shared" si="7"/>
        <v>N</v>
      </c>
      <c r="M576" s="16"/>
      <c r="N576" s="16"/>
    </row>
    <row r="577">
      <c r="A577" s="26" t="s">
        <v>1023</v>
      </c>
      <c r="B577" s="10" t="str">
        <f t="shared" si="1"/>
        <v>RNA-muscle</v>
      </c>
      <c r="C577" s="10" t="str">
        <f t="shared" si="2"/>
        <v>BRN68M-D6</v>
      </c>
      <c r="D577" s="6">
        <v>68.0</v>
      </c>
      <c r="E577" s="10" t="str">
        <f t="shared" si="3"/>
        <v>BRN68M</v>
      </c>
      <c r="F577" s="6" t="s">
        <v>68</v>
      </c>
      <c r="G577" s="6">
        <v>6.0</v>
      </c>
      <c r="H577" s="11" t="str">
        <f t="shared" si="4"/>
        <v>D6</v>
      </c>
      <c r="I577" s="10" t="str">
        <f t="shared" si="5"/>
        <v>BRN68M-D6</v>
      </c>
      <c r="J577" s="16"/>
      <c r="K577" s="16" t="str">
        <f t="shared" si="6"/>
        <v>collected</v>
      </c>
      <c r="L577" s="16" t="str">
        <f t="shared" si="7"/>
        <v>N</v>
      </c>
      <c r="M577" s="16"/>
      <c r="N577" s="16"/>
    </row>
    <row r="578">
      <c r="A578" s="26" t="s">
        <v>1024</v>
      </c>
      <c r="B578" s="10" t="str">
        <f t="shared" si="1"/>
        <v>RNA-muscle</v>
      </c>
      <c r="C578" s="10" t="str">
        <f t="shared" si="2"/>
        <v>BRN68M-C6</v>
      </c>
      <c r="D578" s="6">
        <v>68.0</v>
      </c>
      <c r="E578" s="10" t="str">
        <f t="shared" si="3"/>
        <v>BRN68M</v>
      </c>
      <c r="F578" s="6" t="s">
        <v>72</v>
      </c>
      <c r="G578" s="6">
        <v>6.0</v>
      </c>
      <c r="H578" s="11" t="str">
        <f t="shared" si="4"/>
        <v>C6</v>
      </c>
      <c r="I578" s="10" t="str">
        <f t="shared" si="5"/>
        <v>BRN68M-C6</v>
      </c>
      <c r="J578" s="16"/>
      <c r="K578" s="16" t="str">
        <f t="shared" si="6"/>
        <v>collected</v>
      </c>
      <c r="L578" s="16" t="str">
        <f t="shared" si="7"/>
        <v>N</v>
      </c>
      <c r="M578" s="16"/>
      <c r="N578" s="16"/>
    </row>
    <row r="579">
      <c r="A579" s="26" t="s">
        <v>1025</v>
      </c>
      <c r="B579" s="10" t="str">
        <f t="shared" si="1"/>
        <v>RNA-muscle</v>
      </c>
      <c r="C579" s="10" t="str">
        <f t="shared" si="2"/>
        <v>BRN68M-B6</v>
      </c>
      <c r="D579" s="6">
        <v>68.0</v>
      </c>
      <c r="E579" s="10" t="str">
        <f t="shared" si="3"/>
        <v>BRN68M</v>
      </c>
      <c r="F579" s="6" t="s">
        <v>74</v>
      </c>
      <c r="G579" s="6">
        <v>6.0</v>
      </c>
      <c r="H579" s="11" t="str">
        <f t="shared" si="4"/>
        <v>B6</v>
      </c>
      <c r="I579" s="10" t="str">
        <f t="shared" si="5"/>
        <v>BRN68M-B6</v>
      </c>
      <c r="J579" s="16"/>
      <c r="K579" s="16" t="str">
        <f t="shared" si="6"/>
        <v>collected</v>
      </c>
      <c r="L579" s="16" t="str">
        <f t="shared" si="7"/>
        <v>N</v>
      </c>
      <c r="M579" s="16"/>
      <c r="N579" s="16"/>
    </row>
    <row r="580">
      <c r="A580" s="26" t="s">
        <v>1028</v>
      </c>
      <c r="B580" s="10" t="str">
        <f t="shared" si="1"/>
        <v>RNA-muscle</v>
      </c>
      <c r="C580" s="10" t="str">
        <f t="shared" si="2"/>
        <v>BRN68M-A6</v>
      </c>
      <c r="D580" s="6">
        <v>68.0</v>
      </c>
      <c r="E580" s="10" t="str">
        <f t="shared" si="3"/>
        <v>BRN68M</v>
      </c>
      <c r="F580" s="6" t="s">
        <v>76</v>
      </c>
      <c r="G580" s="6">
        <v>6.0</v>
      </c>
      <c r="H580" s="11" t="str">
        <f t="shared" si="4"/>
        <v>A6</v>
      </c>
      <c r="I580" s="10" t="str">
        <f t="shared" si="5"/>
        <v>BRN68M-A6</v>
      </c>
      <c r="J580" s="6"/>
      <c r="K580" s="16" t="str">
        <f t="shared" si="6"/>
        <v>collected</v>
      </c>
      <c r="L580" s="16" t="str">
        <f t="shared" si="7"/>
        <v>N</v>
      </c>
      <c r="M580" s="16"/>
      <c r="N580" s="16"/>
    </row>
    <row r="581">
      <c r="A581" s="26" t="s">
        <v>1029</v>
      </c>
      <c r="B581" s="10" t="str">
        <f t="shared" si="1"/>
        <v>RNA-muscle</v>
      </c>
      <c r="C581" s="10" t="str">
        <f t="shared" si="2"/>
        <v>BRN68M-H8</v>
      </c>
      <c r="D581" s="6">
        <v>68.0</v>
      </c>
      <c r="E581" s="10" t="str">
        <f t="shared" si="3"/>
        <v>BRN68M</v>
      </c>
      <c r="F581" s="6" t="s">
        <v>51</v>
      </c>
      <c r="G581" s="6">
        <v>8.0</v>
      </c>
      <c r="H581" s="11" t="str">
        <f t="shared" si="4"/>
        <v>H8</v>
      </c>
      <c r="I581" s="10" t="str">
        <f t="shared" si="5"/>
        <v>BRN68M-H8</v>
      </c>
      <c r="J581" s="16"/>
      <c r="K581" s="16" t="str">
        <f t="shared" si="6"/>
        <v>collected</v>
      </c>
      <c r="L581" s="16" t="str">
        <f t="shared" si="7"/>
        <v>N</v>
      </c>
      <c r="M581" s="16"/>
      <c r="N581" s="16"/>
    </row>
    <row r="582">
      <c r="A582" s="26" t="s">
        <v>1031</v>
      </c>
      <c r="B582" s="10" t="str">
        <f t="shared" si="1"/>
        <v>RNA-muscle</v>
      </c>
      <c r="C582" s="10" t="str">
        <f t="shared" si="2"/>
        <v>BRN68M-G8</v>
      </c>
      <c r="D582" s="6">
        <v>68.0</v>
      </c>
      <c r="E582" s="10" t="str">
        <f t="shared" si="3"/>
        <v>BRN68M</v>
      </c>
      <c r="F582" s="6" t="s">
        <v>56</v>
      </c>
      <c r="G582" s="6">
        <v>8.0</v>
      </c>
      <c r="H582" s="11" t="str">
        <f t="shared" si="4"/>
        <v>G8</v>
      </c>
      <c r="I582" s="10" t="str">
        <f t="shared" si="5"/>
        <v>BRN68M-G8</v>
      </c>
      <c r="J582" s="16"/>
      <c r="K582" s="16" t="str">
        <f t="shared" si="6"/>
        <v>collected</v>
      </c>
      <c r="L582" s="16" t="str">
        <f t="shared" si="7"/>
        <v>N</v>
      </c>
      <c r="M582" s="16"/>
      <c r="N582" s="16"/>
    </row>
    <row r="583">
      <c r="A583" s="26" t="s">
        <v>1032</v>
      </c>
      <c r="B583" s="10" t="str">
        <f t="shared" si="1"/>
        <v>RNA-muscle</v>
      </c>
      <c r="C583" s="10" t="str">
        <f t="shared" si="2"/>
        <v>BRN68M-F8</v>
      </c>
      <c r="D583" s="6">
        <v>68.0</v>
      </c>
      <c r="E583" s="10" t="str">
        <f t="shared" si="3"/>
        <v>BRN68M</v>
      </c>
      <c r="F583" s="6" t="s">
        <v>61</v>
      </c>
      <c r="G583" s="6">
        <v>8.0</v>
      </c>
      <c r="H583" s="11" t="str">
        <f t="shared" si="4"/>
        <v>F8</v>
      </c>
      <c r="I583" s="10" t="str">
        <f t="shared" si="5"/>
        <v>BRN68M-F8</v>
      </c>
      <c r="J583" s="6"/>
      <c r="K583" s="16" t="str">
        <f t="shared" si="6"/>
        <v>collected</v>
      </c>
      <c r="L583" s="16" t="str">
        <f t="shared" si="7"/>
        <v>N</v>
      </c>
      <c r="M583" s="16"/>
      <c r="N583" s="16"/>
    </row>
    <row r="584">
      <c r="A584" s="26" t="s">
        <v>1033</v>
      </c>
      <c r="B584" s="10" t="str">
        <f t="shared" si="1"/>
        <v>RNA-muscle</v>
      </c>
      <c r="C584" s="10" t="str">
        <f t="shared" si="2"/>
        <v>BRN68M-D7</v>
      </c>
      <c r="D584" s="6">
        <v>68.0</v>
      </c>
      <c r="E584" s="10" t="str">
        <f t="shared" si="3"/>
        <v>BRN68M</v>
      </c>
      <c r="F584" s="6" t="s">
        <v>68</v>
      </c>
      <c r="G584" s="6">
        <v>7.0</v>
      </c>
      <c r="H584" s="11" t="str">
        <f t="shared" si="4"/>
        <v>D7</v>
      </c>
      <c r="I584" s="10" t="str">
        <f t="shared" si="5"/>
        <v>BRN68M-D7</v>
      </c>
      <c r="J584" s="16"/>
      <c r="K584" s="16" t="str">
        <f t="shared" si="6"/>
        <v>collected</v>
      </c>
      <c r="L584" s="16" t="str">
        <f t="shared" si="7"/>
        <v>N</v>
      </c>
      <c r="M584" s="16"/>
      <c r="N584" s="16"/>
    </row>
    <row r="585">
      <c r="A585" s="26" t="s">
        <v>1035</v>
      </c>
      <c r="B585" s="10" t="str">
        <f t="shared" si="1"/>
        <v>RNA-muscle</v>
      </c>
      <c r="C585" s="10" t="str">
        <f t="shared" si="2"/>
        <v>BRN68M-C7</v>
      </c>
      <c r="D585" s="6">
        <v>68.0</v>
      </c>
      <c r="E585" s="10" t="str">
        <f t="shared" si="3"/>
        <v>BRN68M</v>
      </c>
      <c r="F585" s="6" t="s">
        <v>72</v>
      </c>
      <c r="G585" s="6">
        <v>7.0</v>
      </c>
      <c r="H585" s="11" t="str">
        <f t="shared" si="4"/>
        <v>C7</v>
      </c>
      <c r="I585" s="10" t="str">
        <f t="shared" si="5"/>
        <v>BRN68M-C7</v>
      </c>
      <c r="J585" s="6"/>
      <c r="K585" s="16" t="str">
        <f t="shared" si="6"/>
        <v>collected</v>
      </c>
      <c r="L585" s="16" t="str">
        <f t="shared" si="7"/>
        <v>N</v>
      </c>
      <c r="M585" s="16"/>
      <c r="N585" s="16"/>
    </row>
    <row r="586">
      <c r="A586" s="26" t="s">
        <v>1037</v>
      </c>
      <c r="B586" s="10" t="str">
        <f t="shared" si="1"/>
        <v>RNA-muscle</v>
      </c>
      <c r="C586" s="10" t="str">
        <f t="shared" si="2"/>
        <v>BRN68M-B7</v>
      </c>
      <c r="D586" s="6">
        <v>68.0</v>
      </c>
      <c r="E586" s="10" t="str">
        <f t="shared" si="3"/>
        <v>BRN68M</v>
      </c>
      <c r="F586" s="6" t="s">
        <v>74</v>
      </c>
      <c r="G586" s="6">
        <v>7.0</v>
      </c>
      <c r="H586" s="11" t="str">
        <f t="shared" si="4"/>
        <v>B7</v>
      </c>
      <c r="I586" s="10" t="str">
        <f t="shared" si="5"/>
        <v>BRN68M-B7</v>
      </c>
      <c r="J586" s="16"/>
      <c r="K586" s="16" t="str">
        <f t="shared" si="6"/>
        <v>collected</v>
      </c>
      <c r="L586" s="16" t="str">
        <f t="shared" si="7"/>
        <v>N</v>
      </c>
      <c r="M586" s="16"/>
      <c r="N586" s="16"/>
    </row>
    <row r="587">
      <c r="A587" s="26" t="s">
        <v>1038</v>
      </c>
      <c r="B587" s="10" t="str">
        <f t="shared" si="1"/>
        <v>RNA-muscle</v>
      </c>
      <c r="C587" s="10" t="str">
        <f t="shared" si="2"/>
        <v>BRN68M-A7</v>
      </c>
      <c r="D587" s="6">
        <v>68.0</v>
      </c>
      <c r="E587" s="10" t="str">
        <f t="shared" si="3"/>
        <v>BRN68M</v>
      </c>
      <c r="F587" s="6" t="s">
        <v>76</v>
      </c>
      <c r="G587" s="6">
        <v>7.0</v>
      </c>
      <c r="H587" s="11" t="str">
        <f t="shared" si="4"/>
        <v>A7</v>
      </c>
      <c r="I587" s="10" t="str">
        <f t="shared" si="5"/>
        <v>BRN68M-A7</v>
      </c>
      <c r="J587" s="16"/>
      <c r="K587" s="16" t="str">
        <f t="shared" si="6"/>
        <v>collected</v>
      </c>
      <c r="L587" s="16" t="str">
        <f t="shared" si="7"/>
        <v>N</v>
      </c>
      <c r="M587" s="16"/>
      <c r="N587" s="16"/>
    </row>
    <row r="588">
      <c r="A588" s="26" t="s">
        <v>1039</v>
      </c>
      <c r="B588" s="10" t="str">
        <f t="shared" si="1"/>
        <v>RNA-muscle</v>
      </c>
      <c r="C588" s="10" t="str">
        <f t="shared" si="2"/>
        <v>BRN68M-H9</v>
      </c>
      <c r="D588" s="6">
        <v>68.0</v>
      </c>
      <c r="E588" s="10" t="str">
        <f t="shared" si="3"/>
        <v>BRN68M</v>
      </c>
      <c r="F588" s="6" t="s">
        <v>51</v>
      </c>
      <c r="G588" s="6">
        <v>9.0</v>
      </c>
      <c r="H588" s="11" t="str">
        <f t="shared" si="4"/>
        <v>H9</v>
      </c>
      <c r="I588" s="10" t="str">
        <f t="shared" si="5"/>
        <v>BRN68M-H9</v>
      </c>
      <c r="J588" s="16"/>
      <c r="K588" s="16" t="str">
        <f t="shared" si="6"/>
        <v>collected</v>
      </c>
      <c r="L588" s="16" t="str">
        <f t="shared" si="7"/>
        <v>N</v>
      </c>
      <c r="M588" s="16"/>
      <c r="N588" s="16"/>
    </row>
    <row r="589">
      <c r="A589" s="26" t="s">
        <v>1040</v>
      </c>
      <c r="B589" s="10" t="str">
        <f t="shared" si="1"/>
        <v>RNA-muscle</v>
      </c>
      <c r="C589" s="10" t="str">
        <f t="shared" si="2"/>
        <v>BRN68M-G9</v>
      </c>
      <c r="D589" s="6">
        <v>68.0</v>
      </c>
      <c r="E589" s="10" t="str">
        <f t="shared" si="3"/>
        <v>BRN68M</v>
      </c>
      <c r="F589" s="6" t="s">
        <v>56</v>
      </c>
      <c r="G589" s="6">
        <v>9.0</v>
      </c>
      <c r="H589" s="11" t="str">
        <f t="shared" si="4"/>
        <v>G9</v>
      </c>
      <c r="I589" s="10" t="str">
        <f t="shared" si="5"/>
        <v>BRN68M-G9</v>
      </c>
      <c r="J589" s="16"/>
      <c r="K589" s="16" t="str">
        <f t="shared" si="6"/>
        <v>collected</v>
      </c>
      <c r="L589" s="16" t="str">
        <f t="shared" si="7"/>
        <v>N</v>
      </c>
      <c r="M589" s="16"/>
      <c r="N589" s="16"/>
    </row>
    <row r="590">
      <c r="A590" s="26" t="s">
        <v>1041</v>
      </c>
      <c r="B590" s="10" t="str">
        <f t="shared" si="1"/>
        <v>RNA-muscle</v>
      </c>
      <c r="C590" s="10" t="str">
        <f t="shared" si="2"/>
        <v>BRN68M-F9</v>
      </c>
      <c r="D590" s="6">
        <v>68.0</v>
      </c>
      <c r="E590" s="10" t="str">
        <f t="shared" si="3"/>
        <v>BRN68M</v>
      </c>
      <c r="F590" s="6" t="s">
        <v>61</v>
      </c>
      <c r="G590" s="6">
        <v>9.0</v>
      </c>
      <c r="H590" s="11" t="str">
        <f t="shared" si="4"/>
        <v>F9</v>
      </c>
      <c r="I590" s="10" t="str">
        <f t="shared" si="5"/>
        <v>BRN68M-F9</v>
      </c>
      <c r="J590" s="16"/>
      <c r="K590" s="16" t="str">
        <f t="shared" si="6"/>
        <v>collected</v>
      </c>
      <c r="L590" s="16" t="str">
        <f t="shared" si="7"/>
        <v>N</v>
      </c>
      <c r="M590" s="16"/>
      <c r="N590" s="16"/>
    </row>
    <row r="591">
      <c r="A591" s="26" t="s">
        <v>1044</v>
      </c>
      <c r="B591" s="10" t="str">
        <f t="shared" si="1"/>
        <v>RNA-muscle</v>
      </c>
      <c r="C591" s="10" t="str">
        <f t="shared" si="2"/>
        <v>BRN68M-E9</v>
      </c>
      <c r="D591" s="6">
        <v>68.0</v>
      </c>
      <c r="E591" s="10" t="str">
        <f t="shared" si="3"/>
        <v>BRN68M</v>
      </c>
      <c r="F591" s="6" t="s">
        <v>66</v>
      </c>
      <c r="G591" s="6">
        <v>9.0</v>
      </c>
      <c r="H591" s="11" t="str">
        <f t="shared" si="4"/>
        <v>E9</v>
      </c>
      <c r="I591" s="10" t="str">
        <f t="shared" si="5"/>
        <v>BRN68M-E9</v>
      </c>
      <c r="J591" s="16"/>
      <c r="K591" s="16" t="str">
        <f t="shared" si="6"/>
        <v>collected</v>
      </c>
      <c r="L591" s="16" t="str">
        <f t="shared" si="7"/>
        <v>N</v>
      </c>
      <c r="M591" s="16"/>
      <c r="N591" s="16"/>
    </row>
    <row r="592">
      <c r="A592" s="26" t="s">
        <v>1046</v>
      </c>
      <c r="B592" s="10" t="str">
        <f t="shared" si="1"/>
        <v>RNA-muscle</v>
      </c>
      <c r="C592" s="10" t="str">
        <f t="shared" si="2"/>
        <v>BRN68M-D9</v>
      </c>
      <c r="D592" s="6">
        <v>68.0</v>
      </c>
      <c r="E592" s="10" t="str">
        <f t="shared" si="3"/>
        <v>BRN68M</v>
      </c>
      <c r="F592" s="6" t="s">
        <v>68</v>
      </c>
      <c r="G592" s="6">
        <v>9.0</v>
      </c>
      <c r="H592" s="11" t="str">
        <f t="shared" si="4"/>
        <v>D9</v>
      </c>
      <c r="I592" s="10" t="str">
        <f t="shared" si="5"/>
        <v>BRN68M-D9</v>
      </c>
      <c r="J592" s="16"/>
      <c r="K592" s="16" t="str">
        <f t="shared" si="6"/>
        <v>collected</v>
      </c>
      <c r="L592" s="16" t="str">
        <f t="shared" si="7"/>
        <v>N</v>
      </c>
      <c r="M592" s="16"/>
      <c r="N592" s="16"/>
    </row>
    <row r="593">
      <c r="A593" s="26" t="s">
        <v>1047</v>
      </c>
      <c r="B593" s="10" t="str">
        <f t="shared" si="1"/>
        <v>RNA-muscle</v>
      </c>
      <c r="C593" s="10" t="str">
        <f t="shared" si="2"/>
        <v>BRN68M-C9</v>
      </c>
      <c r="D593" s="6">
        <v>68.0</v>
      </c>
      <c r="E593" s="10" t="str">
        <f t="shared" si="3"/>
        <v>BRN68M</v>
      </c>
      <c r="F593" s="6" t="s">
        <v>72</v>
      </c>
      <c r="G593" s="6">
        <v>9.0</v>
      </c>
      <c r="H593" s="11" t="str">
        <f t="shared" si="4"/>
        <v>C9</v>
      </c>
      <c r="I593" s="10" t="str">
        <f t="shared" si="5"/>
        <v>BRN68M-C9</v>
      </c>
      <c r="J593" s="6"/>
      <c r="K593" s="16" t="str">
        <f t="shared" si="6"/>
        <v>collected</v>
      </c>
      <c r="L593" s="16" t="str">
        <f t="shared" si="7"/>
        <v>N</v>
      </c>
      <c r="M593" s="16"/>
      <c r="N593" s="16"/>
    </row>
    <row r="594">
      <c r="A594" s="26" t="s">
        <v>1048</v>
      </c>
      <c r="B594" s="10" t="str">
        <f t="shared" si="1"/>
        <v>RNA-muscle</v>
      </c>
      <c r="C594" s="10" t="str">
        <f t="shared" si="2"/>
        <v>BRN68M-B9</v>
      </c>
      <c r="D594" s="6">
        <v>68.0</v>
      </c>
      <c r="E594" s="10" t="str">
        <f t="shared" si="3"/>
        <v>BRN68M</v>
      </c>
      <c r="F594" s="6" t="s">
        <v>74</v>
      </c>
      <c r="G594" s="6">
        <v>9.0</v>
      </c>
      <c r="H594" s="11" t="str">
        <f t="shared" si="4"/>
        <v>B9</v>
      </c>
      <c r="I594" s="10" t="str">
        <f t="shared" si="5"/>
        <v>BRN68M-B9</v>
      </c>
      <c r="J594" s="16"/>
      <c r="K594" s="16" t="str">
        <f t="shared" si="6"/>
        <v>collected</v>
      </c>
      <c r="L594" s="16" t="str">
        <f t="shared" si="7"/>
        <v>N</v>
      </c>
      <c r="M594" s="16"/>
      <c r="N594" s="16"/>
    </row>
    <row r="595">
      <c r="A595" s="26" t="s">
        <v>1049</v>
      </c>
      <c r="B595" s="10" t="str">
        <f t="shared" si="1"/>
        <v>RNA-muscle</v>
      </c>
      <c r="C595" s="10" t="str">
        <f t="shared" si="2"/>
        <v>BRN68M-A9</v>
      </c>
      <c r="D595" s="6">
        <v>68.0</v>
      </c>
      <c r="E595" s="10" t="str">
        <f t="shared" si="3"/>
        <v>BRN68M</v>
      </c>
      <c r="F595" s="6" t="s">
        <v>76</v>
      </c>
      <c r="G595" s="6">
        <v>9.0</v>
      </c>
      <c r="H595" s="11" t="str">
        <f t="shared" si="4"/>
        <v>A9</v>
      </c>
      <c r="I595" s="10" t="str">
        <f t="shared" si="5"/>
        <v>BRN68M-A9</v>
      </c>
      <c r="J595" s="16"/>
      <c r="K595" s="16" t="str">
        <f t="shared" si="6"/>
        <v>collected</v>
      </c>
      <c r="L595" s="16" t="str">
        <f t="shared" si="7"/>
        <v>N</v>
      </c>
      <c r="M595" s="16"/>
      <c r="N595" s="16"/>
    </row>
    <row r="596">
      <c r="A596" s="26" t="s">
        <v>1050</v>
      </c>
      <c r="B596" s="10" t="str">
        <f t="shared" si="1"/>
        <v>RNA-muscle</v>
      </c>
      <c r="C596" s="10" t="str">
        <f t="shared" si="2"/>
        <v>BRN68M-H11</v>
      </c>
      <c r="D596" s="6">
        <v>68.0</v>
      </c>
      <c r="E596" s="10" t="str">
        <f t="shared" si="3"/>
        <v>BRN68M</v>
      </c>
      <c r="F596" s="6" t="s">
        <v>51</v>
      </c>
      <c r="G596" s="6">
        <v>11.0</v>
      </c>
      <c r="H596" s="11" t="str">
        <f t="shared" si="4"/>
        <v>H11</v>
      </c>
      <c r="I596" s="10" t="str">
        <f t="shared" si="5"/>
        <v>BRN68M-H11</v>
      </c>
      <c r="J596" s="16"/>
      <c r="K596" s="16" t="str">
        <f t="shared" si="6"/>
        <v>collected</v>
      </c>
      <c r="L596" s="16" t="str">
        <f t="shared" si="7"/>
        <v>N</v>
      </c>
      <c r="M596" s="16"/>
      <c r="N596" s="16"/>
    </row>
    <row r="597">
      <c r="A597" s="26" t="s">
        <v>1051</v>
      </c>
      <c r="B597" s="10" t="str">
        <f t="shared" si="1"/>
        <v>RNA-muscle</v>
      </c>
      <c r="C597" s="10" t="str">
        <f t="shared" si="2"/>
        <v>BRN68M-G11</v>
      </c>
      <c r="D597" s="6">
        <v>68.0</v>
      </c>
      <c r="E597" s="10" t="str">
        <f t="shared" si="3"/>
        <v>BRN68M</v>
      </c>
      <c r="F597" s="6" t="s">
        <v>56</v>
      </c>
      <c r="G597" s="6">
        <v>11.0</v>
      </c>
      <c r="H597" s="11" t="str">
        <f t="shared" si="4"/>
        <v>G11</v>
      </c>
      <c r="I597" s="10" t="str">
        <f t="shared" si="5"/>
        <v>BRN68M-G11</v>
      </c>
      <c r="J597" s="16"/>
      <c r="K597" s="16" t="str">
        <f t="shared" si="6"/>
        <v>collected</v>
      </c>
      <c r="L597" s="16" t="str">
        <f t="shared" si="7"/>
        <v>N</v>
      </c>
      <c r="M597" s="16"/>
      <c r="N597" s="16"/>
    </row>
    <row r="598">
      <c r="A598" s="26" t="s">
        <v>1053</v>
      </c>
      <c r="B598" s="10" t="str">
        <f t="shared" si="1"/>
        <v>RNA-muscle</v>
      </c>
      <c r="C598" s="10" t="str">
        <f t="shared" si="2"/>
        <v>BRN68M-F11</v>
      </c>
      <c r="D598" s="6">
        <v>68.0</v>
      </c>
      <c r="E598" s="10" t="str">
        <f t="shared" si="3"/>
        <v>BRN68M</v>
      </c>
      <c r="F598" s="6" t="s">
        <v>61</v>
      </c>
      <c r="G598" s="6">
        <v>11.0</v>
      </c>
      <c r="H598" s="11" t="str">
        <f t="shared" si="4"/>
        <v>F11</v>
      </c>
      <c r="I598" s="10" t="str">
        <f t="shared" si="5"/>
        <v>BRN68M-F11</v>
      </c>
      <c r="J598" s="16"/>
      <c r="K598" s="16" t="str">
        <f t="shared" si="6"/>
        <v>collected</v>
      </c>
      <c r="L598" s="16" t="str">
        <f t="shared" si="7"/>
        <v>N</v>
      </c>
      <c r="M598" s="16"/>
      <c r="N598" s="16"/>
    </row>
    <row r="599">
      <c r="A599" s="26" t="s">
        <v>1055</v>
      </c>
      <c r="B599" s="10" t="str">
        <f t="shared" si="1"/>
        <v>RNA-muscle</v>
      </c>
      <c r="C599" s="10" t="str">
        <f t="shared" si="2"/>
        <v>BRN68M-E11</v>
      </c>
      <c r="D599" s="6">
        <v>68.0</v>
      </c>
      <c r="E599" s="10" t="str">
        <f t="shared" si="3"/>
        <v>BRN68M</v>
      </c>
      <c r="F599" s="6" t="s">
        <v>66</v>
      </c>
      <c r="G599" s="6">
        <v>11.0</v>
      </c>
      <c r="H599" s="11" t="str">
        <f t="shared" si="4"/>
        <v>E11</v>
      </c>
      <c r="I599" s="10" t="str">
        <f t="shared" si="5"/>
        <v>BRN68M-E11</v>
      </c>
      <c r="J599" s="16"/>
      <c r="K599" s="16" t="str">
        <f t="shared" si="6"/>
        <v>collected</v>
      </c>
      <c r="L599" s="16" t="str">
        <f t="shared" si="7"/>
        <v>N</v>
      </c>
      <c r="M599" s="16"/>
      <c r="N599" s="16"/>
    </row>
    <row r="600">
      <c r="A600" s="26" t="s">
        <v>1056</v>
      </c>
      <c r="B600" s="10" t="str">
        <f t="shared" si="1"/>
        <v>RNA-muscle</v>
      </c>
      <c r="C600" s="10" t="str">
        <f t="shared" si="2"/>
        <v>BRN68M-D11</v>
      </c>
      <c r="D600" s="6">
        <v>68.0</v>
      </c>
      <c r="E600" s="10" t="str">
        <f t="shared" si="3"/>
        <v>BRN68M</v>
      </c>
      <c r="F600" s="6" t="s">
        <v>68</v>
      </c>
      <c r="G600" s="6">
        <v>11.0</v>
      </c>
      <c r="H600" s="11" t="str">
        <f t="shared" si="4"/>
        <v>D11</v>
      </c>
      <c r="I600" s="10" t="str">
        <f t="shared" si="5"/>
        <v>BRN68M-D11</v>
      </c>
      <c r="J600" s="16"/>
      <c r="K600" s="16" t="str">
        <f t="shared" si="6"/>
        <v>collected</v>
      </c>
      <c r="L600" s="16" t="str">
        <f t="shared" si="7"/>
        <v>N</v>
      </c>
      <c r="M600" s="16"/>
      <c r="N600" s="16"/>
    </row>
    <row r="601">
      <c r="A601" s="26" t="s">
        <v>1057</v>
      </c>
      <c r="B601" s="10" t="str">
        <f t="shared" si="1"/>
        <v>RNA-muscle</v>
      </c>
      <c r="C601" s="10" t="str">
        <f t="shared" si="2"/>
        <v>BRN68M-E8</v>
      </c>
      <c r="D601" s="6">
        <v>68.0</v>
      </c>
      <c r="E601" s="10" t="str">
        <f t="shared" si="3"/>
        <v>BRN68M</v>
      </c>
      <c r="F601" s="6" t="s">
        <v>66</v>
      </c>
      <c r="G601" s="6">
        <v>8.0</v>
      </c>
      <c r="H601" s="11" t="str">
        <f t="shared" si="4"/>
        <v>E8</v>
      </c>
      <c r="I601" s="10" t="str">
        <f t="shared" si="5"/>
        <v>BRN68M-E8</v>
      </c>
      <c r="J601" s="16"/>
      <c r="K601" s="16" t="str">
        <f t="shared" si="6"/>
        <v>collected</v>
      </c>
      <c r="L601" s="16" t="str">
        <f t="shared" si="7"/>
        <v>N</v>
      </c>
      <c r="M601" s="16"/>
      <c r="N601" s="16"/>
    </row>
    <row r="602">
      <c r="A602" s="26" t="s">
        <v>1059</v>
      </c>
      <c r="B602" s="10" t="str">
        <f t="shared" si="1"/>
        <v>RNA-muscle</v>
      </c>
      <c r="C602" s="10" t="str">
        <f t="shared" si="2"/>
        <v>BRN68M-D8</v>
      </c>
      <c r="D602" s="6">
        <v>68.0</v>
      </c>
      <c r="E602" s="10" t="str">
        <f t="shared" si="3"/>
        <v>BRN68M</v>
      </c>
      <c r="F602" s="6" t="s">
        <v>68</v>
      </c>
      <c r="G602" s="6">
        <v>8.0</v>
      </c>
      <c r="H602" s="11" t="str">
        <f t="shared" si="4"/>
        <v>D8</v>
      </c>
      <c r="I602" s="10" t="str">
        <f t="shared" si="5"/>
        <v>BRN68M-D8</v>
      </c>
      <c r="J602" s="16"/>
      <c r="K602" s="16" t="str">
        <f t="shared" si="6"/>
        <v>collected</v>
      </c>
      <c r="L602" s="16" t="str">
        <f t="shared" si="7"/>
        <v>N</v>
      </c>
      <c r="M602" s="16"/>
      <c r="N602" s="16"/>
    </row>
    <row r="603">
      <c r="A603" s="26" t="s">
        <v>1060</v>
      </c>
      <c r="B603" s="10" t="str">
        <f t="shared" si="1"/>
        <v>RNA-muscle</v>
      </c>
      <c r="C603" s="10" t="str">
        <f t="shared" si="2"/>
        <v>BRN68M-C8</v>
      </c>
      <c r="D603" s="6">
        <v>68.0</v>
      </c>
      <c r="E603" s="10" t="str">
        <f t="shared" si="3"/>
        <v>BRN68M</v>
      </c>
      <c r="F603" s="6" t="s">
        <v>72</v>
      </c>
      <c r="G603" s="6">
        <v>8.0</v>
      </c>
      <c r="H603" s="11" t="str">
        <f t="shared" si="4"/>
        <v>C8</v>
      </c>
      <c r="I603" s="10" t="str">
        <f t="shared" si="5"/>
        <v>BRN68M-C8</v>
      </c>
      <c r="J603" s="16"/>
      <c r="K603" s="16" t="str">
        <f t="shared" si="6"/>
        <v>collected</v>
      </c>
      <c r="L603" s="16" t="str">
        <f t="shared" si="7"/>
        <v>N</v>
      </c>
      <c r="M603" s="16"/>
      <c r="N603" s="16"/>
    </row>
    <row r="604">
      <c r="A604" s="26" t="s">
        <v>1061</v>
      </c>
      <c r="B604" s="10" t="str">
        <f t="shared" si="1"/>
        <v>RNA-muscle</v>
      </c>
      <c r="C604" s="10" t="str">
        <f t="shared" si="2"/>
        <v>BRN68M-B8</v>
      </c>
      <c r="D604" s="6">
        <v>68.0</v>
      </c>
      <c r="E604" s="10" t="str">
        <f t="shared" si="3"/>
        <v>BRN68M</v>
      </c>
      <c r="F604" s="6" t="s">
        <v>74</v>
      </c>
      <c r="G604" s="6">
        <v>8.0</v>
      </c>
      <c r="H604" s="11" t="str">
        <f t="shared" si="4"/>
        <v>B8</v>
      </c>
      <c r="I604" s="10" t="str">
        <f t="shared" si="5"/>
        <v>BRN68M-B8</v>
      </c>
      <c r="J604" s="6"/>
      <c r="K604" s="16" t="str">
        <f t="shared" si="6"/>
        <v>collected</v>
      </c>
      <c r="L604" s="16" t="str">
        <f t="shared" si="7"/>
        <v>N</v>
      </c>
      <c r="M604" s="16"/>
      <c r="N604" s="16"/>
    </row>
    <row r="605">
      <c r="A605" s="26" t="s">
        <v>1062</v>
      </c>
      <c r="B605" s="10" t="str">
        <f t="shared" si="1"/>
        <v>RNA-muscle</v>
      </c>
      <c r="C605" s="10" t="str">
        <f t="shared" si="2"/>
        <v>BRN68M-A8</v>
      </c>
      <c r="D605" s="6">
        <v>68.0</v>
      </c>
      <c r="E605" s="10" t="str">
        <f t="shared" si="3"/>
        <v>BRN68M</v>
      </c>
      <c r="F605" s="6" t="s">
        <v>76</v>
      </c>
      <c r="G605" s="6">
        <v>8.0</v>
      </c>
      <c r="H605" s="11" t="str">
        <f t="shared" si="4"/>
        <v>A8</v>
      </c>
      <c r="I605" s="10" t="str">
        <f t="shared" si="5"/>
        <v>BRN68M-A8</v>
      </c>
      <c r="J605" s="16"/>
      <c r="K605" s="16" t="str">
        <f t="shared" si="6"/>
        <v>collected</v>
      </c>
      <c r="L605" s="16" t="str">
        <f t="shared" si="7"/>
        <v>N</v>
      </c>
      <c r="M605" s="16"/>
      <c r="N605" s="16"/>
    </row>
    <row r="606">
      <c r="A606" s="27" t="s">
        <v>1064</v>
      </c>
      <c r="B606" s="10" t="str">
        <f t="shared" si="1"/>
        <v>RNA-muscle</v>
      </c>
      <c r="C606" s="10" t="str">
        <f t="shared" si="2"/>
        <v>BRN68M-H10</v>
      </c>
      <c r="D606" s="6">
        <v>68.0</v>
      </c>
      <c r="E606" s="10" t="str">
        <f t="shared" si="3"/>
        <v>BRN68M</v>
      </c>
      <c r="F606" s="6" t="s">
        <v>51</v>
      </c>
      <c r="G606" s="6">
        <v>10.0</v>
      </c>
      <c r="H606" s="11" t="str">
        <f t="shared" si="4"/>
        <v>H10</v>
      </c>
      <c r="I606" s="10" t="str">
        <f t="shared" si="5"/>
        <v>BRN68M-H10</v>
      </c>
      <c r="J606" s="16"/>
      <c r="K606" s="16" t="str">
        <f t="shared" si="6"/>
        <v>collected</v>
      </c>
      <c r="L606" s="16" t="str">
        <f t="shared" si="7"/>
        <v>N</v>
      </c>
      <c r="M606" s="16"/>
      <c r="N606" s="16"/>
    </row>
    <row r="607">
      <c r="A607" s="27" t="s">
        <v>1066</v>
      </c>
      <c r="B607" s="10" t="str">
        <f t="shared" si="1"/>
        <v>RNA-muscle</v>
      </c>
      <c r="C607" s="10" t="str">
        <f t="shared" si="2"/>
        <v>BRN68M-G10</v>
      </c>
      <c r="D607" s="6">
        <v>68.0</v>
      </c>
      <c r="E607" s="10" t="str">
        <f t="shared" si="3"/>
        <v>BRN68M</v>
      </c>
      <c r="F607" s="6" t="s">
        <v>56</v>
      </c>
      <c r="G607" s="6">
        <v>10.0</v>
      </c>
      <c r="H607" s="11" t="str">
        <f t="shared" si="4"/>
        <v>G10</v>
      </c>
      <c r="I607" s="10" t="str">
        <f t="shared" si="5"/>
        <v>BRN68M-G10</v>
      </c>
      <c r="J607" s="6"/>
      <c r="K607" s="16" t="str">
        <f t="shared" si="6"/>
        <v>collected</v>
      </c>
      <c r="L607" s="16" t="str">
        <f t="shared" si="7"/>
        <v>N</v>
      </c>
      <c r="M607" s="16"/>
      <c r="N607" s="16"/>
    </row>
    <row r="608">
      <c r="A608" s="27" t="s">
        <v>1067</v>
      </c>
      <c r="B608" s="10" t="str">
        <f t="shared" si="1"/>
        <v>RNA-muscle</v>
      </c>
      <c r="C608" s="10" t="str">
        <f t="shared" si="2"/>
        <v>BRN68M-E10</v>
      </c>
      <c r="D608" s="6">
        <v>68.0</v>
      </c>
      <c r="E608" s="10" t="str">
        <f t="shared" si="3"/>
        <v>BRN68M</v>
      </c>
      <c r="F608" s="6" t="s">
        <v>66</v>
      </c>
      <c r="G608" s="6">
        <v>10.0</v>
      </c>
      <c r="H608" s="11" t="str">
        <f t="shared" si="4"/>
        <v>E10</v>
      </c>
      <c r="I608" s="10" t="str">
        <f t="shared" si="5"/>
        <v>BRN68M-E10</v>
      </c>
      <c r="J608" s="16"/>
      <c r="K608" s="16" t="str">
        <f t="shared" si="6"/>
        <v>collected</v>
      </c>
      <c r="L608" s="16" t="str">
        <f t="shared" si="7"/>
        <v>N</v>
      </c>
      <c r="M608" s="16"/>
      <c r="N608" s="16"/>
    </row>
    <row r="609">
      <c r="A609" s="27" t="s">
        <v>1068</v>
      </c>
      <c r="B609" s="10" t="str">
        <f t="shared" si="1"/>
        <v>RNA-muscle</v>
      </c>
      <c r="C609" s="10" t="str">
        <f t="shared" si="2"/>
        <v>BRN68M-F10</v>
      </c>
      <c r="D609" s="6">
        <v>68.0</v>
      </c>
      <c r="E609" s="10" t="str">
        <f t="shared" si="3"/>
        <v>BRN68M</v>
      </c>
      <c r="F609" s="6" t="s">
        <v>61</v>
      </c>
      <c r="G609" s="6">
        <v>10.0</v>
      </c>
      <c r="H609" s="11" t="str">
        <f t="shared" si="4"/>
        <v>F10</v>
      </c>
      <c r="I609" s="10" t="str">
        <f t="shared" si="5"/>
        <v>BRN68M-F10</v>
      </c>
      <c r="J609" s="6"/>
      <c r="K609" s="16" t="str">
        <f t="shared" si="6"/>
        <v>collected</v>
      </c>
      <c r="L609" s="16" t="str">
        <f t="shared" si="7"/>
        <v>N</v>
      </c>
      <c r="M609" s="16"/>
      <c r="N609" s="16"/>
    </row>
    <row r="610">
      <c r="A610" s="27" t="s">
        <v>1069</v>
      </c>
      <c r="B610" s="10" t="str">
        <f t="shared" si="1"/>
        <v>RNA-muscle</v>
      </c>
      <c r="C610" s="10" t="str">
        <f t="shared" si="2"/>
        <v>BRN68M-D10</v>
      </c>
      <c r="D610" s="6">
        <v>68.0</v>
      </c>
      <c r="E610" s="10" t="str">
        <f t="shared" si="3"/>
        <v>BRN68M</v>
      </c>
      <c r="F610" s="6" t="s">
        <v>68</v>
      </c>
      <c r="G610" s="6">
        <v>10.0</v>
      </c>
      <c r="H610" s="11" t="str">
        <f t="shared" si="4"/>
        <v>D10</v>
      </c>
      <c r="I610" s="10" t="str">
        <f t="shared" si="5"/>
        <v>BRN68M-D10</v>
      </c>
      <c r="J610" s="16"/>
      <c r="K610" s="16" t="str">
        <f t="shared" si="6"/>
        <v>collected</v>
      </c>
      <c r="L610" s="16" t="str">
        <f t="shared" si="7"/>
        <v>N</v>
      </c>
      <c r="M610" s="16"/>
      <c r="N610" s="16"/>
    </row>
    <row r="611">
      <c r="A611" s="27" t="s">
        <v>1070</v>
      </c>
      <c r="B611" s="10" t="str">
        <f t="shared" si="1"/>
        <v>RNA-muscle</v>
      </c>
      <c r="C611" s="10" t="str">
        <f t="shared" si="2"/>
        <v>BRN68M-C10</v>
      </c>
      <c r="D611" s="6">
        <v>68.0</v>
      </c>
      <c r="E611" s="10" t="str">
        <f t="shared" si="3"/>
        <v>BRN68M</v>
      </c>
      <c r="F611" s="6" t="s">
        <v>72</v>
      </c>
      <c r="G611" s="6">
        <v>10.0</v>
      </c>
      <c r="H611" s="11" t="str">
        <f t="shared" si="4"/>
        <v>C10</v>
      </c>
      <c r="I611" s="10" t="str">
        <f t="shared" si="5"/>
        <v>BRN68M-C10</v>
      </c>
      <c r="J611" s="16"/>
      <c r="K611" s="16" t="str">
        <f t="shared" si="6"/>
        <v>collected</v>
      </c>
      <c r="L611" s="16" t="str">
        <f t="shared" si="7"/>
        <v>N</v>
      </c>
      <c r="M611" s="16"/>
      <c r="N611" s="16"/>
    </row>
    <row r="612">
      <c r="A612" s="27" t="s">
        <v>1071</v>
      </c>
      <c r="B612" s="10" t="str">
        <f t="shared" si="1"/>
        <v>RNA-muscle</v>
      </c>
      <c r="C612" s="10" t="str">
        <f t="shared" si="2"/>
        <v>BRN68M-B10</v>
      </c>
      <c r="D612" s="6">
        <v>68.0</v>
      </c>
      <c r="E612" s="10" t="str">
        <f t="shared" si="3"/>
        <v>BRN68M</v>
      </c>
      <c r="F612" s="6" t="s">
        <v>74</v>
      </c>
      <c r="G612" s="6">
        <v>10.0</v>
      </c>
      <c r="H612" s="11" t="str">
        <f t="shared" si="4"/>
        <v>B10</v>
      </c>
      <c r="I612" s="10" t="str">
        <f t="shared" si="5"/>
        <v>BRN68M-B10</v>
      </c>
      <c r="J612" s="16"/>
      <c r="K612" s="16" t="str">
        <f t="shared" si="6"/>
        <v>collected</v>
      </c>
      <c r="L612" s="16" t="str">
        <f t="shared" si="7"/>
        <v>N</v>
      </c>
      <c r="M612" s="16"/>
      <c r="N612" s="16"/>
    </row>
    <row r="613">
      <c r="A613" s="27" t="s">
        <v>1074</v>
      </c>
      <c r="B613" s="10" t="str">
        <f t="shared" si="1"/>
        <v>RNA-muscle</v>
      </c>
      <c r="C613" s="10" t="str">
        <f t="shared" si="2"/>
        <v>BRN68M-A10</v>
      </c>
      <c r="D613" s="6">
        <v>68.0</v>
      </c>
      <c r="E613" s="10" t="str">
        <f t="shared" si="3"/>
        <v>BRN68M</v>
      </c>
      <c r="F613" s="6" t="s">
        <v>76</v>
      </c>
      <c r="G613" s="6">
        <v>10.0</v>
      </c>
      <c r="H613" s="11" t="str">
        <f t="shared" si="4"/>
        <v>A10</v>
      </c>
      <c r="I613" s="10" t="str">
        <f t="shared" si="5"/>
        <v>BRN68M-A10</v>
      </c>
      <c r="J613" s="6"/>
      <c r="K613" s="16" t="str">
        <f t="shared" si="6"/>
        <v>collected</v>
      </c>
      <c r="L613" s="16" t="str">
        <f t="shared" si="7"/>
        <v>N</v>
      </c>
      <c r="M613" s="16"/>
      <c r="N613" s="16"/>
    </row>
    <row r="614">
      <c r="A614" s="27" t="s">
        <v>1075</v>
      </c>
      <c r="B614" s="10" t="str">
        <f t="shared" si="1"/>
        <v>RNA-muscle</v>
      </c>
      <c r="C614" s="10" t="str">
        <f t="shared" si="2"/>
        <v>BRN68M-G12</v>
      </c>
      <c r="D614" s="6">
        <v>68.0</v>
      </c>
      <c r="E614" s="10" t="str">
        <f t="shared" si="3"/>
        <v>BRN68M</v>
      </c>
      <c r="F614" s="6" t="s">
        <v>56</v>
      </c>
      <c r="G614" s="6">
        <v>12.0</v>
      </c>
      <c r="H614" s="11" t="str">
        <f t="shared" si="4"/>
        <v>G12</v>
      </c>
      <c r="I614" s="10" t="str">
        <f t="shared" si="5"/>
        <v>BRN68M-G12</v>
      </c>
      <c r="J614" s="6"/>
      <c r="K614" s="16" t="str">
        <f t="shared" si="6"/>
        <v>collected</v>
      </c>
      <c r="L614" s="16" t="str">
        <f t="shared" si="7"/>
        <v>N</v>
      </c>
      <c r="M614" s="16"/>
      <c r="N614" s="16"/>
    </row>
    <row r="615">
      <c r="A615" s="26" t="s">
        <v>1076</v>
      </c>
      <c r="B615" s="10" t="str">
        <f t="shared" si="1"/>
        <v>RNA-muscle</v>
      </c>
      <c r="C615" s="10" t="str">
        <f t="shared" si="2"/>
        <v>BRN68M-F12</v>
      </c>
      <c r="D615" s="6">
        <v>68.0</v>
      </c>
      <c r="E615" s="10" t="str">
        <f t="shared" si="3"/>
        <v>BRN68M</v>
      </c>
      <c r="F615" s="6" t="s">
        <v>61</v>
      </c>
      <c r="G615" s="6">
        <v>12.0</v>
      </c>
      <c r="H615" s="11" t="str">
        <f t="shared" si="4"/>
        <v>F12</v>
      </c>
      <c r="I615" s="10" t="str">
        <f t="shared" si="5"/>
        <v>BRN68M-F12</v>
      </c>
      <c r="J615" s="6"/>
      <c r="K615" s="16" t="str">
        <f t="shared" si="6"/>
        <v>collected</v>
      </c>
      <c r="L615" s="16" t="str">
        <f t="shared" si="7"/>
        <v>N</v>
      </c>
      <c r="M615" s="16"/>
      <c r="N615" s="16"/>
    </row>
    <row r="616">
      <c r="A616" s="26" t="s">
        <v>1077</v>
      </c>
      <c r="B616" s="10" t="str">
        <f t="shared" si="1"/>
        <v>RNA-muscle</v>
      </c>
      <c r="C616" s="10" t="str">
        <f t="shared" si="2"/>
        <v>BRN68M-C11</v>
      </c>
      <c r="D616" s="6">
        <v>68.0</v>
      </c>
      <c r="E616" s="10" t="str">
        <f t="shared" si="3"/>
        <v>BRN68M</v>
      </c>
      <c r="F616" s="6" t="s">
        <v>72</v>
      </c>
      <c r="G616" s="6">
        <v>11.0</v>
      </c>
      <c r="H616" s="11" t="str">
        <f t="shared" si="4"/>
        <v>C11</v>
      </c>
      <c r="I616" s="10" t="str">
        <f t="shared" si="5"/>
        <v>BRN68M-C11</v>
      </c>
      <c r="J616" s="6"/>
      <c r="K616" s="16" t="str">
        <f t="shared" si="6"/>
        <v>collected</v>
      </c>
      <c r="L616" s="16" t="str">
        <f t="shared" si="7"/>
        <v>N</v>
      </c>
      <c r="M616" s="16"/>
      <c r="N616" s="16"/>
    </row>
    <row r="617">
      <c r="A617" s="26" t="s">
        <v>1078</v>
      </c>
      <c r="B617" s="10" t="str">
        <f t="shared" si="1"/>
        <v>RNA-muscle</v>
      </c>
      <c r="C617" s="10" t="str">
        <f t="shared" si="2"/>
        <v>BRN68M-B11</v>
      </c>
      <c r="D617" s="6">
        <v>68.0</v>
      </c>
      <c r="E617" s="10" t="str">
        <f t="shared" si="3"/>
        <v>BRN68M</v>
      </c>
      <c r="F617" s="6" t="s">
        <v>74</v>
      </c>
      <c r="G617" s="6">
        <v>11.0</v>
      </c>
      <c r="H617" s="11" t="str">
        <f t="shared" si="4"/>
        <v>B11</v>
      </c>
      <c r="I617" s="10" t="str">
        <f t="shared" si="5"/>
        <v>BRN68M-B11</v>
      </c>
      <c r="J617" s="16"/>
      <c r="K617" s="16" t="str">
        <f t="shared" si="6"/>
        <v>collected</v>
      </c>
      <c r="L617" s="16" t="str">
        <f t="shared" si="7"/>
        <v>N</v>
      </c>
      <c r="M617" s="16"/>
      <c r="N617" s="16"/>
    </row>
    <row r="618">
      <c r="A618" s="26" t="s">
        <v>1079</v>
      </c>
      <c r="B618" s="10" t="str">
        <f t="shared" si="1"/>
        <v>RNA-muscle</v>
      </c>
      <c r="C618" s="10" t="str">
        <f t="shared" si="2"/>
        <v>BRN68M-A11</v>
      </c>
      <c r="D618" s="6">
        <v>68.0</v>
      </c>
      <c r="E618" s="10" t="str">
        <f t="shared" si="3"/>
        <v>BRN68M</v>
      </c>
      <c r="F618" s="6" t="s">
        <v>76</v>
      </c>
      <c r="G618" s="6">
        <v>11.0</v>
      </c>
      <c r="H618" s="11" t="str">
        <f t="shared" si="4"/>
        <v>A11</v>
      </c>
      <c r="I618" s="10" t="str">
        <f t="shared" si="5"/>
        <v>BRN68M-A11</v>
      </c>
      <c r="J618" s="16"/>
      <c r="K618" s="16" t="str">
        <f t="shared" si="6"/>
        <v>collected</v>
      </c>
      <c r="L618" s="16" t="str">
        <f t="shared" si="7"/>
        <v>N</v>
      </c>
      <c r="M618" s="16"/>
      <c r="N618" s="16"/>
    </row>
    <row r="619">
      <c r="A619" s="26" t="s">
        <v>1081</v>
      </c>
      <c r="B619" s="10" t="str">
        <f t="shared" si="1"/>
        <v>RNA-muscle</v>
      </c>
      <c r="C619" s="10" t="str">
        <f t="shared" si="2"/>
        <v>BRN61M-H1</v>
      </c>
      <c r="D619" s="6">
        <v>61.0</v>
      </c>
      <c r="E619" s="10" t="str">
        <f t="shared" si="3"/>
        <v>BRN61M</v>
      </c>
      <c r="F619" s="6" t="s">
        <v>51</v>
      </c>
      <c r="G619" s="6">
        <v>1.0</v>
      </c>
      <c r="H619" s="11" t="str">
        <f t="shared" si="4"/>
        <v>H1</v>
      </c>
      <c r="I619" s="10" t="str">
        <f t="shared" si="5"/>
        <v>BRN61M-H1</v>
      </c>
      <c r="J619" s="16"/>
      <c r="K619" s="16" t="str">
        <f t="shared" si="6"/>
        <v>collected</v>
      </c>
      <c r="L619" s="16" t="str">
        <f t="shared" si="7"/>
        <v>N</v>
      </c>
      <c r="M619" s="16"/>
      <c r="N619" s="16"/>
    </row>
    <row r="620">
      <c r="A620" s="26" t="s">
        <v>1082</v>
      </c>
      <c r="B620" s="10" t="str">
        <f t="shared" si="1"/>
        <v>RNA-muscle</v>
      </c>
      <c r="C620" s="10" t="str">
        <f t="shared" si="2"/>
        <v>BRN61M-G1</v>
      </c>
      <c r="D620" s="6">
        <v>61.0</v>
      </c>
      <c r="E620" s="10" t="str">
        <f t="shared" si="3"/>
        <v>BRN61M</v>
      </c>
      <c r="F620" s="6" t="s">
        <v>56</v>
      </c>
      <c r="G620" s="6">
        <v>1.0</v>
      </c>
      <c r="H620" s="11" t="str">
        <f t="shared" si="4"/>
        <v>G1</v>
      </c>
      <c r="I620" s="10" t="str">
        <f t="shared" si="5"/>
        <v>BRN61M-G1</v>
      </c>
      <c r="J620" s="16"/>
      <c r="K620" s="16" t="str">
        <f t="shared" si="6"/>
        <v>collected</v>
      </c>
      <c r="L620" s="16" t="str">
        <f t="shared" si="7"/>
        <v>N</v>
      </c>
      <c r="M620" s="16"/>
      <c r="N620" s="16"/>
    </row>
    <row r="621">
      <c r="A621" s="26" t="s">
        <v>1084</v>
      </c>
      <c r="B621" s="10" t="str">
        <f t="shared" si="1"/>
        <v>RNA-muscle</v>
      </c>
      <c r="C621" s="10" t="str">
        <f t="shared" si="2"/>
        <v>BRN61M-F1</v>
      </c>
      <c r="D621" s="6">
        <v>61.0</v>
      </c>
      <c r="E621" s="10" t="str">
        <f t="shared" si="3"/>
        <v>BRN61M</v>
      </c>
      <c r="F621" s="6" t="s">
        <v>61</v>
      </c>
      <c r="G621" s="6">
        <v>1.0</v>
      </c>
      <c r="H621" s="11" t="str">
        <f t="shared" si="4"/>
        <v>F1</v>
      </c>
      <c r="I621" s="10" t="str">
        <f t="shared" si="5"/>
        <v>BRN61M-F1</v>
      </c>
      <c r="J621" s="16"/>
      <c r="K621" s="16" t="str">
        <f t="shared" si="6"/>
        <v>collected</v>
      </c>
      <c r="L621" s="16" t="str">
        <f t="shared" si="7"/>
        <v>N</v>
      </c>
      <c r="M621" s="16"/>
      <c r="N621" s="16"/>
    </row>
    <row r="622">
      <c r="A622" s="26" t="s">
        <v>1085</v>
      </c>
      <c r="B622" s="10" t="str">
        <f t="shared" si="1"/>
        <v>RNA-muscle</v>
      </c>
      <c r="C622" s="10" t="str">
        <f t="shared" si="2"/>
        <v>BRN61M-E1</v>
      </c>
      <c r="D622" s="6">
        <v>61.0</v>
      </c>
      <c r="E622" s="10" t="str">
        <f t="shared" si="3"/>
        <v>BRN61M</v>
      </c>
      <c r="F622" s="6" t="s">
        <v>66</v>
      </c>
      <c r="G622" s="6">
        <v>1.0</v>
      </c>
      <c r="H622" s="11" t="str">
        <f t="shared" si="4"/>
        <v>E1</v>
      </c>
      <c r="I622" s="10" t="str">
        <f t="shared" si="5"/>
        <v>BRN61M-E1</v>
      </c>
      <c r="J622" s="6"/>
      <c r="K622" s="16" t="str">
        <f t="shared" si="6"/>
        <v>collected</v>
      </c>
      <c r="L622" s="16" t="str">
        <f t="shared" si="7"/>
        <v>N</v>
      </c>
      <c r="M622" s="16"/>
      <c r="N622" s="16"/>
    </row>
    <row r="623">
      <c r="A623" s="6" t="s">
        <v>1086</v>
      </c>
      <c r="B623" s="10" t="str">
        <f t="shared" si="1"/>
        <v>RNA-muscle</v>
      </c>
      <c r="C623" s="10" t="str">
        <f t="shared" si="2"/>
        <v>BRN61M-D1</v>
      </c>
      <c r="D623" s="6">
        <v>61.0</v>
      </c>
      <c r="E623" s="10" t="str">
        <f t="shared" si="3"/>
        <v>BRN61M</v>
      </c>
      <c r="F623" s="6" t="s">
        <v>68</v>
      </c>
      <c r="G623" s="6">
        <v>1.0</v>
      </c>
      <c r="H623" s="11" t="str">
        <f t="shared" si="4"/>
        <v>D1</v>
      </c>
      <c r="I623" s="10" t="str">
        <f t="shared" si="5"/>
        <v>BRN61M-D1</v>
      </c>
      <c r="J623" s="16"/>
      <c r="K623" s="16" t="str">
        <f t="shared" si="6"/>
        <v>collected</v>
      </c>
      <c r="L623" s="16" t="str">
        <f t="shared" si="7"/>
        <v>N</v>
      </c>
      <c r="M623" s="16"/>
      <c r="N623" s="16"/>
    </row>
    <row r="624">
      <c r="A624" s="26" t="s">
        <v>1087</v>
      </c>
      <c r="B624" s="10" t="str">
        <f t="shared" si="1"/>
        <v>RNA-muscle</v>
      </c>
      <c r="C624" s="10" t="str">
        <f t="shared" si="2"/>
        <v>BRN61M-C1</v>
      </c>
      <c r="D624" s="6">
        <v>61.0</v>
      </c>
      <c r="E624" s="10" t="str">
        <f t="shared" si="3"/>
        <v>BRN61M</v>
      </c>
      <c r="F624" s="6" t="s">
        <v>72</v>
      </c>
      <c r="G624" s="6">
        <v>1.0</v>
      </c>
      <c r="H624" s="11" t="str">
        <f t="shared" si="4"/>
        <v>C1</v>
      </c>
      <c r="I624" s="10" t="str">
        <f t="shared" si="5"/>
        <v>BRN61M-C1</v>
      </c>
      <c r="J624" s="16"/>
      <c r="K624" s="16" t="str">
        <f t="shared" si="6"/>
        <v>collected</v>
      </c>
      <c r="L624" s="16" t="str">
        <f t="shared" si="7"/>
        <v>N</v>
      </c>
      <c r="M624" s="16"/>
      <c r="N624" s="16"/>
    </row>
    <row r="625">
      <c r="A625" s="26" t="s">
        <v>1089</v>
      </c>
      <c r="B625" s="10" t="str">
        <f t="shared" si="1"/>
        <v>RNA-muscle</v>
      </c>
      <c r="C625" s="10" t="str">
        <f t="shared" si="2"/>
        <v>BRN61M-B1</v>
      </c>
      <c r="D625" s="6">
        <v>61.0</v>
      </c>
      <c r="E625" s="10" t="str">
        <f t="shared" si="3"/>
        <v>BRN61M</v>
      </c>
      <c r="F625" s="6" t="s">
        <v>74</v>
      </c>
      <c r="G625" s="6">
        <v>1.0</v>
      </c>
      <c r="H625" s="11" t="str">
        <f t="shared" si="4"/>
        <v>B1</v>
      </c>
      <c r="I625" s="10" t="str">
        <f t="shared" si="5"/>
        <v>BRN61M-B1</v>
      </c>
      <c r="J625" s="16"/>
      <c r="K625" s="16" t="str">
        <f t="shared" si="6"/>
        <v>collected</v>
      </c>
      <c r="L625" s="16" t="str">
        <f t="shared" si="7"/>
        <v>N</v>
      </c>
      <c r="M625" s="16"/>
      <c r="N625" s="16"/>
    </row>
    <row r="626">
      <c r="A626" s="26" t="s">
        <v>1090</v>
      </c>
      <c r="B626" s="10" t="str">
        <f t="shared" si="1"/>
        <v>RNA-muscle</v>
      </c>
      <c r="C626" s="10" t="str">
        <f t="shared" si="2"/>
        <v>BRN61M-A1</v>
      </c>
      <c r="D626" s="6">
        <v>61.0</v>
      </c>
      <c r="E626" s="10" t="str">
        <f t="shared" si="3"/>
        <v>BRN61M</v>
      </c>
      <c r="F626" s="6" t="s">
        <v>76</v>
      </c>
      <c r="G626" s="6">
        <v>1.0</v>
      </c>
      <c r="H626" s="11" t="str">
        <f t="shared" si="4"/>
        <v>A1</v>
      </c>
      <c r="I626" s="10" t="str">
        <f t="shared" si="5"/>
        <v>BRN61M-A1</v>
      </c>
      <c r="J626" s="16"/>
      <c r="K626" s="16" t="str">
        <f t="shared" si="6"/>
        <v>collected</v>
      </c>
      <c r="L626" s="16" t="str">
        <f t="shared" si="7"/>
        <v>N</v>
      </c>
      <c r="M626" s="16"/>
      <c r="N626" s="16"/>
    </row>
    <row r="627">
      <c r="A627" s="26" t="s">
        <v>1091</v>
      </c>
      <c r="B627" s="10" t="str">
        <f t="shared" si="1"/>
        <v>RNA-muscle</v>
      </c>
      <c r="C627" s="10" t="str">
        <f t="shared" si="2"/>
        <v>BRN61M-H3</v>
      </c>
      <c r="D627" s="6">
        <v>61.0</v>
      </c>
      <c r="E627" s="10" t="str">
        <f t="shared" si="3"/>
        <v>BRN61M</v>
      </c>
      <c r="F627" s="6" t="s">
        <v>51</v>
      </c>
      <c r="G627" s="6">
        <v>3.0</v>
      </c>
      <c r="H627" s="11" t="str">
        <f t="shared" si="4"/>
        <v>H3</v>
      </c>
      <c r="I627" s="10" t="str">
        <f t="shared" si="5"/>
        <v>BRN61M-H3</v>
      </c>
      <c r="J627" s="6"/>
      <c r="K627" s="16" t="str">
        <f t="shared" si="6"/>
        <v>collected</v>
      </c>
      <c r="L627" s="16" t="str">
        <f t="shared" si="7"/>
        <v>N</v>
      </c>
      <c r="M627" s="16"/>
      <c r="N627" s="16"/>
    </row>
    <row r="628">
      <c r="A628" s="26" t="s">
        <v>1092</v>
      </c>
      <c r="B628" s="10" t="str">
        <f t="shared" si="1"/>
        <v>RNA-muscle</v>
      </c>
      <c r="C628" s="10" t="str">
        <f t="shared" si="2"/>
        <v>BRN61M-G3</v>
      </c>
      <c r="D628" s="6">
        <v>61.0</v>
      </c>
      <c r="E628" s="10" t="str">
        <f t="shared" si="3"/>
        <v>BRN61M</v>
      </c>
      <c r="F628" s="6" t="s">
        <v>56</v>
      </c>
      <c r="G628" s="6">
        <v>3.0</v>
      </c>
      <c r="H628" s="11" t="str">
        <f t="shared" si="4"/>
        <v>G3</v>
      </c>
      <c r="I628" s="10" t="str">
        <f t="shared" si="5"/>
        <v>BRN61M-G3</v>
      </c>
      <c r="J628" s="16"/>
      <c r="K628" s="16" t="str">
        <f t="shared" si="6"/>
        <v>collected</v>
      </c>
      <c r="L628" s="16" t="str">
        <f t="shared" si="7"/>
        <v>N</v>
      </c>
      <c r="M628" s="16"/>
      <c r="N628" s="16"/>
    </row>
    <row r="629">
      <c r="A629" s="26" t="s">
        <v>1093</v>
      </c>
      <c r="B629" s="10" t="str">
        <f t="shared" si="1"/>
        <v>RNA-muscle</v>
      </c>
      <c r="C629" s="10" t="str">
        <f t="shared" si="2"/>
        <v>BRN61M-F3</v>
      </c>
      <c r="D629" s="6">
        <v>61.0</v>
      </c>
      <c r="E629" s="10" t="str">
        <f t="shared" si="3"/>
        <v>BRN61M</v>
      </c>
      <c r="F629" s="6" t="s">
        <v>61</v>
      </c>
      <c r="G629" s="6">
        <v>3.0</v>
      </c>
      <c r="H629" s="11" t="str">
        <f t="shared" si="4"/>
        <v>F3</v>
      </c>
      <c r="I629" s="10" t="str">
        <f t="shared" si="5"/>
        <v>BRN61M-F3</v>
      </c>
      <c r="J629" s="6"/>
      <c r="K629" s="16" t="str">
        <f t="shared" si="6"/>
        <v>collected</v>
      </c>
      <c r="L629" s="16" t="str">
        <f t="shared" si="7"/>
        <v>N</v>
      </c>
      <c r="M629" s="16"/>
      <c r="N629" s="16"/>
    </row>
    <row r="630">
      <c r="A630" s="26" t="s">
        <v>1094</v>
      </c>
      <c r="B630" s="10" t="str">
        <f t="shared" si="1"/>
        <v>RNA-muscle</v>
      </c>
      <c r="C630" s="10" t="str">
        <f t="shared" si="2"/>
        <v>BRN61M-E3</v>
      </c>
      <c r="D630" s="6">
        <v>61.0</v>
      </c>
      <c r="E630" s="10" t="str">
        <f t="shared" si="3"/>
        <v>BRN61M</v>
      </c>
      <c r="F630" s="6" t="s">
        <v>66</v>
      </c>
      <c r="G630" s="6">
        <v>3.0</v>
      </c>
      <c r="H630" s="11" t="str">
        <f t="shared" si="4"/>
        <v>E3</v>
      </c>
      <c r="I630" s="10" t="str">
        <f t="shared" si="5"/>
        <v>BRN61M-E3</v>
      </c>
      <c r="J630" s="16"/>
      <c r="K630" s="16" t="str">
        <f t="shared" si="6"/>
        <v>collected</v>
      </c>
      <c r="L630" s="16" t="str">
        <f t="shared" si="7"/>
        <v>N</v>
      </c>
      <c r="M630" s="16"/>
      <c r="N630" s="16"/>
    </row>
    <row r="631">
      <c r="A631" s="26" t="s">
        <v>1096</v>
      </c>
      <c r="B631" s="10" t="str">
        <f t="shared" si="1"/>
        <v>RNA-muscle</v>
      </c>
      <c r="C631" s="10" t="str">
        <f t="shared" si="2"/>
        <v>BRN61M-D3</v>
      </c>
      <c r="D631" s="6">
        <v>61.0</v>
      </c>
      <c r="E631" s="10" t="str">
        <f t="shared" si="3"/>
        <v>BRN61M</v>
      </c>
      <c r="F631" s="6" t="s">
        <v>68</v>
      </c>
      <c r="G631" s="6">
        <v>3.0</v>
      </c>
      <c r="H631" s="11" t="str">
        <f t="shared" si="4"/>
        <v>D3</v>
      </c>
      <c r="I631" s="10" t="str">
        <f t="shared" si="5"/>
        <v>BRN61M-D3</v>
      </c>
      <c r="J631" s="16"/>
      <c r="K631" s="16" t="str">
        <f t="shared" si="6"/>
        <v>collected</v>
      </c>
      <c r="L631" s="16" t="str">
        <f t="shared" si="7"/>
        <v>N</v>
      </c>
      <c r="M631" s="16"/>
      <c r="N631" s="16"/>
    </row>
    <row r="632">
      <c r="A632" s="26" t="s">
        <v>1097</v>
      </c>
      <c r="B632" s="10" t="str">
        <f t="shared" si="1"/>
        <v>RNA-muscle</v>
      </c>
      <c r="C632" s="10" t="str">
        <f t="shared" si="2"/>
        <v>BRN61M-C3</v>
      </c>
      <c r="D632" s="6">
        <v>61.0</v>
      </c>
      <c r="E632" s="10" t="str">
        <f t="shared" si="3"/>
        <v>BRN61M</v>
      </c>
      <c r="F632" s="6" t="s">
        <v>72</v>
      </c>
      <c r="G632" s="6">
        <v>3.0</v>
      </c>
      <c r="H632" s="11" t="str">
        <f t="shared" si="4"/>
        <v>C3</v>
      </c>
      <c r="I632" s="10" t="str">
        <f t="shared" si="5"/>
        <v>BRN61M-C3</v>
      </c>
      <c r="J632" s="6"/>
      <c r="K632" s="16" t="str">
        <f t="shared" si="6"/>
        <v>collected</v>
      </c>
      <c r="L632" s="16" t="str">
        <f t="shared" si="7"/>
        <v>N</v>
      </c>
      <c r="M632" s="16"/>
      <c r="N632" s="16"/>
    </row>
    <row r="633">
      <c r="A633" s="26" t="s">
        <v>1100</v>
      </c>
      <c r="B633" s="10" t="str">
        <f t="shared" si="1"/>
        <v>RNA-muscle</v>
      </c>
      <c r="C633" s="10" t="str">
        <f t="shared" si="2"/>
        <v>BRN61M-B3</v>
      </c>
      <c r="D633" s="6">
        <v>61.0</v>
      </c>
      <c r="E633" s="10" t="str">
        <f t="shared" si="3"/>
        <v>BRN61M</v>
      </c>
      <c r="F633" s="6" t="s">
        <v>74</v>
      </c>
      <c r="G633" s="6">
        <v>3.0</v>
      </c>
      <c r="H633" s="11" t="str">
        <f t="shared" si="4"/>
        <v>B3</v>
      </c>
      <c r="I633" s="10" t="str">
        <f t="shared" si="5"/>
        <v>BRN61M-B3</v>
      </c>
      <c r="J633" s="16"/>
      <c r="K633" s="16" t="str">
        <f t="shared" si="6"/>
        <v>collected</v>
      </c>
      <c r="L633" s="16" t="str">
        <f t="shared" si="7"/>
        <v>N</v>
      </c>
      <c r="M633" s="16"/>
      <c r="N633" s="16"/>
    </row>
    <row r="634">
      <c r="A634" s="27" t="s">
        <v>1101</v>
      </c>
      <c r="B634" s="10" t="str">
        <f t="shared" si="1"/>
        <v>RNA-muscle</v>
      </c>
      <c r="C634" s="10" t="str">
        <f t="shared" si="2"/>
        <v>BRN61M-A3</v>
      </c>
      <c r="D634" s="6">
        <v>61.0</v>
      </c>
      <c r="E634" s="10" t="str">
        <f t="shared" si="3"/>
        <v>BRN61M</v>
      </c>
      <c r="F634" s="6" t="s">
        <v>76</v>
      </c>
      <c r="G634" s="6">
        <v>3.0</v>
      </c>
      <c r="H634" s="11" t="str">
        <f t="shared" si="4"/>
        <v>A3</v>
      </c>
      <c r="I634" s="10" t="str">
        <f t="shared" si="5"/>
        <v>BRN61M-A3</v>
      </c>
      <c r="J634" s="16"/>
      <c r="K634" s="16" t="str">
        <f t="shared" si="6"/>
        <v>collected</v>
      </c>
      <c r="L634" s="16" t="str">
        <f t="shared" si="7"/>
        <v>N</v>
      </c>
      <c r="M634" s="16"/>
      <c r="N634" s="16"/>
    </row>
    <row r="635">
      <c r="A635" s="27" t="s">
        <v>1102</v>
      </c>
      <c r="B635" s="10" t="str">
        <f t="shared" si="1"/>
        <v>RNA-muscle</v>
      </c>
      <c r="C635" s="10" t="str">
        <f t="shared" si="2"/>
        <v>BRN68M-E12</v>
      </c>
      <c r="D635" s="6">
        <v>68.0</v>
      </c>
      <c r="E635" s="10" t="str">
        <f t="shared" si="3"/>
        <v>BRN68M</v>
      </c>
      <c r="F635" s="6" t="s">
        <v>66</v>
      </c>
      <c r="G635" s="6">
        <v>12.0</v>
      </c>
      <c r="H635" s="11" t="str">
        <f t="shared" si="4"/>
        <v>E12</v>
      </c>
      <c r="I635" s="10" t="str">
        <f t="shared" si="5"/>
        <v>BRN68M-E12</v>
      </c>
      <c r="J635" s="16"/>
      <c r="K635" s="16" t="str">
        <f t="shared" si="6"/>
        <v>collected</v>
      </c>
      <c r="L635" s="16" t="str">
        <f t="shared" si="7"/>
        <v>N</v>
      </c>
      <c r="M635" s="16"/>
      <c r="N635" s="16"/>
    </row>
    <row r="636">
      <c r="A636" s="27" t="s">
        <v>1103</v>
      </c>
      <c r="B636" s="10" t="str">
        <f t="shared" si="1"/>
        <v>RNA-muscle</v>
      </c>
      <c r="C636" s="10" t="str">
        <f t="shared" si="2"/>
        <v>BRN68M-D12</v>
      </c>
      <c r="D636" s="6">
        <v>68.0</v>
      </c>
      <c r="E636" s="10" t="str">
        <f t="shared" si="3"/>
        <v>BRN68M</v>
      </c>
      <c r="F636" s="6" t="s">
        <v>68</v>
      </c>
      <c r="G636" s="6">
        <v>12.0</v>
      </c>
      <c r="H636" s="11" t="str">
        <f t="shared" si="4"/>
        <v>D12</v>
      </c>
      <c r="I636" s="10" t="str">
        <f t="shared" si="5"/>
        <v>BRN68M-D12</v>
      </c>
      <c r="J636" s="16"/>
      <c r="K636" s="16" t="str">
        <f t="shared" si="6"/>
        <v>collected</v>
      </c>
      <c r="L636" s="16" t="str">
        <f t="shared" si="7"/>
        <v>N</v>
      </c>
      <c r="M636" s="16"/>
      <c r="N636" s="16"/>
    </row>
    <row r="637">
      <c r="A637" s="27" t="s">
        <v>1104</v>
      </c>
      <c r="B637" s="10" t="str">
        <f t="shared" si="1"/>
        <v>RNA-muscle</v>
      </c>
      <c r="C637" s="10" t="str">
        <f t="shared" si="2"/>
        <v>BRN68M-C12</v>
      </c>
      <c r="D637" s="6">
        <v>68.0</v>
      </c>
      <c r="E637" s="10" t="str">
        <f t="shared" si="3"/>
        <v>BRN68M</v>
      </c>
      <c r="F637" s="6" t="s">
        <v>72</v>
      </c>
      <c r="G637" s="6">
        <v>12.0</v>
      </c>
      <c r="H637" s="11" t="str">
        <f t="shared" si="4"/>
        <v>C12</v>
      </c>
      <c r="I637" s="10" t="str">
        <f t="shared" si="5"/>
        <v>BRN68M-C12</v>
      </c>
      <c r="J637" s="6"/>
      <c r="K637" s="16" t="str">
        <f t="shared" si="6"/>
        <v>collected</v>
      </c>
      <c r="L637" s="16" t="str">
        <f t="shared" si="7"/>
        <v>N</v>
      </c>
      <c r="M637" s="16"/>
      <c r="N637" s="16"/>
    </row>
    <row r="638">
      <c r="A638" s="26" t="s">
        <v>1105</v>
      </c>
      <c r="B638" s="10" t="str">
        <f t="shared" si="1"/>
        <v>RNA-muscle</v>
      </c>
      <c r="C638" s="10" t="str">
        <f t="shared" si="2"/>
        <v>BRN68M-B12</v>
      </c>
      <c r="D638" s="6">
        <v>68.0</v>
      </c>
      <c r="E638" s="10" t="str">
        <f t="shared" si="3"/>
        <v>BRN68M</v>
      </c>
      <c r="F638" s="6" t="s">
        <v>74</v>
      </c>
      <c r="G638" s="6">
        <v>12.0</v>
      </c>
      <c r="H638" s="11" t="str">
        <f t="shared" si="4"/>
        <v>B12</v>
      </c>
      <c r="I638" s="10" t="str">
        <f t="shared" si="5"/>
        <v>BRN68M-B12</v>
      </c>
      <c r="J638" s="6"/>
      <c r="K638" s="16" t="str">
        <f t="shared" si="6"/>
        <v>collected</v>
      </c>
      <c r="L638" s="16" t="str">
        <f t="shared" si="7"/>
        <v>N</v>
      </c>
      <c r="M638" s="16"/>
      <c r="N638" s="16"/>
    </row>
    <row r="639">
      <c r="A639" s="26" t="s">
        <v>1108</v>
      </c>
      <c r="B639" s="10" t="str">
        <f t="shared" si="1"/>
        <v>RNA-muscle</v>
      </c>
      <c r="C639" s="10" t="str">
        <f t="shared" si="2"/>
        <v>BRN68M-A12</v>
      </c>
      <c r="D639" s="6">
        <v>68.0</v>
      </c>
      <c r="E639" s="10" t="str">
        <f t="shared" si="3"/>
        <v>BRN68M</v>
      </c>
      <c r="F639" s="6" t="s">
        <v>76</v>
      </c>
      <c r="G639" s="6">
        <v>12.0</v>
      </c>
      <c r="H639" s="11" t="str">
        <f t="shared" si="4"/>
        <v>A12</v>
      </c>
      <c r="I639" s="10" t="str">
        <f t="shared" si="5"/>
        <v>BRN68M-A12</v>
      </c>
      <c r="J639" s="6"/>
      <c r="K639" s="16" t="str">
        <f t="shared" si="6"/>
        <v>collected</v>
      </c>
      <c r="L639" s="16" t="str">
        <f t="shared" si="7"/>
        <v>N</v>
      </c>
      <c r="M639" s="16"/>
      <c r="N639" s="16"/>
    </row>
    <row r="640">
      <c r="A640" s="26" t="s">
        <v>1109</v>
      </c>
      <c r="B640" s="10" t="str">
        <f t="shared" si="1"/>
        <v>RNA-muscle</v>
      </c>
      <c r="C640" s="10" t="str">
        <f t="shared" si="2"/>
        <v>BRN61M-H2</v>
      </c>
      <c r="D640" s="6">
        <v>61.0</v>
      </c>
      <c r="E640" s="10" t="str">
        <f t="shared" si="3"/>
        <v>BRN61M</v>
      </c>
      <c r="F640" s="6" t="s">
        <v>51</v>
      </c>
      <c r="G640" s="6">
        <v>2.0</v>
      </c>
      <c r="H640" s="11" t="str">
        <f t="shared" si="4"/>
        <v>H2</v>
      </c>
      <c r="I640" s="10" t="str">
        <f t="shared" si="5"/>
        <v>BRN61M-H2</v>
      </c>
      <c r="J640" s="16"/>
      <c r="K640" s="16" t="str">
        <f t="shared" si="6"/>
        <v>collected</v>
      </c>
      <c r="L640" s="16" t="str">
        <f t="shared" si="7"/>
        <v>N</v>
      </c>
      <c r="M640" s="16"/>
      <c r="N640" s="16"/>
    </row>
    <row r="641">
      <c r="A641" s="26" t="s">
        <v>1110</v>
      </c>
      <c r="B641" s="10" t="str">
        <f t="shared" si="1"/>
        <v>RNA-muscle</v>
      </c>
      <c r="C641" s="10" t="str">
        <f t="shared" si="2"/>
        <v>BRN61M-G2</v>
      </c>
      <c r="D641" s="6">
        <v>61.0</v>
      </c>
      <c r="E641" s="10" t="str">
        <f t="shared" si="3"/>
        <v>BRN61M</v>
      </c>
      <c r="F641" s="6" t="s">
        <v>56</v>
      </c>
      <c r="G641" s="6">
        <v>2.0</v>
      </c>
      <c r="H641" s="11" t="str">
        <f t="shared" si="4"/>
        <v>G2</v>
      </c>
      <c r="I641" s="10" t="str">
        <f t="shared" si="5"/>
        <v>BRN61M-G2</v>
      </c>
      <c r="J641" s="6"/>
      <c r="K641" s="16" t="str">
        <f t="shared" si="6"/>
        <v>collected</v>
      </c>
      <c r="L641" s="16" t="str">
        <f t="shared" si="7"/>
        <v>N</v>
      </c>
      <c r="M641" s="16"/>
      <c r="N641" s="16"/>
    </row>
    <row r="642">
      <c r="A642" s="26" t="s">
        <v>1111</v>
      </c>
      <c r="B642" s="10" t="str">
        <f t="shared" si="1"/>
        <v>RNA-muscle</v>
      </c>
      <c r="C642" s="10" t="str">
        <f t="shared" si="2"/>
        <v>BRN61M-F2</v>
      </c>
      <c r="D642" s="6">
        <v>61.0</v>
      </c>
      <c r="E642" s="10" t="str">
        <f t="shared" si="3"/>
        <v>BRN61M</v>
      </c>
      <c r="F642" s="6" t="s">
        <v>61</v>
      </c>
      <c r="G642" s="6">
        <v>2.0</v>
      </c>
      <c r="H642" s="11" t="str">
        <f t="shared" si="4"/>
        <v>F2</v>
      </c>
      <c r="I642" s="10" t="str">
        <f t="shared" si="5"/>
        <v>BRN61M-F2</v>
      </c>
      <c r="J642" s="16"/>
      <c r="K642" s="16" t="str">
        <f t="shared" si="6"/>
        <v>collected</v>
      </c>
      <c r="L642" s="16" t="str">
        <f t="shared" si="7"/>
        <v>N</v>
      </c>
      <c r="M642" s="16"/>
      <c r="N642" s="16"/>
    </row>
    <row r="643">
      <c r="A643" s="26" t="s">
        <v>1112</v>
      </c>
      <c r="B643" s="10" t="str">
        <f t="shared" si="1"/>
        <v>RNA-muscle</v>
      </c>
      <c r="C643" s="10" t="str">
        <f t="shared" si="2"/>
        <v>BRN61M-E2</v>
      </c>
      <c r="D643" s="6">
        <v>61.0</v>
      </c>
      <c r="E643" s="10" t="str">
        <f t="shared" si="3"/>
        <v>BRN61M</v>
      </c>
      <c r="F643" s="6" t="s">
        <v>66</v>
      </c>
      <c r="G643" s="6">
        <v>2.0</v>
      </c>
      <c r="H643" s="11" t="str">
        <f t="shared" si="4"/>
        <v>E2</v>
      </c>
      <c r="I643" s="10" t="str">
        <f t="shared" si="5"/>
        <v>BRN61M-E2</v>
      </c>
      <c r="J643" s="16"/>
      <c r="K643" s="16" t="str">
        <f t="shared" si="6"/>
        <v>collected</v>
      </c>
      <c r="L643" s="16" t="str">
        <f t="shared" si="7"/>
        <v>N</v>
      </c>
      <c r="M643" s="16"/>
      <c r="N643" s="16"/>
    </row>
    <row r="644">
      <c r="A644" s="26" t="s">
        <v>1113</v>
      </c>
      <c r="B644" s="10" t="str">
        <f t="shared" si="1"/>
        <v>RNA-muscle</v>
      </c>
      <c r="C644" s="10" t="str">
        <f t="shared" si="2"/>
        <v>BRN61M-D2</v>
      </c>
      <c r="D644" s="6">
        <v>61.0</v>
      </c>
      <c r="E644" s="10" t="str">
        <f t="shared" si="3"/>
        <v>BRN61M</v>
      </c>
      <c r="F644" s="6" t="s">
        <v>68</v>
      </c>
      <c r="G644" s="6">
        <v>2.0</v>
      </c>
      <c r="H644" s="11" t="str">
        <f t="shared" si="4"/>
        <v>D2</v>
      </c>
      <c r="I644" s="10" t="str">
        <f t="shared" si="5"/>
        <v>BRN61M-D2</v>
      </c>
      <c r="J644" s="16"/>
      <c r="K644" s="16" t="str">
        <f t="shared" si="6"/>
        <v>collected</v>
      </c>
      <c r="L644" s="16" t="str">
        <f t="shared" si="7"/>
        <v>N</v>
      </c>
      <c r="M644" s="16"/>
      <c r="N644" s="16"/>
    </row>
    <row r="645">
      <c r="A645" s="26" t="s">
        <v>1115</v>
      </c>
      <c r="B645" s="10" t="str">
        <f t="shared" si="1"/>
        <v>RNA-muscle</v>
      </c>
      <c r="C645" s="10" t="str">
        <f t="shared" si="2"/>
        <v>BRN61M-C2</v>
      </c>
      <c r="D645" s="6">
        <v>61.0</v>
      </c>
      <c r="E645" s="10" t="str">
        <f t="shared" si="3"/>
        <v>BRN61M</v>
      </c>
      <c r="F645" s="6" t="s">
        <v>72</v>
      </c>
      <c r="G645" s="6">
        <v>2.0</v>
      </c>
      <c r="H645" s="11" t="str">
        <f t="shared" si="4"/>
        <v>C2</v>
      </c>
      <c r="I645" s="10" t="str">
        <f t="shared" si="5"/>
        <v>BRN61M-C2</v>
      </c>
      <c r="J645" s="16"/>
      <c r="K645" s="16" t="str">
        <f t="shared" si="6"/>
        <v>collected</v>
      </c>
      <c r="L645" s="16" t="str">
        <f t="shared" si="7"/>
        <v>N</v>
      </c>
      <c r="M645" s="16"/>
      <c r="N645" s="16"/>
    </row>
    <row r="646">
      <c r="A646" s="26" t="s">
        <v>1117</v>
      </c>
      <c r="B646" s="10" t="str">
        <f t="shared" si="1"/>
        <v>RNA-muscle</v>
      </c>
      <c r="C646" s="10" t="str">
        <f t="shared" si="2"/>
        <v>BRN61M-B2</v>
      </c>
      <c r="D646" s="6">
        <v>61.0</v>
      </c>
      <c r="E646" s="10" t="str">
        <f t="shared" si="3"/>
        <v>BRN61M</v>
      </c>
      <c r="F646" s="6" t="s">
        <v>74</v>
      </c>
      <c r="G646" s="6">
        <v>2.0</v>
      </c>
      <c r="H646" s="11" t="str">
        <f t="shared" si="4"/>
        <v>B2</v>
      </c>
      <c r="I646" s="10" t="str">
        <f t="shared" si="5"/>
        <v>BRN61M-B2</v>
      </c>
      <c r="J646" s="16"/>
      <c r="K646" s="16" t="str">
        <f t="shared" si="6"/>
        <v>collected</v>
      </c>
      <c r="L646" s="16" t="str">
        <f t="shared" si="7"/>
        <v>N</v>
      </c>
      <c r="M646" s="16"/>
      <c r="N646" s="16"/>
    </row>
    <row r="647">
      <c r="A647" s="26" t="s">
        <v>1118</v>
      </c>
      <c r="B647" s="10" t="str">
        <f t="shared" si="1"/>
        <v>RNA-muscle</v>
      </c>
      <c r="C647" s="10" t="str">
        <f t="shared" si="2"/>
        <v>BRN61M-A2</v>
      </c>
      <c r="D647" s="6">
        <v>61.0</v>
      </c>
      <c r="E647" s="10" t="str">
        <f t="shared" si="3"/>
        <v>BRN61M</v>
      </c>
      <c r="F647" s="6" t="s">
        <v>76</v>
      </c>
      <c r="G647" s="6">
        <v>2.0</v>
      </c>
      <c r="H647" s="11" t="str">
        <f t="shared" si="4"/>
        <v>A2</v>
      </c>
      <c r="I647" s="10" t="str">
        <f t="shared" si="5"/>
        <v>BRN61M-A2</v>
      </c>
      <c r="J647" s="6"/>
      <c r="K647" s="16" t="str">
        <f t="shared" si="6"/>
        <v>collected</v>
      </c>
      <c r="L647" s="16" t="str">
        <f t="shared" si="7"/>
        <v>N</v>
      </c>
      <c r="M647" s="16"/>
      <c r="N647" s="16"/>
    </row>
    <row r="648">
      <c r="A648" s="26" t="s">
        <v>1119</v>
      </c>
      <c r="B648" s="10" t="str">
        <f t="shared" si="1"/>
        <v>RNA-muscle</v>
      </c>
      <c r="C648" s="10" t="str">
        <f t="shared" si="2"/>
        <v>BRN61M-H4</v>
      </c>
      <c r="D648" s="6">
        <v>61.0</v>
      </c>
      <c r="E648" s="10" t="str">
        <f t="shared" si="3"/>
        <v>BRN61M</v>
      </c>
      <c r="F648" s="6" t="s">
        <v>51</v>
      </c>
      <c r="G648" s="6">
        <v>4.0</v>
      </c>
      <c r="H648" s="11" t="str">
        <f t="shared" si="4"/>
        <v>H4</v>
      </c>
      <c r="I648" s="10" t="str">
        <f t="shared" si="5"/>
        <v>BRN61M-H4</v>
      </c>
      <c r="J648" s="16"/>
      <c r="K648" s="16" t="str">
        <f t="shared" si="6"/>
        <v>collected</v>
      </c>
      <c r="L648" s="16" t="str">
        <f t="shared" si="7"/>
        <v>N</v>
      </c>
      <c r="M648" s="16"/>
      <c r="N648" s="16"/>
    </row>
    <row r="649">
      <c r="A649" s="26" t="s">
        <v>1120</v>
      </c>
      <c r="B649" s="10" t="str">
        <f t="shared" si="1"/>
        <v>RNA-muscle</v>
      </c>
      <c r="C649" s="10" t="str">
        <f t="shared" si="2"/>
        <v>BRN61M-G4</v>
      </c>
      <c r="D649" s="6">
        <v>61.0</v>
      </c>
      <c r="E649" s="10" t="str">
        <f t="shared" si="3"/>
        <v>BRN61M</v>
      </c>
      <c r="F649" s="6" t="s">
        <v>56</v>
      </c>
      <c r="G649" s="6">
        <v>4.0</v>
      </c>
      <c r="H649" s="11" t="str">
        <f t="shared" si="4"/>
        <v>G4</v>
      </c>
      <c r="I649" s="10" t="str">
        <f t="shared" si="5"/>
        <v>BRN61M-G4</v>
      </c>
      <c r="J649" s="16"/>
      <c r="K649" s="16" t="str">
        <f t="shared" si="6"/>
        <v>collected</v>
      </c>
      <c r="L649" s="16" t="str">
        <f t="shared" si="7"/>
        <v>N</v>
      </c>
      <c r="M649" s="16"/>
      <c r="N649" s="16"/>
    </row>
    <row r="650">
      <c r="A650" s="26" t="s">
        <v>1121</v>
      </c>
      <c r="B650" s="10" t="str">
        <f t="shared" si="1"/>
        <v>RNA-muscle</v>
      </c>
      <c r="C650" s="10" t="str">
        <f t="shared" si="2"/>
        <v>BRN61M-F4</v>
      </c>
      <c r="D650" s="6">
        <v>61.0</v>
      </c>
      <c r="E650" s="10" t="str">
        <f t="shared" si="3"/>
        <v>BRN61M</v>
      </c>
      <c r="F650" s="6" t="s">
        <v>61</v>
      </c>
      <c r="G650" s="6">
        <v>4.0</v>
      </c>
      <c r="H650" s="11" t="str">
        <f t="shared" si="4"/>
        <v>F4</v>
      </c>
      <c r="I650" s="10" t="str">
        <f t="shared" si="5"/>
        <v>BRN61M-F4</v>
      </c>
      <c r="J650" s="16"/>
      <c r="K650" s="16" t="str">
        <f t="shared" si="6"/>
        <v>collected</v>
      </c>
      <c r="L650" s="16" t="str">
        <f t="shared" si="7"/>
        <v>N</v>
      </c>
      <c r="M650" s="16"/>
      <c r="N650" s="16"/>
    </row>
    <row r="651">
      <c r="A651" s="26" t="s">
        <v>1123</v>
      </c>
      <c r="B651" s="10" t="str">
        <f t="shared" si="1"/>
        <v>RNA-muscle</v>
      </c>
      <c r="C651" s="10" t="str">
        <f t="shared" si="2"/>
        <v>BRN61M-E4</v>
      </c>
      <c r="D651" s="6">
        <v>61.0</v>
      </c>
      <c r="E651" s="10" t="str">
        <f t="shared" si="3"/>
        <v>BRN61M</v>
      </c>
      <c r="F651" s="6" t="s">
        <v>66</v>
      </c>
      <c r="G651" s="6">
        <v>4.0</v>
      </c>
      <c r="H651" s="11" t="str">
        <f t="shared" si="4"/>
        <v>E4</v>
      </c>
      <c r="I651" s="10" t="str">
        <f t="shared" si="5"/>
        <v>BRN61M-E4</v>
      </c>
      <c r="J651" s="16"/>
      <c r="K651" s="16" t="str">
        <f t="shared" si="6"/>
        <v>collected</v>
      </c>
      <c r="L651" s="16" t="str">
        <f t="shared" si="7"/>
        <v>N</v>
      </c>
      <c r="M651" s="16"/>
      <c r="N651" s="16"/>
    </row>
    <row r="652">
      <c r="A652" s="26" t="s">
        <v>1124</v>
      </c>
      <c r="B652" s="10" t="str">
        <f t="shared" si="1"/>
        <v>RNA-muscle</v>
      </c>
      <c r="C652" s="10" t="str">
        <f t="shared" si="2"/>
        <v>BRN61M-D4</v>
      </c>
      <c r="D652" s="6">
        <v>61.0</v>
      </c>
      <c r="E652" s="10" t="str">
        <f t="shared" si="3"/>
        <v>BRN61M</v>
      </c>
      <c r="F652" s="6" t="s">
        <v>68</v>
      </c>
      <c r="G652" s="6">
        <v>4.0</v>
      </c>
      <c r="H652" s="11" t="str">
        <f t="shared" si="4"/>
        <v>D4</v>
      </c>
      <c r="I652" s="10" t="str">
        <f t="shared" si="5"/>
        <v>BRN61M-D4</v>
      </c>
      <c r="J652" s="6"/>
      <c r="K652" s="16" t="str">
        <f t="shared" si="6"/>
        <v>collected</v>
      </c>
      <c r="L652" s="16" t="str">
        <f t="shared" si="7"/>
        <v>N</v>
      </c>
      <c r="M652" s="16"/>
      <c r="N652" s="16"/>
    </row>
    <row r="653">
      <c r="A653" s="26" t="s">
        <v>1125</v>
      </c>
      <c r="B653" s="10" t="str">
        <f t="shared" si="1"/>
        <v>RNA-muscle</v>
      </c>
      <c r="C653" s="10" t="str">
        <f t="shared" si="2"/>
        <v>BRN61M-C4</v>
      </c>
      <c r="D653" s="6">
        <v>61.0</v>
      </c>
      <c r="E653" s="10" t="str">
        <f t="shared" si="3"/>
        <v>BRN61M</v>
      </c>
      <c r="F653" s="6" t="s">
        <v>72</v>
      </c>
      <c r="G653" s="6">
        <v>4.0</v>
      </c>
      <c r="H653" s="11" t="str">
        <f t="shared" si="4"/>
        <v>C4</v>
      </c>
      <c r="I653" s="10" t="str">
        <f t="shared" si="5"/>
        <v>BRN61M-C4</v>
      </c>
      <c r="J653" s="6"/>
      <c r="K653" s="16" t="str">
        <f t="shared" si="6"/>
        <v>collected</v>
      </c>
      <c r="L653" s="16" t="str">
        <f t="shared" si="7"/>
        <v>N</v>
      </c>
      <c r="M653" s="16"/>
      <c r="N653" s="16"/>
    </row>
    <row r="654">
      <c r="A654" s="26" t="s">
        <v>1127</v>
      </c>
      <c r="B654" s="10" t="str">
        <f t="shared" si="1"/>
        <v>RNA-muscle</v>
      </c>
      <c r="C654" s="10" t="str">
        <f t="shared" si="2"/>
        <v>BRN61M-H5</v>
      </c>
      <c r="D654" s="6">
        <v>61.0</v>
      </c>
      <c r="E654" s="10" t="str">
        <f t="shared" si="3"/>
        <v>BRN61M</v>
      </c>
      <c r="F654" s="6" t="s">
        <v>51</v>
      </c>
      <c r="G654" s="6">
        <v>5.0</v>
      </c>
      <c r="H654" s="11" t="str">
        <f t="shared" si="4"/>
        <v>H5</v>
      </c>
      <c r="I654" s="10" t="str">
        <f t="shared" si="5"/>
        <v>BRN61M-H5</v>
      </c>
      <c r="J654" s="16"/>
      <c r="K654" s="16" t="str">
        <f t="shared" si="6"/>
        <v>collected</v>
      </c>
      <c r="L654" s="16" t="str">
        <f t="shared" si="7"/>
        <v>N</v>
      </c>
      <c r="M654" s="16"/>
      <c r="N654" s="16"/>
    </row>
    <row r="655">
      <c r="A655" s="26" t="s">
        <v>1128</v>
      </c>
      <c r="B655" s="10" t="str">
        <f t="shared" si="1"/>
        <v>RNA-muscle</v>
      </c>
      <c r="C655" s="10" t="str">
        <f t="shared" si="2"/>
        <v>BRN61M-G5</v>
      </c>
      <c r="D655" s="6">
        <v>61.0</v>
      </c>
      <c r="E655" s="10" t="str">
        <f t="shared" si="3"/>
        <v>BRN61M</v>
      </c>
      <c r="F655" s="6" t="s">
        <v>56</v>
      </c>
      <c r="G655" s="6">
        <v>5.0</v>
      </c>
      <c r="H655" s="11" t="str">
        <f t="shared" si="4"/>
        <v>G5</v>
      </c>
      <c r="I655" s="10" t="str">
        <f t="shared" si="5"/>
        <v>BRN61M-G5</v>
      </c>
      <c r="J655" s="16"/>
      <c r="K655" s="16" t="str">
        <f t="shared" si="6"/>
        <v>collected</v>
      </c>
      <c r="L655" s="16" t="str">
        <f t="shared" si="7"/>
        <v>N</v>
      </c>
      <c r="M655" s="16"/>
      <c r="N655" s="16"/>
    </row>
    <row r="656">
      <c r="A656" s="26" t="s">
        <v>1130</v>
      </c>
      <c r="B656" s="10" t="str">
        <f t="shared" si="1"/>
        <v>RNA-muscle</v>
      </c>
      <c r="C656" s="10" t="str">
        <f t="shared" si="2"/>
        <v>BRN61M-F5</v>
      </c>
      <c r="D656" s="6">
        <v>61.0</v>
      </c>
      <c r="E656" s="10" t="str">
        <f t="shared" si="3"/>
        <v>BRN61M</v>
      </c>
      <c r="F656" s="6" t="s">
        <v>61</v>
      </c>
      <c r="G656" s="6">
        <v>5.0</v>
      </c>
      <c r="H656" s="11" t="str">
        <f t="shared" si="4"/>
        <v>F5</v>
      </c>
      <c r="I656" s="10" t="str">
        <f t="shared" si="5"/>
        <v>BRN61M-F5</v>
      </c>
      <c r="J656" s="6"/>
      <c r="K656" s="16" t="str">
        <f t="shared" si="6"/>
        <v>collected</v>
      </c>
      <c r="L656" s="16" t="str">
        <f t="shared" si="7"/>
        <v>N</v>
      </c>
      <c r="M656" s="16"/>
      <c r="N656" s="16"/>
    </row>
    <row r="657">
      <c r="A657" s="26" t="s">
        <v>1131</v>
      </c>
      <c r="B657" s="10" t="str">
        <f t="shared" si="1"/>
        <v>RNA-muscle</v>
      </c>
      <c r="C657" s="10" t="str">
        <f t="shared" si="2"/>
        <v>BRN61M-E5</v>
      </c>
      <c r="D657" s="6">
        <v>61.0</v>
      </c>
      <c r="E657" s="10" t="str">
        <f t="shared" si="3"/>
        <v>BRN61M</v>
      </c>
      <c r="F657" s="6" t="s">
        <v>66</v>
      </c>
      <c r="G657" s="6">
        <v>5.0</v>
      </c>
      <c r="H657" s="11" t="str">
        <f t="shared" si="4"/>
        <v>E5</v>
      </c>
      <c r="I657" s="10" t="str">
        <f t="shared" si="5"/>
        <v>BRN61M-E5</v>
      </c>
      <c r="J657" s="16"/>
      <c r="K657" s="16" t="str">
        <f t="shared" si="6"/>
        <v>collected</v>
      </c>
      <c r="L657" s="16" t="str">
        <f t="shared" si="7"/>
        <v>N</v>
      </c>
      <c r="M657" s="16"/>
      <c r="N657" s="16"/>
    </row>
    <row r="658">
      <c r="A658" s="26" t="s">
        <v>1132</v>
      </c>
      <c r="B658" s="10" t="str">
        <f t="shared" si="1"/>
        <v>RNA-muscle</v>
      </c>
      <c r="C658" s="10" t="str">
        <f t="shared" si="2"/>
        <v>BRN61M-D5</v>
      </c>
      <c r="D658" s="6">
        <v>61.0</v>
      </c>
      <c r="E658" s="10" t="str">
        <f t="shared" si="3"/>
        <v>BRN61M</v>
      </c>
      <c r="F658" s="6" t="s">
        <v>68</v>
      </c>
      <c r="G658" s="6">
        <v>5.0</v>
      </c>
      <c r="H658" s="11" t="str">
        <f t="shared" si="4"/>
        <v>D5</v>
      </c>
      <c r="I658" s="10" t="str">
        <f t="shared" si="5"/>
        <v>BRN61M-D5</v>
      </c>
      <c r="J658" s="16"/>
      <c r="K658" s="16" t="str">
        <f t="shared" si="6"/>
        <v>collected</v>
      </c>
      <c r="L658" s="16" t="str">
        <f t="shared" si="7"/>
        <v>N</v>
      </c>
      <c r="M658" s="16"/>
      <c r="N658" s="16"/>
    </row>
    <row r="659">
      <c r="A659" s="26" t="s">
        <v>1133</v>
      </c>
      <c r="B659" s="10" t="str">
        <f t="shared" si="1"/>
        <v>RNA-muscle</v>
      </c>
      <c r="C659" s="10" t="str">
        <f t="shared" si="2"/>
        <v>BRN61M-C5</v>
      </c>
      <c r="D659" s="6">
        <v>61.0</v>
      </c>
      <c r="E659" s="10" t="str">
        <f t="shared" si="3"/>
        <v>BRN61M</v>
      </c>
      <c r="F659" s="6" t="s">
        <v>72</v>
      </c>
      <c r="G659" s="6">
        <v>5.0</v>
      </c>
      <c r="H659" s="11" t="str">
        <f t="shared" si="4"/>
        <v>C5</v>
      </c>
      <c r="I659" s="10" t="str">
        <f t="shared" si="5"/>
        <v>BRN61M-C5</v>
      </c>
      <c r="J659" s="16"/>
      <c r="K659" s="16" t="str">
        <f t="shared" si="6"/>
        <v>collected</v>
      </c>
      <c r="L659" s="16" t="str">
        <f t="shared" si="7"/>
        <v>N</v>
      </c>
      <c r="M659" s="16"/>
      <c r="N659" s="16"/>
    </row>
    <row r="660">
      <c r="A660" s="26" t="s">
        <v>1134</v>
      </c>
      <c r="B660" s="10" t="str">
        <f t="shared" si="1"/>
        <v>RNA-muscle</v>
      </c>
      <c r="C660" s="10" t="str">
        <f t="shared" si="2"/>
        <v>BRN61M-B5</v>
      </c>
      <c r="D660" s="6">
        <v>61.0</v>
      </c>
      <c r="E660" s="10" t="str">
        <f t="shared" si="3"/>
        <v>BRN61M</v>
      </c>
      <c r="F660" s="6" t="s">
        <v>74</v>
      </c>
      <c r="G660" s="6">
        <v>5.0</v>
      </c>
      <c r="H660" s="11" t="str">
        <f t="shared" si="4"/>
        <v>B5</v>
      </c>
      <c r="I660" s="10" t="str">
        <f t="shared" si="5"/>
        <v>BRN61M-B5</v>
      </c>
      <c r="J660" s="16"/>
      <c r="K660" s="16" t="str">
        <f t="shared" si="6"/>
        <v>collected</v>
      </c>
      <c r="L660" s="16" t="str">
        <f t="shared" si="7"/>
        <v>N</v>
      </c>
      <c r="M660" s="16"/>
      <c r="N660" s="16"/>
    </row>
    <row r="661">
      <c r="A661" s="26" t="s">
        <v>1135</v>
      </c>
      <c r="B661" s="10" t="str">
        <f t="shared" si="1"/>
        <v>RNA-muscle</v>
      </c>
      <c r="C661" s="10" t="str">
        <f t="shared" si="2"/>
        <v>BRN61M-A5</v>
      </c>
      <c r="D661" s="6">
        <v>61.0</v>
      </c>
      <c r="E661" s="10" t="str">
        <f t="shared" si="3"/>
        <v>BRN61M</v>
      </c>
      <c r="F661" s="6" t="s">
        <v>76</v>
      </c>
      <c r="G661" s="6">
        <v>5.0</v>
      </c>
      <c r="H661" s="11" t="str">
        <f t="shared" si="4"/>
        <v>A5</v>
      </c>
      <c r="I661" s="10" t="str">
        <f t="shared" si="5"/>
        <v>BRN61M-A5</v>
      </c>
      <c r="J661" s="16"/>
      <c r="K661" s="16" t="str">
        <f t="shared" si="6"/>
        <v>collected</v>
      </c>
      <c r="L661" s="16" t="str">
        <f t="shared" si="7"/>
        <v>N</v>
      </c>
      <c r="M661" s="16"/>
      <c r="N661" s="16"/>
    </row>
    <row r="662">
      <c r="A662" s="26" t="s">
        <v>1137</v>
      </c>
      <c r="B662" s="10" t="str">
        <f t="shared" si="1"/>
        <v>RNA-muscle</v>
      </c>
      <c r="C662" s="10" t="str">
        <f t="shared" si="2"/>
        <v>BRN61M-H7</v>
      </c>
      <c r="D662" s="6">
        <v>61.0</v>
      </c>
      <c r="E662" s="10" t="str">
        <f t="shared" si="3"/>
        <v>BRN61M</v>
      </c>
      <c r="F662" s="6" t="s">
        <v>51</v>
      </c>
      <c r="G662" s="6">
        <v>7.0</v>
      </c>
      <c r="H662" s="11" t="str">
        <f t="shared" si="4"/>
        <v>H7</v>
      </c>
      <c r="I662" s="10" t="str">
        <f t="shared" si="5"/>
        <v>BRN61M-H7</v>
      </c>
      <c r="J662" s="16"/>
      <c r="K662" s="16" t="str">
        <f t="shared" si="6"/>
        <v>collected</v>
      </c>
      <c r="L662" s="16" t="str">
        <f t="shared" si="7"/>
        <v>N</v>
      </c>
      <c r="M662" s="16"/>
      <c r="N662" s="16"/>
    </row>
    <row r="663">
      <c r="A663" s="26" t="s">
        <v>1139</v>
      </c>
      <c r="B663" s="10" t="str">
        <f t="shared" si="1"/>
        <v>RNA-muscle</v>
      </c>
      <c r="C663" s="10" t="str">
        <f t="shared" si="2"/>
        <v>BRN61M-G7</v>
      </c>
      <c r="D663" s="6">
        <v>61.0</v>
      </c>
      <c r="E663" s="10" t="str">
        <f t="shared" si="3"/>
        <v>BRN61M</v>
      </c>
      <c r="F663" s="6" t="s">
        <v>56</v>
      </c>
      <c r="G663" s="6">
        <v>7.0</v>
      </c>
      <c r="H663" s="11" t="str">
        <f t="shared" si="4"/>
        <v>G7</v>
      </c>
      <c r="I663" s="10" t="str">
        <f t="shared" si="5"/>
        <v>BRN61M-G7</v>
      </c>
      <c r="J663" s="16"/>
      <c r="K663" s="16" t="str">
        <f t="shared" si="6"/>
        <v>collected</v>
      </c>
      <c r="L663" s="16" t="str">
        <f t="shared" si="7"/>
        <v>N</v>
      </c>
      <c r="M663" s="16"/>
      <c r="N663" s="16"/>
    </row>
    <row r="664">
      <c r="A664" s="26" t="s">
        <v>1140</v>
      </c>
      <c r="B664" s="10" t="str">
        <f t="shared" si="1"/>
        <v>RNA-muscle</v>
      </c>
      <c r="C664" s="10" t="str">
        <f t="shared" si="2"/>
        <v>BRN61M-F7</v>
      </c>
      <c r="D664" s="6">
        <v>61.0</v>
      </c>
      <c r="E664" s="10" t="str">
        <f t="shared" si="3"/>
        <v>BRN61M</v>
      </c>
      <c r="F664" s="6" t="s">
        <v>61</v>
      </c>
      <c r="G664" s="6">
        <v>7.0</v>
      </c>
      <c r="H664" s="11" t="str">
        <f t="shared" si="4"/>
        <v>F7</v>
      </c>
      <c r="I664" s="10" t="str">
        <f t="shared" si="5"/>
        <v>BRN61M-F7</v>
      </c>
      <c r="J664" s="16"/>
      <c r="K664" s="16" t="str">
        <f t="shared" si="6"/>
        <v>collected</v>
      </c>
      <c r="L664" s="16" t="str">
        <f t="shared" si="7"/>
        <v>N</v>
      </c>
      <c r="M664" s="16"/>
      <c r="N664" s="16"/>
    </row>
    <row r="665">
      <c r="A665" s="26" t="s">
        <v>1141</v>
      </c>
      <c r="B665" s="10" t="str">
        <f t="shared" si="1"/>
        <v>RNA-muscle</v>
      </c>
      <c r="C665" s="10" t="str">
        <f t="shared" si="2"/>
        <v>BRN61M-E7</v>
      </c>
      <c r="D665" s="6">
        <v>61.0</v>
      </c>
      <c r="E665" s="10" t="str">
        <f t="shared" si="3"/>
        <v>BRN61M</v>
      </c>
      <c r="F665" s="6" t="s">
        <v>66</v>
      </c>
      <c r="G665" s="6">
        <v>7.0</v>
      </c>
      <c r="H665" s="11" t="str">
        <f t="shared" si="4"/>
        <v>E7</v>
      </c>
      <c r="I665" s="10" t="str">
        <f t="shared" si="5"/>
        <v>BRN61M-E7</v>
      </c>
      <c r="J665" s="6"/>
      <c r="K665" s="16" t="str">
        <f t="shared" si="6"/>
        <v>collected</v>
      </c>
      <c r="L665" s="16" t="str">
        <f t="shared" si="7"/>
        <v>N</v>
      </c>
      <c r="M665" s="16"/>
      <c r="N665" s="16"/>
    </row>
    <row r="666">
      <c r="A666" s="26" t="s">
        <v>1142</v>
      </c>
      <c r="B666" s="10" t="str">
        <f t="shared" si="1"/>
        <v>RNA-muscle</v>
      </c>
      <c r="C666" s="10" t="str">
        <f t="shared" si="2"/>
        <v>BRN61M-D7</v>
      </c>
      <c r="D666" s="6">
        <v>61.0</v>
      </c>
      <c r="E666" s="10" t="str">
        <f t="shared" si="3"/>
        <v>BRN61M</v>
      </c>
      <c r="F666" s="6" t="s">
        <v>68</v>
      </c>
      <c r="G666" s="6">
        <v>7.0</v>
      </c>
      <c r="H666" s="11" t="str">
        <f t="shared" si="4"/>
        <v>D7</v>
      </c>
      <c r="I666" s="10" t="str">
        <f t="shared" si="5"/>
        <v>BRN61M-D7</v>
      </c>
      <c r="J666" s="16"/>
      <c r="K666" s="16" t="str">
        <f t="shared" si="6"/>
        <v>collected</v>
      </c>
      <c r="L666" s="16" t="str">
        <f t="shared" si="7"/>
        <v>N</v>
      </c>
      <c r="M666" s="16"/>
      <c r="N666" s="16"/>
    </row>
    <row r="667">
      <c r="A667" s="26" t="s">
        <v>1143</v>
      </c>
      <c r="B667" s="10" t="str">
        <f t="shared" si="1"/>
        <v>RNA-muscle</v>
      </c>
      <c r="C667" s="10" t="str">
        <f t="shared" si="2"/>
        <v>BRN61M-C7</v>
      </c>
      <c r="D667" s="6">
        <v>61.0</v>
      </c>
      <c r="E667" s="10" t="str">
        <f t="shared" si="3"/>
        <v>BRN61M</v>
      </c>
      <c r="F667" s="6" t="s">
        <v>72</v>
      </c>
      <c r="G667" s="6">
        <v>7.0</v>
      </c>
      <c r="H667" s="11" t="str">
        <f t="shared" si="4"/>
        <v>C7</v>
      </c>
      <c r="I667" s="10" t="str">
        <f t="shared" si="5"/>
        <v>BRN61M-C7</v>
      </c>
      <c r="J667" s="16"/>
      <c r="K667" s="16" t="str">
        <f t="shared" si="6"/>
        <v>collected</v>
      </c>
      <c r="L667" s="16" t="str">
        <f t="shared" si="7"/>
        <v>N</v>
      </c>
      <c r="M667" s="16"/>
      <c r="N667" s="16"/>
    </row>
    <row r="668">
      <c r="A668" s="26" t="s">
        <v>1145</v>
      </c>
      <c r="B668" s="10" t="str">
        <f t="shared" si="1"/>
        <v>RNA-muscle</v>
      </c>
      <c r="C668" s="10" t="str">
        <f t="shared" si="2"/>
        <v>BRN61M-B7</v>
      </c>
      <c r="D668" s="6">
        <v>61.0</v>
      </c>
      <c r="E668" s="10" t="str">
        <f t="shared" si="3"/>
        <v>BRN61M</v>
      </c>
      <c r="F668" s="6" t="s">
        <v>74</v>
      </c>
      <c r="G668" s="6">
        <v>7.0</v>
      </c>
      <c r="H668" s="11" t="str">
        <f t="shared" si="4"/>
        <v>B7</v>
      </c>
      <c r="I668" s="10" t="str">
        <f t="shared" si="5"/>
        <v>BRN61M-B7</v>
      </c>
      <c r="J668" s="16"/>
      <c r="K668" s="16" t="str">
        <f t="shared" si="6"/>
        <v>collected</v>
      </c>
      <c r="L668" s="16" t="str">
        <f t="shared" si="7"/>
        <v>N</v>
      </c>
      <c r="M668" s="16"/>
      <c r="N668" s="16"/>
    </row>
    <row r="669">
      <c r="A669" s="26" t="s">
        <v>1146</v>
      </c>
      <c r="B669" s="10" t="str">
        <f t="shared" si="1"/>
        <v>RNA-muscle</v>
      </c>
      <c r="C669" s="10" t="str">
        <f t="shared" si="2"/>
        <v>BRN61M-A7</v>
      </c>
      <c r="D669" s="6">
        <v>61.0</v>
      </c>
      <c r="E669" s="10" t="str">
        <f t="shared" si="3"/>
        <v>BRN61M</v>
      </c>
      <c r="F669" s="6" t="s">
        <v>76</v>
      </c>
      <c r="G669" s="6">
        <v>7.0</v>
      </c>
      <c r="H669" s="11" t="str">
        <f t="shared" si="4"/>
        <v>A7</v>
      </c>
      <c r="I669" s="10" t="str">
        <f t="shared" si="5"/>
        <v>BRN61M-A7</v>
      </c>
      <c r="J669" s="16"/>
      <c r="K669" s="16" t="str">
        <f t="shared" si="6"/>
        <v>collected</v>
      </c>
      <c r="L669" s="16" t="str">
        <f t="shared" si="7"/>
        <v>N</v>
      </c>
      <c r="M669" s="16"/>
      <c r="N669" s="16"/>
    </row>
    <row r="670">
      <c r="A670" s="26" t="s">
        <v>1147</v>
      </c>
      <c r="B670" s="10" t="str">
        <f t="shared" si="1"/>
        <v>RNA-muscle</v>
      </c>
      <c r="C670" s="10" t="str">
        <f t="shared" si="2"/>
        <v>BRN61M-B4</v>
      </c>
      <c r="D670" s="6">
        <v>61.0</v>
      </c>
      <c r="E670" s="10" t="str">
        <f t="shared" si="3"/>
        <v>BRN61M</v>
      </c>
      <c r="F670" s="6" t="s">
        <v>74</v>
      </c>
      <c r="G670" s="6">
        <v>4.0</v>
      </c>
      <c r="H670" s="11" t="str">
        <f t="shared" si="4"/>
        <v>B4</v>
      </c>
      <c r="I670" s="10" t="str">
        <f t="shared" si="5"/>
        <v>BRN61M-B4</v>
      </c>
      <c r="J670" s="16"/>
      <c r="K670" s="16" t="str">
        <f t="shared" si="6"/>
        <v>collected</v>
      </c>
      <c r="L670" s="16" t="str">
        <f t="shared" si="7"/>
        <v>N</v>
      </c>
      <c r="M670" s="16"/>
      <c r="N670" s="16"/>
    </row>
    <row r="671">
      <c r="A671" s="26" t="s">
        <v>1148</v>
      </c>
      <c r="B671" s="10" t="str">
        <f t="shared" si="1"/>
        <v>RNA-muscle</v>
      </c>
      <c r="C671" s="10" t="str">
        <f t="shared" si="2"/>
        <v>BRN61M-A4</v>
      </c>
      <c r="D671" s="6">
        <v>61.0</v>
      </c>
      <c r="E671" s="10" t="str">
        <f t="shared" si="3"/>
        <v>BRN61M</v>
      </c>
      <c r="F671" s="6" t="s">
        <v>76</v>
      </c>
      <c r="G671" s="6">
        <v>4.0</v>
      </c>
      <c r="H671" s="11" t="str">
        <f t="shared" si="4"/>
        <v>A4</v>
      </c>
      <c r="I671" s="10" t="str">
        <f t="shared" si="5"/>
        <v>BRN61M-A4</v>
      </c>
      <c r="J671" s="16"/>
      <c r="K671" s="16" t="str">
        <f t="shared" si="6"/>
        <v>collected</v>
      </c>
      <c r="L671" s="16" t="str">
        <f t="shared" si="7"/>
        <v>N</v>
      </c>
      <c r="M671" s="16"/>
      <c r="N671" s="16"/>
    </row>
    <row r="672">
      <c r="A672" s="26" t="s">
        <v>1149</v>
      </c>
      <c r="B672" s="10" t="str">
        <f t="shared" si="1"/>
        <v>RNA-muscle</v>
      </c>
      <c r="C672" s="10" t="str">
        <f t="shared" si="2"/>
        <v>BRN61M-G6</v>
      </c>
      <c r="D672" s="6">
        <v>61.0</v>
      </c>
      <c r="E672" s="10" t="str">
        <f t="shared" si="3"/>
        <v>BRN61M</v>
      </c>
      <c r="F672" s="6" t="s">
        <v>56</v>
      </c>
      <c r="G672" s="6">
        <v>6.0</v>
      </c>
      <c r="H672" s="11" t="str">
        <f t="shared" si="4"/>
        <v>G6</v>
      </c>
      <c r="I672" s="10" t="str">
        <f t="shared" si="5"/>
        <v>BRN61M-G6</v>
      </c>
      <c r="J672" s="16"/>
      <c r="K672" s="16" t="str">
        <f t="shared" si="6"/>
        <v>collected</v>
      </c>
      <c r="L672" s="16" t="str">
        <f t="shared" si="7"/>
        <v>N</v>
      </c>
      <c r="M672" s="16"/>
      <c r="N672" s="16"/>
    </row>
    <row r="673">
      <c r="A673" s="26" t="s">
        <v>1151</v>
      </c>
      <c r="B673" s="10" t="str">
        <f t="shared" si="1"/>
        <v>RNA-muscle</v>
      </c>
      <c r="C673" s="10" t="str">
        <f t="shared" si="2"/>
        <v>BRN61M-F6</v>
      </c>
      <c r="D673" s="6">
        <v>61.0</v>
      </c>
      <c r="E673" s="10" t="str">
        <f t="shared" si="3"/>
        <v>BRN61M</v>
      </c>
      <c r="F673" s="6" t="s">
        <v>61</v>
      </c>
      <c r="G673" s="6">
        <v>6.0</v>
      </c>
      <c r="H673" s="11" t="str">
        <f t="shared" si="4"/>
        <v>F6</v>
      </c>
      <c r="I673" s="10" t="str">
        <f t="shared" si="5"/>
        <v>BRN61M-F6</v>
      </c>
      <c r="J673" s="16"/>
      <c r="K673" s="16" t="str">
        <f t="shared" si="6"/>
        <v>collected</v>
      </c>
      <c r="L673" s="16" t="str">
        <f t="shared" si="7"/>
        <v>N</v>
      </c>
      <c r="M673" s="16"/>
      <c r="N673" s="16"/>
    </row>
    <row r="674">
      <c r="A674" s="26" t="s">
        <v>1153</v>
      </c>
      <c r="B674" s="10" t="str">
        <f t="shared" si="1"/>
        <v>RNA-muscle</v>
      </c>
      <c r="C674" s="10" t="str">
        <f t="shared" si="2"/>
        <v>BRN61M-E6</v>
      </c>
      <c r="D674" s="6">
        <v>61.0</v>
      </c>
      <c r="E674" s="10" t="str">
        <f t="shared" si="3"/>
        <v>BRN61M</v>
      </c>
      <c r="F674" s="6" t="s">
        <v>66</v>
      </c>
      <c r="G674" s="6">
        <v>6.0</v>
      </c>
      <c r="H674" s="11" t="str">
        <f t="shared" si="4"/>
        <v>E6</v>
      </c>
      <c r="I674" s="10" t="str">
        <f t="shared" si="5"/>
        <v>BRN61M-E6</v>
      </c>
      <c r="J674" s="6"/>
      <c r="K674" s="16" t="str">
        <f t="shared" si="6"/>
        <v>collected</v>
      </c>
      <c r="L674" s="16" t="str">
        <f t="shared" si="7"/>
        <v>N</v>
      </c>
      <c r="M674" s="16"/>
      <c r="N674" s="16"/>
    </row>
    <row r="675">
      <c r="A675" s="26" t="s">
        <v>1154</v>
      </c>
      <c r="B675" s="10" t="str">
        <f t="shared" si="1"/>
        <v>RNA-muscle</v>
      </c>
      <c r="C675" s="10" t="str">
        <f t="shared" si="2"/>
        <v>BRN61M-D6</v>
      </c>
      <c r="D675" s="6">
        <v>61.0</v>
      </c>
      <c r="E675" s="10" t="str">
        <f t="shared" si="3"/>
        <v>BRN61M</v>
      </c>
      <c r="F675" s="6" t="s">
        <v>68</v>
      </c>
      <c r="G675" s="6">
        <v>6.0</v>
      </c>
      <c r="H675" s="11" t="str">
        <f t="shared" si="4"/>
        <v>D6</v>
      </c>
      <c r="I675" s="10" t="str">
        <f t="shared" si="5"/>
        <v>BRN61M-D6</v>
      </c>
      <c r="J675" s="16"/>
      <c r="K675" s="16" t="str">
        <f t="shared" si="6"/>
        <v>collected</v>
      </c>
      <c r="L675" s="16" t="str">
        <f t="shared" si="7"/>
        <v>N</v>
      </c>
      <c r="M675" s="16"/>
      <c r="N675" s="16"/>
    </row>
    <row r="676">
      <c r="A676" s="26" t="s">
        <v>1155</v>
      </c>
      <c r="B676" s="10" t="str">
        <f t="shared" si="1"/>
        <v>RNA-muscle</v>
      </c>
      <c r="C676" s="10" t="str">
        <f t="shared" si="2"/>
        <v>BRN61M-C6</v>
      </c>
      <c r="D676" s="6">
        <v>61.0</v>
      </c>
      <c r="E676" s="10" t="str">
        <f t="shared" si="3"/>
        <v>BRN61M</v>
      </c>
      <c r="F676" s="6" t="s">
        <v>72</v>
      </c>
      <c r="G676" s="6">
        <v>6.0</v>
      </c>
      <c r="H676" s="11" t="str">
        <f t="shared" si="4"/>
        <v>C6</v>
      </c>
      <c r="I676" s="10" t="str">
        <f t="shared" si="5"/>
        <v>BRN61M-C6</v>
      </c>
      <c r="J676" s="16"/>
      <c r="K676" s="16" t="str">
        <f t="shared" si="6"/>
        <v>collected</v>
      </c>
      <c r="L676" s="16" t="str">
        <f t="shared" si="7"/>
        <v>N</v>
      </c>
      <c r="M676" s="16"/>
      <c r="N676" s="16"/>
    </row>
    <row r="677">
      <c r="A677" s="26" t="s">
        <v>1156</v>
      </c>
      <c r="B677" s="10" t="str">
        <f t="shared" si="1"/>
        <v>RNA-muscle</v>
      </c>
      <c r="C677" s="10" t="str">
        <f t="shared" si="2"/>
        <v>BRN61M-B6</v>
      </c>
      <c r="D677" s="6">
        <v>61.0</v>
      </c>
      <c r="E677" s="10" t="str">
        <f t="shared" si="3"/>
        <v>BRN61M</v>
      </c>
      <c r="F677" s="6" t="s">
        <v>74</v>
      </c>
      <c r="G677" s="6">
        <v>6.0</v>
      </c>
      <c r="H677" s="11" t="str">
        <f t="shared" si="4"/>
        <v>B6</v>
      </c>
      <c r="I677" s="10" t="str">
        <f t="shared" si="5"/>
        <v>BRN61M-B6</v>
      </c>
      <c r="J677" s="16"/>
      <c r="K677" s="16" t="str">
        <f t="shared" si="6"/>
        <v>collected</v>
      </c>
      <c r="L677" s="16" t="str">
        <f t="shared" si="7"/>
        <v>N</v>
      </c>
      <c r="M677" s="16"/>
      <c r="N677" s="16"/>
    </row>
    <row r="678">
      <c r="A678" s="26" t="s">
        <v>1157</v>
      </c>
      <c r="B678" s="10" t="str">
        <f t="shared" si="1"/>
        <v>RNA-muscle</v>
      </c>
      <c r="C678" s="10" t="str">
        <f t="shared" si="2"/>
        <v>BRN61M-A6</v>
      </c>
      <c r="D678" s="6">
        <v>61.0</v>
      </c>
      <c r="E678" s="10" t="str">
        <f t="shared" si="3"/>
        <v>BRN61M</v>
      </c>
      <c r="F678" s="6" t="s">
        <v>76</v>
      </c>
      <c r="G678" s="6">
        <v>6.0</v>
      </c>
      <c r="H678" s="11" t="str">
        <f t="shared" si="4"/>
        <v>A6</v>
      </c>
      <c r="I678" s="10" t="str">
        <f t="shared" si="5"/>
        <v>BRN61M-A6</v>
      </c>
      <c r="J678" s="16"/>
      <c r="K678" s="16" t="str">
        <f t="shared" si="6"/>
        <v>collected</v>
      </c>
      <c r="L678" s="16" t="str">
        <f t="shared" si="7"/>
        <v>N</v>
      </c>
      <c r="M678" s="16"/>
      <c r="N678" s="16"/>
    </row>
    <row r="679">
      <c r="A679" s="26" t="s">
        <v>1159</v>
      </c>
      <c r="B679" s="10" t="str">
        <f t="shared" si="1"/>
        <v>RNA-muscle</v>
      </c>
      <c r="C679" s="10" t="str">
        <f t="shared" si="2"/>
        <v>BRN61M-H8</v>
      </c>
      <c r="D679" s="6">
        <v>61.0</v>
      </c>
      <c r="E679" s="10" t="str">
        <f t="shared" si="3"/>
        <v>BRN61M</v>
      </c>
      <c r="F679" s="6" t="s">
        <v>51</v>
      </c>
      <c r="G679" s="6">
        <v>8.0</v>
      </c>
      <c r="H679" s="11" t="str">
        <f t="shared" si="4"/>
        <v>H8</v>
      </c>
      <c r="I679" s="10" t="str">
        <f t="shared" si="5"/>
        <v>BRN61M-H8</v>
      </c>
      <c r="J679" s="16"/>
      <c r="K679" s="16" t="str">
        <f t="shared" si="6"/>
        <v>collected</v>
      </c>
      <c r="L679" s="16" t="str">
        <f t="shared" si="7"/>
        <v>N</v>
      </c>
      <c r="M679" s="16"/>
      <c r="N679" s="16"/>
    </row>
    <row r="680">
      <c r="A680" s="26" t="s">
        <v>83</v>
      </c>
      <c r="B680" s="10" t="str">
        <f t="shared" si="1"/>
        <v>RNA-muscle</v>
      </c>
      <c r="C680" s="10" t="str">
        <f t="shared" si="2"/>
        <v>BRN61M-G8</v>
      </c>
      <c r="D680" s="6">
        <v>61.0</v>
      </c>
      <c r="E680" s="10" t="str">
        <f t="shared" si="3"/>
        <v>BRN61M</v>
      </c>
      <c r="F680" s="6" t="s">
        <v>56</v>
      </c>
      <c r="G680" s="6">
        <v>8.0</v>
      </c>
      <c r="H680" s="11" t="str">
        <f t="shared" si="4"/>
        <v>G8</v>
      </c>
      <c r="I680" s="10" t="str">
        <f t="shared" si="5"/>
        <v>BRN61M-G8</v>
      </c>
      <c r="J680" s="16"/>
      <c r="K680" s="16" t="str">
        <f t="shared" si="6"/>
        <v>collected</v>
      </c>
      <c r="L680" s="16" t="str">
        <f t="shared" si="7"/>
        <v>N</v>
      </c>
      <c r="M680" s="16"/>
      <c r="N680" s="16"/>
    </row>
    <row r="681">
      <c r="A681" s="26" t="s">
        <v>1161</v>
      </c>
      <c r="B681" s="10" t="str">
        <f t="shared" si="1"/>
        <v>RNA-muscle</v>
      </c>
      <c r="C681" s="10" t="str">
        <f t="shared" si="2"/>
        <v>BRN61M-F8</v>
      </c>
      <c r="D681" s="6">
        <v>61.0</v>
      </c>
      <c r="E681" s="10" t="str">
        <f t="shared" si="3"/>
        <v>BRN61M</v>
      </c>
      <c r="F681" s="6" t="s">
        <v>61</v>
      </c>
      <c r="G681" s="6">
        <v>8.0</v>
      </c>
      <c r="H681" s="11" t="str">
        <f t="shared" si="4"/>
        <v>F8</v>
      </c>
      <c r="I681" s="10" t="str">
        <f t="shared" si="5"/>
        <v>BRN61M-F8</v>
      </c>
      <c r="J681" s="16"/>
      <c r="K681" s="16" t="str">
        <f t="shared" si="6"/>
        <v>collected</v>
      </c>
      <c r="L681" s="16" t="str">
        <f t="shared" si="7"/>
        <v>N</v>
      </c>
      <c r="M681" s="16"/>
      <c r="N681" s="16"/>
    </row>
    <row r="682">
      <c r="A682" s="26" t="s">
        <v>1162</v>
      </c>
      <c r="B682" s="10" t="str">
        <f t="shared" si="1"/>
        <v>RNA-muscle</v>
      </c>
      <c r="C682" s="10" t="str">
        <f t="shared" si="2"/>
        <v>BRN61M-E8</v>
      </c>
      <c r="D682" s="6">
        <v>61.0</v>
      </c>
      <c r="E682" s="10" t="str">
        <f t="shared" si="3"/>
        <v>BRN61M</v>
      </c>
      <c r="F682" s="6" t="s">
        <v>66</v>
      </c>
      <c r="G682" s="6">
        <v>8.0</v>
      </c>
      <c r="H682" s="11" t="str">
        <f t="shared" si="4"/>
        <v>E8</v>
      </c>
      <c r="I682" s="10" t="str">
        <f t="shared" si="5"/>
        <v>BRN61M-E8</v>
      </c>
      <c r="J682" s="16"/>
      <c r="K682" s="16" t="str">
        <f t="shared" si="6"/>
        <v>collected</v>
      </c>
      <c r="L682" s="16" t="str">
        <f t="shared" si="7"/>
        <v>N</v>
      </c>
      <c r="M682" s="16"/>
      <c r="N682" s="16"/>
    </row>
    <row r="683">
      <c r="A683" s="26" t="s">
        <v>1164</v>
      </c>
      <c r="B683" s="10" t="str">
        <f t="shared" si="1"/>
        <v>RNA-muscle</v>
      </c>
      <c r="C683" s="10" t="str">
        <f t="shared" si="2"/>
        <v>BRN61M-D8</v>
      </c>
      <c r="D683" s="6">
        <v>61.0</v>
      </c>
      <c r="E683" s="10" t="str">
        <f t="shared" si="3"/>
        <v>BRN61M</v>
      </c>
      <c r="F683" s="6" t="s">
        <v>68</v>
      </c>
      <c r="G683" s="6">
        <v>8.0</v>
      </c>
      <c r="H683" s="11" t="str">
        <f t="shared" si="4"/>
        <v>D8</v>
      </c>
      <c r="I683" s="10" t="str">
        <f t="shared" si="5"/>
        <v>BRN61M-D8</v>
      </c>
      <c r="J683" s="16"/>
      <c r="K683" s="16" t="str">
        <f t="shared" si="6"/>
        <v>collected</v>
      </c>
      <c r="L683" s="16" t="str">
        <f t="shared" si="7"/>
        <v>N</v>
      </c>
      <c r="M683" s="16"/>
      <c r="N683" s="16"/>
    </row>
    <row r="684">
      <c r="A684" s="26" t="s">
        <v>1165</v>
      </c>
      <c r="B684" s="10" t="str">
        <f t="shared" si="1"/>
        <v>RNA-muscle</v>
      </c>
      <c r="C684" s="10" t="str">
        <f t="shared" si="2"/>
        <v>BRN61M-C8</v>
      </c>
      <c r="D684" s="6">
        <v>61.0</v>
      </c>
      <c r="E684" s="10" t="str">
        <f t="shared" si="3"/>
        <v>BRN61M</v>
      </c>
      <c r="F684" s="6" t="s">
        <v>72</v>
      </c>
      <c r="G684" s="6">
        <v>8.0</v>
      </c>
      <c r="H684" s="11" t="str">
        <f t="shared" si="4"/>
        <v>C8</v>
      </c>
      <c r="I684" s="10" t="str">
        <f t="shared" si="5"/>
        <v>BRN61M-C8</v>
      </c>
      <c r="J684" s="6"/>
      <c r="K684" s="16" t="str">
        <f t="shared" si="6"/>
        <v>collected</v>
      </c>
      <c r="L684" s="16" t="str">
        <f t="shared" si="7"/>
        <v>N</v>
      </c>
      <c r="M684" s="16"/>
      <c r="N684" s="16"/>
    </row>
    <row r="685">
      <c r="A685" s="26" t="s">
        <v>1166</v>
      </c>
      <c r="B685" s="10" t="str">
        <f t="shared" si="1"/>
        <v>RNA-muscle</v>
      </c>
      <c r="C685" s="10" t="str">
        <f t="shared" si="2"/>
        <v>BRN61M-B8</v>
      </c>
      <c r="D685" s="6">
        <v>61.0</v>
      </c>
      <c r="E685" s="10" t="str">
        <f t="shared" si="3"/>
        <v>BRN61M</v>
      </c>
      <c r="F685" s="6" t="s">
        <v>74</v>
      </c>
      <c r="G685" s="6">
        <v>8.0</v>
      </c>
      <c r="H685" s="11" t="str">
        <f t="shared" si="4"/>
        <v>B8</v>
      </c>
      <c r="I685" s="10" t="str">
        <f t="shared" si="5"/>
        <v>BRN61M-B8</v>
      </c>
      <c r="J685" s="16"/>
      <c r="K685" s="16" t="str">
        <f t="shared" si="6"/>
        <v>collected</v>
      </c>
      <c r="L685" s="16" t="str">
        <f t="shared" si="7"/>
        <v>N</v>
      </c>
      <c r="M685" s="16"/>
      <c r="N685" s="16"/>
    </row>
    <row r="686">
      <c r="A686" s="26" t="s">
        <v>1167</v>
      </c>
      <c r="B686" s="10" t="str">
        <f t="shared" si="1"/>
        <v>RNA-muscle</v>
      </c>
      <c r="C686" s="10" t="str">
        <f t="shared" si="2"/>
        <v>BRN61M-A8</v>
      </c>
      <c r="D686" s="6">
        <v>61.0</v>
      </c>
      <c r="E686" s="10" t="str">
        <f t="shared" si="3"/>
        <v>BRN61M</v>
      </c>
      <c r="F686" s="6" t="s">
        <v>76</v>
      </c>
      <c r="G686" s="6">
        <v>8.0</v>
      </c>
      <c r="H686" s="11" t="str">
        <f t="shared" si="4"/>
        <v>A8</v>
      </c>
      <c r="I686" s="10" t="str">
        <f t="shared" si="5"/>
        <v>BRN61M-A8</v>
      </c>
      <c r="J686" s="6"/>
      <c r="K686" s="16" t="str">
        <f t="shared" si="6"/>
        <v>collected</v>
      </c>
      <c r="L686" s="16" t="str">
        <f t="shared" si="7"/>
        <v>N</v>
      </c>
      <c r="M686" s="16"/>
      <c r="N686" s="16"/>
    </row>
    <row r="687">
      <c r="A687" s="26" t="s">
        <v>1168</v>
      </c>
      <c r="B687" s="10" t="str">
        <f t="shared" si="1"/>
        <v>RNA-muscle</v>
      </c>
      <c r="C687" s="10" t="str">
        <f t="shared" si="2"/>
        <v>BRN61M-H10</v>
      </c>
      <c r="D687" s="6">
        <v>61.0</v>
      </c>
      <c r="E687" s="10" t="str">
        <f t="shared" si="3"/>
        <v>BRN61M</v>
      </c>
      <c r="F687" s="6" t="s">
        <v>51</v>
      </c>
      <c r="G687" s="6">
        <v>10.0</v>
      </c>
      <c r="H687" s="11" t="str">
        <f t="shared" si="4"/>
        <v>H10</v>
      </c>
      <c r="I687" s="10" t="str">
        <f t="shared" si="5"/>
        <v>BRN61M-H10</v>
      </c>
      <c r="J687" s="16"/>
      <c r="K687" s="16" t="str">
        <f t="shared" si="6"/>
        <v>collected</v>
      </c>
      <c r="L687" s="16" t="str">
        <f t="shared" si="7"/>
        <v>N</v>
      </c>
      <c r="M687" s="16"/>
      <c r="N687" s="16"/>
    </row>
    <row r="688">
      <c r="A688" s="6" t="s">
        <v>1171</v>
      </c>
      <c r="B688" s="10" t="str">
        <f t="shared" si="1"/>
        <v>RNA-muscle</v>
      </c>
      <c r="C688" s="10" t="str">
        <f t="shared" si="2"/>
        <v>BRN61M-G10</v>
      </c>
      <c r="D688" s="6">
        <v>61.0</v>
      </c>
      <c r="E688" s="10" t="str">
        <f t="shared" si="3"/>
        <v>BRN61M</v>
      </c>
      <c r="F688" s="6" t="s">
        <v>56</v>
      </c>
      <c r="G688" s="6">
        <v>10.0</v>
      </c>
      <c r="H688" s="11" t="str">
        <f t="shared" si="4"/>
        <v>G10</v>
      </c>
      <c r="I688" s="10" t="str">
        <f t="shared" si="5"/>
        <v>BRN61M-G10</v>
      </c>
      <c r="K688" s="16" t="str">
        <f t="shared" si="6"/>
        <v>collected</v>
      </c>
      <c r="L688" s="16" t="str">
        <f t="shared" si="7"/>
        <v>N</v>
      </c>
      <c r="M688" s="16"/>
      <c r="N688" s="16"/>
    </row>
    <row r="689">
      <c r="A689" s="6" t="s">
        <v>1173</v>
      </c>
      <c r="B689" s="10" t="str">
        <f t="shared" si="1"/>
        <v>RNA-muscle</v>
      </c>
      <c r="C689" s="10" t="str">
        <f t="shared" si="2"/>
        <v>BRN61M-F10</v>
      </c>
      <c r="D689" s="6">
        <v>61.0</v>
      </c>
      <c r="E689" s="10" t="str">
        <f t="shared" si="3"/>
        <v>BRN61M</v>
      </c>
      <c r="F689" s="6" t="s">
        <v>61</v>
      </c>
      <c r="G689" s="6">
        <v>10.0</v>
      </c>
      <c r="H689" s="11" t="str">
        <f t="shared" si="4"/>
        <v>F10</v>
      </c>
      <c r="I689" s="10" t="str">
        <f t="shared" si="5"/>
        <v>BRN61M-F10</v>
      </c>
      <c r="K689" s="16" t="str">
        <f t="shared" si="6"/>
        <v>collected</v>
      </c>
      <c r="L689" s="16" t="str">
        <f t="shared" si="7"/>
        <v>N</v>
      </c>
      <c r="M689" s="16"/>
      <c r="N689" s="16"/>
    </row>
    <row r="690">
      <c r="A690" s="6" t="s">
        <v>1174</v>
      </c>
      <c r="B690" s="10" t="str">
        <f t="shared" si="1"/>
        <v>RNA-muscle</v>
      </c>
      <c r="C690" s="10" t="str">
        <f t="shared" si="2"/>
        <v>BRN61M-E10</v>
      </c>
      <c r="D690" s="6">
        <v>61.0</v>
      </c>
      <c r="E690" s="10" t="str">
        <f t="shared" si="3"/>
        <v>BRN61M</v>
      </c>
      <c r="F690" s="6" t="s">
        <v>66</v>
      </c>
      <c r="G690" s="6">
        <v>10.0</v>
      </c>
      <c r="H690" s="11" t="str">
        <f t="shared" si="4"/>
        <v>E10</v>
      </c>
      <c r="I690" s="10" t="str">
        <f t="shared" si="5"/>
        <v>BRN61M-E10</v>
      </c>
      <c r="K690" s="16" t="str">
        <f t="shared" si="6"/>
        <v>collected</v>
      </c>
      <c r="L690" s="16" t="str">
        <f t="shared" si="7"/>
        <v>N</v>
      </c>
      <c r="M690" s="16"/>
      <c r="N690" s="16"/>
    </row>
    <row r="691">
      <c r="A691" s="6" t="s">
        <v>1175</v>
      </c>
      <c r="B691" s="10" t="str">
        <f t="shared" si="1"/>
        <v>RNA-muscle</v>
      </c>
      <c r="C691" s="10" t="str">
        <f t="shared" si="2"/>
        <v>BRN61M-D10</v>
      </c>
      <c r="D691" s="6">
        <v>61.0</v>
      </c>
      <c r="E691" s="10" t="str">
        <f t="shared" si="3"/>
        <v>BRN61M</v>
      </c>
      <c r="F691" s="6" t="s">
        <v>68</v>
      </c>
      <c r="G691" s="6">
        <v>10.0</v>
      </c>
      <c r="H691" s="11" t="str">
        <f t="shared" si="4"/>
        <v>D10</v>
      </c>
      <c r="I691" s="10" t="str">
        <f t="shared" si="5"/>
        <v>BRN61M-D10</v>
      </c>
      <c r="K691" s="16" t="str">
        <f t="shared" si="6"/>
        <v>collected</v>
      </c>
      <c r="L691" s="16" t="str">
        <f t="shared" si="7"/>
        <v>N</v>
      </c>
      <c r="M691" s="16"/>
      <c r="N691" s="16"/>
    </row>
    <row r="692">
      <c r="A692" s="6" t="s">
        <v>1176</v>
      </c>
      <c r="B692" s="10" t="str">
        <f t="shared" si="1"/>
        <v>RNA-muscle</v>
      </c>
      <c r="C692" s="10" t="str">
        <f t="shared" si="2"/>
        <v>BRN61M-C10</v>
      </c>
      <c r="D692" s="6">
        <v>61.0</v>
      </c>
      <c r="E692" s="10" t="str">
        <f t="shared" si="3"/>
        <v>BRN61M</v>
      </c>
      <c r="F692" s="6" t="s">
        <v>72</v>
      </c>
      <c r="G692" s="6">
        <v>10.0</v>
      </c>
      <c r="H692" s="11" t="str">
        <f t="shared" si="4"/>
        <v>C10</v>
      </c>
      <c r="I692" s="10" t="str">
        <f t="shared" si="5"/>
        <v>BRN61M-C10</v>
      </c>
      <c r="K692" s="16" t="str">
        <f t="shared" si="6"/>
        <v>collected</v>
      </c>
      <c r="L692" s="16" t="str">
        <f t="shared" si="7"/>
        <v>N</v>
      </c>
      <c r="M692" s="16"/>
      <c r="N692" s="16"/>
    </row>
    <row r="693">
      <c r="A693" s="6" t="s">
        <v>97</v>
      </c>
      <c r="B693" s="10" t="str">
        <f t="shared" si="1"/>
        <v>RNA-muscle</v>
      </c>
      <c r="C693" s="10" t="str">
        <f t="shared" si="2"/>
        <v>BRN61M-B10</v>
      </c>
      <c r="D693" s="6">
        <v>61.0</v>
      </c>
      <c r="E693" s="10" t="str">
        <f t="shared" si="3"/>
        <v>BRN61M</v>
      </c>
      <c r="F693" s="6" t="s">
        <v>74</v>
      </c>
      <c r="G693" s="6">
        <v>10.0</v>
      </c>
      <c r="H693" s="11" t="str">
        <f t="shared" si="4"/>
        <v>B10</v>
      </c>
      <c r="I693" s="10" t="str">
        <f t="shared" si="5"/>
        <v>BRN61M-B10</v>
      </c>
      <c r="K693" s="16" t="str">
        <f t="shared" si="6"/>
        <v>collected</v>
      </c>
      <c r="L693" s="16" t="str">
        <f t="shared" si="7"/>
        <v>N</v>
      </c>
      <c r="M693" s="16"/>
      <c r="N693" s="16"/>
    </row>
    <row r="694">
      <c r="A694" s="6" t="s">
        <v>107</v>
      </c>
      <c r="B694" s="10" t="str">
        <f t="shared" si="1"/>
        <v>RNA-muscle</v>
      </c>
      <c r="C694" s="10" t="str">
        <f t="shared" si="2"/>
        <v>BRN61M-A10</v>
      </c>
      <c r="D694" s="6">
        <v>61.0</v>
      </c>
      <c r="E694" s="10" t="str">
        <f t="shared" si="3"/>
        <v>BRN61M</v>
      </c>
      <c r="F694" s="6" t="s">
        <v>76</v>
      </c>
      <c r="G694" s="6">
        <v>10.0</v>
      </c>
      <c r="H694" s="11" t="str">
        <f t="shared" si="4"/>
        <v>A10</v>
      </c>
      <c r="I694" s="10" t="str">
        <f t="shared" si="5"/>
        <v>BRN61M-A10</v>
      </c>
      <c r="K694" s="16" t="str">
        <f t="shared" si="6"/>
        <v>collected</v>
      </c>
      <c r="L694" s="16" t="str">
        <f t="shared" si="7"/>
        <v>N</v>
      </c>
      <c r="M694" s="16"/>
      <c r="N694" s="16"/>
    </row>
    <row r="695">
      <c r="A695" s="6" t="s">
        <v>115</v>
      </c>
      <c r="B695" s="10" t="str">
        <f t="shared" si="1"/>
        <v>RNA-muscle</v>
      </c>
      <c r="C695" s="10" t="str">
        <f t="shared" si="2"/>
        <v>BRN61M-C11</v>
      </c>
      <c r="D695" s="6">
        <v>61.0</v>
      </c>
      <c r="E695" s="10" t="str">
        <f t="shared" si="3"/>
        <v>BRN61M</v>
      </c>
      <c r="F695" s="6" t="s">
        <v>72</v>
      </c>
      <c r="G695" s="6">
        <v>11.0</v>
      </c>
      <c r="H695" s="11" t="str">
        <f t="shared" si="4"/>
        <v>C11</v>
      </c>
      <c r="I695" s="10" t="str">
        <f t="shared" si="5"/>
        <v>BRN61M-C11</v>
      </c>
      <c r="K695" s="16" t="str">
        <f t="shared" si="6"/>
        <v>collected</v>
      </c>
      <c r="L695" s="16" t="str">
        <f t="shared" si="7"/>
        <v>N</v>
      </c>
      <c r="M695" s="16"/>
      <c r="N695" s="16"/>
    </row>
    <row r="696">
      <c r="A696" s="6" t="s">
        <v>122</v>
      </c>
      <c r="B696" s="10" t="str">
        <f t="shared" si="1"/>
        <v>RNA-muscle</v>
      </c>
      <c r="C696" s="10" t="str">
        <f t="shared" si="2"/>
        <v>BRN61M-B11</v>
      </c>
      <c r="D696" s="6">
        <v>61.0</v>
      </c>
      <c r="E696" s="10" t="str">
        <f t="shared" si="3"/>
        <v>BRN61M</v>
      </c>
      <c r="F696" s="6" t="s">
        <v>74</v>
      </c>
      <c r="G696" s="6">
        <v>11.0</v>
      </c>
      <c r="H696" s="11" t="str">
        <f t="shared" si="4"/>
        <v>B11</v>
      </c>
      <c r="I696" s="10" t="str">
        <f t="shared" si="5"/>
        <v>BRN61M-B11</v>
      </c>
      <c r="K696" s="16" t="str">
        <f t="shared" si="6"/>
        <v>collected</v>
      </c>
      <c r="L696" s="16" t="str">
        <f t="shared" si="7"/>
        <v>N</v>
      </c>
      <c r="M696" s="16"/>
      <c r="N696" s="16"/>
    </row>
    <row r="697">
      <c r="A697" s="6" t="s">
        <v>132</v>
      </c>
      <c r="B697" s="10" t="str">
        <f t="shared" si="1"/>
        <v>RNA-muscle</v>
      </c>
      <c r="C697" s="10" t="str">
        <f t="shared" si="2"/>
        <v>BRN61M-A11</v>
      </c>
      <c r="D697" s="6">
        <v>61.0</v>
      </c>
      <c r="E697" s="10" t="str">
        <f t="shared" si="3"/>
        <v>BRN61M</v>
      </c>
      <c r="F697" s="6" t="s">
        <v>76</v>
      </c>
      <c r="G697" s="6">
        <v>11.0</v>
      </c>
      <c r="H697" s="11" t="str">
        <f t="shared" si="4"/>
        <v>A11</v>
      </c>
      <c r="I697" s="10" t="str">
        <f t="shared" si="5"/>
        <v>BRN61M-A11</v>
      </c>
      <c r="K697" s="16" t="str">
        <f t="shared" si="6"/>
        <v>collected</v>
      </c>
      <c r="L697" s="16" t="str">
        <f t="shared" si="7"/>
        <v>N</v>
      </c>
      <c r="M697" s="16"/>
      <c r="N697" s="16"/>
    </row>
    <row r="698">
      <c r="A698" s="6" t="s">
        <v>140</v>
      </c>
      <c r="B698" s="10" t="str">
        <f t="shared" si="1"/>
        <v>RNA-muscle</v>
      </c>
      <c r="C698" s="10" t="str">
        <f t="shared" si="2"/>
        <v>BRN64M-F9</v>
      </c>
      <c r="D698" s="6">
        <v>64.0</v>
      </c>
      <c r="E698" s="10" t="str">
        <f t="shared" si="3"/>
        <v>BRN64M</v>
      </c>
      <c r="F698" s="6" t="s">
        <v>61</v>
      </c>
      <c r="G698" s="6">
        <v>9.0</v>
      </c>
      <c r="H698" s="11" t="str">
        <f t="shared" si="4"/>
        <v>F9</v>
      </c>
      <c r="I698" s="10" t="str">
        <f t="shared" si="5"/>
        <v>BRN64M-F9</v>
      </c>
      <c r="K698" s="16" t="str">
        <f t="shared" si="6"/>
        <v>collected</v>
      </c>
      <c r="L698" s="16" t="str">
        <f t="shared" si="7"/>
        <v>N</v>
      </c>
      <c r="M698" s="16"/>
      <c r="N698" s="16"/>
    </row>
    <row r="699">
      <c r="A699" s="6" t="s">
        <v>147</v>
      </c>
      <c r="B699" s="10" t="str">
        <f t="shared" si="1"/>
        <v>RNA-muscle</v>
      </c>
      <c r="C699" s="10" t="str">
        <f t="shared" si="2"/>
        <v>BRN64M-E9</v>
      </c>
      <c r="D699" s="6">
        <v>64.0</v>
      </c>
      <c r="E699" s="10" t="str">
        <f t="shared" si="3"/>
        <v>BRN64M</v>
      </c>
      <c r="F699" s="6" t="s">
        <v>66</v>
      </c>
      <c r="G699" s="6">
        <v>9.0</v>
      </c>
      <c r="H699" s="11" t="str">
        <f t="shared" si="4"/>
        <v>E9</v>
      </c>
      <c r="I699" s="10" t="str">
        <f t="shared" si="5"/>
        <v>BRN64M-E9</v>
      </c>
      <c r="K699" s="16" t="str">
        <f t="shared" si="6"/>
        <v>collected</v>
      </c>
      <c r="L699" s="16" t="str">
        <f t="shared" si="7"/>
        <v>N</v>
      </c>
      <c r="M699" s="16"/>
      <c r="N699" s="16"/>
    </row>
    <row r="700">
      <c r="A700" s="6" t="s">
        <v>157</v>
      </c>
      <c r="B700" s="10" t="str">
        <f t="shared" si="1"/>
        <v>RNA-muscle</v>
      </c>
      <c r="C700" s="10" t="str">
        <f t="shared" si="2"/>
        <v>BRN64M-D9</v>
      </c>
      <c r="D700" s="6">
        <v>64.0</v>
      </c>
      <c r="E700" s="10" t="str">
        <f t="shared" si="3"/>
        <v>BRN64M</v>
      </c>
      <c r="F700" s="6" t="s">
        <v>68</v>
      </c>
      <c r="G700" s="6">
        <v>9.0</v>
      </c>
      <c r="H700" s="11" t="str">
        <f t="shared" si="4"/>
        <v>D9</v>
      </c>
      <c r="I700" s="10" t="str">
        <f t="shared" si="5"/>
        <v>BRN64M-D9</v>
      </c>
      <c r="K700" s="16" t="str">
        <f t="shared" si="6"/>
        <v>collected</v>
      </c>
      <c r="L700" s="16" t="str">
        <f t="shared" si="7"/>
        <v>N</v>
      </c>
      <c r="M700" s="16"/>
      <c r="N700" s="16"/>
    </row>
    <row r="701">
      <c r="A701" s="6" t="s">
        <v>165</v>
      </c>
      <c r="B701" s="10" t="str">
        <f t="shared" si="1"/>
        <v>RNA-muscle</v>
      </c>
      <c r="C701" s="10" t="str">
        <f t="shared" si="2"/>
        <v>BRN64M-C9</v>
      </c>
      <c r="D701" s="6">
        <v>64.0</v>
      </c>
      <c r="E701" s="10" t="str">
        <f t="shared" si="3"/>
        <v>BRN64M</v>
      </c>
      <c r="F701" s="6" t="s">
        <v>72</v>
      </c>
      <c r="G701" s="6">
        <v>9.0</v>
      </c>
      <c r="H701" s="11" t="str">
        <f t="shared" si="4"/>
        <v>C9</v>
      </c>
      <c r="I701" s="10" t="str">
        <f t="shared" si="5"/>
        <v>BRN64M-C9</v>
      </c>
      <c r="K701" s="16" t="str">
        <f t="shared" si="6"/>
        <v>collected</v>
      </c>
      <c r="L701" s="16" t="str">
        <f t="shared" si="7"/>
        <v>N</v>
      </c>
      <c r="M701" s="16"/>
      <c r="N701" s="16"/>
    </row>
    <row r="702">
      <c r="A702" s="6" t="s">
        <v>170</v>
      </c>
      <c r="B702" s="10" t="str">
        <f t="shared" si="1"/>
        <v>RNA-muscle</v>
      </c>
      <c r="C702" s="10" t="str">
        <f t="shared" si="2"/>
        <v>BRN61M-H9</v>
      </c>
      <c r="D702" s="6">
        <v>61.0</v>
      </c>
      <c r="E702" s="10" t="str">
        <f t="shared" si="3"/>
        <v>BRN61M</v>
      </c>
      <c r="F702" s="6" t="s">
        <v>51</v>
      </c>
      <c r="G702" s="6">
        <v>9.0</v>
      </c>
      <c r="H702" s="11" t="str">
        <f t="shared" si="4"/>
        <v>H9</v>
      </c>
      <c r="I702" s="10" t="str">
        <f t="shared" si="5"/>
        <v>BRN61M-H9</v>
      </c>
      <c r="K702" s="16" t="str">
        <f t="shared" si="6"/>
        <v>collected</v>
      </c>
      <c r="L702" s="16" t="str">
        <f t="shared" si="7"/>
        <v>N</v>
      </c>
      <c r="M702" s="16"/>
      <c r="N702" s="16"/>
    </row>
    <row r="703">
      <c r="A703" s="6" t="s">
        <v>178</v>
      </c>
      <c r="B703" s="10" t="str">
        <f t="shared" si="1"/>
        <v>RNA-muscle</v>
      </c>
      <c r="C703" s="10" t="str">
        <f t="shared" si="2"/>
        <v>BRN61M-G9</v>
      </c>
      <c r="D703" s="6">
        <v>61.0</v>
      </c>
      <c r="E703" s="10" t="str">
        <f t="shared" si="3"/>
        <v>BRN61M</v>
      </c>
      <c r="F703" s="6" t="s">
        <v>56</v>
      </c>
      <c r="G703" s="6">
        <v>9.0</v>
      </c>
      <c r="H703" s="11" t="str">
        <f t="shared" si="4"/>
        <v>G9</v>
      </c>
      <c r="I703" s="10" t="str">
        <f t="shared" si="5"/>
        <v>BRN61M-G9</v>
      </c>
      <c r="K703" s="16" t="str">
        <f t="shared" si="6"/>
        <v>collected</v>
      </c>
      <c r="L703" s="16" t="str">
        <f t="shared" si="7"/>
        <v>N</v>
      </c>
      <c r="M703" s="16"/>
      <c r="N703" s="16"/>
    </row>
    <row r="704">
      <c r="A704" s="6" t="s">
        <v>1183</v>
      </c>
      <c r="B704" s="10" t="str">
        <f t="shared" si="1"/>
        <v>RNA-muscle</v>
      </c>
      <c r="C704" s="10" t="str">
        <f t="shared" si="2"/>
        <v>BRN61M-F9</v>
      </c>
      <c r="D704" s="6">
        <v>61.0</v>
      </c>
      <c r="E704" s="10" t="str">
        <f t="shared" si="3"/>
        <v>BRN61M</v>
      </c>
      <c r="F704" s="6" t="s">
        <v>61</v>
      </c>
      <c r="G704" s="6">
        <v>9.0</v>
      </c>
      <c r="H704" s="11" t="str">
        <f t="shared" si="4"/>
        <v>F9</v>
      </c>
      <c r="I704" s="10" t="str">
        <f t="shared" si="5"/>
        <v>BRN61M-F9</v>
      </c>
      <c r="K704" s="16" t="str">
        <f t="shared" si="6"/>
        <v>collected</v>
      </c>
      <c r="L704" s="16" t="str">
        <f t="shared" si="7"/>
        <v>N</v>
      </c>
      <c r="M704" s="16"/>
      <c r="N704" s="16"/>
    </row>
    <row r="705">
      <c r="A705" s="6" t="s">
        <v>186</v>
      </c>
      <c r="B705" s="10" t="str">
        <f t="shared" si="1"/>
        <v>RNA-muscle</v>
      </c>
      <c r="C705" s="10" t="str">
        <f t="shared" si="2"/>
        <v>BRN61M-E9</v>
      </c>
      <c r="D705" s="6">
        <v>61.0</v>
      </c>
      <c r="E705" s="10" t="str">
        <f t="shared" si="3"/>
        <v>BRN61M</v>
      </c>
      <c r="F705" s="6" t="s">
        <v>66</v>
      </c>
      <c r="G705" s="6">
        <v>9.0</v>
      </c>
      <c r="H705" s="11" t="str">
        <f t="shared" si="4"/>
        <v>E9</v>
      </c>
      <c r="I705" s="10" t="str">
        <f t="shared" si="5"/>
        <v>BRN61M-E9</v>
      </c>
      <c r="K705" s="16" t="str">
        <f t="shared" si="6"/>
        <v>collected</v>
      </c>
      <c r="L705" s="16" t="str">
        <f t="shared" si="7"/>
        <v>N</v>
      </c>
      <c r="M705" s="16"/>
      <c r="N705" s="16"/>
    </row>
    <row r="706">
      <c r="A706" s="6" t="s">
        <v>192</v>
      </c>
      <c r="B706" s="10" t="str">
        <f t="shared" si="1"/>
        <v>RNA-muscle</v>
      </c>
      <c r="C706" s="10" t="str">
        <f t="shared" si="2"/>
        <v>BRN61M-D9</v>
      </c>
      <c r="D706" s="6">
        <v>61.0</v>
      </c>
      <c r="E706" s="10" t="str">
        <f t="shared" si="3"/>
        <v>BRN61M</v>
      </c>
      <c r="F706" s="6" t="s">
        <v>68</v>
      </c>
      <c r="G706" s="6">
        <v>9.0</v>
      </c>
      <c r="H706" s="11" t="str">
        <f t="shared" si="4"/>
        <v>D9</v>
      </c>
      <c r="I706" s="10" t="str">
        <f t="shared" si="5"/>
        <v>BRN61M-D9</v>
      </c>
      <c r="K706" s="16" t="str">
        <f t="shared" si="6"/>
        <v>collected</v>
      </c>
      <c r="L706" s="16" t="str">
        <f t="shared" si="7"/>
        <v>N</v>
      </c>
      <c r="M706" s="16"/>
      <c r="N706" s="16"/>
    </row>
    <row r="707">
      <c r="A707" s="6" t="s">
        <v>200</v>
      </c>
      <c r="B707" s="10" t="str">
        <f t="shared" si="1"/>
        <v>RNA-muscle</v>
      </c>
      <c r="C707" s="10" t="str">
        <f t="shared" si="2"/>
        <v>BRN61M-C9</v>
      </c>
      <c r="D707" s="6">
        <v>61.0</v>
      </c>
      <c r="E707" s="10" t="str">
        <f t="shared" si="3"/>
        <v>BRN61M</v>
      </c>
      <c r="F707" s="6" t="s">
        <v>72</v>
      </c>
      <c r="G707" s="6">
        <v>9.0</v>
      </c>
      <c r="H707" s="11" t="str">
        <f t="shared" si="4"/>
        <v>C9</v>
      </c>
      <c r="I707" s="10" t="str">
        <f t="shared" si="5"/>
        <v>BRN61M-C9</v>
      </c>
      <c r="J707" s="31"/>
      <c r="K707" s="16" t="str">
        <f t="shared" si="6"/>
        <v>collected</v>
      </c>
      <c r="L707" s="16" t="str">
        <f t="shared" si="7"/>
        <v>N</v>
      </c>
      <c r="M707" s="16"/>
      <c r="N707" s="16"/>
    </row>
    <row r="708">
      <c r="A708" s="26" t="s">
        <v>208</v>
      </c>
      <c r="B708" s="10" t="str">
        <f t="shared" si="1"/>
        <v>RNA-muscle</v>
      </c>
      <c r="C708" s="10" t="str">
        <f t="shared" si="2"/>
        <v>BRN61M-B9</v>
      </c>
      <c r="D708" s="6">
        <v>61.0</v>
      </c>
      <c r="E708" s="10" t="str">
        <f t="shared" si="3"/>
        <v>BRN61M</v>
      </c>
      <c r="F708" s="6" t="s">
        <v>74</v>
      </c>
      <c r="G708" s="6">
        <v>9.0</v>
      </c>
      <c r="H708" s="11" t="str">
        <f t="shared" si="4"/>
        <v>B9</v>
      </c>
      <c r="I708" s="10" t="str">
        <f t="shared" si="5"/>
        <v>BRN61M-B9</v>
      </c>
      <c r="K708" s="16" t="str">
        <f t="shared" si="6"/>
        <v>collected</v>
      </c>
      <c r="L708" s="16" t="str">
        <f t="shared" si="7"/>
        <v>N</v>
      </c>
      <c r="M708" s="16"/>
      <c r="N708" s="16"/>
    </row>
    <row r="709">
      <c r="A709" s="26" t="s">
        <v>216</v>
      </c>
      <c r="B709" s="10" t="str">
        <f t="shared" si="1"/>
        <v>RNA-muscle</v>
      </c>
      <c r="C709" s="10" t="str">
        <f t="shared" si="2"/>
        <v>BRN61M-A9</v>
      </c>
      <c r="D709" s="6">
        <v>61.0</v>
      </c>
      <c r="E709" s="10" t="str">
        <f t="shared" si="3"/>
        <v>BRN61M</v>
      </c>
      <c r="F709" s="6" t="s">
        <v>76</v>
      </c>
      <c r="G709" s="6">
        <v>9.0</v>
      </c>
      <c r="H709" s="11" t="str">
        <f t="shared" si="4"/>
        <v>A9</v>
      </c>
      <c r="I709" s="10" t="str">
        <f t="shared" si="5"/>
        <v>BRN61M-A9</v>
      </c>
      <c r="K709" s="16" t="str">
        <f t="shared" si="6"/>
        <v>collected</v>
      </c>
      <c r="L709" s="16" t="str">
        <f t="shared" si="7"/>
        <v>N</v>
      </c>
      <c r="M709" s="16"/>
      <c r="N709" s="16"/>
    </row>
    <row r="710">
      <c r="A710" s="26" t="s">
        <v>224</v>
      </c>
      <c r="B710" s="10" t="str">
        <f t="shared" si="1"/>
        <v>RNA-muscle</v>
      </c>
      <c r="C710" s="10" t="str">
        <f t="shared" si="2"/>
        <v>BRN61M-H11</v>
      </c>
      <c r="D710" s="6">
        <v>61.0</v>
      </c>
      <c r="E710" s="10" t="str">
        <f t="shared" si="3"/>
        <v>BRN61M</v>
      </c>
      <c r="F710" s="6" t="s">
        <v>51</v>
      </c>
      <c r="G710" s="6">
        <v>11.0</v>
      </c>
      <c r="H710" s="11" t="str">
        <f t="shared" si="4"/>
        <v>H11</v>
      </c>
      <c r="I710" s="10" t="str">
        <f t="shared" si="5"/>
        <v>BRN61M-H11</v>
      </c>
      <c r="K710" s="16" t="str">
        <f t="shared" si="6"/>
        <v>collected</v>
      </c>
      <c r="L710" s="16" t="str">
        <f t="shared" si="7"/>
        <v>N</v>
      </c>
      <c r="M710" s="16"/>
      <c r="N710" s="16"/>
    </row>
    <row r="711">
      <c r="A711" s="26" t="s">
        <v>1188</v>
      </c>
      <c r="B711" s="10" t="str">
        <f t="shared" si="1"/>
        <v>RNA-muscle</v>
      </c>
      <c r="C711" s="10" t="str">
        <f t="shared" si="2"/>
        <v>BRN61M-G11</v>
      </c>
      <c r="D711" s="6">
        <v>61.0</v>
      </c>
      <c r="E711" s="10" t="str">
        <f t="shared" si="3"/>
        <v>BRN61M</v>
      </c>
      <c r="F711" s="6" t="s">
        <v>56</v>
      </c>
      <c r="G711" s="6">
        <v>11.0</v>
      </c>
      <c r="H711" s="11" t="str">
        <f t="shared" si="4"/>
        <v>G11</v>
      </c>
      <c r="I711" s="10" t="str">
        <f t="shared" si="5"/>
        <v>BRN61M-G11</v>
      </c>
      <c r="K711" s="16" t="str">
        <f t="shared" si="6"/>
        <v>collected</v>
      </c>
      <c r="L711" s="16" t="str">
        <f t="shared" si="7"/>
        <v>N</v>
      </c>
      <c r="M711" s="16"/>
      <c r="N711" s="16"/>
    </row>
    <row r="712">
      <c r="A712" s="26" t="s">
        <v>1189</v>
      </c>
      <c r="B712" s="10" t="str">
        <f t="shared" si="1"/>
        <v>RNA-muscle</v>
      </c>
      <c r="C712" s="10" t="str">
        <f t="shared" si="2"/>
        <v>BRN61M-F11</v>
      </c>
      <c r="D712" s="6">
        <v>61.0</v>
      </c>
      <c r="E712" s="10" t="str">
        <f t="shared" si="3"/>
        <v>BRN61M</v>
      </c>
      <c r="F712" s="6" t="s">
        <v>61</v>
      </c>
      <c r="G712" s="6">
        <v>11.0</v>
      </c>
      <c r="H712" s="11" t="str">
        <f t="shared" si="4"/>
        <v>F11</v>
      </c>
      <c r="I712" s="10" t="str">
        <f t="shared" si="5"/>
        <v>BRN61M-F11</v>
      </c>
      <c r="K712" s="16" t="str">
        <f t="shared" si="6"/>
        <v>collected</v>
      </c>
      <c r="L712" s="16" t="str">
        <f t="shared" si="7"/>
        <v>N</v>
      </c>
      <c r="M712" s="16"/>
      <c r="N712" s="16"/>
    </row>
    <row r="713">
      <c r="A713" s="26" t="s">
        <v>231</v>
      </c>
      <c r="B713" s="10" t="str">
        <f t="shared" si="1"/>
        <v>RNA-muscle</v>
      </c>
      <c r="C713" s="10" t="str">
        <f t="shared" si="2"/>
        <v>BRN61M-E11</v>
      </c>
      <c r="D713" s="6">
        <v>61.0</v>
      </c>
      <c r="E713" s="10" t="str">
        <f t="shared" si="3"/>
        <v>BRN61M</v>
      </c>
      <c r="F713" s="6" t="s">
        <v>66</v>
      </c>
      <c r="G713" s="6">
        <v>11.0</v>
      </c>
      <c r="H713" s="11" t="str">
        <f t="shared" si="4"/>
        <v>E11</v>
      </c>
      <c r="I713" s="10" t="str">
        <f t="shared" si="5"/>
        <v>BRN61M-E11</v>
      </c>
      <c r="K713" s="16" t="str">
        <f t="shared" si="6"/>
        <v>collected</v>
      </c>
      <c r="L713" s="16" t="str">
        <f t="shared" si="7"/>
        <v>N</v>
      </c>
      <c r="M713" s="16"/>
      <c r="N713" s="16"/>
    </row>
    <row r="714">
      <c r="A714" s="26" t="s">
        <v>236</v>
      </c>
      <c r="B714" s="10" t="str">
        <f t="shared" si="1"/>
        <v>RNA-muscle</v>
      </c>
      <c r="C714" s="10" t="str">
        <f t="shared" si="2"/>
        <v>BRN61M-D11</v>
      </c>
      <c r="D714" s="6">
        <v>61.0</v>
      </c>
      <c r="E714" s="10" t="str">
        <f t="shared" si="3"/>
        <v>BRN61M</v>
      </c>
      <c r="F714" s="6" t="s">
        <v>68</v>
      </c>
      <c r="G714" s="6">
        <v>11.0</v>
      </c>
      <c r="H714" s="11" t="str">
        <f t="shared" si="4"/>
        <v>D11</v>
      </c>
      <c r="I714" s="10" t="str">
        <f t="shared" si="5"/>
        <v>BRN61M-D11</v>
      </c>
      <c r="K714" s="16" t="str">
        <f t="shared" si="6"/>
        <v>collected</v>
      </c>
      <c r="L714" s="16" t="str">
        <f t="shared" si="7"/>
        <v>N</v>
      </c>
      <c r="M714" s="16"/>
      <c r="N714" s="16"/>
    </row>
    <row r="715">
      <c r="A715" s="26" t="s">
        <v>243</v>
      </c>
      <c r="B715" s="10" t="str">
        <f t="shared" si="1"/>
        <v>RNA-muscle</v>
      </c>
      <c r="C715" s="10" t="str">
        <f t="shared" si="2"/>
        <v>BRN64M-H10</v>
      </c>
      <c r="D715" s="6">
        <v>64.0</v>
      </c>
      <c r="E715" s="10" t="str">
        <f t="shared" si="3"/>
        <v>BRN64M</v>
      </c>
      <c r="F715" s="6" t="s">
        <v>51</v>
      </c>
      <c r="G715" s="6">
        <v>10.0</v>
      </c>
      <c r="H715" s="11" t="str">
        <f t="shared" si="4"/>
        <v>H10</v>
      </c>
      <c r="I715" s="10" t="str">
        <f t="shared" si="5"/>
        <v>BRN64M-H10</v>
      </c>
      <c r="K715" s="16" t="str">
        <f t="shared" si="6"/>
        <v>collected</v>
      </c>
      <c r="L715" s="16" t="str">
        <f t="shared" si="7"/>
        <v>N</v>
      </c>
      <c r="M715" s="16"/>
      <c r="N715" s="16"/>
    </row>
    <row r="716">
      <c r="A716" s="26" t="s">
        <v>251</v>
      </c>
      <c r="B716" s="10" t="str">
        <f t="shared" si="1"/>
        <v>RNA-muscle</v>
      </c>
      <c r="C716" s="10" t="str">
        <f t="shared" si="2"/>
        <v>BRN64M-G10</v>
      </c>
      <c r="D716" s="6">
        <v>64.0</v>
      </c>
      <c r="E716" s="10" t="str">
        <f t="shared" si="3"/>
        <v>BRN64M</v>
      </c>
      <c r="F716" s="6" t="s">
        <v>56</v>
      </c>
      <c r="G716" s="6">
        <v>10.0</v>
      </c>
      <c r="H716" s="11" t="str">
        <f t="shared" si="4"/>
        <v>G10</v>
      </c>
      <c r="I716" s="10" t="str">
        <f t="shared" si="5"/>
        <v>BRN64M-G10</v>
      </c>
      <c r="K716" s="16" t="str">
        <f t="shared" si="6"/>
        <v>collected</v>
      </c>
      <c r="L716" s="16" t="str">
        <f t="shared" si="7"/>
        <v>N</v>
      </c>
      <c r="M716" s="16"/>
      <c r="N716" s="16"/>
    </row>
    <row r="717">
      <c r="A717" s="26" t="s">
        <v>259</v>
      </c>
      <c r="B717" s="10" t="str">
        <f t="shared" si="1"/>
        <v>RNA-muscle</v>
      </c>
      <c r="C717" s="10" t="str">
        <f t="shared" si="2"/>
        <v>BRN64M-F10</v>
      </c>
      <c r="D717" s="6">
        <v>64.0</v>
      </c>
      <c r="E717" s="10" t="str">
        <f t="shared" si="3"/>
        <v>BRN64M</v>
      </c>
      <c r="F717" s="6" t="s">
        <v>61</v>
      </c>
      <c r="G717" s="6">
        <v>10.0</v>
      </c>
      <c r="H717" s="11" t="str">
        <f t="shared" si="4"/>
        <v>F10</v>
      </c>
      <c r="I717" s="10" t="str">
        <f t="shared" si="5"/>
        <v>BRN64M-F10</v>
      </c>
      <c r="K717" s="16" t="str">
        <f t="shared" si="6"/>
        <v>collected</v>
      </c>
      <c r="L717" s="16" t="str">
        <f t="shared" si="7"/>
        <v>N</v>
      </c>
      <c r="M717" s="16"/>
      <c r="N717" s="16"/>
    </row>
    <row r="718">
      <c r="A718" s="26" t="s">
        <v>265</v>
      </c>
      <c r="B718" s="10" t="str">
        <f t="shared" si="1"/>
        <v>RNA-muscle</v>
      </c>
      <c r="C718" s="10" t="str">
        <f t="shared" si="2"/>
        <v>BRN64M-E10</v>
      </c>
      <c r="D718" s="6">
        <v>64.0</v>
      </c>
      <c r="E718" s="10" t="str">
        <f t="shared" si="3"/>
        <v>BRN64M</v>
      </c>
      <c r="F718" s="6" t="s">
        <v>66</v>
      </c>
      <c r="G718" s="6">
        <v>10.0</v>
      </c>
      <c r="H718" s="11" t="str">
        <f t="shared" si="4"/>
        <v>E10</v>
      </c>
      <c r="I718" s="10" t="str">
        <f t="shared" si="5"/>
        <v>BRN64M-E10</v>
      </c>
      <c r="K718" s="16" t="str">
        <f t="shared" si="6"/>
        <v>collected</v>
      </c>
      <c r="L718" s="16" t="str">
        <f t="shared" si="7"/>
        <v>N</v>
      </c>
      <c r="M718" s="16"/>
      <c r="N718" s="16"/>
    </row>
    <row r="719">
      <c r="A719" s="26" t="s">
        <v>275</v>
      </c>
      <c r="B719" s="10" t="str">
        <f t="shared" si="1"/>
        <v>RNA-muscle</v>
      </c>
      <c r="C719" s="10" t="str">
        <f t="shared" si="2"/>
        <v>BRN64M-D10</v>
      </c>
      <c r="D719" s="6">
        <v>64.0</v>
      </c>
      <c r="E719" s="10" t="str">
        <f t="shared" si="3"/>
        <v>BRN64M</v>
      </c>
      <c r="F719" s="6" t="s">
        <v>68</v>
      </c>
      <c r="G719" s="6">
        <v>10.0</v>
      </c>
      <c r="H719" s="11" t="str">
        <f t="shared" si="4"/>
        <v>D10</v>
      </c>
      <c r="I719" s="10" t="str">
        <f t="shared" si="5"/>
        <v>BRN64M-D10</v>
      </c>
      <c r="K719" s="16" t="str">
        <f t="shared" si="6"/>
        <v>collected</v>
      </c>
      <c r="L719" s="16" t="str">
        <f t="shared" si="7"/>
        <v>N</v>
      </c>
      <c r="M719" s="16"/>
      <c r="N719" s="16"/>
    </row>
    <row r="720">
      <c r="A720" s="26" t="s">
        <v>283</v>
      </c>
      <c r="B720" s="10" t="str">
        <f t="shared" si="1"/>
        <v>RNA-muscle</v>
      </c>
      <c r="C720" s="10" t="str">
        <f t="shared" si="2"/>
        <v>BRN64M-C10</v>
      </c>
      <c r="D720" s="6">
        <v>64.0</v>
      </c>
      <c r="E720" s="10" t="str">
        <f t="shared" si="3"/>
        <v>BRN64M</v>
      </c>
      <c r="F720" s="6" t="s">
        <v>72</v>
      </c>
      <c r="G720" s="6">
        <v>10.0</v>
      </c>
      <c r="H720" s="11" t="str">
        <f t="shared" si="4"/>
        <v>C10</v>
      </c>
      <c r="I720" s="10" t="str">
        <f t="shared" si="5"/>
        <v>BRN64M-C10</v>
      </c>
      <c r="K720" s="16" t="str">
        <f t="shared" si="6"/>
        <v>collected</v>
      </c>
      <c r="L720" s="16" t="str">
        <f t="shared" si="7"/>
        <v>N</v>
      </c>
      <c r="M720" s="16"/>
      <c r="N720" s="16"/>
    </row>
    <row r="721">
      <c r="A721" s="26" t="s">
        <v>290</v>
      </c>
      <c r="B721" s="10" t="str">
        <f t="shared" si="1"/>
        <v>RNA-muscle</v>
      </c>
      <c r="C721" s="10" t="str">
        <f t="shared" si="2"/>
        <v>BRN64M-B10</v>
      </c>
      <c r="D721" s="6">
        <v>64.0</v>
      </c>
      <c r="E721" s="10" t="str">
        <f t="shared" si="3"/>
        <v>BRN64M</v>
      </c>
      <c r="F721" s="6" t="s">
        <v>74</v>
      </c>
      <c r="G721" s="6">
        <v>10.0</v>
      </c>
      <c r="H721" s="11" t="str">
        <f t="shared" si="4"/>
        <v>B10</v>
      </c>
      <c r="I721" s="10" t="str">
        <f t="shared" si="5"/>
        <v>BRN64M-B10</v>
      </c>
      <c r="K721" s="16" t="str">
        <f t="shared" si="6"/>
        <v>collected</v>
      </c>
      <c r="L721" s="16" t="str">
        <f t="shared" si="7"/>
        <v>N</v>
      </c>
      <c r="M721" s="16"/>
      <c r="N721" s="16"/>
    </row>
    <row r="722">
      <c r="A722" s="26" t="s">
        <v>299</v>
      </c>
      <c r="B722" s="10" t="str">
        <f t="shared" si="1"/>
        <v>RNA-muscle</v>
      </c>
      <c r="C722" s="10" t="str">
        <f t="shared" si="2"/>
        <v>BRN64M-A10</v>
      </c>
      <c r="D722" s="6">
        <v>64.0</v>
      </c>
      <c r="E722" s="10" t="str">
        <f t="shared" si="3"/>
        <v>BRN64M</v>
      </c>
      <c r="F722" s="6" t="s">
        <v>76</v>
      </c>
      <c r="G722" s="6">
        <v>10.0</v>
      </c>
      <c r="H722" s="11" t="str">
        <f t="shared" si="4"/>
        <v>A10</v>
      </c>
      <c r="I722" s="10" t="str">
        <f t="shared" si="5"/>
        <v>BRN64M-A10</v>
      </c>
      <c r="K722" s="16" t="str">
        <f t="shared" si="6"/>
        <v>collected</v>
      </c>
      <c r="L722" s="16" t="str">
        <f t="shared" si="7"/>
        <v>N</v>
      </c>
      <c r="M722" s="16"/>
      <c r="N722" s="16"/>
    </row>
    <row r="723">
      <c r="A723" s="26" t="s">
        <v>306</v>
      </c>
      <c r="B723" s="10" t="str">
        <f t="shared" si="1"/>
        <v>RNA-muscle</v>
      </c>
      <c r="C723" s="10" t="str">
        <f t="shared" si="2"/>
        <v>BRN64M-H11</v>
      </c>
      <c r="D723" s="6">
        <v>64.0</v>
      </c>
      <c r="E723" s="10" t="str">
        <f t="shared" si="3"/>
        <v>BRN64M</v>
      </c>
      <c r="F723" s="6" t="s">
        <v>51</v>
      </c>
      <c r="G723" s="6">
        <v>11.0</v>
      </c>
      <c r="H723" s="11" t="str">
        <f t="shared" si="4"/>
        <v>H11</v>
      </c>
      <c r="I723" s="10" t="str">
        <f t="shared" si="5"/>
        <v>BRN64M-H11</v>
      </c>
      <c r="K723" s="16" t="str">
        <f t="shared" si="6"/>
        <v>collected</v>
      </c>
      <c r="L723" s="16" t="str">
        <f t="shared" si="7"/>
        <v>N</v>
      </c>
      <c r="M723" s="16"/>
      <c r="N723" s="16"/>
    </row>
    <row r="724">
      <c r="A724" s="26" t="s">
        <v>313</v>
      </c>
      <c r="B724" s="10" t="str">
        <f t="shared" si="1"/>
        <v>RNA-muscle</v>
      </c>
      <c r="C724" s="10" t="str">
        <f t="shared" si="2"/>
        <v>BRN64M-G11</v>
      </c>
      <c r="D724" s="6">
        <v>64.0</v>
      </c>
      <c r="E724" s="10" t="str">
        <f t="shared" si="3"/>
        <v>BRN64M</v>
      </c>
      <c r="F724" s="6" t="s">
        <v>56</v>
      </c>
      <c r="G724" s="6">
        <v>11.0</v>
      </c>
      <c r="H724" s="11" t="str">
        <f t="shared" si="4"/>
        <v>G11</v>
      </c>
      <c r="I724" s="10" t="str">
        <f t="shared" si="5"/>
        <v>BRN64M-G11</v>
      </c>
      <c r="K724" s="16" t="str">
        <f t="shared" si="6"/>
        <v>collected</v>
      </c>
      <c r="L724" s="16" t="str">
        <f t="shared" si="7"/>
        <v>N</v>
      </c>
      <c r="M724" s="16"/>
      <c r="N724" s="16"/>
    </row>
    <row r="725">
      <c r="A725" s="26" t="s">
        <v>320</v>
      </c>
      <c r="B725" s="10" t="str">
        <f t="shared" si="1"/>
        <v>RNA-muscle</v>
      </c>
      <c r="C725" s="10" t="str">
        <f t="shared" si="2"/>
        <v>BRN64M-F11</v>
      </c>
      <c r="D725" s="6">
        <v>64.0</v>
      </c>
      <c r="E725" s="10" t="str">
        <f t="shared" si="3"/>
        <v>BRN64M</v>
      </c>
      <c r="F725" s="6" t="s">
        <v>61</v>
      </c>
      <c r="G725" s="6">
        <v>11.0</v>
      </c>
      <c r="H725" s="11" t="str">
        <f t="shared" si="4"/>
        <v>F11</v>
      </c>
      <c r="I725" s="10" t="str">
        <f t="shared" si="5"/>
        <v>BRN64M-F11</v>
      </c>
      <c r="K725" s="16" t="str">
        <f t="shared" si="6"/>
        <v>collected</v>
      </c>
      <c r="L725" s="16" t="str">
        <f t="shared" si="7"/>
        <v>N</v>
      </c>
      <c r="M725" s="16"/>
      <c r="N725" s="16"/>
    </row>
    <row r="726">
      <c r="A726" s="26" t="s">
        <v>325</v>
      </c>
      <c r="B726" s="10" t="str">
        <f t="shared" si="1"/>
        <v>RNA-muscle</v>
      </c>
      <c r="C726" s="10" t="str">
        <f t="shared" si="2"/>
        <v>BRN64M-E11</v>
      </c>
      <c r="D726" s="6">
        <v>64.0</v>
      </c>
      <c r="E726" s="10" t="str">
        <f t="shared" si="3"/>
        <v>BRN64M</v>
      </c>
      <c r="F726" s="6" t="s">
        <v>66</v>
      </c>
      <c r="G726" s="6">
        <v>11.0</v>
      </c>
      <c r="H726" s="11" t="str">
        <f t="shared" si="4"/>
        <v>E11</v>
      </c>
      <c r="I726" s="10" t="str">
        <f t="shared" si="5"/>
        <v>BRN64M-E11</v>
      </c>
      <c r="K726" s="16" t="str">
        <f t="shared" si="6"/>
        <v>collected</v>
      </c>
      <c r="L726" s="16" t="str">
        <f t="shared" si="7"/>
        <v>N</v>
      </c>
      <c r="M726" s="16"/>
      <c r="N726" s="16"/>
    </row>
    <row r="727">
      <c r="A727" s="26" t="s">
        <v>331</v>
      </c>
      <c r="B727" s="10" t="str">
        <f t="shared" si="1"/>
        <v>RNA-muscle</v>
      </c>
      <c r="C727" s="10" t="str">
        <f t="shared" si="2"/>
        <v>BRN64M-D11</v>
      </c>
      <c r="D727" s="6">
        <v>64.0</v>
      </c>
      <c r="E727" s="10" t="str">
        <f t="shared" si="3"/>
        <v>BRN64M</v>
      </c>
      <c r="F727" s="6" t="s">
        <v>68</v>
      </c>
      <c r="G727" s="6">
        <v>11.0</v>
      </c>
      <c r="H727" s="11" t="str">
        <f t="shared" si="4"/>
        <v>D11</v>
      </c>
      <c r="I727" s="10" t="str">
        <f t="shared" si="5"/>
        <v>BRN64M-D11</v>
      </c>
      <c r="K727" s="16" t="str">
        <f t="shared" si="6"/>
        <v>collected</v>
      </c>
      <c r="L727" s="16" t="str">
        <f t="shared" si="7"/>
        <v>N</v>
      </c>
      <c r="M727" s="16"/>
      <c r="N727" s="16"/>
    </row>
    <row r="728">
      <c r="A728" s="6" t="s">
        <v>337</v>
      </c>
      <c r="B728" s="10" t="str">
        <f t="shared" si="1"/>
        <v>RNA-muscle</v>
      </c>
      <c r="C728" s="10" t="str">
        <f t="shared" si="2"/>
        <v>BRN64M-C11</v>
      </c>
      <c r="D728" s="6">
        <v>64.0</v>
      </c>
      <c r="E728" s="10" t="str">
        <f t="shared" si="3"/>
        <v>BRN64M</v>
      </c>
      <c r="F728" s="6" t="s">
        <v>72</v>
      </c>
      <c r="G728" s="6">
        <v>11.0</v>
      </c>
      <c r="H728" s="11" t="str">
        <f t="shared" si="4"/>
        <v>C11</v>
      </c>
      <c r="I728" s="10" t="str">
        <f t="shared" si="5"/>
        <v>BRN64M-C11</v>
      </c>
      <c r="J728" s="6"/>
      <c r="K728" s="16" t="str">
        <f t="shared" si="6"/>
        <v>collected</v>
      </c>
      <c r="L728" s="16" t="str">
        <f t="shared" si="7"/>
        <v>N</v>
      </c>
      <c r="M728" s="16"/>
      <c r="N728" s="16"/>
    </row>
    <row r="729">
      <c r="A729" s="6" t="s">
        <v>343</v>
      </c>
      <c r="B729" s="10" t="str">
        <f t="shared" si="1"/>
        <v>RNA-muscle</v>
      </c>
      <c r="C729" s="10" t="str">
        <f t="shared" si="2"/>
        <v>BRN64M-B11</v>
      </c>
      <c r="D729" s="6">
        <v>64.0</v>
      </c>
      <c r="E729" s="10" t="str">
        <f t="shared" si="3"/>
        <v>BRN64M</v>
      </c>
      <c r="F729" s="6" t="s">
        <v>74</v>
      </c>
      <c r="G729" s="6">
        <v>11.0</v>
      </c>
      <c r="H729" s="11" t="str">
        <f t="shared" si="4"/>
        <v>B11</v>
      </c>
      <c r="I729" s="10" t="str">
        <f t="shared" si="5"/>
        <v>BRN64M-B11</v>
      </c>
      <c r="J729" s="6"/>
      <c r="K729" s="16" t="str">
        <f t="shared" si="6"/>
        <v>collected</v>
      </c>
      <c r="L729" s="16" t="str">
        <f t="shared" si="7"/>
        <v>N</v>
      </c>
      <c r="M729" s="16"/>
      <c r="N729" s="16"/>
    </row>
    <row r="730">
      <c r="A730" s="6" t="s">
        <v>350</v>
      </c>
      <c r="B730" s="10" t="str">
        <f t="shared" si="1"/>
        <v>RNA-muscle</v>
      </c>
      <c r="C730" s="10" t="str">
        <f t="shared" si="2"/>
        <v>BRN64M-A11</v>
      </c>
      <c r="D730" s="6">
        <v>64.0</v>
      </c>
      <c r="E730" s="10" t="str">
        <f t="shared" si="3"/>
        <v>BRN64M</v>
      </c>
      <c r="F730" s="6" t="s">
        <v>76</v>
      </c>
      <c r="G730" s="6">
        <v>11.0</v>
      </c>
      <c r="H730" s="11" t="str">
        <f t="shared" si="4"/>
        <v>A11</v>
      </c>
      <c r="I730" s="10" t="str">
        <f t="shared" si="5"/>
        <v>BRN64M-A11</v>
      </c>
      <c r="J730" s="6"/>
      <c r="K730" s="16" t="str">
        <f t="shared" si="6"/>
        <v>collected</v>
      </c>
      <c r="L730" s="16" t="str">
        <f t="shared" si="7"/>
        <v>N</v>
      </c>
      <c r="M730" s="16"/>
      <c r="N730" s="16"/>
    </row>
    <row r="731">
      <c r="A731" s="6" t="s">
        <v>357</v>
      </c>
      <c r="B731" s="10" t="str">
        <f t="shared" si="1"/>
        <v>RNA-muscle</v>
      </c>
      <c r="C731" s="10" t="str">
        <f t="shared" si="2"/>
        <v>BRN69M-H2</v>
      </c>
      <c r="D731" s="6">
        <v>69.0</v>
      </c>
      <c r="E731" s="10" t="str">
        <f t="shared" si="3"/>
        <v>BRN69M</v>
      </c>
      <c r="F731" s="6" t="s">
        <v>51</v>
      </c>
      <c r="G731" s="6">
        <v>2.0</v>
      </c>
      <c r="H731" s="11" t="str">
        <f t="shared" si="4"/>
        <v>H2</v>
      </c>
      <c r="I731" s="10" t="str">
        <f t="shared" si="5"/>
        <v>BRN69M-H2</v>
      </c>
      <c r="J731" s="16"/>
      <c r="K731" s="16" t="str">
        <f t="shared" si="6"/>
        <v>collected</v>
      </c>
      <c r="L731" s="16" t="str">
        <f t="shared" si="7"/>
        <v>N</v>
      </c>
      <c r="M731" s="16"/>
      <c r="N731" s="16"/>
    </row>
    <row r="732">
      <c r="A732" s="6" t="s">
        <v>364</v>
      </c>
      <c r="B732" s="10" t="str">
        <f t="shared" si="1"/>
        <v>RNA-muscle</v>
      </c>
      <c r="C732" s="10" t="str">
        <f t="shared" si="2"/>
        <v>BRN64M-B9</v>
      </c>
      <c r="D732" s="6">
        <v>64.0</v>
      </c>
      <c r="E732" s="10" t="str">
        <f t="shared" si="3"/>
        <v>BRN64M</v>
      </c>
      <c r="F732" s="6" t="s">
        <v>74</v>
      </c>
      <c r="G732" s="6">
        <v>9.0</v>
      </c>
      <c r="H732" s="11" t="str">
        <f t="shared" si="4"/>
        <v>B9</v>
      </c>
      <c r="I732" s="10" t="str">
        <f t="shared" si="5"/>
        <v>BRN64M-B9</v>
      </c>
      <c r="J732" s="6"/>
      <c r="K732" s="16" t="str">
        <f t="shared" si="6"/>
        <v>collected</v>
      </c>
      <c r="L732" s="16" t="str">
        <f t="shared" si="7"/>
        <v>N</v>
      </c>
      <c r="M732" s="16"/>
      <c r="N732" s="16"/>
    </row>
    <row r="733">
      <c r="A733" s="6" t="s">
        <v>372</v>
      </c>
      <c r="B733" s="10" t="str">
        <f t="shared" si="1"/>
        <v>RNA-muscle</v>
      </c>
      <c r="C733" s="10" t="str">
        <f t="shared" si="2"/>
        <v>BRN64M-A9</v>
      </c>
      <c r="D733" s="6">
        <v>64.0</v>
      </c>
      <c r="E733" s="10" t="str">
        <f t="shared" si="3"/>
        <v>BRN64M</v>
      </c>
      <c r="F733" s="6" t="s">
        <v>76</v>
      </c>
      <c r="G733" s="6">
        <v>9.0</v>
      </c>
      <c r="H733" s="11" t="str">
        <f t="shared" si="4"/>
        <v>A9</v>
      </c>
      <c r="I733" s="10" t="str">
        <f t="shared" si="5"/>
        <v>BRN64M-A9</v>
      </c>
      <c r="J733" s="6"/>
      <c r="K733" s="16" t="str">
        <f t="shared" si="6"/>
        <v>collected</v>
      </c>
      <c r="L733" s="16" t="str">
        <f t="shared" si="7"/>
        <v>N</v>
      </c>
      <c r="M733" s="16"/>
      <c r="N733" s="16"/>
    </row>
    <row r="734">
      <c r="A734" s="6" t="s">
        <v>379</v>
      </c>
      <c r="B734" s="10" t="str">
        <f t="shared" si="1"/>
        <v>RNA-muscle</v>
      </c>
      <c r="C734" s="10" t="str">
        <f t="shared" si="2"/>
        <v>BRN64M-G12</v>
      </c>
      <c r="D734" s="6">
        <v>64.0</v>
      </c>
      <c r="E734" s="10" t="str">
        <f t="shared" si="3"/>
        <v>BRN64M</v>
      </c>
      <c r="F734" s="6" t="s">
        <v>56</v>
      </c>
      <c r="G734" s="6">
        <v>12.0</v>
      </c>
      <c r="H734" s="11" t="str">
        <f t="shared" si="4"/>
        <v>G12</v>
      </c>
      <c r="I734" s="10" t="str">
        <f t="shared" si="5"/>
        <v>BRN64M-G12</v>
      </c>
      <c r="J734" s="6"/>
      <c r="K734" s="16" t="str">
        <f t="shared" si="6"/>
        <v>collected</v>
      </c>
      <c r="L734" s="16" t="str">
        <f t="shared" si="7"/>
        <v>N</v>
      </c>
      <c r="M734" s="16"/>
      <c r="N734" s="16"/>
    </row>
    <row r="735">
      <c r="A735" s="6" t="s">
        <v>385</v>
      </c>
      <c r="B735" s="10" t="str">
        <f t="shared" si="1"/>
        <v>RNA-muscle</v>
      </c>
      <c r="C735" s="10" t="str">
        <f t="shared" si="2"/>
        <v>BRN64M-F12</v>
      </c>
      <c r="D735" s="6">
        <v>64.0</v>
      </c>
      <c r="E735" s="10" t="str">
        <f t="shared" si="3"/>
        <v>BRN64M</v>
      </c>
      <c r="F735" s="6" t="s">
        <v>61</v>
      </c>
      <c r="G735" s="6">
        <v>12.0</v>
      </c>
      <c r="H735" s="11" t="str">
        <f t="shared" si="4"/>
        <v>F12</v>
      </c>
      <c r="I735" s="10" t="str">
        <f t="shared" si="5"/>
        <v>BRN64M-F12</v>
      </c>
      <c r="K735" s="16" t="str">
        <f t="shared" si="6"/>
        <v>collected</v>
      </c>
      <c r="L735" s="16" t="str">
        <f t="shared" si="7"/>
        <v>N</v>
      </c>
      <c r="M735" s="16"/>
      <c r="N735" s="16"/>
    </row>
    <row r="736">
      <c r="A736" s="6" t="s">
        <v>390</v>
      </c>
      <c r="B736" s="10" t="str">
        <f t="shared" si="1"/>
        <v>RNA-muscle</v>
      </c>
      <c r="C736" s="10" t="str">
        <f t="shared" si="2"/>
        <v>BRN64M-E12</v>
      </c>
      <c r="D736" s="6">
        <v>64.0</v>
      </c>
      <c r="E736" s="10" t="str">
        <f t="shared" si="3"/>
        <v>BRN64M</v>
      </c>
      <c r="F736" s="6" t="s">
        <v>66</v>
      </c>
      <c r="G736" s="6">
        <v>12.0</v>
      </c>
      <c r="H736" s="11" t="str">
        <f t="shared" si="4"/>
        <v>E12</v>
      </c>
      <c r="I736" s="10" t="str">
        <f t="shared" si="5"/>
        <v>BRN64M-E12</v>
      </c>
      <c r="J736" s="6"/>
      <c r="K736" s="16" t="str">
        <f t="shared" si="6"/>
        <v>collected</v>
      </c>
      <c r="L736" s="16" t="str">
        <f t="shared" si="7"/>
        <v>N</v>
      </c>
      <c r="M736" s="16"/>
      <c r="N736" s="16"/>
    </row>
    <row r="737">
      <c r="A737" s="6" t="s">
        <v>399</v>
      </c>
      <c r="B737" s="10" t="str">
        <f t="shared" si="1"/>
        <v>RNA-muscle</v>
      </c>
      <c r="C737" s="10" t="str">
        <f t="shared" si="2"/>
        <v>BRN64M-D12</v>
      </c>
      <c r="D737" s="6">
        <v>64.0</v>
      </c>
      <c r="E737" s="10" t="str">
        <f t="shared" si="3"/>
        <v>BRN64M</v>
      </c>
      <c r="F737" s="6" t="s">
        <v>68</v>
      </c>
      <c r="G737" s="6">
        <v>12.0</v>
      </c>
      <c r="H737" s="11" t="str">
        <f t="shared" si="4"/>
        <v>D12</v>
      </c>
      <c r="I737" s="10" t="str">
        <f t="shared" si="5"/>
        <v>BRN64M-D12</v>
      </c>
      <c r="J737" s="6"/>
      <c r="K737" s="16" t="str">
        <f t="shared" si="6"/>
        <v>collected</v>
      </c>
      <c r="L737" s="16" t="str">
        <f t="shared" si="7"/>
        <v>N</v>
      </c>
      <c r="M737" s="16"/>
      <c r="N737" s="16"/>
    </row>
    <row r="738">
      <c r="A738" s="26" t="s">
        <v>406</v>
      </c>
      <c r="B738" s="10" t="str">
        <f t="shared" si="1"/>
        <v>RNA-muscle</v>
      </c>
      <c r="C738" s="10" t="str">
        <f t="shared" si="2"/>
        <v>BRN64M-C12</v>
      </c>
      <c r="D738" s="6">
        <v>64.0</v>
      </c>
      <c r="E738" s="10" t="str">
        <f t="shared" si="3"/>
        <v>BRN64M</v>
      </c>
      <c r="F738" s="6" t="s">
        <v>72</v>
      </c>
      <c r="G738" s="6">
        <v>12.0</v>
      </c>
      <c r="H738" s="11" t="str">
        <f t="shared" si="4"/>
        <v>C12</v>
      </c>
      <c r="I738" s="10" t="str">
        <f t="shared" si="5"/>
        <v>BRN64M-C12</v>
      </c>
      <c r="J738" s="6"/>
      <c r="K738" s="16" t="str">
        <f t="shared" si="6"/>
        <v>collected</v>
      </c>
      <c r="L738" s="16" t="str">
        <f t="shared" si="7"/>
        <v>N</v>
      </c>
      <c r="M738" s="16"/>
      <c r="N738" s="16"/>
    </row>
    <row r="739">
      <c r="A739" s="26" t="s">
        <v>416</v>
      </c>
      <c r="B739" s="10" t="str">
        <f t="shared" si="1"/>
        <v>RNA-muscle</v>
      </c>
      <c r="C739" s="10" t="str">
        <f t="shared" si="2"/>
        <v>BRN64M-B12</v>
      </c>
      <c r="D739" s="6">
        <v>64.0</v>
      </c>
      <c r="E739" s="10" t="str">
        <f t="shared" si="3"/>
        <v>BRN64M</v>
      </c>
      <c r="F739" s="6" t="s">
        <v>74</v>
      </c>
      <c r="G739" s="6">
        <v>12.0</v>
      </c>
      <c r="H739" s="11" t="str">
        <f t="shared" si="4"/>
        <v>B12</v>
      </c>
      <c r="I739" s="10" t="str">
        <f t="shared" si="5"/>
        <v>BRN64M-B12</v>
      </c>
      <c r="J739" s="16"/>
      <c r="K739" s="16" t="str">
        <f t="shared" si="6"/>
        <v>collected</v>
      </c>
      <c r="L739" s="16" t="str">
        <f t="shared" si="7"/>
        <v>N</v>
      </c>
      <c r="M739" s="16"/>
      <c r="N739" s="16"/>
    </row>
    <row r="740">
      <c r="A740" s="26" t="s">
        <v>426</v>
      </c>
      <c r="B740" s="10" t="str">
        <f t="shared" si="1"/>
        <v>RNA-muscle</v>
      </c>
      <c r="C740" s="10" t="str">
        <f t="shared" si="2"/>
        <v>BRN64M-A12</v>
      </c>
      <c r="D740" s="6">
        <v>64.0</v>
      </c>
      <c r="E740" s="10" t="str">
        <f t="shared" si="3"/>
        <v>BRN64M</v>
      </c>
      <c r="F740" s="6" t="s">
        <v>76</v>
      </c>
      <c r="G740" s="6">
        <v>12.0</v>
      </c>
      <c r="H740" s="11" t="str">
        <f t="shared" si="4"/>
        <v>A12</v>
      </c>
      <c r="I740" s="10" t="str">
        <f t="shared" si="5"/>
        <v>BRN64M-A12</v>
      </c>
      <c r="J740" s="16"/>
      <c r="K740" s="16" t="str">
        <f t="shared" si="6"/>
        <v>collected</v>
      </c>
      <c r="L740" s="16" t="str">
        <f t="shared" si="7"/>
        <v>N</v>
      </c>
      <c r="M740" s="16"/>
      <c r="N740" s="16"/>
    </row>
    <row r="741">
      <c r="A741" s="26" t="s">
        <v>434</v>
      </c>
      <c r="B741" s="10" t="str">
        <f t="shared" si="1"/>
        <v>RNA-muscle</v>
      </c>
      <c r="C741" s="10" t="str">
        <f t="shared" si="2"/>
        <v>BRN69M-H1</v>
      </c>
      <c r="D741" s="6">
        <v>69.0</v>
      </c>
      <c r="E741" s="10" t="str">
        <f t="shared" si="3"/>
        <v>BRN69M</v>
      </c>
      <c r="F741" s="6" t="s">
        <v>51</v>
      </c>
      <c r="G741" s="6">
        <v>1.0</v>
      </c>
      <c r="H741" s="11" t="str">
        <f t="shared" si="4"/>
        <v>H1</v>
      </c>
      <c r="I741" s="10" t="str">
        <f t="shared" si="5"/>
        <v>BRN69M-H1</v>
      </c>
      <c r="J741" s="16"/>
      <c r="K741" s="16" t="str">
        <f t="shared" si="6"/>
        <v>collected</v>
      </c>
      <c r="L741" s="16" t="str">
        <f t="shared" si="7"/>
        <v>N</v>
      </c>
      <c r="M741" s="16"/>
      <c r="N741" s="16"/>
    </row>
    <row r="742">
      <c r="A742" s="26" t="s">
        <v>442</v>
      </c>
      <c r="B742" s="10" t="str">
        <f t="shared" si="1"/>
        <v>RNA-muscle</v>
      </c>
      <c r="C742" s="10" t="str">
        <f t="shared" si="2"/>
        <v>BRN69M-G1</v>
      </c>
      <c r="D742" s="6">
        <v>69.0</v>
      </c>
      <c r="E742" s="10" t="str">
        <f t="shared" si="3"/>
        <v>BRN69M</v>
      </c>
      <c r="F742" s="6" t="s">
        <v>56</v>
      </c>
      <c r="G742" s="6">
        <v>1.0</v>
      </c>
      <c r="H742" s="11" t="str">
        <f t="shared" si="4"/>
        <v>G1</v>
      </c>
      <c r="I742" s="10" t="str">
        <f t="shared" si="5"/>
        <v>BRN69M-G1</v>
      </c>
      <c r="J742" s="6"/>
      <c r="K742" s="16" t="str">
        <f t="shared" si="6"/>
        <v>collected</v>
      </c>
      <c r="L742" s="16" t="str">
        <f t="shared" si="7"/>
        <v>N</v>
      </c>
      <c r="M742" s="16"/>
      <c r="N742" s="16"/>
    </row>
    <row r="743">
      <c r="A743" s="26" t="s">
        <v>450</v>
      </c>
      <c r="B743" s="10" t="str">
        <f t="shared" si="1"/>
        <v>RNA-muscle</v>
      </c>
      <c r="C743" s="10" t="str">
        <f t="shared" si="2"/>
        <v>BRN69M-F1</v>
      </c>
      <c r="D743" s="6">
        <v>69.0</v>
      </c>
      <c r="E743" s="10" t="str">
        <f t="shared" si="3"/>
        <v>BRN69M</v>
      </c>
      <c r="F743" s="6" t="s">
        <v>61</v>
      </c>
      <c r="G743" s="6">
        <v>1.0</v>
      </c>
      <c r="H743" s="11" t="str">
        <f t="shared" si="4"/>
        <v>F1</v>
      </c>
      <c r="I743" s="10" t="str">
        <f t="shared" si="5"/>
        <v>BRN69M-F1</v>
      </c>
      <c r="J743" s="6"/>
      <c r="K743" s="16" t="str">
        <f t="shared" si="6"/>
        <v>collected</v>
      </c>
      <c r="L743" s="16" t="str">
        <f t="shared" si="7"/>
        <v>N</v>
      </c>
      <c r="M743" s="16"/>
      <c r="N743" s="16"/>
    </row>
    <row r="744">
      <c r="A744" s="26" t="s">
        <v>458</v>
      </c>
      <c r="B744" s="10" t="str">
        <f t="shared" si="1"/>
        <v>RNA-muscle</v>
      </c>
      <c r="C744" s="10" t="str">
        <f t="shared" si="2"/>
        <v>BRN69M-E1</v>
      </c>
      <c r="D744" s="6">
        <v>69.0</v>
      </c>
      <c r="E744" s="10" t="str">
        <f t="shared" si="3"/>
        <v>BRN69M</v>
      </c>
      <c r="F744" s="6" t="s">
        <v>66</v>
      </c>
      <c r="G744" s="6">
        <v>1.0</v>
      </c>
      <c r="H744" s="11" t="str">
        <f t="shared" si="4"/>
        <v>E1</v>
      </c>
      <c r="I744" s="10" t="str">
        <f t="shared" si="5"/>
        <v>BRN69M-E1</v>
      </c>
      <c r="J744" s="16"/>
      <c r="K744" s="16" t="str">
        <f t="shared" si="6"/>
        <v>collected</v>
      </c>
      <c r="L744" s="16" t="str">
        <f t="shared" si="7"/>
        <v>N</v>
      </c>
      <c r="M744" s="16"/>
      <c r="N744" s="16"/>
    </row>
    <row r="745">
      <c r="A745" s="26" t="s">
        <v>465</v>
      </c>
      <c r="B745" s="10" t="str">
        <f t="shared" si="1"/>
        <v>RNA-muscle</v>
      </c>
      <c r="C745" s="10" t="str">
        <f t="shared" si="2"/>
        <v>BRN69M-D1</v>
      </c>
      <c r="D745" s="6">
        <v>69.0</v>
      </c>
      <c r="E745" s="10" t="str">
        <f t="shared" si="3"/>
        <v>BRN69M</v>
      </c>
      <c r="F745" s="6" t="s">
        <v>68</v>
      </c>
      <c r="G745" s="6">
        <v>1.0</v>
      </c>
      <c r="H745" s="11" t="str">
        <f t="shared" si="4"/>
        <v>D1</v>
      </c>
      <c r="I745" s="10" t="str">
        <f t="shared" si="5"/>
        <v>BRN69M-D1</v>
      </c>
      <c r="J745" s="16"/>
      <c r="K745" s="16" t="str">
        <f t="shared" si="6"/>
        <v>collected</v>
      </c>
      <c r="L745" s="16" t="str">
        <f t="shared" si="7"/>
        <v>N</v>
      </c>
      <c r="M745" s="16"/>
      <c r="N745" s="16"/>
    </row>
    <row r="746">
      <c r="A746" s="26" t="s">
        <v>472</v>
      </c>
      <c r="B746" s="10" t="str">
        <f t="shared" si="1"/>
        <v>RNA-muscle</v>
      </c>
      <c r="C746" s="10" t="str">
        <f t="shared" si="2"/>
        <v>BRN69M-C1</v>
      </c>
      <c r="D746" s="6">
        <v>69.0</v>
      </c>
      <c r="E746" s="10" t="str">
        <f t="shared" si="3"/>
        <v>BRN69M</v>
      </c>
      <c r="F746" s="6" t="s">
        <v>72</v>
      </c>
      <c r="G746" s="6">
        <v>1.0</v>
      </c>
      <c r="H746" s="11" t="str">
        <f t="shared" si="4"/>
        <v>C1</v>
      </c>
      <c r="I746" s="10" t="str">
        <f t="shared" si="5"/>
        <v>BRN69M-C1</v>
      </c>
      <c r="J746" s="16"/>
      <c r="K746" s="16" t="str">
        <f t="shared" si="6"/>
        <v>collected</v>
      </c>
      <c r="L746" s="16" t="str">
        <f t="shared" si="7"/>
        <v>N</v>
      </c>
      <c r="M746" s="16"/>
      <c r="N746" s="16"/>
    </row>
    <row r="747">
      <c r="A747" s="26" t="s">
        <v>479</v>
      </c>
      <c r="B747" s="10" t="str">
        <f t="shared" si="1"/>
        <v>RNA-muscle</v>
      </c>
      <c r="C747" s="10" t="str">
        <f t="shared" si="2"/>
        <v>BRN69M-B1</v>
      </c>
      <c r="D747" s="6">
        <v>69.0</v>
      </c>
      <c r="E747" s="10" t="str">
        <f t="shared" si="3"/>
        <v>BRN69M</v>
      </c>
      <c r="F747" s="6" t="s">
        <v>74</v>
      </c>
      <c r="G747" s="6">
        <v>1.0</v>
      </c>
      <c r="H747" s="11" t="str">
        <f t="shared" si="4"/>
        <v>B1</v>
      </c>
      <c r="I747" s="10" t="str">
        <f t="shared" si="5"/>
        <v>BRN69M-B1</v>
      </c>
      <c r="J747" s="16"/>
      <c r="K747" s="16" t="str">
        <f t="shared" si="6"/>
        <v>collected</v>
      </c>
      <c r="L747" s="16" t="str">
        <f t="shared" si="7"/>
        <v>N</v>
      </c>
      <c r="M747" s="16"/>
      <c r="N747" s="16"/>
    </row>
    <row r="748">
      <c r="A748" s="26" t="s">
        <v>486</v>
      </c>
      <c r="B748" s="10" t="str">
        <f t="shared" si="1"/>
        <v>RNA-muscle</v>
      </c>
      <c r="C748" s="10" t="str">
        <f t="shared" si="2"/>
        <v>BRN69M-A1</v>
      </c>
      <c r="D748" s="6">
        <v>69.0</v>
      </c>
      <c r="E748" s="10" t="str">
        <f t="shared" si="3"/>
        <v>BRN69M</v>
      </c>
      <c r="F748" s="6" t="s">
        <v>76</v>
      </c>
      <c r="G748" s="6">
        <v>1.0</v>
      </c>
      <c r="H748" s="11" t="str">
        <f t="shared" si="4"/>
        <v>A1</v>
      </c>
      <c r="I748" s="10" t="str">
        <f t="shared" si="5"/>
        <v>BRN69M-A1</v>
      </c>
      <c r="J748" s="16"/>
      <c r="K748" s="16" t="str">
        <f t="shared" si="6"/>
        <v>collected</v>
      </c>
      <c r="L748" s="16" t="str">
        <f t="shared" si="7"/>
        <v>N</v>
      </c>
      <c r="M748" s="16"/>
      <c r="N748" s="16"/>
    </row>
    <row r="749">
      <c r="A749" s="26" t="s">
        <v>494</v>
      </c>
      <c r="B749" s="10" t="str">
        <f t="shared" si="1"/>
        <v>RNA-muscle</v>
      </c>
      <c r="C749" s="10" t="str">
        <f t="shared" si="2"/>
        <v>BRN69M-H3</v>
      </c>
      <c r="D749" s="6">
        <v>69.0</v>
      </c>
      <c r="E749" s="10" t="str">
        <f t="shared" si="3"/>
        <v>BRN69M</v>
      </c>
      <c r="F749" s="6" t="s">
        <v>51</v>
      </c>
      <c r="G749" s="6">
        <v>3.0</v>
      </c>
      <c r="H749" s="11" t="str">
        <f t="shared" si="4"/>
        <v>H3</v>
      </c>
      <c r="I749" s="10" t="str">
        <f t="shared" si="5"/>
        <v>BRN69M-H3</v>
      </c>
      <c r="J749" s="16"/>
      <c r="K749" s="16" t="str">
        <f t="shared" si="6"/>
        <v>collected</v>
      </c>
      <c r="L749" s="16" t="str">
        <f t="shared" si="7"/>
        <v>N</v>
      </c>
      <c r="M749" s="16"/>
      <c r="N749" s="16"/>
    </row>
    <row r="750">
      <c r="A750" s="26" t="s">
        <v>502</v>
      </c>
      <c r="B750" s="10" t="str">
        <f t="shared" si="1"/>
        <v>RNA-muscle</v>
      </c>
      <c r="C750" s="10" t="str">
        <f t="shared" si="2"/>
        <v>BRN69M-G3</v>
      </c>
      <c r="D750" s="6">
        <v>69.0</v>
      </c>
      <c r="E750" s="10" t="str">
        <f t="shared" si="3"/>
        <v>BRN69M</v>
      </c>
      <c r="F750" s="6" t="s">
        <v>56</v>
      </c>
      <c r="G750" s="6">
        <v>3.0</v>
      </c>
      <c r="H750" s="11" t="str">
        <f t="shared" si="4"/>
        <v>G3</v>
      </c>
      <c r="I750" s="10" t="str">
        <f t="shared" si="5"/>
        <v>BRN69M-G3</v>
      </c>
      <c r="J750" s="16"/>
      <c r="K750" s="16" t="str">
        <f t="shared" si="6"/>
        <v>collected</v>
      </c>
      <c r="L750" s="16" t="str">
        <f t="shared" si="7"/>
        <v>N</v>
      </c>
      <c r="M750" s="16"/>
      <c r="N750" s="16"/>
    </row>
    <row r="751">
      <c r="A751" s="26" t="s">
        <v>508</v>
      </c>
      <c r="B751" s="10" t="str">
        <f t="shared" si="1"/>
        <v>RNA-muscle</v>
      </c>
      <c r="C751" s="10" t="str">
        <f t="shared" si="2"/>
        <v>BRN69M-F3</v>
      </c>
      <c r="D751" s="6">
        <v>69.0</v>
      </c>
      <c r="E751" s="10" t="str">
        <f t="shared" si="3"/>
        <v>BRN69M</v>
      </c>
      <c r="F751" s="6" t="s">
        <v>61</v>
      </c>
      <c r="G751" s="6">
        <v>3.0</v>
      </c>
      <c r="H751" s="11" t="str">
        <f t="shared" si="4"/>
        <v>F3</v>
      </c>
      <c r="I751" s="10" t="str">
        <f t="shared" si="5"/>
        <v>BRN69M-F3</v>
      </c>
      <c r="J751" s="6"/>
      <c r="K751" s="16" t="str">
        <f t="shared" si="6"/>
        <v>collected</v>
      </c>
      <c r="L751" s="16" t="str">
        <f t="shared" si="7"/>
        <v>N</v>
      </c>
      <c r="M751" s="16"/>
      <c r="N751" s="16"/>
    </row>
    <row r="752">
      <c r="A752" s="26" t="s">
        <v>517</v>
      </c>
      <c r="B752" s="10" t="str">
        <f t="shared" si="1"/>
        <v>RNA-muscle</v>
      </c>
      <c r="C752" s="10" t="str">
        <f t="shared" si="2"/>
        <v>BRN69M-E3</v>
      </c>
      <c r="D752" s="6">
        <v>69.0</v>
      </c>
      <c r="E752" s="10" t="str">
        <f t="shared" si="3"/>
        <v>BRN69M</v>
      </c>
      <c r="F752" s="6" t="s">
        <v>66</v>
      </c>
      <c r="G752" s="6">
        <v>3.0</v>
      </c>
      <c r="H752" s="11" t="str">
        <f t="shared" si="4"/>
        <v>E3</v>
      </c>
      <c r="I752" s="10" t="str">
        <f t="shared" si="5"/>
        <v>BRN69M-E3</v>
      </c>
      <c r="J752" s="16"/>
      <c r="K752" s="16" t="str">
        <f t="shared" si="6"/>
        <v>collected</v>
      </c>
      <c r="L752" s="16" t="str">
        <f t="shared" si="7"/>
        <v>N</v>
      </c>
      <c r="M752" s="16"/>
      <c r="N752" s="16"/>
    </row>
    <row r="753">
      <c r="A753" s="26" t="s">
        <v>525</v>
      </c>
      <c r="B753" s="10" t="str">
        <f t="shared" si="1"/>
        <v>RNA-muscle</v>
      </c>
      <c r="C753" s="10" t="str">
        <f t="shared" si="2"/>
        <v>BRN69M-D3</v>
      </c>
      <c r="D753" s="6">
        <v>69.0</v>
      </c>
      <c r="E753" s="10" t="str">
        <f t="shared" si="3"/>
        <v>BRN69M</v>
      </c>
      <c r="F753" s="6" t="s">
        <v>68</v>
      </c>
      <c r="G753" s="6">
        <v>3.0</v>
      </c>
      <c r="H753" s="11" t="str">
        <f t="shared" si="4"/>
        <v>D3</v>
      </c>
      <c r="I753" s="10" t="str">
        <f t="shared" si="5"/>
        <v>BRN69M-D3</v>
      </c>
      <c r="J753" s="6"/>
      <c r="K753" s="16" t="str">
        <f t="shared" si="6"/>
        <v>collected</v>
      </c>
      <c r="L753" s="16" t="str">
        <f t="shared" si="7"/>
        <v>N</v>
      </c>
      <c r="M753" s="16"/>
      <c r="N753" s="16"/>
    </row>
    <row r="754">
      <c r="A754" s="26" t="s">
        <v>533</v>
      </c>
      <c r="B754" s="10" t="str">
        <f t="shared" si="1"/>
        <v>RNA-muscle</v>
      </c>
      <c r="C754" s="10" t="str">
        <f t="shared" si="2"/>
        <v>BRN69M-G2</v>
      </c>
      <c r="D754" s="6">
        <v>69.0</v>
      </c>
      <c r="E754" s="10" t="str">
        <f t="shared" si="3"/>
        <v>BRN69M</v>
      </c>
      <c r="F754" s="6" t="s">
        <v>56</v>
      </c>
      <c r="G754" s="6">
        <v>2.0</v>
      </c>
      <c r="H754" s="11" t="str">
        <f t="shared" si="4"/>
        <v>G2</v>
      </c>
      <c r="I754" s="10" t="str">
        <f t="shared" si="5"/>
        <v>BRN69M-G2</v>
      </c>
      <c r="J754" s="16"/>
      <c r="K754" s="16" t="str">
        <f t="shared" si="6"/>
        <v>collected</v>
      </c>
      <c r="L754" s="16" t="str">
        <f t="shared" si="7"/>
        <v>N</v>
      </c>
      <c r="M754" s="16"/>
      <c r="N754" s="16"/>
    </row>
    <row r="755">
      <c r="A755" s="26" t="s">
        <v>542</v>
      </c>
      <c r="B755" s="10" t="str">
        <f t="shared" si="1"/>
        <v>RNA-muscle</v>
      </c>
      <c r="C755" s="10" t="str">
        <f t="shared" si="2"/>
        <v>BRN69M-F2</v>
      </c>
      <c r="D755" s="6">
        <v>69.0</v>
      </c>
      <c r="E755" s="10" t="str">
        <f t="shared" si="3"/>
        <v>BRN69M</v>
      </c>
      <c r="F755" s="6" t="s">
        <v>61</v>
      </c>
      <c r="G755" s="6">
        <v>2.0</v>
      </c>
      <c r="H755" s="11" t="str">
        <f t="shared" si="4"/>
        <v>F2</v>
      </c>
      <c r="I755" s="10" t="str">
        <f t="shared" si="5"/>
        <v>BRN69M-F2</v>
      </c>
      <c r="J755" s="16"/>
      <c r="K755" s="16" t="str">
        <f t="shared" si="6"/>
        <v>collected</v>
      </c>
      <c r="L755" s="16" t="str">
        <f t="shared" si="7"/>
        <v>N</v>
      </c>
      <c r="M755" s="16"/>
      <c r="N755" s="16"/>
    </row>
    <row r="756">
      <c r="A756" s="26" t="s">
        <v>551</v>
      </c>
      <c r="B756" s="10" t="str">
        <f t="shared" si="1"/>
        <v>RNA-muscle</v>
      </c>
      <c r="C756" s="10" t="str">
        <f t="shared" si="2"/>
        <v>BRN69M-E2</v>
      </c>
      <c r="D756" s="6">
        <v>69.0</v>
      </c>
      <c r="E756" s="10" t="str">
        <f t="shared" si="3"/>
        <v>BRN69M</v>
      </c>
      <c r="F756" s="6" t="s">
        <v>66</v>
      </c>
      <c r="G756" s="6">
        <v>2.0</v>
      </c>
      <c r="H756" s="11" t="str">
        <f t="shared" si="4"/>
        <v>E2</v>
      </c>
      <c r="I756" s="10" t="str">
        <f t="shared" si="5"/>
        <v>BRN69M-E2</v>
      </c>
      <c r="J756" s="6"/>
      <c r="K756" s="16" t="str">
        <f t="shared" si="6"/>
        <v>collected</v>
      </c>
      <c r="L756" s="16" t="str">
        <f t="shared" si="7"/>
        <v>N</v>
      </c>
      <c r="M756" s="16"/>
      <c r="N756" s="16"/>
    </row>
    <row r="757">
      <c r="A757" s="26" t="s">
        <v>557</v>
      </c>
      <c r="B757" s="10" t="str">
        <f t="shared" si="1"/>
        <v>RNA-muscle</v>
      </c>
      <c r="C757" s="10" t="str">
        <f t="shared" si="2"/>
        <v>BRN69M-D2</v>
      </c>
      <c r="D757" s="6">
        <v>69.0</v>
      </c>
      <c r="E757" s="10" t="str">
        <f t="shared" si="3"/>
        <v>BRN69M</v>
      </c>
      <c r="F757" s="6" t="s">
        <v>68</v>
      </c>
      <c r="G757" s="6">
        <v>2.0</v>
      </c>
      <c r="H757" s="11" t="str">
        <f t="shared" si="4"/>
        <v>D2</v>
      </c>
      <c r="I757" s="10" t="str">
        <f t="shared" si="5"/>
        <v>BRN69M-D2</v>
      </c>
      <c r="J757" s="16"/>
      <c r="K757" s="16" t="str">
        <f t="shared" si="6"/>
        <v>collected</v>
      </c>
      <c r="L757" s="16" t="str">
        <f t="shared" si="7"/>
        <v>N</v>
      </c>
      <c r="M757" s="16"/>
      <c r="N757" s="16"/>
    </row>
    <row r="758">
      <c r="A758" s="26" t="s">
        <v>565</v>
      </c>
      <c r="B758" s="10" t="str">
        <f t="shared" si="1"/>
        <v>RNA-muscle</v>
      </c>
      <c r="C758" s="10" t="str">
        <f t="shared" si="2"/>
        <v>BRN69M-C2</v>
      </c>
      <c r="D758" s="6">
        <v>69.0</v>
      </c>
      <c r="E758" s="10" t="str">
        <f t="shared" si="3"/>
        <v>BRN69M</v>
      </c>
      <c r="F758" s="6" t="s">
        <v>72</v>
      </c>
      <c r="G758" s="6">
        <v>2.0</v>
      </c>
      <c r="H758" s="11" t="str">
        <f t="shared" si="4"/>
        <v>C2</v>
      </c>
      <c r="I758" s="10" t="str">
        <f t="shared" si="5"/>
        <v>BRN69M-C2</v>
      </c>
      <c r="J758" s="16"/>
      <c r="K758" s="16" t="str">
        <f t="shared" si="6"/>
        <v>collected</v>
      </c>
      <c r="L758" s="16" t="str">
        <f t="shared" si="7"/>
        <v>N</v>
      </c>
      <c r="M758" s="16"/>
      <c r="N758" s="16"/>
    </row>
    <row r="759">
      <c r="A759" s="26" t="s">
        <v>573</v>
      </c>
      <c r="B759" s="10" t="str">
        <f t="shared" si="1"/>
        <v>RNA-muscle</v>
      </c>
      <c r="C759" s="10" t="str">
        <f t="shared" si="2"/>
        <v>BRN69M-B2</v>
      </c>
      <c r="D759" s="6">
        <v>69.0</v>
      </c>
      <c r="E759" s="10" t="str">
        <f t="shared" si="3"/>
        <v>BRN69M</v>
      </c>
      <c r="F759" s="6" t="s">
        <v>74</v>
      </c>
      <c r="G759" s="6">
        <v>2.0</v>
      </c>
      <c r="H759" s="11" t="str">
        <f t="shared" si="4"/>
        <v>B2</v>
      </c>
      <c r="I759" s="10" t="str">
        <f t="shared" si="5"/>
        <v>BRN69M-B2</v>
      </c>
      <c r="J759" s="16"/>
      <c r="K759" s="16" t="str">
        <f t="shared" si="6"/>
        <v>collected</v>
      </c>
      <c r="L759" s="16" t="str">
        <f t="shared" si="7"/>
        <v>N</v>
      </c>
      <c r="M759" s="16"/>
      <c r="N759" s="16"/>
    </row>
    <row r="760">
      <c r="A760" s="26" t="s">
        <v>579</v>
      </c>
      <c r="B760" s="10" t="str">
        <f t="shared" si="1"/>
        <v>RNA-muscle</v>
      </c>
      <c r="C760" s="10" t="str">
        <f t="shared" si="2"/>
        <v>BRN69M-A2</v>
      </c>
      <c r="D760" s="6">
        <v>69.0</v>
      </c>
      <c r="E760" s="10" t="str">
        <f t="shared" si="3"/>
        <v>BRN69M</v>
      </c>
      <c r="F760" s="6" t="s">
        <v>76</v>
      </c>
      <c r="G760" s="6">
        <v>2.0</v>
      </c>
      <c r="H760" s="11" t="str">
        <f t="shared" si="4"/>
        <v>A2</v>
      </c>
      <c r="I760" s="10" t="str">
        <f t="shared" si="5"/>
        <v>BRN69M-A2</v>
      </c>
      <c r="J760" s="16"/>
      <c r="K760" s="16" t="str">
        <f t="shared" si="6"/>
        <v>collected</v>
      </c>
      <c r="L760" s="16" t="str">
        <f t="shared" si="7"/>
        <v>N</v>
      </c>
      <c r="M760" s="16"/>
      <c r="N760" s="16"/>
    </row>
    <row r="761">
      <c r="A761" s="26" t="s">
        <v>589</v>
      </c>
      <c r="B761" s="10" t="str">
        <f t="shared" si="1"/>
        <v>RNA-muscle</v>
      </c>
      <c r="C761" s="10" t="str">
        <f t="shared" si="2"/>
        <v>BRN69M-H5</v>
      </c>
      <c r="D761" s="6">
        <v>69.0</v>
      </c>
      <c r="E761" s="10" t="str">
        <f t="shared" si="3"/>
        <v>BRN69M</v>
      </c>
      <c r="F761" s="6" t="s">
        <v>51</v>
      </c>
      <c r="G761" s="6">
        <v>5.0</v>
      </c>
      <c r="H761" s="11" t="str">
        <f t="shared" si="4"/>
        <v>H5</v>
      </c>
      <c r="I761" s="10" t="str">
        <f t="shared" si="5"/>
        <v>BRN69M-H5</v>
      </c>
      <c r="J761" s="16"/>
      <c r="K761" s="16" t="str">
        <f t="shared" si="6"/>
        <v>collected</v>
      </c>
      <c r="L761" s="16" t="str">
        <f t="shared" si="7"/>
        <v>N</v>
      </c>
      <c r="M761" s="16"/>
      <c r="N761" s="16"/>
    </row>
    <row r="762">
      <c r="A762" s="26" t="s">
        <v>594</v>
      </c>
      <c r="B762" s="10" t="str">
        <f t="shared" si="1"/>
        <v>RNA-muscle</v>
      </c>
      <c r="C762" s="10" t="str">
        <f t="shared" si="2"/>
        <v>BRN69M-G5</v>
      </c>
      <c r="D762" s="6">
        <v>69.0</v>
      </c>
      <c r="E762" s="10" t="str">
        <f t="shared" si="3"/>
        <v>BRN69M</v>
      </c>
      <c r="F762" s="6" t="s">
        <v>56</v>
      </c>
      <c r="G762" s="6">
        <v>5.0</v>
      </c>
      <c r="H762" s="11" t="str">
        <f t="shared" si="4"/>
        <v>G5</v>
      </c>
      <c r="I762" s="10" t="str">
        <f t="shared" si="5"/>
        <v>BRN69M-G5</v>
      </c>
      <c r="J762" s="16"/>
      <c r="K762" s="16" t="str">
        <f t="shared" si="6"/>
        <v>collected</v>
      </c>
      <c r="L762" s="16" t="str">
        <f t="shared" si="7"/>
        <v>N</v>
      </c>
      <c r="M762" s="16"/>
      <c r="N762" s="16"/>
    </row>
    <row r="763">
      <c r="A763" s="26" t="s">
        <v>599</v>
      </c>
      <c r="B763" s="10" t="str">
        <f t="shared" si="1"/>
        <v>RNA-muscle</v>
      </c>
      <c r="C763" s="10" t="str">
        <f t="shared" si="2"/>
        <v>BRN69M-F5</v>
      </c>
      <c r="D763" s="6">
        <v>69.0</v>
      </c>
      <c r="E763" s="10" t="str">
        <f t="shared" si="3"/>
        <v>BRN69M</v>
      </c>
      <c r="F763" s="6" t="s">
        <v>61</v>
      </c>
      <c r="G763" s="6">
        <v>5.0</v>
      </c>
      <c r="H763" s="11" t="str">
        <f t="shared" si="4"/>
        <v>F5</v>
      </c>
      <c r="I763" s="10" t="str">
        <f t="shared" si="5"/>
        <v>BRN69M-F5</v>
      </c>
      <c r="J763" s="16"/>
      <c r="K763" s="16" t="str">
        <f t="shared" si="6"/>
        <v>collected</v>
      </c>
      <c r="L763" s="16" t="str">
        <f t="shared" si="7"/>
        <v>N</v>
      </c>
      <c r="M763" s="16"/>
      <c r="N763" s="16"/>
    </row>
    <row r="764">
      <c r="A764" s="26" t="s">
        <v>605</v>
      </c>
      <c r="B764" s="10" t="str">
        <f t="shared" si="1"/>
        <v>RNA-muscle</v>
      </c>
      <c r="C764" s="10" t="str">
        <f t="shared" si="2"/>
        <v>BRN69M-E5</v>
      </c>
      <c r="D764" s="6">
        <v>69.0</v>
      </c>
      <c r="E764" s="10" t="str">
        <f t="shared" si="3"/>
        <v>BRN69M</v>
      </c>
      <c r="F764" s="6" t="s">
        <v>66</v>
      </c>
      <c r="G764" s="6">
        <v>5.0</v>
      </c>
      <c r="H764" s="11" t="str">
        <f t="shared" si="4"/>
        <v>E5</v>
      </c>
      <c r="I764" s="10" t="str">
        <f t="shared" si="5"/>
        <v>BRN69M-E5</v>
      </c>
      <c r="J764" s="16"/>
      <c r="K764" s="16" t="str">
        <f t="shared" si="6"/>
        <v>collected</v>
      </c>
      <c r="L764" s="16" t="str">
        <f t="shared" si="7"/>
        <v>N</v>
      </c>
      <c r="M764" s="16"/>
      <c r="N764" s="16"/>
    </row>
    <row r="765">
      <c r="A765" s="26" t="s">
        <v>609</v>
      </c>
      <c r="B765" s="10" t="str">
        <f t="shared" si="1"/>
        <v>RNA-muscle</v>
      </c>
      <c r="C765" s="10" t="str">
        <f t="shared" si="2"/>
        <v>BRN69M-D5</v>
      </c>
      <c r="D765" s="6">
        <v>69.0</v>
      </c>
      <c r="E765" s="10" t="str">
        <f t="shared" si="3"/>
        <v>BRN69M</v>
      </c>
      <c r="F765" s="6" t="s">
        <v>68</v>
      </c>
      <c r="G765" s="6">
        <v>5.0</v>
      </c>
      <c r="H765" s="11" t="str">
        <f t="shared" si="4"/>
        <v>D5</v>
      </c>
      <c r="I765" s="10" t="str">
        <f t="shared" si="5"/>
        <v>BRN69M-D5</v>
      </c>
      <c r="J765" s="6"/>
      <c r="K765" s="16" t="str">
        <f t="shared" si="6"/>
        <v>collected</v>
      </c>
      <c r="L765" s="16" t="str">
        <f t="shared" si="7"/>
        <v>N</v>
      </c>
      <c r="M765" s="16"/>
      <c r="N765" s="16"/>
    </row>
    <row r="766">
      <c r="A766" s="26" t="s">
        <v>617</v>
      </c>
      <c r="B766" s="10" t="str">
        <f t="shared" si="1"/>
        <v>RNA-muscle</v>
      </c>
      <c r="C766" s="10" t="str">
        <f t="shared" si="2"/>
        <v>BRN69M-C5</v>
      </c>
      <c r="D766" s="6">
        <v>69.0</v>
      </c>
      <c r="E766" s="10" t="str">
        <f t="shared" si="3"/>
        <v>BRN69M</v>
      </c>
      <c r="F766" s="6" t="s">
        <v>72</v>
      </c>
      <c r="G766" s="6">
        <v>5.0</v>
      </c>
      <c r="H766" s="11" t="str">
        <f t="shared" si="4"/>
        <v>C5</v>
      </c>
      <c r="I766" s="10" t="str">
        <f t="shared" si="5"/>
        <v>BRN69M-C5</v>
      </c>
      <c r="J766" s="6"/>
      <c r="K766" s="16" t="str">
        <f t="shared" si="6"/>
        <v>collected</v>
      </c>
      <c r="L766" s="16" t="str">
        <f t="shared" si="7"/>
        <v>N</v>
      </c>
      <c r="M766" s="16"/>
      <c r="N766" s="16"/>
    </row>
    <row r="767">
      <c r="A767" s="26" t="s">
        <v>623</v>
      </c>
      <c r="B767" s="10" t="str">
        <f t="shared" si="1"/>
        <v>RNA-muscle</v>
      </c>
      <c r="C767" s="10" t="str">
        <f t="shared" si="2"/>
        <v>BRN69M-B5</v>
      </c>
      <c r="D767" s="6">
        <v>69.0</v>
      </c>
      <c r="E767" s="10" t="str">
        <f t="shared" si="3"/>
        <v>BRN69M</v>
      </c>
      <c r="F767" s="6" t="s">
        <v>74</v>
      </c>
      <c r="G767" s="6">
        <v>5.0</v>
      </c>
      <c r="H767" s="11" t="str">
        <f t="shared" si="4"/>
        <v>B5</v>
      </c>
      <c r="I767" s="10" t="str">
        <f t="shared" si="5"/>
        <v>BRN69M-B5</v>
      </c>
      <c r="J767" s="6"/>
      <c r="K767" s="16" t="str">
        <f t="shared" si="6"/>
        <v>collected</v>
      </c>
      <c r="L767" s="16" t="str">
        <f t="shared" si="7"/>
        <v>N</v>
      </c>
      <c r="M767" s="16"/>
      <c r="N767" s="16"/>
    </row>
    <row r="768">
      <c r="A768" s="26" t="s">
        <v>631</v>
      </c>
      <c r="B768" s="10" t="str">
        <f t="shared" si="1"/>
        <v>RNA-muscle</v>
      </c>
      <c r="C768" s="10" t="str">
        <f t="shared" si="2"/>
        <v>BRN69M-A5</v>
      </c>
      <c r="D768" s="6">
        <v>69.0</v>
      </c>
      <c r="E768" s="10" t="str">
        <f t="shared" si="3"/>
        <v>BRN69M</v>
      </c>
      <c r="F768" s="6" t="s">
        <v>76</v>
      </c>
      <c r="G768" s="6">
        <v>5.0</v>
      </c>
      <c r="H768" s="11" t="str">
        <f t="shared" si="4"/>
        <v>A5</v>
      </c>
      <c r="I768" s="10" t="str">
        <f t="shared" si="5"/>
        <v>BRN69M-A5</v>
      </c>
      <c r="J768" s="16"/>
      <c r="K768" s="16" t="str">
        <f t="shared" si="6"/>
        <v>collected</v>
      </c>
      <c r="L768" s="16" t="str">
        <f t="shared" si="7"/>
        <v>N</v>
      </c>
      <c r="M768" s="16"/>
      <c r="N768" s="16"/>
    </row>
    <row r="769">
      <c r="A769" s="26" t="s">
        <v>639</v>
      </c>
      <c r="B769" s="10" t="str">
        <f t="shared" si="1"/>
        <v>RNA-muscle</v>
      </c>
      <c r="C769" s="10" t="str">
        <f t="shared" si="2"/>
        <v>BRN69M-H7</v>
      </c>
      <c r="D769" s="6">
        <v>69.0</v>
      </c>
      <c r="E769" s="10" t="str">
        <f t="shared" si="3"/>
        <v>BRN69M</v>
      </c>
      <c r="F769" s="6" t="s">
        <v>51</v>
      </c>
      <c r="G769" s="6">
        <v>7.0</v>
      </c>
      <c r="H769" s="11" t="str">
        <f t="shared" si="4"/>
        <v>H7</v>
      </c>
      <c r="I769" s="10" t="str">
        <f t="shared" si="5"/>
        <v>BRN69M-H7</v>
      </c>
      <c r="J769" s="16"/>
      <c r="K769" s="16" t="str">
        <f t="shared" si="6"/>
        <v>collected</v>
      </c>
      <c r="L769" s="16" t="str">
        <f t="shared" si="7"/>
        <v>N</v>
      </c>
      <c r="M769" s="16"/>
      <c r="N769" s="16"/>
    </row>
    <row r="770">
      <c r="A770" s="26" t="s">
        <v>646</v>
      </c>
      <c r="B770" s="10" t="str">
        <f t="shared" si="1"/>
        <v>RNA-muscle</v>
      </c>
      <c r="C770" s="10" t="str">
        <f t="shared" si="2"/>
        <v>BRN69M-G7</v>
      </c>
      <c r="D770" s="6">
        <v>69.0</v>
      </c>
      <c r="E770" s="10" t="str">
        <f t="shared" si="3"/>
        <v>BRN69M</v>
      </c>
      <c r="F770" s="6" t="s">
        <v>56</v>
      </c>
      <c r="G770" s="6">
        <v>7.0</v>
      </c>
      <c r="H770" s="11" t="str">
        <f t="shared" si="4"/>
        <v>G7</v>
      </c>
      <c r="I770" s="10" t="str">
        <f t="shared" si="5"/>
        <v>BRN69M-G7</v>
      </c>
      <c r="J770" s="16"/>
      <c r="K770" s="16" t="str">
        <f t="shared" si="6"/>
        <v>collected</v>
      </c>
      <c r="L770" s="16" t="str">
        <f t="shared" si="7"/>
        <v>N</v>
      </c>
      <c r="M770" s="16"/>
      <c r="N770" s="16"/>
    </row>
    <row r="771">
      <c r="A771" s="26" t="s">
        <v>652</v>
      </c>
      <c r="B771" s="10" t="str">
        <f t="shared" si="1"/>
        <v>RNA-muscle</v>
      </c>
      <c r="C771" s="10" t="str">
        <f t="shared" si="2"/>
        <v>BRN69M-F7</v>
      </c>
      <c r="D771" s="6">
        <v>69.0</v>
      </c>
      <c r="E771" s="10" t="str">
        <f t="shared" si="3"/>
        <v>BRN69M</v>
      </c>
      <c r="F771" s="6" t="s">
        <v>61</v>
      </c>
      <c r="G771" s="6">
        <v>7.0</v>
      </c>
      <c r="H771" s="11" t="str">
        <f t="shared" si="4"/>
        <v>F7</v>
      </c>
      <c r="I771" s="10" t="str">
        <f t="shared" si="5"/>
        <v>BRN69M-F7</v>
      </c>
      <c r="J771" s="16"/>
      <c r="K771" s="16" t="str">
        <f t="shared" si="6"/>
        <v>collected</v>
      </c>
      <c r="L771" s="16" t="str">
        <f t="shared" si="7"/>
        <v>N</v>
      </c>
      <c r="M771" s="16"/>
      <c r="N771" s="16"/>
    </row>
    <row r="772">
      <c r="A772" s="26" t="s">
        <v>660</v>
      </c>
      <c r="B772" s="10" t="str">
        <f t="shared" si="1"/>
        <v>RNA-muscle</v>
      </c>
      <c r="C772" s="10" t="str">
        <f t="shared" si="2"/>
        <v>BRN69M-E7</v>
      </c>
      <c r="D772" s="6">
        <v>69.0</v>
      </c>
      <c r="E772" s="10" t="str">
        <f t="shared" si="3"/>
        <v>BRN69M</v>
      </c>
      <c r="F772" s="6" t="s">
        <v>66</v>
      </c>
      <c r="G772" s="6">
        <v>7.0</v>
      </c>
      <c r="H772" s="11" t="str">
        <f t="shared" si="4"/>
        <v>E7</v>
      </c>
      <c r="I772" s="10" t="str">
        <f t="shared" si="5"/>
        <v>BRN69M-E7</v>
      </c>
      <c r="J772" s="16"/>
      <c r="K772" s="16" t="str">
        <f t="shared" si="6"/>
        <v>collected</v>
      </c>
      <c r="L772" s="16" t="str">
        <f t="shared" si="7"/>
        <v>N</v>
      </c>
      <c r="M772" s="16"/>
      <c r="N772" s="16"/>
    </row>
    <row r="773">
      <c r="A773" s="26" t="s">
        <v>667</v>
      </c>
      <c r="B773" s="10" t="str">
        <f t="shared" si="1"/>
        <v>RNA-muscle</v>
      </c>
      <c r="C773" s="10" t="str">
        <f t="shared" si="2"/>
        <v>BRN69M-D7</v>
      </c>
      <c r="D773" s="6">
        <v>69.0</v>
      </c>
      <c r="E773" s="10" t="str">
        <f t="shared" si="3"/>
        <v>BRN69M</v>
      </c>
      <c r="F773" s="6" t="s">
        <v>68</v>
      </c>
      <c r="G773" s="6">
        <v>7.0</v>
      </c>
      <c r="H773" s="11" t="str">
        <f t="shared" si="4"/>
        <v>D7</v>
      </c>
      <c r="I773" s="10" t="str">
        <f t="shared" si="5"/>
        <v>BRN69M-D7</v>
      </c>
      <c r="J773" s="6"/>
      <c r="K773" s="16" t="str">
        <f t="shared" si="6"/>
        <v>collected</v>
      </c>
      <c r="L773" s="16" t="str">
        <f t="shared" si="7"/>
        <v>N</v>
      </c>
      <c r="M773" s="16"/>
      <c r="N773" s="16"/>
    </row>
    <row r="774">
      <c r="A774" s="26" t="s">
        <v>673</v>
      </c>
      <c r="B774" s="10" t="str">
        <f t="shared" si="1"/>
        <v>RNA-muscle</v>
      </c>
      <c r="C774" s="10" t="str">
        <f t="shared" si="2"/>
        <v>BRN69M-C3</v>
      </c>
      <c r="D774" s="6">
        <v>69.0</v>
      </c>
      <c r="E774" s="10" t="str">
        <f t="shared" si="3"/>
        <v>BRN69M</v>
      </c>
      <c r="F774" s="6" t="s">
        <v>72</v>
      </c>
      <c r="G774" s="6">
        <v>3.0</v>
      </c>
      <c r="H774" s="11" t="str">
        <f t="shared" si="4"/>
        <v>C3</v>
      </c>
      <c r="I774" s="10" t="str">
        <f t="shared" si="5"/>
        <v>BRN69M-C3</v>
      </c>
      <c r="J774" s="16"/>
      <c r="K774" s="16" t="str">
        <f t="shared" si="6"/>
        <v>collected</v>
      </c>
      <c r="L774" s="16" t="str">
        <f t="shared" si="7"/>
        <v>N</v>
      </c>
      <c r="M774" s="16"/>
      <c r="N774" s="16"/>
    </row>
    <row r="775">
      <c r="A775" s="26" t="s">
        <v>679</v>
      </c>
      <c r="B775" s="10" t="str">
        <f t="shared" si="1"/>
        <v>RNA-muscle</v>
      </c>
      <c r="C775" s="10" t="str">
        <f t="shared" si="2"/>
        <v>BRN69M-B3</v>
      </c>
      <c r="D775" s="6">
        <v>69.0</v>
      </c>
      <c r="E775" s="10" t="str">
        <f t="shared" si="3"/>
        <v>BRN69M</v>
      </c>
      <c r="F775" s="6" t="s">
        <v>74</v>
      </c>
      <c r="G775" s="6">
        <v>3.0</v>
      </c>
      <c r="H775" s="11" t="str">
        <f t="shared" si="4"/>
        <v>B3</v>
      </c>
      <c r="I775" s="10" t="str">
        <f t="shared" si="5"/>
        <v>BRN69M-B3</v>
      </c>
      <c r="J775" s="16"/>
      <c r="K775" s="16" t="str">
        <f t="shared" si="6"/>
        <v>collected</v>
      </c>
      <c r="L775" s="16" t="str">
        <f t="shared" si="7"/>
        <v>N</v>
      </c>
      <c r="M775" s="16"/>
      <c r="N775" s="16"/>
    </row>
    <row r="776">
      <c r="A776" s="26" t="s">
        <v>687</v>
      </c>
      <c r="B776" s="10" t="str">
        <f t="shared" si="1"/>
        <v>RNA-muscle</v>
      </c>
      <c r="C776" s="10" t="str">
        <f t="shared" si="2"/>
        <v>BRN69M-A3</v>
      </c>
      <c r="D776" s="6">
        <v>69.0</v>
      </c>
      <c r="E776" s="10" t="str">
        <f t="shared" si="3"/>
        <v>BRN69M</v>
      </c>
      <c r="F776" s="6" t="s">
        <v>76</v>
      </c>
      <c r="G776" s="6">
        <v>3.0</v>
      </c>
      <c r="H776" s="11" t="str">
        <f t="shared" si="4"/>
        <v>A3</v>
      </c>
      <c r="I776" s="10" t="str">
        <f t="shared" si="5"/>
        <v>BRN69M-A3</v>
      </c>
      <c r="J776" s="16"/>
      <c r="K776" s="16" t="str">
        <f t="shared" si="6"/>
        <v>collected</v>
      </c>
      <c r="L776" s="16" t="str">
        <f t="shared" si="7"/>
        <v>N</v>
      </c>
      <c r="M776" s="16"/>
      <c r="N776" s="16"/>
    </row>
    <row r="777">
      <c r="A777" s="26" t="s">
        <v>695</v>
      </c>
      <c r="B777" s="10" t="str">
        <f t="shared" si="1"/>
        <v>RNA-muscle</v>
      </c>
      <c r="C777" s="10" t="str">
        <f t="shared" si="2"/>
        <v>BRN69M-H4</v>
      </c>
      <c r="D777" s="6">
        <v>69.0</v>
      </c>
      <c r="E777" s="10" t="str">
        <f t="shared" si="3"/>
        <v>BRN69M</v>
      </c>
      <c r="F777" s="6" t="s">
        <v>51</v>
      </c>
      <c r="G777" s="6">
        <v>4.0</v>
      </c>
      <c r="H777" s="11" t="str">
        <f t="shared" si="4"/>
        <v>H4</v>
      </c>
      <c r="I777" s="10" t="str">
        <f t="shared" si="5"/>
        <v>BRN69M-H4</v>
      </c>
      <c r="J777" s="6"/>
      <c r="K777" s="16" t="str">
        <f t="shared" si="6"/>
        <v>collected</v>
      </c>
      <c r="L777" s="16" t="str">
        <f t="shared" si="7"/>
        <v>N</v>
      </c>
      <c r="M777" s="16"/>
      <c r="N777" s="16"/>
    </row>
    <row r="778">
      <c r="A778" s="26" t="s">
        <v>703</v>
      </c>
      <c r="B778" s="10" t="str">
        <f t="shared" si="1"/>
        <v>RNA-muscle</v>
      </c>
      <c r="C778" s="10" t="str">
        <f t="shared" si="2"/>
        <v>BRN69M-G4</v>
      </c>
      <c r="D778" s="6">
        <v>69.0</v>
      </c>
      <c r="E778" s="10" t="str">
        <f t="shared" si="3"/>
        <v>BRN69M</v>
      </c>
      <c r="F778" s="6" t="s">
        <v>56</v>
      </c>
      <c r="G778" s="6">
        <v>4.0</v>
      </c>
      <c r="H778" s="11" t="str">
        <f t="shared" si="4"/>
        <v>G4</v>
      </c>
      <c r="I778" s="10" t="str">
        <f t="shared" si="5"/>
        <v>BRN69M-G4</v>
      </c>
      <c r="J778" s="16"/>
      <c r="K778" s="16" t="str">
        <f t="shared" si="6"/>
        <v>collected</v>
      </c>
      <c r="L778" s="16" t="str">
        <f t="shared" si="7"/>
        <v>N</v>
      </c>
      <c r="M778" s="16"/>
      <c r="N778" s="16"/>
    </row>
    <row r="779">
      <c r="A779" s="27" t="s">
        <v>710</v>
      </c>
      <c r="B779" s="10" t="str">
        <f t="shared" si="1"/>
        <v>RNA-muscle</v>
      </c>
      <c r="C779" s="10" t="str">
        <f t="shared" si="2"/>
        <v>BRN69M-F4</v>
      </c>
      <c r="D779" s="6">
        <v>69.0</v>
      </c>
      <c r="E779" s="10" t="str">
        <f t="shared" si="3"/>
        <v>BRN69M</v>
      </c>
      <c r="F779" s="6" t="s">
        <v>61</v>
      </c>
      <c r="G779" s="6">
        <v>4.0</v>
      </c>
      <c r="H779" s="11" t="str">
        <f t="shared" si="4"/>
        <v>F4</v>
      </c>
      <c r="I779" s="10" t="str">
        <f t="shared" si="5"/>
        <v>BRN69M-F4</v>
      </c>
      <c r="J779" s="6"/>
      <c r="K779" s="16" t="str">
        <f t="shared" si="6"/>
        <v>collected</v>
      </c>
      <c r="L779" s="16" t="str">
        <f t="shared" si="7"/>
        <v>N</v>
      </c>
      <c r="M779" s="16"/>
      <c r="N779" s="16"/>
    </row>
    <row r="780">
      <c r="A780" s="27" t="s">
        <v>718</v>
      </c>
      <c r="B780" s="10" t="str">
        <f t="shared" si="1"/>
        <v>RNA-muscle</v>
      </c>
      <c r="C780" s="10" t="str">
        <f t="shared" si="2"/>
        <v>BRN69M-E4</v>
      </c>
      <c r="D780" s="6">
        <v>69.0</v>
      </c>
      <c r="E780" s="10" t="str">
        <f t="shared" si="3"/>
        <v>BRN69M</v>
      </c>
      <c r="F780" s="6" t="s">
        <v>66</v>
      </c>
      <c r="G780" s="6">
        <v>4.0</v>
      </c>
      <c r="H780" s="11" t="str">
        <f t="shared" si="4"/>
        <v>E4</v>
      </c>
      <c r="I780" s="10" t="str">
        <f t="shared" si="5"/>
        <v>BRN69M-E4</v>
      </c>
      <c r="J780" s="6"/>
      <c r="K780" s="16" t="str">
        <f t="shared" si="6"/>
        <v>collected</v>
      </c>
      <c r="L780" s="16" t="str">
        <f t="shared" si="7"/>
        <v>N</v>
      </c>
      <c r="M780" s="16"/>
      <c r="N780" s="16"/>
    </row>
    <row r="781">
      <c r="A781" s="27" t="s">
        <v>725</v>
      </c>
      <c r="B781" s="10" t="str">
        <f t="shared" si="1"/>
        <v>RNA-muscle</v>
      </c>
      <c r="C781" s="10" t="str">
        <f t="shared" si="2"/>
        <v>BRN69M-D4</v>
      </c>
      <c r="D781" s="6">
        <v>69.0</v>
      </c>
      <c r="E781" s="10" t="str">
        <f t="shared" si="3"/>
        <v>BRN69M</v>
      </c>
      <c r="F781" s="6" t="s">
        <v>68</v>
      </c>
      <c r="G781" s="6">
        <v>4.0</v>
      </c>
      <c r="H781" s="11" t="str">
        <f t="shared" si="4"/>
        <v>D4</v>
      </c>
      <c r="I781" s="10" t="str">
        <f t="shared" si="5"/>
        <v>BRN69M-D4</v>
      </c>
      <c r="J781" s="16"/>
      <c r="K781" s="16" t="str">
        <f t="shared" si="6"/>
        <v>collected</v>
      </c>
      <c r="L781" s="16" t="str">
        <f t="shared" si="7"/>
        <v>N</v>
      </c>
      <c r="M781" s="16"/>
      <c r="N781" s="16"/>
    </row>
    <row r="782">
      <c r="A782" s="27" t="s">
        <v>733</v>
      </c>
      <c r="B782" s="10" t="str">
        <f t="shared" si="1"/>
        <v>RNA-muscle</v>
      </c>
      <c r="C782" s="10" t="str">
        <f t="shared" si="2"/>
        <v>BRN69M-C4</v>
      </c>
      <c r="D782" s="6">
        <v>69.0</v>
      </c>
      <c r="E782" s="10" t="str">
        <f t="shared" si="3"/>
        <v>BRN69M</v>
      </c>
      <c r="F782" s="6" t="s">
        <v>72</v>
      </c>
      <c r="G782" s="6">
        <v>4.0</v>
      </c>
      <c r="H782" s="11" t="str">
        <f t="shared" si="4"/>
        <v>C4</v>
      </c>
      <c r="I782" s="10" t="str">
        <f t="shared" si="5"/>
        <v>BRN69M-C4</v>
      </c>
      <c r="J782" s="16"/>
      <c r="K782" s="16" t="str">
        <f t="shared" si="6"/>
        <v>collected</v>
      </c>
      <c r="L782" s="16" t="str">
        <f t="shared" si="7"/>
        <v>N</v>
      </c>
      <c r="M782" s="16"/>
      <c r="N782" s="16"/>
    </row>
    <row r="783">
      <c r="A783" s="27" t="s">
        <v>739</v>
      </c>
      <c r="B783" s="10" t="str">
        <f t="shared" si="1"/>
        <v>RNA-muscle</v>
      </c>
      <c r="C783" s="10" t="str">
        <f t="shared" si="2"/>
        <v>BRN69M-B4</v>
      </c>
      <c r="D783" s="6">
        <v>69.0</v>
      </c>
      <c r="E783" s="10" t="str">
        <f t="shared" si="3"/>
        <v>BRN69M</v>
      </c>
      <c r="F783" s="6" t="s">
        <v>74</v>
      </c>
      <c r="G783" s="6">
        <v>4.0</v>
      </c>
      <c r="H783" s="11" t="str">
        <f t="shared" si="4"/>
        <v>B4</v>
      </c>
      <c r="I783" s="10" t="str">
        <f t="shared" si="5"/>
        <v>BRN69M-B4</v>
      </c>
      <c r="J783" s="16"/>
      <c r="K783" s="16" t="str">
        <f t="shared" si="6"/>
        <v>collected</v>
      </c>
      <c r="L783" s="16" t="str">
        <f t="shared" si="7"/>
        <v>N</v>
      </c>
      <c r="M783" s="16"/>
      <c r="N783" s="16"/>
    </row>
    <row r="784">
      <c r="A784" s="27" t="s">
        <v>746</v>
      </c>
      <c r="B784" s="10" t="str">
        <f t="shared" si="1"/>
        <v>RNA-muscle</v>
      </c>
      <c r="C784" s="10" t="str">
        <f t="shared" si="2"/>
        <v>BRN69M-A4</v>
      </c>
      <c r="D784" s="6">
        <v>69.0</v>
      </c>
      <c r="E784" s="10" t="str">
        <f t="shared" si="3"/>
        <v>BRN69M</v>
      </c>
      <c r="F784" s="6" t="s">
        <v>76</v>
      </c>
      <c r="G784" s="6">
        <v>4.0</v>
      </c>
      <c r="H784" s="11" t="str">
        <f t="shared" si="4"/>
        <v>A4</v>
      </c>
      <c r="I784" s="10" t="str">
        <f t="shared" si="5"/>
        <v>BRN69M-A4</v>
      </c>
      <c r="J784" s="16"/>
      <c r="K784" s="16" t="str">
        <f t="shared" si="6"/>
        <v>collected</v>
      </c>
      <c r="L784" s="16" t="str">
        <f t="shared" si="7"/>
        <v>N</v>
      </c>
      <c r="M784" s="16"/>
      <c r="N784" s="16"/>
    </row>
    <row r="785">
      <c r="A785" s="27" t="s">
        <v>754</v>
      </c>
      <c r="B785" s="10" t="str">
        <f t="shared" si="1"/>
        <v>RNA-muscle</v>
      </c>
      <c r="C785" s="10" t="str">
        <f t="shared" si="2"/>
        <v>BRN69M-G6</v>
      </c>
      <c r="D785" s="6">
        <v>69.0</v>
      </c>
      <c r="E785" s="10" t="str">
        <f t="shared" si="3"/>
        <v>BRN69M</v>
      </c>
      <c r="F785" s="6" t="s">
        <v>56</v>
      </c>
      <c r="G785" s="6">
        <v>6.0</v>
      </c>
      <c r="H785" s="11" t="str">
        <f t="shared" si="4"/>
        <v>G6</v>
      </c>
      <c r="I785" s="10" t="str">
        <f t="shared" si="5"/>
        <v>BRN69M-G6</v>
      </c>
      <c r="J785" s="16"/>
      <c r="K785" s="16" t="str">
        <f t="shared" si="6"/>
        <v>collected</v>
      </c>
      <c r="L785" s="16" t="str">
        <f t="shared" si="7"/>
        <v>N</v>
      </c>
      <c r="M785" s="16"/>
      <c r="N785" s="16"/>
    </row>
    <row r="786">
      <c r="A786" s="27" t="s">
        <v>761</v>
      </c>
      <c r="B786" s="10" t="str">
        <f t="shared" si="1"/>
        <v>RNA-muscle</v>
      </c>
      <c r="C786" s="10" t="str">
        <f t="shared" si="2"/>
        <v>BRN69M-F6</v>
      </c>
      <c r="D786" s="6">
        <v>69.0</v>
      </c>
      <c r="E786" s="10" t="str">
        <f t="shared" si="3"/>
        <v>BRN69M</v>
      </c>
      <c r="F786" s="6" t="s">
        <v>61</v>
      </c>
      <c r="G786" s="6">
        <v>6.0</v>
      </c>
      <c r="H786" s="11" t="str">
        <f t="shared" si="4"/>
        <v>F6</v>
      </c>
      <c r="I786" s="10" t="str">
        <f t="shared" si="5"/>
        <v>BRN69M-F6</v>
      </c>
      <c r="J786" s="16"/>
      <c r="K786" s="16" t="str">
        <f t="shared" si="6"/>
        <v>collected</v>
      </c>
      <c r="L786" s="16" t="str">
        <f t="shared" si="7"/>
        <v>N</v>
      </c>
      <c r="M786" s="16"/>
      <c r="N786" s="16"/>
    </row>
    <row r="787">
      <c r="A787" s="27" t="s">
        <v>766</v>
      </c>
      <c r="B787" s="10" t="str">
        <f t="shared" si="1"/>
        <v>RNA-muscle</v>
      </c>
      <c r="C787" s="10" t="str">
        <f t="shared" si="2"/>
        <v>BRN69M-E6</v>
      </c>
      <c r="D787" s="6">
        <v>69.0</v>
      </c>
      <c r="E787" s="10" t="str">
        <f t="shared" si="3"/>
        <v>BRN69M</v>
      </c>
      <c r="F787" s="6" t="s">
        <v>66</v>
      </c>
      <c r="G787" s="6">
        <v>6.0</v>
      </c>
      <c r="H787" s="11" t="str">
        <f t="shared" si="4"/>
        <v>E6</v>
      </c>
      <c r="I787" s="10" t="str">
        <f t="shared" si="5"/>
        <v>BRN69M-E6</v>
      </c>
      <c r="J787" s="16"/>
      <c r="K787" s="16" t="str">
        <f t="shared" si="6"/>
        <v>collected</v>
      </c>
      <c r="L787" s="16" t="str">
        <f t="shared" si="7"/>
        <v>N</v>
      </c>
      <c r="M787" s="16"/>
      <c r="N787" s="16"/>
    </row>
    <row r="788">
      <c r="A788" s="27" t="s">
        <v>769</v>
      </c>
      <c r="B788" s="10" t="str">
        <f t="shared" si="1"/>
        <v>RNA-muscle</v>
      </c>
      <c r="C788" s="10" t="str">
        <f t="shared" si="2"/>
        <v>BRN69M-D6</v>
      </c>
      <c r="D788" s="6">
        <v>69.0</v>
      </c>
      <c r="E788" s="10" t="str">
        <f t="shared" si="3"/>
        <v>BRN69M</v>
      </c>
      <c r="F788" s="6" t="s">
        <v>68</v>
      </c>
      <c r="G788" s="6">
        <v>6.0</v>
      </c>
      <c r="H788" s="11" t="str">
        <f t="shared" si="4"/>
        <v>D6</v>
      </c>
      <c r="I788" s="10" t="str">
        <f t="shared" si="5"/>
        <v>BRN69M-D6</v>
      </c>
      <c r="J788" s="6"/>
      <c r="K788" s="16" t="str">
        <f t="shared" si="6"/>
        <v>collected</v>
      </c>
      <c r="L788" s="16" t="str">
        <f t="shared" si="7"/>
        <v>N</v>
      </c>
      <c r="M788" s="16"/>
      <c r="N788" s="16"/>
    </row>
    <row r="789">
      <c r="A789" s="27" t="s">
        <v>772</v>
      </c>
      <c r="B789" s="10" t="str">
        <f t="shared" si="1"/>
        <v>RNA-muscle</v>
      </c>
      <c r="C789" s="10" t="str">
        <f t="shared" si="2"/>
        <v>BRN69M-C6</v>
      </c>
      <c r="D789" s="6">
        <v>69.0</v>
      </c>
      <c r="E789" s="10" t="str">
        <f t="shared" si="3"/>
        <v>BRN69M</v>
      </c>
      <c r="F789" s="6" t="s">
        <v>72</v>
      </c>
      <c r="G789" s="6">
        <v>6.0</v>
      </c>
      <c r="H789" s="11" t="str">
        <f t="shared" si="4"/>
        <v>C6</v>
      </c>
      <c r="I789" s="10" t="str">
        <f t="shared" si="5"/>
        <v>BRN69M-C6</v>
      </c>
      <c r="J789" s="16"/>
      <c r="K789" s="16" t="str">
        <f t="shared" si="6"/>
        <v>collected</v>
      </c>
      <c r="L789" s="16" t="str">
        <f t="shared" si="7"/>
        <v>N</v>
      </c>
      <c r="M789" s="16"/>
      <c r="N789" s="16"/>
    </row>
    <row r="790">
      <c r="A790" s="27" t="s">
        <v>779</v>
      </c>
      <c r="B790" s="10" t="str">
        <f t="shared" si="1"/>
        <v>RNA-muscle</v>
      </c>
      <c r="C790" s="10" t="str">
        <f t="shared" si="2"/>
        <v>BRN69M-B6</v>
      </c>
      <c r="D790" s="6">
        <v>69.0</v>
      </c>
      <c r="E790" s="10" t="str">
        <f t="shared" si="3"/>
        <v>BRN69M</v>
      </c>
      <c r="F790" s="6" t="s">
        <v>74</v>
      </c>
      <c r="G790" s="6">
        <v>6.0</v>
      </c>
      <c r="H790" s="11" t="str">
        <f t="shared" si="4"/>
        <v>B6</v>
      </c>
      <c r="I790" s="10" t="str">
        <f t="shared" si="5"/>
        <v>BRN69M-B6</v>
      </c>
      <c r="J790" s="16"/>
      <c r="K790" s="16" t="str">
        <f t="shared" si="6"/>
        <v>collected</v>
      </c>
      <c r="L790" s="16" t="str">
        <f t="shared" si="7"/>
        <v>N</v>
      </c>
      <c r="M790" s="16"/>
      <c r="N790" s="16"/>
    </row>
    <row r="791">
      <c r="A791" s="27" t="s">
        <v>786</v>
      </c>
      <c r="B791" s="10" t="str">
        <f t="shared" si="1"/>
        <v>RNA-muscle</v>
      </c>
      <c r="C791" s="10" t="str">
        <f t="shared" si="2"/>
        <v>BRN69M-A6</v>
      </c>
      <c r="D791" s="6">
        <v>69.0</v>
      </c>
      <c r="E791" s="10" t="str">
        <f t="shared" si="3"/>
        <v>BRN69M</v>
      </c>
      <c r="F791" s="6" t="s">
        <v>76</v>
      </c>
      <c r="G791" s="6">
        <v>6.0</v>
      </c>
      <c r="H791" s="11" t="str">
        <f t="shared" si="4"/>
        <v>A6</v>
      </c>
      <c r="I791" s="10" t="str">
        <f t="shared" si="5"/>
        <v>BRN69M-A6</v>
      </c>
      <c r="J791" s="16"/>
      <c r="K791" s="16" t="str">
        <f t="shared" si="6"/>
        <v>collected</v>
      </c>
      <c r="L791" s="16" t="str">
        <f t="shared" si="7"/>
        <v>N</v>
      </c>
      <c r="M791" s="16"/>
      <c r="N791" s="16"/>
    </row>
    <row r="792">
      <c r="A792" s="27" t="s">
        <v>793</v>
      </c>
      <c r="B792" s="10" t="str">
        <f t="shared" si="1"/>
        <v>RNA-muscle</v>
      </c>
      <c r="C792" s="10" t="str">
        <f t="shared" si="2"/>
        <v>BRN69M-H8</v>
      </c>
      <c r="D792" s="6">
        <v>69.0</v>
      </c>
      <c r="E792" s="10" t="str">
        <f t="shared" si="3"/>
        <v>BRN69M</v>
      </c>
      <c r="F792" s="6" t="s">
        <v>51</v>
      </c>
      <c r="G792" s="6">
        <v>8.0</v>
      </c>
      <c r="H792" s="11" t="str">
        <f t="shared" si="4"/>
        <v>H8</v>
      </c>
      <c r="I792" s="10" t="str">
        <f t="shared" si="5"/>
        <v>BRN69M-H8</v>
      </c>
      <c r="J792" s="16"/>
      <c r="K792" s="16" t="str">
        <f t="shared" si="6"/>
        <v>collected</v>
      </c>
      <c r="L792" s="16" t="str">
        <f t="shared" si="7"/>
        <v>N</v>
      </c>
      <c r="M792" s="16"/>
      <c r="N792" s="16"/>
    </row>
    <row r="793">
      <c r="A793" s="27" t="s">
        <v>800</v>
      </c>
      <c r="B793" s="10" t="str">
        <f t="shared" si="1"/>
        <v>RNA-muscle</v>
      </c>
      <c r="C793" s="10" t="str">
        <f t="shared" si="2"/>
        <v>BRN69M-G8</v>
      </c>
      <c r="D793" s="6">
        <v>69.0</v>
      </c>
      <c r="E793" s="10" t="str">
        <f t="shared" si="3"/>
        <v>BRN69M</v>
      </c>
      <c r="F793" s="6" t="s">
        <v>56</v>
      </c>
      <c r="G793" s="6">
        <v>8.0</v>
      </c>
      <c r="H793" s="11" t="str">
        <f t="shared" si="4"/>
        <v>G8</v>
      </c>
      <c r="I793" s="10" t="str">
        <f t="shared" si="5"/>
        <v>BRN69M-G8</v>
      </c>
      <c r="J793" s="16"/>
      <c r="K793" s="16" t="str">
        <f t="shared" si="6"/>
        <v>collected</v>
      </c>
      <c r="L793" s="16" t="str">
        <f t="shared" si="7"/>
        <v>N</v>
      </c>
      <c r="M793" s="16"/>
      <c r="N793" s="16"/>
    </row>
    <row r="794">
      <c r="A794" s="27" t="s">
        <v>808</v>
      </c>
      <c r="B794" s="10" t="str">
        <f t="shared" si="1"/>
        <v>RNA-muscle</v>
      </c>
      <c r="C794" s="10" t="str">
        <f t="shared" si="2"/>
        <v>BRN69M-F8</v>
      </c>
      <c r="D794" s="6">
        <v>69.0</v>
      </c>
      <c r="E794" s="10" t="str">
        <f t="shared" si="3"/>
        <v>BRN69M</v>
      </c>
      <c r="F794" s="6" t="s">
        <v>61</v>
      </c>
      <c r="G794" s="6">
        <v>8.0</v>
      </c>
      <c r="H794" s="11" t="str">
        <f t="shared" si="4"/>
        <v>F8</v>
      </c>
      <c r="I794" s="10" t="str">
        <f t="shared" si="5"/>
        <v>BRN69M-F8</v>
      </c>
      <c r="J794" s="16"/>
      <c r="K794" s="16" t="str">
        <f t="shared" si="6"/>
        <v>collected</v>
      </c>
      <c r="L794" s="16" t="str">
        <f t="shared" si="7"/>
        <v>N</v>
      </c>
      <c r="M794" s="16"/>
      <c r="N794" s="16"/>
    </row>
    <row r="795">
      <c r="A795" s="27" t="s">
        <v>816</v>
      </c>
      <c r="B795" s="10" t="str">
        <f t="shared" si="1"/>
        <v>RNA-muscle</v>
      </c>
      <c r="C795" s="10" t="str">
        <f t="shared" si="2"/>
        <v>BRN69M-E8</v>
      </c>
      <c r="D795" s="6">
        <v>69.0</v>
      </c>
      <c r="E795" s="10" t="str">
        <f t="shared" si="3"/>
        <v>BRN69M</v>
      </c>
      <c r="F795" s="6" t="s">
        <v>66</v>
      </c>
      <c r="G795" s="6">
        <v>8.0</v>
      </c>
      <c r="H795" s="11" t="str">
        <f t="shared" si="4"/>
        <v>E8</v>
      </c>
      <c r="I795" s="10" t="str">
        <f t="shared" si="5"/>
        <v>BRN69M-E8</v>
      </c>
      <c r="J795" s="16"/>
      <c r="K795" s="16" t="str">
        <f t="shared" si="6"/>
        <v>collected</v>
      </c>
      <c r="L795" s="16" t="str">
        <f t="shared" si="7"/>
        <v>N</v>
      </c>
      <c r="M795" s="16"/>
      <c r="N795" s="16"/>
    </row>
    <row r="796">
      <c r="A796" s="27" t="s">
        <v>824</v>
      </c>
      <c r="B796" s="10" t="str">
        <f t="shared" si="1"/>
        <v>RNA-muscle</v>
      </c>
      <c r="C796" s="10" t="str">
        <f t="shared" si="2"/>
        <v>BRN69M-D8</v>
      </c>
      <c r="D796" s="6">
        <v>69.0</v>
      </c>
      <c r="E796" s="10" t="str">
        <f t="shared" si="3"/>
        <v>BRN69M</v>
      </c>
      <c r="F796" s="6" t="s">
        <v>68</v>
      </c>
      <c r="G796" s="6">
        <v>8.0</v>
      </c>
      <c r="H796" s="11" t="str">
        <f t="shared" si="4"/>
        <v>D8</v>
      </c>
      <c r="I796" s="10" t="str">
        <f t="shared" si="5"/>
        <v>BRN69M-D8</v>
      </c>
      <c r="J796" s="6"/>
      <c r="K796" s="16" t="str">
        <f t="shared" si="6"/>
        <v>collected</v>
      </c>
      <c r="L796" s="16" t="str">
        <f t="shared" si="7"/>
        <v>N</v>
      </c>
      <c r="M796" s="16"/>
      <c r="N796" s="16"/>
    </row>
    <row r="797">
      <c r="A797" s="27" t="s">
        <v>829</v>
      </c>
      <c r="B797" s="10" t="str">
        <f t="shared" si="1"/>
        <v>RNA-muscle</v>
      </c>
      <c r="C797" s="10" t="str">
        <f t="shared" si="2"/>
        <v>BRN69M-C8</v>
      </c>
      <c r="D797" s="6">
        <v>69.0</v>
      </c>
      <c r="E797" s="10" t="str">
        <f t="shared" si="3"/>
        <v>BRN69M</v>
      </c>
      <c r="F797" s="6" t="s">
        <v>72</v>
      </c>
      <c r="G797" s="6">
        <v>8.0</v>
      </c>
      <c r="H797" s="11" t="str">
        <f t="shared" si="4"/>
        <v>C8</v>
      </c>
      <c r="I797" s="10" t="str">
        <f t="shared" si="5"/>
        <v>BRN69M-C8</v>
      </c>
      <c r="J797" s="6"/>
      <c r="K797" s="16" t="str">
        <f t="shared" si="6"/>
        <v>collected</v>
      </c>
      <c r="L797" s="16" t="str">
        <f t="shared" si="7"/>
        <v>N</v>
      </c>
      <c r="M797" s="16"/>
      <c r="N797" s="16"/>
    </row>
    <row r="798">
      <c r="A798" s="27" t="s">
        <v>835</v>
      </c>
      <c r="B798" s="10" t="str">
        <f t="shared" si="1"/>
        <v>RNA-muscle</v>
      </c>
      <c r="C798" s="10" t="str">
        <f t="shared" si="2"/>
        <v>BRN69M-B8</v>
      </c>
      <c r="D798" s="6">
        <v>69.0</v>
      </c>
      <c r="E798" s="10" t="str">
        <f t="shared" si="3"/>
        <v>BRN69M</v>
      </c>
      <c r="F798" s="6" t="s">
        <v>74</v>
      </c>
      <c r="G798" s="6">
        <v>8.0</v>
      </c>
      <c r="H798" s="11" t="str">
        <f t="shared" si="4"/>
        <v>B8</v>
      </c>
      <c r="I798" s="10" t="str">
        <f t="shared" si="5"/>
        <v>BRN69M-B8</v>
      </c>
      <c r="J798" s="16"/>
      <c r="K798" s="16" t="str">
        <f t="shared" si="6"/>
        <v>collected</v>
      </c>
      <c r="L798" s="16" t="str">
        <f t="shared" si="7"/>
        <v>N</v>
      </c>
      <c r="M798" s="16"/>
      <c r="N798" s="16"/>
    </row>
    <row r="799">
      <c r="A799" s="27" t="s">
        <v>840</v>
      </c>
      <c r="B799" s="10" t="str">
        <f t="shared" si="1"/>
        <v>RNA-muscle</v>
      </c>
      <c r="C799" s="10" t="str">
        <f t="shared" si="2"/>
        <v>BRN69M-A8</v>
      </c>
      <c r="D799" s="6">
        <v>69.0</v>
      </c>
      <c r="E799" s="10" t="str">
        <f t="shared" si="3"/>
        <v>BRN69M</v>
      </c>
      <c r="F799" s="6" t="s">
        <v>76</v>
      </c>
      <c r="G799" s="6">
        <v>8.0</v>
      </c>
      <c r="H799" s="11" t="str">
        <f t="shared" si="4"/>
        <v>A8</v>
      </c>
      <c r="I799" s="10" t="str">
        <f t="shared" si="5"/>
        <v>BRN69M-A8</v>
      </c>
      <c r="J799" s="6"/>
      <c r="K799" s="16" t="str">
        <f t="shared" si="6"/>
        <v>collected</v>
      </c>
      <c r="L799" s="16" t="str">
        <f t="shared" si="7"/>
        <v>N</v>
      </c>
      <c r="M799" s="16"/>
      <c r="N799" s="16"/>
    </row>
    <row r="800">
      <c r="A800" s="27" t="s">
        <v>845</v>
      </c>
      <c r="B800" s="10" t="str">
        <f t="shared" si="1"/>
        <v>RNA-muscle</v>
      </c>
      <c r="C800" s="10" t="str">
        <f t="shared" si="2"/>
        <v>BRN69M-H9</v>
      </c>
      <c r="D800" s="6">
        <v>69.0</v>
      </c>
      <c r="E800" s="10" t="str">
        <f t="shared" si="3"/>
        <v>BRN69M</v>
      </c>
      <c r="F800" s="6" t="s">
        <v>51</v>
      </c>
      <c r="G800" s="6">
        <v>9.0</v>
      </c>
      <c r="H800" s="11" t="str">
        <f t="shared" si="4"/>
        <v>H9</v>
      </c>
      <c r="I800" s="10" t="str">
        <f t="shared" si="5"/>
        <v>BRN69M-H9</v>
      </c>
      <c r="J800" s="16"/>
      <c r="K800" s="16" t="str">
        <f t="shared" si="6"/>
        <v>collected</v>
      </c>
      <c r="L800" s="16" t="str">
        <f t="shared" si="7"/>
        <v>N</v>
      </c>
      <c r="M800" s="16"/>
      <c r="N800" s="16"/>
    </row>
    <row r="801">
      <c r="A801" s="26" t="s">
        <v>850</v>
      </c>
      <c r="B801" s="10" t="str">
        <f t="shared" si="1"/>
        <v>RNA-muscle</v>
      </c>
      <c r="C801" s="10" t="str">
        <f t="shared" si="2"/>
        <v>BRN69M-G9</v>
      </c>
      <c r="D801" s="6">
        <v>69.0</v>
      </c>
      <c r="E801" s="10" t="str">
        <f t="shared" si="3"/>
        <v>BRN69M</v>
      </c>
      <c r="F801" s="6" t="s">
        <v>56</v>
      </c>
      <c r="G801" s="6">
        <v>9.0</v>
      </c>
      <c r="H801" s="11" t="str">
        <f t="shared" si="4"/>
        <v>G9</v>
      </c>
      <c r="I801" s="10" t="str">
        <f t="shared" si="5"/>
        <v>BRN69M-G9</v>
      </c>
      <c r="J801" s="16"/>
      <c r="K801" s="16" t="str">
        <f t="shared" si="6"/>
        <v>collected</v>
      </c>
      <c r="L801" s="16" t="str">
        <f t="shared" si="7"/>
        <v>N</v>
      </c>
      <c r="M801" s="16"/>
      <c r="N801" s="16"/>
    </row>
    <row r="802">
      <c r="A802" s="26" t="s">
        <v>856</v>
      </c>
      <c r="B802" s="10" t="str">
        <f t="shared" si="1"/>
        <v>RNA-muscle</v>
      </c>
      <c r="C802" s="10" t="str">
        <f t="shared" si="2"/>
        <v>BRN69M-F9</v>
      </c>
      <c r="D802" s="6">
        <v>69.0</v>
      </c>
      <c r="E802" s="10" t="str">
        <f t="shared" si="3"/>
        <v>BRN69M</v>
      </c>
      <c r="F802" s="6" t="s">
        <v>61</v>
      </c>
      <c r="G802" s="6">
        <v>9.0</v>
      </c>
      <c r="H802" s="11" t="str">
        <f t="shared" si="4"/>
        <v>F9</v>
      </c>
      <c r="I802" s="10" t="str">
        <f t="shared" si="5"/>
        <v>BRN69M-F9</v>
      </c>
      <c r="J802" s="6"/>
      <c r="K802" s="16" t="str">
        <f t="shared" si="6"/>
        <v>collected</v>
      </c>
      <c r="L802" s="16" t="str">
        <f t="shared" si="7"/>
        <v>N</v>
      </c>
      <c r="M802" s="16"/>
      <c r="N802" s="16"/>
    </row>
    <row r="803">
      <c r="A803" s="26" t="s">
        <v>861</v>
      </c>
      <c r="B803" s="10" t="str">
        <f t="shared" si="1"/>
        <v>RNA-muscle</v>
      </c>
      <c r="C803" s="10" t="str">
        <f t="shared" si="2"/>
        <v>BRN69M-E9</v>
      </c>
      <c r="D803" s="6">
        <v>69.0</v>
      </c>
      <c r="E803" s="10" t="str">
        <f t="shared" si="3"/>
        <v>BRN69M</v>
      </c>
      <c r="F803" s="6" t="s">
        <v>66</v>
      </c>
      <c r="G803" s="6">
        <v>9.0</v>
      </c>
      <c r="H803" s="11" t="str">
        <f t="shared" si="4"/>
        <v>E9</v>
      </c>
      <c r="I803" s="10" t="str">
        <f t="shared" si="5"/>
        <v>BRN69M-E9</v>
      </c>
      <c r="J803" s="6"/>
      <c r="K803" s="16" t="str">
        <f t="shared" si="6"/>
        <v>collected</v>
      </c>
      <c r="L803" s="16" t="str">
        <f t="shared" si="7"/>
        <v>N</v>
      </c>
      <c r="M803" s="16"/>
      <c r="N803" s="16"/>
    </row>
    <row r="804">
      <c r="A804" s="26" t="s">
        <v>869</v>
      </c>
      <c r="B804" s="10" t="str">
        <f t="shared" si="1"/>
        <v>RNA-muscle</v>
      </c>
      <c r="C804" s="10" t="str">
        <f t="shared" si="2"/>
        <v>BRN69M-D9</v>
      </c>
      <c r="D804" s="6">
        <v>69.0</v>
      </c>
      <c r="E804" s="10" t="str">
        <f t="shared" si="3"/>
        <v>BRN69M</v>
      </c>
      <c r="F804" s="6" t="s">
        <v>68</v>
      </c>
      <c r="G804" s="6">
        <v>9.0</v>
      </c>
      <c r="H804" s="11" t="str">
        <f t="shared" si="4"/>
        <v>D9</v>
      </c>
      <c r="I804" s="10" t="str">
        <f t="shared" si="5"/>
        <v>BRN69M-D9</v>
      </c>
      <c r="J804" s="6" t="s">
        <v>437</v>
      </c>
      <c r="K804" s="16" t="str">
        <f t="shared" si="6"/>
        <v>collected</v>
      </c>
      <c r="L804" s="16" t="str">
        <f t="shared" si="7"/>
        <v>N</v>
      </c>
      <c r="M804" s="16"/>
      <c r="N804" s="16"/>
    </row>
    <row r="805">
      <c r="A805" s="26" t="s">
        <v>876</v>
      </c>
      <c r="B805" s="10" t="str">
        <f t="shared" si="1"/>
        <v>RNA-muscle</v>
      </c>
      <c r="C805" s="10" t="str">
        <f t="shared" si="2"/>
        <v>BRN69M-C9</v>
      </c>
      <c r="D805" s="6">
        <v>69.0</v>
      </c>
      <c r="E805" s="10" t="str">
        <f t="shared" si="3"/>
        <v>BRN69M</v>
      </c>
      <c r="F805" s="6" t="s">
        <v>72</v>
      </c>
      <c r="G805" s="6">
        <v>9.0</v>
      </c>
      <c r="H805" s="11" t="str">
        <f t="shared" si="4"/>
        <v>C9</v>
      </c>
      <c r="I805" s="10" t="str">
        <f t="shared" si="5"/>
        <v>BRN69M-C9</v>
      </c>
      <c r="J805" s="16"/>
      <c r="K805" s="16" t="str">
        <f t="shared" si="6"/>
        <v>collected</v>
      </c>
      <c r="L805" s="16" t="str">
        <f t="shared" si="7"/>
        <v>N</v>
      </c>
      <c r="M805" s="16"/>
      <c r="N805" s="16"/>
    </row>
    <row r="806">
      <c r="A806" s="26" t="s">
        <v>880</v>
      </c>
      <c r="B806" s="10" t="str">
        <f t="shared" si="1"/>
        <v>RNA-muscle</v>
      </c>
      <c r="C806" s="10" t="str">
        <f t="shared" si="2"/>
        <v>BRN69M-B9</v>
      </c>
      <c r="D806" s="6">
        <v>69.0</v>
      </c>
      <c r="E806" s="10" t="str">
        <f t="shared" si="3"/>
        <v>BRN69M</v>
      </c>
      <c r="F806" s="6" t="s">
        <v>74</v>
      </c>
      <c r="G806" s="6">
        <v>9.0</v>
      </c>
      <c r="H806" s="11" t="str">
        <f t="shared" si="4"/>
        <v>B9</v>
      </c>
      <c r="I806" s="10" t="str">
        <f t="shared" si="5"/>
        <v>BRN69M-B9</v>
      </c>
      <c r="J806" s="16"/>
      <c r="K806" s="16" t="str">
        <f t="shared" si="6"/>
        <v>collected</v>
      </c>
      <c r="L806" s="16" t="str">
        <f t="shared" si="7"/>
        <v>N</v>
      </c>
      <c r="M806" s="16"/>
      <c r="N806" s="16"/>
    </row>
    <row r="807">
      <c r="A807" s="26" t="s">
        <v>890</v>
      </c>
      <c r="B807" s="10" t="str">
        <f t="shared" si="1"/>
        <v>RNA-muscle</v>
      </c>
      <c r="C807" s="10" t="str">
        <f t="shared" si="2"/>
        <v>BRN69M-A9</v>
      </c>
      <c r="D807" s="6">
        <v>69.0</v>
      </c>
      <c r="E807" s="10" t="str">
        <f t="shared" si="3"/>
        <v>BRN69M</v>
      </c>
      <c r="F807" s="6" t="s">
        <v>76</v>
      </c>
      <c r="G807" s="6">
        <v>9.0</v>
      </c>
      <c r="H807" s="11" t="str">
        <f t="shared" si="4"/>
        <v>A9</v>
      </c>
      <c r="I807" s="10" t="str">
        <f t="shared" si="5"/>
        <v>BRN69M-A9</v>
      </c>
      <c r="J807" s="16"/>
      <c r="K807" s="16" t="str">
        <f t="shared" si="6"/>
        <v>collected</v>
      </c>
      <c r="L807" s="16" t="str">
        <f t="shared" si="7"/>
        <v>N</v>
      </c>
      <c r="M807" s="16"/>
      <c r="N807" s="16"/>
    </row>
    <row r="808">
      <c r="A808" s="26" t="s">
        <v>900</v>
      </c>
      <c r="B808" s="10" t="str">
        <f t="shared" si="1"/>
        <v>RNA-muscle</v>
      </c>
      <c r="C808" s="10" t="str">
        <f t="shared" si="2"/>
        <v>BRN69M-H11</v>
      </c>
      <c r="D808" s="6">
        <v>69.0</v>
      </c>
      <c r="E808" s="10" t="str">
        <f t="shared" si="3"/>
        <v>BRN69M</v>
      </c>
      <c r="F808" s="6" t="s">
        <v>51</v>
      </c>
      <c r="G808" s="6">
        <v>11.0</v>
      </c>
      <c r="H808" s="11" t="str">
        <f t="shared" si="4"/>
        <v>H11</v>
      </c>
      <c r="I808" s="10" t="str">
        <f t="shared" si="5"/>
        <v>BRN69M-H11</v>
      </c>
      <c r="J808" s="16"/>
      <c r="K808" s="16" t="str">
        <f t="shared" si="6"/>
        <v>collected</v>
      </c>
      <c r="L808" s="16" t="str">
        <f t="shared" si="7"/>
        <v>N</v>
      </c>
      <c r="M808" s="16"/>
      <c r="N808" s="16"/>
    </row>
    <row r="809">
      <c r="A809" s="26" t="s">
        <v>912</v>
      </c>
      <c r="B809" s="10" t="str">
        <f t="shared" si="1"/>
        <v>RNA-muscle</v>
      </c>
      <c r="C809" s="10" t="str">
        <f t="shared" si="2"/>
        <v>BRN69M-G11</v>
      </c>
      <c r="D809" s="6">
        <v>69.0</v>
      </c>
      <c r="E809" s="10" t="str">
        <f t="shared" si="3"/>
        <v>BRN69M</v>
      </c>
      <c r="F809" s="6" t="s">
        <v>56</v>
      </c>
      <c r="G809" s="6">
        <v>11.0</v>
      </c>
      <c r="H809" s="11" t="str">
        <f t="shared" si="4"/>
        <v>G11</v>
      </c>
      <c r="I809" s="10" t="str">
        <f t="shared" si="5"/>
        <v>BRN69M-G11</v>
      </c>
      <c r="J809" s="6"/>
      <c r="K809" s="16" t="str">
        <f t="shared" si="6"/>
        <v>collected</v>
      </c>
      <c r="L809" s="16" t="str">
        <f t="shared" si="7"/>
        <v>N</v>
      </c>
      <c r="M809" s="16"/>
      <c r="N809" s="16"/>
    </row>
    <row r="810">
      <c r="A810" s="26" t="s">
        <v>919</v>
      </c>
      <c r="B810" s="10" t="str">
        <f t="shared" si="1"/>
        <v>RNA-muscle</v>
      </c>
      <c r="C810" s="10" t="str">
        <f t="shared" si="2"/>
        <v>BRN69M-F11</v>
      </c>
      <c r="D810" s="6">
        <v>69.0</v>
      </c>
      <c r="E810" s="10" t="str">
        <f t="shared" si="3"/>
        <v>BRN69M</v>
      </c>
      <c r="F810" s="6" t="s">
        <v>61</v>
      </c>
      <c r="G810" s="6">
        <v>11.0</v>
      </c>
      <c r="H810" s="11" t="str">
        <f t="shared" si="4"/>
        <v>F11</v>
      </c>
      <c r="I810" s="10" t="str">
        <f t="shared" si="5"/>
        <v>BRN69M-F11</v>
      </c>
      <c r="J810" s="6"/>
      <c r="K810" s="16" t="str">
        <f t="shared" si="6"/>
        <v>collected</v>
      </c>
      <c r="L810" s="16" t="str">
        <f t="shared" si="7"/>
        <v>N</v>
      </c>
      <c r="M810" s="16"/>
      <c r="N810" s="16"/>
    </row>
    <row r="811">
      <c r="A811" s="26" t="s">
        <v>928</v>
      </c>
      <c r="B811" s="10" t="str">
        <f t="shared" si="1"/>
        <v>RNA-muscle</v>
      </c>
      <c r="C811" s="10" t="str">
        <f t="shared" si="2"/>
        <v>BRN69M-E11</v>
      </c>
      <c r="D811" s="6">
        <v>69.0</v>
      </c>
      <c r="E811" s="10" t="str">
        <f t="shared" si="3"/>
        <v>BRN69M</v>
      </c>
      <c r="F811" s="6" t="s">
        <v>66</v>
      </c>
      <c r="G811" s="6">
        <v>11.0</v>
      </c>
      <c r="H811" s="11" t="str">
        <f t="shared" si="4"/>
        <v>E11</v>
      </c>
      <c r="I811" s="10" t="str">
        <f t="shared" si="5"/>
        <v>BRN69M-E11</v>
      </c>
      <c r="J811" s="16"/>
      <c r="K811" s="16" t="str">
        <f t="shared" si="6"/>
        <v>collected</v>
      </c>
      <c r="L811" s="16" t="str">
        <f t="shared" si="7"/>
        <v>N</v>
      </c>
      <c r="M811" s="16"/>
      <c r="N811" s="16"/>
    </row>
    <row r="812">
      <c r="A812" s="26" t="s">
        <v>936</v>
      </c>
      <c r="B812" s="10" t="str">
        <f t="shared" si="1"/>
        <v>RNA-muscle</v>
      </c>
      <c r="C812" s="10" t="str">
        <f t="shared" si="2"/>
        <v>BRN69M-C7</v>
      </c>
      <c r="D812" s="6">
        <v>69.0</v>
      </c>
      <c r="E812" s="10" t="str">
        <f t="shared" si="3"/>
        <v>BRN69M</v>
      </c>
      <c r="F812" s="6" t="s">
        <v>72</v>
      </c>
      <c r="G812" s="6">
        <v>7.0</v>
      </c>
      <c r="H812" s="11" t="str">
        <f t="shared" si="4"/>
        <v>C7</v>
      </c>
      <c r="I812" s="10" t="str">
        <f t="shared" si="5"/>
        <v>BRN69M-C7</v>
      </c>
      <c r="J812" s="16"/>
      <c r="K812" s="16" t="str">
        <f t="shared" si="6"/>
        <v>collected</v>
      </c>
      <c r="L812" s="16" t="str">
        <f t="shared" si="7"/>
        <v>N</v>
      </c>
      <c r="M812" s="16"/>
      <c r="N812" s="16"/>
    </row>
    <row r="813">
      <c r="A813" s="27" t="s">
        <v>944</v>
      </c>
      <c r="B813" s="10" t="str">
        <f t="shared" si="1"/>
        <v>RNA-muscle</v>
      </c>
      <c r="C813" s="10" t="str">
        <f t="shared" si="2"/>
        <v>BRN69M-B7</v>
      </c>
      <c r="D813" s="6">
        <v>69.0</v>
      </c>
      <c r="E813" s="10" t="str">
        <f t="shared" si="3"/>
        <v>BRN69M</v>
      </c>
      <c r="F813" s="6" t="s">
        <v>74</v>
      </c>
      <c r="G813" s="6">
        <v>7.0</v>
      </c>
      <c r="H813" s="11" t="str">
        <f t="shared" si="4"/>
        <v>B7</v>
      </c>
      <c r="I813" s="10" t="str">
        <f t="shared" si="5"/>
        <v>BRN69M-B7</v>
      </c>
      <c r="J813" s="6"/>
      <c r="K813" s="16" t="str">
        <f t="shared" si="6"/>
        <v>collected</v>
      </c>
      <c r="L813" s="16" t="str">
        <f t="shared" si="7"/>
        <v>N</v>
      </c>
      <c r="M813" s="16"/>
      <c r="N813" s="16"/>
    </row>
    <row r="814">
      <c r="A814" s="27" t="s">
        <v>953</v>
      </c>
      <c r="B814" s="10" t="str">
        <f t="shared" si="1"/>
        <v>RNA-muscle</v>
      </c>
      <c r="C814" s="10" t="str">
        <f t="shared" si="2"/>
        <v>BRN69M-A7</v>
      </c>
      <c r="D814" s="6">
        <v>69.0</v>
      </c>
      <c r="E814" s="10" t="str">
        <f t="shared" si="3"/>
        <v>BRN69M</v>
      </c>
      <c r="F814" s="6" t="s">
        <v>76</v>
      </c>
      <c r="G814" s="6">
        <v>7.0</v>
      </c>
      <c r="H814" s="11" t="str">
        <f t="shared" si="4"/>
        <v>A7</v>
      </c>
      <c r="I814" s="10" t="str">
        <f t="shared" si="5"/>
        <v>BRN69M-A7</v>
      </c>
      <c r="J814" s="16"/>
      <c r="K814" s="16" t="str">
        <f t="shared" si="6"/>
        <v>collected</v>
      </c>
      <c r="L814" s="16" t="str">
        <f t="shared" si="7"/>
        <v>N</v>
      </c>
      <c r="M814" s="16"/>
      <c r="N814" s="16"/>
    </row>
    <row r="815">
      <c r="A815" s="27" t="s">
        <v>961</v>
      </c>
      <c r="B815" s="10" t="str">
        <f t="shared" si="1"/>
        <v>RNA-muscle</v>
      </c>
      <c r="C815" s="10" t="str">
        <f t="shared" si="2"/>
        <v>BRN69M-H10</v>
      </c>
      <c r="D815" s="6">
        <v>69.0</v>
      </c>
      <c r="E815" s="10" t="str">
        <f t="shared" si="3"/>
        <v>BRN69M</v>
      </c>
      <c r="F815" s="6" t="s">
        <v>51</v>
      </c>
      <c r="G815" s="6">
        <v>10.0</v>
      </c>
      <c r="H815" s="11" t="str">
        <f t="shared" si="4"/>
        <v>H10</v>
      </c>
      <c r="I815" s="10" t="str">
        <f t="shared" si="5"/>
        <v>BRN69M-H10</v>
      </c>
      <c r="J815" s="16"/>
      <c r="K815" s="16" t="str">
        <f t="shared" si="6"/>
        <v>collected</v>
      </c>
      <c r="L815" s="16" t="str">
        <f t="shared" si="7"/>
        <v>N</v>
      </c>
      <c r="M815" s="16"/>
      <c r="N815" s="16"/>
    </row>
    <row r="816">
      <c r="A816" s="27" t="s">
        <v>970</v>
      </c>
      <c r="B816" s="10" t="str">
        <f t="shared" si="1"/>
        <v>RNA-muscle</v>
      </c>
      <c r="C816" s="10" t="str">
        <f t="shared" si="2"/>
        <v>BRN69M-G10</v>
      </c>
      <c r="D816" s="6">
        <v>69.0</v>
      </c>
      <c r="E816" s="10" t="str">
        <f t="shared" si="3"/>
        <v>BRN69M</v>
      </c>
      <c r="F816" s="6" t="s">
        <v>56</v>
      </c>
      <c r="G816" s="6">
        <v>10.0</v>
      </c>
      <c r="H816" s="11" t="str">
        <f t="shared" si="4"/>
        <v>G10</v>
      </c>
      <c r="I816" s="10" t="str">
        <f t="shared" si="5"/>
        <v>BRN69M-G10</v>
      </c>
      <c r="J816" s="16"/>
      <c r="K816" s="16" t="str">
        <f t="shared" si="6"/>
        <v>collected</v>
      </c>
      <c r="L816" s="16" t="str">
        <f t="shared" si="7"/>
        <v>N</v>
      </c>
      <c r="M816" s="16"/>
      <c r="N816" s="16"/>
    </row>
    <row r="817">
      <c r="A817" s="27" t="s">
        <v>977</v>
      </c>
      <c r="B817" s="10" t="str">
        <f t="shared" si="1"/>
        <v>RNA-muscle</v>
      </c>
      <c r="C817" s="10" t="str">
        <f t="shared" si="2"/>
        <v>BRN69M-F10</v>
      </c>
      <c r="D817" s="6">
        <v>69.0</v>
      </c>
      <c r="E817" s="10" t="str">
        <f t="shared" si="3"/>
        <v>BRN69M</v>
      </c>
      <c r="F817" s="6" t="s">
        <v>61</v>
      </c>
      <c r="G817" s="6">
        <v>10.0</v>
      </c>
      <c r="H817" s="11" t="str">
        <f t="shared" si="4"/>
        <v>F10</v>
      </c>
      <c r="I817" s="10" t="str">
        <f t="shared" si="5"/>
        <v>BRN69M-F10</v>
      </c>
      <c r="J817" s="16"/>
      <c r="K817" s="16" t="str">
        <f t="shared" si="6"/>
        <v>collected</v>
      </c>
      <c r="L817" s="16" t="str">
        <f t="shared" si="7"/>
        <v>N</v>
      </c>
      <c r="M817" s="16"/>
      <c r="N817" s="16"/>
    </row>
    <row r="818">
      <c r="A818" s="27" t="s">
        <v>984</v>
      </c>
      <c r="B818" s="10" t="str">
        <f t="shared" si="1"/>
        <v>RNA-muscle</v>
      </c>
      <c r="C818" s="10" t="str">
        <f t="shared" si="2"/>
        <v>BRN69M-E10</v>
      </c>
      <c r="D818" s="6">
        <v>69.0</v>
      </c>
      <c r="E818" s="10" t="str">
        <f t="shared" si="3"/>
        <v>BRN69M</v>
      </c>
      <c r="F818" s="6" t="s">
        <v>66</v>
      </c>
      <c r="G818" s="6">
        <v>10.0</v>
      </c>
      <c r="H818" s="11" t="str">
        <f t="shared" si="4"/>
        <v>E10</v>
      </c>
      <c r="I818" s="10" t="str">
        <f t="shared" si="5"/>
        <v>BRN69M-E10</v>
      </c>
      <c r="J818" s="16"/>
      <c r="K818" s="16" t="str">
        <f t="shared" si="6"/>
        <v>collected</v>
      </c>
      <c r="L818" s="16" t="str">
        <f t="shared" si="7"/>
        <v>N</v>
      </c>
      <c r="M818" s="16"/>
      <c r="N818" s="16"/>
    </row>
    <row r="819">
      <c r="A819" s="27" t="s">
        <v>992</v>
      </c>
      <c r="B819" s="10" t="str">
        <f t="shared" si="1"/>
        <v>RNA-muscle</v>
      </c>
      <c r="C819" s="10" t="str">
        <f t="shared" si="2"/>
        <v>BRN69M-D10</v>
      </c>
      <c r="D819" s="6">
        <v>69.0</v>
      </c>
      <c r="E819" s="10" t="str">
        <f t="shared" si="3"/>
        <v>BRN69M</v>
      </c>
      <c r="F819" s="6" t="s">
        <v>68</v>
      </c>
      <c r="G819" s="6">
        <v>10.0</v>
      </c>
      <c r="H819" s="11" t="str">
        <f t="shared" si="4"/>
        <v>D10</v>
      </c>
      <c r="I819" s="10" t="str">
        <f t="shared" si="5"/>
        <v>BRN69M-D10</v>
      </c>
      <c r="J819" s="6"/>
      <c r="K819" s="16" t="str">
        <f t="shared" si="6"/>
        <v>collected</v>
      </c>
      <c r="L819" s="16" t="str">
        <f t="shared" si="7"/>
        <v>N</v>
      </c>
      <c r="M819" s="16"/>
      <c r="N819" s="16"/>
    </row>
    <row r="820">
      <c r="A820" s="27" t="s">
        <v>1000</v>
      </c>
      <c r="B820" s="10" t="str">
        <f t="shared" si="1"/>
        <v>RNA-muscle</v>
      </c>
      <c r="C820" s="10" t="str">
        <f t="shared" si="2"/>
        <v>BRN69M-C10</v>
      </c>
      <c r="D820" s="6">
        <v>69.0</v>
      </c>
      <c r="E820" s="10" t="str">
        <f t="shared" si="3"/>
        <v>BRN69M</v>
      </c>
      <c r="F820" s="6" t="s">
        <v>72</v>
      </c>
      <c r="G820" s="6">
        <v>10.0</v>
      </c>
      <c r="H820" s="11" t="str">
        <f t="shared" si="4"/>
        <v>C10</v>
      </c>
      <c r="I820" s="10" t="str">
        <f t="shared" si="5"/>
        <v>BRN69M-C10</v>
      </c>
      <c r="J820" s="16"/>
      <c r="K820" s="16" t="str">
        <f t="shared" si="6"/>
        <v>collected</v>
      </c>
      <c r="L820" s="16" t="str">
        <f t="shared" si="7"/>
        <v>N</v>
      </c>
      <c r="M820" s="16"/>
      <c r="N820" s="16"/>
    </row>
    <row r="821">
      <c r="A821" s="27" t="s">
        <v>1007</v>
      </c>
      <c r="B821" s="10" t="str">
        <f t="shared" si="1"/>
        <v>RNA-muscle</v>
      </c>
      <c r="C821" s="10" t="str">
        <f t="shared" si="2"/>
        <v>BRN69M-B10</v>
      </c>
      <c r="D821" s="6">
        <v>69.0</v>
      </c>
      <c r="E821" s="10" t="str">
        <f t="shared" si="3"/>
        <v>BRN69M</v>
      </c>
      <c r="F821" s="6" t="s">
        <v>74</v>
      </c>
      <c r="G821" s="6">
        <v>10.0</v>
      </c>
      <c r="H821" s="11" t="str">
        <f t="shared" si="4"/>
        <v>B10</v>
      </c>
      <c r="I821" s="10" t="str">
        <f t="shared" si="5"/>
        <v>BRN69M-B10</v>
      </c>
      <c r="J821" s="16"/>
      <c r="K821" s="16" t="str">
        <f t="shared" si="6"/>
        <v>collected</v>
      </c>
      <c r="L821" s="16" t="str">
        <f t="shared" si="7"/>
        <v>N</v>
      </c>
      <c r="M821" s="16"/>
      <c r="N821" s="16"/>
    </row>
    <row r="822">
      <c r="A822" s="26" t="s">
        <v>1014</v>
      </c>
      <c r="B822" s="10" t="str">
        <f t="shared" si="1"/>
        <v>RNA-muscle</v>
      </c>
      <c r="C822" s="10" t="str">
        <f t="shared" si="2"/>
        <v>BRN69M-A10</v>
      </c>
      <c r="D822" s="6">
        <v>69.0</v>
      </c>
      <c r="E822" s="10" t="str">
        <f t="shared" si="3"/>
        <v>BRN69M</v>
      </c>
      <c r="F822" s="6" t="s">
        <v>76</v>
      </c>
      <c r="G822" s="6">
        <v>10.0</v>
      </c>
      <c r="H822" s="11" t="str">
        <f t="shared" si="4"/>
        <v>A10</v>
      </c>
      <c r="I822" s="10" t="str">
        <f t="shared" si="5"/>
        <v>BRN69M-A10</v>
      </c>
      <c r="J822" s="6"/>
      <c r="K822" s="16" t="str">
        <f t="shared" si="6"/>
        <v>collected</v>
      </c>
      <c r="L822" s="16" t="str">
        <f t="shared" si="7"/>
        <v>N</v>
      </c>
      <c r="M822" s="16"/>
      <c r="N822" s="16"/>
    </row>
    <row r="823">
      <c r="A823" s="26" t="s">
        <v>1022</v>
      </c>
      <c r="B823" s="10" t="str">
        <f t="shared" si="1"/>
        <v>RNA-muscle</v>
      </c>
      <c r="C823" s="10" t="str">
        <f t="shared" si="2"/>
        <v>BRN69M-G12</v>
      </c>
      <c r="D823" s="6">
        <v>69.0</v>
      </c>
      <c r="E823" s="10" t="str">
        <f t="shared" si="3"/>
        <v>BRN69M</v>
      </c>
      <c r="F823" s="6" t="s">
        <v>56</v>
      </c>
      <c r="G823" s="6">
        <v>12.0</v>
      </c>
      <c r="H823" s="11" t="str">
        <f t="shared" si="4"/>
        <v>G12</v>
      </c>
      <c r="I823" s="10" t="str">
        <f t="shared" si="5"/>
        <v>BRN69M-G12</v>
      </c>
      <c r="J823" s="6"/>
      <c r="K823" s="16" t="str">
        <f t="shared" si="6"/>
        <v>collected</v>
      </c>
      <c r="L823" s="16" t="str">
        <f t="shared" si="7"/>
        <v>N</v>
      </c>
      <c r="M823" s="16"/>
      <c r="N823" s="16"/>
    </row>
    <row r="824">
      <c r="A824" s="26" t="s">
        <v>1027</v>
      </c>
      <c r="B824" s="10" t="str">
        <f t="shared" si="1"/>
        <v>RNA-muscle</v>
      </c>
      <c r="C824" s="10" t="str">
        <f t="shared" si="2"/>
        <v>BRN69M-F12</v>
      </c>
      <c r="D824" s="6">
        <v>69.0</v>
      </c>
      <c r="E824" s="10" t="str">
        <f t="shared" si="3"/>
        <v>BRN69M</v>
      </c>
      <c r="F824" s="6" t="s">
        <v>61</v>
      </c>
      <c r="G824" s="6">
        <v>12.0</v>
      </c>
      <c r="H824" s="11" t="str">
        <f t="shared" si="4"/>
        <v>F12</v>
      </c>
      <c r="I824" s="10" t="str">
        <f t="shared" si="5"/>
        <v>BRN69M-F12</v>
      </c>
      <c r="J824" s="6"/>
      <c r="K824" s="16" t="str">
        <f t="shared" si="6"/>
        <v>collected</v>
      </c>
      <c r="L824" s="16" t="str">
        <f t="shared" si="7"/>
        <v>N</v>
      </c>
      <c r="M824" s="16"/>
      <c r="N824" s="16"/>
    </row>
    <row r="825">
      <c r="A825" s="26" t="s">
        <v>1034</v>
      </c>
      <c r="B825" s="10" t="str">
        <f t="shared" si="1"/>
        <v>RNA-muscle</v>
      </c>
      <c r="C825" s="10" t="str">
        <f t="shared" si="2"/>
        <v>BRN69M-E12</v>
      </c>
      <c r="D825" s="6">
        <v>69.0</v>
      </c>
      <c r="E825" s="10" t="str">
        <f t="shared" si="3"/>
        <v>BRN69M</v>
      </c>
      <c r="F825" s="6" t="s">
        <v>66</v>
      </c>
      <c r="G825" s="6">
        <v>12.0</v>
      </c>
      <c r="H825" s="11" t="str">
        <f t="shared" si="4"/>
        <v>E12</v>
      </c>
      <c r="I825" s="10" t="str">
        <f t="shared" si="5"/>
        <v>BRN69M-E12</v>
      </c>
      <c r="J825" s="6"/>
      <c r="K825" s="16" t="str">
        <f t="shared" si="6"/>
        <v>collected</v>
      </c>
      <c r="L825" s="16" t="str">
        <f t="shared" si="7"/>
        <v>N</v>
      </c>
      <c r="M825" s="16"/>
      <c r="N825" s="16"/>
    </row>
    <row r="826">
      <c r="A826" s="26" t="s">
        <v>1043</v>
      </c>
      <c r="B826" s="10" t="str">
        <f t="shared" si="1"/>
        <v>RNA-muscle</v>
      </c>
      <c r="C826" s="10" t="str">
        <f t="shared" si="2"/>
        <v>BRN69M-D12</v>
      </c>
      <c r="D826" s="6">
        <v>69.0</v>
      </c>
      <c r="E826" s="10" t="str">
        <f t="shared" si="3"/>
        <v>BRN69M</v>
      </c>
      <c r="F826" s="6" t="s">
        <v>68</v>
      </c>
      <c r="G826" s="6">
        <v>12.0</v>
      </c>
      <c r="H826" s="11" t="str">
        <f t="shared" si="4"/>
        <v>D12</v>
      </c>
      <c r="I826" s="10" t="str">
        <f t="shared" si="5"/>
        <v>BRN69M-D12</v>
      </c>
      <c r="J826" s="16"/>
      <c r="K826" s="16" t="str">
        <f t="shared" si="6"/>
        <v>collected</v>
      </c>
      <c r="L826" s="16" t="str">
        <f t="shared" si="7"/>
        <v>N</v>
      </c>
      <c r="M826" s="16"/>
      <c r="N826" s="16"/>
    </row>
    <row r="827">
      <c r="A827" s="26" t="s">
        <v>1054</v>
      </c>
      <c r="B827" s="10" t="str">
        <f t="shared" si="1"/>
        <v>RNA-muscle</v>
      </c>
      <c r="C827" s="10" t="str">
        <f t="shared" si="2"/>
        <v>BRN69M-C12</v>
      </c>
      <c r="D827" s="6">
        <v>69.0</v>
      </c>
      <c r="E827" s="10" t="str">
        <f t="shared" si="3"/>
        <v>BRN69M</v>
      </c>
      <c r="F827" s="6" t="s">
        <v>72</v>
      </c>
      <c r="G827" s="6">
        <v>12.0</v>
      </c>
      <c r="H827" s="11" t="str">
        <f t="shared" si="4"/>
        <v>C12</v>
      </c>
      <c r="I827" s="10" t="str">
        <f t="shared" si="5"/>
        <v>BRN69M-C12</v>
      </c>
      <c r="J827" s="32"/>
      <c r="K827" s="16" t="str">
        <f t="shared" si="6"/>
        <v>collected</v>
      </c>
      <c r="L827" s="16" t="str">
        <f t="shared" si="7"/>
        <v>N</v>
      </c>
      <c r="M827" s="16"/>
      <c r="N827" s="16"/>
    </row>
    <row r="828">
      <c r="A828" s="26" t="s">
        <v>1063</v>
      </c>
      <c r="B828" s="10" t="str">
        <f t="shared" si="1"/>
        <v>RNA-muscle</v>
      </c>
      <c r="C828" s="10" t="str">
        <f t="shared" si="2"/>
        <v>BRN69M-B12</v>
      </c>
      <c r="D828" s="6">
        <v>69.0</v>
      </c>
      <c r="E828" s="10" t="str">
        <f t="shared" si="3"/>
        <v>BRN69M</v>
      </c>
      <c r="F828" s="6" t="s">
        <v>74</v>
      </c>
      <c r="G828" s="6">
        <v>12.0</v>
      </c>
      <c r="H828" s="11" t="str">
        <f t="shared" si="4"/>
        <v>B12</v>
      </c>
      <c r="I828" s="10" t="str">
        <f t="shared" si="5"/>
        <v>BRN69M-B12</v>
      </c>
      <c r="J828" s="16"/>
      <c r="K828" s="16" t="str">
        <f t="shared" si="6"/>
        <v>collected</v>
      </c>
      <c r="L828" s="16" t="str">
        <f t="shared" si="7"/>
        <v>N</v>
      </c>
      <c r="M828" s="16"/>
      <c r="N828" s="16"/>
    </row>
    <row r="829">
      <c r="A829" s="26" t="s">
        <v>1073</v>
      </c>
      <c r="B829" s="10" t="str">
        <f t="shared" si="1"/>
        <v>RNA-muscle</v>
      </c>
      <c r="C829" s="10" t="str">
        <f t="shared" si="2"/>
        <v>BRN69M-A12</v>
      </c>
      <c r="D829" s="6">
        <v>69.0</v>
      </c>
      <c r="E829" s="10" t="str">
        <f t="shared" si="3"/>
        <v>BRN69M</v>
      </c>
      <c r="F829" s="6" t="s">
        <v>76</v>
      </c>
      <c r="G829" s="6">
        <v>12.0</v>
      </c>
      <c r="H829" s="11" t="str">
        <f t="shared" si="4"/>
        <v>A12</v>
      </c>
      <c r="I829" s="10" t="str">
        <f t="shared" si="5"/>
        <v>BRN69M-A12</v>
      </c>
      <c r="J829" s="32"/>
      <c r="K829" s="16" t="str">
        <f t="shared" si="6"/>
        <v>collected</v>
      </c>
      <c r="L829" s="16" t="str">
        <f t="shared" si="7"/>
        <v>N</v>
      </c>
      <c r="M829" s="16"/>
      <c r="N829" s="16"/>
    </row>
    <row r="830">
      <c r="A830" s="26" t="s">
        <v>1083</v>
      </c>
      <c r="B830" s="10" t="str">
        <f t="shared" si="1"/>
        <v>RNA-muscle</v>
      </c>
      <c r="C830" s="10" t="str">
        <f t="shared" si="2"/>
        <v>BRN70M-H1</v>
      </c>
      <c r="D830" s="6">
        <v>70.0</v>
      </c>
      <c r="E830" s="10" t="str">
        <f t="shared" si="3"/>
        <v>BRN70M</v>
      </c>
      <c r="F830" s="6" t="s">
        <v>51</v>
      </c>
      <c r="G830" s="6">
        <v>1.0</v>
      </c>
      <c r="H830" s="11" t="str">
        <f t="shared" si="4"/>
        <v>H1</v>
      </c>
      <c r="I830" s="10" t="str">
        <f t="shared" si="5"/>
        <v>BRN70M-H1</v>
      </c>
      <c r="J830" s="16"/>
      <c r="K830" s="16" t="str">
        <f t="shared" si="6"/>
        <v>collected</v>
      </c>
      <c r="L830" s="16" t="str">
        <f t="shared" si="7"/>
        <v>N</v>
      </c>
      <c r="M830" s="16"/>
      <c r="N830" s="16"/>
    </row>
    <row r="831">
      <c r="A831" s="26" t="s">
        <v>1095</v>
      </c>
      <c r="B831" s="10" t="str">
        <f t="shared" si="1"/>
        <v>RNA-muscle</v>
      </c>
      <c r="C831" s="10" t="str">
        <f t="shared" si="2"/>
        <v>BRN70M-G1</v>
      </c>
      <c r="D831" s="6">
        <v>70.0</v>
      </c>
      <c r="E831" s="10" t="str">
        <f t="shared" si="3"/>
        <v>BRN70M</v>
      </c>
      <c r="F831" s="6" t="s">
        <v>56</v>
      </c>
      <c r="G831" s="6">
        <v>1.0</v>
      </c>
      <c r="H831" s="11" t="str">
        <f t="shared" si="4"/>
        <v>G1</v>
      </c>
      <c r="I831" s="10" t="str">
        <f t="shared" si="5"/>
        <v>BRN70M-G1</v>
      </c>
      <c r="J831" s="6"/>
      <c r="K831" s="16" t="str">
        <f t="shared" si="6"/>
        <v>collected</v>
      </c>
      <c r="L831" s="16" t="str">
        <f t="shared" si="7"/>
        <v>N</v>
      </c>
      <c r="M831" s="16"/>
      <c r="N831" s="16"/>
    </row>
    <row r="832">
      <c r="A832" s="26" t="s">
        <v>1106</v>
      </c>
      <c r="B832" s="10" t="str">
        <f t="shared" si="1"/>
        <v>RNA-muscle</v>
      </c>
      <c r="C832" s="10" t="str">
        <f t="shared" si="2"/>
        <v>BRN70M-F1</v>
      </c>
      <c r="D832" s="6">
        <v>70.0</v>
      </c>
      <c r="E832" s="10" t="str">
        <f t="shared" si="3"/>
        <v>BRN70M</v>
      </c>
      <c r="F832" s="6" t="s">
        <v>61</v>
      </c>
      <c r="G832" s="6">
        <v>1.0</v>
      </c>
      <c r="H832" s="11" t="str">
        <f t="shared" si="4"/>
        <v>F1</v>
      </c>
      <c r="I832" s="10" t="str">
        <f t="shared" si="5"/>
        <v>BRN70M-F1</v>
      </c>
      <c r="J832" s="16"/>
      <c r="K832" s="16" t="str">
        <f t="shared" si="6"/>
        <v>collected</v>
      </c>
      <c r="L832" s="16" t="str">
        <f t="shared" si="7"/>
        <v>N</v>
      </c>
      <c r="M832" s="16"/>
      <c r="N832" s="16"/>
    </row>
    <row r="833">
      <c r="A833" s="26" t="s">
        <v>1116</v>
      </c>
      <c r="B833" s="10" t="str">
        <f t="shared" si="1"/>
        <v>RNA-muscle</v>
      </c>
      <c r="C833" s="10" t="str">
        <f t="shared" si="2"/>
        <v>BRN70M-E1</v>
      </c>
      <c r="D833" s="6">
        <v>70.0</v>
      </c>
      <c r="E833" s="10" t="str">
        <f t="shared" si="3"/>
        <v>BRN70M</v>
      </c>
      <c r="F833" s="6" t="s">
        <v>66</v>
      </c>
      <c r="G833" s="6">
        <v>1.0</v>
      </c>
      <c r="H833" s="11" t="str">
        <f t="shared" si="4"/>
        <v>E1</v>
      </c>
      <c r="I833" s="10" t="str">
        <f t="shared" si="5"/>
        <v>BRN70M-E1</v>
      </c>
      <c r="J833" s="16"/>
      <c r="K833" s="16" t="str">
        <f t="shared" si="6"/>
        <v>collected</v>
      </c>
      <c r="L833" s="16" t="str">
        <f t="shared" si="7"/>
        <v>N</v>
      </c>
      <c r="M833" s="16"/>
      <c r="N833" s="16"/>
    </row>
    <row r="834">
      <c r="A834" s="26" t="s">
        <v>1126</v>
      </c>
      <c r="B834" s="10" t="str">
        <f t="shared" si="1"/>
        <v>RNA-muscle</v>
      </c>
      <c r="C834" s="10" t="str">
        <f t="shared" si="2"/>
        <v>BRN70M-D1</v>
      </c>
      <c r="D834" s="6">
        <v>70.0</v>
      </c>
      <c r="E834" s="10" t="str">
        <f t="shared" si="3"/>
        <v>BRN70M</v>
      </c>
      <c r="F834" s="6" t="s">
        <v>68</v>
      </c>
      <c r="G834" s="6">
        <v>1.0</v>
      </c>
      <c r="H834" s="11" t="str">
        <f t="shared" si="4"/>
        <v>D1</v>
      </c>
      <c r="I834" s="10" t="str">
        <f t="shared" si="5"/>
        <v>BRN70M-D1</v>
      </c>
      <c r="J834" s="16"/>
      <c r="K834" s="16" t="str">
        <f t="shared" si="6"/>
        <v>collected</v>
      </c>
      <c r="L834" s="16" t="str">
        <f t="shared" si="7"/>
        <v>N</v>
      </c>
      <c r="M834" s="16"/>
      <c r="N834" s="16"/>
    </row>
    <row r="835">
      <c r="A835" s="26" t="s">
        <v>1138</v>
      </c>
      <c r="B835" s="10" t="str">
        <f t="shared" si="1"/>
        <v>RNA-muscle</v>
      </c>
      <c r="C835" s="10" t="str">
        <f t="shared" si="2"/>
        <v>BRN70M-C1</v>
      </c>
      <c r="D835" s="6">
        <v>70.0</v>
      </c>
      <c r="E835" s="10" t="str">
        <f t="shared" si="3"/>
        <v>BRN70M</v>
      </c>
      <c r="F835" s="6" t="s">
        <v>72</v>
      </c>
      <c r="G835" s="6">
        <v>1.0</v>
      </c>
      <c r="H835" s="11" t="str">
        <f t="shared" si="4"/>
        <v>C1</v>
      </c>
      <c r="I835" s="10" t="str">
        <f t="shared" si="5"/>
        <v>BRN70M-C1</v>
      </c>
      <c r="J835" s="16"/>
      <c r="K835" s="16" t="str">
        <f t="shared" si="6"/>
        <v>collected</v>
      </c>
      <c r="L835" s="16" t="str">
        <f t="shared" si="7"/>
        <v>N</v>
      </c>
      <c r="M835" s="16"/>
      <c r="N835" s="16"/>
    </row>
    <row r="836">
      <c r="A836" s="26" t="s">
        <v>1150</v>
      </c>
      <c r="B836" s="10" t="str">
        <f t="shared" si="1"/>
        <v>RNA-muscle</v>
      </c>
      <c r="C836" s="10" t="str">
        <f t="shared" si="2"/>
        <v>BRN70M-B1</v>
      </c>
      <c r="D836" s="6">
        <v>70.0</v>
      </c>
      <c r="E836" s="10" t="str">
        <f t="shared" si="3"/>
        <v>BRN70M</v>
      </c>
      <c r="F836" s="6" t="s">
        <v>74</v>
      </c>
      <c r="G836" s="6">
        <v>1.0</v>
      </c>
      <c r="H836" s="11" t="str">
        <f t="shared" si="4"/>
        <v>B1</v>
      </c>
      <c r="I836" s="10" t="str">
        <f t="shared" si="5"/>
        <v>BRN70M-B1</v>
      </c>
      <c r="J836" s="16"/>
      <c r="K836" s="16" t="str">
        <f t="shared" si="6"/>
        <v>collected</v>
      </c>
      <c r="L836" s="16" t="str">
        <f t="shared" si="7"/>
        <v>N</v>
      </c>
      <c r="M836" s="16"/>
      <c r="N836" s="16"/>
    </row>
    <row r="837">
      <c r="A837" s="26" t="s">
        <v>1160</v>
      </c>
      <c r="B837" s="10" t="str">
        <f t="shared" si="1"/>
        <v>RNA-muscle</v>
      </c>
      <c r="C837" s="10" t="str">
        <f t="shared" si="2"/>
        <v>BRN70M-A1</v>
      </c>
      <c r="D837" s="6">
        <v>70.0</v>
      </c>
      <c r="E837" s="10" t="str">
        <f t="shared" si="3"/>
        <v>BRN70M</v>
      </c>
      <c r="F837" s="6" t="s">
        <v>76</v>
      </c>
      <c r="G837" s="6">
        <v>1.0</v>
      </c>
      <c r="H837" s="11" t="str">
        <f t="shared" si="4"/>
        <v>A1</v>
      </c>
      <c r="I837" s="10" t="str">
        <f t="shared" si="5"/>
        <v>BRN70M-A1</v>
      </c>
      <c r="J837" s="16"/>
      <c r="K837" s="16" t="str">
        <f t="shared" si="6"/>
        <v>collected</v>
      </c>
      <c r="L837" s="16" t="str">
        <f t="shared" si="7"/>
        <v>N</v>
      </c>
      <c r="M837" s="16"/>
      <c r="N837" s="16"/>
    </row>
    <row r="838">
      <c r="A838" s="26" t="s">
        <v>1169</v>
      </c>
      <c r="B838" s="10" t="str">
        <f t="shared" si="1"/>
        <v>RNA-muscle</v>
      </c>
      <c r="C838" s="10" t="str">
        <f t="shared" si="2"/>
        <v>BRN70M-H2</v>
      </c>
      <c r="D838" s="6">
        <v>70.0</v>
      </c>
      <c r="E838" s="10" t="str">
        <f t="shared" si="3"/>
        <v>BRN70M</v>
      </c>
      <c r="F838" s="6" t="s">
        <v>51</v>
      </c>
      <c r="G838" s="6">
        <v>2.0</v>
      </c>
      <c r="H838" s="11" t="str">
        <f t="shared" si="4"/>
        <v>H2</v>
      </c>
      <c r="I838" s="10" t="str">
        <f t="shared" si="5"/>
        <v>BRN70M-H2</v>
      </c>
      <c r="J838" s="6"/>
      <c r="K838" s="16" t="str">
        <f t="shared" si="6"/>
        <v>collected</v>
      </c>
      <c r="L838" s="16" t="str">
        <f t="shared" si="7"/>
        <v>N</v>
      </c>
      <c r="M838" s="16"/>
      <c r="N838" s="16"/>
    </row>
    <row r="839">
      <c r="A839" s="26" t="s">
        <v>1178</v>
      </c>
      <c r="B839" s="10" t="str">
        <f t="shared" si="1"/>
        <v>RNA-muscle</v>
      </c>
      <c r="C839" s="10" t="str">
        <f t="shared" si="2"/>
        <v>BRN70M-G2</v>
      </c>
      <c r="D839" s="6">
        <v>70.0</v>
      </c>
      <c r="E839" s="10" t="str">
        <f t="shared" si="3"/>
        <v>BRN70M</v>
      </c>
      <c r="F839" s="6" t="s">
        <v>56</v>
      </c>
      <c r="G839" s="6">
        <v>2.0</v>
      </c>
      <c r="H839" s="11" t="str">
        <f t="shared" si="4"/>
        <v>G2</v>
      </c>
      <c r="I839" s="10" t="str">
        <f t="shared" si="5"/>
        <v>BRN70M-G2</v>
      </c>
      <c r="J839" s="16"/>
      <c r="K839" s="16" t="str">
        <f t="shared" si="6"/>
        <v>collected</v>
      </c>
      <c r="L839" s="16" t="str">
        <f t="shared" si="7"/>
        <v>N</v>
      </c>
      <c r="M839" s="16"/>
      <c r="N839" s="16"/>
    </row>
    <row r="840">
      <c r="A840" s="26" t="s">
        <v>1180</v>
      </c>
      <c r="B840" s="10" t="str">
        <f t="shared" si="1"/>
        <v>RNA-muscle</v>
      </c>
      <c r="C840" s="10" t="str">
        <f t="shared" si="2"/>
        <v>BRN69M-D11</v>
      </c>
      <c r="D840" s="6">
        <v>69.0</v>
      </c>
      <c r="E840" s="10" t="str">
        <f t="shared" si="3"/>
        <v>BRN69M</v>
      </c>
      <c r="F840" s="6" t="s">
        <v>68</v>
      </c>
      <c r="G840" s="6">
        <v>11.0</v>
      </c>
      <c r="H840" s="11" t="str">
        <f t="shared" si="4"/>
        <v>D11</v>
      </c>
      <c r="I840" s="10" t="str">
        <f t="shared" si="5"/>
        <v>BRN69M-D11</v>
      </c>
      <c r="J840" s="16"/>
      <c r="K840" s="16" t="str">
        <f t="shared" si="6"/>
        <v>collected</v>
      </c>
      <c r="L840" s="16" t="str">
        <f t="shared" si="7"/>
        <v>N</v>
      </c>
      <c r="M840" s="16"/>
      <c r="N840" s="16"/>
    </row>
    <row r="841">
      <c r="A841" s="26" t="s">
        <v>1182</v>
      </c>
      <c r="B841" s="10" t="str">
        <f t="shared" si="1"/>
        <v>RNA-muscle</v>
      </c>
      <c r="C841" s="10" t="str">
        <f t="shared" si="2"/>
        <v>BRN69M-C11</v>
      </c>
      <c r="D841" s="6">
        <v>69.0</v>
      </c>
      <c r="E841" s="10" t="str">
        <f t="shared" si="3"/>
        <v>BRN69M</v>
      </c>
      <c r="F841" s="6" t="s">
        <v>72</v>
      </c>
      <c r="G841" s="6">
        <v>11.0</v>
      </c>
      <c r="H841" s="11" t="str">
        <f t="shared" si="4"/>
        <v>C11</v>
      </c>
      <c r="I841" s="10" t="str">
        <f t="shared" si="5"/>
        <v>BRN69M-C11</v>
      </c>
      <c r="J841" s="16"/>
      <c r="K841" s="16" t="str">
        <f t="shared" si="6"/>
        <v>collected</v>
      </c>
      <c r="L841" s="16" t="str">
        <f t="shared" si="7"/>
        <v>N</v>
      </c>
      <c r="M841" s="16"/>
      <c r="N841" s="16"/>
    </row>
    <row r="842">
      <c r="A842" s="27" t="s">
        <v>1186</v>
      </c>
      <c r="B842" s="10" t="str">
        <f t="shared" si="1"/>
        <v>RNA-muscle</v>
      </c>
      <c r="C842" s="10" t="str">
        <f t="shared" si="2"/>
        <v>BRN69M-B11</v>
      </c>
      <c r="D842" s="6">
        <v>69.0</v>
      </c>
      <c r="E842" s="10" t="str">
        <f t="shared" si="3"/>
        <v>BRN69M</v>
      </c>
      <c r="F842" s="6" t="s">
        <v>74</v>
      </c>
      <c r="G842" s="6">
        <v>11.0</v>
      </c>
      <c r="H842" s="11" t="str">
        <f t="shared" si="4"/>
        <v>B11</v>
      </c>
      <c r="I842" s="10" t="str">
        <f t="shared" si="5"/>
        <v>BRN69M-B11</v>
      </c>
      <c r="J842" s="16"/>
      <c r="K842" s="16" t="str">
        <f t="shared" si="6"/>
        <v>collected</v>
      </c>
      <c r="L842" s="16" t="str">
        <f t="shared" si="7"/>
        <v>N</v>
      </c>
      <c r="M842" s="16"/>
      <c r="N842" s="16"/>
    </row>
    <row r="843">
      <c r="A843" s="26" t="s">
        <v>1190</v>
      </c>
      <c r="B843" s="10" t="str">
        <f t="shared" si="1"/>
        <v>RNA-muscle</v>
      </c>
      <c r="C843" s="10" t="str">
        <f t="shared" si="2"/>
        <v>BRN69M-A11</v>
      </c>
      <c r="D843" s="6">
        <v>69.0</v>
      </c>
      <c r="E843" s="10" t="str">
        <f t="shared" si="3"/>
        <v>BRN69M</v>
      </c>
      <c r="F843" s="6" t="s">
        <v>76</v>
      </c>
      <c r="G843" s="6">
        <v>11.0</v>
      </c>
      <c r="H843" s="11" t="str">
        <f t="shared" si="4"/>
        <v>A11</v>
      </c>
      <c r="I843" s="10" t="str">
        <f t="shared" si="5"/>
        <v>BRN69M-A11</v>
      </c>
      <c r="J843" s="6"/>
      <c r="K843" s="16" t="str">
        <f t="shared" si="6"/>
        <v>collected</v>
      </c>
      <c r="L843" s="16" t="str">
        <f t="shared" si="7"/>
        <v>N</v>
      </c>
      <c r="M843" s="16"/>
      <c r="N843" s="16"/>
    </row>
    <row r="844">
      <c r="A844" s="26" t="s">
        <v>1192</v>
      </c>
      <c r="B844" s="10" t="str">
        <f t="shared" si="1"/>
        <v>RNA-muscle</v>
      </c>
      <c r="C844" s="10" t="str">
        <f t="shared" si="2"/>
        <v>BRN70M-H3</v>
      </c>
      <c r="D844" s="6">
        <v>70.0</v>
      </c>
      <c r="E844" s="10" t="str">
        <f t="shared" si="3"/>
        <v>BRN70M</v>
      </c>
      <c r="F844" s="6" t="s">
        <v>51</v>
      </c>
      <c r="G844" s="6">
        <v>3.0</v>
      </c>
      <c r="H844" s="11" t="str">
        <f t="shared" si="4"/>
        <v>H3</v>
      </c>
      <c r="I844" s="10" t="str">
        <f t="shared" si="5"/>
        <v>BRN70M-H3</v>
      </c>
      <c r="J844" s="16"/>
      <c r="K844" s="16" t="str">
        <f t="shared" si="6"/>
        <v>collected</v>
      </c>
      <c r="L844" s="16" t="str">
        <f t="shared" si="7"/>
        <v>N</v>
      </c>
      <c r="M844" s="16"/>
      <c r="N844" s="16"/>
    </row>
    <row r="845">
      <c r="A845" s="26" t="s">
        <v>1195</v>
      </c>
      <c r="B845" s="10" t="str">
        <f t="shared" si="1"/>
        <v>RNA-muscle</v>
      </c>
      <c r="C845" s="10" t="str">
        <f t="shared" si="2"/>
        <v>BRN70M-G3</v>
      </c>
      <c r="D845" s="6">
        <v>70.0</v>
      </c>
      <c r="E845" s="10" t="str">
        <f t="shared" si="3"/>
        <v>BRN70M</v>
      </c>
      <c r="F845" s="6" t="s">
        <v>56</v>
      </c>
      <c r="G845" s="6">
        <v>3.0</v>
      </c>
      <c r="H845" s="11" t="str">
        <f t="shared" si="4"/>
        <v>G3</v>
      </c>
      <c r="I845" s="10" t="str">
        <f t="shared" si="5"/>
        <v>BRN70M-G3</v>
      </c>
      <c r="J845" s="6"/>
      <c r="K845" s="16" t="str">
        <f t="shared" si="6"/>
        <v>collected</v>
      </c>
      <c r="L845" s="16" t="str">
        <f t="shared" si="7"/>
        <v>N</v>
      </c>
      <c r="M845" s="16"/>
      <c r="N845" s="16"/>
    </row>
    <row r="846">
      <c r="A846" s="26" t="s">
        <v>1197</v>
      </c>
      <c r="B846" s="10" t="str">
        <f t="shared" si="1"/>
        <v>RNA-muscle</v>
      </c>
      <c r="C846" s="10" t="str">
        <f t="shared" si="2"/>
        <v>BRN70M-F3</v>
      </c>
      <c r="D846" s="6">
        <v>70.0</v>
      </c>
      <c r="E846" s="10" t="str">
        <f t="shared" si="3"/>
        <v>BRN70M</v>
      </c>
      <c r="F846" s="6" t="s">
        <v>61</v>
      </c>
      <c r="G846" s="6">
        <v>3.0</v>
      </c>
      <c r="H846" s="11" t="str">
        <f t="shared" si="4"/>
        <v>F3</v>
      </c>
      <c r="I846" s="10" t="str">
        <f t="shared" si="5"/>
        <v>BRN70M-F3</v>
      </c>
      <c r="J846" s="16"/>
      <c r="K846" s="16" t="str">
        <f t="shared" si="6"/>
        <v>collected</v>
      </c>
      <c r="L846" s="16" t="str">
        <f t="shared" si="7"/>
        <v>N</v>
      </c>
      <c r="M846" s="16"/>
      <c r="N846" s="16"/>
    </row>
    <row r="847">
      <c r="A847" s="26" t="s">
        <v>1200</v>
      </c>
      <c r="B847" s="10" t="str">
        <f t="shared" si="1"/>
        <v>RNA-muscle</v>
      </c>
      <c r="C847" s="10" t="str">
        <f t="shared" si="2"/>
        <v>BRN70M-E3</v>
      </c>
      <c r="D847" s="6">
        <v>70.0</v>
      </c>
      <c r="E847" s="10" t="str">
        <f t="shared" si="3"/>
        <v>BRN70M</v>
      </c>
      <c r="F847" s="6" t="s">
        <v>66</v>
      </c>
      <c r="G847" s="6">
        <v>3.0</v>
      </c>
      <c r="H847" s="11" t="str">
        <f t="shared" si="4"/>
        <v>E3</v>
      </c>
      <c r="I847" s="10" t="str">
        <f t="shared" si="5"/>
        <v>BRN70M-E3</v>
      </c>
      <c r="J847" s="6" t="s">
        <v>437</v>
      </c>
      <c r="K847" s="16" t="str">
        <f t="shared" si="6"/>
        <v>collected</v>
      </c>
      <c r="L847" s="16" t="str">
        <f t="shared" si="7"/>
        <v>N</v>
      </c>
      <c r="M847" s="16"/>
      <c r="N847" s="16"/>
    </row>
    <row r="848">
      <c r="A848" s="26" t="s">
        <v>1202</v>
      </c>
      <c r="B848" s="10" t="str">
        <f t="shared" si="1"/>
        <v>RNA-muscle</v>
      </c>
      <c r="C848" s="10" t="str">
        <f t="shared" si="2"/>
        <v>BRN70M-D3</v>
      </c>
      <c r="D848" s="6">
        <v>70.0</v>
      </c>
      <c r="E848" s="10" t="str">
        <f t="shared" si="3"/>
        <v>BRN70M</v>
      </c>
      <c r="F848" s="6" t="s">
        <v>68</v>
      </c>
      <c r="G848" s="6">
        <v>3.0</v>
      </c>
      <c r="H848" s="11" t="str">
        <f t="shared" si="4"/>
        <v>D3</v>
      </c>
      <c r="I848" s="10" t="str">
        <f t="shared" si="5"/>
        <v>BRN70M-D3</v>
      </c>
      <c r="J848" s="16"/>
      <c r="K848" s="16" t="str">
        <f t="shared" si="6"/>
        <v>collected</v>
      </c>
      <c r="L848" s="16" t="str">
        <f t="shared" si="7"/>
        <v>N</v>
      </c>
      <c r="M848" s="16"/>
      <c r="N848" s="16"/>
    </row>
    <row r="849">
      <c r="A849" s="26" t="s">
        <v>1204</v>
      </c>
      <c r="B849" s="10" t="str">
        <f t="shared" si="1"/>
        <v>RNA-muscle</v>
      </c>
      <c r="C849" s="10" t="str">
        <f t="shared" si="2"/>
        <v>BRN70M-C3</v>
      </c>
      <c r="D849" s="6">
        <v>70.0</v>
      </c>
      <c r="E849" s="10" t="str">
        <f t="shared" si="3"/>
        <v>BRN70M</v>
      </c>
      <c r="F849" s="6" t="s">
        <v>72</v>
      </c>
      <c r="G849" s="6">
        <v>3.0</v>
      </c>
      <c r="H849" s="11" t="str">
        <f t="shared" si="4"/>
        <v>C3</v>
      </c>
      <c r="I849" s="10" t="str">
        <f t="shared" si="5"/>
        <v>BRN70M-C3</v>
      </c>
      <c r="J849" s="16"/>
      <c r="K849" s="16" t="str">
        <f t="shared" si="6"/>
        <v>collected</v>
      </c>
      <c r="L849" s="16" t="str">
        <f t="shared" si="7"/>
        <v>N</v>
      </c>
      <c r="M849" s="16"/>
      <c r="N849" s="16"/>
    </row>
    <row r="850">
      <c r="A850" s="26" t="s">
        <v>1208</v>
      </c>
      <c r="B850" s="10" t="str">
        <f t="shared" si="1"/>
        <v>RNA-muscle</v>
      </c>
      <c r="C850" s="10" t="str">
        <f t="shared" si="2"/>
        <v>BRN70M-B3</v>
      </c>
      <c r="D850" s="6">
        <v>70.0</v>
      </c>
      <c r="E850" s="10" t="str">
        <f t="shared" si="3"/>
        <v>BRN70M</v>
      </c>
      <c r="F850" s="6" t="s">
        <v>74</v>
      </c>
      <c r="G850" s="6">
        <v>3.0</v>
      </c>
      <c r="H850" s="11" t="str">
        <f t="shared" si="4"/>
        <v>B3</v>
      </c>
      <c r="I850" s="10" t="str">
        <f t="shared" si="5"/>
        <v>BRN70M-B3</v>
      </c>
      <c r="J850" s="16"/>
      <c r="K850" s="16" t="str">
        <f t="shared" si="6"/>
        <v>collected</v>
      </c>
      <c r="L850" s="16" t="str">
        <f t="shared" si="7"/>
        <v>N</v>
      </c>
      <c r="M850" s="16"/>
      <c r="N850" s="16"/>
    </row>
    <row r="851">
      <c r="A851" s="26" t="s">
        <v>1209</v>
      </c>
      <c r="B851" s="10" t="str">
        <f t="shared" si="1"/>
        <v>RNA-muscle</v>
      </c>
      <c r="C851" s="10" t="str">
        <f t="shared" si="2"/>
        <v>BRN70M-A3</v>
      </c>
      <c r="D851" s="6">
        <v>70.0</v>
      </c>
      <c r="E851" s="10" t="str">
        <f t="shared" si="3"/>
        <v>BRN70M</v>
      </c>
      <c r="F851" s="6" t="s">
        <v>76</v>
      </c>
      <c r="G851" s="6">
        <v>3.0</v>
      </c>
      <c r="H851" s="11" t="str">
        <f t="shared" si="4"/>
        <v>A3</v>
      </c>
      <c r="I851" s="10" t="str">
        <f t="shared" si="5"/>
        <v>BRN70M-A3</v>
      </c>
      <c r="J851" s="16"/>
      <c r="K851" s="16" t="str">
        <f t="shared" si="6"/>
        <v>collected</v>
      </c>
      <c r="L851" s="16" t="str">
        <f t="shared" si="7"/>
        <v>N</v>
      </c>
      <c r="M851" s="16"/>
      <c r="N851" s="16"/>
    </row>
    <row r="852">
      <c r="A852" s="26" t="s">
        <v>1211</v>
      </c>
      <c r="B852" s="10" t="str">
        <f t="shared" si="1"/>
        <v>RNA-muscle</v>
      </c>
      <c r="C852" s="10" t="str">
        <f t="shared" si="2"/>
        <v>BRN70M-H5</v>
      </c>
      <c r="D852" s="6">
        <v>70.0</v>
      </c>
      <c r="E852" s="10" t="str">
        <f t="shared" si="3"/>
        <v>BRN70M</v>
      </c>
      <c r="F852" s="6" t="s">
        <v>51</v>
      </c>
      <c r="G852" s="6">
        <v>5.0</v>
      </c>
      <c r="H852" s="11" t="str">
        <f t="shared" si="4"/>
        <v>H5</v>
      </c>
      <c r="I852" s="10" t="str">
        <f t="shared" si="5"/>
        <v>BRN70M-H5</v>
      </c>
      <c r="J852" s="6"/>
      <c r="K852" s="16" t="str">
        <f t="shared" si="6"/>
        <v>collected</v>
      </c>
      <c r="L852" s="16" t="str">
        <f t="shared" si="7"/>
        <v>N</v>
      </c>
      <c r="M852" s="16"/>
      <c r="N852" s="16"/>
    </row>
    <row r="853">
      <c r="A853" s="26" t="s">
        <v>1230</v>
      </c>
      <c r="B853" s="10" t="str">
        <f t="shared" si="1"/>
        <v>RNA-muscle</v>
      </c>
      <c r="C853" s="10" t="str">
        <f t="shared" si="2"/>
        <v>BRN70M-G5</v>
      </c>
      <c r="D853" s="6">
        <v>70.0</v>
      </c>
      <c r="E853" s="10" t="str">
        <f t="shared" si="3"/>
        <v>BRN70M</v>
      </c>
      <c r="F853" s="6" t="s">
        <v>56</v>
      </c>
      <c r="G853" s="6">
        <v>5.0</v>
      </c>
      <c r="H853" s="11" t="str">
        <f t="shared" si="4"/>
        <v>G5</v>
      </c>
      <c r="I853" s="10" t="str">
        <f t="shared" si="5"/>
        <v>BRN70M-G5</v>
      </c>
      <c r="J853" s="6"/>
      <c r="K853" s="16" t="str">
        <f t="shared" si="6"/>
        <v>collected</v>
      </c>
      <c r="L853" s="16" t="str">
        <f t="shared" si="7"/>
        <v>N</v>
      </c>
      <c r="M853" s="16"/>
      <c r="N853" s="16"/>
    </row>
    <row r="854">
      <c r="A854" s="26" t="s">
        <v>1232</v>
      </c>
      <c r="B854" s="10" t="str">
        <f t="shared" si="1"/>
        <v>RNA-muscle</v>
      </c>
      <c r="C854" s="10" t="str">
        <f t="shared" si="2"/>
        <v>BRN70M-F5</v>
      </c>
      <c r="D854" s="6">
        <v>70.0</v>
      </c>
      <c r="E854" s="10" t="str">
        <f t="shared" si="3"/>
        <v>BRN70M</v>
      </c>
      <c r="F854" s="6" t="s">
        <v>61</v>
      </c>
      <c r="G854" s="6">
        <v>5.0</v>
      </c>
      <c r="H854" s="11" t="str">
        <f t="shared" si="4"/>
        <v>F5</v>
      </c>
      <c r="I854" s="10" t="str">
        <f t="shared" si="5"/>
        <v>BRN70M-F5</v>
      </c>
      <c r="J854" s="16"/>
      <c r="K854" s="16" t="str">
        <f t="shared" si="6"/>
        <v>collected</v>
      </c>
      <c r="L854" s="16" t="str">
        <f t="shared" si="7"/>
        <v>N</v>
      </c>
      <c r="M854" s="16"/>
      <c r="N854" s="16"/>
    </row>
    <row r="855">
      <c r="A855" s="26" t="s">
        <v>1236</v>
      </c>
      <c r="B855" s="10" t="str">
        <f t="shared" si="1"/>
        <v>RNA-muscle</v>
      </c>
      <c r="C855" s="10" t="str">
        <f t="shared" si="2"/>
        <v>BRN70M-E5</v>
      </c>
      <c r="D855" s="6">
        <v>70.0</v>
      </c>
      <c r="E855" s="10" t="str">
        <f t="shared" si="3"/>
        <v>BRN70M</v>
      </c>
      <c r="F855" s="6" t="s">
        <v>66</v>
      </c>
      <c r="G855" s="6">
        <v>5.0</v>
      </c>
      <c r="H855" s="11" t="str">
        <f t="shared" si="4"/>
        <v>E5</v>
      </c>
      <c r="I855" s="10" t="str">
        <f t="shared" si="5"/>
        <v>BRN70M-E5</v>
      </c>
      <c r="J855" s="16"/>
      <c r="K855" s="16" t="str">
        <f t="shared" si="6"/>
        <v>collected</v>
      </c>
      <c r="L855" s="16" t="str">
        <f t="shared" si="7"/>
        <v>N</v>
      </c>
      <c r="M855" s="16"/>
      <c r="N855" s="16"/>
    </row>
    <row r="856">
      <c r="A856" s="27" t="s">
        <v>1238</v>
      </c>
      <c r="B856" s="10" t="str">
        <f t="shared" si="1"/>
        <v>RNA-muscle</v>
      </c>
      <c r="C856" s="10" t="str">
        <f t="shared" si="2"/>
        <v>BRN70M-D5</v>
      </c>
      <c r="D856" s="6">
        <v>70.0</v>
      </c>
      <c r="E856" s="10" t="str">
        <f t="shared" si="3"/>
        <v>BRN70M</v>
      </c>
      <c r="F856" s="6" t="s">
        <v>68</v>
      </c>
      <c r="G856" s="6">
        <v>5.0</v>
      </c>
      <c r="H856" s="11" t="str">
        <f t="shared" si="4"/>
        <v>D5</v>
      </c>
      <c r="I856" s="10" t="str">
        <f t="shared" si="5"/>
        <v>BRN70M-D5</v>
      </c>
      <c r="J856" s="16"/>
      <c r="K856" s="16" t="str">
        <f t="shared" si="6"/>
        <v>collected</v>
      </c>
      <c r="L856" s="16" t="str">
        <f t="shared" si="7"/>
        <v>N</v>
      </c>
      <c r="M856" s="16"/>
      <c r="N856" s="16"/>
    </row>
    <row r="857">
      <c r="A857" s="27" t="s">
        <v>1240</v>
      </c>
      <c r="B857" s="10" t="str">
        <f t="shared" si="1"/>
        <v>RNA-muscle</v>
      </c>
      <c r="C857" s="10" t="str">
        <f t="shared" si="2"/>
        <v>BRN70M-C5</v>
      </c>
      <c r="D857" s="6">
        <v>70.0</v>
      </c>
      <c r="E857" s="10" t="str">
        <f t="shared" si="3"/>
        <v>BRN70M</v>
      </c>
      <c r="F857" s="6" t="s">
        <v>72</v>
      </c>
      <c r="G857" s="6">
        <v>5.0</v>
      </c>
      <c r="H857" s="11" t="str">
        <f t="shared" si="4"/>
        <v>C5</v>
      </c>
      <c r="I857" s="10" t="str">
        <f t="shared" si="5"/>
        <v>BRN70M-C5</v>
      </c>
      <c r="J857" s="16"/>
      <c r="K857" s="16" t="str">
        <f t="shared" si="6"/>
        <v>collected</v>
      </c>
      <c r="L857" s="16" t="str">
        <f t="shared" si="7"/>
        <v>N</v>
      </c>
      <c r="M857" s="16"/>
      <c r="N857" s="16"/>
    </row>
    <row r="858">
      <c r="A858" s="27" t="s">
        <v>1244</v>
      </c>
      <c r="B858" s="10" t="str">
        <f t="shared" si="1"/>
        <v>RNA-muscle</v>
      </c>
      <c r="C858" s="10" t="str">
        <f t="shared" si="2"/>
        <v>BRN70M-B5</v>
      </c>
      <c r="D858" s="6">
        <v>70.0</v>
      </c>
      <c r="E858" s="10" t="str">
        <f t="shared" si="3"/>
        <v>BRN70M</v>
      </c>
      <c r="F858" s="6" t="s">
        <v>74</v>
      </c>
      <c r="G858" s="6">
        <v>5.0</v>
      </c>
      <c r="H858" s="11" t="str">
        <f t="shared" si="4"/>
        <v>B5</v>
      </c>
      <c r="I858" s="10" t="str">
        <f t="shared" si="5"/>
        <v>BRN70M-B5</v>
      </c>
      <c r="J858" s="16"/>
      <c r="K858" s="16" t="str">
        <f t="shared" si="6"/>
        <v>collected</v>
      </c>
      <c r="L858" s="16" t="str">
        <f t="shared" si="7"/>
        <v>N</v>
      </c>
      <c r="M858" s="16"/>
      <c r="N858" s="16"/>
    </row>
    <row r="859">
      <c r="A859" s="27" t="s">
        <v>1246</v>
      </c>
      <c r="B859" s="10" t="str">
        <f t="shared" si="1"/>
        <v>RNA-muscle</v>
      </c>
      <c r="C859" s="10" t="str">
        <f t="shared" si="2"/>
        <v>BRN70M-A5</v>
      </c>
      <c r="D859" s="6">
        <v>70.0</v>
      </c>
      <c r="E859" s="10" t="str">
        <f t="shared" si="3"/>
        <v>BRN70M</v>
      </c>
      <c r="F859" s="6" t="s">
        <v>76</v>
      </c>
      <c r="G859" s="6">
        <v>5.0</v>
      </c>
      <c r="H859" s="11" t="str">
        <f t="shared" si="4"/>
        <v>A5</v>
      </c>
      <c r="I859" s="10" t="str">
        <f t="shared" si="5"/>
        <v>BRN70M-A5</v>
      </c>
      <c r="J859" s="16"/>
      <c r="K859" s="16" t="str">
        <f t="shared" si="6"/>
        <v>collected</v>
      </c>
      <c r="L859" s="16" t="str">
        <f t="shared" si="7"/>
        <v>N</v>
      </c>
      <c r="M859" s="16"/>
      <c r="N859" s="16"/>
    </row>
    <row r="860">
      <c r="A860" s="27" t="s">
        <v>1249</v>
      </c>
      <c r="B860" s="10" t="str">
        <f t="shared" si="1"/>
        <v>RNA-muscle</v>
      </c>
      <c r="C860" s="10" t="str">
        <f t="shared" si="2"/>
        <v>BRN70M-F2</v>
      </c>
      <c r="D860" s="6">
        <v>70.0</v>
      </c>
      <c r="E860" s="10" t="str">
        <f t="shared" si="3"/>
        <v>BRN70M</v>
      </c>
      <c r="F860" s="6" t="s">
        <v>61</v>
      </c>
      <c r="G860" s="6">
        <v>2.0</v>
      </c>
      <c r="H860" s="11" t="str">
        <f t="shared" si="4"/>
        <v>F2</v>
      </c>
      <c r="I860" s="10" t="str">
        <f t="shared" si="5"/>
        <v>BRN70M-F2</v>
      </c>
      <c r="J860" s="16"/>
      <c r="K860" s="16" t="str">
        <f t="shared" si="6"/>
        <v>collected</v>
      </c>
      <c r="L860" s="16" t="str">
        <f t="shared" si="7"/>
        <v>N</v>
      </c>
      <c r="M860" s="16"/>
      <c r="N860" s="16"/>
    </row>
    <row r="861">
      <c r="A861" s="27" t="s">
        <v>1251</v>
      </c>
      <c r="B861" s="10" t="str">
        <f t="shared" si="1"/>
        <v>RNA-muscle</v>
      </c>
      <c r="C861" s="10" t="str">
        <f t="shared" si="2"/>
        <v>BRN70M-E2</v>
      </c>
      <c r="D861" s="6">
        <v>70.0</v>
      </c>
      <c r="E861" s="10" t="str">
        <f t="shared" si="3"/>
        <v>BRN70M</v>
      </c>
      <c r="F861" s="6" t="s">
        <v>66</v>
      </c>
      <c r="G861" s="6">
        <v>2.0</v>
      </c>
      <c r="H861" s="11" t="str">
        <f t="shared" si="4"/>
        <v>E2</v>
      </c>
      <c r="I861" s="10" t="str">
        <f t="shared" si="5"/>
        <v>BRN70M-E2</v>
      </c>
      <c r="J861" s="16"/>
      <c r="K861" s="16" t="str">
        <f t="shared" si="6"/>
        <v>collected</v>
      </c>
      <c r="L861" s="16" t="str">
        <f t="shared" si="7"/>
        <v>N</v>
      </c>
      <c r="M861" s="16"/>
      <c r="N861" s="16"/>
    </row>
    <row r="862">
      <c r="A862" s="27" t="s">
        <v>1254</v>
      </c>
      <c r="B862" s="10" t="str">
        <f t="shared" si="1"/>
        <v>RNA-muscle</v>
      </c>
      <c r="C862" s="10" t="str">
        <f t="shared" si="2"/>
        <v>BRN70M-D2</v>
      </c>
      <c r="D862" s="6">
        <v>70.0</v>
      </c>
      <c r="E862" s="10" t="str">
        <f t="shared" si="3"/>
        <v>BRN70M</v>
      </c>
      <c r="F862" s="6" t="s">
        <v>68</v>
      </c>
      <c r="G862" s="6">
        <v>2.0</v>
      </c>
      <c r="H862" s="11" t="str">
        <f t="shared" si="4"/>
        <v>D2</v>
      </c>
      <c r="I862" s="10" t="str">
        <f t="shared" si="5"/>
        <v>BRN70M-D2</v>
      </c>
      <c r="J862" s="16"/>
      <c r="K862" s="16" t="str">
        <f t="shared" si="6"/>
        <v>collected</v>
      </c>
      <c r="L862" s="16" t="str">
        <f t="shared" si="7"/>
        <v>N</v>
      </c>
      <c r="M862" s="16"/>
      <c r="N862" s="16"/>
    </row>
    <row r="863">
      <c r="A863" s="27" t="s">
        <v>1256</v>
      </c>
      <c r="B863" s="10" t="str">
        <f t="shared" si="1"/>
        <v>RNA-muscle</v>
      </c>
      <c r="C863" s="10" t="str">
        <f t="shared" si="2"/>
        <v>BRN70M-C2</v>
      </c>
      <c r="D863" s="6">
        <v>70.0</v>
      </c>
      <c r="E863" s="10" t="str">
        <f t="shared" si="3"/>
        <v>BRN70M</v>
      </c>
      <c r="F863" s="6" t="s">
        <v>72</v>
      </c>
      <c r="G863" s="6">
        <v>2.0</v>
      </c>
      <c r="H863" s="11" t="str">
        <f t="shared" si="4"/>
        <v>C2</v>
      </c>
      <c r="I863" s="10" t="str">
        <f t="shared" si="5"/>
        <v>BRN70M-C2</v>
      </c>
      <c r="J863" s="16"/>
      <c r="K863" s="16" t="str">
        <f t="shared" si="6"/>
        <v>collected</v>
      </c>
      <c r="L863" s="16" t="str">
        <f t="shared" si="7"/>
        <v>N</v>
      </c>
      <c r="M863" s="16"/>
      <c r="N863" s="16"/>
    </row>
    <row r="864">
      <c r="A864" s="27" t="s">
        <v>1259</v>
      </c>
      <c r="B864" s="10" t="str">
        <f t="shared" si="1"/>
        <v>RNA-muscle</v>
      </c>
      <c r="C864" s="10" t="str">
        <f t="shared" si="2"/>
        <v>BRN70M-B2</v>
      </c>
      <c r="D864" s="6">
        <v>70.0</v>
      </c>
      <c r="E864" s="10" t="str">
        <f t="shared" si="3"/>
        <v>BRN70M</v>
      </c>
      <c r="F864" s="6" t="s">
        <v>74</v>
      </c>
      <c r="G864" s="6">
        <v>2.0</v>
      </c>
      <c r="H864" s="11" t="str">
        <f t="shared" si="4"/>
        <v>B2</v>
      </c>
      <c r="I864" s="10" t="str">
        <f t="shared" si="5"/>
        <v>BRN70M-B2</v>
      </c>
      <c r="J864" s="16"/>
      <c r="K864" s="16" t="str">
        <f t="shared" si="6"/>
        <v>collected</v>
      </c>
      <c r="L864" s="16" t="str">
        <f t="shared" si="7"/>
        <v>N</v>
      </c>
      <c r="M864" s="16"/>
      <c r="N864" s="16"/>
    </row>
    <row r="865">
      <c r="A865" s="27" t="s">
        <v>1262</v>
      </c>
      <c r="B865" s="10" t="str">
        <f t="shared" si="1"/>
        <v>RNA-muscle</v>
      </c>
      <c r="C865" s="10" t="str">
        <f t="shared" si="2"/>
        <v>BRN70M-A2</v>
      </c>
      <c r="D865" s="6">
        <v>70.0</v>
      </c>
      <c r="E865" s="10" t="str">
        <f t="shared" si="3"/>
        <v>BRN70M</v>
      </c>
      <c r="F865" s="6" t="s">
        <v>76</v>
      </c>
      <c r="G865" s="6">
        <v>2.0</v>
      </c>
      <c r="H865" s="11" t="str">
        <f t="shared" si="4"/>
        <v>A2</v>
      </c>
      <c r="I865" s="10" t="str">
        <f t="shared" si="5"/>
        <v>BRN70M-A2</v>
      </c>
      <c r="J865" s="16"/>
      <c r="K865" s="16" t="str">
        <f t="shared" si="6"/>
        <v>collected</v>
      </c>
      <c r="L865" s="16" t="str">
        <f t="shared" si="7"/>
        <v>N</v>
      </c>
      <c r="M865" s="16"/>
      <c r="N865" s="16"/>
    </row>
    <row r="866">
      <c r="A866" s="27" t="s">
        <v>1264</v>
      </c>
      <c r="B866" s="10" t="str">
        <f t="shared" si="1"/>
        <v>RNA-muscle</v>
      </c>
      <c r="C866" s="10" t="str">
        <f t="shared" si="2"/>
        <v>BRN70M-H4</v>
      </c>
      <c r="D866" s="6">
        <v>70.0</v>
      </c>
      <c r="E866" s="10" t="str">
        <f t="shared" si="3"/>
        <v>BRN70M</v>
      </c>
      <c r="F866" s="6" t="s">
        <v>51</v>
      </c>
      <c r="G866" s="6">
        <v>4.0</v>
      </c>
      <c r="H866" s="11" t="str">
        <f t="shared" si="4"/>
        <v>H4</v>
      </c>
      <c r="I866" s="10" t="str">
        <f t="shared" si="5"/>
        <v>BRN70M-H4</v>
      </c>
      <c r="J866" s="16"/>
      <c r="K866" s="16" t="str">
        <f t="shared" si="6"/>
        <v>collected</v>
      </c>
      <c r="L866" s="16" t="str">
        <f t="shared" si="7"/>
        <v>N</v>
      </c>
      <c r="M866" s="16"/>
      <c r="N866" s="16"/>
    </row>
    <row r="867">
      <c r="A867" s="27" t="s">
        <v>1266</v>
      </c>
      <c r="B867" s="10" t="str">
        <f t="shared" si="1"/>
        <v>RNA-muscle</v>
      </c>
      <c r="C867" s="10" t="str">
        <f t="shared" si="2"/>
        <v>BRN70M-G4</v>
      </c>
      <c r="D867" s="6">
        <v>70.0</v>
      </c>
      <c r="E867" s="10" t="str">
        <f t="shared" si="3"/>
        <v>BRN70M</v>
      </c>
      <c r="F867" s="6" t="s">
        <v>56</v>
      </c>
      <c r="G867" s="6">
        <v>4.0</v>
      </c>
      <c r="H867" s="11" t="str">
        <f t="shared" si="4"/>
        <v>G4</v>
      </c>
      <c r="I867" s="10" t="str">
        <f t="shared" si="5"/>
        <v>BRN70M-G4</v>
      </c>
      <c r="J867" s="16"/>
      <c r="K867" s="16" t="str">
        <f t="shared" si="6"/>
        <v>collected</v>
      </c>
      <c r="L867" s="16" t="str">
        <f t="shared" si="7"/>
        <v>N</v>
      </c>
      <c r="M867" s="16"/>
      <c r="N867" s="16"/>
    </row>
    <row r="868">
      <c r="A868" s="27" t="s">
        <v>1269</v>
      </c>
      <c r="B868" s="10" t="str">
        <f t="shared" si="1"/>
        <v>RNA-muscle</v>
      </c>
      <c r="C868" s="10" t="str">
        <f t="shared" si="2"/>
        <v>BRN70M-F4</v>
      </c>
      <c r="D868" s="6">
        <v>70.0</v>
      </c>
      <c r="E868" s="10" t="str">
        <f t="shared" si="3"/>
        <v>BRN70M</v>
      </c>
      <c r="F868" s="6" t="s">
        <v>61</v>
      </c>
      <c r="G868" s="6">
        <v>4.0</v>
      </c>
      <c r="H868" s="11" t="str">
        <f t="shared" si="4"/>
        <v>F4</v>
      </c>
      <c r="I868" s="10" t="str">
        <f t="shared" si="5"/>
        <v>BRN70M-F4</v>
      </c>
      <c r="J868" s="16"/>
      <c r="K868" s="16" t="str">
        <f t="shared" si="6"/>
        <v>collected</v>
      </c>
      <c r="L868" s="16" t="str">
        <f t="shared" si="7"/>
        <v>N</v>
      </c>
      <c r="M868" s="16"/>
      <c r="N868" s="16"/>
    </row>
    <row r="869">
      <c r="A869" s="27" t="s">
        <v>1273</v>
      </c>
      <c r="B869" s="10" t="str">
        <f t="shared" si="1"/>
        <v>RNA-muscle</v>
      </c>
      <c r="C869" s="10" t="str">
        <f t="shared" si="2"/>
        <v>BRN70M-E4</v>
      </c>
      <c r="D869" s="6">
        <v>70.0</v>
      </c>
      <c r="E869" s="10" t="str">
        <f t="shared" si="3"/>
        <v>BRN70M</v>
      </c>
      <c r="F869" s="6" t="s">
        <v>66</v>
      </c>
      <c r="G869" s="6">
        <v>4.0</v>
      </c>
      <c r="H869" s="11" t="str">
        <f t="shared" si="4"/>
        <v>E4</v>
      </c>
      <c r="I869" s="10" t="str">
        <f t="shared" si="5"/>
        <v>BRN70M-E4</v>
      </c>
      <c r="J869" s="16"/>
      <c r="K869" s="16" t="str">
        <f t="shared" si="6"/>
        <v>collected</v>
      </c>
      <c r="L869" s="16" t="str">
        <f t="shared" si="7"/>
        <v>N</v>
      </c>
      <c r="M869" s="16"/>
      <c r="N869" s="16"/>
    </row>
    <row r="870">
      <c r="A870" s="27" t="s">
        <v>1275</v>
      </c>
      <c r="B870" s="10" t="str">
        <f t="shared" si="1"/>
        <v>RNA-muscle</v>
      </c>
      <c r="C870" s="10" t="str">
        <f t="shared" si="2"/>
        <v>BRN70M-D4</v>
      </c>
      <c r="D870" s="6">
        <v>70.0</v>
      </c>
      <c r="E870" s="10" t="str">
        <f t="shared" si="3"/>
        <v>BRN70M</v>
      </c>
      <c r="F870" s="6" t="s">
        <v>68</v>
      </c>
      <c r="G870" s="6">
        <v>4.0</v>
      </c>
      <c r="H870" s="11" t="str">
        <f t="shared" si="4"/>
        <v>D4</v>
      </c>
      <c r="I870" s="10" t="str">
        <f t="shared" si="5"/>
        <v>BRN70M-D4</v>
      </c>
      <c r="J870" s="16"/>
      <c r="K870" s="16" t="str">
        <f t="shared" si="6"/>
        <v>collected</v>
      </c>
      <c r="L870" s="16" t="str">
        <f t="shared" si="7"/>
        <v>N</v>
      </c>
      <c r="M870" s="16"/>
      <c r="N870" s="16"/>
    </row>
    <row r="871">
      <c r="A871" s="27" t="s">
        <v>1276</v>
      </c>
      <c r="B871" s="10" t="str">
        <f t="shared" si="1"/>
        <v>RNA-muscle</v>
      </c>
      <c r="C871" s="10" t="str">
        <f t="shared" si="2"/>
        <v>BRN70M-C4</v>
      </c>
      <c r="D871" s="6">
        <v>70.0</v>
      </c>
      <c r="E871" s="10" t="str">
        <f t="shared" si="3"/>
        <v>BRN70M</v>
      </c>
      <c r="F871" s="6" t="s">
        <v>72</v>
      </c>
      <c r="G871" s="6">
        <v>4.0</v>
      </c>
      <c r="H871" s="11" t="str">
        <f t="shared" si="4"/>
        <v>C4</v>
      </c>
      <c r="I871" s="10" t="str">
        <f t="shared" si="5"/>
        <v>BRN70M-C4</v>
      </c>
      <c r="J871" s="16"/>
      <c r="K871" s="16" t="str">
        <f t="shared" si="6"/>
        <v>collected</v>
      </c>
      <c r="L871" s="16" t="str">
        <f t="shared" si="7"/>
        <v>N</v>
      </c>
      <c r="M871" s="16"/>
      <c r="N871" s="16"/>
    </row>
    <row r="872">
      <c r="A872" s="27" t="s">
        <v>1278</v>
      </c>
      <c r="B872" s="10" t="str">
        <f t="shared" si="1"/>
        <v>RNA-muscle</v>
      </c>
      <c r="C872" s="10" t="str">
        <f t="shared" si="2"/>
        <v>BRN70M-B4</v>
      </c>
      <c r="D872" s="6">
        <v>70.0</v>
      </c>
      <c r="E872" s="10" t="str">
        <f t="shared" si="3"/>
        <v>BRN70M</v>
      </c>
      <c r="F872" s="6" t="s">
        <v>74</v>
      </c>
      <c r="G872" s="6">
        <v>4.0</v>
      </c>
      <c r="H872" s="11" t="str">
        <f t="shared" si="4"/>
        <v>B4</v>
      </c>
      <c r="I872" s="10" t="str">
        <f t="shared" si="5"/>
        <v>BRN70M-B4</v>
      </c>
      <c r="J872" s="16"/>
      <c r="K872" s="16" t="str">
        <f t="shared" si="6"/>
        <v>collected</v>
      </c>
      <c r="L872" s="16" t="str">
        <f t="shared" si="7"/>
        <v>N</v>
      </c>
      <c r="M872" s="16"/>
      <c r="N872" s="16"/>
    </row>
    <row r="873">
      <c r="A873" s="27" t="s">
        <v>1279</v>
      </c>
      <c r="B873" s="10" t="str">
        <f t="shared" si="1"/>
        <v>RNA-muscle</v>
      </c>
      <c r="C873" s="10" t="str">
        <f t="shared" si="2"/>
        <v>BRN70M-A4</v>
      </c>
      <c r="D873" s="6">
        <v>70.0</v>
      </c>
      <c r="E873" s="10" t="str">
        <f t="shared" si="3"/>
        <v>BRN70M</v>
      </c>
      <c r="F873" s="6" t="s">
        <v>76</v>
      </c>
      <c r="G873" s="6">
        <v>4.0</v>
      </c>
      <c r="H873" s="11" t="str">
        <f t="shared" si="4"/>
        <v>A4</v>
      </c>
      <c r="I873" s="10" t="str">
        <f t="shared" si="5"/>
        <v>BRN70M-A4</v>
      </c>
      <c r="J873" s="16"/>
      <c r="K873" s="16" t="str">
        <f t="shared" si="6"/>
        <v>collected</v>
      </c>
      <c r="L873" s="16" t="str">
        <f t="shared" si="7"/>
        <v>N</v>
      </c>
      <c r="M873" s="16"/>
      <c r="N873" s="16"/>
    </row>
    <row r="874">
      <c r="A874" s="27" t="s">
        <v>1280</v>
      </c>
      <c r="B874" s="10" t="str">
        <f t="shared" si="1"/>
        <v>RNA-muscle</v>
      </c>
      <c r="C874" s="10" t="str">
        <f t="shared" si="2"/>
        <v>BRN70M-G6</v>
      </c>
      <c r="D874" s="6">
        <v>70.0</v>
      </c>
      <c r="E874" s="10" t="str">
        <f t="shared" si="3"/>
        <v>BRN70M</v>
      </c>
      <c r="F874" s="6" t="s">
        <v>56</v>
      </c>
      <c r="G874" s="6">
        <v>6.0</v>
      </c>
      <c r="H874" s="11" t="str">
        <f t="shared" si="4"/>
        <v>G6</v>
      </c>
      <c r="I874" s="10" t="str">
        <f t="shared" si="5"/>
        <v>BRN70M-G6</v>
      </c>
      <c r="J874" s="16"/>
      <c r="K874" s="16" t="str">
        <f t="shared" si="6"/>
        <v>collected</v>
      </c>
      <c r="L874" s="16" t="str">
        <f t="shared" si="7"/>
        <v>N</v>
      </c>
      <c r="M874" s="16"/>
      <c r="N874" s="16"/>
    </row>
    <row r="875">
      <c r="A875" s="27" t="s">
        <v>1282</v>
      </c>
      <c r="B875" s="10" t="str">
        <f t="shared" si="1"/>
        <v>RNA-muscle</v>
      </c>
      <c r="C875" s="10" t="str">
        <f t="shared" si="2"/>
        <v>BRN70M-F6</v>
      </c>
      <c r="D875" s="6">
        <v>70.0</v>
      </c>
      <c r="E875" s="10" t="str">
        <f t="shared" si="3"/>
        <v>BRN70M</v>
      </c>
      <c r="F875" s="6" t="s">
        <v>61</v>
      </c>
      <c r="G875" s="6">
        <v>6.0</v>
      </c>
      <c r="H875" s="11" t="str">
        <f t="shared" si="4"/>
        <v>F6</v>
      </c>
      <c r="I875" s="10" t="str">
        <f t="shared" si="5"/>
        <v>BRN70M-F6</v>
      </c>
      <c r="J875" s="16"/>
      <c r="K875" s="16" t="str">
        <f t="shared" si="6"/>
        <v>collected</v>
      </c>
      <c r="L875" s="16" t="str">
        <f t="shared" si="7"/>
        <v>N</v>
      </c>
      <c r="M875" s="16"/>
      <c r="N875" s="16"/>
    </row>
    <row r="876">
      <c r="A876" s="27" t="s">
        <v>1283</v>
      </c>
      <c r="B876" s="10" t="str">
        <f t="shared" si="1"/>
        <v>RNA-muscle</v>
      </c>
      <c r="C876" s="10" t="str">
        <f t="shared" si="2"/>
        <v>BRN70M-E6</v>
      </c>
      <c r="D876" s="6">
        <v>70.0</v>
      </c>
      <c r="E876" s="10" t="str">
        <f t="shared" si="3"/>
        <v>BRN70M</v>
      </c>
      <c r="F876" s="6" t="s">
        <v>66</v>
      </c>
      <c r="G876" s="6">
        <v>6.0</v>
      </c>
      <c r="H876" s="11" t="str">
        <f t="shared" si="4"/>
        <v>E6</v>
      </c>
      <c r="I876" s="10" t="str">
        <f t="shared" si="5"/>
        <v>BRN70M-E6</v>
      </c>
      <c r="J876" s="16"/>
      <c r="K876" s="16" t="str">
        <f t="shared" si="6"/>
        <v>collected</v>
      </c>
      <c r="L876" s="16" t="str">
        <f t="shared" si="7"/>
        <v>N</v>
      </c>
      <c r="M876" s="16"/>
      <c r="N876" s="16"/>
    </row>
    <row r="877">
      <c r="A877" s="27" t="s">
        <v>1284</v>
      </c>
      <c r="B877" s="10" t="str">
        <f t="shared" si="1"/>
        <v>RNA-muscle</v>
      </c>
      <c r="C877" s="10" t="str">
        <f t="shared" si="2"/>
        <v>BRN70M-D6</v>
      </c>
      <c r="D877" s="6">
        <v>70.0</v>
      </c>
      <c r="E877" s="10" t="str">
        <f t="shared" si="3"/>
        <v>BRN70M</v>
      </c>
      <c r="F877" s="6" t="s">
        <v>68</v>
      </c>
      <c r="G877" s="6">
        <v>6.0</v>
      </c>
      <c r="H877" s="11" t="str">
        <f t="shared" si="4"/>
        <v>D6</v>
      </c>
      <c r="I877" s="10" t="str">
        <f t="shared" si="5"/>
        <v>BRN70M-D6</v>
      </c>
      <c r="J877" s="16"/>
      <c r="K877" s="16" t="str">
        <f t="shared" si="6"/>
        <v>collected</v>
      </c>
      <c r="L877" s="16" t="str">
        <f t="shared" si="7"/>
        <v>N</v>
      </c>
      <c r="M877" s="16"/>
      <c r="N877" s="16"/>
    </row>
    <row r="878">
      <c r="A878" s="27" t="s">
        <v>1286</v>
      </c>
      <c r="B878" s="10" t="str">
        <f t="shared" si="1"/>
        <v>RNA-muscle</v>
      </c>
      <c r="C878" s="10" t="str">
        <f t="shared" si="2"/>
        <v>BRN70M-C6</v>
      </c>
      <c r="D878" s="6">
        <v>70.0</v>
      </c>
      <c r="E878" s="10" t="str">
        <f t="shared" si="3"/>
        <v>BRN70M</v>
      </c>
      <c r="F878" s="6" t="s">
        <v>72</v>
      </c>
      <c r="G878" s="6">
        <v>6.0</v>
      </c>
      <c r="H878" s="11" t="str">
        <f t="shared" si="4"/>
        <v>C6</v>
      </c>
      <c r="I878" s="10" t="str">
        <f t="shared" si="5"/>
        <v>BRN70M-C6</v>
      </c>
      <c r="J878" s="16"/>
      <c r="K878" s="16" t="str">
        <f t="shared" si="6"/>
        <v>collected</v>
      </c>
      <c r="L878" s="16" t="str">
        <f t="shared" si="7"/>
        <v>N</v>
      </c>
      <c r="M878" s="16"/>
      <c r="N878" s="16"/>
    </row>
    <row r="879">
      <c r="A879" s="27" t="s">
        <v>1287</v>
      </c>
      <c r="B879" s="10" t="str">
        <f t="shared" si="1"/>
        <v>RNA-muscle</v>
      </c>
      <c r="C879" s="10" t="str">
        <f t="shared" si="2"/>
        <v>BRN70M-B6</v>
      </c>
      <c r="D879" s="6">
        <v>70.0</v>
      </c>
      <c r="E879" s="10" t="str">
        <f t="shared" si="3"/>
        <v>BRN70M</v>
      </c>
      <c r="F879" s="6" t="s">
        <v>74</v>
      </c>
      <c r="G879" s="6">
        <v>6.0</v>
      </c>
      <c r="H879" s="11" t="str">
        <f t="shared" si="4"/>
        <v>B6</v>
      </c>
      <c r="I879" s="10" t="str">
        <f t="shared" si="5"/>
        <v>BRN70M-B6</v>
      </c>
      <c r="J879" s="16"/>
      <c r="K879" s="16" t="str">
        <f t="shared" si="6"/>
        <v>collected</v>
      </c>
      <c r="L879" s="16" t="str">
        <f t="shared" si="7"/>
        <v>N</v>
      </c>
      <c r="M879" s="16"/>
      <c r="N879" s="16"/>
    </row>
    <row r="880">
      <c r="A880" s="27" t="s">
        <v>1289</v>
      </c>
      <c r="B880" s="10" t="str">
        <f t="shared" si="1"/>
        <v>RNA-muscle</v>
      </c>
      <c r="C880" s="10" t="str">
        <f t="shared" si="2"/>
        <v>BRN70M-H7</v>
      </c>
      <c r="D880" s="6">
        <v>70.0</v>
      </c>
      <c r="E880" s="10" t="str">
        <f t="shared" si="3"/>
        <v>BRN70M</v>
      </c>
      <c r="F880" s="6" t="s">
        <v>51</v>
      </c>
      <c r="G880" s="6">
        <v>7.0</v>
      </c>
      <c r="H880" s="11" t="str">
        <f t="shared" si="4"/>
        <v>H7</v>
      </c>
      <c r="I880" s="10" t="str">
        <f t="shared" si="5"/>
        <v>BRN70M-H7</v>
      </c>
      <c r="J880" s="16"/>
      <c r="K880" s="16" t="str">
        <f t="shared" si="6"/>
        <v>collected</v>
      </c>
      <c r="L880" s="16" t="str">
        <f t="shared" si="7"/>
        <v>N</v>
      </c>
      <c r="M880" s="16"/>
      <c r="N880" s="16"/>
    </row>
    <row r="881">
      <c r="A881" s="27" t="s">
        <v>1290</v>
      </c>
      <c r="B881" s="10" t="str">
        <f t="shared" si="1"/>
        <v>RNA-muscle</v>
      </c>
      <c r="C881" s="10" t="str">
        <f t="shared" si="2"/>
        <v>BRN70M-G7</v>
      </c>
      <c r="D881" s="6">
        <v>70.0</v>
      </c>
      <c r="E881" s="10" t="str">
        <f t="shared" si="3"/>
        <v>BRN70M</v>
      </c>
      <c r="F881" s="6" t="s">
        <v>56</v>
      </c>
      <c r="G881" s="6">
        <v>7.0</v>
      </c>
      <c r="H881" s="11" t="str">
        <f t="shared" si="4"/>
        <v>G7</v>
      </c>
      <c r="I881" s="10" t="str">
        <f t="shared" si="5"/>
        <v>BRN70M-G7</v>
      </c>
      <c r="J881" s="16"/>
      <c r="K881" s="16" t="str">
        <f t="shared" si="6"/>
        <v>collected</v>
      </c>
      <c r="L881" s="16" t="str">
        <f t="shared" si="7"/>
        <v>N</v>
      </c>
      <c r="M881" s="16"/>
      <c r="N881" s="16"/>
    </row>
    <row r="882">
      <c r="A882" s="27" t="s">
        <v>1291</v>
      </c>
      <c r="B882" s="10" t="str">
        <f t="shared" si="1"/>
        <v>RNA-muscle</v>
      </c>
      <c r="C882" s="10" t="str">
        <f t="shared" si="2"/>
        <v>BRN70M-F7</v>
      </c>
      <c r="D882" s="6">
        <v>70.0</v>
      </c>
      <c r="E882" s="10" t="str">
        <f t="shared" si="3"/>
        <v>BRN70M</v>
      </c>
      <c r="F882" s="6" t="s">
        <v>61</v>
      </c>
      <c r="G882" s="6">
        <v>7.0</v>
      </c>
      <c r="H882" s="11" t="str">
        <f t="shared" si="4"/>
        <v>F7</v>
      </c>
      <c r="I882" s="10" t="str">
        <f t="shared" si="5"/>
        <v>BRN70M-F7</v>
      </c>
      <c r="J882" s="16"/>
      <c r="K882" s="16" t="str">
        <f t="shared" si="6"/>
        <v>collected</v>
      </c>
      <c r="L882" s="16" t="str">
        <f t="shared" si="7"/>
        <v>N</v>
      </c>
      <c r="M882" s="16"/>
      <c r="N882" s="16"/>
    </row>
    <row r="883">
      <c r="A883" s="27" t="s">
        <v>1292</v>
      </c>
      <c r="B883" s="10" t="str">
        <f t="shared" si="1"/>
        <v>RNA-muscle</v>
      </c>
      <c r="C883" s="10" t="str">
        <f t="shared" si="2"/>
        <v>BRN70M-E7</v>
      </c>
      <c r="D883" s="6">
        <v>70.0</v>
      </c>
      <c r="E883" s="10" t="str">
        <f t="shared" si="3"/>
        <v>BRN70M</v>
      </c>
      <c r="F883" s="6" t="s">
        <v>66</v>
      </c>
      <c r="G883" s="6">
        <v>7.0</v>
      </c>
      <c r="H883" s="11" t="str">
        <f t="shared" si="4"/>
        <v>E7</v>
      </c>
      <c r="I883" s="10" t="str">
        <f t="shared" si="5"/>
        <v>BRN70M-E7</v>
      </c>
      <c r="J883" s="16"/>
      <c r="K883" s="16" t="str">
        <f t="shared" si="6"/>
        <v>collected</v>
      </c>
      <c r="L883" s="16" t="str">
        <f t="shared" si="7"/>
        <v>N</v>
      </c>
      <c r="M883" s="16"/>
      <c r="N883" s="16"/>
    </row>
    <row r="884">
      <c r="A884" s="27" t="s">
        <v>1294</v>
      </c>
      <c r="B884" s="10" t="str">
        <f t="shared" si="1"/>
        <v>RNA-muscle</v>
      </c>
      <c r="C884" s="10" t="str">
        <f t="shared" si="2"/>
        <v>BRN70M-D7</v>
      </c>
      <c r="D884" s="6">
        <v>70.0</v>
      </c>
      <c r="E884" s="10" t="str">
        <f t="shared" si="3"/>
        <v>BRN70M</v>
      </c>
      <c r="F884" s="6" t="s">
        <v>68</v>
      </c>
      <c r="G884" s="6">
        <v>7.0</v>
      </c>
      <c r="H884" s="11" t="str">
        <f t="shared" si="4"/>
        <v>D7</v>
      </c>
      <c r="I884" s="10" t="str">
        <f t="shared" si="5"/>
        <v>BRN70M-D7</v>
      </c>
      <c r="J884" s="16"/>
      <c r="K884" s="16" t="str">
        <f t="shared" si="6"/>
        <v>collected</v>
      </c>
      <c r="L884" s="16" t="str">
        <f t="shared" si="7"/>
        <v>N</v>
      </c>
      <c r="M884" s="16"/>
      <c r="N884" s="16"/>
    </row>
    <row r="885">
      <c r="A885" s="27" t="s">
        <v>1295</v>
      </c>
      <c r="B885" s="10" t="str">
        <f t="shared" si="1"/>
        <v>RNA-muscle</v>
      </c>
      <c r="C885" s="10" t="str">
        <f t="shared" si="2"/>
        <v>BRN70M-A6</v>
      </c>
      <c r="D885" s="6">
        <v>70.0</v>
      </c>
      <c r="E885" s="10" t="str">
        <f t="shared" si="3"/>
        <v>BRN70M</v>
      </c>
      <c r="F885" s="6" t="s">
        <v>76</v>
      </c>
      <c r="G885" s="6">
        <v>6.0</v>
      </c>
      <c r="H885" s="11" t="str">
        <f t="shared" si="4"/>
        <v>A6</v>
      </c>
      <c r="I885" s="10" t="str">
        <f t="shared" si="5"/>
        <v>BRN70M-A6</v>
      </c>
      <c r="J885" s="16"/>
      <c r="K885" s="16" t="str">
        <f t="shared" si="6"/>
        <v>collected</v>
      </c>
      <c r="L885" s="16" t="str">
        <f t="shared" si="7"/>
        <v>N</v>
      </c>
      <c r="M885" s="16"/>
      <c r="N885" s="16"/>
    </row>
    <row r="886">
      <c r="A886" s="27" t="s">
        <v>1296</v>
      </c>
      <c r="B886" s="10" t="str">
        <f t="shared" si="1"/>
        <v>RNA-muscle</v>
      </c>
      <c r="C886" s="10" t="str">
        <f t="shared" si="2"/>
        <v>BRN70M-H8</v>
      </c>
      <c r="D886" s="6">
        <v>70.0</v>
      </c>
      <c r="E886" s="10" t="str">
        <f t="shared" si="3"/>
        <v>BRN70M</v>
      </c>
      <c r="F886" s="6" t="s">
        <v>51</v>
      </c>
      <c r="G886" s="6">
        <v>8.0</v>
      </c>
      <c r="H886" s="11" t="str">
        <f t="shared" si="4"/>
        <v>H8</v>
      </c>
      <c r="I886" s="10" t="str">
        <f t="shared" si="5"/>
        <v>BRN70M-H8</v>
      </c>
      <c r="J886" s="16"/>
      <c r="K886" s="16" t="str">
        <f t="shared" si="6"/>
        <v>collected</v>
      </c>
      <c r="L886" s="16" t="str">
        <f t="shared" si="7"/>
        <v>N</v>
      </c>
      <c r="M886" s="16"/>
      <c r="N886" s="16"/>
    </row>
    <row r="887">
      <c r="A887" s="27" t="s">
        <v>1297</v>
      </c>
      <c r="B887" s="10" t="str">
        <f t="shared" si="1"/>
        <v>RNA-muscle</v>
      </c>
      <c r="C887" s="10" t="str">
        <f t="shared" si="2"/>
        <v>BRN70M-G8</v>
      </c>
      <c r="D887" s="6">
        <v>70.0</v>
      </c>
      <c r="E887" s="10" t="str">
        <f t="shared" si="3"/>
        <v>BRN70M</v>
      </c>
      <c r="F887" s="6" t="s">
        <v>56</v>
      </c>
      <c r="G887" s="6">
        <v>8.0</v>
      </c>
      <c r="H887" s="11" t="str">
        <f t="shared" si="4"/>
        <v>G8</v>
      </c>
      <c r="I887" s="10" t="str">
        <f t="shared" si="5"/>
        <v>BRN70M-G8</v>
      </c>
      <c r="J887" s="16"/>
      <c r="K887" s="16" t="str">
        <f t="shared" si="6"/>
        <v>collected</v>
      </c>
      <c r="L887" s="16" t="str">
        <f t="shared" si="7"/>
        <v>N</v>
      </c>
      <c r="M887" s="16"/>
      <c r="N887" s="16"/>
    </row>
    <row r="888">
      <c r="A888" s="27" t="s">
        <v>1299</v>
      </c>
      <c r="B888" s="10" t="str">
        <f t="shared" si="1"/>
        <v>RNA-muscle</v>
      </c>
      <c r="C888" s="10" t="str">
        <f t="shared" si="2"/>
        <v>BRN70M-F8</v>
      </c>
      <c r="D888" s="6">
        <v>70.0</v>
      </c>
      <c r="E888" s="10" t="str">
        <f t="shared" si="3"/>
        <v>BRN70M</v>
      </c>
      <c r="F888" s="6" t="s">
        <v>61</v>
      </c>
      <c r="G888" s="6">
        <v>8.0</v>
      </c>
      <c r="H888" s="11" t="str">
        <f t="shared" si="4"/>
        <v>F8</v>
      </c>
      <c r="I888" s="10" t="str">
        <f t="shared" si="5"/>
        <v>BRN70M-F8</v>
      </c>
      <c r="J888" s="16"/>
      <c r="K888" s="16" t="str">
        <f t="shared" si="6"/>
        <v>collected</v>
      </c>
      <c r="L888" s="16" t="str">
        <f t="shared" si="7"/>
        <v>N</v>
      </c>
      <c r="M888" s="16"/>
      <c r="N888" s="16"/>
    </row>
    <row r="889">
      <c r="A889" s="27" t="s">
        <v>1300</v>
      </c>
      <c r="B889" s="10" t="str">
        <f t="shared" si="1"/>
        <v>RNA-muscle</v>
      </c>
      <c r="C889" s="10" t="str">
        <f t="shared" si="2"/>
        <v>BRN70M-E8</v>
      </c>
      <c r="D889" s="6">
        <v>70.0</v>
      </c>
      <c r="E889" s="10" t="str">
        <f t="shared" si="3"/>
        <v>BRN70M</v>
      </c>
      <c r="F889" s="6" t="s">
        <v>66</v>
      </c>
      <c r="G889" s="6">
        <v>8.0</v>
      </c>
      <c r="H889" s="11" t="str">
        <f t="shared" si="4"/>
        <v>E8</v>
      </c>
      <c r="I889" s="10" t="str">
        <f t="shared" si="5"/>
        <v>BRN70M-E8</v>
      </c>
      <c r="J889" s="16"/>
      <c r="K889" s="16" t="str">
        <f t="shared" si="6"/>
        <v>collected</v>
      </c>
      <c r="L889" s="16" t="str">
        <f t="shared" si="7"/>
        <v>N</v>
      </c>
      <c r="M889" s="16"/>
      <c r="N889" s="16"/>
    </row>
    <row r="890">
      <c r="A890" s="27" t="s">
        <v>1301</v>
      </c>
      <c r="B890" s="10" t="str">
        <f t="shared" si="1"/>
        <v>RNA-muscle</v>
      </c>
      <c r="C890" s="10" t="str">
        <f t="shared" si="2"/>
        <v>BRN70M-D8</v>
      </c>
      <c r="D890" s="6">
        <v>70.0</v>
      </c>
      <c r="E890" s="10" t="str">
        <f t="shared" si="3"/>
        <v>BRN70M</v>
      </c>
      <c r="F890" s="6" t="s">
        <v>68</v>
      </c>
      <c r="G890" s="6">
        <v>8.0</v>
      </c>
      <c r="H890" s="11" t="str">
        <f t="shared" si="4"/>
        <v>D8</v>
      </c>
      <c r="I890" s="10" t="str">
        <f t="shared" si="5"/>
        <v>BRN70M-D8</v>
      </c>
      <c r="J890" s="16"/>
      <c r="K890" s="16" t="str">
        <f t="shared" si="6"/>
        <v>collected</v>
      </c>
      <c r="L890" s="16" t="str">
        <f t="shared" si="7"/>
        <v>N</v>
      </c>
      <c r="M890" s="16"/>
      <c r="N890" s="16"/>
    </row>
    <row r="891">
      <c r="A891" s="27" t="s">
        <v>1302</v>
      </c>
      <c r="B891" s="10" t="str">
        <f t="shared" si="1"/>
        <v>RNA-muscle</v>
      </c>
      <c r="C891" s="10" t="str">
        <f t="shared" si="2"/>
        <v>BRN70M-C8</v>
      </c>
      <c r="D891" s="6">
        <v>70.0</v>
      </c>
      <c r="E891" s="10" t="str">
        <f t="shared" si="3"/>
        <v>BRN70M</v>
      </c>
      <c r="F891" s="6" t="s">
        <v>72</v>
      </c>
      <c r="G891" s="6">
        <v>8.0</v>
      </c>
      <c r="H891" s="11" t="str">
        <f t="shared" si="4"/>
        <v>C8</v>
      </c>
      <c r="I891" s="10" t="str">
        <f t="shared" si="5"/>
        <v>BRN70M-C8</v>
      </c>
      <c r="J891" s="16"/>
      <c r="K891" s="16" t="str">
        <f t="shared" si="6"/>
        <v>collected</v>
      </c>
      <c r="L891" s="16" t="str">
        <f t="shared" si="7"/>
        <v>N</v>
      </c>
      <c r="M891" s="16"/>
      <c r="N891" s="16"/>
    </row>
    <row r="892">
      <c r="A892" s="27" t="s">
        <v>1304</v>
      </c>
      <c r="B892" s="10" t="str">
        <f t="shared" si="1"/>
        <v>RNA-muscle</v>
      </c>
      <c r="C892" s="10" t="str">
        <f t="shared" si="2"/>
        <v>BRN70M-B8</v>
      </c>
      <c r="D892" s="6">
        <v>70.0</v>
      </c>
      <c r="E892" s="10" t="str">
        <f t="shared" si="3"/>
        <v>BRN70M</v>
      </c>
      <c r="F892" s="6" t="s">
        <v>74</v>
      </c>
      <c r="G892" s="6">
        <v>8.0</v>
      </c>
      <c r="H892" s="11" t="str">
        <f t="shared" si="4"/>
        <v>B8</v>
      </c>
      <c r="I892" s="10" t="str">
        <f t="shared" si="5"/>
        <v>BRN70M-B8</v>
      </c>
      <c r="J892" s="16"/>
      <c r="K892" s="16" t="str">
        <f t="shared" si="6"/>
        <v>collected</v>
      </c>
      <c r="L892" s="16" t="str">
        <f t="shared" si="7"/>
        <v>N</v>
      </c>
      <c r="M892" s="16"/>
      <c r="N892" s="16"/>
    </row>
    <row r="893">
      <c r="A893" s="27" t="s">
        <v>1305</v>
      </c>
      <c r="B893" s="10" t="str">
        <f t="shared" si="1"/>
        <v>RNA-muscle</v>
      </c>
      <c r="C893" s="10" t="str">
        <f t="shared" si="2"/>
        <v>BRN70M-A8</v>
      </c>
      <c r="D893" s="6">
        <v>70.0</v>
      </c>
      <c r="E893" s="10" t="str">
        <f t="shared" si="3"/>
        <v>BRN70M</v>
      </c>
      <c r="F893" s="6" t="s">
        <v>76</v>
      </c>
      <c r="G893" s="6">
        <v>8.0</v>
      </c>
      <c r="H893" s="11" t="str">
        <f t="shared" si="4"/>
        <v>A8</v>
      </c>
      <c r="I893" s="10" t="str">
        <f t="shared" si="5"/>
        <v>BRN70M-A8</v>
      </c>
      <c r="J893" s="16"/>
      <c r="K893" s="16" t="str">
        <f t="shared" si="6"/>
        <v>collected</v>
      </c>
      <c r="L893" s="16" t="str">
        <f t="shared" si="7"/>
        <v>N</v>
      </c>
      <c r="M893" s="16"/>
      <c r="N893" s="16"/>
    </row>
    <row r="894">
      <c r="A894" s="27" t="s">
        <v>1306</v>
      </c>
      <c r="B894" s="10" t="str">
        <f t="shared" si="1"/>
        <v>RNA-muscle</v>
      </c>
      <c r="C894" s="10" t="str">
        <f t="shared" si="2"/>
        <v>BRN70M-H10</v>
      </c>
      <c r="D894" s="6">
        <v>70.0</v>
      </c>
      <c r="E894" s="10" t="str">
        <f t="shared" si="3"/>
        <v>BRN70M</v>
      </c>
      <c r="F894" s="6" t="s">
        <v>51</v>
      </c>
      <c r="G894" s="6">
        <v>10.0</v>
      </c>
      <c r="H894" s="11" t="str">
        <f t="shared" si="4"/>
        <v>H10</v>
      </c>
      <c r="I894" s="10" t="str">
        <f t="shared" si="5"/>
        <v>BRN70M-H10</v>
      </c>
      <c r="J894" s="16"/>
      <c r="K894" s="16" t="str">
        <f t="shared" si="6"/>
        <v>collected</v>
      </c>
      <c r="L894" s="16" t="str">
        <f t="shared" si="7"/>
        <v>N</v>
      </c>
      <c r="M894" s="16"/>
      <c r="N894" s="16"/>
    </row>
    <row r="895">
      <c r="A895" s="27" t="s">
        <v>1307</v>
      </c>
      <c r="B895" s="10" t="str">
        <f t="shared" si="1"/>
        <v>RNA-muscle</v>
      </c>
      <c r="C895" s="10" t="str">
        <f t="shared" si="2"/>
        <v>BRN70M-G10</v>
      </c>
      <c r="D895" s="6">
        <v>70.0</v>
      </c>
      <c r="E895" s="10" t="str">
        <f t="shared" si="3"/>
        <v>BRN70M</v>
      </c>
      <c r="F895" s="6" t="s">
        <v>56</v>
      </c>
      <c r="G895" s="6">
        <v>10.0</v>
      </c>
      <c r="H895" s="11" t="str">
        <f t="shared" si="4"/>
        <v>G10</v>
      </c>
      <c r="I895" s="10" t="str">
        <f t="shared" si="5"/>
        <v>BRN70M-G10</v>
      </c>
      <c r="J895" s="16"/>
      <c r="K895" s="16" t="str">
        <f t="shared" si="6"/>
        <v>collected</v>
      </c>
      <c r="L895" s="16" t="str">
        <f t="shared" si="7"/>
        <v>N</v>
      </c>
      <c r="M895" s="16"/>
      <c r="N895" s="16"/>
    </row>
    <row r="896">
      <c r="A896" s="27" t="s">
        <v>1309</v>
      </c>
      <c r="B896" s="10" t="str">
        <f t="shared" si="1"/>
        <v>RNA-muscle</v>
      </c>
      <c r="C896" s="10" t="str">
        <f t="shared" si="2"/>
        <v>BRN70M-F10</v>
      </c>
      <c r="D896" s="6">
        <v>70.0</v>
      </c>
      <c r="E896" s="10" t="str">
        <f t="shared" si="3"/>
        <v>BRN70M</v>
      </c>
      <c r="F896" s="6" t="s">
        <v>61</v>
      </c>
      <c r="G896" s="6">
        <v>10.0</v>
      </c>
      <c r="H896" s="11" t="str">
        <f t="shared" si="4"/>
        <v>F10</v>
      </c>
      <c r="I896" s="10" t="str">
        <f t="shared" si="5"/>
        <v>BRN70M-F10</v>
      </c>
      <c r="J896" s="16"/>
      <c r="K896" s="16" t="str">
        <f t="shared" si="6"/>
        <v>collected</v>
      </c>
      <c r="L896" s="16" t="str">
        <f t="shared" si="7"/>
        <v>N</v>
      </c>
      <c r="M896" s="16"/>
      <c r="N896" s="16"/>
    </row>
    <row r="897">
      <c r="A897" s="27" t="s">
        <v>1310</v>
      </c>
      <c r="B897" s="10" t="str">
        <f t="shared" si="1"/>
        <v>RNA-muscle</v>
      </c>
      <c r="C897" s="10" t="str">
        <f t="shared" si="2"/>
        <v>BRN70M-C7</v>
      </c>
      <c r="D897" s="6">
        <v>70.0</v>
      </c>
      <c r="E897" s="10" t="str">
        <f t="shared" si="3"/>
        <v>BRN70M</v>
      </c>
      <c r="F897" s="6" t="s">
        <v>72</v>
      </c>
      <c r="G897" s="6">
        <v>7.0</v>
      </c>
      <c r="H897" s="11" t="str">
        <f t="shared" si="4"/>
        <v>C7</v>
      </c>
      <c r="I897" s="10" t="str">
        <f t="shared" si="5"/>
        <v>BRN70M-C7</v>
      </c>
      <c r="J897" s="16"/>
      <c r="K897" s="16" t="str">
        <f t="shared" si="6"/>
        <v>collected</v>
      </c>
      <c r="L897" s="16" t="str">
        <f t="shared" si="7"/>
        <v>N</v>
      </c>
      <c r="M897" s="16"/>
      <c r="N897" s="16"/>
    </row>
    <row r="898">
      <c r="A898" s="27" t="s">
        <v>1311</v>
      </c>
      <c r="B898" s="10" t="str">
        <f t="shared" si="1"/>
        <v>RNA-muscle</v>
      </c>
      <c r="C898" s="10" t="str">
        <f t="shared" si="2"/>
        <v>BRN70M-B7</v>
      </c>
      <c r="D898" s="6">
        <v>70.0</v>
      </c>
      <c r="E898" s="10" t="str">
        <f t="shared" si="3"/>
        <v>BRN70M</v>
      </c>
      <c r="F898" s="6" t="s">
        <v>74</v>
      </c>
      <c r="G898" s="6">
        <v>7.0</v>
      </c>
      <c r="H898" s="11" t="str">
        <f t="shared" si="4"/>
        <v>B7</v>
      </c>
      <c r="I898" s="10" t="str">
        <f t="shared" si="5"/>
        <v>BRN70M-B7</v>
      </c>
      <c r="J898" s="16"/>
      <c r="K898" s="16" t="str">
        <f t="shared" si="6"/>
        <v>collected</v>
      </c>
      <c r="L898" s="16" t="str">
        <f t="shared" si="7"/>
        <v>N</v>
      </c>
      <c r="M898" s="16"/>
      <c r="N898" s="16"/>
    </row>
    <row r="899">
      <c r="A899" s="27" t="s">
        <v>1312</v>
      </c>
      <c r="B899" s="10" t="str">
        <f t="shared" si="1"/>
        <v>RNA-muscle</v>
      </c>
      <c r="C899" s="10" t="str">
        <f t="shared" si="2"/>
        <v>BRN70M-A7</v>
      </c>
      <c r="D899" s="6">
        <v>70.0</v>
      </c>
      <c r="E899" s="10" t="str">
        <f t="shared" si="3"/>
        <v>BRN70M</v>
      </c>
      <c r="F899" s="6" t="s">
        <v>76</v>
      </c>
      <c r="G899" s="6">
        <v>7.0</v>
      </c>
      <c r="H899" s="11" t="str">
        <f t="shared" si="4"/>
        <v>A7</v>
      </c>
      <c r="I899" s="10" t="str">
        <f t="shared" si="5"/>
        <v>BRN70M-A7</v>
      </c>
      <c r="J899" s="16"/>
      <c r="K899" s="16" t="str">
        <f t="shared" si="6"/>
        <v>collected</v>
      </c>
      <c r="L899" s="16" t="str">
        <f t="shared" si="7"/>
        <v>N</v>
      </c>
      <c r="M899" s="16"/>
      <c r="N899" s="16"/>
    </row>
    <row r="900">
      <c r="A900" s="27" t="s">
        <v>1313</v>
      </c>
      <c r="B900" s="10" t="str">
        <f t="shared" si="1"/>
        <v>RNA-muscle</v>
      </c>
      <c r="C900" s="10" t="str">
        <f t="shared" si="2"/>
        <v>BRN70M-H9</v>
      </c>
      <c r="D900" s="6">
        <v>70.0</v>
      </c>
      <c r="E900" s="10" t="str">
        <f t="shared" si="3"/>
        <v>BRN70M</v>
      </c>
      <c r="F900" s="6" t="s">
        <v>51</v>
      </c>
      <c r="G900" s="6">
        <v>9.0</v>
      </c>
      <c r="H900" s="11" t="str">
        <f t="shared" si="4"/>
        <v>H9</v>
      </c>
      <c r="I900" s="10" t="str">
        <f t="shared" si="5"/>
        <v>BRN70M-H9</v>
      </c>
      <c r="J900" s="16"/>
      <c r="K900" s="16" t="str">
        <f t="shared" si="6"/>
        <v>collected</v>
      </c>
      <c r="L900" s="16" t="str">
        <f t="shared" si="7"/>
        <v>N</v>
      </c>
      <c r="M900" s="16"/>
      <c r="N900" s="16"/>
    </row>
    <row r="901">
      <c r="A901" s="27" t="s">
        <v>1315</v>
      </c>
      <c r="B901" s="10" t="str">
        <f t="shared" si="1"/>
        <v>RNA-muscle</v>
      </c>
      <c r="C901" s="10" t="str">
        <f t="shared" si="2"/>
        <v>BRN70M-G9</v>
      </c>
      <c r="D901" s="6">
        <v>70.0</v>
      </c>
      <c r="E901" s="10" t="str">
        <f t="shared" si="3"/>
        <v>BRN70M</v>
      </c>
      <c r="F901" s="6" t="s">
        <v>56</v>
      </c>
      <c r="G901" s="6">
        <v>9.0</v>
      </c>
      <c r="H901" s="11" t="str">
        <f t="shared" si="4"/>
        <v>G9</v>
      </c>
      <c r="I901" s="10" t="str">
        <f t="shared" si="5"/>
        <v>BRN70M-G9</v>
      </c>
      <c r="J901" s="16"/>
      <c r="K901" s="16" t="str">
        <f t="shared" si="6"/>
        <v>collected</v>
      </c>
      <c r="L901" s="16" t="str">
        <f t="shared" si="7"/>
        <v>N</v>
      </c>
      <c r="M901" s="16"/>
      <c r="N901" s="16"/>
    </row>
    <row r="902">
      <c r="A902" s="27" t="s">
        <v>1317</v>
      </c>
      <c r="B902" s="10" t="str">
        <f t="shared" si="1"/>
        <v>RNA-muscle</v>
      </c>
      <c r="C902" s="10" t="str">
        <f t="shared" si="2"/>
        <v>BRN70M-F9</v>
      </c>
      <c r="D902" s="6">
        <v>70.0</v>
      </c>
      <c r="E902" s="10" t="str">
        <f t="shared" si="3"/>
        <v>BRN70M</v>
      </c>
      <c r="F902" s="6" t="s">
        <v>61</v>
      </c>
      <c r="G902" s="6">
        <v>9.0</v>
      </c>
      <c r="H902" s="11" t="str">
        <f t="shared" si="4"/>
        <v>F9</v>
      </c>
      <c r="I902" s="10" t="str">
        <f t="shared" si="5"/>
        <v>BRN70M-F9</v>
      </c>
      <c r="J902" s="16"/>
      <c r="K902" s="16" t="str">
        <f t="shared" si="6"/>
        <v>collected</v>
      </c>
      <c r="L902" s="16" t="str">
        <f t="shared" si="7"/>
        <v>N</v>
      </c>
      <c r="M902" s="16"/>
      <c r="N902" s="16"/>
    </row>
    <row r="903">
      <c r="A903" s="27" t="s">
        <v>1318</v>
      </c>
      <c r="B903" s="10" t="str">
        <f t="shared" si="1"/>
        <v>RNA-muscle</v>
      </c>
      <c r="C903" s="10" t="str">
        <f t="shared" si="2"/>
        <v>BRN70M-E9</v>
      </c>
      <c r="D903" s="6">
        <v>70.0</v>
      </c>
      <c r="E903" s="10" t="str">
        <f t="shared" si="3"/>
        <v>BRN70M</v>
      </c>
      <c r="F903" s="6" t="s">
        <v>66</v>
      </c>
      <c r="G903" s="6">
        <v>9.0</v>
      </c>
      <c r="H903" s="11" t="str">
        <f t="shared" si="4"/>
        <v>E9</v>
      </c>
      <c r="I903" s="10" t="str">
        <f t="shared" si="5"/>
        <v>BRN70M-E9</v>
      </c>
      <c r="J903" s="16"/>
      <c r="K903" s="16" t="str">
        <f t="shared" si="6"/>
        <v>collected</v>
      </c>
      <c r="L903" s="16" t="str">
        <f t="shared" si="7"/>
        <v>N</v>
      </c>
      <c r="M903" s="16"/>
      <c r="N903" s="16"/>
    </row>
    <row r="904">
      <c r="A904" s="27" t="s">
        <v>1320</v>
      </c>
      <c r="B904" s="10" t="str">
        <f t="shared" si="1"/>
        <v>RNA-muscle</v>
      </c>
      <c r="C904" s="10" t="str">
        <f t="shared" si="2"/>
        <v>BRN70M-D9</v>
      </c>
      <c r="D904" s="6">
        <v>70.0</v>
      </c>
      <c r="E904" s="10" t="str">
        <f t="shared" si="3"/>
        <v>BRN70M</v>
      </c>
      <c r="F904" s="6" t="s">
        <v>68</v>
      </c>
      <c r="G904" s="6">
        <v>9.0</v>
      </c>
      <c r="H904" s="11" t="str">
        <f t="shared" si="4"/>
        <v>D9</v>
      </c>
      <c r="I904" s="10" t="str">
        <f t="shared" si="5"/>
        <v>BRN70M-D9</v>
      </c>
      <c r="J904" s="16"/>
      <c r="K904" s="16" t="str">
        <f t="shared" si="6"/>
        <v>collected</v>
      </c>
      <c r="L904" s="16" t="str">
        <f t="shared" si="7"/>
        <v>N</v>
      </c>
      <c r="M904" s="16"/>
      <c r="N904" s="16"/>
    </row>
    <row r="905">
      <c r="A905" s="27" t="s">
        <v>1322</v>
      </c>
      <c r="B905" s="10" t="str">
        <f t="shared" si="1"/>
        <v>RNA-muscle</v>
      </c>
      <c r="C905" s="10" t="str">
        <f t="shared" si="2"/>
        <v>BRN70M-C9</v>
      </c>
      <c r="D905" s="6">
        <v>70.0</v>
      </c>
      <c r="E905" s="10" t="str">
        <f t="shared" si="3"/>
        <v>BRN70M</v>
      </c>
      <c r="F905" s="6" t="s">
        <v>72</v>
      </c>
      <c r="G905" s="6">
        <v>9.0</v>
      </c>
      <c r="H905" s="11" t="str">
        <f t="shared" si="4"/>
        <v>C9</v>
      </c>
      <c r="I905" s="10" t="str">
        <f t="shared" si="5"/>
        <v>BRN70M-C9</v>
      </c>
      <c r="J905" s="16"/>
      <c r="K905" s="16" t="str">
        <f t="shared" si="6"/>
        <v>collected</v>
      </c>
      <c r="L905" s="16" t="str">
        <f t="shared" si="7"/>
        <v>N</v>
      </c>
      <c r="M905" s="16"/>
      <c r="N905" s="16"/>
    </row>
    <row r="906">
      <c r="A906" s="27" t="s">
        <v>1324</v>
      </c>
      <c r="B906" s="10" t="str">
        <f t="shared" si="1"/>
        <v>RNA-muscle</v>
      </c>
      <c r="C906" s="10" t="str">
        <f t="shared" si="2"/>
        <v>BRN70M-B9</v>
      </c>
      <c r="D906" s="6">
        <v>70.0</v>
      </c>
      <c r="E906" s="10" t="str">
        <f t="shared" si="3"/>
        <v>BRN70M</v>
      </c>
      <c r="F906" s="6" t="s">
        <v>74</v>
      </c>
      <c r="G906" s="6">
        <v>9.0</v>
      </c>
      <c r="H906" s="11" t="str">
        <f t="shared" si="4"/>
        <v>B9</v>
      </c>
      <c r="I906" s="10" t="str">
        <f t="shared" si="5"/>
        <v>BRN70M-B9</v>
      </c>
      <c r="J906" s="16"/>
      <c r="K906" s="16" t="str">
        <f t="shared" si="6"/>
        <v>collected</v>
      </c>
      <c r="L906" s="16" t="str">
        <f t="shared" si="7"/>
        <v>N</v>
      </c>
      <c r="M906" s="16"/>
      <c r="N906" s="16"/>
    </row>
    <row r="907">
      <c r="A907" s="27" t="s">
        <v>1325</v>
      </c>
      <c r="B907" s="10" t="str">
        <f t="shared" si="1"/>
        <v>RNA-muscle</v>
      </c>
      <c r="C907" s="10" t="str">
        <f t="shared" si="2"/>
        <v>BRN70M-A9</v>
      </c>
      <c r="D907" s="6">
        <v>70.0</v>
      </c>
      <c r="E907" s="10" t="str">
        <f t="shared" si="3"/>
        <v>BRN70M</v>
      </c>
      <c r="F907" s="6" t="s">
        <v>76</v>
      </c>
      <c r="G907" s="6">
        <v>9.0</v>
      </c>
      <c r="H907" s="11" t="str">
        <f t="shared" si="4"/>
        <v>A9</v>
      </c>
      <c r="I907" s="10" t="str">
        <f t="shared" si="5"/>
        <v>BRN70M-A9</v>
      </c>
      <c r="J907" s="16"/>
      <c r="K907" s="16" t="str">
        <f t="shared" si="6"/>
        <v>collected</v>
      </c>
      <c r="L907" s="16" t="str">
        <f t="shared" si="7"/>
        <v>N</v>
      </c>
      <c r="M907" s="16"/>
      <c r="N907" s="16"/>
    </row>
    <row r="908">
      <c r="A908" s="27" t="s">
        <v>1326</v>
      </c>
      <c r="B908" s="10" t="str">
        <f t="shared" si="1"/>
        <v>RNA-muscle</v>
      </c>
      <c r="C908" s="10" t="str">
        <f t="shared" si="2"/>
        <v>BRN70M-H11</v>
      </c>
      <c r="D908" s="6">
        <v>70.0</v>
      </c>
      <c r="E908" s="10" t="str">
        <f t="shared" si="3"/>
        <v>BRN70M</v>
      </c>
      <c r="F908" s="6" t="s">
        <v>51</v>
      </c>
      <c r="G908" s="6">
        <v>11.0</v>
      </c>
      <c r="H908" s="11" t="str">
        <f t="shared" si="4"/>
        <v>H11</v>
      </c>
      <c r="I908" s="10" t="str">
        <f t="shared" si="5"/>
        <v>BRN70M-H11</v>
      </c>
      <c r="J908" s="16"/>
      <c r="K908" s="16" t="str">
        <f t="shared" si="6"/>
        <v>collected</v>
      </c>
      <c r="L908" s="16" t="str">
        <f t="shared" si="7"/>
        <v>N</v>
      </c>
      <c r="M908" s="16"/>
      <c r="N908" s="16"/>
    </row>
    <row r="909">
      <c r="A909" s="6" t="s">
        <v>1327</v>
      </c>
      <c r="B909" s="10" t="str">
        <f t="shared" si="1"/>
        <v>RNA-muscle</v>
      </c>
      <c r="C909" s="10" t="str">
        <f t="shared" si="2"/>
        <v>BRN70M-G11</v>
      </c>
      <c r="D909" s="6">
        <v>70.0</v>
      </c>
      <c r="E909" s="10" t="str">
        <f t="shared" si="3"/>
        <v>BRN70M</v>
      </c>
      <c r="F909" s="6" t="s">
        <v>56</v>
      </c>
      <c r="G909" s="6">
        <v>11.0</v>
      </c>
      <c r="H909" s="11" t="str">
        <f t="shared" si="4"/>
        <v>G11</v>
      </c>
      <c r="I909" s="10" t="str">
        <f t="shared" si="5"/>
        <v>BRN70M-G11</v>
      </c>
      <c r="J909" s="16"/>
      <c r="K909" s="16" t="str">
        <f t="shared" si="6"/>
        <v>collected</v>
      </c>
      <c r="L909" s="16" t="str">
        <f t="shared" si="7"/>
        <v>N</v>
      </c>
      <c r="M909" s="16"/>
      <c r="N909" s="16"/>
    </row>
    <row r="910">
      <c r="A910" s="27" t="s">
        <v>1328</v>
      </c>
      <c r="B910" s="10" t="str">
        <f t="shared" si="1"/>
        <v>RNA-muscle</v>
      </c>
      <c r="C910" s="10" t="str">
        <f t="shared" si="2"/>
        <v>BRN70M-F11</v>
      </c>
      <c r="D910" s="6">
        <v>70.0</v>
      </c>
      <c r="E910" s="10" t="str">
        <f t="shared" si="3"/>
        <v>BRN70M</v>
      </c>
      <c r="F910" s="6" t="s">
        <v>61</v>
      </c>
      <c r="G910" s="6">
        <v>11.0</v>
      </c>
      <c r="H910" s="11" t="str">
        <f t="shared" si="4"/>
        <v>F11</v>
      </c>
      <c r="I910" s="10" t="str">
        <f t="shared" si="5"/>
        <v>BRN70M-F11</v>
      </c>
      <c r="J910" s="16"/>
      <c r="K910" s="16" t="str">
        <f t="shared" si="6"/>
        <v>collected</v>
      </c>
      <c r="L910" s="16" t="str">
        <f t="shared" si="7"/>
        <v>N</v>
      </c>
      <c r="M910" s="16"/>
      <c r="N910" s="16"/>
    </row>
    <row r="911">
      <c r="A911" s="27" t="s">
        <v>1329</v>
      </c>
      <c r="B911" s="10" t="str">
        <f t="shared" si="1"/>
        <v>RNA-muscle</v>
      </c>
      <c r="C911" s="10" t="str">
        <f t="shared" si="2"/>
        <v>BRN70M-E11</v>
      </c>
      <c r="D911" s="6">
        <v>70.0</v>
      </c>
      <c r="E911" s="10" t="str">
        <f t="shared" si="3"/>
        <v>BRN70M</v>
      </c>
      <c r="F911" s="6" t="s">
        <v>66</v>
      </c>
      <c r="G911" s="6">
        <v>11.0</v>
      </c>
      <c r="H911" s="11" t="str">
        <f t="shared" si="4"/>
        <v>E11</v>
      </c>
      <c r="I911" s="10" t="str">
        <f t="shared" si="5"/>
        <v>BRN70M-E11</v>
      </c>
      <c r="J911" s="16"/>
      <c r="K911" s="16" t="str">
        <f t="shared" si="6"/>
        <v>collected</v>
      </c>
      <c r="L911" s="16" t="str">
        <f t="shared" si="7"/>
        <v>N</v>
      </c>
      <c r="M911" s="16"/>
      <c r="N911" s="16"/>
    </row>
    <row r="912">
      <c r="A912" s="27" t="s">
        <v>1330</v>
      </c>
      <c r="B912" s="10" t="str">
        <f t="shared" si="1"/>
        <v>RNA-muscle</v>
      </c>
      <c r="C912" s="10" t="str">
        <f t="shared" si="2"/>
        <v>BRN70M-D11</v>
      </c>
      <c r="D912" s="6">
        <v>70.0</v>
      </c>
      <c r="E912" s="10" t="str">
        <f t="shared" si="3"/>
        <v>BRN70M</v>
      </c>
      <c r="F912" s="6" t="s">
        <v>68</v>
      </c>
      <c r="G912" s="6">
        <v>11.0</v>
      </c>
      <c r="H912" s="11" t="str">
        <f t="shared" si="4"/>
        <v>D11</v>
      </c>
      <c r="I912" s="10" t="str">
        <f t="shared" si="5"/>
        <v>BRN70M-D11</v>
      </c>
      <c r="J912" s="16"/>
      <c r="K912" s="16" t="str">
        <f t="shared" si="6"/>
        <v>collected</v>
      </c>
      <c r="L912" s="16" t="str">
        <f t="shared" si="7"/>
        <v>N</v>
      </c>
      <c r="M912" s="16"/>
      <c r="N912" s="16"/>
    </row>
    <row r="913">
      <c r="A913" s="27" t="s">
        <v>1331</v>
      </c>
      <c r="B913" s="10" t="str">
        <f t="shared" si="1"/>
        <v>RNA-muscle</v>
      </c>
      <c r="C913" s="10" t="str">
        <f t="shared" si="2"/>
        <v>BRN70M-C11</v>
      </c>
      <c r="D913" s="6">
        <v>70.0</v>
      </c>
      <c r="E913" s="10" t="str">
        <f t="shared" si="3"/>
        <v>BRN70M</v>
      </c>
      <c r="F913" s="6" t="s">
        <v>72</v>
      </c>
      <c r="G913" s="6">
        <v>11.0</v>
      </c>
      <c r="H913" s="11" t="str">
        <f t="shared" si="4"/>
        <v>C11</v>
      </c>
      <c r="I913" s="10" t="str">
        <f t="shared" si="5"/>
        <v>BRN70M-C11</v>
      </c>
      <c r="J913" s="16"/>
      <c r="K913" s="16" t="str">
        <f t="shared" si="6"/>
        <v>collected</v>
      </c>
      <c r="L913" s="16" t="str">
        <f t="shared" si="7"/>
        <v>N</v>
      </c>
      <c r="M913" s="16"/>
      <c r="N913" s="16"/>
    </row>
    <row r="914">
      <c r="A914" s="27" t="s">
        <v>1332</v>
      </c>
      <c r="B914" s="10" t="str">
        <f t="shared" si="1"/>
        <v>RNA-muscle</v>
      </c>
      <c r="C914" s="10" t="str">
        <f t="shared" si="2"/>
        <v>BRN70M-B11</v>
      </c>
      <c r="D914" s="6">
        <v>70.0</v>
      </c>
      <c r="E914" s="10" t="str">
        <f t="shared" si="3"/>
        <v>BRN70M</v>
      </c>
      <c r="F914" s="6" t="s">
        <v>74</v>
      </c>
      <c r="G914" s="6">
        <v>11.0</v>
      </c>
      <c r="H914" s="11" t="str">
        <f t="shared" si="4"/>
        <v>B11</v>
      </c>
      <c r="I914" s="10" t="str">
        <f t="shared" si="5"/>
        <v>BRN70M-B11</v>
      </c>
      <c r="J914" s="16"/>
      <c r="K914" s="16" t="str">
        <f t="shared" si="6"/>
        <v>collected</v>
      </c>
      <c r="L914" s="16" t="str">
        <f t="shared" si="7"/>
        <v>N</v>
      </c>
      <c r="M914" s="16"/>
      <c r="N914" s="16"/>
    </row>
    <row r="915">
      <c r="A915" s="27" t="s">
        <v>1333</v>
      </c>
      <c r="B915" s="10" t="str">
        <f t="shared" si="1"/>
        <v>RNA-muscle</v>
      </c>
      <c r="C915" s="10" t="str">
        <f t="shared" si="2"/>
        <v>BRN70M-A11</v>
      </c>
      <c r="D915" s="6">
        <v>70.0</v>
      </c>
      <c r="E915" s="10" t="str">
        <f t="shared" si="3"/>
        <v>BRN70M</v>
      </c>
      <c r="F915" s="6" t="s">
        <v>76</v>
      </c>
      <c r="G915" s="6">
        <v>11.0</v>
      </c>
      <c r="H915" s="11" t="str">
        <f t="shared" si="4"/>
        <v>A11</v>
      </c>
      <c r="I915" s="10" t="str">
        <f t="shared" si="5"/>
        <v>BRN70M-A11</v>
      </c>
      <c r="J915" s="16"/>
      <c r="K915" s="16" t="str">
        <f t="shared" si="6"/>
        <v>collected</v>
      </c>
      <c r="L915" s="16" t="str">
        <f t="shared" si="7"/>
        <v>N</v>
      </c>
      <c r="M915" s="16"/>
      <c r="N915" s="16"/>
    </row>
    <row r="916">
      <c r="A916" s="27" t="s">
        <v>1334</v>
      </c>
      <c r="B916" s="10" t="str">
        <f t="shared" si="1"/>
        <v>RNA-muscle</v>
      </c>
      <c r="C916" s="10" t="str">
        <f t="shared" si="2"/>
        <v>BRN71M-H1</v>
      </c>
      <c r="D916" s="6">
        <v>71.0</v>
      </c>
      <c r="E916" s="10" t="str">
        <f t="shared" si="3"/>
        <v>BRN71M</v>
      </c>
      <c r="F916" s="6" t="s">
        <v>51</v>
      </c>
      <c r="G916" s="6">
        <v>1.0</v>
      </c>
      <c r="H916" s="11" t="str">
        <f t="shared" si="4"/>
        <v>H1</v>
      </c>
      <c r="I916" s="10" t="str">
        <f t="shared" si="5"/>
        <v>BRN71M-H1</v>
      </c>
      <c r="J916" s="16"/>
      <c r="K916" s="16" t="str">
        <f t="shared" si="6"/>
        <v>collected</v>
      </c>
      <c r="L916" s="16" t="str">
        <f t="shared" si="7"/>
        <v>N</v>
      </c>
      <c r="M916" s="16"/>
      <c r="N916" s="16"/>
    </row>
    <row r="917">
      <c r="A917" s="27" t="s">
        <v>1335</v>
      </c>
      <c r="B917" s="10" t="str">
        <f t="shared" si="1"/>
        <v>RNA-muscle</v>
      </c>
      <c r="C917" s="10" t="str">
        <f t="shared" si="2"/>
        <v>BRN71M-G1</v>
      </c>
      <c r="D917" s="6">
        <v>71.0</v>
      </c>
      <c r="E917" s="10" t="str">
        <f t="shared" si="3"/>
        <v>BRN71M</v>
      </c>
      <c r="F917" s="6" t="s">
        <v>56</v>
      </c>
      <c r="G917" s="6">
        <v>1.0</v>
      </c>
      <c r="H917" s="11" t="str">
        <f t="shared" si="4"/>
        <v>G1</v>
      </c>
      <c r="I917" s="10" t="str">
        <f t="shared" si="5"/>
        <v>BRN71M-G1</v>
      </c>
      <c r="J917" s="16"/>
      <c r="K917" s="16" t="str">
        <f t="shared" si="6"/>
        <v>collected</v>
      </c>
      <c r="L917" s="16" t="str">
        <f t="shared" si="7"/>
        <v>N</v>
      </c>
      <c r="M917" s="16"/>
      <c r="N917" s="16"/>
    </row>
    <row r="918">
      <c r="A918" s="27" t="s">
        <v>1336</v>
      </c>
      <c r="B918" s="10" t="str">
        <f t="shared" si="1"/>
        <v>RNA-muscle</v>
      </c>
      <c r="C918" s="10" t="str">
        <f t="shared" si="2"/>
        <v>BRN71M-F1</v>
      </c>
      <c r="D918" s="6">
        <v>71.0</v>
      </c>
      <c r="E918" s="10" t="str">
        <f t="shared" si="3"/>
        <v>BRN71M</v>
      </c>
      <c r="F918" s="6" t="s">
        <v>61</v>
      </c>
      <c r="G918" s="6">
        <v>1.0</v>
      </c>
      <c r="H918" s="11" t="str">
        <f t="shared" si="4"/>
        <v>F1</v>
      </c>
      <c r="I918" s="10" t="str">
        <f t="shared" si="5"/>
        <v>BRN71M-F1</v>
      </c>
      <c r="J918" s="16"/>
      <c r="K918" s="16" t="str">
        <f t="shared" si="6"/>
        <v>collected</v>
      </c>
      <c r="L918" s="16" t="str">
        <f t="shared" si="7"/>
        <v>N</v>
      </c>
      <c r="M918" s="16"/>
      <c r="N918" s="16"/>
    </row>
    <row r="919">
      <c r="A919" s="27" t="s">
        <v>1337</v>
      </c>
      <c r="B919" s="10" t="str">
        <f t="shared" si="1"/>
        <v>RNA-muscle</v>
      </c>
      <c r="C919" s="10" t="str">
        <f t="shared" si="2"/>
        <v>BRN71M-E1</v>
      </c>
      <c r="D919" s="6">
        <v>71.0</v>
      </c>
      <c r="E919" s="10" t="str">
        <f t="shared" si="3"/>
        <v>BRN71M</v>
      </c>
      <c r="F919" s="6" t="s">
        <v>66</v>
      </c>
      <c r="G919" s="6">
        <v>1.0</v>
      </c>
      <c r="H919" s="11" t="str">
        <f t="shared" si="4"/>
        <v>E1</v>
      </c>
      <c r="I919" s="10" t="str">
        <f t="shared" si="5"/>
        <v>BRN71M-E1</v>
      </c>
      <c r="J919" s="16"/>
      <c r="K919" s="16" t="str">
        <f t="shared" si="6"/>
        <v>collected</v>
      </c>
      <c r="L919" s="16" t="str">
        <f t="shared" si="7"/>
        <v>N</v>
      </c>
      <c r="M919" s="16"/>
      <c r="N919" s="16"/>
    </row>
    <row r="920">
      <c r="A920" s="27" t="s">
        <v>1338</v>
      </c>
      <c r="B920" s="10" t="str">
        <f t="shared" si="1"/>
        <v>RNA-muscle</v>
      </c>
      <c r="C920" s="10" t="str">
        <f t="shared" si="2"/>
        <v>BRN71M-D1</v>
      </c>
      <c r="D920" s="6">
        <v>71.0</v>
      </c>
      <c r="E920" s="10" t="str">
        <f t="shared" si="3"/>
        <v>BRN71M</v>
      </c>
      <c r="F920" s="6" t="s">
        <v>68</v>
      </c>
      <c r="G920" s="6">
        <v>1.0</v>
      </c>
      <c r="H920" s="11" t="str">
        <f t="shared" si="4"/>
        <v>D1</v>
      </c>
      <c r="I920" s="10" t="str">
        <f t="shared" si="5"/>
        <v>BRN71M-D1</v>
      </c>
      <c r="J920" s="16"/>
      <c r="K920" s="16" t="str">
        <f t="shared" si="6"/>
        <v>collected</v>
      </c>
      <c r="L920" s="16" t="str">
        <f t="shared" si="7"/>
        <v>N</v>
      </c>
      <c r="M920" s="16"/>
      <c r="N920" s="16"/>
    </row>
    <row r="921">
      <c r="A921" s="27" t="s">
        <v>1339</v>
      </c>
      <c r="B921" s="10" t="str">
        <f t="shared" si="1"/>
        <v>RNA-muscle</v>
      </c>
      <c r="C921" s="10" t="str">
        <f t="shared" si="2"/>
        <v>BRN71M-C1</v>
      </c>
      <c r="D921" s="6">
        <v>71.0</v>
      </c>
      <c r="E921" s="10" t="str">
        <f t="shared" si="3"/>
        <v>BRN71M</v>
      </c>
      <c r="F921" s="6" t="s">
        <v>72</v>
      </c>
      <c r="G921" s="6">
        <v>1.0</v>
      </c>
      <c r="H921" s="11" t="str">
        <f t="shared" si="4"/>
        <v>C1</v>
      </c>
      <c r="I921" s="10" t="str">
        <f t="shared" si="5"/>
        <v>BRN71M-C1</v>
      </c>
      <c r="J921" s="16"/>
      <c r="K921" s="16" t="str">
        <f t="shared" si="6"/>
        <v>collected</v>
      </c>
      <c r="L921" s="16" t="str">
        <f t="shared" si="7"/>
        <v>N</v>
      </c>
      <c r="M921" s="16"/>
      <c r="N921" s="16"/>
    </row>
    <row r="922">
      <c r="A922" s="27" t="s">
        <v>1340</v>
      </c>
      <c r="B922" s="10" t="str">
        <f t="shared" si="1"/>
        <v>RNA-muscle</v>
      </c>
      <c r="C922" s="10" t="str">
        <f t="shared" si="2"/>
        <v>BRN71M-B1</v>
      </c>
      <c r="D922" s="6">
        <v>71.0</v>
      </c>
      <c r="E922" s="10" t="str">
        <f t="shared" si="3"/>
        <v>BRN71M</v>
      </c>
      <c r="F922" s="6" t="s">
        <v>74</v>
      </c>
      <c r="G922" s="6">
        <v>1.0</v>
      </c>
      <c r="H922" s="11" t="str">
        <f t="shared" si="4"/>
        <v>B1</v>
      </c>
      <c r="I922" s="10" t="str">
        <f t="shared" si="5"/>
        <v>BRN71M-B1</v>
      </c>
      <c r="J922" s="16"/>
      <c r="K922" s="16" t="str">
        <f t="shared" si="6"/>
        <v>collected</v>
      </c>
      <c r="L922" s="16" t="str">
        <f t="shared" si="7"/>
        <v>N</v>
      </c>
      <c r="M922" s="16"/>
      <c r="N922" s="16"/>
    </row>
    <row r="923">
      <c r="A923" s="27" t="s">
        <v>1341</v>
      </c>
      <c r="B923" s="10" t="str">
        <f t="shared" si="1"/>
        <v>RNA-muscle</v>
      </c>
      <c r="C923" s="10" t="str">
        <f t="shared" si="2"/>
        <v>BRN70M-E10</v>
      </c>
      <c r="D923" s="6">
        <v>70.0</v>
      </c>
      <c r="E923" s="10" t="str">
        <f t="shared" si="3"/>
        <v>BRN70M</v>
      </c>
      <c r="F923" s="6" t="s">
        <v>66</v>
      </c>
      <c r="G923" s="6">
        <v>10.0</v>
      </c>
      <c r="H923" s="11" t="str">
        <f t="shared" si="4"/>
        <v>E10</v>
      </c>
      <c r="I923" s="10" t="str">
        <f t="shared" si="5"/>
        <v>BRN70M-E10</v>
      </c>
      <c r="J923" s="16"/>
      <c r="K923" s="16" t="str">
        <f t="shared" si="6"/>
        <v>collected</v>
      </c>
      <c r="L923" s="16" t="str">
        <f t="shared" si="7"/>
        <v>N</v>
      </c>
      <c r="M923" s="16"/>
      <c r="N923" s="16"/>
    </row>
    <row r="924">
      <c r="A924" s="27" t="s">
        <v>1342</v>
      </c>
      <c r="B924" s="10" t="str">
        <f t="shared" si="1"/>
        <v>RNA-muscle</v>
      </c>
      <c r="C924" s="10" t="str">
        <f t="shared" si="2"/>
        <v>BRN70M-D10</v>
      </c>
      <c r="D924" s="6">
        <v>70.0</v>
      </c>
      <c r="E924" s="10" t="str">
        <f t="shared" si="3"/>
        <v>BRN70M</v>
      </c>
      <c r="F924" s="6" t="s">
        <v>68</v>
      </c>
      <c r="G924" s="6">
        <v>10.0</v>
      </c>
      <c r="H924" s="11" t="str">
        <f t="shared" si="4"/>
        <v>D10</v>
      </c>
      <c r="I924" s="10" t="str">
        <f t="shared" si="5"/>
        <v>BRN70M-D10</v>
      </c>
      <c r="J924" s="16"/>
      <c r="K924" s="16" t="str">
        <f t="shared" si="6"/>
        <v>collected</v>
      </c>
      <c r="L924" s="16" t="str">
        <f t="shared" si="7"/>
        <v>N</v>
      </c>
      <c r="M924" s="16"/>
      <c r="N924" s="16"/>
    </row>
    <row r="925">
      <c r="A925" s="27" t="s">
        <v>1343</v>
      </c>
      <c r="B925" s="10" t="str">
        <f t="shared" si="1"/>
        <v>RNA-muscle</v>
      </c>
      <c r="C925" s="10" t="str">
        <f t="shared" si="2"/>
        <v>BRN70M-C10</v>
      </c>
      <c r="D925" s="6">
        <v>70.0</v>
      </c>
      <c r="E925" s="10" t="str">
        <f t="shared" si="3"/>
        <v>BRN70M</v>
      </c>
      <c r="F925" s="6" t="s">
        <v>72</v>
      </c>
      <c r="G925" s="6">
        <v>10.0</v>
      </c>
      <c r="H925" s="11" t="str">
        <f t="shared" si="4"/>
        <v>C10</v>
      </c>
      <c r="I925" s="10" t="str">
        <f t="shared" si="5"/>
        <v>BRN70M-C10</v>
      </c>
      <c r="J925" s="16"/>
      <c r="K925" s="16" t="str">
        <f t="shared" si="6"/>
        <v>collected</v>
      </c>
      <c r="L925" s="16" t="str">
        <f t="shared" si="7"/>
        <v>N</v>
      </c>
      <c r="M925" s="16"/>
      <c r="N925" s="16"/>
    </row>
    <row r="926">
      <c r="A926" s="27" t="s">
        <v>1344</v>
      </c>
      <c r="B926" s="10" t="str">
        <f t="shared" si="1"/>
        <v>RNA-muscle</v>
      </c>
      <c r="C926" s="10" t="str">
        <f t="shared" si="2"/>
        <v>BRN70M-B10</v>
      </c>
      <c r="D926" s="6">
        <v>70.0</v>
      </c>
      <c r="E926" s="10" t="str">
        <f t="shared" si="3"/>
        <v>BRN70M</v>
      </c>
      <c r="F926" s="6" t="s">
        <v>74</v>
      </c>
      <c r="G926" s="6">
        <v>10.0</v>
      </c>
      <c r="H926" s="11" t="str">
        <f t="shared" si="4"/>
        <v>B10</v>
      </c>
      <c r="I926" s="10" t="str">
        <f t="shared" si="5"/>
        <v>BRN70M-B10</v>
      </c>
      <c r="J926" s="16"/>
      <c r="K926" s="16" t="str">
        <f t="shared" si="6"/>
        <v>collected</v>
      </c>
      <c r="L926" s="16" t="str">
        <f t="shared" si="7"/>
        <v>N</v>
      </c>
      <c r="M926" s="16"/>
      <c r="N926" s="16"/>
    </row>
    <row r="927">
      <c r="A927" s="27" t="s">
        <v>1345</v>
      </c>
      <c r="B927" s="10" t="str">
        <f t="shared" si="1"/>
        <v>RNA-muscle</v>
      </c>
      <c r="C927" s="10" t="str">
        <f t="shared" si="2"/>
        <v>BRN70M-A10</v>
      </c>
      <c r="D927" s="6">
        <v>70.0</v>
      </c>
      <c r="E927" s="10" t="str">
        <f t="shared" si="3"/>
        <v>BRN70M</v>
      </c>
      <c r="F927" s="6" t="s">
        <v>76</v>
      </c>
      <c r="G927" s="6">
        <v>10.0</v>
      </c>
      <c r="H927" s="11" t="str">
        <f t="shared" si="4"/>
        <v>A10</v>
      </c>
      <c r="I927" s="10" t="str">
        <f t="shared" si="5"/>
        <v>BRN70M-A10</v>
      </c>
      <c r="J927" s="16"/>
      <c r="K927" s="16" t="str">
        <f t="shared" si="6"/>
        <v>collected</v>
      </c>
      <c r="L927" s="16" t="str">
        <f t="shared" si="7"/>
        <v>N</v>
      </c>
      <c r="M927" s="16"/>
      <c r="N927" s="16"/>
    </row>
    <row r="928">
      <c r="A928" s="27" t="s">
        <v>1346</v>
      </c>
      <c r="B928" s="10" t="str">
        <f t="shared" si="1"/>
        <v>RNA-muscle</v>
      </c>
      <c r="C928" s="10" t="str">
        <f t="shared" si="2"/>
        <v>BRN70M-G12</v>
      </c>
      <c r="D928" s="6">
        <v>70.0</v>
      </c>
      <c r="E928" s="10" t="str">
        <f t="shared" si="3"/>
        <v>BRN70M</v>
      </c>
      <c r="F928" s="6" t="s">
        <v>56</v>
      </c>
      <c r="G928" s="6">
        <v>12.0</v>
      </c>
      <c r="H928" s="11" t="str">
        <f t="shared" si="4"/>
        <v>G12</v>
      </c>
      <c r="I928" s="10" t="str">
        <f t="shared" si="5"/>
        <v>BRN70M-G12</v>
      </c>
      <c r="J928" s="16"/>
      <c r="K928" s="16" t="str">
        <f t="shared" si="6"/>
        <v>collected</v>
      </c>
      <c r="L928" s="16" t="str">
        <f t="shared" si="7"/>
        <v>N</v>
      </c>
      <c r="M928" s="16"/>
      <c r="N928" s="16"/>
    </row>
    <row r="929">
      <c r="A929" s="27" t="s">
        <v>1347</v>
      </c>
      <c r="B929" s="10" t="str">
        <f t="shared" si="1"/>
        <v>RNA-muscle</v>
      </c>
      <c r="C929" s="10" t="str">
        <f t="shared" si="2"/>
        <v>BRN70M-F12</v>
      </c>
      <c r="D929" s="6">
        <v>70.0</v>
      </c>
      <c r="E929" s="10" t="str">
        <f t="shared" si="3"/>
        <v>BRN70M</v>
      </c>
      <c r="F929" s="6" t="s">
        <v>61</v>
      </c>
      <c r="G929" s="6">
        <v>12.0</v>
      </c>
      <c r="H929" s="11" t="str">
        <f t="shared" si="4"/>
        <v>F12</v>
      </c>
      <c r="I929" s="10" t="str">
        <f t="shared" si="5"/>
        <v>BRN70M-F12</v>
      </c>
      <c r="J929" s="16"/>
      <c r="K929" s="16" t="str">
        <f t="shared" si="6"/>
        <v>collected</v>
      </c>
      <c r="L929" s="16" t="str">
        <f t="shared" si="7"/>
        <v>N</v>
      </c>
      <c r="M929" s="16"/>
      <c r="N929" s="16"/>
    </row>
    <row r="930">
      <c r="A930" s="27" t="s">
        <v>1348</v>
      </c>
      <c r="B930" s="10" t="str">
        <f t="shared" si="1"/>
        <v>RNA-muscle</v>
      </c>
      <c r="C930" s="10" t="str">
        <f t="shared" si="2"/>
        <v>BRN70M-E12</v>
      </c>
      <c r="D930" s="6">
        <v>70.0</v>
      </c>
      <c r="E930" s="10" t="str">
        <f t="shared" si="3"/>
        <v>BRN70M</v>
      </c>
      <c r="F930" s="6" t="s">
        <v>66</v>
      </c>
      <c r="G930" s="6">
        <v>12.0</v>
      </c>
      <c r="H930" s="11" t="str">
        <f t="shared" si="4"/>
        <v>E12</v>
      </c>
      <c r="I930" s="10" t="str">
        <f t="shared" si="5"/>
        <v>BRN70M-E12</v>
      </c>
      <c r="J930" s="16"/>
      <c r="K930" s="16" t="str">
        <f t="shared" si="6"/>
        <v>collected</v>
      </c>
      <c r="L930" s="16" t="str">
        <f t="shared" si="7"/>
        <v>N</v>
      </c>
      <c r="M930" s="16"/>
      <c r="N930" s="16"/>
    </row>
    <row r="931">
      <c r="A931" s="27" t="s">
        <v>1350</v>
      </c>
      <c r="B931" s="10" t="str">
        <f t="shared" si="1"/>
        <v>RNA-muscle</v>
      </c>
      <c r="C931" s="10" t="str">
        <f t="shared" si="2"/>
        <v>BRN70M-D12</v>
      </c>
      <c r="D931" s="6">
        <v>70.0</v>
      </c>
      <c r="E931" s="10" t="str">
        <f t="shared" si="3"/>
        <v>BRN70M</v>
      </c>
      <c r="F931" s="6" t="s">
        <v>68</v>
      </c>
      <c r="G931" s="6">
        <v>12.0</v>
      </c>
      <c r="H931" s="11" t="str">
        <f t="shared" si="4"/>
        <v>D12</v>
      </c>
      <c r="I931" s="10" t="str">
        <f t="shared" si="5"/>
        <v>BRN70M-D12</v>
      </c>
      <c r="J931" s="16"/>
      <c r="K931" s="16" t="str">
        <f t="shared" si="6"/>
        <v>collected</v>
      </c>
      <c r="L931" s="16" t="str">
        <f t="shared" si="7"/>
        <v>N</v>
      </c>
      <c r="M931" s="16"/>
      <c r="N931" s="16"/>
    </row>
    <row r="932">
      <c r="A932" s="27" t="s">
        <v>1351</v>
      </c>
      <c r="B932" s="10" t="str">
        <f t="shared" si="1"/>
        <v>RNA-muscle</v>
      </c>
      <c r="C932" s="10" t="str">
        <f t="shared" si="2"/>
        <v>BRN70M-C12</v>
      </c>
      <c r="D932" s="6">
        <v>70.0</v>
      </c>
      <c r="E932" s="10" t="str">
        <f t="shared" si="3"/>
        <v>BRN70M</v>
      </c>
      <c r="F932" s="6" t="s">
        <v>72</v>
      </c>
      <c r="G932" s="6">
        <v>12.0</v>
      </c>
      <c r="H932" s="11" t="str">
        <f t="shared" si="4"/>
        <v>C12</v>
      </c>
      <c r="I932" s="10" t="str">
        <f t="shared" si="5"/>
        <v>BRN70M-C12</v>
      </c>
      <c r="J932" s="16"/>
      <c r="K932" s="16" t="str">
        <f t="shared" si="6"/>
        <v>collected</v>
      </c>
      <c r="L932" s="16" t="str">
        <f t="shared" si="7"/>
        <v>N</v>
      </c>
      <c r="M932" s="16"/>
      <c r="N932" s="16"/>
    </row>
    <row r="933">
      <c r="A933" s="27" t="s">
        <v>1352</v>
      </c>
      <c r="B933" s="10" t="str">
        <f t="shared" si="1"/>
        <v>RNA-muscle</v>
      </c>
      <c r="C933" s="10" t="str">
        <f t="shared" si="2"/>
        <v>BRN70M-B12</v>
      </c>
      <c r="D933" s="6">
        <v>70.0</v>
      </c>
      <c r="E933" s="10" t="str">
        <f t="shared" si="3"/>
        <v>BRN70M</v>
      </c>
      <c r="F933" s="6" t="s">
        <v>74</v>
      </c>
      <c r="G933" s="6">
        <v>12.0</v>
      </c>
      <c r="H933" s="11" t="str">
        <f t="shared" si="4"/>
        <v>B12</v>
      </c>
      <c r="I933" s="10" t="str">
        <f t="shared" si="5"/>
        <v>BRN70M-B12</v>
      </c>
      <c r="J933" s="16"/>
      <c r="K933" s="16" t="str">
        <f t="shared" si="6"/>
        <v>collected</v>
      </c>
      <c r="L933" s="16" t="str">
        <f t="shared" si="7"/>
        <v>N</v>
      </c>
      <c r="M933" s="16"/>
      <c r="N933" s="16"/>
    </row>
    <row r="934">
      <c r="A934" s="27" t="s">
        <v>1353</v>
      </c>
      <c r="B934" s="10" t="str">
        <f t="shared" si="1"/>
        <v>RNA-muscle</v>
      </c>
      <c r="C934" s="10" t="str">
        <f t="shared" si="2"/>
        <v>BRN70M-A12</v>
      </c>
      <c r="D934" s="6">
        <v>70.0</v>
      </c>
      <c r="E934" s="10" t="str">
        <f t="shared" si="3"/>
        <v>BRN70M</v>
      </c>
      <c r="F934" s="6" t="s">
        <v>76</v>
      </c>
      <c r="G934" s="6">
        <v>12.0</v>
      </c>
      <c r="H934" s="11" t="str">
        <f t="shared" si="4"/>
        <v>A12</v>
      </c>
      <c r="I934" s="10" t="str">
        <f t="shared" si="5"/>
        <v>BRN70M-A12</v>
      </c>
      <c r="J934" s="16"/>
      <c r="K934" s="16" t="str">
        <f t="shared" si="6"/>
        <v>collected</v>
      </c>
      <c r="L934" s="16" t="str">
        <f t="shared" si="7"/>
        <v>N</v>
      </c>
      <c r="M934" s="16"/>
      <c r="N934" s="16"/>
    </row>
    <row r="935">
      <c r="A935" s="27" t="s">
        <v>1355</v>
      </c>
      <c r="B935" s="10" t="str">
        <f t="shared" si="1"/>
        <v>RNA-muscle</v>
      </c>
      <c r="C935" s="10" t="str">
        <f t="shared" si="2"/>
        <v>BRN71M-H2</v>
      </c>
      <c r="D935" s="6">
        <v>71.0</v>
      </c>
      <c r="E935" s="10" t="str">
        <f t="shared" si="3"/>
        <v>BRN71M</v>
      </c>
      <c r="F935" s="6" t="s">
        <v>51</v>
      </c>
      <c r="G935" s="6">
        <v>2.0</v>
      </c>
      <c r="H935" s="11" t="str">
        <f t="shared" si="4"/>
        <v>H2</v>
      </c>
      <c r="I935" s="10" t="str">
        <f t="shared" si="5"/>
        <v>BRN71M-H2</v>
      </c>
      <c r="J935" s="16"/>
      <c r="K935" s="16" t="str">
        <f t="shared" si="6"/>
        <v>collected</v>
      </c>
      <c r="L935" s="16" t="str">
        <f t="shared" si="7"/>
        <v>N</v>
      </c>
      <c r="M935" s="16"/>
      <c r="N935" s="16"/>
    </row>
    <row r="936">
      <c r="A936" s="27" t="s">
        <v>1356</v>
      </c>
      <c r="B936" s="10" t="str">
        <f t="shared" si="1"/>
        <v>RNA-muscle</v>
      </c>
      <c r="C936" s="10" t="str">
        <f t="shared" si="2"/>
        <v>BRN71M-G2</v>
      </c>
      <c r="D936" s="6">
        <v>71.0</v>
      </c>
      <c r="E936" s="10" t="str">
        <f t="shared" si="3"/>
        <v>BRN71M</v>
      </c>
      <c r="F936" s="6" t="s">
        <v>56</v>
      </c>
      <c r="G936" s="6">
        <v>2.0</v>
      </c>
      <c r="H936" s="11" t="str">
        <f t="shared" si="4"/>
        <v>G2</v>
      </c>
      <c r="I936" s="10" t="str">
        <f t="shared" si="5"/>
        <v>BRN71M-G2</v>
      </c>
      <c r="J936" s="16"/>
      <c r="K936" s="16" t="str">
        <f t="shared" si="6"/>
        <v>collected</v>
      </c>
      <c r="L936" s="16" t="str">
        <f t="shared" si="7"/>
        <v>N</v>
      </c>
      <c r="M936" s="16"/>
      <c r="N936" s="16"/>
    </row>
    <row r="937">
      <c r="A937" s="27" t="s">
        <v>1357</v>
      </c>
      <c r="B937" s="10" t="str">
        <f t="shared" si="1"/>
        <v>RNA-muscle</v>
      </c>
      <c r="C937" s="10" t="str">
        <f t="shared" si="2"/>
        <v>BRN71M-F2</v>
      </c>
      <c r="D937" s="6">
        <v>71.0</v>
      </c>
      <c r="E937" s="10" t="str">
        <f t="shared" si="3"/>
        <v>BRN71M</v>
      </c>
      <c r="F937" s="6" t="s">
        <v>61</v>
      </c>
      <c r="G937" s="6">
        <v>2.0</v>
      </c>
      <c r="H937" s="11" t="str">
        <f t="shared" si="4"/>
        <v>F2</v>
      </c>
      <c r="I937" s="10" t="str">
        <f t="shared" si="5"/>
        <v>BRN71M-F2</v>
      </c>
      <c r="J937" s="16"/>
      <c r="K937" s="16" t="str">
        <f t="shared" si="6"/>
        <v>collected</v>
      </c>
      <c r="L937" s="16" t="str">
        <f t="shared" si="7"/>
        <v>N</v>
      </c>
      <c r="M937" s="16"/>
      <c r="N937" s="16"/>
    </row>
    <row r="938">
      <c r="A938" s="27" t="s">
        <v>1358</v>
      </c>
      <c r="B938" s="10" t="str">
        <f t="shared" si="1"/>
        <v>RNA-muscle</v>
      </c>
      <c r="C938" s="10" t="str">
        <f t="shared" si="2"/>
        <v>BRN71M-E2</v>
      </c>
      <c r="D938" s="6">
        <v>71.0</v>
      </c>
      <c r="E938" s="10" t="str">
        <f t="shared" si="3"/>
        <v>BRN71M</v>
      </c>
      <c r="F938" s="6" t="s">
        <v>66</v>
      </c>
      <c r="G938" s="6">
        <v>2.0</v>
      </c>
      <c r="H938" s="11" t="str">
        <f t="shared" si="4"/>
        <v>E2</v>
      </c>
      <c r="I938" s="10" t="str">
        <f t="shared" si="5"/>
        <v>BRN71M-E2</v>
      </c>
      <c r="J938" s="16"/>
      <c r="K938" s="16" t="str">
        <f t="shared" si="6"/>
        <v>collected</v>
      </c>
      <c r="L938" s="16" t="str">
        <f t="shared" si="7"/>
        <v>N</v>
      </c>
      <c r="M938" s="16"/>
      <c r="N938" s="16"/>
    </row>
    <row r="939">
      <c r="A939" s="27" t="s">
        <v>1359</v>
      </c>
      <c r="B939" s="10" t="str">
        <f t="shared" si="1"/>
        <v>RNA-muscle</v>
      </c>
      <c r="C939" s="10" t="str">
        <f t="shared" si="2"/>
        <v>BRN71M-D2</v>
      </c>
      <c r="D939" s="6">
        <v>71.0</v>
      </c>
      <c r="E939" s="10" t="str">
        <f t="shared" si="3"/>
        <v>BRN71M</v>
      </c>
      <c r="F939" s="6" t="s">
        <v>68</v>
      </c>
      <c r="G939" s="6">
        <v>2.0</v>
      </c>
      <c r="H939" s="11" t="str">
        <f t="shared" si="4"/>
        <v>D2</v>
      </c>
      <c r="I939" s="10" t="str">
        <f t="shared" si="5"/>
        <v>BRN71M-D2</v>
      </c>
      <c r="J939" s="16"/>
      <c r="K939" s="16" t="str">
        <f t="shared" si="6"/>
        <v>collected</v>
      </c>
      <c r="L939" s="16" t="str">
        <f t="shared" si="7"/>
        <v>N</v>
      </c>
      <c r="M939" s="16"/>
      <c r="N939" s="16"/>
    </row>
    <row r="940">
      <c r="A940" s="27" t="s">
        <v>1360</v>
      </c>
      <c r="B940" s="10" t="str">
        <f t="shared" si="1"/>
        <v>RNA-muscle</v>
      </c>
      <c r="C940" s="10" t="str">
        <f t="shared" si="2"/>
        <v>BRN71M-C2</v>
      </c>
      <c r="D940" s="6">
        <v>71.0</v>
      </c>
      <c r="E940" s="10" t="str">
        <f t="shared" si="3"/>
        <v>BRN71M</v>
      </c>
      <c r="F940" s="6" t="s">
        <v>72</v>
      </c>
      <c r="G940" s="6">
        <v>2.0</v>
      </c>
      <c r="H940" s="11" t="str">
        <f t="shared" si="4"/>
        <v>C2</v>
      </c>
      <c r="I940" s="10" t="str">
        <f t="shared" si="5"/>
        <v>BRN71M-C2</v>
      </c>
      <c r="J940" s="16"/>
      <c r="K940" s="16" t="str">
        <f t="shared" si="6"/>
        <v>collected</v>
      </c>
      <c r="L940" s="16" t="str">
        <f t="shared" si="7"/>
        <v>N</v>
      </c>
      <c r="M940" s="16"/>
      <c r="N940" s="16"/>
    </row>
    <row r="941">
      <c r="A941" s="27" t="s">
        <v>1361</v>
      </c>
      <c r="B941" s="10" t="str">
        <f t="shared" si="1"/>
        <v>RNA-muscle</v>
      </c>
      <c r="C941" s="10" t="str">
        <f t="shared" si="2"/>
        <v>BRN71M-B2</v>
      </c>
      <c r="D941" s="6">
        <v>71.0</v>
      </c>
      <c r="E941" s="10" t="str">
        <f t="shared" si="3"/>
        <v>BRN71M</v>
      </c>
      <c r="F941" s="6" t="s">
        <v>74</v>
      </c>
      <c r="G941" s="6">
        <v>2.0</v>
      </c>
      <c r="H941" s="11" t="str">
        <f t="shared" si="4"/>
        <v>B2</v>
      </c>
      <c r="I941" s="10" t="str">
        <f t="shared" si="5"/>
        <v>BRN71M-B2</v>
      </c>
      <c r="J941" s="16"/>
      <c r="K941" s="16" t="str">
        <f t="shared" si="6"/>
        <v>collected</v>
      </c>
      <c r="L941" s="16" t="str">
        <f t="shared" si="7"/>
        <v>N</v>
      </c>
      <c r="M941" s="16"/>
      <c r="N941" s="16"/>
    </row>
    <row r="942">
      <c r="A942" s="27" t="s">
        <v>1362</v>
      </c>
      <c r="B942" s="10" t="str">
        <f t="shared" si="1"/>
        <v>RNA-muscle</v>
      </c>
      <c r="C942" s="10" t="str">
        <f t="shared" si="2"/>
        <v>BRN71M-A2</v>
      </c>
      <c r="D942" s="6">
        <v>71.0</v>
      </c>
      <c r="E942" s="10" t="str">
        <f t="shared" si="3"/>
        <v>BRN71M</v>
      </c>
      <c r="F942" s="6" t="s">
        <v>76</v>
      </c>
      <c r="G942" s="6">
        <v>2.0</v>
      </c>
      <c r="H942" s="11" t="str">
        <f t="shared" si="4"/>
        <v>A2</v>
      </c>
      <c r="I942" s="10" t="str">
        <f t="shared" si="5"/>
        <v>BRN71M-A2</v>
      </c>
      <c r="J942" s="16"/>
      <c r="K942" s="16" t="str">
        <f t="shared" si="6"/>
        <v>collected</v>
      </c>
      <c r="L942" s="16" t="str">
        <f t="shared" si="7"/>
        <v>N</v>
      </c>
      <c r="M942" s="16"/>
      <c r="N942" s="16"/>
    </row>
    <row r="943">
      <c r="A943" s="27" t="s">
        <v>1363</v>
      </c>
      <c r="B943" s="10" t="str">
        <f t="shared" si="1"/>
        <v>RNA-muscle</v>
      </c>
      <c r="C943" s="10" t="str">
        <f t="shared" si="2"/>
        <v>BRN71M-H3</v>
      </c>
      <c r="D943" s="6">
        <v>71.0</v>
      </c>
      <c r="E943" s="10" t="str">
        <f t="shared" si="3"/>
        <v>BRN71M</v>
      </c>
      <c r="F943" s="6" t="s">
        <v>51</v>
      </c>
      <c r="G943" s="6">
        <v>3.0</v>
      </c>
      <c r="H943" s="11" t="str">
        <f t="shared" si="4"/>
        <v>H3</v>
      </c>
      <c r="I943" s="10" t="str">
        <f t="shared" si="5"/>
        <v>BRN71M-H3</v>
      </c>
      <c r="J943" s="16"/>
      <c r="K943" s="16" t="str">
        <f t="shared" si="6"/>
        <v>collected</v>
      </c>
      <c r="L943" s="16" t="str">
        <f t="shared" si="7"/>
        <v>N</v>
      </c>
      <c r="M943" s="16"/>
      <c r="N943" s="16"/>
    </row>
    <row r="944">
      <c r="A944" s="27" t="s">
        <v>1364</v>
      </c>
      <c r="B944" s="10" t="str">
        <f t="shared" si="1"/>
        <v>RNA-muscle</v>
      </c>
      <c r="C944" s="10" t="str">
        <f t="shared" si="2"/>
        <v>BRN71M-G3</v>
      </c>
      <c r="D944" s="6">
        <v>71.0</v>
      </c>
      <c r="E944" s="10" t="str">
        <f t="shared" si="3"/>
        <v>BRN71M</v>
      </c>
      <c r="F944" s="6" t="s">
        <v>56</v>
      </c>
      <c r="G944" s="6">
        <v>3.0</v>
      </c>
      <c r="H944" s="11" t="str">
        <f t="shared" si="4"/>
        <v>G3</v>
      </c>
      <c r="I944" s="10" t="str">
        <f t="shared" si="5"/>
        <v>BRN71M-G3</v>
      </c>
      <c r="J944" s="16"/>
      <c r="K944" s="16" t="str">
        <f t="shared" si="6"/>
        <v>collected</v>
      </c>
      <c r="L944" s="16" t="str">
        <f t="shared" si="7"/>
        <v>N</v>
      </c>
      <c r="M944" s="16"/>
      <c r="N944" s="16"/>
    </row>
    <row r="945">
      <c r="A945" s="27" t="s">
        <v>1365</v>
      </c>
      <c r="B945" s="10" t="str">
        <f t="shared" si="1"/>
        <v>RNA-muscle</v>
      </c>
      <c r="C945" s="10" t="str">
        <f t="shared" si="2"/>
        <v>BRN61M-G12</v>
      </c>
      <c r="D945" s="6">
        <v>61.0</v>
      </c>
      <c r="E945" s="10" t="str">
        <f t="shared" si="3"/>
        <v>BRN61M</v>
      </c>
      <c r="F945" s="6" t="s">
        <v>56</v>
      </c>
      <c r="G945" s="6">
        <v>12.0</v>
      </c>
      <c r="H945" s="11" t="str">
        <f t="shared" si="4"/>
        <v>G12</v>
      </c>
      <c r="I945" s="10" t="str">
        <f t="shared" si="5"/>
        <v>BRN61M-G12</v>
      </c>
      <c r="J945" s="16"/>
      <c r="K945" s="16" t="str">
        <f t="shared" si="6"/>
        <v>collected</v>
      </c>
      <c r="L945" s="16" t="str">
        <f t="shared" si="7"/>
        <v>N</v>
      </c>
      <c r="M945" s="16"/>
      <c r="N945" s="16"/>
    </row>
    <row r="946">
      <c r="A946" s="27" t="s">
        <v>1366</v>
      </c>
      <c r="B946" s="10" t="str">
        <f t="shared" si="1"/>
        <v>RNA-muscle</v>
      </c>
      <c r="C946" s="10" t="str">
        <f t="shared" si="2"/>
        <v>BRN61M-F12</v>
      </c>
      <c r="D946" s="6">
        <v>61.0</v>
      </c>
      <c r="E946" s="10" t="str">
        <f t="shared" si="3"/>
        <v>BRN61M</v>
      </c>
      <c r="F946" s="6" t="s">
        <v>61</v>
      </c>
      <c r="G946" s="6">
        <v>12.0</v>
      </c>
      <c r="H946" s="11" t="str">
        <f t="shared" si="4"/>
        <v>F12</v>
      </c>
      <c r="I946" s="10" t="str">
        <f t="shared" si="5"/>
        <v>BRN61M-F12</v>
      </c>
      <c r="J946" s="16"/>
      <c r="K946" s="16" t="str">
        <f t="shared" si="6"/>
        <v>collected</v>
      </c>
      <c r="L946" s="16" t="str">
        <f t="shared" si="7"/>
        <v>N</v>
      </c>
      <c r="M946" s="16"/>
      <c r="N946" s="16"/>
    </row>
    <row r="947">
      <c r="A947" s="27" t="s">
        <v>1367</v>
      </c>
      <c r="B947" s="10" t="str">
        <f t="shared" si="1"/>
        <v>RNA-muscle</v>
      </c>
      <c r="C947" s="10" t="str">
        <f t="shared" si="2"/>
        <v>BRN61M-E12</v>
      </c>
      <c r="D947" s="6">
        <v>61.0</v>
      </c>
      <c r="E947" s="10" t="str">
        <f t="shared" si="3"/>
        <v>BRN61M</v>
      </c>
      <c r="F947" s="6" t="s">
        <v>66</v>
      </c>
      <c r="G947" s="6">
        <v>12.0</v>
      </c>
      <c r="H947" s="11" t="str">
        <f t="shared" si="4"/>
        <v>E12</v>
      </c>
      <c r="I947" s="10" t="str">
        <f t="shared" si="5"/>
        <v>BRN61M-E12</v>
      </c>
      <c r="J947" s="16"/>
      <c r="K947" s="16" t="str">
        <f t="shared" si="6"/>
        <v>collected</v>
      </c>
      <c r="L947" s="16" t="str">
        <f t="shared" si="7"/>
        <v>N</v>
      </c>
      <c r="M947" s="16"/>
      <c r="N947" s="16"/>
    </row>
    <row r="948">
      <c r="A948" s="27" t="s">
        <v>1368</v>
      </c>
      <c r="B948" s="10" t="str">
        <f t="shared" si="1"/>
        <v>RNA-muscle</v>
      </c>
      <c r="C948" s="10" t="str">
        <f t="shared" si="2"/>
        <v>BRN61M-D12</v>
      </c>
      <c r="D948" s="6">
        <v>61.0</v>
      </c>
      <c r="E948" s="10" t="str">
        <f t="shared" si="3"/>
        <v>BRN61M</v>
      </c>
      <c r="F948" s="6" t="s">
        <v>68</v>
      </c>
      <c r="G948" s="6">
        <v>12.0</v>
      </c>
      <c r="H948" s="11" t="str">
        <f t="shared" si="4"/>
        <v>D12</v>
      </c>
      <c r="I948" s="10" t="str">
        <f t="shared" si="5"/>
        <v>BRN61M-D12</v>
      </c>
      <c r="J948" s="16"/>
      <c r="K948" s="16" t="str">
        <f t="shared" si="6"/>
        <v>collected</v>
      </c>
      <c r="L948" s="16" t="str">
        <f t="shared" si="7"/>
        <v>N</v>
      </c>
      <c r="M948" s="16"/>
      <c r="N948" s="16"/>
    </row>
    <row r="949">
      <c r="A949" s="27" t="s">
        <v>1369</v>
      </c>
      <c r="B949" s="10" t="str">
        <f t="shared" si="1"/>
        <v>RNA-muscle</v>
      </c>
      <c r="C949" s="10" t="str">
        <f t="shared" si="2"/>
        <v>BRN61M-C12</v>
      </c>
      <c r="D949" s="6">
        <v>61.0</v>
      </c>
      <c r="E949" s="10" t="str">
        <f t="shared" si="3"/>
        <v>BRN61M</v>
      </c>
      <c r="F949" s="6" t="s">
        <v>72</v>
      </c>
      <c r="G949" s="6">
        <v>12.0</v>
      </c>
      <c r="H949" s="11" t="str">
        <f t="shared" si="4"/>
        <v>C12</v>
      </c>
      <c r="I949" s="10" t="str">
        <f t="shared" si="5"/>
        <v>BRN61M-C12</v>
      </c>
      <c r="J949" s="16"/>
      <c r="K949" s="16" t="str">
        <f t="shared" si="6"/>
        <v>collected</v>
      </c>
      <c r="L949" s="16" t="str">
        <f t="shared" si="7"/>
        <v>N</v>
      </c>
      <c r="M949" s="16"/>
      <c r="N949" s="16"/>
    </row>
    <row r="950">
      <c r="A950" s="27" t="s">
        <v>1370</v>
      </c>
      <c r="B950" s="10" t="str">
        <f t="shared" si="1"/>
        <v>RNA-muscle</v>
      </c>
      <c r="C950" s="10" t="str">
        <f t="shared" si="2"/>
        <v>BRN61M-B12</v>
      </c>
      <c r="D950" s="6">
        <v>61.0</v>
      </c>
      <c r="E950" s="10" t="str">
        <f t="shared" si="3"/>
        <v>BRN61M</v>
      </c>
      <c r="F950" s="6" t="s">
        <v>74</v>
      </c>
      <c r="G950" s="6">
        <v>12.0</v>
      </c>
      <c r="H950" s="11" t="str">
        <f t="shared" si="4"/>
        <v>B12</v>
      </c>
      <c r="I950" s="10" t="str">
        <f t="shared" si="5"/>
        <v>BRN61M-B12</v>
      </c>
      <c r="J950" s="16"/>
      <c r="K950" s="16" t="str">
        <f t="shared" si="6"/>
        <v>collected</v>
      </c>
      <c r="L950" s="16" t="str">
        <f t="shared" si="7"/>
        <v>N</v>
      </c>
      <c r="M950" s="16"/>
      <c r="N950" s="16"/>
    </row>
    <row r="951">
      <c r="A951" s="27" t="s">
        <v>1371</v>
      </c>
      <c r="B951" s="10" t="str">
        <f t="shared" si="1"/>
        <v>RNA-muscle</v>
      </c>
      <c r="C951" s="10" t="str">
        <f t="shared" si="2"/>
        <v>BRN61M-A12</v>
      </c>
      <c r="D951" s="6">
        <v>61.0</v>
      </c>
      <c r="E951" s="10" t="str">
        <f t="shared" si="3"/>
        <v>BRN61M</v>
      </c>
      <c r="F951" s="6" t="s">
        <v>76</v>
      </c>
      <c r="G951" s="6">
        <v>12.0</v>
      </c>
      <c r="H951" s="11" t="str">
        <f t="shared" si="4"/>
        <v>A12</v>
      </c>
      <c r="I951" s="10" t="str">
        <f t="shared" si="5"/>
        <v>BRN61M-A12</v>
      </c>
      <c r="J951" s="16"/>
      <c r="K951" s="16" t="str">
        <f t="shared" si="6"/>
        <v>collected</v>
      </c>
      <c r="L951" s="16" t="str">
        <f t="shared" si="7"/>
        <v>N</v>
      </c>
      <c r="M951" s="16"/>
      <c r="N951" s="16"/>
    </row>
    <row r="952">
      <c r="A952" s="27" t="s">
        <v>1372</v>
      </c>
      <c r="B952" s="10" t="str">
        <f t="shared" si="1"/>
        <v>RNA-muscle</v>
      </c>
      <c r="C952" s="10" t="str">
        <f t="shared" si="2"/>
        <v>BRN72M-H1</v>
      </c>
      <c r="D952" s="6">
        <v>72.0</v>
      </c>
      <c r="E952" s="10" t="str">
        <f t="shared" si="3"/>
        <v>BRN72M</v>
      </c>
      <c r="F952" s="6" t="s">
        <v>51</v>
      </c>
      <c r="G952" s="6">
        <v>1.0</v>
      </c>
      <c r="H952" s="11" t="str">
        <f t="shared" si="4"/>
        <v>H1</v>
      </c>
      <c r="I952" s="10" t="str">
        <f t="shared" si="5"/>
        <v>BRN72M-H1</v>
      </c>
      <c r="J952" s="16"/>
      <c r="K952" s="16" t="str">
        <f t="shared" si="6"/>
        <v>collected</v>
      </c>
      <c r="L952" s="16" t="str">
        <f t="shared" si="7"/>
        <v>N</v>
      </c>
      <c r="M952" s="16"/>
      <c r="N952" s="16"/>
    </row>
    <row r="953">
      <c r="A953" s="27" t="s">
        <v>1374</v>
      </c>
      <c r="B953" s="10" t="str">
        <f t="shared" si="1"/>
        <v>RNA-muscle</v>
      </c>
      <c r="C953" s="10" t="str">
        <f t="shared" si="2"/>
        <v>BRN72M-G1</v>
      </c>
      <c r="D953" s="6">
        <v>72.0</v>
      </c>
      <c r="E953" s="10" t="str">
        <f t="shared" si="3"/>
        <v>BRN72M</v>
      </c>
      <c r="F953" s="6" t="s">
        <v>56</v>
      </c>
      <c r="G953" s="6">
        <v>1.0</v>
      </c>
      <c r="H953" s="11" t="str">
        <f t="shared" si="4"/>
        <v>G1</v>
      </c>
      <c r="I953" s="10" t="str">
        <f t="shared" si="5"/>
        <v>BRN72M-G1</v>
      </c>
      <c r="J953" s="16"/>
      <c r="K953" s="16" t="str">
        <f t="shared" si="6"/>
        <v>collected</v>
      </c>
      <c r="L953" s="16" t="str">
        <f t="shared" si="7"/>
        <v>N</v>
      </c>
      <c r="M953" s="16"/>
      <c r="N953" s="16"/>
    </row>
    <row r="954">
      <c r="A954" s="27" t="s">
        <v>1375</v>
      </c>
      <c r="B954" s="10" t="str">
        <f t="shared" si="1"/>
        <v>RNA-muscle</v>
      </c>
      <c r="C954" s="10" t="str">
        <f t="shared" si="2"/>
        <v>BRN72M-F1</v>
      </c>
      <c r="D954" s="6">
        <v>72.0</v>
      </c>
      <c r="E954" s="10" t="str">
        <f t="shared" si="3"/>
        <v>BRN72M</v>
      </c>
      <c r="F954" s="6" t="s">
        <v>61</v>
      </c>
      <c r="G954" s="6">
        <v>1.0</v>
      </c>
      <c r="H954" s="11" t="str">
        <f t="shared" si="4"/>
        <v>F1</v>
      </c>
      <c r="I954" s="10" t="str">
        <f t="shared" si="5"/>
        <v>BRN72M-F1</v>
      </c>
      <c r="J954" s="16"/>
      <c r="K954" s="16" t="str">
        <f t="shared" si="6"/>
        <v>collected</v>
      </c>
      <c r="L954" s="16" t="str">
        <f t="shared" si="7"/>
        <v>N</v>
      </c>
      <c r="M954" s="16"/>
      <c r="N954" s="16"/>
    </row>
    <row r="955">
      <c r="A955" s="27" t="s">
        <v>1376</v>
      </c>
      <c r="B955" s="10" t="str">
        <f t="shared" si="1"/>
        <v>RNA-muscle</v>
      </c>
      <c r="C955" s="10" t="str">
        <f t="shared" si="2"/>
        <v>BRN71M-A1</v>
      </c>
      <c r="D955" s="6">
        <v>71.0</v>
      </c>
      <c r="E955" s="10" t="str">
        <f t="shared" si="3"/>
        <v>BRN71M</v>
      </c>
      <c r="F955" s="6" t="s">
        <v>76</v>
      </c>
      <c r="G955" s="6">
        <v>1.0</v>
      </c>
      <c r="H955" s="11" t="str">
        <f t="shared" si="4"/>
        <v>A1</v>
      </c>
      <c r="I955" s="10" t="str">
        <f t="shared" si="5"/>
        <v>BRN71M-A1</v>
      </c>
      <c r="J955" s="16"/>
      <c r="K955" s="16" t="str">
        <f t="shared" si="6"/>
        <v>collected</v>
      </c>
      <c r="L955" s="16" t="str">
        <f t="shared" si="7"/>
        <v>N</v>
      </c>
      <c r="M955" s="16"/>
      <c r="N955" s="16"/>
    </row>
    <row r="956">
      <c r="A956" s="27" t="s">
        <v>1377</v>
      </c>
      <c r="B956" s="10" t="str">
        <f t="shared" si="1"/>
        <v>RNA-muscle</v>
      </c>
      <c r="C956" s="10" t="str">
        <f t="shared" si="2"/>
        <v>BRN71M-H4</v>
      </c>
      <c r="D956" s="6">
        <v>71.0</v>
      </c>
      <c r="E956" s="10" t="str">
        <f t="shared" si="3"/>
        <v>BRN71M</v>
      </c>
      <c r="F956" s="6" t="s">
        <v>51</v>
      </c>
      <c r="G956" s="6">
        <v>4.0</v>
      </c>
      <c r="H956" s="11" t="str">
        <f t="shared" si="4"/>
        <v>H4</v>
      </c>
      <c r="I956" s="10" t="str">
        <f t="shared" si="5"/>
        <v>BRN71M-H4</v>
      </c>
      <c r="J956" s="16"/>
      <c r="K956" s="16" t="str">
        <f t="shared" si="6"/>
        <v>collected</v>
      </c>
      <c r="L956" s="16" t="str">
        <f t="shared" si="7"/>
        <v>N</v>
      </c>
      <c r="M956" s="16"/>
      <c r="N956" s="16"/>
    </row>
    <row r="957">
      <c r="A957" s="27" t="s">
        <v>1379</v>
      </c>
      <c r="B957" s="10" t="str">
        <f t="shared" si="1"/>
        <v>RNA-muscle</v>
      </c>
      <c r="C957" s="10" t="str">
        <f t="shared" si="2"/>
        <v>BRN71M-G4</v>
      </c>
      <c r="D957" s="6">
        <v>71.0</v>
      </c>
      <c r="E957" s="10" t="str">
        <f t="shared" si="3"/>
        <v>BRN71M</v>
      </c>
      <c r="F957" s="6" t="s">
        <v>56</v>
      </c>
      <c r="G957" s="6">
        <v>4.0</v>
      </c>
      <c r="H957" s="11" t="str">
        <f t="shared" si="4"/>
        <v>G4</v>
      </c>
      <c r="I957" s="10" t="str">
        <f t="shared" si="5"/>
        <v>BRN71M-G4</v>
      </c>
      <c r="J957" s="16"/>
      <c r="K957" s="16" t="str">
        <f t="shared" si="6"/>
        <v>collected</v>
      </c>
      <c r="L957" s="16" t="str">
        <f t="shared" si="7"/>
        <v>N</v>
      </c>
      <c r="M957" s="16"/>
      <c r="N957" s="16"/>
    </row>
    <row r="958">
      <c r="A958" s="27" t="s">
        <v>1380</v>
      </c>
      <c r="B958" s="10" t="str">
        <f t="shared" si="1"/>
        <v>RNA-muscle</v>
      </c>
      <c r="C958" s="10" t="str">
        <f t="shared" si="2"/>
        <v>BRN71M-F4</v>
      </c>
      <c r="D958" s="6">
        <v>71.0</v>
      </c>
      <c r="E958" s="10" t="str">
        <f t="shared" si="3"/>
        <v>BRN71M</v>
      </c>
      <c r="F958" s="6" t="s">
        <v>61</v>
      </c>
      <c r="G958" s="6">
        <v>4.0</v>
      </c>
      <c r="H958" s="11" t="str">
        <f t="shared" si="4"/>
        <v>F4</v>
      </c>
      <c r="I958" s="10" t="str">
        <f t="shared" si="5"/>
        <v>BRN71M-F4</v>
      </c>
      <c r="J958" s="16"/>
      <c r="K958" s="16" t="str">
        <f t="shared" si="6"/>
        <v>collected</v>
      </c>
      <c r="L958" s="16" t="str">
        <f t="shared" si="7"/>
        <v>N</v>
      </c>
      <c r="M958" s="16"/>
      <c r="N958" s="16"/>
    </row>
    <row r="959">
      <c r="A959" s="27" t="s">
        <v>1381</v>
      </c>
      <c r="B959" s="10" t="str">
        <f t="shared" si="1"/>
        <v>RNA-muscle</v>
      </c>
      <c r="C959" s="10" t="str">
        <f t="shared" si="2"/>
        <v>BRN71M-E4</v>
      </c>
      <c r="D959" s="6">
        <v>71.0</v>
      </c>
      <c r="E959" s="10" t="str">
        <f t="shared" si="3"/>
        <v>BRN71M</v>
      </c>
      <c r="F959" s="6" t="s">
        <v>66</v>
      </c>
      <c r="G959" s="6">
        <v>4.0</v>
      </c>
      <c r="H959" s="11" t="str">
        <f t="shared" si="4"/>
        <v>E4</v>
      </c>
      <c r="I959" s="10" t="str">
        <f t="shared" si="5"/>
        <v>BRN71M-E4</v>
      </c>
      <c r="J959" s="16"/>
      <c r="K959" s="16" t="str">
        <f t="shared" si="6"/>
        <v>collected</v>
      </c>
      <c r="L959" s="16" t="str">
        <f t="shared" si="7"/>
        <v>N</v>
      </c>
      <c r="M959" s="16"/>
      <c r="N959" s="16"/>
    </row>
    <row r="960">
      <c r="A960" s="27" t="s">
        <v>1382</v>
      </c>
      <c r="B960" s="10" t="str">
        <f t="shared" si="1"/>
        <v>RNA-muscle</v>
      </c>
      <c r="C960" s="10" t="str">
        <f t="shared" si="2"/>
        <v>BRN71M-D4</v>
      </c>
      <c r="D960" s="6">
        <v>71.0</v>
      </c>
      <c r="E960" s="10" t="str">
        <f t="shared" si="3"/>
        <v>BRN71M</v>
      </c>
      <c r="F960" s="6" t="s">
        <v>68</v>
      </c>
      <c r="G960" s="6">
        <v>4.0</v>
      </c>
      <c r="H960" s="11" t="str">
        <f t="shared" si="4"/>
        <v>D4</v>
      </c>
      <c r="I960" s="10" t="str">
        <f t="shared" si="5"/>
        <v>BRN71M-D4</v>
      </c>
      <c r="J960" s="16"/>
      <c r="K960" s="16" t="str">
        <f t="shared" si="6"/>
        <v>collected</v>
      </c>
      <c r="L960" s="16" t="str">
        <f t="shared" si="7"/>
        <v>N</v>
      </c>
      <c r="M960" s="16"/>
      <c r="N960" s="16"/>
    </row>
    <row r="961">
      <c r="A961" s="27" t="s">
        <v>1383</v>
      </c>
      <c r="B961" s="10" t="str">
        <f t="shared" si="1"/>
        <v>RNA-muscle</v>
      </c>
      <c r="C961" s="10" t="str">
        <f t="shared" si="2"/>
        <v>BRN71M-C4</v>
      </c>
      <c r="D961" s="6">
        <v>71.0</v>
      </c>
      <c r="E961" s="10" t="str">
        <f t="shared" si="3"/>
        <v>BRN71M</v>
      </c>
      <c r="F961" s="6" t="s">
        <v>72</v>
      </c>
      <c r="G961" s="6">
        <v>4.0</v>
      </c>
      <c r="H961" s="11" t="str">
        <f t="shared" si="4"/>
        <v>C4</v>
      </c>
      <c r="I961" s="10" t="str">
        <f t="shared" si="5"/>
        <v>BRN71M-C4</v>
      </c>
      <c r="J961" s="16"/>
      <c r="K961" s="16" t="str">
        <f t="shared" si="6"/>
        <v>collected</v>
      </c>
      <c r="L961" s="16" t="str">
        <f t="shared" si="7"/>
        <v>N</v>
      </c>
      <c r="M961" s="16"/>
      <c r="N961" s="16"/>
    </row>
    <row r="962">
      <c r="A962" s="27" t="s">
        <v>1385</v>
      </c>
      <c r="B962" s="10" t="str">
        <f t="shared" si="1"/>
        <v>RNA-muscle</v>
      </c>
      <c r="C962" s="10" t="str">
        <f t="shared" si="2"/>
        <v>BRN71M-B4</v>
      </c>
      <c r="D962" s="6">
        <v>71.0</v>
      </c>
      <c r="E962" s="10" t="str">
        <f t="shared" si="3"/>
        <v>BRN71M</v>
      </c>
      <c r="F962" s="6" t="s">
        <v>74</v>
      </c>
      <c r="G962" s="6">
        <v>4.0</v>
      </c>
      <c r="H962" s="11" t="str">
        <f t="shared" si="4"/>
        <v>B4</v>
      </c>
      <c r="I962" s="10" t="str">
        <f t="shared" si="5"/>
        <v>BRN71M-B4</v>
      </c>
      <c r="J962" s="6" t="s">
        <v>437</v>
      </c>
      <c r="K962" s="16" t="str">
        <f t="shared" si="6"/>
        <v>collected</v>
      </c>
      <c r="L962" s="16" t="str">
        <f t="shared" si="7"/>
        <v>N</v>
      </c>
      <c r="M962" s="16"/>
      <c r="N962" s="16"/>
    </row>
    <row r="963">
      <c r="A963" s="27" t="s">
        <v>1386</v>
      </c>
      <c r="B963" s="10" t="str">
        <f t="shared" si="1"/>
        <v>RNA-muscle</v>
      </c>
      <c r="C963" s="10" t="str">
        <f t="shared" si="2"/>
        <v>BRN71M-A4</v>
      </c>
      <c r="D963" s="6">
        <v>71.0</v>
      </c>
      <c r="E963" s="10" t="str">
        <f t="shared" si="3"/>
        <v>BRN71M</v>
      </c>
      <c r="F963" s="6" t="s">
        <v>76</v>
      </c>
      <c r="G963" s="6">
        <v>4.0</v>
      </c>
      <c r="H963" s="11" t="str">
        <f t="shared" si="4"/>
        <v>A4</v>
      </c>
      <c r="I963" s="10" t="str">
        <f t="shared" si="5"/>
        <v>BRN71M-A4</v>
      </c>
      <c r="J963" s="6" t="s">
        <v>437</v>
      </c>
      <c r="K963" s="16" t="str">
        <f t="shared" si="6"/>
        <v>collected</v>
      </c>
      <c r="L963" s="16" t="str">
        <f t="shared" si="7"/>
        <v>N</v>
      </c>
      <c r="M963" s="16"/>
      <c r="N963" s="16"/>
    </row>
    <row r="964">
      <c r="A964" s="27" t="s">
        <v>1387</v>
      </c>
      <c r="B964" s="10" t="str">
        <f t="shared" si="1"/>
        <v>RNA-muscle</v>
      </c>
      <c r="C964" s="10" t="str">
        <f t="shared" si="2"/>
        <v>BRN71M-G6</v>
      </c>
      <c r="D964" s="6">
        <v>71.0</v>
      </c>
      <c r="E964" s="10" t="str">
        <f t="shared" si="3"/>
        <v>BRN71M</v>
      </c>
      <c r="F964" s="6" t="s">
        <v>56</v>
      </c>
      <c r="G964" s="6">
        <v>6.0</v>
      </c>
      <c r="H964" s="11" t="str">
        <f t="shared" si="4"/>
        <v>G6</v>
      </c>
      <c r="I964" s="10" t="str">
        <f t="shared" si="5"/>
        <v>BRN71M-G6</v>
      </c>
      <c r="J964" s="16"/>
      <c r="K964" s="16" t="str">
        <f t="shared" si="6"/>
        <v>collected</v>
      </c>
      <c r="L964" s="16" t="str">
        <f t="shared" si="7"/>
        <v>N</v>
      </c>
      <c r="M964" s="16"/>
      <c r="N964" s="16"/>
    </row>
    <row r="965">
      <c r="A965" s="27" t="s">
        <v>1389</v>
      </c>
      <c r="B965" s="10" t="str">
        <f t="shared" si="1"/>
        <v>RNA-muscle</v>
      </c>
      <c r="C965" s="10" t="str">
        <f t="shared" si="2"/>
        <v>BRN71M-F6</v>
      </c>
      <c r="D965" s="6">
        <v>71.0</v>
      </c>
      <c r="E965" s="10" t="str">
        <f t="shared" si="3"/>
        <v>BRN71M</v>
      </c>
      <c r="F965" s="6" t="s">
        <v>61</v>
      </c>
      <c r="G965" s="6">
        <v>6.0</v>
      </c>
      <c r="H965" s="11" t="str">
        <f t="shared" si="4"/>
        <v>F6</v>
      </c>
      <c r="I965" s="10" t="str">
        <f t="shared" si="5"/>
        <v>BRN71M-F6</v>
      </c>
      <c r="J965" s="16"/>
      <c r="K965" s="16" t="str">
        <f t="shared" si="6"/>
        <v>collected</v>
      </c>
      <c r="L965" s="16" t="str">
        <f t="shared" si="7"/>
        <v>N</v>
      </c>
      <c r="M965" s="16"/>
      <c r="N965" s="16"/>
    </row>
    <row r="966">
      <c r="A966" s="27" t="s">
        <v>1390</v>
      </c>
      <c r="B966" s="10" t="str">
        <f t="shared" si="1"/>
        <v>RNA-muscle</v>
      </c>
      <c r="C966" s="10" t="str">
        <f t="shared" si="2"/>
        <v>BRN71M-F3</v>
      </c>
      <c r="D966" s="6">
        <v>71.0</v>
      </c>
      <c r="E966" s="10" t="str">
        <f t="shared" si="3"/>
        <v>BRN71M</v>
      </c>
      <c r="F966" s="6" t="s">
        <v>61</v>
      </c>
      <c r="G966" s="6">
        <v>3.0</v>
      </c>
      <c r="H966" s="11" t="str">
        <f t="shared" si="4"/>
        <v>F3</v>
      </c>
      <c r="I966" s="10" t="str">
        <f t="shared" si="5"/>
        <v>BRN71M-F3</v>
      </c>
      <c r="J966" s="16"/>
      <c r="K966" s="16" t="str">
        <f t="shared" si="6"/>
        <v>collected</v>
      </c>
      <c r="L966" s="16" t="str">
        <f t="shared" si="7"/>
        <v>N</v>
      </c>
      <c r="M966" s="16"/>
      <c r="N966" s="16"/>
    </row>
    <row r="967">
      <c r="A967" s="27" t="s">
        <v>1391</v>
      </c>
      <c r="B967" s="10" t="str">
        <f t="shared" si="1"/>
        <v>RNA-muscle</v>
      </c>
      <c r="C967" s="10" t="str">
        <f t="shared" si="2"/>
        <v>BRN71M-E3</v>
      </c>
      <c r="D967" s="6">
        <v>71.0</v>
      </c>
      <c r="E967" s="10" t="str">
        <f t="shared" si="3"/>
        <v>BRN71M</v>
      </c>
      <c r="F967" s="6" t="s">
        <v>66</v>
      </c>
      <c r="G967" s="6">
        <v>3.0</v>
      </c>
      <c r="H967" s="11" t="str">
        <f t="shared" si="4"/>
        <v>E3</v>
      </c>
      <c r="I967" s="10" t="str">
        <f t="shared" si="5"/>
        <v>BRN71M-E3</v>
      </c>
      <c r="J967" s="16"/>
      <c r="K967" s="16" t="str">
        <f t="shared" si="6"/>
        <v>collected</v>
      </c>
      <c r="L967" s="16" t="str">
        <f t="shared" si="7"/>
        <v>N</v>
      </c>
      <c r="M967" s="16"/>
      <c r="N967" s="16"/>
    </row>
    <row r="968">
      <c r="A968" s="27" t="s">
        <v>1392</v>
      </c>
      <c r="B968" s="10" t="str">
        <f t="shared" si="1"/>
        <v>RNA-muscle</v>
      </c>
      <c r="C968" s="10" t="str">
        <f t="shared" si="2"/>
        <v>BRN71M-D3</v>
      </c>
      <c r="D968" s="6">
        <v>71.0</v>
      </c>
      <c r="E968" s="10" t="str">
        <f t="shared" si="3"/>
        <v>BRN71M</v>
      </c>
      <c r="F968" s="6" t="s">
        <v>68</v>
      </c>
      <c r="G968" s="6">
        <v>3.0</v>
      </c>
      <c r="H968" s="11" t="str">
        <f t="shared" si="4"/>
        <v>D3</v>
      </c>
      <c r="I968" s="10" t="str">
        <f t="shared" si="5"/>
        <v>BRN71M-D3</v>
      </c>
      <c r="J968" s="16"/>
      <c r="K968" s="16" t="str">
        <f t="shared" si="6"/>
        <v>collected</v>
      </c>
      <c r="L968" s="16" t="str">
        <f t="shared" si="7"/>
        <v>N</v>
      </c>
      <c r="M968" s="16"/>
      <c r="N968" s="16"/>
    </row>
    <row r="969">
      <c r="A969" s="27" t="s">
        <v>1395</v>
      </c>
      <c r="B969" s="10" t="str">
        <f t="shared" si="1"/>
        <v>RNA-muscle</v>
      </c>
      <c r="C969" s="10" t="str">
        <f t="shared" si="2"/>
        <v>BRN71M-C3</v>
      </c>
      <c r="D969" s="6">
        <v>71.0</v>
      </c>
      <c r="E969" s="10" t="str">
        <f t="shared" si="3"/>
        <v>BRN71M</v>
      </c>
      <c r="F969" s="6" t="s">
        <v>72</v>
      </c>
      <c r="G969" s="6">
        <v>3.0</v>
      </c>
      <c r="H969" s="11" t="str">
        <f t="shared" si="4"/>
        <v>C3</v>
      </c>
      <c r="I969" s="10" t="str">
        <f t="shared" si="5"/>
        <v>BRN71M-C3</v>
      </c>
      <c r="J969" s="16"/>
      <c r="K969" s="16" t="str">
        <f t="shared" si="6"/>
        <v>collected</v>
      </c>
      <c r="L969" s="16" t="str">
        <f t="shared" si="7"/>
        <v>N</v>
      </c>
      <c r="M969" s="16"/>
      <c r="N969" s="16"/>
    </row>
    <row r="970">
      <c r="A970" s="27" t="s">
        <v>1396</v>
      </c>
      <c r="B970" s="10" t="str">
        <f t="shared" si="1"/>
        <v>RNA-muscle</v>
      </c>
      <c r="C970" s="10" t="str">
        <f t="shared" si="2"/>
        <v>BRN71M-B3</v>
      </c>
      <c r="D970" s="6">
        <v>71.0</v>
      </c>
      <c r="E970" s="10" t="str">
        <f t="shared" si="3"/>
        <v>BRN71M</v>
      </c>
      <c r="F970" s="6" t="s">
        <v>74</v>
      </c>
      <c r="G970" s="6">
        <v>3.0</v>
      </c>
      <c r="H970" s="11" t="str">
        <f t="shared" si="4"/>
        <v>B3</v>
      </c>
      <c r="I970" s="10" t="str">
        <f t="shared" si="5"/>
        <v>BRN71M-B3</v>
      </c>
      <c r="J970" s="16"/>
      <c r="K970" s="16" t="str">
        <f t="shared" si="6"/>
        <v>collected</v>
      </c>
      <c r="L970" s="16" t="str">
        <f t="shared" si="7"/>
        <v>N</v>
      </c>
      <c r="M970" s="16"/>
      <c r="N970" s="16"/>
    </row>
    <row r="971">
      <c r="A971" s="27" t="s">
        <v>1397</v>
      </c>
      <c r="B971" s="10" t="str">
        <f t="shared" si="1"/>
        <v>RNA-muscle</v>
      </c>
      <c r="C971" s="10" t="str">
        <f t="shared" si="2"/>
        <v>BRN71M-A3</v>
      </c>
      <c r="D971" s="6">
        <v>71.0</v>
      </c>
      <c r="E971" s="10" t="str">
        <f t="shared" si="3"/>
        <v>BRN71M</v>
      </c>
      <c r="F971" s="6" t="s">
        <v>76</v>
      </c>
      <c r="G971" s="6">
        <v>3.0</v>
      </c>
      <c r="H971" s="11" t="str">
        <f t="shared" si="4"/>
        <v>A3</v>
      </c>
      <c r="I971" s="10" t="str">
        <f t="shared" si="5"/>
        <v>BRN71M-A3</v>
      </c>
      <c r="J971" s="16"/>
      <c r="K971" s="16" t="str">
        <f t="shared" si="6"/>
        <v>collected</v>
      </c>
      <c r="L971" s="16" t="str">
        <f t="shared" si="7"/>
        <v>N</v>
      </c>
      <c r="M971" s="16"/>
      <c r="N971" s="16"/>
    </row>
    <row r="972">
      <c r="A972" s="27" t="s">
        <v>1398</v>
      </c>
      <c r="B972" s="10" t="str">
        <f t="shared" si="1"/>
        <v>RNA-muscle</v>
      </c>
      <c r="C972" s="10" t="str">
        <f t="shared" si="2"/>
        <v>BRN71M-H5</v>
      </c>
      <c r="D972" s="6">
        <v>71.0</v>
      </c>
      <c r="E972" s="10" t="str">
        <f t="shared" si="3"/>
        <v>BRN71M</v>
      </c>
      <c r="F972" s="6" t="s">
        <v>51</v>
      </c>
      <c r="G972" s="6">
        <v>5.0</v>
      </c>
      <c r="H972" s="11" t="str">
        <f t="shared" si="4"/>
        <v>H5</v>
      </c>
      <c r="I972" s="10" t="str">
        <f t="shared" si="5"/>
        <v>BRN71M-H5</v>
      </c>
      <c r="J972" s="16"/>
      <c r="K972" s="16" t="str">
        <f t="shared" si="6"/>
        <v>collected</v>
      </c>
      <c r="L972" s="16" t="str">
        <f t="shared" si="7"/>
        <v>N</v>
      </c>
      <c r="M972" s="16"/>
      <c r="N972" s="16"/>
    </row>
    <row r="973">
      <c r="A973" s="27" t="s">
        <v>1399</v>
      </c>
      <c r="B973" s="10" t="str">
        <f t="shared" si="1"/>
        <v>RNA-muscle</v>
      </c>
      <c r="C973" s="10" t="str">
        <f t="shared" si="2"/>
        <v>BRN71M-G5</v>
      </c>
      <c r="D973" s="6">
        <v>71.0</v>
      </c>
      <c r="E973" s="10" t="str">
        <f t="shared" si="3"/>
        <v>BRN71M</v>
      </c>
      <c r="F973" s="6" t="s">
        <v>56</v>
      </c>
      <c r="G973" s="6">
        <v>5.0</v>
      </c>
      <c r="H973" s="11" t="str">
        <f t="shared" si="4"/>
        <v>G5</v>
      </c>
      <c r="I973" s="10" t="str">
        <f t="shared" si="5"/>
        <v>BRN71M-G5</v>
      </c>
      <c r="J973" s="16"/>
      <c r="K973" s="16" t="str">
        <f t="shared" si="6"/>
        <v>collected</v>
      </c>
      <c r="L973" s="16" t="str">
        <f t="shared" si="7"/>
        <v>N</v>
      </c>
      <c r="M973" s="16"/>
      <c r="N973" s="16"/>
    </row>
    <row r="974">
      <c r="A974" s="27" t="s">
        <v>1400</v>
      </c>
      <c r="B974" s="10" t="str">
        <f t="shared" si="1"/>
        <v>RNA-muscle</v>
      </c>
      <c r="C974" s="10" t="str">
        <f t="shared" si="2"/>
        <v>BRN71M-F5</v>
      </c>
      <c r="D974" s="6">
        <v>71.0</v>
      </c>
      <c r="E974" s="10" t="str">
        <f t="shared" si="3"/>
        <v>BRN71M</v>
      </c>
      <c r="F974" s="6" t="s">
        <v>61</v>
      </c>
      <c r="G974" s="6">
        <v>5.0</v>
      </c>
      <c r="H974" s="11" t="str">
        <f t="shared" si="4"/>
        <v>F5</v>
      </c>
      <c r="I974" s="10" t="str">
        <f t="shared" si="5"/>
        <v>BRN71M-F5</v>
      </c>
      <c r="J974" s="16"/>
      <c r="K974" s="16" t="str">
        <f t="shared" si="6"/>
        <v>collected</v>
      </c>
      <c r="L974" s="16" t="str">
        <f t="shared" si="7"/>
        <v>N</v>
      </c>
      <c r="M974" s="16"/>
      <c r="N974" s="16"/>
    </row>
    <row r="975">
      <c r="A975" s="27" t="s">
        <v>1401</v>
      </c>
      <c r="B975" s="10" t="str">
        <f t="shared" si="1"/>
        <v>RNA-muscle</v>
      </c>
      <c r="C975" s="10" t="str">
        <f t="shared" si="2"/>
        <v>BRN71M-E5</v>
      </c>
      <c r="D975" s="6">
        <v>71.0</v>
      </c>
      <c r="E975" s="10" t="str">
        <f t="shared" si="3"/>
        <v>BRN71M</v>
      </c>
      <c r="F975" s="6" t="s">
        <v>66</v>
      </c>
      <c r="G975" s="6">
        <v>5.0</v>
      </c>
      <c r="H975" s="11" t="str">
        <f t="shared" si="4"/>
        <v>E5</v>
      </c>
      <c r="I975" s="10" t="str">
        <f t="shared" si="5"/>
        <v>BRN71M-E5</v>
      </c>
      <c r="J975" s="16"/>
      <c r="K975" s="16" t="str">
        <f t="shared" si="6"/>
        <v>collected</v>
      </c>
      <c r="L975" s="16" t="str">
        <f t="shared" si="7"/>
        <v>N</v>
      </c>
      <c r="M975" s="16"/>
      <c r="N975" s="16"/>
    </row>
    <row r="976">
      <c r="A976" s="27" t="s">
        <v>1402</v>
      </c>
      <c r="B976" s="10" t="str">
        <f t="shared" si="1"/>
        <v>RNA-muscle</v>
      </c>
      <c r="C976" s="10" t="str">
        <f t="shared" si="2"/>
        <v>BRN71M-D5</v>
      </c>
      <c r="D976" s="6">
        <v>71.0</v>
      </c>
      <c r="E976" s="10" t="str">
        <f t="shared" si="3"/>
        <v>BRN71M</v>
      </c>
      <c r="F976" s="6" t="s">
        <v>68</v>
      </c>
      <c r="G976" s="6">
        <v>5.0</v>
      </c>
      <c r="H976" s="11" t="str">
        <f t="shared" si="4"/>
        <v>D5</v>
      </c>
      <c r="I976" s="10" t="str">
        <f t="shared" si="5"/>
        <v>BRN71M-D5</v>
      </c>
      <c r="J976" s="16"/>
      <c r="K976" s="16" t="str">
        <f t="shared" si="6"/>
        <v>collected</v>
      </c>
      <c r="L976" s="16" t="str">
        <f t="shared" si="7"/>
        <v>N</v>
      </c>
      <c r="M976" s="16"/>
      <c r="N976" s="16"/>
    </row>
    <row r="977">
      <c r="A977" s="26" t="s">
        <v>1403</v>
      </c>
      <c r="B977" s="10" t="str">
        <f t="shared" si="1"/>
        <v>RNA-muscle</v>
      </c>
      <c r="C977" s="10" t="str">
        <f t="shared" si="2"/>
        <v>BRN71M-E6</v>
      </c>
      <c r="D977" s="6">
        <v>71.0</v>
      </c>
      <c r="E977" s="10" t="str">
        <f t="shared" si="3"/>
        <v>BRN71M</v>
      </c>
      <c r="F977" s="6" t="s">
        <v>66</v>
      </c>
      <c r="G977" s="6">
        <v>6.0</v>
      </c>
      <c r="H977" s="11" t="str">
        <f t="shared" si="4"/>
        <v>E6</v>
      </c>
      <c r="I977" s="10" t="str">
        <f t="shared" si="5"/>
        <v>BRN71M-E6</v>
      </c>
      <c r="J977" s="16"/>
      <c r="K977" s="16" t="str">
        <f t="shared" si="6"/>
        <v>collected</v>
      </c>
      <c r="L977" s="16" t="str">
        <f t="shared" si="7"/>
        <v>N</v>
      </c>
      <c r="M977" s="16"/>
      <c r="N977" s="16"/>
    </row>
    <row r="978">
      <c r="A978" s="26" t="s">
        <v>1404</v>
      </c>
      <c r="B978" s="10" t="str">
        <f t="shared" si="1"/>
        <v>RNA-muscle</v>
      </c>
      <c r="C978" s="10" t="str">
        <f t="shared" si="2"/>
        <v>BRN71M-D6</v>
      </c>
      <c r="D978" s="6">
        <v>71.0</v>
      </c>
      <c r="E978" s="10" t="str">
        <f t="shared" si="3"/>
        <v>BRN71M</v>
      </c>
      <c r="F978" s="6" t="s">
        <v>68</v>
      </c>
      <c r="G978" s="6">
        <v>6.0</v>
      </c>
      <c r="H978" s="11" t="str">
        <f t="shared" si="4"/>
        <v>D6</v>
      </c>
      <c r="I978" s="10" t="str">
        <f t="shared" si="5"/>
        <v>BRN71M-D6</v>
      </c>
      <c r="J978" s="16"/>
      <c r="K978" s="16" t="str">
        <f t="shared" si="6"/>
        <v>collected</v>
      </c>
      <c r="L978" s="16" t="str">
        <f t="shared" si="7"/>
        <v>N</v>
      </c>
      <c r="M978" s="16"/>
      <c r="N978" s="16"/>
    </row>
    <row r="979">
      <c r="A979" s="26" t="s">
        <v>1405</v>
      </c>
      <c r="B979" s="10" t="str">
        <f t="shared" si="1"/>
        <v>RNA-muscle</v>
      </c>
      <c r="C979" s="10" t="str">
        <f t="shared" si="2"/>
        <v>BRN71M-C6</v>
      </c>
      <c r="D979" s="6">
        <v>71.0</v>
      </c>
      <c r="E979" s="10" t="str">
        <f t="shared" si="3"/>
        <v>BRN71M</v>
      </c>
      <c r="F979" s="6" t="s">
        <v>72</v>
      </c>
      <c r="G979" s="6">
        <v>6.0</v>
      </c>
      <c r="H979" s="11" t="str">
        <f t="shared" si="4"/>
        <v>C6</v>
      </c>
      <c r="I979" s="10" t="str">
        <f t="shared" si="5"/>
        <v>BRN71M-C6</v>
      </c>
      <c r="J979" s="16"/>
      <c r="K979" s="16" t="str">
        <f t="shared" si="6"/>
        <v>collected</v>
      </c>
      <c r="L979" s="16" t="str">
        <f t="shared" si="7"/>
        <v>N</v>
      </c>
      <c r="M979" s="16"/>
      <c r="N979" s="16"/>
    </row>
    <row r="980">
      <c r="A980" s="26" t="s">
        <v>1406</v>
      </c>
      <c r="B980" s="10" t="str">
        <f t="shared" si="1"/>
        <v>RNA-muscle</v>
      </c>
      <c r="C980" s="10" t="str">
        <f t="shared" si="2"/>
        <v>BRN71M-B6</v>
      </c>
      <c r="D980" s="6">
        <v>71.0</v>
      </c>
      <c r="E980" s="10" t="str">
        <f t="shared" si="3"/>
        <v>BRN71M</v>
      </c>
      <c r="F980" s="6" t="s">
        <v>74</v>
      </c>
      <c r="G980" s="6">
        <v>6.0</v>
      </c>
      <c r="H980" s="11" t="str">
        <f t="shared" si="4"/>
        <v>B6</v>
      </c>
      <c r="I980" s="10" t="str">
        <f t="shared" si="5"/>
        <v>BRN71M-B6</v>
      </c>
      <c r="J980" s="16"/>
      <c r="K980" s="16" t="str">
        <f t="shared" si="6"/>
        <v>collected</v>
      </c>
      <c r="L980" s="16" t="str">
        <f t="shared" si="7"/>
        <v>N</v>
      </c>
      <c r="M980" s="16"/>
      <c r="N980" s="16"/>
    </row>
    <row r="981">
      <c r="A981" s="26" t="s">
        <v>1407</v>
      </c>
      <c r="B981" s="10" t="str">
        <f t="shared" si="1"/>
        <v>RNA-muscle</v>
      </c>
      <c r="C981" s="10" t="str">
        <f t="shared" si="2"/>
        <v>BRN71M-A6</v>
      </c>
      <c r="D981" s="6">
        <v>71.0</v>
      </c>
      <c r="E981" s="10" t="str">
        <f t="shared" si="3"/>
        <v>BRN71M</v>
      </c>
      <c r="F981" s="6" t="s">
        <v>76</v>
      </c>
      <c r="G981" s="6">
        <v>6.0</v>
      </c>
      <c r="H981" s="11" t="str">
        <f t="shared" si="4"/>
        <v>A6</v>
      </c>
      <c r="I981" s="10" t="str">
        <f t="shared" si="5"/>
        <v>BRN71M-A6</v>
      </c>
      <c r="J981" s="16"/>
      <c r="K981" s="16" t="str">
        <f t="shared" si="6"/>
        <v>collected</v>
      </c>
      <c r="L981" s="16" t="str">
        <f t="shared" si="7"/>
        <v>N</v>
      </c>
      <c r="M981" s="16"/>
      <c r="N981" s="16"/>
    </row>
    <row r="982">
      <c r="A982" s="26" t="s">
        <v>1408</v>
      </c>
      <c r="B982" s="10" t="str">
        <f t="shared" si="1"/>
        <v>RNA-muscle</v>
      </c>
      <c r="C982" s="10" t="str">
        <f t="shared" si="2"/>
        <v>BRN71M-C5</v>
      </c>
      <c r="D982" s="6">
        <v>71.0</v>
      </c>
      <c r="E982" s="10" t="str">
        <f t="shared" si="3"/>
        <v>BRN71M</v>
      </c>
      <c r="F982" s="6" t="s">
        <v>72</v>
      </c>
      <c r="G982" s="6">
        <v>5.0</v>
      </c>
      <c r="H982" s="11" t="str">
        <f t="shared" si="4"/>
        <v>C5</v>
      </c>
      <c r="I982" s="10" t="str">
        <f t="shared" si="5"/>
        <v>BRN71M-C5</v>
      </c>
      <c r="J982" s="16"/>
      <c r="K982" s="16" t="str">
        <f t="shared" si="6"/>
        <v>collected</v>
      </c>
      <c r="L982" s="16" t="str">
        <f t="shared" si="7"/>
        <v>N</v>
      </c>
      <c r="M982" s="16"/>
      <c r="N982" s="16"/>
    </row>
    <row r="983">
      <c r="A983" s="26" t="s">
        <v>1409</v>
      </c>
      <c r="B983" s="10" t="str">
        <f t="shared" si="1"/>
        <v>RNA-muscle</v>
      </c>
      <c r="C983" s="10" t="str">
        <f t="shared" si="2"/>
        <v>BRN71M-B5</v>
      </c>
      <c r="D983" s="6">
        <v>71.0</v>
      </c>
      <c r="E983" s="10" t="str">
        <f t="shared" si="3"/>
        <v>BRN71M</v>
      </c>
      <c r="F983" s="6" t="s">
        <v>74</v>
      </c>
      <c r="G983" s="6">
        <v>5.0</v>
      </c>
      <c r="H983" s="11" t="str">
        <f t="shared" si="4"/>
        <v>B5</v>
      </c>
      <c r="I983" s="10" t="str">
        <f t="shared" si="5"/>
        <v>BRN71M-B5</v>
      </c>
      <c r="J983" s="16"/>
      <c r="K983" s="16" t="str">
        <f t="shared" si="6"/>
        <v>collected</v>
      </c>
      <c r="L983" s="16" t="str">
        <f t="shared" si="7"/>
        <v>N</v>
      </c>
      <c r="M983" s="16"/>
      <c r="N983" s="16"/>
    </row>
    <row r="984">
      <c r="A984" s="26" t="s">
        <v>1411</v>
      </c>
      <c r="B984" s="10" t="str">
        <f t="shared" si="1"/>
        <v>RNA-muscle</v>
      </c>
      <c r="C984" s="10" t="str">
        <f t="shared" si="2"/>
        <v>BRN71M-A5</v>
      </c>
      <c r="D984" s="6">
        <v>71.0</v>
      </c>
      <c r="E984" s="10" t="str">
        <f t="shared" si="3"/>
        <v>BRN71M</v>
      </c>
      <c r="F984" s="6" t="s">
        <v>76</v>
      </c>
      <c r="G984" s="6">
        <v>5.0</v>
      </c>
      <c r="H984" s="11" t="str">
        <f t="shared" si="4"/>
        <v>A5</v>
      </c>
      <c r="I984" s="10" t="str">
        <f t="shared" si="5"/>
        <v>BRN71M-A5</v>
      </c>
      <c r="J984" s="16"/>
      <c r="K984" s="16" t="str">
        <f t="shared" si="6"/>
        <v>collected</v>
      </c>
      <c r="L984" s="16" t="str">
        <f t="shared" si="7"/>
        <v>N</v>
      </c>
      <c r="M984" s="16"/>
      <c r="N984" s="16"/>
    </row>
    <row r="985">
      <c r="A985" s="26" t="s">
        <v>1412</v>
      </c>
      <c r="B985" s="10" t="str">
        <f t="shared" si="1"/>
        <v>RNA-muscle</v>
      </c>
      <c r="C985" s="10" t="str">
        <f t="shared" si="2"/>
        <v>BRN71M-H7</v>
      </c>
      <c r="D985" s="6">
        <v>71.0</v>
      </c>
      <c r="E985" s="10" t="str">
        <f t="shared" si="3"/>
        <v>BRN71M</v>
      </c>
      <c r="F985" s="6" t="s">
        <v>51</v>
      </c>
      <c r="G985" s="6">
        <v>7.0</v>
      </c>
      <c r="H985" s="11" t="str">
        <f t="shared" si="4"/>
        <v>H7</v>
      </c>
      <c r="I985" s="10" t="str">
        <f t="shared" si="5"/>
        <v>BRN71M-H7</v>
      </c>
      <c r="J985" s="16"/>
      <c r="K985" s="16" t="str">
        <f t="shared" si="6"/>
        <v>collected</v>
      </c>
      <c r="L985" s="16" t="str">
        <f t="shared" si="7"/>
        <v>N</v>
      </c>
      <c r="M985" s="16"/>
      <c r="N985" s="16"/>
    </row>
    <row r="986">
      <c r="A986" s="26" t="s">
        <v>1413</v>
      </c>
      <c r="B986" s="10" t="str">
        <f t="shared" si="1"/>
        <v>RNA-muscle</v>
      </c>
      <c r="C986" s="10" t="str">
        <f t="shared" si="2"/>
        <v>BRN71M-G7</v>
      </c>
      <c r="D986" s="6">
        <v>71.0</v>
      </c>
      <c r="E986" s="10" t="str">
        <f t="shared" si="3"/>
        <v>BRN71M</v>
      </c>
      <c r="F986" s="6" t="s">
        <v>56</v>
      </c>
      <c r="G986" s="6">
        <v>7.0</v>
      </c>
      <c r="H986" s="11" t="str">
        <f t="shared" si="4"/>
        <v>G7</v>
      </c>
      <c r="I986" s="10" t="str">
        <f t="shared" si="5"/>
        <v>BRN71M-G7</v>
      </c>
      <c r="J986" s="16"/>
      <c r="K986" s="16" t="str">
        <f t="shared" si="6"/>
        <v>collected</v>
      </c>
      <c r="L986" s="16" t="str">
        <f t="shared" si="7"/>
        <v>N</v>
      </c>
      <c r="M986" s="16"/>
      <c r="N986" s="16"/>
    </row>
    <row r="987">
      <c r="A987" s="26" t="s">
        <v>1414</v>
      </c>
      <c r="B987" s="10" t="str">
        <f t="shared" si="1"/>
        <v>RNA-muscle</v>
      </c>
      <c r="C987" s="10" t="str">
        <f t="shared" si="2"/>
        <v>BRN71M-F7</v>
      </c>
      <c r="D987" s="6">
        <v>71.0</v>
      </c>
      <c r="E987" s="10" t="str">
        <f t="shared" si="3"/>
        <v>BRN71M</v>
      </c>
      <c r="F987" s="6" t="s">
        <v>61</v>
      </c>
      <c r="G987" s="6">
        <v>7.0</v>
      </c>
      <c r="H987" s="11" t="str">
        <f t="shared" si="4"/>
        <v>F7</v>
      </c>
      <c r="I987" s="10" t="str">
        <f t="shared" si="5"/>
        <v>BRN71M-F7</v>
      </c>
      <c r="J987" s="16"/>
      <c r="K987" s="16" t="str">
        <f t="shared" si="6"/>
        <v>collected</v>
      </c>
      <c r="L987" s="16" t="str">
        <f t="shared" si="7"/>
        <v>N</v>
      </c>
      <c r="M987" s="16"/>
      <c r="N987" s="16"/>
    </row>
    <row r="988">
      <c r="A988" s="26" t="s">
        <v>1415</v>
      </c>
      <c r="B988" s="10" t="str">
        <f t="shared" si="1"/>
        <v>RNA-muscle</v>
      </c>
      <c r="C988" s="10" t="str">
        <f t="shared" si="2"/>
        <v>BRN71M-E7</v>
      </c>
      <c r="D988" s="6">
        <v>71.0</v>
      </c>
      <c r="E988" s="10" t="str">
        <f t="shared" si="3"/>
        <v>BRN71M</v>
      </c>
      <c r="F988" s="6" t="s">
        <v>66</v>
      </c>
      <c r="G988" s="6">
        <v>7.0</v>
      </c>
      <c r="H988" s="11" t="str">
        <f t="shared" si="4"/>
        <v>E7</v>
      </c>
      <c r="I988" s="10" t="str">
        <f t="shared" si="5"/>
        <v>BRN71M-E7</v>
      </c>
      <c r="J988" s="16"/>
      <c r="K988" s="16" t="str">
        <f t="shared" si="6"/>
        <v>collected</v>
      </c>
      <c r="L988" s="16" t="str">
        <f t="shared" si="7"/>
        <v>N</v>
      </c>
      <c r="M988" s="16"/>
      <c r="N988" s="16"/>
    </row>
    <row r="989">
      <c r="A989" s="26" t="s">
        <v>1416</v>
      </c>
      <c r="B989" s="10" t="str">
        <f t="shared" si="1"/>
        <v>RNA-muscle</v>
      </c>
      <c r="C989" s="10" t="str">
        <f t="shared" si="2"/>
        <v>BRN71M-D7</v>
      </c>
      <c r="D989" s="6">
        <v>71.0</v>
      </c>
      <c r="E989" s="10" t="str">
        <f t="shared" si="3"/>
        <v>BRN71M</v>
      </c>
      <c r="F989" s="6" t="s">
        <v>68</v>
      </c>
      <c r="G989" s="6">
        <v>7.0</v>
      </c>
      <c r="H989" s="11" t="str">
        <f t="shared" si="4"/>
        <v>D7</v>
      </c>
      <c r="I989" s="10" t="str">
        <f t="shared" si="5"/>
        <v>BRN71M-D7</v>
      </c>
      <c r="J989" s="16"/>
      <c r="K989" s="16" t="str">
        <f t="shared" si="6"/>
        <v>collected</v>
      </c>
      <c r="L989" s="16" t="str">
        <f t="shared" si="7"/>
        <v>N</v>
      </c>
      <c r="M989" s="16"/>
      <c r="N989" s="16"/>
    </row>
    <row r="990">
      <c r="A990" s="26" t="s">
        <v>1417</v>
      </c>
      <c r="B990" s="10" t="str">
        <f t="shared" si="1"/>
        <v>RNA-muscle</v>
      </c>
      <c r="C990" s="10" t="str">
        <f t="shared" si="2"/>
        <v>BRN71M-C7</v>
      </c>
      <c r="D990" s="6">
        <v>71.0</v>
      </c>
      <c r="E990" s="10" t="str">
        <f t="shared" si="3"/>
        <v>BRN71M</v>
      </c>
      <c r="F990" s="6" t="s">
        <v>72</v>
      </c>
      <c r="G990" s="6">
        <v>7.0</v>
      </c>
      <c r="H990" s="11" t="str">
        <f t="shared" si="4"/>
        <v>C7</v>
      </c>
      <c r="I990" s="10" t="str">
        <f t="shared" si="5"/>
        <v>BRN71M-C7</v>
      </c>
      <c r="J990" s="16"/>
      <c r="K990" s="16" t="str">
        <f t="shared" si="6"/>
        <v>collected</v>
      </c>
      <c r="L990" s="16" t="str">
        <f t="shared" si="7"/>
        <v>N</v>
      </c>
      <c r="M990" s="16"/>
      <c r="N990" s="16"/>
    </row>
    <row r="991">
      <c r="A991" s="26" t="s">
        <v>1418</v>
      </c>
      <c r="B991" s="10" t="str">
        <f t="shared" si="1"/>
        <v>RNA-muscle</v>
      </c>
      <c r="C991" s="10" t="str">
        <f t="shared" si="2"/>
        <v>BRN71M-B7</v>
      </c>
      <c r="D991" s="6">
        <v>71.0</v>
      </c>
      <c r="E991" s="10" t="str">
        <f t="shared" si="3"/>
        <v>BRN71M</v>
      </c>
      <c r="F991" s="6" t="s">
        <v>74</v>
      </c>
      <c r="G991" s="6">
        <v>7.0</v>
      </c>
      <c r="H991" s="11" t="str">
        <f t="shared" si="4"/>
        <v>B7</v>
      </c>
      <c r="I991" s="10" t="str">
        <f t="shared" si="5"/>
        <v>BRN71M-B7</v>
      </c>
      <c r="J991" s="16"/>
      <c r="K991" s="16" t="str">
        <f t="shared" si="6"/>
        <v>collected</v>
      </c>
      <c r="L991" s="16" t="str">
        <f t="shared" si="7"/>
        <v>N</v>
      </c>
      <c r="M991" s="16"/>
      <c r="N991" s="16"/>
    </row>
    <row r="992">
      <c r="A992" s="26" t="s">
        <v>1420</v>
      </c>
      <c r="B992" s="10" t="str">
        <f t="shared" si="1"/>
        <v>RNA-muscle</v>
      </c>
      <c r="C992" s="10" t="str">
        <f t="shared" si="2"/>
        <v>BRN71M-A7</v>
      </c>
      <c r="D992" s="6">
        <v>71.0</v>
      </c>
      <c r="E992" s="10" t="str">
        <f t="shared" si="3"/>
        <v>BRN71M</v>
      </c>
      <c r="F992" s="6" t="s">
        <v>76</v>
      </c>
      <c r="G992" s="6">
        <v>7.0</v>
      </c>
      <c r="H992" s="11" t="str">
        <f t="shared" si="4"/>
        <v>A7</v>
      </c>
      <c r="I992" s="10" t="str">
        <f t="shared" si="5"/>
        <v>BRN71M-A7</v>
      </c>
      <c r="J992" s="16"/>
      <c r="K992" s="16" t="str">
        <f t="shared" si="6"/>
        <v>collected</v>
      </c>
      <c r="L992" s="16" t="str">
        <f t="shared" si="7"/>
        <v>N</v>
      </c>
      <c r="M992" s="16"/>
      <c r="N992" s="16"/>
    </row>
    <row r="993">
      <c r="A993" s="27" t="s">
        <v>1421</v>
      </c>
      <c r="B993" s="10" t="str">
        <f t="shared" si="1"/>
        <v>RNA-muscle</v>
      </c>
      <c r="C993" s="10" t="str">
        <f t="shared" si="2"/>
        <v>BRN71M-H8</v>
      </c>
      <c r="D993" s="6">
        <v>71.0</v>
      </c>
      <c r="E993" s="10" t="str">
        <f t="shared" si="3"/>
        <v>BRN71M</v>
      </c>
      <c r="F993" s="6" t="s">
        <v>51</v>
      </c>
      <c r="G993" s="6">
        <v>8.0</v>
      </c>
      <c r="H993" s="11" t="str">
        <f t="shared" si="4"/>
        <v>H8</v>
      </c>
      <c r="I993" s="10" t="str">
        <f t="shared" si="5"/>
        <v>BRN71M-H8</v>
      </c>
      <c r="J993" s="16"/>
      <c r="K993" s="16" t="str">
        <f t="shared" si="6"/>
        <v>collected</v>
      </c>
      <c r="L993" s="16" t="str">
        <f t="shared" si="7"/>
        <v>N</v>
      </c>
      <c r="M993" s="16"/>
      <c r="N993" s="16"/>
    </row>
    <row r="994">
      <c r="A994" s="27" t="s">
        <v>1422</v>
      </c>
      <c r="B994" s="10" t="str">
        <f t="shared" si="1"/>
        <v>RNA-muscle</v>
      </c>
      <c r="C994" s="10" t="str">
        <f t="shared" si="2"/>
        <v>BRN71M-G8</v>
      </c>
      <c r="D994" s="6">
        <v>71.0</v>
      </c>
      <c r="E994" s="10" t="str">
        <f t="shared" si="3"/>
        <v>BRN71M</v>
      </c>
      <c r="F994" s="6" t="s">
        <v>56</v>
      </c>
      <c r="G994" s="6">
        <v>8.0</v>
      </c>
      <c r="H994" s="11" t="str">
        <f t="shared" si="4"/>
        <v>G8</v>
      </c>
      <c r="I994" s="10" t="str">
        <f t="shared" si="5"/>
        <v>BRN71M-G8</v>
      </c>
      <c r="J994" s="16"/>
      <c r="K994" s="16" t="str">
        <f t="shared" si="6"/>
        <v>collected</v>
      </c>
      <c r="L994" s="16" t="str">
        <f t="shared" si="7"/>
        <v>N</v>
      </c>
      <c r="M994" s="16"/>
      <c r="N994" s="16"/>
    </row>
    <row r="995">
      <c r="A995" s="27" t="s">
        <v>1423</v>
      </c>
      <c r="B995" s="10" t="str">
        <f t="shared" si="1"/>
        <v>RNA-muscle</v>
      </c>
      <c r="C995" s="10" t="str">
        <f t="shared" si="2"/>
        <v>BRN71M-F8</v>
      </c>
      <c r="D995" s="6">
        <v>71.0</v>
      </c>
      <c r="E995" s="10" t="str">
        <f t="shared" si="3"/>
        <v>BRN71M</v>
      </c>
      <c r="F995" s="6" t="s">
        <v>61</v>
      </c>
      <c r="G995" s="6">
        <v>8.0</v>
      </c>
      <c r="H995" s="11" t="str">
        <f t="shared" si="4"/>
        <v>F8</v>
      </c>
      <c r="I995" s="10" t="str">
        <f t="shared" si="5"/>
        <v>BRN71M-F8</v>
      </c>
      <c r="J995" s="16"/>
      <c r="K995" s="16" t="str">
        <f t="shared" si="6"/>
        <v>collected</v>
      </c>
      <c r="L995" s="16" t="str">
        <f t="shared" si="7"/>
        <v>N</v>
      </c>
      <c r="M995" s="16"/>
      <c r="N995" s="16"/>
    </row>
    <row r="996">
      <c r="A996" s="27" t="s">
        <v>1424</v>
      </c>
      <c r="B996" s="10" t="str">
        <f t="shared" si="1"/>
        <v>RNA-muscle</v>
      </c>
      <c r="C996" s="10" t="str">
        <f t="shared" si="2"/>
        <v>BRN71M-E8</v>
      </c>
      <c r="D996" s="6">
        <v>71.0</v>
      </c>
      <c r="E996" s="10" t="str">
        <f t="shared" si="3"/>
        <v>BRN71M</v>
      </c>
      <c r="F996" s="6" t="s">
        <v>66</v>
      </c>
      <c r="G996" s="6">
        <v>8.0</v>
      </c>
      <c r="H996" s="11" t="str">
        <f t="shared" si="4"/>
        <v>E8</v>
      </c>
      <c r="I996" s="10" t="str">
        <f t="shared" si="5"/>
        <v>BRN71M-E8</v>
      </c>
      <c r="J996" s="16"/>
      <c r="K996" s="16" t="str">
        <f t="shared" si="6"/>
        <v>collected</v>
      </c>
      <c r="L996" s="16" t="str">
        <f t="shared" si="7"/>
        <v>N</v>
      </c>
      <c r="M996" s="16"/>
      <c r="N996" s="16"/>
    </row>
    <row r="997">
      <c r="A997" s="27" t="s">
        <v>1425</v>
      </c>
      <c r="B997" s="10" t="str">
        <f t="shared" si="1"/>
        <v>RNA-muscle</v>
      </c>
      <c r="C997" s="10" t="str">
        <f t="shared" si="2"/>
        <v>BRN71M-D8</v>
      </c>
      <c r="D997" s="6">
        <v>71.0</v>
      </c>
      <c r="E997" s="10" t="str">
        <f t="shared" si="3"/>
        <v>BRN71M</v>
      </c>
      <c r="F997" s="6" t="s">
        <v>68</v>
      </c>
      <c r="G997" s="6">
        <v>8.0</v>
      </c>
      <c r="H997" s="11" t="str">
        <f t="shared" si="4"/>
        <v>D8</v>
      </c>
      <c r="I997" s="10" t="str">
        <f t="shared" si="5"/>
        <v>BRN71M-D8</v>
      </c>
      <c r="J997" s="16"/>
      <c r="K997" s="16" t="str">
        <f t="shared" si="6"/>
        <v>collected</v>
      </c>
      <c r="L997" s="16" t="str">
        <f t="shared" si="7"/>
        <v>N</v>
      </c>
      <c r="M997" s="16"/>
      <c r="N997" s="16"/>
    </row>
    <row r="998">
      <c r="A998" s="27" t="s">
        <v>1426</v>
      </c>
      <c r="B998" s="10" t="str">
        <f t="shared" si="1"/>
        <v>RNA-muscle</v>
      </c>
      <c r="C998" s="10" t="str">
        <f t="shared" si="2"/>
        <v>BRN71M-C8</v>
      </c>
      <c r="D998" s="6">
        <v>71.0</v>
      </c>
      <c r="E998" s="10" t="str">
        <f t="shared" si="3"/>
        <v>BRN71M</v>
      </c>
      <c r="F998" s="6" t="s">
        <v>72</v>
      </c>
      <c r="G998" s="6">
        <v>8.0</v>
      </c>
      <c r="H998" s="11" t="str">
        <f t="shared" si="4"/>
        <v>C8</v>
      </c>
      <c r="I998" s="10" t="str">
        <f t="shared" si="5"/>
        <v>BRN71M-C8</v>
      </c>
      <c r="J998" s="16"/>
      <c r="K998" s="16" t="str">
        <f t="shared" si="6"/>
        <v>collected</v>
      </c>
      <c r="L998" s="16" t="str">
        <f t="shared" si="7"/>
        <v>N</v>
      </c>
      <c r="M998" s="16"/>
      <c r="N998" s="16"/>
    </row>
    <row r="999">
      <c r="A999" s="27" t="s">
        <v>1429</v>
      </c>
      <c r="B999" s="10" t="str">
        <f t="shared" si="1"/>
        <v>RNA-muscle</v>
      </c>
      <c r="C999" s="10" t="str">
        <f t="shared" si="2"/>
        <v>BRN71M-B8</v>
      </c>
      <c r="D999" s="6">
        <v>71.0</v>
      </c>
      <c r="E999" s="10" t="str">
        <f t="shared" si="3"/>
        <v>BRN71M</v>
      </c>
      <c r="F999" s="6" t="s">
        <v>74</v>
      </c>
      <c r="G999" s="6">
        <v>8.0</v>
      </c>
      <c r="H999" s="11" t="str">
        <f t="shared" si="4"/>
        <v>B8</v>
      </c>
      <c r="I999" s="10" t="str">
        <f t="shared" si="5"/>
        <v>BRN71M-B8</v>
      </c>
      <c r="J999" s="16"/>
      <c r="K999" s="16" t="str">
        <f t="shared" si="6"/>
        <v>collected</v>
      </c>
      <c r="L999" s="16" t="str">
        <f t="shared" si="7"/>
        <v>N</v>
      </c>
      <c r="M999" s="16"/>
      <c r="N999" s="16"/>
    </row>
    <row r="1000">
      <c r="A1000" s="27" t="s">
        <v>1430</v>
      </c>
      <c r="B1000" s="10" t="str">
        <f t="shared" si="1"/>
        <v>RNA-muscle</v>
      </c>
      <c r="C1000" s="10" t="str">
        <f t="shared" si="2"/>
        <v>BRN71M-A8</v>
      </c>
      <c r="D1000" s="6">
        <v>71.0</v>
      </c>
      <c r="E1000" s="10" t="str">
        <f t="shared" si="3"/>
        <v>BRN71M</v>
      </c>
      <c r="F1000" s="6" t="s">
        <v>76</v>
      </c>
      <c r="G1000" s="6">
        <v>8.0</v>
      </c>
      <c r="H1000" s="11" t="str">
        <f t="shared" si="4"/>
        <v>A8</v>
      </c>
      <c r="I1000" s="10" t="str">
        <f t="shared" si="5"/>
        <v>BRN71M-A8</v>
      </c>
      <c r="J1000" s="16"/>
      <c r="K1000" s="16" t="str">
        <f t="shared" si="6"/>
        <v>collected</v>
      </c>
      <c r="L1000" s="16" t="str">
        <f t="shared" si="7"/>
        <v>N</v>
      </c>
      <c r="M1000" s="16"/>
      <c r="N1000" s="16"/>
    </row>
    <row r="1001">
      <c r="A1001" s="27" t="s">
        <v>1431</v>
      </c>
      <c r="B1001" s="10" t="str">
        <f t="shared" si="1"/>
        <v>RNA-muscle</v>
      </c>
      <c r="C1001" s="10" t="str">
        <f t="shared" si="2"/>
        <v>BRN71M-H9</v>
      </c>
      <c r="D1001" s="6">
        <v>71.0</v>
      </c>
      <c r="E1001" s="10" t="str">
        <f t="shared" si="3"/>
        <v>BRN71M</v>
      </c>
      <c r="F1001" s="6" t="s">
        <v>51</v>
      </c>
      <c r="G1001" s="6">
        <v>9.0</v>
      </c>
      <c r="H1001" s="11" t="str">
        <f t="shared" si="4"/>
        <v>H9</v>
      </c>
      <c r="I1001" s="10" t="str">
        <f t="shared" si="5"/>
        <v>BRN71M-H9</v>
      </c>
      <c r="J1001" s="16"/>
      <c r="K1001" s="16" t="str">
        <f t="shared" si="6"/>
        <v>collected</v>
      </c>
      <c r="L1001" s="16" t="str">
        <f t="shared" si="7"/>
        <v>N</v>
      </c>
      <c r="M1001" s="16"/>
      <c r="N1001" s="16"/>
    </row>
    <row r="1002">
      <c r="A1002" s="27" t="s">
        <v>1432</v>
      </c>
      <c r="B1002" s="10" t="str">
        <f t="shared" si="1"/>
        <v>RNA-muscle</v>
      </c>
      <c r="C1002" s="10" t="str">
        <f t="shared" si="2"/>
        <v>BRN71M-G9</v>
      </c>
      <c r="D1002" s="6">
        <v>71.0</v>
      </c>
      <c r="E1002" s="10" t="str">
        <f t="shared" si="3"/>
        <v>BRN71M</v>
      </c>
      <c r="F1002" s="6" t="s">
        <v>56</v>
      </c>
      <c r="G1002" s="6">
        <v>9.0</v>
      </c>
      <c r="H1002" s="11" t="str">
        <f t="shared" si="4"/>
        <v>G9</v>
      </c>
      <c r="I1002" s="10" t="str">
        <f t="shared" si="5"/>
        <v>BRN71M-G9</v>
      </c>
      <c r="J1002" s="16"/>
      <c r="K1002" s="16" t="str">
        <f t="shared" si="6"/>
        <v>collected</v>
      </c>
      <c r="L1002" s="16" t="str">
        <f t="shared" si="7"/>
        <v>N</v>
      </c>
      <c r="M1002" s="16"/>
      <c r="N1002" s="16"/>
    </row>
    <row r="1003">
      <c r="A1003" s="27" t="s">
        <v>1433</v>
      </c>
      <c r="B1003" s="10" t="str">
        <f t="shared" si="1"/>
        <v>RNA-muscle</v>
      </c>
      <c r="C1003" s="10" t="str">
        <f t="shared" si="2"/>
        <v>BRN71M-F9</v>
      </c>
      <c r="D1003" s="6">
        <v>71.0</v>
      </c>
      <c r="E1003" s="10" t="str">
        <f t="shared" si="3"/>
        <v>BRN71M</v>
      </c>
      <c r="F1003" s="6" t="s">
        <v>61</v>
      </c>
      <c r="G1003" s="6">
        <v>9.0</v>
      </c>
      <c r="H1003" s="11" t="str">
        <f t="shared" si="4"/>
        <v>F9</v>
      </c>
      <c r="I1003" s="10" t="str">
        <f t="shared" si="5"/>
        <v>BRN71M-F9</v>
      </c>
      <c r="J1003" s="16"/>
      <c r="K1003" s="16" t="str">
        <f t="shared" si="6"/>
        <v>collected</v>
      </c>
      <c r="L1003" s="16" t="str">
        <f t="shared" si="7"/>
        <v>N</v>
      </c>
      <c r="M1003" s="16"/>
      <c r="N1003" s="16"/>
    </row>
    <row r="1004">
      <c r="A1004" s="27" t="s">
        <v>1435</v>
      </c>
      <c r="B1004" s="10" t="str">
        <f t="shared" si="1"/>
        <v>RNA-muscle</v>
      </c>
      <c r="C1004" s="10" t="str">
        <f t="shared" si="2"/>
        <v>BRN71M-E9</v>
      </c>
      <c r="D1004" s="6">
        <v>71.0</v>
      </c>
      <c r="E1004" s="10" t="str">
        <f t="shared" si="3"/>
        <v>BRN71M</v>
      </c>
      <c r="F1004" s="6" t="s">
        <v>66</v>
      </c>
      <c r="G1004" s="6">
        <v>9.0</v>
      </c>
      <c r="H1004" s="11" t="str">
        <f t="shared" si="4"/>
        <v>E9</v>
      </c>
      <c r="I1004" s="10" t="str">
        <f t="shared" si="5"/>
        <v>BRN71M-E9</v>
      </c>
      <c r="J1004" s="16"/>
      <c r="K1004" s="16" t="str">
        <f t="shared" si="6"/>
        <v>collected</v>
      </c>
      <c r="L1004" s="16" t="str">
        <f t="shared" si="7"/>
        <v>N</v>
      </c>
      <c r="M1004" s="16"/>
      <c r="N1004" s="16"/>
    </row>
    <row r="1005">
      <c r="A1005" s="27" t="s">
        <v>1436</v>
      </c>
      <c r="B1005" s="10" t="str">
        <f t="shared" si="1"/>
        <v>RNA-muscle</v>
      </c>
      <c r="C1005" s="10" t="str">
        <f t="shared" si="2"/>
        <v>BRN71M-D9</v>
      </c>
      <c r="D1005" s="6">
        <v>71.0</v>
      </c>
      <c r="E1005" s="10" t="str">
        <f t="shared" si="3"/>
        <v>BRN71M</v>
      </c>
      <c r="F1005" s="6" t="s">
        <v>68</v>
      </c>
      <c r="G1005" s="6">
        <v>9.0</v>
      </c>
      <c r="H1005" s="11" t="str">
        <f t="shared" si="4"/>
        <v>D9</v>
      </c>
      <c r="I1005" s="10" t="str">
        <f t="shared" si="5"/>
        <v>BRN71M-D9</v>
      </c>
      <c r="J1005" s="16"/>
      <c r="K1005" s="16" t="str">
        <f t="shared" si="6"/>
        <v>collected</v>
      </c>
      <c r="L1005" s="16" t="str">
        <f t="shared" si="7"/>
        <v>N</v>
      </c>
      <c r="M1005" s="16"/>
      <c r="N1005" s="16"/>
    </row>
    <row r="1006">
      <c r="A1006" s="27" t="s">
        <v>1438</v>
      </c>
      <c r="B1006" s="10" t="str">
        <f t="shared" si="1"/>
        <v>RNA-muscle</v>
      </c>
      <c r="C1006" s="10" t="str">
        <f t="shared" si="2"/>
        <v>BRN71M-C9</v>
      </c>
      <c r="D1006" s="6">
        <v>71.0</v>
      </c>
      <c r="E1006" s="10" t="str">
        <f t="shared" si="3"/>
        <v>BRN71M</v>
      </c>
      <c r="F1006" s="6" t="s">
        <v>72</v>
      </c>
      <c r="G1006" s="6">
        <v>9.0</v>
      </c>
      <c r="H1006" s="11" t="str">
        <f t="shared" si="4"/>
        <v>C9</v>
      </c>
      <c r="I1006" s="10" t="str">
        <f t="shared" si="5"/>
        <v>BRN71M-C9</v>
      </c>
      <c r="J1006" s="16"/>
      <c r="K1006" s="16" t="str">
        <f t="shared" si="6"/>
        <v>collected</v>
      </c>
      <c r="L1006" s="16" t="str">
        <f t="shared" si="7"/>
        <v>N</v>
      </c>
      <c r="M1006" s="16"/>
      <c r="N1006" s="16"/>
    </row>
    <row r="1007">
      <c r="A1007" s="27" t="s">
        <v>1439</v>
      </c>
      <c r="B1007" s="10" t="str">
        <f t="shared" si="1"/>
        <v>RNA-muscle</v>
      </c>
      <c r="C1007" s="10" t="str">
        <f t="shared" si="2"/>
        <v>BRN71M-B9</v>
      </c>
      <c r="D1007" s="6">
        <v>71.0</v>
      </c>
      <c r="E1007" s="10" t="str">
        <f t="shared" si="3"/>
        <v>BRN71M</v>
      </c>
      <c r="F1007" s="6" t="s">
        <v>74</v>
      </c>
      <c r="G1007" s="6">
        <v>9.0</v>
      </c>
      <c r="H1007" s="11" t="str">
        <f t="shared" si="4"/>
        <v>B9</v>
      </c>
      <c r="I1007" s="10" t="str">
        <f t="shared" si="5"/>
        <v>BRN71M-B9</v>
      </c>
      <c r="J1007" s="16"/>
      <c r="K1007" s="16" t="str">
        <f t="shared" si="6"/>
        <v>collected</v>
      </c>
      <c r="L1007" s="16" t="str">
        <f t="shared" si="7"/>
        <v>N</v>
      </c>
      <c r="M1007" s="16"/>
      <c r="N1007" s="16"/>
    </row>
    <row r="1008">
      <c r="A1008" s="27" t="s">
        <v>1440</v>
      </c>
      <c r="B1008" s="10" t="str">
        <f t="shared" si="1"/>
        <v>RNA-muscle</v>
      </c>
      <c r="C1008" s="10" t="str">
        <f t="shared" si="2"/>
        <v>BRN71M-A9</v>
      </c>
      <c r="D1008" s="6">
        <v>71.0</v>
      </c>
      <c r="E1008" s="10" t="str">
        <f t="shared" si="3"/>
        <v>BRN71M</v>
      </c>
      <c r="F1008" s="6" t="s">
        <v>76</v>
      </c>
      <c r="G1008" s="6">
        <v>9.0</v>
      </c>
      <c r="H1008" s="11" t="str">
        <f t="shared" si="4"/>
        <v>A9</v>
      </c>
      <c r="I1008" s="10" t="str">
        <f t="shared" si="5"/>
        <v>BRN71M-A9</v>
      </c>
      <c r="J1008" s="16"/>
      <c r="K1008" s="16" t="str">
        <f t="shared" si="6"/>
        <v>collected</v>
      </c>
      <c r="L1008" s="16" t="str">
        <f t="shared" si="7"/>
        <v>N</v>
      </c>
      <c r="M1008" s="16"/>
      <c r="N1008" s="16"/>
    </row>
    <row r="1009">
      <c r="A1009" s="27" t="s">
        <v>1441</v>
      </c>
      <c r="B1009" s="10" t="str">
        <f t="shared" si="1"/>
        <v>RNA-muscle</v>
      </c>
      <c r="C1009" s="10" t="str">
        <f t="shared" si="2"/>
        <v>BRN71M-H10</v>
      </c>
      <c r="D1009" s="6">
        <v>71.0</v>
      </c>
      <c r="E1009" s="10" t="str">
        <f t="shared" si="3"/>
        <v>BRN71M</v>
      </c>
      <c r="F1009" s="6" t="s">
        <v>51</v>
      </c>
      <c r="G1009" s="6">
        <v>10.0</v>
      </c>
      <c r="H1009" s="11" t="str">
        <f t="shared" si="4"/>
        <v>H10</v>
      </c>
      <c r="I1009" s="10" t="str">
        <f t="shared" si="5"/>
        <v>BRN71M-H10</v>
      </c>
      <c r="J1009" s="16"/>
      <c r="K1009" s="16" t="str">
        <f t="shared" si="6"/>
        <v>collected</v>
      </c>
      <c r="L1009" s="16" t="str">
        <f t="shared" si="7"/>
        <v>N</v>
      </c>
      <c r="M1009" s="16"/>
      <c r="N1009" s="16"/>
    </row>
    <row r="1010">
      <c r="A1010" s="27" t="s">
        <v>1443</v>
      </c>
      <c r="B1010" s="10" t="str">
        <f t="shared" si="1"/>
        <v>RNA-muscle</v>
      </c>
      <c r="C1010" s="10" t="str">
        <f t="shared" si="2"/>
        <v>BRN71M-G10</v>
      </c>
      <c r="D1010" s="6">
        <v>71.0</v>
      </c>
      <c r="E1010" s="10" t="str">
        <f t="shared" si="3"/>
        <v>BRN71M</v>
      </c>
      <c r="F1010" s="6" t="s">
        <v>56</v>
      </c>
      <c r="G1010" s="6">
        <v>10.0</v>
      </c>
      <c r="H1010" s="11" t="str">
        <f t="shared" si="4"/>
        <v>G10</v>
      </c>
      <c r="I1010" s="10" t="str">
        <f t="shared" si="5"/>
        <v>BRN71M-G10</v>
      </c>
      <c r="J1010" s="16"/>
      <c r="K1010" s="16" t="str">
        <f t="shared" si="6"/>
        <v>collected</v>
      </c>
      <c r="L1010" s="16" t="str">
        <f t="shared" si="7"/>
        <v>N</v>
      </c>
      <c r="M1010" s="16"/>
      <c r="N1010" s="16"/>
    </row>
    <row r="1011">
      <c r="A1011" s="27" t="s">
        <v>1444</v>
      </c>
      <c r="B1011" s="10" t="str">
        <f t="shared" si="1"/>
        <v>RNA-muscle</v>
      </c>
      <c r="C1011" s="10" t="str">
        <f t="shared" si="2"/>
        <v>BRN71M-F10</v>
      </c>
      <c r="D1011" s="6">
        <v>71.0</v>
      </c>
      <c r="E1011" s="10" t="str">
        <f t="shared" si="3"/>
        <v>BRN71M</v>
      </c>
      <c r="F1011" s="6" t="s">
        <v>61</v>
      </c>
      <c r="G1011" s="6">
        <v>10.0</v>
      </c>
      <c r="H1011" s="11" t="str">
        <f t="shared" si="4"/>
        <v>F10</v>
      </c>
      <c r="I1011" s="10" t="str">
        <f t="shared" si="5"/>
        <v>BRN71M-F10</v>
      </c>
      <c r="J1011" s="16"/>
      <c r="K1011" s="16" t="str">
        <f t="shared" si="6"/>
        <v>collected</v>
      </c>
      <c r="L1011" s="16" t="str">
        <f t="shared" si="7"/>
        <v>N</v>
      </c>
      <c r="M1011" s="16"/>
      <c r="N1011" s="16"/>
    </row>
    <row r="1012">
      <c r="A1012" s="27" t="s">
        <v>1446</v>
      </c>
      <c r="B1012" s="10" t="str">
        <f t="shared" si="1"/>
        <v>RNA-muscle</v>
      </c>
      <c r="C1012" s="10" t="str">
        <f t="shared" si="2"/>
        <v>BRN71M-E10</v>
      </c>
      <c r="D1012" s="6">
        <v>71.0</v>
      </c>
      <c r="E1012" s="10" t="str">
        <f t="shared" si="3"/>
        <v>BRN71M</v>
      </c>
      <c r="F1012" s="6" t="s">
        <v>66</v>
      </c>
      <c r="G1012" s="6">
        <v>10.0</v>
      </c>
      <c r="H1012" s="11" t="str">
        <f t="shared" si="4"/>
        <v>E10</v>
      </c>
      <c r="I1012" s="10" t="str">
        <f t="shared" si="5"/>
        <v>BRN71M-E10</v>
      </c>
      <c r="J1012" s="16"/>
      <c r="K1012" s="16" t="str">
        <f t="shared" si="6"/>
        <v>collected</v>
      </c>
      <c r="L1012" s="16" t="str">
        <f t="shared" si="7"/>
        <v>N</v>
      </c>
      <c r="M1012" s="16"/>
      <c r="N1012" s="16"/>
    </row>
    <row r="1013">
      <c r="A1013" s="27" t="s">
        <v>1447</v>
      </c>
      <c r="B1013" s="10" t="str">
        <f t="shared" si="1"/>
        <v>RNA-muscle</v>
      </c>
      <c r="C1013" s="10" t="str">
        <f t="shared" si="2"/>
        <v>BRN71M-D10</v>
      </c>
      <c r="D1013" s="6">
        <v>71.0</v>
      </c>
      <c r="E1013" s="10" t="str">
        <f t="shared" si="3"/>
        <v>BRN71M</v>
      </c>
      <c r="F1013" s="6" t="s">
        <v>68</v>
      </c>
      <c r="G1013" s="6">
        <v>10.0</v>
      </c>
      <c r="H1013" s="11" t="str">
        <f t="shared" si="4"/>
        <v>D10</v>
      </c>
      <c r="I1013" s="10" t="str">
        <f t="shared" si="5"/>
        <v>BRN71M-D10</v>
      </c>
      <c r="J1013" s="16"/>
      <c r="K1013" s="16" t="str">
        <f t="shared" si="6"/>
        <v>collected</v>
      </c>
      <c r="L1013" s="16" t="str">
        <f t="shared" si="7"/>
        <v>N</v>
      </c>
      <c r="M1013" s="16"/>
      <c r="N1013" s="16"/>
    </row>
    <row r="1014">
      <c r="A1014" s="27" t="s">
        <v>1448</v>
      </c>
      <c r="B1014" s="10" t="str">
        <f t="shared" si="1"/>
        <v>RNA-muscle</v>
      </c>
      <c r="C1014" s="10" t="str">
        <f t="shared" si="2"/>
        <v>BRN71M-C10</v>
      </c>
      <c r="D1014" s="6">
        <v>71.0</v>
      </c>
      <c r="E1014" s="10" t="str">
        <f t="shared" si="3"/>
        <v>BRN71M</v>
      </c>
      <c r="F1014" s="6" t="s">
        <v>72</v>
      </c>
      <c r="G1014" s="6">
        <v>10.0</v>
      </c>
      <c r="H1014" s="11" t="str">
        <f t="shared" si="4"/>
        <v>C10</v>
      </c>
      <c r="I1014" s="10" t="str">
        <f t="shared" si="5"/>
        <v>BRN71M-C10</v>
      </c>
      <c r="J1014" s="16"/>
      <c r="K1014" s="16" t="str">
        <f t="shared" si="6"/>
        <v>collected</v>
      </c>
      <c r="L1014" s="16" t="str">
        <f t="shared" si="7"/>
        <v>N</v>
      </c>
      <c r="M1014" s="16"/>
      <c r="N1014" s="16"/>
    </row>
    <row r="1015">
      <c r="A1015" s="27" t="s">
        <v>1449</v>
      </c>
      <c r="B1015" s="10" t="str">
        <f t="shared" si="1"/>
        <v>RNA-muscle</v>
      </c>
      <c r="C1015" s="10" t="str">
        <f t="shared" si="2"/>
        <v>BRN71M-B10</v>
      </c>
      <c r="D1015" s="6">
        <v>71.0</v>
      </c>
      <c r="E1015" s="10" t="str">
        <f t="shared" si="3"/>
        <v>BRN71M</v>
      </c>
      <c r="F1015" s="6" t="s">
        <v>74</v>
      </c>
      <c r="G1015" s="6">
        <v>10.0</v>
      </c>
      <c r="H1015" s="11" t="str">
        <f t="shared" si="4"/>
        <v>B10</v>
      </c>
      <c r="I1015" s="10" t="str">
        <f t="shared" si="5"/>
        <v>BRN71M-B10</v>
      </c>
      <c r="J1015" s="16"/>
      <c r="K1015" s="16" t="str">
        <f t="shared" si="6"/>
        <v>collected</v>
      </c>
      <c r="L1015" s="16" t="str">
        <f t="shared" si="7"/>
        <v>N</v>
      </c>
      <c r="M1015" s="16"/>
      <c r="N1015" s="16"/>
    </row>
    <row r="1016">
      <c r="A1016" s="27" t="s">
        <v>1451</v>
      </c>
      <c r="B1016" s="10" t="str">
        <f t="shared" si="1"/>
        <v>RNA-muscle</v>
      </c>
      <c r="C1016" s="10" t="str">
        <f t="shared" si="2"/>
        <v>BRN71M-A10</v>
      </c>
      <c r="D1016" s="6">
        <v>71.0</v>
      </c>
      <c r="E1016" s="10" t="str">
        <f t="shared" si="3"/>
        <v>BRN71M</v>
      </c>
      <c r="F1016" s="6" t="s">
        <v>76</v>
      </c>
      <c r="G1016" s="6">
        <v>10.0</v>
      </c>
      <c r="H1016" s="11" t="str">
        <f t="shared" si="4"/>
        <v>A10</v>
      </c>
      <c r="I1016" s="10" t="str">
        <f t="shared" si="5"/>
        <v>BRN71M-A10</v>
      </c>
      <c r="J1016" s="16"/>
      <c r="K1016" s="16" t="str">
        <f t="shared" si="6"/>
        <v>collected</v>
      </c>
      <c r="L1016" s="16" t="str">
        <f t="shared" si="7"/>
        <v>N</v>
      </c>
      <c r="M1016" s="16"/>
      <c r="N1016" s="16"/>
    </row>
    <row r="1017">
      <c r="A1017" s="27" t="s">
        <v>1452</v>
      </c>
      <c r="B1017" s="10" t="str">
        <f t="shared" si="1"/>
        <v>RNA-muscle</v>
      </c>
      <c r="C1017" s="10" t="str">
        <f t="shared" si="2"/>
        <v>BRN71M-H11</v>
      </c>
      <c r="D1017" s="6">
        <v>71.0</v>
      </c>
      <c r="E1017" s="10" t="str">
        <f t="shared" si="3"/>
        <v>BRN71M</v>
      </c>
      <c r="F1017" s="6" t="s">
        <v>51</v>
      </c>
      <c r="G1017" s="6">
        <v>11.0</v>
      </c>
      <c r="H1017" s="11" t="str">
        <f t="shared" si="4"/>
        <v>H11</v>
      </c>
      <c r="I1017" s="10" t="str">
        <f t="shared" si="5"/>
        <v>BRN71M-H11</v>
      </c>
      <c r="J1017" s="16"/>
      <c r="K1017" s="16" t="str">
        <f t="shared" si="6"/>
        <v>collected</v>
      </c>
      <c r="L1017" s="16" t="str">
        <f t="shared" si="7"/>
        <v>N</v>
      </c>
      <c r="M1017" s="16"/>
      <c r="N1017" s="16"/>
    </row>
    <row r="1018">
      <c r="A1018" s="27" t="s">
        <v>1453</v>
      </c>
      <c r="B1018" s="10" t="str">
        <f t="shared" si="1"/>
        <v>RNA-muscle</v>
      </c>
      <c r="C1018" s="10" t="str">
        <f t="shared" si="2"/>
        <v>BRN71M-G11</v>
      </c>
      <c r="D1018" s="6">
        <v>71.0</v>
      </c>
      <c r="E1018" s="10" t="str">
        <f t="shared" si="3"/>
        <v>BRN71M</v>
      </c>
      <c r="F1018" s="6" t="s">
        <v>56</v>
      </c>
      <c r="G1018" s="6">
        <v>11.0</v>
      </c>
      <c r="H1018" s="11" t="str">
        <f t="shared" si="4"/>
        <v>G11</v>
      </c>
      <c r="I1018" s="10" t="str">
        <f t="shared" si="5"/>
        <v>BRN71M-G11</v>
      </c>
      <c r="J1018" s="16"/>
      <c r="K1018" s="16" t="str">
        <f t="shared" si="6"/>
        <v>collected</v>
      </c>
      <c r="L1018" s="16" t="str">
        <f t="shared" si="7"/>
        <v>N</v>
      </c>
      <c r="M1018" s="16"/>
      <c r="N1018" s="16"/>
    </row>
    <row r="1019">
      <c r="A1019" s="27" t="s">
        <v>1455</v>
      </c>
      <c r="B1019" s="10" t="str">
        <f t="shared" si="1"/>
        <v>RNA-muscle</v>
      </c>
      <c r="C1019" s="10" t="str">
        <f t="shared" si="2"/>
        <v>BRN71M-F11</v>
      </c>
      <c r="D1019" s="6">
        <v>71.0</v>
      </c>
      <c r="E1019" s="10" t="str">
        <f t="shared" si="3"/>
        <v>BRN71M</v>
      </c>
      <c r="F1019" s="6" t="s">
        <v>61</v>
      </c>
      <c r="G1019" s="6">
        <v>11.0</v>
      </c>
      <c r="H1019" s="11" t="str">
        <f t="shared" si="4"/>
        <v>F11</v>
      </c>
      <c r="I1019" s="10" t="str">
        <f t="shared" si="5"/>
        <v>BRN71M-F11</v>
      </c>
      <c r="J1019" s="16"/>
      <c r="K1019" s="16" t="str">
        <f t="shared" si="6"/>
        <v>collected</v>
      </c>
      <c r="L1019" s="16" t="str">
        <f t="shared" si="7"/>
        <v>N</v>
      </c>
      <c r="M1019" s="16"/>
      <c r="N1019" s="16"/>
    </row>
    <row r="1020">
      <c r="A1020" s="27" t="s">
        <v>1458</v>
      </c>
      <c r="B1020" s="10" t="str">
        <f t="shared" si="1"/>
        <v>RNA-muscle</v>
      </c>
      <c r="C1020" s="10" t="str">
        <f t="shared" si="2"/>
        <v>BRN71M-E11</v>
      </c>
      <c r="D1020" s="6">
        <v>71.0</v>
      </c>
      <c r="E1020" s="10" t="str">
        <f t="shared" si="3"/>
        <v>BRN71M</v>
      </c>
      <c r="F1020" s="6" t="s">
        <v>66</v>
      </c>
      <c r="G1020" s="6">
        <v>11.0</v>
      </c>
      <c r="H1020" s="11" t="str">
        <f t="shared" si="4"/>
        <v>E11</v>
      </c>
      <c r="I1020" s="10" t="str">
        <f t="shared" si="5"/>
        <v>BRN71M-E11</v>
      </c>
      <c r="J1020" s="16"/>
      <c r="K1020" s="16" t="str">
        <f t="shared" si="6"/>
        <v>collected</v>
      </c>
      <c r="L1020" s="16" t="str">
        <f t="shared" si="7"/>
        <v>N</v>
      </c>
      <c r="M1020" s="16"/>
      <c r="N1020" s="16"/>
    </row>
    <row r="1021">
      <c r="A1021" s="27" t="s">
        <v>1459</v>
      </c>
      <c r="B1021" s="10" t="str">
        <f t="shared" si="1"/>
        <v>RNA-muscle</v>
      </c>
      <c r="C1021" s="10" t="str">
        <f t="shared" si="2"/>
        <v>BRN71M-D11</v>
      </c>
      <c r="D1021" s="6">
        <v>71.0</v>
      </c>
      <c r="E1021" s="10" t="str">
        <f t="shared" si="3"/>
        <v>BRN71M</v>
      </c>
      <c r="F1021" s="6" t="s">
        <v>68</v>
      </c>
      <c r="G1021" s="6">
        <v>11.0</v>
      </c>
      <c r="H1021" s="11" t="str">
        <f t="shared" si="4"/>
        <v>D11</v>
      </c>
      <c r="I1021" s="10" t="str">
        <f t="shared" si="5"/>
        <v>BRN71M-D11</v>
      </c>
      <c r="J1021" s="16"/>
      <c r="K1021" s="16" t="str">
        <f t="shared" si="6"/>
        <v>collected</v>
      </c>
      <c r="L1021" s="16" t="str">
        <f t="shared" si="7"/>
        <v>N</v>
      </c>
      <c r="M1021" s="16"/>
      <c r="N1021" s="16"/>
    </row>
    <row r="1022">
      <c r="A1022" s="27" t="s">
        <v>1461</v>
      </c>
      <c r="B1022" s="10" t="str">
        <f t="shared" si="1"/>
        <v>RNA-muscle</v>
      </c>
      <c r="C1022" s="10" t="str">
        <f t="shared" si="2"/>
        <v>BRN71M-C11</v>
      </c>
      <c r="D1022" s="6">
        <v>71.0</v>
      </c>
      <c r="E1022" s="10" t="str">
        <f t="shared" si="3"/>
        <v>BRN71M</v>
      </c>
      <c r="F1022" s="6" t="s">
        <v>72</v>
      </c>
      <c r="G1022" s="6">
        <v>11.0</v>
      </c>
      <c r="H1022" s="11" t="str">
        <f t="shared" si="4"/>
        <v>C11</v>
      </c>
      <c r="I1022" s="10" t="str">
        <f t="shared" si="5"/>
        <v>BRN71M-C11</v>
      </c>
      <c r="J1022" s="16"/>
      <c r="K1022" s="16" t="str">
        <f t="shared" si="6"/>
        <v>collected</v>
      </c>
      <c r="L1022" s="16" t="str">
        <f t="shared" si="7"/>
        <v>N</v>
      </c>
      <c r="M1022" s="16"/>
      <c r="N1022" s="16"/>
    </row>
    <row r="1023">
      <c r="A1023" s="27" t="s">
        <v>1462</v>
      </c>
      <c r="B1023" s="10" t="str">
        <f t="shared" si="1"/>
        <v>RNA-muscle</v>
      </c>
      <c r="C1023" s="10" t="str">
        <f t="shared" si="2"/>
        <v>BRN71M-B11</v>
      </c>
      <c r="D1023" s="6">
        <v>71.0</v>
      </c>
      <c r="E1023" s="10" t="str">
        <f t="shared" si="3"/>
        <v>BRN71M</v>
      </c>
      <c r="F1023" s="6" t="s">
        <v>74</v>
      </c>
      <c r="G1023" s="6">
        <v>11.0</v>
      </c>
      <c r="H1023" s="11" t="str">
        <f t="shared" si="4"/>
        <v>B11</v>
      </c>
      <c r="I1023" s="10" t="str">
        <f t="shared" si="5"/>
        <v>BRN71M-B11</v>
      </c>
      <c r="J1023" s="16"/>
      <c r="K1023" s="16" t="str">
        <f t="shared" si="6"/>
        <v>collected</v>
      </c>
      <c r="L1023" s="16" t="str">
        <f t="shared" si="7"/>
        <v>N</v>
      </c>
      <c r="M1023" s="16"/>
      <c r="N1023" s="16"/>
    </row>
    <row r="1024">
      <c r="A1024" s="27" t="s">
        <v>1464</v>
      </c>
      <c r="B1024" s="10" t="str">
        <f t="shared" si="1"/>
        <v>RNA-muscle</v>
      </c>
      <c r="C1024" s="10" t="str">
        <f t="shared" si="2"/>
        <v>BRN71M-A11</v>
      </c>
      <c r="D1024" s="6">
        <v>71.0</v>
      </c>
      <c r="E1024" s="10" t="str">
        <f t="shared" si="3"/>
        <v>BRN71M</v>
      </c>
      <c r="F1024" s="6" t="s">
        <v>76</v>
      </c>
      <c r="G1024" s="6">
        <v>11.0</v>
      </c>
      <c r="H1024" s="11" t="str">
        <f t="shared" si="4"/>
        <v>A11</v>
      </c>
      <c r="I1024" s="10" t="str">
        <f t="shared" si="5"/>
        <v>BRN71M-A11</v>
      </c>
      <c r="J1024" s="16"/>
      <c r="K1024" s="16" t="str">
        <f t="shared" si="6"/>
        <v>collected</v>
      </c>
      <c r="L1024" s="16" t="str">
        <f t="shared" si="7"/>
        <v>N</v>
      </c>
      <c r="M1024" s="16"/>
      <c r="N1024" s="16"/>
    </row>
    <row r="1025">
      <c r="A1025" s="27" t="s">
        <v>1465</v>
      </c>
      <c r="B1025" s="10" t="str">
        <f t="shared" si="1"/>
        <v>RNA-muscle</v>
      </c>
      <c r="C1025" s="10" t="str">
        <f t="shared" si="2"/>
        <v>BRN71M-G12</v>
      </c>
      <c r="D1025" s="6">
        <v>71.0</v>
      </c>
      <c r="E1025" s="10" t="str">
        <f t="shared" si="3"/>
        <v>BRN71M</v>
      </c>
      <c r="F1025" s="6" t="s">
        <v>56</v>
      </c>
      <c r="G1025" s="6">
        <v>12.0</v>
      </c>
      <c r="H1025" s="11" t="str">
        <f t="shared" si="4"/>
        <v>G12</v>
      </c>
      <c r="I1025" s="10" t="str">
        <f t="shared" si="5"/>
        <v>BRN71M-G12</v>
      </c>
      <c r="J1025" s="16"/>
      <c r="K1025" s="16" t="str">
        <f t="shared" si="6"/>
        <v>collected</v>
      </c>
      <c r="L1025" s="16" t="str">
        <f t="shared" si="7"/>
        <v>N</v>
      </c>
      <c r="M1025" s="16"/>
      <c r="N1025" s="16"/>
    </row>
    <row r="1026">
      <c r="A1026" s="27" t="s">
        <v>1468</v>
      </c>
      <c r="B1026" s="10" t="str">
        <f t="shared" si="1"/>
        <v>RNA-muscle</v>
      </c>
      <c r="C1026" s="10" t="str">
        <f t="shared" si="2"/>
        <v>BRN71M-F12</v>
      </c>
      <c r="D1026" s="6">
        <v>71.0</v>
      </c>
      <c r="E1026" s="10" t="str">
        <f t="shared" si="3"/>
        <v>BRN71M</v>
      </c>
      <c r="F1026" s="6" t="s">
        <v>61</v>
      </c>
      <c r="G1026" s="6">
        <v>12.0</v>
      </c>
      <c r="H1026" s="11" t="str">
        <f t="shared" si="4"/>
        <v>F12</v>
      </c>
      <c r="I1026" s="10" t="str">
        <f t="shared" si="5"/>
        <v>BRN71M-F12</v>
      </c>
      <c r="J1026" s="16"/>
      <c r="K1026" s="16" t="str">
        <f t="shared" si="6"/>
        <v>collected</v>
      </c>
      <c r="L1026" s="16" t="str">
        <f t="shared" si="7"/>
        <v>N</v>
      </c>
      <c r="M1026" s="16"/>
      <c r="N1026" s="16"/>
    </row>
    <row r="1027">
      <c r="A1027" s="27" t="s">
        <v>1469</v>
      </c>
      <c r="B1027" s="10" t="str">
        <f t="shared" si="1"/>
        <v>RNA-muscle</v>
      </c>
      <c r="C1027" s="10" t="str">
        <f t="shared" si="2"/>
        <v>BRN71M-E12</v>
      </c>
      <c r="D1027" s="6">
        <v>71.0</v>
      </c>
      <c r="E1027" s="10" t="str">
        <f t="shared" si="3"/>
        <v>BRN71M</v>
      </c>
      <c r="F1027" s="6" t="s">
        <v>66</v>
      </c>
      <c r="G1027" s="6">
        <v>12.0</v>
      </c>
      <c r="H1027" s="11" t="str">
        <f t="shared" si="4"/>
        <v>E12</v>
      </c>
      <c r="I1027" s="10" t="str">
        <f t="shared" si="5"/>
        <v>BRN71M-E12</v>
      </c>
      <c r="J1027" s="16"/>
      <c r="K1027" s="16" t="str">
        <f t="shared" si="6"/>
        <v>collected</v>
      </c>
      <c r="L1027" s="16" t="str">
        <f t="shared" si="7"/>
        <v>N</v>
      </c>
      <c r="M1027" s="16"/>
      <c r="N1027" s="16"/>
    </row>
    <row r="1028">
      <c r="A1028" s="27" t="s">
        <v>1471</v>
      </c>
      <c r="B1028" s="10" t="str">
        <f t="shared" si="1"/>
        <v>RNA-muscle</v>
      </c>
      <c r="C1028" s="10" t="str">
        <f t="shared" si="2"/>
        <v>BRN71M-D12</v>
      </c>
      <c r="D1028" s="6">
        <v>71.0</v>
      </c>
      <c r="E1028" s="10" t="str">
        <f t="shared" si="3"/>
        <v>BRN71M</v>
      </c>
      <c r="F1028" s="6" t="s">
        <v>68</v>
      </c>
      <c r="G1028" s="6">
        <v>12.0</v>
      </c>
      <c r="H1028" s="11" t="str">
        <f t="shared" si="4"/>
        <v>D12</v>
      </c>
      <c r="I1028" s="10" t="str">
        <f t="shared" si="5"/>
        <v>BRN71M-D12</v>
      </c>
      <c r="J1028" s="16"/>
      <c r="K1028" s="16" t="str">
        <f t="shared" si="6"/>
        <v>collected</v>
      </c>
      <c r="L1028" s="16" t="str">
        <f t="shared" si="7"/>
        <v>N</v>
      </c>
      <c r="M1028" s="16"/>
      <c r="N1028" s="16"/>
    </row>
    <row r="1029">
      <c r="A1029" s="27" t="s">
        <v>1472</v>
      </c>
      <c r="B1029" s="10" t="str">
        <f t="shared" si="1"/>
        <v>RNA-muscle</v>
      </c>
      <c r="C1029" s="10" t="str">
        <f t="shared" si="2"/>
        <v>BRN71M-C12</v>
      </c>
      <c r="D1029" s="6">
        <v>71.0</v>
      </c>
      <c r="E1029" s="10" t="str">
        <f t="shared" si="3"/>
        <v>BRN71M</v>
      </c>
      <c r="F1029" s="6" t="s">
        <v>72</v>
      </c>
      <c r="G1029" s="6">
        <v>12.0</v>
      </c>
      <c r="H1029" s="11" t="str">
        <f t="shared" si="4"/>
        <v>C12</v>
      </c>
      <c r="I1029" s="10" t="str">
        <f t="shared" si="5"/>
        <v>BRN71M-C12</v>
      </c>
      <c r="J1029" s="16"/>
      <c r="K1029" s="16" t="str">
        <f t="shared" si="6"/>
        <v>collected</v>
      </c>
      <c r="L1029" s="16" t="str">
        <f t="shared" si="7"/>
        <v>N</v>
      </c>
      <c r="M1029" s="16"/>
      <c r="N1029" s="16"/>
    </row>
    <row r="1030">
      <c r="A1030" s="27" t="s">
        <v>1473</v>
      </c>
      <c r="B1030" s="10" t="str">
        <f t="shared" si="1"/>
        <v>RNA-muscle</v>
      </c>
      <c r="C1030" s="10" t="str">
        <f t="shared" si="2"/>
        <v>BRN71M-B12</v>
      </c>
      <c r="D1030" s="6">
        <v>71.0</v>
      </c>
      <c r="E1030" s="10" t="str">
        <f t="shared" si="3"/>
        <v>BRN71M</v>
      </c>
      <c r="F1030" s="6" t="s">
        <v>74</v>
      </c>
      <c r="G1030" s="6">
        <v>12.0</v>
      </c>
      <c r="H1030" s="11" t="str">
        <f t="shared" si="4"/>
        <v>B12</v>
      </c>
      <c r="I1030" s="10" t="str">
        <f t="shared" si="5"/>
        <v>BRN71M-B12</v>
      </c>
      <c r="J1030" s="16"/>
      <c r="K1030" s="16" t="str">
        <f t="shared" si="6"/>
        <v>collected</v>
      </c>
      <c r="L1030" s="16" t="str">
        <f t="shared" si="7"/>
        <v>N</v>
      </c>
      <c r="M1030" s="16"/>
      <c r="N1030" s="16"/>
    </row>
    <row r="1031">
      <c r="A1031" s="27" t="s">
        <v>1475</v>
      </c>
      <c r="B1031" s="10" t="str">
        <f t="shared" si="1"/>
        <v>RNA-muscle</v>
      </c>
      <c r="C1031" s="10" t="str">
        <f t="shared" si="2"/>
        <v>BRN71M-A12</v>
      </c>
      <c r="D1031" s="6">
        <v>71.0</v>
      </c>
      <c r="E1031" s="10" t="str">
        <f t="shared" si="3"/>
        <v>BRN71M</v>
      </c>
      <c r="F1031" s="6" t="s">
        <v>76</v>
      </c>
      <c r="G1031" s="6">
        <v>12.0</v>
      </c>
      <c r="H1031" s="11" t="str">
        <f t="shared" si="4"/>
        <v>A12</v>
      </c>
      <c r="I1031" s="10" t="str">
        <f t="shared" si="5"/>
        <v>BRN71M-A12</v>
      </c>
      <c r="J1031" s="16"/>
      <c r="K1031" s="16" t="str">
        <f t="shared" si="6"/>
        <v>collected</v>
      </c>
      <c r="L1031" s="16" t="str">
        <f t="shared" si="7"/>
        <v>N</v>
      </c>
      <c r="M1031" s="16"/>
      <c r="N1031" s="16"/>
    </row>
    <row r="1032">
      <c r="A1032" s="27" t="s">
        <v>1476</v>
      </c>
      <c r="B1032" s="10" t="str">
        <f t="shared" si="1"/>
        <v>RNA-muscle</v>
      </c>
      <c r="C1032" s="10" t="str">
        <f t="shared" si="2"/>
        <v>BRN73M-H1</v>
      </c>
      <c r="D1032" s="6">
        <v>73.0</v>
      </c>
      <c r="E1032" s="10" t="str">
        <f t="shared" si="3"/>
        <v>BRN73M</v>
      </c>
      <c r="F1032" s="6" t="s">
        <v>51</v>
      </c>
      <c r="G1032" s="6">
        <v>1.0</v>
      </c>
      <c r="H1032" s="11" t="str">
        <f t="shared" si="4"/>
        <v>H1</v>
      </c>
      <c r="I1032" s="10" t="str">
        <f t="shared" si="5"/>
        <v>BRN73M-H1</v>
      </c>
      <c r="J1032" s="16"/>
      <c r="K1032" s="16" t="str">
        <f t="shared" si="6"/>
        <v>collected</v>
      </c>
      <c r="L1032" s="16" t="str">
        <f t="shared" si="7"/>
        <v>N</v>
      </c>
      <c r="M1032" s="16"/>
      <c r="N1032" s="16"/>
    </row>
    <row r="1033">
      <c r="A1033" s="27" t="s">
        <v>1477</v>
      </c>
      <c r="B1033" s="10" t="str">
        <f t="shared" si="1"/>
        <v>RNA-muscle</v>
      </c>
      <c r="C1033" s="10" t="str">
        <f t="shared" si="2"/>
        <v>BRN73M-G1</v>
      </c>
      <c r="D1033" s="6">
        <v>73.0</v>
      </c>
      <c r="E1033" s="10" t="str">
        <f t="shared" si="3"/>
        <v>BRN73M</v>
      </c>
      <c r="F1033" s="6" t="s">
        <v>56</v>
      </c>
      <c r="G1033" s="6">
        <v>1.0</v>
      </c>
      <c r="H1033" s="11" t="str">
        <f t="shared" si="4"/>
        <v>G1</v>
      </c>
      <c r="I1033" s="10" t="str">
        <f t="shared" si="5"/>
        <v>BRN73M-G1</v>
      </c>
      <c r="J1033" s="16"/>
      <c r="K1033" s="16" t="str">
        <f t="shared" si="6"/>
        <v>collected</v>
      </c>
      <c r="L1033" s="16" t="str">
        <f t="shared" si="7"/>
        <v>N</v>
      </c>
      <c r="M1033" s="16"/>
      <c r="N1033" s="16"/>
    </row>
    <row r="1034">
      <c r="A1034" s="27" t="s">
        <v>1478</v>
      </c>
      <c r="B1034" s="10" t="str">
        <f t="shared" si="1"/>
        <v>RNA-muscle</v>
      </c>
      <c r="C1034" s="10" t="str">
        <f t="shared" si="2"/>
        <v>BRN73M-F1</v>
      </c>
      <c r="D1034" s="6">
        <v>73.0</v>
      </c>
      <c r="E1034" s="10" t="str">
        <f t="shared" si="3"/>
        <v>BRN73M</v>
      </c>
      <c r="F1034" s="6" t="s">
        <v>61</v>
      </c>
      <c r="G1034" s="6">
        <v>1.0</v>
      </c>
      <c r="H1034" s="11" t="str">
        <f t="shared" si="4"/>
        <v>F1</v>
      </c>
      <c r="I1034" s="10" t="str">
        <f t="shared" si="5"/>
        <v>BRN73M-F1</v>
      </c>
      <c r="J1034" s="16"/>
      <c r="K1034" s="16" t="str">
        <f t="shared" si="6"/>
        <v>collected</v>
      </c>
      <c r="L1034" s="16" t="str">
        <f t="shared" si="7"/>
        <v>N</v>
      </c>
      <c r="M1034" s="16"/>
      <c r="N1034" s="16"/>
    </row>
    <row r="1035">
      <c r="A1035" s="27" t="s">
        <v>1479</v>
      </c>
      <c r="B1035" s="10" t="str">
        <f t="shared" si="1"/>
        <v>RNA-muscle</v>
      </c>
      <c r="C1035" s="10" t="str">
        <f t="shared" si="2"/>
        <v>BRN73M-E1</v>
      </c>
      <c r="D1035" s="6">
        <v>73.0</v>
      </c>
      <c r="E1035" s="10" t="str">
        <f t="shared" si="3"/>
        <v>BRN73M</v>
      </c>
      <c r="F1035" s="6" t="s">
        <v>66</v>
      </c>
      <c r="G1035" s="6">
        <v>1.0</v>
      </c>
      <c r="H1035" s="11" t="str">
        <f t="shared" si="4"/>
        <v>E1</v>
      </c>
      <c r="I1035" s="10" t="str">
        <f t="shared" si="5"/>
        <v>BRN73M-E1</v>
      </c>
      <c r="J1035" s="16"/>
      <c r="K1035" s="16" t="str">
        <f t="shared" si="6"/>
        <v>collected</v>
      </c>
      <c r="L1035" s="16" t="str">
        <f t="shared" si="7"/>
        <v>N</v>
      </c>
      <c r="M1035" s="16"/>
      <c r="N1035" s="16"/>
    </row>
    <row r="1036">
      <c r="A1036" s="27" t="s">
        <v>1481</v>
      </c>
      <c r="B1036" s="10" t="str">
        <f t="shared" si="1"/>
        <v>RNA-muscle</v>
      </c>
      <c r="C1036" s="10" t="str">
        <f t="shared" si="2"/>
        <v>BRN73M-D1</v>
      </c>
      <c r="D1036" s="6">
        <v>73.0</v>
      </c>
      <c r="E1036" s="10" t="str">
        <f t="shared" si="3"/>
        <v>BRN73M</v>
      </c>
      <c r="F1036" s="6" t="s">
        <v>68</v>
      </c>
      <c r="G1036" s="6">
        <v>1.0</v>
      </c>
      <c r="H1036" s="11" t="str">
        <f t="shared" si="4"/>
        <v>D1</v>
      </c>
      <c r="I1036" s="10" t="str">
        <f t="shared" si="5"/>
        <v>BRN73M-D1</v>
      </c>
      <c r="J1036" s="16"/>
      <c r="K1036" s="16" t="str">
        <f t="shared" si="6"/>
        <v>collected</v>
      </c>
      <c r="L1036" s="16" t="str">
        <f t="shared" si="7"/>
        <v>N</v>
      </c>
      <c r="M1036" s="16"/>
      <c r="N1036" s="16"/>
    </row>
    <row r="1037">
      <c r="A1037" s="27" t="s">
        <v>1482</v>
      </c>
      <c r="B1037" s="10" t="str">
        <f t="shared" si="1"/>
        <v>RNA-muscle</v>
      </c>
      <c r="C1037" s="10" t="str">
        <f t="shared" si="2"/>
        <v>BRN73M-C1</v>
      </c>
      <c r="D1037" s="6">
        <v>73.0</v>
      </c>
      <c r="E1037" s="10" t="str">
        <f t="shared" si="3"/>
        <v>BRN73M</v>
      </c>
      <c r="F1037" s="6" t="s">
        <v>72</v>
      </c>
      <c r="G1037" s="6">
        <v>1.0</v>
      </c>
      <c r="H1037" s="11" t="str">
        <f t="shared" si="4"/>
        <v>C1</v>
      </c>
      <c r="I1037" s="10" t="str">
        <f t="shared" si="5"/>
        <v>BRN73M-C1</v>
      </c>
      <c r="J1037" s="16"/>
      <c r="K1037" s="16" t="str">
        <f t="shared" si="6"/>
        <v>collected</v>
      </c>
      <c r="L1037" s="16" t="str">
        <f t="shared" si="7"/>
        <v>N</v>
      </c>
      <c r="M1037" s="16"/>
      <c r="N1037" s="16"/>
    </row>
    <row r="1038">
      <c r="A1038" s="27" t="s">
        <v>1483</v>
      </c>
      <c r="B1038" s="10" t="str">
        <f t="shared" si="1"/>
        <v>RNA-muscle</v>
      </c>
      <c r="C1038" s="10" t="str">
        <f t="shared" si="2"/>
        <v>BRN73M-B1</v>
      </c>
      <c r="D1038" s="6">
        <v>73.0</v>
      </c>
      <c r="E1038" s="10" t="str">
        <f t="shared" si="3"/>
        <v>BRN73M</v>
      </c>
      <c r="F1038" s="6" t="s">
        <v>74</v>
      </c>
      <c r="G1038" s="6">
        <v>1.0</v>
      </c>
      <c r="H1038" s="11" t="str">
        <f t="shared" si="4"/>
        <v>B1</v>
      </c>
      <c r="I1038" s="10" t="str">
        <f t="shared" si="5"/>
        <v>BRN73M-B1</v>
      </c>
      <c r="J1038" s="16"/>
      <c r="K1038" s="16" t="str">
        <f t="shared" si="6"/>
        <v>collected</v>
      </c>
      <c r="L1038" s="16" t="str">
        <f t="shared" si="7"/>
        <v>N</v>
      </c>
      <c r="M1038" s="16"/>
      <c r="N1038" s="16"/>
    </row>
    <row r="1039">
      <c r="A1039" s="27" t="s">
        <v>1485</v>
      </c>
      <c r="B1039" s="10" t="str">
        <f t="shared" si="1"/>
        <v>RNA-muscle</v>
      </c>
      <c r="C1039" s="10" t="str">
        <f t="shared" si="2"/>
        <v>BRN73M-A1</v>
      </c>
      <c r="D1039" s="6">
        <v>73.0</v>
      </c>
      <c r="E1039" s="10" t="str">
        <f t="shared" si="3"/>
        <v>BRN73M</v>
      </c>
      <c r="F1039" s="6" t="s">
        <v>76</v>
      </c>
      <c r="G1039" s="6">
        <v>1.0</v>
      </c>
      <c r="H1039" s="11" t="str">
        <f t="shared" si="4"/>
        <v>A1</v>
      </c>
      <c r="I1039" s="10" t="str">
        <f t="shared" si="5"/>
        <v>BRN73M-A1</v>
      </c>
      <c r="J1039" s="16"/>
      <c r="K1039" s="16" t="str">
        <f t="shared" si="6"/>
        <v>collected</v>
      </c>
      <c r="L1039" s="16" t="str">
        <f t="shared" si="7"/>
        <v>N</v>
      </c>
      <c r="M1039" s="16"/>
      <c r="N1039" s="16"/>
    </row>
    <row r="1040">
      <c r="A1040" s="27" t="s">
        <v>1486</v>
      </c>
      <c r="B1040" s="10" t="str">
        <f t="shared" si="1"/>
        <v>RNA-muscle</v>
      </c>
      <c r="C1040" s="10" t="str">
        <f t="shared" si="2"/>
        <v>BRN73M-H2</v>
      </c>
      <c r="D1040" s="6">
        <v>73.0</v>
      </c>
      <c r="E1040" s="10" t="str">
        <f t="shared" si="3"/>
        <v>BRN73M</v>
      </c>
      <c r="F1040" s="6" t="s">
        <v>51</v>
      </c>
      <c r="G1040" s="6">
        <v>2.0</v>
      </c>
      <c r="H1040" s="11" t="str">
        <f t="shared" si="4"/>
        <v>H2</v>
      </c>
      <c r="I1040" s="10" t="str">
        <f t="shared" si="5"/>
        <v>BRN73M-H2</v>
      </c>
      <c r="J1040" s="16"/>
      <c r="K1040" s="16" t="str">
        <f t="shared" si="6"/>
        <v>collected</v>
      </c>
      <c r="L1040" s="16" t="str">
        <f t="shared" si="7"/>
        <v>N</v>
      </c>
      <c r="M1040" s="16"/>
      <c r="N1040" s="16"/>
    </row>
    <row r="1041">
      <c r="A1041" s="27" t="s">
        <v>1487</v>
      </c>
      <c r="B1041" s="10" t="str">
        <f t="shared" si="1"/>
        <v>RNA-muscle</v>
      </c>
      <c r="C1041" s="10" t="str">
        <f t="shared" si="2"/>
        <v>BRN73M-G2</v>
      </c>
      <c r="D1041" s="6">
        <v>73.0</v>
      </c>
      <c r="E1041" s="10" t="str">
        <f t="shared" si="3"/>
        <v>BRN73M</v>
      </c>
      <c r="F1041" s="6" t="s">
        <v>56</v>
      </c>
      <c r="G1041" s="6">
        <v>2.0</v>
      </c>
      <c r="H1041" s="11" t="str">
        <f t="shared" si="4"/>
        <v>G2</v>
      </c>
      <c r="I1041" s="10" t="str">
        <f t="shared" si="5"/>
        <v>BRN73M-G2</v>
      </c>
      <c r="J1041" s="6" t="s">
        <v>1488</v>
      </c>
      <c r="K1041" s="16" t="str">
        <f t="shared" si="6"/>
        <v>collected</v>
      </c>
      <c r="L1041" s="16" t="str">
        <f t="shared" si="7"/>
        <v>N</v>
      </c>
      <c r="M1041" s="16"/>
      <c r="N1041" s="16"/>
    </row>
    <row r="1042">
      <c r="A1042" s="27" t="s">
        <v>1489</v>
      </c>
      <c r="B1042" s="10" t="str">
        <f t="shared" si="1"/>
        <v>RNA-muscle</v>
      </c>
      <c r="C1042" s="10" t="str">
        <f t="shared" si="2"/>
        <v>BRN73M-F2</v>
      </c>
      <c r="D1042" s="6">
        <v>73.0</v>
      </c>
      <c r="E1042" s="10" t="str">
        <f t="shared" si="3"/>
        <v>BRN73M</v>
      </c>
      <c r="F1042" s="6" t="s">
        <v>61</v>
      </c>
      <c r="G1042" s="6">
        <v>2.0</v>
      </c>
      <c r="H1042" s="11" t="str">
        <f t="shared" si="4"/>
        <v>F2</v>
      </c>
      <c r="I1042" s="10" t="str">
        <f t="shared" si="5"/>
        <v>BRN73M-F2</v>
      </c>
      <c r="J1042" s="16"/>
      <c r="K1042" s="16" t="str">
        <f t="shared" si="6"/>
        <v>collected</v>
      </c>
      <c r="L1042" s="16" t="str">
        <f t="shared" si="7"/>
        <v>N</v>
      </c>
      <c r="M1042" s="16"/>
      <c r="N1042" s="16"/>
    </row>
    <row r="1043">
      <c r="A1043" s="27" t="s">
        <v>1491</v>
      </c>
      <c r="B1043" s="10" t="str">
        <f t="shared" si="1"/>
        <v>RNA-muscle</v>
      </c>
      <c r="C1043" s="10" t="str">
        <f t="shared" si="2"/>
        <v>BRN73M-E2</v>
      </c>
      <c r="D1043" s="6">
        <v>73.0</v>
      </c>
      <c r="E1043" s="10" t="str">
        <f t="shared" si="3"/>
        <v>BRN73M</v>
      </c>
      <c r="F1043" s="6" t="s">
        <v>66</v>
      </c>
      <c r="G1043" s="6">
        <v>2.0</v>
      </c>
      <c r="H1043" s="11" t="str">
        <f t="shared" si="4"/>
        <v>E2</v>
      </c>
      <c r="I1043" s="10" t="str">
        <f t="shared" si="5"/>
        <v>BRN73M-E2</v>
      </c>
      <c r="J1043" s="16"/>
      <c r="K1043" s="16" t="str">
        <f t="shared" si="6"/>
        <v>collected</v>
      </c>
      <c r="L1043" s="16" t="str">
        <f t="shared" si="7"/>
        <v>N</v>
      </c>
      <c r="M1043" s="16"/>
      <c r="N1043" s="16"/>
    </row>
    <row r="1044">
      <c r="A1044" s="27" t="s">
        <v>1492</v>
      </c>
      <c r="B1044" s="10" t="str">
        <f t="shared" si="1"/>
        <v>RNA-muscle</v>
      </c>
      <c r="C1044" s="10" t="str">
        <f t="shared" si="2"/>
        <v>BRN73M-D2</v>
      </c>
      <c r="D1044" s="6">
        <v>73.0</v>
      </c>
      <c r="E1044" s="10" t="str">
        <f t="shared" si="3"/>
        <v>BRN73M</v>
      </c>
      <c r="F1044" s="6" t="s">
        <v>68</v>
      </c>
      <c r="G1044" s="6">
        <v>2.0</v>
      </c>
      <c r="H1044" s="11" t="str">
        <f t="shared" si="4"/>
        <v>D2</v>
      </c>
      <c r="I1044" s="10" t="str">
        <f t="shared" si="5"/>
        <v>BRN73M-D2</v>
      </c>
      <c r="J1044" s="16"/>
      <c r="K1044" s="16" t="str">
        <f t="shared" si="6"/>
        <v>collected</v>
      </c>
      <c r="L1044" s="16" t="str">
        <f t="shared" si="7"/>
        <v>N</v>
      </c>
      <c r="M1044" s="16"/>
      <c r="N1044" s="16"/>
    </row>
    <row r="1045">
      <c r="A1045" s="27" t="s">
        <v>1493</v>
      </c>
      <c r="B1045" s="10" t="str">
        <f t="shared" si="1"/>
        <v>RNA-muscle</v>
      </c>
      <c r="C1045" s="10" t="str">
        <f t="shared" si="2"/>
        <v>BRN73M-C2</v>
      </c>
      <c r="D1045" s="6">
        <v>73.0</v>
      </c>
      <c r="E1045" s="10" t="str">
        <f t="shared" si="3"/>
        <v>BRN73M</v>
      </c>
      <c r="F1045" s="6" t="s">
        <v>72</v>
      </c>
      <c r="G1045" s="6">
        <v>2.0</v>
      </c>
      <c r="H1045" s="11" t="str">
        <f t="shared" si="4"/>
        <v>C2</v>
      </c>
      <c r="I1045" s="10" t="str">
        <f t="shared" si="5"/>
        <v>BRN73M-C2</v>
      </c>
      <c r="J1045" s="16"/>
      <c r="K1045" s="16" t="str">
        <f t="shared" si="6"/>
        <v>collected</v>
      </c>
      <c r="L1045" s="16" t="str">
        <f t="shared" si="7"/>
        <v>N</v>
      </c>
      <c r="M1045" s="16"/>
      <c r="N1045" s="16"/>
    </row>
    <row r="1046">
      <c r="A1046" s="27" t="s">
        <v>1494</v>
      </c>
      <c r="B1046" s="10" t="str">
        <f t="shared" si="1"/>
        <v>RNA-muscle</v>
      </c>
      <c r="C1046" s="10" t="str">
        <f t="shared" si="2"/>
        <v>BRN73M-B2</v>
      </c>
      <c r="D1046" s="6">
        <v>73.0</v>
      </c>
      <c r="E1046" s="10" t="str">
        <f t="shared" si="3"/>
        <v>BRN73M</v>
      </c>
      <c r="F1046" s="6" t="s">
        <v>74</v>
      </c>
      <c r="G1046" s="6">
        <v>2.0</v>
      </c>
      <c r="H1046" s="11" t="str">
        <f t="shared" si="4"/>
        <v>B2</v>
      </c>
      <c r="I1046" s="10" t="str">
        <f t="shared" si="5"/>
        <v>BRN73M-B2</v>
      </c>
      <c r="J1046" s="16"/>
      <c r="K1046" s="16" t="str">
        <f t="shared" si="6"/>
        <v>collected</v>
      </c>
      <c r="L1046" s="16" t="str">
        <f t="shared" si="7"/>
        <v>N</v>
      </c>
      <c r="M1046" s="16"/>
      <c r="N1046" s="16"/>
    </row>
    <row r="1047">
      <c r="A1047" s="27" t="s">
        <v>1497</v>
      </c>
      <c r="B1047" s="10" t="str">
        <f t="shared" si="1"/>
        <v>RNA-muscle</v>
      </c>
      <c r="C1047" s="10" t="str">
        <f t="shared" si="2"/>
        <v>BRN73M-A2</v>
      </c>
      <c r="D1047" s="6">
        <v>73.0</v>
      </c>
      <c r="E1047" s="10" t="str">
        <f t="shared" si="3"/>
        <v>BRN73M</v>
      </c>
      <c r="F1047" s="6" t="s">
        <v>76</v>
      </c>
      <c r="G1047" s="6">
        <v>2.0</v>
      </c>
      <c r="H1047" s="11" t="str">
        <f t="shared" si="4"/>
        <v>A2</v>
      </c>
      <c r="I1047" s="10" t="str">
        <f t="shared" si="5"/>
        <v>BRN73M-A2</v>
      </c>
      <c r="J1047" s="16"/>
      <c r="K1047" s="16" t="str">
        <f t="shared" si="6"/>
        <v>collected</v>
      </c>
      <c r="L1047" s="16" t="str">
        <f t="shared" si="7"/>
        <v>N</v>
      </c>
      <c r="M1047" s="16"/>
      <c r="N1047" s="16"/>
    </row>
    <row r="1048">
      <c r="A1048" s="27" t="s">
        <v>1498</v>
      </c>
      <c r="B1048" s="10" t="str">
        <f t="shared" si="1"/>
        <v>RNA-muscle</v>
      </c>
      <c r="C1048" s="10" t="str">
        <f t="shared" si="2"/>
        <v>BRN73M-H3</v>
      </c>
      <c r="D1048" s="6">
        <v>73.0</v>
      </c>
      <c r="E1048" s="10" t="str">
        <f t="shared" si="3"/>
        <v>BRN73M</v>
      </c>
      <c r="F1048" s="6" t="s">
        <v>51</v>
      </c>
      <c r="G1048" s="6">
        <v>3.0</v>
      </c>
      <c r="H1048" s="11" t="str">
        <f t="shared" si="4"/>
        <v>H3</v>
      </c>
      <c r="I1048" s="10" t="str">
        <f t="shared" si="5"/>
        <v>BRN73M-H3</v>
      </c>
      <c r="J1048" s="16"/>
      <c r="K1048" s="16" t="str">
        <f t="shared" si="6"/>
        <v>collected</v>
      </c>
      <c r="L1048" s="16" t="str">
        <f t="shared" si="7"/>
        <v>N</v>
      </c>
      <c r="M1048" s="16"/>
      <c r="N1048" s="16"/>
    </row>
    <row r="1049">
      <c r="A1049" s="27" t="s">
        <v>1499</v>
      </c>
      <c r="B1049" s="10" t="str">
        <f t="shared" si="1"/>
        <v>RNA-muscle</v>
      </c>
      <c r="C1049" s="10" t="str">
        <f t="shared" si="2"/>
        <v>BRN73M-G3</v>
      </c>
      <c r="D1049" s="6">
        <v>73.0</v>
      </c>
      <c r="E1049" s="10" t="str">
        <f t="shared" si="3"/>
        <v>BRN73M</v>
      </c>
      <c r="F1049" s="6" t="s">
        <v>56</v>
      </c>
      <c r="G1049" s="6">
        <v>3.0</v>
      </c>
      <c r="H1049" s="11" t="str">
        <f t="shared" si="4"/>
        <v>G3</v>
      </c>
      <c r="I1049" s="10" t="str">
        <f t="shared" si="5"/>
        <v>BRN73M-G3</v>
      </c>
      <c r="J1049" s="16"/>
      <c r="K1049" s="16" t="str">
        <f t="shared" si="6"/>
        <v>collected</v>
      </c>
      <c r="L1049" s="16" t="str">
        <f t="shared" si="7"/>
        <v>N</v>
      </c>
      <c r="M1049" s="16"/>
      <c r="N1049" s="16"/>
    </row>
    <row r="1050">
      <c r="A1050" s="27" t="s">
        <v>1501</v>
      </c>
      <c r="B1050" s="10" t="str">
        <f t="shared" si="1"/>
        <v>RNA-muscle</v>
      </c>
      <c r="C1050" s="10" t="str">
        <f t="shared" si="2"/>
        <v>BRN65M-C7</v>
      </c>
      <c r="D1050" s="6">
        <v>65.0</v>
      </c>
      <c r="E1050" s="10" t="str">
        <f t="shared" si="3"/>
        <v>BRN65M</v>
      </c>
      <c r="F1050" s="6" t="s">
        <v>72</v>
      </c>
      <c r="G1050" s="6">
        <v>7.0</v>
      </c>
      <c r="H1050" s="11" t="str">
        <f t="shared" si="4"/>
        <v>C7</v>
      </c>
      <c r="I1050" s="10" t="str">
        <f t="shared" si="5"/>
        <v>BRN65M-C7</v>
      </c>
      <c r="J1050" s="16"/>
      <c r="K1050" s="16" t="str">
        <f t="shared" si="6"/>
        <v>collected</v>
      </c>
      <c r="L1050" s="16" t="str">
        <f t="shared" si="7"/>
        <v>N</v>
      </c>
      <c r="M1050" s="16"/>
      <c r="N1050" s="16"/>
    </row>
    <row r="1051">
      <c r="A1051" s="27" t="s">
        <v>1503</v>
      </c>
      <c r="B1051" s="10" t="str">
        <f t="shared" si="1"/>
        <v>RNA-muscle</v>
      </c>
      <c r="C1051" s="10" t="str">
        <f t="shared" si="2"/>
        <v>BRN65M-B7</v>
      </c>
      <c r="D1051" s="6">
        <v>65.0</v>
      </c>
      <c r="E1051" s="10" t="str">
        <f t="shared" si="3"/>
        <v>BRN65M</v>
      </c>
      <c r="F1051" s="6" t="s">
        <v>74</v>
      </c>
      <c r="G1051" s="6">
        <v>7.0</v>
      </c>
      <c r="H1051" s="11" t="str">
        <f t="shared" si="4"/>
        <v>B7</v>
      </c>
      <c r="I1051" s="10" t="str">
        <f t="shared" si="5"/>
        <v>BRN65M-B7</v>
      </c>
      <c r="J1051" s="16"/>
      <c r="K1051" s="16" t="str">
        <f t="shared" si="6"/>
        <v>collected</v>
      </c>
      <c r="L1051" s="16" t="str">
        <f t="shared" si="7"/>
        <v>N</v>
      </c>
      <c r="M1051" s="16"/>
      <c r="N1051" s="16"/>
    </row>
    <row r="1052">
      <c r="A1052" s="27" t="s">
        <v>1504</v>
      </c>
      <c r="B1052" s="10" t="str">
        <f t="shared" si="1"/>
        <v>RNA-muscle</v>
      </c>
      <c r="C1052" s="10" t="str">
        <f t="shared" si="2"/>
        <v>BRN73M-H4</v>
      </c>
      <c r="D1052" s="6">
        <v>73.0</v>
      </c>
      <c r="E1052" s="10" t="str">
        <f t="shared" si="3"/>
        <v>BRN73M</v>
      </c>
      <c r="F1052" s="6" t="s">
        <v>51</v>
      </c>
      <c r="G1052" s="6">
        <v>4.0</v>
      </c>
      <c r="H1052" s="11" t="str">
        <f t="shared" si="4"/>
        <v>H4</v>
      </c>
      <c r="I1052" s="10" t="str">
        <f t="shared" si="5"/>
        <v>BRN73M-H4</v>
      </c>
      <c r="J1052" s="16"/>
      <c r="K1052" s="16" t="str">
        <f t="shared" si="6"/>
        <v>collected</v>
      </c>
      <c r="L1052" s="16" t="str">
        <f t="shared" si="7"/>
        <v>N</v>
      </c>
      <c r="M1052" s="16"/>
      <c r="N1052" s="16"/>
    </row>
    <row r="1053">
      <c r="A1053" s="27" t="s">
        <v>1505</v>
      </c>
      <c r="B1053" s="10" t="str">
        <f t="shared" si="1"/>
        <v>RNA-muscle</v>
      </c>
      <c r="C1053" s="10" t="str">
        <f t="shared" si="2"/>
        <v>BRN73M-G4</v>
      </c>
      <c r="D1053" s="6">
        <v>73.0</v>
      </c>
      <c r="E1053" s="10" t="str">
        <f t="shared" si="3"/>
        <v>BRN73M</v>
      </c>
      <c r="F1053" s="6" t="s">
        <v>56</v>
      </c>
      <c r="G1053" s="6">
        <v>4.0</v>
      </c>
      <c r="H1053" s="11" t="str">
        <f t="shared" si="4"/>
        <v>G4</v>
      </c>
      <c r="I1053" s="10" t="str">
        <f t="shared" si="5"/>
        <v>BRN73M-G4</v>
      </c>
      <c r="J1053" s="16"/>
      <c r="K1053" s="16" t="str">
        <f t="shared" si="6"/>
        <v>collected</v>
      </c>
      <c r="L1053" s="16" t="str">
        <f t="shared" si="7"/>
        <v>N</v>
      </c>
      <c r="M1053" s="16"/>
      <c r="N1053" s="16"/>
    </row>
    <row r="1054">
      <c r="A1054" s="27" t="s">
        <v>1508</v>
      </c>
      <c r="B1054" s="10" t="str">
        <f t="shared" si="1"/>
        <v>RNA-muscle</v>
      </c>
      <c r="C1054" s="10" t="str">
        <f t="shared" si="2"/>
        <v>BRN73M-F4</v>
      </c>
      <c r="D1054" s="6">
        <v>73.0</v>
      </c>
      <c r="E1054" s="10" t="str">
        <f t="shared" si="3"/>
        <v>BRN73M</v>
      </c>
      <c r="F1054" s="6" t="s">
        <v>61</v>
      </c>
      <c r="G1054" s="6">
        <v>4.0</v>
      </c>
      <c r="H1054" s="11" t="str">
        <f t="shared" si="4"/>
        <v>F4</v>
      </c>
      <c r="I1054" s="10" t="str">
        <f t="shared" si="5"/>
        <v>BRN73M-F4</v>
      </c>
      <c r="J1054" s="16"/>
      <c r="K1054" s="16" t="str">
        <f t="shared" si="6"/>
        <v>collected</v>
      </c>
      <c r="L1054" s="16" t="str">
        <f t="shared" si="7"/>
        <v>N</v>
      </c>
      <c r="M1054" s="16"/>
      <c r="N1054" s="16"/>
    </row>
    <row r="1055">
      <c r="A1055" s="27" t="s">
        <v>1509</v>
      </c>
      <c r="B1055" s="10" t="str">
        <f t="shared" si="1"/>
        <v>RNA-muscle</v>
      </c>
      <c r="C1055" s="10" t="str">
        <f t="shared" si="2"/>
        <v>BRN73M-E4</v>
      </c>
      <c r="D1055" s="6">
        <v>73.0</v>
      </c>
      <c r="E1055" s="10" t="str">
        <f t="shared" si="3"/>
        <v>BRN73M</v>
      </c>
      <c r="F1055" s="6" t="s">
        <v>66</v>
      </c>
      <c r="G1055" s="6">
        <v>4.0</v>
      </c>
      <c r="H1055" s="11" t="str">
        <f t="shared" si="4"/>
        <v>E4</v>
      </c>
      <c r="I1055" s="10" t="str">
        <f t="shared" si="5"/>
        <v>BRN73M-E4</v>
      </c>
      <c r="J1055" s="16"/>
      <c r="K1055" s="16" t="str">
        <f t="shared" si="6"/>
        <v>collected</v>
      </c>
      <c r="L1055" s="16" t="str">
        <f t="shared" si="7"/>
        <v>N</v>
      </c>
      <c r="M1055" s="16"/>
      <c r="N1055" s="16"/>
    </row>
    <row r="1056">
      <c r="A1056" s="27" t="s">
        <v>1510</v>
      </c>
      <c r="B1056" s="10" t="str">
        <f t="shared" si="1"/>
        <v>RNA-muscle</v>
      </c>
      <c r="C1056" s="10" t="str">
        <f t="shared" si="2"/>
        <v>BRN73M-D4</v>
      </c>
      <c r="D1056" s="6">
        <v>73.0</v>
      </c>
      <c r="E1056" s="10" t="str">
        <f t="shared" si="3"/>
        <v>BRN73M</v>
      </c>
      <c r="F1056" s="6" t="s">
        <v>68</v>
      </c>
      <c r="G1056" s="6">
        <v>4.0</v>
      </c>
      <c r="H1056" s="11" t="str">
        <f t="shared" si="4"/>
        <v>D4</v>
      </c>
      <c r="I1056" s="10" t="str">
        <f t="shared" si="5"/>
        <v>BRN73M-D4</v>
      </c>
      <c r="J1056" s="16"/>
      <c r="K1056" s="16" t="str">
        <f t="shared" si="6"/>
        <v>collected</v>
      </c>
      <c r="L1056" s="16" t="str">
        <f t="shared" si="7"/>
        <v>N</v>
      </c>
      <c r="M1056" s="16"/>
      <c r="N1056" s="16"/>
    </row>
    <row r="1057">
      <c r="A1057" s="27" t="s">
        <v>1513</v>
      </c>
      <c r="B1057" s="10" t="str">
        <f t="shared" si="1"/>
        <v>RNA-muscle</v>
      </c>
      <c r="C1057" s="10" t="str">
        <f t="shared" si="2"/>
        <v>BRN73M-C4</v>
      </c>
      <c r="D1057" s="6">
        <v>73.0</v>
      </c>
      <c r="E1057" s="10" t="str">
        <f t="shared" si="3"/>
        <v>BRN73M</v>
      </c>
      <c r="F1057" s="6" t="s">
        <v>72</v>
      </c>
      <c r="G1057" s="6">
        <v>4.0</v>
      </c>
      <c r="H1057" s="11" t="str">
        <f t="shared" si="4"/>
        <v>C4</v>
      </c>
      <c r="I1057" s="10" t="str">
        <f t="shared" si="5"/>
        <v>BRN73M-C4</v>
      </c>
      <c r="J1057" s="16"/>
      <c r="K1057" s="16" t="str">
        <f t="shared" si="6"/>
        <v>collected</v>
      </c>
      <c r="L1057" s="16" t="str">
        <f t="shared" si="7"/>
        <v>N</v>
      </c>
      <c r="M1057" s="16"/>
      <c r="N1057" s="16"/>
    </row>
    <row r="1058">
      <c r="A1058" s="27" t="s">
        <v>1514</v>
      </c>
      <c r="B1058" s="10" t="str">
        <f t="shared" si="1"/>
        <v>RNA-muscle</v>
      </c>
      <c r="C1058" s="10" t="str">
        <f t="shared" si="2"/>
        <v>BRN73M-B4</v>
      </c>
      <c r="D1058" s="6">
        <v>73.0</v>
      </c>
      <c r="E1058" s="10" t="str">
        <f t="shared" si="3"/>
        <v>BRN73M</v>
      </c>
      <c r="F1058" s="6" t="s">
        <v>74</v>
      </c>
      <c r="G1058" s="6">
        <v>4.0</v>
      </c>
      <c r="H1058" s="11" t="str">
        <f t="shared" si="4"/>
        <v>B4</v>
      </c>
      <c r="I1058" s="10" t="str">
        <f t="shared" si="5"/>
        <v>BRN73M-B4</v>
      </c>
      <c r="J1058" s="16"/>
      <c r="K1058" s="16" t="str">
        <f t="shared" si="6"/>
        <v>collected</v>
      </c>
      <c r="L1058" s="16" t="str">
        <f t="shared" si="7"/>
        <v>N</v>
      </c>
      <c r="M1058" s="16"/>
      <c r="N1058" s="16"/>
    </row>
    <row r="1059">
      <c r="A1059" s="27" t="s">
        <v>1515</v>
      </c>
      <c r="B1059" s="10" t="str">
        <f t="shared" si="1"/>
        <v>RNA-muscle</v>
      </c>
      <c r="C1059" s="10" t="str">
        <f t="shared" si="2"/>
        <v>BRN73M-A4</v>
      </c>
      <c r="D1059" s="6">
        <v>73.0</v>
      </c>
      <c r="E1059" s="10" t="str">
        <f t="shared" si="3"/>
        <v>BRN73M</v>
      </c>
      <c r="F1059" s="6" t="s">
        <v>76</v>
      </c>
      <c r="G1059" s="6">
        <v>4.0</v>
      </c>
      <c r="H1059" s="11" t="str">
        <f t="shared" si="4"/>
        <v>A4</v>
      </c>
      <c r="I1059" s="10" t="str">
        <f t="shared" si="5"/>
        <v>BRN73M-A4</v>
      </c>
      <c r="J1059" s="16"/>
      <c r="K1059" s="16" t="str">
        <f t="shared" si="6"/>
        <v>collected</v>
      </c>
      <c r="L1059" s="16" t="str">
        <f t="shared" si="7"/>
        <v>N</v>
      </c>
      <c r="M1059" s="16"/>
      <c r="N1059" s="16"/>
    </row>
    <row r="1060">
      <c r="A1060" s="27" t="s">
        <v>1516</v>
      </c>
      <c r="B1060" s="10" t="str">
        <f t="shared" si="1"/>
        <v>RNA-muscle</v>
      </c>
      <c r="C1060" s="10" t="str">
        <f t="shared" si="2"/>
        <v>BRN73M-H5</v>
      </c>
      <c r="D1060" s="6">
        <v>73.0</v>
      </c>
      <c r="E1060" s="10" t="str">
        <f t="shared" si="3"/>
        <v>BRN73M</v>
      </c>
      <c r="F1060" s="6" t="s">
        <v>51</v>
      </c>
      <c r="G1060" s="6">
        <v>5.0</v>
      </c>
      <c r="H1060" s="11" t="str">
        <f t="shared" si="4"/>
        <v>H5</v>
      </c>
      <c r="I1060" s="10" t="str">
        <f t="shared" si="5"/>
        <v>BRN73M-H5</v>
      </c>
      <c r="J1060" s="16"/>
      <c r="K1060" s="16" t="str">
        <f t="shared" si="6"/>
        <v>collected</v>
      </c>
      <c r="L1060" s="16" t="str">
        <f t="shared" si="7"/>
        <v>N</v>
      </c>
      <c r="M1060" s="16"/>
      <c r="N1060" s="16"/>
    </row>
    <row r="1061">
      <c r="A1061" s="27" t="s">
        <v>1519</v>
      </c>
      <c r="B1061" s="10" t="str">
        <f t="shared" si="1"/>
        <v>RNA-muscle</v>
      </c>
      <c r="C1061" s="10" t="str">
        <f t="shared" si="2"/>
        <v>BRN73M-G5</v>
      </c>
      <c r="D1061" s="6">
        <v>73.0</v>
      </c>
      <c r="E1061" s="10" t="str">
        <f t="shared" si="3"/>
        <v>BRN73M</v>
      </c>
      <c r="F1061" s="6" t="s">
        <v>56</v>
      </c>
      <c r="G1061" s="6">
        <v>5.0</v>
      </c>
      <c r="H1061" s="11" t="str">
        <f t="shared" si="4"/>
        <v>G5</v>
      </c>
      <c r="I1061" s="10" t="str">
        <f t="shared" si="5"/>
        <v>BRN73M-G5</v>
      </c>
      <c r="J1061" s="16"/>
      <c r="K1061" s="16" t="str">
        <f t="shared" si="6"/>
        <v>collected</v>
      </c>
      <c r="L1061" s="16" t="str">
        <f t="shared" si="7"/>
        <v>N</v>
      </c>
      <c r="M1061" s="16"/>
      <c r="N1061" s="16"/>
    </row>
    <row r="1062">
      <c r="A1062" s="27" t="s">
        <v>1520</v>
      </c>
      <c r="B1062" s="10" t="str">
        <f t="shared" si="1"/>
        <v>RNA-muscle</v>
      </c>
      <c r="C1062" s="10" t="str">
        <f t="shared" si="2"/>
        <v>BRN73M-F5</v>
      </c>
      <c r="D1062" s="6">
        <v>73.0</v>
      </c>
      <c r="E1062" s="10" t="str">
        <f t="shared" si="3"/>
        <v>BRN73M</v>
      </c>
      <c r="F1062" s="6" t="s">
        <v>61</v>
      </c>
      <c r="G1062" s="6">
        <v>5.0</v>
      </c>
      <c r="H1062" s="11" t="str">
        <f t="shared" si="4"/>
        <v>F5</v>
      </c>
      <c r="I1062" s="10" t="str">
        <f t="shared" si="5"/>
        <v>BRN73M-F5</v>
      </c>
      <c r="J1062" s="16"/>
      <c r="K1062" s="16" t="str">
        <f t="shared" si="6"/>
        <v>collected</v>
      </c>
      <c r="L1062" s="16" t="str">
        <f t="shared" si="7"/>
        <v>N</v>
      </c>
      <c r="M1062" s="16"/>
      <c r="N1062" s="16"/>
    </row>
    <row r="1063">
      <c r="A1063" s="27" t="s">
        <v>1521</v>
      </c>
      <c r="B1063" s="10" t="str">
        <f t="shared" si="1"/>
        <v>RNA-muscle</v>
      </c>
      <c r="C1063" s="10" t="str">
        <f t="shared" si="2"/>
        <v>BRN73M-E5</v>
      </c>
      <c r="D1063" s="6">
        <v>73.0</v>
      </c>
      <c r="E1063" s="10" t="str">
        <f t="shared" si="3"/>
        <v>BRN73M</v>
      </c>
      <c r="F1063" s="6" t="s">
        <v>66</v>
      </c>
      <c r="G1063" s="6">
        <v>5.0</v>
      </c>
      <c r="H1063" s="11" t="str">
        <f t="shared" si="4"/>
        <v>E5</v>
      </c>
      <c r="I1063" s="10" t="str">
        <f t="shared" si="5"/>
        <v>BRN73M-E5</v>
      </c>
      <c r="J1063" s="6" t="s">
        <v>366</v>
      </c>
      <c r="K1063" s="16" t="str">
        <f t="shared" si="6"/>
        <v>collected</v>
      </c>
      <c r="L1063" s="16" t="str">
        <f t="shared" si="7"/>
        <v>N</v>
      </c>
      <c r="M1063" s="16"/>
      <c r="N1063" s="16"/>
    </row>
    <row r="1064">
      <c r="A1064" s="27" t="s">
        <v>1524</v>
      </c>
      <c r="B1064" s="10" t="str">
        <f t="shared" si="1"/>
        <v>RNA-muscle</v>
      </c>
      <c r="C1064" s="10" t="str">
        <f t="shared" si="2"/>
        <v>BRN73M-D5</v>
      </c>
      <c r="D1064" s="6">
        <v>73.0</v>
      </c>
      <c r="E1064" s="10" t="str">
        <f t="shared" si="3"/>
        <v>BRN73M</v>
      </c>
      <c r="F1064" s="6" t="s">
        <v>68</v>
      </c>
      <c r="G1064" s="6">
        <v>5.0</v>
      </c>
      <c r="H1064" s="11" t="str">
        <f t="shared" si="4"/>
        <v>D5</v>
      </c>
      <c r="I1064" s="10" t="str">
        <f t="shared" si="5"/>
        <v>BRN73M-D5</v>
      </c>
      <c r="J1064" s="16"/>
      <c r="K1064" s="16" t="str">
        <f t="shared" si="6"/>
        <v>collected</v>
      </c>
      <c r="L1064" s="16" t="str">
        <f t="shared" si="7"/>
        <v>N</v>
      </c>
      <c r="M1064" s="16"/>
      <c r="N1064" s="16"/>
    </row>
    <row r="1065">
      <c r="A1065" s="27" t="s">
        <v>1525</v>
      </c>
      <c r="B1065" s="10" t="str">
        <f t="shared" si="1"/>
        <v>RNA-muscle</v>
      </c>
      <c r="C1065" s="10" t="str">
        <f t="shared" si="2"/>
        <v>BRN73M-C5</v>
      </c>
      <c r="D1065" s="6">
        <v>73.0</v>
      </c>
      <c r="E1065" s="10" t="str">
        <f t="shared" si="3"/>
        <v>BRN73M</v>
      </c>
      <c r="F1065" s="6" t="s">
        <v>72</v>
      </c>
      <c r="G1065" s="6">
        <v>5.0</v>
      </c>
      <c r="H1065" s="11" t="str">
        <f t="shared" si="4"/>
        <v>C5</v>
      </c>
      <c r="I1065" s="10" t="str">
        <f t="shared" si="5"/>
        <v>BRN73M-C5</v>
      </c>
      <c r="J1065" s="16"/>
      <c r="K1065" s="16" t="str">
        <f t="shared" si="6"/>
        <v>collected</v>
      </c>
      <c r="L1065" s="16" t="str">
        <f t="shared" si="7"/>
        <v>N</v>
      </c>
      <c r="M1065" s="16"/>
      <c r="N1065" s="16"/>
    </row>
    <row r="1066">
      <c r="A1066" s="27" t="s">
        <v>1526</v>
      </c>
      <c r="B1066" s="10" t="str">
        <f t="shared" si="1"/>
        <v>RNA-muscle</v>
      </c>
      <c r="C1066" s="10" t="str">
        <f t="shared" si="2"/>
        <v>BRN73M-B5</v>
      </c>
      <c r="D1066" s="6">
        <v>73.0</v>
      </c>
      <c r="E1066" s="10" t="str">
        <f t="shared" si="3"/>
        <v>BRN73M</v>
      </c>
      <c r="F1066" s="6" t="s">
        <v>74</v>
      </c>
      <c r="G1066" s="6">
        <v>5.0</v>
      </c>
      <c r="H1066" s="11" t="str">
        <f t="shared" si="4"/>
        <v>B5</v>
      </c>
      <c r="I1066" s="10" t="str">
        <f t="shared" si="5"/>
        <v>BRN73M-B5</v>
      </c>
      <c r="J1066" s="16"/>
      <c r="K1066" s="16" t="str">
        <f t="shared" si="6"/>
        <v>collected</v>
      </c>
      <c r="L1066" s="16" t="str">
        <f t="shared" si="7"/>
        <v>N</v>
      </c>
      <c r="M1066" s="16"/>
      <c r="N1066" s="16"/>
    </row>
    <row r="1067">
      <c r="A1067" s="27" t="s">
        <v>1529</v>
      </c>
      <c r="B1067" s="10" t="str">
        <f t="shared" si="1"/>
        <v>RNA-muscle</v>
      </c>
      <c r="C1067" s="10" t="str">
        <f t="shared" si="2"/>
        <v>BRN73M-A5</v>
      </c>
      <c r="D1067" s="6">
        <v>73.0</v>
      </c>
      <c r="E1067" s="10" t="str">
        <f t="shared" si="3"/>
        <v>BRN73M</v>
      </c>
      <c r="F1067" s="6" t="s">
        <v>76</v>
      </c>
      <c r="G1067" s="6">
        <v>5.0</v>
      </c>
      <c r="H1067" s="11" t="str">
        <f t="shared" si="4"/>
        <v>A5</v>
      </c>
      <c r="I1067" s="10" t="str">
        <f t="shared" si="5"/>
        <v>BRN73M-A5</v>
      </c>
      <c r="J1067" s="16"/>
      <c r="K1067" s="16" t="str">
        <f t="shared" si="6"/>
        <v>collected</v>
      </c>
      <c r="L1067" s="16" t="str">
        <f t="shared" si="7"/>
        <v>N</v>
      </c>
      <c r="M1067" s="16"/>
      <c r="N1067" s="16"/>
    </row>
    <row r="1068">
      <c r="A1068" s="27" t="s">
        <v>1530</v>
      </c>
      <c r="B1068" s="10" t="str">
        <f t="shared" si="1"/>
        <v>RNA-muscle</v>
      </c>
      <c r="C1068" s="10" t="str">
        <f t="shared" si="2"/>
        <v>BRN73M-G6</v>
      </c>
      <c r="D1068" s="6">
        <v>73.0</v>
      </c>
      <c r="E1068" s="10" t="str">
        <f t="shared" si="3"/>
        <v>BRN73M</v>
      </c>
      <c r="F1068" s="6" t="s">
        <v>56</v>
      </c>
      <c r="G1068" s="6">
        <v>6.0</v>
      </c>
      <c r="H1068" s="11" t="str">
        <f t="shared" si="4"/>
        <v>G6</v>
      </c>
      <c r="I1068" s="10" t="str">
        <f t="shared" si="5"/>
        <v>BRN73M-G6</v>
      </c>
      <c r="J1068" s="16"/>
      <c r="K1068" s="16" t="str">
        <f t="shared" si="6"/>
        <v>collected</v>
      </c>
      <c r="L1068" s="16" t="str">
        <f t="shared" si="7"/>
        <v>N</v>
      </c>
      <c r="M1068" s="16"/>
      <c r="N1068" s="16"/>
    </row>
    <row r="1069">
      <c r="A1069" s="27" t="s">
        <v>1531</v>
      </c>
      <c r="B1069" s="10" t="str">
        <f t="shared" si="1"/>
        <v>RNA-muscle</v>
      </c>
      <c r="C1069" s="10" t="str">
        <f t="shared" si="2"/>
        <v>BRN73M-F6</v>
      </c>
      <c r="D1069" s="6">
        <v>73.0</v>
      </c>
      <c r="E1069" s="10" t="str">
        <f t="shared" si="3"/>
        <v>BRN73M</v>
      </c>
      <c r="F1069" s="6" t="s">
        <v>61</v>
      </c>
      <c r="G1069" s="6">
        <v>6.0</v>
      </c>
      <c r="H1069" s="11" t="str">
        <f t="shared" si="4"/>
        <v>F6</v>
      </c>
      <c r="I1069" s="10" t="str">
        <f t="shared" si="5"/>
        <v>BRN73M-F6</v>
      </c>
      <c r="J1069" s="16"/>
      <c r="K1069" s="16" t="str">
        <f t="shared" si="6"/>
        <v>collected</v>
      </c>
      <c r="L1069" s="16" t="str">
        <f t="shared" si="7"/>
        <v>N</v>
      </c>
      <c r="M1069" s="16"/>
      <c r="N1069" s="16"/>
    </row>
    <row r="1070">
      <c r="A1070" s="27" t="s">
        <v>1532</v>
      </c>
      <c r="B1070" s="10" t="str">
        <f t="shared" si="1"/>
        <v>RNA-muscle</v>
      </c>
      <c r="C1070" s="10" t="str">
        <f t="shared" si="2"/>
        <v>BRN73M-E6</v>
      </c>
      <c r="D1070" s="6">
        <v>73.0</v>
      </c>
      <c r="E1070" s="10" t="str">
        <f t="shared" si="3"/>
        <v>BRN73M</v>
      </c>
      <c r="F1070" s="6" t="s">
        <v>66</v>
      </c>
      <c r="G1070" s="6">
        <v>6.0</v>
      </c>
      <c r="H1070" s="11" t="str">
        <f t="shared" si="4"/>
        <v>E6</v>
      </c>
      <c r="I1070" s="10" t="str">
        <f t="shared" si="5"/>
        <v>BRN73M-E6</v>
      </c>
      <c r="J1070" s="16"/>
      <c r="K1070" s="16" t="str">
        <f t="shared" si="6"/>
        <v>collected</v>
      </c>
      <c r="L1070" s="16" t="str">
        <f t="shared" si="7"/>
        <v>N</v>
      </c>
      <c r="M1070" s="16"/>
      <c r="N1070" s="16"/>
    </row>
    <row r="1071">
      <c r="A1071" s="27" t="s">
        <v>1534</v>
      </c>
      <c r="B1071" s="10" t="str">
        <f t="shared" si="1"/>
        <v>RNA-muscle</v>
      </c>
      <c r="C1071" s="10" t="str">
        <f t="shared" si="2"/>
        <v>BRN73M-D6</v>
      </c>
      <c r="D1071" s="6">
        <v>73.0</v>
      </c>
      <c r="E1071" s="10" t="str">
        <f t="shared" si="3"/>
        <v>BRN73M</v>
      </c>
      <c r="F1071" s="6" t="s">
        <v>68</v>
      </c>
      <c r="G1071" s="6">
        <v>6.0</v>
      </c>
      <c r="H1071" s="11" t="str">
        <f t="shared" si="4"/>
        <v>D6</v>
      </c>
      <c r="I1071" s="10" t="str">
        <f t="shared" si="5"/>
        <v>BRN73M-D6</v>
      </c>
      <c r="J1071" s="16"/>
      <c r="K1071" s="16" t="str">
        <f t="shared" si="6"/>
        <v>collected</v>
      </c>
      <c r="L1071" s="16" t="str">
        <f t="shared" si="7"/>
        <v>N</v>
      </c>
      <c r="M1071" s="16"/>
      <c r="N1071" s="16"/>
    </row>
    <row r="1072">
      <c r="A1072" s="27" t="s">
        <v>1536</v>
      </c>
      <c r="B1072" s="10" t="str">
        <f t="shared" si="1"/>
        <v>RNA-muscle</v>
      </c>
      <c r="C1072" s="10" t="str">
        <f t="shared" si="2"/>
        <v>BRN73M-C6</v>
      </c>
      <c r="D1072" s="6">
        <v>73.0</v>
      </c>
      <c r="E1072" s="10" t="str">
        <f t="shared" si="3"/>
        <v>BRN73M</v>
      </c>
      <c r="F1072" s="6" t="s">
        <v>72</v>
      </c>
      <c r="G1072" s="6">
        <v>6.0</v>
      </c>
      <c r="H1072" s="11" t="str">
        <f t="shared" si="4"/>
        <v>C6</v>
      </c>
      <c r="I1072" s="10" t="str">
        <f t="shared" si="5"/>
        <v>BRN73M-C6</v>
      </c>
      <c r="J1072" s="16"/>
      <c r="K1072" s="16" t="str">
        <f t="shared" si="6"/>
        <v>collected</v>
      </c>
      <c r="L1072" s="16" t="str">
        <f t="shared" si="7"/>
        <v>N</v>
      </c>
      <c r="M1072" s="16"/>
      <c r="N1072" s="16"/>
    </row>
    <row r="1073">
      <c r="A1073" s="27" t="s">
        <v>1537</v>
      </c>
      <c r="B1073" s="10" t="str">
        <f t="shared" si="1"/>
        <v>RNA-muscle</v>
      </c>
      <c r="C1073" s="10" t="str">
        <f t="shared" si="2"/>
        <v>BRN73M-B6</v>
      </c>
      <c r="D1073" s="6">
        <v>73.0</v>
      </c>
      <c r="E1073" s="10" t="str">
        <f t="shared" si="3"/>
        <v>BRN73M</v>
      </c>
      <c r="F1073" s="6" t="s">
        <v>74</v>
      </c>
      <c r="G1073" s="6">
        <v>6.0</v>
      </c>
      <c r="H1073" s="11" t="str">
        <f t="shared" si="4"/>
        <v>B6</v>
      </c>
      <c r="I1073" s="10" t="str">
        <f t="shared" si="5"/>
        <v>BRN73M-B6</v>
      </c>
      <c r="J1073" s="16"/>
      <c r="K1073" s="16" t="str">
        <f t="shared" si="6"/>
        <v>collected</v>
      </c>
      <c r="L1073" s="16" t="str">
        <f t="shared" si="7"/>
        <v>N</v>
      </c>
      <c r="M1073" s="16"/>
      <c r="N1073" s="16"/>
    </row>
    <row r="1074">
      <c r="A1074" s="27" t="s">
        <v>1538</v>
      </c>
      <c r="B1074" s="10" t="str">
        <f t="shared" si="1"/>
        <v>RNA-muscle</v>
      </c>
      <c r="C1074" s="10" t="str">
        <f t="shared" si="2"/>
        <v>BRN73M-A6</v>
      </c>
      <c r="D1074" s="6">
        <v>73.0</v>
      </c>
      <c r="E1074" s="10" t="str">
        <f t="shared" si="3"/>
        <v>BRN73M</v>
      </c>
      <c r="F1074" s="6" t="s">
        <v>76</v>
      </c>
      <c r="G1074" s="6">
        <v>6.0</v>
      </c>
      <c r="H1074" s="11" t="str">
        <f t="shared" si="4"/>
        <v>A6</v>
      </c>
      <c r="I1074" s="10" t="str">
        <f t="shared" si="5"/>
        <v>BRN73M-A6</v>
      </c>
      <c r="J1074" s="16"/>
      <c r="K1074" s="16" t="str">
        <f t="shared" si="6"/>
        <v>collected</v>
      </c>
      <c r="L1074" s="16" t="str">
        <f t="shared" si="7"/>
        <v>N</v>
      </c>
      <c r="M1074" s="16"/>
      <c r="N1074" s="16"/>
    </row>
    <row r="1075">
      <c r="A1075" s="27" t="s">
        <v>1539</v>
      </c>
      <c r="B1075" s="10" t="str">
        <f t="shared" si="1"/>
        <v>RNA-muscle</v>
      </c>
      <c r="C1075" s="10" t="str">
        <f t="shared" si="2"/>
        <v>BRN73M-E3</v>
      </c>
      <c r="D1075" s="6">
        <v>73.0</v>
      </c>
      <c r="E1075" s="10" t="str">
        <f t="shared" si="3"/>
        <v>BRN73M</v>
      </c>
      <c r="F1075" s="6" t="s">
        <v>66</v>
      </c>
      <c r="G1075" s="6">
        <v>3.0</v>
      </c>
      <c r="H1075" s="11" t="str">
        <f t="shared" si="4"/>
        <v>E3</v>
      </c>
      <c r="I1075" s="10" t="str">
        <f t="shared" si="5"/>
        <v>BRN73M-E3</v>
      </c>
      <c r="J1075" s="16"/>
      <c r="K1075" s="16" t="str">
        <f t="shared" si="6"/>
        <v>collected</v>
      </c>
      <c r="L1075" s="16" t="str">
        <f t="shared" si="7"/>
        <v>N</v>
      </c>
      <c r="M1075" s="16"/>
      <c r="N1075" s="16"/>
    </row>
    <row r="1076">
      <c r="A1076" s="27" t="s">
        <v>1540</v>
      </c>
      <c r="B1076" s="10" t="str">
        <f t="shared" si="1"/>
        <v>RNA-muscle</v>
      </c>
      <c r="C1076" s="10" t="str">
        <f t="shared" si="2"/>
        <v>BRN73M-D3</v>
      </c>
      <c r="D1076" s="6">
        <v>73.0</v>
      </c>
      <c r="E1076" s="10" t="str">
        <f t="shared" si="3"/>
        <v>BRN73M</v>
      </c>
      <c r="F1076" s="6" t="s">
        <v>68</v>
      </c>
      <c r="G1076" s="6">
        <v>3.0</v>
      </c>
      <c r="H1076" s="11" t="str">
        <f t="shared" si="4"/>
        <v>D3</v>
      </c>
      <c r="I1076" s="10" t="str">
        <f t="shared" si="5"/>
        <v>BRN73M-D3</v>
      </c>
      <c r="J1076" s="16"/>
      <c r="K1076" s="16" t="str">
        <f t="shared" si="6"/>
        <v>collected</v>
      </c>
      <c r="L1076" s="16" t="str">
        <f t="shared" si="7"/>
        <v>N</v>
      </c>
      <c r="M1076" s="16"/>
      <c r="N1076" s="16"/>
    </row>
    <row r="1077">
      <c r="A1077" s="27" t="s">
        <v>1542</v>
      </c>
      <c r="B1077" s="10" t="str">
        <f t="shared" si="1"/>
        <v>RNA-muscle</v>
      </c>
      <c r="C1077" s="10" t="str">
        <f t="shared" si="2"/>
        <v>BRN73M-C3</v>
      </c>
      <c r="D1077" s="6">
        <v>73.0</v>
      </c>
      <c r="E1077" s="10" t="str">
        <f t="shared" si="3"/>
        <v>BRN73M</v>
      </c>
      <c r="F1077" s="6" t="s">
        <v>72</v>
      </c>
      <c r="G1077" s="6">
        <v>3.0</v>
      </c>
      <c r="H1077" s="11" t="str">
        <f t="shared" si="4"/>
        <v>C3</v>
      </c>
      <c r="I1077" s="10" t="str">
        <f t="shared" si="5"/>
        <v>BRN73M-C3</v>
      </c>
      <c r="J1077" s="16"/>
      <c r="K1077" s="16" t="str">
        <f t="shared" si="6"/>
        <v>collected</v>
      </c>
      <c r="L1077" s="16" t="str">
        <f t="shared" si="7"/>
        <v>N</v>
      </c>
      <c r="M1077" s="16"/>
      <c r="N1077" s="16"/>
    </row>
    <row r="1078">
      <c r="A1078" s="27" t="s">
        <v>1544</v>
      </c>
      <c r="B1078" s="10" t="str">
        <f t="shared" si="1"/>
        <v>RNA-muscle</v>
      </c>
      <c r="C1078" s="10" t="str">
        <f t="shared" si="2"/>
        <v>BRN73M-B3</v>
      </c>
      <c r="D1078" s="6">
        <v>73.0</v>
      </c>
      <c r="E1078" s="10" t="str">
        <f t="shared" si="3"/>
        <v>BRN73M</v>
      </c>
      <c r="F1078" s="6" t="s">
        <v>74</v>
      </c>
      <c r="G1078" s="6">
        <v>3.0</v>
      </c>
      <c r="H1078" s="11" t="str">
        <f t="shared" si="4"/>
        <v>B3</v>
      </c>
      <c r="I1078" s="10" t="str">
        <f t="shared" si="5"/>
        <v>BRN73M-B3</v>
      </c>
      <c r="J1078" s="16"/>
      <c r="K1078" s="16" t="str">
        <f t="shared" si="6"/>
        <v>collected</v>
      </c>
      <c r="L1078" s="16" t="str">
        <f t="shared" si="7"/>
        <v>N</v>
      </c>
      <c r="M1078" s="16"/>
      <c r="N1078" s="16"/>
    </row>
    <row r="1079">
      <c r="A1079" s="27" t="s">
        <v>1545</v>
      </c>
      <c r="B1079" s="10" t="str">
        <f t="shared" si="1"/>
        <v>RNA-muscle</v>
      </c>
      <c r="C1079" s="10" t="str">
        <f t="shared" si="2"/>
        <v>BRN73M-A3</v>
      </c>
      <c r="D1079" s="6">
        <v>73.0</v>
      </c>
      <c r="E1079" s="10" t="str">
        <f t="shared" si="3"/>
        <v>BRN73M</v>
      </c>
      <c r="F1079" s="6" t="s">
        <v>76</v>
      </c>
      <c r="G1079" s="6">
        <v>3.0</v>
      </c>
      <c r="H1079" s="11" t="str">
        <f t="shared" si="4"/>
        <v>A3</v>
      </c>
      <c r="I1079" s="10" t="str">
        <f t="shared" si="5"/>
        <v>BRN73M-A3</v>
      </c>
      <c r="J1079" s="16"/>
      <c r="K1079" s="16" t="str">
        <f t="shared" si="6"/>
        <v>collected</v>
      </c>
      <c r="L1079" s="16" t="str">
        <f t="shared" si="7"/>
        <v>N</v>
      </c>
      <c r="M1079" s="16"/>
      <c r="N1079" s="16"/>
    </row>
    <row r="1080">
      <c r="A1080" s="27" t="s">
        <v>1547</v>
      </c>
      <c r="B1080" s="10" t="str">
        <f t="shared" si="1"/>
        <v>RNA-muscle</v>
      </c>
      <c r="C1080" s="10" t="str">
        <f t="shared" si="2"/>
        <v>BRN65M-G8</v>
      </c>
      <c r="D1080" s="6">
        <v>65.0</v>
      </c>
      <c r="E1080" s="10" t="str">
        <f t="shared" si="3"/>
        <v>BRN65M</v>
      </c>
      <c r="F1080" s="6" t="s">
        <v>56</v>
      </c>
      <c r="G1080" s="6">
        <v>8.0</v>
      </c>
      <c r="H1080" s="11" t="str">
        <f t="shared" si="4"/>
        <v>G8</v>
      </c>
      <c r="I1080" s="10" t="str">
        <f t="shared" si="5"/>
        <v>BRN65M-G8</v>
      </c>
      <c r="J1080" s="16"/>
      <c r="K1080" s="16" t="str">
        <f t="shared" si="6"/>
        <v>collected</v>
      </c>
      <c r="L1080" s="16" t="str">
        <f t="shared" si="7"/>
        <v>N</v>
      </c>
      <c r="M1080" s="16"/>
      <c r="N1080" s="16"/>
    </row>
    <row r="1081">
      <c r="A1081" s="27" t="s">
        <v>1549</v>
      </c>
      <c r="B1081" s="10" t="str">
        <f t="shared" si="1"/>
        <v>RNA-muscle</v>
      </c>
      <c r="C1081" s="10" t="str">
        <f t="shared" si="2"/>
        <v>BRN65M-F8</v>
      </c>
      <c r="D1081" s="6">
        <v>65.0</v>
      </c>
      <c r="E1081" s="10" t="str">
        <f t="shared" si="3"/>
        <v>BRN65M</v>
      </c>
      <c r="F1081" s="6" t="s">
        <v>61</v>
      </c>
      <c r="G1081" s="6">
        <v>8.0</v>
      </c>
      <c r="H1081" s="11" t="str">
        <f t="shared" si="4"/>
        <v>F8</v>
      </c>
      <c r="I1081" s="10" t="str">
        <f t="shared" si="5"/>
        <v>BRN65M-F8</v>
      </c>
      <c r="J1081" s="16"/>
      <c r="K1081" s="16" t="str">
        <f t="shared" si="6"/>
        <v>collected</v>
      </c>
      <c r="L1081" s="16" t="str">
        <f t="shared" si="7"/>
        <v>N</v>
      </c>
      <c r="M1081" s="16"/>
      <c r="N1081" s="16"/>
    </row>
    <row r="1082">
      <c r="A1082" s="27" t="s">
        <v>1550</v>
      </c>
      <c r="B1082" s="10" t="str">
        <f t="shared" si="1"/>
        <v>RNA-muscle</v>
      </c>
      <c r="C1082" s="10" t="str">
        <f t="shared" si="2"/>
        <v>BRN65M-E8</v>
      </c>
      <c r="D1082" s="6">
        <v>65.0</v>
      </c>
      <c r="E1082" s="10" t="str">
        <f t="shared" si="3"/>
        <v>BRN65M</v>
      </c>
      <c r="F1082" s="6" t="s">
        <v>66</v>
      </c>
      <c r="G1082" s="6">
        <v>8.0</v>
      </c>
      <c r="H1082" s="11" t="str">
        <f t="shared" si="4"/>
        <v>E8</v>
      </c>
      <c r="I1082" s="10" t="str">
        <f t="shared" si="5"/>
        <v>BRN65M-E8</v>
      </c>
      <c r="J1082" s="16"/>
      <c r="K1082" s="16" t="str">
        <f t="shared" si="6"/>
        <v>collected</v>
      </c>
      <c r="L1082" s="16" t="str">
        <f t="shared" si="7"/>
        <v>N</v>
      </c>
      <c r="M1082" s="16"/>
      <c r="N1082" s="16"/>
    </row>
    <row r="1083">
      <c r="A1083" s="27" t="s">
        <v>1552</v>
      </c>
      <c r="B1083" s="10" t="str">
        <f t="shared" si="1"/>
        <v>RNA-muscle</v>
      </c>
      <c r="C1083" s="10" t="str">
        <f t="shared" si="2"/>
        <v>BRN65M-D8</v>
      </c>
      <c r="D1083" s="6">
        <v>65.0</v>
      </c>
      <c r="E1083" s="10" t="str">
        <f t="shared" si="3"/>
        <v>BRN65M</v>
      </c>
      <c r="F1083" s="6" t="s">
        <v>68</v>
      </c>
      <c r="G1083" s="6">
        <v>8.0</v>
      </c>
      <c r="H1083" s="11" t="str">
        <f t="shared" si="4"/>
        <v>D8</v>
      </c>
      <c r="I1083" s="10" t="str">
        <f t="shared" si="5"/>
        <v>BRN65M-D8</v>
      </c>
      <c r="J1083" s="16"/>
      <c r="K1083" s="16" t="str">
        <f t="shared" si="6"/>
        <v>collected</v>
      </c>
      <c r="L1083" s="16" t="str">
        <f t="shared" si="7"/>
        <v>N</v>
      </c>
      <c r="M1083" s="16"/>
      <c r="N1083" s="16"/>
    </row>
    <row r="1084">
      <c r="A1084" s="27" t="s">
        <v>1554</v>
      </c>
      <c r="B1084" s="10" t="str">
        <f t="shared" si="1"/>
        <v>RNA-muscle</v>
      </c>
      <c r="C1084" s="10" t="str">
        <f t="shared" si="2"/>
        <v>BRN65M-C8</v>
      </c>
      <c r="D1084" s="6">
        <v>65.0</v>
      </c>
      <c r="E1084" s="10" t="str">
        <f t="shared" si="3"/>
        <v>BRN65M</v>
      </c>
      <c r="F1084" s="6" t="s">
        <v>72</v>
      </c>
      <c r="G1084" s="6">
        <v>8.0</v>
      </c>
      <c r="H1084" s="11" t="str">
        <f t="shared" si="4"/>
        <v>C8</v>
      </c>
      <c r="I1084" s="10" t="str">
        <f t="shared" si="5"/>
        <v>BRN65M-C8</v>
      </c>
      <c r="J1084" s="16"/>
      <c r="K1084" s="16" t="str">
        <f t="shared" si="6"/>
        <v>collected</v>
      </c>
      <c r="L1084" s="16" t="str">
        <f t="shared" si="7"/>
        <v>N</v>
      </c>
      <c r="M1084" s="16"/>
      <c r="N1084" s="16"/>
    </row>
    <row r="1085">
      <c r="A1085" s="27" t="s">
        <v>1555</v>
      </c>
      <c r="B1085" s="10" t="str">
        <f t="shared" si="1"/>
        <v>RNA-muscle</v>
      </c>
      <c r="C1085" s="10" t="str">
        <f t="shared" si="2"/>
        <v>BRN65M-B8</v>
      </c>
      <c r="D1085" s="6">
        <v>65.0</v>
      </c>
      <c r="E1085" s="10" t="str">
        <f t="shared" si="3"/>
        <v>BRN65M</v>
      </c>
      <c r="F1085" s="6" t="s">
        <v>74</v>
      </c>
      <c r="G1085" s="6">
        <v>8.0</v>
      </c>
      <c r="H1085" s="11" t="str">
        <f t="shared" si="4"/>
        <v>B8</v>
      </c>
      <c r="I1085" s="10" t="str">
        <f t="shared" si="5"/>
        <v>BRN65M-B8</v>
      </c>
      <c r="J1085" s="16"/>
      <c r="K1085" s="16" t="str">
        <f t="shared" si="6"/>
        <v>collected</v>
      </c>
      <c r="L1085" s="16" t="str">
        <f t="shared" si="7"/>
        <v>N</v>
      </c>
      <c r="M1085" s="16"/>
      <c r="N1085" s="16"/>
    </row>
    <row r="1086">
      <c r="A1086" s="27" t="s">
        <v>1556</v>
      </c>
      <c r="B1086" s="10" t="str">
        <f t="shared" si="1"/>
        <v>RNA-muscle</v>
      </c>
      <c r="C1086" s="10" t="str">
        <f t="shared" si="2"/>
        <v>BRN65M-A8</v>
      </c>
      <c r="D1086" s="6">
        <v>65.0</v>
      </c>
      <c r="E1086" s="10" t="str">
        <f t="shared" si="3"/>
        <v>BRN65M</v>
      </c>
      <c r="F1086" s="6" t="s">
        <v>76</v>
      </c>
      <c r="G1086" s="6">
        <v>8.0</v>
      </c>
      <c r="H1086" s="11" t="str">
        <f t="shared" si="4"/>
        <v>A8</v>
      </c>
      <c r="I1086" s="10" t="str">
        <f t="shared" si="5"/>
        <v>BRN65M-A8</v>
      </c>
      <c r="J1086" s="6" t="s">
        <v>1557</v>
      </c>
      <c r="K1086" s="16" t="str">
        <f t="shared" si="6"/>
        <v>collected</v>
      </c>
      <c r="L1086" s="16" t="str">
        <f t="shared" si="7"/>
        <v>N</v>
      </c>
      <c r="M1086" s="16"/>
      <c r="N1086" s="16"/>
    </row>
    <row r="1087">
      <c r="A1087" s="27" t="s">
        <v>1558</v>
      </c>
      <c r="B1087" s="10" t="str">
        <f t="shared" si="1"/>
        <v>RNA-muscle</v>
      </c>
      <c r="C1087" s="10" t="str">
        <f t="shared" si="2"/>
        <v>BRN65M-H9</v>
      </c>
      <c r="D1087" s="6">
        <v>65.0</v>
      </c>
      <c r="E1087" s="10" t="str">
        <f t="shared" si="3"/>
        <v>BRN65M</v>
      </c>
      <c r="F1087" s="6" t="s">
        <v>51</v>
      </c>
      <c r="G1087" s="6">
        <v>9.0</v>
      </c>
      <c r="H1087" s="11" t="str">
        <f t="shared" si="4"/>
        <v>H9</v>
      </c>
      <c r="I1087" s="10" t="str">
        <f t="shared" si="5"/>
        <v>BRN65M-H9</v>
      </c>
      <c r="J1087" s="16"/>
      <c r="K1087" s="16" t="str">
        <f t="shared" si="6"/>
        <v>collected</v>
      </c>
      <c r="L1087" s="16" t="str">
        <f t="shared" si="7"/>
        <v>N</v>
      </c>
      <c r="M1087" s="16"/>
      <c r="N1087" s="16"/>
    </row>
    <row r="1088">
      <c r="A1088" s="27" t="s">
        <v>1560</v>
      </c>
      <c r="B1088" s="10" t="str">
        <f t="shared" si="1"/>
        <v>RNA-muscle</v>
      </c>
      <c r="C1088" s="10" t="str">
        <f t="shared" si="2"/>
        <v>BRN65M-G9</v>
      </c>
      <c r="D1088" s="6">
        <v>65.0</v>
      </c>
      <c r="E1088" s="10" t="str">
        <f t="shared" si="3"/>
        <v>BRN65M</v>
      </c>
      <c r="F1088" s="6" t="s">
        <v>56</v>
      </c>
      <c r="G1088" s="6">
        <v>9.0</v>
      </c>
      <c r="H1088" s="11" t="str">
        <f t="shared" si="4"/>
        <v>G9</v>
      </c>
      <c r="I1088" s="10" t="str">
        <f t="shared" si="5"/>
        <v>BRN65M-G9</v>
      </c>
      <c r="J1088" s="16"/>
      <c r="K1088" s="16" t="str">
        <f t="shared" si="6"/>
        <v>collected</v>
      </c>
      <c r="L1088" s="16" t="str">
        <f t="shared" si="7"/>
        <v>N</v>
      </c>
      <c r="M1088" s="16"/>
      <c r="N1088" s="16"/>
    </row>
    <row r="1089">
      <c r="A1089" s="27" t="s">
        <v>1561</v>
      </c>
      <c r="B1089" s="10" t="str">
        <f t="shared" si="1"/>
        <v>RNA-muscle</v>
      </c>
      <c r="C1089" s="10" t="str">
        <f t="shared" si="2"/>
        <v>BRN65M-F9</v>
      </c>
      <c r="D1089" s="6">
        <v>65.0</v>
      </c>
      <c r="E1089" s="10" t="str">
        <f t="shared" si="3"/>
        <v>BRN65M</v>
      </c>
      <c r="F1089" s="6" t="s">
        <v>61</v>
      </c>
      <c r="G1089" s="6">
        <v>9.0</v>
      </c>
      <c r="H1089" s="11" t="str">
        <f t="shared" si="4"/>
        <v>F9</v>
      </c>
      <c r="I1089" s="10" t="str">
        <f t="shared" si="5"/>
        <v>BRN65M-F9</v>
      </c>
      <c r="J1089" s="16"/>
      <c r="K1089" s="16" t="str">
        <f t="shared" si="6"/>
        <v>collected</v>
      </c>
      <c r="L1089" s="16" t="str">
        <f t="shared" si="7"/>
        <v>N</v>
      </c>
      <c r="M1089" s="16"/>
      <c r="N1089" s="16"/>
    </row>
    <row r="1090">
      <c r="A1090" s="27" t="s">
        <v>1563</v>
      </c>
      <c r="B1090" s="10" t="str">
        <f t="shared" si="1"/>
        <v>RNA-muscle</v>
      </c>
      <c r="C1090" s="10" t="str">
        <f t="shared" si="2"/>
        <v>BRN65M-E9</v>
      </c>
      <c r="D1090" s="6">
        <v>65.0</v>
      </c>
      <c r="E1090" s="10" t="str">
        <f t="shared" si="3"/>
        <v>BRN65M</v>
      </c>
      <c r="F1090" s="6" t="s">
        <v>66</v>
      </c>
      <c r="G1090" s="6">
        <v>9.0</v>
      </c>
      <c r="H1090" s="11" t="str">
        <f t="shared" si="4"/>
        <v>E9</v>
      </c>
      <c r="I1090" s="10" t="str">
        <f t="shared" si="5"/>
        <v>BRN65M-E9</v>
      </c>
      <c r="J1090" s="16"/>
      <c r="K1090" s="16" t="str">
        <f t="shared" si="6"/>
        <v>collected</v>
      </c>
      <c r="L1090" s="16" t="str">
        <f t="shared" si="7"/>
        <v>N</v>
      </c>
      <c r="M1090" s="16"/>
      <c r="N1090" s="16"/>
    </row>
    <row r="1091">
      <c r="A1091" s="27" t="s">
        <v>1564</v>
      </c>
      <c r="B1091" s="10" t="str">
        <f t="shared" si="1"/>
        <v>RNA-muscle</v>
      </c>
      <c r="C1091" s="10" t="str">
        <f t="shared" si="2"/>
        <v>BRN65M-D9</v>
      </c>
      <c r="D1091" s="6">
        <v>65.0</v>
      </c>
      <c r="E1091" s="10" t="str">
        <f t="shared" si="3"/>
        <v>BRN65M</v>
      </c>
      <c r="F1091" s="6" t="s">
        <v>68</v>
      </c>
      <c r="G1091" s="6">
        <v>9.0</v>
      </c>
      <c r="H1091" s="11" t="str">
        <f t="shared" si="4"/>
        <v>D9</v>
      </c>
      <c r="I1091" s="10" t="str">
        <f t="shared" si="5"/>
        <v>BRN65M-D9</v>
      </c>
      <c r="J1091" s="16"/>
      <c r="K1091" s="16" t="str">
        <f t="shared" si="6"/>
        <v>collected</v>
      </c>
      <c r="L1091" s="16" t="str">
        <f t="shared" si="7"/>
        <v>N</v>
      </c>
      <c r="M1091" s="16"/>
      <c r="N1091" s="16"/>
    </row>
    <row r="1092">
      <c r="A1092" s="27" t="s">
        <v>1565</v>
      </c>
      <c r="B1092" s="10" t="str">
        <f t="shared" si="1"/>
        <v>RNA-muscle</v>
      </c>
      <c r="C1092" s="10" t="str">
        <f t="shared" si="2"/>
        <v>BRN65M-C9</v>
      </c>
      <c r="D1092" s="6">
        <v>65.0</v>
      </c>
      <c r="E1092" s="10" t="str">
        <f t="shared" si="3"/>
        <v>BRN65M</v>
      </c>
      <c r="F1092" s="6" t="s">
        <v>72</v>
      </c>
      <c r="G1092" s="6">
        <v>9.0</v>
      </c>
      <c r="H1092" s="11" t="str">
        <f t="shared" si="4"/>
        <v>C9</v>
      </c>
      <c r="I1092" s="10" t="str">
        <f t="shared" si="5"/>
        <v>BRN65M-C9</v>
      </c>
      <c r="J1092" s="16"/>
      <c r="K1092" s="16" t="str">
        <f t="shared" si="6"/>
        <v>collected</v>
      </c>
      <c r="L1092" s="16" t="str">
        <f t="shared" si="7"/>
        <v>N</v>
      </c>
      <c r="M1092" s="16"/>
      <c r="N1092" s="16"/>
    </row>
    <row r="1093">
      <c r="A1093" s="27" t="s">
        <v>1566</v>
      </c>
      <c r="B1093" s="10" t="str">
        <f t="shared" si="1"/>
        <v>RNA-muscle</v>
      </c>
      <c r="C1093" s="10" t="str">
        <f t="shared" si="2"/>
        <v>BRN65M-B9</v>
      </c>
      <c r="D1093" s="6">
        <v>65.0</v>
      </c>
      <c r="E1093" s="10" t="str">
        <f t="shared" si="3"/>
        <v>BRN65M</v>
      </c>
      <c r="F1093" s="6" t="s">
        <v>74</v>
      </c>
      <c r="G1093" s="6">
        <v>9.0</v>
      </c>
      <c r="H1093" s="11" t="str">
        <f t="shared" si="4"/>
        <v>B9</v>
      </c>
      <c r="I1093" s="10" t="str">
        <f t="shared" si="5"/>
        <v>BRN65M-B9</v>
      </c>
      <c r="J1093" s="16"/>
      <c r="K1093" s="16" t="str">
        <f t="shared" si="6"/>
        <v>collected</v>
      </c>
      <c r="L1093" s="16" t="str">
        <f t="shared" si="7"/>
        <v>N</v>
      </c>
      <c r="M1093" s="16"/>
      <c r="N1093" s="16"/>
    </row>
    <row r="1094">
      <c r="A1094" s="27" t="s">
        <v>1567</v>
      </c>
      <c r="B1094" s="10" t="str">
        <f t="shared" si="1"/>
        <v>RNA-muscle</v>
      </c>
      <c r="C1094" s="10" t="str">
        <f t="shared" si="2"/>
        <v>BRN65M-A9</v>
      </c>
      <c r="D1094" s="6">
        <v>65.0</v>
      </c>
      <c r="E1094" s="10" t="str">
        <f t="shared" si="3"/>
        <v>BRN65M</v>
      </c>
      <c r="F1094" s="6" t="s">
        <v>76</v>
      </c>
      <c r="G1094" s="6">
        <v>9.0</v>
      </c>
      <c r="H1094" s="11" t="str">
        <f t="shared" si="4"/>
        <v>A9</v>
      </c>
      <c r="I1094" s="10" t="str">
        <f t="shared" si="5"/>
        <v>BRN65M-A9</v>
      </c>
      <c r="J1094" s="16"/>
      <c r="K1094" s="16" t="str">
        <f t="shared" si="6"/>
        <v>collected</v>
      </c>
      <c r="L1094" s="16" t="str">
        <f t="shared" si="7"/>
        <v>N</v>
      </c>
      <c r="M1094" s="16"/>
      <c r="N1094" s="16"/>
    </row>
    <row r="1095">
      <c r="A1095" s="27" t="s">
        <v>1568</v>
      </c>
      <c r="B1095" s="10" t="str">
        <f t="shared" si="1"/>
        <v>RNA-muscle</v>
      </c>
      <c r="C1095" s="10" t="str">
        <f t="shared" si="2"/>
        <v>BRN65M-H11</v>
      </c>
      <c r="D1095" s="6">
        <v>65.0</v>
      </c>
      <c r="E1095" s="10" t="str">
        <f t="shared" si="3"/>
        <v>BRN65M</v>
      </c>
      <c r="F1095" s="6" t="s">
        <v>51</v>
      </c>
      <c r="G1095" s="6">
        <v>11.0</v>
      </c>
      <c r="H1095" s="11" t="str">
        <f t="shared" si="4"/>
        <v>H11</v>
      </c>
      <c r="I1095" s="10" t="str">
        <f t="shared" si="5"/>
        <v>BRN65M-H11</v>
      </c>
      <c r="J1095" s="16"/>
      <c r="K1095" s="16" t="str">
        <f t="shared" si="6"/>
        <v>collected</v>
      </c>
      <c r="L1095" s="16" t="str">
        <f t="shared" si="7"/>
        <v>N</v>
      </c>
      <c r="M1095" s="16"/>
      <c r="N1095" s="16"/>
    </row>
    <row r="1096">
      <c r="A1096" s="27" t="s">
        <v>1571</v>
      </c>
      <c r="B1096" s="10" t="str">
        <f t="shared" si="1"/>
        <v>RNA-muscle</v>
      </c>
      <c r="C1096" s="10" t="str">
        <f t="shared" si="2"/>
        <v>BRN65M-G11</v>
      </c>
      <c r="D1096" s="6">
        <v>65.0</v>
      </c>
      <c r="E1096" s="10" t="str">
        <f t="shared" si="3"/>
        <v>BRN65M</v>
      </c>
      <c r="F1096" s="6" t="s">
        <v>56</v>
      </c>
      <c r="G1096" s="6">
        <v>11.0</v>
      </c>
      <c r="H1096" s="11" t="str">
        <f t="shared" si="4"/>
        <v>G11</v>
      </c>
      <c r="I1096" s="10" t="str">
        <f t="shared" si="5"/>
        <v>BRN65M-G11</v>
      </c>
      <c r="J1096" s="16"/>
      <c r="K1096" s="16" t="str">
        <f t="shared" si="6"/>
        <v>collected</v>
      </c>
      <c r="L1096" s="16" t="str">
        <f t="shared" si="7"/>
        <v>N</v>
      </c>
      <c r="M1096" s="16"/>
      <c r="N1096" s="16"/>
    </row>
    <row r="1097">
      <c r="A1097" s="27" t="s">
        <v>1572</v>
      </c>
      <c r="B1097" s="10" t="str">
        <f t="shared" si="1"/>
        <v>RNA-muscle</v>
      </c>
      <c r="C1097" s="10" t="str">
        <f t="shared" si="2"/>
        <v>BRN65M-F11</v>
      </c>
      <c r="D1097" s="6">
        <v>65.0</v>
      </c>
      <c r="E1097" s="10" t="str">
        <f t="shared" si="3"/>
        <v>BRN65M</v>
      </c>
      <c r="F1097" s="6" t="s">
        <v>61</v>
      </c>
      <c r="G1097" s="6">
        <v>11.0</v>
      </c>
      <c r="H1097" s="11" t="str">
        <f t="shared" si="4"/>
        <v>F11</v>
      </c>
      <c r="I1097" s="10" t="str">
        <f t="shared" si="5"/>
        <v>BRN65M-F11</v>
      </c>
      <c r="J1097" s="6" t="s">
        <v>1573</v>
      </c>
      <c r="K1097" s="16" t="str">
        <f t="shared" si="6"/>
        <v>collected</v>
      </c>
      <c r="L1097" s="16" t="str">
        <f t="shared" si="7"/>
        <v>N</v>
      </c>
      <c r="M1097" s="16"/>
      <c r="N1097" s="16"/>
    </row>
    <row r="1098">
      <c r="A1098" s="27" t="s">
        <v>1574</v>
      </c>
      <c r="B1098" s="10" t="str">
        <f t="shared" si="1"/>
        <v>RNA-muscle</v>
      </c>
      <c r="C1098" s="10" t="str">
        <f t="shared" si="2"/>
        <v>BRN65M-E11</v>
      </c>
      <c r="D1098" s="6">
        <v>65.0</v>
      </c>
      <c r="E1098" s="10" t="str">
        <f t="shared" si="3"/>
        <v>BRN65M</v>
      </c>
      <c r="F1098" s="6" t="s">
        <v>66</v>
      </c>
      <c r="G1098" s="6">
        <v>11.0</v>
      </c>
      <c r="H1098" s="11" t="str">
        <f t="shared" si="4"/>
        <v>E11</v>
      </c>
      <c r="I1098" s="10" t="str">
        <f t="shared" si="5"/>
        <v>BRN65M-E11</v>
      </c>
      <c r="J1098" s="6" t="s">
        <v>1573</v>
      </c>
      <c r="K1098" s="16" t="str">
        <f t="shared" si="6"/>
        <v>collected</v>
      </c>
      <c r="L1098" s="16" t="str">
        <f t="shared" si="7"/>
        <v>N</v>
      </c>
      <c r="M1098" s="16"/>
      <c r="N1098" s="16"/>
    </row>
    <row r="1099">
      <c r="A1099" s="27" t="s">
        <v>1576</v>
      </c>
      <c r="B1099" s="10" t="str">
        <f t="shared" si="1"/>
        <v>RNA-muscle</v>
      </c>
      <c r="C1099" s="10" t="str">
        <f t="shared" si="2"/>
        <v>BRN65M-D11</v>
      </c>
      <c r="D1099" s="6">
        <v>65.0</v>
      </c>
      <c r="E1099" s="10" t="str">
        <f t="shared" si="3"/>
        <v>BRN65M</v>
      </c>
      <c r="F1099" s="6" t="s">
        <v>68</v>
      </c>
      <c r="G1099" s="6">
        <v>11.0</v>
      </c>
      <c r="H1099" s="11" t="str">
        <f t="shared" si="4"/>
        <v>D11</v>
      </c>
      <c r="I1099" s="10" t="str">
        <f t="shared" si="5"/>
        <v>BRN65M-D11</v>
      </c>
      <c r="J1099" s="16"/>
      <c r="K1099" s="16" t="str">
        <f t="shared" si="6"/>
        <v>collected</v>
      </c>
      <c r="L1099" s="16" t="str">
        <f t="shared" si="7"/>
        <v>N</v>
      </c>
      <c r="M1099" s="16"/>
      <c r="N1099" s="16"/>
    </row>
    <row r="1100">
      <c r="A1100" s="27" t="s">
        <v>1578</v>
      </c>
      <c r="B1100" s="10" t="str">
        <f t="shared" si="1"/>
        <v>RNA-muscle</v>
      </c>
      <c r="C1100" s="10" t="str">
        <f t="shared" si="2"/>
        <v>BRN65M-A7</v>
      </c>
      <c r="D1100" s="6">
        <v>65.0</v>
      </c>
      <c r="E1100" s="10" t="str">
        <f t="shared" si="3"/>
        <v>BRN65M</v>
      </c>
      <c r="F1100" s="6" t="s">
        <v>76</v>
      </c>
      <c r="G1100" s="6">
        <v>7.0</v>
      </c>
      <c r="H1100" s="11" t="str">
        <f t="shared" si="4"/>
        <v>A7</v>
      </c>
      <c r="I1100" s="10" t="str">
        <f t="shared" si="5"/>
        <v>BRN65M-A7</v>
      </c>
      <c r="J1100" s="16"/>
      <c r="K1100" s="16" t="str">
        <f t="shared" si="6"/>
        <v>collected</v>
      </c>
      <c r="L1100" s="16" t="str">
        <f t="shared" si="7"/>
        <v>N</v>
      </c>
      <c r="M1100" s="16"/>
      <c r="N1100" s="16"/>
    </row>
    <row r="1101">
      <c r="A1101" s="27" t="s">
        <v>1579</v>
      </c>
      <c r="B1101" s="10" t="str">
        <f t="shared" si="1"/>
        <v>RNA-muscle</v>
      </c>
      <c r="C1101" s="10" t="str">
        <f t="shared" si="2"/>
        <v>BRN65M-H10</v>
      </c>
      <c r="D1101" s="6">
        <v>65.0</v>
      </c>
      <c r="E1101" s="10" t="str">
        <f t="shared" si="3"/>
        <v>BRN65M</v>
      </c>
      <c r="F1101" s="6" t="s">
        <v>51</v>
      </c>
      <c r="G1101" s="6">
        <v>10.0</v>
      </c>
      <c r="H1101" s="11" t="str">
        <f t="shared" si="4"/>
        <v>H10</v>
      </c>
      <c r="I1101" s="10" t="str">
        <f t="shared" si="5"/>
        <v>BRN65M-H10</v>
      </c>
      <c r="J1101" s="16"/>
      <c r="K1101" s="16" t="str">
        <f t="shared" si="6"/>
        <v>collected</v>
      </c>
      <c r="L1101" s="16" t="str">
        <f t="shared" si="7"/>
        <v>N</v>
      </c>
      <c r="M1101" s="16"/>
      <c r="N1101" s="16"/>
    </row>
    <row r="1102">
      <c r="A1102" s="27" t="s">
        <v>1580</v>
      </c>
      <c r="B1102" s="10" t="str">
        <f t="shared" si="1"/>
        <v>RNA-muscle</v>
      </c>
      <c r="C1102" s="10" t="str">
        <f t="shared" si="2"/>
        <v>BRN65M-G10</v>
      </c>
      <c r="D1102" s="6">
        <v>65.0</v>
      </c>
      <c r="E1102" s="10" t="str">
        <f t="shared" si="3"/>
        <v>BRN65M</v>
      </c>
      <c r="F1102" s="6" t="s">
        <v>56</v>
      </c>
      <c r="G1102" s="6">
        <v>10.0</v>
      </c>
      <c r="H1102" s="11" t="str">
        <f t="shared" si="4"/>
        <v>G10</v>
      </c>
      <c r="I1102" s="10" t="str">
        <f t="shared" si="5"/>
        <v>BRN65M-G10</v>
      </c>
      <c r="J1102" s="16"/>
      <c r="K1102" s="16" t="str">
        <f t="shared" si="6"/>
        <v>collected</v>
      </c>
      <c r="L1102" s="16" t="str">
        <f t="shared" si="7"/>
        <v>N</v>
      </c>
      <c r="M1102" s="16"/>
      <c r="N1102" s="16"/>
    </row>
    <row r="1103">
      <c r="A1103" s="27" t="s">
        <v>1583</v>
      </c>
      <c r="B1103" s="10" t="str">
        <f t="shared" si="1"/>
        <v>RNA-muscle</v>
      </c>
      <c r="C1103" s="10" t="str">
        <f t="shared" si="2"/>
        <v>BRN65M-F10</v>
      </c>
      <c r="D1103" s="6">
        <v>65.0</v>
      </c>
      <c r="E1103" s="10" t="str">
        <f t="shared" si="3"/>
        <v>BRN65M</v>
      </c>
      <c r="F1103" s="6" t="s">
        <v>61</v>
      </c>
      <c r="G1103" s="6">
        <v>10.0</v>
      </c>
      <c r="H1103" s="11" t="str">
        <f t="shared" si="4"/>
        <v>F10</v>
      </c>
      <c r="I1103" s="10" t="str">
        <f t="shared" si="5"/>
        <v>BRN65M-F10</v>
      </c>
      <c r="J1103" s="6" t="s">
        <v>1584</v>
      </c>
      <c r="K1103" s="16" t="str">
        <f t="shared" si="6"/>
        <v>collected</v>
      </c>
      <c r="L1103" s="16" t="str">
        <f t="shared" si="7"/>
        <v>N</v>
      </c>
      <c r="M1103" s="16"/>
      <c r="N1103" s="16"/>
    </row>
    <row r="1104">
      <c r="A1104" s="27" t="s">
        <v>1585</v>
      </c>
      <c r="B1104" s="10" t="str">
        <f t="shared" si="1"/>
        <v>RNA-muscle</v>
      </c>
      <c r="C1104" s="10" t="str">
        <f t="shared" si="2"/>
        <v>BRN65M-E10</v>
      </c>
      <c r="D1104" s="6">
        <v>65.0</v>
      </c>
      <c r="E1104" s="10" t="str">
        <f t="shared" si="3"/>
        <v>BRN65M</v>
      </c>
      <c r="F1104" s="6" t="s">
        <v>66</v>
      </c>
      <c r="G1104" s="6">
        <v>10.0</v>
      </c>
      <c r="H1104" s="11" t="str">
        <f t="shared" si="4"/>
        <v>E10</v>
      </c>
      <c r="I1104" s="10" t="str">
        <f t="shared" si="5"/>
        <v>BRN65M-E10</v>
      </c>
      <c r="J1104" s="16"/>
      <c r="K1104" s="16" t="str">
        <f t="shared" si="6"/>
        <v>collected</v>
      </c>
      <c r="L1104" s="16" t="str">
        <f t="shared" si="7"/>
        <v>N</v>
      </c>
      <c r="M1104" s="16"/>
      <c r="N1104" s="16"/>
    </row>
    <row r="1105">
      <c r="A1105" s="27" t="s">
        <v>1586</v>
      </c>
      <c r="B1105" s="10" t="str">
        <f t="shared" si="1"/>
        <v>RNA-muscle</v>
      </c>
      <c r="C1105" s="10" t="str">
        <f t="shared" si="2"/>
        <v>BRN65M-D10</v>
      </c>
      <c r="D1105" s="6">
        <v>65.0</v>
      </c>
      <c r="E1105" s="10" t="str">
        <f t="shared" si="3"/>
        <v>BRN65M</v>
      </c>
      <c r="F1105" s="6" t="s">
        <v>68</v>
      </c>
      <c r="G1105" s="6">
        <v>10.0</v>
      </c>
      <c r="H1105" s="11" t="str">
        <f t="shared" si="4"/>
        <v>D10</v>
      </c>
      <c r="I1105" s="10" t="str">
        <f t="shared" si="5"/>
        <v>BRN65M-D10</v>
      </c>
      <c r="J1105" s="16"/>
      <c r="K1105" s="16" t="str">
        <f t="shared" si="6"/>
        <v>collected</v>
      </c>
      <c r="L1105" s="16" t="str">
        <f t="shared" si="7"/>
        <v>N</v>
      </c>
      <c r="M1105" s="16"/>
      <c r="N1105" s="16"/>
    </row>
    <row r="1106">
      <c r="A1106" s="27" t="s">
        <v>1587</v>
      </c>
      <c r="B1106" s="10" t="str">
        <f t="shared" si="1"/>
        <v>RNA-muscle</v>
      </c>
      <c r="C1106" s="10" t="str">
        <f t="shared" si="2"/>
        <v>BRN65M-C10</v>
      </c>
      <c r="D1106" s="6">
        <v>65.0</v>
      </c>
      <c r="E1106" s="10" t="str">
        <f t="shared" si="3"/>
        <v>BRN65M</v>
      </c>
      <c r="F1106" s="6" t="s">
        <v>72</v>
      </c>
      <c r="G1106" s="6">
        <v>10.0</v>
      </c>
      <c r="H1106" s="11" t="str">
        <f t="shared" si="4"/>
        <v>C10</v>
      </c>
      <c r="I1106" s="10" t="str">
        <f t="shared" si="5"/>
        <v>BRN65M-C10</v>
      </c>
      <c r="J1106" s="16"/>
      <c r="K1106" s="16" t="str">
        <f t="shared" si="6"/>
        <v>collected</v>
      </c>
      <c r="L1106" s="16" t="str">
        <f t="shared" si="7"/>
        <v>N</v>
      </c>
      <c r="M1106" s="16"/>
      <c r="N1106" s="16"/>
    </row>
    <row r="1107">
      <c r="A1107" s="27" t="s">
        <v>1588</v>
      </c>
      <c r="B1107" s="10" t="str">
        <f t="shared" si="1"/>
        <v>RNA-muscle</v>
      </c>
      <c r="C1107" s="10" t="str">
        <f t="shared" si="2"/>
        <v>BRN65M-B10</v>
      </c>
      <c r="D1107" s="6">
        <v>65.0</v>
      </c>
      <c r="E1107" s="10" t="str">
        <f t="shared" si="3"/>
        <v>BRN65M</v>
      </c>
      <c r="F1107" s="6" t="s">
        <v>74</v>
      </c>
      <c r="G1107" s="6">
        <v>10.0</v>
      </c>
      <c r="H1107" s="11" t="str">
        <f t="shared" si="4"/>
        <v>B10</v>
      </c>
      <c r="I1107" s="10" t="str">
        <f t="shared" si="5"/>
        <v>BRN65M-B10</v>
      </c>
      <c r="J1107" s="16"/>
      <c r="K1107" s="16" t="str">
        <f t="shared" si="6"/>
        <v>collected</v>
      </c>
      <c r="L1107" s="16" t="str">
        <f t="shared" si="7"/>
        <v>N</v>
      </c>
      <c r="M1107" s="16"/>
      <c r="N1107" s="16"/>
    </row>
    <row r="1108">
      <c r="A1108" s="27" t="s">
        <v>1589</v>
      </c>
      <c r="B1108" s="10" t="str">
        <f t="shared" si="1"/>
        <v>RNA-muscle</v>
      </c>
      <c r="C1108" s="10" t="str">
        <f t="shared" si="2"/>
        <v>BRN65M-A10</v>
      </c>
      <c r="D1108" s="6">
        <v>65.0</v>
      </c>
      <c r="E1108" s="10" t="str">
        <f t="shared" si="3"/>
        <v>BRN65M</v>
      </c>
      <c r="F1108" s="6" t="s">
        <v>76</v>
      </c>
      <c r="G1108" s="6">
        <v>10.0</v>
      </c>
      <c r="H1108" s="11" t="str">
        <f t="shared" si="4"/>
        <v>A10</v>
      </c>
      <c r="I1108" s="10" t="str">
        <f t="shared" si="5"/>
        <v>BRN65M-A10</v>
      </c>
      <c r="J1108" s="16"/>
      <c r="K1108" s="16" t="str">
        <f t="shared" si="6"/>
        <v>collected</v>
      </c>
      <c r="L1108" s="16" t="str">
        <f t="shared" si="7"/>
        <v>N</v>
      </c>
      <c r="M1108" s="16"/>
      <c r="N1108" s="16"/>
    </row>
    <row r="1109">
      <c r="A1109" s="27" t="s">
        <v>1591</v>
      </c>
      <c r="B1109" s="10" t="str">
        <f t="shared" si="1"/>
        <v>RNA-muscle</v>
      </c>
      <c r="C1109" s="10" t="str">
        <f t="shared" si="2"/>
        <v>BRN65M-C11</v>
      </c>
      <c r="D1109" s="6">
        <v>65.0</v>
      </c>
      <c r="E1109" s="10" t="str">
        <f t="shared" si="3"/>
        <v>BRN65M</v>
      </c>
      <c r="F1109" s="6" t="s">
        <v>72</v>
      </c>
      <c r="G1109" s="6">
        <v>11.0</v>
      </c>
      <c r="H1109" s="11" t="str">
        <f t="shared" si="4"/>
        <v>C11</v>
      </c>
      <c r="I1109" s="10" t="str">
        <f t="shared" si="5"/>
        <v>BRN65M-C11</v>
      </c>
      <c r="J1109" s="16"/>
      <c r="K1109" s="16" t="str">
        <f t="shared" si="6"/>
        <v>collected</v>
      </c>
      <c r="L1109" s="16" t="str">
        <f t="shared" si="7"/>
        <v>N</v>
      </c>
      <c r="M1109" s="16"/>
      <c r="N1109" s="16"/>
    </row>
    <row r="1110">
      <c r="A1110" s="27" t="s">
        <v>1592</v>
      </c>
      <c r="B1110" s="10" t="str">
        <f t="shared" si="1"/>
        <v>RNA-muscle</v>
      </c>
      <c r="C1110" s="10" t="str">
        <f t="shared" si="2"/>
        <v>BRN65M-B11</v>
      </c>
      <c r="D1110" s="6">
        <v>65.0</v>
      </c>
      <c r="E1110" s="10" t="str">
        <f t="shared" si="3"/>
        <v>BRN65M</v>
      </c>
      <c r="F1110" s="6" t="s">
        <v>74</v>
      </c>
      <c r="G1110" s="6">
        <v>11.0</v>
      </c>
      <c r="H1110" s="11" t="str">
        <f t="shared" si="4"/>
        <v>B11</v>
      </c>
      <c r="I1110" s="10" t="str">
        <f t="shared" si="5"/>
        <v>BRN65M-B11</v>
      </c>
      <c r="J1110" s="16"/>
      <c r="K1110" s="16" t="str">
        <f t="shared" si="6"/>
        <v>collected</v>
      </c>
      <c r="L1110" s="16" t="str">
        <f t="shared" si="7"/>
        <v>N</v>
      </c>
      <c r="M1110" s="16"/>
      <c r="N1110" s="16"/>
    </row>
    <row r="1111">
      <c r="A1111" s="27" t="s">
        <v>1593</v>
      </c>
      <c r="B1111" s="10" t="str">
        <f t="shared" si="1"/>
        <v>RNA-muscle</v>
      </c>
      <c r="C1111" s="10" t="str">
        <f t="shared" si="2"/>
        <v>BRN65M-A11</v>
      </c>
      <c r="D1111" s="6">
        <v>65.0</v>
      </c>
      <c r="E1111" s="10" t="str">
        <f t="shared" si="3"/>
        <v>BRN65M</v>
      </c>
      <c r="F1111" s="6" t="s">
        <v>76</v>
      </c>
      <c r="G1111" s="6">
        <v>11.0</v>
      </c>
      <c r="H1111" s="11" t="str">
        <f t="shared" si="4"/>
        <v>A11</v>
      </c>
      <c r="I1111" s="10" t="str">
        <f t="shared" si="5"/>
        <v>BRN65M-A11</v>
      </c>
      <c r="J1111" s="16"/>
      <c r="K1111" s="16" t="str">
        <f t="shared" si="6"/>
        <v>collected</v>
      </c>
      <c r="L1111" s="16" t="str">
        <f t="shared" si="7"/>
        <v>N</v>
      </c>
      <c r="M1111" s="16"/>
      <c r="N1111" s="16"/>
    </row>
    <row r="1112">
      <c r="A1112" s="27" t="s">
        <v>1594</v>
      </c>
      <c r="B1112" s="10" t="str">
        <f t="shared" si="1"/>
        <v>RNA-muscle</v>
      </c>
      <c r="C1112" s="10" t="str">
        <f t="shared" si="2"/>
        <v>BRN74M-H1</v>
      </c>
      <c r="D1112" s="6">
        <v>74.0</v>
      </c>
      <c r="E1112" s="10" t="str">
        <f t="shared" si="3"/>
        <v>BRN74M</v>
      </c>
      <c r="F1112" s="6" t="s">
        <v>51</v>
      </c>
      <c r="G1112" s="6">
        <v>1.0</v>
      </c>
      <c r="H1112" s="11" t="str">
        <f t="shared" si="4"/>
        <v>H1</v>
      </c>
      <c r="I1112" s="10" t="str">
        <f t="shared" si="5"/>
        <v>BRN74M-H1</v>
      </c>
      <c r="J1112" s="16"/>
      <c r="K1112" s="16" t="str">
        <f t="shared" si="6"/>
        <v>collected</v>
      </c>
      <c r="L1112" s="16" t="str">
        <f t="shared" si="7"/>
        <v>N</v>
      </c>
      <c r="M1112" s="16"/>
      <c r="N1112" s="16"/>
    </row>
    <row r="1113">
      <c r="A1113" s="27" t="s">
        <v>1596</v>
      </c>
      <c r="B1113" s="10" t="str">
        <f t="shared" si="1"/>
        <v>RNA-muscle</v>
      </c>
      <c r="C1113" s="10" t="str">
        <f t="shared" si="2"/>
        <v>BRN74M-G1</v>
      </c>
      <c r="D1113" s="6">
        <v>74.0</v>
      </c>
      <c r="E1113" s="10" t="str">
        <f t="shared" si="3"/>
        <v>BRN74M</v>
      </c>
      <c r="F1113" s="6" t="s">
        <v>56</v>
      </c>
      <c r="G1113" s="6">
        <v>1.0</v>
      </c>
      <c r="H1113" s="11" t="str">
        <f t="shared" si="4"/>
        <v>G1</v>
      </c>
      <c r="I1113" s="10" t="str">
        <f t="shared" si="5"/>
        <v>BRN74M-G1</v>
      </c>
      <c r="J1113" s="6" t="s">
        <v>1597</v>
      </c>
      <c r="K1113" s="16" t="str">
        <f t="shared" si="6"/>
        <v>collected</v>
      </c>
      <c r="L1113" s="16" t="str">
        <f t="shared" si="7"/>
        <v>N</v>
      </c>
      <c r="M1113" s="16"/>
      <c r="N1113" s="16"/>
    </row>
    <row r="1114">
      <c r="A1114" s="27" t="s">
        <v>1598</v>
      </c>
      <c r="B1114" s="10" t="str">
        <f t="shared" si="1"/>
        <v>RNA-muscle</v>
      </c>
      <c r="C1114" s="10" t="str">
        <f t="shared" si="2"/>
        <v>BRN74M-F1</v>
      </c>
      <c r="D1114" s="6">
        <v>74.0</v>
      </c>
      <c r="E1114" s="10" t="str">
        <f t="shared" si="3"/>
        <v>BRN74M</v>
      </c>
      <c r="F1114" s="6" t="s">
        <v>61</v>
      </c>
      <c r="G1114" s="6">
        <v>1.0</v>
      </c>
      <c r="H1114" s="11" t="str">
        <f t="shared" si="4"/>
        <v>F1</v>
      </c>
      <c r="I1114" s="10" t="str">
        <f t="shared" si="5"/>
        <v>BRN74M-F1</v>
      </c>
      <c r="J1114" s="16"/>
      <c r="K1114" s="16" t="str">
        <f t="shared" si="6"/>
        <v>collected</v>
      </c>
      <c r="L1114" s="16" t="str">
        <f t="shared" si="7"/>
        <v>N</v>
      </c>
      <c r="M1114" s="16"/>
      <c r="N1114" s="16"/>
    </row>
    <row r="1115">
      <c r="A1115" s="27" t="s">
        <v>1599</v>
      </c>
      <c r="B1115" s="10" t="str">
        <f t="shared" si="1"/>
        <v>RNA-muscle</v>
      </c>
      <c r="C1115" s="10" t="str">
        <f t="shared" si="2"/>
        <v>BRN74M-E1</v>
      </c>
      <c r="D1115" s="6">
        <v>74.0</v>
      </c>
      <c r="E1115" s="10" t="str">
        <f t="shared" si="3"/>
        <v>BRN74M</v>
      </c>
      <c r="F1115" s="6" t="s">
        <v>66</v>
      </c>
      <c r="G1115" s="6">
        <v>1.0</v>
      </c>
      <c r="H1115" s="11" t="str">
        <f t="shared" si="4"/>
        <v>E1</v>
      </c>
      <c r="I1115" s="10" t="str">
        <f t="shared" si="5"/>
        <v>BRN74M-E1</v>
      </c>
      <c r="J1115" s="16"/>
      <c r="K1115" s="16" t="str">
        <f t="shared" si="6"/>
        <v>collected</v>
      </c>
      <c r="L1115" s="16" t="str">
        <f t="shared" si="7"/>
        <v>N</v>
      </c>
      <c r="M1115" s="16"/>
      <c r="N1115" s="16"/>
    </row>
    <row r="1116">
      <c r="A1116" s="27" t="s">
        <v>1600</v>
      </c>
      <c r="B1116" s="10" t="str">
        <f t="shared" si="1"/>
        <v>RNA-muscle</v>
      </c>
      <c r="C1116" s="10" t="str">
        <f t="shared" si="2"/>
        <v>BRN74M-D1</v>
      </c>
      <c r="D1116" s="6">
        <v>74.0</v>
      </c>
      <c r="E1116" s="10" t="str">
        <f t="shared" si="3"/>
        <v>BRN74M</v>
      </c>
      <c r="F1116" s="6" t="s">
        <v>68</v>
      </c>
      <c r="G1116" s="6">
        <v>1.0</v>
      </c>
      <c r="H1116" s="11" t="str">
        <f t="shared" si="4"/>
        <v>D1</v>
      </c>
      <c r="I1116" s="10" t="str">
        <f t="shared" si="5"/>
        <v>BRN74M-D1</v>
      </c>
      <c r="J1116" s="16"/>
      <c r="K1116" s="16" t="str">
        <f t="shared" si="6"/>
        <v>collected</v>
      </c>
      <c r="L1116" s="16" t="str">
        <f t="shared" si="7"/>
        <v>N</v>
      </c>
      <c r="M1116" s="16"/>
      <c r="N1116" s="16"/>
    </row>
    <row r="1117">
      <c r="A1117" s="27" t="s">
        <v>1602</v>
      </c>
      <c r="B1117" s="10" t="str">
        <f t="shared" si="1"/>
        <v>RNA-muscle</v>
      </c>
      <c r="C1117" s="10" t="str">
        <f t="shared" si="2"/>
        <v>BRN74M-C1</v>
      </c>
      <c r="D1117" s="6">
        <v>74.0</v>
      </c>
      <c r="E1117" s="10" t="str">
        <f t="shared" si="3"/>
        <v>BRN74M</v>
      </c>
      <c r="F1117" s="6" t="s">
        <v>72</v>
      </c>
      <c r="G1117" s="6">
        <v>1.0</v>
      </c>
      <c r="H1117" s="11" t="str">
        <f t="shared" si="4"/>
        <v>C1</v>
      </c>
      <c r="I1117" s="10" t="str">
        <f t="shared" si="5"/>
        <v>BRN74M-C1</v>
      </c>
      <c r="J1117" s="16"/>
      <c r="K1117" s="16" t="str">
        <f t="shared" si="6"/>
        <v>collected</v>
      </c>
      <c r="L1117" s="16" t="str">
        <f t="shared" si="7"/>
        <v>N</v>
      </c>
      <c r="M1117" s="16"/>
      <c r="N1117" s="16"/>
    </row>
    <row r="1118">
      <c r="A1118" s="27" t="s">
        <v>1604</v>
      </c>
      <c r="B1118" s="10" t="str">
        <f t="shared" si="1"/>
        <v>RNA-muscle</v>
      </c>
      <c r="C1118" s="10" t="str">
        <f t="shared" si="2"/>
        <v>BRN74M-B1</v>
      </c>
      <c r="D1118" s="6">
        <v>74.0</v>
      </c>
      <c r="E1118" s="10" t="str">
        <f t="shared" si="3"/>
        <v>BRN74M</v>
      </c>
      <c r="F1118" s="6" t="s">
        <v>74</v>
      </c>
      <c r="G1118" s="6">
        <v>1.0</v>
      </c>
      <c r="H1118" s="11" t="str">
        <f t="shared" si="4"/>
        <v>B1</v>
      </c>
      <c r="I1118" s="10" t="str">
        <f t="shared" si="5"/>
        <v>BRN74M-B1</v>
      </c>
      <c r="J1118" s="16"/>
      <c r="K1118" s="16" t="str">
        <f t="shared" si="6"/>
        <v>collected</v>
      </c>
      <c r="L1118" s="16" t="str">
        <f t="shared" si="7"/>
        <v>N</v>
      </c>
      <c r="M1118" s="16"/>
      <c r="N1118" s="16"/>
    </row>
    <row r="1119">
      <c r="A1119" s="27" t="s">
        <v>1606</v>
      </c>
      <c r="B1119" s="10" t="str">
        <f t="shared" si="1"/>
        <v>RNA-muscle</v>
      </c>
      <c r="C1119" s="10" t="str">
        <f t="shared" si="2"/>
        <v>BRN74M-A1</v>
      </c>
      <c r="D1119" s="6">
        <v>74.0</v>
      </c>
      <c r="E1119" s="10" t="str">
        <f t="shared" si="3"/>
        <v>BRN74M</v>
      </c>
      <c r="F1119" s="6" t="s">
        <v>76</v>
      </c>
      <c r="G1119" s="6">
        <v>1.0</v>
      </c>
      <c r="H1119" s="11" t="str">
        <f t="shared" si="4"/>
        <v>A1</v>
      </c>
      <c r="I1119" s="10" t="str">
        <f t="shared" si="5"/>
        <v>BRN74M-A1</v>
      </c>
      <c r="J1119" s="16"/>
      <c r="K1119" s="16" t="str">
        <f t="shared" si="6"/>
        <v>collected</v>
      </c>
      <c r="L1119" s="16" t="str">
        <f t="shared" si="7"/>
        <v>N</v>
      </c>
      <c r="M1119" s="16"/>
      <c r="N1119" s="16"/>
    </row>
    <row r="1120">
      <c r="A1120" s="27" t="s">
        <v>1607</v>
      </c>
      <c r="B1120" s="10" t="str">
        <f t="shared" si="1"/>
        <v>RNA-muscle</v>
      </c>
      <c r="C1120" s="10" t="str">
        <f t="shared" si="2"/>
        <v>BRN74M-H3</v>
      </c>
      <c r="D1120" s="6">
        <v>74.0</v>
      </c>
      <c r="E1120" s="10" t="str">
        <f t="shared" si="3"/>
        <v>BRN74M</v>
      </c>
      <c r="F1120" s="6" t="s">
        <v>51</v>
      </c>
      <c r="G1120" s="6">
        <v>3.0</v>
      </c>
      <c r="H1120" s="11" t="str">
        <f t="shared" si="4"/>
        <v>H3</v>
      </c>
      <c r="I1120" s="10" t="str">
        <f t="shared" si="5"/>
        <v>BRN74M-H3</v>
      </c>
      <c r="J1120" s="16"/>
      <c r="K1120" s="16" t="str">
        <f t="shared" si="6"/>
        <v>collected</v>
      </c>
      <c r="L1120" s="16" t="str">
        <f t="shared" si="7"/>
        <v>N</v>
      </c>
      <c r="M1120" s="16"/>
      <c r="N1120" s="16"/>
    </row>
    <row r="1121">
      <c r="A1121" s="27" t="s">
        <v>1608</v>
      </c>
      <c r="B1121" s="10" t="str">
        <f t="shared" si="1"/>
        <v>RNA-muscle</v>
      </c>
      <c r="C1121" s="10" t="str">
        <f t="shared" si="2"/>
        <v>BRN74M-G3</v>
      </c>
      <c r="D1121" s="6">
        <v>74.0</v>
      </c>
      <c r="E1121" s="10" t="str">
        <f t="shared" si="3"/>
        <v>BRN74M</v>
      </c>
      <c r="F1121" s="6" t="s">
        <v>56</v>
      </c>
      <c r="G1121" s="6">
        <v>3.0</v>
      </c>
      <c r="H1121" s="11" t="str">
        <f t="shared" si="4"/>
        <v>G3</v>
      </c>
      <c r="I1121" s="10" t="str">
        <f t="shared" si="5"/>
        <v>BRN74M-G3</v>
      </c>
      <c r="J1121" s="16"/>
      <c r="K1121" s="16" t="str">
        <f t="shared" si="6"/>
        <v>collected</v>
      </c>
      <c r="L1121" s="16" t="str">
        <f t="shared" si="7"/>
        <v>N</v>
      </c>
      <c r="M1121" s="16"/>
      <c r="N1121" s="16"/>
    </row>
    <row r="1122">
      <c r="A1122" s="27" t="s">
        <v>1609</v>
      </c>
      <c r="B1122" s="10" t="str">
        <f t="shared" si="1"/>
        <v>RNA-muscle</v>
      </c>
      <c r="C1122" s="10" t="str">
        <f t="shared" si="2"/>
        <v>BRN74M-F3</v>
      </c>
      <c r="D1122" s="6">
        <v>74.0</v>
      </c>
      <c r="E1122" s="10" t="str">
        <f t="shared" si="3"/>
        <v>BRN74M</v>
      </c>
      <c r="F1122" s="6" t="s">
        <v>61</v>
      </c>
      <c r="G1122" s="6">
        <v>3.0</v>
      </c>
      <c r="H1122" s="11" t="str">
        <f t="shared" si="4"/>
        <v>F3</v>
      </c>
      <c r="I1122" s="10" t="str">
        <f t="shared" si="5"/>
        <v>BRN74M-F3</v>
      </c>
      <c r="J1122" s="16"/>
      <c r="K1122" s="16" t="str">
        <f t="shared" si="6"/>
        <v>collected</v>
      </c>
      <c r="L1122" s="16" t="str">
        <f t="shared" si="7"/>
        <v>N</v>
      </c>
      <c r="M1122" s="16"/>
      <c r="N1122" s="16"/>
    </row>
    <row r="1123">
      <c r="A1123" s="27" t="s">
        <v>1610</v>
      </c>
      <c r="B1123" s="10" t="str">
        <f t="shared" si="1"/>
        <v>RNA-muscle</v>
      </c>
      <c r="C1123" s="10" t="str">
        <f t="shared" si="2"/>
        <v>BRN74M-E3</v>
      </c>
      <c r="D1123" s="6">
        <v>74.0</v>
      </c>
      <c r="E1123" s="10" t="str">
        <f t="shared" si="3"/>
        <v>BRN74M</v>
      </c>
      <c r="F1123" s="6" t="s">
        <v>66</v>
      </c>
      <c r="G1123" s="6">
        <v>3.0</v>
      </c>
      <c r="H1123" s="11" t="str">
        <f t="shared" si="4"/>
        <v>E3</v>
      </c>
      <c r="I1123" s="10" t="str">
        <f t="shared" si="5"/>
        <v>BRN74M-E3</v>
      </c>
      <c r="J1123" s="16"/>
      <c r="K1123" s="16" t="str">
        <f t="shared" si="6"/>
        <v>collected</v>
      </c>
      <c r="L1123" s="16" t="str">
        <f t="shared" si="7"/>
        <v>N</v>
      </c>
      <c r="M1123" s="16"/>
      <c r="N1123" s="16"/>
    </row>
    <row r="1124">
      <c r="A1124" s="27" t="s">
        <v>1612</v>
      </c>
      <c r="B1124" s="10" t="str">
        <f t="shared" si="1"/>
        <v>RNA-muscle</v>
      </c>
      <c r="C1124" s="10" t="str">
        <f t="shared" si="2"/>
        <v>BRN74M-D3</v>
      </c>
      <c r="D1124" s="6">
        <v>74.0</v>
      </c>
      <c r="E1124" s="10" t="str">
        <f t="shared" si="3"/>
        <v>BRN74M</v>
      </c>
      <c r="F1124" s="6" t="s">
        <v>68</v>
      </c>
      <c r="G1124" s="6">
        <v>3.0</v>
      </c>
      <c r="H1124" s="11" t="str">
        <f t="shared" si="4"/>
        <v>D3</v>
      </c>
      <c r="I1124" s="10" t="str">
        <f t="shared" si="5"/>
        <v>BRN74M-D3</v>
      </c>
      <c r="J1124" s="16"/>
      <c r="K1124" s="16" t="str">
        <f t="shared" si="6"/>
        <v>collected</v>
      </c>
      <c r="L1124" s="16" t="str">
        <f t="shared" si="7"/>
        <v>N</v>
      </c>
      <c r="M1124" s="16"/>
      <c r="N1124" s="16"/>
    </row>
    <row r="1125">
      <c r="A1125" s="27" t="s">
        <v>1613</v>
      </c>
      <c r="B1125" s="10" t="str">
        <f t="shared" si="1"/>
        <v>RNA-muscle</v>
      </c>
      <c r="C1125" s="10" t="str">
        <f t="shared" si="2"/>
        <v>BRN74M-C3</v>
      </c>
      <c r="D1125" s="6">
        <v>74.0</v>
      </c>
      <c r="E1125" s="10" t="str">
        <f t="shared" si="3"/>
        <v>BRN74M</v>
      </c>
      <c r="F1125" s="6" t="s">
        <v>72</v>
      </c>
      <c r="G1125" s="6">
        <v>3.0</v>
      </c>
      <c r="H1125" s="11" t="str">
        <f t="shared" si="4"/>
        <v>C3</v>
      </c>
      <c r="I1125" s="10" t="str">
        <f t="shared" si="5"/>
        <v>BRN74M-C3</v>
      </c>
      <c r="J1125" s="16"/>
      <c r="K1125" s="16" t="str">
        <f t="shared" si="6"/>
        <v>collected</v>
      </c>
      <c r="L1125" s="16" t="str">
        <f t="shared" si="7"/>
        <v>N</v>
      </c>
      <c r="M1125" s="16"/>
      <c r="N1125" s="16"/>
    </row>
    <row r="1126">
      <c r="A1126" s="27" t="s">
        <v>1614</v>
      </c>
      <c r="B1126" s="10" t="str">
        <f t="shared" si="1"/>
        <v>RNA-muscle</v>
      </c>
      <c r="C1126" s="10" t="str">
        <f t="shared" si="2"/>
        <v>BRN65M-G12</v>
      </c>
      <c r="D1126" s="6">
        <v>65.0</v>
      </c>
      <c r="E1126" s="10" t="str">
        <f t="shared" si="3"/>
        <v>BRN65M</v>
      </c>
      <c r="F1126" s="6" t="s">
        <v>56</v>
      </c>
      <c r="G1126" s="6">
        <v>12.0</v>
      </c>
      <c r="H1126" s="11" t="str">
        <f t="shared" si="4"/>
        <v>G12</v>
      </c>
      <c r="I1126" s="10" t="str">
        <f t="shared" si="5"/>
        <v>BRN65M-G12</v>
      </c>
      <c r="J1126" s="16"/>
      <c r="K1126" s="16" t="str">
        <f t="shared" si="6"/>
        <v>collected</v>
      </c>
      <c r="L1126" s="16" t="str">
        <f t="shared" si="7"/>
        <v>N</v>
      </c>
      <c r="M1126" s="16"/>
      <c r="N1126" s="16"/>
    </row>
    <row r="1127">
      <c r="A1127" s="27" t="s">
        <v>1615</v>
      </c>
      <c r="B1127" s="10" t="str">
        <f t="shared" si="1"/>
        <v>RNA-muscle</v>
      </c>
      <c r="C1127" s="10" t="str">
        <f t="shared" si="2"/>
        <v>BRN65M-F12</v>
      </c>
      <c r="D1127" s="6">
        <v>65.0</v>
      </c>
      <c r="E1127" s="10" t="str">
        <f t="shared" si="3"/>
        <v>BRN65M</v>
      </c>
      <c r="F1127" s="6" t="s">
        <v>61</v>
      </c>
      <c r="G1127" s="6">
        <v>12.0</v>
      </c>
      <c r="H1127" s="11" t="str">
        <f t="shared" si="4"/>
        <v>F12</v>
      </c>
      <c r="I1127" s="10" t="str">
        <f t="shared" si="5"/>
        <v>BRN65M-F12</v>
      </c>
      <c r="J1127" s="6" t="s">
        <v>1616</v>
      </c>
      <c r="K1127" s="16" t="str">
        <f t="shared" si="6"/>
        <v>collected</v>
      </c>
      <c r="L1127" s="16" t="str">
        <f t="shared" si="7"/>
        <v>N</v>
      </c>
      <c r="M1127" s="16"/>
      <c r="N1127" s="16"/>
    </row>
    <row r="1128">
      <c r="A1128" s="27" t="s">
        <v>1618</v>
      </c>
      <c r="B1128" s="10" t="str">
        <f t="shared" si="1"/>
        <v>RNA-muscle</v>
      </c>
      <c r="C1128" s="10" t="str">
        <f t="shared" si="2"/>
        <v>BRN65M-E12</v>
      </c>
      <c r="D1128" s="6">
        <v>65.0</v>
      </c>
      <c r="E1128" s="10" t="str">
        <f t="shared" si="3"/>
        <v>BRN65M</v>
      </c>
      <c r="F1128" s="6" t="s">
        <v>66</v>
      </c>
      <c r="G1128" s="6">
        <v>12.0</v>
      </c>
      <c r="H1128" s="11" t="str">
        <f t="shared" si="4"/>
        <v>E12</v>
      </c>
      <c r="I1128" s="10" t="str">
        <f t="shared" si="5"/>
        <v>BRN65M-E12</v>
      </c>
      <c r="J1128" s="16"/>
      <c r="K1128" s="16" t="str">
        <f t="shared" si="6"/>
        <v>collected</v>
      </c>
      <c r="L1128" s="16" t="str">
        <f t="shared" si="7"/>
        <v>N</v>
      </c>
      <c r="M1128" s="16"/>
      <c r="N1128" s="16"/>
    </row>
    <row r="1129">
      <c r="A1129" s="27" t="s">
        <v>1619</v>
      </c>
      <c r="B1129" s="10" t="str">
        <f t="shared" si="1"/>
        <v>RNA-muscle</v>
      </c>
      <c r="C1129" s="10" t="str">
        <f t="shared" si="2"/>
        <v>BRN65M-D12</v>
      </c>
      <c r="D1129" s="6">
        <v>65.0</v>
      </c>
      <c r="E1129" s="10" t="str">
        <f t="shared" si="3"/>
        <v>BRN65M</v>
      </c>
      <c r="F1129" s="6" t="s">
        <v>68</v>
      </c>
      <c r="G1129" s="6">
        <v>12.0</v>
      </c>
      <c r="H1129" s="11" t="str">
        <f t="shared" si="4"/>
        <v>D12</v>
      </c>
      <c r="I1129" s="10" t="str">
        <f t="shared" si="5"/>
        <v>BRN65M-D12</v>
      </c>
      <c r="J1129" s="16"/>
      <c r="K1129" s="16" t="str">
        <f t="shared" si="6"/>
        <v>collected</v>
      </c>
      <c r="L1129" s="16" t="str">
        <f t="shared" si="7"/>
        <v>N</v>
      </c>
      <c r="M1129" s="16"/>
      <c r="N1129" s="16"/>
    </row>
    <row r="1130">
      <c r="A1130" s="27" t="s">
        <v>1620</v>
      </c>
      <c r="B1130" s="10" t="str">
        <f t="shared" si="1"/>
        <v>RNA-muscle</v>
      </c>
      <c r="C1130" s="10" t="str">
        <f t="shared" si="2"/>
        <v>BRN65M-C12</v>
      </c>
      <c r="D1130" s="6">
        <v>65.0</v>
      </c>
      <c r="E1130" s="10" t="str">
        <f t="shared" si="3"/>
        <v>BRN65M</v>
      </c>
      <c r="F1130" s="6" t="s">
        <v>72</v>
      </c>
      <c r="G1130" s="6">
        <v>12.0</v>
      </c>
      <c r="H1130" s="11" t="str">
        <f t="shared" si="4"/>
        <v>C12</v>
      </c>
      <c r="I1130" s="10" t="str">
        <f t="shared" si="5"/>
        <v>BRN65M-C12</v>
      </c>
      <c r="J1130" s="16"/>
      <c r="K1130" s="16" t="str">
        <f t="shared" si="6"/>
        <v>collected</v>
      </c>
      <c r="L1130" s="16" t="str">
        <f t="shared" si="7"/>
        <v>N</v>
      </c>
      <c r="M1130" s="16"/>
      <c r="N1130" s="16"/>
    </row>
    <row r="1131">
      <c r="A1131" s="27" t="s">
        <v>1621</v>
      </c>
      <c r="B1131" s="10" t="str">
        <f t="shared" si="1"/>
        <v>RNA-muscle</v>
      </c>
      <c r="C1131" s="10" t="str">
        <f t="shared" si="2"/>
        <v>BRN65M-B12</v>
      </c>
      <c r="D1131" s="6">
        <v>65.0</v>
      </c>
      <c r="E1131" s="10" t="str">
        <f t="shared" si="3"/>
        <v>BRN65M</v>
      </c>
      <c r="F1131" s="6" t="s">
        <v>74</v>
      </c>
      <c r="G1131" s="6">
        <v>12.0</v>
      </c>
      <c r="H1131" s="11" t="str">
        <f t="shared" si="4"/>
        <v>B12</v>
      </c>
      <c r="I1131" s="10" t="str">
        <f t="shared" si="5"/>
        <v>BRN65M-B12</v>
      </c>
      <c r="J1131" s="16"/>
      <c r="K1131" s="16" t="str">
        <f t="shared" si="6"/>
        <v>collected</v>
      </c>
      <c r="L1131" s="16" t="str">
        <f t="shared" si="7"/>
        <v>N</v>
      </c>
      <c r="M1131" s="16"/>
      <c r="N1131" s="16"/>
    </row>
    <row r="1132">
      <c r="A1132" s="27" t="s">
        <v>1623</v>
      </c>
      <c r="B1132" s="10" t="str">
        <f t="shared" si="1"/>
        <v>RNA-muscle</v>
      </c>
      <c r="C1132" s="10" t="str">
        <f t="shared" si="2"/>
        <v>BRN65M-A12</v>
      </c>
      <c r="D1132" s="6">
        <v>65.0</v>
      </c>
      <c r="E1132" s="10" t="str">
        <f t="shared" si="3"/>
        <v>BRN65M</v>
      </c>
      <c r="F1132" s="6" t="s">
        <v>76</v>
      </c>
      <c r="G1132" s="6">
        <v>12.0</v>
      </c>
      <c r="H1132" s="11" t="str">
        <f t="shared" si="4"/>
        <v>A12</v>
      </c>
      <c r="I1132" s="10" t="str">
        <f t="shared" si="5"/>
        <v>BRN65M-A12</v>
      </c>
      <c r="J1132" s="16"/>
      <c r="K1132" s="16" t="str">
        <f t="shared" si="6"/>
        <v>collected</v>
      </c>
      <c r="L1132" s="16" t="str">
        <f t="shared" si="7"/>
        <v>N</v>
      </c>
      <c r="M1132" s="16"/>
      <c r="N1132" s="16"/>
    </row>
    <row r="1133">
      <c r="A1133" s="27" t="s">
        <v>1624</v>
      </c>
      <c r="B1133" s="10" t="str">
        <f t="shared" si="1"/>
        <v>RNA-muscle</v>
      </c>
      <c r="C1133" s="10" t="str">
        <f t="shared" si="2"/>
        <v>BRN74M-H2</v>
      </c>
      <c r="D1133" s="6">
        <v>74.0</v>
      </c>
      <c r="E1133" s="10" t="str">
        <f t="shared" si="3"/>
        <v>BRN74M</v>
      </c>
      <c r="F1133" s="6" t="s">
        <v>51</v>
      </c>
      <c r="G1133" s="6">
        <v>2.0</v>
      </c>
      <c r="H1133" s="11" t="str">
        <f t="shared" si="4"/>
        <v>H2</v>
      </c>
      <c r="I1133" s="10" t="str">
        <f t="shared" si="5"/>
        <v>BRN74M-H2</v>
      </c>
      <c r="J1133" s="16"/>
      <c r="K1133" s="16" t="str">
        <f t="shared" si="6"/>
        <v>collected</v>
      </c>
      <c r="L1133" s="16" t="str">
        <f t="shared" si="7"/>
        <v>N</v>
      </c>
      <c r="M1133" s="16"/>
      <c r="N1133" s="16"/>
    </row>
    <row r="1134">
      <c r="A1134" s="27" t="s">
        <v>1625</v>
      </c>
      <c r="B1134" s="10" t="str">
        <f t="shared" si="1"/>
        <v>RNA-muscle</v>
      </c>
      <c r="C1134" s="10" t="str">
        <f t="shared" si="2"/>
        <v>BRN74M-G2</v>
      </c>
      <c r="D1134" s="6">
        <v>74.0</v>
      </c>
      <c r="E1134" s="10" t="str">
        <f t="shared" si="3"/>
        <v>BRN74M</v>
      </c>
      <c r="F1134" s="6" t="s">
        <v>56</v>
      </c>
      <c r="G1134" s="6">
        <v>2.0</v>
      </c>
      <c r="H1134" s="11" t="str">
        <f t="shared" si="4"/>
        <v>G2</v>
      </c>
      <c r="I1134" s="10" t="str">
        <f t="shared" si="5"/>
        <v>BRN74M-G2</v>
      </c>
      <c r="J1134" s="16"/>
      <c r="K1134" s="16" t="str">
        <f t="shared" si="6"/>
        <v>collected</v>
      </c>
      <c r="L1134" s="16" t="str">
        <f t="shared" si="7"/>
        <v>N</v>
      </c>
      <c r="M1134" s="16"/>
      <c r="N1134" s="16"/>
    </row>
    <row r="1135">
      <c r="A1135" s="27" t="s">
        <v>1626</v>
      </c>
      <c r="B1135" s="10" t="str">
        <f t="shared" si="1"/>
        <v>RNA-muscle</v>
      </c>
      <c r="C1135" s="10" t="str">
        <f t="shared" si="2"/>
        <v>BRN74M-F2</v>
      </c>
      <c r="D1135" s="6">
        <v>74.0</v>
      </c>
      <c r="E1135" s="10" t="str">
        <f t="shared" si="3"/>
        <v>BRN74M</v>
      </c>
      <c r="F1135" s="6" t="s">
        <v>61</v>
      </c>
      <c r="G1135" s="6">
        <v>2.0</v>
      </c>
      <c r="H1135" s="11" t="str">
        <f t="shared" si="4"/>
        <v>F2</v>
      </c>
      <c r="I1135" s="10" t="str">
        <f t="shared" si="5"/>
        <v>BRN74M-F2</v>
      </c>
      <c r="J1135" s="16"/>
      <c r="K1135" s="16" t="str">
        <f t="shared" si="6"/>
        <v>collected</v>
      </c>
      <c r="L1135" s="16" t="str">
        <f t="shared" si="7"/>
        <v>N</v>
      </c>
      <c r="M1135" s="16"/>
      <c r="N1135" s="16"/>
    </row>
    <row r="1136">
      <c r="A1136" s="27" t="s">
        <v>1627</v>
      </c>
      <c r="B1136" s="10" t="str">
        <f t="shared" si="1"/>
        <v>RNA-muscle</v>
      </c>
      <c r="C1136" s="10" t="str">
        <f t="shared" si="2"/>
        <v>BRN74M-E2</v>
      </c>
      <c r="D1136" s="6">
        <v>74.0</v>
      </c>
      <c r="E1136" s="10" t="str">
        <f t="shared" si="3"/>
        <v>BRN74M</v>
      </c>
      <c r="F1136" s="6" t="s">
        <v>66</v>
      </c>
      <c r="G1136" s="6">
        <v>2.0</v>
      </c>
      <c r="H1136" s="11" t="str">
        <f t="shared" si="4"/>
        <v>E2</v>
      </c>
      <c r="I1136" s="10" t="str">
        <f t="shared" si="5"/>
        <v>BRN74M-E2</v>
      </c>
      <c r="J1136" s="16"/>
      <c r="K1136" s="16" t="str">
        <f t="shared" si="6"/>
        <v>collected</v>
      </c>
      <c r="L1136" s="16" t="str">
        <f t="shared" si="7"/>
        <v>N</v>
      </c>
      <c r="M1136" s="16"/>
      <c r="N1136" s="16"/>
    </row>
    <row r="1137">
      <c r="A1137" s="27" t="s">
        <v>1629</v>
      </c>
      <c r="B1137" s="10" t="str">
        <f t="shared" si="1"/>
        <v>RNA-muscle</v>
      </c>
      <c r="C1137" s="10" t="str">
        <f t="shared" si="2"/>
        <v>BRN74M-D2</v>
      </c>
      <c r="D1137" s="6">
        <v>74.0</v>
      </c>
      <c r="E1137" s="10" t="str">
        <f t="shared" si="3"/>
        <v>BRN74M</v>
      </c>
      <c r="F1137" s="6" t="s">
        <v>68</v>
      </c>
      <c r="G1137" s="6">
        <v>2.0</v>
      </c>
      <c r="H1137" s="11" t="str">
        <f t="shared" si="4"/>
        <v>D2</v>
      </c>
      <c r="I1137" s="10" t="str">
        <f t="shared" si="5"/>
        <v>BRN74M-D2</v>
      </c>
      <c r="J1137" s="16"/>
      <c r="K1137" s="16" t="str">
        <f t="shared" si="6"/>
        <v>collected</v>
      </c>
      <c r="L1137" s="16" t="str">
        <f t="shared" si="7"/>
        <v>N</v>
      </c>
      <c r="M1137" s="16"/>
      <c r="N1137" s="16"/>
    </row>
    <row r="1138">
      <c r="A1138" s="27" t="s">
        <v>1630</v>
      </c>
      <c r="B1138" s="10" t="str">
        <f t="shared" si="1"/>
        <v>RNA-muscle</v>
      </c>
      <c r="C1138" s="10" t="str">
        <f t="shared" si="2"/>
        <v>BRN74M-C2</v>
      </c>
      <c r="D1138" s="6">
        <v>74.0</v>
      </c>
      <c r="E1138" s="10" t="str">
        <f t="shared" si="3"/>
        <v>BRN74M</v>
      </c>
      <c r="F1138" s="6" t="s">
        <v>72</v>
      </c>
      <c r="G1138" s="6">
        <v>2.0</v>
      </c>
      <c r="H1138" s="11" t="str">
        <f t="shared" si="4"/>
        <v>C2</v>
      </c>
      <c r="I1138" s="10" t="str">
        <f t="shared" si="5"/>
        <v>BRN74M-C2</v>
      </c>
      <c r="J1138" s="16"/>
      <c r="K1138" s="16" t="str">
        <f t="shared" si="6"/>
        <v>collected</v>
      </c>
      <c r="L1138" s="16" t="str">
        <f t="shared" si="7"/>
        <v>N</v>
      </c>
      <c r="M1138" s="16"/>
      <c r="N1138" s="16"/>
    </row>
    <row r="1139">
      <c r="A1139" s="27" t="s">
        <v>1632</v>
      </c>
      <c r="B1139" s="10" t="str">
        <f t="shared" si="1"/>
        <v>RNA-muscle</v>
      </c>
      <c r="C1139" s="10" t="str">
        <f t="shared" si="2"/>
        <v>BRN74M-B2</v>
      </c>
      <c r="D1139" s="6">
        <v>74.0</v>
      </c>
      <c r="E1139" s="10" t="str">
        <f t="shared" si="3"/>
        <v>BRN74M</v>
      </c>
      <c r="F1139" s="6" t="s">
        <v>74</v>
      </c>
      <c r="G1139" s="6">
        <v>2.0</v>
      </c>
      <c r="H1139" s="11" t="str">
        <f t="shared" si="4"/>
        <v>B2</v>
      </c>
      <c r="I1139" s="10" t="str">
        <f t="shared" si="5"/>
        <v>BRN74M-B2</v>
      </c>
      <c r="J1139" s="16"/>
      <c r="K1139" s="16" t="str">
        <f t="shared" si="6"/>
        <v>collected</v>
      </c>
      <c r="L1139" s="16" t="str">
        <f t="shared" si="7"/>
        <v>N</v>
      </c>
      <c r="M1139" s="16"/>
      <c r="N1139" s="16"/>
    </row>
    <row r="1140">
      <c r="A1140" s="27" t="s">
        <v>1633</v>
      </c>
      <c r="B1140" s="10" t="str">
        <f t="shared" si="1"/>
        <v>RNA-muscle</v>
      </c>
      <c r="C1140" s="10" t="str">
        <f t="shared" si="2"/>
        <v>BRN74M-A2</v>
      </c>
      <c r="D1140" s="6">
        <v>74.0</v>
      </c>
      <c r="E1140" s="10" t="str">
        <f t="shared" si="3"/>
        <v>BRN74M</v>
      </c>
      <c r="F1140" s="6" t="s">
        <v>76</v>
      </c>
      <c r="G1140" s="6">
        <v>2.0</v>
      </c>
      <c r="H1140" s="11" t="str">
        <f t="shared" si="4"/>
        <v>A2</v>
      </c>
      <c r="I1140" s="10" t="str">
        <f t="shared" si="5"/>
        <v>BRN74M-A2</v>
      </c>
      <c r="J1140" s="16"/>
      <c r="K1140" s="16" t="str">
        <f t="shared" si="6"/>
        <v>collected</v>
      </c>
      <c r="L1140" s="16" t="str">
        <f t="shared" si="7"/>
        <v>N</v>
      </c>
      <c r="M1140" s="16"/>
      <c r="N1140" s="16"/>
    </row>
    <row r="1141">
      <c r="A1141" s="27" t="s">
        <v>1635</v>
      </c>
      <c r="B1141" s="10" t="str">
        <f t="shared" si="1"/>
        <v>RNA-muscle</v>
      </c>
      <c r="C1141" s="10" t="str">
        <f t="shared" si="2"/>
        <v>BRN74M-H4</v>
      </c>
      <c r="D1141" s="6">
        <v>74.0</v>
      </c>
      <c r="E1141" s="10" t="str">
        <f t="shared" si="3"/>
        <v>BRN74M</v>
      </c>
      <c r="F1141" s="6" t="s">
        <v>51</v>
      </c>
      <c r="G1141" s="6">
        <v>4.0</v>
      </c>
      <c r="H1141" s="11" t="str">
        <f t="shared" si="4"/>
        <v>H4</v>
      </c>
      <c r="I1141" s="10" t="str">
        <f t="shared" si="5"/>
        <v>BRN74M-H4</v>
      </c>
      <c r="J1141" s="16"/>
      <c r="K1141" s="16" t="str">
        <f t="shared" si="6"/>
        <v>collected</v>
      </c>
      <c r="L1141" s="16" t="str">
        <f t="shared" si="7"/>
        <v>N</v>
      </c>
      <c r="M1141" s="16"/>
      <c r="N1141" s="16"/>
    </row>
    <row r="1142">
      <c r="A1142" s="27" t="s">
        <v>1636</v>
      </c>
      <c r="B1142" s="10" t="str">
        <f t="shared" si="1"/>
        <v>RNA-muscle</v>
      </c>
      <c r="C1142" s="10" t="str">
        <f t="shared" si="2"/>
        <v>BRN74M-G4</v>
      </c>
      <c r="D1142" s="6">
        <v>74.0</v>
      </c>
      <c r="E1142" s="10" t="str">
        <f t="shared" si="3"/>
        <v>BRN74M</v>
      </c>
      <c r="F1142" s="6" t="s">
        <v>56</v>
      </c>
      <c r="G1142" s="6">
        <v>4.0</v>
      </c>
      <c r="H1142" s="11" t="str">
        <f t="shared" si="4"/>
        <v>G4</v>
      </c>
      <c r="I1142" s="10" t="str">
        <f t="shared" si="5"/>
        <v>BRN74M-G4</v>
      </c>
      <c r="J1142" s="6" t="s">
        <v>418</v>
      </c>
      <c r="K1142" s="16" t="str">
        <f t="shared" si="6"/>
        <v>collected</v>
      </c>
      <c r="L1142" s="16" t="str">
        <f t="shared" si="7"/>
        <v>N</v>
      </c>
      <c r="M1142" s="16"/>
      <c r="N1142" s="16"/>
    </row>
    <row r="1143">
      <c r="A1143" s="27" t="s">
        <v>1638</v>
      </c>
      <c r="B1143" s="10" t="str">
        <f t="shared" si="1"/>
        <v>RNA-muscle</v>
      </c>
      <c r="C1143" s="10" t="str">
        <f t="shared" si="2"/>
        <v>BRN74M-B3</v>
      </c>
      <c r="D1143" s="6">
        <v>74.0</v>
      </c>
      <c r="E1143" s="10" t="str">
        <f t="shared" si="3"/>
        <v>BRN74M</v>
      </c>
      <c r="F1143" s="6" t="s">
        <v>74</v>
      </c>
      <c r="G1143" s="6">
        <v>3.0</v>
      </c>
      <c r="H1143" s="11" t="str">
        <f t="shared" si="4"/>
        <v>B3</v>
      </c>
      <c r="I1143" s="10" t="str">
        <f t="shared" si="5"/>
        <v>BRN74M-B3</v>
      </c>
      <c r="J1143" s="16"/>
      <c r="K1143" s="16" t="str">
        <f t="shared" si="6"/>
        <v>collected</v>
      </c>
      <c r="L1143" s="16" t="str">
        <f t="shared" si="7"/>
        <v>N</v>
      </c>
      <c r="M1143" s="16"/>
      <c r="N1143" s="16"/>
    </row>
    <row r="1144">
      <c r="A1144" s="27" t="s">
        <v>1639</v>
      </c>
      <c r="B1144" s="10" t="str">
        <f t="shared" si="1"/>
        <v>RNA-muscle</v>
      </c>
      <c r="C1144" s="10" t="str">
        <f t="shared" si="2"/>
        <v>BRN74M-A3</v>
      </c>
      <c r="D1144" s="6">
        <v>74.0</v>
      </c>
      <c r="E1144" s="10" t="str">
        <f t="shared" si="3"/>
        <v>BRN74M</v>
      </c>
      <c r="F1144" s="6" t="s">
        <v>76</v>
      </c>
      <c r="G1144" s="6">
        <v>3.0</v>
      </c>
      <c r="H1144" s="11" t="str">
        <f t="shared" si="4"/>
        <v>A3</v>
      </c>
      <c r="I1144" s="10" t="str">
        <f t="shared" si="5"/>
        <v>BRN74M-A3</v>
      </c>
      <c r="J1144" s="16"/>
      <c r="K1144" s="16" t="str">
        <f t="shared" si="6"/>
        <v>collected</v>
      </c>
      <c r="L1144" s="16" t="str">
        <f t="shared" si="7"/>
        <v>N</v>
      </c>
      <c r="M1144" s="16"/>
      <c r="N1144" s="16"/>
    </row>
    <row r="1145">
      <c r="A1145" s="27" t="s">
        <v>1641</v>
      </c>
      <c r="B1145" s="10" t="str">
        <f t="shared" si="1"/>
        <v>RNA-muscle</v>
      </c>
      <c r="C1145" s="10" t="str">
        <f t="shared" si="2"/>
        <v>BRN74M-G6</v>
      </c>
      <c r="D1145" s="6">
        <v>74.0</v>
      </c>
      <c r="E1145" s="10" t="str">
        <f t="shared" si="3"/>
        <v>BRN74M</v>
      </c>
      <c r="F1145" s="6" t="s">
        <v>56</v>
      </c>
      <c r="G1145" s="6">
        <v>6.0</v>
      </c>
      <c r="H1145" s="11" t="str">
        <f t="shared" si="4"/>
        <v>G6</v>
      </c>
      <c r="I1145" s="10" t="str">
        <f t="shared" si="5"/>
        <v>BRN74M-G6</v>
      </c>
      <c r="J1145" s="16"/>
      <c r="K1145" s="16" t="str">
        <f t="shared" si="6"/>
        <v>collected</v>
      </c>
      <c r="L1145" s="16" t="str">
        <f t="shared" si="7"/>
        <v>N</v>
      </c>
      <c r="M1145" s="16"/>
      <c r="N1145" s="16"/>
    </row>
    <row r="1146">
      <c r="A1146" s="27" t="s">
        <v>1642</v>
      </c>
      <c r="B1146" s="10" t="str">
        <f t="shared" si="1"/>
        <v>RNA-muscle</v>
      </c>
      <c r="C1146" s="10" t="str">
        <f t="shared" si="2"/>
        <v>BRN74M-F6</v>
      </c>
      <c r="D1146" s="6">
        <v>74.0</v>
      </c>
      <c r="E1146" s="10" t="str">
        <f t="shared" si="3"/>
        <v>BRN74M</v>
      </c>
      <c r="F1146" s="6" t="s">
        <v>61</v>
      </c>
      <c r="G1146" s="6">
        <v>6.0</v>
      </c>
      <c r="H1146" s="11" t="str">
        <f t="shared" si="4"/>
        <v>F6</v>
      </c>
      <c r="I1146" s="10" t="str">
        <f t="shared" si="5"/>
        <v>BRN74M-F6</v>
      </c>
      <c r="J1146" s="16"/>
      <c r="K1146" s="16" t="str">
        <f t="shared" si="6"/>
        <v>collected</v>
      </c>
      <c r="L1146" s="16" t="str">
        <f t="shared" si="7"/>
        <v>N</v>
      </c>
      <c r="M1146" s="16"/>
      <c r="N1146" s="16"/>
    </row>
    <row r="1147">
      <c r="A1147" s="27" t="s">
        <v>1643</v>
      </c>
      <c r="B1147" s="10" t="str">
        <f t="shared" si="1"/>
        <v>RNA-muscle</v>
      </c>
      <c r="C1147" s="10" t="str">
        <f t="shared" si="2"/>
        <v>BRN74M-E6</v>
      </c>
      <c r="D1147" s="6">
        <v>74.0</v>
      </c>
      <c r="E1147" s="10" t="str">
        <f t="shared" si="3"/>
        <v>BRN74M</v>
      </c>
      <c r="F1147" s="6" t="s">
        <v>66</v>
      </c>
      <c r="G1147" s="6">
        <v>6.0</v>
      </c>
      <c r="H1147" s="11" t="str">
        <f t="shared" si="4"/>
        <v>E6</v>
      </c>
      <c r="I1147" s="10" t="str">
        <f t="shared" si="5"/>
        <v>BRN74M-E6</v>
      </c>
      <c r="J1147" s="16"/>
      <c r="K1147" s="16" t="str">
        <f t="shared" si="6"/>
        <v>collected</v>
      </c>
      <c r="L1147" s="16" t="str">
        <f t="shared" si="7"/>
        <v>N</v>
      </c>
      <c r="M1147" s="16"/>
      <c r="N1147" s="16"/>
    </row>
    <row r="1148">
      <c r="A1148" s="27" t="s">
        <v>1644</v>
      </c>
      <c r="B1148" s="10" t="str">
        <f t="shared" si="1"/>
        <v>RNA-muscle</v>
      </c>
      <c r="C1148" s="10" t="str">
        <f t="shared" si="2"/>
        <v>BRN74M-D6</v>
      </c>
      <c r="D1148" s="6">
        <v>74.0</v>
      </c>
      <c r="E1148" s="10" t="str">
        <f t="shared" si="3"/>
        <v>BRN74M</v>
      </c>
      <c r="F1148" s="6" t="s">
        <v>68</v>
      </c>
      <c r="G1148" s="6">
        <v>6.0</v>
      </c>
      <c r="H1148" s="11" t="str">
        <f t="shared" si="4"/>
        <v>D6</v>
      </c>
      <c r="I1148" s="10" t="str">
        <f t="shared" si="5"/>
        <v>BRN74M-D6</v>
      </c>
      <c r="J1148" s="16"/>
      <c r="K1148" s="16" t="str">
        <f t="shared" si="6"/>
        <v>collected</v>
      </c>
      <c r="L1148" s="16" t="str">
        <f t="shared" si="7"/>
        <v>N</v>
      </c>
      <c r="M1148" s="16"/>
      <c r="N1148" s="16"/>
    </row>
    <row r="1149">
      <c r="A1149" s="27" t="s">
        <v>1646</v>
      </c>
      <c r="B1149" s="10" t="str">
        <f t="shared" si="1"/>
        <v>RNA-muscle</v>
      </c>
      <c r="C1149" s="10" t="str">
        <f t="shared" si="2"/>
        <v>BRN74M-C6</v>
      </c>
      <c r="D1149" s="6">
        <v>74.0</v>
      </c>
      <c r="E1149" s="10" t="str">
        <f t="shared" si="3"/>
        <v>BRN74M</v>
      </c>
      <c r="F1149" s="6" t="s">
        <v>72</v>
      </c>
      <c r="G1149" s="6">
        <v>6.0</v>
      </c>
      <c r="H1149" s="11" t="str">
        <f t="shared" si="4"/>
        <v>C6</v>
      </c>
      <c r="I1149" s="10" t="str">
        <f t="shared" si="5"/>
        <v>BRN74M-C6</v>
      </c>
      <c r="J1149" s="16"/>
      <c r="K1149" s="16" t="str">
        <f t="shared" si="6"/>
        <v>collected</v>
      </c>
      <c r="L1149" s="16" t="str">
        <f t="shared" si="7"/>
        <v>N</v>
      </c>
      <c r="M1149" s="16"/>
      <c r="N1149" s="16"/>
    </row>
    <row r="1150">
      <c r="A1150" s="27" t="s">
        <v>1647</v>
      </c>
      <c r="B1150" s="10" t="str">
        <f t="shared" si="1"/>
        <v>RNA-muscle</v>
      </c>
      <c r="C1150" s="10" t="str">
        <f t="shared" si="2"/>
        <v>BRN74M-B6</v>
      </c>
      <c r="D1150" s="6">
        <v>74.0</v>
      </c>
      <c r="E1150" s="10" t="str">
        <f t="shared" si="3"/>
        <v>BRN74M</v>
      </c>
      <c r="F1150" s="6" t="s">
        <v>74</v>
      </c>
      <c r="G1150" s="6">
        <v>6.0</v>
      </c>
      <c r="H1150" s="11" t="str">
        <f t="shared" si="4"/>
        <v>B6</v>
      </c>
      <c r="I1150" s="10" t="str">
        <f t="shared" si="5"/>
        <v>BRN74M-B6</v>
      </c>
      <c r="J1150" s="16"/>
      <c r="K1150" s="16" t="str">
        <f t="shared" si="6"/>
        <v>collected</v>
      </c>
      <c r="L1150" s="16" t="str">
        <f t="shared" si="7"/>
        <v>N</v>
      </c>
      <c r="M1150" s="16"/>
      <c r="N1150" s="16"/>
    </row>
    <row r="1151">
      <c r="A1151" s="27" t="s">
        <v>1648</v>
      </c>
      <c r="B1151" s="10" t="str">
        <f t="shared" si="1"/>
        <v>RNA-muscle</v>
      </c>
      <c r="C1151" s="10" t="str">
        <f t="shared" si="2"/>
        <v>BRN74M-A6</v>
      </c>
      <c r="D1151" s="6">
        <v>74.0</v>
      </c>
      <c r="E1151" s="10" t="str">
        <f t="shared" si="3"/>
        <v>BRN74M</v>
      </c>
      <c r="F1151" s="6" t="s">
        <v>76</v>
      </c>
      <c r="G1151" s="6">
        <v>6.0</v>
      </c>
      <c r="H1151" s="11" t="str">
        <f t="shared" si="4"/>
        <v>A6</v>
      </c>
      <c r="I1151" s="10" t="str">
        <f t="shared" si="5"/>
        <v>BRN74M-A6</v>
      </c>
      <c r="J1151" s="16"/>
      <c r="K1151" s="16" t="str">
        <f t="shared" si="6"/>
        <v>collected</v>
      </c>
      <c r="L1151" s="16" t="str">
        <f t="shared" si="7"/>
        <v>N</v>
      </c>
      <c r="M1151" s="16"/>
      <c r="N1151" s="16"/>
    </row>
    <row r="1152">
      <c r="A1152" s="27" t="s">
        <v>1649</v>
      </c>
      <c r="B1152" s="10" t="str">
        <f t="shared" si="1"/>
        <v>RNA-muscle</v>
      </c>
      <c r="C1152" s="10" t="str">
        <f t="shared" si="2"/>
        <v>BRN74M-H7</v>
      </c>
      <c r="D1152" s="6">
        <v>74.0</v>
      </c>
      <c r="E1152" s="10" t="str">
        <f t="shared" si="3"/>
        <v>BRN74M</v>
      </c>
      <c r="F1152" s="6" t="s">
        <v>51</v>
      </c>
      <c r="G1152" s="6">
        <v>7.0</v>
      </c>
      <c r="H1152" s="11" t="str">
        <f t="shared" si="4"/>
        <v>H7</v>
      </c>
      <c r="I1152" s="10" t="str">
        <f t="shared" si="5"/>
        <v>BRN74M-H7</v>
      </c>
      <c r="J1152" s="16"/>
      <c r="K1152" s="16" t="str">
        <f t="shared" si="6"/>
        <v>collected</v>
      </c>
      <c r="L1152" s="16" t="str">
        <f t="shared" si="7"/>
        <v>N</v>
      </c>
      <c r="M1152" s="16"/>
      <c r="N1152" s="16"/>
    </row>
    <row r="1153">
      <c r="A1153" s="27" t="s">
        <v>1650</v>
      </c>
      <c r="B1153" s="10" t="str">
        <f t="shared" si="1"/>
        <v>RNA-muscle</v>
      </c>
      <c r="C1153" s="10" t="str">
        <f t="shared" si="2"/>
        <v>BRN74M-G7</v>
      </c>
      <c r="D1153" s="6">
        <v>74.0</v>
      </c>
      <c r="E1153" s="10" t="str">
        <f t="shared" si="3"/>
        <v>BRN74M</v>
      </c>
      <c r="F1153" s="6" t="s">
        <v>56</v>
      </c>
      <c r="G1153" s="6">
        <v>7.0</v>
      </c>
      <c r="H1153" s="11" t="str">
        <f t="shared" si="4"/>
        <v>G7</v>
      </c>
      <c r="I1153" s="10" t="str">
        <f t="shared" si="5"/>
        <v>BRN74M-G7</v>
      </c>
      <c r="J1153" s="16"/>
      <c r="K1153" s="16" t="str">
        <f t="shared" si="6"/>
        <v>collected</v>
      </c>
      <c r="L1153" s="16" t="str">
        <f t="shared" si="7"/>
        <v>N</v>
      </c>
      <c r="M1153" s="16"/>
      <c r="N1153" s="16"/>
    </row>
    <row r="1154">
      <c r="A1154" s="27" t="s">
        <v>1652</v>
      </c>
      <c r="B1154" s="10" t="str">
        <f t="shared" si="1"/>
        <v>RNA-muscle</v>
      </c>
      <c r="C1154" s="10" t="str">
        <f t="shared" si="2"/>
        <v>BRN74M-F7</v>
      </c>
      <c r="D1154" s="6">
        <v>74.0</v>
      </c>
      <c r="E1154" s="10" t="str">
        <f t="shared" si="3"/>
        <v>BRN74M</v>
      </c>
      <c r="F1154" s="6" t="s">
        <v>61</v>
      </c>
      <c r="G1154" s="6">
        <v>7.0</v>
      </c>
      <c r="H1154" s="11" t="str">
        <f t="shared" si="4"/>
        <v>F7</v>
      </c>
      <c r="I1154" s="10" t="str">
        <f t="shared" si="5"/>
        <v>BRN74M-F7</v>
      </c>
      <c r="J1154" s="16"/>
      <c r="K1154" s="16" t="str">
        <f t="shared" si="6"/>
        <v>collected</v>
      </c>
      <c r="L1154" s="16" t="str">
        <f t="shared" si="7"/>
        <v>N</v>
      </c>
      <c r="M1154" s="16"/>
      <c r="N1154" s="16"/>
    </row>
    <row r="1155">
      <c r="A1155" s="27" t="s">
        <v>1653</v>
      </c>
      <c r="B1155" s="10" t="str">
        <f t="shared" si="1"/>
        <v>RNA-muscle</v>
      </c>
      <c r="C1155" s="10" t="str">
        <f t="shared" si="2"/>
        <v>BRN74M-E7</v>
      </c>
      <c r="D1155" s="6">
        <v>74.0</v>
      </c>
      <c r="E1155" s="10" t="str">
        <f t="shared" si="3"/>
        <v>BRN74M</v>
      </c>
      <c r="F1155" s="6" t="s">
        <v>66</v>
      </c>
      <c r="G1155" s="6">
        <v>7.0</v>
      </c>
      <c r="H1155" s="11" t="str">
        <f t="shared" si="4"/>
        <v>E7</v>
      </c>
      <c r="I1155" s="10" t="str">
        <f t="shared" si="5"/>
        <v>BRN74M-E7</v>
      </c>
      <c r="J1155" s="16"/>
      <c r="K1155" s="16" t="str">
        <f t="shared" si="6"/>
        <v>collected</v>
      </c>
      <c r="L1155" s="16" t="str">
        <f t="shared" si="7"/>
        <v>N</v>
      </c>
      <c r="M1155" s="16"/>
      <c r="N1155" s="16"/>
    </row>
    <row r="1156">
      <c r="A1156" s="27" t="s">
        <v>1654</v>
      </c>
      <c r="B1156" s="10" t="str">
        <f t="shared" si="1"/>
        <v>RNA-muscle</v>
      </c>
      <c r="C1156" s="10" t="str">
        <f t="shared" si="2"/>
        <v>BRN74M-D7</v>
      </c>
      <c r="D1156" s="6">
        <v>74.0</v>
      </c>
      <c r="E1156" s="10" t="str">
        <f t="shared" si="3"/>
        <v>BRN74M</v>
      </c>
      <c r="F1156" s="6" t="s">
        <v>68</v>
      </c>
      <c r="G1156" s="6">
        <v>7.0</v>
      </c>
      <c r="H1156" s="11" t="str">
        <f t="shared" si="4"/>
        <v>D7</v>
      </c>
      <c r="I1156" s="10" t="str">
        <f t="shared" si="5"/>
        <v>BRN74M-D7</v>
      </c>
      <c r="J1156" s="16"/>
      <c r="K1156" s="16" t="str">
        <f t="shared" si="6"/>
        <v>collected</v>
      </c>
      <c r="L1156" s="16" t="str">
        <f t="shared" si="7"/>
        <v>N</v>
      </c>
      <c r="M1156" s="16"/>
      <c r="N1156" s="16"/>
    </row>
    <row r="1157">
      <c r="A1157" s="27" t="s">
        <v>1655</v>
      </c>
      <c r="B1157" s="10" t="str">
        <f t="shared" si="1"/>
        <v>RNA-muscle</v>
      </c>
      <c r="C1157" s="10" t="str">
        <f t="shared" si="2"/>
        <v>BRN74M-C7</v>
      </c>
      <c r="D1157" s="6">
        <v>74.0</v>
      </c>
      <c r="E1157" s="10" t="str">
        <f t="shared" si="3"/>
        <v>BRN74M</v>
      </c>
      <c r="F1157" s="6" t="s">
        <v>72</v>
      </c>
      <c r="G1157" s="6">
        <v>7.0</v>
      </c>
      <c r="H1157" s="11" t="str">
        <f t="shared" si="4"/>
        <v>C7</v>
      </c>
      <c r="I1157" s="10" t="str">
        <f t="shared" si="5"/>
        <v>BRN74M-C7</v>
      </c>
      <c r="J1157" s="16"/>
      <c r="K1157" s="16" t="str">
        <f t="shared" si="6"/>
        <v>collected</v>
      </c>
      <c r="L1157" s="16" t="str">
        <f t="shared" si="7"/>
        <v>N</v>
      </c>
      <c r="M1157" s="16"/>
      <c r="N1157" s="16"/>
    </row>
    <row r="1158">
      <c r="A1158" s="27" t="s">
        <v>1656</v>
      </c>
      <c r="B1158" s="10" t="str">
        <f t="shared" si="1"/>
        <v>RNA-muscle</v>
      </c>
      <c r="C1158" s="10" t="str">
        <f t="shared" si="2"/>
        <v>BRN74M-B7</v>
      </c>
      <c r="D1158" s="6">
        <v>74.0</v>
      </c>
      <c r="E1158" s="10" t="str">
        <f t="shared" si="3"/>
        <v>BRN74M</v>
      </c>
      <c r="F1158" s="6" t="s">
        <v>74</v>
      </c>
      <c r="G1158" s="6">
        <v>7.0</v>
      </c>
      <c r="H1158" s="11" t="str">
        <f t="shared" si="4"/>
        <v>B7</v>
      </c>
      <c r="I1158" s="10" t="str">
        <f t="shared" si="5"/>
        <v>BRN74M-B7</v>
      </c>
      <c r="J1158" s="16"/>
      <c r="K1158" s="16" t="str">
        <f t="shared" si="6"/>
        <v>collected</v>
      </c>
      <c r="L1158" s="16" t="str">
        <f t="shared" si="7"/>
        <v>N</v>
      </c>
      <c r="M1158" s="16"/>
      <c r="N1158" s="16"/>
    </row>
    <row r="1159">
      <c r="A1159" s="27" t="s">
        <v>1658</v>
      </c>
      <c r="B1159" s="10" t="str">
        <f t="shared" si="1"/>
        <v>RNA-muscle</v>
      </c>
      <c r="C1159" s="10" t="str">
        <f t="shared" si="2"/>
        <v>BRN74M-A7</v>
      </c>
      <c r="D1159" s="6">
        <v>74.0</v>
      </c>
      <c r="E1159" s="10" t="str">
        <f t="shared" si="3"/>
        <v>BRN74M</v>
      </c>
      <c r="F1159" s="6" t="s">
        <v>76</v>
      </c>
      <c r="G1159" s="6">
        <v>7.0</v>
      </c>
      <c r="H1159" s="11" t="str">
        <f t="shared" si="4"/>
        <v>A7</v>
      </c>
      <c r="I1159" s="10" t="str">
        <f t="shared" si="5"/>
        <v>BRN74M-A7</v>
      </c>
      <c r="J1159" s="16"/>
      <c r="K1159" s="16" t="str">
        <f t="shared" si="6"/>
        <v>collected</v>
      </c>
      <c r="L1159" s="16" t="str">
        <f t="shared" si="7"/>
        <v>N</v>
      </c>
      <c r="M1159" s="16"/>
      <c r="N1159" s="16"/>
    </row>
    <row r="1160">
      <c r="A1160" s="27" t="s">
        <v>1659</v>
      </c>
      <c r="B1160" s="10" t="str">
        <f t="shared" si="1"/>
        <v>RNA-muscle</v>
      </c>
      <c r="C1160" s="10" t="str">
        <f t="shared" si="2"/>
        <v>BRN74M-H8</v>
      </c>
      <c r="D1160" s="6">
        <v>74.0</v>
      </c>
      <c r="E1160" s="10" t="str">
        <f t="shared" si="3"/>
        <v>BRN74M</v>
      </c>
      <c r="F1160" s="6" t="s">
        <v>51</v>
      </c>
      <c r="G1160" s="6">
        <v>8.0</v>
      </c>
      <c r="H1160" s="11" t="str">
        <f t="shared" si="4"/>
        <v>H8</v>
      </c>
      <c r="I1160" s="10" t="str">
        <f t="shared" si="5"/>
        <v>BRN74M-H8</v>
      </c>
      <c r="J1160" s="16"/>
      <c r="K1160" s="16" t="str">
        <f t="shared" si="6"/>
        <v>collected</v>
      </c>
      <c r="L1160" s="16" t="str">
        <f t="shared" si="7"/>
        <v>N</v>
      </c>
      <c r="M1160" s="16"/>
      <c r="N1160" s="16"/>
    </row>
    <row r="1161">
      <c r="A1161" s="27" t="s">
        <v>1660</v>
      </c>
      <c r="B1161" s="10" t="str">
        <f t="shared" si="1"/>
        <v>RNA-muscle</v>
      </c>
      <c r="C1161" s="10" t="str">
        <f t="shared" si="2"/>
        <v>BRN74M-G8</v>
      </c>
      <c r="D1161" s="6">
        <v>74.0</v>
      </c>
      <c r="E1161" s="10" t="str">
        <f t="shared" si="3"/>
        <v>BRN74M</v>
      </c>
      <c r="F1161" s="6" t="s">
        <v>56</v>
      </c>
      <c r="G1161" s="6">
        <v>8.0</v>
      </c>
      <c r="H1161" s="11" t="str">
        <f t="shared" si="4"/>
        <v>G8</v>
      </c>
      <c r="I1161" s="10" t="str">
        <f t="shared" si="5"/>
        <v>BRN74M-G8</v>
      </c>
      <c r="J1161" s="16"/>
      <c r="K1161" s="16" t="str">
        <f t="shared" si="6"/>
        <v>collected</v>
      </c>
      <c r="L1161" s="16" t="str">
        <f t="shared" si="7"/>
        <v>N</v>
      </c>
      <c r="M1161" s="16"/>
      <c r="N1161" s="16"/>
    </row>
    <row r="1162">
      <c r="A1162" s="27" t="s">
        <v>1661</v>
      </c>
      <c r="B1162" s="10" t="str">
        <f t="shared" si="1"/>
        <v>RNA-muscle</v>
      </c>
      <c r="C1162" s="10" t="str">
        <f t="shared" si="2"/>
        <v>BRN74M-F8</v>
      </c>
      <c r="D1162" s="6">
        <v>74.0</v>
      </c>
      <c r="E1162" s="10" t="str">
        <f t="shared" si="3"/>
        <v>BRN74M</v>
      </c>
      <c r="F1162" s="6" t="s">
        <v>61</v>
      </c>
      <c r="G1162" s="6">
        <v>8.0</v>
      </c>
      <c r="H1162" s="11" t="str">
        <f t="shared" si="4"/>
        <v>F8</v>
      </c>
      <c r="I1162" s="10" t="str">
        <f t="shared" si="5"/>
        <v>BRN74M-F8</v>
      </c>
      <c r="J1162" s="16"/>
      <c r="K1162" s="16" t="str">
        <f t="shared" si="6"/>
        <v>collected</v>
      </c>
      <c r="L1162" s="16" t="str">
        <f t="shared" si="7"/>
        <v>N</v>
      </c>
      <c r="M1162" s="16"/>
      <c r="N1162" s="16"/>
    </row>
    <row r="1163">
      <c r="A1163" s="27" t="s">
        <v>1663</v>
      </c>
      <c r="B1163" s="10" t="str">
        <f t="shared" si="1"/>
        <v>RNA-muscle</v>
      </c>
      <c r="C1163" s="10" t="str">
        <f t="shared" si="2"/>
        <v>BRN74M-E8</v>
      </c>
      <c r="D1163" s="6">
        <v>74.0</v>
      </c>
      <c r="E1163" s="10" t="str">
        <f t="shared" si="3"/>
        <v>BRN74M</v>
      </c>
      <c r="F1163" s="6" t="s">
        <v>66</v>
      </c>
      <c r="G1163" s="6">
        <v>8.0</v>
      </c>
      <c r="H1163" s="11" t="str">
        <f t="shared" si="4"/>
        <v>E8</v>
      </c>
      <c r="I1163" s="10" t="str">
        <f t="shared" si="5"/>
        <v>BRN74M-E8</v>
      </c>
      <c r="J1163" s="16"/>
      <c r="K1163" s="16" t="str">
        <f t="shared" si="6"/>
        <v>collected</v>
      </c>
      <c r="L1163" s="16" t="str">
        <f t="shared" si="7"/>
        <v>N</v>
      </c>
      <c r="M1163" s="16"/>
      <c r="N1163" s="16"/>
    </row>
    <row r="1164">
      <c r="A1164" s="27" t="s">
        <v>1664</v>
      </c>
      <c r="B1164" s="10" t="str">
        <f t="shared" si="1"/>
        <v>RNA-muscle</v>
      </c>
      <c r="C1164" s="10" t="str">
        <f t="shared" si="2"/>
        <v>BRN74M-D8</v>
      </c>
      <c r="D1164" s="6">
        <v>74.0</v>
      </c>
      <c r="E1164" s="10" t="str">
        <f t="shared" si="3"/>
        <v>BRN74M</v>
      </c>
      <c r="F1164" s="6" t="s">
        <v>68</v>
      </c>
      <c r="G1164" s="6">
        <v>8.0</v>
      </c>
      <c r="H1164" s="11" t="str">
        <f t="shared" si="4"/>
        <v>D8</v>
      </c>
      <c r="I1164" s="10" t="str">
        <f t="shared" si="5"/>
        <v>BRN74M-D8</v>
      </c>
      <c r="J1164" s="16"/>
      <c r="K1164" s="16" t="str">
        <f t="shared" si="6"/>
        <v>collected</v>
      </c>
      <c r="L1164" s="16" t="str">
        <f t="shared" si="7"/>
        <v>N</v>
      </c>
      <c r="M1164" s="16"/>
      <c r="N1164" s="16"/>
    </row>
    <row r="1165">
      <c r="A1165" s="27" t="s">
        <v>1665</v>
      </c>
      <c r="B1165" s="10" t="str">
        <f t="shared" si="1"/>
        <v>RNA-muscle</v>
      </c>
      <c r="C1165" s="10" t="str">
        <f t="shared" si="2"/>
        <v>BRN74M-C8</v>
      </c>
      <c r="D1165" s="6">
        <v>74.0</v>
      </c>
      <c r="E1165" s="10" t="str">
        <f t="shared" si="3"/>
        <v>BRN74M</v>
      </c>
      <c r="F1165" s="6" t="s">
        <v>72</v>
      </c>
      <c r="G1165" s="6">
        <v>8.0</v>
      </c>
      <c r="H1165" s="11" t="str">
        <f t="shared" si="4"/>
        <v>C8</v>
      </c>
      <c r="I1165" s="10" t="str">
        <f t="shared" si="5"/>
        <v>BRN74M-C8</v>
      </c>
      <c r="J1165" s="16"/>
      <c r="K1165" s="16" t="str">
        <f t="shared" si="6"/>
        <v>collected</v>
      </c>
      <c r="L1165" s="16" t="str">
        <f t="shared" si="7"/>
        <v>N</v>
      </c>
      <c r="M1165" s="16"/>
      <c r="N1165" s="16"/>
    </row>
    <row r="1166">
      <c r="A1166" s="27" t="s">
        <v>1666</v>
      </c>
      <c r="B1166" s="10" t="str">
        <f t="shared" si="1"/>
        <v>RNA-muscle</v>
      </c>
      <c r="C1166" s="10" t="str">
        <f t="shared" si="2"/>
        <v>BRN74M-B8</v>
      </c>
      <c r="D1166" s="6">
        <v>74.0</v>
      </c>
      <c r="E1166" s="10" t="str">
        <f t="shared" si="3"/>
        <v>BRN74M</v>
      </c>
      <c r="F1166" s="6" t="s">
        <v>74</v>
      </c>
      <c r="G1166" s="6">
        <v>8.0</v>
      </c>
      <c r="H1166" s="11" t="str">
        <f t="shared" si="4"/>
        <v>B8</v>
      </c>
      <c r="I1166" s="10" t="str">
        <f t="shared" si="5"/>
        <v>BRN74M-B8</v>
      </c>
      <c r="J1166" s="16"/>
      <c r="K1166" s="16" t="str">
        <f t="shared" si="6"/>
        <v>collected</v>
      </c>
      <c r="L1166" s="16" t="str">
        <f t="shared" si="7"/>
        <v>N</v>
      </c>
      <c r="M1166" s="16"/>
      <c r="N1166" s="16"/>
    </row>
    <row r="1167">
      <c r="A1167" s="27" t="s">
        <v>1667</v>
      </c>
      <c r="B1167" s="10" t="str">
        <f t="shared" si="1"/>
        <v>RNA-muscle</v>
      </c>
      <c r="C1167" s="10" t="str">
        <f t="shared" si="2"/>
        <v>BRN74M-A8</v>
      </c>
      <c r="D1167" s="6">
        <v>74.0</v>
      </c>
      <c r="E1167" s="10" t="str">
        <f t="shared" si="3"/>
        <v>BRN74M</v>
      </c>
      <c r="F1167" s="6" t="s">
        <v>76</v>
      </c>
      <c r="G1167" s="6">
        <v>8.0</v>
      </c>
      <c r="H1167" s="11" t="str">
        <f t="shared" si="4"/>
        <v>A8</v>
      </c>
      <c r="I1167" s="10" t="str">
        <f t="shared" si="5"/>
        <v>BRN74M-A8</v>
      </c>
      <c r="J1167" s="16"/>
      <c r="K1167" s="16" t="str">
        <f t="shared" si="6"/>
        <v>collected</v>
      </c>
      <c r="L1167" s="16" t="str">
        <f t="shared" si="7"/>
        <v>N</v>
      </c>
      <c r="M1167" s="16"/>
      <c r="N1167" s="16"/>
    </row>
    <row r="1168">
      <c r="A1168" s="27" t="s">
        <v>1669</v>
      </c>
      <c r="B1168" s="10" t="str">
        <f t="shared" si="1"/>
        <v>RNA-muscle</v>
      </c>
      <c r="C1168" s="10" t="str">
        <f t="shared" si="2"/>
        <v>BRN74M-H9</v>
      </c>
      <c r="D1168" s="6">
        <v>74.0</v>
      </c>
      <c r="E1168" s="10" t="str">
        <f t="shared" si="3"/>
        <v>BRN74M</v>
      </c>
      <c r="F1168" s="6" t="s">
        <v>51</v>
      </c>
      <c r="G1168" s="6">
        <v>9.0</v>
      </c>
      <c r="H1168" s="11" t="str">
        <f t="shared" si="4"/>
        <v>H9</v>
      </c>
      <c r="I1168" s="10" t="str">
        <f t="shared" si="5"/>
        <v>BRN74M-H9</v>
      </c>
      <c r="J1168" s="16"/>
      <c r="K1168" s="16" t="str">
        <f t="shared" si="6"/>
        <v>collected</v>
      </c>
      <c r="L1168" s="16" t="str">
        <f t="shared" si="7"/>
        <v>N</v>
      </c>
      <c r="M1168" s="16"/>
      <c r="N1168" s="16"/>
    </row>
    <row r="1169">
      <c r="A1169" s="27" t="s">
        <v>1670</v>
      </c>
      <c r="B1169" s="10" t="str">
        <f t="shared" si="1"/>
        <v>RNA-muscle</v>
      </c>
      <c r="C1169" s="10" t="str">
        <f t="shared" si="2"/>
        <v>BRN74M-G9</v>
      </c>
      <c r="D1169" s="6">
        <v>74.0</v>
      </c>
      <c r="E1169" s="10" t="str">
        <f t="shared" si="3"/>
        <v>BRN74M</v>
      </c>
      <c r="F1169" s="6" t="s">
        <v>56</v>
      </c>
      <c r="G1169" s="6">
        <v>9.0</v>
      </c>
      <c r="H1169" s="11" t="str">
        <f t="shared" si="4"/>
        <v>G9</v>
      </c>
      <c r="I1169" s="10" t="str">
        <f t="shared" si="5"/>
        <v>BRN74M-G9</v>
      </c>
      <c r="J1169" s="16"/>
      <c r="K1169" s="16" t="str">
        <f t="shared" si="6"/>
        <v>collected</v>
      </c>
      <c r="L1169" s="16" t="str">
        <f t="shared" si="7"/>
        <v>N</v>
      </c>
      <c r="M1169" s="16"/>
      <c r="N1169" s="16"/>
    </row>
    <row r="1170">
      <c r="A1170" s="27" t="s">
        <v>1671</v>
      </c>
      <c r="B1170" s="10" t="str">
        <f t="shared" si="1"/>
        <v>RNA-muscle</v>
      </c>
      <c r="C1170" s="10" t="str">
        <f t="shared" si="2"/>
        <v>BRN74M-F9</v>
      </c>
      <c r="D1170" s="6">
        <v>74.0</v>
      </c>
      <c r="E1170" s="10" t="str">
        <f t="shared" si="3"/>
        <v>BRN74M</v>
      </c>
      <c r="F1170" s="6" t="s">
        <v>61</v>
      </c>
      <c r="G1170" s="6">
        <v>9.0</v>
      </c>
      <c r="H1170" s="11" t="str">
        <f t="shared" si="4"/>
        <v>F9</v>
      </c>
      <c r="I1170" s="10" t="str">
        <f t="shared" si="5"/>
        <v>BRN74M-F9</v>
      </c>
      <c r="J1170" s="16"/>
      <c r="K1170" s="16" t="str">
        <f t="shared" si="6"/>
        <v>collected</v>
      </c>
      <c r="L1170" s="16" t="str">
        <f t="shared" si="7"/>
        <v>N</v>
      </c>
      <c r="M1170" s="16"/>
      <c r="N1170" s="16"/>
    </row>
    <row r="1171">
      <c r="A1171" s="27" t="s">
        <v>1672</v>
      </c>
      <c r="B1171" s="10" t="str">
        <f t="shared" si="1"/>
        <v>RNA-muscle</v>
      </c>
      <c r="C1171" s="10" t="str">
        <f t="shared" si="2"/>
        <v>BRN74M-E9</v>
      </c>
      <c r="D1171" s="6">
        <v>74.0</v>
      </c>
      <c r="E1171" s="10" t="str">
        <f t="shared" si="3"/>
        <v>BRN74M</v>
      </c>
      <c r="F1171" s="6" t="s">
        <v>66</v>
      </c>
      <c r="G1171" s="6">
        <v>9.0</v>
      </c>
      <c r="H1171" s="11" t="str">
        <f t="shared" si="4"/>
        <v>E9</v>
      </c>
      <c r="I1171" s="10" t="str">
        <f t="shared" si="5"/>
        <v>BRN74M-E9</v>
      </c>
      <c r="J1171" s="16"/>
      <c r="K1171" s="16" t="str">
        <f t="shared" si="6"/>
        <v>collected</v>
      </c>
      <c r="L1171" s="16" t="str">
        <f t="shared" si="7"/>
        <v>N</v>
      </c>
      <c r="M1171" s="16"/>
      <c r="N1171" s="16"/>
    </row>
    <row r="1172">
      <c r="A1172" s="27" t="s">
        <v>1674</v>
      </c>
      <c r="B1172" s="10" t="str">
        <f t="shared" si="1"/>
        <v>RNA-muscle</v>
      </c>
      <c r="C1172" s="10" t="str">
        <f t="shared" si="2"/>
        <v>BRN74M-D9</v>
      </c>
      <c r="D1172" s="6">
        <v>74.0</v>
      </c>
      <c r="E1172" s="10" t="str">
        <f t="shared" si="3"/>
        <v>BRN74M</v>
      </c>
      <c r="F1172" s="6" t="s">
        <v>68</v>
      </c>
      <c r="G1172" s="6">
        <v>9.0</v>
      </c>
      <c r="H1172" s="11" t="str">
        <f t="shared" si="4"/>
        <v>D9</v>
      </c>
      <c r="I1172" s="10" t="str">
        <f t="shared" si="5"/>
        <v>BRN74M-D9</v>
      </c>
      <c r="J1172" s="16"/>
      <c r="K1172" s="16" t="str">
        <f t="shared" si="6"/>
        <v>collected</v>
      </c>
      <c r="L1172" s="16" t="str">
        <f t="shared" si="7"/>
        <v>N</v>
      </c>
      <c r="M1172" s="16"/>
      <c r="N1172" s="16"/>
    </row>
    <row r="1173">
      <c r="A1173" s="27" t="s">
        <v>1675</v>
      </c>
      <c r="B1173" s="10" t="str">
        <f t="shared" si="1"/>
        <v>RNA-muscle</v>
      </c>
      <c r="C1173" s="10" t="str">
        <f t="shared" si="2"/>
        <v>BRN74M-C9</v>
      </c>
      <c r="D1173" s="6">
        <v>74.0</v>
      </c>
      <c r="E1173" s="10" t="str">
        <f t="shared" si="3"/>
        <v>BRN74M</v>
      </c>
      <c r="F1173" s="6" t="s">
        <v>72</v>
      </c>
      <c r="G1173" s="6">
        <v>9.0</v>
      </c>
      <c r="H1173" s="11" t="str">
        <f t="shared" si="4"/>
        <v>C9</v>
      </c>
      <c r="I1173" s="10" t="str">
        <f t="shared" si="5"/>
        <v>BRN74M-C9</v>
      </c>
      <c r="J1173" s="16"/>
      <c r="K1173" s="16" t="str">
        <f t="shared" si="6"/>
        <v>collected</v>
      </c>
      <c r="L1173" s="16" t="str">
        <f t="shared" si="7"/>
        <v>N</v>
      </c>
      <c r="M1173" s="16"/>
      <c r="N1173" s="16"/>
    </row>
    <row r="1174">
      <c r="A1174" s="27" t="s">
        <v>1676</v>
      </c>
      <c r="B1174" s="10" t="str">
        <f t="shared" si="1"/>
        <v>RNA-muscle</v>
      </c>
      <c r="C1174" s="10" t="str">
        <f t="shared" si="2"/>
        <v>BRN74M-B9</v>
      </c>
      <c r="D1174" s="6">
        <v>74.0</v>
      </c>
      <c r="E1174" s="10" t="str">
        <f t="shared" si="3"/>
        <v>BRN74M</v>
      </c>
      <c r="F1174" s="6" t="s">
        <v>74</v>
      </c>
      <c r="G1174" s="6">
        <v>9.0</v>
      </c>
      <c r="H1174" s="11" t="str">
        <f t="shared" si="4"/>
        <v>B9</v>
      </c>
      <c r="I1174" s="10" t="str">
        <f t="shared" si="5"/>
        <v>BRN74M-B9</v>
      </c>
      <c r="J1174" s="16"/>
      <c r="K1174" s="16" t="str">
        <f t="shared" si="6"/>
        <v>collected</v>
      </c>
      <c r="L1174" s="16" t="str">
        <f t="shared" si="7"/>
        <v>N</v>
      </c>
      <c r="M1174" s="16"/>
      <c r="N1174" s="16"/>
    </row>
    <row r="1175">
      <c r="A1175" s="27" t="s">
        <v>1677</v>
      </c>
      <c r="B1175" s="10" t="str">
        <f t="shared" si="1"/>
        <v>RNA-muscle</v>
      </c>
      <c r="C1175" s="10" t="str">
        <f t="shared" si="2"/>
        <v>BRN74M-A9</v>
      </c>
      <c r="D1175" s="6">
        <v>74.0</v>
      </c>
      <c r="E1175" s="10" t="str">
        <f t="shared" si="3"/>
        <v>BRN74M</v>
      </c>
      <c r="F1175" s="6" t="s">
        <v>76</v>
      </c>
      <c r="G1175" s="6">
        <v>9.0</v>
      </c>
      <c r="H1175" s="11" t="str">
        <f t="shared" si="4"/>
        <v>A9</v>
      </c>
      <c r="I1175" s="10" t="str">
        <f t="shared" si="5"/>
        <v>BRN74M-A9</v>
      </c>
      <c r="J1175" s="16"/>
      <c r="K1175" s="16" t="str">
        <f t="shared" si="6"/>
        <v>collected</v>
      </c>
      <c r="L1175" s="16" t="str">
        <f t="shared" si="7"/>
        <v>N</v>
      </c>
      <c r="M1175" s="16"/>
      <c r="N1175" s="16"/>
    </row>
    <row r="1176">
      <c r="A1176" s="27" t="s">
        <v>1678</v>
      </c>
      <c r="B1176" s="10" t="str">
        <f t="shared" si="1"/>
        <v>RNA-muscle</v>
      </c>
      <c r="C1176" s="10" t="str">
        <f t="shared" si="2"/>
        <v>BRN74M-H10</v>
      </c>
      <c r="D1176" s="6">
        <v>74.0</v>
      </c>
      <c r="E1176" s="10" t="str">
        <f t="shared" si="3"/>
        <v>BRN74M</v>
      </c>
      <c r="F1176" s="6" t="s">
        <v>51</v>
      </c>
      <c r="G1176" s="6">
        <v>10.0</v>
      </c>
      <c r="H1176" s="11" t="str">
        <f t="shared" si="4"/>
        <v>H10</v>
      </c>
      <c r="I1176" s="10" t="str">
        <f t="shared" si="5"/>
        <v>BRN74M-H10</v>
      </c>
      <c r="J1176" s="16"/>
      <c r="K1176" s="16" t="str">
        <f t="shared" si="6"/>
        <v>collected</v>
      </c>
      <c r="L1176" s="16" t="str">
        <f t="shared" si="7"/>
        <v>N</v>
      </c>
      <c r="M1176" s="16"/>
      <c r="N1176" s="16"/>
    </row>
    <row r="1177">
      <c r="A1177" s="27" t="s">
        <v>1680</v>
      </c>
      <c r="B1177" s="10" t="str">
        <f t="shared" si="1"/>
        <v>RNA-muscle</v>
      </c>
      <c r="C1177" s="10" t="str">
        <f t="shared" si="2"/>
        <v>BRN74M-G10</v>
      </c>
      <c r="D1177" s="6">
        <v>74.0</v>
      </c>
      <c r="E1177" s="10" t="str">
        <f t="shared" si="3"/>
        <v>BRN74M</v>
      </c>
      <c r="F1177" s="6" t="s">
        <v>56</v>
      </c>
      <c r="G1177" s="6">
        <v>10.0</v>
      </c>
      <c r="H1177" s="11" t="str">
        <f t="shared" si="4"/>
        <v>G10</v>
      </c>
      <c r="I1177" s="10" t="str">
        <f t="shared" si="5"/>
        <v>BRN74M-G10</v>
      </c>
      <c r="J1177" s="16"/>
      <c r="K1177" s="16" t="str">
        <f t="shared" si="6"/>
        <v>collected</v>
      </c>
      <c r="L1177" s="16" t="str">
        <f t="shared" si="7"/>
        <v>N</v>
      </c>
      <c r="M1177" s="16"/>
      <c r="N1177" s="16"/>
    </row>
    <row r="1178">
      <c r="A1178" s="27" t="s">
        <v>1681</v>
      </c>
      <c r="B1178" s="10" t="str">
        <f t="shared" si="1"/>
        <v>RNA-muscle</v>
      </c>
      <c r="C1178" s="10" t="str">
        <f t="shared" si="2"/>
        <v>BRN74M-F10</v>
      </c>
      <c r="D1178" s="6">
        <v>74.0</v>
      </c>
      <c r="E1178" s="10" t="str">
        <f t="shared" si="3"/>
        <v>BRN74M</v>
      </c>
      <c r="F1178" s="6" t="s">
        <v>61</v>
      </c>
      <c r="G1178" s="6">
        <v>10.0</v>
      </c>
      <c r="H1178" s="11" t="str">
        <f t="shared" si="4"/>
        <v>F10</v>
      </c>
      <c r="I1178" s="10" t="str">
        <f t="shared" si="5"/>
        <v>BRN74M-F10</v>
      </c>
      <c r="J1178" s="16"/>
      <c r="K1178" s="16" t="str">
        <f t="shared" si="6"/>
        <v>collected</v>
      </c>
      <c r="L1178" s="16" t="str">
        <f t="shared" si="7"/>
        <v>N</v>
      </c>
      <c r="M1178" s="16"/>
      <c r="N1178" s="16"/>
    </row>
    <row r="1179">
      <c r="A1179" s="27" t="s">
        <v>1682</v>
      </c>
      <c r="B1179" s="10" t="str">
        <f t="shared" si="1"/>
        <v>RNA-muscle</v>
      </c>
      <c r="C1179" s="10" t="str">
        <f t="shared" si="2"/>
        <v>BRN74M-E10</v>
      </c>
      <c r="D1179" s="6">
        <v>74.0</v>
      </c>
      <c r="E1179" s="10" t="str">
        <f t="shared" si="3"/>
        <v>BRN74M</v>
      </c>
      <c r="F1179" s="6" t="s">
        <v>66</v>
      </c>
      <c r="G1179" s="6">
        <v>10.0</v>
      </c>
      <c r="H1179" s="11" t="str">
        <f t="shared" si="4"/>
        <v>E10</v>
      </c>
      <c r="I1179" s="10" t="str">
        <f t="shared" si="5"/>
        <v>BRN74M-E10</v>
      </c>
      <c r="J1179" s="16"/>
      <c r="K1179" s="16" t="str">
        <f t="shared" si="6"/>
        <v>collected</v>
      </c>
      <c r="L1179" s="16" t="str">
        <f t="shared" si="7"/>
        <v>N</v>
      </c>
      <c r="M1179" s="16"/>
      <c r="N1179" s="16"/>
    </row>
    <row r="1180">
      <c r="A1180" s="27" t="s">
        <v>1683</v>
      </c>
      <c r="B1180" s="10" t="str">
        <f t="shared" si="1"/>
        <v>RNA-muscle</v>
      </c>
      <c r="C1180" s="10" t="str">
        <f t="shared" si="2"/>
        <v>BRN74M-D10</v>
      </c>
      <c r="D1180" s="6">
        <v>74.0</v>
      </c>
      <c r="E1180" s="10" t="str">
        <f t="shared" si="3"/>
        <v>BRN74M</v>
      </c>
      <c r="F1180" s="6" t="s">
        <v>68</v>
      </c>
      <c r="G1180" s="6">
        <v>10.0</v>
      </c>
      <c r="H1180" s="11" t="str">
        <f t="shared" si="4"/>
        <v>D10</v>
      </c>
      <c r="I1180" s="10" t="str">
        <f t="shared" si="5"/>
        <v>BRN74M-D10</v>
      </c>
      <c r="J1180" s="16"/>
      <c r="K1180" s="16" t="str">
        <f t="shared" si="6"/>
        <v>collected</v>
      </c>
      <c r="L1180" s="16" t="str">
        <f t="shared" si="7"/>
        <v>N</v>
      </c>
      <c r="M1180" s="16"/>
      <c r="N1180" s="16"/>
    </row>
    <row r="1181">
      <c r="A1181" s="27" t="s">
        <v>1684</v>
      </c>
      <c r="B1181" s="10" t="str">
        <f t="shared" si="1"/>
        <v>RNA-muscle</v>
      </c>
      <c r="C1181" s="10" t="str">
        <f t="shared" si="2"/>
        <v>BRN74M-C10</v>
      </c>
      <c r="D1181" s="6">
        <v>74.0</v>
      </c>
      <c r="E1181" s="10" t="str">
        <f t="shared" si="3"/>
        <v>BRN74M</v>
      </c>
      <c r="F1181" s="6" t="s">
        <v>72</v>
      </c>
      <c r="G1181" s="6">
        <v>10.0</v>
      </c>
      <c r="H1181" s="11" t="str">
        <f t="shared" si="4"/>
        <v>C10</v>
      </c>
      <c r="I1181" s="10" t="str">
        <f t="shared" si="5"/>
        <v>BRN74M-C10</v>
      </c>
      <c r="J1181" s="16"/>
      <c r="K1181" s="16" t="str">
        <f t="shared" si="6"/>
        <v>collected</v>
      </c>
      <c r="L1181" s="16" t="str">
        <f t="shared" si="7"/>
        <v>N</v>
      </c>
      <c r="M1181" s="16"/>
      <c r="N1181" s="16"/>
    </row>
    <row r="1182">
      <c r="A1182" s="27" t="s">
        <v>1686</v>
      </c>
      <c r="B1182" s="10" t="str">
        <f t="shared" si="1"/>
        <v>RNA-muscle</v>
      </c>
      <c r="C1182" s="10" t="str">
        <f t="shared" si="2"/>
        <v>BRN74M-B10</v>
      </c>
      <c r="D1182" s="6">
        <v>74.0</v>
      </c>
      <c r="E1182" s="10" t="str">
        <f t="shared" si="3"/>
        <v>BRN74M</v>
      </c>
      <c r="F1182" s="6" t="s">
        <v>74</v>
      </c>
      <c r="G1182" s="6">
        <v>10.0</v>
      </c>
      <c r="H1182" s="11" t="str">
        <f t="shared" si="4"/>
        <v>B10</v>
      </c>
      <c r="I1182" s="10" t="str">
        <f t="shared" si="5"/>
        <v>BRN74M-B10</v>
      </c>
      <c r="J1182" s="16"/>
      <c r="K1182" s="16" t="str">
        <f t="shared" si="6"/>
        <v>collected</v>
      </c>
      <c r="L1182" s="16" t="str">
        <f t="shared" si="7"/>
        <v>N</v>
      </c>
      <c r="M1182" s="16"/>
      <c r="N1182" s="16"/>
    </row>
    <row r="1183">
      <c r="A1183" s="27" t="s">
        <v>1687</v>
      </c>
      <c r="B1183" s="10" t="str">
        <f t="shared" si="1"/>
        <v>RNA-muscle</v>
      </c>
      <c r="C1183" s="10" t="str">
        <f t="shared" si="2"/>
        <v>BRN74M-A10</v>
      </c>
      <c r="D1183" s="6">
        <v>74.0</v>
      </c>
      <c r="E1183" s="10" t="str">
        <f t="shared" si="3"/>
        <v>BRN74M</v>
      </c>
      <c r="F1183" s="6" t="s">
        <v>76</v>
      </c>
      <c r="G1183" s="6">
        <v>10.0</v>
      </c>
      <c r="H1183" s="11" t="str">
        <f t="shared" si="4"/>
        <v>A10</v>
      </c>
      <c r="I1183" s="10" t="str">
        <f t="shared" si="5"/>
        <v>BRN74M-A10</v>
      </c>
      <c r="J1183" s="16"/>
      <c r="K1183" s="16" t="str">
        <f t="shared" si="6"/>
        <v>collected</v>
      </c>
      <c r="L1183" s="16" t="str">
        <f t="shared" si="7"/>
        <v>N</v>
      </c>
      <c r="M1183" s="16"/>
      <c r="N1183" s="16"/>
    </row>
    <row r="1184">
      <c r="A1184" s="27" t="s">
        <v>1688</v>
      </c>
      <c r="B1184" s="10" t="str">
        <f t="shared" si="1"/>
        <v>RNA-muscle</v>
      </c>
      <c r="C1184" s="10" t="str">
        <f t="shared" si="2"/>
        <v>BRN75M-H1</v>
      </c>
      <c r="D1184" s="6">
        <v>75.0</v>
      </c>
      <c r="E1184" s="10" t="str">
        <f t="shared" si="3"/>
        <v>BRN75M</v>
      </c>
      <c r="F1184" s="6" t="s">
        <v>51</v>
      </c>
      <c r="G1184" s="6">
        <v>1.0</v>
      </c>
      <c r="H1184" s="11" t="str">
        <f t="shared" si="4"/>
        <v>H1</v>
      </c>
      <c r="I1184" s="10" t="str">
        <f t="shared" si="5"/>
        <v>BRN75M-H1</v>
      </c>
      <c r="J1184" s="16"/>
      <c r="K1184" s="16" t="str">
        <f t="shared" si="6"/>
        <v>collected</v>
      </c>
      <c r="L1184" s="16" t="str">
        <f t="shared" si="7"/>
        <v>N</v>
      </c>
      <c r="M1184" s="16"/>
      <c r="N1184" s="16"/>
    </row>
    <row r="1185">
      <c r="A1185" s="27" t="s">
        <v>1690</v>
      </c>
      <c r="B1185" s="10" t="str">
        <f t="shared" si="1"/>
        <v>RNA-muscle</v>
      </c>
      <c r="C1185" s="10" t="str">
        <f t="shared" si="2"/>
        <v>BRN75M-G1</v>
      </c>
      <c r="D1185" s="6">
        <v>75.0</v>
      </c>
      <c r="E1185" s="10" t="str">
        <f t="shared" si="3"/>
        <v>BRN75M</v>
      </c>
      <c r="F1185" s="6" t="s">
        <v>56</v>
      </c>
      <c r="G1185" s="6">
        <v>1.0</v>
      </c>
      <c r="H1185" s="11" t="str">
        <f t="shared" si="4"/>
        <v>G1</v>
      </c>
      <c r="I1185" s="10" t="str">
        <f t="shared" si="5"/>
        <v>BRN75M-G1</v>
      </c>
      <c r="J1185" s="16"/>
      <c r="K1185" s="16" t="str">
        <f t="shared" si="6"/>
        <v>collected</v>
      </c>
      <c r="L1185" s="16" t="str">
        <f t="shared" si="7"/>
        <v>N</v>
      </c>
      <c r="M1185" s="16"/>
      <c r="N1185" s="16"/>
    </row>
    <row r="1186">
      <c r="A1186" s="27" t="s">
        <v>1691</v>
      </c>
      <c r="B1186" s="10" t="str">
        <f t="shared" si="1"/>
        <v>RNA-muscle</v>
      </c>
      <c r="C1186" s="10" t="str">
        <f t="shared" si="2"/>
        <v>BRN75M-F1</v>
      </c>
      <c r="D1186" s="6">
        <v>75.0</v>
      </c>
      <c r="E1186" s="10" t="str">
        <f t="shared" si="3"/>
        <v>BRN75M</v>
      </c>
      <c r="F1186" s="6" t="s">
        <v>61</v>
      </c>
      <c r="G1186" s="6">
        <v>1.0</v>
      </c>
      <c r="H1186" s="11" t="str">
        <f t="shared" si="4"/>
        <v>F1</v>
      </c>
      <c r="I1186" s="10" t="str">
        <f t="shared" si="5"/>
        <v>BRN75M-F1</v>
      </c>
      <c r="J1186" s="16"/>
      <c r="K1186" s="16" t="str">
        <f t="shared" si="6"/>
        <v>collected</v>
      </c>
      <c r="L1186" s="16" t="str">
        <f t="shared" si="7"/>
        <v>N</v>
      </c>
      <c r="M1186" s="16"/>
      <c r="N1186" s="16"/>
    </row>
    <row r="1187">
      <c r="A1187" s="27" t="s">
        <v>1692</v>
      </c>
      <c r="B1187" s="10" t="str">
        <f t="shared" si="1"/>
        <v>RNA-muscle</v>
      </c>
      <c r="C1187" s="10" t="str">
        <f t="shared" si="2"/>
        <v>BRN75M-E1</v>
      </c>
      <c r="D1187" s="6">
        <v>75.0</v>
      </c>
      <c r="E1187" s="10" t="str">
        <f t="shared" si="3"/>
        <v>BRN75M</v>
      </c>
      <c r="F1187" s="6" t="s">
        <v>66</v>
      </c>
      <c r="G1187" s="6">
        <v>1.0</v>
      </c>
      <c r="H1187" s="11" t="str">
        <f t="shared" si="4"/>
        <v>E1</v>
      </c>
      <c r="I1187" s="10" t="str">
        <f t="shared" si="5"/>
        <v>BRN75M-E1</v>
      </c>
      <c r="J1187" s="16"/>
      <c r="K1187" s="16" t="str">
        <f t="shared" si="6"/>
        <v>collected</v>
      </c>
      <c r="L1187" s="16" t="str">
        <f t="shared" si="7"/>
        <v>N</v>
      </c>
      <c r="M1187" s="16"/>
      <c r="N1187" s="16"/>
    </row>
    <row r="1188">
      <c r="A1188" s="27" t="s">
        <v>1693</v>
      </c>
      <c r="B1188" s="10" t="str">
        <f t="shared" si="1"/>
        <v>RNA-muscle</v>
      </c>
      <c r="C1188" s="10" t="str">
        <f t="shared" si="2"/>
        <v>BRN75M-D1</v>
      </c>
      <c r="D1188" s="6">
        <v>75.0</v>
      </c>
      <c r="E1188" s="10" t="str">
        <f t="shared" si="3"/>
        <v>BRN75M</v>
      </c>
      <c r="F1188" s="6" t="s">
        <v>68</v>
      </c>
      <c r="G1188" s="6">
        <v>1.0</v>
      </c>
      <c r="H1188" s="11" t="str">
        <f t="shared" si="4"/>
        <v>D1</v>
      </c>
      <c r="I1188" s="10" t="str">
        <f t="shared" si="5"/>
        <v>BRN75M-D1</v>
      </c>
      <c r="J1188" s="16"/>
      <c r="K1188" s="16" t="str">
        <f t="shared" si="6"/>
        <v>collected</v>
      </c>
      <c r="L1188" s="16" t="str">
        <f t="shared" si="7"/>
        <v>N</v>
      </c>
      <c r="M1188" s="16"/>
      <c r="N1188" s="16"/>
    </row>
    <row r="1189">
      <c r="A1189" s="27" t="s">
        <v>1695</v>
      </c>
      <c r="B1189" s="10" t="str">
        <f t="shared" si="1"/>
        <v>RNA-muscle</v>
      </c>
      <c r="C1189" s="10" t="str">
        <f t="shared" si="2"/>
        <v>BRN75M-C1</v>
      </c>
      <c r="D1189" s="6">
        <v>75.0</v>
      </c>
      <c r="E1189" s="10" t="str">
        <f t="shared" si="3"/>
        <v>BRN75M</v>
      </c>
      <c r="F1189" s="6" t="s">
        <v>72</v>
      </c>
      <c r="G1189" s="6">
        <v>1.0</v>
      </c>
      <c r="H1189" s="11" t="str">
        <f t="shared" si="4"/>
        <v>C1</v>
      </c>
      <c r="I1189" s="10" t="str">
        <f t="shared" si="5"/>
        <v>BRN75M-C1</v>
      </c>
      <c r="J1189" s="16"/>
      <c r="K1189" s="16" t="str">
        <f t="shared" si="6"/>
        <v>collected</v>
      </c>
      <c r="L1189" s="16" t="str">
        <f t="shared" si="7"/>
        <v>N</v>
      </c>
      <c r="M1189" s="16"/>
      <c r="N1189" s="16"/>
    </row>
    <row r="1190">
      <c r="A1190" s="27" t="s">
        <v>1696</v>
      </c>
      <c r="B1190" s="10" t="str">
        <f t="shared" si="1"/>
        <v>RNA-muscle</v>
      </c>
      <c r="C1190" s="10" t="str">
        <f t="shared" si="2"/>
        <v>BRN74M-F4</v>
      </c>
      <c r="D1190" s="6">
        <v>74.0</v>
      </c>
      <c r="E1190" s="10" t="str">
        <f t="shared" si="3"/>
        <v>BRN74M</v>
      </c>
      <c r="F1190" s="6" t="s">
        <v>61</v>
      </c>
      <c r="G1190" s="6">
        <v>4.0</v>
      </c>
      <c r="H1190" s="11" t="str">
        <f t="shared" si="4"/>
        <v>F4</v>
      </c>
      <c r="I1190" s="10" t="str">
        <f t="shared" si="5"/>
        <v>BRN74M-F4</v>
      </c>
      <c r="J1190" s="16"/>
      <c r="K1190" s="16" t="str">
        <f t="shared" si="6"/>
        <v>collected</v>
      </c>
      <c r="L1190" s="16" t="str">
        <f t="shared" si="7"/>
        <v>N</v>
      </c>
      <c r="M1190" s="16"/>
      <c r="N1190" s="16"/>
    </row>
    <row r="1191">
      <c r="A1191" s="27" t="s">
        <v>1697</v>
      </c>
      <c r="B1191" s="10" t="str">
        <f t="shared" si="1"/>
        <v>RNA-muscle</v>
      </c>
      <c r="C1191" s="10" t="str">
        <f t="shared" si="2"/>
        <v>BRN74M-E4</v>
      </c>
      <c r="D1191" s="6">
        <v>74.0</v>
      </c>
      <c r="E1191" s="10" t="str">
        <f t="shared" si="3"/>
        <v>BRN74M</v>
      </c>
      <c r="F1191" s="6" t="s">
        <v>66</v>
      </c>
      <c r="G1191" s="6">
        <v>4.0</v>
      </c>
      <c r="H1191" s="11" t="str">
        <f t="shared" si="4"/>
        <v>E4</v>
      </c>
      <c r="I1191" s="10" t="str">
        <f t="shared" si="5"/>
        <v>BRN74M-E4</v>
      </c>
      <c r="J1191" s="16"/>
      <c r="K1191" s="16" t="str">
        <f t="shared" si="6"/>
        <v>collected</v>
      </c>
      <c r="L1191" s="16" t="str">
        <f t="shared" si="7"/>
        <v>N</v>
      </c>
      <c r="M1191" s="16"/>
      <c r="N1191" s="16"/>
    </row>
    <row r="1192">
      <c r="A1192" s="27" t="s">
        <v>1698</v>
      </c>
      <c r="B1192" s="10" t="str">
        <f t="shared" si="1"/>
        <v>RNA-muscle</v>
      </c>
      <c r="C1192" s="10" t="str">
        <f t="shared" si="2"/>
        <v>BRN74M-D4</v>
      </c>
      <c r="D1192" s="6">
        <v>74.0</v>
      </c>
      <c r="E1192" s="10" t="str">
        <f t="shared" si="3"/>
        <v>BRN74M</v>
      </c>
      <c r="F1192" s="6" t="s">
        <v>68</v>
      </c>
      <c r="G1192" s="6">
        <v>4.0</v>
      </c>
      <c r="H1192" s="11" t="str">
        <f t="shared" si="4"/>
        <v>D4</v>
      </c>
      <c r="I1192" s="10" t="str">
        <f t="shared" si="5"/>
        <v>BRN74M-D4</v>
      </c>
      <c r="J1192" s="16"/>
      <c r="K1192" s="16" t="str">
        <f t="shared" si="6"/>
        <v>collected</v>
      </c>
      <c r="L1192" s="16" t="str">
        <f t="shared" si="7"/>
        <v>N</v>
      </c>
      <c r="M1192" s="16"/>
      <c r="N1192" s="16"/>
    </row>
    <row r="1193">
      <c r="A1193" s="27" t="s">
        <v>1699</v>
      </c>
      <c r="B1193" s="10" t="str">
        <f t="shared" si="1"/>
        <v>RNA-muscle</v>
      </c>
      <c r="C1193" s="10" t="str">
        <f t="shared" si="2"/>
        <v>BRN74M-C4</v>
      </c>
      <c r="D1193" s="6">
        <v>74.0</v>
      </c>
      <c r="E1193" s="10" t="str">
        <f t="shared" si="3"/>
        <v>BRN74M</v>
      </c>
      <c r="F1193" s="6" t="s">
        <v>72</v>
      </c>
      <c r="G1193" s="6">
        <v>4.0</v>
      </c>
      <c r="H1193" s="11" t="str">
        <f t="shared" si="4"/>
        <v>C4</v>
      </c>
      <c r="I1193" s="10" t="str">
        <f t="shared" si="5"/>
        <v>BRN74M-C4</v>
      </c>
      <c r="J1193" s="16"/>
      <c r="K1193" s="16" t="str">
        <f t="shared" si="6"/>
        <v>collected</v>
      </c>
      <c r="L1193" s="16" t="str">
        <f t="shared" si="7"/>
        <v>N</v>
      </c>
      <c r="M1193" s="16"/>
      <c r="N1193" s="16"/>
    </row>
    <row r="1194">
      <c r="A1194" s="27" t="s">
        <v>1701</v>
      </c>
      <c r="B1194" s="10" t="str">
        <f t="shared" si="1"/>
        <v>RNA-muscle</v>
      </c>
      <c r="C1194" s="10" t="str">
        <f t="shared" si="2"/>
        <v>BRN74M-B4</v>
      </c>
      <c r="D1194" s="6">
        <v>74.0</v>
      </c>
      <c r="E1194" s="10" t="str">
        <f t="shared" si="3"/>
        <v>BRN74M</v>
      </c>
      <c r="F1194" s="6" t="s">
        <v>74</v>
      </c>
      <c r="G1194" s="6">
        <v>4.0</v>
      </c>
      <c r="H1194" s="11" t="str">
        <f t="shared" si="4"/>
        <v>B4</v>
      </c>
      <c r="I1194" s="10" t="str">
        <f t="shared" si="5"/>
        <v>BRN74M-B4</v>
      </c>
      <c r="J1194" s="16"/>
      <c r="K1194" s="16" t="str">
        <f t="shared" si="6"/>
        <v>collected</v>
      </c>
      <c r="L1194" s="16" t="str">
        <f t="shared" si="7"/>
        <v>N</v>
      </c>
      <c r="M1194" s="16"/>
      <c r="N1194" s="16"/>
    </row>
    <row r="1195">
      <c r="A1195" s="27" t="s">
        <v>1702</v>
      </c>
      <c r="B1195" s="10" t="str">
        <f t="shared" si="1"/>
        <v>RNA-muscle</v>
      </c>
      <c r="C1195" s="10" t="str">
        <f t="shared" si="2"/>
        <v>BRN74M-A4</v>
      </c>
      <c r="D1195" s="6">
        <v>74.0</v>
      </c>
      <c r="E1195" s="10" t="str">
        <f t="shared" si="3"/>
        <v>BRN74M</v>
      </c>
      <c r="F1195" s="6" t="s">
        <v>76</v>
      </c>
      <c r="G1195" s="6">
        <v>4.0</v>
      </c>
      <c r="H1195" s="11" t="str">
        <f t="shared" si="4"/>
        <v>A4</v>
      </c>
      <c r="I1195" s="10" t="str">
        <f t="shared" si="5"/>
        <v>BRN74M-A4</v>
      </c>
      <c r="J1195" s="16"/>
      <c r="K1195" s="16" t="str">
        <f t="shared" si="6"/>
        <v>collected</v>
      </c>
      <c r="L1195" s="16" t="str">
        <f t="shared" si="7"/>
        <v>N</v>
      </c>
      <c r="M1195" s="16"/>
      <c r="N1195" s="16"/>
    </row>
    <row r="1196">
      <c r="A1196" s="27" t="s">
        <v>1703</v>
      </c>
      <c r="B1196" s="10" t="str">
        <f t="shared" si="1"/>
        <v>RNA-muscle</v>
      </c>
      <c r="C1196" s="10" t="str">
        <f t="shared" si="2"/>
        <v>BRN74M-H5</v>
      </c>
      <c r="D1196" s="6">
        <v>74.0</v>
      </c>
      <c r="E1196" s="10" t="str">
        <f t="shared" si="3"/>
        <v>BRN74M</v>
      </c>
      <c r="F1196" s="6" t="s">
        <v>51</v>
      </c>
      <c r="G1196" s="6">
        <v>5.0</v>
      </c>
      <c r="H1196" s="11" t="str">
        <f t="shared" si="4"/>
        <v>H5</v>
      </c>
      <c r="I1196" s="10" t="str">
        <f t="shared" si="5"/>
        <v>BRN74M-H5</v>
      </c>
      <c r="J1196" s="16"/>
      <c r="K1196" s="16" t="str">
        <f t="shared" si="6"/>
        <v>collected</v>
      </c>
      <c r="L1196" s="16" t="str">
        <f t="shared" si="7"/>
        <v>N</v>
      </c>
      <c r="M1196" s="16"/>
      <c r="N1196" s="16"/>
    </row>
    <row r="1197">
      <c r="A1197" s="27" t="s">
        <v>1704</v>
      </c>
      <c r="B1197" s="10" t="str">
        <f t="shared" si="1"/>
        <v>RNA-muscle</v>
      </c>
      <c r="C1197" s="10" t="str">
        <f t="shared" si="2"/>
        <v>BRN74M-G5</v>
      </c>
      <c r="D1197" s="6">
        <v>74.0</v>
      </c>
      <c r="E1197" s="10" t="str">
        <f t="shared" si="3"/>
        <v>BRN74M</v>
      </c>
      <c r="F1197" s="6" t="s">
        <v>56</v>
      </c>
      <c r="G1197" s="6">
        <v>5.0</v>
      </c>
      <c r="H1197" s="11" t="str">
        <f t="shared" si="4"/>
        <v>G5</v>
      </c>
      <c r="I1197" s="10" t="str">
        <f t="shared" si="5"/>
        <v>BRN74M-G5</v>
      </c>
      <c r="J1197" s="16"/>
      <c r="K1197" s="16" t="str">
        <f t="shared" si="6"/>
        <v>collected</v>
      </c>
      <c r="L1197" s="16" t="str">
        <f t="shared" si="7"/>
        <v>N</v>
      </c>
      <c r="M1197" s="16"/>
      <c r="N1197" s="16"/>
    </row>
    <row r="1198">
      <c r="A1198" s="27" t="s">
        <v>1706</v>
      </c>
      <c r="B1198" s="10" t="str">
        <f t="shared" si="1"/>
        <v>RNA-muscle</v>
      </c>
      <c r="C1198" s="10" t="str">
        <f t="shared" si="2"/>
        <v>BRN74M-F5</v>
      </c>
      <c r="D1198" s="6">
        <v>74.0</v>
      </c>
      <c r="E1198" s="10" t="str">
        <f t="shared" si="3"/>
        <v>BRN74M</v>
      </c>
      <c r="F1198" s="6" t="s">
        <v>61</v>
      </c>
      <c r="G1198" s="6">
        <v>5.0</v>
      </c>
      <c r="H1198" s="11" t="str">
        <f t="shared" si="4"/>
        <v>F5</v>
      </c>
      <c r="I1198" s="10" t="str">
        <f t="shared" si="5"/>
        <v>BRN74M-F5</v>
      </c>
      <c r="J1198" s="16"/>
      <c r="K1198" s="16" t="str">
        <f t="shared" si="6"/>
        <v>collected</v>
      </c>
      <c r="L1198" s="16" t="str">
        <f t="shared" si="7"/>
        <v>N</v>
      </c>
      <c r="M1198" s="16"/>
      <c r="N1198" s="16"/>
    </row>
    <row r="1199">
      <c r="A1199" s="27" t="s">
        <v>1707</v>
      </c>
      <c r="B1199" s="10" t="str">
        <f t="shared" si="1"/>
        <v>RNA-muscle</v>
      </c>
      <c r="C1199" s="10" t="str">
        <f t="shared" si="2"/>
        <v>BRN74M-E5</v>
      </c>
      <c r="D1199" s="6">
        <v>74.0</v>
      </c>
      <c r="E1199" s="10" t="str">
        <f t="shared" si="3"/>
        <v>BRN74M</v>
      </c>
      <c r="F1199" s="6" t="s">
        <v>66</v>
      </c>
      <c r="G1199" s="6">
        <v>5.0</v>
      </c>
      <c r="H1199" s="11" t="str">
        <f t="shared" si="4"/>
        <v>E5</v>
      </c>
      <c r="I1199" s="10" t="str">
        <f t="shared" si="5"/>
        <v>BRN74M-E5</v>
      </c>
      <c r="J1199" s="16"/>
      <c r="K1199" s="16" t="str">
        <f t="shared" si="6"/>
        <v>collected</v>
      </c>
      <c r="L1199" s="16" t="str">
        <f t="shared" si="7"/>
        <v>N</v>
      </c>
      <c r="M1199" s="16"/>
      <c r="N1199" s="16"/>
    </row>
    <row r="1200">
      <c r="A1200" s="27" t="s">
        <v>1708</v>
      </c>
      <c r="B1200" s="10" t="str">
        <f t="shared" si="1"/>
        <v>RNA-muscle</v>
      </c>
      <c r="C1200" s="10" t="str">
        <f t="shared" si="2"/>
        <v>BRN74M-D5</v>
      </c>
      <c r="D1200" s="6">
        <v>74.0</v>
      </c>
      <c r="E1200" s="10" t="str">
        <f t="shared" si="3"/>
        <v>BRN74M</v>
      </c>
      <c r="F1200" s="6" t="s">
        <v>68</v>
      </c>
      <c r="G1200" s="6">
        <v>5.0</v>
      </c>
      <c r="H1200" s="11" t="str">
        <f t="shared" si="4"/>
        <v>D5</v>
      </c>
      <c r="I1200" s="10" t="str">
        <f t="shared" si="5"/>
        <v>BRN74M-D5</v>
      </c>
      <c r="J1200" s="16"/>
      <c r="K1200" s="16" t="str">
        <f t="shared" si="6"/>
        <v>collected</v>
      </c>
      <c r="L1200" s="16" t="str">
        <f t="shared" si="7"/>
        <v>N</v>
      </c>
      <c r="M1200" s="16"/>
      <c r="N1200" s="16"/>
    </row>
    <row r="1201">
      <c r="A1201" s="27" t="s">
        <v>1709</v>
      </c>
      <c r="B1201" s="10" t="str">
        <f t="shared" si="1"/>
        <v>RNA-muscle</v>
      </c>
      <c r="C1201" s="10" t="str">
        <f t="shared" si="2"/>
        <v>BRN74M-C5</v>
      </c>
      <c r="D1201" s="6">
        <v>74.0</v>
      </c>
      <c r="E1201" s="10" t="str">
        <f t="shared" si="3"/>
        <v>BRN74M</v>
      </c>
      <c r="F1201" s="6" t="s">
        <v>72</v>
      </c>
      <c r="G1201" s="6">
        <v>5.0</v>
      </c>
      <c r="H1201" s="11" t="str">
        <f t="shared" si="4"/>
        <v>C5</v>
      </c>
      <c r="I1201" s="10" t="str">
        <f t="shared" si="5"/>
        <v>BRN74M-C5</v>
      </c>
      <c r="J1201" s="16"/>
      <c r="K1201" s="16" t="str">
        <f t="shared" si="6"/>
        <v>collected</v>
      </c>
      <c r="L1201" s="16" t="str">
        <f t="shared" si="7"/>
        <v>N</v>
      </c>
      <c r="M1201" s="16"/>
      <c r="N1201" s="16"/>
    </row>
    <row r="1202">
      <c r="A1202" s="27" t="s">
        <v>1711</v>
      </c>
      <c r="B1202" s="10" t="str">
        <f t="shared" si="1"/>
        <v>RNA-muscle</v>
      </c>
      <c r="C1202" s="10" t="str">
        <f t="shared" si="2"/>
        <v>BRN74M-B5</v>
      </c>
      <c r="D1202" s="6">
        <v>74.0</v>
      </c>
      <c r="E1202" s="10" t="str">
        <f t="shared" si="3"/>
        <v>BRN74M</v>
      </c>
      <c r="F1202" s="6" t="s">
        <v>74</v>
      </c>
      <c r="G1202" s="6">
        <v>5.0</v>
      </c>
      <c r="H1202" s="11" t="str">
        <f t="shared" si="4"/>
        <v>B5</v>
      </c>
      <c r="I1202" s="10" t="str">
        <f t="shared" si="5"/>
        <v>BRN74M-B5</v>
      </c>
      <c r="J1202" s="16"/>
      <c r="K1202" s="16" t="str">
        <f t="shared" si="6"/>
        <v>collected</v>
      </c>
      <c r="L1202" s="16" t="str">
        <f t="shared" si="7"/>
        <v>N</v>
      </c>
      <c r="M1202" s="16"/>
      <c r="N1202" s="16"/>
    </row>
    <row r="1203">
      <c r="A1203" s="27" t="s">
        <v>1712</v>
      </c>
      <c r="B1203" s="10" t="str">
        <f t="shared" si="1"/>
        <v>RNA-muscle</v>
      </c>
      <c r="C1203" s="10" t="str">
        <f t="shared" si="2"/>
        <v>BRN74M-A5</v>
      </c>
      <c r="D1203" s="6">
        <v>74.0</v>
      </c>
      <c r="E1203" s="10" t="str">
        <f t="shared" si="3"/>
        <v>BRN74M</v>
      </c>
      <c r="F1203" s="6" t="s">
        <v>76</v>
      </c>
      <c r="G1203" s="6">
        <v>5.0</v>
      </c>
      <c r="H1203" s="11" t="str">
        <f t="shared" si="4"/>
        <v>A5</v>
      </c>
      <c r="I1203" s="10" t="str">
        <f t="shared" si="5"/>
        <v>BRN74M-A5</v>
      </c>
      <c r="J1203" s="16"/>
      <c r="K1203" s="16" t="str">
        <f t="shared" si="6"/>
        <v>collected</v>
      </c>
      <c r="L1203" s="16" t="str">
        <f t="shared" si="7"/>
        <v>N</v>
      </c>
      <c r="M1203" s="16"/>
      <c r="N1203" s="16"/>
    </row>
    <row r="1204">
      <c r="A1204" s="27" t="s">
        <v>1713</v>
      </c>
      <c r="B1204" s="10" t="str">
        <f t="shared" si="1"/>
        <v>RNA-muscle</v>
      </c>
      <c r="C1204" s="10" t="str">
        <f t="shared" si="2"/>
        <v>BRN74M-H11</v>
      </c>
      <c r="D1204" s="6">
        <v>74.0</v>
      </c>
      <c r="E1204" s="10" t="str">
        <f t="shared" si="3"/>
        <v>BRN74M</v>
      </c>
      <c r="F1204" s="6" t="s">
        <v>51</v>
      </c>
      <c r="G1204" s="6">
        <v>11.0</v>
      </c>
      <c r="H1204" s="11" t="str">
        <f t="shared" si="4"/>
        <v>H11</v>
      </c>
      <c r="I1204" s="10" t="str">
        <f t="shared" si="5"/>
        <v>BRN74M-H11</v>
      </c>
      <c r="J1204" s="16"/>
      <c r="K1204" s="16" t="str">
        <f t="shared" si="6"/>
        <v>collected</v>
      </c>
      <c r="L1204" s="16" t="str">
        <f t="shared" si="7"/>
        <v>N</v>
      </c>
      <c r="M1204" s="16"/>
      <c r="N1204" s="16"/>
    </row>
    <row r="1205">
      <c r="A1205" s="27" t="s">
        <v>1714</v>
      </c>
      <c r="B1205" s="10" t="str">
        <f t="shared" si="1"/>
        <v>RNA-muscle</v>
      </c>
      <c r="C1205" s="10" t="str">
        <f t="shared" si="2"/>
        <v>BRN74M-G11</v>
      </c>
      <c r="D1205" s="6">
        <v>74.0</v>
      </c>
      <c r="E1205" s="10" t="str">
        <f t="shared" si="3"/>
        <v>BRN74M</v>
      </c>
      <c r="F1205" s="6" t="s">
        <v>56</v>
      </c>
      <c r="G1205" s="6">
        <v>11.0</v>
      </c>
      <c r="H1205" s="11" t="str">
        <f t="shared" si="4"/>
        <v>G11</v>
      </c>
      <c r="I1205" s="10" t="str">
        <f t="shared" si="5"/>
        <v>BRN74M-G11</v>
      </c>
      <c r="J1205" s="16"/>
      <c r="K1205" s="16" t="str">
        <f t="shared" si="6"/>
        <v>collected</v>
      </c>
      <c r="L1205" s="16" t="str">
        <f t="shared" si="7"/>
        <v>N</v>
      </c>
      <c r="M1205" s="16"/>
      <c r="N1205" s="16"/>
    </row>
    <row r="1206">
      <c r="A1206" s="27" t="s">
        <v>1715</v>
      </c>
      <c r="B1206" s="10" t="str">
        <f t="shared" si="1"/>
        <v>RNA-muscle</v>
      </c>
      <c r="C1206" s="10" t="str">
        <f t="shared" si="2"/>
        <v>BRN74M-F11</v>
      </c>
      <c r="D1206" s="6">
        <v>74.0</v>
      </c>
      <c r="E1206" s="10" t="str">
        <f t="shared" si="3"/>
        <v>BRN74M</v>
      </c>
      <c r="F1206" s="6" t="s">
        <v>61</v>
      </c>
      <c r="G1206" s="6">
        <v>11.0</v>
      </c>
      <c r="H1206" s="11" t="str">
        <f t="shared" si="4"/>
        <v>F11</v>
      </c>
      <c r="I1206" s="10" t="str">
        <f t="shared" si="5"/>
        <v>BRN74M-F11</v>
      </c>
      <c r="J1206" s="16"/>
      <c r="K1206" s="16" t="str">
        <f t="shared" si="6"/>
        <v>collected</v>
      </c>
      <c r="L1206" s="16" t="str">
        <f t="shared" si="7"/>
        <v>N</v>
      </c>
      <c r="M1206" s="16"/>
      <c r="N1206" s="16"/>
    </row>
    <row r="1207">
      <c r="A1207" s="27" t="s">
        <v>1717</v>
      </c>
      <c r="B1207" s="10" t="str">
        <f t="shared" si="1"/>
        <v>RNA-muscle</v>
      </c>
      <c r="C1207" s="10" t="str">
        <f t="shared" si="2"/>
        <v>BRN74M-E11</v>
      </c>
      <c r="D1207" s="6">
        <v>74.0</v>
      </c>
      <c r="E1207" s="10" t="str">
        <f t="shared" si="3"/>
        <v>BRN74M</v>
      </c>
      <c r="F1207" s="6" t="s">
        <v>66</v>
      </c>
      <c r="G1207" s="6">
        <v>11.0</v>
      </c>
      <c r="H1207" s="11" t="str">
        <f t="shared" si="4"/>
        <v>E11</v>
      </c>
      <c r="I1207" s="10" t="str">
        <f t="shared" si="5"/>
        <v>BRN74M-E11</v>
      </c>
      <c r="J1207" s="16"/>
      <c r="K1207" s="16" t="str">
        <f t="shared" si="6"/>
        <v>collected</v>
      </c>
      <c r="L1207" s="16" t="str">
        <f t="shared" si="7"/>
        <v>N</v>
      </c>
      <c r="M1207" s="16"/>
      <c r="N1207" s="16"/>
    </row>
    <row r="1208">
      <c r="A1208" s="27" t="s">
        <v>1718</v>
      </c>
      <c r="B1208" s="10" t="str">
        <f t="shared" si="1"/>
        <v>RNA-muscle</v>
      </c>
      <c r="C1208" s="10" t="str">
        <f t="shared" si="2"/>
        <v>BRN74M-D11</v>
      </c>
      <c r="D1208" s="6">
        <v>74.0</v>
      </c>
      <c r="E1208" s="10" t="str">
        <f t="shared" si="3"/>
        <v>BRN74M</v>
      </c>
      <c r="F1208" s="6" t="s">
        <v>68</v>
      </c>
      <c r="G1208" s="6">
        <v>11.0</v>
      </c>
      <c r="H1208" s="11" t="str">
        <f t="shared" si="4"/>
        <v>D11</v>
      </c>
      <c r="I1208" s="10" t="str">
        <f t="shared" si="5"/>
        <v>BRN74M-D11</v>
      </c>
      <c r="J1208" s="16"/>
      <c r="K1208" s="16" t="str">
        <f t="shared" si="6"/>
        <v>collected</v>
      </c>
      <c r="L1208" s="16" t="str">
        <f t="shared" si="7"/>
        <v>N</v>
      </c>
      <c r="M1208" s="16"/>
      <c r="N1208" s="16"/>
    </row>
    <row r="1209">
      <c r="A1209" s="27" t="s">
        <v>1719</v>
      </c>
      <c r="B1209" s="10" t="str">
        <f t="shared" si="1"/>
        <v>RNA-muscle</v>
      </c>
      <c r="C1209" s="10" t="str">
        <f t="shared" si="2"/>
        <v>BRN74M-C11</v>
      </c>
      <c r="D1209" s="6">
        <v>74.0</v>
      </c>
      <c r="E1209" s="10" t="str">
        <f t="shared" si="3"/>
        <v>BRN74M</v>
      </c>
      <c r="F1209" s="6" t="s">
        <v>72</v>
      </c>
      <c r="G1209" s="6">
        <v>11.0</v>
      </c>
      <c r="H1209" s="11" t="str">
        <f t="shared" si="4"/>
        <v>C11</v>
      </c>
      <c r="I1209" s="10" t="str">
        <f t="shared" si="5"/>
        <v>BRN74M-C11</v>
      </c>
      <c r="J1209" s="16"/>
      <c r="K1209" s="16" t="str">
        <f t="shared" si="6"/>
        <v>collected</v>
      </c>
      <c r="L1209" s="16" t="str">
        <f t="shared" si="7"/>
        <v>N</v>
      </c>
      <c r="M1209" s="16"/>
      <c r="N1209" s="16"/>
    </row>
    <row r="1210">
      <c r="A1210" s="27" t="s">
        <v>1721</v>
      </c>
      <c r="B1210" s="10" t="str">
        <f t="shared" si="1"/>
        <v>RNA-muscle</v>
      </c>
      <c r="C1210" s="10" t="str">
        <f t="shared" si="2"/>
        <v>BRN74M-B11</v>
      </c>
      <c r="D1210" s="6">
        <v>74.0</v>
      </c>
      <c r="E1210" s="10" t="str">
        <f t="shared" si="3"/>
        <v>BRN74M</v>
      </c>
      <c r="F1210" s="6" t="s">
        <v>74</v>
      </c>
      <c r="G1210" s="6">
        <v>11.0</v>
      </c>
      <c r="H1210" s="11" t="str">
        <f t="shared" si="4"/>
        <v>B11</v>
      </c>
      <c r="I1210" s="10" t="str">
        <f t="shared" si="5"/>
        <v>BRN74M-B11</v>
      </c>
      <c r="J1210" s="16"/>
      <c r="K1210" s="16" t="str">
        <f t="shared" si="6"/>
        <v>collected</v>
      </c>
      <c r="L1210" s="16" t="str">
        <f t="shared" si="7"/>
        <v>N</v>
      </c>
      <c r="M1210" s="16"/>
      <c r="N1210" s="16"/>
    </row>
    <row r="1211">
      <c r="A1211" s="27" t="s">
        <v>1722</v>
      </c>
      <c r="B1211" s="10" t="str">
        <f t="shared" si="1"/>
        <v>RNA-muscle</v>
      </c>
      <c r="C1211" s="10" t="str">
        <f t="shared" si="2"/>
        <v>BRN74M-A11</v>
      </c>
      <c r="D1211" s="6">
        <v>74.0</v>
      </c>
      <c r="E1211" s="10" t="str">
        <f t="shared" si="3"/>
        <v>BRN74M</v>
      </c>
      <c r="F1211" s="6" t="s">
        <v>76</v>
      </c>
      <c r="G1211" s="6">
        <v>11.0</v>
      </c>
      <c r="H1211" s="11" t="str">
        <f t="shared" si="4"/>
        <v>A11</v>
      </c>
      <c r="I1211" s="10" t="str">
        <f t="shared" si="5"/>
        <v>BRN74M-A11</v>
      </c>
      <c r="J1211" s="16"/>
      <c r="K1211" s="16" t="str">
        <f t="shared" si="6"/>
        <v>collected</v>
      </c>
      <c r="L1211" s="16" t="str">
        <f t="shared" si="7"/>
        <v>N</v>
      </c>
      <c r="M1211" s="16"/>
      <c r="N1211" s="16"/>
    </row>
    <row r="1212">
      <c r="A1212" s="27" t="s">
        <v>1723</v>
      </c>
      <c r="B1212" s="10" t="str">
        <f t="shared" si="1"/>
        <v>RNA-muscle</v>
      </c>
      <c r="C1212" s="10" t="str">
        <f t="shared" si="2"/>
        <v>BRN74M-H12</v>
      </c>
      <c r="D1212" s="6">
        <v>74.0</v>
      </c>
      <c r="E1212" s="10" t="str">
        <f t="shared" si="3"/>
        <v>BRN74M</v>
      </c>
      <c r="F1212" s="6" t="s">
        <v>51</v>
      </c>
      <c r="G1212" s="6">
        <v>12.0</v>
      </c>
      <c r="H1212" s="11" t="str">
        <f t="shared" si="4"/>
        <v>H12</v>
      </c>
      <c r="I1212" s="10" t="str">
        <f t="shared" si="5"/>
        <v>BRN74M-H12</v>
      </c>
      <c r="J1212" s="16"/>
      <c r="K1212" s="16" t="str">
        <f t="shared" si="6"/>
        <v>collected</v>
      </c>
      <c r="L1212" s="16" t="str">
        <f t="shared" si="7"/>
        <v>N</v>
      </c>
      <c r="M1212" s="16"/>
      <c r="N1212" s="16"/>
    </row>
    <row r="1213">
      <c r="A1213" s="27" t="s">
        <v>1724</v>
      </c>
      <c r="B1213" s="10" t="str">
        <f t="shared" si="1"/>
        <v>RNA-muscle</v>
      </c>
      <c r="C1213" s="10" t="str">
        <f t="shared" si="2"/>
        <v>BRN74M-F12</v>
      </c>
      <c r="D1213" s="6">
        <v>74.0</v>
      </c>
      <c r="E1213" s="10" t="str">
        <f t="shared" si="3"/>
        <v>BRN74M</v>
      </c>
      <c r="F1213" s="6" t="s">
        <v>61</v>
      </c>
      <c r="G1213" s="6">
        <v>12.0</v>
      </c>
      <c r="H1213" s="11" t="str">
        <f t="shared" si="4"/>
        <v>F12</v>
      </c>
      <c r="I1213" s="10" t="str">
        <f t="shared" si="5"/>
        <v>BRN74M-F12</v>
      </c>
      <c r="J1213" s="16"/>
      <c r="K1213" s="16" t="str">
        <f t="shared" si="6"/>
        <v>collected</v>
      </c>
      <c r="L1213" s="16" t="str">
        <f t="shared" si="7"/>
        <v>N</v>
      </c>
      <c r="M1213" s="16"/>
      <c r="N1213" s="16"/>
    </row>
    <row r="1214">
      <c r="A1214" s="27" t="s">
        <v>1725</v>
      </c>
      <c r="B1214" s="10" t="str">
        <f t="shared" si="1"/>
        <v>RNA-muscle</v>
      </c>
      <c r="C1214" s="10" t="str">
        <f t="shared" si="2"/>
        <v>BRN75M-B1</v>
      </c>
      <c r="D1214" s="6">
        <v>75.0</v>
      </c>
      <c r="E1214" s="10" t="str">
        <f t="shared" si="3"/>
        <v>BRN75M</v>
      </c>
      <c r="F1214" s="6" t="s">
        <v>74</v>
      </c>
      <c r="G1214" s="6">
        <v>1.0</v>
      </c>
      <c r="H1214" s="11" t="str">
        <f t="shared" si="4"/>
        <v>B1</v>
      </c>
      <c r="I1214" s="10" t="str">
        <f t="shared" si="5"/>
        <v>BRN75M-B1</v>
      </c>
      <c r="J1214" s="16"/>
      <c r="K1214" s="16" t="str">
        <f t="shared" si="6"/>
        <v>collected</v>
      </c>
      <c r="L1214" s="16" t="str">
        <f t="shared" si="7"/>
        <v>N</v>
      </c>
      <c r="M1214" s="16"/>
      <c r="N1214" s="16"/>
    </row>
    <row r="1215">
      <c r="A1215" s="27" t="s">
        <v>1726</v>
      </c>
      <c r="B1215" s="10" t="str">
        <f t="shared" si="1"/>
        <v>RNA-muscle</v>
      </c>
      <c r="C1215" s="10" t="str">
        <f t="shared" si="2"/>
        <v>BRN75M-A1</v>
      </c>
      <c r="D1215" s="6">
        <v>75.0</v>
      </c>
      <c r="E1215" s="10" t="str">
        <f t="shared" si="3"/>
        <v>BRN75M</v>
      </c>
      <c r="F1215" s="6" t="s">
        <v>76</v>
      </c>
      <c r="G1215" s="6">
        <v>1.0</v>
      </c>
      <c r="H1215" s="11" t="str">
        <f t="shared" si="4"/>
        <v>A1</v>
      </c>
      <c r="I1215" s="10" t="str">
        <f t="shared" si="5"/>
        <v>BRN75M-A1</v>
      </c>
      <c r="J1215" s="16"/>
      <c r="K1215" s="16" t="str">
        <f t="shared" si="6"/>
        <v>collected</v>
      </c>
      <c r="L1215" s="16" t="str">
        <f t="shared" si="7"/>
        <v>N</v>
      </c>
      <c r="M1215" s="16"/>
      <c r="N1215" s="16"/>
    </row>
    <row r="1216">
      <c r="A1216" s="27" t="s">
        <v>1727</v>
      </c>
      <c r="B1216" s="10" t="str">
        <f t="shared" si="1"/>
        <v>RNA-muscle</v>
      </c>
      <c r="C1216" s="10" t="str">
        <f t="shared" si="2"/>
        <v>BRN75M-H2</v>
      </c>
      <c r="D1216" s="6">
        <v>75.0</v>
      </c>
      <c r="E1216" s="10" t="str">
        <f t="shared" si="3"/>
        <v>BRN75M</v>
      </c>
      <c r="F1216" s="6" t="s">
        <v>51</v>
      </c>
      <c r="G1216" s="6">
        <v>2.0</v>
      </c>
      <c r="H1216" s="11" t="str">
        <f t="shared" si="4"/>
        <v>H2</v>
      </c>
      <c r="I1216" s="10" t="str">
        <f t="shared" si="5"/>
        <v>BRN75M-H2</v>
      </c>
      <c r="J1216" s="16"/>
      <c r="K1216" s="16" t="str">
        <f t="shared" si="6"/>
        <v>collected</v>
      </c>
      <c r="L1216" s="16" t="str">
        <f t="shared" si="7"/>
        <v>N</v>
      </c>
      <c r="M1216" s="16"/>
      <c r="N1216" s="16"/>
    </row>
    <row r="1217">
      <c r="A1217" s="27" t="s">
        <v>1728</v>
      </c>
      <c r="B1217" s="10" t="str">
        <f t="shared" si="1"/>
        <v>RNA-muscle</v>
      </c>
      <c r="C1217" s="10" t="str">
        <f t="shared" si="2"/>
        <v>BRN75M-G2</v>
      </c>
      <c r="D1217" s="6">
        <v>75.0</v>
      </c>
      <c r="E1217" s="10" t="str">
        <f t="shared" si="3"/>
        <v>BRN75M</v>
      </c>
      <c r="F1217" s="6" t="s">
        <v>56</v>
      </c>
      <c r="G1217" s="6">
        <v>2.0</v>
      </c>
      <c r="H1217" s="11" t="str">
        <f t="shared" si="4"/>
        <v>G2</v>
      </c>
      <c r="I1217" s="10" t="str">
        <f t="shared" si="5"/>
        <v>BRN75M-G2</v>
      </c>
      <c r="J1217" s="16"/>
      <c r="K1217" s="16" t="str">
        <f t="shared" si="6"/>
        <v>collected</v>
      </c>
      <c r="L1217" s="16" t="str">
        <f t="shared" si="7"/>
        <v>N</v>
      </c>
      <c r="M1217" s="16"/>
      <c r="N1217" s="16"/>
    </row>
    <row r="1218">
      <c r="A1218" s="27" t="s">
        <v>1730</v>
      </c>
      <c r="B1218" s="10" t="str">
        <f t="shared" si="1"/>
        <v>RNA-muscle</v>
      </c>
      <c r="C1218" s="10" t="str">
        <f t="shared" si="2"/>
        <v>BRN75M-F2</v>
      </c>
      <c r="D1218" s="6">
        <v>75.0</v>
      </c>
      <c r="E1218" s="10" t="str">
        <f t="shared" si="3"/>
        <v>BRN75M</v>
      </c>
      <c r="F1218" s="6" t="s">
        <v>61</v>
      </c>
      <c r="G1218" s="6">
        <v>2.0</v>
      </c>
      <c r="H1218" s="11" t="str">
        <f t="shared" si="4"/>
        <v>F2</v>
      </c>
      <c r="I1218" s="10" t="str">
        <f t="shared" si="5"/>
        <v>BRN75M-F2</v>
      </c>
      <c r="J1218" s="16"/>
      <c r="K1218" s="16" t="str">
        <f t="shared" si="6"/>
        <v>collected</v>
      </c>
      <c r="L1218" s="16" t="str">
        <f t="shared" si="7"/>
        <v>N</v>
      </c>
      <c r="M1218" s="16"/>
      <c r="N1218" s="16"/>
    </row>
    <row r="1219">
      <c r="A1219" s="27" t="s">
        <v>1731</v>
      </c>
      <c r="B1219" s="10" t="str">
        <f t="shared" si="1"/>
        <v>RNA-muscle</v>
      </c>
      <c r="C1219" s="10" t="str">
        <f t="shared" si="2"/>
        <v>BRN75M-E2</v>
      </c>
      <c r="D1219" s="6">
        <v>75.0</v>
      </c>
      <c r="E1219" s="10" t="str">
        <f t="shared" si="3"/>
        <v>BRN75M</v>
      </c>
      <c r="F1219" s="6" t="s">
        <v>66</v>
      </c>
      <c r="G1219" s="6">
        <v>2.0</v>
      </c>
      <c r="H1219" s="11" t="str">
        <f t="shared" si="4"/>
        <v>E2</v>
      </c>
      <c r="I1219" s="10" t="str">
        <f t="shared" si="5"/>
        <v>BRN75M-E2</v>
      </c>
      <c r="J1219" s="16"/>
      <c r="K1219" s="16" t="str">
        <f t="shared" si="6"/>
        <v>collected</v>
      </c>
      <c r="L1219" s="16" t="str">
        <f t="shared" si="7"/>
        <v>N</v>
      </c>
      <c r="M1219" s="16"/>
      <c r="N1219" s="16"/>
    </row>
    <row r="1220">
      <c r="A1220" s="27" t="s">
        <v>1732</v>
      </c>
      <c r="B1220" s="10" t="str">
        <f t="shared" si="1"/>
        <v>RNA-muscle</v>
      </c>
      <c r="C1220" s="10" t="str">
        <f t="shared" si="2"/>
        <v>BRN75M-D2</v>
      </c>
      <c r="D1220" s="6">
        <v>75.0</v>
      </c>
      <c r="E1220" s="10" t="str">
        <f t="shared" si="3"/>
        <v>BRN75M</v>
      </c>
      <c r="F1220" s="6" t="s">
        <v>68</v>
      </c>
      <c r="G1220" s="6">
        <v>2.0</v>
      </c>
      <c r="H1220" s="11" t="str">
        <f t="shared" si="4"/>
        <v>D2</v>
      </c>
      <c r="I1220" s="10" t="str">
        <f t="shared" si="5"/>
        <v>BRN75M-D2</v>
      </c>
      <c r="J1220" s="16"/>
      <c r="K1220" s="16" t="str">
        <f t="shared" si="6"/>
        <v>collected</v>
      </c>
      <c r="L1220" s="16" t="str">
        <f t="shared" si="7"/>
        <v>N</v>
      </c>
      <c r="M1220" s="16"/>
      <c r="N1220" s="16"/>
    </row>
    <row r="1221">
      <c r="A1221" s="27" t="s">
        <v>1733</v>
      </c>
      <c r="B1221" s="10" t="str">
        <f t="shared" si="1"/>
        <v>RNA-muscle</v>
      </c>
      <c r="C1221" s="10" t="str">
        <f t="shared" si="2"/>
        <v>BRN75M-C2</v>
      </c>
      <c r="D1221" s="6">
        <v>75.0</v>
      </c>
      <c r="E1221" s="10" t="str">
        <f t="shared" si="3"/>
        <v>BRN75M</v>
      </c>
      <c r="F1221" s="6" t="s">
        <v>72</v>
      </c>
      <c r="G1221" s="6">
        <v>2.0</v>
      </c>
      <c r="H1221" s="11" t="str">
        <f t="shared" si="4"/>
        <v>C2</v>
      </c>
      <c r="I1221" s="10" t="str">
        <f t="shared" si="5"/>
        <v>BRN75M-C2</v>
      </c>
      <c r="J1221" s="16"/>
      <c r="K1221" s="16" t="str">
        <f t="shared" si="6"/>
        <v>collected</v>
      </c>
      <c r="L1221" s="16" t="str">
        <f t="shared" si="7"/>
        <v>N</v>
      </c>
      <c r="M1221" s="16"/>
      <c r="N1221" s="16"/>
    </row>
    <row r="1222">
      <c r="A1222" s="27" t="s">
        <v>1734</v>
      </c>
      <c r="B1222" s="10" t="str">
        <f t="shared" si="1"/>
        <v>RNA-muscle</v>
      </c>
      <c r="C1222" s="10" t="str">
        <f t="shared" si="2"/>
        <v>BRN75M-B2</v>
      </c>
      <c r="D1222" s="6">
        <v>75.0</v>
      </c>
      <c r="E1222" s="10" t="str">
        <f t="shared" si="3"/>
        <v>BRN75M</v>
      </c>
      <c r="F1222" s="6" t="s">
        <v>74</v>
      </c>
      <c r="G1222" s="6">
        <v>2.0</v>
      </c>
      <c r="H1222" s="11" t="str">
        <f t="shared" si="4"/>
        <v>B2</v>
      </c>
      <c r="I1222" s="10" t="str">
        <f t="shared" si="5"/>
        <v>BRN75M-B2</v>
      </c>
      <c r="J1222" s="16"/>
      <c r="K1222" s="16" t="str">
        <f t="shared" si="6"/>
        <v>collected</v>
      </c>
      <c r="L1222" s="16" t="str">
        <f t="shared" si="7"/>
        <v>N</v>
      </c>
      <c r="M1222" s="16"/>
      <c r="N1222" s="16"/>
    </row>
    <row r="1223">
      <c r="A1223" s="27" t="s">
        <v>1735</v>
      </c>
      <c r="B1223" s="10" t="str">
        <f t="shared" si="1"/>
        <v>RNA-muscle</v>
      </c>
      <c r="C1223" s="10" t="str">
        <f t="shared" si="2"/>
        <v>BRN75M-A2</v>
      </c>
      <c r="D1223" s="6">
        <v>75.0</v>
      </c>
      <c r="E1223" s="10" t="str">
        <f t="shared" si="3"/>
        <v>BRN75M</v>
      </c>
      <c r="F1223" s="6" t="s">
        <v>76</v>
      </c>
      <c r="G1223" s="6">
        <v>2.0</v>
      </c>
      <c r="H1223" s="11" t="str">
        <f t="shared" si="4"/>
        <v>A2</v>
      </c>
      <c r="I1223" s="10" t="str">
        <f t="shared" si="5"/>
        <v>BRN75M-A2</v>
      </c>
      <c r="J1223" s="16"/>
      <c r="K1223" s="16" t="str">
        <f t="shared" si="6"/>
        <v>collected</v>
      </c>
      <c r="L1223" s="16" t="str">
        <f t="shared" si="7"/>
        <v>N</v>
      </c>
      <c r="M1223" s="16"/>
      <c r="N1223" s="16"/>
    </row>
    <row r="1224">
      <c r="A1224" s="27" t="s">
        <v>1736</v>
      </c>
      <c r="B1224" s="10" t="str">
        <f t="shared" si="1"/>
        <v>RNA-muscle</v>
      </c>
      <c r="C1224" s="10" t="str">
        <f t="shared" si="2"/>
        <v>BRN75M-H4</v>
      </c>
      <c r="D1224" s="6">
        <v>75.0</v>
      </c>
      <c r="E1224" s="10" t="str">
        <f t="shared" si="3"/>
        <v>BRN75M</v>
      </c>
      <c r="F1224" s="6" t="s">
        <v>51</v>
      </c>
      <c r="G1224" s="6">
        <v>4.0</v>
      </c>
      <c r="H1224" s="11" t="str">
        <f t="shared" si="4"/>
        <v>H4</v>
      </c>
      <c r="I1224" s="10" t="str">
        <f t="shared" si="5"/>
        <v>BRN75M-H4</v>
      </c>
      <c r="J1224" s="16"/>
      <c r="K1224" s="16" t="str">
        <f t="shared" si="6"/>
        <v>collected</v>
      </c>
      <c r="L1224" s="16" t="str">
        <f t="shared" si="7"/>
        <v>N</v>
      </c>
      <c r="M1224" s="16"/>
      <c r="N1224" s="16"/>
    </row>
    <row r="1225">
      <c r="A1225" s="27" t="s">
        <v>1737</v>
      </c>
      <c r="B1225" s="10" t="str">
        <f t="shared" si="1"/>
        <v>RNA-muscle</v>
      </c>
      <c r="C1225" s="10" t="str">
        <f t="shared" si="2"/>
        <v>BRN75M-G4</v>
      </c>
      <c r="D1225" s="6">
        <v>75.0</v>
      </c>
      <c r="E1225" s="10" t="str">
        <f t="shared" si="3"/>
        <v>BRN75M</v>
      </c>
      <c r="F1225" s="6" t="s">
        <v>56</v>
      </c>
      <c r="G1225" s="6">
        <v>4.0</v>
      </c>
      <c r="H1225" s="11" t="str">
        <f t="shared" si="4"/>
        <v>G4</v>
      </c>
      <c r="I1225" s="10" t="str">
        <f t="shared" si="5"/>
        <v>BRN75M-G4</v>
      </c>
      <c r="J1225" s="16"/>
      <c r="K1225" s="16" t="str">
        <f t="shared" si="6"/>
        <v>collected</v>
      </c>
      <c r="L1225" s="16" t="str">
        <f t="shared" si="7"/>
        <v>N</v>
      </c>
      <c r="M1225" s="16"/>
      <c r="N1225" s="16"/>
    </row>
    <row r="1226">
      <c r="A1226" s="27" t="s">
        <v>1738</v>
      </c>
      <c r="B1226" s="10" t="str">
        <f t="shared" si="1"/>
        <v>RNA-muscle</v>
      </c>
      <c r="C1226" s="10" t="str">
        <f t="shared" si="2"/>
        <v>BRN75M-F4</v>
      </c>
      <c r="D1226" s="6">
        <v>75.0</v>
      </c>
      <c r="E1226" s="10" t="str">
        <f t="shared" si="3"/>
        <v>BRN75M</v>
      </c>
      <c r="F1226" s="6" t="s">
        <v>61</v>
      </c>
      <c r="G1226" s="6">
        <v>4.0</v>
      </c>
      <c r="H1226" s="11" t="str">
        <f t="shared" si="4"/>
        <v>F4</v>
      </c>
      <c r="I1226" s="10" t="str">
        <f t="shared" si="5"/>
        <v>BRN75M-F4</v>
      </c>
      <c r="J1226" s="16"/>
      <c r="K1226" s="16" t="str">
        <f t="shared" si="6"/>
        <v>collected</v>
      </c>
      <c r="L1226" s="16" t="str">
        <f t="shared" si="7"/>
        <v>N</v>
      </c>
      <c r="M1226" s="16"/>
      <c r="N1226" s="16"/>
    </row>
    <row r="1227">
      <c r="A1227" s="27" t="s">
        <v>1739</v>
      </c>
      <c r="B1227" s="10" t="str">
        <f t="shared" si="1"/>
        <v>RNA-muscle</v>
      </c>
      <c r="C1227" s="10" t="str">
        <f t="shared" si="2"/>
        <v>BRN75M-E4</v>
      </c>
      <c r="D1227" s="6">
        <v>75.0</v>
      </c>
      <c r="E1227" s="10" t="str">
        <f t="shared" si="3"/>
        <v>BRN75M</v>
      </c>
      <c r="F1227" s="6" t="s">
        <v>66</v>
      </c>
      <c r="G1227" s="6">
        <v>4.0</v>
      </c>
      <c r="H1227" s="11" t="str">
        <f t="shared" si="4"/>
        <v>E4</v>
      </c>
      <c r="I1227" s="10" t="str">
        <f t="shared" si="5"/>
        <v>BRN75M-E4</v>
      </c>
      <c r="J1227" s="16"/>
      <c r="K1227" s="16" t="str">
        <f t="shared" si="6"/>
        <v>collected</v>
      </c>
      <c r="L1227" s="16" t="str">
        <f t="shared" si="7"/>
        <v>N</v>
      </c>
      <c r="M1227" s="16"/>
      <c r="N1227" s="16"/>
    </row>
    <row r="1228">
      <c r="A1228" s="27" t="s">
        <v>1740</v>
      </c>
      <c r="B1228" s="10" t="str">
        <f t="shared" si="1"/>
        <v>RNA-muscle</v>
      </c>
      <c r="C1228" s="10" t="str">
        <f t="shared" si="2"/>
        <v>BRN75M-D4</v>
      </c>
      <c r="D1228" s="6">
        <v>75.0</v>
      </c>
      <c r="E1228" s="10" t="str">
        <f t="shared" si="3"/>
        <v>BRN75M</v>
      </c>
      <c r="F1228" s="6" t="s">
        <v>68</v>
      </c>
      <c r="G1228" s="6">
        <v>4.0</v>
      </c>
      <c r="H1228" s="11" t="str">
        <f t="shared" si="4"/>
        <v>D4</v>
      </c>
      <c r="I1228" s="10" t="str">
        <f t="shared" si="5"/>
        <v>BRN75M-D4</v>
      </c>
      <c r="J1228" s="16"/>
      <c r="K1228" s="16" t="str">
        <f t="shared" si="6"/>
        <v>collected</v>
      </c>
      <c r="L1228" s="16" t="str">
        <f t="shared" si="7"/>
        <v>N</v>
      </c>
      <c r="M1228" s="16"/>
      <c r="N1228" s="16"/>
    </row>
    <row r="1229">
      <c r="A1229" s="27" t="s">
        <v>1741</v>
      </c>
      <c r="B1229" s="10" t="str">
        <f t="shared" si="1"/>
        <v>RNA-muscle</v>
      </c>
      <c r="C1229" s="10" t="str">
        <f t="shared" si="2"/>
        <v>BRN75M-C4</v>
      </c>
      <c r="D1229" s="6">
        <v>75.0</v>
      </c>
      <c r="E1229" s="10" t="str">
        <f t="shared" si="3"/>
        <v>BRN75M</v>
      </c>
      <c r="F1229" s="6" t="s">
        <v>72</v>
      </c>
      <c r="G1229" s="6">
        <v>4.0</v>
      </c>
      <c r="H1229" s="11" t="str">
        <f t="shared" si="4"/>
        <v>C4</v>
      </c>
      <c r="I1229" s="10" t="str">
        <f t="shared" si="5"/>
        <v>BRN75M-C4</v>
      </c>
      <c r="J1229" s="16"/>
      <c r="K1229" s="16" t="str">
        <f t="shared" si="6"/>
        <v>collected</v>
      </c>
      <c r="L1229" s="16" t="str">
        <f t="shared" si="7"/>
        <v>N</v>
      </c>
      <c r="M1229" s="16"/>
      <c r="N1229" s="16"/>
    </row>
    <row r="1230">
      <c r="A1230" s="27" t="s">
        <v>1742</v>
      </c>
      <c r="B1230" s="10" t="str">
        <f t="shared" si="1"/>
        <v>RNA-muscle</v>
      </c>
      <c r="C1230" s="10" t="str">
        <f t="shared" si="2"/>
        <v>BRN75M-B4</v>
      </c>
      <c r="D1230" s="6">
        <v>75.0</v>
      </c>
      <c r="E1230" s="10" t="str">
        <f t="shared" si="3"/>
        <v>BRN75M</v>
      </c>
      <c r="F1230" s="6" t="s">
        <v>74</v>
      </c>
      <c r="G1230" s="6">
        <v>4.0</v>
      </c>
      <c r="H1230" s="11" t="str">
        <f t="shared" si="4"/>
        <v>B4</v>
      </c>
      <c r="I1230" s="10" t="str">
        <f t="shared" si="5"/>
        <v>BRN75M-B4</v>
      </c>
      <c r="J1230" s="16"/>
      <c r="K1230" s="16" t="str">
        <f t="shared" si="6"/>
        <v>collected</v>
      </c>
      <c r="L1230" s="16" t="str">
        <f t="shared" si="7"/>
        <v>N</v>
      </c>
      <c r="M1230" s="16"/>
      <c r="N1230" s="16"/>
    </row>
    <row r="1231">
      <c r="A1231" s="27" t="s">
        <v>1743</v>
      </c>
      <c r="B1231" s="10" t="str">
        <f t="shared" si="1"/>
        <v>RNA-muscle</v>
      </c>
      <c r="C1231" s="10" t="str">
        <f t="shared" si="2"/>
        <v>BRN75M-A4</v>
      </c>
      <c r="D1231" s="6">
        <v>75.0</v>
      </c>
      <c r="E1231" s="10" t="str">
        <f t="shared" si="3"/>
        <v>BRN75M</v>
      </c>
      <c r="F1231" s="6" t="s">
        <v>76</v>
      </c>
      <c r="G1231" s="6">
        <v>4.0</v>
      </c>
      <c r="H1231" s="11" t="str">
        <f t="shared" si="4"/>
        <v>A4</v>
      </c>
      <c r="I1231" s="10" t="str">
        <f t="shared" si="5"/>
        <v>BRN75M-A4</v>
      </c>
      <c r="J1231" s="16"/>
      <c r="K1231" s="16" t="str">
        <f t="shared" si="6"/>
        <v>collected</v>
      </c>
      <c r="L1231" s="16" t="str">
        <f t="shared" si="7"/>
        <v>N</v>
      </c>
      <c r="M1231" s="16"/>
      <c r="N1231" s="16"/>
    </row>
    <row r="1232">
      <c r="A1232" s="27" t="s">
        <v>1744</v>
      </c>
      <c r="B1232" s="10" t="str">
        <f t="shared" si="1"/>
        <v>RNA-muscle</v>
      </c>
      <c r="C1232" s="10" t="str">
        <f t="shared" si="2"/>
        <v>BRN74M-E12</v>
      </c>
      <c r="D1232" s="6">
        <v>74.0</v>
      </c>
      <c r="E1232" s="10" t="str">
        <f t="shared" si="3"/>
        <v>BRN74M</v>
      </c>
      <c r="F1232" s="6" t="s">
        <v>66</v>
      </c>
      <c r="G1232" s="6">
        <v>12.0</v>
      </c>
      <c r="H1232" s="11" t="str">
        <f t="shared" si="4"/>
        <v>E12</v>
      </c>
      <c r="I1232" s="10" t="str">
        <f t="shared" si="5"/>
        <v>BRN74M-E12</v>
      </c>
      <c r="J1232" s="16"/>
      <c r="K1232" s="16" t="str">
        <f t="shared" si="6"/>
        <v>collected</v>
      </c>
      <c r="L1232" s="16" t="str">
        <f t="shared" si="7"/>
        <v>N</v>
      </c>
      <c r="M1232" s="16"/>
      <c r="N1232" s="16"/>
    </row>
    <row r="1233">
      <c r="A1233" s="27" t="s">
        <v>1745</v>
      </c>
      <c r="B1233" s="10" t="str">
        <f t="shared" si="1"/>
        <v>RNA-muscle</v>
      </c>
      <c r="C1233" s="10" t="str">
        <f t="shared" si="2"/>
        <v>BRN74M-D12</v>
      </c>
      <c r="D1233" s="6">
        <v>74.0</v>
      </c>
      <c r="E1233" s="10" t="str">
        <f t="shared" si="3"/>
        <v>BRN74M</v>
      </c>
      <c r="F1233" s="6" t="s">
        <v>68</v>
      </c>
      <c r="G1233" s="6">
        <v>12.0</v>
      </c>
      <c r="H1233" s="11" t="str">
        <f t="shared" si="4"/>
        <v>D12</v>
      </c>
      <c r="I1233" s="10" t="str">
        <f t="shared" si="5"/>
        <v>BRN74M-D12</v>
      </c>
      <c r="J1233" s="16"/>
      <c r="K1233" s="16" t="str">
        <f t="shared" si="6"/>
        <v>collected</v>
      </c>
      <c r="L1233" s="16" t="str">
        <f t="shared" si="7"/>
        <v>N</v>
      </c>
      <c r="M1233" s="16"/>
      <c r="N1233" s="16"/>
    </row>
    <row r="1234">
      <c r="A1234" s="27" t="s">
        <v>1746</v>
      </c>
      <c r="B1234" s="10" t="str">
        <f t="shared" si="1"/>
        <v>RNA-muscle</v>
      </c>
      <c r="C1234" s="10" t="str">
        <f t="shared" si="2"/>
        <v>BRN74M-C12</v>
      </c>
      <c r="D1234" s="6">
        <v>74.0</v>
      </c>
      <c r="E1234" s="10" t="str">
        <f t="shared" si="3"/>
        <v>BRN74M</v>
      </c>
      <c r="F1234" s="6" t="s">
        <v>72</v>
      </c>
      <c r="G1234" s="6">
        <v>12.0</v>
      </c>
      <c r="H1234" s="11" t="str">
        <f t="shared" si="4"/>
        <v>C12</v>
      </c>
      <c r="I1234" s="10" t="str">
        <f t="shared" si="5"/>
        <v>BRN74M-C12</v>
      </c>
      <c r="J1234" s="16"/>
      <c r="K1234" s="16" t="str">
        <f t="shared" si="6"/>
        <v>collected</v>
      </c>
      <c r="L1234" s="16" t="str">
        <f t="shared" si="7"/>
        <v>N</v>
      </c>
      <c r="M1234" s="16"/>
      <c r="N1234" s="16"/>
    </row>
    <row r="1235">
      <c r="A1235" s="27" t="s">
        <v>1747</v>
      </c>
      <c r="B1235" s="10" t="str">
        <f t="shared" si="1"/>
        <v>RNA-muscle</v>
      </c>
      <c r="C1235" s="10" t="str">
        <f t="shared" si="2"/>
        <v>BRN74M-B12</v>
      </c>
      <c r="D1235" s="6">
        <v>74.0</v>
      </c>
      <c r="E1235" s="10" t="str">
        <f t="shared" si="3"/>
        <v>BRN74M</v>
      </c>
      <c r="F1235" s="6" t="s">
        <v>74</v>
      </c>
      <c r="G1235" s="6">
        <v>12.0</v>
      </c>
      <c r="H1235" s="11" t="str">
        <f t="shared" si="4"/>
        <v>B12</v>
      </c>
      <c r="I1235" s="10" t="str">
        <f t="shared" si="5"/>
        <v>BRN74M-B12</v>
      </c>
      <c r="J1235" s="16"/>
      <c r="K1235" s="16" t="str">
        <f t="shared" si="6"/>
        <v>collected</v>
      </c>
      <c r="L1235" s="16" t="str">
        <f t="shared" si="7"/>
        <v>N</v>
      </c>
      <c r="M1235" s="16"/>
      <c r="N1235" s="16"/>
    </row>
    <row r="1236">
      <c r="A1236" s="27" t="s">
        <v>1748</v>
      </c>
      <c r="B1236" s="10" t="str">
        <f t="shared" si="1"/>
        <v>RNA-muscle</v>
      </c>
      <c r="C1236" s="10" t="str">
        <f t="shared" si="2"/>
        <v>BRN74M-A12</v>
      </c>
      <c r="D1236" s="6">
        <v>74.0</v>
      </c>
      <c r="E1236" s="10" t="str">
        <f t="shared" si="3"/>
        <v>BRN74M</v>
      </c>
      <c r="F1236" s="6" t="s">
        <v>76</v>
      </c>
      <c r="G1236" s="6">
        <v>12.0</v>
      </c>
      <c r="H1236" s="11" t="str">
        <f t="shared" si="4"/>
        <v>A12</v>
      </c>
      <c r="I1236" s="10" t="str">
        <f t="shared" si="5"/>
        <v>BRN74M-A12</v>
      </c>
      <c r="J1236" s="16"/>
      <c r="K1236" s="16" t="str">
        <f t="shared" si="6"/>
        <v>collected</v>
      </c>
      <c r="L1236" s="16" t="str">
        <f t="shared" si="7"/>
        <v>N</v>
      </c>
      <c r="M1236" s="16"/>
      <c r="N1236" s="16"/>
    </row>
    <row r="1237">
      <c r="A1237" s="27" t="s">
        <v>1749</v>
      </c>
      <c r="B1237" s="10" t="str">
        <f t="shared" si="1"/>
        <v>RNA-muscle</v>
      </c>
      <c r="C1237" s="10" t="str">
        <f t="shared" si="2"/>
        <v>BRN75M-H3</v>
      </c>
      <c r="D1237" s="6">
        <v>75.0</v>
      </c>
      <c r="E1237" s="10" t="str">
        <f t="shared" si="3"/>
        <v>BRN75M</v>
      </c>
      <c r="F1237" s="6" t="s">
        <v>51</v>
      </c>
      <c r="G1237" s="6">
        <v>3.0</v>
      </c>
      <c r="H1237" s="11" t="str">
        <f t="shared" si="4"/>
        <v>H3</v>
      </c>
      <c r="I1237" s="10" t="str">
        <f t="shared" si="5"/>
        <v>BRN75M-H3</v>
      </c>
      <c r="J1237" s="16"/>
      <c r="K1237" s="16" t="str">
        <f t="shared" si="6"/>
        <v>collected</v>
      </c>
      <c r="L1237" s="16" t="str">
        <f t="shared" si="7"/>
        <v>N</v>
      </c>
      <c r="M1237" s="16"/>
      <c r="N1237" s="16"/>
    </row>
    <row r="1238">
      <c r="A1238" s="27" t="s">
        <v>1750</v>
      </c>
      <c r="B1238" s="10" t="str">
        <f t="shared" si="1"/>
        <v>RNA-muscle</v>
      </c>
      <c r="C1238" s="10" t="str">
        <f t="shared" si="2"/>
        <v>BRN75M-G3</v>
      </c>
      <c r="D1238" s="6">
        <v>75.0</v>
      </c>
      <c r="E1238" s="10" t="str">
        <f t="shared" si="3"/>
        <v>BRN75M</v>
      </c>
      <c r="F1238" s="6" t="s">
        <v>56</v>
      </c>
      <c r="G1238" s="6">
        <v>3.0</v>
      </c>
      <c r="H1238" s="11" t="str">
        <f t="shared" si="4"/>
        <v>G3</v>
      </c>
      <c r="I1238" s="10" t="str">
        <f t="shared" si="5"/>
        <v>BRN75M-G3</v>
      </c>
      <c r="J1238" s="16"/>
      <c r="K1238" s="16" t="str">
        <f t="shared" si="6"/>
        <v>collected</v>
      </c>
      <c r="L1238" s="16" t="str">
        <f t="shared" si="7"/>
        <v>N</v>
      </c>
      <c r="M1238" s="16"/>
      <c r="N1238" s="16"/>
    </row>
    <row r="1239">
      <c r="A1239" s="27" t="s">
        <v>1751</v>
      </c>
      <c r="B1239" s="10" t="str">
        <f t="shared" si="1"/>
        <v>RNA-muscle</v>
      </c>
      <c r="C1239" s="10" t="str">
        <f t="shared" si="2"/>
        <v>BRN75M-F3</v>
      </c>
      <c r="D1239" s="6">
        <v>75.0</v>
      </c>
      <c r="E1239" s="10" t="str">
        <f t="shared" si="3"/>
        <v>BRN75M</v>
      </c>
      <c r="F1239" s="6" t="s">
        <v>61</v>
      </c>
      <c r="G1239" s="6">
        <v>3.0</v>
      </c>
      <c r="H1239" s="11" t="str">
        <f t="shared" si="4"/>
        <v>F3</v>
      </c>
      <c r="I1239" s="10" t="str">
        <f t="shared" si="5"/>
        <v>BRN75M-F3</v>
      </c>
      <c r="J1239" s="16"/>
      <c r="K1239" s="16" t="str">
        <f t="shared" si="6"/>
        <v>collected</v>
      </c>
      <c r="L1239" s="16" t="str">
        <f t="shared" si="7"/>
        <v>N</v>
      </c>
      <c r="M1239" s="16"/>
      <c r="N1239" s="16"/>
    </row>
    <row r="1240">
      <c r="A1240" s="27" t="s">
        <v>1752</v>
      </c>
      <c r="B1240" s="10" t="str">
        <f t="shared" si="1"/>
        <v>RNA-muscle</v>
      </c>
      <c r="C1240" s="10" t="str">
        <f t="shared" si="2"/>
        <v>BRN75M-E3</v>
      </c>
      <c r="D1240" s="6">
        <v>75.0</v>
      </c>
      <c r="E1240" s="10" t="str">
        <f t="shared" si="3"/>
        <v>BRN75M</v>
      </c>
      <c r="F1240" s="6" t="s">
        <v>66</v>
      </c>
      <c r="G1240" s="6">
        <v>3.0</v>
      </c>
      <c r="H1240" s="11" t="str">
        <f t="shared" si="4"/>
        <v>E3</v>
      </c>
      <c r="I1240" s="10" t="str">
        <f t="shared" si="5"/>
        <v>BRN75M-E3</v>
      </c>
      <c r="J1240" s="16"/>
      <c r="K1240" s="16" t="str">
        <f t="shared" si="6"/>
        <v>collected</v>
      </c>
      <c r="L1240" s="16" t="str">
        <f t="shared" si="7"/>
        <v>N</v>
      </c>
      <c r="M1240" s="16"/>
      <c r="N1240" s="16"/>
    </row>
    <row r="1241">
      <c r="A1241" s="27" t="s">
        <v>1753</v>
      </c>
      <c r="B1241" s="10" t="str">
        <f t="shared" si="1"/>
        <v>RNA-muscle</v>
      </c>
      <c r="C1241" s="10" t="str">
        <f t="shared" si="2"/>
        <v>BRN75M-D3</v>
      </c>
      <c r="D1241" s="6">
        <v>75.0</v>
      </c>
      <c r="E1241" s="10" t="str">
        <f t="shared" si="3"/>
        <v>BRN75M</v>
      </c>
      <c r="F1241" s="6" t="s">
        <v>68</v>
      </c>
      <c r="G1241" s="6">
        <v>3.0</v>
      </c>
      <c r="H1241" s="11" t="str">
        <f t="shared" si="4"/>
        <v>D3</v>
      </c>
      <c r="I1241" s="10" t="str">
        <f t="shared" si="5"/>
        <v>BRN75M-D3</v>
      </c>
      <c r="J1241" s="16"/>
      <c r="K1241" s="16" t="str">
        <f t="shared" si="6"/>
        <v>collected</v>
      </c>
      <c r="L1241" s="16" t="str">
        <f t="shared" si="7"/>
        <v>N</v>
      </c>
      <c r="M1241" s="16"/>
      <c r="N1241" s="16"/>
    </row>
    <row r="1242">
      <c r="A1242" s="27" t="s">
        <v>1754</v>
      </c>
      <c r="B1242" s="10" t="str">
        <f t="shared" si="1"/>
        <v>RNA-muscle</v>
      </c>
      <c r="C1242" s="10" t="str">
        <f t="shared" si="2"/>
        <v>BRN75M-C3</v>
      </c>
      <c r="D1242" s="6">
        <v>75.0</v>
      </c>
      <c r="E1242" s="10" t="str">
        <f t="shared" si="3"/>
        <v>BRN75M</v>
      </c>
      <c r="F1242" s="6" t="s">
        <v>72</v>
      </c>
      <c r="G1242" s="6">
        <v>3.0</v>
      </c>
      <c r="H1242" s="11" t="str">
        <f t="shared" si="4"/>
        <v>C3</v>
      </c>
      <c r="I1242" s="10" t="str">
        <f t="shared" si="5"/>
        <v>BRN75M-C3</v>
      </c>
      <c r="J1242" s="16"/>
      <c r="K1242" s="16" t="str">
        <f t="shared" si="6"/>
        <v>collected</v>
      </c>
      <c r="L1242" s="16" t="str">
        <f t="shared" si="7"/>
        <v>N</v>
      </c>
      <c r="M1242" s="16"/>
      <c r="N1242" s="16"/>
    </row>
    <row r="1243">
      <c r="A1243" s="27" t="s">
        <v>1755</v>
      </c>
      <c r="B1243" s="10" t="str">
        <f t="shared" si="1"/>
        <v>RNA-muscle</v>
      </c>
      <c r="C1243" s="10" t="str">
        <f t="shared" si="2"/>
        <v>BRN75M-B3</v>
      </c>
      <c r="D1243" s="6">
        <v>75.0</v>
      </c>
      <c r="E1243" s="10" t="str">
        <f t="shared" si="3"/>
        <v>BRN75M</v>
      </c>
      <c r="F1243" s="6" t="s">
        <v>74</v>
      </c>
      <c r="G1243" s="6">
        <v>3.0</v>
      </c>
      <c r="H1243" s="11" t="str">
        <f t="shared" si="4"/>
        <v>B3</v>
      </c>
      <c r="I1243" s="10" t="str">
        <f t="shared" si="5"/>
        <v>BRN75M-B3</v>
      </c>
      <c r="J1243" s="16"/>
      <c r="K1243" s="16" t="str">
        <f t="shared" si="6"/>
        <v>collected</v>
      </c>
      <c r="L1243" s="16" t="str">
        <f t="shared" si="7"/>
        <v>N</v>
      </c>
      <c r="M1243" s="16"/>
      <c r="N1243" s="16"/>
    </row>
    <row r="1244">
      <c r="A1244" s="27" t="s">
        <v>1756</v>
      </c>
      <c r="B1244" s="10" t="str">
        <f t="shared" si="1"/>
        <v>RNA-muscle</v>
      </c>
      <c r="C1244" s="10" t="str">
        <f t="shared" si="2"/>
        <v>BRN75M-A3</v>
      </c>
      <c r="D1244" s="6">
        <v>75.0</v>
      </c>
      <c r="E1244" s="10" t="str">
        <f t="shared" si="3"/>
        <v>BRN75M</v>
      </c>
      <c r="F1244" s="6" t="s">
        <v>76</v>
      </c>
      <c r="G1244" s="6">
        <v>3.0</v>
      </c>
      <c r="H1244" s="11" t="str">
        <f t="shared" si="4"/>
        <v>A3</v>
      </c>
      <c r="I1244" s="10" t="str">
        <f t="shared" si="5"/>
        <v>BRN75M-A3</v>
      </c>
      <c r="J1244" s="16"/>
      <c r="K1244" s="16" t="str">
        <f t="shared" si="6"/>
        <v>collected</v>
      </c>
      <c r="L1244" s="16" t="str">
        <f t="shared" si="7"/>
        <v>N</v>
      </c>
      <c r="M1244" s="16"/>
      <c r="N1244" s="16"/>
    </row>
    <row r="1245">
      <c r="A1245" s="27" t="s">
        <v>1757</v>
      </c>
      <c r="B1245" s="10" t="str">
        <f t="shared" si="1"/>
        <v>RNA-muscle</v>
      </c>
      <c r="C1245" s="10" t="str">
        <f t="shared" si="2"/>
        <v>BRN75M-G6</v>
      </c>
      <c r="D1245" s="6">
        <v>75.0</v>
      </c>
      <c r="E1245" s="10" t="str">
        <f t="shared" si="3"/>
        <v>BRN75M</v>
      </c>
      <c r="F1245" s="6" t="s">
        <v>56</v>
      </c>
      <c r="G1245" s="6">
        <v>6.0</v>
      </c>
      <c r="H1245" s="11" t="str">
        <f t="shared" si="4"/>
        <v>G6</v>
      </c>
      <c r="I1245" s="10" t="str">
        <f t="shared" si="5"/>
        <v>BRN75M-G6</v>
      </c>
      <c r="J1245" s="16"/>
      <c r="K1245" s="16" t="str">
        <f t="shared" si="6"/>
        <v>collected</v>
      </c>
      <c r="L1245" s="16" t="str">
        <f t="shared" si="7"/>
        <v>N</v>
      </c>
      <c r="M1245" s="16"/>
      <c r="N1245" s="16"/>
    </row>
    <row r="1246">
      <c r="A1246" s="27" t="s">
        <v>1758</v>
      </c>
      <c r="B1246" s="10" t="str">
        <f t="shared" si="1"/>
        <v>RNA-muscle</v>
      </c>
      <c r="C1246" s="10" t="str">
        <f t="shared" si="2"/>
        <v>BRN75M-F6</v>
      </c>
      <c r="D1246" s="6">
        <v>75.0</v>
      </c>
      <c r="E1246" s="10" t="str">
        <f t="shared" si="3"/>
        <v>BRN75M</v>
      </c>
      <c r="F1246" s="6" t="s">
        <v>61</v>
      </c>
      <c r="G1246" s="6">
        <v>6.0</v>
      </c>
      <c r="H1246" s="11" t="str">
        <f t="shared" si="4"/>
        <v>F6</v>
      </c>
      <c r="I1246" s="10" t="str">
        <f t="shared" si="5"/>
        <v>BRN75M-F6</v>
      </c>
      <c r="J1246" s="16"/>
      <c r="K1246" s="16" t="str">
        <f t="shared" si="6"/>
        <v>collected</v>
      </c>
      <c r="L1246" s="16" t="str">
        <f t="shared" si="7"/>
        <v>N</v>
      </c>
      <c r="M1246" s="16"/>
      <c r="N1246" s="16"/>
    </row>
    <row r="1247">
      <c r="A1247" s="27" t="s">
        <v>1759</v>
      </c>
      <c r="B1247" s="10" t="str">
        <f t="shared" si="1"/>
        <v>RNA-muscle</v>
      </c>
      <c r="C1247" s="10" t="str">
        <f t="shared" si="2"/>
        <v>BRN75M-E6</v>
      </c>
      <c r="D1247" s="6">
        <v>75.0</v>
      </c>
      <c r="E1247" s="10" t="str">
        <f t="shared" si="3"/>
        <v>BRN75M</v>
      </c>
      <c r="F1247" s="6" t="s">
        <v>66</v>
      </c>
      <c r="G1247" s="6">
        <v>6.0</v>
      </c>
      <c r="H1247" s="11" t="str">
        <f t="shared" si="4"/>
        <v>E6</v>
      </c>
      <c r="I1247" s="10" t="str">
        <f t="shared" si="5"/>
        <v>BRN75M-E6</v>
      </c>
      <c r="J1247" s="16"/>
      <c r="K1247" s="16" t="str">
        <f t="shared" si="6"/>
        <v>collected</v>
      </c>
      <c r="L1247" s="16" t="str">
        <f t="shared" si="7"/>
        <v>N</v>
      </c>
      <c r="M1247" s="16"/>
      <c r="N1247" s="16"/>
    </row>
    <row r="1248">
      <c r="A1248" s="27" t="s">
        <v>1760</v>
      </c>
      <c r="B1248" s="10" t="str">
        <f t="shared" si="1"/>
        <v>RNA-muscle</v>
      </c>
      <c r="C1248" s="10" t="str">
        <f t="shared" si="2"/>
        <v>BRN75M-D6</v>
      </c>
      <c r="D1248" s="6">
        <v>75.0</v>
      </c>
      <c r="E1248" s="10" t="str">
        <f t="shared" si="3"/>
        <v>BRN75M</v>
      </c>
      <c r="F1248" s="6" t="s">
        <v>68</v>
      </c>
      <c r="G1248" s="6">
        <v>6.0</v>
      </c>
      <c r="H1248" s="11" t="str">
        <f t="shared" si="4"/>
        <v>D6</v>
      </c>
      <c r="I1248" s="10" t="str">
        <f t="shared" si="5"/>
        <v>BRN75M-D6</v>
      </c>
      <c r="J1248" s="16"/>
      <c r="K1248" s="16" t="str">
        <f t="shared" si="6"/>
        <v>collected</v>
      </c>
      <c r="L1248" s="16" t="str">
        <f t="shared" si="7"/>
        <v>N</v>
      </c>
      <c r="M1248" s="16"/>
      <c r="N1248" s="16"/>
    </row>
    <row r="1249">
      <c r="A1249" s="27" t="s">
        <v>1761</v>
      </c>
      <c r="B1249" s="10" t="str">
        <f t="shared" si="1"/>
        <v>RNA-muscle</v>
      </c>
      <c r="C1249" s="10" t="str">
        <f t="shared" si="2"/>
        <v>BRN75M-C6</v>
      </c>
      <c r="D1249" s="6">
        <v>75.0</v>
      </c>
      <c r="E1249" s="10" t="str">
        <f t="shared" si="3"/>
        <v>BRN75M</v>
      </c>
      <c r="F1249" s="6" t="s">
        <v>72</v>
      </c>
      <c r="G1249" s="6">
        <v>6.0</v>
      </c>
      <c r="H1249" s="11" t="str">
        <f t="shared" si="4"/>
        <v>C6</v>
      </c>
      <c r="I1249" s="10" t="str">
        <f t="shared" si="5"/>
        <v>BRN75M-C6</v>
      </c>
      <c r="J1249" s="16"/>
      <c r="K1249" s="16" t="str">
        <f t="shared" si="6"/>
        <v>collected</v>
      </c>
      <c r="L1249" s="16" t="str">
        <f t="shared" si="7"/>
        <v>N</v>
      </c>
      <c r="M1249" s="16"/>
      <c r="N1249" s="16"/>
    </row>
    <row r="1250">
      <c r="A1250" s="27" t="s">
        <v>1762</v>
      </c>
      <c r="B1250" s="10" t="str">
        <f t="shared" si="1"/>
        <v>RNA-muscle</v>
      </c>
      <c r="C1250" s="10" t="str">
        <f t="shared" si="2"/>
        <v>BRN75M-B6</v>
      </c>
      <c r="D1250" s="6">
        <v>75.0</v>
      </c>
      <c r="E1250" s="10" t="str">
        <f t="shared" si="3"/>
        <v>BRN75M</v>
      </c>
      <c r="F1250" s="6" t="s">
        <v>74</v>
      </c>
      <c r="G1250" s="6">
        <v>6.0</v>
      </c>
      <c r="H1250" s="11" t="str">
        <f t="shared" si="4"/>
        <v>B6</v>
      </c>
      <c r="I1250" s="10" t="str">
        <f t="shared" si="5"/>
        <v>BRN75M-B6</v>
      </c>
      <c r="J1250" s="16"/>
      <c r="K1250" s="16" t="str">
        <f t="shared" si="6"/>
        <v>collected</v>
      </c>
      <c r="L1250" s="16" t="str">
        <f t="shared" si="7"/>
        <v>N</v>
      </c>
      <c r="M1250" s="16"/>
      <c r="N1250" s="16"/>
    </row>
    <row r="1251">
      <c r="A1251" s="27" t="s">
        <v>1763</v>
      </c>
      <c r="B1251" s="10" t="str">
        <f t="shared" si="1"/>
        <v>RNA-muscle</v>
      </c>
      <c r="C1251" s="10" t="str">
        <f t="shared" si="2"/>
        <v>BRN75M-A6</v>
      </c>
      <c r="D1251" s="6">
        <v>75.0</v>
      </c>
      <c r="E1251" s="10" t="str">
        <f t="shared" si="3"/>
        <v>BRN75M</v>
      </c>
      <c r="F1251" s="6" t="s">
        <v>76</v>
      </c>
      <c r="G1251" s="6">
        <v>6.0</v>
      </c>
      <c r="H1251" s="11" t="str">
        <f t="shared" si="4"/>
        <v>A6</v>
      </c>
      <c r="I1251" s="10" t="str">
        <f t="shared" si="5"/>
        <v>BRN75M-A6</v>
      </c>
      <c r="J1251" s="6" t="s">
        <v>1764</v>
      </c>
      <c r="K1251" s="16" t="str">
        <f t="shared" si="6"/>
        <v>collected</v>
      </c>
      <c r="L1251" s="16" t="str">
        <f t="shared" si="7"/>
        <v>N</v>
      </c>
      <c r="M1251" s="16"/>
      <c r="N1251" s="16"/>
    </row>
    <row r="1252">
      <c r="A1252" s="27" t="s">
        <v>1765</v>
      </c>
      <c r="B1252" s="10" t="str">
        <f t="shared" si="1"/>
        <v>RNA-muscle</v>
      </c>
      <c r="C1252" s="10" t="str">
        <f t="shared" si="2"/>
        <v>BRN75M-H5</v>
      </c>
      <c r="D1252" s="6">
        <v>75.0</v>
      </c>
      <c r="E1252" s="10" t="str">
        <f t="shared" si="3"/>
        <v>BRN75M</v>
      </c>
      <c r="F1252" s="6" t="s">
        <v>51</v>
      </c>
      <c r="G1252" s="6">
        <v>5.0</v>
      </c>
      <c r="H1252" s="11" t="str">
        <f t="shared" si="4"/>
        <v>H5</v>
      </c>
      <c r="I1252" s="10" t="str">
        <f t="shared" si="5"/>
        <v>BRN75M-H5</v>
      </c>
      <c r="J1252" s="6" t="s">
        <v>1764</v>
      </c>
      <c r="K1252" s="16" t="str">
        <f t="shared" si="6"/>
        <v>collected</v>
      </c>
      <c r="L1252" s="16" t="str">
        <f t="shared" si="7"/>
        <v>N</v>
      </c>
      <c r="M1252" s="16"/>
      <c r="N1252" s="16"/>
    </row>
    <row r="1253">
      <c r="A1253" s="27" t="s">
        <v>1766</v>
      </c>
      <c r="B1253" s="10" t="str">
        <f t="shared" si="1"/>
        <v>RNA-muscle</v>
      </c>
      <c r="C1253" s="10" t="str">
        <f t="shared" si="2"/>
        <v>BRN75M-G5</v>
      </c>
      <c r="D1253" s="6">
        <v>75.0</v>
      </c>
      <c r="E1253" s="10" t="str">
        <f t="shared" si="3"/>
        <v>BRN75M</v>
      </c>
      <c r="F1253" s="6" t="s">
        <v>56</v>
      </c>
      <c r="G1253" s="6">
        <v>5.0</v>
      </c>
      <c r="H1253" s="11" t="str">
        <f t="shared" si="4"/>
        <v>G5</v>
      </c>
      <c r="I1253" s="10" t="str">
        <f t="shared" si="5"/>
        <v>BRN75M-G5</v>
      </c>
      <c r="J1253" s="16"/>
      <c r="K1253" s="16" t="str">
        <f t="shared" si="6"/>
        <v>collected</v>
      </c>
      <c r="L1253" s="16" t="str">
        <f t="shared" si="7"/>
        <v>N</v>
      </c>
      <c r="M1253" s="16"/>
      <c r="N1253" s="16"/>
    </row>
    <row r="1254">
      <c r="A1254" s="27" t="s">
        <v>1767</v>
      </c>
      <c r="B1254" s="10" t="str">
        <f t="shared" si="1"/>
        <v>RNA-muscle</v>
      </c>
      <c r="C1254" s="10" t="str">
        <f t="shared" si="2"/>
        <v>BRN75M-F5</v>
      </c>
      <c r="D1254" s="6">
        <v>75.0</v>
      </c>
      <c r="E1254" s="10" t="str">
        <f t="shared" si="3"/>
        <v>BRN75M</v>
      </c>
      <c r="F1254" s="6" t="s">
        <v>61</v>
      </c>
      <c r="G1254" s="6">
        <v>5.0</v>
      </c>
      <c r="H1254" s="11" t="str">
        <f t="shared" si="4"/>
        <v>F5</v>
      </c>
      <c r="I1254" s="10" t="str">
        <f t="shared" si="5"/>
        <v>BRN75M-F5</v>
      </c>
      <c r="J1254" s="16"/>
      <c r="K1254" s="16" t="str">
        <f t="shared" si="6"/>
        <v>collected</v>
      </c>
      <c r="L1254" s="16" t="str">
        <f t="shared" si="7"/>
        <v>N</v>
      </c>
      <c r="M1254" s="16"/>
      <c r="N1254" s="16"/>
    </row>
    <row r="1255">
      <c r="A1255" s="27" t="s">
        <v>1768</v>
      </c>
      <c r="B1255" s="10" t="str">
        <f t="shared" si="1"/>
        <v>RNA-muscle</v>
      </c>
      <c r="C1255" s="10" t="str">
        <f t="shared" si="2"/>
        <v>BRN75M-E5</v>
      </c>
      <c r="D1255" s="6">
        <v>75.0</v>
      </c>
      <c r="E1255" s="10" t="str">
        <f t="shared" si="3"/>
        <v>BRN75M</v>
      </c>
      <c r="F1255" s="6" t="s">
        <v>66</v>
      </c>
      <c r="G1255" s="6">
        <v>5.0</v>
      </c>
      <c r="H1255" s="11" t="str">
        <f t="shared" si="4"/>
        <v>E5</v>
      </c>
      <c r="I1255" s="10" t="str">
        <f t="shared" si="5"/>
        <v>BRN75M-E5</v>
      </c>
      <c r="J1255" s="16"/>
      <c r="K1255" s="16" t="str">
        <f t="shared" si="6"/>
        <v>collected</v>
      </c>
      <c r="L1255" s="16" t="str">
        <f t="shared" si="7"/>
        <v>N</v>
      </c>
      <c r="M1255" s="16"/>
      <c r="N1255" s="16"/>
    </row>
    <row r="1256">
      <c r="A1256" s="27" t="s">
        <v>1769</v>
      </c>
      <c r="B1256" s="10" t="str">
        <f t="shared" si="1"/>
        <v>RNA-muscle</v>
      </c>
      <c r="C1256" s="10" t="str">
        <f t="shared" si="2"/>
        <v>BRN75M-D5</v>
      </c>
      <c r="D1256" s="6">
        <v>75.0</v>
      </c>
      <c r="E1256" s="10" t="str">
        <f t="shared" si="3"/>
        <v>BRN75M</v>
      </c>
      <c r="F1256" s="6" t="s">
        <v>68</v>
      </c>
      <c r="G1256" s="6">
        <v>5.0</v>
      </c>
      <c r="H1256" s="11" t="str">
        <f t="shared" si="4"/>
        <v>D5</v>
      </c>
      <c r="I1256" s="10" t="str">
        <f t="shared" si="5"/>
        <v>BRN75M-D5</v>
      </c>
      <c r="J1256" s="16"/>
      <c r="K1256" s="16" t="str">
        <f t="shared" si="6"/>
        <v>collected</v>
      </c>
      <c r="L1256" s="16" t="str">
        <f t="shared" si="7"/>
        <v>N</v>
      </c>
      <c r="M1256" s="16"/>
      <c r="N1256" s="16"/>
    </row>
    <row r="1257">
      <c r="A1257" s="27" t="s">
        <v>1770</v>
      </c>
      <c r="B1257" s="10" t="str">
        <f t="shared" si="1"/>
        <v>RNA-muscle</v>
      </c>
      <c r="C1257" s="10" t="str">
        <f t="shared" si="2"/>
        <v>BRN75M-C5</v>
      </c>
      <c r="D1257" s="6">
        <v>75.0</v>
      </c>
      <c r="E1257" s="10" t="str">
        <f t="shared" si="3"/>
        <v>BRN75M</v>
      </c>
      <c r="F1257" s="6" t="s">
        <v>72</v>
      </c>
      <c r="G1257" s="6">
        <v>5.0</v>
      </c>
      <c r="H1257" s="11" t="str">
        <f t="shared" si="4"/>
        <v>C5</v>
      </c>
      <c r="I1257" s="10" t="str">
        <f t="shared" si="5"/>
        <v>BRN75M-C5</v>
      </c>
      <c r="J1257" s="16"/>
      <c r="K1257" s="16" t="str">
        <f t="shared" si="6"/>
        <v>collected</v>
      </c>
      <c r="L1257" s="16" t="str">
        <f t="shared" si="7"/>
        <v>N</v>
      </c>
      <c r="M1257" s="16"/>
      <c r="N1257" s="16"/>
    </row>
    <row r="1258">
      <c r="A1258" s="27" t="s">
        <v>1771</v>
      </c>
      <c r="B1258" s="10" t="str">
        <f t="shared" si="1"/>
        <v>RNA-muscle</v>
      </c>
      <c r="C1258" s="10" t="str">
        <f t="shared" si="2"/>
        <v>BRN75M-B5</v>
      </c>
      <c r="D1258" s="6">
        <v>75.0</v>
      </c>
      <c r="E1258" s="10" t="str">
        <f t="shared" si="3"/>
        <v>BRN75M</v>
      </c>
      <c r="F1258" s="6" t="s">
        <v>74</v>
      </c>
      <c r="G1258" s="6">
        <v>5.0</v>
      </c>
      <c r="H1258" s="11" t="str">
        <f t="shared" si="4"/>
        <v>B5</v>
      </c>
      <c r="I1258" s="10" t="str">
        <f t="shared" si="5"/>
        <v>BRN75M-B5</v>
      </c>
      <c r="J1258" s="16"/>
      <c r="K1258" s="16" t="str">
        <f t="shared" si="6"/>
        <v>collected</v>
      </c>
      <c r="L1258" s="16" t="str">
        <f t="shared" si="7"/>
        <v>N</v>
      </c>
      <c r="M1258" s="16"/>
      <c r="N1258" s="16"/>
    </row>
    <row r="1259">
      <c r="A1259" s="27" t="s">
        <v>1772</v>
      </c>
      <c r="B1259" s="10" t="str">
        <f t="shared" si="1"/>
        <v>RNA-muscle</v>
      </c>
      <c r="C1259" s="10" t="str">
        <f t="shared" si="2"/>
        <v>BRN75M-A5</v>
      </c>
      <c r="D1259" s="6">
        <v>75.0</v>
      </c>
      <c r="E1259" s="10" t="str">
        <f t="shared" si="3"/>
        <v>BRN75M</v>
      </c>
      <c r="F1259" s="6" t="s">
        <v>76</v>
      </c>
      <c r="G1259" s="6">
        <v>5.0</v>
      </c>
      <c r="H1259" s="11" t="str">
        <f t="shared" si="4"/>
        <v>A5</v>
      </c>
      <c r="I1259" s="10" t="str">
        <f t="shared" si="5"/>
        <v>BRN75M-A5</v>
      </c>
      <c r="J1259" s="16"/>
      <c r="K1259" s="16" t="str">
        <f t="shared" si="6"/>
        <v>collected</v>
      </c>
      <c r="L1259" s="16" t="str">
        <f t="shared" si="7"/>
        <v>N</v>
      </c>
      <c r="M1259" s="16"/>
      <c r="N1259" s="16"/>
    </row>
    <row r="1260">
      <c r="A1260" s="27" t="s">
        <v>1773</v>
      </c>
      <c r="B1260" s="10" t="str">
        <f t="shared" si="1"/>
        <v>RNA-muscle</v>
      </c>
      <c r="C1260" s="10" t="str">
        <f t="shared" si="2"/>
        <v>BRN75M-H9</v>
      </c>
      <c r="D1260" s="6">
        <v>75.0</v>
      </c>
      <c r="E1260" s="10" t="str">
        <f t="shared" si="3"/>
        <v>BRN75M</v>
      </c>
      <c r="F1260" s="6" t="s">
        <v>51</v>
      </c>
      <c r="G1260" s="6">
        <v>9.0</v>
      </c>
      <c r="H1260" s="11" t="str">
        <f t="shared" si="4"/>
        <v>H9</v>
      </c>
      <c r="I1260" s="10" t="str">
        <f t="shared" si="5"/>
        <v>BRN75M-H9</v>
      </c>
      <c r="J1260" s="16"/>
      <c r="K1260" s="16" t="str">
        <f t="shared" si="6"/>
        <v>collected</v>
      </c>
      <c r="L1260" s="16" t="str">
        <f t="shared" si="7"/>
        <v>N</v>
      </c>
      <c r="M1260" s="16"/>
      <c r="N1260" s="16"/>
    </row>
    <row r="1261">
      <c r="A1261" s="27" t="s">
        <v>1774</v>
      </c>
      <c r="B1261" s="10" t="str">
        <f t="shared" si="1"/>
        <v>RNA-muscle</v>
      </c>
      <c r="C1261" s="10" t="str">
        <f t="shared" si="2"/>
        <v>BRN75M-G9</v>
      </c>
      <c r="D1261" s="6">
        <v>75.0</v>
      </c>
      <c r="E1261" s="10" t="str">
        <f t="shared" si="3"/>
        <v>BRN75M</v>
      </c>
      <c r="F1261" s="6" t="s">
        <v>56</v>
      </c>
      <c r="G1261" s="6">
        <v>9.0</v>
      </c>
      <c r="H1261" s="11" t="str">
        <f t="shared" si="4"/>
        <v>G9</v>
      </c>
      <c r="I1261" s="10" t="str">
        <f t="shared" si="5"/>
        <v>BRN75M-G9</v>
      </c>
      <c r="J1261" s="16"/>
      <c r="K1261" s="16" t="str">
        <f t="shared" si="6"/>
        <v>collected</v>
      </c>
      <c r="L1261" s="16" t="str">
        <f t="shared" si="7"/>
        <v>N</v>
      </c>
      <c r="M1261" s="16"/>
      <c r="N1261" s="16"/>
    </row>
    <row r="1262">
      <c r="A1262" s="27" t="s">
        <v>1775</v>
      </c>
      <c r="B1262" s="10" t="str">
        <f t="shared" si="1"/>
        <v>RNA-muscle</v>
      </c>
      <c r="C1262" s="10" t="str">
        <f t="shared" si="2"/>
        <v>BRN75M-F9</v>
      </c>
      <c r="D1262" s="6">
        <v>75.0</v>
      </c>
      <c r="E1262" s="10" t="str">
        <f t="shared" si="3"/>
        <v>BRN75M</v>
      </c>
      <c r="F1262" s="6" t="s">
        <v>61</v>
      </c>
      <c r="G1262" s="6">
        <v>9.0</v>
      </c>
      <c r="H1262" s="11" t="str">
        <f t="shared" si="4"/>
        <v>F9</v>
      </c>
      <c r="I1262" s="10" t="str">
        <f t="shared" si="5"/>
        <v>BRN75M-F9</v>
      </c>
      <c r="J1262" s="16"/>
      <c r="K1262" s="16" t="str">
        <f t="shared" si="6"/>
        <v>collected</v>
      </c>
      <c r="L1262" s="16" t="str">
        <f t="shared" si="7"/>
        <v>N</v>
      </c>
      <c r="M1262" s="16"/>
      <c r="N1262" s="16"/>
    </row>
    <row r="1263">
      <c r="A1263" s="27" t="s">
        <v>1776</v>
      </c>
      <c r="B1263" s="10" t="str">
        <f t="shared" si="1"/>
        <v>RNA-muscle</v>
      </c>
      <c r="C1263" s="10" t="str">
        <f t="shared" si="2"/>
        <v>BRN75M-E9</v>
      </c>
      <c r="D1263" s="6">
        <v>75.0</v>
      </c>
      <c r="E1263" s="10" t="str">
        <f t="shared" si="3"/>
        <v>BRN75M</v>
      </c>
      <c r="F1263" s="6" t="s">
        <v>66</v>
      </c>
      <c r="G1263" s="6">
        <v>9.0</v>
      </c>
      <c r="H1263" s="11" t="str">
        <f t="shared" si="4"/>
        <v>E9</v>
      </c>
      <c r="I1263" s="10" t="str">
        <f t="shared" si="5"/>
        <v>BRN75M-E9</v>
      </c>
      <c r="J1263" s="16"/>
      <c r="K1263" s="16" t="str">
        <f t="shared" si="6"/>
        <v>collected</v>
      </c>
      <c r="L1263" s="16" t="str">
        <f t="shared" si="7"/>
        <v>N</v>
      </c>
      <c r="M1263" s="16"/>
      <c r="N1263" s="16"/>
    </row>
    <row r="1264">
      <c r="A1264" s="27" t="s">
        <v>1777</v>
      </c>
      <c r="B1264" s="10" t="str">
        <f t="shared" si="1"/>
        <v>RNA-muscle</v>
      </c>
      <c r="C1264" s="10" t="str">
        <f t="shared" si="2"/>
        <v>BRN75M-D9</v>
      </c>
      <c r="D1264" s="6">
        <v>75.0</v>
      </c>
      <c r="E1264" s="10" t="str">
        <f t="shared" si="3"/>
        <v>BRN75M</v>
      </c>
      <c r="F1264" s="6" t="s">
        <v>68</v>
      </c>
      <c r="G1264" s="6">
        <v>9.0</v>
      </c>
      <c r="H1264" s="11" t="str">
        <f t="shared" si="4"/>
        <v>D9</v>
      </c>
      <c r="I1264" s="10" t="str">
        <f t="shared" si="5"/>
        <v>BRN75M-D9</v>
      </c>
      <c r="J1264" s="16"/>
      <c r="K1264" s="16" t="str">
        <f t="shared" si="6"/>
        <v>collected</v>
      </c>
      <c r="L1264" s="16" t="str">
        <f t="shared" si="7"/>
        <v>N</v>
      </c>
      <c r="M1264" s="16"/>
      <c r="N1264" s="16"/>
    </row>
    <row r="1265">
      <c r="A1265" s="27" t="s">
        <v>1778</v>
      </c>
      <c r="B1265" s="10" t="str">
        <f t="shared" si="1"/>
        <v>RNA-muscle</v>
      </c>
      <c r="C1265" s="10" t="str">
        <f t="shared" si="2"/>
        <v>BRN75M-C9</v>
      </c>
      <c r="D1265" s="6">
        <v>75.0</v>
      </c>
      <c r="E1265" s="10" t="str">
        <f t="shared" si="3"/>
        <v>BRN75M</v>
      </c>
      <c r="F1265" s="6" t="s">
        <v>72</v>
      </c>
      <c r="G1265" s="6">
        <v>9.0</v>
      </c>
      <c r="H1265" s="11" t="str">
        <f t="shared" si="4"/>
        <v>C9</v>
      </c>
      <c r="I1265" s="10" t="str">
        <f t="shared" si="5"/>
        <v>BRN75M-C9</v>
      </c>
      <c r="J1265" s="16"/>
      <c r="K1265" s="16" t="str">
        <f t="shared" si="6"/>
        <v>collected</v>
      </c>
      <c r="L1265" s="16" t="str">
        <f t="shared" si="7"/>
        <v>N</v>
      </c>
      <c r="M1265" s="16"/>
      <c r="N1265" s="16"/>
    </row>
    <row r="1266">
      <c r="A1266" s="27" t="s">
        <v>1779</v>
      </c>
      <c r="B1266" s="10" t="str">
        <f t="shared" si="1"/>
        <v>RNA-muscle</v>
      </c>
      <c r="C1266" s="10" t="str">
        <f t="shared" si="2"/>
        <v>BRN75M-B9</v>
      </c>
      <c r="D1266" s="6">
        <v>75.0</v>
      </c>
      <c r="E1266" s="10" t="str">
        <f t="shared" si="3"/>
        <v>BRN75M</v>
      </c>
      <c r="F1266" s="6" t="s">
        <v>74</v>
      </c>
      <c r="G1266" s="6">
        <v>9.0</v>
      </c>
      <c r="H1266" s="11" t="str">
        <f t="shared" si="4"/>
        <v>B9</v>
      </c>
      <c r="I1266" s="10" t="str">
        <f t="shared" si="5"/>
        <v>BRN75M-B9</v>
      </c>
      <c r="J1266" s="16"/>
      <c r="K1266" s="16" t="str">
        <f t="shared" si="6"/>
        <v>collected</v>
      </c>
      <c r="L1266" s="16" t="str">
        <f t="shared" si="7"/>
        <v>N</v>
      </c>
      <c r="M1266" s="16"/>
      <c r="N1266" s="16"/>
    </row>
    <row r="1267">
      <c r="A1267" s="27" t="s">
        <v>1781</v>
      </c>
      <c r="B1267" s="10" t="str">
        <f t="shared" si="1"/>
        <v>RNA-muscle</v>
      </c>
      <c r="C1267" s="10" t="str">
        <f t="shared" si="2"/>
        <v>BRN75M-A9</v>
      </c>
      <c r="D1267" s="6">
        <v>75.0</v>
      </c>
      <c r="E1267" s="10" t="str">
        <f t="shared" si="3"/>
        <v>BRN75M</v>
      </c>
      <c r="F1267" s="6" t="s">
        <v>76</v>
      </c>
      <c r="G1267" s="6">
        <v>9.0</v>
      </c>
      <c r="H1267" s="11" t="str">
        <f t="shared" si="4"/>
        <v>A9</v>
      </c>
      <c r="I1267" s="10" t="str">
        <f t="shared" si="5"/>
        <v>BRN75M-A9</v>
      </c>
      <c r="J1267" s="16"/>
      <c r="K1267" s="16" t="str">
        <f t="shared" si="6"/>
        <v>collected</v>
      </c>
      <c r="L1267" s="16" t="str">
        <f t="shared" si="7"/>
        <v>N</v>
      </c>
      <c r="M1267" s="16"/>
      <c r="N1267" s="16"/>
    </row>
    <row r="1268">
      <c r="A1268" s="27" t="s">
        <v>1782</v>
      </c>
      <c r="B1268" s="10" t="str">
        <f t="shared" si="1"/>
        <v>RNA-muscle</v>
      </c>
      <c r="C1268" s="10" t="str">
        <f t="shared" si="2"/>
        <v>BRN75M-H10</v>
      </c>
      <c r="D1268" s="6">
        <v>75.0</v>
      </c>
      <c r="E1268" s="10" t="str">
        <f t="shared" si="3"/>
        <v>BRN75M</v>
      </c>
      <c r="F1268" s="6" t="s">
        <v>51</v>
      </c>
      <c r="G1268" s="6">
        <v>10.0</v>
      </c>
      <c r="H1268" s="11" t="str">
        <f t="shared" si="4"/>
        <v>H10</v>
      </c>
      <c r="I1268" s="10" t="str">
        <f t="shared" si="5"/>
        <v>BRN75M-H10</v>
      </c>
      <c r="J1268" s="16"/>
      <c r="K1268" s="16" t="str">
        <f t="shared" si="6"/>
        <v>collected</v>
      </c>
      <c r="L1268" s="16" t="str">
        <f t="shared" si="7"/>
        <v>N</v>
      </c>
      <c r="M1268" s="16"/>
      <c r="N1268" s="16"/>
    </row>
    <row r="1269">
      <c r="A1269" s="27" t="s">
        <v>1784</v>
      </c>
      <c r="B1269" s="10" t="str">
        <f t="shared" si="1"/>
        <v>RNA-muscle</v>
      </c>
      <c r="C1269" s="10" t="str">
        <f t="shared" si="2"/>
        <v>BRN75M-G10</v>
      </c>
      <c r="D1269" s="6">
        <v>75.0</v>
      </c>
      <c r="E1269" s="10" t="str">
        <f t="shared" si="3"/>
        <v>BRN75M</v>
      </c>
      <c r="F1269" s="6" t="s">
        <v>56</v>
      </c>
      <c r="G1269" s="6">
        <v>10.0</v>
      </c>
      <c r="H1269" s="11" t="str">
        <f t="shared" si="4"/>
        <v>G10</v>
      </c>
      <c r="I1269" s="10" t="str">
        <f t="shared" si="5"/>
        <v>BRN75M-G10</v>
      </c>
      <c r="J1269" s="16"/>
      <c r="K1269" s="16" t="str">
        <f t="shared" si="6"/>
        <v>collected</v>
      </c>
      <c r="L1269" s="16" t="str">
        <f t="shared" si="7"/>
        <v>N</v>
      </c>
      <c r="M1269" s="16"/>
      <c r="N1269" s="16"/>
    </row>
    <row r="1270">
      <c r="A1270" s="27" t="s">
        <v>1785</v>
      </c>
      <c r="B1270" s="10" t="str">
        <f t="shared" si="1"/>
        <v>RNA-muscle</v>
      </c>
      <c r="C1270" s="10" t="str">
        <f t="shared" si="2"/>
        <v>BRN75M-F10</v>
      </c>
      <c r="D1270" s="6">
        <v>75.0</v>
      </c>
      <c r="E1270" s="10" t="str">
        <f t="shared" si="3"/>
        <v>BRN75M</v>
      </c>
      <c r="F1270" s="6" t="s">
        <v>61</v>
      </c>
      <c r="G1270" s="6">
        <v>10.0</v>
      </c>
      <c r="H1270" s="11" t="str">
        <f t="shared" si="4"/>
        <v>F10</v>
      </c>
      <c r="I1270" s="10" t="str">
        <f t="shared" si="5"/>
        <v>BRN75M-F10</v>
      </c>
      <c r="J1270" s="16"/>
      <c r="K1270" s="16" t="str">
        <f t="shared" si="6"/>
        <v>collected</v>
      </c>
      <c r="L1270" s="16" t="str">
        <f t="shared" si="7"/>
        <v>N</v>
      </c>
      <c r="M1270" s="16"/>
      <c r="N1270" s="16"/>
    </row>
    <row r="1271">
      <c r="A1271" s="27" t="s">
        <v>1786</v>
      </c>
      <c r="B1271" s="10" t="str">
        <f t="shared" si="1"/>
        <v>RNA-muscle</v>
      </c>
      <c r="C1271" s="10" t="str">
        <f t="shared" si="2"/>
        <v>BRN75M-E10</v>
      </c>
      <c r="D1271" s="6">
        <v>75.0</v>
      </c>
      <c r="E1271" s="10" t="str">
        <f t="shared" si="3"/>
        <v>BRN75M</v>
      </c>
      <c r="F1271" s="6" t="s">
        <v>66</v>
      </c>
      <c r="G1271" s="6">
        <v>10.0</v>
      </c>
      <c r="H1271" s="11" t="str">
        <f t="shared" si="4"/>
        <v>E10</v>
      </c>
      <c r="I1271" s="10" t="str">
        <f t="shared" si="5"/>
        <v>BRN75M-E10</v>
      </c>
      <c r="J1271" s="16"/>
      <c r="K1271" s="16" t="str">
        <f t="shared" si="6"/>
        <v>collected</v>
      </c>
      <c r="L1271" s="16" t="str">
        <f t="shared" si="7"/>
        <v>N</v>
      </c>
      <c r="M1271" s="16"/>
      <c r="N1271" s="16"/>
    </row>
    <row r="1272">
      <c r="A1272" s="27" t="s">
        <v>1787</v>
      </c>
      <c r="B1272" s="10" t="str">
        <f t="shared" si="1"/>
        <v>RNA-muscle</v>
      </c>
      <c r="C1272" s="10" t="str">
        <f t="shared" si="2"/>
        <v>BRN75M-D10</v>
      </c>
      <c r="D1272" s="6">
        <v>75.0</v>
      </c>
      <c r="E1272" s="10" t="str">
        <f t="shared" si="3"/>
        <v>BRN75M</v>
      </c>
      <c r="F1272" s="6" t="s">
        <v>68</v>
      </c>
      <c r="G1272" s="6">
        <v>10.0</v>
      </c>
      <c r="H1272" s="11" t="str">
        <f t="shared" si="4"/>
        <v>D10</v>
      </c>
      <c r="I1272" s="10" t="str">
        <f t="shared" si="5"/>
        <v>BRN75M-D10</v>
      </c>
      <c r="J1272" s="16"/>
      <c r="K1272" s="16" t="str">
        <f t="shared" si="6"/>
        <v>collected</v>
      </c>
      <c r="L1272" s="16" t="str">
        <f t="shared" si="7"/>
        <v>N</v>
      </c>
      <c r="M1272" s="16"/>
      <c r="N1272" s="16"/>
    </row>
    <row r="1273">
      <c r="A1273" s="27" t="s">
        <v>1788</v>
      </c>
      <c r="B1273" s="10" t="str">
        <f t="shared" si="1"/>
        <v>RNA-muscle</v>
      </c>
      <c r="C1273" s="10" t="str">
        <f t="shared" si="2"/>
        <v>BRN75M-C10</v>
      </c>
      <c r="D1273" s="6">
        <v>75.0</v>
      </c>
      <c r="E1273" s="10" t="str">
        <f t="shared" si="3"/>
        <v>BRN75M</v>
      </c>
      <c r="F1273" s="6" t="s">
        <v>72</v>
      </c>
      <c r="G1273" s="6">
        <v>10.0</v>
      </c>
      <c r="H1273" s="11" t="str">
        <f t="shared" si="4"/>
        <v>C10</v>
      </c>
      <c r="I1273" s="10" t="str">
        <f t="shared" si="5"/>
        <v>BRN75M-C10</v>
      </c>
      <c r="J1273" s="16"/>
      <c r="K1273" s="16" t="str">
        <f t="shared" si="6"/>
        <v>collected</v>
      </c>
      <c r="L1273" s="16" t="str">
        <f t="shared" si="7"/>
        <v>N</v>
      </c>
      <c r="M1273" s="16"/>
      <c r="N1273" s="16"/>
    </row>
    <row r="1274">
      <c r="A1274" s="27" t="s">
        <v>1790</v>
      </c>
      <c r="B1274" s="10" t="str">
        <f t="shared" si="1"/>
        <v>RNA-muscle</v>
      </c>
      <c r="C1274" s="10" t="str">
        <f t="shared" si="2"/>
        <v>BRN75M-B10</v>
      </c>
      <c r="D1274" s="6">
        <v>75.0</v>
      </c>
      <c r="E1274" s="10" t="str">
        <f t="shared" si="3"/>
        <v>BRN75M</v>
      </c>
      <c r="F1274" s="6" t="s">
        <v>74</v>
      </c>
      <c r="G1274" s="6">
        <v>10.0</v>
      </c>
      <c r="H1274" s="11" t="str">
        <f t="shared" si="4"/>
        <v>B10</v>
      </c>
      <c r="I1274" s="10" t="str">
        <f t="shared" si="5"/>
        <v>BRN75M-B10</v>
      </c>
      <c r="J1274" s="16"/>
      <c r="K1274" s="16" t="str">
        <f t="shared" si="6"/>
        <v>collected</v>
      </c>
      <c r="L1274" s="16" t="str">
        <f t="shared" si="7"/>
        <v>N</v>
      </c>
      <c r="M1274" s="16"/>
      <c r="N1274" s="16"/>
    </row>
    <row r="1275">
      <c r="A1275" s="27" t="s">
        <v>1791</v>
      </c>
      <c r="B1275" s="10" t="str">
        <f t="shared" si="1"/>
        <v>RNA-muscle</v>
      </c>
      <c r="C1275" s="10" t="str">
        <f t="shared" si="2"/>
        <v>BRN75M-A10</v>
      </c>
      <c r="D1275" s="6">
        <v>75.0</v>
      </c>
      <c r="E1275" s="10" t="str">
        <f t="shared" si="3"/>
        <v>BRN75M</v>
      </c>
      <c r="F1275" s="6" t="s">
        <v>76</v>
      </c>
      <c r="G1275" s="6">
        <v>10.0</v>
      </c>
      <c r="H1275" s="11" t="str">
        <f t="shared" si="4"/>
        <v>A10</v>
      </c>
      <c r="I1275" s="10" t="str">
        <f t="shared" si="5"/>
        <v>BRN75M-A10</v>
      </c>
      <c r="J1275" s="16"/>
      <c r="K1275" s="16" t="str">
        <f t="shared" si="6"/>
        <v>collected</v>
      </c>
      <c r="L1275" s="16" t="str">
        <f t="shared" si="7"/>
        <v>N</v>
      </c>
      <c r="M1275" s="16"/>
      <c r="N1275" s="16"/>
    </row>
    <row r="1276">
      <c r="A1276" s="27" t="s">
        <v>1792</v>
      </c>
      <c r="B1276" s="10" t="str">
        <f t="shared" si="1"/>
        <v>RNA-muscle</v>
      </c>
      <c r="C1276" s="10" t="str">
        <f t="shared" si="2"/>
        <v>BRN75M-H11</v>
      </c>
      <c r="D1276" s="6">
        <v>75.0</v>
      </c>
      <c r="E1276" s="10" t="str">
        <f t="shared" si="3"/>
        <v>BRN75M</v>
      </c>
      <c r="F1276" s="6" t="s">
        <v>51</v>
      </c>
      <c r="G1276" s="6">
        <v>11.0</v>
      </c>
      <c r="H1276" s="11" t="str">
        <f t="shared" si="4"/>
        <v>H11</v>
      </c>
      <c r="I1276" s="10" t="str">
        <f t="shared" si="5"/>
        <v>BRN75M-H11</v>
      </c>
      <c r="J1276" s="16"/>
      <c r="K1276" s="16" t="str">
        <f t="shared" si="6"/>
        <v>collected</v>
      </c>
      <c r="L1276" s="16" t="str">
        <f t="shared" si="7"/>
        <v>N</v>
      </c>
      <c r="M1276" s="16"/>
      <c r="N1276" s="16"/>
    </row>
    <row r="1277">
      <c r="A1277" s="27" t="s">
        <v>1793</v>
      </c>
      <c r="B1277" s="10" t="str">
        <f t="shared" si="1"/>
        <v>RNA-muscle</v>
      </c>
      <c r="C1277" s="10" t="str">
        <f t="shared" si="2"/>
        <v>BRN75M-G11</v>
      </c>
      <c r="D1277" s="6">
        <v>75.0</v>
      </c>
      <c r="E1277" s="10" t="str">
        <f t="shared" si="3"/>
        <v>BRN75M</v>
      </c>
      <c r="F1277" s="6" t="s">
        <v>56</v>
      </c>
      <c r="G1277" s="6">
        <v>11.0</v>
      </c>
      <c r="H1277" s="11" t="str">
        <f t="shared" si="4"/>
        <v>G11</v>
      </c>
      <c r="I1277" s="10" t="str">
        <f t="shared" si="5"/>
        <v>BRN75M-G11</v>
      </c>
      <c r="J1277" s="16"/>
      <c r="K1277" s="16" t="str">
        <f t="shared" si="6"/>
        <v>collected</v>
      </c>
      <c r="L1277" s="16" t="str">
        <f t="shared" si="7"/>
        <v>N</v>
      </c>
      <c r="M1277" s="16"/>
      <c r="N1277" s="16"/>
    </row>
    <row r="1278">
      <c r="A1278" s="27" t="s">
        <v>1795</v>
      </c>
      <c r="B1278" s="10" t="str">
        <f t="shared" si="1"/>
        <v>RNA-muscle</v>
      </c>
      <c r="C1278" s="10" t="str">
        <f t="shared" si="2"/>
        <v>BRN75M-F11</v>
      </c>
      <c r="D1278" s="6">
        <v>75.0</v>
      </c>
      <c r="E1278" s="10" t="str">
        <f t="shared" si="3"/>
        <v>BRN75M</v>
      </c>
      <c r="F1278" s="6" t="s">
        <v>61</v>
      </c>
      <c r="G1278" s="6">
        <v>11.0</v>
      </c>
      <c r="H1278" s="11" t="str">
        <f t="shared" si="4"/>
        <v>F11</v>
      </c>
      <c r="I1278" s="10" t="str">
        <f t="shared" si="5"/>
        <v>BRN75M-F11</v>
      </c>
      <c r="J1278" s="16"/>
      <c r="K1278" s="16" t="str">
        <f t="shared" si="6"/>
        <v>collected</v>
      </c>
      <c r="L1278" s="16" t="str">
        <f t="shared" si="7"/>
        <v>N</v>
      </c>
      <c r="M1278" s="16"/>
      <c r="N1278" s="16"/>
    </row>
    <row r="1279">
      <c r="A1279" s="27" t="s">
        <v>1796</v>
      </c>
      <c r="B1279" s="10" t="str">
        <f t="shared" si="1"/>
        <v>RNA-muscle</v>
      </c>
      <c r="C1279" s="10" t="str">
        <f t="shared" si="2"/>
        <v>BRN75M-E11</v>
      </c>
      <c r="D1279" s="6">
        <v>75.0</v>
      </c>
      <c r="E1279" s="10" t="str">
        <f t="shared" si="3"/>
        <v>BRN75M</v>
      </c>
      <c r="F1279" s="6" t="s">
        <v>66</v>
      </c>
      <c r="G1279" s="6">
        <v>11.0</v>
      </c>
      <c r="H1279" s="11" t="str">
        <f t="shared" si="4"/>
        <v>E11</v>
      </c>
      <c r="I1279" s="10" t="str">
        <f t="shared" si="5"/>
        <v>BRN75M-E11</v>
      </c>
      <c r="J1279" s="16"/>
      <c r="K1279" s="16" t="str">
        <f t="shared" si="6"/>
        <v>collected</v>
      </c>
      <c r="L1279" s="16" t="str">
        <f t="shared" si="7"/>
        <v>N</v>
      </c>
      <c r="M1279" s="16"/>
      <c r="N1279" s="16"/>
    </row>
    <row r="1280">
      <c r="A1280" s="27" t="s">
        <v>1797</v>
      </c>
      <c r="B1280" s="10" t="str">
        <f t="shared" si="1"/>
        <v>RNA-muscle</v>
      </c>
      <c r="C1280" s="10" t="str">
        <f t="shared" si="2"/>
        <v>BRN75M-H7</v>
      </c>
      <c r="D1280" s="6">
        <v>75.0</v>
      </c>
      <c r="E1280" s="10" t="str">
        <f t="shared" si="3"/>
        <v>BRN75M</v>
      </c>
      <c r="F1280" s="6" t="s">
        <v>51</v>
      </c>
      <c r="G1280" s="6">
        <v>7.0</v>
      </c>
      <c r="H1280" s="11" t="str">
        <f t="shared" si="4"/>
        <v>H7</v>
      </c>
      <c r="I1280" s="10" t="str">
        <f t="shared" si="5"/>
        <v>BRN75M-H7</v>
      </c>
      <c r="J1280" s="16"/>
      <c r="K1280" s="16" t="str">
        <f t="shared" si="6"/>
        <v>collected</v>
      </c>
      <c r="L1280" s="16" t="str">
        <f t="shared" si="7"/>
        <v>N</v>
      </c>
      <c r="M1280" s="16"/>
      <c r="N1280" s="16"/>
    </row>
    <row r="1281">
      <c r="A1281" s="27" t="s">
        <v>1798</v>
      </c>
      <c r="B1281" s="10" t="str">
        <f t="shared" si="1"/>
        <v>RNA-muscle</v>
      </c>
      <c r="C1281" s="10" t="str">
        <f t="shared" si="2"/>
        <v>BRN75M-G7</v>
      </c>
      <c r="D1281" s="6">
        <v>75.0</v>
      </c>
      <c r="E1281" s="10" t="str">
        <f t="shared" si="3"/>
        <v>BRN75M</v>
      </c>
      <c r="F1281" s="6" t="s">
        <v>56</v>
      </c>
      <c r="G1281" s="6">
        <v>7.0</v>
      </c>
      <c r="H1281" s="11" t="str">
        <f t="shared" si="4"/>
        <v>G7</v>
      </c>
      <c r="I1281" s="10" t="str">
        <f t="shared" si="5"/>
        <v>BRN75M-G7</v>
      </c>
      <c r="J1281" s="16"/>
      <c r="K1281" s="16" t="str">
        <f t="shared" si="6"/>
        <v>collected</v>
      </c>
      <c r="L1281" s="16" t="str">
        <f t="shared" si="7"/>
        <v>N</v>
      </c>
      <c r="M1281" s="16"/>
      <c r="N1281" s="16"/>
    </row>
    <row r="1282">
      <c r="A1282" s="27" t="s">
        <v>1799</v>
      </c>
      <c r="B1282" s="10" t="str">
        <f t="shared" si="1"/>
        <v>RNA-muscle</v>
      </c>
      <c r="C1282" s="10" t="str">
        <f t="shared" si="2"/>
        <v>BRN75M-F7</v>
      </c>
      <c r="D1282" s="6">
        <v>75.0</v>
      </c>
      <c r="E1282" s="10" t="str">
        <f t="shared" si="3"/>
        <v>BRN75M</v>
      </c>
      <c r="F1282" s="6" t="s">
        <v>61</v>
      </c>
      <c r="G1282" s="6">
        <v>7.0</v>
      </c>
      <c r="H1282" s="11" t="str">
        <f t="shared" si="4"/>
        <v>F7</v>
      </c>
      <c r="I1282" s="10" t="str">
        <f t="shared" si="5"/>
        <v>BRN75M-F7</v>
      </c>
      <c r="J1282" s="16"/>
      <c r="K1282" s="16" t="str">
        <f t="shared" si="6"/>
        <v>collected</v>
      </c>
      <c r="L1282" s="16" t="str">
        <f t="shared" si="7"/>
        <v>N</v>
      </c>
      <c r="M1282" s="16"/>
      <c r="N1282" s="16"/>
    </row>
    <row r="1283">
      <c r="A1283" s="27" t="s">
        <v>1801</v>
      </c>
      <c r="B1283" s="10" t="str">
        <f t="shared" si="1"/>
        <v>RNA-muscle</v>
      </c>
      <c r="C1283" s="10" t="str">
        <f t="shared" si="2"/>
        <v>BRN75M-E7</v>
      </c>
      <c r="D1283" s="6">
        <v>75.0</v>
      </c>
      <c r="E1283" s="10" t="str">
        <f t="shared" si="3"/>
        <v>BRN75M</v>
      </c>
      <c r="F1283" s="6" t="s">
        <v>66</v>
      </c>
      <c r="G1283" s="6">
        <v>7.0</v>
      </c>
      <c r="H1283" s="11" t="str">
        <f t="shared" si="4"/>
        <v>E7</v>
      </c>
      <c r="I1283" s="10" t="str">
        <f t="shared" si="5"/>
        <v>BRN75M-E7</v>
      </c>
      <c r="J1283" s="16"/>
      <c r="K1283" s="16" t="str">
        <f t="shared" si="6"/>
        <v>collected</v>
      </c>
      <c r="L1283" s="16" t="str">
        <f t="shared" si="7"/>
        <v>N</v>
      </c>
      <c r="M1283" s="16"/>
      <c r="N1283" s="16"/>
    </row>
    <row r="1284">
      <c r="A1284" s="27" t="s">
        <v>1802</v>
      </c>
      <c r="B1284" s="10" t="str">
        <f t="shared" si="1"/>
        <v>RNA-muscle</v>
      </c>
      <c r="C1284" s="10" t="str">
        <f t="shared" si="2"/>
        <v>BRN75M-D7</v>
      </c>
      <c r="D1284" s="6">
        <v>75.0</v>
      </c>
      <c r="E1284" s="10" t="str">
        <f t="shared" si="3"/>
        <v>BRN75M</v>
      </c>
      <c r="F1284" s="6" t="s">
        <v>68</v>
      </c>
      <c r="G1284" s="6">
        <v>7.0</v>
      </c>
      <c r="H1284" s="11" t="str">
        <f t="shared" si="4"/>
        <v>D7</v>
      </c>
      <c r="I1284" s="10" t="str">
        <f t="shared" si="5"/>
        <v>BRN75M-D7</v>
      </c>
      <c r="J1284" s="16"/>
      <c r="K1284" s="16" t="str">
        <f t="shared" si="6"/>
        <v>collected</v>
      </c>
      <c r="L1284" s="16" t="str">
        <f t="shared" si="7"/>
        <v>N</v>
      </c>
      <c r="M1284" s="16"/>
      <c r="N1284" s="16"/>
    </row>
    <row r="1285">
      <c r="A1285" s="27" t="s">
        <v>1803</v>
      </c>
      <c r="B1285" s="10" t="str">
        <f t="shared" si="1"/>
        <v>RNA-muscle</v>
      </c>
      <c r="C1285" s="10" t="str">
        <f t="shared" si="2"/>
        <v>BRN75M-C7</v>
      </c>
      <c r="D1285" s="6">
        <v>75.0</v>
      </c>
      <c r="E1285" s="10" t="str">
        <f t="shared" si="3"/>
        <v>BRN75M</v>
      </c>
      <c r="F1285" s="6" t="s">
        <v>72</v>
      </c>
      <c r="G1285" s="6">
        <v>7.0</v>
      </c>
      <c r="H1285" s="11" t="str">
        <f t="shared" si="4"/>
        <v>C7</v>
      </c>
      <c r="I1285" s="10" t="str">
        <f t="shared" si="5"/>
        <v>BRN75M-C7</v>
      </c>
      <c r="J1285" s="16"/>
      <c r="K1285" s="16" t="str">
        <f t="shared" si="6"/>
        <v>collected</v>
      </c>
      <c r="L1285" s="16" t="str">
        <f t="shared" si="7"/>
        <v>N</v>
      </c>
      <c r="M1285" s="16"/>
      <c r="N1285" s="16"/>
    </row>
    <row r="1286">
      <c r="A1286" s="27" t="s">
        <v>1804</v>
      </c>
      <c r="B1286" s="10" t="str">
        <f t="shared" si="1"/>
        <v>RNA-muscle</v>
      </c>
      <c r="C1286" s="10" t="str">
        <f t="shared" si="2"/>
        <v>BRN75M-B7</v>
      </c>
      <c r="D1286" s="6">
        <v>75.0</v>
      </c>
      <c r="E1286" s="10" t="str">
        <f t="shared" si="3"/>
        <v>BRN75M</v>
      </c>
      <c r="F1286" s="6" t="s">
        <v>74</v>
      </c>
      <c r="G1286" s="6">
        <v>7.0</v>
      </c>
      <c r="H1286" s="11" t="str">
        <f t="shared" si="4"/>
        <v>B7</v>
      </c>
      <c r="I1286" s="10" t="str">
        <f t="shared" si="5"/>
        <v>BRN75M-B7</v>
      </c>
      <c r="J1286" s="16"/>
      <c r="K1286" s="16" t="str">
        <f t="shared" si="6"/>
        <v>collected</v>
      </c>
      <c r="L1286" s="16" t="str">
        <f t="shared" si="7"/>
        <v>N</v>
      </c>
      <c r="M1286" s="16"/>
      <c r="N1286" s="16"/>
    </row>
    <row r="1287">
      <c r="A1287" s="27" t="s">
        <v>1805</v>
      </c>
      <c r="B1287" s="10" t="str">
        <f t="shared" si="1"/>
        <v>RNA-muscle</v>
      </c>
      <c r="C1287" s="10" t="str">
        <f t="shared" si="2"/>
        <v>BRN75M-A7</v>
      </c>
      <c r="D1287" s="6">
        <v>75.0</v>
      </c>
      <c r="E1287" s="10" t="str">
        <f t="shared" si="3"/>
        <v>BRN75M</v>
      </c>
      <c r="F1287" s="6" t="s">
        <v>76</v>
      </c>
      <c r="G1287" s="6">
        <v>7.0</v>
      </c>
      <c r="H1287" s="11" t="str">
        <f t="shared" si="4"/>
        <v>A7</v>
      </c>
      <c r="I1287" s="10" t="str">
        <f t="shared" si="5"/>
        <v>BRN75M-A7</v>
      </c>
      <c r="J1287" s="16"/>
      <c r="K1287" s="16" t="str">
        <f t="shared" si="6"/>
        <v>collected</v>
      </c>
      <c r="L1287" s="16" t="str">
        <f t="shared" si="7"/>
        <v>N</v>
      </c>
      <c r="M1287" s="16"/>
      <c r="N1287" s="16"/>
    </row>
    <row r="1288">
      <c r="A1288" s="27" t="s">
        <v>1806</v>
      </c>
      <c r="B1288" s="10" t="str">
        <f t="shared" si="1"/>
        <v>RNA-muscle</v>
      </c>
      <c r="C1288" s="10" t="str">
        <f t="shared" si="2"/>
        <v>BRN75M-H8</v>
      </c>
      <c r="D1288" s="6">
        <v>75.0</v>
      </c>
      <c r="E1288" s="10" t="str">
        <f t="shared" si="3"/>
        <v>BRN75M</v>
      </c>
      <c r="F1288" s="6" t="s">
        <v>51</v>
      </c>
      <c r="G1288" s="6">
        <v>8.0</v>
      </c>
      <c r="H1288" s="11" t="str">
        <f t="shared" si="4"/>
        <v>H8</v>
      </c>
      <c r="I1288" s="10" t="str">
        <f t="shared" si="5"/>
        <v>BRN75M-H8</v>
      </c>
      <c r="J1288" s="16"/>
      <c r="K1288" s="16" t="str">
        <f t="shared" si="6"/>
        <v>collected</v>
      </c>
      <c r="L1288" s="16" t="str">
        <f t="shared" si="7"/>
        <v>N</v>
      </c>
      <c r="M1288" s="16"/>
      <c r="N1288" s="16"/>
    </row>
    <row r="1289">
      <c r="A1289" s="27" t="s">
        <v>1808</v>
      </c>
      <c r="B1289" s="10" t="str">
        <f t="shared" si="1"/>
        <v>RNA-muscle</v>
      </c>
      <c r="C1289" s="10" t="str">
        <f t="shared" si="2"/>
        <v>BRN75M-G8</v>
      </c>
      <c r="D1289" s="6">
        <v>75.0</v>
      </c>
      <c r="E1289" s="10" t="str">
        <f t="shared" si="3"/>
        <v>BRN75M</v>
      </c>
      <c r="F1289" s="6" t="s">
        <v>56</v>
      </c>
      <c r="G1289" s="6">
        <v>8.0</v>
      </c>
      <c r="H1289" s="11" t="str">
        <f t="shared" si="4"/>
        <v>G8</v>
      </c>
      <c r="I1289" s="10" t="str">
        <f t="shared" si="5"/>
        <v>BRN75M-G8</v>
      </c>
      <c r="J1289" s="6" t="s">
        <v>1809</v>
      </c>
      <c r="K1289" s="16" t="str">
        <f t="shared" si="6"/>
        <v>collected</v>
      </c>
      <c r="L1289" s="16" t="str">
        <f t="shared" si="7"/>
        <v>N</v>
      </c>
      <c r="M1289" s="16"/>
      <c r="N1289" s="16"/>
    </row>
    <row r="1290">
      <c r="A1290" s="27" t="s">
        <v>1810</v>
      </c>
      <c r="B1290" s="10" t="str">
        <f t="shared" si="1"/>
        <v>RNA-muscle</v>
      </c>
      <c r="C1290" s="10" t="str">
        <f t="shared" si="2"/>
        <v>BRN75M-F8</v>
      </c>
      <c r="D1290" s="6">
        <v>75.0</v>
      </c>
      <c r="E1290" s="10" t="str">
        <f t="shared" si="3"/>
        <v>BRN75M</v>
      </c>
      <c r="F1290" s="6" t="s">
        <v>61</v>
      </c>
      <c r="G1290" s="6">
        <v>8.0</v>
      </c>
      <c r="H1290" s="11" t="str">
        <f t="shared" si="4"/>
        <v>F8</v>
      </c>
      <c r="I1290" s="10" t="str">
        <f t="shared" si="5"/>
        <v>BRN75M-F8</v>
      </c>
      <c r="J1290" s="16"/>
      <c r="K1290" s="16" t="str">
        <f t="shared" si="6"/>
        <v>collected</v>
      </c>
      <c r="L1290" s="16" t="str">
        <f t="shared" si="7"/>
        <v>N</v>
      </c>
      <c r="M1290" s="16"/>
      <c r="N1290" s="16"/>
    </row>
    <row r="1291">
      <c r="A1291" s="27" t="s">
        <v>1811</v>
      </c>
      <c r="B1291" s="10" t="str">
        <f t="shared" si="1"/>
        <v>RNA-muscle</v>
      </c>
      <c r="C1291" s="10" t="str">
        <f t="shared" si="2"/>
        <v>BRN75M-E8</v>
      </c>
      <c r="D1291" s="6">
        <v>75.0</v>
      </c>
      <c r="E1291" s="10" t="str">
        <f t="shared" si="3"/>
        <v>BRN75M</v>
      </c>
      <c r="F1291" s="6" t="s">
        <v>66</v>
      </c>
      <c r="G1291" s="6">
        <v>8.0</v>
      </c>
      <c r="H1291" s="11" t="str">
        <f t="shared" si="4"/>
        <v>E8</v>
      </c>
      <c r="I1291" s="10" t="str">
        <f t="shared" si="5"/>
        <v>BRN75M-E8</v>
      </c>
      <c r="J1291" s="16"/>
      <c r="K1291" s="16" t="str">
        <f t="shared" si="6"/>
        <v>collected</v>
      </c>
      <c r="L1291" s="16" t="str">
        <f t="shared" si="7"/>
        <v>N</v>
      </c>
      <c r="M1291" s="16"/>
      <c r="N1291" s="16"/>
    </row>
    <row r="1292">
      <c r="A1292" s="27" t="s">
        <v>1812</v>
      </c>
      <c r="B1292" s="10" t="str">
        <f t="shared" si="1"/>
        <v>RNA-muscle</v>
      </c>
      <c r="C1292" s="10" t="str">
        <f t="shared" si="2"/>
        <v>BRN75M-D8</v>
      </c>
      <c r="D1292" s="6">
        <v>75.0</v>
      </c>
      <c r="E1292" s="10" t="str">
        <f t="shared" si="3"/>
        <v>BRN75M</v>
      </c>
      <c r="F1292" s="6" t="s">
        <v>68</v>
      </c>
      <c r="G1292" s="6">
        <v>8.0</v>
      </c>
      <c r="H1292" s="11" t="str">
        <f t="shared" si="4"/>
        <v>D8</v>
      </c>
      <c r="I1292" s="10" t="str">
        <f t="shared" si="5"/>
        <v>BRN75M-D8</v>
      </c>
      <c r="J1292" s="16"/>
      <c r="K1292" s="16" t="str">
        <f t="shared" si="6"/>
        <v>collected</v>
      </c>
      <c r="L1292" s="16" t="str">
        <f t="shared" si="7"/>
        <v>N</v>
      </c>
      <c r="M1292" s="16"/>
      <c r="N1292" s="16"/>
    </row>
    <row r="1293">
      <c r="A1293" s="27" t="s">
        <v>1814</v>
      </c>
      <c r="B1293" s="10" t="str">
        <f t="shared" si="1"/>
        <v>RNA-muscle</v>
      </c>
      <c r="C1293" s="10" t="str">
        <f t="shared" si="2"/>
        <v>BRN75M-C8</v>
      </c>
      <c r="D1293" s="6">
        <v>75.0</v>
      </c>
      <c r="E1293" s="10" t="str">
        <f t="shared" si="3"/>
        <v>BRN75M</v>
      </c>
      <c r="F1293" s="6" t="s">
        <v>72</v>
      </c>
      <c r="G1293" s="6">
        <v>8.0</v>
      </c>
      <c r="H1293" s="11" t="str">
        <f t="shared" si="4"/>
        <v>C8</v>
      </c>
      <c r="I1293" s="10" t="str">
        <f t="shared" si="5"/>
        <v>BRN75M-C8</v>
      </c>
      <c r="J1293" s="16"/>
      <c r="K1293" s="16" t="str">
        <f t="shared" si="6"/>
        <v>collected</v>
      </c>
      <c r="L1293" s="16" t="str">
        <f t="shared" si="7"/>
        <v>N</v>
      </c>
      <c r="M1293" s="16"/>
      <c r="N1293" s="16"/>
    </row>
    <row r="1294">
      <c r="A1294" s="27" t="s">
        <v>1815</v>
      </c>
      <c r="B1294" s="10" t="str">
        <f t="shared" si="1"/>
        <v>RNA-muscle</v>
      </c>
      <c r="C1294" s="10" t="str">
        <f t="shared" si="2"/>
        <v>BRN75M-B8</v>
      </c>
      <c r="D1294" s="6">
        <v>75.0</v>
      </c>
      <c r="E1294" s="10" t="str">
        <f t="shared" si="3"/>
        <v>BRN75M</v>
      </c>
      <c r="F1294" s="6" t="s">
        <v>74</v>
      </c>
      <c r="G1294" s="6">
        <v>8.0</v>
      </c>
      <c r="H1294" s="11" t="str">
        <f t="shared" si="4"/>
        <v>B8</v>
      </c>
      <c r="I1294" s="10" t="str">
        <f t="shared" si="5"/>
        <v>BRN75M-B8</v>
      </c>
      <c r="J1294" s="16"/>
      <c r="K1294" s="16" t="str">
        <f t="shared" si="6"/>
        <v>collected</v>
      </c>
      <c r="L1294" s="16" t="str">
        <f t="shared" si="7"/>
        <v>N</v>
      </c>
      <c r="M1294" s="16"/>
      <c r="N1294" s="16"/>
    </row>
    <row r="1295">
      <c r="A1295" s="27" t="s">
        <v>1816</v>
      </c>
      <c r="B1295" s="10" t="str">
        <f t="shared" si="1"/>
        <v>RNA-muscle</v>
      </c>
      <c r="C1295" s="10" t="str">
        <f t="shared" si="2"/>
        <v>BRN75M-A8</v>
      </c>
      <c r="D1295" s="6">
        <v>75.0</v>
      </c>
      <c r="E1295" s="10" t="str">
        <f t="shared" si="3"/>
        <v>BRN75M</v>
      </c>
      <c r="F1295" s="6" t="s">
        <v>76</v>
      </c>
      <c r="G1295" s="6">
        <v>8.0</v>
      </c>
      <c r="H1295" s="11" t="str">
        <f t="shared" si="4"/>
        <v>A8</v>
      </c>
      <c r="I1295" s="10" t="str">
        <f t="shared" si="5"/>
        <v>BRN75M-A8</v>
      </c>
      <c r="J1295" s="16"/>
      <c r="K1295" s="16" t="str">
        <f t="shared" si="6"/>
        <v>collected</v>
      </c>
      <c r="L1295" s="16" t="str">
        <f t="shared" si="7"/>
        <v>N</v>
      </c>
      <c r="M1295" s="16"/>
      <c r="N1295" s="16"/>
    </row>
    <row r="1296">
      <c r="A1296" s="27" t="s">
        <v>1817</v>
      </c>
      <c r="B1296" s="10" t="str">
        <f t="shared" si="1"/>
        <v>RNA-muscle</v>
      </c>
      <c r="C1296" s="10" t="str">
        <f t="shared" si="2"/>
        <v>BRN76M-H1</v>
      </c>
      <c r="D1296" s="6">
        <v>76.0</v>
      </c>
      <c r="E1296" s="10" t="str">
        <f t="shared" si="3"/>
        <v>BRN76M</v>
      </c>
      <c r="F1296" s="6" t="s">
        <v>51</v>
      </c>
      <c r="G1296" s="6">
        <v>1.0</v>
      </c>
      <c r="H1296" s="11" t="str">
        <f t="shared" si="4"/>
        <v>H1</v>
      </c>
      <c r="I1296" s="10" t="str">
        <f t="shared" si="5"/>
        <v>BRN76M-H1</v>
      </c>
      <c r="J1296" s="16"/>
      <c r="K1296" s="16" t="str">
        <f t="shared" si="6"/>
        <v>collected</v>
      </c>
      <c r="L1296" s="16" t="str">
        <f t="shared" si="7"/>
        <v>N</v>
      </c>
      <c r="M1296" s="16"/>
      <c r="N1296" s="16"/>
    </row>
    <row r="1297">
      <c r="A1297" s="27" t="s">
        <v>1818</v>
      </c>
      <c r="B1297" s="10" t="str">
        <f t="shared" si="1"/>
        <v>RNA-muscle</v>
      </c>
      <c r="C1297" s="10" t="str">
        <f t="shared" si="2"/>
        <v>BRN76M-G1</v>
      </c>
      <c r="D1297" s="6">
        <v>76.0</v>
      </c>
      <c r="E1297" s="10" t="str">
        <f t="shared" si="3"/>
        <v>BRN76M</v>
      </c>
      <c r="F1297" s="6" t="s">
        <v>56</v>
      </c>
      <c r="G1297" s="6">
        <v>1.0</v>
      </c>
      <c r="H1297" s="11" t="str">
        <f t="shared" si="4"/>
        <v>G1</v>
      </c>
      <c r="I1297" s="10" t="str">
        <f t="shared" si="5"/>
        <v>BRN76M-G1</v>
      </c>
      <c r="J1297" s="16"/>
      <c r="K1297" s="16" t="str">
        <f t="shared" si="6"/>
        <v>collected</v>
      </c>
      <c r="L1297" s="16" t="str">
        <f t="shared" si="7"/>
        <v>N</v>
      </c>
      <c r="M1297" s="16"/>
      <c r="N1297" s="16"/>
    </row>
    <row r="1298">
      <c r="A1298" s="27" t="s">
        <v>1819</v>
      </c>
      <c r="B1298" s="10" t="str">
        <f t="shared" si="1"/>
        <v>RNA-muscle</v>
      </c>
      <c r="C1298" s="10" t="str">
        <f t="shared" si="2"/>
        <v>BRN76M-F1</v>
      </c>
      <c r="D1298" s="6">
        <v>76.0</v>
      </c>
      <c r="E1298" s="10" t="str">
        <f t="shared" si="3"/>
        <v>BRN76M</v>
      </c>
      <c r="F1298" s="6" t="s">
        <v>61</v>
      </c>
      <c r="G1298" s="6">
        <v>1.0</v>
      </c>
      <c r="H1298" s="11" t="str">
        <f t="shared" si="4"/>
        <v>F1</v>
      </c>
      <c r="I1298" s="10" t="str">
        <f t="shared" si="5"/>
        <v>BRN76M-F1</v>
      </c>
      <c r="J1298" s="16"/>
      <c r="K1298" s="16" t="str">
        <f t="shared" si="6"/>
        <v>collected</v>
      </c>
      <c r="L1298" s="16" t="str">
        <f t="shared" si="7"/>
        <v>N</v>
      </c>
      <c r="M1298" s="16"/>
      <c r="N1298" s="16"/>
    </row>
    <row r="1299">
      <c r="A1299" s="27" t="s">
        <v>1821</v>
      </c>
      <c r="B1299" s="10" t="str">
        <f t="shared" si="1"/>
        <v>RNA-muscle</v>
      </c>
      <c r="C1299" s="10" t="str">
        <f t="shared" si="2"/>
        <v>BRN76M-E1</v>
      </c>
      <c r="D1299" s="6">
        <v>76.0</v>
      </c>
      <c r="E1299" s="10" t="str">
        <f t="shared" si="3"/>
        <v>BRN76M</v>
      </c>
      <c r="F1299" s="6" t="s">
        <v>66</v>
      </c>
      <c r="G1299" s="6">
        <v>1.0</v>
      </c>
      <c r="H1299" s="11" t="str">
        <f t="shared" si="4"/>
        <v>E1</v>
      </c>
      <c r="I1299" s="10" t="str">
        <f t="shared" si="5"/>
        <v>BRN76M-E1</v>
      </c>
      <c r="J1299" s="6" t="s">
        <v>1809</v>
      </c>
      <c r="K1299" s="16" t="str">
        <f t="shared" si="6"/>
        <v>collected</v>
      </c>
      <c r="L1299" s="16" t="str">
        <f t="shared" si="7"/>
        <v>N</v>
      </c>
      <c r="M1299" s="16"/>
      <c r="N1299" s="16"/>
    </row>
    <row r="1300">
      <c r="A1300" s="27" t="s">
        <v>1822</v>
      </c>
      <c r="B1300" s="10" t="str">
        <f t="shared" si="1"/>
        <v>RNA-muscle</v>
      </c>
      <c r="C1300" s="10" t="str">
        <f t="shared" si="2"/>
        <v>BRN75M-D11</v>
      </c>
      <c r="D1300" s="6">
        <v>75.0</v>
      </c>
      <c r="E1300" s="10" t="str">
        <f t="shared" si="3"/>
        <v>BRN75M</v>
      </c>
      <c r="F1300" s="6" t="s">
        <v>68</v>
      </c>
      <c r="G1300" s="6">
        <v>11.0</v>
      </c>
      <c r="H1300" s="11" t="str">
        <f t="shared" si="4"/>
        <v>D11</v>
      </c>
      <c r="I1300" s="10" t="str">
        <f t="shared" si="5"/>
        <v>BRN75M-D11</v>
      </c>
      <c r="J1300" s="16"/>
      <c r="K1300" s="16" t="str">
        <f t="shared" si="6"/>
        <v>collected</v>
      </c>
      <c r="L1300" s="16" t="str">
        <f t="shared" si="7"/>
        <v>N</v>
      </c>
      <c r="M1300" s="16"/>
      <c r="N1300" s="16"/>
    </row>
    <row r="1301">
      <c r="A1301" s="27" t="s">
        <v>1823</v>
      </c>
      <c r="B1301" s="10" t="str">
        <f t="shared" si="1"/>
        <v>RNA-muscle</v>
      </c>
      <c r="C1301" s="10" t="str">
        <f t="shared" si="2"/>
        <v>BRN75M-C11</v>
      </c>
      <c r="D1301" s="6">
        <v>75.0</v>
      </c>
      <c r="E1301" s="10" t="str">
        <f t="shared" si="3"/>
        <v>BRN75M</v>
      </c>
      <c r="F1301" s="6" t="s">
        <v>72</v>
      </c>
      <c r="G1301" s="6">
        <v>11.0</v>
      </c>
      <c r="H1301" s="11" t="str">
        <f t="shared" si="4"/>
        <v>C11</v>
      </c>
      <c r="I1301" s="10" t="str">
        <f t="shared" si="5"/>
        <v>BRN75M-C11</v>
      </c>
      <c r="J1301" s="16"/>
      <c r="K1301" s="16" t="str">
        <f t="shared" si="6"/>
        <v>collected</v>
      </c>
      <c r="L1301" s="16" t="str">
        <f t="shared" si="7"/>
        <v>N</v>
      </c>
      <c r="M1301" s="16"/>
      <c r="N1301" s="16"/>
    </row>
    <row r="1302">
      <c r="A1302" s="27" t="s">
        <v>1824</v>
      </c>
      <c r="B1302" s="10" t="str">
        <f t="shared" si="1"/>
        <v>RNA-muscle</v>
      </c>
      <c r="C1302" s="10" t="str">
        <f t="shared" si="2"/>
        <v>BRN75M-B11</v>
      </c>
      <c r="D1302" s="6">
        <v>75.0</v>
      </c>
      <c r="E1302" s="10" t="str">
        <f t="shared" si="3"/>
        <v>BRN75M</v>
      </c>
      <c r="F1302" s="6" t="s">
        <v>74</v>
      </c>
      <c r="G1302" s="6">
        <v>11.0</v>
      </c>
      <c r="H1302" s="11" t="str">
        <f t="shared" si="4"/>
        <v>B11</v>
      </c>
      <c r="I1302" s="10" t="str">
        <f t="shared" si="5"/>
        <v>BRN75M-B11</v>
      </c>
      <c r="J1302" s="16"/>
      <c r="K1302" s="16" t="str">
        <f t="shared" si="6"/>
        <v>collected</v>
      </c>
      <c r="L1302" s="16" t="str">
        <f t="shared" si="7"/>
        <v>N</v>
      </c>
      <c r="M1302" s="16"/>
      <c r="N1302" s="16"/>
    </row>
    <row r="1303">
      <c r="A1303" s="27" t="s">
        <v>1825</v>
      </c>
      <c r="B1303" s="10" t="str">
        <f t="shared" si="1"/>
        <v>RNA-muscle</v>
      </c>
      <c r="C1303" s="10" t="str">
        <f t="shared" si="2"/>
        <v>BRN75M-A11</v>
      </c>
      <c r="D1303" s="6">
        <v>75.0</v>
      </c>
      <c r="E1303" s="10" t="str">
        <f t="shared" si="3"/>
        <v>BRN75M</v>
      </c>
      <c r="F1303" s="6" t="s">
        <v>76</v>
      </c>
      <c r="G1303" s="6">
        <v>11.0</v>
      </c>
      <c r="H1303" s="11" t="str">
        <f t="shared" si="4"/>
        <v>A11</v>
      </c>
      <c r="I1303" s="10" t="str">
        <f t="shared" si="5"/>
        <v>BRN75M-A11</v>
      </c>
      <c r="J1303" s="16"/>
      <c r="K1303" s="16" t="str">
        <f t="shared" si="6"/>
        <v>collected</v>
      </c>
      <c r="L1303" s="16" t="str">
        <f t="shared" si="7"/>
        <v>N</v>
      </c>
      <c r="M1303" s="16"/>
      <c r="N1303" s="16"/>
    </row>
    <row r="1304">
      <c r="A1304" s="27" t="s">
        <v>1827</v>
      </c>
      <c r="B1304" s="10" t="str">
        <f t="shared" si="1"/>
        <v>RNA-muscle</v>
      </c>
      <c r="C1304" s="10" t="str">
        <f t="shared" si="2"/>
        <v>BRN75M-G12</v>
      </c>
      <c r="D1304" s="6">
        <v>75.0</v>
      </c>
      <c r="E1304" s="10" t="str">
        <f t="shared" si="3"/>
        <v>BRN75M</v>
      </c>
      <c r="F1304" s="6" t="s">
        <v>56</v>
      </c>
      <c r="G1304" s="6">
        <v>12.0</v>
      </c>
      <c r="H1304" s="11" t="str">
        <f t="shared" si="4"/>
        <v>G12</v>
      </c>
      <c r="I1304" s="10" t="str">
        <f t="shared" si="5"/>
        <v>BRN75M-G12</v>
      </c>
      <c r="J1304" s="16"/>
      <c r="K1304" s="16" t="str">
        <f t="shared" si="6"/>
        <v>collected</v>
      </c>
      <c r="L1304" s="16" t="str">
        <f t="shared" si="7"/>
        <v>N</v>
      </c>
      <c r="M1304" s="16"/>
      <c r="N1304" s="16"/>
    </row>
    <row r="1305">
      <c r="A1305" s="27" t="s">
        <v>1828</v>
      </c>
      <c r="B1305" s="10" t="str">
        <f t="shared" si="1"/>
        <v>RNA-muscle</v>
      </c>
      <c r="C1305" s="10" t="str">
        <f t="shared" si="2"/>
        <v>BRN75M-F12</v>
      </c>
      <c r="D1305" s="6">
        <v>75.0</v>
      </c>
      <c r="E1305" s="10" t="str">
        <f t="shared" si="3"/>
        <v>BRN75M</v>
      </c>
      <c r="F1305" s="6" t="s">
        <v>61</v>
      </c>
      <c r="G1305" s="6">
        <v>12.0</v>
      </c>
      <c r="H1305" s="11" t="str">
        <f t="shared" si="4"/>
        <v>F12</v>
      </c>
      <c r="I1305" s="10" t="str">
        <f t="shared" si="5"/>
        <v>BRN75M-F12</v>
      </c>
      <c r="J1305" s="16"/>
      <c r="K1305" s="16" t="str">
        <f t="shared" si="6"/>
        <v>collected</v>
      </c>
      <c r="L1305" s="16" t="str">
        <f t="shared" si="7"/>
        <v>N</v>
      </c>
      <c r="M1305" s="16"/>
      <c r="N1305" s="16"/>
    </row>
    <row r="1306">
      <c r="A1306" s="27" t="s">
        <v>1829</v>
      </c>
      <c r="B1306" s="10" t="str">
        <f t="shared" si="1"/>
        <v>RNA-muscle</v>
      </c>
      <c r="C1306" s="10" t="str">
        <f t="shared" si="2"/>
        <v>BRN75M-E12</v>
      </c>
      <c r="D1306" s="6">
        <v>75.0</v>
      </c>
      <c r="E1306" s="10" t="str">
        <f t="shared" si="3"/>
        <v>BRN75M</v>
      </c>
      <c r="F1306" s="6" t="s">
        <v>66</v>
      </c>
      <c r="G1306" s="6">
        <v>12.0</v>
      </c>
      <c r="H1306" s="11" t="str">
        <f t="shared" si="4"/>
        <v>E12</v>
      </c>
      <c r="I1306" s="10" t="str">
        <f t="shared" si="5"/>
        <v>BRN75M-E12</v>
      </c>
      <c r="J1306" s="16"/>
      <c r="K1306" s="16" t="str">
        <f t="shared" si="6"/>
        <v>collected</v>
      </c>
      <c r="L1306" s="16" t="str">
        <f t="shared" si="7"/>
        <v>N</v>
      </c>
      <c r="M1306" s="16"/>
      <c r="N1306" s="16"/>
    </row>
    <row r="1307">
      <c r="A1307" s="27" t="s">
        <v>1830</v>
      </c>
      <c r="B1307" s="10" t="str">
        <f t="shared" si="1"/>
        <v>RNA-muscle</v>
      </c>
      <c r="C1307" s="10" t="str">
        <f t="shared" si="2"/>
        <v>BRN75M-D12</v>
      </c>
      <c r="D1307" s="6">
        <v>75.0</v>
      </c>
      <c r="E1307" s="10" t="str">
        <f t="shared" si="3"/>
        <v>BRN75M</v>
      </c>
      <c r="F1307" s="6" t="s">
        <v>68</v>
      </c>
      <c r="G1307" s="6">
        <v>12.0</v>
      </c>
      <c r="H1307" s="11" t="str">
        <f t="shared" si="4"/>
        <v>D12</v>
      </c>
      <c r="I1307" s="10" t="str">
        <f t="shared" si="5"/>
        <v>BRN75M-D12</v>
      </c>
      <c r="J1307" s="16"/>
      <c r="K1307" s="16" t="str">
        <f t="shared" si="6"/>
        <v>collected</v>
      </c>
      <c r="L1307" s="16" t="str">
        <f t="shared" si="7"/>
        <v>N</v>
      </c>
      <c r="M1307" s="16"/>
      <c r="N1307" s="16"/>
    </row>
    <row r="1308">
      <c r="A1308" s="27" t="s">
        <v>1832</v>
      </c>
      <c r="B1308" s="10" t="str">
        <f t="shared" si="1"/>
        <v>RNA-muscle</v>
      </c>
      <c r="C1308" s="10" t="str">
        <f t="shared" si="2"/>
        <v>BRN75M-C12</v>
      </c>
      <c r="D1308" s="6">
        <v>75.0</v>
      </c>
      <c r="E1308" s="10" t="str">
        <f t="shared" si="3"/>
        <v>BRN75M</v>
      </c>
      <c r="F1308" s="6" t="s">
        <v>72</v>
      </c>
      <c r="G1308" s="6">
        <v>12.0</v>
      </c>
      <c r="H1308" s="11" t="str">
        <f t="shared" si="4"/>
        <v>C12</v>
      </c>
      <c r="I1308" s="10" t="str">
        <f t="shared" si="5"/>
        <v>BRN75M-C12</v>
      </c>
      <c r="J1308" s="16"/>
      <c r="K1308" s="16" t="str">
        <f t="shared" si="6"/>
        <v>collected</v>
      </c>
      <c r="L1308" s="16" t="str">
        <f t="shared" si="7"/>
        <v>N</v>
      </c>
      <c r="M1308" s="16"/>
      <c r="N1308" s="16"/>
    </row>
    <row r="1309">
      <c r="A1309" s="27" t="s">
        <v>1833</v>
      </c>
      <c r="B1309" s="10" t="str">
        <f t="shared" si="1"/>
        <v>RNA-muscle</v>
      </c>
      <c r="C1309" s="10" t="str">
        <f t="shared" si="2"/>
        <v>BRN75M-B12</v>
      </c>
      <c r="D1309" s="6">
        <v>75.0</v>
      </c>
      <c r="E1309" s="10" t="str">
        <f t="shared" si="3"/>
        <v>BRN75M</v>
      </c>
      <c r="F1309" s="6" t="s">
        <v>74</v>
      </c>
      <c r="G1309" s="6">
        <v>12.0</v>
      </c>
      <c r="H1309" s="11" t="str">
        <f t="shared" si="4"/>
        <v>B12</v>
      </c>
      <c r="I1309" s="10" t="str">
        <f t="shared" si="5"/>
        <v>BRN75M-B12</v>
      </c>
      <c r="J1309" s="16"/>
      <c r="K1309" s="16" t="str">
        <f t="shared" si="6"/>
        <v>collected</v>
      </c>
      <c r="L1309" s="16" t="str">
        <f t="shared" si="7"/>
        <v>N</v>
      </c>
      <c r="M1309" s="16"/>
      <c r="N1309" s="16"/>
    </row>
    <row r="1310">
      <c r="A1310" s="27" t="s">
        <v>1835</v>
      </c>
      <c r="B1310" s="10" t="str">
        <f t="shared" si="1"/>
        <v>RNA-muscle</v>
      </c>
      <c r="C1310" s="10" t="str">
        <f t="shared" si="2"/>
        <v>BRN75M-A12</v>
      </c>
      <c r="D1310" s="6">
        <v>75.0</v>
      </c>
      <c r="E1310" s="10" t="str">
        <f t="shared" si="3"/>
        <v>BRN75M</v>
      </c>
      <c r="F1310" s="6" t="s">
        <v>76</v>
      </c>
      <c r="G1310" s="6">
        <v>12.0</v>
      </c>
      <c r="H1310" s="11" t="str">
        <f t="shared" si="4"/>
        <v>A12</v>
      </c>
      <c r="I1310" s="10" t="str">
        <f t="shared" si="5"/>
        <v>BRN75M-A12</v>
      </c>
      <c r="J1310" s="16"/>
      <c r="K1310" s="16" t="str">
        <f t="shared" si="6"/>
        <v>collected</v>
      </c>
      <c r="L1310" s="16" t="str">
        <f t="shared" si="7"/>
        <v>N</v>
      </c>
      <c r="M1310" s="16"/>
      <c r="N1310" s="16"/>
    </row>
    <row r="1311">
      <c r="A1311" s="27" t="s">
        <v>1836</v>
      </c>
      <c r="B1311" s="10" t="str">
        <f t="shared" si="1"/>
        <v>RNA-muscle</v>
      </c>
      <c r="C1311" s="10" t="str">
        <f t="shared" si="2"/>
        <v>BRN76M-H4</v>
      </c>
      <c r="D1311" s="6">
        <v>76.0</v>
      </c>
      <c r="E1311" s="10" t="str">
        <f t="shared" si="3"/>
        <v>BRN76M</v>
      </c>
      <c r="F1311" s="6" t="s">
        <v>51</v>
      </c>
      <c r="G1311" s="6">
        <v>4.0</v>
      </c>
      <c r="H1311" s="11" t="str">
        <f t="shared" si="4"/>
        <v>H4</v>
      </c>
      <c r="I1311" s="10" t="str">
        <f t="shared" si="5"/>
        <v>BRN76M-H4</v>
      </c>
      <c r="J1311" s="16"/>
      <c r="K1311" s="16" t="str">
        <f t="shared" si="6"/>
        <v>collected</v>
      </c>
      <c r="L1311" s="16" t="str">
        <f t="shared" si="7"/>
        <v>N</v>
      </c>
      <c r="M1311" s="16"/>
      <c r="N1311" s="16"/>
    </row>
    <row r="1312">
      <c r="A1312" s="27" t="s">
        <v>1838</v>
      </c>
      <c r="B1312" s="10" t="str">
        <f t="shared" si="1"/>
        <v>RNA-muscle</v>
      </c>
      <c r="C1312" s="10" t="str">
        <f t="shared" si="2"/>
        <v>BRN76M-G4</v>
      </c>
      <c r="D1312" s="6">
        <v>76.0</v>
      </c>
      <c r="E1312" s="10" t="str">
        <f t="shared" si="3"/>
        <v>BRN76M</v>
      </c>
      <c r="F1312" s="6" t="s">
        <v>56</v>
      </c>
      <c r="G1312" s="6">
        <v>4.0</v>
      </c>
      <c r="H1312" s="11" t="str">
        <f t="shared" si="4"/>
        <v>G4</v>
      </c>
      <c r="I1312" s="10" t="str">
        <f t="shared" si="5"/>
        <v>BRN76M-G4</v>
      </c>
      <c r="J1312" s="6" t="s">
        <v>1839</v>
      </c>
      <c r="K1312" s="16" t="str">
        <f t="shared" si="6"/>
        <v>collected</v>
      </c>
      <c r="L1312" s="16" t="str">
        <f t="shared" si="7"/>
        <v>N</v>
      </c>
      <c r="M1312" s="16"/>
      <c r="N1312" s="16"/>
    </row>
    <row r="1313">
      <c r="A1313" s="27" t="s">
        <v>1840</v>
      </c>
      <c r="B1313" s="10" t="str">
        <f t="shared" si="1"/>
        <v>RNA-muscle</v>
      </c>
      <c r="C1313" s="10" t="str">
        <f t="shared" si="2"/>
        <v>BRN76M-F4</v>
      </c>
      <c r="D1313" s="6">
        <v>76.0</v>
      </c>
      <c r="E1313" s="10" t="str">
        <f t="shared" si="3"/>
        <v>BRN76M</v>
      </c>
      <c r="F1313" s="6" t="s">
        <v>61</v>
      </c>
      <c r="G1313" s="6">
        <v>4.0</v>
      </c>
      <c r="H1313" s="11" t="str">
        <f t="shared" si="4"/>
        <v>F4</v>
      </c>
      <c r="I1313" s="10" t="str">
        <f t="shared" si="5"/>
        <v>BRN76M-F4</v>
      </c>
      <c r="J1313" s="16"/>
      <c r="K1313" s="16" t="str">
        <f t="shared" si="6"/>
        <v>collected</v>
      </c>
      <c r="L1313" s="16" t="str">
        <f t="shared" si="7"/>
        <v>N</v>
      </c>
      <c r="M1313" s="16"/>
      <c r="N1313" s="16"/>
    </row>
    <row r="1314">
      <c r="A1314" s="27" t="s">
        <v>1841</v>
      </c>
      <c r="B1314" s="10" t="str">
        <f t="shared" si="1"/>
        <v>RNA-muscle</v>
      </c>
      <c r="C1314" s="10" t="str">
        <f t="shared" si="2"/>
        <v>BRN76M-E4</v>
      </c>
      <c r="D1314" s="6">
        <v>76.0</v>
      </c>
      <c r="E1314" s="10" t="str">
        <f t="shared" si="3"/>
        <v>BRN76M</v>
      </c>
      <c r="F1314" s="6" t="s">
        <v>66</v>
      </c>
      <c r="G1314" s="6">
        <v>4.0</v>
      </c>
      <c r="H1314" s="11" t="str">
        <f t="shared" si="4"/>
        <v>E4</v>
      </c>
      <c r="I1314" s="10" t="str">
        <f t="shared" si="5"/>
        <v>BRN76M-E4</v>
      </c>
      <c r="J1314" s="16"/>
      <c r="K1314" s="16" t="str">
        <f t="shared" si="6"/>
        <v>collected</v>
      </c>
      <c r="L1314" s="16" t="str">
        <f t="shared" si="7"/>
        <v>N</v>
      </c>
      <c r="M1314" s="16"/>
      <c r="N1314" s="16"/>
    </row>
    <row r="1315">
      <c r="A1315" s="27" t="s">
        <v>1843</v>
      </c>
      <c r="B1315" s="10" t="str">
        <f t="shared" si="1"/>
        <v>RNA-muscle</v>
      </c>
      <c r="C1315" s="10" t="str">
        <f t="shared" si="2"/>
        <v>BRN76M-D4</v>
      </c>
      <c r="D1315" s="6">
        <v>76.0</v>
      </c>
      <c r="E1315" s="10" t="str">
        <f t="shared" si="3"/>
        <v>BRN76M</v>
      </c>
      <c r="F1315" s="6" t="s">
        <v>68</v>
      </c>
      <c r="G1315" s="6">
        <v>4.0</v>
      </c>
      <c r="H1315" s="11" t="str">
        <f t="shared" si="4"/>
        <v>D4</v>
      </c>
      <c r="I1315" s="10" t="str">
        <f t="shared" si="5"/>
        <v>BRN76M-D4</v>
      </c>
      <c r="J1315" s="16"/>
      <c r="K1315" s="16" t="str">
        <f t="shared" si="6"/>
        <v>collected</v>
      </c>
      <c r="L1315" s="16" t="str">
        <f t="shared" si="7"/>
        <v>N</v>
      </c>
      <c r="M1315" s="16"/>
      <c r="N1315" s="16"/>
    </row>
    <row r="1316">
      <c r="A1316" s="27" t="s">
        <v>1844</v>
      </c>
      <c r="B1316" s="10" t="str">
        <f t="shared" si="1"/>
        <v>RNA-muscle</v>
      </c>
      <c r="C1316" s="10" t="str">
        <f t="shared" si="2"/>
        <v>BRN76M-C4</v>
      </c>
      <c r="D1316" s="6">
        <v>76.0</v>
      </c>
      <c r="E1316" s="10" t="str">
        <f t="shared" si="3"/>
        <v>BRN76M</v>
      </c>
      <c r="F1316" s="6" t="s">
        <v>72</v>
      </c>
      <c r="G1316" s="6">
        <v>4.0</v>
      </c>
      <c r="H1316" s="11" t="str">
        <f t="shared" si="4"/>
        <v>C4</v>
      </c>
      <c r="I1316" s="10" t="str">
        <f t="shared" si="5"/>
        <v>BRN76M-C4</v>
      </c>
      <c r="J1316" s="16"/>
      <c r="K1316" s="16" t="str">
        <f t="shared" si="6"/>
        <v>collected</v>
      </c>
      <c r="L1316" s="16" t="str">
        <f t="shared" si="7"/>
        <v>N</v>
      </c>
      <c r="M1316" s="16"/>
      <c r="N1316" s="16"/>
    </row>
    <row r="1317">
      <c r="A1317" s="27" t="s">
        <v>1845</v>
      </c>
      <c r="B1317" s="10" t="str">
        <f t="shared" si="1"/>
        <v>RNA-muscle</v>
      </c>
      <c r="C1317" s="10" t="str">
        <f t="shared" si="2"/>
        <v>BRN76M-B4</v>
      </c>
      <c r="D1317" s="6">
        <v>76.0</v>
      </c>
      <c r="E1317" s="10" t="str">
        <f t="shared" si="3"/>
        <v>BRN76M</v>
      </c>
      <c r="F1317" s="6" t="s">
        <v>74</v>
      </c>
      <c r="G1317" s="6">
        <v>4.0</v>
      </c>
      <c r="H1317" s="11" t="str">
        <f t="shared" si="4"/>
        <v>B4</v>
      </c>
      <c r="I1317" s="10" t="str">
        <f t="shared" si="5"/>
        <v>BRN76M-B4</v>
      </c>
      <c r="J1317" s="16"/>
      <c r="K1317" s="16" t="str">
        <f t="shared" si="6"/>
        <v>collected</v>
      </c>
      <c r="L1317" s="16" t="str">
        <f t="shared" si="7"/>
        <v>N</v>
      </c>
      <c r="M1317" s="16"/>
      <c r="N1317" s="16"/>
    </row>
    <row r="1318">
      <c r="A1318" s="27" t="s">
        <v>1846</v>
      </c>
      <c r="B1318" s="10" t="str">
        <f t="shared" si="1"/>
        <v>RNA-muscle</v>
      </c>
      <c r="C1318" s="10" t="str">
        <f t="shared" si="2"/>
        <v>BRN76M-A4</v>
      </c>
      <c r="D1318" s="6">
        <v>76.0</v>
      </c>
      <c r="E1318" s="10" t="str">
        <f t="shared" si="3"/>
        <v>BRN76M</v>
      </c>
      <c r="F1318" s="6" t="s">
        <v>76</v>
      </c>
      <c r="G1318" s="6">
        <v>4.0</v>
      </c>
      <c r="H1318" s="11" t="str">
        <f t="shared" si="4"/>
        <v>A4</v>
      </c>
      <c r="I1318" s="10" t="str">
        <f t="shared" si="5"/>
        <v>BRN76M-A4</v>
      </c>
      <c r="J1318" s="16"/>
      <c r="K1318" s="16" t="str">
        <f t="shared" si="6"/>
        <v>collected</v>
      </c>
      <c r="L1318" s="16" t="str">
        <f t="shared" si="7"/>
        <v>N</v>
      </c>
      <c r="M1318" s="16"/>
      <c r="N1318" s="16"/>
    </row>
    <row r="1319">
      <c r="A1319" s="27" t="s">
        <v>1847</v>
      </c>
      <c r="B1319" s="10" t="str">
        <f t="shared" si="1"/>
        <v>RNA-muscle</v>
      </c>
      <c r="C1319" s="10" t="str">
        <f t="shared" si="2"/>
        <v>BRN76M-H5</v>
      </c>
      <c r="D1319" s="6">
        <v>76.0</v>
      </c>
      <c r="E1319" s="10" t="str">
        <f t="shared" si="3"/>
        <v>BRN76M</v>
      </c>
      <c r="F1319" s="6" t="s">
        <v>51</v>
      </c>
      <c r="G1319" s="6">
        <v>5.0</v>
      </c>
      <c r="H1319" s="11" t="str">
        <f t="shared" si="4"/>
        <v>H5</v>
      </c>
      <c r="I1319" s="10" t="str">
        <f t="shared" si="5"/>
        <v>BRN76M-H5</v>
      </c>
      <c r="J1319" s="16"/>
      <c r="K1319" s="16" t="str">
        <f t="shared" si="6"/>
        <v>collected</v>
      </c>
      <c r="L1319" s="16" t="str">
        <f t="shared" si="7"/>
        <v>N</v>
      </c>
      <c r="M1319" s="16"/>
      <c r="N1319" s="16"/>
    </row>
    <row r="1320">
      <c r="A1320" s="27" t="s">
        <v>1848</v>
      </c>
      <c r="B1320" s="10" t="str">
        <f t="shared" si="1"/>
        <v>RNA-muscle</v>
      </c>
      <c r="C1320" s="10" t="str">
        <f t="shared" si="2"/>
        <v>BRN76M-D1</v>
      </c>
      <c r="D1320" s="6">
        <v>76.0</v>
      </c>
      <c r="E1320" s="10" t="str">
        <f t="shared" si="3"/>
        <v>BRN76M</v>
      </c>
      <c r="F1320" s="6" t="s">
        <v>68</v>
      </c>
      <c r="G1320" s="6">
        <v>1.0</v>
      </c>
      <c r="H1320" s="11" t="str">
        <f t="shared" si="4"/>
        <v>D1</v>
      </c>
      <c r="I1320" s="10" t="str">
        <f t="shared" si="5"/>
        <v>BRN76M-D1</v>
      </c>
      <c r="J1320" s="16"/>
      <c r="K1320" s="16" t="str">
        <f t="shared" si="6"/>
        <v>collected</v>
      </c>
      <c r="L1320" s="16" t="str">
        <f t="shared" si="7"/>
        <v>N</v>
      </c>
      <c r="M1320" s="16"/>
      <c r="N1320" s="16"/>
    </row>
    <row r="1321">
      <c r="A1321" s="27" t="s">
        <v>1849</v>
      </c>
      <c r="B1321" s="10" t="str">
        <f t="shared" si="1"/>
        <v>RNA-muscle</v>
      </c>
      <c r="C1321" s="10" t="str">
        <f t="shared" si="2"/>
        <v>BRN76M-C1</v>
      </c>
      <c r="D1321" s="6">
        <v>76.0</v>
      </c>
      <c r="E1321" s="10" t="str">
        <f t="shared" si="3"/>
        <v>BRN76M</v>
      </c>
      <c r="F1321" s="6" t="s">
        <v>72</v>
      </c>
      <c r="G1321" s="6">
        <v>1.0</v>
      </c>
      <c r="H1321" s="11" t="str">
        <f t="shared" si="4"/>
        <v>C1</v>
      </c>
      <c r="I1321" s="10" t="str">
        <f t="shared" si="5"/>
        <v>BRN76M-C1</v>
      </c>
      <c r="J1321" s="16"/>
      <c r="K1321" s="16" t="str">
        <f t="shared" si="6"/>
        <v>collected</v>
      </c>
      <c r="L1321" s="16" t="str">
        <f t="shared" si="7"/>
        <v>N</v>
      </c>
      <c r="M1321" s="16"/>
      <c r="N1321" s="16"/>
    </row>
    <row r="1322">
      <c r="A1322" s="27" t="s">
        <v>1850</v>
      </c>
      <c r="B1322" s="10" t="str">
        <f t="shared" si="1"/>
        <v>RNA-muscle</v>
      </c>
      <c r="C1322" s="10" t="str">
        <f t="shared" si="2"/>
        <v>BRN76M-B1</v>
      </c>
      <c r="D1322" s="6">
        <v>76.0</v>
      </c>
      <c r="E1322" s="10" t="str">
        <f t="shared" si="3"/>
        <v>BRN76M</v>
      </c>
      <c r="F1322" s="6" t="s">
        <v>74</v>
      </c>
      <c r="G1322" s="6">
        <v>1.0</v>
      </c>
      <c r="H1322" s="11" t="str">
        <f t="shared" si="4"/>
        <v>B1</v>
      </c>
      <c r="I1322" s="10" t="str">
        <f t="shared" si="5"/>
        <v>BRN76M-B1</v>
      </c>
      <c r="J1322" s="6" t="s">
        <v>1809</v>
      </c>
      <c r="K1322" s="16" t="str">
        <f t="shared" si="6"/>
        <v>collected</v>
      </c>
      <c r="L1322" s="16" t="str">
        <f t="shared" si="7"/>
        <v>N</v>
      </c>
      <c r="M1322" s="16"/>
      <c r="N1322" s="16"/>
    </row>
    <row r="1323">
      <c r="A1323" s="27" t="s">
        <v>1852</v>
      </c>
      <c r="B1323" s="10" t="str">
        <f t="shared" si="1"/>
        <v>RNA-muscle</v>
      </c>
      <c r="C1323" s="10" t="str">
        <f t="shared" si="2"/>
        <v>BRN76M-A1</v>
      </c>
      <c r="D1323" s="6">
        <v>76.0</v>
      </c>
      <c r="E1323" s="10" t="str">
        <f t="shared" si="3"/>
        <v>BRN76M</v>
      </c>
      <c r="F1323" s="6" t="s">
        <v>76</v>
      </c>
      <c r="G1323" s="6">
        <v>1.0</v>
      </c>
      <c r="H1323" s="11" t="str">
        <f t="shared" si="4"/>
        <v>A1</v>
      </c>
      <c r="I1323" s="10" t="str">
        <f t="shared" si="5"/>
        <v>BRN76M-A1</v>
      </c>
      <c r="J1323" s="16"/>
      <c r="K1323" s="16" t="str">
        <f t="shared" si="6"/>
        <v>collected</v>
      </c>
      <c r="L1323" s="16" t="str">
        <f t="shared" si="7"/>
        <v>N</v>
      </c>
      <c r="M1323" s="16"/>
      <c r="N1323" s="16"/>
    </row>
    <row r="1324">
      <c r="A1324" s="27" t="s">
        <v>1853</v>
      </c>
      <c r="B1324" s="10" t="str">
        <f t="shared" si="1"/>
        <v>RNA-muscle</v>
      </c>
      <c r="C1324" s="10" t="str">
        <f t="shared" si="2"/>
        <v>BRN76M-H2</v>
      </c>
      <c r="D1324" s="6">
        <v>76.0</v>
      </c>
      <c r="E1324" s="10" t="str">
        <f t="shared" si="3"/>
        <v>BRN76M</v>
      </c>
      <c r="F1324" s="6" t="s">
        <v>51</v>
      </c>
      <c r="G1324" s="6">
        <v>2.0</v>
      </c>
      <c r="H1324" s="11" t="str">
        <f t="shared" si="4"/>
        <v>H2</v>
      </c>
      <c r="I1324" s="10" t="str">
        <f t="shared" si="5"/>
        <v>BRN76M-H2</v>
      </c>
      <c r="J1324" s="16"/>
      <c r="K1324" s="16" t="str">
        <f t="shared" si="6"/>
        <v>collected</v>
      </c>
      <c r="L1324" s="16" t="str">
        <f t="shared" si="7"/>
        <v>N</v>
      </c>
      <c r="M1324" s="16"/>
      <c r="N1324" s="16"/>
    </row>
    <row r="1325">
      <c r="A1325" s="27" t="s">
        <v>1854</v>
      </c>
      <c r="B1325" s="10" t="str">
        <f t="shared" si="1"/>
        <v>RNA-muscle</v>
      </c>
      <c r="C1325" s="10" t="str">
        <f t="shared" si="2"/>
        <v>BRN76M-G2</v>
      </c>
      <c r="D1325" s="6">
        <v>76.0</v>
      </c>
      <c r="E1325" s="10" t="str">
        <f t="shared" si="3"/>
        <v>BRN76M</v>
      </c>
      <c r="F1325" s="6" t="s">
        <v>56</v>
      </c>
      <c r="G1325" s="6">
        <v>2.0</v>
      </c>
      <c r="H1325" s="11" t="str">
        <f t="shared" si="4"/>
        <v>G2</v>
      </c>
      <c r="I1325" s="10" t="str">
        <f t="shared" si="5"/>
        <v>BRN76M-G2</v>
      </c>
      <c r="J1325" s="16"/>
      <c r="K1325" s="16" t="str">
        <f t="shared" si="6"/>
        <v>collected</v>
      </c>
      <c r="L1325" s="16" t="str">
        <f t="shared" si="7"/>
        <v>N</v>
      </c>
      <c r="M1325" s="16"/>
      <c r="N1325" s="16"/>
    </row>
    <row r="1326">
      <c r="A1326" s="27" t="s">
        <v>1855</v>
      </c>
      <c r="B1326" s="10" t="str">
        <f t="shared" si="1"/>
        <v>RNA-muscle</v>
      </c>
      <c r="C1326" s="10" t="str">
        <f t="shared" si="2"/>
        <v>BRN76M-F2</v>
      </c>
      <c r="D1326" s="6">
        <v>76.0</v>
      </c>
      <c r="E1326" s="10" t="str">
        <f t="shared" si="3"/>
        <v>BRN76M</v>
      </c>
      <c r="F1326" s="6" t="s">
        <v>61</v>
      </c>
      <c r="G1326" s="6">
        <v>2.0</v>
      </c>
      <c r="H1326" s="11" t="str">
        <f t="shared" si="4"/>
        <v>F2</v>
      </c>
      <c r="I1326" s="10" t="str">
        <f t="shared" si="5"/>
        <v>BRN76M-F2</v>
      </c>
      <c r="J1326" s="16"/>
      <c r="K1326" s="16" t="str">
        <f t="shared" si="6"/>
        <v>collected</v>
      </c>
      <c r="L1326" s="16" t="str">
        <f t="shared" si="7"/>
        <v>N</v>
      </c>
      <c r="M1326" s="16"/>
      <c r="N1326" s="16"/>
    </row>
    <row r="1327">
      <c r="A1327" s="27" t="s">
        <v>1857</v>
      </c>
      <c r="B1327" s="10" t="str">
        <f t="shared" si="1"/>
        <v>RNA-muscle</v>
      </c>
      <c r="C1327" s="10" t="str">
        <f t="shared" si="2"/>
        <v>BRN76M-E2</v>
      </c>
      <c r="D1327" s="6">
        <v>76.0</v>
      </c>
      <c r="E1327" s="10" t="str">
        <f t="shared" si="3"/>
        <v>BRN76M</v>
      </c>
      <c r="F1327" s="6" t="s">
        <v>66</v>
      </c>
      <c r="G1327" s="6">
        <v>2.0</v>
      </c>
      <c r="H1327" s="11" t="str">
        <f t="shared" si="4"/>
        <v>E2</v>
      </c>
      <c r="I1327" s="10" t="str">
        <f t="shared" si="5"/>
        <v>BRN76M-E2</v>
      </c>
      <c r="J1327" s="16"/>
      <c r="K1327" s="16" t="str">
        <f t="shared" si="6"/>
        <v>collected</v>
      </c>
      <c r="L1327" s="16" t="str">
        <f t="shared" si="7"/>
        <v>N</v>
      </c>
      <c r="M1327" s="16"/>
      <c r="N1327" s="16"/>
    </row>
    <row r="1328">
      <c r="A1328" s="27" t="s">
        <v>1858</v>
      </c>
      <c r="B1328" s="10" t="str">
        <f t="shared" si="1"/>
        <v>RNA-muscle</v>
      </c>
      <c r="C1328" s="10" t="str">
        <f t="shared" si="2"/>
        <v>BRN76M-D2</v>
      </c>
      <c r="D1328" s="6">
        <v>76.0</v>
      </c>
      <c r="E1328" s="10" t="str">
        <f t="shared" si="3"/>
        <v>BRN76M</v>
      </c>
      <c r="F1328" s="6" t="s">
        <v>68</v>
      </c>
      <c r="G1328" s="6">
        <v>2.0</v>
      </c>
      <c r="H1328" s="11" t="str">
        <f t="shared" si="4"/>
        <v>D2</v>
      </c>
      <c r="I1328" s="10" t="str">
        <f t="shared" si="5"/>
        <v>BRN76M-D2</v>
      </c>
      <c r="J1328" s="16"/>
      <c r="K1328" s="16" t="str">
        <f t="shared" si="6"/>
        <v>collected</v>
      </c>
      <c r="L1328" s="16" t="str">
        <f t="shared" si="7"/>
        <v>N</v>
      </c>
      <c r="M1328" s="16"/>
      <c r="N1328" s="16"/>
    </row>
    <row r="1329">
      <c r="A1329" s="27" t="s">
        <v>1859</v>
      </c>
      <c r="B1329" s="10" t="str">
        <f t="shared" si="1"/>
        <v>RNA-muscle</v>
      </c>
      <c r="C1329" s="10" t="str">
        <f t="shared" si="2"/>
        <v>BRN76M-C2</v>
      </c>
      <c r="D1329" s="6">
        <v>76.0</v>
      </c>
      <c r="E1329" s="10" t="str">
        <f t="shared" si="3"/>
        <v>BRN76M</v>
      </c>
      <c r="F1329" s="6" t="s">
        <v>72</v>
      </c>
      <c r="G1329" s="6">
        <v>2.0</v>
      </c>
      <c r="H1329" s="11" t="str">
        <f t="shared" si="4"/>
        <v>C2</v>
      </c>
      <c r="I1329" s="10" t="str">
        <f t="shared" si="5"/>
        <v>BRN76M-C2</v>
      </c>
      <c r="J1329" s="16"/>
      <c r="K1329" s="16" t="str">
        <f t="shared" si="6"/>
        <v>collected</v>
      </c>
      <c r="L1329" s="16" t="str">
        <f t="shared" si="7"/>
        <v>N</v>
      </c>
      <c r="M1329" s="16"/>
      <c r="N1329" s="16"/>
    </row>
    <row r="1330">
      <c r="A1330" s="27" t="s">
        <v>1860</v>
      </c>
      <c r="B1330" s="10" t="str">
        <f t="shared" si="1"/>
        <v>RNA-muscle</v>
      </c>
      <c r="C1330" s="10" t="str">
        <f t="shared" si="2"/>
        <v>BRN76M-B2</v>
      </c>
      <c r="D1330" s="6">
        <v>76.0</v>
      </c>
      <c r="E1330" s="10" t="str">
        <f t="shared" si="3"/>
        <v>BRN76M</v>
      </c>
      <c r="F1330" s="6" t="s">
        <v>74</v>
      </c>
      <c r="G1330" s="6">
        <v>2.0</v>
      </c>
      <c r="H1330" s="11" t="str">
        <f t="shared" si="4"/>
        <v>B2</v>
      </c>
      <c r="I1330" s="10" t="str">
        <f t="shared" si="5"/>
        <v>BRN76M-B2</v>
      </c>
      <c r="J1330" s="16"/>
      <c r="K1330" s="16" t="str">
        <f t="shared" si="6"/>
        <v>collected</v>
      </c>
      <c r="L1330" s="16" t="str">
        <f t="shared" si="7"/>
        <v>N</v>
      </c>
      <c r="M1330" s="16"/>
      <c r="N1330" s="16"/>
    </row>
    <row r="1331">
      <c r="A1331" s="27" t="s">
        <v>1861</v>
      </c>
      <c r="B1331" s="10" t="str">
        <f t="shared" si="1"/>
        <v>RNA-muscle</v>
      </c>
      <c r="C1331" s="10" t="str">
        <f t="shared" si="2"/>
        <v>BRN76M-A2</v>
      </c>
      <c r="D1331" s="6">
        <v>76.0</v>
      </c>
      <c r="E1331" s="10" t="str">
        <f t="shared" si="3"/>
        <v>BRN76M</v>
      </c>
      <c r="F1331" s="6" t="s">
        <v>76</v>
      </c>
      <c r="G1331" s="6">
        <v>2.0</v>
      </c>
      <c r="H1331" s="11" t="str">
        <f t="shared" si="4"/>
        <v>A2</v>
      </c>
      <c r="I1331" s="10" t="str">
        <f t="shared" si="5"/>
        <v>BRN76M-A2</v>
      </c>
      <c r="J1331" s="16"/>
      <c r="K1331" s="16" t="str">
        <f t="shared" si="6"/>
        <v>collected</v>
      </c>
      <c r="L1331" s="16" t="str">
        <f t="shared" si="7"/>
        <v>N</v>
      </c>
      <c r="M1331" s="16"/>
      <c r="N1331" s="16"/>
    </row>
    <row r="1332">
      <c r="A1332" s="27" t="s">
        <v>1863</v>
      </c>
      <c r="B1332" s="10" t="str">
        <f t="shared" si="1"/>
        <v>RNA-muscle</v>
      </c>
      <c r="C1332" s="10" t="str">
        <f t="shared" si="2"/>
        <v>BRN76M-H3</v>
      </c>
      <c r="D1332" s="6">
        <v>76.0</v>
      </c>
      <c r="E1332" s="10" t="str">
        <f t="shared" si="3"/>
        <v>BRN76M</v>
      </c>
      <c r="F1332" s="6" t="s">
        <v>51</v>
      </c>
      <c r="G1332" s="6">
        <v>3.0</v>
      </c>
      <c r="H1332" s="11" t="str">
        <f t="shared" si="4"/>
        <v>H3</v>
      </c>
      <c r="I1332" s="10" t="str">
        <f t="shared" si="5"/>
        <v>BRN76M-H3</v>
      </c>
      <c r="J1332" s="16"/>
      <c r="K1332" s="16" t="str">
        <f t="shared" si="6"/>
        <v>collected</v>
      </c>
      <c r="L1332" s="16" t="str">
        <f t="shared" si="7"/>
        <v>N</v>
      </c>
      <c r="M1332" s="16"/>
      <c r="N1332" s="16"/>
    </row>
    <row r="1333">
      <c r="A1333" s="27" t="s">
        <v>1864</v>
      </c>
      <c r="B1333" s="10" t="str">
        <f t="shared" si="1"/>
        <v>RNA-muscle</v>
      </c>
      <c r="C1333" s="10" t="str">
        <f t="shared" si="2"/>
        <v>BRN76M-G3</v>
      </c>
      <c r="D1333" s="6">
        <v>76.0</v>
      </c>
      <c r="E1333" s="10" t="str">
        <f t="shared" si="3"/>
        <v>BRN76M</v>
      </c>
      <c r="F1333" s="6" t="s">
        <v>56</v>
      </c>
      <c r="G1333" s="6">
        <v>3.0</v>
      </c>
      <c r="H1333" s="11" t="str">
        <f t="shared" si="4"/>
        <v>G3</v>
      </c>
      <c r="I1333" s="10" t="str">
        <f t="shared" si="5"/>
        <v>BRN76M-G3</v>
      </c>
      <c r="J1333" s="16"/>
      <c r="K1333" s="16" t="str">
        <f t="shared" si="6"/>
        <v>collected</v>
      </c>
      <c r="L1333" s="16" t="str">
        <f t="shared" si="7"/>
        <v>N</v>
      </c>
      <c r="M1333" s="16"/>
      <c r="N1333" s="16"/>
    </row>
    <row r="1334">
      <c r="A1334" s="27" t="s">
        <v>1865</v>
      </c>
      <c r="B1334" s="10" t="str">
        <f t="shared" si="1"/>
        <v>RNA-muscle</v>
      </c>
      <c r="C1334" s="10" t="str">
        <f t="shared" si="2"/>
        <v>BRN76M-G5</v>
      </c>
      <c r="D1334" s="6">
        <v>76.0</v>
      </c>
      <c r="E1334" s="10" t="str">
        <f t="shared" si="3"/>
        <v>BRN76M</v>
      </c>
      <c r="F1334" s="6" t="s">
        <v>56</v>
      </c>
      <c r="G1334" s="6">
        <v>5.0</v>
      </c>
      <c r="H1334" s="11" t="str">
        <f t="shared" si="4"/>
        <v>G5</v>
      </c>
      <c r="I1334" s="10" t="str">
        <f t="shared" si="5"/>
        <v>BRN76M-G5</v>
      </c>
      <c r="J1334" s="16"/>
      <c r="K1334" s="16" t="str">
        <f t="shared" si="6"/>
        <v>collected</v>
      </c>
      <c r="L1334" s="16" t="str">
        <f t="shared" si="7"/>
        <v>N</v>
      </c>
      <c r="M1334" s="16"/>
      <c r="N1334" s="16"/>
    </row>
    <row r="1335">
      <c r="A1335" s="27" t="s">
        <v>1866</v>
      </c>
      <c r="B1335" s="10" t="str">
        <f t="shared" si="1"/>
        <v>RNA-muscle</v>
      </c>
      <c r="C1335" s="10" t="str">
        <f t="shared" si="2"/>
        <v>BRN76M-F5</v>
      </c>
      <c r="D1335" s="6">
        <v>76.0</v>
      </c>
      <c r="E1335" s="10" t="str">
        <f t="shared" si="3"/>
        <v>BRN76M</v>
      </c>
      <c r="F1335" s="6" t="s">
        <v>61</v>
      </c>
      <c r="G1335" s="6">
        <v>5.0</v>
      </c>
      <c r="H1335" s="11" t="str">
        <f t="shared" si="4"/>
        <v>F5</v>
      </c>
      <c r="I1335" s="10" t="str">
        <f t="shared" si="5"/>
        <v>BRN76M-F5</v>
      </c>
      <c r="J1335" s="16"/>
      <c r="K1335" s="16" t="str">
        <f t="shared" si="6"/>
        <v>collected</v>
      </c>
      <c r="L1335" s="16" t="str">
        <f t="shared" si="7"/>
        <v>N</v>
      </c>
      <c r="M1335" s="16"/>
      <c r="N1335" s="16"/>
    </row>
    <row r="1336">
      <c r="A1336" s="27" t="s">
        <v>1867</v>
      </c>
      <c r="B1336" s="10" t="str">
        <f t="shared" si="1"/>
        <v>RNA-muscle</v>
      </c>
      <c r="C1336" s="10" t="str">
        <f t="shared" si="2"/>
        <v>BRN76M-E5</v>
      </c>
      <c r="D1336" s="6">
        <v>76.0</v>
      </c>
      <c r="E1336" s="10" t="str">
        <f t="shared" si="3"/>
        <v>BRN76M</v>
      </c>
      <c r="F1336" s="6" t="s">
        <v>66</v>
      </c>
      <c r="G1336" s="6">
        <v>5.0</v>
      </c>
      <c r="H1336" s="11" t="str">
        <f t="shared" si="4"/>
        <v>E5</v>
      </c>
      <c r="I1336" s="10" t="str">
        <f t="shared" si="5"/>
        <v>BRN76M-E5</v>
      </c>
      <c r="J1336" s="16"/>
      <c r="K1336" s="16" t="str">
        <f t="shared" si="6"/>
        <v>collected</v>
      </c>
      <c r="L1336" s="16" t="str">
        <f t="shared" si="7"/>
        <v>N</v>
      </c>
      <c r="M1336" s="16"/>
      <c r="N1336" s="16"/>
    </row>
    <row r="1337">
      <c r="A1337" s="27" t="s">
        <v>1869</v>
      </c>
      <c r="B1337" s="10" t="str">
        <f t="shared" si="1"/>
        <v>RNA-muscle</v>
      </c>
      <c r="C1337" s="10" t="str">
        <f t="shared" si="2"/>
        <v>BRN76M-D5</v>
      </c>
      <c r="D1337" s="6">
        <v>76.0</v>
      </c>
      <c r="E1337" s="10" t="str">
        <f t="shared" si="3"/>
        <v>BRN76M</v>
      </c>
      <c r="F1337" s="6" t="s">
        <v>68</v>
      </c>
      <c r="G1337" s="6">
        <v>5.0</v>
      </c>
      <c r="H1337" s="11" t="str">
        <f t="shared" si="4"/>
        <v>D5</v>
      </c>
      <c r="I1337" s="10" t="str">
        <f t="shared" si="5"/>
        <v>BRN76M-D5</v>
      </c>
      <c r="J1337" s="16"/>
      <c r="K1337" s="16" t="str">
        <f t="shared" si="6"/>
        <v>collected</v>
      </c>
      <c r="L1337" s="16" t="str">
        <f t="shared" si="7"/>
        <v>N</v>
      </c>
      <c r="M1337" s="16"/>
      <c r="N1337" s="16"/>
    </row>
    <row r="1338">
      <c r="A1338" s="27" t="s">
        <v>1870</v>
      </c>
      <c r="B1338" s="10" t="str">
        <f t="shared" si="1"/>
        <v>RNA-muscle</v>
      </c>
      <c r="C1338" s="10" t="str">
        <f t="shared" si="2"/>
        <v>BRN76M-C5</v>
      </c>
      <c r="D1338" s="6">
        <v>76.0</v>
      </c>
      <c r="E1338" s="10" t="str">
        <f t="shared" si="3"/>
        <v>BRN76M</v>
      </c>
      <c r="F1338" s="6" t="s">
        <v>72</v>
      </c>
      <c r="G1338" s="6">
        <v>5.0</v>
      </c>
      <c r="H1338" s="11" t="str">
        <f t="shared" si="4"/>
        <v>C5</v>
      </c>
      <c r="I1338" s="10" t="str">
        <f t="shared" si="5"/>
        <v>BRN76M-C5</v>
      </c>
      <c r="J1338" s="16"/>
      <c r="K1338" s="16" t="str">
        <f t="shared" si="6"/>
        <v>collected</v>
      </c>
      <c r="L1338" s="16" t="str">
        <f t="shared" si="7"/>
        <v>N</v>
      </c>
      <c r="M1338" s="16"/>
      <c r="N1338" s="16"/>
    </row>
    <row r="1339">
      <c r="A1339" s="27" t="s">
        <v>1871</v>
      </c>
      <c r="B1339" s="10" t="str">
        <f t="shared" si="1"/>
        <v>RNA-muscle</v>
      </c>
      <c r="C1339" s="10" t="str">
        <f t="shared" si="2"/>
        <v>BRN76M-B5</v>
      </c>
      <c r="D1339" s="6">
        <v>76.0</v>
      </c>
      <c r="E1339" s="10" t="str">
        <f t="shared" si="3"/>
        <v>BRN76M</v>
      </c>
      <c r="F1339" s="6" t="s">
        <v>74</v>
      </c>
      <c r="G1339" s="6">
        <v>5.0</v>
      </c>
      <c r="H1339" s="11" t="str">
        <f t="shared" si="4"/>
        <v>B5</v>
      </c>
      <c r="I1339" s="10" t="str">
        <f t="shared" si="5"/>
        <v>BRN76M-B5</v>
      </c>
      <c r="J1339" s="16"/>
      <c r="K1339" s="16" t="str">
        <f t="shared" si="6"/>
        <v>collected</v>
      </c>
      <c r="L1339" s="16" t="str">
        <f t="shared" si="7"/>
        <v>N</v>
      </c>
      <c r="M1339" s="16"/>
      <c r="N1339" s="16"/>
    </row>
    <row r="1340">
      <c r="A1340" s="27" t="s">
        <v>1872</v>
      </c>
      <c r="B1340" s="10" t="str">
        <f t="shared" si="1"/>
        <v>RNA-muscle</v>
      </c>
      <c r="C1340" s="10" t="str">
        <f t="shared" si="2"/>
        <v>BRN76M-A5</v>
      </c>
      <c r="D1340" s="6">
        <v>76.0</v>
      </c>
      <c r="E1340" s="10" t="str">
        <f t="shared" si="3"/>
        <v>BRN76M</v>
      </c>
      <c r="F1340" s="6" t="s">
        <v>76</v>
      </c>
      <c r="G1340" s="6">
        <v>5.0</v>
      </c>
      <c r="H1340" s="11" t="str">
        <f t="shared" si="4"/>
        <v>A5</v>
      </c>
      <c r="I1340" s="10" t="str">
        <f t="shared" si="5"/>
        <v>BRN76M-A5</v>
      </c>
      <c r="J1340" s="16"/>
      <c r="K1340" s="16" t="str">
        <f t="shared" si="6"/>
        <v>collected</v>
      </c>
      <c r="L1340" s="16" t="str">
        <f t="shared" si="7"/>
        <v>N</v>
      </c>
      <c r="M1340" s="16"/>
      <c r="N1340" s="16"/>
    </row>
    <row r="1341">
      <c r="A1341" s="27" t="s">
        <v>1874</v>
      </c>
      <c r="B1341" s="10" t="str">
        <f t="shared" si="1"/>
        <v>RNA-muscle</v>
      </c>
      <c r="C1341" s="10" t="str">
        <f t="shared" si="2"/>
        <v>BRN76M-G6</v>
      </c>
      <c r="D1341" s="6">
        <v>76.0</v>
      </c>
      <c r="E1341" s="10" t="str">
        <f t="shared" si="3"/>
        <v>BRN76M</v>
      </c>
      <c r="F1341" s="6" t="s">
        <v>56</v>
      </c>
      <c r="G1341" s="6">
        <v>6.0</v>
      </c>
      <c r="H1341" s="11" t="str">
        <f t="shared" si="4"/>
        <v>G6</v>
      </c>
      <c r="I1341" s="10" t="str">
        <f t="shared" si="5"/>
        <v>BRN76M-G6</v>
      </c>
      <c r="J1341" s="16"/>
      <c r="K1341" s="16" t="str">
        <f t="shared" si="6"/>
        <v>collected</v>
      </c>
      <c r="L1341" s="16" t="str">
        <f t="shared" si="7"/>
        <v>N</v>
      </c>
      <c r="M1341" s="16"/>
      <c r="N1341" s="16"/>
    </row>
    <row r="1342">
      <c r="A1342" s="27" t="s">
        <v>1875</v>
      </c>
      <c r="B1342" s="10" t="str">
        <f t="shared" si="1"/>
        <v>RNA-muscle</v>
      </c>
      <c r="C1342" s="10" t="str">
        <f t="shared" si="2"/>
        <v>BRN76M-F6</v>
      </c>
      <c r="D1342" s="6">
        <v>76.0</v>
      </c>
      <c r="E1342" s="10" t="str">
        <f t="shared" si="3"/>
        <v>BRN76M</v>
      </c>
      <c r="F1342" s="6" t="s">
        <v>61</v>
      </c>
      <c r="G1342" s="6">
        <v>6.0</v>
      </c>
      <c r="H1342" s="11" t="str">
        <f t="shared" si="4"/>
        <v>F6</v>
      </c>
      <c r="I1342" s="10" t="str">
        <f t="shared" si="5"/>
        <v>BRN76M-F6</v>
      </c>
      <c r="J1342" s="16"/>
      <c r="K1342" s="16" t="str">
        <f t="shared" si="6"/>
        <v>collected</v>
      </c>
      <c r="L1342" s="16" t="str">
        <f t="shared" si="7"/>
        <v>N</v>
      </c>
      <c r="M1342" s="16"/>
      <c r="N1342" s="16"/>
    </row>
    <row r="1343">
      <c r="A1343" s="27" t="s">
        <v>1876</v>
      </c>
      <c r="B1343" s="10" t="str">
        <f t="shared" si="1"/>
        <v>RNA-muscle</v>
      </c>
      <c r="C1343" s="10" t="str">
        <f t="shared" si="2"/>
        <v>BRN76M-E6</v>
      </c>
      <c r="D1343" s="6">
        <v>76.0</v>
      </c>
      <c r="E1343" s="10" t="str">
        <f t="shared" si="3"/>
        <v>BRN76M</v>
      </c>
      <c r="F1343" s="6" t="s">
        <v>66</v>
      </c>
      <c r="G1343" s="6">
        <v>6.0</v>
      </c>
      <c r="H1343" s="11" t="str">
        <f t="shared" si="4"/>
        <v>E6</v>
      </c>
      <c r="I1343" s="10" t="str">
        <f t="shared" si="5"/>
        <v>BRN76M-E6</v>
      </c>
      <c r="J1343" s="16"/>
      <c r="K1343" s="16" t="str">
        <f t="shared" si="6"/>
        <v>collected</v>
      </c>
      <c r="L1343" s="16" t="str">
        <f t="shared" si="7"/>
        <v>N</v>
      </c>
      <c r="M1343" s="16"/>
      <c r="N1343" s="16"/>
    </row>
    <row r="1344">
      <c r="A1344" s="27" t="s">
        <v>1877</v>
      </c>
      <c r="B1344" s="10" t="str">
        <f t="shared" si="1"/>
        <v>RNA-muscle</v>
      </c>
      <c r="C1344" s="10" t="str">
        <f t="shared" si="2"/>
        <v>BRN76M-D6</v>
      </c>
      <c r="D1344" s="6">
        <v>76.0</v>
      </c>
      <c r="E1344" s="10" t="str">
        <f t="shared" si="3"/>
        <v>BRN76M</v>
      </c>
      <c r="F1344" s="6" t="s">
        <v>68</v>
      </c>
      <c r="G1344" s="6">
        <v>6.0</v>
      </c>
      <c r="H1344" s="11" t="str">
        <f t="shared" si="4"/>
        <v>D6</v>
      </c>
      <c r="I1344" s="10" t="str">
        <f t="shared" si="5"/>
        <v>BRN76M-D6</v>
      </c>
      <c r="J1344" s="16"/>
      <c r="K1344" s="16" t="str">
        <f t="shared" si="6"/>
        <v>collected</v>
      </c>
      <c r="L1344" s="16" t="str">
        <f t="shared" si="7"/>
        <v>N</v>
      </c>
      <c r="M1344" s="16"/>
      <c r="N1344" s="16"/>
    </row>
    <row r="1345">
      <c r="A1345" s="27" t="s">
        <v>1878</v>
      </c>
      <c r="B1345" s="10" t="str">
        <f t="shared" si="1"/>
        <v>RNA-muscle</v>
      </c>
      <c r="C1345" s="10" t="str">
        <f t="shared" si="2"/>
        <v>BRN76M-B6</v>
      </c>
      <c r="D1345" s="6">
        <v>76.0</v>
      </c>
      <c r="E1345" s="10" t="str">
        <f t="shared" si="3"/>
        <v>BRN76M</v>
      </c>
      <c r="F1345" s="6" t="s">
        <v>74</v>
      </c>
      <c r="G1345" s="6">
        <v>6.0</v>
      </c>
      <c r="H1345" s="11" t="str">
        <f t="shared" si="4"/>
        <v>B6</v>
      </c>
      <c r="I1345" s="10" t="str">
        <f t="shared" si="5"/>
        <v>BRN76M-B6</v>
      </c>
      <c r="J1345" s="16"/>
      <c r="K1345" s="16" t="str">
        <f t="shared" si="6"/>
        <v>collected</v>
      </c>
      <c r="L1345" s="16" t="str">
        <f t="shared" si="7"/>
        <v>N</v>
      </c>
      <c r="M1345" s="16"/>
      <c r="N1345" s="16"/>
    </row>
    <row r="1346">
      <c r="A1346" s="27" t="s">
        <v>1880</v>
      </c>
      <c r="B1346" s="10" t="str">
        <f t="shared" si="1"/>
        <v>RNA-muscle</v>
      </c>
      <c r="C1346" s="10" t="str">
        <f t="shared" si="2"/>
        <v>BRN76M-C6</v>
      </c>
      <c r="D1346" s="6">
        <v>76.0</v>
      </c>
      <c r="E1346" s="10" t="str">
        <f t="shared" si="3"/>
        <v>BRN76M</v>
      </c>
      <c r="F1346" s="6" t="s">
        <v>72</v>
      </c>
      <c r="G1346" s="6">
        <v>6.0</v>
      </c>
      <c r="H1346" s="11" t="str">
        <f t="shared" si="4"/>
        <v>C6</v>
      </c>
      <c r="I1346" s="10" t="str">
        <f t="shared" si="5"/>
        <v>BRN76M-C6</v>
      </c>
      <c r="J1346" s="16"/>
      <c r="K1346" s="16" t="str">
        <f t="shared" si="6"/>
        <v>collected</v>
      </c>
      <c r="L1346" s="16" t="str">
        <f t="shared" si="7"/>
        <v>N</v>
      </c>
      <c r="M1346" s="16"/>
      <c r="N1346" s="16"/>
    </row>
    <row r="1347">
      <c r="A1347" s="27" t="s">
        <v>1881</v>
      </c>
      <c r="B1347" s="10" t="str">
        <f t="shared" si="1"/>
        <v>RNA-muscle</v>
      </c>
      <c r="C1347" s="10" t="str">
        <f t="shared" si="2"/>
        <v>BRN76M-A6</v>
      </c>
      <c r="D1347" s="6">
        <v>76.0</v>
      </c>
      <c r="E1347" s="10" t="str">
        <f t="shared" si="3"/>
        <v>BRN76M</v>
      </c>
      <c r="F1347" s="6" t="s">
        <v>76</v>
      </c>
      <c r="G1347" s="6">
        <v>6.0</v>
      </c>
      <c r="H1347" s="11" t="str">
        <f t="shared" si="4"/>
        <v>A6</v>
      </c>
      <c r="I1347" s="10" t="str">
        <f t="shared" si="5"/>
        <v>BRN76M-A6</v>
      </c>
      <c r="J1347" s="16"/>
      <c r="K1347" s="16" t="str">
        <f t="shared" si="6"/>
        <v>collected</v>
      </c>
      <c r="L1347" s="16" t="str">
        <f t="shared" si="7"/>
        <v>N</v>
      </c>
      <c r="M1347" s="16"/>
      <c r="N1347" s="16"/>
    </row>
    <row r="1348">
      <c r="A1348" s="27" t="s">
        <v>1882</v>
      </c>
      <c r="B1348" s="10" t="str">
        <f t="shared" si="1"/>
        <v>RNA-muscle</v>
      </c>
      <c r="C1348" s="10" t="str">
        <f t="shared" si="2"/>
        <v>BRN76M-H7</v>
      </c>
      <c r="D1348" s="6">
        <v>76.0</v>
      </c>
      <c r="E1348" s="10" t="str">
        <f t="shared" si="3"/>
        <v>BRN76M</v>
      </c>
      <c r="F1348" s="6" t="s">
        <v>51</v>
      </c>
      <c r="G1348" s="6">
        <v>7.0</v>
      </c>
      <c r="H1348" s="11" t="str">
        <f t="shared" si="4"/>
        <v>H7</v>
      </c>
      <c r="I1348" s="10" t="str">
        <f t="shared" si="5"/>
        <v>BRN76M-H7</v>
      </c>
      <c r="J1348" s="16"/>
      <c r="K1348" s="16" t="str">
        <f t="shared" si="6"/>
        <v>collected</v>
      </c>
      <c r="L1348" s="16" t="str">
        <f t="shared" si="7"/>
        <v>N</v>
      </c>
      <c r="M1348" s="16"/>
      <c r="N1348" s="16"/>
    </row>
    <row r="1349">
      <c r="A1349" s="27" t="s">
        <v>1883</v>
      </c>
      <c r="B1349" s="10" t="str">
        <f t="shared" si="1"/>
        <v>RNA-muscle</v>
      </c>
      <c r="C1349" s="10" t="str">
        <f t="shared" si="2"/>
        <v>BRN76M-G7</v>
      </c>
      <c r="D1349" s="6">
        <v>76.0</v>
      </c>
      <c r="E1349" s="10" t="str">
        <f t="shared" si="3"/>
        <v>BRN76M</v>
      </c>
      <c r="F1349" s="6" t="s">
        <v>56</v>
      </c>
      <c r="G1349" s="6">
        <v>7.0</v>
      </c>
      <c r="H1349" s="11" t="str">
        <f t="shared" si="4"/>
        <v>G7</v>
      </c>
      <c r="I1349" s="10" t="str">
        <f t="shared" si="5"/>
        <v>BRN76M-G7</v>
      </c>
      <c r="J1349" s="16"/>
      <c r="K1349" s="16" t="str">
        <f t="shared" si="6"/>
        <v>collected</v>
      </c>
      <c r="L1349" s="16" t="str">
        <f t="shared" si="7"/>
        <v>N</v>
      </c>
      <c r="M1349" s="16"/>
      <c r="N1349" s="16"/>
    </row>
    <row r="1350">
      <c r="A1350" s="27" t="s">
        <v>1885</v>
      </c>
      <c r="B1350" s="10" t="str">
        <f t="shared" si="1"/>
        <v>RNA-muscle</v>
      </c>
      <c r="C1350" s="10" t="str">
        <f t="shared" si="2"/>
        <v>BRN76M-F7</v>
      </c>
      <c r="D1350" s="6">
        <v>76.0</v>
      </c>
      <c r="E1350" s="10" t="str">
        <f t="shared" si="3"/>
        <v>BRN76M</v>
      </c>
      <c r="F1350" s="6" t="s">
        <v>61</v>
      </c>
      <c r="G1350" s="6">
        <v>7.0</v>
      </c>
      <c r="H1350" s="11" t="str">
        <f t="shared" si="4"/>
        <v>F7</v>
      </c>
      <c r="I1350" s="10" t="str">
        <f t="shared" si="5"/>
        <v>BRN76M-F7</v>
      </c>
      <c r="J1350" s="16"/>
      <c r="K1350" s="16" t="str">
        <f t="shared" si="6"/>
        <v>collected</v>
      </c>
      <c r="L1350" s="16" t="str">
        <f t="shared" si="7"/>
        <v>N</v>
      </c>
      <c r="M1350" s="16"/>
      <c r="N1350" s="16"/>
    </row>
    <row r="1351">
      <c r="A1351" s="27" t="s">
        <v>1886</v>
      </c>
      <c r="B1351" s="10" t="str">
        <f t="shared" si="1"/>
        <v>RNA-muscle</v>
      </c>
      <c r="C1351" s="10" t="str">
        <f t="shared" si="2"/>
        <v>BRN76M-E7</v>
      </c>
      <c r="D1351" s="6">
        <v>76.0</v>
      </c>
      <c r="E1351" s="10" t="str">
        <f t="shared" si="3"/>
        <v>BRN76M</v>
      </c>
      <c r="F1351" s="6" t="s">
        <v>66</v>
      </c>
      <c r="G1351" s="6">
        <v>7.0</v>
      </c>
      <c r="H1351" s="11" t="str">
        <f t="shared" si="4"/>
        <v>E7</v>
      </c>
      <c r="I1351" s="10" t="str">
        <f t="shared" si="5"/>
        <v>BRN76M-E7</v>
      </c>
      <c r="J1351" s="16"/>
      <c r="K1351" s="16" t="str">
        <f t="shared" si="6"/>
        <v>collected</v>
      </c>
      <c r="L1351" s="16" t="str">
        <f t="shared" si="7"/>
        <v>N</v>
      </c>
      <c r="M1351" s="16"/>
      <c r="N1351" s="16"/>
    </row>
    <row r="1352">
      <c r="A1352" s="27" t="s">
        <v>1887</v>
      </c>
      <c r="B1352" s="10" t="str">
        <f t="shared" si="1"/>
        <v>RNA-muscle</v>
      </c>
      <c r="C1352" s="10" t="str">
        <f t="shared" si="2"/>
        <v>BRN76M-D7</v>
      </c>
      <c r="D1352" s="6">
        <v>76.0</v>
      </c>
      <c r="E1352" s="10" t="str">
        <f t="shared" si="3"/>
        <v>BRN76M</v>
      </c>
      <c r="F1352" s="6" t="s">
        <v>68</v>
      </c>
      <c r="G1352" s="6">
        <v>7.0</v>
      </c>
      <c r="H1352" s="11" t="str">
        <f t="shared" si="4"/>
        <v>D7</v>
      </c>
      <c r="I1352" s="10" t="str">
        <f t="shared" si="5"/>
        <v>BRN76M-D7</v>
      </c>
      <c r="J1352" s="6" t="s">
        <v>366</v>
      </c>
      <c r="K1352" s="16" t="str">
        <f t="shared" si="6"/>
        <v>collected</v>
      </c>
      <c r="L1352" s="16" t="str">
        <f t="shared" si="7"/>
        <v>N</v>
      </c>
      <c r="M1352" s="16"/>
      <c r="N1352" s="16"/>
    </row>
    <row r="1353">
      <c r="A1353" s="27" t="s">
        <v>1888</v>
      </c>
      <c r="B1353" s="10" t="str">
        <f t="shared" si="1"/>
        <v>RNA-muscle</v>
      </c>
      <c r="C1353" s="10" t="str">
        <f t="shared" si="2"/>
        <v>BRN76M-C7</v>
      </c>
      <c r="D1353" s="6">
        <v>76.0</v>
      </c>
      <c r="E1353" s="10" t="str">
        <f t="shared" si="3"/>
        <v>BRN76M</v>
      </c>
      <c r="F1353" s="6" t="s">
        <v>72</v>
      </c>
      <c r="G1353" s="6">
        <v>7.0</v>
      </c>
      <c r="H1353" s="11" t="str">
        <f t="shared" si="4"/>
        <v>C7</v>
      </c>
      <c r="I1353" s="10" t="str">
        <f t="shared" si="5"/>
        <v>BRN76M-C7</v>
      </c>
      <c r="J1353" s="16"/>
      <c r="K1353" s="16" t="str">
        <f t="shared" si="6"/>
        <v>collected</v>
      </c>
      <c r="L1353" s="16" t="str">
        <f t="shared" si="7"/>
        <v>N</v>
      </c>
      <c r="M1353" s="16"/>
      <c r="N1353" s="16"/>
    </row>
    <row r="1354">
      <c r="A1354" s="27" t="s">
        <v>1889</v>
      </c>
      <c r="B1354" s="10" t="str">
        <f t="shared" si="1"/>
        <v>RNA-muscle</v>
      </c>
      <c r="C1354" s="10" t="str">
        <f t="shared" si="2"/>
        <v>BRN76M-F3</v>
      </c>
      <c r="D1354" s="6">
        <v>76.0</v>
      </c>
      <c r="E1354" s="10" t="str">
        <f t="shared" si="3"/>
        <v>BRN76M</v>
      </c>
      <c r="F1354" s="6" t="s">
        <v>61</v>
      </c>
      <c r="G1354" s="6">
        <v>3.0</v>
      </c>
      <c r="H1354" s="11" t="str">
        <f t="shared" si="4"/>
        <v>F3</v>
      </c>
      <c r="I1354" s="10" t="str">
        <f t="shared" si="5"/>
        <v>BRN76M-F3</v>
      </c>
      <c r="K1354" s="16" t="str">
        <f t="shared" si="6"/>
        <v>collected</v>
      </c>
      <c r="L1354" s="16" t="str">
        <f t="shared" si="7"/>
        <v>N</v>
      </c>
      <c r="M1354" s="16"/>
      <c r="N1354" s="16"/>
    </row>
    <row r="1355">
      <c r="A1355" s="27" t="s">
        <v>1891</v>
      </c>
      <c r="B1355" s="10" t="str">
        <f t="shared" si="1"/>
        <v>RNA-muscle</v>
      </c>
      <c r="C1355" s="10" t="str">
        <f t="shared" si="2"/>
        <v>BRN76M-E3</v>
      </c>
      <c r="D1355" s="6">
        <v>76.0</v>
      </c>
      <c r="E1355" s="10" t="str">
        <f t="shared" si="3"/>
        <v>BRN76M</v>
      </c>
      <c r="F1355" s="6" t="s">
        <v>66</v>
      </c>
      <c r="G1355" s="6">
        <v>3.0</v>
      </c>
      <c r="H1355" s="11" t="str">
        <f t="shared" si="4"/>
        <v>E3</v>
      </c>
      <c r="I1355" s="10" t="str">
        <f t="shared" si="5"/>
        <v>BRN76M-E3</v>
      </c>
      <c r="J1355" s="6" t="s">
        <v>437</v>
      </c>
      <c r="K1355" s="16" t="str">
        <f t="shared" si="6"/>
        <v>collected</v>
      </c>
      <c r="L1355" s="16" t="str">
        <f t="shared" si="7"/>
        <v>N</v>
      </c>
      <c r="M1355" s="16"/>
      <c r="N1355" s="16"/>
    </row>
    <row r="1356">
      <c r="A1356" s="27" t="s">
        <v>1892</v>
      </c>
      <c r="B1356" s="10" t="str">
        <f t="shared" si="1"/>
        <v>RNA-muscle</v>
      </c>
      <c r="C1356" s="10" t="str">
        <f t="shared" si="2"/>
        <v>BRN76M-D3</v>
      </c>
      <c r="D1356" s="6">
        <v>76.0</v>
      </c>
      <c r="E1356" s="10" t="str">
        <f t="shared" si="3"/>
        <v>BRN76M</v>
      </c>
      <c r="F1356" s="6" t="s">
        <v>68</v>
      </c>
      <c r="G1356" s="6">
        <v>3.0</v>
      </c>
      <c r="H1356" s="11" t="str">
        <f t="shared" si="4"/>
        <v>D3</v>
      </c>
      <c r="I1356" s="10" t="str">
        <f t="shared" si="5"/>
        <v>BRN76M-D3</v>
      </c>
      <c r="J1356" s="16"/>
      <c r="K1356" s="16" t="str">
        <f t="shared" si="6"/>
        <v>collected</v>
      </c>
      <c r="L1356" s="16" t="str">
        <f t="shared" si="7"/>
        <v>N</v>
      </c>
      <c r="M1356" s="16"/>
      <c r="N1356" s="16"/>
    </row>
    <row r="1357">
      <c r="A1357" s="27" t="s">
        <v>1893</v>
      </c>
      <c r="B1357" s="10" t="str">
        <f t="shared" si="1"/>
        <v>RNA-muscle</v>
      </c>
      <c r="C1357" s="10" t="str">
        <f t="shared" si="2"/>
        <v>BRN76M-C3</v>
      </c>
      <c r="D1357" s="6">
        <v>76.0</v>
      </c>
      <c r="E1357" s="10" t="str">
        <f t="shared" si="3"/>
        <v>BRN76M</v>
      </c>
      <c r="F1357" s="6" t="s">
        <v>72</v>
      </c>
      <c r="G1357" s="6">
        <v>3.0</v>
      </c>
      <c r="H1357" s="11" t="str">
        <f t="shared" si="4"/>
        <v>C3</v>
      </c>
      <c r="I1357" s="10" t="str">
        <f t="shared" si="5"/>
        <v>BRN76M-C3</v>
      </c>
      <c r="J1357" s="16"/>
      <c r="K1357" s="16" t="str">
        <f t="shared" si="6"/>
        <v>collected</v>
      </c>
      <c r="L1357" s="16" t="str">
        <f t="shared" si="7"/>
        <v>N</v>
      </c>
      <c r="M1357" s="16"/>
      <c r="N1357" s="16"/>
    </row>
    <row r="1358">
      <c r="A1358" s="27" t="s">
        <v>1894</v>
      </c>
      <c r="B1358" s="10" t="str">
        <f t="shared" si="1"/>
        <v>RNA-muscle</v>
      </c>
      <c r="C1358" s="10" t="str">
        <f t="shared" si="2"/>
        <v>BRN76M-B3</v>
      </c>
      <c r="D1358" s="6">
        <v>76.0</v>
      </c>
      <c r="E1358" s="10" t="str">
        <f t="shared" si="3"/>
        <v>BRN76M</v>
      </c>
      <c r="F1358" s="6" t="s">
        <v>74</v>
      </c>
      <c r="G1358" s="6">
        <v>3.0</v>
      </c>
      <c r="H1358" s="11" t="str">
        <f t="shared" si="4"/>
        <v>B3</v>
      </c>
      <c r="I1358" s="10" t="str">
        <f t="shared" si="5"/>
        <v>BRN76M-B3</v>
      </c>
      <c r="J1358" s="16"/>
      <c r="K1358" s="16" t="str">
        <f t="shared" si="6"/>
        <v>collected</v>
      </c>
      <c r="L1358" s="16" t="str">
        <f t="shared" si="7"/>
        <v>N</v>
      </c>
      <c r="M1358" s="16"/>
      <c r="N1358" s="16"/>
    </row>
    <row r="1359">
      <c r="A1359" s="27" t="s">
        <v>1895</v>
      </c>
      <c r="B1359" s="10" t="str">
        <f t="shared" si="1"/>
        <v>RNA-muscle</v>
      </c>
      <c r="C1359" s="10" t="str">
        <f t="shared" si="2"/>
        <v>BRN76M-A3</v>
      </c>
      <c r="D1359" s="6">
        <v>76.0</v>
      </c>
      <c r="E1359" s="10" t="str">
        <f t="shared" si="3"/>
        <v>BRN76M</v>
      </c>
      <c r="F1359" s="6" t="s">
        <v>76</v>
      </c>
      <c r="G1359" s="6">
        <v>3.0</v>
      </c>
      <c r="H1359" s="11" t="str">
        <f t="shared" si="4"/>
        <v>A3</v>
      </c>
      <c r="I1359" s="10" t="str">
        <f t="shared" si="5"/>
        <v>BRN76M-A3</v>
      </c>
      <c r="J1359" s="16"/>
      <c r="K1359" s="16" t="str">
        <f t="shared" si="6"/>
        <v>collected</v>
      </c>
      <c r="L1359" s="16" t="str">
        <f t="shared" si="7"/>
        <v>N</v>
      </c>
      <c r="M1359" s="16"/>
      <c r="N1359" s="16"/>
    </row>
    <row r="1360">
      <c r="A1360" s="27" t="s">
        <v>1896</v>
      </c>
      <c r="B1360" s="10" t="str">
        <f t="shared" si="1"/>
        <v>RNA-muscle</v>
      </c>
      <c r="C1360" s="10" t="str">
        <f t="shared" si="2"/>
        <v>BRN76M-H8</v>
      </c>
      <c r="D1360" s="6">
        <v>76.0</v>
      </c>
      <c r="E1360" s="10" t="str">
        <f t="shared" si="3"/>
        <v>BRN76M</v>
      </c>
      <c r="F1360" s="6" t="s">
        <v>51</v>
      </c>
      <c r="G1360" s="6">
        <v>8.0</v>
      </c>
      <c r="H1360" s="11" t="str">
        <f t="shared" si="4"/>
        <v>H8</v>
      </c>
      <c r="I1360" s="10" t="str">
        <f t="shared" si="5"/>
        <v>BRN76M-H8</v>
      </c>
      <c r="J1360" s="16"/>
      <c r="K1360" s="16" t="str">
        <f t="shared" si="6"/>
        <v>collected</v>
      </c>
      <c r="L1360" s="16" t="str">
        <f t="shared" si="7"/>
        <v>N</v>
      </c>
      <c r="M1360" s="16"/>
      <c r="N1360" s="16"/>
    </row>
    <row r="1361">
      <c r="A1361" s="27" t="s">
        <v>1897</v>
      </c>
      <c r="B1361" s="10" t="str">
        <f t="shared" si="1"/>
        <v>RNA-muscle</v>
      </c>
      <c r="C1361" s="10" t="str">
        <f t="shared" si="2"/>
        <v>BRN76M-G8</v>
      </c>
      <c r="D1361" s="6">
        <v>76.0</v>
      </c>
      <c r="E1361" s="10" t="str">
        <f t="shared" si="3"/>
        <v>BRN76M</v>
      </c>
      <c r="F1361" s="6" t="s">
        <v>56</v>
      </c>
      <c r="G1361" s="6">
        <v>8.0</v>
      </c>
      <c r="H1361" s="11" t="str">
        <f t="shared" si="4"/>
        <v>G8</v>
      </c>
      <c r="I1361" s="10" t="str">
        <f t="shared" si="5"/>
        <v>BRN76M-G8</v>
      </c>
      <c r="J1361" s="16"/>
      <c r="K1361" s="16" t="str">
        <f t="shared" si="6"/>
        <v>collected</v>
      </c>
      <c r="L1361" s="16" t="str">
        <f t="shared" si="7"/>
        <v>N</v>
      </c>
      <c r="M1361" s="16"/>
      <c r="N1361" s="16"/>
    </row>
    <row r="1362">
      <c r="A1362" s="27" t="s">
        <v>1898</v>
      </c>
      <c r="B1362" s="10" t="str">
        <f t="shared" si="1"/>
        <v>RNA-muscle</v>
      </c>
      <c r="C1362" s="10" t="str">
        <f t="shared" si="2"/>
        <v>BRN76M-F8</v>
      </c>
      <c r="D1362" s="6">
        <v>76.0</v>
      </c>
      <c r="E1362" s="10" t="str">
        <f t="shared" si="3"/>
        <v>BRN76M</v>
      </c>
      <c r="F1362" s="6" t="s">
        <v>61</v>
      </c>
      <c r="G1362" s="6">
        <v>8.0</v>
      </c>
      <c r="H1362" s="11" t="str">
        <f t="shared" si="4"/>
        <v>F8</v>
      </c>
      <c r="I1362" s="10" t="str">
        <f t="shared" si="5"/>
        <v>BRN76M-F8</v>
      </c>
      <c r="J1362" s="6" t="s">
        <v>1899</v>
      </c>
      <c r="K1362" s="16" t="str">
        <f t="shared" si="6"/>
        <v>collected</v>
      </c>
      <c r="L1362" s="16" t="str">
        <f t="shared" si="7"/>
        <v>N</v>
      </c>
      <c r="M1362" s="16"/>
      <c r="N1362" s="16"/>
    </row>
    <row r="1363">
      <c r="A1363" s="27" t="s">
        <v>1900</v>
      </c>
      <c r="B1363" s="10" t="str">
        <f t="shared" si="1"/>
        <v>RNA-muscle</v>
      </c>
      <c r="C1363" s="10" t="str">
        <f t="shared" si="2"/>
        <v>BRN76M-E8</v>
      </c>
      <c r="D1363" s="6">
        <v>76.0</v>
      </c>
      <c r="E1363" s="10" t="str">
        <f t="shared" si="3"/>
        <v>BRN76M</v>
      </c>
      <c r="F1363" s="6" t="s">
        <v>66</v>
      </c>
      <c r="G1363" s="6">
        <v>8.0</v>
      </c>
      <c r="H1363" s="11" t="str">
        <f t="shared" si="4"/>
        <v>E8</v>
      </c>
      <c r="I1363" s="10" t="str">
        <f t="shared" si="5"/>
        <v>BRN76M-E8</v>
      </c>
      <c r="J1363" s="16"/>
      <c r="K1363" s="16" t="str">
        <f t="shared" si="6"/>
        <v>collected</v>
      </c>
      <c r="L1363" s="16" t="str">
        <f t="shared" si="7"/>
        <v>N</v>
      </c>
      <c r="M1363" s="16"/>
      <c r="N1363" s="16"/>
    </row>
    <row r="1364">
      <c r="A1364" s="27" t="s">
        <v>1901</v>
      </c>
      <c r="B1364" s="10" t="str">
        <f t="shared" si="1"/>
        <v>RNA-muscle</v>
      </c>
      <c r="C1364" s="10" t="str">
        <f t="shared" si="2"/>
        <v>BRN76M-D8</v>
      </c>
      <c r="D1364" s="6">
        <v>76.0</v>
      </c>
      <c r="E1364" s="10" t="str">
        <f t="shared" si="3"/>
        <v>BRN76M</v>
      </c>
      <c r="F1364" s="6" t="s">
        <v>68</v>
      </c>
      <c r="G1364" s="6">
        <v>8.0</v>
      </c>
      <c r="H1364" s="11" t="str">
        <f t="shared" si="4"/>
        <v>D8</v>
      </c>
      <c r="I1364" s="10" t="str">
        <f t="shared" si="5"/>
        <v>BRN76M-D8</v>
      </c>
      <c r="J1364" s="16"/>
      <c r="K1364" s="16" t="str">
        <f t="shared" si="6"/>
        <v>collected</v>
      </c>
      <c r="L1364" s="16" t="str">
        <f t="shared" si="7"/>
        <v>N</v>
      </c>
      <c r="M1364" s="16"/>
      <c r="N1364" s="16"/>
    </row>
    <row r="1365">
      <c r="A1365" s="27" t="s">
        <v>1902</v>
      </c>
      <c r="B1365" s="10" t="str">
        <f t="shared" si="1"/>
        <v>RNA-muscle</v>
      </c>
      <c r="C1365" s="10" t="str">
        <f t="shared" si="2"/>
        <v>BRN76M-C8</v>
      </c>
      <c r="D1365" s="6">
        <v>76.0</v>
      </c>
      <c r="E1365" s="10" t="str">
        <f t="shared" si="3"/>
        <v>BRN76M</v>
      </c>
      <c r="F1365" s="6" t="s">
        <v>72</v>
      </c>
      <c r="G1365" s="6">
        <v>8.0</v>
      </c>
      <c r="H1365" s="11" t="str">
        <f t="shared" si="4"/>
        <v>C8</v>
      </c>
      <c r="I1365" s="10" t="str">
        <f t="shared" si="5"/>
        <v>BRN76M-C8</v>
      </c>
      <c r="J1365" s="16"/>
      <c r="K1365" s="16" t="str">
        <f t="shared" si="6"/>
        <v>collected</v>
      </c>
      <c r="L1365" s="16" t="str">
        <f t="shared" si="7"/>
        <v>N</v>
      </c>
      <c r="M1365" s="16"/>
      <c r="N1365" s="16"/>
    </row>
    <row r="1366">
      <c r="A1366" s="27" t="s">
        <v>1903</v>
      </c>
      <c r="B1366" s="10" t="str">
        <f t="shared" si="1"/>
        <v>RNA-muscle</v>
      </c>
      <c r="C1366" s="10" t="str">
        <f t="shared" si="2"/>
        <v>BRN76M-B8</v>
      </c>
      <c r="D1366" s="6">
        <v>76.0</v>
      </c>
      <c r="E1366" s="10" t="str">
        <f t="shared" si="3"/>
        <v>BRN76M</v>
      </c>
      <c r="F1366" s="6" t="s">
        <v>74</v>
      </c>
      <c r="G1366" s="6">
        <v>8.0</v>
      </c>
      <c r="H1366" s="11" t="str">
        <f t="shared" si="4"/>
        <v>B8</v>
      </c>
      <c r="I1366" s="10" t="str">
        <f t="shared" si="5"/>
        <v>BRN76M-B8</v>
      </c>
      <c r="J1366" s="16"/>
      <c r="K1366" s="16" t="str">
        <f t="shared" si="6"/>
        <v>collected</v>
      </c>
      <c r="L1366" s="16" t="str">
        <f t="shared" si="7"/>
        <v>N</v>
      </c>
      <c r="M1366" s="16"/>
      <c r="N1366" s="16"/>
    </row>
    <row r="1367">
      <c r="A1367" s="27" t="s">
        <v>1904</v>
      </c>
      <c r="B1367" s="10" t="str">
        <f t="shared" si="1"/>
        <v>RNA-muscle</v>
      </c>
      <c r="C1367" s="10" t="str">
        <f t="shared" si="2"/>
        <v>BRN76M-A8</v>
      </c>
      <c r="D1367" s="6">
        <v>76.0</v>
      </c>
      <c r="E1367" s="10" t="str">
        <f t="shared" si="3"/>
        <v>BRN76M</v>
      </c>
      <c r="F1367" s="6" t="s">
        <v>76</v>
      </c>
      <c r="G1367" s="6">
        <v>8.0</v>
      </c>
      <c r="H1367" s="11" t="str">
        <f t="shared" si="4"/>
        <v>A8</v>
      </c>
      <c r="I1367" s="10" t="str">
        <f t="shared" si="5"/>
        <v>BRN76M-A8</v>
      </c>
      <c r="J1367" s="16"/>
      <c r="K1367" s="16" t="str">
        <f t="shared" si="6"/>
        <v>collected</v>
      </c>
      <c r="L1367" s="16" t="str">
        <f t="shared" si="7"/>
        <v>N</v>
      </c>
      <c r="M1367" s="16"/>
      <c r="N1367" s="16"/>
    </row>
    <row r="1368">
      <c r="A1368" s="27" t="s">
        <v>1905</v>
      </c>
      <c r="B1368" s="10" t="str">
        <f t="shared" si="1"/>
        <v>RNA-muscle</v>
      </c>
      <c r="C1368" s="10" t="str">
        <f t="shared" si="2"/>
        <v>BRN76M-H9</v>
      </c>
      <c r="D1368" s="6">
        <v>76.0</v>
      </c>
      <c r="E1368" s="10" t="str">
        <f t="shared" si="3"/>
        <v>BRN76M</v>
      </c>
      <c r="F1368" s="6" t="s">
        <v>51</v>
      </c>
      <c r="G1368" s="6">
        <v>9.0</v>
      </c>
      <c r="H1368" s="11" t="str">
        <f t="shared" si="4"/>
        <v>H9</v>
      </c>
      <c r="I1368" s="10" t="str">
        <f t="shared" si="5"/>
        <v>BRN76M-H9</v>
      </c>
      <c r="J1368" s="16"/>
      <c r="K1368" s="16" t="str">
        <f t="shared" si="6"/>
        <v>collected</v>
      </c>
      <c r="L1368" s="16" t="str">
        <f t="shared" si="7"/>
        <v>N</v>
      </c>
      <c r="M1368" s="16"/>
      <c r="N1368" s="16"/>
    </row>
    <row r="1369">
      <c r="A1369" s="27" t="s">
        <v>1906</v>
      </c>
      <c r="B1369" s="10" t="str">
        <f t="shared" si="1"/>
        <v>RNA-muscle</v>
      </c>
      <c r="C1369" s="10" t="str">
        <f t="shared" si="2"/>
        <v>BRN76M-G9</v>
      </c>
      <c r="D1369" s="6">
        <v>76.0</v>
      </c>
      <c r="E1369" s="10" t="str">
        <f t="shared" si="3"/>
        <v>BRN76M</v>
      </c>
      <c r="F1369" s="6" t="s">
        <v>56</v>
      </c>
      <c r="G1369" s="6">
        <v>9.0</v>
      </c>
      <c r="H1369" s="11" t="str">
        <f t="shared" si="4"/>
        <v>G9</v>
      </c>
      <c r="I1369" s="10" t="str">
        <f t="shared" si="5"/>
        <v>BRN76M-G9</v>
      </c>
      <c r="J1369" s="16"/>
      <c r="K1369" s="16" t="str">
        <f t="shared" si="6"/>
        <v>collected</v>
      </c>
      <c r="L1369" s="16" t="str">
        <f t="shared" si="7"/>
        <v>N</v>
      </c>
      <c r="M1369" s="16"/>
      <c r="N1369" s="16"/>
    </row>
    <row r="1370">
      <c r="A1370" s="27" t="s">
        <v>1907</v>
      </c>
      <c r="B1370" s="10" t="str">
        <f t="shared" si="1"/>
        <v>RNA-muscle</v>
      </c>
      <c r="C1370" s="10" t="str">
        <f t="shared" si="2"/>
        <v>BRN76M-F9</v>
      </c>
      <c r="D1370" s="6">
        <v>76.0</v>
      </c>
      <c r="E1370" s="10" t="str">
        <f t="shared" si="3"/>
        <v>BRN76M</v>
      </c>
      <c r="F1370" s="6" t="s">
        <v>61</v>
      </c>
      <c r="G1370" s="6">
        <v>9.0</v>
      </c>
      <c r="H1370" s="11" t="str">
        <f t="shared" si="4"/>
        <v>F9</v>
      </c>
      <c r="I1370" s="10" t="str">
        <f t="shared" si="5"/>
        <v>BRN76M-F9</v>
      </c>
      <c r="J1370" s="16"/>
      <c r="K1370" s="16" t="str">
        <f t="shared" si="6"/>
        <v>collected</v>
      </c>
      <c r="L1370" s="16" t="str">
        <f t="shared" si="7"/>
        <v>N</v>
      </c>
      <c r="M1370" s="16"/>
      <c r="N1370" s="16"/>
    </row>
    <row r="1371">
      <c r="A1371" s="27" t="s">
        <v>1908</v>
      </c>
      <c r="B1371" s="10" t="str">
        <f t="shared" si="1"/>
        <v>RNA-muscle</v>
      </c>
      <c r="C1371" s="10" t="str">
        <f t="shared" si="2"/>
        <v>BRN76M-E9</v>
      </c>
      <c r="D1371" s="6">
        <v>76.0</v>
      </c>
      <c r="E1371" s="10" t="str">
        <f t="shared" si="3"/>
        <v>BRN76M</v>
      </c>
      <c r="F1371" s="6" t="s">
        <v>66</v>
      </c>
      <c r="G1371" s="6">
        <v>9.0</v>
      </c>
      <c r="H1371" s="11" t="str">
        <f t="shared" si="4"/>
        <v>E9</v>
      </c>
      <c r="I1371" s="10" t="str">
        <f t="shared" si="5"/>
        <v>BRN76M-E9</v>
      </c>
      <c r="J1371" s="16"/>
      <c r="K1371" s="16" t="str">
        <f t="shared" si="6"/>
        <v>collected</v>
      </c>
      <c r="L1371" s="16" t="str">
        <f t="shared" si="7"/>
        <v>N</v>
      </c>
      <c r="M1371" s="16"/>
      <c r="N1371" s="16"/>
    </row>
    <row r="1372">
      <c r="A1372" s="27" t="s">
        <v>1909</v>
      </c>
      <c r="B1372" s="10" t="str">
        <f t="shared" si="1"/>
        <v>RNA-muscle</v>
      </c>
      <c r="C1372" s="10" t="str">
        <f t="shared" si="2"/>
        <v>BRN76M-D9</v>
      </c>
      <c r="D1372" s="6">
        <v>76.0</v>
      </c>
      <c r="E1372" s="10" t="str">
        <f t="shared" si="3"/>
        <v>BRN76M</v>
      </c>
      <c r="F1372" s="6" t="s">
        <v>68</v>
      </c>
      <c r="G1372" s="6">
        <v>9.0</v>
      </c>
      <c r="H1372" s="11" t="str">
        <f t="shared" si="4"/>
        <v>D9</v>
      </c>
      <c r="I1372" s="10" t="str">
        <f t="shared" si="5"/>
        <v>BRN76M-D9</v>
      </c>
      <c r="J1372" s="16"/>
      <c r="K1372" s="16" t="str">
        <f t="shared" si="6"/>
        <v>collected</v>
      </c>
      <c r="L1372" s="16" t="str">
        <f t="shared" si="7"/>
        <v>N</v>
      </c>
      <c r="M1372" s="16"/>
      <c r="N1372" s="16"/>
    </row>
    <row r="1373">
      <c r="A1373" s="27" t="s">
        <v>1910</v>
      </c>
      <c r="B1373" s="10" t="str">
        <f t="shared" si="1"/>
        <v>RNA-muscle</v>
      </c>
      <c r="C1373" s="10" t="str">
        <f t="shared" si="2"/>
        <v>BRN76M-C9</v>
      </c>
      <c r="D1373" s="6">
        <v>76.0</v>
      </c>
      <c r="E1373" s="10" t="str">
        <f t="shared" si="3"/>
        <v>BRN76M</v>
      </c>
      <c r="F1373" s="6" t="s">
        <v>72</v>
      </c>
      <c r="G1373" s="6">
        <v>9.0</v>
      </c>
      <c r="H1373" s="11" t="str">
        <f t="shared" si="4"/>
        <v>C9</v>
      </c>
      <c r="I1373" s="10" t="str">
        <f t="shared" si="5"/>
        <v>BRN76M-C9</v>
      </c>
      <c r="J1373" s="16"/>
      <c r="K1373" s="16" t="str">
        <f t="shared" si="6"/>
        <v>collected</v>
      </c>
      <c r="L1373" s="16" t="str">
        <f t="shared" si="7"/>
        <v>N</v>
      </c>
      <c r="M1373" s="16"/>
      <c r="N1373" s="16"/>
    </row>
    <row r="1374">
      <c r="A1374" s="27" t="s">
        <v>1911</v>
      </c>
      <c r="B1374" s="10" t="str">
        <f t="shared" si="1"/>
        <v>RNA-muscle</v>
      </c>
      <c r="C1374" s="10" t="str">
        <f t="shared" si="2"/>
        <v>BRN76M-B9</v>
      </c>
      <c r="D1374" s="6">
        <v>76.0</v>
      </c>
      <c r="E1374" s="10" t="str">
        <f t="shared" si="3"/>
        <v>BRN76M</v>
      </c>
      <c r="F1374" s="6" t="s">
        <v>74</v>
      </c>
      <c r="G1374" s="6">
        <v>9.0</v>
      </c>
      <c r="H1374" s="11" t="str">
        <f t="shared" si="4"/>
        <v>B9</v>
      </c>
      <c r="I1374" s="10" t="str">
        <f t="shared" si="5"/>
        <v>BRN76M-B9</v>
      </c>
      <c r="J1374" s="16"/>
      <c r="K1374" s="16" t="str">
        <f t="shared" si="6"/>
        <v>collected</v>
      </c>
      <c r="L1374" s="16" t="str">
        <f t="shared" si="7"/>
        <v>N</v>
      </c>
      <c r="M1374" s="16"/>
      <c r="N1374" s="16"/>
    </row>
    <row r="1375">
      <c r="A1375" s="6" t="s">
        <v>1912</v>
      </c>
      <c r="B1375" s="10" t="str">
        <f t="shared" si="1"/>
        <v>RNA-muscle</v>
      </c>
      <c r="C1375" s="10" t="str">
        <f t="shared" si="2"/>
        <v>BRN76M-A9</v>
      </c>
      <c r="D1375" s="6">
        <v>76.0</v>
      </c>
      <c r="E1375" s="10" t="str">
        <f t="shared" si="3"/>
        <v>BRN76M</v>
      </c>
      <c r="F1375" s="6" t="s">
        <v>76</v>
      </c>
      <c r="G1375" s="6">
        <v>9.0</v>
      </c>
      <c r="H1375" s="11" t="str">
        <f t="shared" si="4"/>
        <v>A9</v>
      </c>
      <c r="I1375" s="10" t="str">
        <f t="shared" si="5"/>
        <v>BRN76M-A9</v>
      </c>
      <c r="J1375" s="16"/>
      <c r="K1375" s="16" t="str">
        <f t="shared" si="6"/>
        <v>collected</v>
      </c>
      <c r="L1375" s="16" t="str">
        <f t="shared" si="7"/>
        <v>N</v>
      </c>
      <c r="M1375" s="16"/>
      <c r="N1375" s="16"/>
    </row>
    <row r="1376">
      <c r="A1376" s="27" t="s">
        <v>1913</v>
      </c>
      <c r="B1376" s="10" t="str">
        <f t="shared" si="1"/>
        <v>RNA-muscle</v>
      </c>
      <c r="C1376" s="10" t="str">
        <f t="shared" si="2"/>
        <v>BRN76M-H10</v>
      </c>
      <c r="D1376" s="6">
        <v>76.0</v>
      </c>
      <c r="E1376" s="10" t="str">
        <f t="shared" si="3"/>
        <v>BRN76M</v>
      </c>
      <c r="F1376" s="6" t="s">
        <v>51</v>
      </c>
      <c r="G1376" s="6">
        <v>10.0</v>
      </c>
      <c r="H1376" s="11" t="str">
        <f t="shared" si="4"/>
        <v>H10</v>
      </c>
      <c r="I1376" s="10" t="str">
        <f t="shared" si="5"/>
        <v>BRN76M-H10</v>
      </c>
      <c r="J1376" s="6" t="s">
        <v>1914</v>
      </c>
      <c r="K1376" s="16" t="str">
        <f t="shared" si="6"/>
        <v>collected</v>
      </c>
      <c r="L1376" s="16" t="str">
        <f t="shared" si="7"/>
        <v>N</v>
      </c>
      <c r="M1376" s="16"/>
      <c r="N1376" s="16"/>
    </row>
    <row r="1377">
      <c r="A1377" s="27" t="s">
        <v>1915</v>
      </c>
      <c r="B1377" s="10" t="str">
        <f t="shared" si="1"/>
        <v>RNA-muscle</v>
      </c>
      <c r="C1377" s="10" t="str">
        <f t="shared" si="2"/>
        <v>BRN76M-G10</v>
      </c>
      <c r="D1377" s="6">
        <v>76.0</v>
      </c>
      <c r="E1377" s="10" t="str">
        <f t="shared" si="3"/>
        <v>BRN76M</v>
      </c>
      <c r="F1377" s="6" t="s">
        <v>56</v>
      </c>
      <c r="G1377" s="6">
        <v>10.0</v>
      </c>
      <c r="H1377" s="11" t="str">
        <f t="shared" si="4"/>
        <v>G10</v>
      </c>
      <c r="I1377" s="10" t="str">
        <f t="shared" si="5"/>
        <v>BRN76M-G10</v>
      </c>
      <c r="J1377" s="16"/>
      <c r="K1377" s="16" t="str">
        <f t="shared" si="6"/>
        <v>collected</v>
      </c>
      <c r="L1377" s="16" t="str">
        <f t="shared" si="7"/>
        <v>N</v>
      </c>
      <c r="M1377" s="16"/>
      <c r="N1377" s="16"/>
    </row>
    <row r="1378">
      <c r="A1378" s="27" t="s">
        <v>1916</v>
      </c>
      <c r="B1378" s="10" t="str">
        <f t="shared" si="1"/>
        <v>RNA-muscle</v>
      </c>
      <c r="C1378" s="10" t="str">
        <f t="shared" si="2"/>
        <v>BRN76M-F10</v>
      </c>
      <c r="D1378" s="6">
        <v>76.0</v>
      </c>
      <c r="E1378" s="10" t="str">
        <f t="shared" si="3"/>
        <v>BRN76M</v>
      </c>
      <c r="F1378" s="6" t="s">
        <v>61</v>
      </c>
      <c r="G1378" s="6">
        <v>10.0</v>
      </c>
      <c r="H1378" s="11" t="str">
        <f t="shared" si="4"/>
        <v>F10</v>
      </c>
      <c r="I1378" s="10" t="str">
        <f t="shared" si="5"/>
        <v>BRN76M-F10</v>
      </c>
      <c r="J1378" s="6" t="s">
        <v>1917</v>
      </c>
      <c r="K1378" s="16" t="str">
        <f t="shared" si="6"/>
        <v>collected</v>
      </c>
      <c r="L1378" s="16" t="str">
        <f t="shared" si="7"/>
        <v>N</v>
      </c>
      <c r="M1378" s="16"/>
      <c r="N1378" s="16"/>
    </row>
    <row r="1379">
      <c r="A1379" s="27" t="s">
        <v>1918</v>
      </c>
      <c r="B1379" s="10" t="str">
        <f t="shared" si="1"/>
        <v>RNA-muscle</v>
      </c>
      <c r="C1379" s="10" t="str">
        <f t="shared" si="2"/>
        <v>BRN76M-E10</v>
      </c>
      <c r="D1379" s="6">
        <v>76.0</v>
      </c>
      <c r="E1379" s="10" t="str">
        <f t="shared" si="3"/>
        <v>BRN76M</v>
      </c>
      <c r="F1379" s="6" t="s">
        <v>66</v>
      </c>
      <c r="G1379" s="6">
        <v>10.0</v>
      </c>
      <c r="H1379" s="11" t="str">
        <f t="shared" si="4"/>
        <v>E10</v>
      </c>
      <c r="I1379" s="10" t="str">
        <f t="shared" si="5"/>
        <v>BRN76M-E10</v>
      </c>
      <c r="J1379" s="6" t="s">
        <v>437</v>
      </c>
      <c r="K1379" s="16" t="str">
        <f t="shared" si="6"/>
        <v>collected</v>
      </c>
      <c r="L1379" s="16" t="str">
        <f t="shared" si="7"/>
        <v>N</v>
      </c>
      <c r="M1379" s="16"/>
      <c r="N1379" s="16"/>
    </row>
    <row r="1380">
      <c r="A1380" s="27" t="s">
        <v>1919</v>
      </c>
      <c r="B1380" s="10" t="str">
        <f t="shared" si="1"/>
        <v>RNA-muscle</v>
      </c>
      <c r="C1380" s="10" t="str">
        <f t="shared" si="2"/>
        <v>BRN76M-B7</v>
      </c>
      <c r="D1380" s="6">
        <v>76.0</v>
      </c>
      <c r="E1380" s="10" t="str">
        <f t="shared" si="3"/>
        <v>BRN76M</v>
      </c>
      <c r="F1380" s="6" t="s">
        <v>74</v>
      </c>
      <c r="G1380" s="6">
        <v>7.0</v>
      </c>
      <c r="H1380" s="11" t="str">
        <f t="shared" si="4"/>
        <v>B7</v>
      </c>
      <c r="I1380" s="10" t="str">
        <f t="shared" si="5"/>
        <v>BRN76M-B7</v>
      </c>
      <c r="J1380" s="16"/>
      <c r="K1380" s="16" t="str">
        <f t="shared" si="6"/>
        <v>collected</v>
      </c>
      <c r="L1380" s="16" t="str">
        <f t="shared" si="7"/>
        <v>N</v>
      </c>
      <c r="M1380" s="16"/>
      <c r="N1380" s="16"/>
    </row>
    <row r="1381">
      <c r="A1381" s="27" t="s">
        <v>1920</v>
      </c>
      <c r="B1381" s="10" t="str">
        <f t="shared" si="1"/>
        <v>RNA-muscle</v>
      </c>
      <c r="C1381" s="10" t="str">
        <f t="shared" si="2"/>
        <v>BRN76M-A7</v>
      </c>
      <c r="D1381" s="6">
        <v>76.0</v>
      </c>
      <c r="E1381" s="10" t="str">
        <f t="shared" si="3"/>
        <v>BRN76M</v>
      </c>
      <c r="F1381" s="6" t="s">
        <v>76</v>
      </c>
      <c r="G1381" s="6">
        <v>7.0</v>
      </c>
      <c r="H1381" s="11" t="str">
        <f t="shared" si="4"/>
        <v>A7</v>
      </c>
      <c r="I1381" s="10" t="str">
        <f t="shared" si="5"/>
        <v>BRN76M-A7</v>
      </c>
      <c r="J1381" s="16"/>
      <c r="K1381" s="16" t="str">
        <f t="shared" si="6"/>
        <v>collected</v>
      </c>
      <c r="L1381" s="16" t="str">
        <f t="shared" si="7"/>
        <v>N</v>
      </c>
      <c r="M1381" s="16"/>
      <c r="N1381" s="16"/>
    </row>
    <row r="1382">
      <c r="A1382" s="27" t="s">
        <v>1921</v>
      </c>
      <c r="B1382" s="10" t="str">
        <f t="shared" si="1"/>
        <v>RNA-muscle</v>
      </c>
      <c r="C1382" s="10" t="str">
        <f t="shared" si="2"/>
        <v>BRN76M-G12</v>
      </c>
      <c r="D1382" s="6">
        <v>76.0</v>
      </c>
      <c r="E1382" s="10" t="str">
        <f t="shared" si="3"/>
        <v>BRN76M</v>
      </c>
      <c r="F1382" s="6" t="s">
        <v>56</v>
      </c>
      <c r="G1382" s="6">
        <v>12.0</v>
      </c>
      <c r="H1382" s="11" t="str">
        <f t="shared" si="4"/>
        <v>G12</v>
      </c>
      <c r="I1382" s="10" t="str">
        <f t="shared" si="5"/>
        <v>BRN76M-G12</v>
      </c>
      <c r="J1382" s="16"/>
      <c r="K1382" s="16" t="str">
        <f t="shared" si="6"/>
        <v>collected</v>
      </c>
      <c r="L1382" s="16" t="str">
        <f t="shared" si="7"/>
        <v>N</v>
      </c>
      <c r="M1382" s="16"/>
      <c r="N1382" s="16"/>
    </row>
    <row r="1383">
      <c r="A1383" s="27" t="s">
        <v>1922</v>
      </c>
      <c r="B1383" s="10" t="str">
        <f t="shared" si="1"/>
        <v>RNA-muscle</v>
      </c>
      <c r="C1383" s="10" t="str">
        <f t="shared" si="2"/>
        <v>BRN76M-F12</v>
      </c>
      <c r="D1383" s="6">
        <v>76.0</v>
      </c>
      <c r="E1383" s="10" t="str">
        <f t="shared" si="3"/>
        <v>BRN76M</v>
      </c>
      <c r="F1383" s="6" t="s">
        <v>61</v>
      </c>
      <c r="G1383" s="6">
        <v>12.0</v>
      </c>
      <c r="H1383" s="11" t="str">
        <f t="shared" si="4"/>
        <v>F12</v>
      </c>
      <c r="I1383" s="10" t="str">
        <f t="shared" si="5"/>
        <v>BRN76M-F12</v>
      </c>
      <c r="J1383" s="16"/>
      <c r="K1383" s="16" t="str">
        <f t="shared" si="6"/>
        <v>collected</v>
      </c>
      <c r="L1383" s="16" t="str">
        <f t="shared" si="7"/>
        <v>N</v>
      </c>
      <c r="M1383" s="16"/>
      <c r="N1383" s="16"/>
    </row>
    <row r="1384">
      <c r="A1384" s="27" t="s">
        <v>1923</v>
      </c>
      <c r="B1384" s="10" t="str">
        <f t="shared" si="1"/>
        <v>RNA-muscle</v>
      </c>
      <c r="C1384" s="10" t="str">
        <f t="shared" si="2"/>
        <v>BRN76M-E12</v>
      </c>
      <c r="D1384" s="6">
        <v>76.0</v>
      </c>
      <c r="E1384" s="10" t="str">
        <f t="shared" si="3"/>
        <v>BRN76M</v>
      </c>
      <c r="F1384" s="6" t="s">
        <v>66</v>
      </c>
      <c r="G1384" s="6">
        <v>12.0</v>
      </c>
      <c r="H1384" s="11" t="str">
        <f t="shared" si="4"/>
        <v>E12</v>
      </c>
      <c r="I1384" s="10" t="str">
        <f t="shared" si="5"/>
        <v>BRN76M-E12</v>
      </c>
      <c r="J1384" s="16"/>
      <c r="K1384" s="16" t="str">
        <f t="shared" si="6"/>
        <v>collected</v>
      </c>
      <c r="L1384" s="16" t="str">
        <f t="shared" si="7"/>
        <v>N</v>
      </c>
      <c r="M1384" s="16"/>
      <c r="N1384" s="16"/>
    </row>
    <row r="1385">
      <c r="A1385" s="27" t="s">
        <v>1924</v>
      </c>
      <c r="B1385" s="10" t="str">
        <f t="shared" si="1"/>
        <v>RNA-muscle</v>
      </c>
      <c r="C1385" s="10" t="str">
        <f t="shared" si="2"/>
        <v>BRN76M-D12</v>
      </c>
      <c r="D1385" s="6">
        <v>76.0</v>
      </c>
      <c r="E1385" s="10" t="str">
        <f t="shared" si="3"/>
        <v>BRN76M</v>
      </c>
      <c r="F1385" s="6" t="s">
        <v>68</v>
      </c>
      <c r="G1385" s="6">
        <v>12.0</v>
      </c>
      <c r="H1385" s="11" t="str">
        <f t="shared" si="4"/>
        <v>D12</v>
      </c>
      <c r="I1385" s="10" t="str">
        <f t="shared" si="5"/>
        <v>BRN76M-D12</v>
      </c>
      <c r="J1385" s="16"/>
      <c r="K1385" s="16" t="str">
        <f t="shared" si="6"/>
        <v>collected</v>
      </c>
      <c r="L1385" s="16" t="str">
        <f t="shared" si="7"/>
        <v>N</v>
      </c>
      <c r="M1385" s="16"/>
      <c r="N1385" s="16"/>
    </row>
    <row r="1386">
      <c r="A1386" s="27" t="s">
        <v>1925</v>
      </c>
      <c r="B1386" s="10" t="str">
        <f t="shared" si="1"/>
        <v>RNA-muscle</v>
      </c>
      <c r="C1386" s="10" t="str">
        <f t="shared" si="2"/>
        <v>BRN76M-C12</v>
      </c>
      <c r="D1386" s="6">
        <v>76.0</v>
      </c>
      <c r="E1386" s="10" t="str">
        <f t="shared" si="3"/>
        <v>BRN76M</v>
      </c>
      <c r="F1386" s="6" t="s">
        <v>72</v>
      </c>
      <c r="G1386" s="6">
        <v>12.0</v>
      </c>
      <c r="H1386" s="11" t="str">
        <f t="shared" si="4"/>
        <v>C12</v>
      </c>
      <c r="I1386" s="10" t="str">
        <f t="shared" si="5"/>
        <v>BRN76M-C12</v>
      </c>
      <c r="J1386" s="16"/>
      <c r="K1386" s="16" t="str">
        <f t="shared" si="6"/>
        <v>collected</v>
      </c>
      <c r="L1386" s="16" t="str">
        <f t="shared" si="7"/>
        <v>N</v>
      </c>
      <c r="M1386" s="16"/>
      <c r="N1386" s="16"/>
    </row>
    <row r="1387">
      <c r="A1387" s="27" t="s">
        <v>1926</v>
      </c>
      <c r="B1387" s="10" t="str">
        <f t="shared" si="1"/>
        <v>RNA-muscle</v>
      </c>
      <c r="C1387" s="10" t="str">
        <f t="shared" si="2"/>
        <v>BRN76M-B12</v>
      </c>
      <c r="D1387" s="6">
        <v>76.0</v>
      </c>
      <c r="E1387" s="10" t="str">
        <f t="shared" si="3"/>
        <v>BRN76M</v>
      </c>
      <c r="F1387" s="6" t="s">
        <v>74</v>
      </c>
      <c r="G1387" s="6">
        <v>12.0</v>
      </c>
      <c r="H1387" s="11" t="str">
        <f t="shared" si="4"/>
        <v>B12</v>
      </c>
      <c r="I1387" s="10" t="str">
        <f t="shared" si="5"/>
        <v>BRN76M-B12</v>
      </c>
      <c r="J1387" s="16"/>
      <c r="K1387" s="16" t="str">
        <f t="shared" si="6"/>
        <v>collected</v>
      </c>
      <c r="L1387" s="16" t="str">
        <f t="shared" si="7"/>
        <v>N</v>
      </c>
      <c r="M1387" s="16"/>
      <c r="N1387" s="16"/>
    </row>
    <row r="1388">
      <c r="A1388" s="27" t="s">
        <v>1927</v>
      </c>
      <c r="B1388" s="10" t="str">
        <f t="shared" si="1"/>
        <v>RNA-muscle</v>
      </c>
      <c r="C1388" s="10" t="str">
        <f t="shared" si="2"/>
        <v>BRN76M-A12</v>
      </c>
      <c r="D1388" s="6">
        <v>76.0</v>
      </c>
      <c r="E1388" s="10" t="str">
        <f t="shared" si="3"/>
        <v>BRN76M</v>
      </c>
      <c r="F1388" s="6" t="s">
        <v>76</v>
      </c>
      <c r="G1388" s="6">
        <v>12.0</v>
      </c>
      <c r="H1388" s="11" t="str">
        <f t="shared" si="4"/>
        <v>A12</v>
      </c>
      <c r="I1388" s="10" t="str">
        <f t="shared" si="5"/>
        <v>BRN76M-A12</v>
      </c>
      <c r="J1388" s="16"/>
      <c r="K1388" s="16" t="str">
        <f t="shared" si="6"/>
        <v>collected</v>
      </c>
      <c r="L1388" s="16" t="str">
        <f t="shared" si="7"/>
        <v>N</v>
      </c>
      <c r="M1388" s="16"/>
      <c r="N1388" s="16"/>
    </row>
    <row r="1389">
      <c r="A1389" s="27" t="s">
        <v>1928</v>
      </c>
      <c r="B1389" s="10" t="str">
        <f t="shared" si="1"/>
        <v>RNA-muscle</v>
      </c>
      <c r="C1389" s="10" t="str">
        <f t="shared" si="2"/>
        <v>BRN77M-H1</v>
      </c>
      <c r="D1389" s="6">
        <v>77.0</v>
      </c>
      <c r="E1389" s="10" t="str">
        <f t="shared" si="3"/>
        <v>BRN77M</v>
      </c>
      <c r="F1389" s="6" t="s">
        <v>51</v>
      </c>
      <c r="G1389" s="6">
        <v>1.0</v>
      </c>
      <c r="H1389" s="11" t="str">
        <f t="shared" si="4"/>
        <v>H1</v>
      </c>
      <c r="I1389" s="10" t="str">
        <f t="shared" si="5"/>
        <v>BRN77M-H1</v>
      </c>
      <c r="J1389" s="16"/>
      <c r="K1389" s="16" t="str">
        <f t="shared" si="6"/>
        <v>collected</v>
      </c>
      <c r="L1389" s="16" t="str">
        <f t="shared" si="7"/>
        <v>N</v>
      </c>
      <c r="M1389" s="16"/>
      <c r="N1389" s="16"/>
    </row>
    <row r="1390">
      <c r="A1390" s="27" t="s">
        <v>1929</v>
      </c>
      <c r="B1390" s="10" t="str">
        <f t="shared" si="1"/>
        <v>RNA-muscle</v>
      </c>
      <c r="C1390" s="10" t="str">
        <f t="shared" si="2"/>
        <v>BRN77M-G1</v>
      </c>
      <c r="D1390" s="6">
        <v>77.0</v>
      </c>
      <c r="E1390" s="10" t="str">
        <f t="shared" si="3"/>
        <v>BRN77M</v>
      </c>
      <c r="F1390" s="6" t="s">
        <v>56</v>
      </c>
      <c r="G1390" s="6">
        <v>1.0</v>
      </c>
      <c r="H1390" s="11" t="str">
        <f t="shared" si="4"/>
        <v>G1</v>
      </c>
      <c r="I1390" s="10" t="str">
        <f t="shared" si="5"/>
        <v>BRN77M-G1</v>
      </c>
      <c r="J1390" s="16"/>
      <c r="K1390" s="16" t="str">
        <f t="shared" si="6"/>
        <v>collected</v>
      </c>
      <c r="L1390" s="16" t="str">
        <f t="shared" si="7"/>
        <v>N</v>
      </c>
      <c r="M1390" s="16"/>
      <c r="N1390" s="16"/>
    </row>
    <row r="1391">
      <c r="A1391" s="27" t="s">
        <v>1930</v>
      </c>
      <c r="B1391" s="10" t="str">
        <f t="shared" si="1"/>
        <v>RNA-muscle</v>
      </c>
      <c r="C1391" s="10" t="str">
        <f t="shared" si="2"/>
        <v>BRN77M-F1</v>
      </c>
      <c r="D1391" s="6">
        <v>77.0</v>
      </c>
      <c r="E1391" s="10" t="str">
        <f t="shared" si="3"/>
        <v>BRN77M</v>
      </c>
      <c r="F1391" s="6" t="s">
        <v>61</v>
      </c>
      <c r="G1391" s="6">
        <v>1.0</v>
      </c>
      <c r="H1391" s="11" t="str">
        <f t="shared" si="4"/>
        <v>F1</v>
      </c>
      <c r="I1391" s="10" t="str">
        <f t="shared" si="5"/>
        <v>BRN77M-F1</v>
      </c>
      <c r="J1391" s="16"/>
      <c r="K1391" s="16" t="str">
        <f t="shared" si="6"/>
        <v>collected</v>
      </c>
      <c r="L1391" s="16" t="str">
        <f t="shared" si="7"/>
        <v>N</v>
      </c>
      <c r="M1391" s="16"/>
      <c r="N1391" s="16"/>
    </row>
    <row r="1392">
      <c r="A1392" s="27" t="s">
        <v>1931</v>
      </c>
      <c r="B1392" s="10" t="str">
        <f t="shared" si="1"/>
        <v>RNA-muscle</v>
      </c>
      <c r="C1392" s="10" t="str">
        <f t="shared" si="2"/>
        <v>BRN77M-E1</v>
      </c>
      <c r="D1392" s="6">
        <v>77.0</v>
      </c>
      <c r="E1392" s="10" t="str">
        <f t="shared" si="3"/>
        <v>BRN77M</v>
      </c>
      <c r="F1392" s="6" t="s">
        <v>66</v>
      </c>
      <c r="G1392" s="6">
        <v>1.0</v>
      </c>
      <c r="H1392" s="11" t="str">
        <f t="shared" si="4"/>
        <v>E1</v>
      </c>
      <c r="I1392" s="10" t="str">
        <f t="shared" si="5"/>
        <v>BRN77M-E1</v>
      </c>
      <c r="J1392" s="16"/>
      <c r="K1392" s="16" t="str">
        <f t="shared" si="6"/>
        <v>collected</v>
      </c>
      <c r="L1392" s="16" t="str">
        <f t="shared" si="7"/>
        <v>N</v>
      </c>
      <c r="M1392" s="16"/>
      <c r="N1392" s="16"/>
    </row>
    <row r="1393">
      <c r="A1393" s="27" t="s">
        <v>1932</v>
      </c>
      <c r="B1393" s="10" t="str">
        <f t="shared" si="1"/>
        <v>RNA-muscle</v>
      </c>
      <c r="C1393" s="10" t="str">
        <f t="shared" si="2"/>
        <v>BRN77M-D1</v>
      </c>
      <c r="D1393" s="6">
        <v>77.0</v>
      </c>
      <c r="E1393" s="10" t="str">
        <f t="shared" si="3"/>
        <v>BRN77M</v>
      </c>
      <c r="F1393" s="6" t="s">
        <v>68</v>
      </c>
      <c r="G1393" s="6">
        <v>1.0</v>
      </c>
      <c r="H1393" s="11" t="str">
        <f t="shared" si="4"/>
        <v>D1</v>
      </c>
      <c r="I1393" s="10" t="str">
        <f t="shared" si="5"/>
        <v>BRN77M-D1</v>
      </c>
      <c r="J1393" s="16"/>
      <c r="K1393" s="16" t="str">
        <f t="shared" si="6"/>
        <v>collected</v>
      </c>
      <c r="L1393" s="16" t="str">
        <f t="shared" si="7"/>
        <v>N</v>
      </c>
      <c r="M1393" s="16"/>
      <c r="N1393" s="16"/>
    </row>
    <row r="1394">
      <c r="A1394" s="27" t="s">
        <v>1933</v>
      </c>
      <c r="B1394" s="10" t="str">
        <f t="shared" si="1"/>
        <v>RNA-muscle</v>
      </c>
      <c r="C1394" s="10" t="str">
        <f t="shared" si="2"/>
        <v>BRN77M-C1</v>
      </c>
      <c r="D1394" s="6">
        <v>77.0</v>
      </c>
      <c r="E1394" s="10" t="str">
        <f t="shared" si="3"/>
        <v>BRN77M</v>
      </c>
      <c r="F1394" s="6" t="s">
        <v>72</v>
      </c>
      <c r="G1394" s="6">
        <v>1.0</v>
      </c>
      <c r="H1394" s="11" t="str">
        <f t="shared" si="4"/>
        <v>C1</v>
      </c>
      <c r="I1394" s="10" t="str">
        <f t="shared" si="5"/>
        <v>BRN77M-C1</v>
      </c>
      <c r="J1394" s="16"/>
      <c r="K1394" s="16" t="str">
        <f t="shared" si="6"/>
        <v>collected</v>
      </c>
      <c r="L1394" s="16" t="str">
        <f t="shared" si="7"/>
        <v>N</v>
      </c>
      <c r="M1394" s="16"/>
      <c r="N1394" s="16"/>
    </row>
    <row r="1395">
      <c r="A1395" s="27" t="s">
        <v>1934</v>
      </c>
      <c r="B1395" s="10" t="str">
        <f t="shared" si="1"/>
        <v>RNA-muscle</v>
      </c>
      <c r="C1395" s="10" t="str">
        <f t="shared" si="2"/>
        <v>BRN77M-B1</v>
      </c>
      <c r="D1395" s="6">
        <v>77.0</v>
      </c>
      <c r="E1395" s="10" t="str">
        <f t="shared" si="3"/>
        <v>BRN77M</v>
      </c>
      <c r="F1395" s="6" t="s">
        <v>74</v>
      </c>
      <c r="G1395" s="6">
        <v>1.0</v>
      </c>
      <c r="H1395" s="11" t="str">
        <f t="shared" si="4"/>
        <v>B1</v>
      </c>
      <c r="I1395" s="10" t="str">
        <f t="shared" si="5"/>
        <v>BRN77M-B1</v>
      </c>
      <c r="J1395" s="16"/>
      <c r="K1395" s="16" t="str">
        <f t="shared" si="6"/>
        <v>collected</v>
      </c>
      <c r="L1395" s="16" t="str">
        <f t="shared" si="7"/>
        <v>N</v>
      </c>
      <c r="M1395" s="16"/>
      <c r="N1395" s="16"/>
    </row>
    <row r="1396">
      <c r="A1396" s="27" t="s">
        <v>1935</v>
      </c>
      <c r="B1396" s="10" t="str">
        <f t="shared" si="1"/>
        <v>RNA-muscle</v>
      </c>
      <c r="C1396" s="10" t="str">
        <f t="shared" si="2"/>
        <v>BRN77M-A1</v>
      </c>
      <c r="D1396" s="6">
        <v>77.0</v>
      </c>
      <c r="E1396" s="10" t="str">
        <f t="shared" si="3"/>
        <v>BRN77M</v>
      </c>
      <c r="F1396" s="6" t="s">
        <v>76</v>
      </c>
      <c r="G1396" s="6">
        <v>1.0</v>
      </c>
      <c r="H1396" s="11" t="str">
        <f t="shared" si="4"/>
        <v>A1</v>
      </c>
      <c r="I1396" s="10" t="str">
        <f t="shared" si="5"/>
        <v>BRN77M-A1</v>
      </c>
      <c r="J1396" s="16"/>
      <c r="K1396" s="16" t="str">
        <f t="shared" si="6"/>
        <v>collected</v>
      </c>
      <c r="L1396" s="16" t="str">
        <f t="shared" si="7"/>
        <v>N</v>
      </c>
      <c r="M1396" s="16"/>
      <c r="N1396" s="16"/>
    </row>
    <row r="1397">
      <c r="A1397" s="27" t="s">
        <v>1936</v>
      </c>
      <c r="B1397" s="10" t="str">
        <f t="shared" si="1"/>
        <v>RNA-muscle</v>
      </c>
      <c r="C1397" s="10" t="str">
        <f t="shared" si="2"/>
        <v>BRN77M-H4</v>
      </c>
      <c r="D1397" s="6">
        <v>77.0</v>
      </c>
      <c r="E1397" s="10" t="str">
        <f t="shared" si="3"/>
        <v>BRN77M</v>
      </c>
      <c r="F1397" s="6" t="s">
        <v>51</v>
      </c>
      <c r="G1397" s="6">
        <v>4.0</v>
      </c>
      <c r="H1397" s="11" t="str">
        <f t="shared" si="4"/>
        <v>H4</v>
      </c>
      <c r="I1397" s="10" t="str">
        <f t="shared" si="5"/>
        <v>BRN77M-H4</v>
      </c>
      <c r="J1397" s="16"/>
      <c r="K1397" s="16" t="str">
        <f t="shared" si="6"/>
        <v>collected</v>
      </c>
      <c r="L1397" s="16" t="str">
        <f t="shared" si="7"/>
        <v>N</v>
      </c>
      <c r="M1397" s="16"/>
      <c r="N1397" s="16"/>
    </row>
    <row r="1398">
      <c r="A1398" s="27" t="s">
        <v>1937</v>
      </c>
      <c r="B1398" s="10" t="str">
        <f t="shared" si="1"/>
        <v>RNA-muscle</v>
      </c>
      <c r="C1398" s="10" t="str">
        <f t="shared" si="2"/>
        <v>BRN77M-G4</v>
      </c>
      <c r="D1398" s="6">
        <v>77.0</v>
      </c>
      <c r="E1398" s="10" t="str">
        <f t="shared" si="3"/>
        <v>BRN77M</v>
      </c>
      <c r="F1398" s="6" t="s">
        <v>56</v>
      </c>
      <c r="G1398" s="6">
        <v>4.0</v>
      </c>
      <c r="H1398" s="11" t="str">
        <f t="shared" si="4"/>
        <v>G4</v>
      </c>
      <c r="I1398" s="10" t="str">
        <f t="shared" si="5"/>
        <v>BRN77M-G4</v>
      </c>
      <c r="J1398" s="16"/>
      <c r="K1398" s="16" t="str">
        <f t="shared" si="6"/>
        <v>collected</v>
      </c>
      <c r="L1398" s="16" t="str">
        <f t="shared" si="7"/>
        <v>N</v>
      </c>
      <c r="M1398" s="16"/>
      <c r="N1398" s="16"/>
    </row>
    <row r="1399">
      <c r="A1399" s="27" t="s">
        <v>1938</v>
      </c>
      <c r="B1399" s="10" t="str">
        <f t="shared" si="1"/>
        <v>RNA-muscle</v>
      </c>
      <c r="C1399" s="10" t="str">
        <f t="shared" si="2"/>
        <v>BRN77M-F4</v>
      </c>
      <c r="D1399" s="6">
        <v>77.0</v>
      </c>
      <c r="E1399" s="10" t="str">
        <f t="shared" si="3"/>
        <v>BRN77M</v>
      </c>
      <c r="F1399" s="6" t="s">
        <v>61</v>
      </c>
      <c r="G1399" s="6">
        <v>4.0</v>
      </c>
      <c r="H1399" s="11" t="str">
        <f t="shared" si="4"/>
        <v>F4</v>
      </c>
      <c r="I1399" s="10" t="str">
        <f t="shared" si="5"/>
        <v>BRN77M-F4</v>
      </c>
      <c r="J1399" s="16"/>
      <c r="K1399" s="16" t="str">
        <f t="shared" si="6"/>
        <v>collected</v>
      </c>
      <c r="L1399" s="16" t="str">
        <f t="shared" si="7"/>
        <v>N</v>
      </c>
      <c r="M1399" s="16"/>
      <c r="N1399" s="16"/>
    </row>
    <row r="1400">
      <c r="A1400" s="27" t="s">
        <v>1939</v>
      </c>
      <c r="B1400" s="10" t="str">
        <f t="shared" si="1"/>
        <v>RNA-muscle</v>
      </c>
      <c r="C1400" s="10" t="str">
        <f t="shared" si="2"/>
        <v>BRN77M-E4</v>
      </c>
      <c r="D1400" s="6">
        <v>77.0</v>
      </c>
      <c r="E1400" s="10" t="str">
        <f t="shared" si="3"/>
        <v>BRN77M</v>
      </c>
      <c r="F1400" s="6" t="s">
        <v>66</v>
      </c>
      <c r="G1400" s="6">
        <v>4.0</v>
      </c>
      <c r="H1400" s="11" t="str">
        <f t="shared" si="4"/>
        <v>E4</v>
      </c>
      <c r="I1400" s="10" t="str">
        <f t="shared" si="5"/>
        <v>BRN77M-E4</v>
      </c>
      <c r="J1400" s="16"/>
      <c r="K1400" s="16" t="str">
        <f t="shared" si="6"/>
        <v>collected</v>
      </c>
      <c r="L1400" s="16" t="str">
        <f t="shared" si="7"/>
        <v>N</v>
      </c>
      <c r="M1400" s="16"/>
      <c r="N1400" s="16"/>
    </row>
    <row r="1401">
      <c r="A1401" s="27" t="s">
        <v>1940</v>
      </c>
      <c r="B1401" s="10" t="str">
        <f t="shared" si="1"/>
        <v>RNA-muscle</v>
      </c>
      <c r="C1401" s="10" t="str">
        <f t="shared" si="2"/>
        <v>BRN77M-D4</v>
      </c>
      <c r="D1401" s="6">
        <v>77.0</v>
      </c>
      <c r="E1401" s="10" t="str">
        <f t="shared" si="3"/>
        <v>BRN77M</v>
      </c>
      <c r="F1401" s="6" t="s">
        <v>68</v>
      </c>
      <c r="G1401" s="6">
        <v>4.0</v>
      </c>
      <c r="H1401" s="11" t="str">
        <f t="shared" si="4"/>
        <v>D4</v>
      </c>
      <c r="I1401" s="10" t="str">
        <f t="shared" si="5"/>
        <v>BRN77M-D4</v>
      </c>
      <c r="J1401" s="16"/>
      <c r="K1401" s="16" t="str">
        <f t="shared" si="6"/>
        <v>collected</v>
      </c>
      <c r="L1401" s="16" t="str">
        <f t="shared" si="7"/>
        <v>N</v>
      </c>
      <c r="M1401" s="16"/>
      <c r="N1401" s="16"/>
    </row>
    <row r="1402">
      <c r="A1402" s="27" t="s">
        <v>1941</v>
      </c>
      <c r="B1402" s="10" t="str">
        <f t="shared" si="1"/>
        <v>RNA-muscle</v>
      </c>
      <c r="C1402" s="10" t="str">
        <f t="shared" si="2"/>
        <v>BRN77M-C4</v>
      </c>
      <c r="D1402" s="6">
        <v>77.0</v>
      </c>
      <c r="E1402" s="10" t="str">
        <f t="shared" si="3"/>
        <v>BRN77M</v>
      </c>
      <c r="F1402" s="6" t="s">
        <v>72</v>
      </c>
      <c r="G1402" s="6">
        <v>4.0</v>
      </c>
      <c r="H1402" s="11" t="str">
        <f t="shared" si="4"/>
        <v>C4</v>
      </c>
      <c r="I1402" s="10" t="str">
        <f t="shared" si="5"/>
        <v>BRN77M-C4</v>
      </c>
      <c r="J1402" s="16"/>
      <c r="K1402" s="16" t="str">
        <f t="shared" si="6"/>
        <v>collected</v>
      </c>
      <c r="L1402" s="16" t="str">
        <f t="shared" si="7"/>
        <v>N</v>
      </c>
      <c r="M1402" s="16"/>
      <c r="N1402" s="16"/>
    </row>
    <row r="1403">
      <c r="A1403" s="27" t="s">
        <v>1942</v>
      </c>
      <c r="B1403" s="10" t="str">
        <f t="shared" si="1"/>
        <v>RNA-muscle</v>
      </c>
      <c r="C1403" s="10" t="str">
        <f t="shared" si="2"/>
        <v>BRN77M-B4</v>
      </c>
      <c r="D1403" s="6">
        <v>77.0</v>
      </c>
      <c r="E1403" s="10" t="str">
        <f t="shared" si="3"/>
        <v>BRN77M</v>
      </c>
      <c r="F1403" s="6" t="s">
        <v>74</v>
      </c>
      <c r="G1403" s="6">
        <v>4.0</v>
      </c>
      <c r="H1403" s="11" t="str">
        <f t="shared" si="4"/>
        <v>B4</v>
      </c>
      <c r="I1403" s="10" t="str">
        <f t="shared" si="5"/>
        <v>BRN77M-B4</v>
      </c>
      <c r="J1403" s="16"/>
      <c r="K1403" s="16" t="str">
        <f t="shared" si="6"/>
        <v>collected</v>
      </c>
      <c r="L1403" s="16" t="str">
        <f t="shared" si="7"/>
        <v>N</v>
      </c>
      <c r="M1403" s="16"/>
      <c r="N1403" s="16"/>
    </row>
    <row r="1404">
      <c r="A1404" s="27" t="s">
        <v>1943</v>
      </c>
      <c r="B1404" s="10" t="str">
        <f t="shared" si="1"/>
        <v>RNA-muscle</v>
      </c>
      <c r="C1404" s="10" t="str">
        <f t="shared" si="2"/>
        <v>BRN77M-A4</v>
      </c>
      <c r="D1404" s="6">
        <v>77.0</v>
      </c>
      <c r="E1404" s="10" t="str">
        <f t="shared" si="3"/>
        <v>BRN77M</v>
      </c>
      <c r="F1404" s="6" t="s">
        <v>76</v>
      </c>
      <c r="G1404" s="6">
        <v>4.0</v>
      </c>
      <c r="H1404" s="11" t="str">
        <f t="shared" si="4"/>
        <v>A4</v>
      </c>
      <c r="I1404" s="10" t="str">
        <f t="shared" si="5"/>
        <v>BRN77M-A4</v>
      </c>
      <c r="J1404" s="16"/>
      <c r="K1404" s="16" t="str">
        <f t="shared" si="6"/>
        <v>collected</v>
      </c>
      <c r="L1404" s="16" t="str">
        <f t="shared" si="7"/>
        <v>N</v>
      </c>
      <c r="M1404" s="16"/>
      <c r="N1404" s="16"/>
    </row>
    <row r="1405">
      <c r="A1405" s="27" t="s">
        <v>1944</v>
      </c>
      <c r="B1405" s="10" t="str">
        <f t="shared" si="1"/>
        <v>RNA-muscle</v>
      </c>
      <c r="C1405" s="10" t="str">
        <f t="shared" si="2"/>
        <v>BRN77M-H5</v>
      </c>
      <c r="D1405" s="6">
        <v>77.0</v>
      </c>
      <c r="E1405" s="10" t="str">
        <f t="shared" si="3"/>
        <v>BRN77M</v>
      </c>
      <c r="F1405" s="6" t="s">
        <v>51</v>
      </c>
      <c r="G1405" s="6">
        <v>5.0</v>
      </c>
      <c r="H1405" s="11" t="str">
        <f t="shared" si="4"/>
        <v>H5</v>
      </c>
      <c r="I1405" s="10" t="str">
        <f t="shared" si="5"/>
        <v>BRN77M-H5</v>
      </c>
      <c r="J1405" s="16"/>
      <c r="K1405" s="16" t="str">
        <f t="shared" si="6"/>
        <v>collected</v>
      </c>
      <c r="L1405" s="16" t="str">
        <f t="shared" si="7"/>
        <v>N</v>
      </c>
      <c r="M1405" s="16"/>
      <c r="N1405" s="16"/>
    </row>
    <row r="1406">
      <c r="A1406" s="27" t="s">
        <v>1945</v>
      </c>
      <c r="B1406" s="10" t="str">
        <f t="shared" si="1"/>
        <v>RNA-muscle</v>
      </c>
      <c r="C1406" s="10" t="str">
        <f t="shared" si="2"/>
        <v>BRN77M-G5</v>
      </c>
      <c r="D1406" s="6">
        <v>77.0</v>
      </c>
      <c r="E1406" s="10" t="str">
        <f t="shared" si="3"/>
        <v>BRN77M</v>
      </c>
      <c r="F1406" s="6" t="s">
        <v>56</v>
      </c>
      <c r="G1406" s="6">
        <v>5.0</v>
      </c>
      <c r="H1406" s="11" t="str">
        <f t="shared" si="4"/>
        <v>G5</v>
      </c>
      <c r="I1406" s="10" t="str">
        <f t="shared" si="5"/>
        <v>BRN77M-G5</v>
      </c>
      <c r="J1406" s="16"/>
      <c r="K1406" s="16" t="str">
        <f t="shared" si="6"/>
        <v>collected</v>
      </c>
      <c r="L1406" s="16" t="str">
        <f t="shared" si="7"/>
        <v>N</v>
      </c>
      <c r="M1406" s="16"/>
      <c r="N1406" s="16"/>
    </row>
    <row r="1407">
      <c r="A1407" s="27" t="s">
        <v>1946</v>
      </c>
      <c r="B1407" s="10" t="str">
        <f t="shared" si="1"/>
        <v>RNA-muscle</v>
      </c>
      <c r="C1407" s="10" t="str">
        <f t="shared" si="2"/>
        <v>BRN77M-F5</v>
      </c>
      <c r="D1407" s="6">
        <v>77.0</v>
      </c>
      <c r="E1407" s="10" t="str">
        <f t="shared" si="3"/>
        <v>BRN77M</v>
      </c>
      <c r="F1407" s="6" t="s">
        <v>61</v>
      </c>
      <c r="G1407" s="6">
        <v>5.0</v>
      </c>
      <c r="H1407" s="11" t="str">
        <f t="shared" si="4"/>
        <v>F5</v>
      </c>
      <c r="I1407" s="10" t="str">
        <f t="shared" si="5"/>
        <v>BRN77M-F5</v>
      </c>
      <c r="J1407" s="16"/>
      <c r="K1407" s="16" t="str">
        <f t="shared" si="6"/>
        <v>collected</v>
      </c>
      <c r="L1407" s="16" t="str">
        <f t="shared" si="7"/>
        <v>N</v>
      </c>
      <c r="M1407" s="16"/>
      <c r="N1407" s="16"/>
    </row>
    <row r="1408">
      <c r="A1408" s="27" t="s">
        <v>1947</v>
      </c>
      <c r="B1408" s="10" t="str">
        <f t="shared" si="1"/>
        <v>RNA-muscle</v>
      </c>
      <c r="C1408" s="10" t="str">
        <f t="shared" si="2"/>
        <v>BRN77M-E5</v>
      </c>
      <c r="D1408" s="6">
        <v>77.0</v>
      </c>
      <c r="E1408" s="10" t="str">
        <f t="shared" si="3"/>
        <v>BRN77M</v>
      </c>
      <c r="F1408" s="6" t="s">
        <v>66</v>
      </c>
      <c r="G1408" s="6">
        <v>5.0</v>
      </c>
      <c r="H1408" s="11" t="str">
        <f t="shared" si="4"/>
        <v>E5</v>
      </c>
      <c r="I1408" s="10" t="str">
        <f t="shared" si="5"/>
        <v>BRN77M-E5</v>
      </c>
      <c r="J1408" s="16"/>
      <c r="K1408" s="16" t="str">
        <f t="shared" si="6"/>
        <v>collected</v>
      </c>
      <c r="L1408" s="16" t="str">
        <f t="shared" si="7"/>
        <v>N</v>
      </c>
      <c r="M1408" s="16"/>
      <c r="N1408" s="16"/>
    </row>
    <row r="1409">
      <c r="A1409" s="27" t="s">
        <v>1948</v>
      </c>
      <c r="B1409" s="10" t="str">
        <f t="shared" si="1"/>
        <v>RNA-muscle</v>
      </c>
      <c r="C1409" s="10" t="str">
        <f t="shared" si="2"/>
        <v>BRN77M-D5</v>
      </c>
      <c r="D1409" s="6">
        <v>77.0</v>
      </c>
      <c r="E1409" s="10" t="str">
        <f t="shared" si="3"/>
        <v>BRN77M</v>
      </c>
      <c r="F1409" s="6" t="s">
        <v>68</v>
      </c>
      <c r="G1409" s="6">
        <v>5.0</v>
      </c>
      <c r="H1409" s="11" t="str">
        <f t="shared" si="4"/>
        <v>D5</v>
      </c>
      <c r="I1409" s="10" t="str">
        <f t="shared" si="5"/>
        <v>BRN77M-D5</v>
      </c>
      <c r="J1409" s="16"/>
      <c r="K1409" s="16" t="str">
        <f t="shared" si="6"/>
        <v>collected</v>
      </c>
      <c r="L1409" s="16" t="str">
        <f t="shared" si="7"/>
        <v>N</v>
      </c>
      <c r="M1409" s="16"/>
      <c r="N1409" s="16"/>
    </row>
    <row r="1410">
      <c r="A1410" s="27" t="s">
        <v>1949</v>
      </c>
      <c r="B1410" s="10" t="str">
        <f t="shared" si="1"/>
        <v>RNA-muscle</v>
      </c>
      <c r="C1410" s="10" t="str">
        <f t="shared" si="2"/>
        <v>BRN77M-C5</v>
      </c>
      <c r="D1410" s="6">
        <v>77.0</v>
      </c>
      <c r="E1410" s="10" t="str">
        <f t="shared" si="3"/>
        <v>BRN77M</v>
      </c>
      <c r="F1410" s="6" t="s">
        <v>72</v>
      </c>
      <c r="G1410" s="6">
        <v>5.0</v>
      </c>
      <c r="H1410" s="11" t="str">
        <f t="shared" si="4"/>
        <v>C5</v>
      </c>
      <c r="I1410" s="10" t="str">
        <f t="shared" si="5"/>
        <v>BRN77M-C5</v>
      </c>
      <c r="J1410" s="16"/>
      <c r="K1410" s="16" t="str">
        <f t="shared" si="6"/>
        <v>collected</v>
      </c>
      <c r="L1410" s="16" t="str">
        <f t="shared" si="7"/>
        <v>N</v>
      </c>
      <c r="M1410" s="16"/>
      <c r="N1410" s="16"/>
    </row>
    <row r="1411">
      <c r="A1411" s="27" t="s">
        <v>1950</v>
      </c>
      <c r="B1411" s="10" t="str">
        <f t="shared" si="1"/>
        <v>RNA-muscle</v>
      </c>
      <c r="C1411" s="10" t="str">
        <f t="shared" si="2"/>
        <v>BRN77M-B5</v>
      </c>
      <c r="D1411" s="6">
        <v>77.0</v>
      </c>
      <c r="E1411" s="10" t="str">
        <f t="shared" si="3"/>
        <v>BRN77M</v>
      </c>
      <c r="F1411" s="6" t="s">
        <v>74</v>
      </c>
      <c r="G1411" s="6">
        <v>5.0</v>
      </c>
      <c r="H1411" s="11" t="str">
        <f t="shared" si="4"/>
        <v>B5</v>
      </c>
      <c r="I1411" s="10" t="str">
        <f t="shared" si="5"/>
        <v>BRN77M-B5</v>
      </c>
      <c r="J1411" s="16"/>
      <c r="K1411" s="16" t="str">
        <f t="shared" si="6"/>
        <v>collected</v>
      </c>
      <c r="L1411" s="16" t="str">
        <f t="shared" si="7"/>
        <v>N</v>
      </c>
      <c r="M1411" s="16"/>
      <c r="N1411" s="16"/>
    </row>
    <row r="1412">
      <c r="A1412" s="27" t="s">
        <v>1951</v>
      </c>
      <c r="B1412" s="10" t="str">
        <f t="shared" si="1"/>
        <v>RNA-muscle</v>
      </c>
      <c r="C1412" s="10" t="str">
        <f t="shared" si="2"/>
        <v>BRN77M-A5</v>
      </c>
      <c r="D1412" s="6">
        <v>77.0</v>
      </c>
      <c r="E1412" s="10" t="str">
        <f t="shared" si="3"/>
        <v>BRN77M</v>
      </c>
      <c r="F1412" s="6" t="s">
        <v>76</v>
      </c>
      <c r="G1412" s="6">
        <v>5.0</v>
      </c>
      <c r="H1412" s="11" t="str">
        <f t="shared" si="4"/>
        <v>A5</v>
      </c>
      <c r="I1412" s="10" t="str">
        <f t="shared" si="5"/>
        <v>BRN77M-A5</v>
      </c>
      <c r="J1412" s="16"/>
      <c r="K1412" s="16" t="str">
        <f t="shared" si="6"/>
        <v>collected</v>
      </c>
      <c r="L1412" s="16" t="str">
        <f t="shared" si="7"/>
        <v>N</v>
      </c>
      <c r="M1412" s="16"/>
      <c r="N1412" s="16"/>
    </row>
    <row r="1413">
      <c r="A1413" s="27" t="s">
        <v>1952</v>
      </c>
      <c r="B1413" s="10" t="str">
        <f t="shared" si="1"/>
        <v>RNA-muscle</v>
      </c>
      <c r="C1413" s="10" t="str">
        <f t="shared" si="2"/>
        <v>BRN77M-G6</v>
      </c>
      <c r="D1413" s="6">
        <v>77.0</v>
      </c>
      <c r="E1413" s="10" t="str">
        <f t="shared" si="3"/>
        <v>BRN77M</v>
      </c>
      <c r="F1413" s="6" t="s">
        <v>56</v>
      </c>
      <c r="G1413" s="6">
        <v>6.0</v>
      </c>
      <c r="H1413" s="11" t="str">
        <f t="shared" si="4"/>
        <v>G6</v>
      </c>
      <c r="I1413" s="10" t="str">
        <f t="shared" si="5"/>
        <v>BRN77M-G6</v>
      </c>
      <c r="J1413" s="16"/>
      <c r="K1413" s="16" t="str">
        <f t="shared" si="6"/>
        <v>collected</v>
      </c>
      <c r="L1413" s="16" t="str">
        <f t="shared" si="7"/>
        <v>N</v>
      </c>
      <c r="M1413" s="16"/>
      <c r="N1413" s="16"/>
    </row>
    <row r="1414">
      <c r="A1414" s="27" t="s">
        <v>1953</v>
      </c>
      <c r="B1414" s="10" t="str">
        <f t="shared" si="1"/>
        <v>RNA-muscle</v>
      </c>
      <c r="C1414" s="10" t="str">
        <f t="shared" si="2"/>
        <v>BRN76M-D10</v>
      </c>
      <c r="D1414" s="6">
        <v>76.0</v>
      </c>
      <c r="E1414" s="10" t="str">
        <f t="shared" si="3"/>
        <v>BRN76M</v>
      </c>
      <c r="F1414" s="6" t="s">
        <v>68</v>
      </c>
      <c r="G1414" s="6">
        <v>10.0</v>
      </c>
      <c r="H1414" s="11" t="str">
        <f t="shared" si="4"/>
        <v>D10</v>
      </c>
      <c r="I1414" s="10" t="str">
        <f t="shared" si="5"/>
        <v>BRN76M-D10</v>
      </c>
      <c r="J1414" s="16"/>
      <c r="K1414" s="16" t="str">
        <f t="shared" si="6"/>
        <v>collected</v>
      </c>
      <c r="L1414" s="16" t="str">
        <f t="shared" si="7"/>
        <v>N</v>
      </c>
      <c r="M1414" s="16"/>
      <c r="N1414" s="16"/>
    </row>
    <row r="1415">
      <c r="A1415" s="27" t="s">
        <v>1954</v>
      </c>
      <c r="B1415" s="10" t="str">
        <f t="shared" si="1"/>
        <v>RNA-muscle</v>
      </c>
      <c r="C1415" s="10" t="str">
        <f t="shared" si="2"/>
        <v>BRN76M-C10</v>
      </c>
      <c r="D1415" s="6">
        <v>76.0</v>
      </c>
      <c r="E1415" s="10" t="str">
        <f t="shared" si="3"/>
        <v>BRN76M</v>
      </c>
      <c r="F1415" s="6" t="s">
        <v>72</v>
      </c>
      <c r="G1415" s="6">
        <v>10.0</v>
      </c>
      <c r="H1415" s="11" t="str">
        <f t="shared" si="4"/>
        <v>C10</v>
      </c>
      <c r="I1415" s="10" t="str">
        <f t="shared" si="5"/>
        <v>BRN76M-C10</v>
      </c>
      <c r="J1415" s="16"/>
      <c r="K1415" s="16" t="str">
        <f t="shared" si="6"/>
        <v>collected</v>
      </c>
      <c r="L1415" s="16" t="str">
        <f t="shared" si="7"/>
        <v>N</v>
      </c>
      <c r="M1415" s="16"/>
      <c r="N1415" s="16"/>
    </row>
    <row r="1416">
      <c r="A1416" s="27" t="s">
        <v>1955</v>
      </c>
      <c r="B1416" s="10" t="str">
        <f t="shared" si="1"/>
        <v>RNA-muscle</v>
      </c>
      <c r="C1416" s="10" t="str">
        <f t="shared" si="2"/>
        <v>BRN76M-B10</v>
      </c>
      <c r="D1416" s="6">
        <v>76.0</v>
      </c>
      <c r="E1416" s="10" t="str">
        <f t="shared" si="3"/>
        <v>BRN76M</v>
      </c>
      <c r="F1416" s="6" t="s">
        <v>74</v>
      </c>
      <c r="G1416" s="6">
        <v>10.0</v>
      </c>
      <c r="H1416" s="11" t="str">
        <f t="shared" si="4"/>
        <v>B10</v>
      </c>
      <c r="I1416" s="10" t="str">
        <f t="shared" si="5"/>
        <v>BRN76M-B10</v>
      </c>
      <c r="J1416" s="16"/>
      <c r="K1416" s="16" t="str">
        <f t="shared" si="6"/>
        <v>collected</v>
      </c>
      <c r="L1416" s="16" t="str">
        <f t="shared" si="7"/>
        <v>N</v>
      </c>
      <c r="M1416" s="16"/>
      <c r="N1416" s="16"/>
    </row>
    <row r="1417">
      <c r="A1417" s="27" t="s">
        <v>1956</v>
      </c>
      <c r="B1417" s="10" t="str">
        <f t="shared" si="1"/>
        <v>RNA-muscle</v>
      </c>
      <c r="C1417" s="10" t="str">
        <f t="shared" si="2"/>
        <v>BRN76M-A10</v>
      </c>
      <c r="D1417" s="6">
        <v>76.0</v>
      </c>
      <c r="E1417" s="10" t="str">
        <f t="shared" si="3"/>
        <v>BRN76M</v>
      </c>
      <c r="F1417" s="6" t="s">
        <v>76</v>
      </c>
      <c r="G1417" s="6">
        <v>10.0</v>
      </c>
      <c r="H1417" s="11" t="str">
        <f t="shared" si="4"/>
        <v>A10</v>
      </c>
      <c r="I1417" s="10" t="str">
        <f t="shared" si="5"/>
        <v>BRN76M-A10</v>
      </c>
      <c r="J1417" s="34" t="s">
        <v>1764</v>
      </c>
      <c r="K1417" s="16" t="str">
        <f t="shared" si="6"/>
        <v>collected</v>
      </c>
      <c r="L1417" s="16" t="str">
        <f t="shared" si="7"/>
        <v>N</v>
      </c>
      <c r="M1417" s="16"/>
      <c r="N1417" s="16"/>
    </row>
    <row r="1418">
      <c r="A1418" s="27" t="s">
        <v>1957</v>
      </c>
      <c r="B1418" s="10" t="str">
        <f t="shared" si="1"/>
        <v>RNA-muscle</v>
      </c>
      <c r="C1418" s="10" t="str">
        <f t="shared" si="2"/>
        <v>BRN76M-H11</v>
      </c>
      <c r="D1418" s="6">
        <v>76.0</v>
      </c>
      <c r="E1418" s="10" t="str">
        <f t="shared" si="3"/>
        <v>BRN76M</v>
      </c>
      <c r="F1418" s="6" t="s">
        <v>51</v>
      </c>
      <c r="G1418" s="6">
        <v>11.0</v>
      </c>
      <c r="H1418" s="11" t="str">
        <f t="shared" si="4"/>
        <v>H11</v>
      </c>
      <c r="I1418" s="10" t="str">
        <f t="shared" si="5"/>
        <v>BRN76M-H11</v>
      </c>
      <c r="J1418" s="35"/>
      <c r="K1418" s="16" t="str">
        <f t="shared" si="6"/>
        <v>collected</v>
      </c>
      <c r="L1418" s="16" t="str">
        <f t="shared" si="7"/>
        <v>N</v>
      </c>
      <c r="M1418" s="16"/>
      <c r="N1418" s="16"/>
    </row>
    <row r="1419">
      <c r="A1419" s="27" t="s">
        <v>1958</v>
      </c>
      <c r="B1419" s="10" t="str">
        <f t="shared" si="1"/>
        <v>RNA-muscle</v>
      </c>
      <c r="C1419" s="10" t="str">
        <f t="shared" si="2"/>
        <v>BRN76M-G11</v>
      </c>
      <c r="D1419" s="6">
        <v>76.0</v>
      </c>
      <c r="E1419" s="10" t="str">
        <f t="shared" si="3"/>
        <v>BRN76M</v>
      </c>
      <c r="F1419" s="6" t="s">
        <v>56</v>
      </c>
      <c r="G1419" s="6">
        <v>11.0</v>
      </c>
      <c r="H1419" s="11" t="str">
        <f t="shared" si="4"/>
        <v>G11</v>
      </c>
      <c r="I1419" s="10" t="str">
        <f t="shared" si="5"/>
        <v>BRN76M-G11</v>
      </c>
      <c r="J1419" s="16"/>
      <c r="K1419" s="16" t="str">
        <f t="shared" si="6"/>
        <v>collected</v>
      </c>
      <c r="L1419" s="16" t="str">
        <f t="shared" si="7"/>
        <v>N</v>
      </c>
      <c r="M1419" s="16"/>
      <c r="N1419" s="16"/>
    </row>
    <row r="1420">
      <c r="A1420" s="27" t="s">
        <v>1959</v>
      </c>
      <c r="B1420" s="10" t="str">
        <f t="shared" si="1"/>
        <v>RNA-muscle</v>
      </c>
      <c r="C1420" s="10" t="str">
        <f t="shared" si="2"/>
        <v>BRN76M-F11</v>
      </c>
      <c r="D1420" s="6">
        <v>76.0</v>
      </c>
      <c r="E1420" s="10" t="str">
        <f t="shared" si="3"/>
        <v>BRN76M</v>
      </c>
      <c r="F1420" s="6" t="s">
        <v>61</v>
      </c>
      <c r="G1420" s="6">
        <v>11.0</v>
      </c>
      <c r="H1420" s="11" t="str">
        <f t="shared" si="4"/>
        <v>F11</v>
      </c>
      <c r="I1420" s="10" t="str">
        <f t="shared" si="5"/>
        <v>BRN76M-F11</v>
      </c>
      <c r="J1420" s="16"/>
      <c r="K1420" s="16" t="str">
        <f t="shared" si="6"/>
        <v>collected</v>
      </c>
      <c r="L1420" s="16" t="str">
        <f t="shared" si="7"/>
        <v>N</v>
      </c>
      <c r="M1420" s="16"/>
      <c r="N1420" s="16"/>
    </row>
    <row r="1421">
      <c r="A1421" s="27" t="s">
        <v>1960</v>
      </c>
      <c r="B1421" s="10" t="str">
        <f t="shared" si="1"/>
        <v>RNA-muscle</v>
      </c>
      <c r="C1421" s="10" t="str">
        <f t="shared" si="2"/>
        <v>BRN76M-E11</v>
      </c>
      <c r="D1421" s="6">
        <v>76.0</v>
      </c>
      <c r="E1421" s="10" t="str">
        <f t="shared" si="3"/>
        <v>BRN76M</v>
      </c>
      <c r="F1421" s="6" t="s">
        <v>66</v>
      </c>
      <c r="G1421" s="6">
        <v>11.0</v>
      </c>
      <c r="H1421" s="11" t="str">
        <f t="shared" si="4"/>
        <v>E11</v>
      </c>
      <c r="I1421" s="10" t="str">
        <f t="shared" si="5"/>
        <v>BRN76M-E11</v>
      </c>
      <c r="J1421" s="16"/>
      <c r="K1421" s="16" t="str">
        <f t="shared" si="6"/>
        <v>collected</v>
      </c>
      <c r="L1421" s="16" t="str">
        <f t="shared" si="7"/>
        <v>N</v>
      </c>
      <c r="M1421" s="16"/>
      <c r="N1421" s="16"/>
    </row>
    <row r="1422">
      <c r="A1422" s="27" t="s">
        <v>1961</v>
      </c>
      <c r="B1422" s="10" t="str">
        <f t="shared" si="1"/>
        <v>RNA-muscle</v>
      </c>
      <c r="C1422" s="10" t="str">
        <f t="shared" si="2"/>
        <v>BRN76M-D11</v>
      </c>
      <c r="D1422" s="6">
        <v>76.0</v>
      </c>
      <c r="E1422" s="10" t="str">
        <f t="shared" si="3"/>
        <v>BRN76M</v>
      </c>
      <c r="F1422" s="6" t="s">
        <v>68</v>
      </c>
      <c r="G1422" s="6">
        <v>11.0</v>
      </c>
      <c r="H1422" s="11" t="str">
        <f t="shared" si="4"/>
        <v>D11</v>
      </c>
      <c r="I1422" s="10" t="str">
        <f t="shared" si="5"/>
        <v>BRN76M-D11</v>
      </c>
      <c r="J1422" s="16"/>
      <c r="K1422" s="16" t="str">
        <f t="shared" si="6"/>
        <v>collected</v>
      </c>
      <c r="L1422" s="16" t="str">
        <f t="shared" si="7"/>
        <v>N</v>
      </c>
      <c r="M1422" s="16"/>
      <c r="N1422" s="16"/>
    </row>
    <row r="1423">
      <c r="A1423" s="27" t="s">
        <v>1962</v>
      </c>
      <c r="B1423" s="10" t="str">
        <f t="shared" si="1"/>
        <v>RNA-muscle</v>
      </c>
      <c r="C1423" s="10" t="str">
        <f t="shared" si="2"/>
        <v>BRN76M-C11</v>
      </c>
      <c r="D1423" s="6">
        <v>76.0</v>
      </c>
      <c r="E1423" s="10" t="str">
        <f t="shared" si="3"/>
        <v>BRN76M</v>
      </c>
      <c r="F1423" s="6" t="s">
        <v>72</v>
      </c>
      <c r="G1423" s="6">
        <v>11.0</v>
      </c>
      <c r="H1423" s="11" t="str">
        <f t="shared" si="4"/>
        <v>C11</v>
      </c>
      <c r="I1423" s="10" t="str">
        <f t="shared" si="5"/>
        <v>BRN76M-C11</v>
      </c>
      <c r="J1423" s="16"/>
      <c r="K1423" s="16" t="str">
        <f t="shared" si="6"/>
        <v>collected</v>
      </c>
      <c r="L1423" s="16" t="str">
        <f t="shared" si="7"/>
        <v>N</v>
      </c>
      <c r="M1423" s="16"/>
      <c r="N1423" s="16"/>
    </row>
    <row r="1424">
      <c r="A1424" s="27" t="s">
        <v>1963</v>
      </c>
      <c r="B1424" s="10" t="str">
        <f t="shared" si="1"/>
        <v>RNA-muscle</v>
      </c>
      <c r="C1424" s="10" t="str">
        <f t="shared" si="2"/>
        <v>BRN76M-B11</v>
      </c>
      <c r="D1424" s="6">
        <v>76.0</v>
      </c>
      <c r="E1424" s="10" t="str">
        <f t="shared" si="3"/>
        <v>BRN76M</v>
      </c>
      <c r="F1424" s="6" t="s">
        <v>74</v>
      </c>
      <c r="G1424" s="6">
        <v>11.0</v>
      </c>
      <c r="H1424" s="11" t="str">
        <f t="shared" si="4"/>
        <v>B11</v>
      </c>
      <c r="I1424" s="10" t="str">
        <f t="shared" si="5"/>
        <v>BRN76M-B11</v>
      </c>
      <c r="J1424" s="16"/>
      <c r="K1424" s="16" t="str">
        <f t="shared" si="6"/>
        <v>collected</v>
      </c>
      <c r="L1424" s="16" t="str">
        <f t="shared" si="7"/>
        <v>N</v>
      </c>
      <c r="M1424" s="16"/>
      <c r="N1424" s="16"/>
    </row>
    <row r="1425">
      <c r="A1425" s="27" t="s">
        <v>1964</v>
      </c>
      <c r="B1425" s="10" t="str">
        <f t="shared" si="1"/>
        <v>RNA-muscle</v>
      </c>
      <c r="C1425" s="10" t="str">
        <f t="shared" si="2"/>
        <v>BRN76M-A11</v>
      </c>
      <c r="D1425" s="6">
        <v>76.0</v>
      </c>
      <c r="E1425" s="10" t="str">
        <f t="shared" si="3"/>
        <v>BRN76M</v>
      </c>
      <c r="F1425" s="6" t="s">
        <v>76</v>
      </c>
      <c r="G1425" s="6">
        <v>11.0</v>
      </c>
      <c r="H1425" s="11" t="str">
        <f t="shared" si="4"/>
        <v>A11</v>
      </c>
      <c r="I1425" s="10" t="str">
        <f t="shared" si="5"/>
        <v>BRN76M-A11</v>
      </c>
      <c r="J1425" s="16"/>
      <c r="K1425" s="16" t="str">
        <f t="shared" si="6"/>
        <v>collected</v>
      </c>
      <c r="L1425" s="16" t="str">
        <f t="shared" si="7"/>
        <v>N</v>
      </c>
      <c r="M1425" s="16"/>
      <c r="N1425" s="16"/>
    </row>
    <row r="1426">
      <c r="A1426" s="27" t="s">
        <v>1965</v>
      </c>
      <c r="B1426" s="10" t="str">
        <f t="shared" si="1"/>
        <v>RNA-muscle</v>
      </c>
      <c r="C1426" s="10" t="str">
        <f t="shared" si="2"/>
        <v>BRN77M-H2</v>
      </c>
      <c r="D1426" s="6">
        <v>77.0</v>
      </c>
      <c r="E1426" s="10" t="str">
        <f t="shared" si="3"/>
        <v>BRN77M</v>
      </c>
      <c r="F1426" s="6" t="s">
        <v>51</v>
      </c>
      <c r="G1426" s="6">
        <v>2.0</v>
      </c>
      <c r="H1426" s="11" t="str">
        <f t="shared" si="4"/>
        <v>H2</v>
      </c>
      <c r="I1426" s="10" t="str">
        <f t="shared" si="5"/>
        <v>BRN77M-H2</v>
      </c>
      <c r="J1426" s="16"/>
      <c r="K1426" s="16" t="str">
        <f t="shared" si="6"/>
        <v>collected</v>
      </c>
      <c r="L1426" s="16" t="str">
        <f t="shared" si="7"/>
        <v>N</v>
      </c>
      <c r="M1426" s="16"/>
      <c r="N1426" s="16"/>
    </row>
    <row r="1427">
      <c r="A1427" s="27" t="s">
        <v>1966</v>
      </c>
      <c r="B1427" s="10" t="str">
        <f t="shared" si="1"/>
        <v>RNA-muscle</v>
      </c>
      <c r="C1427" s="10" t="str">
        <f t="shared" si="2"/>
        <v>BRN77M-G2</v>
      </c>
      <c r="D1427" s="6">
        <v>77.0</v>
      </c>
      <c r="E1427" s="10" t="str">
        <f t="shared" si="3"/>
        <v>BRN77M</v>
      </c>
      <c r="F1427" s="6" t="s">
        <v>56</v>
      </c>
      <c r="G1427" s="6">
        <v>2.0</v>
      </c>
      <c r="H1427" s="11" t="str">
        <f t="shared" si="4"/>
        <v>G2</v>
      </c>
      <c r="I1427" s="10" t="str">
        <f t="shared" si="5"/>
        <v>BRN77M-G2</v>
      </c>
      <c r="J1427" s="16"/>
      <c r="K1427" s="16" t="str">
        <f t="shared" si="6"/>
        <v>collected</v>
      </c>
      <c r="L1427" s="16" t="str">
        <f t="shared" si="7"/>
        <v>N</v>
      </c>
      <c r="M1427" s="16"/>
      <c r="N1427" s="16"/>
    </row>
    <row r="1428">
      <c r="A1428" s="27" t="s">
        <v>1967</v>
      </c>
      <c r="B1428" s="10" t="str">
        <f t="shared" si="1"/>
        <v>RNA-muscle</v>
      </c>
      <c r="C1428" s="10" t="str">
        <f t="shared" si="2"/>
        <v>BRN77M-F2</v>
      </c>
      <c r="D1428" s="6">
        <v>77.0</v>
      </c>
      <c r="E1428" s="10" t="str">
        <f t="shared" si="3"/>
        <v>BRN77M</v>
      </c>
      <c r="F1428" s="6" t="s">
        <v>61</v>
      </c>
      <c r="G1428" s="6">
        <v>2.0</v>
      </c>
      <c r="H1428" s="11" t="str">
        <f t="shared" si="4"/>
        <v>F2</v>
      </c>
      <c r="I1428" s="10" t="str">
        <f t="shared" si="5"/>
        <v>BRN77M-F2</v>
      </c>
      <c r="J1428" s="16"/>
      <c r="K1428" s="16" t="str">
        <f t="shared" si="6"/>
        <v>collected</v>
      </c>
      <c r="L1428" s="16" t="str">
        <f t="shared" si="7"/>
        <v>N</v>
      </c>
      <c r="M1428" s="16"/>
      <c r="N1428" s="16"/>
    </row>
    <row r="1429">
      <c r="A1429" s="27" t="s">
        <v>1968</v>
      </c>
      <c r="B1429" s="10" t="str">
        <f t="shared" si="1"/>
        <v>RNA-muscle</v>
      </c>
      <c r="C1429" s="10" t="str">
        <f t="shared" si="2"/>
        <v>BRN77M-E2</v>
      </c>
      <c r="D1429" s="6">
        <v>77.0</v>
      </c>
      <c r="E1429" s="10" t="str">
        <f t="shared" si="3"/>
        <v>BRN77M</v>
      </c>
      <c r="F1429" s="6" t="s">
        <v>66</v>
      </c>
      <c r="G1429" s="6">
        <v>2.0</v>
      </c>
      <c r="H1429" s="11" t="str">
        <f t="shared" si="4"/>
        <v>E2</v>
      </c>
      <c r="I1429" s="10" t="str">
        <f t="shared" si="5"/>
        <v>BRN77M-E2</v>
      </c>
      <c r="J1429" s="16"/>
      <c r="K1429" s="16" t="str">
        <f t="shared" si="6"/>
        <v>collected</v>
      </c>
      <c r="L1429" s="16" t="str">
        <f t="shared" si="7"/>
        <v>N</v>
      </c>
      <c r="M1429" s="16"/>
      <c r="N1429" s="16"/>
    </row>
    <row r="1430">
      <c r="A1430" s="27" t="s">
        <v>1969</v>
      </c>
      <c r="B1430" s="10" t="str">
        <f t="shared" si="1"/>
        <v>RNA-muscle</v>
      </c>
      <c r="C1430" s="10" t="str">
        <f t="shared" si="2"/>
        <v>BRN77M-D2</v>
      </c>
      <c r="D1430" s="6">
        <v>77.0</v>
      </c>
      <c r="E1430" s="10" t="str">
        <f t="shared" si="3"/>
        <v>BRN77M</v>
      </c>
      <c r="F1430" s="6" t="s">
        <v>68</v>
      </c>
      <c r="G1430" s="6">
        <v>2.0</v>
      </c>
      <c r="H1430" s="11" t="str">
        <f t="shared" si="4"/>
        <v>D2</v>
      </c>
      <c r="I1430" s="10" t="str">
        <f t="shared" si="5"/>
        <v>BRN77M-D2</v>
      </c>
      <c r="J1430" s="16"/>
      <c r="K1430" s="16" t="str">
        <f t="shared" si="6"/>
        <v>collected</v>
      </c>
      <c r="L1430" s="16" t="str">
        <f t="shared" si="7"/>
        <v>N</v>
      </c>
      <c r="M1430" s="16"/>
      <c r="N1430" s="16"/>
    </row>
    <row r="1431">
      <c r="A1431" s="27" t="s">
        <v>1970</v>
      </c>
      <c r="B1431" s="10" t="str">
        <f t="shared" si="1"/>
        <v>RNA-muscle</v>
      </c>
      <c r="C1431" s="10" t="str">
        <f t="shared" si="2"/>
        <v>BRN77M-C2</v>
      </c>
      <c r="D1431" s="6">
        <v>77.0</v>
      </c>
      <c r="E1431" s="10" t="str">
        <f t="shared" si="3"/>
        <v>BRN77M</v>
      </c>
      <c r="F1431" s="6" t="s">
        <v>72</v>
      </c>
      <c r="G1431" s="6">
        <v>2.0</v>
      </c>
      <c r="H1431" s="11" t="str">
        <f t="shared" si="4"/>
        <v>C2</v>
      </c>
      <c r="I1431" s="10" t="str">
        <f t="shared" si="5"/>
        <v>BRN77M-C2</v>
      </c>
      <c r="J1431" s="16"/>
      <c r="K1431" s="16" t="str">
        <f t="shared" si="6"/>
        <v>collected</v>
      </c>
      <c r="L1431" s="16" t="str">
        <f t="shared" si="7"/>
        <v>N</v>
      </c>
      <c r="M1431" s="16"/>
      <c r="N1431" s="16"/>
    </row>
    <row r="1432">
      <c r="A1432" s="27" t="s">
        <v>1971</v>
      </c>
      <c r="B1432" s="10" t="str">
        <f t="shared" si="1"/>
        <v>RNA-muscle</v>
      </c>
      <c r="C1432" s="10" t="str">
        <f t="shared" si="2"/>
        <v>BRN77M-B2</v>
      </c>
      <c r="D1432" s="6">
        <v>77.0</v>
      </c>
      <c r="E1432" s="10" t="str">
        <f t="shared" si="3"/>
        <v>BRN77M</v>
      </c>
      <c r="F1432" s="6" t="s">
        <v>74</v>
      </c>
      <c r="G1432" s="6">
        <v>2.0</v>
      </c>
      <c r="H1432" s="11" t="str">
        <f t="shared" si="4"/>
        <v>B2</v>
      </c>
      <c r="I1432" s="10" t="str">
        <f t="shared" si="5"/>
        <v>BRN77M-B2</v>
      </c>
      <c r="J1432" s="16"/>
      <c r="K1432" s="16" t="str">
        <f t="shared" si="6"/>
        <v>collected</v>
      </c>
      <c r="L1432" s="16" t="str">
        <f t="shared" si="7"/>
        <v>N</v>
      </c>
      <c r="M1432" s="16"/>
      <c r="N1432" s="16"/>
    </row>
    <row r="1433">
      <c r="A1433" s="27" t="s">
        <v>1972</v>
      </c>
      <c r="B1433" s="10" t="str">
        <f t="shared" si="1"/>
        <v>RNA-muscle</v>
      </c>
      <c r="C1433" s="10" t="str">
        <f t="shared" si="2"/>
        <v>BRN77M-A2</v>
      </c>
      <c r="D1433" s="6">
        <v>77.0</v>
      </c>
      <c r="E1433" s="10" t="str">
        <f t="shared" si="3"/>
        <v>BRN77M</v>
      </c>
      <c r="F1433" s="6" t="s">
        <v>76</v>
      </c>
      <c r="G1433" s="6">
        <v>2.0</v>
      </c>
      <c r="H1433" s="11" t="str">
        <f t="shared" si="4"/>
        <v>A2</v>
      </c>
      <c r="I1433" s="10" t="str">
        <f t="shared" si="5"/>
        <v>BRN77M-A2</v>
      </c>
      <c r="J1433" s="16"/>
      <c r="K1433" s="16" t="str">
        <f t="shared" si="6"/>
        <v>collected</v>
      </c>
      <c r="L1433" s="16" t="str">
        <f t="shared" si="7"/>
        <v>N</v>
      </c>
      <c r="M1433" s="16"/>
      <c r="N1433" s="16"/>
    </row>
    <row r="1434">
      <c r="A1434" s="27" t="s">
        <v>1973</v>
      </c>
      <c r="B1434" s="10" t="str">
        <f t="shared" si="1"/>
        <v>RNA-muscle</v>
      </c>
      <c r="C1434" s="10" t="str">
        <f t="shared" si="2"/>
        <v>BRN77M-H3</v>
      </c>
      <c r="D1434" s="6">
        <v>77.0</v>
      </c>
      <c r="E1434" s="10" t="str">
        <f t="shared" si="3"/>
        <v>BRN77M</v>
      </c>
      <c r="F1434" s="6" t="s">
        <v>51</v>
      </c>
      <c r="G1434" s="6">
        <v>3.0</v>
      </c>
      <c r="H1434" s="11" t="str">
        <f t="shared" si="4"/>
        <v>H3</v>
      </c>
      <c r="I1434" s="10" t="str">
        <f t="shared" si="5"/>
        <v>BRN77M-H3</v>
      </c>
      <c r="J1434" s="16"/>
      <c r="K1434" s="16" t="str">
        <f t="shared" si="6"/>
        <v>collected</v>
      </c>
      <c r="L1434" s="16" t="str">
        <f t="shared" si="7"/>
        <v>N</v>
      </c>
      <c r="M1434" s="16"/>
      <c r="N1434" s="16"/>
    </row>
    <row r="1435">
      <c r="A1435" s="27" t="s">
        <v>1974</v>
      </c>
      <c r="B1435" s="10" t="str">
        <f t="shared" si="1"/>
        <v>RNA-muscle</v>
      </c>
      <c r="C1435" s="10" t="str">
        <f t="shared" si="2"/>
        <v>BRN77M-G3</v>
      </c>
      <c r="D1435" s="6">
        <v>77.0</v>
      </c>
      <c r="E1435" s="10" t="str">
        <f t="shared" si="3"/>
        <v>BRN77M</v>
      </c>
      <c r="F1435" s="6" t="s">
        <v>56</v>
      </c>
      <c r="G1435" s="6">
        <v>3.0</v>
      </c>
      <c r="H1435" s="11" t="str">
        <f t="shared" si="4"/>
        <v>G3</v>
      </c>
      <c r="I1435" s="10" t="str">
        <f t="shared" si="5"/>
        <v>BRN77M-G3</v>
      </c>
      <c r="J1435" s="16"/>
      <c r="K1435" s="16" t="str">
        <f t="shared" si="6"/>
        <v>collected</v>
      </c>
      <c r="L1435" s="16" t="str">
        <f t="shared" si="7"/>
        <v>N</v>
      </c>
      <c r="M1435" s="16"/>
      <c r="N1435" s="16"/>
    </row>
    <row r="1436">
      <c r="A1436" s="27" t="s">
        <v>1975</v>
      </c>
      <c r="B1436" s="10" t="str">
        <f t="shared" si="1"/>
        <v>RNA-muscle</v>
      </c>
      <c r="C1436" s="10" t="str">
        <f t="shared" si="2"/>
        <v>BRN77M-F3</v>
      </c>
      <c r="D1436" s="6">
        <v>77.0</v>
      </c>
      <c r="E1436" s="10" t="str">
        <f t="shared" si="3"/>
        <v>BRN77M</v>
      </c>
      <c r="F1436" s="6" t="s">
        <v>61</v>
      </c>
      <c r="G1436" s="6">
        <v>3.0</v>
      </c>
      <c r="H1436" s="11" t="str">
        <f t="shared" si="4"/>
        <v>F3</v>
      </c>
      <c r="I1436" s="10" t="str">
        <f t="shared" si="5"/>
        <v>BRN77M-F3</v>
      </c>
      <c r="J1436" s="16"/>
      <c r="K1436" s="16" t="str">
        <f t="shared" si="6"/>
        <v>collected</v>
      </c>
      <c r="L1436" s="16" t="str">
        <f t="shared" si="7"/>
        <v>N</v>
      </c>
      <c r="M1436" s="16"/>
      <c r="N1436" s="16"/>
    </row>
    <row r="1437">
      <c r="A1437" s="27" t="s">
        <v>1976</v>
      </c>
      <c r="B1437" s="10" t="str">
        <f t="shared" si="1"/>
        <v>RNA-muscle</v>
      </c>
      <c r="C1437" s="10" t="str">
        <f t="shared" si="2"/>
        <v>BRN77M-E3</v>
      </c>
      <c r="D1437" s="6">
        <v>77.0</v>
      </c>
      <c r="E1437" s="10" t="str">
        <f t="shared" si="3"/>
        <v>BRN77M</v>
      </c>
      <c r="F1437" s="6" t="s">
        <v>66</v>
      </c>
      <c r="G1437" s="6">
        <v>3.0</v>
      </c>
      <c r="H1437" s="11" t="str">
        <f t="shared" si="4"/>
        <v>E3</v>
      </c>
      <c r="I1437" s="10" t="str">
        <f t="shared" si="5"/>
        <v>BRN77M-E3</v>
      </c>
      <c r="J1437" s="16"/>
      <c r="K1437" s="16" t="str">
        <f t="shared" si="6"/>
        <v>collected</v>
      </c>
      <c r="L1437" s="16" t="str">
        <f t="shared" si="7"/>
        <v>N</v>
      </c>
      <c r="M1437" s="16"/>
      <c r="N1437" s="16"/>
    </row>
    <row r="1438">
      <c r="A1438" s="27" t="s">
        <v>1977</v>
      </c>
      <c r="B1438" s="10" t="str">
        <f t="shared" si="1"/>
        <v>RNA-muscle</v>
      </c>
      <c r="C1438" s="10" t="str">
        <f t="shared" si="2"/>
        <v>BRN77M-D3</v>
      </c>
      <c r="D1438" s="6">
        <v>77.0</v>
      </c>
      <c r="E1438" s="10" t="str">
        <f t="shared" si="3"/>
        <v>BRN77M</v>
      </c>
      <c r="F1438" s="6" t="s">
        <v>68</v>
      </c>
      <c r="G1438" s="6">
        <v>3.0</v>
      </c>
      <c r="H1438" s="11" t="str">
        <f t="shared" si="4"/>
        <v>D3</v>
      </c>
      <c r="I1438" s="10" t="str">
        <f t="shared" si="5"/>
        <v>BRN77M-D3</v>
      </c>
      <c r="J1438" s="16"/>
      <c r="K1438" s="16" t="str">
        <f t="shared" si="6"/>
        <v>collected</v>
      </c>
      <c r="L1438" s="16" t="str">
        <f t="shared" si="7"/>
        <v>N</v>
      </c>
      <c r="M1438" s="16"/>
      <c r="N1438" s="16"/>
    </row>
    <row r="1439">
      <c r="A1439" s="27" t="s">
        <v>1978</v>
      </c>
      <c r="B1439" s="10" t="str">
        <f t="shared" si="1"/>
        <v>RNA-muscle</v>
      </c>
      <c r="C1439" s="10" t="str">
        <f t="shared" si="2"/>
        <v>BRN77M-C3</v>
      </c>
      <c r="D1439" s="6">
        <v>77.0</v>
      </c>
      <c r="E1439" s="10" t="str">
        <f t="shared" si="3"/>
        <v>BRN77M</v>
      </c>
      <c r="F1439" s="6" t="s">
        <v>72</v>
      </c>
      <c r="G1439" s="6">
        <v>3.0</v>
      </c>
      <c r="H1439" s="11" t="str">
        <f t="shared" si="4"/>
        <v>C3</v>
      </c>
      <c r="I1439" s="10" t="str">
        <f t="shared" si="5"/>
        <v>BRN77M-C3</v>
      </c>
      <c r="J1439" s="16"/>
      <c r="K1439" s="16" t="str">
        <f t="shared" si="6"/>
        <v>collected</v>
      </c>
      <c r="L1439" s="16" t="str">
        <f t="shared" si="7"/>
        <v>N</v>
      </c>
      <c r="M1439" s="16"/>
      <c r="N1439" s="16"/>
    </row>
    <row r="1440">
      <c r="A1440" s="27" t="s">
        <v>1979</v>
      </c>
      <c r="B1440" s="10" t="str">
        <f t="shared" si="1"/>
        <v>RNA-muscle</v>
      </c>
      <c r="C1440" s="10" t="str">
        <f t="shared" si="2"/>
        <v>BRN77M-B3</v>
      </c>
      <c r="D1440" s="6">
        <v>77.0</v>
      </c>
      <c r="E1440" s="10" t="str">
        <f t="shared" si="3"/>
        <v>BRN77M</v>
      </c>
      <c r="F1440" s="6" t="s">
        <v>74</v>
      </c>
      <c r="G1440" s="6">
        <v>3.0</v>
      </c>
      <c r="H1440" s="11" t="str">
        <f t="shared" si="4"/>
        <v>B3</v>
      </c>
      <c r="I1440" s="10" t="str">
        <f t="shared" si="5"/>
        <v>BRN77M-B3</v>
      </c>
      <c r="J1440" s="16"/>
      <c r="K1440" s="16" t="str">
        <f t="shared" si="6"/>
        <v>collected</v>
      </c>
      <c r="L1440" s="16" t="str">
        <f t="shared" si="7"/>
        <v>N</v>
      </c>
      <c r="M1440" s="16"/>
      <c r="N1440" s="16"/>
    </row>
    <row r="1441">
      <c r="A1441" s="27" t="s">
        <v>1980</v>
      </c>
      <c r="B1441" s="10" t="str">
        <f t="shared" si="1"/>
        <v>RNA-muscle</v>
      </c>
      <c r="C1441" s="10" t="str">
        <f t="shared" si="2"/>
        <v>BRN77M-A3</v>
      </c>
      <c r="D1441" s="6">
        <v>77.0</v>
      </c>
      <c r="E1441" s="10" t="str">
        <f t="shared" si="3"/>
        <v>BRN77M</v>
      </c>
      <c r="F1441" s="6" t="s">
        <v>76</v>
      </c>
      <c r="G1441" s="6">
        <v>3.0</v>
      </c>
      <c r="H1441" s="11" t="str">
        <f t="shared" si="4"/>
        <v>A3</v>
      </c>
      <c r="I1441" s="10" t="str">
        <f t="shared" si="5"/>
        <v>BRN77M-A3</v>
      </c>
      <c r="J1441" s="16"/>
      <c r="K1441" s="16" t="str">
        <f t="shared" si="6"/>
        <v>collected</v>
      </c>
      <c r="L1441" s="16" t="str">
        <f t="shared" si="7"/>
        <v>N</v>
      </c>
      <c r="M1441" s="16"/>
      <c r="N1441" s="16"/>
    </row>
    <row r="1442">
      <c r="A1442" s="27" t="s">
        <v>1981</v>
      </c>
      <c r="B1442" s="10" t="str">
        <f t="shared" si="1"/>
        <v>RNA-muscle</v>
      </c>
      <c r="C1442" s="10" t="str">
        <f t="shared" si="2"/>
        <v>BRN77M-B6</v>
      </c>
      <c r="D1442" s="6">
        <v>77.0</v>
      </c>
      <c r="E1442" s="10" t="str">
        <f t="shared" si="3"/>
        <v>BRN77M</v>
      </c>
      <c r="F1442" s="6" t="s">
        <v>74</v>
      </c>
      <c r="G1442" s="6">
        <v>6.0</v>
      </c>
      <c r="H1442" s="11" t="str">
        <f t="shared" si="4"/>
        <v>B6</v>
      </c>
      <c r="I1442" s="10" t="str">
        <f t="shared" si="5"/>
        <v>BRN77M-B6</v>
      </c>
      <c r="J1442" s="16"/>
      <c r="K1442" s="16" t="str">
        <f t="shared" si="6"/>
        <v>collected</v>
      </c>
      <c r="L1442" s="16" t="str">
        <f t="shared" si="7"/>
        <v>N</v>
      </c>
      <c r="M1442" s="16"/>
      <c r="N1442" s="16"/>
    </row>
    <row r="1443">
      <c r="A1443" s="27" t="s">
        <v>1982</v>
      </c>
      <c r="B1443" s="10" t="str">
        <f t="shared" si="1"/>
        <v>RNA-muscle</v>
      </c>
      <c r="C1443" s="10" t="str">
        <f t="shared" si="2"/>
        <v>BRN77M-A6</v>
      </c>
      <c r="D1443" s="6">
        <v>77.0</v>
      </c>
      <c r="E1443" s="10" t="str">
        <f t="shared" si="3"/>
        <v>BRN77M</v>
      </c>
      <c r="F1443" s="6" t="s">
        <v>76</v>
      </c>
      <c r="G1443" s="6">
        <v>6.0</v>
      </c>
      <c r="H1443" s="11" t="str">
        <f t="shared" si="4"/>
        <v>A6</v>
      </c>
      <c r="I1443" s="10" t="str">
        <f t="shared" si="5"/>
        <v>BRN77M-A6</v>
      </c>
      <c r="J1443" s="16"/>
      <c r="K1443" s="16" t="str">
        <f t="shared" si="6"/>
        <v>collected</v>
      </c>
      <c r="L1443" s="16" t="str">
        <f t="shared" si="7"/>
        <v>N</v>
      </c>
      <c r="M1443" s="16"/>
      <c r="N1443" s="16"/>
    </row>
    <row r="1444">
      <c r="A1444" s="27" t="s">
        <v>1983</v>
      </c>
      <c r="B1444" s="10" t="str">
        <f t="shared" si="1"/>
        <v>RNA-muscle</v>
      </c>
      <c r="C1444" s="10" t="str">
        <f t="shared" si="2"/>
        <v>BRN77M-H7</v>
      </c>
      <c r="D1444" s="6">
        <v>77.0</v>
      </c>
      <c r="E1444" s="10" t="str">
        <f t="shared" si="3"/>
        <v>BRN77M</v>
      </c>
      <c r="F1444" s="6" t="s">
        <v>51</v>
      </c>
      <c r="G1444" s="6">
        <v>7.0</v>
      </c>
      <c r="H1444" s="11" t="str">
        <f t="shared" si="4"/>
        <v>H7</v>
      </c>
      <c r="I1444" s="10" t="str">
        <f t="shared" si="5"/>
        <v>BRN77M-H7</v>
      </c>
      <c r="J1444" s="16"/>
      <c r="K1444" s="16" t="str">
        <f t="shared" si="6"/>
        <v>collected</v>
      </c>
      <c r="L1444" s="16" t="str">
        <f t="shared" si="7"/>
        <v>N</v>
      </c>
      <c r="M1444" s="16"/>
      <c r="N1444" s="16"/>
    </row>
    <row r="1445">
      <c r="A1445" s="27" t="s">
        <v>1984</v>
      </c>
      <c r="B1445" s="10" t="str">
        <f t="shared" si="1"/>
        <v>RNA-muscle</v>
      </c>
      <c r="C1445" s="10" t="str">
        <f t="shared" si="2"/>
        <v>BRN77M-G7</v>
      </c>
      <c r="D1445" s="6">
        <v>77.0</v>
      </c>
      <c r="E1445" s="10" t="str">
        <f t="shared" si="3"/>
        <v>BRN77M</v>
      </c>
      <c r="F1445" s="6" t="s">
        <v>56</v>
      </c>
      <c r="G1445" s="6">
        <v>7.0</v>
      </c>
      <c r="H1445" s="11" t="str">
        <f t="shared" si="4"/>
        <v>G7</v>
      </c>
      <c r="I1445" s="10" t="str">
        <f t="shared" si="5"/>
        <v>BRN77M-G7</v>
      </c>
      <c r="J1445" s="16"/>
      <c r="K1445" s="16" t="str">
        <f t="shared" si="6"/>
        <v>collected</v>
      </c>
      <c r="L1445" s="16" t="str">
        <f t="shared" si="7"/>
        <v>N</v>
      </c>
      <c r="M1445" s="16"/>
      <c r="N1445" s="16"/>
    </row>
    <row r="1446">
      <c r="A1446" s="27" t="s">
        <v>1985</v>
      </c>
      <c r="B1446" s="10" t="str">
        <f t="shared" si="1"/>
        <v>RNA-muscle</v>
      </c>
      <c r="C1446" s="10" t="str">
        <f t="shared" si="2"/>
        <v>BRN77M-F7</v>
      </c>
      <c r="D1446" s="6">
        <v>77.0</v>
      </c>
      <c r="E1446" s="10" t="str">
        <f t="shared" si="3"/>
        <v>BRN77M</v>
      </c>
      <c r="F1446" s="6" t="s">
        <v>61</v>
      </c>
      <c r="G1446" s="6">
        <v>7.0</v>
      </c>
      <c r="H1446" s="11" t="str">
        <f t="shared" si="4"/>
        <v>F7</v>
      </c>
      <c r="I1446" s="10" t="str">
        <f t="shared" si="5"/>
        <v>BRN77M-F7</v>
      </c>
      <c r="J1446" s="6" t="s">
        <v>1986</v>
      </c>
      <c r="K1446" s="16" t="str">
        <f t="shared" si="6"/>
        <v>collected</v>
      </c>
      <c r="L1446" s="16" t="str">
        <f t="shared" si="7"/>
        <v>N</v>
      </c>
      <c r="M1446" s="16"/>
      <c r="N1446" s="16"/>
    </row>
    <row r="1447">
      <c r="A1447" s="27" t="s">
        <v>1987</v>
      </c>
      <c r="B1447" s="10" t="str">
        <f t="shared" si="1"/>
        <v>RNA-muscle</v>
      </c>
      <c r="C1447" s="10" t="str">
        <f t="shared" si="2"/>
        <v>BRN77M-E7</v>
      </c>
      <c r="D1447" s="6">
        <v>77.0</v>
      </c>
      <c r="E1447" s="10" t="str">
        <f t="shared" si="3"/>
        <v>BRN77M</v>
      </c>
      <c r="F1447" s="6" t="s">
        <v>66</v>
      </c>
      <c r="G1447" s="6">
        <v>7.0</v>
      </c>
      <c r="H1447" s="11" t="str">
        <f t="shared" si="4"/>
        <v>E7</v>
      </c>
      <c r="I1447" s="10" t="str">
        <f t="shared" si="5"/>
        <v>BRN77M-E7</v>
      </c>
      <c r="J1447" s="16"/>
      <c r="K1447" s="16" t="str">
        <f t="shared" si="6"/>
        <v>collected</v>
      </c>
      <c r="L1447" s="16" t="str">
        <f t="shared" si="7"/>
        <v>N</v>
      </c>
      <c r="M1447" s="16"/>
      <c r="N1447" s="16"/>
    </row>
    <row r="1448">
      <c r="A1448" s="27" t="s">
        <v>1988</v>
      </c>
      <c r="B1448" s="10" t="str">
        <f t="shared" si="1"/>
        <v>RNA-muscle</v>
      </c>
      <c r="C1448" s="10" t="str">
        <f t="shared" si="2"/>
        <v>BRN77M-D7</v>
      </c>
      <c r="D1448" s="6">
        <v>77.0</v>
      </c>
      <c r="E1448" s="10" t="str">
        <f t="shared" si="3"/>
        <v>BRN77M</v>
      </c>
      <c r="F1448" s="6" t="s">
        <v>68</v>
      </c>
      <c r="G1448" s="6">
        <v>7.0</v>
      </c>
      <c r="H1448" s="11" t="str">
        <f t="shared" si="4"/>
        <v>D7</v>
      </c>
      <c r="I1448" s="10" t="str">
        <f t="shared" si="5"/>
        <v>BRN77M-D7</v>
      </c>
      <c r="J1448" s="16"/>
      <c r="K1448" s="16" t="str">
        <f t="shared" si="6"/>
        <v>collected</v>
      </c>
      <c r="L1448" s="16" t="str">
        <f t="shared" si="7"/>
        <v>N</v>
      </c>
      <c r="M1448" s="16"/>
      <c r="N1448" s="16"/>
    </row>
    <row r="1449">
      <c r="A1449" s="27" t="s">
        <v>1989</v>
      </c>
      <c r="B1449" s="10" t="str">
        <f t="shared" si="1"/>
        <v>RNA-muscle</v>
      </c>
      <c r="C1449" s="10" t="str">
        <f t="shared" si="2"/>
        <v>BRN77M-C7</v>
      </c>
      <c r="D1449" s="6">
        <v>77.0</v>
      </c>
      <c r="E1449" s="10" t="str">
        <f t="shared" si="3"/>
        <v>BRN77M</v>
      </c>
      <c r="F1449" s="6" t="s">
        <v>72</v>
      </c>
      <c r="G1449" s="6">
        <v>7.0</v>
      </c>
      <c r="H1449" s="11" t="str">
        <f t="shared" si="4"/>
        <v>C7</v>
      </c>
      <c r="I1449" s="10" t="str">
        <f t="shared" si="5"/>
        <v>BRN77M-C7</v>
      </c>
      <c r="J1449" s="16"/>
      <c r="K1449" s="16" t="str">
        <f t="shared" si="6"/>
        <v>collected</v>
      </c>
      <c r="L1449" s="16" t="str">
        <f t="shared" si="7"/>
        <v>N</v>
      </c>
      <c r="M1449" s="16"/>
      <c r="N1449" s="16"/>
    </row>
    <row r="1450">
      <c r="A1450" s="27" t="s">
        <v>1990</v>
      </c>
      <c r="B1450" s="10" t="str">
        <f t="shared" si="1"/>
        <v>RNA-muscle</v>
      </c>
      <c r="C1450" s="10" t="str">
        <f t="shared" si="2"/>
        <v>BRN77M-B7</v>
      </c>
      <c r="D1450" s="6">
        <v>77.0</v>
      </c>
      <c r="E1450" s="10" t="str">
        <f t="shared" si="3"/>
        <v>BRN77M</v>
      </c>
      <c r="F1450" s="6" t="s">
        <v>74</v>
      </c>
      <c r="G1450" s="6">
        <v>7.0</v>
      </c>
      <c r="H1450" s="11" t="str">
        <f t="shared" si="4"/>
        <v>B7</v>
      </c>
      <c r="I1450" s="10" t="str">
        <f t="shared" si="5"/>
        <v>BRN77M-B7</v>
      </c>
      <c r="J1450" s="16"/>
      <c r="K1450" s="16" t="str">
        <f t="shared" si="6"/>
        <v>collected</v>
      </c>
      <c r="L1450" s="16" t="str">
        <f t="shared" si="7"/>
        <v>N</v>
      </c>
      <c r="M1450" s="16"/>
      <c r="N1450" s="16"/>
    </row>
    <row r="1451">
      <c r="A1451" s="27" t="s">
        <v>1991</v>
      </c>
      <c r="B1451" s="10" t="str">
        <f t="shared" si="1"/>
        <v>RNA-muscle</v>
      </c>
      <c r="C1451" s="10" t="str">
        <f t="shared" si="2"/>
        <v>BRN77M-A7</v>
      </c>
      <c r="D1451" s="6">
        <v>77.0</v>
      </c>
      <c r="E1451" s="10" t="str">
        <f t="shared" si="3"/>
        <v>BRN77M</v>
      </c>
      <c r="F1451" s="6" t="s">
        <v>76</v>
      </c>
      <c r="G1451" s="6">
        <v>7.0</v>
      </c>
      <c r="H1451" s="11" t="str">
        <f t="shared" si="4"/>
        <v>A7</v>
      </c>
      <c r="I1451" s="10" t="str">
        <f t="shared" si="5"/>
        <v>BRN77M-A7</v>
      </c>
      <c r="J1451" s="16"/>
      <c r="K1451" s="16" t="str">
        <f t="shared" si="6"/>
        <v>collected</v>
      </c>
      <c r="L1451" s="16" t="str">
        <f t="shared" si="7"/>
        <v>N</v>
      </c>
      <c r="M1451" s="16"/>
      <c r="N1451" s="16"/>
    </row>
    <row r="1452">
      <c r="A1452" s="27" t="s">
        <v>1992</v>
      </c>
      <c r="B1452" s="10" t="str">
        <f t="shared" si="1"/>
        <v>RNA-muscle</v>
      </c>
      <c r="C1452" s="10" t="str">
        <f t="shared" si="2"/>
        <v>BRN77M-H8</v>
      </c>
      <c r="D1452" s="6">
        <v>77.0</v>
      </c>
      <c r="E1452" s="10" t="str">
        <f t="shared" si="3"/>
        <v>BRN77M</v>
      </c>
      <c r="F1452" s="6" t="s">
        <v>51</v>
      </c>
      <c r="G1452" s="6">
        <v>8.0</v>
      </c>
      <c r="H1452" s="11" t="str">
        <f t="shared" si="4"/>
        <v>H8</v>
      </c>
      <c r="I1452" s="10" t="str">
        <f t="shared" si="5"/>
        <v>BRN77M-H8</v>
      </c>
      <c r="J1452" s="16"/>
      <c r="K1452" s="16" t="str">
        <f t="shared" si="6"/>
        <v>collected</v>
      </c>
      <c r="L1452" s="16" t="str">
        <f t="shared" si="7"/>
        <v>N</v>
      </c>
      <c r="M1452" s="16"/>
      <c r="N1452" s="16"/>
    </row>
    <row r="1453">
      <c r="A1453" s="27" t="s">
        <v>1993</v>
      </c>
      <c r="B1453" s="10" t="str">
        <f t="shared" si="1"/>
        <v>RNA-muscle</v>
      </c>
      <c r="C1453" s="10" t="str">
        <f t="shared" si="2"/>
        <v>BRN77M-G8</v>
      </c>
      <c r="D1453" s="6">
        <v>77.0</v>
      </c>
      <c r="E1453" s="10" t="str">
        <f t="shared" si="3"/>
        <v>BRN77M</v>
      </c>
      <c r="F1453" s="6" t="s">
        <v>56</v>
      </c>
      <c r="G1453" s="6">
        <v>8.0</v>
      </c>
      <c r="H1453" s="11" t="str">
        <f t="shared" si="4"/>
        <v>G8</v>
      </c>
      <c r="I1453" s="10" t="str">
        <f t="shared" si="5"/>
        <v>BRN77M-G8</v>
      </c>
      <c r="J1453" s="16"/>
      <c r="K1453" s="16" t="str">
        <f t="shared" si="6"/>
        <v>collected</v>
      </c>
      <c r="L1453" s="16" t="str">
        <f t="shared" si="7"/>
        <v>N</v>
      </c>
      <c r="M1453" s="16"/>
      <c r="N1453" s="16"/>
    </row>
    <row r="1454">
      <c r="A1454" s="27" t="s">
        <v>1994</v>
      </c>
      <c r="B1454" s="10" t="str">
        <f t="shared" si="1"/>
        <v>RNA-muscle</v>
      </c>
      <c r="C1454" s="10" t="str">
        <f t="shared" si="2"/>
        <v>BRN77M-F8</v>
      </c>
      <c r="D1454" s="6">
        <v>77.0</v>
      </c>
      <c r="E1454" s="10" t="str">
        <f t="shared" si="3"/>
        <v>BRN77M</v>
      </c>
      <c r="F1454" s="6" t="s">
        <v>61</v>
      </c>
      <c r="G1454" s="6">
        <v>8.0</v>
      </c>
      <c r="H1454" s="11" t="str">
        <f t="shared" si="4"/>
        <v>F8</v>
      </c>
      <c r="I1454" s="10" t="str">
        <f t="shared" si="5"/>
        <v>BRN77M-F8</v>
      </c>
      <c r="J1454" s="16"/>
      <c r="K1454" s="16" t="str">
        <f t="shared" si="6"/>
        <v>collected</v>
      </c>
      <c r="L1454" s="16" t="str">
        <f t="shared" si="7"/>
        <v>N</v>
      </c>
      <c r="M1454" s="16"/>
      <c r="N1454" s="16"/>
    </row>
    <row r="1455">
      <c r="A1455" s="27" t="s">
        <v>1995</v>
      </c>
      <c r="B1455" s="10" t="str">
        <f t="shared" si="1"/>
        <v>RNA-muscle</v>
      </c>
      <c r="C1455" s="10" t="str">
        <f t="shared" si="2"/>
        <v>BRN77M-F6</v>
      </c>
      <c r="D1455" s="6">
        <v>77.0</v>
      </c>
      <c r="E1455" s="10" t="str">
        <f t="shared" si="3"/>
        <v>BRN77M</v>
      </c>
      <c r="F1455" s="6" t="s">
        <v>61</v>
      </c>
      <c r="G1455" s="6">
        <v>6.0</v>
      </c>
      <c r="H1455" s="11" t="str">
        <f t="shared" si="4"/>
        <v>F6</v>
      </c>
      <c r="I1455" s="10" t="str">
        <f t="shared" si="5"/>
        <v>BRN77M-F6</v>
      </c>
      <c r="J1455" s="16"/>
      <c r="K1455" s="16" t="str">
        <f t="shared" si="6"/>
        <v>collected</v>
      </c>
      <c r="L1455" s="16" t="str">
        <f t="shared" si="7"/>
        <v>N</v>
      </c>
      <c r="M1455" s="16"/>
      <c r="N1455" s="16"/>
    </row>
    <row r="1456">
      <c r="A1456" s="27" t="s">
        <v>1996</v>
      </c>
      <c r="B1456" s="10" t="str">
        <f t="shared" si="1"/>
        <v>RNA-muscle</v>
      </c>
      <c r="C1456" s="10" t="str">
        <f t="shared" si="2"/>
        <v>BRN77M-E6</v>
      </c>
      <c r="D1456" s="6">
        <v>77.0</v>
      </c>
      <c r="E1456" s="10" t="str">
        <f t="shared" si="3"/>
        <v>BRN77M</v>
      </c>
      <c r="F1456" s="6" t="s">
        <v>66</v>
      </c>
      <c r="G1456" s="6">
        <v>6.0</v>
      </c>
      <c r="H1456" s="11" t="str">
        <f t="shared" si="4"/>
        <v>E6</v>
      </c>
      <c r="I1456" s="10" t="str">
        <f t="shared" si="5"/>
        <v>BRN77M-E6</v>
      </c>
      <c r="J1456" s="16"/>
      <c r="K1456" s="16" t="str">
        <f t="shared" si="6"/>
        <v>collected</v>
      </c>
      <c r="L1456" s="16" t="str">
        <f t="shared" si="7"/>
        <v>N</v>
      </c>
      <c r="M1456" s="16"/>
      <c r="N1456" s="16"/>
    </row>
    <row r="1457">
      <c r="A1457" s="27" t="s">
        <v>1997</v>
      </c>
      <c r="B1457" s="10" t="str">
        <f t="shared" si="1"/>
        <v>RNA-muscle</v>
      </c>
      <c r="C1457" s="10" t="str">
        <f t="shared" si="2"/>
        <v>BRN77M-D6</v>
      </c>
      <c r="D1457" s="6">
        <v>77.0</v>
      </c>
      <c r="E1457" s="10" t="str">
        <f t="shared" si="3"/>
        <v>BRN77M</v>
      </c>
      <c r="F1457" s="6" t="s">
        <v>68</v>
      </c>
      <c r="G1457" s="6">
        <v>6.0</v>
      </c>
      <c r="H1457" s="11" t="str">
        <f t="shared" si="4"/>
        <v>D6</v>
      </c>
      <c r="I1457" s="10" t="str">
        <f t="shared" si="5"/>
        <v>BRN77M-D6</v>
      </c>
      <c r="J1457" s="16"/>
      <c r="K1457" s="16" t="str">
        <f t="shared" si="6"/>
        <v>collected</v>
      </c>
      <c r="L1457" s="16" t="str">
        <f t="shared" si="7"/>
        <v>N</v>
      </c>
      <c r="M1457" s="16"/>
      <c r="N1457" s="16"/>
    </row>
    <row r="1458">
      <c r="A1458" s="27" t="s">
        <v>1998</v>
      </c>
      <c r="B1458" s="10" t="str">
        <f t="shared" si="1"/>
        <v>RNA-muscle</v>
      </c>
      <c r="C1458" s="10" t="str">
        <f t="shared" si="2"/>
        <v>BRN77M-C6</v>
      </c>
      <c r="D1458" s="6">
        <v>77.0</v>
      </c>
      <c r="E1458" s="10" t="str">
        <f t="shared" si="3"/>
        <v>BRN77M</v>
      </c>
      <c r="F1458" s="6" t="s">
        <v>72</v>
      </c>
      <c r="G1458" s="6">
        <v>6.0</v>
      </c>
      <c r="H1458" s="11" t="str">
        <f t="shared" si="4"/>
        <v>C6</v>
      </c>
      <c r="I1458" s="10" t="str">
        <f t="shared" si="5"/>
        <v>BRN77M-C6</v>
      </c>
      <c r="J1458" s="16"/>
      <c r="K1458" s="16" t="str">
        <f t="shared" si="6"/>
        <v>collected</v>
      </c>
      <c r="L1458" s="16" t="str">
        <f t="shared" si="7"/>
        <v>N</v>
      </c>
      <c r="M1458" s="16"/>
      <c r="N1458" s="16"/>
    </row>
    <row r="1459">
      <c r="A1459" s="27" t="s">
        <v>1999</v>
      </c>
      <c r="B1459" s="10" t="str">
        <f t="shared" si="1"/>
        <v>RNA-muscle</v>
      </c>
      <c r="C1459" s="10" t="str">
        <f t="shared" si="2"/>
        <v>BRN53M-B7</v>
      </c>
      <c r="D1459" s="6">
        <v>53.0</v>
      </c>
      <c r="E1459" s="10" t="str">
        <f t="shared" si="3"/>
        <v>BRN53M</v>
      </c>
      <c r="F1459" s="6" t="s">
        <v>74</v>
      </c>
      <c r="G1459" s="6">
        <v>7.0</v>
      </c>
      <c r="H1459" s="11" t="str">
        <f t="shared" si="4"/>
        <v>B7</v>
      </c>
      <c r="I1459" s="10" t="str">
        <f t="shared" si="5"/>
        <v>BRN53M-B7</v>
      </c>
      <c r="J1459" s="16"/>
      <c r="K1459" s="16" t="str">
        <f t="shared" si="6"/>
        <v>collected</v>
      </c>
      <c r="L1459" s="16" t="str">
        <f t="shared" si="7"/>
        <v>N</v>
      </c>
      <c r="M1459" s="16"/>
      <c r="N1459" s="16"/>
    </row>
    <row r="1460">
      <c r="A1460" s="27" t="s">
        <v>2000</v>
      </c>
      <c r="B1460" s="10" t="str">
        <f t="shared" si="1"/>
        <v>RNA-muscle</v>
      </c>
      <c r="C1460" s="10" t="str">
        <f t="shared" si="2"/>
        <v>BRN53M-A7</v>
      </c>
      <c r="D1460" s="6">
        <v>53.0</v>
      </c>
      <c r="E1460" s="10" t="str">
        <f t="shared" si="3"/>
        <v>BRN53M</v>
      </c>
      <c r="F1460" s="6" t="s">
        <v>76</v>
      </c>
      <c r="G1460" s="6">
        <v>7.0</v>
      </c>
      <c r="H1460" s="11" t="str">
        <f t="shared" si="4"/>
        <v>A7</v>
      </c>
      <c r="I1460" s="10" t="str">
        <f t="shared" si="5"/>
        <v>BRN53M-A7</v>
      </c>
      <c r="J1460" s="16"/>
      <c r="K1460" s="16" t="str">
        <f t="shared" si="6"/>
        <v>collected</v>
      </c>
      <c r="L1460" s="16" t="str">
        <f t="shared" si="7"/>
        <v>N</v>
      </c>
      <c r="M1460" s="16"/>
      <c r="N1460" s="16"/>
    </row>
    <row r="1461">
      <c r="A1461" s="27" t="s">
        <v>2001</v>
      </c>
      <c r="B1461" s="10" t="str">
        <f t="shared" si="1"/>
        <v>RNA-muscle</v>
      </c>
      <c r="C1461" s="10" t="str">
        <f t="shared" si="2"/>
        <v>BRN53M-G4</v>
      </c>
      <c r="D1461" s="6">
        <v>53.0</v>
      </c>
      <c r="E1461" s="10" t="str">
        <f t="shared" si="3"/>
        <v>BRN53M</v>
      </c>
      <c r="F1461" s="6" t="s">
        <v>56</v>
      </c>
      <c r="G1461" s="6">
        <v>4.0</v>
      </c>
      <c r="H1461" s="11" t="str">
        <f t="shared" si="4"/>
        <v>G4</v>
      </c>
      <c r="I1461" s="10" t="str">
        <f t="shared" si="5"/>
        <v>BRN53M-G4</v>
      </c>
      <c r="J1461" s="16"/>
      <c r="K1461" s="16" t="str">
        <f t="shared" si="6"/>
        <v>collected</v>
      </c>
      <c r="L1461" s="16" t="str">
        <f t="shared" si="7"/>
        <v>N</v>
      </c>
      <c r="M1461" s="16"/>
      <c r="N1461" s="16"/>
    </row>
    <row r="1462">
      <c r="A1462" s="27" t="s">
        <v>2002</v>
      </c>
      <c r="B1462" s="10" t="str">
        <f t="shared" si="1"/>
        <v>RNA-muscle</v>
      </c>
      <c r="C1462" s="10" t="str">
        <f t="shared" si="2"/>
        <v>BRN53M-F4</v>
      </c>
      <c r="D1462" s="6">
        <v>53.0</v>
      </c>
      <c r="E1462" s="10" t="str">
        <f t="shared" si="3"/>
        <v>BRN53M</v>
      </c>
      <c r="F1462" s="6" t="s">
        <v>61</v>
      </c>
      <c r="G1462" s="6">
        <v>4.0</v>
      </c>
      <c r="H1462" s="11" t="str">
        <f t="shared" si="4"/>
        <v>F4</v>
      </c>
      <c r="I1462" s="10" t="str">
        <f t="shared" si="5"/>
        <v>BRN53M-F4</v>
      </c>
      <c r="J1462" s="16"/>
      <c r="K1462" s="16" t="str">
        <f t="shared" si="6"/>
        <v>collected</v>
      </c>
      <c r="L1462" s="16" t="str">
        <f t="shared" si="7"/>
        <v>N</v>
      </c>
      <c r="M1462" s="16"/>
      <c r="N1462" s="16"/>
    </row>
    <row r="1463">
      <c r="A1463" s="27" t="s">
        <v>2003</v>
      </c>
      <c r="B1463" s="10" t="str">
        <f t="shared" si="1"/>
        <v>RNA-muscle</v>
      </c>
      <c r="C1463" s="10" t="str">
        <f t="shared" si="2"/>
        <v>BRN53M-E4</v>
      </c>
      <c r="D1463" s="6">
        <v>53.0</v>
      </c>
      <c r="E1463" s="10" t="str">
        <f t="shared" si="3"/>
        <v>BRN53M</v>
      </c>
      <c r="F1463" s="6" t="s">
        <v>66</v>
      </c>
      <c r="G1463" s="6">
        <v>4.0</v>
      </c>
      <c r="H1463" s="11" t="str">
        <f t="shared" si="4"/>
        <v>E4</v>
      </c>
      <c r="I1463" s="10" t="str">
        <f t="shared" si="5"/>
        <v>BRN53M-E4</v>
      </c>
      <c r="J1463" s="6" t="s">
        <v>2004</v>
      </c>
      <c r="K1463" s="16" t="str">
        <f t="shared" si="6"/>
        <v>collected</v>
      </c>
      <c r="L1463" s="16" t="str">
        <f t="shared" si="7"/>
        <v>N</v>
      </c>
      <c r="M1463" s="16"/>
      <c r="N1463" s="16"/>
    </row>
    <row r="1464">
      <c r="A1464" s="27" t="s">
        <v>2005</v>
      </c>
      <c r="B1464" s="10" t="str">
        <f t="shared" si="1"/>
        <v>RNA-muscle</v>
      </c>
      <c r="C1464" s="10" t="str">
        <f t="shared" si="2"/>
        <v>BRN53M-D4</v>
      </c>
      <c r="D1464" s="6">
        <v>53.0</v>
      </c>
      <c r="E1464" s="10" t="str">
        <f t="shared" si="3"/>
        <v>BRN53M</v>
      </c>
      <c r="F1464" s="6" t="s">
        <v>68</v>
      </c>
      <c r="G1464" s="6">
        <v>4.0</v>
      </c>
      <c r="H1464" s="11" t="str">
        <f t="shared" si="4"/>
        <v>D4</v>
      </c>
      <c r="I1464" s="10" t="str">
        <f t="shared" si="5"/>
        <v>BRN53M-D4</v>
      </c>
      <c r="J1464" s="16"/>
      <c r="K1464" s="16" t="str">
        <f t="shared" si="6"/>
        <v>collected</v>
      </c>
      <c r="L1464" s="16" t="str">
        <f t="shared" si="7"/>
        <v>N</v>
      </c>
      <c r="M1464" s="16"/>
      <c r="N1464" s="16"/>
    </row>
    <row r="1465">
      <c r="A1465" s="27" t="s">
        <v>2007</v>
      </c>
      <c r="B1465" s="10" t="str">
        <f t="shared" si="1"/>
        <v>RNA-muscle</v>
      </c>
      <c r="C1465" s="10" t="str">
        <f t="shared" si="2"/>
        <v>BRN53M-C4</v>
      </c>
      <c r="D1465" s="6">
        <v>53.0</v>
      </c>
      <c r="E1465" s="10" t="str">
        <f t="shared" si="3"/>
        <v>BRN53M</v>
      </c>
      <c r="F1465" s="6" t="s">
        <v>72</v>
      </c>
      <c r="G1465" s="6">
        <v>4.0</v>
      </c>
      <c r="H1465" s="11" t="str">
        <f t="shared" si="4"/>
        <v>C4</v>
      </c>
      <c r="I1465" s="10" t="str">
        <f t="shared" si="5"/>
        <v>BRN53M-C4</v>
      </c>
      <c r="J1465" s="16"/>
      <c r="K1465" s="16" t="str">
        <f t="shared" si="6"/>
        <v>collected</v>
      </c>
      <c r="L1465" s="16" t="str">
        <f t="shared" si="7"/>
        <v>N</v>
      </c>
      <c r="M1465" s="16"/>
      <c r="N1465" s="16"/>
    </row>
    <row r="1466">
      <c r="A1466" s="27" t="s">
        <v>2008</v>
      </c>
      <c r="B1466" s="10" t="str">
        <f t="shared" si="1"/>
        <v>RNA-muscle</v>
      </c>
      <c r="C1466" s="10" t="str">
        <f t="shared" si="2"/>
        <v>BRN53M-B4</v>
      </c>
      <c r="D1466" s="6">
        <v>53.0</v>
      </c>
      <c r="E1466" s="10" t="str">
        <f t="shared" si="3"/>
        <v>BRN53M</v>
      </c>
      <c r="F1466" s="6" t="s">
        <v>74</v>
      </c>
      <c r="G1466" s="6">
        <v>4.0</v>
      </c>
      <c r="H1466" s="11" t="str">
        <f t="shared" si="4"/>
        <v>B4</v>
      </c>
      <c r="I1466" s="10" t="str">
        <f t="shared" si="5"/>
        <v>BRN53M-B4</v>
      </c>
      <c r="J1466" s="16"/>
      <c r="K1466" s="16" t="str">
        <f t="shared" si="6"/>
        <v>collected</v>
      </c>
      <c r="L1466" s="16" t="str">
        <f t="shared" si="7"/>
        <v>N</v>
      </c>
      <c r="M1466" s="16"/>
      <c r="N1466" s="16"/>
    </row>
    <row r="1467">
      <c r="A1467" s="27" t="s">
        <v>2009</v>
      </c>
      <c r="B1467" s="10" t="str">
        <f t="shared" si="1"/>
        <v>RNA-muscle</v>
      </c>
      <c r="C1467" s="10" t="str">
        <f t="shared" si="2"/>
        <v>BRN53M-A4</v>
      </c>
      <c r="D1467" s="6">
        <v>53.0</v>
      </c>
      <c r="E1467" s="10" t="str">
        <f t="shared" si="3"/>
        <v>BRN53M</v>
      </c>
      <c r="F1467" s="6" t="s">
        <v>76</v>
      </c>
      <c r="G1467" s="6">
        <v>4.0</v>
      </c>
      <c r="H1467" s="11" t="str">
        <f t="shared" si="4"/>
        <v>A4</v>
      </c>
      <c r="I1467" s="10" t="str">
        <f t="shared" si="5"/>
        <v>BRN53M-A4</v>
      </c>
      <c r="J1467" s="16"/>
      <c r="K1467" s="16" t="str">
        <f t="shared" si="6"/>
        <v>collected</v>
      </c>
      <c r="L1467" s="16" t="str">
        <f t="shared" si="7"/>
        <v>N</v>
      </c>
      <c r="M1467" s="16"/>
      <c r="N1467" s="16"/>
    </row>
    <row r="1468">
      <c r="A1468" s="27" t="s">
        <v>2010</v>
      </c>
      <c r="B1468" s="10" t="str">
        <f t="shared" si="1"/>
        <v>RNA-muscle</v>
      </c>
      <c r="C1468" s="10" t="str">
        <f t="shared" si="2"/>
        <v>BRN53M-G9</v>
      </c>
      <c r="D1468" s="6">
        <v>53.0</v>
      </c>
      <c r="E1468" s="10" t="str">
        <f t="shared" si="3"/>
        <v>BRN53M</v>
      </c>
      <c r="F1468" s="6" t="s">
        <v>56</v>
      </c>
      <c r="G1468" s="6">
        <v>9.0</v>
      </c>
      <c r="H1468" s="11" t="str">
        <f t="shared" si="4"/>
        <v>G9</v>
      </c>
      <c r="I1468" s="10" t="str">
        <f t="shared" si="5"/>
        <v>BRN53M-G9</v>
      </c>
      <c r="J1468" s="6" t="s">
        <v>2011</v>
      </c>
      <c r="K1468" s="16" t="str">
        <f t="shared" si="6"/>
        <v>collected</v>
      </c>
      <c r="L1468" s="16" t="str">
        <f t="shared" si="7"/>
        <v>N</v>
      </c>
      <c r="M1468" s="16"/>
      <c r="N1468" s="16"/>
    </row>
    <row r="1469">
      <c r="A1469" s="27" t="s">
        <v>2012</v>
      </c>
      <c r="B1469" s="10" t="str">
        <f t="shared" si="1"/>
        <v>RNA-muscle</v>
      </c>
      <c r="C1469" s="10" t="str">
        <f t="shared" si="2"/>
        <v>BRN53M-F9</v>
      </c>
      <c r="D1469" s="6">
        <v>53.0</v>
      </c>
      <c r="E1469" s="10" t="str">
        <f t="shared" si="3"/>
        <v>BRN53M</v>
      </c>
      <c r="F1469" s="6" t="s">
        <v>61</v>
      </c>
      <c r="G1469" s="6">
        <v>9.0</v>
      </c>
      <c r="H1469" s="11" t="str">
        <f t="shared" si="4"/>
        <v>F9</v>
      </c>
      <c r="I1469" s="10" t="str">
        <f t="shared" si="5"/>
        <v>BRN53M-F9</v>
      </c>
      <c r="J1469" s="16"/>
      <c r="K1469" s="16" t="str">
        <f t="shared" si="6"/>
        <v>collected</v>
      </c>
      <c r="L1469" s="16" t="str">
        <f t="shared" si="7"/>
        <v>N</v>
      </c>
      <c r="M1469" s="16"/>
      <c r="N1469" s="16"/>
    </row>
    <row r="1470">
      <c r="A1470" s="27" t="s">
        <v>2013</v>
      </c>
      <c r="B1470" s="10" t="str">
        <f t="shared" si="1"/>
        <v>RNA-muscle</v>
      </c>
      <c r="C1470" s="10" t="str">
        <f t="shared" si="2"/>
        <v>BRN53M-E9</v>
      </c>
      <c r="D1470" s="6">
        <v>53.0</v>
      </c>
      <c r="E1470" s="10" t="str">
        <f t="shared" si="3"/>
        <v>BRN53M</v>
      </c>
      <c r="F1470" s="6" t="s">
        <v>66</v>
      </c>
      <c r="G1470" s="6">
        <v>9.0</v>
      </c>
      <c r="H1470" s="11" t="str">
        <f t="shared" si="4"/>
        <v>E9</v>
      </c>
      <c r="I1470" s="10" t="str">
        <f t="shared" si="5"/>
        <v>BRN53M-E9</v>
      </c>
      <c r="J1470" s="16"/>
      <c r="K1470" s="16" t="str">
        <f t="shared" si="6"/>
        <v>collected</v>
      </c>
      <c r="L1470" s="16" t="str">
        <f t="shared" si="7"/>
        <v>N</v>
      </c>
      <c r="M1470" s="16"/>
      <c r="N1470" s="16"/>
    </row>
    <row r="1471">
      <c r="A1471" s="27" t="s">
        <v>2014</v>
      </c>
      <c r="B1471" s="10" t="str">
        <f t="shared" si="1"/>
        <v>RNA-muscle</v>
      </c>
      <c r="C1471" s="10" t="str">
        <f t="shared" si="2"/>
        <v>BRN53M-D9</v>
      </c>
      <c r="D1471" s="6">
        <v>53.0</v>
      </c>
      <c r="E1471" s="10" t="str">
        <f t="shared" si="3"/>
        <v>BRN53M</v>
      </c>
      <c r="F1471" s="6" t="s">
        <v>68</v>
      </c>
      <c r="G1471" s="6">
        <v>9.0</v>
      </c>
      <c r="H1471" s="11" t="str">
        <f t="shared" si="4"/>
        <v>D9</v>
      </c>
      <c r="I1471" s="10" t="str">
        <f t="shared" si="5"/>
        <v>BRN53M-D9</v>
      </c>
      <c r="J1471" s="16"/>
      <c r="K1471" s="16" t="str">
        <f t="shared" si="6"/>
        <v>collected</v>
      </c>
      <c r="L1471" s="16" t="str">
        <f t="shared" si="7"/>
        <v>N</v>
      </c>
      <c r="M1471" s="16"/>
      <c r="N1471" s="16"/>
    </row>
    <row r="1472">
      <c r="A1472" s="27" t="s">
        <v>2015</v>
      </c>
      <c r="B1472" s="10" t="str">
        <f t="shared" si="1"/>
        <v>RNA-muscle</v>
      </c>
      <c r="C1472" s="10" t="str">
        <f t="shared" si="2"/>
        <v>BRN53M-C9</v>
      </c>
      <c r="D1472" s="6">
        <v>53.0</v>
      </c>
      <c r="E1472" s="10" t="str">
        <f t="shared" si="3"/>
        <v>BRN53M</v>
      </c>
      <c r="F1472" s="6" t="s">
        <v>72</v>
      </c>
      <c r="G1472" s="6">
        <v>9.0</v>
      </c>
      <c r="H1472" s="11" t="str">
        <f t="shared" si="4"/>
        <v>C9</v>
      </c>
      <c r="I1472" s="10" t="str">
        <f t="shared" si="5"/>
        <v>BRN53M-C9</v>
      </c>
      <c r="J1472" s="16"/>
      <c r="K1472" s="16" t="str">
        <f t="shared" si="6"/>
        <v>collected</v>
      </c>
      <c r="L1472" s="16" t="str">
        <f t="shared" si="7"/>
        <v>N</v>
      </c>
      <c r="M1472" s="16"/>
      <c r="N1472" s="16"/>
    </row>
    <row r="1473">
      <c r="A1473" s="27" t="s">
        <v>2016</v>
      </c>
      <c r="B1473" s="10" t="str">
        <f t="shared" si="1"/>
        <v>RNA-muscle</v>
      </c>
      <c r="C1473" s="10" t="str">
        <f t="shared" si="2"/>
        <v>BRN53M-B9</v>
      </c>
      <c r="D1473" s="6">
        <v>53.0</v>
      </c>
      <c r="E1473" s="10" t="str">
        <f t="shared" si="3"/>
        <v>BRN53M</v>
      </c>
      <c r="F1473" s="6" t="s">
        <v>74</v>
      </c>
      <c r="G1473" s="6">
        <v>9.0</v>
      </c>
      <c r="H1473" s="11" t="str">
        <f t="shared" si="4"/>
        <v>B9</v>
      </c>
      <c r="I1473" s="10" t="str">
        <f t="shared" si="5"/>
        <v>BRN53M-B9</v>
      </c>
      <c r="J1473" s="16"/>
      <c r="K1473" s="16" t="str">
        <f t="shared" si="6"/>
        <v>collected</v>
      </c>
      <c r="L1473" s="16" t="str">
        <f t="shared" si="7"/>
        <v>N</v>
      </c>
      <c r="M1473" s="16"/>
      <c r="N1473" s="16"/>
    </row>
    <row r="1474">
      <c r="A1474" s="27" t="s">
        <v>2017</v>
      </c>
      <c r="B1474" s="10" t="str">
        <f t="shared" si="1"/>
        <v>RNA-muscle</v>
      </c>
      <c r="C1474" s="10" t="str">
        <f t="shared" si="2"/>
        <v>BRN53M-A9</v>
      </c>
      <c r="D1474" s="6">
        <v>53.0</v>
      </c>
      <c r="E1474" s="10" t="str">
        <f t="shared" si="3"/>
        <v>BRN53M</v>
      </c>
      <c r="F1474" s="6" t="s">
        <v>76</v>
      </c>
      <c r="G1474" s="6">
        <v>9.0</v>
      </c>
      <c r="H1474" s="11" t="str">
        <f t="shared" si="4"/>
        <v>A9</v>
      </c>
      <c r="I1474" s="10" t="str">
        <f t="shared" si="5"/>
        <v>BRN53M-A9</v>
      </c>
      <c r="K1474" s="16" t="str">
        <f t="shared" si="6"/>
        <v>collected</v>
      </c>
      <c r="L1474" s="16" t="str">
        <f t="shared" si="7"/>
        <v>N</v>
      </c>
      <c r="M1474" s="16"/>
      <c r="N1474" s="16"/>
    </row>
    <row r="1475">
      <c r="A1475" s="27" t="s">
        <v>2018</v>
      </c>
      <c r="B1475" s="10" t="str">
        <f t="shared" si="1"/>
        <v>RNA-muscle</v>
      </c>
      <c r="C1475" s="10" t="str">
        <f t="shared" si="2"/>
        <v>BRN55M-A5</v>
      </c>
      <c r="D1475" s="6">
        <v>55.0</v>
      </c>
      <c r="E1475" s="10" t="str">
        <f t="shared" si="3"/>
        <v>BRN55M</v>
      </c>
      <c r="F1475" s="6" t="s">
        <v>76</v>
      </c>
      <c r="G1475" s="6">
        <v>5.0</v>
      </c>
      <c r="H1475" s="11" t="str">
        <f t="shared" si="4"/>
        <v>A5</v>
      </c>
      <c r="I1475" s="10" t="str">
        <f t="shared" si="5"/>
        <v>BRN55M-A5</v>
      </c>
      <c r="J1475" s="16"/>
      <c r="K1475" s="16" t="str">
        <f t="shared" si="6"/>
        <v>collected</v>
      </c>
      <c r="L1475" s="16" t="str">
        <f t="shared" si="7"/>
        <v>N</v>
      </c>
      <c r="M1475" s="16"/>
      <c r="N1475" s="16"/>
    </row>
    <row r="1476">
      <c r="A1476" s="27" t="s">
        <v>2019</v>
      </c>
      <c r="B1476" s="10" t="str">
        <f t="shared" si="1"/>
        <v>RNA-muscle</v>
      </c>
      <c r="C1476" s="10" t="str">
        <f t="shared" si="2"/>
        <v>BRN55M-H9</v>
      </c>
      <c r="D1476" s="6">
        <v>55.0</v>
      </c>
      <c r="E1476" s="10" t="str">
        <f t="shared" si="3"/>
        <v>BRN55M</v>
      </c>
      <c r="F1476" s="6" t="s">
        <v>51</v>
      </c>
      <c r="G1476" s="6">
        <v>9.0</v>
      </c>
      <c r="H1476" s="11" t="str">
        <f t="shared" si="4"/>
        <v>H9</v>
      </c>
      <c r="I1476" s="10" t="str">
        <f t="shared" si="5"/>
        <v>BRN55M-H9</v>
      </c>
      <c r="J1476" s="16"/>
      <c r="K1476" s="16" t="str">
        <f t="shared" si="6"/>
        <v>collected</v>
      </c>
      <c r="L1476" s="16" t="str">
        <f t="shared" si="7"/>
        <v>N</v>
      </c>
      <c r="M1476" s="16"/>
      <c r="N1476" s="16"/>
    </row>
    <row r="1477">
      <c r="A1477" s="27" t="s">
        <v>2020</v>
      </c>
      <c r="B1477" s="10" t="str">
        <f t="shared" si="1"/>
        <v>RNA-muscle</v>
      </c>
      <c r="C1477" s="10" t="str">
        <f t="shared" si="2"/>
        <v>BRN55M-G9</v>
      </c>
      <c r="D1477" s="6">
        <v>55.0</v>
      </c>
      <c r="E1477" s="10" t="str">
        <f t="shared" si="3"/>
        <v>BRN55M</v>
      </c>
      <c r="F1477" s="6" t="s">
        <v>56</v>
      </c>
      <c r="G1477" s="6">
        <v>9.0</v>
      </c>
      <c r="H1477" s="11" t="str">
        <f t="shared" si="4"/>
        <v>G9</v>
      </c>
      <c r="I1477" s="10" t="str">
        <f t="shared" si="5"/>
        <v>BRN55M-G9</v>
      </c>
      <c r="J1477" s="16"/>
      <c r="K1477" s="16" t="str">
        <f t="shared" si="6"/>
        <v>collected</v>
      </c>
      <c r="L1477" s="16" t="str">
        <f t="shared" si="7"/>
        <v>N</v>
      </c>
      <c r="M1477" s="16"/>
      <c r="N1477" s="16"/>
    </row>
    <row r="1478">
      <c r="A1478" s="27" t="s">
        <v>2021</v>
      </c>
      <c r="B1478" s="10" t="str">
        <f t="shared" si="1"/>
        <v>RNA-muscle</v>
      </c>
      <c r="C1478" s="10" t="str">
        <f t="shared" si="2"/>
        <v>BRN55M-F9</v>
      </c>
      <c r="D1478" s="6">
        <v>55.0</v>
      </c>
      <c r="E1478" s="10" t="str">
        <f t="shared" si="3"/>
        <v>BRN55M</v>
      </c>
      <c r="F1478" s="6" t="s">
        <v>61</v>
      </c>
      <c r="G1478" s="6">
        <v>9.0</v>
      </c>
      <c r="H1478" s="11" t="str">
        <f t="shared" si="4"/>
        <v>F9</v>
      </c>
      <c r="I1478" s="10" t="str">
        <f t="shared" si="5"/>
        <v>BRN55M-F9</v>
      </c>
      <c r="J1478" s="16"/>
      <c r="K1478" s="16" t="str">
        <f t="shared" si="6"/>
        <v>collected</v>
      </c>
      <c r="L1478" s="16" t="str">
        <f t="shared" si="7"/>
        <v>N</v>
      </c>
      <c r="M1478" s="16"/>
      <c r="N1478" s="16"/>
    </row>
    <row r="1479">
      <c r="A1479" s="27" t="s">
        <v>2022</v>
      </c>
      <c r="B1479" s="10" t="str">
        <f t="shared" si="1"/>
        <v>RNA-muscle</v>
      </c>
      <c r="C1479" s="10" t="str">
        <f t="shared" si="2"/>
        <v>BRN55M-E9</v>
      </c>
      <c r="D1479" s="6">
        <v>55.0</v>
      </c>
      <c r="E1479" s="10" t="str">
        <f t="shared" si="3"/>
        <v>BRN55M</v>
      </c>
      <c r="F1479" s="6" t="s">
        <v>66</v>
      </c>
      <c r="G1479" s="6">
        <v>9.0</v>
      </c>
      <c r="H1479" s="11" t="str">
        <f t="shared" si="4"/>
        <v>E9</v>
      </c>
      <c r="I1479" s="10" t="str">
        <f t="shared" si="5"/>
        <v>BRN55M-E9</v>
      </c>
      <c r="J1479" s="16"/>
      <c r="K1479" s="16" t="str">
        <f t="shared" si="6"/>
        <v>collected</v>
      </c>
      <c r="L1479" s="16" t="str">
        <f t="shared" si="7"/>
        <v>N</v>
      </c>
      <c r="M1479" s="16"/>
      <c r="N1479" s="16"/>
    </row>
    <row r="1480">
      <c r="A1480" s="27" t="s">
        <v>2023</v>
      </c>
      <c r="B1480" s="10" t="str">
        <f t="shared" si="1"/>
        <v>RNA-muscle</v>
      </c>
      <c r="C1480" s="10" t="str">
        <f t="shared" si="2"/>
        <v>BRN55M-D9</v>
      </c>
      <c r="D1480" s="6">
        <v>55.0</v>
      </c>
      <c r="E1480" s="10" t="str">
        <f t="shared" si="3"/>
        <v>BRN55M</v>
      </c>
      <c r="F1480" s="6" t="s">
        <v>68</v>
      </c>
      <c r="G1480" s="6">
        <v>9.0</v>
      </c>
      <c r="H1480" s="11" t="str">
        <f t="shared" si="4"/>
        <v>D9</v>
      </c>
      <c r="I1480" s="10" t="str">
        <f t="shared" si="5"/>
        <v>BRN55M-D9</v>
      </c>
      <c r="J1480" s="16"/>
      <c r="K1480" s="16" t="str">
        <f t="shared" si="6"/>
        <v>collected</v>
      </c>
      <c r="L1480" s="16" t="str">
        <f t="shared" si="7"/>
        <v>N</v>
      </c>
      <c r="M1480" s="16"/>
      <c r="N1480" s="16"/>
    </row>
    <row r="1481">
      <c r="A1481" s="27" t="s">
        <v>2024</v>
      </c>
      <c r="B1481" s="10" t="str">
        <f t="shared" si="1"/>
        <v>RNA-muscle</v>
      </c>
      <c r="C1481" s="10" t="str">
        <f t="shared" si="2"/>
        <v>BRN55M-C9</v>
      </c>
      <c r="D1481" s="6">
        <v>55.0</v>
      </c>
      <c r="E1481" s="10" t="str">
        <f t="shared" si="3"/>
        <v>BRN55M</v>
      </c>
      <c r="F1481" s="6" t="s">
        <v>72</v>
      </c>
      <c r="G1481" s="6">
        <v>9.0</v>
      </c>
      <c r="H1481" s="11" t="str">
        <f t="shared" si="4"/>
        <v>C9</v>
      </c>
      <c r="I1481" s="10" t="str">
        <f t="shared" si="5"/>
        <v>BRN55M-C9</v>
      </c>
      <c r="J1481" s="16"/>
      <c r="K1481" s="16" t="str">
        <f t="shared" si="6"/>
        <v>collected</v>
      </c>
      <c r="L1481" s="16" t="str">
        <f t="shared" si="7"/>
        <v>N</v>
      </c>
      <c r="M1481" s="16"/>
      <c r="N1481" s="16"/>
    </row>
    <row r="1482">
      <c r="A1482" s="27" t="s">
        <v>2025</v>
      </c>
      <c r="B1482" s="10" t="str">
        <f t="shared" si="1"/>
        <v>RNA-muscle</v>
      </c>
      <c r="C1482" s="10" t="str">
        <f t="shared" si="2"/>
        <v>BRN55M-B9</v>
      </c>
      <c r="D1482" s="6">
        <v>55.0</v>
      </c>
      <c r="E1482" s="10" t="str">
        <f t="shared" si="3"/>
        <v>BRN55M</v>
      </c>
      <c r="F1482" s="6" t="s">
        <v>74</v>
      </c>
      <c r="G1482" s="6">
        <v>9.0</v>
      </c>
      <c r="H1482" s="11" t="str">
        <f t="shared" si="4"/>
        <v>B9</v>
      </c>
      <c r="I1482" s="10" t="str">
        <f t="shared" si="5"/>
        <v>BRN55M-B9</v>
      </c>
      <c r="J1482" s="16"/>
      <c r="K1482" s="16" t="str">
        <f t="shared" si="6"/>
        <v>collected</v>
      </c>
      <c r="L1482" s="16" t="str">
        <f t="shared" si="7"/>
        <v>N</v>
      </c>
      <c r="M1482" s="16"/>
      <c r="N1482" s="16"/>
    </row>
    <row r="1483">
      <c r="A1483" s="27" t="s">
        <v>2026</v>
      </c>
      <c r="B1483" s="10" t="str">
        <f t="shared" si="1"/>
        <v>RNA-muscle</v>
      </c>
      <c r="C1483" s="10" t="str">
        <f t="shared" si="2"/>
        <v>BRN55M-A9</v>
      </c>
      <c r="D1483" s="6">
        <v>55.0</v>
      </c>
      <c r="E1483" s="10" t="str">
        <f t="shared" si="3"/>
        <v>BRN55M</v>
      </c>
      <c r="F1483" s="6" t="s">
        <v>76</v>
      </c>
      <c r="G1483" s="6">
        <v>9.0</v>
      </c>
      <c r="H1483" s="11" t="str">
        <f t="shared" si="4"/>
        <v>A9</v>
      </c>
      <c r="I1483" s="10" t="str">
        <f t="shared" si="5"/>
        <v>BRN55M-A9</v>
      </c>
      <c r="J1483" s="6" t="s">
        <v>437</v>
      </c>
      <c r="K1483" s="16" t="str">
        <f t="shared" si="6"/>
        <v>collected</v>
      </c>
      <c r="L1483" s="16" t="str">
        <f t="shared" si="7"/>
        <v>N</v>
      </c>
      <c r="M1483" s="16"/>
      <c r="N1483" s="16"/>
    </row>
    <row r="1484">
      <c r="A1484" s="27" t="s">
        <v>2027</v>
      </c>
      <c r="B1484" s="10" t="str">
        <f t="shared" si="1"/>
        <v>RNA-muscle</v>
      </c>
      <c r="C1484" s="10" t="str">
        <f t="shared" si="2"/>
        <v>BRN55M-H10</v>
      </c>
      <c r="D1484" s="6">
        <v>55.0</v>
      </c>
      <c r="E1484" s="10" t="str">
        <f t="shared" si="3"/>
        <v>BRN55M</v>
      </c>
      <c r="F1484" s="6" t="s">
        <v>51</v>
      </c>
      <c r="G1484" s="6">
        <v>10.0</v>
      </c>
      <c r="H1484" s="11" t="str">
        <f t="shared" si="4"/>
        <v>H10</v>
      </c>
      <c r="I1484" s="10" t="str">
        <f t="shared" si="5"/>
        <v>BRN55M-H10</v>
      </c>
      <c r="J1484" s="6" t="s">
        <v>437</v>
      </c>
      <c r="K1484" s="16" t="str">
        <f t="shared" si="6"/>
        <v>collected</v>
      </c>
      <c r="L1484" s="16" t="str">
        <f t="shared" si="7"/>
        <v>N</v>
      </c>
      <c r="M1484" s="16"/>
      <c r="N1484" s="16"/>
    </row>
    <row r="1485">
      <c r="A1485" s="27" t="s">
        <v>2028</v>
      </c>
      <c r="B1485" s="10" t="str">
        <f t="shared" si="1"/>
        <v>RNA-muscle</v>
      </c>
      <c r="C1485" s="10" t="str">
        <f t="shared" si="2"/>
        <v>BRN55M-G10</v>
      </c>
      <c r="D1485" s="6">
        <v>55.0</v>
      </c>
      <c r="E1485" s="10" t="str">
        <f t="shared" si="3"/>
        <v>BRN55M</v>
      </c>
      <c r="F1485" s="6" t="s">
        <v>56</v>
      </c>
      <c r="G1485" s="6">
        <v>10.0</v>
      </c>
      <c r="H1485" s="11" t="str">
        <f t="shared" si="4"/>
        <v>G10</v>
      </c>
      <c r="I1485" s="10" t="str">
        <f t="shared" si="5"/>
        <v>BRN55M-G10</v>
      </c>
      <c r="J1485" s="16"/>
      <c r="K1485" s="16" t="str">
        <f t="shared" si="6"/>
        <v>collected</v>
      </c>
      <c r="L1485" s="16" t="str">
        <f t="shared" si="7"/>
        <v>N</v>
      </c>
      <c r="M1485" s="16"/>
      <c r="N1485" s="16"/>
    </row>
    <row r="1486">
      <c r="A1486" s="27" t="s">
        <v>2029</v>
      </c>
      <c r="B1486" s="10" t="str">
        <f t="shared" si="1"/>
        <v>RNA-muscle</v>
      </c>
      <c r="C1486" s="10" t="str">
        <f t="shared" si="2"/>
        <v>BRN55M-F10</v>
      </c>
      <c r="D1486" s="6">
        <v>55.0</v>
      </c>
      <c r="E1486" s="10" t="str">
        <f t="shared" si="3"/>
        <v>BRN55M</v>
      </c>
      <c r="F1486" s="6" t="s">
        <v>61</v>
      </c>
      <c r="G1486" s="6">
        <v>10.0</v>
      </c>
      <c r="H1486" s="11" t="str">
        <f t="shared" si="4"/>
        <v>F10</v>
      </c>
      <c r="I1486" s="10" t="str">
        <f t="shared" si="5"/>
        <v>BRN55M-F10</v>
      </c>
      <c r="J1486" s="16"/>
      <c r="K1486" s="16" t="str">
        <f t="shared" si="6"/>
        <v>collected</v>
      </c>
      <c r="L1486" s="16" t="str">
        <f t="shared" si="7"/>
        <v>N</v>
      </c>
      <c r="M1486" s="16"/>
      <c r="N1486" s="16"/>
    </row>
    <row r="1487">
      <c r="A1487" s="27" t="s">
        <v>2030</v>
      </c>
      <c r="B1487" s="10" t="str">
        <f t="shared" si="1"/>
        <v>RNA-muscle</v>
      </c>
      <c r="C1487" s="10" t="str">
        <f t="shared" si="2"/>
        <v>BRN55M-E10</v>
      </c>
      <c r="D1487" s="6">
        <v>55.0</v>
      </c>
      <c r="E1487" s="10" t="str">
        <f t="shared" si="3"/>
        <v>BRN55M</v>
      </c>
      <c r="F1487" s="6" t="s">
        <v>66</v>
      </c>
      <c r="G1487" s="6">
        <v>10.0</v>
      </c>
      <c r="H1487" s="11" t="str">
        <f t="shared" si="4"/>
        <v>E10</v>
      </c>
      <c r="I1487" s="10" t="str">
        <f t="shared" si="5"/>
        <v>BRN55M-E10</v>
      </c>
      <c r="J1487" s="16"/>
      <c r="K1487" s="16" t="str">
        <f t="shared" si="6"/>
        <v>collected</v>
      </c>
      <c r="L1487" s="16" t="str">
        <f t="shared" si="7"/>
        <v>N</v>
      </c>
      <c r="M1487" s="16"/>
      <c r="N1487" s="16"/>
    </row>
    <row r="1488">
      <c r="A1488" s="27" t="s">
        <v>2031</v>
      </c>
      <c r="B1488" s="10" t="str">
        <f t="shared" si="1"/>
        <v>RNA-muscle</v>
      </c>
      <c r="C1488" s="10" t="str">
        <f t="shared" si="2"/>
        <v>BRN55M-D10</v>
      </c>
      <c r="D1488" s="6">
        <v>55.0</v>
      </c>
      <c r="E1488" s="10" t="str">
        <f t="shared" si="3"/>
        <v>BRN55M</v>
      </c>
      <c r="F1488" s="6" t="s">
        <v>68</v>
      </c>
      <c r="G1488" s="6">
        <v>10.0</v>
      </c>
      <c r="H1488" s="11" t="str">
        <f t="shared" si="4"/>
        <v>D10</v>
      </c>
      <c r="I1488" s="10" t="str">
        <f t="shared" si="5"/>
        <v>BRN55M-D10</v>
      </c>
      <c r="J1488" s="16"/>
      <c r="K1488" s="16" t="str">
        <f t="shared" si="6"/>
        <v>collected</v>
      </c>
      <c r="L1488" s="16" t="str">
        <f t="shared" si="7"/>
        <v>N</v>
      </c>
      <c r="M1488" s="16"/>
      <c r="N1488" s="16"/>
    </row>
    <row r="1489">
      <c r="A1489" s="27" t="s">
        <v>2032</v>
      </c>
      <c r="B1489" s="10" t="str">
        <f t="shared" si="1"/>
        <v>RNA-muscle</v>
      </c>
      <c r="C1489" s="10" t="str">
        <f t="shared" si="2"/>
        <v>BRN55M-C10</v>
      </c>
      <c r="D1489" s="6">
        <v>55.0</v>
      </c>
      <c r="E1489" s="10" t="str">
        <f t="shared" si="3"/>
        <v>BRN55M</v>
      </c>
      <c r="F1489" s="6" t="s">
        <v>72</v>
      </c>
      <c r="G1489" s="6">
        <v>10.0</v>
      </c>
      <c r="H1489" s="11" t="str">
        <f t="shared" si="4"/>
        <v>C10</v>
      </c>
      <c r="I1489" s="10" t="str">
        <f t="shared" si="5"/>
        <v>BRN55M-C10</v>
      </c>
      <c r="J1489" s="16"/>
      <c r="K1489" s="16" t="str">
        <f t="shared" si="6"/>
        <v>collected</v>
      </c>
      <c r="L1489" s="16" t="str">
        <f t="shared" si="7"/>
        <v>N</v>
      </c>
      <c r="M1489" s="16"/>
      <c r="N1489" s="16"/>
    </row>
    <row r="1490">
      <c r="A1490" s="27" t="s">
        <v>2033</v>
      </c>
      <c r="B1490" s="10" t="str">
        <f t="shared" si="1"/>
        <v>RNA-muscle</v>
      </c>
      <c r="C1490" s="10" t="str">
        <f t="shared" si="2"/>
        <v>BRN55M-B10</v>
      </c>
      <c r="D1490" s="6">
        <v>55.0</v>
      </c>
      <c r="E1490" s="10" t="str">
        <f t="shared" si="3"/>
        <v>BRN55M</v>
      </c>
      <c r="F1490" s="6" t="s">
        <v>74</v>
      </c>
      <c r="G1490" s="6">
        <v>10.0</v>
      </c>
      <c r="H1490" s="11" t="str">
        <f t="shared" si="4"/>
        <v>B10</v>
      </c>
      <c r="I1490" s="10" t="str">
        <f t="shared" si="5"/>
        <v>BRN55M-B10</v>
      </c>
      <c r="J1490" s="16"/>
      <c r="K1490" s="16" t="str">
        <f t="shared" si="6"/>
        <v>collected</v>
      </c>
      <c r="L1490" s="16" t="str">
        <f t="shared" si="7"/>
        <v>N</v>
      </c>
      <c r="M1490" s="16"/>
      <c r="N1490" s="16"/>
    </row>
    <row r="1491">
      <c r="A1491" s="27" t="s">
        <v>2034</v>
      </c>
      <c r="B1491" s="10" t="str">
        <f t="shared" si="1"/>
        <v>RNA-muscle</v>
      </c>
      <c r="C1491" s="10" t="str">
        <f t="shared" si="2"/>
        <v>BRN55M-A10</v>
      </c>
      <c r="D1491" s="6">
        <v>55.0</v>
      </c>
      <c r="E1491" s="10" t="str">
        <f t="shared" si="3"/>
        <v>BRN55M</v>
      </c>
      <c r="F1491" s="6" t="s">
        <v>76</v>
      </c>
      <c r="G1491" s="6">
        <v>10.0</v>
      </c>
      <c r="H1491" s="11" t="str">
        <f t="shared" si="4"/>
        <v>A10</v>
      </c>
      <c r="I1491" s="10" t="str">
        <f t="shared" si="5"/>
        <v>BRN55M-A10</v>
      </c>
      <c r="J1491" s="16"/>
      <c r="K1491" s="16" t="str">
        <f t="shared" si="6"/>
        <v>collected</v>
      </c>
      <c r="L1491" s="16" t="str">
        <f t="shared" si="7"/>
        <v>N</v>
      </c>
      <c r="M1491" s="16"/>
      <c r="N1491" s="16"/>
    </row>
    <row r="1492">
      <c r="A1492" s="27" t="s">
        <v>2035</v>
      </c>
      <c r="B1492" s="10" t="str">
        <f t="shared" si="1"/>
        <v>RNA-muscle</v>
      </c>
      <c r="C1492" s="10" t="str">
        <f t="shared" si="2"/>
        <v>BRN55M-H11</v>
      </c>
      <c r="D1492" s="6">
        <v>55.0</v>
      </c>
      <c r="E1492" s="10" t="str">
        <f t="shared" si="3"/>
        <v>BRN55M</v>
      </c>
      <c r="F1492" s="6" t="s">
        <v>51</v>
      </c>
      <c r="G1492" s="6">
        <v>11.0</v>
      </c>
      <c r="H1492" s="11" t="str">
        <f t="shared" si="4"/>
        <v>H11</v>
      </c>
      <c r="I1492" s="10" t="str">
        <f t="shared" si="5"/>
        <v>BRN55M-H11</v>
      </c>
      <c r="J1492" s="16"/>
      <c r="K1492" s="16" t="str">
        <f t="shared" si="6"/>
        <v>collected</v>
      </c>
      <c r="L1492" s="16" t="str">
        <f t="shared" si="7"/>
        <v>N</v>
      </c>
      <c r="M1492" s="16"/>
      <c r="N1492" s="16"/>
    </row>
    <row r="1493">
      <c r="A1493" s="27" t="s">
        <v>2036</v>
      </c>
      <c r="B1493" s="10" t="str">
        <f t="shared" si="1"/>
        <v>RNA-muscle</v>
      </c>
      <c r="C1493" s="10" t="str">
        <f t="shared" si="2"/>
        <v>BRN55M-G11</v>
      </c>
      <c r="D1493" s="6">
        <v>55.0</v>
      </c>
      <c r="E1493" s="10" t="str">
        <f t="shared" si="3"/>
        <v>BRN55M</v>
      </c>
      <c r="F1493" s="6" t="s">
        <v>56</v>
      </c>
      <c r="G1493" s="6">
        <v>11.0</v>
      </c>
      <c r="H1493" s="11" t="str">
        <f t="shared" si="4"/>
        <v>G11</v>
      </c>
      <c r="I1493" s="10" t="str">
        <f t="shared" si="5"/>
        <v>BRN55M-G11</v>
      </c>
      <c r="J1493" s="16"/>
      <c r="K1493" s="16" t="str">
        <f t="shared" si="6"/>
        <v>collected</v>
      </c>
      <c r="L1493" s="16" t="str">
        <f t="shared" si="7"/>
        <v>N</v>
      </c>
      <c r="M1493" s="16"/>
      <c r="N1493" s="16"/>
    </row>
    <row r="1494">
      <c r="A1494" s="27" t="s">
        <v>2037</v>
      </c>
      <c r="B1494" s="10" t="str">
        <f t="shared" si="1"/>
        <v>RNA-muscle</v>
      </c>
      <c r="C1494" s="10" t="str">
        <f t="shared" si="2"/>
        <v>BRN55M-F11</v>
      </c>
      <c r="D1494" s="6">
        <v>55.0</v>
      </c>
      <c r="E1494" s="10" t="str">
        <f t="shared" si="3"/>
        <v>BRN55M</v>
      </c>
      <c r="F1494" s="6" t="s">
        <v>61</v>
      </c>
      <c r="G1494" s="6">
        <v>11.0</v>
      </c>
      <c r="H1494" s="11" t="str">
        <f t="shared" si="4"/>
        <v>F11</v>
      </c>
      <c r="I1494" s="10" t="str">
        <f t="shared" si="5"/>
        <v>BRN55M-F11</v>
      </c>
      <c r="J1494" s="16"/>
      <c r="K1494" s="16" t="str">
        <f t="shared" si="6"/>
        <v>collected</v>
      </c>
      <c r="L1494" s="16" t="str">
        <f t="shared" si="7"/>
        <v>N</v>
      </c>
      <c r="M1494" s="16"/>
      <c r="N1494" s="16"/>
    </row>
    <row r="1495">
      <c r="A1495" s="27" t="s">
        <v>2038</v>
      </c>
      <c r="B1495" s="10" t="str">
        <f t="shared" si="1"/>
        <v>RNA-muscle</v>
      </c>
      <c r="C1495" s="10" t="str">
        <f t="shared" si="2"/>
        <v>BRN55M-E11</v>
      </c>
      <c r="D1495" s="6">
        <v>55.0</v>
      </c>
      <c r="E1495" s="10" t="str">
        <f t="shared" si="3"/>
        <v>BRN55M</v>
      </c>
      <c r="F1495" s="6" t="s">
        <v>66</v>
      </c>
      <c r="G1495" s="6">
        <v>11.0</v>
      </c>
      <c r="H1495" s="11" t="str">
        <f t="shared" si="4"/>
        <v>E11</v>
      </c>
      <c r="I1495" s="10" t="str">
        <f t="shared" si="5"/>
        <v>BRN55M-E11</v>
      </c>
      <c r="J1495" s="16"/>
      <c r="K1495" s="16" t="str">
        <f t="shared" si="6"/>
        <v>collected</v>
      </c>
      <c r="L1495" s="16" t="str">
        <f t="shared" si="7"/>
        <v>N</v>
      </c>
      <c r="M1495" s="16"/>
      <c r="N1495" s="16"/>
    </row>
    <row r="1496">
      <c r="A1496" s="27" t="s">
        <v>2039</v>
      </c>
      <c r="B1496" s="10" t="str">
        <f t="shared" si="1"/>
        <v>RNA-muscle</v>
      </c>
      <c r="C1496" s="10" t="str">
        <f t="shared" si="2"/>
        <v>BRN55M-D11</v>
      </c>
      <c r="D1496" s="6">
        <v>55.0</v>
      </c>
      <c r="E1496" s="10" t="str">
        <f t="shared" si="3"/>
        <v>BRN55M</v>
      </c>
      <c r="F1496" s="6" t="s">
        <v>68</v>
      </c>
      <c r="G1496" s="6">
        <v>11.0</v>
      </c>
      <c r="H1496" s="11" t="str">
        <f t="shared" si="4"/>
        <v>D11</v>
      </c>
      <c r="I1496" s="10" t="str">
        <f t="shared" si="5"/>
        <v>BRN55M-D11</v>
      </c>
      <c r="J1496" s="16"/>
      <c r="K1496" s="16" t="str">
        <f t="shared" si="6"/>
        <v>collected</v>
      </c>
      <c r="L1496" s="16" t="str">
        <f t="shared" si="7"/>
        <v>N</v>
      </c>
      <c r="M1496" s="16"/>
      <c r="N1496" s="16"/>
    </row>
    <row r="1497">
      <c r="A1497" s="27" t="s">
        <v>2040</v>
      </c>
      <c r="B1497" s="10" t="str">
        <f t="shared" si="1"/>
        <v>RNA-muscle</v>
      </c>
      <c r="C1497" s="10" t="str">
        <f t="shared" si="2"/>
        <v>BRN53M-H10</v>
      </c>
      <c r="D1497" s="6">
        <v>53.0</v>
      </c>
      <c r="E1497" s="10" t="str">
        <f t="shared" si="3"/>
        <v>BRN53M</v>
      </c>
      <c r="F1497" s="6" t="s">
        <v>51</v>
      </c>
      <c r="G1497" s="6">
        <v>10.0</v>
      </c>
      <c r="H1497" s="11" t="str">
        <f t="shared" si="4"/>
        <v>H10</v>
      </c>
      <c r="I1497" s="10" t="str">
        <f t="shared" si="5"/>
        <v>BRN53M-H10</v>
      </c>
      <c r="J1497" s="16"/>
      <c r="K1497" s="16" t="str">
        <f t="shared" si="6"/>
        <v>collected</v>
      </c>
      <c r="L1497" s="16" t="str">
        <f t="shared" si="7"/>
        <v>N</v>
      </c>
      <c r="M1497" s="16"/>
      <c r="N1497" s="16"/>
    </row>
    <row r="1498">
      <c r="A1498" s="27" t="s">
        <v>2041</v>
      </c>
      <c r="B1498" s="10" t="str">
        <f t="shared" si="1"/>
        <v>RNA-muscle</v>
      </c>
      <c r="C1498" s="10" t="str">
        <f t="shared" si="2"/>
        <v>BRN53M-G10</v>
      </c>
      <c r="D1498" s="6">
        <v>53.0</v>
      </c>
      <c r="E1498" s="10" t="str">
        <f t="shared" si="3"/>
        <v>BRN53M</v>
      </c>
      <c r="F1498" s="6" t="s">
        <v>56</v>
      </c>
      <c r="G1498" s="6">
        <v>10.0</v>
      </c>
      <c r="H1498" s="11" t="str">
        <f t="shared" si="4"/>
        <v>G10</v>
      </c>
      <c r="I1498" s="10" t="str">
        <f t="shared" si="5"/>
        <v>BRN53M-G10</v>
      </c>
      <c r="J1498" s="16"/>
      <c r="K1498" s="16" t="str">
        <f t="shared" si="6"/>
        <v>collected</v>
      </c>
      <c r="L1498" s="16" t="str">
        <f t="shared" si="7"/>
        <v>N</v>
      </c>
      <c r="M1498" s="16"/>
      <c r="N1498" s="16"/>
    </row>
    <row r="1499">
      <c r="A1499" s="27" t="s">
        <v>2042</v>
      </c>
      <c r="B1499" s="10" t="str">
        <f t="shared" si="1"/>
        <v>RNA-muscle</v>
      </c>
      <c r="C1499" s="10" t="str">
        <f t="shared" si="2"/>
        <v>BRN53M-F10</v>
      </c>
      <c r="D1499" s="6">
        <v>53.0</v>
      </c>
      <c r="E1499" s="10" t="str">
        <f t="shared" si="3"/>
        <v>BRN53M</v>
      </c>
      <c r="F1499" s="6" t="s">
        <v>61</v>
      </c>
      <c r="G1499" s="6">
        <v>10.0</v>
      </c>
      <c r="H1499" s="11" t="str">
        <f t="shared" si="4"/>
        <v>F10</v>
      </c>
      <c r="I1499" s="10" t="str">
        <f t="shared" si="5"/>
        <v>BRN53M-F10</v>
      </c>
      <c r="J1499" s="16"/>
      <c r="K1499" s="16" t="str">
        <f t="shared" si="6"/>
        <v>collected</v>
      </c>
      <c r="L1499" s="16" t="str">
        <f t="shared" si="7"/>
        <v>N</v>
      </c>
      <c r="M1499" s="16"/>
      <c r="N1499" s="16"/>
    </row>
    <row r="1500">
      <c r="A1500" s="27" t="s">
        <v>2043</v>
      </c>
      <c r="B1500" s="10" t="str">
        <f t="shared" si="1"/>
        <v>RNA-muscle</v>
      </c>
      <c r="C1500" s="10" t="str">
        <f t="shared" si="2"/>
        <v>BRN53M-E10</v>
      </c>
      <c r="D1500" s="6">
        <v>53.0</v>
      </c>
      <c r="E1500" s="10" t="str">
        <f t="shared" si="3"/>
        <v>BRN53M</v>
      </c>
      <c r="F1500" s="6" t="s">
        <v>66</v>
      </c>
      <c r="G1500" s="6">
        <v>10.0</v>
      </c>
      <c r="H1500" s="11" t="str">
        <f t="shared" si="4"/>
        <v>E10</v>
      </c>
      <c r="I1500" s="10" t="str">
        <f t="shared" si="5"/>
        <v>BRN53M-E10</v>
      </c>
      <c r="J1500" s="16"/>
      <c r="K1500" s="16" t="str">
        <f t="shared" si="6"/>
        <v>collected</v>
      </c>
      <c r="L1500" s="16" t="str">
        <f t="shared" si="7"/>
        <v>N</v>
      </c>
      <c r="M1500" s="16"/>
      <c r="N1500" s="16"/>
    </row>
    <row r="1501">
      <c r="A1501" s="27" t="s">
        <v>2044</v>
      </c>
      <c r="B1501" s="10" t="str">
        <f t="shared" si="1"/>
        <v>RNA-muscle</v>
      </c>
      <c r="C1501" s="10" t="str">
        <f t="shared" si="2"/>
        <v>BRN53M-D10</v>
      </c>
      <c r="D1501" s="6">
        <v>53.0</v>
      </c>
      <c r="E1501" s="10" t="str">
        <f t="shared" si="3"/>
        <v>BRN53M</v>
      </c>
      <c r="F1501" s="6" t="s">
        <v>68</v>
      </c>
      <c r="G1501" s="6">
        <v>10.0</v>
      </c>
      <c r="H1501" s="11" t="str">
        <f t="shared" si="4"/>
        <v>D10</v>
      </c>
      <c r="I1501" s="10" t="str">
        <f t="shared" si="5"/>
        <v>BRN53M-D10</v>
      </c>
      <c r="J1501" s="16"/>
      <c r="K1501" s="16" t="str">
        <f t="shared" si="6"/>
        <v>collected</v>
      </c>
      <c r="L1501" s="16" t="str">
        <f t="shared" si="7"/>
        <v>N</v>
      </c>
      <c r="M1501" s="16"/>
      <c r="N1501" s="16"/>
    </row>
    <row r="1502">
      <c r="A1502" s="27" t="s">
        <v>2045</v>
      </c>
      <c r="B1502" s="10" t="str">
        <f t="shared" si="1"/>
        <v>RNA-muscle</v>
      </c>
      <c r="C1502" s="10" t="str">
        <f t="shared" si="2"/>
        <v>BRN53M-C10</v>
      </c>
      <c r="D1502" s="6">
        <v>53.0</v>
      </c>
      <c r="E1502" s="10" t="str">
        <f t="shared" si="3"/>
        <v>BRN53M</v>
      </c>
      <c r="F1502" s="6" t="s">
        <v>72</v>
      </c>
      <c r="G1502" s="6">
        <v>10.0</v>
      </c>
      <c r="H1502" s="11" t="str">
        <f t="shared" si="4"/>
        <v>C10</v>
      </c>
      <c r="I1502" s="10" t="str">
        <f t="shared" si="5"/>
        <v>BRN53M-C10</v>
      </c>
      <c r="J1502" s="16"/>
      <c r="K1502" s="16" t="str">
        <f t="shared" si="6"/>
        <v>collected</v>
      </c>
      <c r="L1502" s="16" t="str">
        <f t="shared" si="7"/>
        <v>N</v>
      </c>
      <c r="M1502" s="16"/>
      <c r="N1502" s="16"/>
    </row>
    <row r="1503">
      <c r="A1503" s="27" t="s">
        <v>2046</v>
      </c>
      <c r="B1503" s="10" t="str">
        <f t="shared" si="1"/>
        <v>RNA-muscle</v>
      </c>
      <c r="C1503" s="10" t="str">
        <f t="shared" si="2"/>
        <v>BRN53M-B10</v>
      </c>
      <c r="D1503" s="6">
        <v>53.0</v>
      </c>
      <c r="E1503" s="10" t="str">
        <f t="shared" si="3"/>
        <v>BRN53M</v>
      </c>
      <c r="F1503" s="6" t="s">
        <v>74</v>
      </c>
      <c r="G1503" s="6">
        <v>10.0</v>
      </c>
      <c r="H1503" s="11" t="str">
        <f t="shared" si="4"/>
        <v>B10</v>
      </c>
      <c r="I1503" s="10" t="str">
        <f t="shared" si="5"/>
        <v>BRN53M-B10</v>
      </c>
      <c r="J1503" s="16"/>
      <c r="K1503" s="16" t="str">
        <f t="shared" si="6"/>
        <v>collected</v>
      </c>
      <c r="L1503" s="16" t="str">
        <f t="shared" si="7"/>
        <v>N</v>
      </c>
      <c r="M1503" s="16"/>
      <c r="N1503" s="16"/>
    </row>
    <row r="1504">
      <c r="A1504" s="27" t="s">
        <v>2047</v>
      </c>
      <c r="B1504" s="10" t="str">
        <f t="shared" si="1"/>
        <v>RNA-muscle</v>
      </c>
      <c r="C1504" s="10" t="str">
        <f t="shared" si="2"/>
        <v>BRN53M-A10</v>
      </c>
      <c r="D1504" s="6">
        <v>53.0</v>
      </c>
      <c r="E1504" s="10" t="str">
        <f t="shared" si="3"/>
        <v>BRN53M</v>
      </c>
      <c r="F1504" s="6" t="s">
        <v>76</v>
      </c>
      <c r="G1504" s="6">
        <v>10.0</v>
      </c>
      <c r="H1504" s="11" t="str">
        <f t="shared" si="4"/>
        <v>A10</v>
      </c>
      <c r="I1504" s="10" t="str">
        <f t="shared" si="5"/>
        <v>BRN53M-A10</v>
      </c>
      <c r="J1504" s="16"/>
      <c r="K1504" s="16" t="str">
        <f t="shared" si="6"/>
        <v>collected</v>
      </c>
      <c r="L1504" s="16" t="str">
        <f t="shared" si="7"/>
        <v>N</v>
      </c>
      <c r="M1504" s="16"/>
      <c r="N1504" s="16"/>
    </row>
    <row r="1505">
      <c r="A1505" s="27" t="s">
        <v>2048</v>
      </c>
      <c r="B1505" s="10" t="str">
        <f t="shared" si="1"/>
        <v>RNA-muscle</v>
      </c>
      <c r="C1505" s="10" t="str">
        <f t="shared" si="2"/>
        <v>BRN53M-H11</v>
      </c>
      <c r="D1505" s="6">
        <v>53.0</v>
      </c>
      <c r="E1505" s="10" t="str">
        <f t="shared" si="3"/>
        <v>BRN53M</v>
      </c>
      <c r="F1505" s="6" t="s">
        <v>51</v>
      </c>
      <c r="G1505" s="6">
        <v>11.0</v>
      </c>
      <c r="H1505" s="11" t="str">
        <f t="shared" si="4"/>
        <v>H11</v>
      </c>
      <c r="I1505" s="10" t="str">
        <f t="shared" si="5"/>
        <v>BRN53M-H11</v>
      </c>
      <c r="J1505" s="16"/>
      <c r="K1505" s="16" t="str">
        <f t="shared" si="6"/>
        <v>collected</v>
      </c>
      <c r="L1505" s="16" t="str">
        <f t="shared" si="7"/>
        <v>N</v>
      </c>
      <c r="M1505" s="16"/>
      <c r="N1505" s="16"/>
    </row>
    <row r="1506">
      <c r="A1506" s="27" t="s">
        <v>2049</v>
      </c>
      <c r="B1506" s="10" t="str">
        <f t="shared" si="1"/>
        <v>RNA-muscle</v>
      </c>
      <c r="C1506" s="10" t="str">
        <f t="shared" si="2"/>
        <v>BRN53M-G11</v>
      </c>
      <c r="D1506" s="6">
        <v>53.0</v>
      </c>
      <c r="E1506" s="10" t="str">
        <f t="shared" si="3"/>
        <v>BRN53M</v>
      </c>
      <c r="F1506" s="6" t="s">
        <v>56</v>
      </c>
      <c r="G1506" s="6">
        <v>11.0</v>
      </c>
      <c r="H1506" s="11" t="str">
        <f t="shared" si="4"/>
        <v>G11</v>
      </c>
      <c r="I1506" s="10" t="str">
        <f t="shared" si="5"/>
        <v>BRN53M-G11</v>
      </c>
      <c r="J1506" s="16"/>
      <c r="K1506" s="16" t="str">
        <f t="shared" si="6"/>
        <v>collected</v>
      </c>
      <c r="L1506" s="16" t="str">
        <f t="shared" si="7"/>
        <v>N</v>
      </c>
      <c r="M1506" s="16"/>
      <c r="N1506" s="16"/>
    </row>
    <row r="1507">
      <c r="A1507" s="27" t="s">
        <v>2050</v>
      </c>
      <c r="B1507" s="10" t="str">
        <f t="shared" si="1"/>
        <v>RNA-muscle</v>
      </c>
      <c r="C1507" s="10" t="str">
        <f t="shared" si="2"/>
        <v>BRN53M-F11</v>
      </c>
      <c r="D1507" s="6">
        <v>53.0</v>
      </c>
      <c r="E1507" s="10" t="str">
        <f t="shared" si="3"/>
        <v>BRN53M</v>
      </c>
      <c r="F1507" s="6" t="s">
        <v>61</v>
      </c>
      <c r="G1507" s="6">
        <v>11.0</v>
      </c>
      <c r="H1507" s="11" t="str">
        <f t="shared" si="4"/>
        <v>F11</v>
      </c>
      <c r="I1507" s="10" t="str">
        <f t="shared" si="5"/>
        <v>BRN53M-F11</v>
      </c>
      <c r="J1507" s="16"/>
      <c r="K1507" s="16" t="str">
        <f t="shared" si="6"/>
        <v>collected</v>
      </c>
      <c r="L1507" s="16" t="str">
        <f t="shared" si="7"/>
        <v>N</v>
      </c>
      <c r="M1507" s="16"/>
      <c r="N1507" s="16"/>
    </row>
    <row r="1508">
      <c r="A1508" s="27" t="s">
        <v>2051</v>
      </c>
      <c r="B1508" s="10" t="str">
        <f t="shared" si="1"/>
        <v>RNA-muscle</v>
      </c>
      <c r="C1508" s="10" t="str">
        <f t="shared" si="2"/>
        <v>BRN53M-E11</v>
      </c>
      <c r="D1508" s="6">
        <v>53.0</v>
      </c>
      <c r="E1508" s="10" t="str">
        <f t="shared" si="3"/>
        <v>BRN53M</v>
      </c>
      <c r="F1508" s="6" t="s">
        <v>66</v>
      </c>
      <c r="G1508" s="6">
        <v>11.0</v>
      </c>
      <c r="H1508" s="11" t="str">
        <f t="shared" si="4"/>
        <v>E11</v>
      </c>
      <c r="I1508" s="10" t="str">
        <f t="shared" si="5"/>
        <v>BRN53M-E11</v>
      </c>
      <c r="J1508" s="16"/>
      <c r="K1508" s="16" t="str">
        <f t="shared" si="6"/>
        <v>collected</v>
      </c>
      <c r="L1508" s="16" t="str">
        <f t="shared" si="7"/>
        <v>N</v>
      </c>
      <c r="M1508" s="16"/>
      <c r="N1508" s="16"/>
    </row>
    <row r="1509">
      <c r="A1509" s="27" t="s">
        <v>2052</v>
      </c>
      <c r="B1509" s="10" t="str">
        <f t="shared" si="1"/>
        <v>RNA-muscle</v>
      </c>
      <c r="C1509" s="10" t="str">
        <f t="shared" si="2"/>
        <v>BRN53M-D11</v>
      </c>
      <c r="D1509" s="6">
        <v>53.0</v>
      </c>
      <c r="E1509" s="10" t="str">
        <f t="shared" si="3"/>
        <v>BRN53M</v>
      </c>
      <c r="F1509" s="6" t="s">
        <v>68</v>
      </c>
      <c r="G1509" s="6">
        <v>11.0</v>
      </c>
      <c r="H1509" s="11" t="str">
        <f t="shared" si="4"/>
        <v>D11</v>
      </c>
      <c r="I1509" s="10" t="str">
        <f t="shared" si="5"/>
        <v>BRN53M-D11</v>
      </c>
      <c r="J1509" s="16"/>
      <c r="K1509" s="16" t="str">
        <f t="shared" si="6"/>
        <v>collected</v>
      </c>
      <c r="L1509" s="16" t="str">
        <f t="shared" si="7"/>
        <v>N</v>
      </c>
      <c r="M1509" s="16"/>
      <c r="N1509" s="16"/>
    </row>
    <row r="1510">
      <c r="A1510" s="27" t="s">
        <v>2053</v>
      </c>
      <c r="B1510" s="10" t="str">
        <f t="shared" si="1"/>
        <v>RNA-muscle</v>
      </c>
      <c r="C1510" s="10" t="str">
        <f t="shared" si="2"/>
        <v>BRN53M-C11</v>
      </c>
      <c r="D1510" s="6">
        <v>53.0</v>
      </c>
      <c r="E1510" s="10" t="str">
        <f t="shared" si="3"/>
        <v>BRN53M</v>
      </c>
      <c r="F1510" s="6" t="s">
        <v>72</v>
      </c>
      <c r="G1510" s="6">
        <v>11.0</v>
      </c>
      <c r="H1510" s="11" t="str">
        <f t="shared" si="4"/>
        <v>C11</v>
      </c>
      <c r="I1510" s="10" t="str">
        <f t="shared" si="5"/>
        <v>BRN53M-C11</v>
      </c>
      <c r="J1510" s="16"/>
      <c r="K1510" s="16" t="str">
        <f t="shared" si="6"/>
        <v>collected</v>
      </c>
      <c r="L1510" s="16" t="str">
        <f t="shared" si="7"/>
        <v>N</v>
      </c>
      <c r="M1510" s="16"/>
      <c r="N1510" s="16"/>
    </row>
    <row r="1511">
      <c r="A1511" s="27" t="s">
        <v>2054</v>
      </c>
      <c r="B1511" s="10" t="str">
        <f t="shared" si="1"/>
        <v>RNA-muscle</v>
      </c>
      <c r="C1511" s="10" t="str">
        <f t="shared" si="2"/>
        <v>BRN53M-B11</v>
      </c>
      <c r="D1511" s="6">
        <v>53.0</v>
      </c>
      <c r="E1511" s="10" t="str">
        <f t="shared" si="3"/>
        <v>BRN53M</v>
      </c>
      <c r="F1511" s="6" t="s">
        <v>74</v>
      </c>
      <c r="G1511" s="6">
        <v>11.0</v>
      </c>
      <c r="H1511" s="11" t="str">
        <f t="shared" si="4"/>
        <v>B11</v>
      </c>
      <c r="I1511" s="10" t="str">
        <f t="shared" si="5"/>
        <v>BRN53M-B11</v>
      </c>
      <c r="J1511" s="16"/>
      <c r="K1511" s="16" t="str">
        <f t="shared" si="6"/>
        <v>collected</v>
      </c>
      <c r="L1511" s="16" t="str">
        <f t="shared" si="7"/>
        <v>N</v>
      </c>
      <c r="M1511" s="16"/>
      <c r="N1511" s="16"/>
    </row>
    <row r="1512">
      <c r="A1512" s="27" t="s">
        <v>2055</v>
      </c>
      <c r="B1512" s="10" t="str">
        <f t="shared" si="1"/>
        <v>RNA-muscle</v>
      </c>
      <c r="C1512" s="10" t="str">
        <f t="shared" si="2"/>
        <v>BRN53M-A11</v>
      </c>
      <c r="D1512" s="6">
        <v>53.0</v>
      </c>
      <c r="E1512" s="10" t="str">
        <f t="shared" si="3"/>
        <v>BRN53M</v>
      </c>
      <c r="F1512" s="6" t="s">
        <v>76</v>
      </c>
      <c r="G1512" s="6">
        <v>11.0</v>
      </c>
      <c r="H1512" s="11" t="str">
        <f t="shared" si="4"/>
        <v>A11</v>
      </c>
      <c r="I1512" s="10" t="str">
        <f t="shared" si="5"/>
        <v>BRN53M-A11</v>
      </c>
      <c r="J1512" s="16"/>
      <c r="K1512" s="16" t="str">
        <f t="shared" si="6"/>
        <v>collected</v>
      </c>
      <c r="L1512" s="16" t="str">
        <f t="shared" si="7"/>
        <v>N</v>
      </c>
      <c r="M1512" s="16"/>
      <c r="N1512" s="16"/>
    </row>
    <row r="1513">
      <c r="A1513" s="27" t="s">
        <v>2056</v>
      </c>
      <c r="B1513" s="10" t="str">
        <f t="shared" si="1"/>
        <v>RNA-muscle</v>
      </c>
      <c r="C1513" s="10" t="str">
        <f t="shared" si="2"/>
        <v>BRN53M-G12</v>
      </c>
      <c r="D1513" s="6">
        <v>53.0</v>
      </c>
      <c r="E1513" s="10" t="str">
        <f t="shared" si="3"/>
        <v>BRN53M</v>
      </c>
      <c r="F1513" s="6" t="s">
        <v>56</v>
      </c>
      <c r="G1513" s="6">
        <v>12.0</v>
      </c>
      <c r="H1513" s="11" t="str">
        <f t="shared" si="4"/>
        <v>G12</v>
      </c>
      <c r="I1513" s="10" t="str">
        <f t="shared" si="5"/>
        <v>BRN53M-G12</v>
      </c>
      <c r="J1513" s="16"/>
      <c r="K1513" s="16" t="str">
        <f t="shared" si="6"/>
        <v>collected</v>
      </c>
      <c r="L1513" s="16" t="str">
        <f t="shared" si="7"/>
        <v>N</v>
      </c>
      <c r="M1513" s="16"/>
      <c r="N1513" s="16"/>
    </row>
    <row r="1514">
      <c r="A1514" s="27" t="s">
        <v>2057</v>
      </c>
      <c r="B1514" s="10" t="str">
        <f t="shared" si="1"/>
        <v>RNA-muscle</v>
      </c>
      <c r="C1514" s="10" t="str">
        <f t="shared" si="2"/>
        <v>BRN53M-F12</v>
      </c>
      <c r="D1514" s="6">
        <v>53.0</v>
      </c>
      <c r="E1514" s="10" t="str">
        <f t="shared" si="3"/>
        <v>BRN53M</v>
      </c>
      <c r="F1514" s="6" t="s">
        <v>61</v>
      </c>
      <c r="G1514" s="6">
        <v>12.0</v>
      </c>
      <c r="H1514" s="11" t="str">
        <f t="shared" si="4"/>
        <v>F12</v>
      </c>
      <c r="I1514" s="10" t="str">
        <f t="shared" si="5"/>
        <v>BRN53M-F12</v>
      </c>
      <c r="J1514" s="16"/>
      <c r="K1514" s="16" t="str">
        <f t="shared" si="6"/>
        <v>collected</v>
      </c>
      <c r="L1514" s="16" t="str">
        <f t="shared" si="7"/>
        <v>N</v>
      </c>
      <c r="M1514" s="16"/>
      <c r="N1514" s="16"/>
    </row>
    <row r="1515">
      <c r="A1515" s="27" t="s">
        <v>2058</v>
      </c>
      <c r="B1515" s="10" t="str">
        <f t="shared" si="1"/>
        <v>RNA-muscle</v>
      </c>
      <c r="C1515" s="10" t="str">
        <f t="shared" si="2"/>
        <v>BRN53M-E12</v>
      </c>
      <c r="D1515" s="6">
        <v>53.0</v>
      </c>
      <c r="E1515" s="10" t="str">
        <f t="shared" si="3"/>
        <v>BRN53M</v>
      </c>
      <c r="F1515" s="6" t="s">
        <v>66</v>
      </c>
      <c r="G1515" s="6">
        <v>12.0</v>
      </c>
      <c r="H1515" s="11" t="str">
        <f t="shared" si="4"/>
        <v>E12</v>
      </c>
      <c r="I1515" s="10" t="str">
        <f t="shared" si="5"/>
        <v>BRN53M-E12</v>
      </c>
      <c r="J1515" s="16"/>
      <c r="K1515" s="16" t="str">
        <f t="shared" si="6"/>
        <v>collected</v>
      </c>
      <c r="L1515" s="16" t="str">
        <f t="shared" si="7"/>
        <v>N</v>
      </c>
      <c r="M1515" s="16"/>
      <c r="N1515" s="16"/>
    </row>
    <row r="1516">
      <c r="A1516" s="27" t="s">
        <v>2059</v>
      </c>
      <c r="B1516" s="10" t="str">
        <f t="shared" si="1"/>
        <v>RNA-muscle</v>
      </c>
      <c r="C1516" s="10" t="str">
        <f t="shared" si="2"/>
        <v>BRN53M-D12</v>
      </c>
      <c r="D1516" s="6">
        <v>53.0</v>
      </c>
      <c r="E1516" s="10" t="str">
        <f t="shared" si="3"/>
        <v>BRN53M</v>
      </c>
      <c r="F1516" s="6" t="s">
        <v>68</v>
      </c>
      <c r="G1516" s="6">
        <v>12.0</v>
      </c>
      <c r="H1516" s="11" t="str">
        <f t="shared" si="4"/>
        <v>D12</v>
      </c>
      <c r="I1516" s="10" t="str">
        <f t="shared" si="5"/>
        <v>BRN53M-D12</v>
      </c>
      <c r="J1516" s="16"/>
      <c r="K1516" s="16" t="str">
        <f t="shared" si="6"/>
        <v>collected</v>
      </c>
      <c r="L1516" s="16" t="str">
        <f t="shared" si="7"/>
        <v>N</v>
      </c>
      <c r="M1516" s="16"/>
      <c r="N1516" s="16"/>
    </row>
    <row r="1517">
      <c r="A1517" s="27" t="s">
        <v>2060</v>
      </c>
      <c r="B1517" s="10" t="str">
        <f t="shared" si="1"/>
        <v>RNA-muscle</v>
      </c>
      <c r="C1517" s="10" t="str">
        <f t="shared" si="2"/>
        <v>BRN53M-C12</v>
      </c>
      <c r="D1517" s="6">
        <v>53.0</v>
      </c>
      <c r="E1517" s="10" t="str">
        <f t="shared" si="3"/>
        <v>BRN53M</v>
      </c>
      <c r="F1517" s="6" t="s">
        <v>72</v>
      </c>
      <c r="G1517" s="6">
        <v>12.0</v>
      </c>
      <c r="H1517" s="11" t="str">
        <f t="shared" si="4"/>
        <v>C12</v>
      </c>
      <c r="I1517" s="10" t="str">
        <f t="shared" si="5"/>
        <v>BRN53M-C12</v>
      </c>
      <c r="J1517" s="16"/>
      <c r="K1517" s="16" t="str">
        <f t="shared" si="6"/>
        <v>collected</v>
      </c>
      <c r="L1517" s="16" t="str">
        <f t="shared" si="7"/>
        <v>N</v>
      </c>
      <c r="M1517" s="16"/>
      <c r="N1517" s="16"/>
    </row>
    <row r="1518">
      <c r="A1518" s="27" t="s">
        <v>2061</v>
      </c>
      <c r="B1518" s="10" t="str">
        <f t="shared" si="1"/>
        <v>RNA-muscle</v>
      </c>
      <c r="C1518" s="10" t="str">
        <f t="shared" si="2"/>
        <v>BRN53M-B12</v>
      </c>
      <c r="D1518" s="6">
        <v>53.0</v>
      </c>
      <c r="E1518" s="10" t="str">
        <f t="shared" si="3"/>
        <v>BRN53M</v>
      </c>
      <c r="F1518" s="6" t="s">
        <v>74</v>
      </c>
      <c r="G1518" s="6">
        <v>12.0</v>
      </c>
      <c r="H1518" s="11" t="str">
        <f t="shared" si="4"/>
        <v>B12</v>
      </c>
      <c r="I1518" s="10" t="str">
        <f t="shared" si="5"/>
        <v>BRN53M-B12</v>
      </c>
      <c r="J1518" s="16"/>
      <c r="K1518" s="16" t="str">
        <f t="shared" si="6"/>
        <v>collected</v>
      </c>
      <c r="L1518" s="16" t="str">
        <f t="shared" si="7"/>
        <v>N</v>
      </c>
      <c r="M1518" s="16"/>
      <c r="N1518" s="16"/>
    </row>
    <row r="1519">
      <c r="A1519" s="27" t="s">
        <v>2062</v>
      </c>
      <c r="B1519" s="10" t="str">
        <f t="shared" si="1"/>
        <v>RNA-muscle</v>
      </c>
      <c r="C1519" s="10" t="str">
        <f t="shared" si="2"/>
        <v>BRN53M-A12</v>
      </c>
      <c r="D1519" s="6">
        <v>53.0</v>
      </c>
      <c r="E1519" s="10" t="str">
        <f t="shared" si="3"/>
        <v>BRN53M</v>
      </c>
      <c r="F1519" s="6" t="s">
        <v>76</v>
      </c>
      <c r="G1519" s="6">
        <v>12.0</v>
      </c>
      <c r="H1519" s="11" t="str">
        <f t="shared" si="4"/>
        <v>A12</v>
      </c>
      <c r="I1519" s="10" t="str">
        <f t="shared" si="5"/>
        <v>BRN53M-A12</v>
      </c>
      <c r="J1519" s="16"/>
      <c r="K1519" s="16" t="str">
        <f t="shared" si="6"/>
        <v>collected</v>
      </c>
      <c r="L1519" s="16" t="str">
        <f t="shared" si="7"/>
        <v>N</v>
      </c>
      <c r="M1519" s="16"/>
      <c r="N1519" s="16"/>
    </row>
    <row r="1520">
      <c r="A1520" s="27" t="s">
        <v>2063</v>
      </c>
      <c r="B1520" s="10" t="str">
        <f t="shared" si="1"/>
        <v>RNA-muscle</v>
      </c>
      <c r="C1520" s="10" t="str">
        <f t="shared" si="2"/>
        <v>BRN78M-H1</v>
      </c>
      <c r="D1520" s="6">
        <v>78.0</v>
      </c>
      <c r="E1520" s="10" t="str">
        <f t="shared" si="3"/>
        <v>BRN78M</v>
      </c>
      <c r="F1520" s="6" t="s">
        <v>51</v>
      </c>
      <c r="G1520" s="6">
        <v>1.0</v>
      </c>
      <c r="H1520" s="11" t="str">
        <f t="shared" si="4"/>
        <v>H1</v>
      </c>
      <c r="I1520" s="10" t="str">
        <f t="shared" si="5"/>
        <v>BRN78M-H1</v>
      </c>
      <c r="J1520" s="16"/>
      <c r="K1520" s="16" t="str">
        <f t="shared" si="6"/>
        <v>collected</v>
      </c>
      <c r="L1520" s="16" t="str">
        <f t="shared" si="7"/>
        <v>N</v>
      </c>
      <c r="M1520" s="16"/>
      <c r="N1520" s="16"/>
    </row>
    <row r="1521">
      <c r="A1521" s="27" t="s">
        <v>2064</v>
      </c>
      <c r="B1521" s="10" t="str">
        <f t="shared" si="1"/>
        <v>RNA-muscle</v>
      </c>
      <c r="C1521" s="10" t="str">
        <f t="shared" si="2"/>
        <v>BRN78M-G1</v>
      </c>
      <c r="D1521" s="6">
        <v>78.0</v>
      </c>
      <c r="E1521" s="10" t="str">
        <f t="shared" si="3"/>
        <v>BRN78M</v>
      </c>
      <c r="F1521" s="6" t="s">
        <v>56</v>
      </c>
      <c r="G1521" s="6">
        <v>1.0</v>
      </c>
      <c r="H1521" s="11" t="str">
        <f t="shared" si="4"/>
        <v>G1</v>
      </c>
      <c r="I1521" s="10" t="str">
        <f t="shared" si="5"/>
        <v>BRN78M-G1</v>
      </c>
      <c r="J1521" s="16"/>
      <c r="K1521" s="16" t="str">
        <f t="shared" si="6"/>
        <v>collected</v>
      </c>
      <c r="L1521" s="16" t="str">
        <f t="shared" si="7"/>
        <v>N</v>
      </c>
      <c r="M1521" s="16"/>
      <c r="N1521" s="16"/>
    </row>
    <row r="1522">
      <c r="A1522" s="27" t="s">
        <v>2065</v>
      </c>
      <c r="B1522" s="10" t="str">
        <f t="shared" si="1"/>
        <v>RNA-muscle</v>
      </c>
      <c r="C1522" s="10" t="str">
        <f t="shared" si="2"/>
        <v>BRN78M-F1</v>
      </c>
      <c r="D1522" s="6">
        <v>78.0</v>
      </c>
      <c r="E1522" s="10" t="str">
        <f t="shared" si="3"/>
        <v>BRN78M</v>
      </c>
      <c r="F1522" s="6" t="s">
        <v>61</v>
      </c>
      <c r="G1522" s="6">
        <v>1.0</v>
      </c>
      <c r="H1522" s="11" t="str">
        <f t="shared" si="4"/>
        <v>F1</v>
      </c>
      <c r="I1522" s="10" t="str">
        <f t="shared" si="5"/>
        <v>BRN78M-F1</v>
      </c>
      <c r="J1522" s="16"/>
      <c r="K1522" s="16" t="str">
        <f t="shared" si="6"/>
        <v>collected</v>
      </c>
      <c r="L1522" s="16" t="str">
        <f t="shared" si="7"/>
        <v>N</v>
      </c>
      <c r="M1522" s="16"/>
      <c r="N1522" s="16"/>
    </row>
    <row r="1523">
      <c r="A1523" s="27" t="s">
        <v>2066</v>
      </c>
      <c r="B1523" s="10" t="str">
        <f t="shared" si="1"/>
        <v>RNA-muscle</v>
      </c>
      <c r="C1523" s="10" t="str">
        <f t="shared" si="2"/>
        <v>BRN78M-E1</v>
      </c>
      <c r="D1523" s="6">
        <v>78.0</v>
      </c>
      <c r="E1523" s="10" t="str">
        <f t="shared" si="3"/>
        <v>BRN78M</v>
      </c>
      <c r="F1523" s="6" t="s">
        <v>66</v>
      </c>
      <c r="G1523" s="6">
        <v>1.0</v>
      </c>
      <c r="H1523" s="11" t="str">
        <f t="shared" si="4"/>
        <v>E1</v>
      </c>
      <c r="I1523" s="10" t="str">
        <f t="shared" si="5"/>
        <v>BRN78M-E1</v>
      </c>
      <c r="J1523" s="16"/>
      <c r="K1523" s="16" t="str">
        <f t="shared" si="6"/>
        <v>collected</v>
      </c>
      <c r="L1523" s="16" t="str">
        <f t="shared" si="7"/>
        <v>N</v>
      </c>
      <c r="M1523" s="16"/>
      <c r="N1523" s="16"/>
    </row>
    <row r="1524">
      <c r="A1524" s="27" t="s">
        <v>2067</v>
      </c>
      <c r="B1524" s="10" t="str">
        <f t="shared" si="1"/>
        <v>RNA-muscle</v>
      </c>
      <c r="C1524" s="10" t="str">
        <f t="shared" si="2"/>
        <v>BRN78M-D1</v>
      </c>
      <c r="D1524" s="6">
        <v>78.0</v>
      </c>
      <c r="E1524" s="10" t="str">
        <f t="shared" si="3"/>
        <v>BRN78M</v>
      </c>
      <c r="F1524" s="6" t="s">
        <v>68</v>
      </c>
      <c r="G1524" s="6">
        <v>1.0</v>
      </c>
      <c r="H1524" s="11" t="str">
        <f t="shared" si="4"/>
        <v>D1</v>
      </c>
      <c r="I1524" s="10" t="str">
        <f t="shared" si="5"/>
        <v>BRN78M-D1</v>
      </c>
      <c r="J1524" s="16"/>
      <c r="K1524" s="16" t="str">
        <f t="shared" si="6"/>
        <v>collected</v>
      </c>
      <c r="L1524" s="16" t="str">
        <f t="shared" si="7"/>
        <v>N</v>
      </c>
      <c r="M1524" s="16"/>
      <c r="N1524" s="16"/>
    </row>
    <row r="1525">
      <c r="A1525" s="27" t="s">
        <v>2068</v>
      </c>
      <c r="B1525" s="10" t="str">
        <f t="shared" si="1"/>
        <v>RNA-muscle</v>
      </c>
      <c r="C1525" s="10" t="str">
        <f t="shared" si="2"/>
        <v>BRN78M-C1</v>
      </c>
      <c r="D1525" s="6">
        <v>78.0</v>
      </c>
      <c r="E1525" s="10" t="str">
        <f t="shared" si="3"/>
        <v>BRN78M</v>
      </c>
      <c r="F1525" s="6" t="s">
        <v>72</v>
      </c>
      <c r="G1525" s="6">
        <v>1.0</v>
      </c>
      <c r="H1525" s="11" t="str">
        <f t="shared" si="4"/>
        <v>C1</v>
      </c>
      <c r="I1525" s="10" t="str">
        <f t="shared" si="5"/>
        <v>BRN78M-C1</v>
      </c>
      <c r="J1525" s="16"/>
      <c r="K1525" s="16" t="str">
        <f t="shared" si="6"/>
        <v>collected</v>
      </c>
      <c r="L1525" s="16" t="str">
        <f t="shared" si="7"/>
        <v>N</v>
      </c>
      <c r="M1525" s="16"/>
      <c r="N1525" s="16"/>
    </row>
    <row r="1526">
      <c r="A1526" s="27" t="s">
        <v>2069</v>
      </c>
      <c r="B1526" s="10" t="str">
        <f t="shared" si="1"/>
        <v>RNA-muscle</v>
      </c>
      <c r="C1526" s="10" t="str">
        <f t="shared" si="2"/>
        <v>BRN78M-B1</v>
      </c>
      <c r="D1526" s="6">
        <v>78.0</v>
      </c>
      <c r="E1526" s="10" t="str">
        <f t="shared" si="3"/>
        <v>BRN78M</v>
      </c>
      <c r="F1526" s="6" t="s">
        <v>74</v>
      </c>
      <c r="G1526" s="6">
        <v>1.0</v>
      </c>
      <c r="H1526" s="11" t="str">
        <f t="shared" si="4"/>
        <v>B1</v>
      </c>
      <c r="I1526" s="10" t="str">
        <f t="shared" si="5"/>
        <v>BRN78M-B1</v>
      </c>
      <c r="J1526" s="16"/>
      <c r="K1526" s="16" t="str">
        <f t="shared" si="6"/>
        <v>collected</v>
      </c>
      <c r="L1526" s="16" t="str">
        <f t="shared" si="7"/>
        <v>N</v>
      </c>
      <c r="M1526" s="16"/>
      <c r="N1526" s="16"/>
    </row>
    <row r="1527">
      <c r="A1527" s="27" t="s">
        <v>2070</v>
      </c>
      <c r="B1527" s="10" t="str">
        <f t="shared" si="1"/>
        <v>RNA-muscle</v>
      </c>
      <c r="C1527" s="10" t="str">
        <f t="shared" si="2"/>
        <v>BRN78M-A1</v>
      </c>
      <c r="D1527" s="6">
        <v>78.0</v>
      </c>
      <c r="E1527" s="10" t="str">
        <f t="shared" si="3"/>
        <v>BRN78M</v>
      </c>
      <c r="F1527" s="6" t="s">
        <v>76</v>
      </c>
      <c r="G1527" s="6">
        <v>1.0</v>
      </c>
      <c r="H1527" s="11" t="str">
        <f t="shared" si="4"/>
        <v>A1</v>
      </c>
      <c r="I1527" s="10" t="str">
        <f t="shared" si="5"/>
        <v>BRN78M-A1</v>
      </c>
      <c r="J1527" s="16"/>
      <c r="K1527" s="16" t="str">
        <f t="shared" si="6"/>
        <v>collected</v>
      </c>
      <c r="L1527" s="16" t="str">
        <f t="shared" si="7"/>
        <v>N</v>
      </c>
      <c r="M1527" s="16"/>
      <c r="N1527" s="16"/>
    </row>
    <row r="1528">
      <c r="A1528" s="27" t="s">
        <v>2071</v>
      </c>
      <c r="B1528" s="10" t="str">
        <f t="shared" si="1"/>
        <v>RNA-muscle</v>
      </c>
      <c r="C1528" s="10" t="str">
        <f t="shared" si="2"/>
        <v>BRN78M-H2</v>
      </c>
      <c r="D1528" s="6">
        <v>78.0</v>
      </c>
      <c r="E1528" s="10" t="str">
        <f t="shared" si="3"/>
        <v>BRN78M</v>
      </c>
      <c r="F1528" s="6" t="s">
        <v>51</v>
      </c>
      <c r="G1528" s="6">
        <v>2.0</v>
      </c>
      <c r="H1528" s="11" t="str">
        <f t="shared" si="4"/>
        <v>H2</v>
      </c>
      <c r="I1528" s="10" t="str">
        <f t="shared" si="5"/>
        <v>BRN78M-H2</v>
      </c>
      <c r="J1528" s="16"/>
      <c r="K1528" s="16" t="str">
        <f t="shared" si="6"/>
        <v>collected</v>
      </c>
      <c r="L1528" s="16" t="str">
        <f t="shared" si="7"/>
        <v>N</v>
      </c>
      <c r="M1528" s="16"/>
      <c r="N1528" s="16"/>
    </row>
    <row r="1529">
      <c r="A1529" s="27" t="s">
        <v>2072</v>
      </c>
      <c r="B1529" s="10" t="str">
        <f t="shared" si="1"/>
        <v>RNA-muscle</v>
      </c>
      <c r="C1529" s="10" t="str">
        <f t="shared" si="2"/>
        <v>BRN79M-H1</v>
      </c>
      <c r="D1529" s="6">
        <v>79.0</v>
      </c>
      <c r="E1529" s="10" t="str">
        <f t="shared" si="3"/>
        <v>BRN79M</v>
      </c>
      <c r="F1529" s="6" t="s">
        <v>51</v>
      </c>
      <c r="G1529" s="6">
        <v>1.0</v>
      </c>
      <c r="H1529" s="11" t="str">
        <f t="shared" si="4"/>
        <v>H1</v>
      </c>
      <c r="I1529" s="10" t="str">
        <f t="shared" si="5"/>
        <v>BRN79M-H1</v>
      </c>
      <c r="J1529" s="16"/>
      <c r="K1529" s="16" t="str">
        <f t="shared" si="6"/>
        <v>collected</v>
      </c>
      <c r="L1529" s="16" t="str">
        <f t="shared" si="7"/>
        <v>N</v>
      </c>
      <c r="M1529" s="16"/>
      <c r="N1529" s="16"/>
    </row>
    <row r="1530">
      <c r="A1530" s="27" t="s">
        <v>2073</v>
      </c>
      <c r="B1530" s="10" t="str">
        <f t="shared" si="1"/>
        <v>RNA-muscle</v>
      </c>
      <c r="C1530" s="10" t="str">
        <f t="shared" si="2"/>
        <v>BRN79M-G1</v>
      </c>
      <c r="D1530" s="6">
        <v>79.0</v>
      </c>
      <c r="E1530" s="10" t="str">
        <f t="shared" si="3"/>
        <v>BRN79M</v>
      </c>
      <c r="F1530" s="6" t="s">
        <v>56</v>
      </c>
      <c r="G1530" s="6">
        <v>1.0</v>
      </c>
      <c r="H1530" s="11" t="str">
        <f t="shared" si="4"/>
        <v>G1</v>
      </c>
      <c r="I1530" s="10" t="str">
        <f t="shared" si="5"/>
        <v>BRN79M-G1</v>
      </c>
      <c r="J1530" s="16"/>
      <c r="K1530" s="16" t="str">
        <f t="shared" si="6"/>
        <v>collected</v>
      </c>
      <c r="L1530" s="16" t="str">
        <f t="shared" si="7"/>
        <v>N</v>
      </c>
      <c r="M1530" s="16"/>
      <c r="N1530" s="16"/>
    </row>
    <row r="1531">
      <c r="A1531" s="27" t="s">
        <v>2074</v>
      </c>
      <c r="B1531" s="10" t="str">
        <f t="shared" si="1"/>
        <v>RNA-muscle</v>
      </c>
      <c r="C1531" s="10" t="str">
        <f t="shared" si="2"/>
        <v>BRN79M-F1</v>
      </c>
      <c r="D1531" s="6">
        <v>79.0</v>
      </c>
      <c r="E1531" s="10" t="str">
        <f t="shared" si="3"/>
        <v>BRN79M</v>
      </c>
      <c r="F1531" s="6" t="s">
        <v>61</v>
      </c>
      <c r="G1531" s="6">
        <v>1.0</v>
      </c>
      <c r="H1531" s="11" t="str">
        <f t="shared" si="4"/>
        <v>F1</v>
      </c>
      <c r="I1531" s="10" t="str">
        <f t="shared" si="5"/>
        <v>BRN79M-F1</v>
      </c>
      <c r="J1531" s="16"/>
      <c r="K1531" s="16" t="str">
        <f t="shared" si="6"/>
        <v>collected</v>
      </c>
      <c r="L1531" s="16" t="str">
        <f t="shared" si="7"/>
        <v>N</v>
      </c>
      <c r="M1531" s="16"/>
      <c r="N1531" s="16"/>
    </row>
    <row r="1532">
      <c r="A1532" s="27" t="s">
        <v>2075</v>
      </c>
      <c r="B1532" s="10" t="str">
        <f t="shared" si="1"/>
        <v>RNA-muscle</v>
      </c>
      <c r="C1532" s="10" t="str">
        <f t="shared" si="2"/>
        <v>BRN79M-E1</v>
      </c>
      <c r="D1532" s="6">
        <v>79.0</v>
      </c>
      <c r="E1532" s="10" t="str">
        <f t="shared" si="3"/>
        <v>BRN79M</v>
      </c>
      <c r="F1532" s="6" t="s">
        <v>66</v>
      </c>
      <c r="G1532" s="6">
        <v>1.0</v>
      </c>
      <c r="H1532" s="11" t="str">
        <f t="shared" si="4"/>
        <v>E1</v>
      </c>
      <c r="I1532" s="10" t="str">
        <f t="shared" si="5"/>
        <v>BRN79M-E1</v>
      </c>
      <c r="J1532" s="16"/>
      <c r="K1532" s="16" t="str">
        <f t="shared" si="6"/>
        <v>collected</v>
      </c>
      <c r="L1532" s="16" t="str">
        <f t="shared" si="7"/>
        <v>N</v>
      </c>
      <c r="M1532" s="16"/>
      <c r="N1532" s="16"/>
    </row>
    <row r="1533">
      <c r="A1533" s="27" t="s">
        <v>2076</v>
      </c>
      <c r="B1533" s="10" t="str">
        <f t="shared" si="1"/>
        <v>RNA-muscle</v>
      </c>
      <c r="C1533" s="10" t="str">
        <f t="shared" si="2"/>
        <v>BRN79M-D1</v>
      </c>
      <c r="D1533" s="6">
        <v>79.0</v>
      </c>
      <c r="E1533" s="10" t="str">
        <f t="shared" si="3"/>
        <v>BRN79M</v>
      </c>
      <c r="F1533" s="6" t="s">
        <v>68</v>
      </c>
      <c r="G1533" s="6">
        <v>1.0</v>
      </c>
      <c r="H1533" s="11" t="str">
        <f t="shared" si="4"/>
        <v>D1</v>
      </c>
      <c r="I1533" s="10" t="str">
        <f t="shared" si="5"/>
        <v>BRN79M-D1</v>
      </c>
      <c r="J1533" s="16"/>
      <c r="K1533" s="16" t="str">
        <f t="shared" si="6"/>
        <v>collected</v>
      </c>
      <c r="L1533" s="16" t="str">
        <f t="shared" si="7"/>
        <v>N</v>
      </c>
      <c r="M1533" s="16"/>
      <c r="N1533" s="16"/>
    </row>
    <row r="1534">
      <c r="A1534" s="27" t="s">
        <v>2077</v>
      </c>
      <c r="B1534" s="10" t="str">
        <f t="shared" si="1"/>
        <v>RNA-muscle</v>
      </c>
      <c r="C1534" s="10" t="str">
        <f t="shared" si="2"/>
        <v>BRN79M-C1</v>
      </c>
      <c r="D1534" s="6">
        <v>79.0</v>
      </c>
      <c r="E1534" s="10" t="str">
        <f t="shared" si="3"/>
        <v>BRN79M</v>
      </c>
      <c r="F1534" s="6" t="s">
        <v>72</v>
      </c>
      <c r="G1534" s="6">
        <v>1.0</v>
      </c>
      <c r="H1534" s="11" t="str">
        <f t="shared" si="4"/>
        <v>C1</v>
      </c>
      <c r="I1534" s="10" t="str">
        <f t="shared" si="5"/>
        <v>BRN79M-C1</v>
      </c>
      <c r="J1534" s="16"/>
      <c r="K1534" s="16" t="str">
        <f t="shared" si="6"/>
        <v>collected</v>
      </c>
      <c r="L1534" s="16" t="str">
        <f t="shared" si="7"/>
        <v>N</v>
      </c>
      <c r="M1534" s="16"/>
      <c r="N1534" s="16"/>
    </row>
    <row r="1535">
      <c r="A1535" s="27" t="s">
        <v>2078</v>
      </c>
      <c r="B1535" s="10" t="str">
        <f t="shared" si="1"/>
        <v>RNA-muscle</v>
      </c>
      <c r="C1535" s="10" t="str">
        <f t="shared" si="2"/>
        <v>BRN79M-B1</v>
      </c>
      <c r="D1535" s="6">
        <v>79.0</v>
      </c>
      <c r="E1535" s="10" t="str">
        <f t="shared" si="3"/>
        <v>BRN79M</v>
      </c>
      <c r="F1535" s="6" t="s">
        <v>74</v>
      </c>
      <c r="G1535" s="6">
        <v>1.0</v>
      </c>
      <c r="H1535" s="11" t="str">
        <f t="shared" si="4"/>
        <v>B1</v>
      </c>
      <c r="I1535" s="10" t="str">
        <f t="shared" si="5"/>
        <v>BRN79M-B1</v>
      </c>
      <c r="J1535" s="16"/>
      <c r="K1535" s="16" t="str">
        <f t="shared" si="6"/>
        <v>collected</v>
      </c>
      <c r="L1535" s="16" t="str">
        <f t="shared" si="7"/>
        <v>N</v>
      </c>
      <c r="M1535" s="16"/>
      <c r="N1535" s="16"/>
    </row>
    <row r="1536">
      <c r="A1536" s="27" t="s">
        <v>2079</v>
      </c>
      <c r="B1536" s="10" t="str">
        <f t="shared" si="1"/>
        <v>RNA-muscle</v>
      </c>
      <c r="C1536" s="10" t="str">
        <f t="shared" si="2"/>
        <v>BRN79M-A1</v>
      </c>
      <c r="D1536" s="6">
        <v>79.0</v>
      </c>
      <c r="E1536" s="10" t="str">
        <f t="shared" si="3"/>
        <v>BRN79M</v>
      </c>
      <c r="F1536" s="6" t="s">
        <v>76</v>
      </c>
      <c r="G1536" s="6">
        <v>1.0</v>
      </c>
      <c r="H1536" s="11" t="str">
        <f t="shared" si="4"/>
        <v>A1</v>
      </c>
      <c r="I1536" s="10" t="str">
        <f t="shared" si="5"/>
        <v>BRN79M-A1</v>
      </c>
      <c r="J1536" s="16"/>
      <c r="K1536" s="16" t="str">
        <f t="shared" si="6"/>
        <v>collected</v>
      </c>
      <c r="L1536" s="16" t="str">
        <f t="shared" si="7"/>
        <v>N</v>
      </c>
      <c r="M1536" s="16"/>
      <c r="N1536" s="16"/>
    </row>
    <row r="1537">
      <c r="A1537" s="27" t="s">
        <v>2080</v>
      </c>
      <c r="B1537" s="10" t="str">
        <f t="shared" si="1"/>
        <v>RNA-muscle</v>
      </c>
      <c r="C1537" s="10" t="str">
        <f t="shared" si="2"/>
        <v>BRN79M-H3</v>
      </c>
      <c r="D1537" s="6">
        <v>79.0</v>
      </c>
      <c r="E1537" s="10" t="str">
        <f t="shared" si="3"/>
        <v>BRN79M</v>
      </c>
      <c r="F1537" s="6" t="s">
        <v>51</v>
      </c>
      <c r="G1537" s="6">
        <v>3.0</v>
      </c>
      <c r="H1537" s="11" t="str">
        <f t="shared" si="4"/>
        <v>H3</v>
      </c>
      <c r="I1537" s="10" t="str">
        <f t="shared" si="5"/>
        <v>BRN79M-H3</v>
      </c>
      <c r="J1537" s="16"/>
      <c r="K1537" s="16" t="str">
        <f t="shared" si="6"/>
        <v>collected</v>
      </c>
      <c r="L1537" s="16" t="str">
        <f t="shared" si="7"/>
        <v>N</v>
      </c>
      <c r="M1537" s="16"/>
      <c r="N1537" s="16"/>
    </row>
    <row r="1538">
      <c r="A1538" s="27" t="s">
        <v>2081</v>
      </c>
      <c r="B1538" s="10" t="str">
        <f t="shared" si="1"/>
        <v>RNA-muscle</v>
      </c>
      <c r="C1538" s="10" t="str">
        <f t="shared" si="2"/>
        <v>BRN79M-G3</v>
      </c>
      <c r="D1538" s="6">
        <v>79.0</v>
      </c>
      <c r="E1538" s="10" t="str">
        <f t="shared" si="3"/>
        <v>BRN79M</v>
      </c>
      <c r="F1538" s="6" t="s">
        <v>56</v>
      </c>
      <c r="G1538" s="6">
        <v>3.0</v>
      </c>
      <c r="H1538" s="11" t="str">
        <f t="shared" si="4"/>
        <v>G3</v>
      </c>
      <c r="I1538" s="10" t="str">
        <f t="shared" si="5"/>
        <v>BRN79M-G3</v>
      </c>
      <c r="J1538" s="16"/>
      <c r="K1538" s="16" t="str">
        <f t="shared" si="6"/>
        <v>collected</v>
      </c>
      <c r="L1538" s="16" t="str">
        <f t="shared" si="7"/>
        <v>N</v>
      </c>
      <c r="M1538" s="16"/>
      <c r="N1538" s="16"/>
    </row>
    <row r="1539">
      <c r="A1539" s="27" t="s">
        <v>2082</v>
      </c>
      <c r="B1539" s="10" t="str">
        <f t="shared" si="1"/>
        <v>RNA-muscle</v>
      </c>
      <c r="C1539" s="10" t="str">
        <f t="shared" si="2"/>
        <v>BRN79M-F3</v>
      </c>
      <c r="D1539" s="6">
        <v>79.0</v>
      </c>
      <c r="E1539" s="10" t="str">
        <f t="shared" si="3"/>
        <v>BRN79M</v>
      </c>
      <c r="F1539" s="6" t="s">
        <v>61</v>
      </c>
      <c r="G1539" s="6">
        <v>3.0</v>
      </c>
      <c r="H1539" s="11" t="str">
        <f t="shared" si="4"/>
        <v>F3</v>
      </c>
      <c r="I1539" s="10" t="str">
        <f t="shared" si="5"/>
        <v>BRN79M-F3</v>
      </c>
      <c r="J1539" s="16"/>
      <c r="K1539" s="16" t="str">
        <f t="shared" si="6"/>
        <v>collected</v>
      </c>
      <c r="L1539" s="16" t="str">
        <f t="shared" si="7"/>
        <v>N</v>
      </c>
      <c r="M1539" s="16"/>
      <c r="N1539" s="16"/>
    </row>
    <row r="1540">
      <c r="A1540" s="27" t="s">
        <v>2083</v>
      </c>
      <c r="B1540" s="10" t="str">
        <f t="shared" si="1"/>
        <v>RNA-muscle</v>
      </c>
      <c r="C1540" s="10" t="str">
        <f t="shared" si="2"/>
        <v>BRN79M-E3</v>
      </c>
      <c r="D1540" s="6">
        <v>79.0</v>
      </c>
      <c r="E1540" s="10" t="str">
        <f t="shared" si="3"/>
        <v>BRN79M</v>
      </c>
      <c r="F1540" s="6" t="s">
        <v>66</v>
      </c>
      <c r="G1540" s="6">
        <v>3.0</v>
      </c>
      <c r="H1540" s="11" t="str">
        <f t="shared" si="4"/>
        <v>E3</v>
      </c>
      <c r="I1540" s="10" t="str">
        <f t="shared" si="5"/>
        <v>BRN79M-E3</v>
      </c>
      <c r="J1540" s="16"/>
      <c r="K1540" s="16" t="str">
        <f t="shared" si="6"/>
        <v>collected</v>
      </c>
      <c r="L1540" s="16" t="str">
        <f t="shared" si="7"/>
        <v>N</v>
      </c>
      <c r="M1540" s="16"/>
      <c r="N1540" s="16"/>
    </row>
    <row r="1541">
      <c r="A1541" s="27" t="s">
        <v>2084</v>
      </c>
      <c r="B1541" s="10" t="str">
        <f t="shared" si="1"/>
        <v>RNA-muscle</v>
      </c>
      <c r="C1541" s="10" t="str">
        <f t="shared" si="2"/>
        <v>BRN79M-D3</v>
      </c>
      <c r="D1541" s="6">
        <v>79.0</v>
      </c>
      <c r="E1541" s="10" t="str">
        <f t="shared" si="3"/>
        <v>BRN79M</v>
      </c>
      <c r="F1541" s="6" t="s">
        <v>68</v>
      </c>
      <c r="G1541" s="6">
        <v>3.0</v>
      </c>
      <c r="H1541" s="11" t="str">
        <f t="shared" si="4"/>
        <v>D3</v>
      </c>
      <c r="I1541" s="10" t="str">
        <f t="shared" si="5"/>
        <v>BRN79M-D3</v>
      </c>
      <c r="J1541" s="16"/>
      <c r="K1541" s="16" t="str">
        <f t="shared" si="6"/>
        <v>collected</v>
      </c>
      <c r="L1541" s="16" t="str">
        <f t="shared" si="7"/>
        <v>N</v>
      </c>
      <c r="M1541" s="16"/>
      <c r="N1541" s="16"/>
    </row>
    <row r="1542">
      <c r="A1542" s="27" t="s">
        <v>2085</v>
      </c>
      <c r="B1542" s="10" t="str">
        <f t="shared" si="1"/>
        <v>RNA-muscle</v>
      </c>
      <c r="C1542" s="10" t="str">
        <f t="shared" si="2"/>
        <v>BRN55M-C11</v>
      </c>
      <c r="D1542" s="6">
        <v>55.0</v>
      </c>
      <c r="E1542" s="10" t="str">
        <f t="shared" si="3"/>
        <v>BRN55M</v>
      </c>
      <c r="F1542" s="6" t="s">
        <v>72</v>
      </c>
      <c r="G1542" s="6">
        <v>11.0</v>
      </c>
      <c r="H1542" s="11" t="str">
        <f t="shared" si="4"/>
        <v>C11</v>
      </c>
      <c r="I1542" s="10" t="str">
        <f t="shared" si="5"/>
        <v>BRN55M-C11</v>
      </c>
      <c r="J1542" s="16"/>
      <c r="K1542" s="16" t="str">
        <f t="shared" si="6"/>
        <v>collected</v>
      </c>
      <c r="L1542" s="16" t="str">
        <f t="shared" si="7"/>
        <v>N</v>
      </c>
      <c r="M1542" s="16"/>
      <c r="N1542" s="16"/>
    </row>
    <row r="1543">
      <c r="A1543" s="27" t="s">
        <v>2086</v>
      </c>
      <c r="B1543" s="10" t="str">
        <f t="shared" si="1"/>
        <v>RNA-muscle</v>
      </c>
      <c r="C1543" s="10" t="str">
        <f t="shared" si="2"/>
        <v>BRN55M-B11</v>
      </c>
      <c r="D1543" s="6">
        <v>55.0</v>
      </c>
      <c r="E1543" s="10" t="str">
        <f t="shared" si="3"/>
        <v>BRN55M</v>
      </c>
      <c r="F1543" s="6" t="s">
        <v>74</v>
      </c>
      <c r="G1543" s="6">
        <v>11.0</v>
      </c>
      <c r="H1543" s="11" t="str">
        <f t="shared" si="4"/>
        <v>B11</v>
      </c>
      <c r="I1543" s="10" t="str">
        <f t="shared" si="5"/>
        <v>BRN55M-B11</v>
      </c>
      <c r="J1543" s="16"/>
      <c r="K1543" s="16" t="str">
        <f t="shared" si="6"/>
        <v>collected</v>
      </c>
      <c r="L1543" s="16" t="str">
        <f t="shared" si="7"/>
        <v>N</v>
      </c>
      <c r="M1543" s="16"/>
      <c r="N1543" s="16"/>
    </row>
    <row r="1544">
      <c r="A1544" s="27" t="s">
        <v>2087</v>
      </c>
      <c r="B1544" s="10" t="str">
        <f t="shared" si="1"/>
        <v>RNA-muscle</v>
      </c>
      <c r="C1544" s="10" t="str">
        <f t="shared" si="2"/>
        <v>BRN55M-A11</v>
      </c>
      <c r="D1544" s="6">
        <v>55.0</v>
      </c>
      <c r="E1544" s="10" t="str">
        <f t="shared" si="3"/>
        <v>BRN55M</v>
      </c>
      <c r="F1544" s="6" t="s">
        <v>76</v>
      </c>
      <c r="G1544" s="6">
        <v>11.0</v>
      </c>
      <c r="H1544" s="11" t="str">
        <f t="shared" si="4"/>
        <v>A11</v>
      </c>
      <c r="I1544" s="10" t="str">
        <f t="shared" si="5"/>
        <v>BRN55M-A11</v>
      </c>
      <c r="J1544" s="16"/>
      <c r="K1544" s="16" t="str">
        <f t="shared" si="6"/>
        <v>collected</v>
      </c>
      <c r="L1544" s="16" t="str">
        <f t="shared" si="7"/>
        <v>N</v>
      </c>
      <c r="M1544" s="16"/>
      <c r="N1544" s="16"/>
    </row>
    <row r="1545">
      <c r="A1545" s="27" t="s">
        <v>2088</v>
      </c>
      <c r="B1545" s="10" t="str">
        <f t="shared" si="1"/>
        <v>RNA-muscle</v>
      </c>
      <c r="C1545" s="10" t="str">
        <f t="shared" si="2"/>
        <v>BRN55M-G12</v>
      </c>
      <c r="D1545" s="6">
        <v>55.0</v>
      </c>
      <c r="E1545" s="10" t="str">
        <f t="shared" si="3"/>
        <v>BRN55M</v>
      </c>
      <c r="F1545" s="6" t="s">
        <v>56</v>
      </c>
      <c r="G1545" s="6">
        <v>12.0</v>
      </c>
      <c r="H1545" s="11" t="str">
        <f t="shared" si="4"/>
        <v>G12</v>
      </c>
      <c r="I1545" s="10" t="str">
        <f t="shared" si="5"/>
        <v>BRN55M-G12</v>
      </c>
      <c r="J1545" s="16"/>
      <c r="K1545" s="16" t="str">
        <f t="shared" si="6"/>
        <v>collected</v>
      </c>
      <c r="L1545" s="16" t="str">
        <f t="shared" si="7"/>
        <v>N</v>
      </c>
      <c r="M1545" s="16"/>
      <c r="N1545" s="16"/>
    </row>
    <row r="1546">
      <c r="A1546" s="27" t="s">
        <v>2089</v>
      </c>
      <c r="B1546" s="10" t="str">
        <f t="shared" si="1"/>
        <v>RNA-muscle</v>
      </c>
      <c r="C1546" s="10" t="str">
        <f t="shared" si="2"/>
        <v>BRN55M-F12</v>
      </c>
      <c r="D1546" s="6">
        <v>55.0</v>
      </c>
      <c r="E1546" s="10" t="str">
        <f t="shared" si="3"/>
        <v>BRN55M</v>
      </c>
      <c r="F1546" s="6" t="s">
        <v>61</v>
      </c>
      <c r="G1546" s="6">
        <v>12.0</v>
      </c>
      <c r="H1546" s="11" t="str">
        <f t="shared" si="4"/>
        <v>F12</v>
      </c>
      <c r="I1546" s="10" t="str">
        <f t="shared" si="5"/>
        <v>BRN55M-F12</v>
      </c>
      <c r="J1546" s="16"/>
      <c r="K1546" s="16" t="str">
        <f t="shared" si="6"/>
        <v>collected</v>
      </c>
      <c r="L1546" s="16" t="str">
        <f t="shared" si="7"/>
        <v>N</v>
      </c>
      <c r="M1546" s="16"/>
      <c r="N1546" s="16"/>
    </row>
    <row r="1547">
      <c r="A1547" s="27" t="s">
        <v>2090</v>
      </c>
      <c r="B1547" s="10" t="str">
        <f t="shared" si="1"/>
        <v>RNA-muscle</v>
      </c>
      <c r="C1547" s="10" t="str">
        <f t="shared" si="2"/>
        <v>BRN55M-E12</v>
      </c>
      <c r="D1547" s="6">
        <v>55.0</v>
      </c>
      <c r="E1547" s="10" t="str">
        <f t="shared" si="3"/>
        <v>BRN55M</v>
      </c>
      <c r="F1547" s="6" t="s">
        <v>66</v>
      </c>
      <c r="G1547" s="6">
        <v>12.0</v>
      </c>
      <c r="H1547" s="11" t="str">
        <f t="shared" si="4"/>
        <v>E12</v>
      </c>
      <c r="I1547" s="10" t="str">
        <f t="shared" si="5"/>
        <v>BRN55M-E12</v>
      </c>
      <c r="J1547" s="16"/>
      <c r="K1547" s="16" t="str">
        <f t="shared" si="6"/>
        <v>collected</v>
      </c>
      <c r="L1547" s="16" t="str">
        <f t="shared" si="7"/>
        <v>N</v>
      </c>
      <c r="M1547" s="16"/>
      <c r="N1547" s="16"/>
    </row>
    <row r="1548">
      <c r="A1548" s="27" t="s">
        <v>2091</v>
      </c>
      <c r="B1548" s="10" t="str">
        <f t="shared" si="1"/>
        <v>RNA-muscle</v>
      </c>
      <c r="C1548" s="10" t="str">
        <f t="shared" si="2"/>
        <v>BRN55M-D12</v>
      </c>
      <c r="D1548" s="6">
        <v>55.0</v>
      </c>
      <c r="E1548" s="10" t="str">
        <f t="shared" si="3"/>
        <v>BRN55M</v>
      </c>
      <c r="F1548" s="6" t="s">
        <v>68</v>
      </c>
      <c r="G1548" s="6">
        <v>12.0</v>
      </c>
      <c r="H1548" s="11" t="str">
        <f t="shared" si="4"/>
        <v>D12</v>
      </c>
      <c r="I1548" s="10" t="str">
        <f t="shared" si="5"/>
        <v>BRN55M-D12</v>
      </c>
      <c r="J1548" s="16"/>
      <c r="K1548" s="16" t="str">
        <f t="shared" si="6"/>
        <v>collected</v>
      </c>
      <c r="L1548" s="16" t="str">
        <f t="shared" si="7"/>
        <v>N</v>
      </c>
      <c r="M1548" s="16"/>
      <c r="N1548" s="16"/>
    </row>
    <row r="1549">
      <c r="A1549" s="27" t="s">
        <v>2092</v>
      </c>
      <c r="B1549" s="10" t="str">
        <f t="shared" si="1"/>
        <v>RNA-muscle</v>
      </c>
      <c r="C1549" s="10" t="str">
        <f t="shared" si="2"/>
        <v>BRN55M-C12</v>
      </c>
      <c r="D1549" s="6">
        <v>55.0</v>
      </c>
      <c r="E1549" s="10" t="str">
        <f t="shared" si="3"/>
        <v>BRN55M</v>
      </c>
      <c r="F1549" s="6" t="s">
        <v>72</v>
      </c>
      <c r="G1549" s="6">
        <v>12.0</v>
      </c>
      <c r="H1549" s="11" t="str">
        <f t="shared" si="4"/>
        <v>C12</v>
      </c>
      <c r="I1549" s="10" t="str">
        <f t="shared" si="5"/>
        <v>BRN55M-C12</v>
      </c>
      <c r="J1549" s="6" t="s">
        <v>2093</v>
      </c>
      <c r="K1549" s="16" t="str">
        <f t="shared" si="6"/>
        <v>collected</v>
      </c>
      <c r="L1549" s="16" t="str">
        <f t="shared" si="7"/>
        <v>N</v>
      </c>
      <c r="M1549" s="16"/>
      <c r="N1549" s="16"/>
    </row>
    <row r="1550">
      <c r="A1550" s="27" t="s">
        <v>2094</v>
      </c>
      <c r="B1550" s="10" t="str">
        <f t="shared" si="1"/>
        <v>RNA-muscle</v>
      </c>
      <c r="C1550" s="10" t="str">
        <f t="shared" si="2"/>
        <v>BRN55M-B12</v>
      </c>
      <c r="D1550" s="6">
        <v>55.0</v>
      </c>
      <c r="E1550" s="10" t="str">
        <f t="shared" si="3"/>
        <v>BRN55M</v>
      </c>
      <c r="F1550" s="6" t="s">
        <v>74</v>
      </c>
      <c r="G1550" s="6">
        <v>12.0</v>
      </c>
      <c r="H1550" s="11" t="str">
        <f t="shared" si="4"/>
        <v>B12</v>
      </c>
      <c r="I1550" s="10" t="str">
        <f t="shared" si="5"/>
        <v>BRN55M-B12</v>
      </c>
      <c r="J1550" s="16"/>
      <c r="K1550" s="16" t="str">
        <f t="shared" si="6"/>
        <v>collected</v>
      </c>
      <c r="L1550" s="16" t="str">
        <f t="shared" si="7"/>
        <v>N</v>
      </c>
      <c r="M1550" s="16"/>
      <c r="N1550" s="16"/>
    </row>
    <row r="1551">
      <c r="A1551" s="27" t="s">
        <v>2095</v>
      </c>
      <c r="B1551" s="10" t="str">
        <f t="shared" si="1"/>
        <v>RNA-muscle</v>
      </c>
      <c r="C1551" s="10" t="str">
        <f t="shared" si="2"/>
        <v>BRN55M-A12</v>
      </c>
      <c r="D1551" s="6">
        <v>55.0</v>
      </c>
      <c r="E1551" s="10" t="str">
        <f t="shared" si="3"/>
        <v>BRN55M</v>
      </c>
      <c r="F1551" s="6" t="s">
        <v>76</v>
      </c>
      <c r="G1551" s="6">
        <v>12.0</v>
      </c>
      <c r="H1551" s="11" t="str">
        <f t="shared" si="4"/>
        <v>A12</v>
      </c>
      <c r="I1551" s="10" t="str">
        <f t="shared" si="5"/>
        <v>BRN55M-A12</v>
      </c>
      <c r="J1551" s="16"/>
      <c r="K1551" s="16" t="str">
        <f t="shared" si="6"/>
        <v>collected</v>
      </c>
      <c r="L1551" s="16" t="str">
        <f t="shared" si="7"/>
        <v>N</v>
      </c>
      <c r="M1551" s="16"/>
      <c r="N1551" s="16"/>
    </row>
    <row r="1552">
      <c r="A1552" s="27" t="s">
        <v>2096</v>
      </c>
      <c r="B1552" s="10" t="str">
        <f t="shared" si="1"/>
        <v>RNA-muscle</v>
      </c>
      <c r="C1552" s="10" t="str">
        <f t="shared" si="2"/>
        <v>BRN79M-H2</v>
      </c>
      <c r="D1552" s="6">
        <v>79.0</v>
      </c>
      <c r="E1552" s="10" t="str">
        <f t="shared" si="3"/>
        <v>BRN79M</v>
      </c>
      <c r="F1552" s="6" t="s">
        <v>51</v>
      </c>
      <c r="G1552" s="6">
        <v>2.0</v>
      </c>
      <c r="H1552" s="11" t="str">
        <f t="shared" si="4"/>
        <v>H2</v>
      </c>
      <c r="I1552" s="10" t="str">
        <f t="shared" si="5"/>
        <v>BRN79M-H2</v>
      </c>
      <c r="J1552" s="16"/>
      <c r="K1552" s="16" t="str">
        <f t="shared" si="6"/>
        <v>collected</v>
      </c>
      <c r="L1552" s="16" t="str">
        <f t="shared" si="7"/>
        <v>N</v>
      </c>
      <c r="M1552" s="16"/>
      <c r="N1552" s="16"/>
    </row>
    <row r="1553">
      <c r="A1553" s="27" t="s">
        <v>2097</v>
      </c>
      <c r="B1553" s="10" t="str">
        <f t="shared" si="1"/>
        <v>RNA-muscle</v>
      </c>
      <c r="C1553" s="10" t="str">
        <f t="shared" si="2"/>
        <v>BRN79M-G2</v>
      </c>
      <c r="D1553" s="6">
        <v>79.0</v>
      </c>
      <c r="E1553" s="10" t="str">
        <f t="shared" si="3"/>
        <v>BRN79M</v>
      </c>
      <c r="F1553" s="6" t="s">
        <v>56</v>
      </c>
      <c r="G1553" s="6">
        <v>2.0</v>
      </c>
      <c r="H1553" s="11" t="str">
        <f t="shared" si="4"/>
        <v>G2</v>
      </c>
      <c r="I1553" s="10" t="str">
        <f t="shared" si="5"/>
        <v>BRN79M-G2</v>
      </c>
      <c r="J1553" s="16"/>
      <c r="K1553" s="16" t="str">
        <f t="shared" si="6"/>
        <v>collected</v>
      </c>
      <c r="L1553" s="16" t="str">
        <f t="shared" si="7"/>
        <v>N</v>
      </c>
      <c r="M1553" s="16"/>
      <c r="N1553" s="16"/>
    </row>
    <row r="1554">
      <c r="A1554" s="27" t="s">
        <v>2098</v>
      </c>
      <c r="B1554" s="10" t="str">
        <f t="shared" si="1"/>
        <v>RNA-muscle</v>
      </c>
      <c r="C1554" s="10" t="str">
        <f t="shared" si="2"/>
        <v>BRN79M-F2</v>
      </c>
      <c r="D1554" s="6">
        <v>79.0</v>
      </c>
      <c r="E1554" s="10" t="str">
        <f t="shared" si="3"/>
        <v>BRN79M</v>
      </c>
      <c r="F1554" s="6" t="s">
        <v>61</v>
      </c>
      <c r="G1554" s="6">
        <v>2.0</v>
      </c>
      <c r="H1554" s="11" t="str">
        <f t="shared" si="4"/>
        <v>F2</v>
      </c>
      <c r="I1554" s="10" t="str">
        <f t="shared" si="5"/>
        <v>BRN79M-F2</v>
      </c>
      <c r="J1554" s="16"/>
      <c r="K1554" s="16" t="str">
        <f t="shared" si="6"/>
        <v>collected</v>
      </c>
      <c r="L1554" s="16" t="str">
        <f t="shared" si="7"/>
        <v>N</v>
      </c>
      <c r="M1554" s="16"/>
      <c r="N1554" s="16"/>
    </row>
    <row r="1555">
      <c r="A1555" s="27" t="s">
        <v>2099</v>
      </c>
      <c r="B1555" s="10" t="str">
        <f t="shared" si="1"/>
        <v>RNA-muscle</v>
      </c>
      <c r="C1555" s="10" t="str">
        <f t="shared" si="2"/>
        <v>BRN79M-E2</v>
      </c>
      <c r="D1555" s="6">
        <v>79.0</v>
      </c>
      <c r="E1555" s="10" t="str">
        <f t="shared" si="3"/>
        <v>BRN79M</v>
      </c>
      <c r="F1555" s="6" t="s">
        <v>66</v>
      </c>
      <c r="G1555" s="6">
        <v>2.0</v>
      </c>
      <c r="H1555" s="11" t="str">
        <f t="shared" si="4"/>
        <v>E2</v>
      </c>
      <c r="I1555" s="10" t="str">
        <f t="shared" si="5"/>
        <v>BRN79M-E2</v>
      </c>
      <c r="J1555" s="16"/>
      <c r="K1555" s="16" t="str">
        <f t="shared" si="6"/>
        <v>collected</v>
      </c>
      <c r="L1555" s="16" t="str">
        <f t="shared" si="7"/>
        <v>N</v>
      </c>
      <c r="M1555" s="16"/>
      <c r="N1555" s="16"/>
    </row>
    <row r="1556">
      <c r="A1556" s="27" t="s">
        <v>2100</v>
      </c>
      <c r="B1556" s="10" t="str">
        <f t="shared" si="1"/>
        <v>RNA-muscle</v>
      </c>
      <c r="C1556" s="10" t="str">
        <f t="shared" si="2"/>
        <v>BRN79M-D2</v>
      </c>
      <c r="D1556" s="6">
        <v>79.0</v>
      </c>
      <c r="E1556" s="10" t="str">
        <f t="shared" si="3"/>
        <v>BRN79M</v>
      </c>
      <c r="F1556" s="6" t="s">
        <v>68</v>
      </c>
      <c r="G1556" s="6">
        <v>2.0</v>
      </c>
      <c r="H1556" s="11" t="str">
        <f t="shared" si="4"/>
        <v>D2</v>
      </c>
      <c r="I1556" s="10" t="str">
        <f t="shared" si="5"/>
        <v>BRN79M-D2</v>
      </c>
      <c r="J1556" s="16"/>
      <c r="K1556" s="16" t="str">
        <f t="shared" si="6"/>
        <v>collected</v>
      </c>
      <c r="L1556" s="16" t="str">
        <f t="shared" si="7"/>
        <v>N</v>
      </c>
      <c r="M1556" s="16"/>
      <c r="N1556" s="16"/>
    </row>
    <row r="1557">
      <c r="A1557" s="27" t="s">
        <v>2101</v>
      </c>
      <c r="B1557" s="10" t="str">
        <f t="shared" si="1"/>
        <v>RNA-muscle</v>
      </c>
      <c r="C1557" s="10" t="str">
        <f t="shared" si="2"/>
        <v>BRN79M-C2</v>
      </c>
      <c r="D1557" s="6">
        <v>79.0</v>
      </c>
      <c r="E1557" s="10" t="str">
        <f t="shared" si="3"/>
        <v>BRN79M</v>
      </c>
      <c r="F1557" s="6" t="s">
        <v>72</v>
      </c>
      <c r="G1557" s="6">
        <v>2.0</v>
      </c>
      <c r="H1557" s="11" t="str">
        <f t="shared" si="4"/>
        <v>C2</v>
      </c>
      <c r="I1557" s="10" t="str">
        <f t="shared" si="5"/>
        <v>BRN79M-C2</v>
      </c>
      <c r="J1557" s="16"/>
      <c r="K1557" s="16" t="str">
        <f t="shared" si="6"/>
        <v>collected</v>
      </c>
      <c r="L1557" s="16" t="str">
        <f t="shared" si="7"/>
        <v>N</v>
      </c>
      <c r="M1557" s="16"/>
      <c r="N1557" s="16"/>
    </row>
    <row r="1558">
      <c r="A1558" s="27" t="s">
        <v>2102</v>
      </c>
      <c r="B1558" s="10" t="str">
        <f t="shared" si="1"/>
        <v>RNA-muscle</v>
      </c>
      <c r="C1558" s="10" t="str">
        <f t="shared" si="2"/>
        <v>BRN79M-B2</v>
      </c>
      <c r="D1558" s="6">
        <v>79.0</v>
      </c>
      <c r="E1558" s="10" t="str">
        <f t="shared" si="3"/>
        <v>BRN79M</v>
      </c>
      <c r="F1558" s="6" t="s">
        <v>74</v>
      </c>
      <c r="G1558" s="6">
        <v>2.0</v>
      </c>
      <c r="H1558" s="11" t="str">
        <f t="shared" si="4"/>
        <v>B2</v>
      </c>
      <c r="I1558" s="10" t="str">
        <f t="shared" si="5"/>
        <v>BRN79M-B2</v>
      </c>
      <c r="J1558" s="16"/>
      <c r="K1558" s="16" t="str">
        <f t="shared" si="6"/>
        <v>collected</v>
      </c>
      <c r="L1558" s="16" t="str">
        <f t="shared" si="7"/>
        <v>N</v>
      </c>
      <c r="M1558" s="16"/>
      <c r="N1558" s="16"/>
    </row>
  </sheetData>
  <conditionalFormatting sqref="L1:L1558">
    <cfRule type="cellIs" dxfId="0" priority="1" operator="equal">
      <formula>"Y"</formula>
    </cfRule>
  </conditionalFormatting>
  <dataValidations>
    <dataValidation type="decimal" allowBlank="1" showDropDown="1" showErrorMessage="1" sqref="G35:G1558">
      <formula1>1.0</formula1>
      <formula2>12.0</formula2>
    </dataValidation>
    <dataValidation type="list" allowBlank="1" showDropDown="1" showInputMessage="1" showErrorMessage="1" prompt="Ensure there are no duplicate UFNs" sqref="A1:A150 A166:A435 A457:A583 A601:A976 A993:A1558">
      <formula1>fish_lab_data!$C:$C</formula1>
    </dataValidation>
  </dataValidation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93C47D"/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0" max="10" width="46.71"/>
  </cols>
  <sheetData>
    <row r="1">
      <c r="A1" s="1" t="s">
        <v>0</v>
      </c>
      <c r="B1" s="4" t="s">
        <v>1</v>
      </c>
      <c r="C1" s="4" t="s">
        <v>16</v>
      </c>
      <c r="D1" s="4" t="s">
        <v>17</v>
      </c>
      <c r="E1" s="4" t="s">
        <v>18</v>
      </c>
      <c r="F1" s="4" t="s">
        <v>19</v>
      </c>
      <c r="G1" s="4" t="s">
        <v>20</v>
      </c>
      <c r="H1" s="4" t="s">
        <v>21</v>
      </c>
      <c r="I1" s="4" t="s">
        <v>22</v>
      </c>
      <c r="J1" s="1" t="s">
        <v>23</v>
      </c>
      <c r="K1" s="1" t="s">
        <v>24</v>
      </c>
      <c r="L1" s="1" t="s">
        <v>25</v>
      </c>
      <c r="M1" s="1" t="s">
        <v>26</v>
      </c>
      <c r="N1" s="1" t="s">
        <v>27</v>
      </c>
    </row>
    <row r="2">
      <c r="A2" s="6" t="s">
        <v>28</v>
      </c>
      <c r="B2" s="10" t="str">
        <f t="shared" ref="B2:B1558" si="1">if(isblank(A2),"","RNA-gill")</f>
        <v>RNA-gill</v>
      </c>
      <c r="C2" s="10" t="str">
        <f t="shared" ref="C2:C1558" si="2">I2</f>
        <v>BRN63G-H1</v>
      </c>
      <c r="D2" s="11">
        <f t="array" ref="D2">iferror(index('rna-muscle'!D:D,match(A2,'rna-muscle'!A:A,0)))</f>
        <v>63</v>
      </c>
      <c r="E2" s="10" t="str">
        <f t="shared" ref="E2:E1558" si="3">if(isblank(D2),"",concatenate("BRN",D2,"G"))</f>
        <v>BRN63G</v>
      </c>
      <c r="F2" s="11" t="str">
        <f t="array" ref="F2">iferror(index('rna-muscle'!F:F,match($A2,'rna-muscle'!$A:$A,0)))</f>
        <v>H</v>
      </c>
      <c r="G2" s="11">
        <f t="array" ref="G2">iferror(index('rna-muscle'!G:G,match($A2,'rna-muscle'!$A:$A,0)))</f>
        <v>1</v>
      </c>
      <c r="H2" s="11" t="str">
        <f t="shared" ref="H2:H1558" si="4">concatenate(F2,G2)</f>
        <v>H1</v>
      </c>
      <c r="I2" s="10" t="str">
        <f t="shared" ref="I2:I1558" si="5">if(H2="","",concatenate(E2,"-",H2))</f>
        <v>BRN63G-H1</v>
      </c>
      <c r="J2" s="15"/>
      <c r="K2" s="16" t="str">
        <f t="shared" ref="K2:K1558" si="6">if(I2="","","collected")</f>
        <v>collected</v>
      </c>
      <c r="L2" s="16" t="str">
        <f t="shared" ref="L2:L1558" si="7">if(I2="","",if(or(countif(A:A,A2)&gt;1,countif(I:I,I2)&gt;1),"Y","N"))</f>
        <v>N</v>
      </c>
      <c r="M2" s="16"/>
      <c r="N2" s="16"/>
    </row>
    <row r="3">
      <c r="A3" s="6" t="s">
        <v>55</v>
      </c>
      <c r="B3" s="10" t="str">
        <f t="shared" si="1"/>
        <v>RNA-gill</v>
      </c>
      <c r="C3" s="10" t="str">
        <f t="shared" si="2"/>
        <v>BRN63G-G1</v>
      </c>
      <c r="D3" s="11">
        <f t="array" ref="D3">iferror(index('rna-muscle'!D:D,match(A3,'rna-muscle'!A:A,0)))</f>
        <v>63</v>
      </c>
      <c r="E3" s="10" t="str">
        <f t="shared" si="3"/>
        <v>BRN63G</v>
      </c>
      <c r="F3" s="11" t="str">
        <f t="array" ref="F3">iferror(index('rna-muscle'!F:F,match($A3,'rna-muscle'!$A:$A,0)))</f>
        <v>G</v>
      </c>
      <c r="G3" s="11">
        <f t="array" ref="G3">iferror(index('rna-muscle'!G:G,match($A3,'rna-muscle'!$A:$A,0)))</f>
        <v>1</v>
      </c>
      <c r="H3" s="11" t="str">
        <f t="shared" si="4"/>
        <v>G1</v>
      </c>
      <c r="I3" s="10" t="str">
        <f t="shared" si="5"/>
        <v>BRN63G-G1</v>
      </c>
      <c r="J3" s="15"/>
      <c r="K3" s="16" t="str">
        <f t="shared" si="6"/>
        <v>collected</v>
      </c>
      <c r="L3" s="16" t="str">
        <f t="shared" si="7"/>
        <v>N</v>
      </c>
      <c r="M3" s="16"/>
      <c r="N3" s="16"/>
    </row>
    <row r="4">
      <c r="A4" s="6" t="s">
        <v>59</v>
      </c>
      <c r="B4" s="10" t="str">
        <f t="shared" si="1"/>
        <v>RNA-gill</v>
      </c>
      <c r="C4" s="10" t="str">
        <f t="shared" si="2"/>
        <v>BRN63G-F1</v>
      </c>
      <c r="D4" s="11">
        <f t="array" ref="D4">iferror(index('rna-muscle'!D:D,match(A4,'rna-muscle'!A:A,0)))</f>
        <v>63</v>
      </c>
      <c r="E4" s="10" t="str">
        <f t="shared" si="3"/>
        <v>BRN63G</v>
      </c>
      <c r="F4" s="11" t="str">
        <f t="array" ref="F4">iferror(index('rna-muscle'!F:F,match($A4,'rna-muscle'!$A:$A,0)))</f>
        <v>F</v>
      </c>
      <c r="G4" s="11">
        <f t="array" ref="G4">iferror(index('rna-muscle'!G:G,match($A4,'rna-muscle'!$A:$A,0)))</f>
        <v>1</v>
      </c>
      <c r="H4" s="11" t="str">
        <f t="shared" si="4"/>
        <v>F1</v>
      </c>
      <c r="I4" s="10" t="str">
        <f t="shared" si="5"/>
        <v>BRN63G-F1</v>
      </c>
      <c r="K4" s="16" t="str">
        <f t="shared" si="6"/>
        <v>collected</v>
      </c>
      <c r="L4" s="16" t="str">
        <f t="shared" si="7"/>
        <v>N</v>
      </c>
      <c r="M4" s="16"/>
      <c r="N4" s="16"/>
    </row>
    <row r="5">
      <c r="A5" s="6" t="s">
        <v>65</v>
      </c>
      <c r="B5" s="10" t="str">
        <f t="shared" si="1"/>
        <v>RNA-gill</v>
      </c>
      <c r="C5" s="10" t="str">
        <f t="shared" si="2"/>
        <v>BRN63G-E1</v>
      </c>
      <c r="D5" s="11">
        <f t="array" ref="D5">iferror(index('rna-muscle'!D:D,match(A5,'rna-muscle'!A:A,0)))</f>
        <v>63</v>
      </c>
      <c r="E5" s="10" t="str">
        <f t="shared" si="3"/>
        <v>BRN63G</v>
      </c>
      <c r="F5" s="11" t="str">
        <f t="array" ref="F5">iferror(index('rna-muscle'!F:F,match($A5,'rna-muscle'!$A:$A,0)))</f>
        <v>E</v>
      </c>
      <c r="G5" s="11">
        <f t="array" ref="G5">iferror(index('rna-muscle'!G:G,match($A5,'rna-muscle'!$A:$A,0)))</f>
        <v>1</v>
      </c>
      <c r="H5" s="11" t="str">
        <f t="shared" si="4"/>
        <v>E1</v>
      </c>
      <c r="I5" s="10" t="str">
        <f t="shared" si="5"/>
        <v>BRN63G-E1</v>
      </c>
      <c r="J5" s="18"/>
      <c r="K5" s="16" t="str">
        <f t="shared" si="6"/>
        <v>collected</v>
      </c>
      <c r="L5" s="16" t="str">
        <f t="shared" si="7"/>
        <v>N</v>
      </c>
      <c r="M5" s="16"/>
      <c r="N5" s="16"/>
    </row>
    <row r="6">
      <c r="A6" s="6" t="s">
        <v>67</v>
      </c>
      <c r="B6" s="10" t="str">
        <f t="shared" si="1"/>
        <v>RNA-gill</v>
      </c>
      <c r="C6" s="10" t="str">
        <f t="shared" si="2"/>
        <v>BRN63G-D1</v>
      </c>
      <c r="D6" s="11">
        <f t="array" ref="D6">iferror(index('rna-muscle'!D:D,match(A6,'rna-muscle'!A:A,0)))</f>
        <v>63</v>
      </c>
      <c r="E6" s="10" t="str">
        <f t="shared" si="3"/>
        <v>BRN63G</v>
      </c>
      <c r="F6" s="11" t="str">
        <f t="array" ref="F6">iferror(index('rna-muscle'!F:F,match($A6,'rna-muscle'!$A:$A,0)))</f>
        <v>D</v>
      </c>
      <c r="G6" s="11">
        <f t="array" ref="G6">iferror(index('rna-muscle'!G:G,match($A6,'rna-muscle'!$A:$A,0)))</f>
        <v>1</v>
      </c>
      <c r="H6" s="11" t="str">
        <f t="shared" si="4"/>
        <v>D1</v>
      </c>
      <c r="I6" s="10" t="str">
        <f t="shared" si="5"/>
        <v>BRN63G-D1</v>
      </c>
      <c r="K6" s="16" t="str">
        <f t="shared" si="6"/>
        <v>collected</v>
      </c>
      <c r="L6" s="16" t="str">
        <f t="shared" si="7"/>
        <v>N</v>
      </c>
      <c r="M6" s="16"/>
      <c r="N6" s="16"/>
    </row>
    <row r="7">
      <c r="A7" s="6" t="s">
        <v>71</v>
      </c>
      <c r="B7" s="10" t="str">
        <f t="shared" si="1"/>
        <v>RNA-gill</v>
      </c>
      <c r="C7" s="10" t="str">
        <f t="shared" si="2"/>
        <v>BRN63G-C1</v>
      </c>
      <c r="D7" s="11">
        <f t="array" ref="D7">iferror(index('rna-muscle'!D:D,match(A7,'rna-muscle'!A:A,0)))</f>
        <v>63</v>
      </c>
      <c r="E7" s="10" t="str">
        <f t="shared" si="3"/>
        <v>BRN63G</v>
      </c>
      <c r="F7" s="11" t="str">
        <f t="array" ref="F7">iferror(index('rna-muscle'!F:F,match($A7,'rna-muscle'!$A:$A,0)))</f>
        <v>C</v>
      </c>
      <c r="G7" s="11">
        <f t="array" ref="G7">iferror(index('rna-muscle'!G:G,match($A7,'rna-muscle'!$A:$A,0)))</f>
        <v>1</v>
      </c>
      <c r="H7" s="11" t="str">
        <f t="shared" si="4"/>
        <v>C1</v>
      </c>
      <c r="I7" s="10" t="str">
        <f t="shared" si="5"/>
        <v>BRN63G-C1</v>
      </c>
      <c r="J7" s="15"/>
      <c r="K7" s="16" t="str">
        <f t="shared" si="6"/>
        <v>collected</v>
      </c>
      <c r="L7" s="16" t="str">
        <f t="shared" si="7"/>
        <v>N</v>
      </c>
      <c r="M7" s="16"/>
      <c r="N7" s="16"/>
    </row>
    <row r="8">
      <c r="A8" s="6" t="s">
        <v>73</v>
      </c>
      <c r="B8" s="10" t="str">
        <f t="shared" si="1"/>
        <v>RNA-gill</v>
      </c>
      <c r="C8" s="10" t="str">
        <f t="shared" si="2"/>
        <v>BRN63G-B1</v>
      </c>
      <c r="D8" s="11">
        <f t="array" ref="D8">iferror(index('rna-muscle'!D:D,match(A8,'rna-muscle'!A:A,0)))</f>
        <v>63</v>
      </c>
      <c r="E8" s="10" t="str">
        <f t="shared" si="3"/>
        <v>BRN63G</v>
      </c>
      <c r="F8" s="11" t="str">
        <f t="array" ref="F8">iferror(index('rna-muscle'!F:F,match($A8,'rna-muscle'!$A:$A,0)))</f>
        <v>B</v>
      </c>
      <c r="G8" s="11">
        <f t="array" ref="G8">iferror(index('rna-muscle'!G:G,match($A8,'rna-muscle'!$A:$A,0)))</f>
        <v>1</v>
      </c>
      <c r="H8" s="11" t="str">
        <f t="shared" si="4"/>
        <v>B1</v>
      </c>
      <c r="I8" s="10" t="str">
        <f t="shared" si="5"/>
        <v>BRN63G-B1</v>
      </c>
      <c r="J8" s="15"/>
      <c r="K8" s="16" t="str">
        <f t="shared" si="6"/>
        <v>collected</v>
      </c>
      <c r="L8" s="16" t="str">
        <f t="shared" si="7"/>
        <v>N</v>
      </c>
      <c r="M8" s="16"/>
      <c r="N8" s="16"/>
    </row>
    <row r="9">
      <c r="A9" s="6" t="s">
        <v>75</v>
      </c>
      <c r="B9" s="10" t="str">
        <f t="shared" si="1"/>
        <v>RNA-gill</v>
      </c>
      <c r="C9" s="10" t="str">
        <f t="shared" si="2"/>
        <v>BRN63G-A1</v>
      </c>
      <c r="D9" s="11">
        <f t="array" ref="D9">iferror(index('rna-muscle'!D:D,match(A9,'rna-muscle'!A:A,0)))</f>
        <v>63</v>
      </c>
      <c r="E9" s="10" t="str">
        <f t="shared" si="3"/>
        <v>BRN63G</v>
      </c>
      <c r="F9" s="11" t="str">
        <f t="array" ref="F9">iferror(index('rna-muscle'!F:F,match($A9,'rna-muscle'!$A:$A,0)))</f>
        <v>A</v>
      </c>
      <c r="G9" s="11">
        <f t="array" ref="G9">iferror(index('rna-muscle'!G:G,match($A9,'rna-muscle'!$A:$A,0)))</f>
        <v>1</v>
      </c>
      <c r="H9" s="11" t="str">
        <f t="shared" si="4"/>
        <v>A1</v>
      </c>
      <c r="I9" s="10" t="str">
        <f t="shared" si="5"/>
        <v>BRN63G-A1</v>
      </c>
      <c r="J9" s="15"/>
      <c r="K9" s="16" t="str">
        <f t="shared" si="6"/>
        <v>collected</v>
      </c>
      <c r="L9" s="16" t="str">
        <f t="shared" si="7"/>
        <v>N</v>
      </c>
      <c r="M9" s="16"/>
      <c r="N9" s="16"/>
    </row>
    <row r="10">
      <c r="A10" s="6" t="s">
        <v>77</v>
      </c>
      <c r="B10" s="10" t="str">
        <f t="shared" si="1"/>
        <v>RNA-gill</v>
      </c>
      <c r="C10" s="10" t="str">
        <f t="shared" si="2"/>
        <v>BRN63G-H2</v>
      </c>
      <c r="D10" s="11">
        <f t="array" ref="D10">iferror(index('rna-muscle'!D:D,match(A10,'rna-muscle'!A:A,0)))</f>
        <v>63</v>
      </c>
      <c r="E10" s="10" t="str">
        <f t="shared" si="3"/>
        <v>BRN63G</v>
      </c>
      <c r="F10" s="11" t="str">
        <f t="array" ref="F10">iferror(index('rna-muscle'!F:F,match($A10,'rna-muscle'!$A:$A,0)))</f>
        <v>H</v>
      </c>
      <c r="G10" s="11">
        <f t="array" ref="G10">iferror(index('rna-muscle'!G:G,match($A10,'rna-muscle'!$A:$A,0)))</f>
        <v>2</v>
      </c>
      <c r="H10" s="11" t="str">
        <f t="shared" si="4"/>
        <v>H2</v>
      </c>
      <c r="I10" s="10" t="str">
        <f t="shared" si="5"/>
        <v>BRN63G-H2</v>
      </c>
      <c r="J10" s="15"/>
      <c r="K10" s="16" t="str">
        <f t="shared" si="6"/>
        <v>collected</v>
      </c>
      <c r="L10" s="16" t="str">
        <f t="shared" si="7"/>
        <v>N</v>
      </c>
      <c r="M10" s="16"/>
      <c r="N10" s="16"/>
    </row>
    <row r="11">
      <c r="A11" s="6" t="s">
        <v>79</v>
      </c>
      <c r="B11" s="10" t="str">
        <f t="shared" si="1"/>
        <v>RNA-gill</v>
      </c>
      <c r="C11" s="10" t="str">
        <f t="shared" si="2"/>
        <v>BRN63G-G2</v>
      </c>
      <c r="D11" s="11">
        <f t="array" ref="D11">iferror(index('rna-muscle'!D:D,match(A11,'rna-muscle'!A:A,0)))</f>
        <v>63</v>
      </c>
      <c r="E11" s="10" t="str">
        <f t="shared" si="3"/>
        <v>BRN63G</v>
      </c>
      <c r="F11" s="11" t="str">
        <f t="array" ref="F11">iferror(index('rna-muscle'!F:F,match($A11,'rna-muscle'!$A:$A,0)))</f>
        <v>G</v>
      </c>
      <c r="G11" s="11">
        <f t="array" ref="G11">iferror(index('rna-muscle'!G:G,match($A11,'rna-muscle'!$A:$A,0)))</f>
        <v>2</v>
      </c>
      <c r="H11" s="11" t="str">
        <f t="shared" si="4"/>
        <v>G2</v>
      </c>
      <c r="I11" s="10" t="str">
        <f t="shared" si="5"/>
        <v>BRN63G-G2</v>
      </c>
      <c r="J11" s="15"/>
      <c r="K11" s="16" t="str">
        <f t="shared" si="6"/>
        <v>collected</v>
      </c>
      <c r="L11" s="16" t="str">
        <f t="shared" si="7"/>
        <v>N</v>
      </c>
      <c r="M11" s="16"/>
      <c r="N11" s="16"/>
    </row>
    <row r="12">
      <c r="A12" s="6" t="s">
        <v>82</v>
      </c>
      <c r="B12" s="10" t="str">
        <f t="shared" si="1"/>
        <v>RNA-gill</v>
      </c>
      <c r="C12" s="10" t="str">
        <f t="shared" si="2"/>
        <v>BRN60G-H10</v>
      </c>
      <c r="D12" s="11">
        <f t="array" ref="D12">iferror(index('rna-muscle'!D:D,match(A12,'rna-muscle'!A:A,0)))</f>
        <v>60</v>
      </c>
      <c r="E12" s="10" t="str">
        <f t="shared" si="3"/>
        <v>BRN60G</v>
      </c>
      <c r="F12" s="11" t="str">
        <f t="array" ref="F12">iferror(index('rna-muscle'!F:F,match($A12,'rna-muscle'!$A:$A,0)))</f>
        <v>H</v>
      </c>
      <c r="G12" s="11">
        <f t="array" ref="G12">iferror(index('rna-muscle'!G:G,match($A12,'rna-muscle'!$A:$A,0)))</f>
        <v>10</v>
      </c>
      <c r="H12" s="11" t="str">
        <f t="shared" si="4"/>
        <v>H10</v>
      </c>
      <c r="I12" s="10" t="str">
        <f t="shared" si="5"/>
        <v>BRN60G-H10</v>
      </c>
      <c r="J12" s="15"/>
      <c r="K12" s="16" t="str">
        <f t="shared" si="6"/>
        <v>collected</v>
      </c>
      <c r="L12" s="16" t="str">
        <f t="shared" si="7"/>
        <v>N</v>
      </c>
      <c r="M12" s="16"/>
      <c r="N12" s="16"/>
    </row>
    <row r="13">
      <c r="A13" s="6" t="s">
        <v>85</v>
      </c>
      <c r="B13" s="10" t="str">
        <f t="shared" si="1"/>
        <v>RNA-gill</v>
      </c>
      <c r="C13" s="10" t="str">
        <f t="shared" si="2"/>
        <v>BRN60G-G10</v>
      </c>
      <c r="D13" s="11">
        <f t="array" ref="D13">iferror(index('rna-muscle'!D:D,match(A13,'rna-muscle'!A:A,0)))</f>
        <v>60</v>
      </c>
      <c r="E13" s="10" t="str">
        <f t="shared" si="3"/>
        <v>BRN60G</v>
      </c>
      <c r="F13" s="11" t="str">
        <f t="array" ref="F13">iferror(index('rna-muscle'!F:F,match($A13,'rna-muscle'!$A:$A,0)))</f>
        <v>G</v>
      </c>
      <c r="G13" s="11">
        <f t="array" ref="G13">iferror(index('rna-muscle'!G:G,match($A13,'rna-muscle'!$A:$A,0)))</f>
        <v>10</v>
      </c>
      <c r="H13" s="11" t="str">
        <f t="shared" si="4"/>
        <v>G10</v>
      </c>
      <c r="I13" s="10" t="str">
        <f t="shared" si="5"/>
        <v>BRN60G-G10</v>
      </c>
      <c r="J13" s="15"/>
      <c r="K13" s="16" t="str">
        <f t="shared" si="6"/>
        <v>collected</v>
      </c>
      <c r="L13" s="16" t="str">
        <f t="shared" si="7"/>
        <v>N</v>
      </c>
      <c r="M13" s="16"/>
      <c r="N13" s="16"/>
    </row>
    <row r="14">
      <c r="A14" s="6" t="s">
        <v>86</v>
      </c>
      <c r="B14" s="10" t="str">
        <f t="shared" si="1"/>
        <v>RNA-gill</v>
      </c>
      <c r="C14" s="10" t="str">
        <f t="shared" si="2"/>
        <v>BRN60G-F10</v>
      </c>
      <c r="D14" s="11">
        <f t="array" ref="D14">iferror(index('rna-muscle'!D:D,match(A14,'rna-muscle'!A:A,0)))</f>
        <v>60</v>
      </c>
      <c r="E14" s="10" t="str">
        <f t="shared" si="3"/>
        <v>BRN60G</v>
      </c>
      <c r="F14" s="11" t="str">
        <f t="array" ref="F14">iferror(index('rna-muscle'!F:F,match($A14,'rna-muscle'!$A:$A,0)))</f>
        <v>F</v>
      </c>
      <c r="G14" s="11">
        <f t="array" ref="G14">iferror(index('rna-muscle'!G:G,match($A14,'rna-muscle'!$A:$A,0)))</f>
        <v>10</v>
      </c>
      <c r="H14" s="11" t="str">
        <f t="shared" si="4"/>
        <v>F10</v>
      </c>
      <c r="I14" s="10" t="str">
        <f t="shared" si="5"/>
        <v>BRN60G-F10</v>
      </c>
      <c r="J14" s="15"/>
      <c r="K14" s="16" t="str">
        <f t="shared" si="6"/>
        <v>collected</v>
      </c>
      <c r="L14" s="16" t="str">
        <f t="shared" si="7"/>
        <v>N</v>
      </c>
      <c r="M14" s="16"/>
      <c r="N14" s="16"/>
    </row>
    <row r="15">
      <c r="A15" s="6" t="s">
        <v>87</v>
      </c>
      <c r="B15" s="10" t="str">
        <f t="shared" si="1"/>
        <v>RNA-gill</v>
      </c>
      <c r="C15" s="10" t="str">
        <f t="shared" si="2"/>
        <v>BRN60G-E10</v>
      </c>
      <c r="D15" s="11">
        <f t="array" ref="D15">iferror(index('rna-muscle'!D:D,match(A15,'rna-muscle'!A:A,0)))</f>
        <v>60</v>
      </c>
      <c r="E15" s="10" t="str">
        <f t="shared" si="3"/>
        <v>BRN60G</v>
      </c>
      <c r="F15" s="11" t="str">
        <f t="array" ref="F15">iferror(index('rna-muscle'!F:F,match($A15,'rna-muscle'!$A:$A,0)))</f>
        <v>E</v>
      </c>
      <c r="G15" s="11">
        <f t="array" ref="G15">iferror(index('rna-muscle'!G:G,match($A15,'rna-muscle'!$A:$A,0)))</f>
        <v>10</v>
      </c>
      <c r="H15" s="11" t="str">
        <f t="shared" si="4"/>
        <v>E10</v>
      </c>
      <c r="I15" s="10" t="str">
        <f t="shared" si="5"/>
        <v>BRN60G-E10</v>
      </c>
      <c r="J15" s="15"/>
      <c r="K15" s="16" t="str">
        <f t="shared" si="6"/>
        <v>collected</v>
      </c>
      <c r="L15" s="16" t="str">
        <f t="shared" si="7"/>
        <v>N</v>
      </c>
      <c r="M15" s="16"/>
      <c r="N15" s="16"/>
    </row>
    <row r="16">
      <c r="A16" s="6" t="s">
        <v>89</v>
      </c>
      <c r="B16" s="10" t="str">
        <f t="shared" si="1"/>
        <v>RNA-gill</v>
      </c>
      <c r="C16" s="10" t="str">
        <f t="shared" si="2"/>
        <v>BRN60G-D10</v>
      </c>
      <c r="D16" s="11">
        <f t="array" ref="D16">iferror(index('rna-muscle'!D:D,match(A16,'rna-muscle'!A:A,0)))</f>
        <v>60</v>
      </c>
      <c r="E16" s="10" t="str">
        <f t="shared" si="3"/>
        <v>BRN60G</v>
      </c>
      <c r="F16" s="11" t="str">
        <f t="array" ref="F16">iferror(index('rna-muscle'!F:F,match($A16,'rna-muscle'!$A:$A,0)))</f>
        <v>D</v>
      </c>
      <c r="G16" s="11">
        <f t="array" ref="G16">iferror(index('rna-muscle'!G:G,match($A16,'rna-muscle'!$A:$A,0)))</f>
        <v>10</v>
      </c>
      <c r="H16" s="11" t="str">
        <f t="shared" si="4"/>
        <v>D10</v>
      </c>
      <c r="I16" s="10" t="str">
        <f t="shared" si="5"/>
        <v>BRN60G-D10</v>
      </c>
      <c r="J16" s="15"/>
      <c r="K16" s="16" t="str">
        <f t="shared" si="6"/>
        <v>collected</v>
      </c>
      <c r="L16" s="16" t="str">
        <f t="shared" si="7"/>
        <v>N</v>
      </c>
      <c r="M16" s="16"/>
      <c r="N16" s="16"/>
    </row>
    <row r="17">
      <c r="A17" s="6" t="s">
        <v>90</v>
      </c>
      <c r="B17" s="10" t="str">
        <f t="shared" si="1"/>
        <v>RNA-gill</v>
      </c>
      <c r="C17" s="10" t="str">
        <f t="shared" si="2"/>
        <v>BRN60G-C10</v>
      </c>
      <c r="D17" s="11">
        <f t="array" ref="D17">iferror(index('rna-muscle'!D:D,match(A17,'rna-muscle'!A:A,0)))</f>
        <v>60</v>
      </c>
      <c r="E17" s="10" t="str">
        <f t="shared" si="3"/>
        <v>BRN60G</v>
      </c>
      <c r="F17" s="11" t="str">
        <f t="array" ref="F17">iferror(index('rna-muscle'!F:F,match($A17,'rna-muscle'!$A:$A,0)))</f>
        <v>C</v>
      </c>
      <c r="G17" s="11">
        <f t="array" ref="G17">iferror(index('rna-muscle'!G:G,match($A17,'rna-muscle'!$A:$A,0)))</f>
        <v>10</v>
      </c>
      <c r="H17" s="11" t="str">
        <f t="shared" si="4"/>
        <v>C10</v>
      </c>
      <c r="I17" s="10" t="str">
        <f t="shared" si="5"/>
        <v>BRN60G-C10</v>
      </c>
      <c r="J17" s="15"/>
      <c r="K17" s="16" t="str">
        <f t="shared" si="6"/>
        <v>collected</v>
      </c>
      <c r="L17" s="16" t="str">
        <f t="shared" si="7"/>
        <v>N</v>
      </c>
      <c r="M17" s="16"/>
      <c r="N17" s="16"/>
    </row>
    <row r="18">
      <c r="A18" s="6" t="s">
        <v>92</v>
      </c>
      <c r="B18" s="10" t="str">
        <f t="shared" si="1"/>
        <v>RNA-gill</v>
      </c>
      <c r="C18" s="10" t="str">
        <f t="shared" si="2"/>
        <v>BRN60G-B10</v>
      </c>
      <c r="D18" s="11">
        <f t="array" ref="D18">iferror(index('rna-muscle'!D:D,match(A18,'rna-muscle'!A:A,0)))</f>
        <v>60</v>
      </c>
      <c r="E18" s="10" t="str">
        <f t="shared" si="3"/>
        <v>BRN60G</v>
      </c>
      <c r="F18" s="11" t="str">
        <f t="array" ref="F18">iferror(index('rna-muscle'!F:F,match($A18,'rna-muscle'!$A:$A,0)))</f>
        <v>B</v>
      </c>
      <c r="G18" s="11">
        <f t="array" ref="G18">iferror(index('rna-muscle'!G:G,match($A18,'rna-muscle'!$A:$A,0)))</f>
        <v>10</v>
      </c>
      <c r="H18" s="11" t="str">
        <f t="shared" si="4"/>
        <v>B10</v>
      </c>
      <c r="I18" s="10" t="str">
        <f t="shared" si="5"/>
        <v>BRN60G-B10</v>
      </c>
      <c r="J18" s="15"/>
      <c r="K18" s="16" t="str">
        <f t="shared" si="6"/>
        <v>collected</v>
      </c>
      <c r="L18" s="16" t="str">
        <f t="shared" si="7"/>
        <v>N</v>
      </c>
      <c r="M18" s="16"/>
      <c r="N18" s="16"/>
    </row>
    <row r="19">
      <c r="A19" s="6" t="s">
        <v>93</v>
      </c>
      <c r="B19" s="10" t="str">
        <f t="shared" si="1"/>
        <v>RNA-gill</v>
      </c>
      <c r="C19" s="10" t="str">
        <f t="shared" si="2"/>
        <v>BRN60G-A10</v>
      </c>
      <c r="D19" s="11">
        <f t="array" ref="D19">iferror(index('rna-muscle'!D:D,match(A19,'rna-muscle'!A:A,0)))</f>
        <v>60</v>
      </c>
      <c r="E19" s="10" t="str">
        <f t="shared" si="3"/>
        <v>BRN60G</v>
      </c>
      <c r="F19" s="11" t="str">
        <f t="array" ref="F19">iferror(index('rna-muscle'!F:F,match($A19,'rna-muscle'!$A:$A,0)))</f>
        <v>A</v>
      </c>
      <c r="G19" s="11">
        <f t="array" ref="G19">iferror(index('rna-muscle'!G:G,match($A19,'rna-muscle'!$A:$A,0)))</f>
        <v>10</v>
      </c>
      <c r="H19" s="11" t="str">
        <f t="shared" si="4"/>
        <v>A10</v>
      </c>
      <c r="I19" s="10" t="str">
        <f t="shared" si="5"/>
        <v>BRN60G-A10</v>
      </c>
      <c r="J19" s="15"/>
      <c r="K19" s="16" t="str">
        <f t="shared" si="6"/>
        <v>collected</v>
      </c>
      <c r="L19" s="16" t="str">
        <f t="shared" si="7"/>
        <v>N</v>
      </c>
      <c r="M19" s="16"/>
      <c r="N19" s="16"/>
    </row>
    <row r="20">
      <c r="A20" s="6" t="s">
        <v>95</v>
      </c>
      <c r="B20" s="10" t="str">
        <f t="shared" si="1"/>
        <v>RNA-gill</v>
      </c>
      <c r="C20" s="10" t="str">
        <f t="shared" si="2"/>
        <v>BRN60G-H11</v>
      </c>
      <c r="D20" s="11">
        <f t="array" ref="D20">iferror(index('rna-muscle'!D:D,match(A20,'rna-muscle'!A:A,0)))</f>
        <v>60</v>
      </c>
      <c r="E20" s="10" t="str">
        <f t="shared" si="3"/>
        <v>BRN60G</v>
      </c>
      <c r="F20" s="11" t="str">
        <f t="array" ref="F20">iferror(index('rna-muscle'!F:F,match($A20,'rna-muscle'!$A:$A,0)))</f>
        <v>H</v>
      </c>
      <c r="G20" s="11">
        <f t="array" ref="G20">iferror(index('rna-muscle'!G:G,match($A20,'rna-muscle'!$A:$A,0)))</f>
        <v>11</v>
      </c>
      <c r="H20" s="11" t="str">
        <f t="shared" si="4"/>
        <v>H11</v>
      </c>
      <c r="I20" s="10" t="str">
        <f t="shared" si="5"/>
        <v>BRN60G-H11</v>
      </c>
      <c r="J20" s="15"/>
      <c r="K20" s="16" t="str">
        <f t="shared" si="6"/>
        <v>collected</v>
      </c>
      <c r="L20" s="16" t="str">
        <f t="shared" si="7"/>
        <v>N</v>
      </c>
      <c r="M20" s="16"/>
      <c r="N20" s="16"/>
    </row>
    <row r="21">
      <c r="A21" s="6" t="s">
        <v>96</v>
      </c>
      <c r="B21" s="10" t="str">
        <f t="shared" si="1"/>
        <v>RNA-gill</v>
      </c>
      <c r="C21" s="10" t="str">
        <f t="shared" si="2"/>
        <v>BRN60G-G11</v>
      </c>
      <c r="D21" s="11">
        <f t="array" ref="D21">iferror(index('rna-muscle'!D:D,match(A21,'rna-muscle'!A:A,0)))</f>
        <v>60</v>
      </c>
      <c r="E21" s="10" t="str">
        <f t="shared" si="3"/>
        <v>BRN60G</v>
      </c>
      <c r="F21" s="11" t="str">
        <f t="array" ref="F21">iferror(index('rna-muscle'!F:F,match($A21,'rna-muscle'!$A:$A,0)))</f>
        <v>G</v>
      </c>
      <c r="G21" s="11">
        <f t="array" ref="G21">iferror(index('rna-muscle'!G:G,match($A21,'rna-muscle'!$A:$A,0)))</f>
        <v>11</v>
      </c>
      <c r="H21" s="11" t="str">
        <f t="shared" si="4"/>
        <v>G11</v>
      </c>
      <c r="I21" s="10" t="str">
        <f t="shared" si="5"/>
        <v>BRN60G-G11</v>
      </c>
      <c r="J21" s="15"/>
      <c r="K21" s="16" t="str">
        <f t="shared" si="6"/>
        <v>collected</v>
      </c>
      <c r="L21" s="16" t="str">
        <f t="shared" si="7"/>
        <v>N</v>
      </c>
      <c r="M21" s="16"/>
      <c r="N21" s="16"/>
    </row>
    <row r="22">
      <c r="A22" s="6" t="s">
        <v>99</v>
      </c>
      <c r="B22" s="10" t="str">
        <f t="shared" si="1"/>
        <v>RNA-gill</v>
      </c>
      <c r="C22" s="10" t="str">
        <f t="shared" si="2"/>
        <v>BRN60G-F11</v>
      </c>
      <c r="D22" s="11">
        <f t="array" ref="D22">iferror(index('rna-muscle'!D:D,match(A22,'rna-muscle'!A:A,0)))</f>
        <v>60</v>
      </c>
      <c r="E22" s="10" t="str">
        <f t="shared" si="3"/>
        <v>BRN60G</v>
      </c>
      <c r="F22" s="11" t="str">
        <f t="array" ref="F22">iferror(index('rna-muscle'!F:F,match($A22,'rna-muscle'!$A:$A,0)))</f>
        <v>F</v>
      </c>
      <c r="G22" s="11">
        <f t="array" ref="G22">iferror(index('rna-muscle'!G:G,match($A22,'rna-muscle'!$A:$A,0)))</f>
        <v>11</v>
      </c>
      <c r="H22" s="11" t="str">
        <f t="shared" si="4"/>
        <v>F11</v>
      </c>
      <c r="I22" s="10" t="str">
        <f t="shared" si="5"/>
        <v>BRN60G-F11</v>
      </c>
      <c r="J22" s="15"/>
      <c r="K22" s="16" t="str">
        <f t="shared" si="6"/>
        <v>collected</v>
      </c>
      <c r="L22" s="16" t="str">
        <f t="shared" si="7"/>
        <v>N</v>
      </c>
      <c r="M22" s="16"/>
      <c r="N22" s="16"/>
    </row>
    <row r="23">
      <c r="A23" s="6" t="s">
        <v>100</v>
      </c>
      <c r="B23" s="10" t="str">
        <f t="shared" si="1"/>
        <v>RNA-gill</v>
      </c>
      <c r="C23" s="10" t="str">
        <f t="shared" si="2"/>
        <v>BRN60G-E11</v>
      </c>
      <c r="D23" s="11">
        <f t="array" ref="D23">iferror(index('rna-muscle'!D:D,match(A23,'rna-muscle'!A:A,0)))</f>
        <v>60</v>
      </c>
      <c r="E23" s="10" t="str">
        <f t="shared" si="3"/>
        <v>BRN60G</v>
      </c>
      <c r="F23" s="11" t="str">
        <f t="array" ref="F23">iferror(index('rna-muscle'!F:F,match($A23,'rna-muscle'!$A:$A,0)))</f>
        <v>E</v>
      </c>
      <c r="G23" s="11">
        <f t="array" ref="G23">iferror(index('rna-muscle'!G:G,match($A23,'rna-muscle'!$A:$A,0)))</f>
        <v>11</v>
      </c>
      <c r="H23" s="11" t="str">
        <f t="shared" si="4"/>
        <v>E11</v>
      </c>
      <c r="I23" s="10" t="str">
        <f t="shared" si="5"/>
        <v>BRN60G-E11</v>
      </c>
      <c r="J23" s="15"/>
      <c r="K23" s="16" t="str">
        <f t="shared" si="6"/>
        <v>collected</v>
      </c>
      <c r="L23" s="16" t="str">
        <f t="shared" si="7"/>
        <v>N</v>
      </c>
      <c r="M23" s="16"/>
      <c r="N23" s="16"/>
    </row>
    <row r="24">
      <c r="A24" s="6" t="s">
        <v>102</v>
      </c>
      <c r="B24" s="10" t="str">
        <f t="shared" si="1"/>
        <v>RNA-gill</v>
      </c>
      <c r="C24" s="10" t="str">
        <f t="shared" si="2"/>
        <v>BRN60G-D11</v>
      </c>
      <c r="D24" s="11">
        <f t="array" ref="D24">iferror(index('rna-muscle'!D:D,match(A24,'rna-muscle'!A:A,0)))</f>
        <v>60</v>
      </c>
      <c r="E24" s="10" t="str">
        <f t="shared" si="3"/>
        <v>BRN60G</v>
      </c>
      <c r="F24" s="11" t="str">
        <f t="array" ref="F24">iferror(index('rna-muscle'!F:F,match($A24,'rna-muscle'!$A:$A,0)))</f>
        <v>D</v>
      </c>
      <c r="G24" s="11">
        <f t="array" ref="G24">iferror(index('rna-muscle'!G:G,match($A24,'rna-muscle'!$A:$A,0)))</f>
        <v>11</v>
      </c>
      <c r="H24" s="11" t="str">
        <f t="shared" si="4"/>
        <v>D11</v>
      </c>
      <c r="I24" s="10" t="str">
        <f t="shared" si="5"/>
        <v>BRN60G-D11</v>
      </c>
      <c r="J24" s="15"/>
      <c r="K24" s="16" t="str">
        <f t="shared" si="6"/>
        <v>collected</v>
      </c>
      <c r="L24" s="16" t="str">
        <f t="shared" si="7"/>
        <v>N</v>
      </c>
      <c r="M24" s="16"/>
      <c r="N24" s="16"/>
    </row>
    <row r="25">
      <c r="A25" s="6" t="s">
        <v>103</v>
      </c>
      <c r="B25" s="10" t="str">
        <f t="shared" si="1"/>
        <v>RNA-gill</v>
      </c>
      <c r="C25" s="10" t="str">
        <f t="shared" si="2"/>
        <v>BRN60G-C11</v>
      </c>
      <c r="D25" s="11">
        <f t="array" ref="D25">iferror(index('rna-muscle'!D:D,match(A25,'rna-muscle'!A:A,0)))</f>
        <v>60</v>
      </c>
      <c r="E25" s="10" t="str">
        <f t="shared" si="3"/>
        <v>BRN60G</v>
      </c>
      <c r="F25" s="11" t="str">
        <f t="array" ref="F25">iferror(index('rna-muscle'!F:F,match($A25,'rna-muscle'!$A:$A,0)))</f>
        <v>C</v>
      </c>
      <c r="G25" s="11">
        <f t="array" ref="G25">iferror(index('rna-muscle'!G:G,match($A25,'rna-muscle'!$A:$A,0)))</f>
        <v>11</v>
      </c>
      <c r="H25" s="11" t="str">
        <f t="shared" si="4"/>
        <v>C11</v>
      </c>
      <c r="I25" s="10" t="str">
        <f t="shared" si="5"/>
        <v>BRN60G-C11</v>
      </c>
      <c r="J25" s="15"/>
      <c r="K25" s="16" t="str">
        <f t="shared" si="6"/>
        <v>collected</v>
      </c>
      <c r="L25" s="16" t="str">
        <f t="shared" si="7"/>
        <v>N</v>
      </c>
      <c r="M25" s="16"/>
      <c r="N25" s="16"/>
    </row>
    <row r="26">
      <c r="A26" s="6" t="s">
        <v>104</v>
      </c>
      <c r="B26" s="10" t="str">
        <f t="shared" si="1"/>
        <v>RNA-gill</v>
      </c>
      <c r="C26" s="10" t="str">
        <f t="shared" si="2"/>
        <v>BRN60G-B11</v>
      </c>
      <c r="D26" s="11">
        <f t="array" ref="D26">iferror(index('rna-muscle'!D:D,match(A26,'rna-muscle'!A:A,0)))</f>
        <v>60</v>
      </c>
      <c r="E26" s="10" t="str">
        <f t="shared" si="3"/>
        <v>BRN60G</v>
      </c>
      <c r="F26" s="11" t="str">
        <f t="array" ref="F26">iferror(index('rna-muscle'!F:F,match($A26,'rna-muscle'!$A:$A,0)))</f>
        <v>B</v>
      </c>
      <c r="G26" s="11">
        <f t="array" ref="G26">iferror(index('rna-muscle'!G:G,match($A26,'rna-muscle'!$A:$A,0)))</f>
        <v>11</v>
      </c>
      <c r="H26" s="11" t="str">
        <f t="shared" si="4"/>
        <v>B11</v>
      </c>
      <c r="I26" s="10" t="str">
        <f t="shared" si="5"/>
        <v>BRN60G-B11</v>
      </c>
      <c r="J26" s="15"/>
      <c r="K26" s="16" t="str">
        <f t="shared" si="6"/>
        <v>collected</v>
      </c>
      <c r="L26" s="16" t="str">
        <f t="shared" si="7"/>
        <v>N</v>
      </c>
      <c r="M26" s="16"/>
      <c r="N26" s="16"/>
    </row>
    <row r="27">
      <c r="A27" s="6" t="s">
        <v>106</v>
      </c>
      <c r="B27" s="10" t="str">
        <f t="shared" si="1"/>
        <v>RNA-gill</v>
      </c>
      <c r="C27" s="10" t="str">
        <f t="shared" si="2"/>
        <v>BRN60G-A11</v>
      </c>
      <c r="D27" s="11">
        <f t="array" ref="D27">iferror(index('rna-muscle'!D:D,match(A27,'rna-muscle'!A:A,0)))</f>
        <v>60</v>
      </c>
      <c r="E27" s="10" t="str">
        <f t="shared" si="3"/>
        <v>BRN60G</v>
      </c>
      <c r="F27" s="11" t="str">
        <f t="array" ref="F27">iferror(index('rna-muscle'!F:F,match($A27,'rna-muscle'!$A:$A,0)))</f>
        <v>A</v>
      </c>
      <c r="G27" s="11">
        <f t="array" ref="G27">iferror(index('rna-muscle'!G:G,match($A27,'rna-muscle'!$A:$A,0)))</f>
        <v>11</v>
      </c>
      <c r="H27" s="11" t="str">
        <f t="shared" si="4"/>
        <v>A11</v>
      </c>
      <c r="I27" s="10" t="str">
        <f t="shared" si="5"/>
        <v>BRN60G-A11</v>
      </c>
      <c r="J27" s="18" t="s">
        <v>2104</v>
      </c>
      <c r="K27" s="16" t="str">
        <f t="shared" si="6"/>
        <v>collected</v>
      </c>
      <c r="L27" s="16" t="str">
        <f t="shared" si="7"/>
        <v>N</v>
      </c>
      <c r="M27" s="16"/>
      <c r="N27" s="16"/>
    </row>
    <row r="28">
      <c r="A28" s="6" t="s">
        <v>109</v>
      </c>
      <c r="B28" s="10" t="str">
        <f t="shared" si="1"/>
        <v>RNA-gill</v>
      </c>
      <c r="C28" s="10" t="str">
        <f t="shared" si="2"/>
        <v>BRN60G-H12</v>
      </c>
      <c r="D28" s="11">
        <f t="array" ref="D28">iferror(index('rna-muscle'!D:D,match(A28,'rna-muscle'!A:A,0)))</f>
        <v>60</v>
      </c>
      <c r="E28" s="10" t="str">
        <f t="shared" si="3"/>
        <v>BRN60G</v>
      </c>
      <c r="F28" s="11" t="str">
        <f t="array" ref="F28">iferror(index('rna-muscle'!F:F,match($A28,'rna-muscle'!$A:$A,0)))</f>
        <v>H</v>
      </c>
      <c r="G28" s="11">
        <f t="array" ref="G28">iferror(index('rna-muscle'!G:G,match($A28,'rna-muscle'!$A:$A,0)))</f>
        <v>12</v>
      </c>
      <c r="H28" s="11" t="str">
        <f t="shared" si="4"/>
        <v>H12</v>
      </c>
      <c r="I28" s="10" t="str">
        <f t="shared" si="5"/>
        <v>BRN60G-H12</v>
      </c>
      <c r="J28" s="15"/>
      <c r="K28" s="16" t="str">
        <f t="shared" si="6"/>
        <v>collected</v>
      </c>
      <c r="L28" s="16" t="str">
        <f t="shared" si="7"/>
        <v>N</v>
      </c>
      <c r="M28" s="16"/>
      <c r="N28" s="16"/>
    </row>
    <row r="29">
      <c r="A29" s="6" t="s">
        <v>110</v>
      </c>
      <c r="B29" s="10" t="str">
        <f t="shared" si="1"/>
        <v>RNA-gill</v>
      </c>
      <c r="C29" s="10" t="str">
        <f t="shared" si="2"/>
        <v>BRN60G-G12</v>
      </c>
      <c r="D29" s="11">
        <f t="array" ref="D29">iferror(index('rna-muscle'!D:D,match(A29,'rna-muscle'!A:A,0)))</f>
        <v>60</v>
      </c>
      <c r="E29" s="10" t="str">
        <f t="shared" si="3"/>
        <v>BRN60G</v>
      </c>
      <c r="F29" s="11" t="str">
        <f t="array" ref="F29">iferror(index('rna-muscle'!F:F,match($A29,'rna-muscle'!$A:$A,0)))</f>
        <v>G</v>
      </c>
      <c r="G29" s="11">
        <f t="array" ref="G29">iferror(index('rna-muscle'!G:G,match($A29,'rna-muscle'!$A:$A,0)))</f>
        <v>12</v>
      </c>
      <c r="H29" s="11" t="str">
        <f t="shared" si="4"/>
        <v>G12</v>
      </c>
      <c r="I29" s="10" t="str">
        <f t="shared" si="5"/>
        <v>BRN60G-G12</v>
      </c>
      <c r="J29" s="15"/>
      <c r="K29" s="16" t="str">
        <f t="shared" si="6"/>
        <v>collected</v>
      </c>
      <c r="L29" s="16" t="str">
        <f t="shared" si="7"/>
        <v>N</v>
      </c>
      <c r="M29" s="16"/>
      <c r="N29" s="16"/>
    </row>
    <row r="30">
      <c r="A30" s="6" t="s">
        <v>111</v>
      </c>
      <c r="B30" s="10" t="str">
        <f t="shared" si="1"/>
        <v>RNA-gill</v>
      </c>
      <c r="C30" s="10" t="str">
        <f t="shared" si="2"/>
        <v>BRN60G-F12</v>
      </c>
      <c r="D30" s="11">
        <f t="array" ref="D30">iferror(index('rna-muscle'!D:D,match(A30,'rna-muscle'!A:A,0)))</f>
        <v>60</v>
      </c>
      <c r="E30" s="10" t="str">
        <f t="shared" si="3"/>
        <v>BRN60G</v>
      </c>
      <c r="F30" s="11" t="str">
        <f t="array" ref="F30">iferror(index('rna-muscle'!F:F,match($A30,'rna-muscle'!$A:$A,0)))</f>
        <v>F</v>
      </c>
      <c r="G30" s="11">
        <f t="array" ref="G30">iferror(index('rna-muscle'!G:G,match($A30,'rna-muscle'!$A:$A,0)))</f>
        <v>12</v>
      </c>
      <c r="H30" s="11" t="str">
        <f t="shared" si="4"/>
        <v>F12</v>
      </c>
      <c r="I30" s="10" t="str">
        <f t="shared" si="5"/>
        <v>BRN60G-F12</v>
      </c>
      <c r="J30" s="18"/>
      <c r="K30" s="16" t="str">
        <f t="shared" si="6"/>
        <v>collected</v>
      </c>
      <c r="L30" s="16" t="str">
        <f t="shared" si="7"/>
        <v>N</v>
      </c>
      <c r="M30" s="16"/>
      <c r="N30" s="16"/>
    </row>
    <row r="31">
      <c r="A31" s="6" t="s">
        <v>112</v>
      </c>
      <c r="B31" s="10" t="str">
        <f t="shared" si="1"/>
        <v>RNA-gill</v>
      </c>
      <c r="C31" s="10" t="str">
        <f t="shared" si="2"/>
        <v>BRN60G-E12</v>
      </c>
      <c r="D31" s="11">
        <f t="array" ref="D31">iferror(index('rna-muscle'!D:D,match(A31,'rna-muscle'!A:A,0)))</f>
        <v>60</v>
      </c>
      <c r="E31" s="10" t="str">
        <f t="shared" si="3"/>
        <v>BRN60G</v>
      </c>
      <c r="F31" s="11" t="str">
        <f t="array" ref="F31">iferror(index('rna-muscle'!F:F,match($A31,'rna-muscle'!$A:$A,0)))</f>
        <v>E</v>
      </c>
      <c r="G31" s="11">
        <f t="array" ref="G31">iferror(index('rna-muscle'!G:G,match($A31,'rna-muscle'!$A:$A,0)))</f>
        <v>12</v>
      </c>
      <c r="H31" s="11" t="str">
        <f t="shared" si="4"/>
        <v>E12</v>
      </c>
      <c r="I31" s="10" t="str">
        <f t="shared" si="5"/>
        <v>BRN60G-E12</v>
      </c>
      <c r="J31" s="15"/>
      <c r="K31" s="16" t="str">
        <f t="shared" si="6"/>
        <v>collected</v>
      </c>
      <c r="L31" s="16" t="str">
        <f t="shared" si="7"/>
        <v>N</v>
      </c>
      <c r="M31" s="16"/>
      <c r="N31" s="16"/>
    </row>
    <row r="32">
      <c r="A32" s="6" t="s">
        <v>114</v>
      </c>
      <c r="B32" s="10" t="str">
        <f t="shared" si="1"/>
        <v>RNA-gill</v>
      </c>
      <c r="C32" s="10" t="str">
        <f t="shared" si="2"/>
        <v>BRN60G-C12</v>
      </c>
      <c r="D32" s="11">
        <f t="array" ref="D32">iferror(index('rna-muscle'!D:D,match(A32,'rna-muscle'!A:A,0)))</f>
        <v>60</v>
      </c>
      <c r="E32" s="10" t="str">
        <f t="shared" si="3"/>
        <v>BRN60G</v>
      </c>
      <c r="F32" s="11" t="str">
        <f t="array" ref="F32">iferror(index('rna-muscle'!F:F,match($A32,'rna-muscle'!$A:$A,0)))</f>
        <v>C</v>
      </c>
      <c r="G32" s="11">
        <f t="array" ref="G32">iferror(index('rna-muscle'!G:G,match($A32,'rna-muscle'!$A:$A,0)))</f>
        <v>12</v>
      </c>
      <c r="H32" s="11" t="str">
        <f t="shared" si="4"/>
        <v>C12</v>
      </c>
      <c r="I32" s="10" t="str">
        <f t="shared" si="5"/>
        <v>BRN60G-C12</v>
      </c>
      <c r="J32" s="15"/>
      <c r="K32" s="16" t="str">
        <f t="shared" si="6"/>
        <v>collected</v>
      </c>
      <c r="L32" s="16" t="str">
        <f t="shared" si="7"/>
        <v>N</v>
      </c>
      <c r="M32" s="16"/>
      <c r="N32" s="16"/>
    </row>
    <row r="33">
      <c r="A33" s="6" t="s">
        <v>116</v>
      </c>
      <c r="B33" s="10" t="str">
        <f t="shared" si="1"/>
        <v>RNA-gill</v>
      </c>
      <c r="C33" s="10" t="str">
        <f t="shared" si="2"/>
        <v>BRN60G-B12</v>
      </c>
      <c r="D33" s="11">
        <f t="array" ref="D33">iferror(index('rna-muscle'!D:D,match(A33,'rna-muscle'!A:A,0)))</f>
        <v>60</v>
      </c>
      <c r="E33" s="10" t="str">
        <f t="shared" si="3"/>
        <v>BRN60G</v>
      </c>
      <c r="F33" s="11" t="str">
        <f t="array" ref="F33">iferror(index('rna-muscle'!F:F,match($A33,'rna-muscle'!$A:$A,0)))</f>
        <v>B</v>
      </c>
      <c r="G33" s="11">
        <f t="array" ref="G33">iferror(index('rna-muscle'!G:G,match($A33,'rna-muscle'!$A:$A,0)))</f>
        <v>12</v>
      </c>
      <c r="H33" s="11" t="str">
        <f t="shared" si="4"/>
        <v>B12</v>
      </c>
      <c r="I33" s="10" t="str">
        <f t="shared" si="5"/>
        <v>BRN60G-B12</v>
      </c>
      <c r="J33" s="15"/>
      <c r="K33" s="16" t="str">
        <f t="shared" si="6"/>
        <v>collected</v>
      </c>
      <c r="L33" s="16" t="str">
        <f t="shared" si="7"/>
        <v>N</v>
      </c>
      <c r="M33" s="16"/>
      <c r="N33" s="16"/>
    </row>
    <row r="34">
      <c r="A34" s="6" t="s">
        <v>117</v>
      </c>
      <c r="B34" s="10" t="str">
        <f t="shared" si="1"/>
        <v>RNA-gill</v>
      </c>
      <c r="C34" s="10" t="str">
        <f t="shared" si="2"/>
        <v>BRN60G-A12</v>
      </c>
      <c r="D34" s="11">
        <f t="array" ref="D34">iferror(index('rna-muscle'!D:D,match(A34,'rna-muscle'!A:A,0)))</f>
        <v>60</v>
      </c>
      <c r="E34" s="10" t="str">
        <f t="shared" si="3"/>
        <v>BRN60G</v>
      </c>
      <c r="F34" s="11" t="str">
        <f t="array" ref="F34">iferror(index('rna-muscle'!F:F,match($A34,'rna-muscle'!$A:$A,0)))</f>
        <v>A</v>
      </c>
      <c r="G34" s="11">
        <f t="array" ref="G34">iferror(index('rna-muscle'!G:G,match($A34,'rna-muscle'!$A:$A,0)))</f>
        <v>12</v>
      </c>
      <c r="H34" s="11" t="str">
        <f t="shared" si="4"/>
        <v>A12</v>
      </c>
      <c r="I34" s="10" t="str">
        <f t="shared" si="5"/>
        <v>BRN60G-A12</v>
      </c>
      <c r="J34" s="15"/>
      <c r="K34" s="16" t="str">
        <f t="shared" si="6"/>
        <v>collected</v>
      </c>
      <c r="L34" s="16" t="str">
        <f t="shared" si="7"/>
        <v>N</v>
      </c>
      <c r="M34" s="16"/>
      <c r="N34" s="16"/>
    </row>
    <row r="35">
      <c r="A35" s="6" t="s">
        <v>119</v>
      </c>
      <c r="B35" s="10" t="str">
        <f t="shared" si="1"/>
        <v>RNA-gill</v>
      </c>
      <c r="C35" s="10" t="str">
        <f t="shared" si="2"/>
        <v>BRN66G-H1</v>
      </c>
      <c r="D35" s="11">
        <f t="array" ref="D35">iferror(index('rna-muscle'!D:D,match(A35,'rna-muscle'!A:A,0)))</f>
        <v>66</v>
      </c>
      <c r="E35" s="10" t="str">
        <f t="shared" si="3"/>
        <v>BRN66G</v>
      </c>
      <c r="F35" s="11" t="str">
        <f t="array" ref="F35">iferror(index('rna-muscle'!F:F,match($A35,'rna-muscle'!$A:$A,0)))</f>
        <v>H</v>
      </c>
      <c r="G35" s="11">
        <f t="array" ref="G35">iferror(index('rna-muscle'!G:G,match($A35,'rna-muscle'!$A:$A,0)))</f>
        <v>1</v>
      </c>
      <c r="H35" s="11" t="str">
        <f t="shared" si="4"/>
        <v>H1</v>
      </c>
      <c r="I35" s="10" t="str">
        <f t="shared" si="5"/>
        <v>BRN66G-H1</v>
      </c>
      <c r="J35" s="15"/>
      <c r="K35" s="16" t="str">
        <f t="shared" si="6"/>
        <v>collected</v>
      </c>
      <c r="L35" s="16" t="str">
        <f t="shared" si="7"/>
        <v>N</v>
      </c>
      <c r="M35" s="16"/>
      <c r="N35" s="16"/>
    </row>
    <row r="36">
      <c r="A36" s="6" t="s">
        <v>121</v>
      </c>
      <c r="B36" s="10" t="str">
        <f t="shared" si="1"/>
        <v>RNA-gill</v>
      </c>
      <c r="C36" s="10" t="str">
        <f t="shared" si="2"/>
        <v>BRN66G-G1</v>
      </c>
      <c r="D36" s="11">
        <f t="array" ref="D36">iferror(index('rna-muscle'!D:D,match(A36,'rna-muscle'!A:A,0)))</f>
        <v>66</v>
      </c>
      <c r="E36" s="10" t="str">
        <f t="shared" si="3"/>
        <v>BRN66G</v>
      </c>
      <c r="F36" s="11" t="str">
        <f t="array" ref="F36">iferror(index('rna-muscle'!F:F,match($A36,'rna-muscle'!$A:$A,0)))</f>
        <v>G</v>
      </c>
      <c r="G36" s="11">
        <f t="array" ref="G36">iferror(index('rna-muscle'!G:G,match($A36,'rna-muscle'!$A:$A,0)))</f>
        <v>1</v>
      </c>
      <c r="H36" s="11" t="str">
        <f t="shared" si="4"/>
        <v>G1</v>
      </c>
      <c r="I36" s="10" t="str">
        <f t="shared" si="5"/>
        <v>BRN66G-G1</v>
      </c>
      <c r="J36" s="15"/>
      <c r="K36" s="16" t="str">
        <f t="shared" si="6"/>
        <v>collected</v>
      </c>
      <c r="L36" s="16" t="str">
        <f t="shared" si="7"/>
        <v>N</v>
      </c>
      <c r="M36" s="16"/>
      <c r="N36" s="16"/>
    </row>
    <row r="37">
      <c r="A37" s="6" t="s">
        <v>124</v>
      </c>
      <c r="B37" s="10" t="str">
        <f t="shared" si="1"/>
        <v>RNA-gill</v>
      </c>
      <c r="C37" s="10" t="str">
        <f t="shared" si="2"/>
        <v>BRN66G-F1</v>
      </c>
      <c r="D37" s="11">
        <f t="array" ref="D37">iferror(index('rna-muscle'!D:D,match(A37,'rna-muscle'!A:A,0)))</f>
        <v>66</v>
      </c>
      <c r="E37" s="10" t="str">
        <f t="shared" si="3"/>
        <v>BRN66G</v>
      </c>
      <c r="F37" s="11" t="str">
        <f t="array" ref="F37">iferror(index('rna-muscle'!F:F,match($A37,'rna-muscle'!$A:$A,0)))</f>
        <v>F</v>
      </c>
      <c r="G37" s="11">
        <f t="array" ref="G37">iferror(index('rna-muscle'!G:G,match($A37,'rna-muscle'!$A:$A,0)))</f>
        <v>1</v>
      </c>
      <c r="H37" s="11" t="str">
        <f t="shared" si="4"/>
        <v>F1</v>
      </c>
      <c r="I37" s="10" t="str">
        <f t="shared" si="5"/>
        <v>BRN66G-F1</v>
      </c>
      <c r="J37" s="15"/>
      <c r="K37" s="16" t="str">
        <f t="shared" si="6"/>
        <v>collected</v>
      </c>
      <c r="L37" s="16" t="str">
        <f t="shared" si="7"/>
        <v>N</v>
      </c>
      <c r="M37" s="16"/>
      <c r="N37" s="16"/>
    </row>
    <row r="38">
      <c r="A38" s="6" t="s">
        <v>126</v>
      </c>
      <c r="B38" s="10" t="str">
        <f t="shared" si="1"/>
        <v>RNA-gill</v>
      </c>
      <c r="C38" s="10" t="str">
        <f t="shared" si="2"/>
        <v>BRN66G-E1</v>
      </c>
      <c r="D38" s="11">
        <f t="array" ref="D38">iferror(index('rna-muscle'!D:D,match(A38,'rna-muscle'!A:A,0)))</f>
        <v>66</v>
      </c>
      <c r="E38" s="10" t="str">
        <f t="shared" si="3"/>
        <v>BRN66G</v>
      </c>
      <c r="F38" s="11" t="str">
        <f t="array" ref="F38">iferror(index('rna-muscle'!F:F,match($A38,'rna-muscle'!$A:$A,0)))</f>
        <v>E</v>
      </c>
      <c r="G38" s="11">
        <f t="array" ref="G38">iferror(index('rna-muscle'!G:G,match($A38,'rna-muscle'!$A:$A,0)))</f>
        <v>1</v>
      </c>
      <c r="H38" s="11" t="str">
        <f t="shared" si="4"/>
        <v>E1</v>
      </c>
      <c r="I38" s="10" t="str">
        <f t="shared" si="5"/>
        <v>BRN66G-E1</v>
      </c>
      <c r="J38" s="15"/>
      <c r="K38" s="16" t="str">
        <f t="shared" si="6"/>
        <v>collected</v>
      </c>
      <c r="L38" s="16" t="str">
        <f t="shared" si="7"/>
        <v>N</v>
      </c>
      <c r="M38" s="16"/>
      <c r="N38" s="16"/>
    </row>
    <row r="39">
      <c r="A39" s="6" t="s">
        <v>128</v>
      </c>
      <c r="B39" s="10" t="str">
        <f t="shared" si="1"/>
        <v>RNA-gill</v>
      </c>
      <c r="C39" s="10" t="str">
        <f t="shared" si="2"/>
        <v>BRN66G-D1</v>
      </c>
      <c r="D39" s="11">
        <f t="array" ref="D39">iferror(index('rna-muscle'!D:D,match(A39,'rna-muscle'!A:A,0)))</f>
        <v>66</v>
      </c>
      <c r="E39" s="10" t="str">
        <f t="shared" si="3"/>
        <v>BRN66G</v>
      </c>
      <c r="F39" s="11" t="str">
        <f t="array" ref="F39">iferror(index('rna-muscle'!F:F,match($A39,'rna-muscle'!$A:$A,0)))</f>
        <v>D</v>
      </c>
      <c r="G39" s="11">
        <f t="array" ref="G39">iferror(index('rna-muscle'!G:G,match($A39,'rna-muscle'!$A:$A,0)))</f>
        <v>1</v>
      </c>
      <c r="H39" s="11" t="str">
        <f t="shared" si="4"/>
        <v>D1</v>
      </c>
      <c r="I39" s="10" t="str">
        <f t="shared" si="5"/>
        <v>BRN66G-D1</v>
      </c>
      <c r="J39" s="15"/>
      <c r="K39" s="16" t="str">
        <f t="shared" si="6"/>
        <v>collected</v>
      </c>
      <c r="L39" s="16" t="str">
        <f t="shared" si="7"/>
        <v>N</v>
      </c>
      <c r="M39" s="16"/>
      <c r="N39" s="16"/>
    </row>
    <row r="40">
      <c r="A40" s="6" t="s">
        <v>129</v>
      </c>
      <c r="B40" s="10" t="str">
        <f t="shared" si="1"/>
        <v>RNA-gill</v>
      </c>
      <c r="C40" s="10" t="str">
        <f t="shared" si="2"/>
        <v>BRN66G-C1</v>
      </c>
      <c r="D40" s="11">
        <f t="array" ref="D40">iferror(index('rna-muscle'!D:D,match(A40,'rna-muscle'!A:A,0)))</f>
        <v>66</v>
      </c>
      <c r="E40" s="10" t="str">
        <f t="shared" si="3"/>
        <v>BRN66G</v>
      </c>
      <c r="F40" s="11" t="str">
        <f t="array" ref="F40">iferror(index('rna-muscle'!F:F,match($A40,'rna-muscle'!$A:$A,0)))</f>
        <v>C</v>
      </c>
      <c r="G40" s="11">
        <f t="array" ref="G40">iferror(index('rna-muscle'!G:G,match($A40,'rna-muscle'!$A:$A,0)))</f>
        <v>1</v>
      </c>
      <c r="H40" s="11" t="str">
        <f t="shared" si="4"/>
        <v>C1</v>
      </c>
      <c r="I40" s="10" t="str">
        <f t="shared" si="5"/>
        <v>BRN66G-C1</v>
      </c>
      <c r="J40" s="15"/>
      <c r="K40" s="16" t="str">
        <f t="shared" si="6"/>
        <v>collected</v>
      </c>
      <c r="L40" s="16" t="str">
        <f t="shared" si="7"/>
        <v>N</v>
      </c>
      <c r="M40" s="16"/>
      <c r="N40" s="16"/>
    </row>
    <row r="41">
      <c r="A41" s="6" t="s">
        <v>131</v>
      </c>
      <c r="B41" s="10" t="str">
        <f t="shared" si="1"/>
        <v>RNA-gill</v>
      </c>
      <c r="C41" s="10" t="str">
        <f t="shared" si="2"/>
        <v>BRN66G-A1</v>
      </c>
      <c r="D41" s="11">
        <f t="array" ref="D41">iferror(index('rna-muscle'!D:D,match(A41,'rna-muscle'!A:A,0)))</f>
        <v>66</v>
      </c>
      <c r="E41" s="10" t="str">
        <f t="shared" si="3"/>
        <v>BRN66G</v>
      </c>
      <c r="F41" s="11" t="str">
        <f t="array" ref="F41">iferror(index('rna-muscle'!F:F,match($A41,'rna-muscle'!$A:$A,0)))</f>
        <v>A</v>
      </c>
      <c r="G41" s="11">
        <f t="array" ref="G41">iferror(index('rna-muscle'!G:G,match($A41,'rna-muscle'!$A:$A,0)))</f>
        <v>1</v>
      </c>
      <c r="H41" s="11" t="str">
        <f t="shared" si="4"/>
        <v>A1</v>
      </c>
      <c r="I41" s="10" t="str">
        <f t="shared" si="5"/>
        <v>BRN66G-A1</v>
      </c>
      <c r="J41" s="15"/>
      <c r="K41" s="16" t="str">
        <f t="shared" si="6"/>
        <v>collected</v>
      </c>
      <c r="L41" s="16" t="str">
        <f t="shared" si="7"/>
        <v>N</v>
      </c>
      <c r="M41" s="16"/>
      <c r="N41" s="16"/>
    </row>
    <row r="42">
      <c r="A42" s="6" t="s">
        <v>133</v>
      </c>
      <c r="B42" s="10" t="str">
        <f t="shared" si="1"/>
        <v>RNA-gill</v>
      </c>
      <c r="C42" s="10" t="str">
        <f t="shared" si="2"/>
        <v>BRN66G-H2</v>
      </c>
      <c r="D42" s="11">
        <f t="array" ref="D42">iferror(index('rna-muscle'!D:D,match(A42,'rna-muscle'!A:A,0)))</f>
        <v>66</v>
      </c>
      <c r="E42" s="10" t="str">
        <f t="shared" si="3"/>
        <v>BRN66G</v>
      </c>
      <c r="F42" s="11" t="str">
        <f t="array" ref="F42">iferror(index('rna-muscle'!F:F,match($A42,'rna-muscle'!$A:$A,0)))</f>
        <v>H</v>
      </c>
      <c r="G42" s="11">
        <f t="array" ref="G42">iferror(index('rna-muscle'!G:G,match($A42,'rna-muscle'!$A:$A,0)))</f>
        <v>2</v>
      </c>
      <c r="H42" s="11" t="str">
        <f t="shared" si="4"/>
        <v>H2</v>
      </c>
      <c r="I42" s="10" t="str">
        <f t="shared" si="5"/>
        <v>BRN66G-H2</v>
      </c>
      <c r="J42" s="15"/>
      <c r="K42" s="16" t="str">
        <f t="shared" si="6"/>
        <v>collected</v>
      </c>
      <c r="L42" s="16" t="str">
        <f t="shared" si="7"/>
        <v>N</v>
      </c>
      <c r="M42" s="16"/>
      <c r="N42" s="16"/>
    </row>
    <row r="43">
      <c r="A43" s="6" t="s">
        <v>135</v>
      </c>
      <c r="B43" s="10" t="str">
        <f t="shared" si="1"/>
        <v>RNA-gill</v>
      </c>
      <c r="C43" s="10" t="str">
        <f t="shared" si="2"/>
        <v>BRN66G-G2</v>
      </c>
      <c r="D43" s="11">
        <f t="array" ref="D43">iferror(index('rna-muscle'!D:D,match(A43,'rna-muscle'!A:A,0)))</f>
        <v>66</v>
      </c>
      <c r="E43" s="10" t="str">
        <f t="shared" si="3"/>
        <v>BRN66G</v>
      </c>
      <c r="F43" s="11" t="str">
        <f t="array" ref="F43">iferror(index('rna-muscle'!F:F,match($A43,'rna-muscle'!$A:$A,0)))</f>
        <v>G</v>
      </c>
      <c r="G43" s="11">
        <f t="array" ref="G43">iferror(index('rna-muscle'!G:G,match($A43,'rna-muscle'!$A:$A,0)))</f>
        <v>2</v>
      </c>
      <c r="H43" s="11" t="str">
        <f t="shared" si="4"/>
        <v>G2</v>
      </c>
      <c r="I43" s="10" t="str">
        <f t="shared" si="5"/>
        <v>BRN66G-G2</v>
      </c>
      <c r="J43" s="15"/>
      <c r="K43" s="16" t="str">
        <f t="shared" si="6"/>
        <v>collected</v>
      </c>
      <c r="L43" s="16" t="str">
        <f t="shared" si="7"/>
        <v>N</v>
      </c>
      <c r="M43" s="16"/>
      <c r="N43" s="16"/>
    </row>
    <row r="44">
      <c r="A44" s="6" t="s">
        <v>136</v>
      </c>
      <c r="B44" s="10" t="str">
        <f t="shared" si="1"/>
        <v>RNA-gill</v>
      </c>
      <c r="C44" s="10" t="str">
        <f t="shared" si="2"/>
        <v>BRN66G-F2</v>
      </c>
      <c r="D44" s="11">
        <f t="array" ref="D44">iferror(index('rna-muscle'!D:D,match(A44,'rna-muscle'!A:A,0)))</f>
        <v>66</v>
      </c>
      <c r="E44" s="10" t="str">
        <f t="shared" si="3"/>
        <v>BRN66G</v>
      </c>
      <c r="F44" s="11" t="str">
        <f t="array" ref="F44">iferror(index('rna-muscle'!F:F,match($A44,'rna-muscle'!$A:$A,0)))</f>
        <v>F</v>
      </c>
      <c r="G44" s="11">
        <f t="array" ref="G44">iferror(index('rna-muscle'!G:G,match($A44,'rna-muscle'!$A:$A,0)))</f>
        <v>2</v>
      </c>
      <c r="H44" s="11" t="str">
        <f t="shared" si="4"/>
        <v>F2</v>
      </c>
      <c r="I44" s="10" t="str">
        <f t="shared" si="5"/>
        <v>BRN66G-F2</v>
      </c>
      <c r="J44" s="15"/>
      <c r="K44" s="16" t="str">
        <f t="shared" si="6"/>
        <v>collected</v>
      </c>
      <c r="L44" s="16" t="str">
        <f t="shared" si="7"/>
        <v>N</v>
      </c>
      <c r="M44" s="16"/>
      <c r="N44" s="16"/>
    </row>
    <row r="45">
      <c r="A45" s="6" t="s">
        <v>138</v>
      </c>
      <c r="B45" s="10" t="str">
        <f t="shared" si="1"/>
        <v>RNA-gill</v>
      </c>
      <c r="C45" s="10" t="str">
        <f t="shared" si="2"/>
        <v>BRN66G-E2</v>
      </c>
      <c r="D45" s="11">
        <f t="array" ref="D45">iferror(index('rna-muscle'!D:D,match(A45,'rna-muscle'!A:A,0)))</f>
        <v>66</v>
      </c>
      <c r="E45" s="10" t="str">
        <f t="shared" si="3"/>
        <v>BRN66G</v>
      </c>
      <c r="F45" s="11" t="str">
        <f t="array" ref="F45">iferror(index('rna-muscle'!F:F,match($A45,'rna-muscle'!$A:$A,0)))</f>
        <v>E</v>
      </c>
      <c r="G45" s="11">
        <f t="array" ref="G45">iferror(index('rna-muscle'!G:G,match($A45,'rna-muscle'!$A:$A,0)))</f>
        <v>2</v>
      </c>
      <c r="H45" s="11" t="str">
        <f t="shared" si="4"/>
        <v>E2</v>
      </c>
      <c r="I45" s="10" t="str">
        <f t="shared" si="5"/>
        <v>BRN66G-E2</v>
      </c>
      <c r="J45" s="15"/>
      <c r="K45" s="16" t="str">
        <f t="shared" si="6"/>
        <v>collected</v>
      </c>
      <c r="L45" s="16" t="str">
        <f t="shared" si="7"/>
        <v>N</v>
      </c>
      <c r="M45" s="16"/>
      <c r="N45" s="16"/>
    </row>
    <row r="46">
      <c r="A46" s="6" t="s">
        <v>139</v>
      </c>
      <c r="B46" s="10" t="str">
        <f t="shared" si="1"/>
        <v>RNA-gill</v>
      </c>
      <c r="C46" s="10" t="str">
        <f t="shared" si="2"/>
        <v>BRN66G-D2</v>
      </c>
      <c r="D46" s="11">
        <f t="array" ref="D46">iferror(index('rna-muscle'!D:D,match(A46,'rna-muscle'!A:A,0)))</f>
        <v>66</v>
      </c>
      <c r="E46" s="10" t="str">
        <f t="shared" si="3"/>
        <v>BRN66G</v>
      </c>
      <c r="F46" s="11" t="str">
        <f t="array" ref="F46">iferror(index('rna-muscle'!F:F,match($A46,'rna-muscle'!$A:$A,0)))</f>
        <v>D</v>
      </c>
      <c r="G46" s="11">
        <f t="array" ref="G46">iferror(index('rna-muscle'!G:G,match($A46,'rna-muscle'!$A:$A,0)))</f>
        <v>2</v>
      </c>
      <c r="H46" s="11" t="str">
        <f t="shared" si="4"/>
        <v>D2</v>
      </c>
      <c r="I46" s="10" t="str">
        <f t="shared" si="5"/>
        <v>BRN66G-D2</v>
      </c>
      <c r="J46" s="15"/>
      <c r="K46" s="16" t="str">
        <f t="shared" si="6"/>
        <v>collected</v>
      </c>
      <c r="L46" s="16" t="str">
        <f t="shared" si="7"/>
        <v>N</v>
      </c>
      <c r="M46" s="16"/>
      <c r="N46" s="16"/>
    </row>
    <row r="47">
      <c r="A47" s="6" t="s">
        <v>141</v>
      </c>
      <c r="B47" s="10" t="str">
        <f t="shared" si="1"/>
        <v>RNA-gill</v>
      </c>
      <c r="C47" s="10" t="str">
        <f t="shared" si="2"/>
        <v>BRN66G-C2</v>
      </c>
      <c r="D47" s="11">
        <f t="array" ref="D47">iferror(index('rna-muscle'!D:D,match(A47,'rna-muscle'!A:A,0)))</f>
        <v>66</v>
      </c>
      <c r="E47" s="10" t="str">
        <f t="shared" si="3"/>
        <v>BRN66G</v>
      </c>
      <c r="F47" s="11" t="str">
        <f t="array" ref="F47">iferror(index('rna-muscle'!F:F,match($A47,'rna-muscle'!$A:$A,0)))</f>
        <v>C</v>
      </c>
      <c r="G47" s="11">
        <f t="array" ref="G47">iferror(index('rna-muscle'!G:G,match($A47,'rna-muscle'!$A:$A,0)))</f>
        <v>2</v>
      </c>
      <c r="H47" s="11" t="str">
        <f t="shared" si="4"/>
        <v>C2</v>
      </c>
      <c r="I47" s="10" t="str">
        <f t="shared" si="5"/>
        <v>BRN66G-C2</v>
      </c>
      <c r="K47" s="16" t="str">
        <f t="shared" si="6"/>
        <v>collected</v>
      </c>
      <c r="L47" s="16" t="str">
        <f t="shared" si="7"/>
        <v>N</v>
      </c>
      <c r="M47" s="16"/>
      <c r="N47" s="16"/>
    </row>
    <row r="48">
      <c r="A48" s="6" t="s">
        <v>143</v>
      </c>
      <c r="B48" s="10" t="str">
        <f t="shared" si="1"/>
        <v>RNA-gill</v>
      </c>
      <c r="C48" s="10" t="str">
        <f t="shared" si="2"/>
        <v>BRN66G-B2</v>
      </c>
      <c r="D48" s="11">
        <f t="array" ref="D48">iferror(index('rna-muscle'!D:D,match(A48,'rna-muscle'!A:A,0)))</f>
        <v>66</v>
      </c>
      <c r="E48" s="10" t="str">
        <f t="shared" si="3"/>
        <v>BRN66G</v>
      </c>
      <c r="F48" s="11" t="str">
        <f t="array" ref="F48">iferror(index('rna-muscle'!F:F,match($A48,'rna-muscle'!$A:$A,0)))</f>
        <v>B</v>
      </c>
      <c r="G48" s="11">
        <f t="array" ref="G48">iferror(index('rna-muscle'!G:G,match($A48,'rna-muscle'!$A:$A,0)))</f>
        <v>2</v>
      </c>
      <c r="H48" s="11" t="str">
        <f t="shared" si="4"/>
        <v>B2</v>
      </c>
      <c r="I48" s="10" t="str">
        <f t="shared" si="5"/>
        <v>BRN66G-B2</v>
      </c>
      <c r="K48" s="16" t="str">
        <f t="shared" si="6"/>
        <v>collected</v>
      </c>
      <c r="L48" s="16" t="str">
        <f t="shared" si="7"/>
        <v>N</v>
      </c>
      <c r="M48" s="16"/>
      <c r="N48" s="16"/>
    </row>
    <row r="49">
      <c r="A49" s="6" t="s">
        <v>144</v>
      </c>
      <c r="B49" s="10" t="str">
        <f t="shared" si="1"/>
        <v>RNA-gill</v>
      </c>
      <c r="C49" s="10" t="str">
        <f t="shared" si="2"/>
        <v>BRN66G-A2</v>
      </c>
      <c r="D49" s="11">
        <f t="array" ref="D49">iferror(index('rna-muscle'!D:D,match(A49,'rna-muscle'!A:A,0)))</f>
        <v>66</v>
      </c>
      <c r="E49" s="10" t="str">
        <f t="shared" si="3"/>
        <v>BRN66G</v>
      </c>
      <c r="F49" s="11" t="str">
        <f t="array" ref="F49">iferror(index('rna-muscle'!F:F,match($A49,'rna-muscle'!$A:$A,0)))</f>
        <v>A</v>
      </c>
      <c r="G49" s="11">
        <f t="array" ref="G49">iferror(index('rna-muscle'!G:G,match($A49,'rna-muscle'!$A:$A,0)))</f>
        <v>2</v>
      </c>
      <c r="H49" s="11" t="str">
        <f t="shared" si="4"/>
        <v>A2</v>
      </c>
      <c r="I49" s="10" t="str">
        <f t="shared" si="5"/>
        <v>BRN66G-A2</v>
      </c>
      <c r="K49" s="16" t="str">
        <f t="shared" si="6"/>
        <v>collected</v>
      </c>
      <c r="L49" s="16" t="str">
        <f t="shared" si="7"/>
        <v>N</v>
      </c>
      <c r="M49" s="16"/>
      <c r="N49" s="16"/>
    </row>
    <row r="50">
      <c r="A50" s="6" t="s">
        <v>146</v>
      </c>
      <c r="B50" s="10" t="str">
        <f t="shared" si="1"/>
        <v>RNA-gill</v>
      </c>
      <c r="C50" s="10" t="str">
        <f t="shared" si="2"/>
        <v>BRN66G-H4</v>
      </c>
      <c r="D50" s="11">
        <f t="array" ref="D50">iferror(index('rna-muscle'!D:D,match(A50,'rna-muscle'!A:A,0)))</f>
        <v>66</v>
      </c>
      <c r="E50" s="10" t="str">
        <f t="shared" si="3"/>
        <v>BRN66G</v>
      </c>
      <c r="F50" s="11" t="str">
        <f t="array" ref="F50">iferror(index('rna-muscle'!F:F,match($A50,'rna-muscle'!$A:$A,0)))</f>
        <v>H</v>
      </c>
      <c r="G50" s="11">
        <f t="array" ref="G50">iferror(index('rna-muscle'!G:G,match($A50,'rna-muscle'!$A:$A,0)))</f>
        <v>4</v>
      </c>
      <c r="H50" s="11" t="str">
        <f t="shared" si="4"/>
        <v>H4</v>
      </c>
      <c r="I50" s="10" t="str">
        <f t="shared" si="5"/>
        <v>BRN66G-H4</v>
      </c>
      <c r="K50" s="16" t="str">
        <f t="shared" si="6"/>
        <v>collected</v>
      </c>
      <c r="L50" s="16" t="str">
        <f t="shared" si="7"/>
        <v>N</v>
      </c>
      <c r="M50" s="16"/>
      <c r="N50" s="16"/>
    </row>
    <row r="51">
      <c r="A51" s="6" t="s">
        <v>149</v>
      </c>
      <c r="B51" s="10" t="str">
        <f t="shared" si="1"/>
        <v>RNA-gill</v>
      </c>
      <c r="C51" s="10" t="str">
        <f t="shared" si="2"/>
        <v>BRN66G-G4</v>
      </c>
      <c r="D51" s="11">
        <f t="array" ref="D51">iferror(index('rna-muscle'!D:D,match(A51,'rna-muscle'!A:A,0)))</f>
        <v>66</v>
      </c>
      <c r="E51" s="10" t="str">
        <f t="shared" si="3"/>
        <v>BRN66G</v>
      </c>
      <c r="F51" s="11" t="str">
        <f t="array" ref="F51">iferror(index('rna-muscle'!F:F,match($A51,'rna-muscle'!$A:$A,0)))</f>
        <v>G</v>
      </c>
      <c r="G51" s="11">
        <f t="array" ref="G51">iferror(index('rna-muscle'!G:G,match($A51,'rna-muscle'!$A:$A,0)))</f>
        <v>4</v>
      </c>
      <c r="H51" s="11" t="str">
        <f t="shared" si="4"/>
        <v>G4</v>
      </c>
      <c r="I51" s="10" t="str">
        <f t="shared" si="5"/>
        <v>BRN66G-G4</v>
      </c>
      <c r="K51" s="16" t="str">
        <f t="shared" si="6"/>
        <v>collected</v>
      </c>
      <c r="L51" s="16" t="str">
        <f t="shared" si="7"/>
        <v>N</v>
      </c>
      <c r="M51" s="16"/>
      <c r="N51" s="16"/>
    </row>
    <row r="52">
      <c r="A52" s="6" t="s">
        <v>151</v>
      </c>
      <c r="B52" s="10" t="str">
        <f t="shared" si="1"/>
        <v>RNA-gill</v>
      </c>
      <c r="C52" s="10" t="str">
        <f t="shared" si="2"/>
        <v>BRN66G-F4</v>
      </c>
      <c r="D52" s="11">
        <f t="array" ref="D52">iferror(index('rna-muscle'!D:D,match(A52,'rna-muscle'!A:A,0)))</f>
        <v>66</v>
      </c>
      <c r="E52" s="10" t="str">
        <f t="shared" si="3"/>
        <v>BRN66G</v>
      </c>
      <c r="F52" s="11" t="str">
        <f t="array" ref="F52">iferror(index('rna-muscle'!F:F,match($A52,'rna-muscle'!$A:$A,0)))</f>
        <v>F</v>
      </c>
      <c r="G52" s="11">
        <f t="array" ref="G52">iferror(index('rna-muscle'!G:G,match($A52,'rna-muscle'!$A:$A,0)))</f>
        <v>4</v>
      </c>
      <c r="H52" s="11" t="str">
        <f t="shared" si="4"/>
        <v>F4</v>
      </c>
      <c r="I52" s="10" t="str">
        <f t="shared" si="5"/>
        <v>BRN66G-F4</v>
      </c>
      <c r="J52" s="18"/>
      <c r="K52" s="16" t="str">
        <f t="shared" si="6"/>
        <v>collected</v>
      </c>
      <c r="L52" s="16" t="str">
        <f t="shared" si="7"/>
        <v>N</v>
      </c>
      <c r="M52" s="16"/>
      <c r="N52" s="16"/>
    </row>
    <row r="53">
      <c r="A53" s="6" t="s">
        <v>153</v>
      </c>
      <c r="B53" s="10" t="str">
        <f t="shared" si="1"/>
        <v>RNA-gill</v>
      </c>
      <c r="C53" s="10" t="str">
        <f t="shared" si="2"/>
        <v>BRN66G-E4</v>
      </c>
      <c r="D53" s="11">
        <f t="array" ref="D53">iferror(index('rna-muscle'!D:D,match(A53,'rna-muscle'!A:A,0)))</f>
        <v>66</v>
      </c>
      <c r="E53" s="10" t="str">
        <f t="shared" si="3"/>
        <v>BRN66G</v>
      </c>
      <c r="F53" s="11" t="str">
        <f t="array" ref="F53">iferror(index('rna-muscle'!F:F,match($A53,'rna-muscle'!$A:$A,0)))</f>
        <v>E</v>
      </c>
      <c r="G53" s="11">
        <f t="array" ref="G53">iferror(index('rna-muscle'!G:G,match($A53,'rna-muscle'!$A:$A,0)))</f>
        <v>4</v>
      </c>
      <c r="H53" s="11" t="str">
        <f t="shared" si="4"/>
        <v>E4</v>
      </c>
      <c r="I53" s="10" t="str">
        <f t="shared" si="5"/>
        <v>BRN66G-E4</v>
      </c>
      <c r="K53" s="16" t="str">
        <f t="shared" si="6"/>
        <v>collected</v>
      </c>
      <c r="L53" s="16" t="str">
        <f t="shared" si="7"/>
        <v>N</v>
      </c>
      <c r="M53" s="16"/>
      <c r="N53" s="16"/>
    </row>
    <row r="54">
      <c r="A54" s="6" t="s">
        <v>154</v>
      </c>
      <c r="B54" s="10" t="str">
        <f t="shared" si="1"/>
        <v>RNA-gill</v>
      </c>
      <c r="C54" s="10" t="str">
        <f t="shared" si="2"/>
        <v>BRN66G-D4</v>
      </c>
      <c r="D54" s="11">
        <f t="array" ref="D54">iferror(index('rna-muscle'!D:D,match(A54,'rna-muscle'!A:A,0)))</f>
        <v>66</v>
      </c>
      <c r="E54" s="10" t="str">
        <f t="shared" si="3"/>
        <v>BRN66G</v>
      </c>
      <c r="F54" s="11" t="str">
        <f t="array" ref="F54">iferror(index('rna-muscle'!F:F,match($A54,'rna-muscle'!$A:$A,0)))</f>
        <v>D</v>
      </c>
      <c r="G54" s="11">
        <f t="array" ref="G54">iferror(index('rna-muscle'!G:G,match($A54,'rna-muscle'!$A:$A,0)))</f>
        <v>4</v>
      </c>
      <c r="H54" s="11" t="str">
        <f t="shared" si="4"/>
        <v>D4</v>
      </c>
      <c r="I54" s="10" t="str">
        <f t="shared" si="5"/>
        <v>BRN66G-D4</v>
      </c>
      <c r="J54" s="18"/>
      <c r="K54" s="16" t="str">
        <f t="shared" si="6"/>
        <v>collected</v>
      </c>
      <c r="L54" s="16" t="str">
        <f t="shared" si="7"/>
        <v>N</v>
      </c>
      <c r="M54" s="16"/>
      <c r="N54" s="16"/>
    </row>
    <row r="55">
      <c r="A55" s="6" t="s">
        <v>156</v>
      </c>
      <c r="B55" s="10" t="str">
        <f t="shared" si="1"/>
        <v>RNA-gill</v>
      </c>
      <c r="C55" s="10" t="str">
        <f t="shared" si="2"/>
        <v>BRN66G-C4</v>
      </c>
      <c r="D55" s="11">
        <f t="array" ref="D55">iferror(index('rna-muscle'!D:D,match(A55,'rna-muscle'!A:A,0)))</f>
        <v>66</v>
      </c>
      <c r="E55" s="10" t="str">
        <f t="shared" si="3"/>
        <v>BRN66G</v>
      </c>
      <c r="F55" s="11" t="str">
        <f t="array" ref="F55">iferror(index('rna-muscle'!F:F,match($A55,'rna-muscle'!$A:$A,0)))</f>
        <v>C</v>
      </c>
      <c r="G55" s="11">
        <f t="array" ref="G55">iferror(index('rna-muscle'!G:G,match($A55,'rna-muscle'!$A:$A,0)))</f>
        <v>4</v>
      </c>
      <c r="H55" s="11" t="str">
        <f t="shared" si="4"/>
        <v>C4</v>
      </c>
      <c r="I55" s="10" t="str">
        <f t="shared" si="5"/>
        <v>BRN66G-C4</v>
      </c>
      <c r="J55" s="15"/>
      <c r="K55" s="16" t="str">
        <f t="shared" si="6"/>
        <v>collected</v>
      </c>
      <c r="L55" s="16" t="str">
        <f t="shared" si="7"/>
        <v>N</v>
      </c>
      <c r="M55" s="16"/>
      <c r="N55" s="16"/>
    </row>
    <row r="56">
      <c r="A56" s="6" t="s">
        <v>158</v>
      </c>
      <c r="B56" s="10" t="str">
        <f t="shared" si="1"/>
        <v>RNA-gill</v>
      </c>
      <c r="C56" s="10" t="str">
        <f t="shared" si="2"/>
        <v>BRN66G-B4</v>
      </c>
      <c r="D56" s="11">
        <f t="array" ref="D56">iferror(index('rna-muscle'!D:D,match(A56,'rna-muscle'!A:A,0)))</f>
        <v>66</v>
      </c>
      <c r="E56" s="10" t="str">
        <f t="shared" si="3"/>
        <v>BRN66G</v>
      </c>
      <c r="F56" s="11" t="str">
        <f t="array" ref="F56">iferror(index('rna-muscle'!F:F,match($A56,'rna-muscle'!$A:$A,0)))</f>
        <v>B</v>
      </c>
      <c r="G56" s="11">
        <f t="array" ref="G56">iferror(index('rna-muscle'!G:G,match($A56,'rna-muscle'!$A:$A,0)))</f>
        <v>4</v>
      </c>
      <c r="H56" s="11" t="str">
        <f t="shared" si="4"/>
        <v>B4</v>
      </c>
      <c r="I56" s="10" t="str">
        <f t="shared" si="5"/>
        <v>BRN66G-B4</v>
      </c>
      <c r="J56" s="15"/>
      <c r="K56" s="16" t="str">
        <f t="shared" si="6"/>
        <v>collected</v>
      </c>
      <c r="L56" s="16" t="str">
        <f t="shared" si="7"/>
        <v>N</v>
      </c>
      <c r="M56" s="16"/>
      <c r="N56" s="16"/>
    </row>
    <row r="57">
      <c r="A57" s="6" t="s">
        <v>160</v>
      </c>
      <c r="B57" s="10" t="str">
        <f t="shared" si="1"/>
        <v>RNA-gill</v>
      </c>
      <c r="C57" s="10" t="str">
        <f t="shared" si="2"/>
        <v>BRN66G-A4</v>
      </c>
      <c r="D57" s="11">
        <f t="array" ref="D57">iferror(index('rna-muscle'!D:D,match(A57,'rna-muscle'!A:A,0)))</f>
        <v>66</v>
      </c>
      <c r="E57" s="10" t="str">
        <f t="shared" si="3"/>
        <v>BRN66G</v>
      </c>
      <c r="F57" s="11" t="str">
        <f t="array" ref="F57">iferror(index('rna-muscle'!F:F,match($A57,'rna-muscle'!$A:$A,0)))</f>
        <v>A</v>
      </c>
      <c r="G57" s="11">
        <f t="array" ref="G57">iferror(index('rna-muscle'!G:G,match($A57,'rna-muscle'!$A:$A,0)))</f>
        <v>4</v>
      </c>
      <c r="H57" s="11" t="str">
        <f t="shared" si="4"/>
        <v>A4</v>
      </c>
      <c r="I57" s="10" t="str">
        <f t="shared" si="5"/>
        <v>BRN66G-A4</v>
      </c>
      <c r="J57" s="15"/>
      <c r="K57" s="16" t="str">
        <f t="shared" si="6"/>
        <v>collected</v>
      </c>
      <c r="L57" s="16" t="str">
        <f t="shared" si="7"/>
        <v>N</v>
      </c>
      <c r="M57" s="16"/>
      <c r="N57" s="16"/>
    </row>
    <row r="58">
      <c r="A58" s="6" t="s">
        <v>161</v>
      </c>
      <c r="B58" s="10" t="str">
        <f t="shared" si="1"/>
        <v>RNA-gill</v>
      </c>
      <c r="C58" s="10" t="str">
        <f t="shared" si="2"/>
        <v>BRN66G-G6</v>
      </c>
      <c r="D58" s="11">
        <f t="array" ref="D58">iferror(index('rna-muscle'!D:D,match(A58,'rna-muscle'!A:A,0)))</f>
        <v>66</v>
      </c>
      <c r="E58" s="10" t="str">
        <f t="shared" si="3"/>
        <v>BRN66G</v>
      </c>
      <c r="F58" s="11" t="str">
        <f t="array" ref="F58">iferror(index('rna-muscle'!F:F,match($A58,'rna-muscle'!$A:$A,0)))</f>
        <v>G</v>
      </c>
      <c r="G58" s="11">
        <f t="array" ref="G58">iferror(index('rna-muscle'!G:G,match($A58,'rna-muscle'!$A:$A,0)))</f>
        <v>6</v>
      </c>
      <c r="H58" s="11" t="str">
        <f t="shared" si="4"/>
        <v>G6</v>
      </c>
      <c r="I58" s="10" t="str">
        <f t="shared" si="5"/>
        <v>BRN66G-G6</v>
      </c>
      <c r="J58" s="18" t="s">
        <v>162</v>
      </c>
      <c r="K58" s="16" t="str">
        <f t="shared" si="6"/>
        <v>collected</v>
      </c>
      <c r="L58" s="16" t="str">
        <f t="shared" si="7"/>
        <v>N</v>
      </c>
      <c r="M58" s="16"/>
      <c r="N58" s="16"/>
    </row>
    <row r="59">
      <c r="A59" s="6" t="s">
        <v>163</v>
      </c>
      <c r="B59" s="10" t="str">
        <f t="shared" si="1"/>
        <v>RNA-gill</v>
      </c>
      <c r="C59" s="10" t="str">
        <f t="shared" si="2"/>
        <v>BRN66G-F6</v>
      </c>
      <c r="D59" s="11">
        <f t="array" ref="D59">iferror(index('rna-muscle'!D:D,match(A59,'rna-muscle'!A:A,0)))</f>
        <v>66</v>
      </c>
      <c r="E59" s="10" t="str">
        <f t="shared" si="3"/>
        <v>BRN66G</v>
      </c>
      <c r="F59" s="11" t="str">
        <f t="array" ref="F59">iferror(index('rna-muscle'!F:F,match($A59,'rna-muscle'!$A:$A,0)))</f>
        <v>F</v>
      </c>
      <c r="G59" s="11">
        <f t="array" ref="G59">iferror(index('rna-muscle'!G:G,match($A59,'rna-muscle'!$A:$A,0)))</f>
        <v>6</v>
      </c>
      <c r="H59" s="11" t="str">
        <f t="shared" si="4"/>
        <v>F6</v>
      </c>
      <c r="I59" s="10" t="str">
        <f t="shared" si="5"/>
        <v>BRN66G-F6</v>
      </c>
      <c r="J59" s="15"/>
      <c r="K59" s="16" t="str">
        <f t="shared" si="6"/>
        <v>collected</v>
      </c>
      <c r="L59" s="16" t="str">
        <f t="shared" si="7"/>
        <v>N</v>
      </c>
      <c r="M59" s="16"/>
      <c r="N59" s="16"/>
    </row>
    <row r="60">
      <c r="A60" s="6" t="s">
        <v>166</v>
      </c>
      <c r="B60" s="10" t="str">
        <f t="shared" si="1"/>
        <v>RNA-gill</v>
      </c>
      <c r="C60" s="10" t="str">
        <f t="shared" si="2"/>
        <v>BRN66G-E6</v>
      </c>
      <c r="D60" s="11">
        <f t="array" ref="D60">iferror(index('rna-muscle'!D:D,match(A60,'rna-muscle'!A:A,0)))</f>
        <v>66</v>
      </c>
      <c r="E60" s="10" t="str">
        <f t="shared" si="3"/>
        <v>BRN66G</v>
      </c>
      <c r="F60" s="11" t="str">
        <f t="array" ref="F60">iferror(index('rna-muscle'!F:F,match($A60,'rna-muscle'!$A:$A,0)))</f>
        <v>E</v>
      </c>
      <c r="G60" s="11">
        <f t="array" ref="G60">iferror(index('rna-muscle'!G:G,match($A60,'rna-muscle'!$A:$A,0)))</f>
        <v>6</v>
      </c>
      <c r="H60" s="11" t="str">
        <f t="shared" si="4"/>
        <v>E6</v>
      </c>
      <c r="I60" s="10" t="str">
        <f t="shared" si="5"/>
        <v>BRN66G-E6</v>
      </c>
      <c r="J60" s="15"/>
      <c r="K60" s="16" t="str">
        <f t="shared" si="6"/>
        <v>collected</v>
      </c>
      <c r="L60" s="16" t="str">
        <f t="shared" si="7"/>
        <v>N</v>
      </c>
      <c r="M60" s="16"/>
      <c r="N60" s="16"/>
    </row>
    <row r="61">
      <c r="A61" s="6" t="s">
        <v>167</v>
      </c>
      <c r="B61" s="10" t="str">
        <f t="shared" si="1"/>
        <v>RNA-gill</v>
      </c>
      <c r="C61" s="10" t="str">
        <f t="shared" si="2"/>
        <v>BRN66G-D6</v>
      </c>
      <c r="D61" s="11">
        <f t="array" ref="D61">iferror(index('rna-muscle'!D:D,match(A61,'rna-muscle'!A:A,0)))</f>
        <v>66</v>
      </c>
      <c r="E61" s="10" t="str">
        <f t="shared" si="3"/>
        <v>BRN66G</v>
      </c>
      <c r="F61" s="11" t="str">
        <f t="array" ref="F61">iferror(index('rna-muscle'!F:F,match($A61,'rna-muscle'!$A:$A,0)))</f>
        <v>D</v>
      </c>
      <c r="G61" s="11">
        <f t="array" ref="G61">iferror(index('rna-muscle'!G:G,match($A61,'rna-muscle'!$A:$A,0)))</f>
        <v>6</v>
      </c>
      <c r="H61" s="11" t="str">
        <f t="shared" si="4"/>
        <v>D6</v>
      </c>
      <c r="I61" s="10" t="str">
        <f t="shared" si="5"/>
        <v>BRN66G-D6</v>
      </c>
      <c r="J61" s="15"/>
      <c r="K61" s="16" t="str">
        <f t="shared" si="6"/>
        <v>collected</v>
      </c>
      <c r="L61" s="16" t="str">
        <f t="shared" si="7"/>
        <v>N</v>
      </c>
      <c r="M61" s="16"/>
      <c r="N61" s="16"/>
    </row>
    <row r="62">
      <c r="A62" s="6" t="s">
        <v>168</v>
      </c>
      <c r="B62" s="10" t="str">
        <f t="shared" si="1"/>
        <v>RNA-gill</v>
      </c>
      <c r="C62" s="10" t="str">
        <f t="shared" si="2"/>
        <v>BRN66G-H3</v>
      </c>
      <c r="D62" s="11">
        <f t="array" ref="D62">iferror(index('rna-muscle'!D:D,match(A62,'rna-muscle'!A:A,0)))</f>
        <v>66</v>
      </c>
      <c r="E62" s="10" t="str">
        <f t="shared" si="3"/>
        <v>BRN66G</v>
      </c>
      <c r="F62" s="11" t="str">
        <f t="array" ref="F62">iferror(index('rna-muscle'!F:F,match($A62,'rna-muscle'!$A:$A,0)))</f>
        <v>H</v>
      </c>
      <c r="G62" s="11">
        <f t="array" ref="G62">iferror(index('rna-muscle'!G:G,match($A62,'rna-muscle'!$A:$A,0)))</f>
        <v>3</v>
      </c>
      <c r="H62" s="11" t="str">
        <f t="shared" si="4"/>
        <v>H3</v>
      </c>
      <c r="I62" s="10" t="str">
        <f t="shared" si="5"/>
        <v>BRN66G-H3</v>
      </c>
      <c r="J62" s="15"/>
      <c r="K62" s="16" t="str">
        <f t="shared" si="6"/>
        <v>collected</v>
      </c>
      <c r="L62" s="16" t="str">
        <f t="shared" si="7"/>
        <v>N</v>
      </c>
      <c r="M62" s="16"/>
      <c r="N62" s="16"/>
    </row>
    <row r="63">
      <c r="A63" s="6" t="s">
        <v>171</v>
      </c>
      <c r="B63" s="10" t="str">
        <f t="shared" si="1"/>
        <v>RNA-gill</v>
      </c>
      <c r="C63" s="10" t="str">
        <f t="shared" si="2"/>
        <v>BRN66G-G3</v>
      </c>
      <c r="D63" s="11">
        <f t="array" ref="D63">iferror(index('rna-muscle'!D:D,match(A63,'rna-muscle'!A:A,0)))</f>
        <v>66</v>
      </c>
      <c r="E63" s="10" t="str">
        <f t="shared" si="3"/>
        <v>BRN66G</v>
      </c>
      <c r="F63" s="11" t="str">
        <f t="array" ref="F63">iferror(index('rna-muscle'!F:F,match($A63,'rna-muscle'!$A:$A,0)))</f>
        <v>G</v>
      </c>
      <c r="G63" s="11">
        <f t="array" ref="G63">iferror(index('rna-muscle'!G:G,match($A63,'rna-muscle'!$A:$A,0)))</f>
        <v>3</v>
      </c>
      <c r="H63" s="11" t="str">
        <f t="shared" si="4"/>
        <v>G3</v>
      </c>
      <c r="I63" s="10" t="str">
        <f t="shared" si="5"/>
        <v>BRN66G-G3</v>
      </c>
      <c r="J63" s="15"/>
      <c r="K63" s="16" t="str">
        <f t="shared" si="6"/>
        <v>collected</v>
      </c>
      <c r="L63" s="16" t="str">
        <f t="shared" si="7"/>
        <v>N</v>
      </c>
      <c r="M63" s="16"/>
      <c r="N63" s="16"/>
    </row>
    <row r="64">
      <c r="A64" s="6" t="s">
        <v>173</v>
      </c>
      <c r="B64" s="10" t="str">
        <f t="shared" si="1"/>
        <v>RNA-gill</v>
      </c>
      <c r="C64" s="10" t="str">
        <f t="shared" si="2"/>
        <v>BRN66G-F3</v>
      </c>
      <c r="D64" s="11">
        <f t="array" ref="D64">iferror(index('rna-muscle'!D:D,match(A64,'rna-muscle'!A:A,0)))</f>
        <v>66</v>
      </c>
      <c r="E64" s="10" t="str">
        <f t="shared" si="3"/>
        <v>BRN66G</v>
      </c>
      <c r="F64" s="11" t="str">
        <f t="array" ref="F64">iferror(index('rna-muscle'!F:F,match($A64,'rna-muscle'!$A:$A,0)))</f>
        <v>F</v>
      </c>
      <c r="G64" s="11">
        <f t="array" ref="G64">iferror(index('rna-muscle'!G:G,match($A64,'rna-muscle'!$A:$A,0)))</f>
        <v>3</v>
      </c>
      <c r="H64" s="11" t="str">
        <f t="shared" si="4"/>
        <v>F3</v>
      </c>
      <c r="I64" s="10" t="str">
        <f t="shared" si="5"/>
        <v>BRN66G-F3</v>
      </c>
      <c r="J64" s="18" t="s">
        <v>174</v>
      </c>
      <c r="K64" s="16" t="str">
        <f t="shared" si="6"/>
        <v>collected</v>
      </c>
      <c r="L64" s="16" t="str">
        <f t="shared" si="7"/>
        <v>N</v>
      </c>
      <c r="M64" s="16"/>
      <c r="N64" s="16"/>
    </row>
    <row r="65">
      <c r="A65" s="6" t="s">
        <v>175</v>
      </c>
      <c r="B65" s="10" t="str">
        <f t="shared" si="1"/>
        <v>RNA-gill</v>
      </c>
      <c r="C65" s="10" t="str">
        <f t="shared" si="2"/>
        <v>BRN66G-E3</v>
      </c>
      <c r="D65" s="11">
        <f t="array" ref="D65">iferror(index('rna-muscle'!D:D,match(A65,'rna-muscle'!A:A,0)))</f>
        <v>66</v>
      </c>
      <c r="E65" s="10" t="str">
        <f t="shared" si="3"/>
        <v>BRN66G</v>
      </c>
      <c r="F65" s="11" t="str">
        <f t="array" ref="F65">iferror(index('rna-muscle'!F:F,match($A65,'rna-muscle'!$A:$A,0)))</f>
        <v>E</v>
      </c>
      <c r="G65" s="11">
        <f t="array" ref="G65">iferror(index('rna-muscle'!G:G,match($A65,'rna-muscle'!$A:$A,0)))</f>
        <v>3</v>
      </c>
      <c r="H65" s="11" t="str">
        <f t="shared" si="4"/>
        <v>E3</v>
      </c>
      <c r="I65" s="10" t="str">
        <f t="shared" si="5"/>
        <v>BRN66G-E3</v>
      </c>
      <c r="J65" s="15"/>
      <c r="K65" s="16" t="str">
        <f t="shared" si="6"/>
        <v>collected</v>
      </c>
      <c r="L65" s="16" t="str">
        <f t="shared" si="7"/>
        <v>N</v>
      </c>
      <c r="M65" s="16"/>
      <c r="N65" s="16"/>
    </row>
    <row r="66">
      <c r="A66" s="6" t="s">
        <v>177</v>
      </c>
      <c r="B66" s="10" t="str">
        <f t="shared" si="1"/>
        <v>RNA-gill</v>
      </c>
      <c r="C66" s="10" t="str">
        <f t="shared" si="2"/>
        <v>BRN66G-D3</v>
      </c>
      <c r="D66" s="11">
        <f t="array" ref="D66">iferror(index('rna-muscle'!D:D,match(A66,'rna-muscle'!A:A,0)))</f>
        <v>66</v>
      </c>
      <c r="E66" s="10" t="str">
        <f t="shared" si="3"/>
        <v>BRN66G</v>
      </c>
      <c r="F66" s="11" t="str">
        <f t="array" ref="F66">iferror(index('rna-muscle'!F:F,match($A66,'rna-muscle'!$A:$A,0)))</f>
        <v>D</v>
      </c>
      <c r="G66" s="11">
        <f t="array" ref="G66">iferror(index('rna-muscle'!G:G,match($A66,'rna-muscle'!$A:$A,0)))</f>
        <v>3</v>
      </c>
      <c r="H66" s="11" t="str">
        <f t="shared" si="4"/>
        <v>D3</v>
      </c>
      <c r="I66" s="10" t="str">
        <f t="shared" si="5"/>
        <v>BRN66G-D3</v>
      </c>
      <c r="J66" s="15"/>
      <c r="K66" s="16" t="str">
        <f t="shared" si="6"/>
        <v>collected</v>
      </c>
      <c r="L66" s="16" t="str">
        <f t="shared" si="7"/>
        <v>N</v>
      </c>
      <c r="M66" s="16"/>
      <c r="N66" s="16"/>
    </row>
    <row r="67">
      <c r="A67" s="6" t="s">
        <v>179</v>
      </c>
      <c r="B67" s="10" t="str">
        <f t="shared" si="1"/>
        <v>RNA-gill</v>
      </c>
      <c r="C67" s="10" t="str">
        <f t="shared" si="2"/>
        <v>BRN66G-C3</v>
      </c>
      <c r="D67" s="11">
        <f t="array" ref="D67">iferror(index('rna-muscle'!D:D,match(A67,'rna-muscle'!A:A,0)))</f>
        <v>66</v>
      </c>
      <c r="E67" s="10" t="str">
        <f t="shared" si="3"/>
        <v>BRN66G</v>
      </c>
      <c r="F67" s="11" t="str">
        <f t="array" ref="F67">iferror(index('rna-muscle'!F:F,match($A67,'rna-muscle'!$A:$A,0)))</f>
        <v>C</v>
      </c>
      <c r="G67" s="11">
        <f t="array" ref="G67">iferror(index('rna-muscle'!G:G,match($A67,'rna-muscle'!$A:$A,0)))</f>
        <v>3</v>
      </c>
      <c r="H67" s="11" t="str">
        <f t="shared" si="4"/>
        <v>C3</v>
      </c>
      <c r="I67" s="10" t="str">
        <f t="shared" si="5"/>
        <v>BRN66G-C3</v>
      </c>
      <c r="J67" s="15"/>
      <c r="K67" s="16" t="str">
        <f t="shared" si="6"/>
        <v>collected</v>
      </c>
      <c r="L67" s="16" t="str">
        <f t="shared" si="7"/>
        <v>N</v>
      </c>
      <c r="M67" s="16"/>
      <c r="N67" s="16"/>
    </row>
    <row r="68">
      <c r="A68" s="6" t="s">
        <v>180</v>
      </c>
      <c r="B68" s="10" t="str">
        <f t="shared" si="1"/>
        <v>RNA-gill</v>
      </c>
      <c r="C68" s="10" t="str">
        <f t="shared" si="2"/>
        <v>BRN66G-B3</v>
      </c>
      <c r="D68" s="11">
        <f t="array" ref="D68">iferror(index('rna-muscle'!D:D,match(A68,'rna-muscle'!A:A,0)))</f>
        <v>66</v>
      </c>
      <c r="E68" s="10" t="str">
        <f t="shared" si="3"/>
        <v>BRN66G</v>
      </c>
      <c r="F68" s="11" t="str">
        <f t="array" ref="F68">iferror(index('rna-muscle'!F:F,match($A68,'rna-muscle'!$A:$A,0)))</f>
        <v>B</v>
      </c>
      <c r="G68" s="11">
        <f t="array" ref="G68">iferror(index('rna-muscle'!G:G,match($A68,'rna-muscle'!$A:$A,0)))</f>
        <v>3</v>
      </c>
      <c r="H68" s="11" t="str">
        <f t="shared" si="4"/>
        <v>B3</v>
      </c>
      <c r="I68" s="10" t="str">
        <f t="shared" si="5"/>
        <v>BRN66G-B3</v>
      </c>
      <c r="J68" s="18" t="s">
        <v>183</v>
      </c>
      <c r="K68" s="16" t="str">
        <f t="shared" si="6"/>
        <v>collected</v>
      </c>
      <c r="L68" s="16" t="str">
        <f t="shared" si="7"/>
        <v>N</v>
      </c>
      <c r="M68" s="16"/>
      <c r="N68" s="16"/>
    </row>
    <row r="69">
      <c r="A69" s="6" t="s">
        <v>184</v>
      </c>
      <c r="B69" s="10" t="str">
        <f t="shared" si="1"/>
        <v>RNA-gill</v>
      </c>
      <c r="C69" s="10" t="str">
        <f t="shared" si="2"/>
        <v>BRN66G-A3</v>
      </c>
      <c r="D69" s="11">
        <f t="array" ref="D69">iferror(index('rna-muscle'!D:D,match(A69,'rna-muscle'!A:A,0)))</f>
        <v>66</v>
      </c>
      <c r="E69" s="10" t="str">
        <f t="shared" si="3"/>
        <v>BRN66G</v>
      </c>
      <c r="F69" s="11" t="str">
        <f t="array" ref="F69">iferror(index('rna-muscle'!F:F,match($A69,'rna-muscle'!$A:$A,0)))</f>
        <v>A</v>
      </c>
      <c r="G69" s="11">
        <f t="array" ref="G69">iferror(index('rna-muscle'!G:G,match($A69,'rna-muscle'!$A:$A,0)))</f>
        <v>3</v>
      </c>
      <c r="H69" s="11" t="str">
        <f t="shared" si="4"/>
        <v>A3</v>
      </c>
      <c r="I69" s="10" t="str">
        <f t="shared" si="5"/>
        <v>BRN66G-A3</v>
      </c>
      <c r="J69" s="15"/>
      <c r="K69" s="16" t="str">
        <f t="shared" si="6"/>
        <v>collected</v>
      </c>
      <c r="L69" s="16" t="str">
        <f t="shared" si="7"/>
        <v>N</v>
      </c>
      <c r="M69" s="16"/>
      <c r="N69" s="16"/>
    </row>
    <row r="70">
      <c r="A70" s="6" t="s">
        <v>185</v>
      </c>
      <c r="B70" s="10" t="str">
        <f t="shared" si="1"/>
        <v>RNA-gill</v>
      </c>
      <c r="C70" s="10" t="str">
        <f t="shared" si="2"/>
        <v>BRN66G-H5</v>
      </c>
      <c r="D70" s="11">
        <f t="array" ref="D70">iferror(index('rna-muscle'!D:D,match(A70,'rna-muscle'!A:A,0)))</f>
        <v>66</v>
      </c>
      <c r="E70" s="10" t="str">
        <f t="shared" si="3"/>
        <v>BRN66G</v>
      </c>
      <c r="F70" s="11" t="str">
        <f t="array" ref="F70">iferror(index('rna-muscle'!F:F,match($A70,'rna-muscle'!$A:$A,0)))</f>
        <v>H</v>
      </c>
      <c r="G70" s="11">
        <f t="array" ref="G70">iferror(index('rna-muscle'!G:G,match($A70,'rna-muscle'!$A:$A,0)))</f>
        <v>5</v>
      </c>
      <c r="H70" s="11" t="str">
        <f t="shared" si="4"/>
        <v>H5</v>
      </c>
      <c r="I70" s="10" t="str">
        <f t="shared" si="5"/>
        <v>BRN66G-H5</v>
      </c>
      <c r="J70" s="15"/>
      <c r="K70" s="16" t="str">
        <f t="shared" si="6"/>
        <v>collected</v>
      </c>
      <c r="L70" s="16" t="str">
        <f t="shared" si="7"/>
        <v>N</v>
      </c>
      <c r="M70" s="16"/>
      <c r="N70" s="16"/>
    </row>
    <row r="71">
      <c r="A71" s="6" t="s">
        <v>187</v>
      </c>
      <c r="B71" s="10" t="str">
        <f t="shared" si="1"/>
        <v>RNA-gill</v>
      </c>
      <c r="C71" s="10" t="str">
        <f t="shared" si="2"/>
        <v>BRN66G-G5</v>
      </c>
      <c r="D71" s="11">
        <f t="array" ref="D71">iferror(index('rna-muscle'!D:D,match(A71,'rna-muscle'!A:A,0)))</f>
        <v>66</v>
      </c>
      <c r="E71" s="10" t="str">
        <f t="shared" si="3"/>
        <v>BRN66G</v>
      </c>
      <c r="F71" s="11" t="str">
        <f t="array" ref="F71">iferror(index('rna-muscle'!F:F,match($A71,'rna-muscle'!$A:$A,0)))</f>
        <v>G</v>
      </c>
      <c r="G71" s="11">
        <f t="array" ref="G71">iferror(index('rna-muscle'!G:G,match($A71,'rna-muscle'!$A:$A,0)))</f>
        <v>5</v>
      </c>
      <c r="H71" s="11" t="str">
        <f t="shared" si="4"/>
        <v>G5</v>
      </c>
      <c r="I71" s="10" t="str">
        <f t="shared" si="5"/>
        <v>BRN66G-G5</v>
      </c>
      <c r="J71" s="15"/>
      <c r="K71" s="16" t="str">
        <f t="shared" si="6"/>
        <v>collected</v>
      </c>
      <c r="L71" s="16" t="str">
        <f t="shared" si="7"/>
        <v>N</v>
      </c>
      <c r="M71" s="16"/>
      <c r="N71" s="16"/>
    </row>
    <row r="72">
      <c r="A72" s="6" t="s">
        <v>189</v>
      </c>
      <c r="B72" s="10" t="str">
        <f t="shared" si="1"/>
        <v>RNA-gill</v>
      </c>
      <c r="C72" s="10" t="str">
        <f t="shared" si="2"/>
        <v>BRN66G-F5</v>
      </c>
      <c r="D72" s="11">
        <f t="array" ref="D72">iferror(index('rna-muscle'!D:D,match(A72,'rna-muscle'!A:A,0)))</f>
        <v>66</v>
      </c>
      <c r="E72" s="10" t="str">
        <f t="shared" si="3"/>
        <v>BRN66G</v>
      </c>
      <c r="F72" s="11" t="str">
        <f t="array" ref="F72">iferror(index('rna-muscle'!F:F,match($A72,'rna-muscle'!$A:$A,0)))</f>
        <v>F</v>
      </c>
      <c r="G72" s="11">
        <f t="array" ref="G72">iferror(index('rna-muscle'!G:G,match($A72,'rna-muscle'!$A:$A,0)))</f>
        <v>5</v>
      </c>
      <c r="H72" s="11" t="str">
        <f t="shared" si="4"/>
        <v>F5</v>
      </c>
      <c r="I72" s="10" t="str">
        <f t="shared" si="5"/>
        <v>BRN66G-F5</v>
      </c>
      <c r="J72" s="15"/>
      <c r="K72" s="16" t="str">
        <f t="shared" si="6"/>
        <v>collected</v>
      </c>
      <c r="L72" s="16" t="str">
        <f t="shared" si="7"/>
        <v>N</v>
      </c>
      <c r="M72" s="16"/>
      <c r="N72" s="16"/>
    </row>
    <row r="73">
      <c r="A73" s="6" t="s">
        <v>191</v>
      </c>
      <c r="B73" s="10" t="str">
        <f t="shared" si="1"/>
        <v>RNA-gill</v>
      </c>
      <c r="C73" s="10" t="str">
        <f t="shared" si="2"/>
        <v>BRN66G-E5</v>
      </c>
      <c r="D73" s="11">
        <f t="array" ref="D73">iferror(index('rna-muscle'!D:D,match(A73,'rna-muscle'!A:A,0)))</f>
        <v>66</v>
      </c>
      <c r="E73" s="10" t="str">
        <f t="shared" si="3"/>
        <v>BRN66G</v>
      </c>
      <c r="F73" s="11" t="str">
        <f t="array" ref="F73">iferror(index('rna-muscle'!F:F,match($A73,'rna-muscle'!$A:$A,0)))</f>
        <v>E</v>
      </c>
      <c r="G73" s="11">
        <f t="array" ref="G73">iferror(index('rna-muscle'!G:G,match($A73,'rna-muscle'!$A:$A,0)))</f>
        <v>5</v>
      </c>
      <c r="H73" s="11" t="str">
        <f t="shared" si="4"/>
        <v>E5</v>
      </c>
      <c r="I73" s="10" t="str">
        <f t="shared" si="5"/>
        <v>BRN66G-E5</v>
      </c>
      <c r="J73" s="15"/>
      <c r="K73" s="16" t="str">
        <f t="shared" si="6"/>
        <v>collected</v>
      </c>
      <c r="L73" s="16" t="str">
        <f t="shared" si="7"/>
        <v>N</v>
      </c>
      <c r="M73" s="16"/>
      <c r="N73" s="16"/>
    </row>
    <row r="74">
      <c r="A74" s="6" t="s">
        <v>194</v>
      </c>
      <c r="B74" s="10" t="str">
        <f t="shared" si="1"/>
        <v>RNA-gill</v>
      </c>
      <c r="C74" s="10" t="str">
        <f t="shared" si="2"/>
        <v>BRN66G-D5</v>
      </c>
      <c r="D74" s="11">
        <f t="array" ref="D74">iferror(index('rna-muscle'!D:D,match(A74,'rna-muscle'!A:A,0)))</f>
        <v>66</v>
      </c>
      <c r="E74" s="10" t="str">
        <f t="shared" si="3"/>
        <v>BRN66G</v>
      </c>
      <c r="F74" s="11" t="str">
        <f t="array" ref="F74">iferror(index('rna-muscle'!F:F,match($A74,'rna-muscle'!$A:$A,0)))</f>
        <v>D</v>
      </c>
      <c r="G74" s="11">
        <f t="array" ref="G74">iferror(index('rna-muscle'!G:G,match($A74,'rna-muscle'!$A:$A,0)))</f>
        <v>5</v>
      </c>
      <c r="H74" s="11" t="str">
        <f t="shared" si="4"/>
        <v>D5</v>
      </c>
      <c r="I74" s="10" t="str">
        <f t="shared" si="5"/>
        <v>BRN66G-D5</v>
      </c>
      <c r="J74" s="15"/>
      <c r="K74" s="16" t="str">
        <f t="shared" si="6"/>
        <v>collected</v>
      </c>
      <c r="L74" s="16" t="str">
        <f t="shared" si="7"/>
        <v>N</v>
      </c>
      <c r="M74" s="16"/>
      <c r="N74" s="16"/>
    </row>
    <row r="75">
      <c r="A75" s="6" t="s">
        <v>195</v>
      </c>
      <c r="B75" s="10" t="str">
        <f t="shared" si="1"/>
        <v>RNA-gill</v>
      </c>
      <c r="C75" s="10" t="str">
        <f t="shared" si="2"/>
        <v>BRN66G-C5</v>
      </c>
      <c r="D75" s="11">
        <f t="array" ref="D75">iferror(index('rna-muscle'!D:D,match(A75,'rna-muscle'!A:A,0)))</f>
        <v>66</v>
      </c>
      <c r="E75" s="10" t="str">
        <f t="shared" si="3"/>
        <v>BRN66G</v>
      </c>
      <c r="F75" s="11" t="str">
        <f t="array" ref="F75">iferror(index('rna-muscle'!F:F,match($A75,'rna-muscle'!$A:$A,0)))</f>
        <v>C</v>
      </c>
      <c r="G75" s="11">
        <f t="array" ref="G75">iferror(index('rna-muscle'!G:G,match($A75,'rna-muscle'!$A:$A,0)))</f>
        <v>5</v>
      </c>
      <c r="H75" s="11" t="str">
        <f t="shared" si="4"/>
        <v>C5</v>
      </c>
      <c r="I75" s="10" t="str">
        <f t="shared" si="5"/>
        <v>BRN66G-C5</v>
      </c>
      <c r="J75" s="15"/>
      <c r="K75" s="16" t="str">
        <f t="shared" si="6"/>
        <v>collected</v>
      </c>
      <c r="L75" s="16" t="str">
        <f t="shared" si="7"/>
        <v>N</v>
      </c>
      <c r="M75" s="16"/>
      <c r="N75" s="16"/>
    </row>
    <row r="76">
      <c r="A76" s="6" t="s">
        <v>196</v>
      </c>
      <c r="B76" s="10" t="str">
        <f t="shared" si="1"/>
        <v>RNA-gill</v>
      </c>
      <c r="C76" s="10" t="str">
        <f t="shared" si="2"/>
        <v>BRN66G-B5</v>
      </c>
      <c r="D76" s="11">
        <f t="array" ref="D76">iferror(index('rna-muscle'!D:D,match(A76,'rna-muscle'!A:A,0)))</f>
        <v>66</v>
      </c>
      <c r="E76" s="10" t="str">
        <f t="shared" si="3"/>
        <v>BRN66G</v>
      </c>
      <c r="F76" s="11" t="str">
        <f t="array" ref="F76">iferror(index('rna-muscle'!F:F,match($A76,'rna-muscle'!$A:$A,0)))</f>
        <v>B</v>
      </c>
      <c r="G76" s="11">
        <f t="array" ref="G76">iferror(index('rna-muscle'!G:G,match($A76,'rna-muscle'!$A:$A,0)))</f>
        <v>5</v>
      </c>
      <c r="H76" s="11" t="str">
        <f t="shared" si="4"/>
        <v>B5</v>
      </c>
      <c r="I76" s="10" t="str">
        <f t="shared" si="5"/>
        <v>BRN66G-B5</v>
      </c>
      <c r="J76" s="15"/>
      <c r="K76" s="16" t="str">
        <f t="shared" si="6"/>
        <v>collected</v>
      </c>
      <c r="L76" s="16" t="str">
        <f t="shared" si="7"/>
        <v>N</v>
      </c>
      <c r="M76" s="16"/>
      <c r="N76" s="16"/>
    </row>
    <row r="77">
      <c r="A77" s="6" t="s">
        <v>198</v>
      </c>
      <c r="B77" s="10" t="str">
        <f t="shared" si="1"/>
        <v>RNA-gill</v>
      </c>
      <c r="C77" s="10" t="str">
        <f t="shared" si="2"/>
        <v>BRN66G-A5</v>
      </c>
      <c r="D77" s="11">
        <f t="array" ref="D77">iferror(index('rna-muscle'!D:D,match(A77,'rna-muscle'!A:A,0)))</f>
        <v>66</v>
      </c>
      <c r="E77" s="10" t="str">
        <f t="shared" si="3"/>
        <v>BRN66G</v>
      </c>
      <c r="F77" s="11" t="str">
        <f t="array" ref="F77">iferror(index('rna-muscle'!F:F,match($A77,'rna-muscle'!$A:$A,0)))</f>
        <v>A</v>
      </c>
      <c r="G77" s="11">
        <f t="array" ref="G77">iferror(index('rna-muscle'!G:G,match($A77,'rna-muscle'!$A:$A,0)))</f>
        <v>5</v>
      </c>
      <c r="H77" s="11" t="str">
        <f t="shared" si="4"/>
        <v>A5</v>
      </c>
      <c r="I77" s="10" t="str">
        <f t="shared" si="5"/>
        <v>BRN66G-A5</v>
      </c>
      <c r="J77" s="15"/>
      <c r="K77" s="16" t="str">
        <f t="shared" si="6"/>
        <v>collected</v>
      </c>
      <c r="L77" s="16" t="str">
        <f t="shared" si="7"/>
        <v>N</v>
      </c>
      <c r="M77" s="16"/>
      <c r="N77" s="16"/>
    </row>
    <row r="78">
      <c r="A78" s="6" t="s">
        <v>199</v>
      </c>
      <c r="B78" s="10" t="str">
        <f t="shared" si="1"/>
        <v>RNA-gill</v>
      </c>
      <c r="C78" s="10" t="str">
        <f t="shared" si="2"/>
        <v>BRN66G-C6</v>
      </c>
      <c r="D78" s="11">
        <f t="array" ref="D78">iferror(index('rna-muscle'!D:D,match(A78,'rna-muscle'!A:A,0)))</f>
        <v>66</v>
      </c>
      <c r="E78" s="10" t="str">
        <f t="shared" si="3"/>
        <v>BRN66G</v>
      </c>
      <c r="F78" s="11" t="str">
        <f t="array" ref="F78">iferror(index('rna-muscle'!F:F,match($A78,'rna-muscle'!$A:$A,0)))</f>
        <v>C</v>
      </c>
      <c r="G78" s="11">
        <f t="array" ref="G78">iferror(index('rna-muscle'!G:G,match($A78,'rna-muscle'!$A:$A,0)))</f>
        <v>6</v>
      </c>
      <c r="H78" s="11" t="str">
        <f t="shared" si="4"/>
        <v>C6</v>
      </c>
      <c r="I78" s="10" t="str">
        <f t="shared" si="5"/>
        <v>BRN66G-C6</v>
      </c>
      <c r="J78" s="16"/>
      <c r="K78" s="16" t="str">
        <f t="shared" si="6"/>
        <v>collected</v>
      </c>
      <c r="L78" s="16" t="str">
        <f t="shared" si="7"/>
        <v>N</v>
      </c>
      <c r="M78" s="16"/>
      <c r="N78" s="16"/>
    </row>
    <row r="79">
      <c r="A79" s="6" t="s">
        <v>202</v>
      </c>
      <c r="B79" s="10" t="str">
        <f t="shared" si="1"/>
        <v>RNA-gill</v>
      </c>
      <c r="C79" s="10" t="str">
        <f t="shared" si="2"/>
        <v>BRN66G-B6</v>
      </c>
      <c r="D79" s="11">
        <f t="array" ref="D79">iferror(index('rna-muscle'!D:D,match(A79,'rna-muscle'!A:A,0)))</f>
        <v>66</v>
      </c>
      <c r="E79" s="10" t="str">
        <f t="shared" si="3"/>
        <v>BRN66G</v>
      </c>
      <c r="F79" s="11" t="str">
        <f t="array" ref="F79">iferror(index('rna-muscle'!F:F,match($A79,'rna-muscle'!$A:$A,0)))</f>
        <v>B</v>
      </c>
      <c r="G79" s="11">
        <f t="array" ref="G79">iferror(index('rna-muscle'!G:G,match($A79,'rna-muscle'!$A:$A,0)))</f>
        <v>6</v>
      </c>
      <c r="H79" s="11" t="str">
        <f t="shared" si="4"/>
        <v>B6</v>
      </c>
      <c r="I79" s="10" t="str">
        <f t="shared" si="5"/>
        <v>BRN66G-B6</v>
      </c>
      <c r="J79" s="16"/>
      <c r="K79" s="16" t="str">
        <f t="shared" si="6"/>
        <v>collected</v>
      </c>
      <c r="L79" s="16" t="str">
        <f t="shared" si="7"/>
        <v>N</v>
      </c>
      <c r="M79" s="16"/>
      <c r="N79" s="16"/>
    </row>
    <row r="80">
      <c r="A80" s="6" t="s">
        <v>204</v>
      </c>
      <c r="B80" s="10" t="str">
        <f t="shared" si="1"/>
        <v>RNA-gill</v>
      </c>
      <c r="C80" s="10" t="str">
        <f t="shared" si="2"/>
        <v>BRN66G-A6</v>
      </c>
      <c r="D80" s="11">
        <f t="array" ref="D80">iferror(index('rna-muscle'!D:D,match(A80,'rna-muscle'!A:A,0)))</f>
        <v>66</v>
      </c>
      <c r="E80" s="10" t="str">
        <f t="shared" si="3"/>
        <v>BRN66G</v>
      </c>
      <c r="F80" s="11" t="str">
        <f t="array" ref="F80">iferror(index('rna-muscle'!F:F,match($A80,'rna-muscle'!$A:$A,0)))</f>
        <v>A</v>
      </c>
      <c r="G80" s="11">
        <f t="array" ref="G80">iferror(index('rna-muscle'!G:G,match($A80,'rna-muscle'!$A:$A,0)))</f>
        <v>6</v>
      </c>
      <c r="H80" s="11" t="str">
        <f t="shared" si="4"/>
        <v>A6</v>
      </c>
      <c r="I80" s="10" t="str">
        <f t="shared" si="5"/>
        <v>BRN66G-A6</v>
      </c>
      <c r="J80" s="16"/>
      <c r="K80" s="16" t="str">
        <f t="shared" si="6"/>
        <v>collected</v>
      </c>
      <c r="L80" s="16" t="str">
        <f t="shared" si="7"/>
        <v>N</v>
      </c>
      <c r="M80" s="16"/>
      <c r="N80" s="16"/>
    </row>
    <row r="81">
      <c r="A81" s="6" t="s">
        <v>205</v>
      </c>
      <c r="B81" s="10" t="str">
        <f t="shared" si="1"/>
        <v>RNA-gill</v>
      </c>
      <c r="C81" s="10" t="str">
        <f t="shared" si="2"/>
        <v>BRN66G-H7</v>
      </c>
      <c r="D81" s="11">
        <f t="array" ref="D81">iferror(index('rna-muscle'!D:D,match(A81,'rna-muscle'!A:A,0)))</f>
        <v>66</v>
      </c>
      <c r="E81" s="10" t="str">
        <f t="shared" si="3"/>
        <v>BRN66G</v>
      </c>
      <c r="F81" s="11" t="str">
        <f t="array" ref="F81">iferror(index('rna-muscle'!F:F,match($A81,'rna-muscle'!$A:$A,0)))</f>
        <v>H</v>
      </c>
      <c r="G81" s="11">
        <f t="array" ref="G81">iferror(index('rna-muscle'!G:G,match($A81,'rna-muscle'!$A:$A,0)))</f>
        <v>7</v>
      </c>
      <c r="H81" s="11" t="str">
        <f t="shared" si="4"/>
        <v>H7</v>
      </c>
      <c r="I81" s="10" t="str">
        <f t="shared" si="5"/>
        <v>BRN66G-H7</v>
      </c>
      <c r="J81" s="16"/>
      <c r="K81" s="16" t="str">
        <f t="shared" si="6"/>
        <v>collected</v>
      </c>
      <c r="L81" s="16" t="str">
        <f t="shared" si="7"/>
        <v>N</v>
      </c>
      <c r="M81" s="16"/>
      <c r="N81" s="16"/>
    </row>
    <row r="82">
      <c r="A82" s="25" t="s">
        <v>209</v>
      </c>
      <c r="B82" s="10" t="str">
        <f t="shared" si="1"/>
        <v>RNA-gill</v>
      </c>
      <c r="C82" s="10" t="str">
        <f t="shared" si="2"/>
        <v>BRN66G-G7</v>
      </c>
      <c r="D82" s="11">
        <f t="array" ref="D82">iferror(index('rna-muscle'!D:D,match(A82,'rna-muscle'!A:A,0)))</f>
        <v>66</v>
      </c>
      <c r="E82" s="10" t="str">
        <f t="shared" si="3"/>
        <v>BRN66G</v>
      </c>
      <c r="F82" s="11" t="str">
        <f t="array" ref="F82">iferror(index('rna-muscle'!F:F,match($A82,'rna-muscle'!$A:$A,0)))</f>
        <v>G</v>
      </c>
      <c r="G82" s="11">
        <f t="array" ref="G82">iferror(index('rna-muscle'!G:G,match($A82,'rna-muscle'!$A:$A,0)))</f>
        <v>7</v>
      </c>
      <c r="H82" s="11" t="str">
        <f t="shared" si="4"/>
        <v>G7</v>
      </c>
      <c r="I82" s="10" t="str">
        <f t="shared" si="5"/>
        <v>BRN66G-G7</v>
      </c>
      <c r="J82" s="16"/>
      <c r="K82" s="16" t="str">
        <f t="shared" si="6"/>
        <v>collected</v>
      </c>
      <c r="L82" s="16" t="str">
        <f t="shared" si="7"/>
        <v>N</v>
      </c>
      <c r="M82" s="16"/>
      <c r="N82" s="16"/>
    </row>
    <row r="83">
      <c r="A83" s="25" t="s">
        <v>210</v>
      </c>
      <c r="B83" s="10" t="str">
        <f t="shared" si="1"/>
        <v>RNA-gill</v>
      </c>
      <c r="C83" s="10" t="str">
        <f t="shared" si="2"/>
        <v>BRN66G-F7</v>
      </c>
      <c r="D83" s="11">
        <f t="array" ref="D83">iferror(index('rna-muscle'!D:D,match(A83,'rna-muscle'!A:A,0)))</f>
        <v>66</v>
      </c>
      <c r="E83" s="10" t="str">
        <f t="shared" si="3"/>
        <v>BRN66G</v>
      </c>
      <c r="F83" s="11" t="str">
        <f t="array" ref="F83">iferror(index('rna-muscle'!F:F,match($A83,'rna-muscle'!$A:$A,0)))</f>
        <v>F</v>
      </c>
      <c r="G83" s="11">
        <f t="array" ref="G83">iferror(index('rna-muscle'!G:G,match($A83,'rna-muscle'!$A:$A,0)))</f>
        <v>7</v>
      </c>
      <c r="H83" s="11" t="str">
        <f t="shared" si="4"/>
        <v>F7</v>
      </c>
      <c r="I83" s="10" t="str">
        <f t="shared" si="5"/>
        <v>BRN66G-F7</v>
      </c>
      <c r="J83" s="16"/>
      <c r="K83" s="16" t="str">
        <f t="shared" si="6"/>
        <v>collected</v>
      </c>
      <c r="L83" s="16" t="str">
        <f t="shared" si="7"/>
        <v>N</v>
      </c>
      <c r="M83" s="16"/>
      <c r="N83" s="16"/>
    </row>
    <row r="84">
      <c r="A84" s="25" t="s">
        <v>212</v>
      </c>
      <c r="B84" s="10" t="str">
        <f t="shared" si="1"/>
        <v>RNA-gill</v>
      </c>
      <c r="C84" s="10" t="str">
        <f t="shared" si="2"/>
        <v>BRN66G-E7</v>
      </c>
      <c r="D84" s="11">
        <f t="array" ref="D84">iferror(index('rna-muscle'!D:D,match(A84,'rna-muscle'!A:A,0)))</f>
        <v>66</v>
      </c>
      <c r="E84" s="10" t="str">
        <f t="shared" si="3"/>
        <v>BRN66G</v>
      </c>
      <c r="F84" s="11" t="str">
        <f t="array" ref="F84">iferror(index('rna-muscle'!F:F,match($A84,'rna-muscle'!$A:$A,0)))</f>
        <v>E</v>
      </c>
      <c r="G84" s="11">
        <f t="array" ref="G84">iferror(index('rna-muscle'!G:G,match($A84,'rna-muscle'!$A:$A,0)))</f>
        <v>7</v>
      </c>
      <c r="H84" s="11" t="str">
        <f t="shared" si="4"/>
        <v>E7</v>
      </c>
      <c r="I84" s="10" t="str">
        <f t="shared" si="5"/>
        <v>BRN66G-E7</v>
      </c>
      <c r="J84" s="16"/>
      <c r="K84" s="16" t="str">
        <f t="shared" si="6"/>
        <v>collected</v>
      </c>
      <c r="L84" s="16" t="str">
        <f t="shared" si="7"/>
        <v>N</v>
      </c>
      <c r="M84" s="16"/>
      <c r="N84" s="16"/>
    </row>
    <row r="85">
      <c r="A85" s="25" t="s">
        <v>215</v>
      </c>
      <c r="B85" s="10" t="str">
        <f t="shared" si="1"/>
        <v>RNA-gill</v>
      </c>
      <c r="C85" s="10" t="str">
        <f t="shared" si="2"/>
        <v>BRN66G-D7</v>
      </c>
      <c r="D85" s="11">
        <f t="array" ref="D85">iferror(index('rna-muscle'!D:D,match(A85,'rna-muscle'!A:A,0)))</f>
        <v>66</v>
      </c>
      <c r="E85" s="10" t="str">
        <f t="shared" si="3"/>
        <v>BRN66G</v>
      </c>
      <c r="F85" s="11" t="str">
        <f t="array" ref="F85">iferror(index('rna-muscle'!F:F,match($A85,'rna-muscle'!$A:$A,0)))</f>
        <v>D</v>
      </c>
      <c r="G85" s="11">
        <f t="array" ref="G85">iferror(index('rna-muscle'!G:G,match($A85,'rna-muscle'!$A:$A,0)))</f>
        <v>7</v>
      </c>
      <c r="H85" s="11" t="str">
        <f t="shared" si="4"/>
        <v>D7</v>
      </c>
      <c r="I85" s="10" t="str">
        <f t="shared" si="5"/>
        <v>BRN66G-D7</v>
      </c>
      <c r="J85" s="16"/>
      <c r="K85" s="16" t="str">
        <f t="shared" si="6"/>
        <v>collected</v>
      </c>
      <c r="L85" s="16" t="str">
        <f t="shared" si="7"/>
        <v>N</v>
      </c>
      <c r="M85" s="16"/>
      <c r="N85" s="16"/>
    </row>
    <row r="86">
      <c r="A86" s="25" t="s">
        <v>217</v>
      </c>
      <c r="B86" s="10" t="str">
        <f t="shared" si="1"/>
        <v>RNA-gill</v>
      </c>
      <c r="C86" s="10" t="str">
        <f t="shared" si="2"/>
        <v>BRN66G-C7</v>
      </c>
      <c r="D86" s="11">
        <f t="array" ref="D86">iferror(index('rna-muscle'!D:D,match(A86,'rna-muscle'!A:A,0)))</f>
        <v>66</v>
      </c>
      <c r="E86" s="10" t="str">
        <f t="shared" si="3"/>
        <v>BRN66G</v>
      </c>
      <c r="F86" s="11" t="str">
        <f t="array" ref="F86">iferror(index('rna-muscle'!F:F,match($A86,'rna-muscle'!$A:$A,0)))</f>
        <v>C</v>
      </c>
      <c r="G86" s="11">
        <f t="array" ref="G86">iferror(index('rna-muscle'!G:G,match($A86,'rna-muscle'!$A:$A,0)))</f>
        <v>7</v>
      </c>
      <c r="H86" s="11" t="str">
        <f t="shared" si="4"/>
        <v>C7</v>
      </c>
      <c r="I86" s="10" t="str">
        <f t="shared" si="5"/>
        <v>BRN66G-C7</v>
      </c>
      <c r="J86" s="6"/>
      <c r="K86" s="16" t="str">
        <f t="shared" si="6"/>
        <v>collected</v>
      </c>
      <c r="L86" s="16" t="str">
        <f t="shared" si="7"/>
        <v>N</v>
      </c>
      <c r="M86" s="16"/>
      <c r="N86" s="16"/>
    </row>
    <row r="87">
      <c r="A87" s="25" t="s">
        <v>220</v>
      </c>
      <c r="B87" s="10" t="str">
        <f t="shared" si="1"/>
        <v>RNA-gill</v>
      </c>
      <c r="C87" s="10" t="str">
        <f t="shared" si="2"/>
        <v>BRN66G-B7</v>
      </c>
      <c r="D87" s="11">
        <f t="array" ref="D87">iferror(index('rna-muscle'!D:D,match(A87,'rna-muscle'!A:A,0)))</f>
        <v>66</v>
      </c>
      <c r="E87" s="10" t="str">
        <f t="shared" si="3"/>
        <v>BRN66G</v>
      </c>
      <c r="F87" s="11" t="str">
        <f t="array" ref="F87">iferror(index('rna-muscle'!F:F,match($A87,'rna-muscle'!$A:$A,0)))</f>
        <v>B</v>
      </c>
      <c r="G87" s="11">
        <f t="array" ref="G87">iferror(index('rna-muscle'!G:G,match($A87,'rna-muscle'!$A:$A,0)))</f>
        <v>7</v>
      </c>
      <c r="H87" s="11" t="str">
        <f t="shared" si="4"/>
        <v>B7</v>
      </c>
      <c r="I87" s="10" t="str">
        <f t="shared" si="5"/>
        <v>BRN66G-B7</v>
      </c>
      <c r="J87" s="16"/>
      <c r="K87" s="16" t="str">
        <f t="shared" si="6"/>
        <v>collected</v>
      </c>
      <c r="L87" s="16" t="str">
        <f t="shared" si="7"/>
        <v>N</v>
      </c>
      <c r="M87" s="16"/>
      <c r="N87" s="16"/>
    </row>
    <row r="88">
      <c r="A88" s="25" t="s">
        <v>222</v>
      </c>
      <c r="B88" s="10" t="str">
        <f t="shared" si="1"/>
        <v>RNA-gill</v>
      </c>
      <c r="C88" s="10" t="str">
        <f t="shared" si="2"/>
        <v>BRN66G-A7</v>
      </c>
      <c r="D88" s="11">
        <f t="array" ref="D88">iferror(index('rna-muscle'!D:D,match(A88,'rna-muscle'!A:A,0)))</f>
        <v>66</v>
      </c>
      <c r="E88" s="10" t="str">
        <f t="shared" si="3"/>
        <v>BRN66G</v>
      </c>
      <c r="F88" s="11" t="str">
        <f t="array" ref="F88">iferror(index('rna-muscle'!F:F,match($A88,'rna-muscle'!$A:$A,0)))</f>
        <v>A</v>
      </c>
      <c r="G88" s="11">
        <f t="array" ref="G88">iferror(index('rna-muscle'!G:G,match($A88,'rna-muscle'!$A:$A,0)))</f>
        <v>7</v>
      </c>
      <c r="H88" s="11" t="str">
        <f t="shared" si="4"/>
        <v>A7</v>
      </c>
      <c r="I88" s="10" t="str">
        <f t="shared" si="5"/>
        <v>BRN66G-A7</v>
      </c>
      <c r="J88" s="16"/>
      <c r="K88" s="16" t="str">
        <f t="shared" si="6"/>
        <v>collected</v>
      </c>
      <c r="L88" s="16" t="str">
        <f t="shared" si="7"/>
        <v>N</v>
      </c>
      <c r="M88" s="16"/>
      <c r="N88" s="16"/>
    </row>
    <row r="89">
      <c r="A89" s="25" t="s">
        <v>225</v>
      </c>
      <c r="B89" s="10" t="str">
        <f t="shared" si="1"/>
        <v>RNA-gill</v>
      </c>
      <c r="C89" s="10" t="str">
        <f t="shared" si="2"/>
        <v>BRN66G-H8</v>
      </c>
      <c r="D89" s="11">
        <f t="array" ref="D89">iferror(index('rna-muscle'!D:D,match(A89,'rna-muscle'!A:A,0)))</f>
        <v>66</v>
      </c>
      <c r="E89" s="10" t="str">
        <f t="shared" si="3"/>
        <v>BRN66G</v>
      </c>
      <c r="F89" s="11" t="str">
        <f t="array" ref="F89">iferror(index('rna-muscle'!F:F,match($A89,'rna-muscle'!$A:$A,0)))</f>
        <v>H</v>
      </c>
      <c r="G89" s="11">
        <f t="array" ref="G89">iferror(index('rna-muscle'!G:G,match($A89,'rna-muscle'!$A:$A,0)))</f>
        <v>8</v>
      </c>
      <c r="H89" s="11" t="str">
        <f t="shared" si="4"/>
        <v>H8</v>
      </c>
      <c r="I89" s="10" t="str">
        <f t="shared" si="5"/>
        <v>BRN66G-H8</v>
      </c>
      <c r="J89" s="16"/>
      <c r="K89" s="16" t="str">
        <f t="shared" si="6"/>
        <v>collected</v>
      </c>
      <c r="L89" s="16" t="str">
        <f t="shared" si="7"/>
        <v>N</v>
      </c>
      <c r="M89" s="16"/>
      <c r="N89" s="16"/>
    </row>
    <row r="90">
      <c r="A90" s="25" t="s">
        <v>226</v>
      </c>
      <c r="B90" s="10" t="str">
        <f t="shared" si="1"/>
        <v>RNA-gill</v>
      </c>
      <c r="C90" s="10" t="str">
        <f t="shared" si="2"/>
        <v>BRN66G-G8</v>
      </c>
      <c r="D90" s="11">
        <f t="array" ref="D90">iferror(index('rna-muscle'!D:D,match(A90,'rna-muscle'!A:A,0)))</f>
        <v>66</v>
      </c>
      <c r="E90" s="10" t="str">
        <f t="shared" si="3"/>
        <v>BRN66G</v>
      </c>
      <c r="F90" s="11" t="str">
        <f t="array" ref="F90">iferror(index('rna-muscle'!F:F,match($A90,'rna-muscle'!$A:$A,0)))</f>
        <v>G</v>
      </c>
      <c r="G90" s="11">
        <f t="array" ref="G90">iferror(index('rna-muscle'!G:G,match($A90,'rna-muscle'!$A:$A,0)))</f>
        <v>8</v>
      </c>
      <c r="H90" s="11" t="str">
        <f t="shared" si="4"/>
        <v>G8</v>
      </c>
      <c r="I90" s="10" t="str">
        <f t="shared" si="5"/>
        <v>BRN66G-G8</v>
      </c>
      <c r="J90" s="6"/>
      <c r="K90" s="16" t="str">
        <f t="shared" si="6"/>
        <v>collected</v>
      </c>
      <c r="L90" s="16" t="str">
        <f t="shared" si="7"/>
        <v>N</v>
      </c>
      <c r="M90" s="16"/>
      <c r="N90" s="16"/>
    </row>
    <row r="91">
      <c r="A91" s="25" t="s">
        <v>228</v>
      </c>
      <c r="B91" s="10" t="str">
        <f t="shared" si="1"/>
        <v>RNA-gill</v>
      </c>
      <c r="C91" s="10" t="str">
        <f t="shared" si="2"/>
        <v>BRN66G-F8</v>
      </c>
      <c r="D91" s="11">
        <f t="array" ref="D91">iferror(index('rna-muscle'!D:D,match(A91,'rna-muscle'!A:A,0)))</f>
        <v>66</v>
      </c>
      <c r="E91" s="10" t="str">
        <f t="shared" si="3"/>
        <v>BRN66G</v>
      </c>
      <c r="F91" s="11" t="str">
        <f t="array" ref="F91">iferror(index('rna-muscle'!F:F,match($A91,'rna-muscle'!$A:$A,0)))</f>
        <v>F</v>
      </c>
      <c r="G91" s="11">
        <f t="array" ref="G91">iferror(index('rna-muscle'!G:G,match($A91,'rna-muscle'!$A:$A,0)))</f>
        <v>8</v>
      </c>
      <c r="H91" s="11" t="str">
        <f t="shared" si="4"/>
        <v>F8</v>
      </c>
      <c r="I91" s="10" t="str">
        <f t="shared" si="5"/>
        <v>BRN66G-F8</v>
      </c>
      <c r="J91" s="6"/>
      <c r="K91" s="16" t="str">
        <f t="shared" si="6"/>
        <v>collected</v>
      </c>
      <c r="L91" s="16" t="str">
        <f t="shared" si="7"/>
        <v>N</v>
      </c>
      <c r="M91" s="16"/>
      <c r="N91" s="16"/>
    </row>
    <row r="92">
      <c r="A92" s="25" t="s">
        <v>230</v>
      </c>
      <c r="B92" s="10" t="str">
        <f t="shared" si="1"/>
        <v>RNA-gill</v>
      </c>
      <c r="C92" s="10" t="str">
        <f t="shared" si="2"/>
        <v>BRN66G-E8</v>
      </c>
      <c r="D92" s="11">
        <f t="array" ref="D92">iferror(index('rna-muscle'!D:D,match(A92,'rna-muscle'!A:A,0)))</f>
        <v>66</v>
      </c>
      <c r="E92" s="10" t="str">
        <f t="shared" si="3"/>
        <v>BRN66G</v>
      </c>
      <c r="F92" s="11" t="str">
        <f t="array" ref="F92">iferror(index('rna-muscle'!F:F,match($A92,'rna-muscle'!$A:$A,0)))</f>
        <v>E</v>
      </c>
      <c r="G92" s="11">
        <f t="array" ref="G92">iferror(index('rna-muscle'!G:G,match($A92,'rna-muscle'!$A:$A,0)))</f>
        <v>8</v>
      </c>
      <c r="H92" s="11" t="str">
        <f t="shared" si="4"/>
        <v>E8</v>
      </c>
      <c r="I92" s="10" t="str">
        <f t="shared" si="5"/>
        <v>BRN66G-E8</v>
      </c>
      <c r="J92" s="6"/>
      <c r="K92" s="16" t="str">
        <f t="shared" si="6"/>
        <v>collected</v>
      </c>
      <c r="L92" s="16" t="str">
        <f t="shared" si="7"/>
        <v>N</v>
      </c>
      <c r="M92" s="16"/>
      <c r="N92" s="16"/>
    </row>
    <row r="93">
      <c r="A93" s="25" t="s">
        <v>232</v>
      </c>
      <c r="B93" s="10" t="str">
        <f t="shared" si="1"/>
        <v>RNA-gill</v>
      </c>
      <c r="C93" s="10" t="str">
        <f t="shared" si="2"/>
        <v>BRN66G-D8</v>
      </c>
      <c r="D93" s="11">
        <f t="array" ref="D93">iferror(index('rna-muscle'!D:D,match(A93,'rna-muscle'!A:A,0)))</f>
        <v>66</v>
      </c>
      <c r="E93" s="10" t="str">
        <f t="shared" si="3"/>
        <v>BRN66G</v>
      </c>
      <c r="F93" s="11" t="str">
        <f t="array" ref="F93">iferror(index('rna-muscle'!F:F,match($A93,'rna-muscle'!$A:$A,0)))</f>
        <v>D</v>
      </c>
      <c r="G93" s="11">
        <f t="array" ref="G93">iferror(index('rna-muscle'!G:G,match($A93,'rna-muscle'!$A:$A,0)))</f>
        <v>8</v>
      </c>
      <c r="H93" s="11" t="str">
        <f t="shared" si="4"/>
        <v>D8</v>
      </c>
      <c r="I93" s="10" t="str">
        <f t="shared" si="5"/>
        <v>BRN66G-D8</v>
      </c>
      <c r="J93" s="16"/>
      <c r="K93" s="16" t="str">
        <f t="shared" si="6"/>
        <v>collected</v>
      </c>
      <c r="L93" s="16" t="str">
        <f t="shared" si="7"/>
        <v>N</v>
      </c>
      <c r="M93" s="16"/>
      <c r="N93" s="16"/>
    </row>
    <row r="94">
      <c r="A94" s="25" t="s">
        <v>234</v>
      </c>
      <c r="B94" s="10" t="str">
        <f t="shared" si="1"/>
        <v>RNA-gill</v>
      </c>
      <c r="C94" s="10" t="str">
        <f t="shared" si="2"/>
        <v>BRN66G-C8</v>
      </c>
      <c r="D94" s="11">
        <f t="array" ref="D94">iferror(index('rna-muscle'!D:D,match(A94,'rna-muscle'!A:A,0)))</f>
        <v>66</v>
      </c>
      <c r="E94" s="10" t="str">
        <f t="shared" si="3"/>
        <v>BRN66G</v>
      </c>
      <c r="F94" s="11" t="str">
        <f t="array" ref="F94">iferror(index('rna-muscle'!F:F,match($A94,'rna-muscle'!$A:$A,0)))</f>
        <v>C</v>
      </c>
      <c r="G94" s="11">
        <f t="array" ref="G94">iferror(index('rna-muscle'!G:G,match($A94,'rna-muscle'!$A:$A,0)))</f>
        <v>8</v>
      </c>
      <c r="H94" s="11" t="str">
        <f t="shared" si="4"/>
        <v>C8</v>
      </c>
      <c r="I94" s="10" t="str">
        <f t="shared" si="5"/>
        <v>BRN66G-C8</v>
      </c>
      <c r="J94" s="16"/>
      <c r="K94" s="16" t="str">
        <f t="shared" si="6"/>
        <v>collected</v>
      </c>
      <c r="L94" s="16" t="str">
        <f t="shared" si="7"/>
        <v>N</v>
      </c>
      <c r="M94" s="16"/>
      <c r="N94" s="16"/>
    </row>
    <row r="95">
      <c r="A95" s="25" t="s">
        <v>235</v>
      </c>
      <c r="B95" s="10" t="str">
        <f t="shared" si="1"/>
        <v>RNA-gill</v>
      </c>
      <c r="C95" s="10" t="str">
        <f t="shared" si="2"/>
        <v>BRN66G-B8</v>
      </c>
      <c r="D95" s="11">
        <f t="array" ref="D95">iferror(index('rna-muscle'!D:D,match(A95,'rna-muscle'!A:A,0)))</f>
        <v>66</v>
      </c>
      <c r="E95" s="10" t="str">
        <f t="shared" si="3"/>
        <v>BRN66G</v>
      </c>
      <c r="F95" s="11" t="str">
        <f t="array" ref="F95">iferror(index('rna-muscle'!F:F,match($A95,'rna-muscle'!$A:$A,0)))</f>
        <v>B</v>
      </c>
      <c r="G95" s="11">
        <f t="array" ref="G95">iferror(index('rna-muscle'!G:G,match($A95,'rna-muscle'!$A:$A,0)))</f>
        <v>8</v>
      </c>
      <c r="H95" s="11" t="str">
        <f t="shared" si="4"/>
        <v>B8</v>
      </c>
      <c r="I95" s="10" t="str">
        <f t="shared" si="5"/>
        <v>BRN66G-B8</v>
      </c>
      <c r="J95" s="6"/>
      <c r="K95" s="16" t="str">
        <f t="shared" si="6"/>
        <v>collected</v>
      </c>
      <c r="L95" s="16" t="str">
        <f t="shared" si="7"/>
        <v>N</v>
      </c>
      <c r="M95" s="16"/>
      <c r="N95" s="16"/>
    </row>
    <row r="96">
      <c r="A96" s="25" t="s">
        <v>238</v>
      </c>
      <c r="B96" s="10" t="str">
        <f t="shared" si="1"/>
        <v>RNA-gill</v>
      </c>
      <c r="C96" s="10" t="str">
        <f t="shared" si="2"/>
        <v>BRN66G-A8</v>
      </c>
      <c r="D96" s="11">
        <f t="array" ref="D96">iferror(index('rna-muscle'!D:D,match(A96,'rna-muscle'!A:A,0)))</f>
        <v>66</v>
      </c>
      <c r="E96" s="10" t="str">
        <f t="shared" si="3"/>
        <v>BRN66G</v>
      </c>
      <c r="F96" s="11" t="str">
        <f t="array" ref="F96">iferror(index('rna-muscle'!F:F,match($A96,'rna-muscle'!$A:$A,0)))</f>
        <v>A</v>
      </c>
      <c r="G96" s="11">
        <f t="array" ref="G96">iferror(index('rna-muscle'!G:G,match($A96,'rna-muscle'!$A:$A,0)))</f>
        <v>8</v>
      </c>
      <c r="H96" s="11" t="str">
        <f t="shared" si="4"/>
        <v>A8</v>
      </c>
      <c r="I96" s="10" t="str">
        <f t="shared" si="5"/>
        <v>BRN66G-A8</v>
      </c>
      <c r="J96" s="6"/>
      <c r="K96" s="16" t="str">
        <f t="shared" si="6"/>
        <v>collected</v>
      </c>
      <c r="L96" s="16" t="str">
        <f t="shared" si="7"/>
        <v>N</v>
      </c>
      <c r="M96" s="16"/>
      <c r="N96" s="16"/>
    </row>
    <row r="97">
      <c r="A97" s="25" t="s">
        <v>239</v>
      </c>
      <c r="B97" s="10" t="str">
        <f t="shared" si="1"/>
        <v>RNA-gill</v>
      </c>
      <c r="C97" s="10" t="str">
        <f t="shared" si="2"/>
        <v>BRN66G-H10</v>
      </c>
      <c r="D97" s="11">
        <f t="array" ref="D97">iferror(index('rna-muscle'!D:D,match(A97,'rna-muscle'!A:A,0)))</f>
        <v>66</v>
      </c>
      <c r="E97" s="10" t="str">
        <f t="shared" si="3"/>
        <v>BRN66G</v>
      </c>
      <c r="F97" s="11" t="str">
        <f t="array" ref="F97">iferror(index('rna-muscle'!F:F,match($A97,'rna-muscle'!$A:$A,0)))</f>
        <v>H</v>
      </c>
      <c r="G97" s="11">
        <f t="array" ref="G97">iferror(index('rna-muscle'!G:G,match($A97,'rna-muscle'!$A:$A,0)))</f>
        <v>10</v>
      </c>
      <c r="H97" s="11" t="str">
        <f t="shared" si="4"/>
        <v>H10</v>
      </c>
      <c r="I97" s="10" t="str">
        <f t="shared" si="5"/>
        <v>BRN66G-H10</v>
      </c>
      <c r="J97" s="16"/>
      <c r="K97" s="16" t="str">
        <f t="shared" si="6"/>
        <v>collected</v>
      </c>
      <c r="L97" s="16" t="str">
        <f t="shared" si="7"/>
        <v>N</v>
      </c>
      <c r="M97" s="16"/>
      <c r="N97" s="16"/>
    </row>
    <row r="98">
      <c r="A98" s="26" t="s">
        <v>241</v>
      </c>
      <c r="B98" s="10" t="str">
        <f t="shared" si="1"/>
        <v>RNA-gill</v>
      </c>
      <c r="C98" s="10" t="str">
        <f t="shared" si="2"/>
        <v>BRN66G-G10</v>
      </c>
      <c r="D98" s="11">
        <f t="array" ref="D98">iferror(index('rna-muscle'!D:D,match(A98,'rna-muscle'!A:A,0)))</f>
        <v>66</v>
      </c>
      <c r="E98" s="10" t="str">
        <f t="shared" si="3"/>
        <v>BRN66G</v>
      </c>
      <c r="F98" s="11" t="str">
        <f t="array" ref="F98">iferror(index('rna-muscle'!F:F,match($A98,'rna-muscle'!$A:$A,0)))</f>
        <v>G</v>
      </c>
      <c r="G98" s="11">
        <f t="array" ref="G98">iferror(index('rna-muscle'!G:G,match($A98,'rna-muscle'!$A:$A,0)))</f>
        <v>10</v>
      </c>
      <c r="H98" s="11" t="str">
        <f t="shared" si="4"/>
        <v>G10</v>
      </c>
      <c r="I98" s="10" t="str">
        <f t="shared" si="5"/>
        <v>BRN66G-G10</v>
      </c>
      <c r="J98" s="16"/>
      <c r="K98" s="16" t="str">
        <f t="shared" si="6"/>
        <v>collected</v>
      </c>
      <c r="L98" s="16" t="str">
        <f t="shared" si="7"/>
        <v>N</v>
      </c>
      <c r="M98" s="16"/>
      <c r="N98" s="16"/>
    </row>
    <row r="99">
      <c r="A99" s="26" t="s">
        <v>245</v>
      </c>
      <c r="B99" s="10" t="str">
        <f t="shared" si="1"/>
        <v>RNA-gill</v>
      </c>
      <c r="C99" s="10" t="str">
        <f t="shared" si="2"/>
        <v>BRN66G-F10</v>
      </c>
      <c r="D99" s="11">
        <f t="array" ref="D99">iferror(index('rna-muscle'!D:D,match(A99,'rna-muscle'!A:A,0)))</f>
        <v>66</v>
      </c>
      <c r="E99" s="10" t="str">
        <f t="shared" si="3"/>
        <v>BRN66G</v>
      </c>
      <c r="F99" s="11" t="str">
        <f t="array" ref="F99">iferror(index('rna-muscle'!F:F,match($A99,'rna-muscle'!$A:$A,0)))</f>
        <v>F</v>
      </c>
      <c r="G99" s="11">
        <f t="array" ref="G99">iferror(index('rna-muscle'!G:G,match($A99,'rna-muscle'!$A:$A,0)))</f>
        <v>10</v>
      </c>
      <c r="H99" s="11" t="str">
        <f t="shared" si="4"/>
        <v>F10</v>
      </c>
      <c r="I99" s="10" t="str">
        <f t="shared" si="5"/>
        <v>BRN66G-F10</v>
      </c>
      <c r="J99" s="16"/>
      <c r="K99" s="16" t="str">
        <f t="shared" si="6"/>
        <v>collected</v>
      </c>
      <c r="L99" s="16" t="str">
        <f t="shared" si="7"/>
        <v>N</v>
      </c>
      <c r="M99" s="16"/>
      <c r="N99" s="16"/>
    </row>
    <row r="100">
      <c r="A100" s="26" t="s">
        <v>247</v>
      </c>
      <c r="B100" s="10" t="str">
        <f t="shared" si="1"/>
        <v>RNA-gill</v>
      </c>
      <c r="C100" s="10" t="str">
        <f t="shared" si="2"/>
        <v>BRN66G-E10</v>
      </c>
      <c r="D100" s="11">
        <f t="array" ref="D100">iferror(index('rna-muscle'!D:D,match(A100,'rna-muscle'!A:A,0)))</f>
        <v>66</v>
      </c>
      <c r="E100" s="10" t="str">
        <f t="shared" si="3"/>
        <v>BRN66G</v>
      </c>
      <c r="F100" s="11" t="str">
        <f t="array" ref="F100">iferror(index('rna-muscle'!F:F,match($A100,'rna-muscle'!$A:$A,0)))</f>
        <v>E</v>
      </c>
      <c r="G100" s="11">
        <f t="array" ref="G100">iferror(index('rna-muscle'!G:G,match($A100,'rna-muscle'!$A:$A,0)))</f>
        <v>10</v>
      </c>
      <c r="H100" s="11" t="str">
        <f t="shared" si="4"/>
        <v>E10</v>
      </c>
      <c r="I100" s="10" t="str">
        <f t="shared" si="5"/>
        <v>BRN66G-E10</v>
      </c>
      <c r="J100" s="16"/>
      <c r="K100" s="16" t="str">
        <f t="shared" si="6"/>
        <v>collected</v>
      </c>
      <c r="L100" s="16" t="str">
        <f t="shared" si="7"/>
        <v>N</v>
      </c>
      <c r="M100" s="16"/>
      <c r="N100" s="16"/>
    </row>
    <row r="101">
      <c r="A101" s="26" t="s">
        <v>248</v>
      </c>
      <c r="B101" s="10" t="str">
        <f t="shared" si="1"/>
        <v>RNA-gill</v>
      </c>
      <c r="C101" s="10" t="str">
        <f t="shared" si="2"/>
        <v>BRN66G-D10</v>
      </c>
      <c r="D101" s="11">
        <f t="array" ref="D101">iferror(index('rna-muscle'!D:D,match(A101,'rna-muscle'!A:A,0)))</f>
        <v>66</v>
      </c>
      <c r="E101" s="10" t="str">
        <f t="shared" si="3"/>
        <v>BRN66G</v>
      </c>
      <c r="F101" s="11" t="str">
        <f t="array" ref="F101">iferror(index('rna-muscle'!F:F,match($A101,'rna-muscle'!$A:$A,0)))</f>
        <v>D</v>
      </c>
      <c r="G101" s="11">
        <f t="array" ref="G101">iferror(index('rna-muscle'!G:G,match($A101,'rna-muscle'!$A:$A,0)))</f>
        <v>10</v>
      </c>
      <c r="H101" s="11" t="str">
        <f t="shared" si="4"/>
        <v>D10</v>
      </c>
      <c r="I101" s="10" t="str">
        <f t="shared" si="5"/>
        <v>BRN66G-D10</v>
      </c>
      <c r="J101" s="6"/>
      <c r="K101" s="16" t="str">
        <f t="shared" si="6"/>
        <v>collected</v>
      </c>
      <c r="L101" s="16" t="str">
        <f t="shared" si="7"/>
        <v>N</v>
      </c>
      <c r="M101" s="16"/>
      <c r="N101" s="16"/>
    </row>
    <row r="102">
      <c r="A102" s="26" t="s">
        <v>250</v>
      </c>
      <c r="B102" s="10" t="str">
        <f t="shared" si="1"/>
        <v>RNA-gill</v>
      </c>
      <c r="C102" s="10" t="str">
        <f t="shared" si="2"/>
        <v>BRN66G-C10</v>
      </c>
      <c r="D102" s="11">
        <f t="array" ref="D102">iferror(index('rna-muscle'!D:D,match(A102,'rna-muscle'!A:A,0)))</f>
        <v>66</v>
      </c>
      <c r="E102" s="10" t="str">
        <f t="shared" si="3"/>
        <v>BRN66G</v>
      </c>
      <c r="F102" s="11" t="str">
        <f t="array" ref="F102">iferror(index('rna-muscle'!F:F,match($A102,'rna-muscle'!$A:$A,0)))</f>
        <v>C</v>
      </c>
      <c r="G102" s="11">
        <f t="array" ref="G102">iferror(index('rna-muscle'!G:G,match($A102,'rna-muscle'!$A:$A,0)))</f>
        <v>10</v>
      </c>
      <c r="H102" s="11" t="str">
        <f t="shared" si="4"/>
        <v>C10</v>
      </c>
      <c r="I102" s="10" t="str">
        <f t="shared" si="5"/>
        <v>BRN66G-C10</v>
      </c>
      <c r="J102" s="6"/>
      <c r="K102" s="16" t="str">
        <f t="shared" si="6"/>
        <v>collected</v>
      </c>
      <c r="L102" s="16" t="str">
        <f t="shared" si="7"/>
        <v>N</v>
      </c>
      <c r="M102" s="16"/>
      <c r="N102" s="16"/>
    </row>
    <row r="103">
      <c r="A103" s="26" t="s">
        <v>252</v>
      </c>
      <c r="B103" s="10" t="str">
        <f t="shared" si="1"/>
        <v>RNA-gill</v>
      </c>
      <c r="C103" s="10" t="str">
        <f t="shared" si="2"/>
        <v>BRN66G-B10</v>
      </c>
      <c r="D103" s="11">
        <f t="array" ref="D103">iferror(index('rna-muscle'!D:D,match(A103,'rna-muscle'!A:A,0)))</f>
        <v>66</v>
      </c>
      <c r="E103" s="10" t="str">
        <f t="shared" si="3"/>
        <v>BRN66G</v>
      </c>
      <c r="F103" s="11" t="str">
        <f t="array" ref="F103">iferror(index('rna-muscle'!F:F,match($A103,'rna-muscle'!$A:$A,0)))</f>
        <v>B</v>
      </c>
      <c r="G103" s="11">
        <f t="array" ref="G103">iferror(index('rna-muscle'!G:G,match($A103,'rna-muscle'!$A:$A,0)))</f>
        <v>10</v>
      </c>
      <c r="H103" s="11" t="str">
        <f t="shared" si="4"/>
        <v>B10</v>
      </c>
      <c r="I103" s="10" t="str">
        <f t="shared" si="5"/>
        <v>BRN66G-B10</v>
      </c>
      <c r="J103" s="16"/>
      <c r="K103" s="16" t="str">
        <f t="shared" si="6"/>
        <v>collected</v>
      </c>
      <c r="L103" s="16" t="str">
        <f t="shared" si="7"/>
        <v>N</v>
      </c>
      <c r="M103" s="16"/>
      <c r="N103" s="16"/>
    </row>
    <row r="104">
      <c r="A104" s="26" t="s">
        <v>254</v>
      </c>
      <c r="B104" s="10" t="str">
        <f t="shared" si="1"/>
        <v>RNA-gill</v>
      </c>
      <c r="C104" s="10" t="str">
        <f t="shared" si="2"/>
        <v>BRN66G-H9</v>
      </c>
      <c r="D104" s="11">
        <f t="array" ref="D104">iferror(index('rna-muscle'!D:D,match(A104,'rna-muscle'!A:A,0)))</f>
        <v>66</v>
      </c>
      <c r="E104" s="10" t="str">
        <f t="shared" si="3"/>
        <v>BRN66G</v>
      </c>
      <c r="F104" s="11" t="str">
        <f t="array" ref="F104">iferror(index('rna-muscle'!F:F,match($A104,'rna-muscle'!$A:$A,0)))</f>
        <v>H</v>
      </c>
      <c r="G104" s="11">
        <f t="array" ref="G104">iferror(index('rna-muscle'!G:G,match($A104,'rna-muscle'!$A:$A,0)))</f>
        <v>9</v>
      </c>
      <c r="H104" s="11" t="str">
        <f t="shared" si="4"/>
        <v>H9</v>
      </c>
      <c r="I104" s="10" t="str">
        <f t="shared" si="5"/>
        <v>BRN66G-H9</v>
      </c>
      <c r="J104" s="6"/>
      <c r="K104" s="16" t="str">
        <f t="shared" si="6"/>
        <v>collected</v>
      </c>
      <c r="L104" s="16" t="str">
        <f t="shared" si="7"/>
        <v>N</v>
      </c>
      <c r="M104" s="16"/>
      <c r="N104" s="16"/>
    </row>
    <row r="105">
      <c r="A105" s="26" t="s">
        <v>256</v>
      </c>
      <c r="B105" s="10" t="str">
        <f t="shared" si="1"/>
        <v>RNA-gill</v>
      </c>
      <c r="C105" s="10" t="str">
        <f t="shared" si="2"/>
        <v>BRN66G-G9</v>
      </c>
      <c r="D105" s="11">
        <f t="array" ref="D105">iferror(index('rna-muscle'!D:D,match(A105,'rna-muscle'!A:A,0)))</f>
        <v>66</v>
      </c>
      <c r="E105" s="10" t="str">
        <f t="shared" si="3"/>
        <v>BRN66G</v>
      </c>
      <c r="F105" s="11" t="str">
        <f t="array" ref="F105">iferror(index('rna-muscle'!F:F,match($A105,'rna-muscle'!$A:$A,0)))</f>
        <v>G</v>
      </c>
      <c r="G105" s="11">
        <f t="array" ref="G105">iferror(index('rna-muscle'!G:G,match($A105,'rna-muscle'!$A:$A,0)))</f>
        <v>9</v>
      </c>
      <c r="H105" s="11" t="str">
        <f t="shared" si="4"/>
        <v>G9</v>
      </c>
      <c r="I105" s="10" t="str">
        <f t="shared" si="5"/>
        <v>BRN66G-G9</v>
      </c>
      <c r="J105" s="16"/>
      <c r="K105" s="16" t="str">
        <f t="shared" si="6"/>
        <v>collected</v>
      </c>
      <c r="L105" s="16" t="str">
        <f t="shared" si="7"/>
        <v>N</v>
      </c>
      <c r="M105" s="16"/>
      <c r="N105" s="16"/>
    </row>
    <row r="106">
      <c r="A106" s="26" t="s">
        <v>258</v>
      </c>
      <c r="B106" s="10" t="str">
        <f t="shared" si="1"/>
        <v>RNA-gill</v>
      </c>
      <c r="C106" s="10" t="str">
        <f t="shared" si="2"/>
        <v>BRN66G-F9</v>
      </c>
      <c r="D106" s="11">
        <f t="array" ref="D106">iferror(index('rna-muscle'!D:D,match(A106,'rna-muscle'!A:A,0)))</f>
        <v>66</v>
      </c>
      <c r="E106" s="10" t="str">
        <f t="shared" si="3"/>
        <v>BRN66G</v>
      </c>
      <c r="F106" s="11" t="str">
        <f t="array" ref="F106">iferror(index('rna-muscle'!F:F,match($A106,'rna-muscle'!$A:$A,0)))</f>
        <v>F</v>
      </c>
      <c r="G106" s="11">
        <f t="array" ref="G106">iferror(index('rna-muscle'!G:G,match($A106,'rna-muscle'!$A:$A,0)))</f>
        <v>9</v>
      </c>
      <c r="H106" s="11" t="str">
        <f t="shared" si="4"/>
        <v>F9</v>
      </c>
      <c r="I106" s="10" t="str">
        <f t="shared" si="5"/>
        <v>BRN66G-F9</v>
      </c>
      <c r="J106" s="6"/>
      <c r="K106" s="16" t="str">
        <f t="shared" si="6"/>
        <v>collected</v>
      </c>
      <c r="L106" s="16" t="str">
        <f t="shared" si="7"/>
        <v>N</v>
      </c>
      <c r="M106" s="16"/>
      <c r="N106" s="16"/>
    </row>
    <row r="107">
      <c r="A107" s="27" t="s">
        <v>260</v>
      </c>
      <c r="B107" s="10" t="str">
        <f t="shared" si="1"/>
        <v>RNA-gill</v>
      </c>
      <c r="C107" s="10" t="str">
        <f t="shared" si="2"/>
        <v>BRN66G-E9</v>
      </c>
      <c r="D107" s="11">
        <f t="array" ref="D107">iferror(index('rna-muscle'!D:D,match(A107,'rna-muscle'!A:A,0)))</f>
        <v>66</v>
      </c>
      <c r="E107" s="10" t="str">
        <f t="shared" si="3"/>
        <v>BRN66G</v>
      </c>
      <c r="F107" s="11" t="str">
        <f t="array" ref="F107">iferror(index('rna-muscle'!F:F,match($A107,'rna-muscle'!$A:$A,0)))</f>
        <v>E</v>
      </c>
      <c r="G107" s="11">
        <f t="array" ref="G107">iferror(index('rna-muscle'!G:G,match($A107,'rna-muscle'!$A:$A,0)))</f>
        <v>9</v>
      </c>
      <c r="H107" s="11" t="str">
        <f t="shared" si="4"/>
        <v>E9</v>
      </c>
      <c r="I107" s="10" t="str">
        <f t="shared" si="5"/>
        <v>BRN66G-E9</v>
      </c>
      <c r="J107" s="16"/>
      <c r="K107" s="16" t="str">
        <f t="shared" si="6"/>
        <v>collected</v>
      </c>
      <c r="L107" s="16" t="str">
        <f t="shared" si="7"/>
        <v>N</v>
      </c>
      <c r="M107" s="16"/>
      <c r="N107" s="16"/>
    </row>
    <row r="108">
      <c r="A108" s="27" t="s">
        <v>262</v>
      </c>
      <c r="B108" s="10" t="str">
        <f t="shared" si="1"/>
        <v>RNA-gill</v>
      </c>
      <c r="C108" s="10" t="str">
        <f t="shared" si="2"/>
        <v>BRN66G-D9</v>
      </c>
      <c r="D108" s="11">
        <f t="array" ref="D108">iferror(index('rna-muscle'!D:D,match(A108,'rna-muscle'!A:A,0)))</f>
        <v>66</v>
      </c>
      <c r="E108" s="10" t="str">
        <f t="shared" si="3"/>
        <v>BRN66G</v>
      </c>
      <c r="F108" s="11" t="str">
        <f t="array" ref="F108">iferror(index('rna-muscle'!F:F,match($A108,'rna-muscle'!$A:$A,0)))</f>
        <v>D</v>
      </c>
      <c r="G108" s="11">
        <f t="array" ref="G108">iferror(index('rna-muscle'!G:G,match($A108,'rna-muscle'!$A:$A,0)))</f>
        <v>9</v>
      </c>
      <c r="H108" s="11" t="str">
        <f t="shared" si="4"/>
        <v>D9</v>
      </c>
      <c r="I108" s="10" t="str">
        <f t="shared" si="5"/>
        <v>BRN66G-D9</v>
      </c>
      <c r="J108" s="16"/>
      <c r="K108" s="16" t="str">
        <f t="shared" si="6"/>
        <v>collected</v>
      </c>
      <c r="L108" s="16" t="str">
        <f t="shared" si="7"/>
        <v>N</v>
      </c>
      <c r="M108" s="16"/>
      <c r="N108" s="16"/>
    </row>
    <row r="109">
      <c r="A109" s="27" t="s">
        <v>264</v>
      </c>
      <c r="B109" s="10" t="str">
        <f t="shared" si="1"/>
        <v>RNA-gill</v>
      </c>
      <c r="C109" s="10" t="str">
        <f t="shared" si="2"/>
        <v>BRN66G-C9</v>
      </c>
      <c r="D109" s="11">
        <f t="array" ref="D109">iferror(index('rna-muscle'!D:D,match(A109,'rna-muscle'!A:A,0)))</f>
        <v>66</v>
      </c>
      <c r="E109" s="10" t="str">
        <f t="shared" si="3"/>
        <v>BRN66G</v>
      </c>
      <c r="F109" s="11" t="str">
        <f t="array" ref="F109">iferror(index('rna-muscle'!F:F,match($A109,'rna-muscle'!$A:$A,0)))</f>
        <v>C</v>
      </c>
      <c r="G109" s="11">
        <f t="array" ref="G109">iferror(index('rna-muscle'!G:G,match($A109,'rna-muscle'!$A:$A,0)))</f>
        <v>9</v>
      </c>
      <c r="H109" s="11" t="str">
        <f t="shared" si="4"/>
        <v>C9</v>
      </c>
      <c r="I109" s="10" t="str">
        <f t="shared" si="5"/>
        <v>BRN66G-C9</v>
      </c>
      <c r="J109" s="16"/>
      <c r="K109" s="16" t="str">
        <f t="shared" si="6"/>
        <v>collected</v>
      </c>
      <c r="L109" s="16" t="str">
        <f t="shared" si="7"/>
        <v>N</v>
      </c>
      <c r="M109" s="16"/>
      <c r="N109" s="16"/>
    </row>
    <row r="110">
      <c r="A110" s="27" t="s">
        <v>266</v>
      </c>
      <c r="B110" s="10" t="str">
        <f t="shared" si="1"/>
        <v>RNA-gill</v>
      </c>
      <c r="C110" s="10" t="str">
        <f t="shared" si="2"/>
        <v>BRN66G-B9</v>
      </c>
      <c r="D110" s="11">
        <f t="array" ref="D110">iferror(index('rna-muscle'!D:D,match(A110,'rna-muscle'!A:A,0)))</f>
        <v>66</v>
      </c>
      <c r="E110" s="10" t="str">
        <f t="shared" si="3"/>
        <v>BRN66G</v>
      </c>
      <c r="F110" s="11" t="str">
        <f t="array" ref="F110">iferror(index('rna-muscle'!F:F,match($A110,'rna-muscle'!$A:$A,0)))</f>
        <v>B</v>
      </c>
      <c r="G110" s="11">
        <f t="array" ref="G110">iferror(index('rna-muscle'!G:G,match($A110,'rna-muscle'!$A:$A,0)))</f>
        <v>9</v>
      </c>
      <c r="H110" s="11" t="str">
        <f t="shared" si="4"/>
        <v>B9</v>
      </c>
      <c r="I110" s="10" t="str">
        <f t="shared" si="5"/>
        <v>BRN66G-B9</v>
      </c>
      <c r="J110" s="6"/>
      <c r="K110" s="16" t="str">
        <f t="shared" si="6"/>
        <v>collected</v>
      </c>
      <c r="L110" s="16" t="str">
        <f t="shared" si="7"/>
        <v>N</v>
      </c>
      <c r="M110" s="16"/>
      <c r="N110" s="16"/>
    </row>
    <row r="111">
      <c r="A111" s="27" t="s">
        <v>269</v>
      </c>
      <c r="B111" s="10" t="str">
        <f t="shared" si="1"/>
        <v>RNA-gill</v>
      </c>
      <c r="C111" s="10" t="str">
        <f t="shared" si="2"/>
        <v>BRN66G-A9</v>
      </c>
      <c r="D111" s="11">
        <f t="array" ref="D111">iferror(index('rna-muscle'!D:D,match(A111,'rna-muscle'!A:A,0)))</f>
        <v>66</v>
      </c>
      <c r="E111" s="10" t="str">
        <f t="shared" si="3"/>
        <v>BRN66G</v>
      </c>
      <c r="F111" s="11" t="str">
        <f t="array" ref="F111">iferror(index('rna-muscle'!F:F,match($A111,'rna-muscle'!$A:$A,0)))</f>
        <v>A</v>
      </c>
      <c r="G111" s="11">
        <f t="array" ref="G111">iferror(index('rna-muscle'!G:G,match($A111,'rna-muscle'!$A:$A,0)))</f>
        <v>9</v>
      </c>
      <c r="H111" s="11" t="str">
        <f t="shared" si="4"/>
        <v>A9</v>
      </c>
      <c r="I111" s="10" t="str">
        <f t="shared" si="5"/>
        <v>BRN66G-A9</v>
      </c>
      <c r="J111" s="16"/>
      <c r="K111" s="16" t="str">
        <f t="shared" si="6"/>
        <v>collected</v>
      </c>
      <c r="L111" s="16" t="str">
        <f t="shared" si="7"/>
        <v>N</v>
      </c>
      <c r="M111" s="16"/>
      <c r="N111" s="16"/>
    </row>
    <row r="112">
      <c r="A112" s="27" t="s">
        <v>271</v>
      </c>
      <c r="B112" s="10" t="str">
        <f t="shared" si="1"/>
        <v>RNA-gill</v>
      </c>
      <c r="C112" s="10" t="str">
        <f t="shared" si="2"/>
        <v>BRN64G-H1</v>
      </c>
      <c r="D112" s="11">
        <f t="array" ref="D112">iferror(index('rna-muscle'!D:D,match(A112,'rna-muscle'!A:A,0)))</f>
        <v>64</v>
      </c>
      <c r="E112" s="10" t="str">
        <f t="shared" si="3"/>
        <v>BRN64G</v>
      </c>
      <c r="F112" s="11" t="str">
        <f t="array" ref="F112">iferror(index('rna-muscle'!F:F,match($A112,'rna-muscle'!$A:$A,0)))</f>
        <v>H</v>
      </c>
      <c r="G112" s="11">
        <f t="array" ref="G112">iferror(index('rna-muscle'!G:G,match($A112,'rna-muscle'!$A:$A,0)))</f>
        <v>1</v>
      </c>
      <c r="H112" s="11" t="str">
        <f t="shared" si="4"/>
        <v>H1</v>
      </c>
      <c r="I112" s="10" t="str">
        <f t="shared" si="5"/>
        <v>BRN64G-H1</v>
      </c>
      <c r="J112" s="16"/>
      <c r="K112" s="16" t="str">
        <f t="shared" si="6"/>
        <v>collected</v>
      </c>
      <c r="L112" s="16" t="str">
        <f t="shared" si="7"/>
        <v>N</v>
      </c>
      <c r="M112" s="16"/>
      <c r="N112" s="16"/>
    </row>
    <row r="113">
      <c r="A113" s="27" t="s">
        <v>272</v>
      </c>
      <c r="B113" s="10" t="str">
        <f t="shared" si="1"/>
        <v>RNA-gill</v>
      </c>
      <c r="C113" s="10" t="str">
        <f t="shared" si="2"/>
        <v>BRN64G-G1</v>
      </c>
      <c r="D113" s="11">
        <f t="array" ref="D113">iferror(index('rna-muscle'!D:D,match(A113,'rna-muscle'!A:A,0)))</f>
        <v>64</v>
      </c>
      <c r="E113" s="10" t="str">
        <f t="shared" si="3"/>
        <v>BRN64G</v>
      </c>
      <c r="F113" s="11" t="str">
        <f t="array" ref="F113">iferror(index('rna-muscle'!F:F,match($A113,'rna-muscle'!$A:$A,0)))</f>
        <v>G</v>
      </c>
      <c r="G113" s="11">
        <f t="array" ref="G113">iferror(index('rna-muscle'!G:G,match($A113,'rna-muscle'!$A:$A,0)))</f>
        <v>1</v>
      </c>
      <c r="H113" s="11" t="str">
        <f t="shared" si="4"/>
        <v>G1</v>
      </c>
      <c r="I113" s="10" t="str">
        <f t="shared" si="5"/>
        <v>BRN64G-G1</v>
      </c>
      <c r="J113" s="16"/>
      <c r="K113" s="16" t="str">
        <f t="shared" si="6"/>
        <v>collected</v>
      </c>
      <c r="L113" s="16" t="str">
        <f t="shared" si="7"/>
        <v>N</v>
      </c>
      <c r="M113" s="16"/>
      <c r="N113" s="16"/>
    </row>
    <row r="114">
      <c r="A114" s="27" t="s">
        <v>274</v>
      </c>
      <c r="B114" s="10" t="str">
        <f t="shared" si="1"/>
        <v>RNA-gill</v>
      </c>
      <c r="C114" s="10" t="str">
        <f t="shared" si="2"/>
        <v>BRN64G-F1</v>
      </c>
      <c r="D114" s="11">
        <f t="array" ref="D114">iferror(index('rna-muscle'!D:D,match(A114,'rna-muscle'!A:A,0)))</f>
        <v>64</v>
      </c>
      <c r="E114" s="10" t="str">
        <f t="shared" si="3"/>
        <v>BRN64G</v>
      </c>
      <c r="F114" s="11" t="str">
        <f t="array" ref="F114">iferror(index('rna-muscle'!F:F,match($A114,'rna-muscle'!$A:$A,0)))</f>
        <v>F</v>
      </c>
      <c r="G114" s="11">
        <f t="array" ref="G114">iferror(index('rna-muscle'!G:G,match($A114,'rna-muscle'!$A:$A,0)))</f>
        <v>1</v>
      </c>
      <c r="H114" s="11" t="str">
        <f t="shared" si="4"/>
        <v>F1</v>
      </c>
      <c r="I114" s="10" t="str">
        <f t="shared" si="5"/>
        <v>BRN64G-F1</v>
      </c>
      <c r="J114" s="16"/>
      <c r="K114" s="16" t="str">
        <f t="shared" si="6"/>
        <v>collected</v>
      </c>
      <c r="L114" s="16" t="str">
        <f t="shared" si="7"/>
        <v>N</v>
      </c>
      <c r="M114" s="16"/>
      <c r="N114" s="16"/>
    </row>
    <row r="115">
      <c r="A115" s="27" t="s">
        <v>276</v>
      </c>
      <c r="B115" s="10" t="str">
        <f t="shared" si="1"/>
        <v>RNA-gill</v>
      </c>
      <c r="C115" s="10" t="str">
        <f t="shared" si="2"/>
        <v>BRN64G-E1</v>
      </c>
      <c r="D115" s="11">
        <f t="array" ref="D115">iferror(index('rna-muscle'!D:D,match(A115,'rna-muscle'!A:A,0)))</f>
        <v>64</v>
      </c>
      <c r="E115" s="10" t="str">
        <f t="shared" si="3"/>
        <v>BRN64G</v>
      </c>
      <c r="F115" s="11" t="str">
        <f t="array" ref="F115">iferror(index('rna-muscle'!F:F,match($A115,'rna-muscle'!$A:$A,0)))</f>
        <v>E</v>
      </c>
      <c r="G115" s="11">
        <f t="array" ref="G115">iferror(index('rna-muscle'!G:G,match($A115,'rna-muscle'!$A:$A,0)))</f>
        <v>1</v>
      </c>
      <c r="H115" s="11" t="str">
        <f t="shared" si="4"/>
        <v>E1</v>
      </c>
      <c r="I115" s="10" t="str">
        <f t="shared" si="5"/>
        <v>BRN64G-E1</v>
      </c>
      <c r="J115" s="16"/>
      <c r="K115" s="16" t="str">
        <f t="shared" si="6"/>
        <v>collected</v>
      </c>
      <c r="L115" s="16" t="str">
        <f t="shared" si="7"/>
        <v>N</v>
      </c>
      <c r="M115" s="16"/>
      <c r="N115" s="16"/>
    </row>
    <row r="116">
      <c r="A116" s="26" t="s">
        <v>278</v>
      </c>
      <c r="B116" s="10" t="str">
        <f t="shared" si="1"/>
        <v>RNA-gill</v>
      </c>
      <c r="C116" s="10" t="str">
        <f t="shared" si="2"/>
        <v>BRN64G-D1</v>
      </c>
      <c r="D116" s="11">
        <f t="array" ref="D116">iferror(index('rna-muscle'!D:D,match(A116,'rna-muscle'!A:A,0)))</f>
        <v>64</v>
      </c>
      <c r="E116" s="10" t="str">
        <f t="shared" si="3"/>
        <v>BRN64G</v>
      </c>
      <c r="F116" s="11" t="str">
        <f t="array" ref="F116">iferror(index('rna-muscle'!F:F,match($A116,'rna-muscle'!$A:$A,0)))</f>
        <v>D</v>
      </c>
      <c r="G116" s="11">
        <f t="array" ref="G116">iferror(index('rna-muscle'!G:G,match($A116,'rna-muscle'!$A:$A,0)))</f>
        <v>1</v>
      </c>
      <c r="H116" s="11" t="str">
        <f t="shared" si="4"/>
        <v>D1</v>
      </c>
      <c r="I116" s="10" t="str">
        <f t="shared" si="5"/>
        <v>BRN64G-D1</v>
      </c>
      <c r="J116" s="6"/>
      <c r="K116" s="16" t="str">
        <f t="shared" si="6"/>
        <v>collected</v>
      </c>
      <c r="L116" s="16" t="str">
        <f t="shared" si="7"/>
        <v>N</v>
      </c>
      <c r="M116" s="16"/>
      <c r="N116" s="16"/>
    </row>
    <row r="117">
      <c r="A117" s="26" t="s">
        <v>279</v>
      </c>
      <c r="B117" s="10" t="str">
        <f t="shared" si="1"/>
        <v>RNA-gill</v>
      </c>
      <c r="C117" s="10" t="str">
        <f t="shared" si="2"/>
        <v>BRN64G-C1</v>
      </c>
      <c r="D117" s="11">
        <f t="array" ref="D117">iferror(index('rna-muscle'!D:D,match(A117,'rna-muscle'!A:A,0)))</f>
        <v>64</v>
      </c>
      <c r="E117" s="10" t="str">
        <f t="shared" si="3"/>
        <v>BRN64G</v>
      </c>
      <c r="F117" s="11" t="str">
        <f t="array" ref="F117">iferror(index('rna-muscle'!F:F,match($A117,'rna-muscle'!$A:$A,0)))</f>
        <v>C</v>
      </c>
      <c r="G117" s="11">
        <f t="array" ref="G117">iferror(index('rna-muscle'!G:G,match($A117,'rna-muscle'!$A:$A,0)))</f>
        <v>1</v>
      </c>
      <c r="H117" s="11" t="str">
        <f t="shared" si="4"/>
        <v>C1</v>
      </c>
      <c r="I117" s="10" t="str">
        <f t="shared" si="5"/>
        <v>BRN64G-C1</v>
      </c>
      <c r="J117" s="16"/>
      <c r="K117" s="16" t="str">
        <f t="shared" si="6"/>
        <v>collected</v>
      </c>
      <c r="L117" s="16" t="str">
        <f t="shared" si="7"/>
        <v>N</v>
      </c>
      <c r="M117" s="16"/>
      <c r="N117" s="16"/>
    </row>
    <row r="118">
      <c r="A118" s="26" t="s">
        <v>280</v>
      </c>
      <c r="B118" s="10" t="str">
        <f t="shared" si="1"/>
        <v>RNA-gill</v>
      </c>
      <c r="C118" s="10" t="str">
        <f t="shared" si="2"/>
        <v>BRN66G-A10</v>
      </c>
      <c r="D118" s="11">
        <f t="array" ref="D118">iferror(index('rna-muscle'!D:D,match(A118,'rna-muscle'!A:A,0)))</f>
        <v>66</v>
      </c>
      <c r="E118" s="10" t="str">
        <f t="shared" si="3"/>
        <v>BRN66G</v>
      </c>
      <c r="F118" s="11" t="str">
        <f t="array" ref="F118">iferror(index('rna-muscle'!F:F,match($A118,'rna-muscle'!$A:$A,0)))</f>
        <v>A</v>
      </c>
      <c r="G118" s="11">
        <f t="array" ref="G118">iferror(index('rna-muscle'!G:G,match($A118,'rna-muscle'!$A:$A,0)))</f>
        <v>10</v>
      </c>
      <c r="H118" s="11" t="str">
        <f t="shared" si="4"/>
        <v>A10</v>
      </c>
      <c r="I118" s="10" t="str">
        <f t="shared" si="5"/>
        <v>BRN66G-A10</v>
      </c>
      <c r="J118" s="16"/>
      <c r="K118" s="16" t="str">
        <f t="shared" si="6"/>
        <v>collected</v>
      </c>
      <c r="L118" s="16" t="str">
        <f t="shared" si="7"/>
        <v>N</v>
      </c>
      <c r="M118" s="16"/>
      <c r="N118" s="16"/>
    </row>
    <row r="119">
      <c r="A119" s="26" t="s">
        <v>286</v>
      </c>
      <c r="B119" s="10" t="str">
        <f t="shared" si="1"/>
        <v>RNA-gill</v>
      </c>
      <c r="C119" s="10" t="str">
        <f t="shared" si="2"/>
        <v>BRN66G-H11</v>
      </c>
      <c r="D119" s="11">
        <f t="array" ref="D119">iferror(index('rna-muscle'!D:D,match(A119,'rna-muscle'!A:A,0)))</f>
        <v>66</v>
      </c>
      <c r="E119" s="10" t="str">
        <f t="shared" si="3"/>
        <v>BRN66G</v>
      </c>
      <c r="F119" s="11" t="str">
        <f t="array" ref="F119">iferror(index('rna-muscle'!F:F,match($A119,'rna-muscle'!$A:$A,0)))</f>
        <v>H</v>
      </c>
      <c r="G119" s="11">
        <f t="array" ref="G119">iferror(index('rna-muscle'!G:G,match($A119,'rna-muscle'!$A:$A,0)))</f>
        <v>11</v>
      </c>
      <c r="H119" s="11" t="str">
        <f t="shared" si="4"/>
        <v>H11</v>
      </c>
      <c r="I119" s="10" t="str">
        <f t="shared" si="5"/>
        <v>BRN66G-H11</v>
      </c>
      <c r="J119" s="16"/>
      <c r="K119" s="16" t="str">
        <f t="shared" si="6"/>
        <v>collected</v>
      </c>
      <c r="L119" s="16" t="str">
        <f t="shared" si="7"/>
        <v>N</v>
      </c>
      <c r="M119" s="16"/>
      <c r="N119" s="16"/>
    </row>
    <row r="120">
      <c r="A120" s="26" t="s">
        <v>287</v>
      </c>
      <c r="B120" s="10" t="str">
        <f t="shared" si="1"/>
        <v>RNA-gill</v>
      </c>
      <c r="C120" s="10" t="str">
        <f t="shared" si="2"/>
        <v>BRN66G-G11</v>
      </c>
      <c r="D120" s="11">
        <f t="array" ref="D120">iferror(index('rna-muscle'!D:D,match(A120,'rna-muscle'!A:A,0)))</f>
        <v>66</v>
      </c>
      <c r="E120" s="10" t="str">
        <f t="shared" si="3"/>
        <v>BRN66G</v>
      </c>
      <c r="F120" s="11" t="str">
        <f t="array" ref="F120">iferror(index('rna-muscle'!F:F,match($A120,'rna-muscle'!$A:$A,0)))</f>
        <v>G</v>
      </c>
      <c r="G120" s="11">
        <f t="array" ref="G120">iferror(index('rna-muscle'!G:G,match($A120,'rna-muscle'!$A:$A,0)))</f>
        <v>11</v>
      </c>
      <c r="H120" s="11" t="str">
        <f t="shared" si="4"/>
        <v>G11</v>
      </c>
      <c r="I120" s="10" t="str">
        <f t="shared" si="5"/>
        <v>BRN66G-G11</v>
      </c>
      <c r="J120" s="16"/>
      <c r="K120" s="16" t="str">
        <f t="shared" si="6"/>
        <v>collected</v>
      </c>
      <c r="L120" s="16" t="str">
        <f t="shared" si="7"/>
        <v>N</v>
      </c>
      <c r="M120" s="16"/>
      <c r="N120" s="16"/>
    </row>
    <row r="121">
      <c r="A121" s="26" t="s">
        <v>289</v>
      </c>
      <c r="B121" s="10" t="str">
        <f t="shared" si="1"/>
        <v>RNA-gill</v>
      </c>
      <c r="C121" s="10" t="str">
        <f t="shared" si="2"/>
        <v>BRN66G-F11</v>
      </c>
      <c r="D121" s="11">
        <f t="array" ref="D121">iferror(index('rna-muscle'!D:D,match(A121,'rna-muscle'!A:A,0)))</f>
        <v>66</v>
      </c>
      <c r="E121" s="10" t="str">
        <f t="shared" si="3"/>
        <v>BRN66G</v>
      </c>
      <c r="F121" s="11" t="str">
        <f t="array" ref="F121">iferror(index('rna-muscle'!F:F,match($A121,'rna-muscle'!$A:$A,0)))</f>
        <v>F</v>
      </c>
      <c r="G121" s="11">
        <f t="array" ref="G121">iferror(index('rna-muscle'!G:G,match($A121,'rna-muscle'!$A:$A,0)))</f>
        <v>11</v>
      </c>
      <c r="H121" s="11" t="str">
        <f t="shared" si="4"/>
        <v>F11</v>
      </c>
      <c r="I121" s="10" t="str">
        <f t="shared" si="5"/>
        <v>BRN66G-F11</v>
      </c>
      <c r="J121" s="16"/>
      <c r="K121" s="16" t="str">
        <f t="shared" si="6"/>
        <v>collected</v>
      </c>
      <c r="L121" s="16" t="str">
        <f t="shared" si="7"/>
        <v>N</v>
      </c>
      <c r="M121" s="16"/>
      <c r="N121" s="16"/>
    </row>
    <row r="122">
      <c r="A122" s="26" t="s">
        <v>291</v>
      </c>
      <c r="B122" s="10" t="str">
        <f t="shared" si="1"/>
        <v>RNA-gill</v>
      </c>
      <c r="C122" s="10" t="str">
        <f t="shared" si="2"/>
        <v>BRN66G-E11</v>
      </c>
      <c r="D122" s="11">
        <f t="array" ref="D122">iferror(index('rna-muscle'!D:D,match(A122,'rna-muscle'!A:A,0)))</f>
        <v>66</v>
      </c>
      <c r="E122" s="10" t="str">
        <f t="shared" si="3"/>
        <v>BRN66G</v>
      </c>
      <c r="F122" s="11" t="str">
        <f t="array" ref="F122">iferror(index('rna-muscle'!F:F,match($A122,'rna-muscle'!$A:$A,0)))</f>
        <v>E</v>
      </c>
      <c r="G122" s="11">
        <f t="array" ref="G122">iferror(index('rna-muscle'!G:G,match($A122,'rna-muscle'!$A:$A,0)))</f>
        <v>11</v>
      </c>
      <c r="H122" s="11" t="str">
        <f t="shared" si="4"/>
        <v>E11</v>
      </c>
      <c r="I122" s="10" t="str">
        <f t="shared" si="5"/>
        <v>BRN66G-E11</v>
      </c>
      <c r="J122" s="16"/>
      <c r="K122" s="16" t="str">
        <f t="shared" si="6"/>
        <v>collected</v>
      </c>
      <c r="L122" s="16" t="str">
        <f t="shared" si="7"/>
        <v>N</v>
      </c>
      <c r="M122" s="16"/>
      <c r="N122" s="16"/>
    </row>
    <row r="123">
      <c r="A123" s="26" t="s">
        <v>292</v>
      </c>
      <c r="B123" s="10" t="str">
        <f t="shared" si="1"/>
        <v>RNA-gill</v>
      </c>
      <c r="C123" s="10" t="str">
        <f t="shared" si="2"/>
        <v>BRN66G-D11</v>
      </c>
      <c r="D123" s="11">
        <f t="array" ref="D123">iferror(index('rna-muscle'!D:D,match(A123,'rna-muscle'!A:A,0)))</f>
        <v>66</v>
      </c>
      <c r="E123" s="10" t="str">
        <f t="shared" si="3"/>
        <v>BRN66G</v>
      </c>
      <c r="F123" s="11" t="str">
        <f t="array" ref="F123">iferror(index('rna-muscle'!F:F,match($A123,'rna-muscle'!$A:$A,0)))</f>
        <v>D</v>
      </c>
      <c r="G123" s="11">
        <f t="array" ref="G123">iferror(index('rna-muscle'!G:G,match($A123,'rna-muscle'!$A:$A,0)))</f>
        <v>11</v>
      </c>
      <c r="H123" s="11" t="str">
        <f t="shared" si="4"/>
        <v>D11</v>
      </c>
      <c r="I123" s="10" t="str">
        <f t="shared" si="5"/>
        <v>BRN66G-D11</v>
      </c>
      <c r="J123" s="16"/>
      <c r="K123" s="16" t="str">
        <f t="shared" si="6"/>
        <v>collected</v>
      </c>
      <c r="L123" s="16" t="str">
        <f t="shared" si="7"/>
        <v>N</v>
      </c>
      <c r="M123" s="16"/>
      <c r="N123" s="16"/>
    </row>
    <row r="124">
      <c r="A124" s="26" t="s">
        <v>294</v>
      </c>
      <c r="B124" s="10" t="str">
        <f t="shared" si="1"/>
        <v>RNA-gill</v>
      </c>
      <c r="C124" s="10" t="str">
        <f t="shared" si="2"/>
        <v>BRN66G-C11</v>
      </c>
      <c r="D124" s="11">
        <f t="array" ref="D124">iferror(index('rna-muscle'!D:D,match(A124,'rna-muscle'!A:A,0)))</f>
        <v>66</v>
      </c>
      <c r="E124" s="10" t="str">
        <f t="shared" si="3"/>
        <v>BRN66G</v>
      </c>
      <c r="F124" s="11" t="str">
        <f t="array" ref="F124">iferror(index('rna-muscle'!F:F,match($A124,'rna-muscle'!$A:$A,0)))</f>
        <v>C</v>
      </c>
      <c r="G124" s="11">
        <f t="array" ref="G124">iferror(index('rna-muscle'!G:G,match($A124,'rna-muscle'!$A:$A,0)))</f>
        <v>11</v>
      </c>
      <c r="H124" s="11" t="str">
        <f t="shared" si="4"/>
        <v>C11</v>
      </c>
      <c r="I124" s="10" t="str">
        <f t="shared" si="5"/>
        <v>BRN66G-C11</v>
      </c>
      <c r="J124" s="6"/>
      <c r="K124" s="16" t="str">
        <f t="shared" si="6"/>
        <v>collected</v>
      </c>
      <c r="L124" s="16" t="str">
        <f t="shared" si="7"/>
        <v>N</v>
      </c>
      <c r="M124" s="16"/>
      <c r="N124" s="16"/>
    </row>
    <row r="125">
      <c r="A125" s="26" t="s">
        <v>295</v>
      </c>
      <c r="B125" s="10" t="str">
        <f t="shared" si="1"/>
        <v>RNA-gill</v>
      </c>
      <c r="C125" s="10" t="str">
        <f t="shared" si="2"/>
        <v>BRN66G-B11</v>
      </c>
      <c r="D125" s="11">
        <f t="array" ref="D125">iferror(index('rna-muscle'!D:D,match(A125,'rna-muscle'!A:A,0)))</f>
        <v>66</v>
      </c>
      <c r="E125" s="10" t="str">
        <f t="shared" si="3"/>
        <v>BRN66G</v>
      </c>
      <c r="F125" s="11" t="str">
        <f t="array" ref="F125">iferror(index('rna-muscle'!F:F,match($A125,'rna-muscle'!$A:$A,0)))</f>
        <v>B</v>
      </c>
      <c r="G125" s="11">
        <f t="array" ref="G125">iferror(index('rna-muscle'!G:G,match($A125,'rna-muscle'!$A:$A,0)))</f>
        <v>11</v>
      </c>
      <c r="H125" s="11" t="str">
        <f t="shared" si="4"/>
        <v>B11</v>
      </c>
      <c r="I125" s="10" t="str">
        <f t="shared" si="5"/>
        <v>BRN66G-B11</v>
      </c>
      <c r="J125" s="16"/>
      <c r="K125" s="16" t="str">
        <f t="shared" si="6"/>
        <v>collected</v>
      </c>
      <c r="L125" s="16" t="str">
        <f t="shared" si="7"/>
        <v>N</v>
      </c>
      <c r="M125" s="16"/>
      <c r="N125" s="16"/>
    </row>
    <row r="126">
      <c r="A126" s="6" t="s">
        <v>297</v>
      </c>
      <c r="B126" s="10" t="str">
        <f t="shared" si="1"/>
        <v>RNA-gill</v>
      </c>
      <c r="C126" s="10" t="str">
        <f t="shared" si="2"/>
        <v>BRN66G-A11</v>
      </c>
      <c r="D126" s="11">
        <f t="array" ref="D126">iferror(index('rna-muscle'!D:D,match(A126,'rna-muscle'!A:A,0)))</f>
        <v>66</v>
      </c>
      <c r="E126" s="10" t="str">
        <f t="shared" si="3"/>
        <v>BRN66G</v>
      </c>
      <c r="F126" s="11" t="str">
        <f t="array" ref="F126">iferror(index('rna-muscle'!F:F,match($A126,'rna-muscle'!$A:$A,0)))</f>
        <v>A</v>
      </c>
      <c r="G126" s="11">
        <f t="array" ref="G126">iferror(index('rna-muscle'!G:G,match($A126,'rna-muscle'!$A:$A,0)))</f>
        <v>11</v>
      </c>
      <c r="H126" s="11" t="str">
        <f t="shared" si="4"/>
        <v>A11</v>
      </c>
      <c r="I126" s="10" t="str">
        <f t="shared" si="5"/>
        <v>BRN66G-A11</v>
      </c>
      <c r="J126" s="16"/>
      <c r="K126" s="16" t="str">
        <f t="shared" si="6"/>
        <v>collected</v>
      </c>
      <c r="L126" s="16" t="str">
        <f t="shared" si="7"/>
        <v>N</v>
      </c>
      <c r="M126" s="16"/>
      <c r="N126" s="16"/>
    </row>
    <row r="127">
      <c r="A127" s="6" t="s">
        <v>298</v>
      </c>
      <c r="B127" s="10" t="str">
        <f t="shared" si="1"/>
        <v>RNA-gill</v>
      </c>
      <c r="C127" s="10" t="str">
        <f t="shared" si="2"/>
        <v>BRN66G-G12</v>
      </c>
      <c r="D127" s="11">
        <f t="array" ref="D127">iferror(index('rna-muscle'!D:D,match(A127,'rna-muscle'!A:A,0)))</f>
        <v>66</v>
      </c>
      <c r="E127" s="10" t="str">
        <f t="shared" si="3"/>
        <v>BRN66G</v>
      </c>
      <c r="F127" s="11" t="str">
        <f t="array" ref="F127">iferror(index('rna-muscle'!F:F,match($A127,'rna-muscle'!$A:$A,0)))</f>
        <v>G</v>
      </c>
      <c r="G127" s="11">
        <f t="array" ref="G127">iferror(index('rna-muscle'!G:G,match($A127,'rna-muscle'!$A:$A,0)))</f>
        <v>12</v>
      </c>
      <c r="H127" s="11" t="str">
        <f t="shared" si="4"/>
        <v>G12</v>
      </c>
      <c r="I127" s="10" t="str">
        <f t="shared" si="5"/>
        <v>BRN66G-G12</v>
      </c>
      <c r="J127" s="6"/>
      <c r="K127" s="16" t="str">
        <f t="shared" si="6"/>
        <v>collected</v>
      </c>
      <c r="L127" s="16" t="str">
        <f t="shared" si="7"/>
        <v>N</v>
      </c>
      <c r="M127" s="16"/>
      <c r="N127" s="16"/>
    </row>
    <row r="128">
      <c r="A128" s="27" t="s">
        <v>301</v>
      </c>
      <c r="B128" s="10" t="str">
        <f t="shared" si="1"/>
        <v>RNA-gill</v>
      </c>
      <c r="C128" s="10" t="str">
        <f t="shared" si="2"/>
        <v>BRN66G-F12</v>
      </c>
      <c r="D128" s="11">
        <f t="array" ref="D128">iferror(index('rna-muscle'!D:D,match(A128,'rna-muscle'!A:A,0)))</f>
        <v>66</v>
      </c>
      <c r="E128" s="10" t="str">
        <f t="shared" si="3"/>
        <v>BRN66G</v>
      </c>
      <c r="F128" s="11" t="str">
        <f t="array" ref="F128">iferror(index('rna-muscle'!F:F,match($A128,'rna-muscle'!$A:$A,0)))</f>
        <v>F</v>
      </c>
      <c r="G128" s="11">
        <f t="array" ref="G128">iferror(index('rna-muscle'!G:G,match($A128,'rna-muscle'!$A:$A,0)))</f>
        <v>12</v>
      </c>
      <c r="H128" s="11" t="str">
        <f t="shared" si="4"/>
        <v>F12</v>
      </c>
      <c r="I128" s="10" t="str">
        <f t="shared" si="5"/>
        <v>BRN66G-F12</v>
      </c>
      <c r="J128" s="16"/>
      <c r="K128" s="16" t="str">
        <f t="shared" si="6"/>
        <v>collected</v>
      </c>
      <c r="L128" s="16" t="str">
        <f t="shared" si="7"/>
        <v>N</v>
      </c>
      <c r="M128" s="16"/>
      <c r="N128" s="16"/>
    </row>
    <row r="129">
      <c r="A129" s="27" t="s">
        <v>302</v>
      </c>
      <c r="B129" s="10" t="str">
        <f t="shared" si="1"/>
        <v>RNA-gill</v>
      </c>
      <c r="C129" s="10" t="str">
        <f t="shared" si="2"/>
        <v>BRN66G-E12</v>
      </c>
      <c r="D129" s="11">
        <f t="array" ref="D129">iferror(index('rna-muscle'!D:D,match(A129,'rna-muscle'!A:A,0)))</f>
        <v>66</v>
      </c>
      <c r="E129" s="10" t="str">
        <f t="shared" si="3"/>
        <v>BRN66G</v>
      </c>
      <c r="F129" s="11" t="str">
        <f t="array" ref="F129">iferror(index('rna-muscle'!F:F,match($A129,'rna-muscle'!$A:$A,0)))</f>
        <v>E</v>
      </c>
      <c r="G129" s="11">
        <f t="array" ref="G129">iferror(index('rna-muscle'!G:G,match($A129,'rna-muscle'!$A:$A,0)))</f>
        <v>12</v>
      </c>
      <c r="H129" s="11" t="str">
        <f t="shared" si="4"/>
        <v>E12</v>
      </c>
      <c r="I129" s="10" t="str">
        <f t="shared" si="5"/>
        <v>BRN66G-E12</v>
      </c>
      <c r="J129" s="16"/>
      <c r="K129" s="16" t="str">
        <f t="shared" si="6"/>
        <v>collected</v>
      </c>
      <c r="L129" s="16" t="str">
        <f t="shared" si="7"/>
        <v>N</v>
      </c>
      <c r="M129" s="16"/>
      <c r="N129" s="16"/>
    </row>
    <row r="130">
      <c r="A130" s="27" t="s">
        <v>304</v>
      </c>
      <c r="B130" s="10" t="str">
        <f t="shared" si="1"/>
        <v>RNA-gill</v>
      </c>
      <c r="C130" s="10" t="str">
        <f t="shared" si="2"/>
        <v>BRN66G-D12</v>
      </c>
      <c r="D130" s="11">
        <f t="array" ref="D130">iferror(index('rna-muscle'!D:D,match(A130,'rna-muscle'!A:A,0)))</f>
        <v>66</v>
      </c>
      <c r="E130" s="10" t="str">
        <f t="shared" si="3"/>
        <v>BRN66G</v>
      </c>
      <c r="F130" s="11" t="str">
        <f t="array" ref="F130">iferror(index('rna-muscle'!F:F,match($A130,'rna-muscle'!$A:$A,0)))</f>
        <v>D</v>
      </c>
      <c r="G130" s="11">
        <f t="array" ref="G130">iferror(index('rna-muscle'!G:G,match($A130,'rna-muscle'!$A:$A,0)))</f>
        <v>12</v>
      </c>
      <c r="H130" s="11" t="str">
        <f t="shared" si="4"/>
        <v>D12</v>
      </c>
      <c r="I130" s="10" t="str">
        <f t="shared" si="5"/>
        <v>BRN66G-D12</v>
      </c>
      <c r="J130" s="16"/>
      <c r="K130" s="16" t="str">
        <f t="shared" si="6"/>
        <v>collected</v>
      </c>
      <c r="L130" s="16" t="str">
        <f t="shared" si="7"/>
        <v>N</v>
      </c>
      <c r="M130" s="16"/>
      <c r="N130" s="16"/>
    </row>
    <row r="131">
      <c r="A131" s="27" t="s">
        <v>305</v>
      </c>
      <c r="B131" s="10" t="str">
        <f t="shared" si="1"/>
        <v>RNA-gill</v>
      </c>
      <c r="C131" s="10" t="str">
        <f t="shared" si="2"/>
        <v>BRN66G-C12</v>
      </c>
      <c r="D131" s="11">
        <f t="array" ref="D131">iferror(index('rna-muscle'!D:D,match(A131,'rna-muscle'!A:A,0)))</f>
        <v>66</v>
      </c>
      <c r="E131" s="10" t="str">
        <f t="shared" si="3"/>
        <v>BRN66G</v>
      </c>
      <c r="F131" s="11" t="str">
        <f t="array" ref="F131">iferror(index('rna-muscle'!F:F,match($A131,'rna-muscle'!$A:$A,0)))</f>
        <v>C</v>
      </c>
      <c r="G131" s="11">
        <f t="array" ref="G131">iferror(index('rna-muscle'!G:G,match($A131,'rna-muscle'!$A:$A,0)))</f>
        <v>12</v>
      </c>
      <c r="H131" s="11" t="str">
        <f t="shared" si="4"/>
        <v>C12</v>
      </c>
      <c r="I131" s="10" t="str">
        <f t="shared" si="5"/>
        <v>BRN66G-C12</v>
      </c>
      <c r="J131" s="16"/>
      <c r="K131" s="16" t="str">
        <f t="shared" si="6"/>
        <v>collected</v>
      </c>
      <c r="L131" s="16" t="str">
        <f t="shared" si="7"/>
        <v>N</v>
      </c>
      <c r="M131" s="16"/>
      <c r="N131" s="16"/>
    </row>
    <row r="132">
      <c r="A132" s="27" t="s">
        <v>307</v>
      </c>
      <c r="B132" s="10" t="str">
        <f t="shared" si="1"/>
        <v>RNA-gill</v>
      </c>
      <c r="C132" s="10" t="str">
        <f t="shared" si="2"/>
        <v>BRN66G-B12</v>
      </c>
      <c r="D132" s="11">
        <f t="array" ref="D132">iferror(index('rna-muscle'!D:D,match(A132,'rna-muscle'!A:A,0)))</f>
        <v>66</v>
      </c>
      <c r="E132" s="10" t="str">
        <f t="shared" si="3"/>
        <v>BRN66G</v>
      </c>
      <c r="F132" s="11" t="str">
        <f t="array" ref="F132">iferror(index('rna-muscle'!F:F,match($A132,'rna-muscle'!$A:$A,0)))</f>
        <v>B</v>
      </c>
      <c r="G132" s="11">
        <f t="array" ref="G132">iferror(index('rna-muscle'!G:G,match($A132,'rna-muscle'!$A:$A,0)))</f>
        <v>12</v>
      </c>
      <c r="H132" s="11" t="str">
        <f t="shared" si="4"/>
        <v>B12</v>
      </c>
      <c r="I132" s="10" t="str">
        <f t="shared" si="5"/>
        <v>BRN66G-B12</v>
      </c>
      <c r="J132" s="16"/>
      <c r="K132" s="16" t="str">
        <f t="shared" si="6"/>
        <v>collected</v>
      </c>
      <c r="L132" s="16" t="str">
        <f t="shared" si="7"/>
        <v>N</v>
      </c>
      <c r="M132" s="16"/>
      <c r="N132" s="16"/>
    </row>
    <row r="133">
      <c r="A133" s="27" t="s">
        <v>309</v>
      </c>
      <c r="B133" s="10" t="str">
        <f t="shared" si="1"/>
        <v>RNA-gill</v>
      </c>
      <c r="C133" s="10" t="str">
        <f t="shared" si="2"/>
        <v>BRN66G-A12</v>
      </c>
      <c r="D133" s="11">
        <f t="array" ref="D133">iferror(index('rna-muscle'!D:D,match(A133,'rna-muscle'!A:A,0)))</f>
        <v>66</v>
      </c>
      <c r="E133" s="10" t="str">
        <f t="shared" si="3"/>
        <v>BRN66G</v>
      </c>
      <c r="F133" s="11" t="str">
        <f t="array" ref="F133">iferror(index('rna-muscle'!F:F,match($A133,'rna-muscle'!$A:$A,0)))</f>
        <v>A</v>
      </c>
      <c r="G133" s="11">
        <f t="array" ref="G133">iferror(index('rna-muscle'!G:G,match($A133,'rna-muscle'!$A:$A,0)))</f>
        <v>12</v>
      </c>
      <c r="H133" s="11" t="str">
        <f t="shared" si="4"/>
        <v>A12</v>
      </c>
      <c r="I133" s="10" t="str">
        <f t="shared" si="5"/>
        <v>BRN66G-A12</v>
      </c>
      <c r="J133" s="16"/>
      <c r="K133" s="16" t="str">
        <f t="shared" si="6"/>
        <v>collected</v>
      </c>
      <c r="L133" s="16" t="str">
        <f t="shared" si="7"/>
        <v>N</v>
      </c>
      <c r="M133" s="16"/>
      <c r="N133" s="16"/>
    </row>
    <row r="134">
      <c r="A134" s="27" t="s">
        <v>310</v>
      </c>
      <c r="B134" s="10" t="str">
        <f t="shared" si="1"/>
        <v>RNA-gill</v>
      </c>
      <c r="C134" s="10" t="str">
        <f t="shared" si="2"/>
        <v>BRN64G-H2</v>
      </c>
      <c r="D134" s="11">
        <f t="array" ref="D134">iferror(index('rna-muscle'!D:D,match(A134,'rna-muscle'!A:A,0)))</f>
        <v>64</v>
      </c>
      <c r="E134" s="10" t="str">
        <f t="shared" si="3"/>
        <v>BRN64G</v>
      </c>
      <c r="F134" s="11" t="str">
        <f t="array" ref="F134">iferror(index('rna-muscle'!F:F,match($A134,'rna-muscle'!$A:$A,0)))</f>
        <v>H</v>
      </c>
      <c r="G134" s="11">
        <f t="array" ref="G134">iferror(index('rna-muscle'!G:G,match($A134,'rna-muscle'!$A:$A,0)))</f>
        <v>2</v>
      </c>
      <c r="H134" s="11" t="str">
        <f t="shared" si="4"/>
        <v>H2</v>
      </c>
      <c r="I134" s="10" t="str">
        <f t="shared" si="5"/>
        <v>BRN64G-H2</v>
      </c>
      <c r="J134" s="16"/>
      <c r="K134" s="16" t="str">
        <f t="shared" si="6"/>
        <v>collected</v>
      </c>
      <c r="L134" s="16" t="str">
        <f t="shared" si="7"/>
        <v>N</v>
      </c>
      <c r="M134" s="16"/>
      <c r="N134" s="16"/>
    </row>
    <row r="135">
      <c r="A135" s="26" t="s">
        <v>312</v>
      </c>
      <c r="B135" s="10" t="str">
        <f t="shared" si="1"/>
        <v>RNA-gill</v>
      </c>
      <c r="C135" s="10" t="str">
        <f t="shared" si="2"/>
        <v>BRN64G-G2</v>
      </c>
      <c r="D135" s="11">
        <f t="array" ref="D135">iferror(index('rna-muscle'!D:D,match(A135,'rna-muscle'!A:A,0)))</f>
        <v>64</v>
      </c>
      <c r="E135" s="10" t="str">
        <f t="shared" si="3"/>
        <v>BRN64G</v>
      </c>
      <c r="F135" s="11" t="str">
        <f t="array" ref="F135">iferror(index('rna-muscle'!F:F,match($A135,'rna-muscle'!$A:$A,0)))</f>
        <v>G</v>
      </c>
      <c r="G135" s="11">
        <f t="array" ref="G135">iferror(index('rna-muscle'!G:G,match($A135,'rna-muscle'!$A:$A,0)))</f>
        <v>2</v>
      </c>
      <c r="H135" s="11" t="str">
        <f t="shared" si="4"/>
        <v>G2</v>
      </c>
      <c r="I135" s="10" t="str">
        <f t="shared" si="5"/>
        <v>BRN64G-G2</v>
      </c>
      <c r="J135" s="6"/>
      <c r="K135" s="16" t="str">
        <f t="shared" si="6"/>
        <v>collected</v>
      </c>
      <c r="L135" s="16" t="str">
        <f t="shared" si="7"/>
        <v>N</v>
      </c>
      <c r="M135" s="16"/>
      <c r="N135" s="16"/>
    </row>
    <row r="136">
      <c r="A136" s="26" t="s">
        <v>314</v>
      </c>
      <c r="B136" s="10" t="str">
        <f t="shared" si="1"/>
        <v>RNA-gill</v>
      </c>
      <c r="C136" s="10" t="str">
        <f t="shared" si="2"/>
        <v>BRN64G-F2</v>
      </c>
      <c r="D136" s="11">
        <f t="array" ref="D136">iferror(index('rna-muscle'!D:D,match(A136,'rna-muscle'!A:A,0)))</f>
        <v>64</v>
      </c>
      <c r="E136" s="10" t="str">
        <f t="shared" si="3"/>
        <v>BRN64G</v>
      </c>
      <c r="F136" s="11" t="str">
        <f t="array" ref="F136">iferror(index('rna-muscle'!F:F,match($A136,'rna-muscle'!$A:$A,0)))</f>
        <v>F</v>
      </c>
      <c r="G136" s="11">
        <f t="array" ref="G136">iferror(index('rna-muscle'!G:G,match($A136,'rna-muscle'!$A:$A,0)))</f>
        <v>2</v>
      </c>
      <c r="H136" s="11" t="str">
        <f t="shared" si="4"/>
        <v>F2</v>
      </c>
      <c r="I136" s="10" t="str">
        <f t="shared" si="5"/>
        <v>BRN64G-F2</v>
      </c>
      <c r="J136" s="16"/>
      <c r="K136" s="16" t="str">
        <f t="shared" si="6"/>
        <v>collected</v>
      </c>
      <c r="L136" s="16" t="str">
        <f t="shared" si="7"/>
        <v>N</v>
      </c>
      <c r="M136" s="16"/>
      <c r="N136" s="16"/>
    </row>
    <row r="137">
      <c r="A137" s="26" t="s">
        <v>316</v>
      </c>
      <c r="B137" s="10" t="str">
        <f t="shared" si="1"/>
        <v>RNA-gill</v>
      </c>
      <c r="C137" s="10" t="str">
        <f t="shared" si="2"/>
        <v>BRN64G-E2</v>
      </c>
      <c r="D137" s="11">
        <f t="array" ref="D137">iferror(index('rna-muscle'!D:D,match(A137,'rna-muscle'!A:A,0)))</f>
        <v>64</v>
      </c>
      <c r="E137" s="10" t="str">
        <f t="shared" si="3"/>
        <v>BRN64G</v>
      </c>
      <c r="F137" s="11" t="str">
        <f t="array" ref="F137">iferror(index('rna-muscle'!F:F,match($A137,'rna-muscle'!$A:$A,0)))</f>
        <v>E</v>
      </c>
      <c r="G137" s="11">
        <f t="array" ref="G137">iferror(index('rna-muscle'!G:G,match($A137,'rna-muscle'!$A:$A,0)))</f>
        <v>2</v>
      </c>
      <c r="H137" s="11" t="str">
        <f t="shared" si="4"/>
        <v>E2</v>
      </c>
      <c r="I137" s="10" t="str">
        <f t="shared" si="5"/>
        <v>BRN64G-E2</v>
      </c>
      <c r="J137" s="16"/>
      <c r="K137" s="16" t="str">
        <f t="shared" si="6"/>
        <v>collected</v>
      </c>
      <c r="L137" s="16" t="str">
        <f t="shared" si="7"/>
        <v>N</v>
      </c>
      <c r="M137" s="16"/>
      <c r="N137" s="16"/>
    </row>
    <row r="138">
      <c r="A138" s="26" t="s">
        <v>317</v>
      </c>
      <c r="B138" s="10" t="str">
        <f t="shared" si="1"/>
        <v>RNA-gill</v>
      </c>
      <c r="C138" s="10" t="str">
        <f t="shared" si="2"/>
        <v>BRN64G-D2</v>
      </c>
      <c r="D138" s="11">
        <f t="array" ref="D138">iferror(index('rna-muscle'!D:D,match(A138,'rna-muscle'!A:A,0)))</f>
        <v>64</v>
      </c>
      <c r="E138" s="10" t="str">
        <f t="shared" si="3"/>
        <v>BRN64G</v>
      </c>
      <c r="F138" s="11" t="str">
        <f t="array" ref="F138">iferror(index('rna-muscle'!F:F,match($A138,'rna-muscle'!$A:$A,0)))</f>
        <v>D</v>
      </c>
      <c r="G138" s="11">
        <f t="array" ref="G138">iferror(index('rna-muscle'!G:G,match($A138,'rna-muscle'!$A:$A,0)))</f>
        <v>2</v>
      </c>
      <c r="H138" s="11" t="str">
        <f t="shared" si="4"/>
        <v>D2</v>
      </c>
      <c r="I138" s="10" t="str">
        <f t="shared" si="5"/>
        <v>BRN64G-D2</v>
      </c>
      <c r="J138" s="16"/>
      <c r="K138" s="16" t="str">
        <f t="shared" si="6"/>
        <v>collected</v>
      </c>
      <c r="L138" s="16" t="str">
        <f t="shared" si="7"/>
        <v>N</v>
      </c>
      <c r="M138" s="16"/>
      <c r="N138" s="16"/>
    </row>
    <row r="139">
      <c r="A139" s="26" t="s">
        <v>318</v>
      </c>
      <c r="B139" s="10" t="str">
        <f t="shared" si="1"/>
        <v>RNA-gill</v>
      </c>
      <c r="C139" s="10" t="str">
        <f t="shared" si="2"/>
        <v>BRN64G-C2</v>
      </c>
      <c r="D139" s="11">
        <f t="array" ref="D139">iferror(index('rna-muscle'!D:D,match(A139,'rna-muscle'!A:A,0)))</f>
        <v>64</v>
      </c>
      <c r="E139" s="10" t="str">
        <f t="shared" si="3"/>
        <v>BRN64G</v>
      </c>
      <c r="F139" s="11" t="str">
        <f t="array" ref="F139">iferror(index('rna-muscle'!F:F,match($A139,'rna-muscle'!$A:$A,0)))</f>
        <v>C</v>
      </c>
      <c r="G139" s="11">
        <f t="array" ref="G139">iferror(index('rna-muscle'!G:G,match($A139,'rna-muscle'!$A:$A,0)))</f>
        <v>2</v>
      </c>
      <c r="H139" s="11" t="str">
        <f t="shared" si="4"/>
        <v>C2</v>
      </c>
      <c r="I139" s="10" t="str">
        <f t="shared" si="5"/>
        <v>BRN64G-C2</v>
      </c>
      <c r="J139" s="16"/>
      <c r="K139" s="16" t="str">
        <f t="shared" si="6"/>
        <v>collected</v>
      </c>
      <c r="L139" s="16" t="str">
        <f t="shared" si="7"/>
        <v>N</v>
      </c>
      <c r="M139" s="16"/>
      <c r="N139" s="16"/>
    </row>
    <row r="140">
      <c r="A140" s="26" t="s">
        <v>322</v>
      </c>
      <c r="B140" s="10" t="str">
        <f t="shared" si="1"/>
        <v>RNA-gill</v>
      </c>
      <c r="C140" s="10" t="str">
        <f t="shared" si="2"/>
        <v>BRN64G-B2</v>
      </c>
      <c r="D140" s="11">
        <f t="array" ref="D140">iferror(index('rna-muscle'!D:D,match(A140,'rna-muscle'!A:A,0)))</f>
        <v>64</v>
      </c>
      <c r="E140" s="10" t="str">
        <f t="shared" si="3"/>
        <v>BRN64G</v>
      </c>
      <c r="F140" s="11" t="str">
        <f t="array" ref="F140">iferror(index('rna-muscle'!F:F,match($A140,'rna-muscle'!$A:$A,0)))</f>
        <v>B</v>
      </c>
      <c r="G140" s="11">
        <f t="array" ref="G140">iferror(index('rna-muscle'!G:G,match($A140,'rna-muscle'!$A:$A,0)))</f>
        <v>2</v>
      </c>
      <c r="H140" s="11" t="str">
        <f t="shared" si="4"/>
        <v>B2</v>
      </c>
      <c r="I140" s="10" t="str">
        <f t="shared" si="5"/>
        <v>BRN64G-B2</v>
      </c>
      <c r="J140" s="16"/>
      <c r="K140" s="16" t="str">
        <f t="shared" si="6"/>
        <v>collected</v>
      </c>
      <c r="L140" s="16" t="str">
        <f t="shared" si="7"/>
        <v>N</v>
      </c>
      <c r="M140" s="16"/>
      <c r="N140" s="16"/>
    </row>
    <row r="141">
      <c r="A141" s="26" t="s">
        <v>327</v>
      </c>
      <c r="B141" s="10" t="str">
        <f t="shared" si="1"/>
        <v>RNA-gill</v>
      </c>
      <c r="C141" s="10" t="str">
        <f t="shared" si="2"/>
        <v>BRN64G-A2</v>
      </c>
      <c r="D141" s="11">
        <f t="array" ref="D141">iferror(index('rna-muscle'!D:D,match(A141,'rna-muscle'!A:A,0)))</f>
        <v>64</v>
      </c>
      <c r="E141" s="10" t="str">
        <f t="shared" si="3"/>
        <v>BRN64G</v>
      </c>
      <c r="F141" s="11" t="str">
        <f t="array" ref="F141">iferror(index('rna-muscle'!F:F,match($A141,'rna-muscle'!$A:$A,0)))</f>
        <v>A</v>
      </c>
      <c r="G141" s="11">
        <f t="array" ref="G141">iferror(index('rna-muscle'!G:G,match($A141,'rna-muscle'!$A:$A,0)))</f>
        <v>2</v>
      </c>
      <c r="H141" s="11" t="str">
        <f t="shared" si="4"/>
        <v>A2</v>
      </c>
      <c r="I141" s="10" t="str">
        <f t="shared" si="5"/>
        <v>BRN64G-A2</v>
      </c>
      <c r="J141" s="16"/>
      <c r="K141" s="16" t="str">
        <f t="shared" si="6"/>
        <v>collected</v>
      </c>
      <c r="L141" s="16" t="str">
        <f t="shared" si="7"/>
        <v>N</v>
      </c>
      <c r="M141" s="16"/>
      <c r="N141" s="16"/>
    </row>
    <row r="142">
      <c r="A142" s="27" t="s">
        <v>328</v>
      </c>
      <c r="B142" s="10" t="str">
        <f t="shared" si="1"/>
        <v>RNA-gill</v>
      </c>
      <c r="C142" s="10" t="str">
        <f t="shared" si="2"/>
        <v>BRN64G-H4</v>
      </c>
      <c r="D142" s="11">
        <f t="array" ref="D142">iferror(index('rna-muscle'!D:D,match(A142,'rna-muscle'!A:A,0)))</f>
        <v>64</v>
      </c>
      <c r="E142" s="10" t="str">
        <f t="shared" si="3"/>
        <v>BRN64G</v>
      </c>
      <c r="F142" s="11" t="str">
        <f t="array" ref="F142">iferror(index('rna-muscle'!F:F,match($A142,'rna-muscle'!$A:$A,0)))</f>
        <v>H</v>
      </c>
      <c r="G142" s="11">
        <f t="array" ref="G142">iferror(index('rna-muscle'!G:G,match($A142,'rna-muscle'!$A:$A,0)))</f>
        <v>4</v>
      </c>
      <c r="H142" s="11" t="str">
        <f t="shared" si="4"/>
        <v>H4</v>
      </c>
      <c r="I142" s="10" t="str">
        <f t="shared" si="5"/>
        <v>BRN64G-H4</v>
      </c>
      <c r="J142" s="16"/>
      <c r="K142" s="16" t="str">
        <f t="shared" si="6"/>
        <v>collected</v>
      </c>
      <c r="L142" s="16" t="str">
        <f t="shared" si="7"/>
        <v>N</v>
      </c>
      <c r="M142" s="16"/>
      <c r="N142" s="16"/>
    </row>
    <row r="143">
      <c r="A143" s="27" t="s">
        <v>332</v>
      </c>
      <c r="B143" s="10" t="str">
        <f t="shared" si="1"/>
        <v>RNA-gill</v>
      </c>
      <c r="C143" s="10" t="str">
        <f t="shared" si="2"/>
        <v>BRN64G-G4</v>
      </c>
      <c r="D143" s="11">
        <f t="array" ref="D143">iferror(index('rna-muscle'!D:D,match(A143,'rna-muscle'!A:A,0)))</f>
        <v>64</v>
      </c>
      <c r="E143" s="10" t="str">
        <f t="shared" si="3"/>
        <v>BRN64G</v>
      </c>
      <c r="F143" s="11" t="str">
        <f t="array" ref="F143">iferror(index('rna-muscle'!F:F,match($A143,'rna-muscle'!$A:$A,0)))</f>
        <v>G</v>
      </c>
      <c r="G143" s="11">
        <f t="array" ref="G143">iferror(index('rna-muscle'!G:G,match($A143,'rna-muscle'!$A:$A,0)))</f>
        <v>4</v>
      </c>
      <c r="H143" s="11" t="str">
        <f t="shared" si="4"/>
        <v>G4</v>
      </c>
      <c r="I143" s="10" t="str">
        <f t="shared" si="5"/>
        <v>BRN64G-G4</v>
      </c>
      <c r="J143" s="6"/>
      <c r="K143" s="16" t="str">
        <f t="shared" si="6"/>
        <v>collected</v>
      </c>
      <c r="L143" s="16" t="str">
        <f t="shared" si="7"/>
        <v>N</v>
      </c>
      <c r="M143" s="16"/>
      <c r="N143" s="16"/>
    </row>
    <row r="144">
      <c r="A144" s="27" t="s">
        <v>334</v>
      </c>
      <c r="B144" s="10" t="str">
        <f t="shared" si="1"/>
        <v>RNA-gill</v>
      </c>
      <c r="C144" s="10" t="str">
        <f t="shared" si="2"/>
        <v>BRN64G-F4</v>
      </c>
      <c r="D144" s="11">
        <f t="array" ref="D144">iferror(index('rna-muscle'!D:D,match(A144,'rna-muscle'!A:A,0)))</f>
        <v>64</v>
      </c>
      <c r="E144" s="10" t="str">
        <f t="shared" si="3"/>
        <v>BRN64G</v>
      </c>
      <c r="F144" s="11" t="str">
        <f t="array" ref="F144">iferror(index('rna-muscle'!F:F,match($A144,'rna-muscle'!$A:$A,0)))</f>
        <v>F</v>
      </c>
      <c r="G144" s="11">
        <f t="array" ref="G144">iferror(index('rna-muscle'!G:G,match($A144,'rna-muscle'!$A:$A,0)))</f>
        <v>4</v>
      </c>
      <c r="H144" s="11" t="str">
        <f t="shared" si="4"/>
        <v>F4</v>
      </c>
      <c r="I144" s="10" t="str">
        <f t="shared" si="5"/>
        <v>BRN64G-F4</v>
      </c>
      <c r="J144" s="6"/>
      <c r="K144" s="16" t="str">
        <f t="shared" si="6"/>
        <v>collected</v>
      </c>
      <c r="L144" s="16" t="str">
        <f t="shared" si="7"/>
        <v>N</v>
      </c>
      <c r="M144" s="16"/>
      <c r="N144" s="16"/>
    </row>
    <row r="145">
      <c r="A145" s="27" t="s">
        <v>335</v>
      </c>
      <c r="B145" s="10" t="str">
        <f t="shared" si="1"/>
        <v>RNA-gill</v>
      </c>
      <c r="C145" s="10" t="str">
        <f t="shared" si="2"/>
        <v>BRN64G-E4</v>
      </c>
      <c r="D145" s="11">
        <f t="array" ref="D145">iferror(index('rna-muscle'!D:D,match(A145,'rna-muscle'!A:A,0)))</f>
        <v>64</v>
      </c>
      <c r="E145" s="10" t="str">
        <f t="shared" si="3"/>
        <v>BRN64G</v>
      </c>
      <c r="F145" s="11" t="str">
        <f t="array" ref="F145">iferror(index('rna-muscle'!F:F,match($A145,'rna-muscle'!$A:$A,0)))</f>
        <v>E</v>
      </c>
      <c r="G145" s="11">
        <f t="array" ref="G145">iferror(index('rna-muscle'!G:G,match($A145,'rna-muscle'!$A:$A,0)))</f>
        <v>4</v>
      </c>
      <c r="H145" s="11" t="str">
        <f t="shared" si="4"/>
        <v>E4</v>
      </c>
      <c r="I145" s="10" t="str">
        <f t="shared" si="5"/>
        <v>BRN64G-E4</v>
      </c>
      <c r="J145" s="16"/>
      <c r="K145" s="16" t="str">
        <f t="shared" si="6"/>
        <v>collected</v>
      </c>
      <c r="L145" s="16" t="str">
        <f t="shared" si="7"/>
        <v>N</v>
      </c>
      <c r="M145" s="16"/>
      <c r="N145" s="16"/>
    </row>
    <row r="146">
      <c r="A146" s="27" t="s">
        <v>336</v>
      </c>
      <c r="B146" s="10" t="str">
        <f t="shared" si="1"/>
        <v>RNA-gill</v>
      </c>
      <c r="C146" s="10" t="str">
        <f t="shared" si="2"/>
        <v>BRN64G-D4</v>
      </c>
      <c r="D146" s="11">
        <f t="array" ref="D146">iferror(index('rna-muscle'!D:D,match(A146,'rna-muscle'!A:A,0)))</f>
        <v>64</v>
      </c>
      <c r="E146" s="10" t="str">
        <f t="shared" si="3"/>
        <v>BRN64G</v>
      </c>
      <c r="F146" s="11" t="str">
        <f t="array" ref="F146">iferror(index('rna-muscle'!F:F,match($A146,'rna-muscle'!$A:$A,0)))</f>
        <v>D</v>
      </c>
      <c r="G146" s="11">
        <f t="array" ref="G146">iferror(index('rna-muscle'!G:G,match($A146,'rna-muscle'!$A:$A,0)))</f>
        <v>4</v>
      </c>
      <c r="H146" s="11" t="str">
        <f t="shared" si="4"/>
        <v>D4</v>
      </c>
      <c r="I146" s="10" t="str">
        <f t="shared" si="5"/>
        <v>BRN64G-D4</v>
      </c>
      <c r="J146" s="16"/>
      <c r="K146" s="16" t="str">
        <f t="shared" si="6"/>
        <v>collected</v>
      </c>
      <c r="L146" s="16" t="str">
        <f t="shared" si="7"/>
        <v>N</v>
      </c>
      <c r="M146" s="16"/>
      <c r="N146" s="16"/>
    </row>
    <row r="147">
      <c r="A147" s="27" t="s">
        <v>338</v>
      </c>
      <c r="B147" s="10" t="str">
        <f t="shared" si="1"/>
        <v>RNA-gill</v>
      </c>
      <c r="C147" s="10" t="str">
        <f t="shared" si="2"/>
        <v>BRN64G-C4</v>
      </c>
      <c r="D147" s="11">
        <f t="array" ref="D147">iferror(index('rna-muscle'!D:D,match(A147,'rna-muscle'!A:A,0)))</f>
        <v>64</v>
      </c>
      <c r="E147" s="10" t="str">
        <f t="shared" si="3"/>
        <v>BRN64G</v>
      </c>
      <c r="F147" s="11" t="str">
        <f t="array" ref="F147">iferror(index('rna-muscle'!F:F,match($A147,'rna-muscle'!$A:$A,0)))</f>
        <v>C</v>
      </c>
      <c r="G147" s="11">
        <f t="array" ref="G147">iferror(index('rna-muscle'!G:G,match($A147,'rna-muscle'!$A:$A,0)))</f>
        <v>4</v>
      </c>
      <c r="H147" s="11" t="str">
        <f t="shared" si="4"/>
        <v>C4</v>
      </c>
      <c r="I147" s="10" t="str">
        <f t="shared" si="5"/>
        <v>BRN64G-C4</v>
      </c>
      <c r="J147" s="16"/>
      <c r="K147" s="16" t="str">
        <f t="shared" si="6"/>
        <v>collected</v>
      </c>
      <c r="L147" s="16" t="str">
        <f t="shared" si="7"/>
        <v>N</v>
      </c>
      <c r="M147" s="16"/>
      <c r="N147" s="16"/>
    </row>
    <row r="148">
      <c r="A148" s="27" t="s">
        <v>339</v>
      </c>
      <c r="B148" s="10" t="str">
        <f t="shared" si="1"/>
        <v>RNA-gill</v>
      </c>
      <c r="C148" s="10" t="str">
        <f t="shared" si="2"/>
        <v>BRN64G-B4</v>
      </c>
      <c r="D148" s="11">
        <f t="array" ref="D148">iferror(index('rna-muscle'!D:D,match(A148,'rna-muscle'!A:A,0)))</f>
        <v>64</v>
      </c>
      <c r="E148" s="10" t="str">
        <f t="shared" si="3"/>
        <v>BRN64G</v>
      </c>
      <c r="F148" s="11" t="str">
        <f t="array" ref="F148">iferror(index('rna-muscle'!F:F,match($A148,'rna-muscle'!$A:$A,0)))</f>
        <v>B</v>
      </c>
      <c r="G148" s="11">
        <f t="array" ref="G148">iferror(index('rna-muscle'!G:G,match($A148,'rna-muscle'!$A:$A,0)))</f>
        <v>4</v>
      </c>
      <c r="H148" s="11" t="str">
        <f t="shared" si="4"/>
        <v>B4</v>
      </c>
      <c r="I148" s="10" t="str">
        <f t="shared" si="5"/>
        <v>BRN64G-B4</v>
      </c>
      <c r="J148" s="16"/>
      <c r="K148" s="16" t="str">
        <f t="shared" si="6"/>
        <v>collected</v>
      </c>
      <c r="L148" s="16" t="str">
        <f t="shared" si="7"/>
        <v>N</v>
      </c>
      <c r="M148" s="16"/>
      <c r="N148" s="16"/>
    </row>
    <row r="149">
      <c r="A149" s="27" t="s">
        <v>340</v>
      </c>
      <c r="B149" s="10" t="str">
        <f t="shared" si="1"/>
        <v>RNA-gill</v>
      </c>
      <c r="C149" s="10" t="str">
        <f t="shared" si="2"/>
        <v>BRN64G-A4</v>
      </c>
      <c r="D149" s="11">
        <f t="array" ref="D149">iferror(index('rna-muscle'!D:D,match(A149,'rna-muscle'!A:A,0)))</f>
        <v>64</v>
      </c>
      <c r="E149" s="10" t="str">
        <f t="shared" si="3"/>
        <v>BRN64G</v>
      </c>
      <c r="F149" s="11" t="str">
        <f t="array" ref="F149">iferror(index('rna-muscle'!F:F,match($A149,'rna-muscle'!$A:$A,0)))</f>
        <v>A</v>
      </c>
      <c r="G149" s="11">
        <f t="array" ref="G149">iferror(index('rna-muscle'!G:G,match($A149,'rna-muscle'!$A:$A,0)))</f>
        <v>4</v>
      </c>
      <c r="H149" s="11" t="str">
        <f t="shared" si="4"/>
        <v>A4</v>
      </c>
      <c r="I149" s="10" t="str">
        <f t="shared" si="5"/>
        <v>BRN64G-A4</v>
      </c>
      <c r="J149" s="6"/>
      <c r="K149" s="16" t="str">
        <f t="shared" si="6"/>
        <v>collected</v>
      </c>
      <c r="L149" s="16" t="str">
        <f t="shared" si="7"/>
        <v>N</v>
      </c>
      <c r="M149" s="16"/>
      <c r="N149" s="16"/>
    </row>
    <row r="150">
      <c r="A150" s="27" t="s">
        <v>341</v>
      </c>
      <c r="B150" s="10" t="str">
        <f t="shared" si="1"/>
        <v>RNA-gill</v>
      </c>
      <c r="C150" s="10" t="str">
        <f t="shared" si="2"/>
        <v>BRN64G-G6</v>
      </c>
      <c r="D150" s="11">
        <f t="array" ref="D150">iferror(index('rna-muscle'!D:D,match(A150,'rna-muscle'!A:A,0)))</f>
        <v>64</v>
      </c>
      <c r="E150" s="10" t="str">
        <f t="shared" si="3"/>
        <v>BRN64G</v>
      </c>
      <c r="F150" s="11" t="str">
        <f t="array" ref="F150">iferror(index('rna-muscle'!F:F,match($A150,'rna-muscle'!$A:$A,0)))</f>
        <v>G</v>
      </c>
      <c r="G150" s="11">
        <f t="array" ref="G150">iferror(index('rna-muscle'!G:G,match($A150,'rna-muscle'!$A:$A,0)))</f>
        <v>6</v>
      </c>
      <c r="H150" s="11" t="str">
        <f t="shared" si="4"/>
        <v>G6</v>
      </c>
      <c r="I150" s="10" t="str">
        <f t="shared" si="5"/>
        <v>BRN64G-G6</v>
      </c>
      <c r="J150" s="6"/>
      <c r="K150" s="16" t="str">
        <f t="shared" si="6"/>
        <v>collected</v>
      </c>
      <c r="L150" s="16" t="str">
        <f t="shared" si="7"/>
        <v>N</v>
      </c>
      <c r="M150" s="16"/>
      <c r="N150" s="16"/>
    </row>
    <row r="151">
      <c r="A151" s="26" t="s">
        <v>342</v>
      </c>
      <c r="B151" s="10" t="str">
        <f t="shared" si="1"/>
        <v>RNA-gill</v>
      </c>
      <c r="C151" s="10" t="str">
        <f t="shared" si="2"/>
        <v>BRN64G-H3</v>
      </c>
      <c r="D151" s="11">
        <f t="array" ref="D151">iferror(index('rna-muscle'!D:D,match(A151,'rna-muscle'!A:A,0)))</f>
        <v>64</v>
      </c>
      <c r="E151" s="10" t="str">
        <f t="shared" si="3"/>
        <v>BRN64G</v>
      </c>
      <c r="F151" s="11" t="str">
        <f t="array" ref="F151">iferror(index('rna-muscle'!F:F,match($A151,'rna-muscle'!$A:$A,0)))</f>
        <v>H</v>
      </c>
      <c r="G151" s="11">
        <f t="array" ref="G151">iferror(index('rna-muscle'!G:G,match($A151,'rna-muscle'!$A:$A,0)))</f>
        <v>3</v>
      </c>
      <c r="H151" s="11" t="str">
        <f t="shared" si="4"/>
        <v>H3</v>
      </c>
      <c r="I151" s="10" t="str">
        <f t="shared" si="5"/>
        <v>BRN64G-H3</v>
      </c>
      <c r="J151" s="16"/>
      <c r="K151" s="16" t="str">
        <f t="shared" si="6"/>
        <v>collected</v>
      </c>
      <c r="L151" s="16" t="str">
        <f t="shared" si="7"/>
        <v>N</v>
      </c>
      <c r="M151" s="16"/>
      <c r="N151" s="16"/>
    </row>
    <row r="152">
      <c r="A152" s="26" t="s">
        <v>344</v>
      </c>
      <c r="B152" s="10" t="str">
        <f t="shared" si="1"/>
        <v>RNA-gill</v>
      </c>
      <c r="C152" s="10" t="str">
        <f t="shared" si="2"/>
        <v>BRN64G-G3</v>
      </c>
      <c r="D152" s="11">
        <f t="array" ref="D152">iferror(index('rna-muscle'!D:D,match(A152,'rna-muscle'!A:A,0)))</f>
        <v>64</v>
      </c>
      <c r="E152" s="10" t="str">
        <f t="shared" si="3"/>
        <v>BRN64G</v>
      </c>
      <c r="F152" s="11" t="str">
        <f t="array" ref="F152">iferror(index('rna-muscle'!F:F,match($A152,'rna-muscle'!$A:$A,0)))</f>
        <v>G</v>
      </c>
      <c r="G152" s="11">
        <f t="array" ref="G152">iferror(index('rna-muscle'!G:G,match($A152,'rna-muscle'!$A:$A,0)))</f>
        <v>3</v>
      </c>
      <c r="H152" s="11" t="str">
        <f t="shared" si="4"/>
        <v>G3</v>
      </c>
      <c r="I152" s="10" t="str">
        <f t="shared" si="5"/>
        <v>BRN64G-G3</v>
      </c>
      <c r="J152" s="16"/>
      <c r="K152" s="16" t="str">
        <f t="shared" si="6"/>
        <v>collected</v>
      </c>
      <c r="L152" s="16" t="str">
        <f t="shared" si="7"/>
        <v>N</v>
      </c>
      <c r="M152" s="16"/>
      <c r="N152" s="16"/>
    </row>
    <row r="153">
      <c r="A153" s="26" t="s">
        <v>345</v>
      </c>
      <c r="B153" s="10" t="str">
        <f t="shared" si="1"/>
        <v>RNA-gill</v>
      </c>
      <c r="C153" s="10" t="str">
        <f t="shared" si="2"/>
        <v>BRN64G-F3</v>
      </c>
      <c r="D153" s="11">
        <f t="array" ref="D153">iferror(index('rna-muscle'!D:D,match(A153,'rna-muscle'!A:A,0)))</f>
        <v>64</v>
      </c>
      <c r="E153" s="10" t="str">
        <f t="shared" si="3"/>
        <v>BRN64G</v>
      </c>
      <c r="F153" s="11" t="str">
        <f t="array" ref="F153">iferror(index('rna-muscle'!F:F,match($A153,'rna-muscle'!$A:$A,0)))</f>
        <v>F</v>
      </c>
      <c r="G153" s="11">
        <f t="array" ref="G153">iferror(index('rna-muscle'!G:G,match($A153,'rna-muscle'!$A:$A,0)))</f>
        <v>3</v>
      </c>
      <c r="H153" s="11" t="str">
        <f t="shared" si="4"/>
        <v>F3</v>
      </c>
      <c r="I153" s="10" t="str">
        <f t="shared" si="5"/>
        <v>BRN64G-F3</v>
      </c>
      <c r="J153" s="16"/>
      <c r="K153" s="16" t="str">
        <f t="shared" si="6"/>
        <v>collected</v>
      </c>
      <c r="L153" s="16" t="str">
        <f t="shared" si="7"/>
        <v>N</v>
      </c>
      <c r="M153" s="16"/>
      <c r="N153" s="16"/>
    </row>
    <row r="154">
      <c r="A154" s="26" t="s">
        <v>347</v>
      </c>
      <c r="B154" s="10" t="str">
        <f t="shared" si="1"/>
        <v>RNA-gill</v>
      </c>
      <c r="C154" s="10" t="str">
        <f t="shared" si="2"/>
        <v>BRN64G-E3</v>
      </c>
      <c r="D154" s="11">
        <f t="array" ref="D154">iferror(index('rna-muscle'!D:D,match(A154,'rna-muscle'!A:A,0)))</f>
        <v>64</v>
      </c>
      <c r="E154" s="10" t="str">
        <f t="shared" si="3"/>
        <v>BRN64G</v>
      </c>
      <c r="F154" s="11" t="str">
        <f t="array" ref="F154">iferror(index('rna-muscle'!F:F,match($A154,'rna-muscle'!$A:$A,0)))</f>
        <v>E</v>
      </c>
      <c r="G154" s="11">
        <f t="array" ref="G154">iferror(index('rna-muscle'!G:G,match($A154,'rna-muscle'!$A:$A,0)))</f>
        <v>3</v>
      </c>
      <c r="H154" s="11" t="str">
        <f t="shared" si="4"/>
        <v>E3</v>
      </c>
      <c r="I154" s="10" t="str">
        <f t="shared" si="5"/>
        <v>BRN64G-E3</v>
      </c>
      <c r="J154" s="16"/>
      <c r="K154" s="16" t="str">
        <f t="shared" si="6"/>
        <v>collected</v>
      </c>
      <c r="L154" s="16" t="str">
        <f t="shared" si="7"/>
        <v>N</v>
      </c>
      <c r="M154" s="16"/>
      <c r="N154" s="16"/>
    </row>
    <row r="155">
      <c r="A155" s="26" t="s">
        <v>348</v>
      </c>
      <c r="B155" s="10" t="str">
        <f t="shared" si="1"/>
        <v>RNA-gill</v>
      </c>
      <c r="C155" s="10" t="str">
        <f t="shared" si="2"/>
        <v>BRN64G-D3</v>
      </c>
      <c r="D155" s="11">
        <f t="array" ref="D155">iferror(index('rna-muscle'!D:D,match(A155,'rna-muscle'!A:A,0)))</f>
        <v>64</v>
      </c>
      <c r="E155" s="10" t="str">
        <f t="shared" si="3"/>
        <v>BRN64G</v>
      </c>
      <c r="F155" s="11" t="str">
        <f t="array" ref="F155">iferror(index('rna-muscle'!F:F,match($A155,'rna-muscle'!$A:$A,0)))</f>
        <v>D</v>
      </c>
      <c r="G155" s="11">
        <f t="array" ref="G155">iferror(index('rna-muscle'!G:G,match($A155,'rna-muscle'!$A:$A,0)))</f>
        <v>3</v>
      </c>
      <c r="H155" s="11" t="str">
        <f t="shared" si="4"/>
        <v>D3</v>
      </c>
      <c r="I155" s="10" t="str">
        <f t="shared" si="5"/>
        <v>BRN64G-D3</v>
      </c>
      <c r="J155" s="16"/>
      <c r="K155" s="16" t="str">
        <f t="shared" si="6"/>
        <v>collected</v>
      </c>
      <c r="L155" s="16" t="str">
        <f t="shared" si="7"/>
        <v>N</v>
      </c>
      <c r="M155" s="16"/>
      <c r="N155" s="16"/>
    </row>
    <row r="156">
      <c r="A156" s="26" t="s">
        <v>349</v>
      </c>
      <c r="B156" s="10" t="str">
        <f t="shared" si="1"/>
        <v>RNA-gill</v>
      </c>
      <c r="C156" s="10" t="str">
        <f t="shared" si="2"/>
        <v>BRN64G-C3</v>
      </c>
      <c r="D156" s="11">
        <f t="array" ref="D156">iferror(index('rna-muscle'!D:D,match(A156,'rna-muscle'!A:A,0)))</f>
        <v>64</v>
      </c>
      <c r="E156" s="10" t="str">
        <f t="shared" si="3"/>
        <v>BRN64G</v>
      </c>
      <c r="F156" s="11" t="str">
        <f t="array" ref="F156">iferror(index('rna-muscle'!F:F,match($A156,'rna-muscle'!$A:$A,0)))</f>
        <v>C</v>
      </c>
      <c r="G156" s="11">
        <f t="array" ref="G156">iferror(index('rna-muscle'!G:G,match($A156,'rna-muscle'!$A:$A,0)))</f>
        <v>3</v>
      </c>
      <c r="H156" s="11" t="str">
        <f t="shared" si="4"/>
        <v>C3</v>
      </c>
      <c r="I156" s="10" t="str">
        <f t="shared" si="5"/>
        <v>BRN64G-C3</v>
      </c>
      <c r="J156" s="16"/>
      <c r="K156" s="16" t="str">
        <f t="shared" si="6"/>
        <v>collected</v>
      </c>
      <c r="L156" s="16" t="str">
        <f t="shared" si="7"/>
        <v>N</v>
      </c>
      <c r="M156" s="16"/>
      <c r="N156" s="16"/>
    </row>
    <row r="157">
      <c r="A157" s="26" t="s">
        <v>351</v>
      </c>
      <c r="B157" s="10" t="str">
        <f t="shared" si="1"/>
        <v>RNA-gill</v>
      </c>
      <c r="C157" s="10" t="str">
        <f t="shared" si="2"/>
        <v>BRN64G-B3</v>
      </c>
      <c r="D157" s="11">
        <f t="array" ref="D157">iferror(index('rna-muscle'!D:D,match(A157,'rna-muscle'!A:A,0)))</f>
        <v>64</v>
      </c>
      <c r="E157" s="10" t="str">
        <f t="shared" si="3"/>
        <v>BRN64G</v>
      </c>
      <c r="F157" s="11" t="str">
        <f t="array" ref="F157">iferror(index('rna-muscle'!F:F,match($A157,'rna-muscle'!$A:$A,0)))</f>
        <v>B</v>
      </c>
      <c r="G157" s="11">
        <f t="array" ref="G157">iferror(index('rna-muscle'!G:G,match($A157,'rna-muscle'!$A:$A,0)))</f>
        <v>3</v>
      </c>
      <c r="H157" s="11" t="str">
        <f t="shared" si="4"/>
        <v>B3</v>
      </c>
      <c r="I157" s="10" t="str">
        <f t="shared" si="5"/>
        <v>BRN64G-B3</v>
      </c>
      <c r="J157" s="16"/>
      <c r="K157" s="16" t="str">
        <f t="shared" si="6"/>
        <v>collected</v>
      </c>
      <c r="L157" s="16" t="str">
        <f t="shared" si="7"/>
        <v>N</v>
      </c>
      <c r="M157" s="16"/>
      <c r="N157" s="16"/>
    </row>
    <row r="158">
      <c r="A158" s="26" t="s">
        <v>353</v>
      </c>
      <c r="B158" s="10" t="str">
        <f t="shared" si="1"/>
        <v>RNA-gill</v>
      </c>
      <c r="C158" s="10" t="str">
        <f t="shared" si="2"/>
        <v>BRN64G-A3</v>
      </c>
      <c r="D158" s="11">
        <f t="array" ref="D158">iferror(index('rna-muscle'!D:D,match(A158,'rna-muscle'!A:A,0)))</f>
        <v>64</v>
      </c>
      <c r="E158" s="10" t="str">
        <f t="shared" si="3"/>
        <v>BRN64G</v>
      </c>
      <c r="F158" s="11" t="str">
        <f t="array" ref="F158">iferror(index('rna-muscle'!F:F,match($A158,'rna-muscle'!$A:$A,0)))</f>
        <v>A</v>
      </c>
      <c r="G158" s="11">
        <f t="array" ref="G158">iferror(index('rna-muscle'!G:G,match($A158,'rna-muscle'!$A:$A,0)))</f>
        <v>3</v>
      </c>
      <c r="H158" s="11" t="str">
        <f t="shared" si="4"/>
        <v>A3</v>
      </c>
      <c r="I158" s="10" t="str">
        <f t="shared" si="5"/>
        <v>BRN64G-A3</v>
      </c>
      <c r="J158" s="16"/>
      <c r="K158" s="16" t="str">
        <f t="shared" si="6"/>
        <v>collected</v>
      </c>
      <c r="L158" s="16" t="str">
        <f t="shared" si="7"/>
        <v>N</v>
      </c>
      <c r="M158" s="16"/>
      <c r="N158" s="16"/>
    </row>
    <row r="159">
      <c r="A159" s="26" t="s">
        <v>354</v>
      </c>
      <c r="B159" s="10" t="str">
        <f t="shared" si="1"/>
        <v>RNA-gill</v>
      </c>
      <c r="C159" s="10" t="str">
        <f t="shared" si="2"/>
        <v>BRN64G-H5</v>
      </c>
      <c r="D159" s="11">
        <f t="array" ref="D159">iferror(index('rna-muscle'!D:D,match(A159,'rna-muscle'!A:A,0)))</f>
        <v>64</v>
      </c>
      <c r="E159" s="10" t="str">
        <f t="shared" si="3"/>
        <v>BRN64G</v>
      </c>
      <c r="F159" s="11" t="str">
        <f t="array" ref="F159">iferror(index('rna-muscle'!F:F,match($A159,'rna-muscle'!$A:$A,0)))</f>
        <v>H</v>
      </c>
      <c r="G159" s="11">
        <f t="array" ref="G159">iferror(index('rna-muscle'!G:G,match($A159,'rna-muscle'!$A:$A,0)))</f>
        <v>5</v>
      </c>
      <c r="H159" s="11" t="str">
        <f t="shared" si="4"/>
        <v>H5</v>
      </c>
      <c r="I159" s="10" t="str">
        <f t="shared" si="5"/>
        <v>BRN64G-H5</v>
      </c>
      <c r="J159" s="16"/>
      <c r="K159" s="16" t="str">
        <f t="shared" si="6"/>
        <v>collected</v>
      </c>
      <c r="L159" s="16" t="str">
        <f t="shared" si="7"/>
        <v>N</v>
      </c>
      <c r="M159" s="16"/>
      <c r="N159" s="16"/>
    </row>
    <row r="160">
      <c r="A160" s="26" t="s">
        <v>355</v>
      </c>
      <c r="B160" s="10" t="str">
        <f t="shared" si="1"/>
        <v>RNA-gill</v>
      </c>
      <c r="C160" s="10" t="str">
        <f t="shared" si="2"/>
        <v>BRN64G-G5</v>
      </c>
      <c r="D160" s="11">
        <f t="array" ref="D160">iferror(index('rna-muscle'!D:D,match(A160,'rna-muscle'!A:A,0)))</f>
        <v>64</v>
      </c>
      <c r="E160" s="10" t="str">
        <f t="shared" si="3"/>
        <v>BRN64G</v>
      </c>
      <c r="F160" s="11" t="str">
        <f t="array" ref="F160">iferror(index('rna-muscle'!F:F,match($A160,'rna-muscle'!$A:$A,0)))</f>
        <v>G</v>
      </c>
      <c r="G160" s="11">
        <f t="array" ref="G160">iferror(index('rna-muscle'!G:G,match($A160,'rna-muscle'!$A:$A,0)))</f>
        <v>5</v>
      </c>
      <c r="H160" s="11" t="str">
        <f t="shared" si="4"/>
        <v>G5</v>
      </c>
      <c r="I160" s="10" t="str">
        <f t="shared" si="5"/>
        <v>BRN64G-G5</v>
      </c>
      <c r="J160" s="6"/>
      <c r="K160" s="16" t="str">
        <f t="shared" si="6"/>
        <v>collected</v>
      </c>
      <c r="L160" s="16" t="str">
        <f t="shared" si="7"/>
        <v>N</v>
      </c>
      <c r="M160" s="16"/>
      <c r="N160" s="16"/>
    </row>
    <row r="161">
      <c r="A161" s="26" t="s">
        <v>356</v>
      </c>
      <c r="B161" s="10" t="str">
        <f t="shared" si="1"/>
        <v>RNA-gill</v>
      </c>
      <c r="C161" s="10" t="str">
        <f t="shared" si="2"/>
        <v>BRN64G-F5</v>
      </c>
      <c r="D161" s="11">
        <f t="array" ref="D161">iferror(index('rna-muscle'!D:D,match(A161,'rna-muscle'!A:A,0)))</f>
        <v>64</v>
      </c>
      <c r="E161" s="10" t="str">
        <f t="shared" si="3"/>
        <v>BRN64G</v>
      </c>
      <c r="F161" s="11" t="str">
        <f t="array" ref="F161">iferror(index('rna-muscle'!F:F,match($A161,'rna-muscle'!$A:$A,0)))</f>
        <v>F</v>
      </c>
      <c r="G161" s="11">
        <f t="array" ref="G161">iferror(index('rna-muscle'!G:G,match($A161,'rna-muscle'!$A:$A,0)))</f>
        <v>5</v>
      </c>
      <c r="H161" s="11" t="str">
        <f t="shared" si="4"/>
        <v>F5</v>
      </c>
      <c r="I161" s="10" t="str">
        <f t="shared" si="5"/>
        <v>BRN64G-F5</v>
      </c>
      <c r="J161" s="16"/>
      <c r="K161" s="16" t="str">
        <f t="shared" si="6"/>
        <v>collected</v>
      </c>
      <c r="L161" s="16" t="str">
        <f t="shared" si="7"/>
        <v>N</v>
      </c>
      <c r="M161" s="16"/>
      <c r="N161" s="16"/>
    </row>
    <row r="162">
      <c r="A162" s="26" t="s">
        <v>359</v>
      </c>
      <c r="B162" s="10" t="str">
        <f t="shared" si="1"/>
        <v>RNA-gill</v>
      </c>
      <c r="C162" s="10" t="str">
        <f t="shared" si="2"/>
        <v>BRN64G-E5</v>
      </c>
      <c r="D162" s="11">
        <f t="array" ref="D162">iferror(index('rna-muscle'!D:D,match(A162,'rna-muscle'!A:A,0)))</f>
        <v>64</v>
      </c>
      <c r="E162" s="10" t="str">
        <f t="shared" si="3"/>
        <v>BRN64G</v>
      </c>
      <c r="F162" s="11" t="str">
        <f t="array" ref="F162">iferror(index('rna-muscle'!F:F,match($A162,'rna-muscle'!$A:$A,0)))</f>
        <v>E</v>
      </c>
      <c r="G162" s="11">
        <f t="array" ref="G162">iferror(index('rna-muscle'!G:G,match($A162,'rna-muscle'!$A:$A,0)))</f>
        <v>5</v>
      </c>
      <c r="H162" s="11" t="str">
        <f t="shared" si="4"/>
        <v>E5</v>
      </c>
      <c r="I162" s="10" t="str">
        <f t="shared" si="5"/>
        <v>BRN64G-E5</v>
      </c>
      <c r="J162" s="16"/>
      <c r="K162" s="16" t="str">
        <f t="shared" si="6"/>
        <v>collected</v>
      </c>
      <c r="L162" s="16" t="str">
        <f t="shared" si="7"/>
        <v>N</v>
      </c>
      <c r="M162" s="16"/>
      <c r="N162" s="16"/>
    </row>
    <row r="163">
      <c r="A163" s="26" t="s">
        <v>360</v>
      </c>
      <c r="B163" s="10" t="str">
        <f t="shared" si="1"/>
        <v>RNA-gill</v>
      </c>
      <c r="C163" s="10" t="str">
        <f t="shared" si="2"/>
        <v>BRN64G-D5</v>
      </c>
      <c r="D163" s="11">
        <f t="array" ref="D163">iferror(index('rna-muscle'!D:D,match(A163,'rna-muscle'!A:A,0)))</f>
        <v>64</v>
      </c>
      <c r="E163" s="10" t="str">
        <f t="shared" si="3"/>
        <v>BRN64G</v>
      </c>
      <c r="F163" s="11" t="str">
        <f t="array" ref="F163">iferror(index('rna-muscle'!F:F,match($A163,'rna-muscle'!$A:$A,0)))</f>
        <v>D</v>
      </c>
      <c r="G163" s="11">
        <f t="array" ref="G163">iferror(index('rna-muscle'!G:G,match($A163,'rna-muscle'!$A:$A,0)))</f>
        <v>5</v>
      </c>
      <c r="H163" s="11" t="str">
        <f t="shared" si="4"/>
        <v>D5</v>
      </c>
      <c r="I163" s="10" t="str">
        <f t="shared" si="5"/>
        <v>BRN64G-D5</v>
      </c>
      <c r="J163" s="16"/>
      <c r="K163" s="16" t="str">
        <f t="shared" si="6"/>
        <v>collected</v>
      </c>
      <c r="L163" s="16" t="str">
        <f t="shared" si="7"/>
        <v>N</v>
      </c>
      <c r="M163" s="16"/>
      <c r="N163" s="16"/>
    </row>
    <row r="164">
      <c r="A164" s="26" t="s">
        <v>361</v>
      </c>
      <c r="B164" s="10" t="str">
        <f t="shared" si="1"/>
        <v>RNA-gill</v>
      </c>
      <c r="C164" s="10" t="str">
        <f t="shared" si="2"/>
        <v>BRN64G-C5</v>
      </c>
      <c r="D164" s="11">
        <f t="array" ref="D164">iferror(index('rna-muscle'!D:D,match(A164,'rna-muscle'!A:A,0)))</f>
        <v>64</v>
      </c>
      <c r="E164" s="10" t="str">
        <f t="shared" si="3"/>
        <v>BRN64G</v>
      </c>
      <c r="F164" s="11" t="str">
        <f t="array" ref="F164">iferror(index('rna-muscle'!F:F,match($A164,'rna-muscle'!$A:$A,0)))</f>
        <v>C</v>
      </c>
      <c r="G164" s="11">
        <f t="array" ref="G164">iferror(index('rna-muscle'!G:G,match($A164,'rna-muscle'!$A:$A,0)))</f>
        <v>5</v>
      </c>
      <c r="H164" s="11" t="str">
        <f t="shared" si="4"/>
        <v>C5</v>
      </c>
      <c r="I164" s="10" t="str">
        <f t="shared" si="5"/>
        <v>BRN64G-C5</v>
      </c>
      <c r="J164" s="6"/>
      <c r="K164" s="16" t="str">
        <f t="shared" si="6"/>
        <v>collected</v>
      </c>
      <c r="L164" s="16" t="str">
        <f t="shared" si="7"/>
        <v>N</v>
      </c>
      <c r="M164" s="16"/>
      <c r="N164" s="16"/>
    </row>
    <row r="165">
      <c r="A165" s="26" t="s">
        <v>362</v>
      </c>
      <c r="B165" s="10" t="str">
        <f t="shared" si="1"/>
        <v>RNA-gill</v>
      </c>
      <c r="C165" s="10" t="str">
        <f t="shared" si="2"/>
        <v>BRN64G-B5</v>
      </c>
      <c r="D165" s="11">
        <f t="array" ref="D165">iferror(index('rna-muscle'!D:D,match(A165,'rna-muscle'!A:A,0)))</f>
        <v>64</v>
      </c>
      <c r="E165" s="10" t="str">
        <f t="shared" si="3"/>
        <v>BRN64G</v>
      </c>
      <c r="F165" s="11" t="str">
        <f t="array" ref="F165">iferror(index('rna-muscle'!F:F,match($A165,'rna-muscle'!$A:$A,0)))</f>
        <v>B</v>
      </c>
      <c r="G165" s="11">
        <f t="array" ref="G165">iferror(index('rna-muscle'!G:G,match($A165,'rna-muscle'!$A:$A,0)))</f>
        <v>5</v>
      </c>
      <c r="H165" s="11" t="str">
        <f t="shared" si="4"/>
        <v>B5</v>
      </c>
      <c r="I165" s="10" t="str">
        <f t="shared" si="5"/>
        <v>BRN64G-B5</v>
      </c>
      <c r="J165" s="16"/>
      <c r="K165" s="16" t="str">
        <f t="shared" si="6"/>
        <v>collected</v>
      </c>
      <c r="L165" s="16" t="str">
        <f t="shared" si="7"/>
        <v>N</v>
      </c>
      <c r="M165" s="16"/>
      <c r="N165" s="16"/>
    </row>
    <row r="166">
      <c r="A166" s="26" t="s">
        <v>365</v>
      </c>
      <c r="B166" s="10" t="str">
        <f t="shared" si="1"/>
        <v>RNA-gill</v>
      </c>
      <c r="C166" s="10" t="str">
        <f t="shared" si="2"/>
        <v>BRN64G-A5</v>
      </c>
      <c r="D166" s="11">
        <f t="array" ref="D166">iferror(index('rna-muscle'!D:D,match(A166,'rna-muscle'!A:A,0)))</f>
        <v>64</v>
      </c>
      <c r="E166" s="10" t="str">
        <f t="shared" si="3"/>
        <v>BRN64G</v>
      </c>
      <c r="F166" s="11" t="str">
        <f t="array" ref="F166">iferror(index('rna-muscle'!F:F,match($A166,'rna-muscle'!$A:$A,0)))</f>
        <v>A</v>
      </c>
      <c r="G166" s="11">
        <f t="array" ref="G166">iferror(index('rna-muscle'!G:G,match($A166,'rna-muscle'!$A:$A,0)))</f>
        <v>5</v>
      </c>
      <c r="H166" s="11" t="str">
        <f t="shared" si="4"/>
        <v>A5</v>
      </c>
      <c r="I166" s="10" t="str">
        <f t="shared" si="5"/>
        <v>BRN64G-A5</v>
      </c>
      <c r="J166" s="16"/>
      <c r="K166" s="16" t="str">
        <f t="shared" si="6"/>
        <v>collected</v>
      </c>
      <c r="L166" s="16" t="str">
        <f t="shared" si="7"/>
        <v>N</v>
      </c>
      <c r="M166" s="16"/>
      <c r="N166" s="16"/>
    </row>
    <row r="167">
      <c r="A167" s="27" t="s">
        <v>367</v>
      </c>
      <c r="B167" s="10" t="str">
        <f t="shared" si="1"/>
        <v>RNA-gill</v>
      </c>
      <c r="C167" s="10" t="str">
        <f t="shared" si="2"/>
        <v>BRN64G-F6</v>
      </c>
      <c r="D167" s="11">
        <f t="array" ref="D167">iferror(index('rna-muscle'!D:D,match(A167,'rna-muscle'!A:A,0)))</f>
        <v>64</v>
      </c>
      <c r="E167" s="10" t="str">
        <f t="shared" si="3"/>
        <v>BRN64G</v>
      </c>
      <c r="F167" s="11" t="str">
        <f t="array" ref="F167">iferror(index('rna-muscle'!F:F,match($A167,'rna-muscle'!$A:$A,0)))</f>
        <v>F</v>
      </c>
      <c r="G167" s="11">
        <f t="array" ref="G167">iferror(index('rna-muscle'!G:G,match($A167,'rna-muscle'!$A:$A,0)))</f>
        <v>6</v>
      </c>
      <c r="H167" s="11" t="str">
        <f t="shared" si="4"/>
        <v>F6</v>
      </c>
      <c r="I167" s="10" t="str">
        <f t="shared" si="5"/>
        <v>BRN64G-F6</v>
      </c>
      <c r="J167" s="16"/>
      <c r="K167" s="16" t="str">
        <f t="shared" si="6"/>
        <v>collected</v>
      </c>
      <c r="L167" s="16" t="str">
        <f t="shared" si="7"/>
        <v>N</v>
      </c>
      <c r="M167" s="16"/>
      <c r="N167" s="16"/>
    </row>
    <row r="168">
      <c r="A168" s="27" t="s">
        <v>368</v>
      </c>
      <c r="B168" s="10" t="str">
        <f t="shared" si="1"/>
        <v>RNA-gill</v>
      </c>
      <c r="C168" s="10" t="str">
        <f t="shared" si="2"/>
        <v>BRN64G-E6</v>
      </c>
      <c r="D168" s="11">
        <f t="array" ref="D168">iferror(index('rna-muscle'!D:D,match(A168,'rna-muscle'!A:A,0)))</f>
        <v>64</v>
      </c>
      <c r="E168" s="10" t="str">
        <f t="shared" si="3"/>
        <v>BRN64G</v>
      </c>
      <c r="F168" s="11" t="str">
        <f t="array" ref="F168">iferror(index('rna-muscle'!F:F,match($A168,'rna-muscle'!$A:$A,0)))</f>
        <v>E</v>
      </c>
      <c r="G168" s="11">
        <f t="array" ref="G168">iferror(index('rna-muscle'!G:G,match($A168,'rna-muscle'!$A:$A,0)))</f>
        <v>6</v>
      </c>
      <c r="H168" s="11" t="str">
        <f t="shared" si="4"/>
        <v>E6</v>
      </c>
      <c r="I168" s="10" t="str">
        <f t="shared" si="5"/>
        <v>BRN64G-E6</v>
      </c>
      <c r="J168" s="16"/>
      <c r="K168" s="16" t="str">
        <f t="shared" si="6"/>
        <v>collected</v>
      </c>
      <c r="L168" s="16" t="str">
        <f t="shared" si="7"/>
        <v>N</v>
      </c>
      <c r="M168" s="16"/>
      <c r="N168" s="16"/>
    </row>
    <row r="169">
      <c r="A169" s="27" t="s">
        <v>369</v>
      </c>
      <c r="B169" s="10" t="str">
        <f t="shared" si="1"/>
        <v>RNA-gill</v>
      </c>
      <c r="C169" s="10" t="str">
        <f t="shared" si="2"/>
        <v>BRN64G-D6</v>
      </c>
      <c r="D169" s="11">
        <f t="array" ref="D169">iferror(index('rna-muscle'!D:D,match(A169,'rna-muscle'!A:A,0)))</f>
        <v>64</v>
      </c>
      <c r="E169" s="10" t="str">
        <f t="shared" si="3"/>
        <v>BRN64G</v>
      </c>
      <c r="F169" s="11" t="str">
        <f t="array" ref="F169">iferror(index('rna-muscle'!F:F,match($A169,'rna-muscle'!$A:$A,0)))</f>
        <v>D</v>
      </c>
      <c r="G169" s="11">
        <f t="array" ref="G169">iferror(index('rna-muscle'!G:G,match($A169,'rna-muscle'!$A:$A,0)))</f>
        <v>6</v>
      </c>
      <c r="H169" s="11" t="str">
        <f t="shared" si="4"/>
        <v>D6</v>
      </c>
      <c r="I169" s="10" t="str">
        <f t="shared" si="5"/>
        <v>BRN64G-D6</v>
      </c>
      <c r="J169" s="16"/>
      <c r="K169" s="16" t="str">
        <f t="shared" si="6"/>
        <v>collected</v>
      </c>
      <c r="L169" s="16" t="str">
        <f t="shared" si="7"/>
        <v>N</v>
      </c>
      <c r="M169" s="16"/>
      <c r="N169" s="16"/>
    </row>
    <row r="170">
      <c r="A170" s="27" t="s">
        <v>371</v>
      </c>
      <c r="B170" s="10" t="str">
        <f t="shared" si="1"/>
        <v>RNA-gill</v>
      </c>
      <c r="C170" s="10" t="str">
        <f t="shared" si="2"/>
        <v>BRN64G-C6</v>
      </c>
      <c r="D170" s="11">
        <f t="array" ref="D170">iferror(index('rna-muscle'!D:D,match(A170,'rna-muscle'!A:A,0)))</f>
        <v>64</v>
      </c>
      <c r="E170" s="10" t="str">
        <f t="shared" si="3"/>
        <v>BRN64G</v>
      </c>
      <c r="F170" s="11" t="str">
        <f t="array" ref="F170">iferror(index('rna-muscle'!F:F,match($A170,'rna-muscle'!$A:$A,0)))</f>
        <v>C</v>
      </c>
      <c r="G170" s="11">
        <f t="array" ref="G170">iferror(index('rna-muscle'!G:G,match($A170,'rna-muscle'!$A:$A,0)))</f>
        <v>6</v>
      </c>
      <c r="H170" s="11" t="str">
        <f t="shared" si="4"/>
        <v>C6</v>
      </c>
      <c r="I170" s="10" t="str">
        <f t="shared" si="5"/>
        <v>BRN64G-C6</v>
      </c>
      <c r="J170" s="16"/>
      <c r="K170" s="16" t="str">
        <f t="shared" si="6"/>
        <v>collected</v>
      </c>
      <c r="L170" s="16" t="str">
        <f t="shared" si="7"/>
        <v>N</v>
      </c>
      <c r="M170" s="16"/>
      <c r="N170" s="16"/>
    </row>
    <row r="171">
      <c r="A171" s="27" t="s">
        <v>373</v>
      </c>
      <c r="B171" s="10" t="str">
        <f t="shared" si="1"/>
        <v>RNA-gill</v>
      </c>
      <c r="C171" s="10" t="str">
        <f t="shared" si="2"/>
        <v>BRN56G-H11</v>
      </c>
      <c r="D171" s="11">
        <f t="array" ref="D171">iferror(index('rna-muscle'!D:D,match(A171,'rna-muscle'!A:A,0)))</f>
        <v>56</v>
      </c>
      <c r="E171" s="10" t="str">
        <f t="shared" si="3"/>
        <v>BRN56G</v>
      </c>
      <c r="F171" s="11" t="str">
        <f t="array" ref="F171">iferror(index('rna-muscle'!F:F,match($A171,'rna-muscle'!$A:$A,0)))</f>
        <v>H</v>
      </c>
      <c r="G171" s="11">
        <f t="array" ref="G171">iferror(index('rna-muscle'!G:G,match($A171,'rna-muscle'!$A:$A,0)))</f>
        <v>11</v>
      </c>
      <c r="H171" s="11" t="str">
        <f t="shared" si="4"/>
        <v>H11</v>
      </c>
      <c r="I171" s="10" t="str">
        <f t="shared" si="5"/>
        <v>BRN56G-H11</v>
      </c>
      <c r="J171" s="16"/>
      <c r="K171" s="16" t="str">
        <f t="shared" si="6"/>
        <v>collected</v>
      </c>
      <c r="L171" s="16" t="str">
        <f t="shared" si="7"/>
        <v>N</v>
      </c>
      <c r="M171" s="16"/>
      <c r="N171" s="16"/>
    </row>
    <row r="172">
      <c r="A172" s="27" t="s">
        <v>374</v>
      </c>
      <c r="B172" s="10" t="str">
        <f t="shared" si="1"/>
        <v>RNA-gill</v>
      </c>
      <c r="C172" s="10" t="str">
        <f t="shared" si="2"/>
        <v>BRN56G-G11</v>
      </c>
      <c r="D172" s="11">
        <f t="array" ref="D172">iferror(index('rna-muscle'!D:D,match(A172,'rna-muscle'!A:A,0)))</f>
        <v>56</v>
      </c>
      <c r="E172" s="10" t="str">
        <f t="shared" si="3"/>
        <v>BRN56G</v>
      </c>
      <c r="F172" s="11" t="str">
        <f t="array" ref="F172">iferror(index('rna-muscle'!F:F,match($A172,'rna-muscle'!$A:$A,0)))</f>
        <v>G</v>
      </c>
      <c r="G172" s="11">
        <f t="array" ref="G172">iferror(index('rna-muscle'!G:G,match($A172,'rna-muscle'!$A:$A,0)))</f>
        <v>11</v>
      </c>
      <c r="H172" s="11" t="str">
        <f t="shared" si="4"/>
        <v>G11</v>
      </c>
      <c r="I172" s="10" t="str">
        <f t="shared" si="5"/>
        <v>BRN56G-G11</v>
      </c>
      <c r="J172" s="6"/>
      <c r="K172" s="16" t="str">
        <f t="shared" si="6"/>
        <v>collected</v>
      </c>
      <c r="L172" s="16" t="str">
        <f t="shared" si="7"/>
        <v>N</v>
      </c>
      <c r="M172" s="16"/>
      <c r="N172" s="16"/>
    </row>
    <row r="173">
      <c r="A173" s="27" t="s">
        <v>375</v>
      </c>
      <c r="B173" s="10" t="str">
        <f t="shared" si="1"/>
        <v>RNA-gill</v>
      </c>
      <c r="C173" s="10" t="str">
        <f t="shared" si="2"/>
        <v>BRN56G-F11</v>
      </c>
      <c r="D173" s="11">
        <f t="array" ref="D173">iferror(index('rna-muscle'!D:D,match(A173,'rna-muscle'!A:A,0)))</f>
        <v>56</v>
      </c>
      <c r="E173" s="10" t="str">
        <f t="shared" si="3"/>
        <v>BRN56G</v>
      </c>
      <c r="F173" s="11" t="str">
        <f t="array" ref="F173">iferror(index('rna-muscle'!F:F,match($A173,'rna-muscle'!$A:$A,0)))</f>
        <v>F</v>
      </c>
      <c r="G173" s="11">
        <f t="array" ref="G173">iferror(index('rna-muscle'!G:G,match($A173,'rna-muscle'!$A:$A,0)))</f>
        <v>11</v>
      </c>
      <c r="H173" s="11" t="str">
        <f t="shared" si="4"/>
        <v>F11</v>
      </c>
      <c r="I173" s="10" t="str">
        <f t="shared" si="5"/>
        <v>BRN56G-F11</v>
      </c>
      <c r="J173" s="16"/>
      <c r="K173" s="16" t="str">
        <f t="shared" si="6"/>
        <v>collected</v>
      </c>
      <c r="L173" s="16" t="str">
        <f t="shared" si="7"/>
        <v>N</v>
      </c>
      <c r="M173" s="16"/>
      <c r="N173" s="16"/>
    </row>
    <row r="174">
      <c r="A174" s="27" t="s">
        <v>377</v>
      </c>
      <c r="B174" s="10" t="str">
        <f t="shared" si="1"/>
        <v>RNA-gill</v>
      </c>
      <c r="C174" s="10" t="str">
        <f t="shared" si="2"/>
        <v>BRN56G-E11</v>
      </c>
      <c r="D174" s="11">
        <f t="array" ref="D174">iferror(index('rna-muscle'!D:D,match(A174,'rna-muscle'!A:A,0)))</f>
        <v>56</v>
      </c>
      <c r="E174" s="10" t="str">
        <f t="shared" si="3"/>
        <v>BRN56G</v>
      </c>
      <c r="F174" s="11" t="str">
        <f t="array" ref="F174">iferror(index('rna-muscle'!F:F,match($A174,'rna-muscle'!$A:$A,0)))</f>
        <v>E</v>
      </c>
      <c r="G174" s="11">
        <f t="array" ref="G174">iferror(index('rna-muscle'!G:G,match($A174,'rna-muscle'!$A:$A,0)))</f>
        <v>11</v>
      </c>
      <c r="H174" s="11" t="str">
        <f t="shared" si="4"/>
        <v>E11</v>
      </c>
      <c r="I174" s="10" t="str">
        <f t="shared" si="5"/>
        <v>BRN56G-E11</v>
      </c>
      <c r="J174" s="16"/>
      <c r="K174" s="16" t="str">
        <f t="shared" si="6"/>
        <v>collected</v>
      </c>
      <c r="L174" s="16" t="str">
        <f t="shared" si="7"/>
        <v>N</v>
      </c>
      <c r="M174" s="16"/>
      <c r="N174" s="16"/>
    </row>
    <row r="175">
      <c r="A175" s="6" t="s">
        <v>382</v>
      </c>
      <c r="B175" s="10" t="str">
        <f t="shared" si="1"/>
        <v>RNA-gill</v>
      </c>
      <c r="C175" s="10" t="str">
        <f t="shared" si="2"/>
        <v>BRN56G-D11</v>
      </c>
      <c r="D175" s="11">
        <f t="array" ref="D175">iferror(index('rna-muscle'!D:D,match(A175,'rna-muscle'!A:A,0)))</f>
        <v>56</v>
      </c>
      <c r="E175" s="10" t="str">
        <f t="shared" si="3"/>
        <v>BRN56G</v>
      </c>
      <c r="F175" s="11" t="str">
        <f t="array" ref="F175">iferror(index('rna-muscle'!F:F,match($A175,'rna-muscle'!$A:$A,0)))</f>
        <v>D</v>
      </c>
      <c r="G175" s="11">
        <f t="array" ref="G175">iferror(index('rna-muscle'!G:G,match($A175,'rna-muscle'!$A:$A,0)))</f>
        <v>11</v>
      </c>
      <c r="H175" s="11" t="str">
        <f t="shared" si="4"/>
        <v>D11</v>
      </c>
      <c r="I175" s="10" t="str">
        <f t="shared" si="5"/>
        <v>BRN56G-D11</v>
      </c>
      <c r="J175" s="16"/>
      <c r="K175" s="16" t="str">
        <f t="shared" si="6"/>
        <v>collected</v>
      </c>
      <c r="L175" s="16" t="str">
        <f t="shared" si="7"/>
        <v>N</v>
      </c>
      <c r="M175" s="16"/>
      <c r="N175" s="16"/>
    </row>
    <row r="176">
      <c r="A176" s="6" t="s">
        <v>384</v>
      </c>
      <c r="B176" s="10" t="str">
        <f t="shared" si="1"/>
        <v>RNA-gill</v>
      </c>
      <c r="C176" s="10" t="str">
        <f t="shared" si="2"/>
        <v>BRN56G-C11</v>
      </c>
      <c r="D176" s="11">
        <f t="array" ref="D176">iferror(index('rna-muscle'!D:D,match(A176,'rna-muscle'!A:A,0)))</f>
        <v>56</v>
      </c>
      <c r="E176" s="10" t="str">
        <f t="shared" si="3"/>
        <v>BRN56G</v>
      </c>
      <c r="F176" s="11" t="str">
        <f t="array" ref="F176">iferror(index('rna-muscle'!F:F,match($A176,'rna-muscle'!$A:$A,0)))</f>
        <v>C</v>
      </c>
      <c r="G176" s="11">
        <f t="array" ref="G176">iferror(index('rna-muscle'!G:G,match($A176,'rna-muscle'!$A:$A,0)))</f>
        <v>11</v>
      </c>
      <c r="H176" s="11" t="str">
        <f t="shared" si="4"/>
        <v>C11</v>
      </c>
      <c r="I176" s="10" t="str">
        <f t="shared" si="5"/>
        <v>BRN56G-C11</v>
      </c>
      <c r="J176" s="6"/>
      <c r="K176" s="16" t="str">
        <f t="shared" si="6"/>
        <v>collected</v>
      </c>
      <c r="L176" s="16" t="str">
        <f t="shared" si="7"/>
        <v>N</v>
      </c>
      <c r="M176" s="16"/>
      <c r="N176" s="16"/>
    </row>
    <row r="177">
      <c r="A177" s="6" t="s">
        <v>387</v>
      </c>
      <c r="B177" s="10" t="str">
        <f t="shared" si="1"/>
        <v>RNA-gill</v>
      </c>
      <c r="C177" s="10" t="str">
        <f t="shared" si="2"/>
        <v>BRN56G-B11</v>
      </c>
      <c r="D177" s="11">
        <f t="array" ref="D177">iferror(index('rna-muscle'!D:D,match(A177,'rna-muscle'!A:A,0)))</f>
        <v>56</v>
      </c>
      <c r="E177" s="10" t="str">
        <f t="shared" si="3"/>
        <v>BRN56G</v>
      </c>
      <c r="F177" s="11" t="str">
        <f t="array" ref="F177">iferror(index('rna-muscle'!F:F,match($A177,'rna-muscle'!$A:$A,0)))</f>
        <v>B</v>
      </c>
      <c r="G177" s="11">
        <f t="array" ref="G177">iferror(index('rna-muscle'!G:G,match($A177,'rna-muscle'!$A:$A,0)))</f>
        <v>11</v>
      </c>
      <c r="H177" s="11" t="str">
        <f t="shared" si="4"/>
        <v>B11</v>
      </c>
      <c r="I177" s="10" t="str">
        <f t="shared" si="5"/>
        <v>BRN56G-B11</v>
      </c>
      <c r="J177" s="6"/>
      <c r="K177" s="16" t="str">
        <f t="shared" si="6"/>
        <v>collected</v>
      </c>
      <c r="L177" s="16" t="str">
        <f t="shared" si="7"/>
        <v>N</v>
      </c>
      <c r="M177" s="16"/>
      <c r="N177" s="16"/>
    </row>
    <row r="178">
      <c r="A178" s="6" t="s">
        <v>389</v>
      </c>
      <c r="B178" s="10" t="str">
        <f t="shared" si="1"/>
        <v>RNA-gill</v>
      </c>
      <c r="C178" s="10" t="str">
        <f t="shared" si="2"/>
        <v>BRN56G-A11</v>
      </c>
      <c r="D178" s="11">
        <f t="array" ref="D178">iferror(index('rna-muscle'!D:D,match(A178,'rna-muscle'!A:A,0)))</f>
        <v>56</v>
      </c>
      <c r="E178" s="10" t="str">
        <f t="shared" si="3"/>
        <v>BRN56G</v>
      </c>
      <c r="F178" s="11" t="str">
        <f t="array" ref="F178">iferror(index('rna-muscle'!F:F,match($A178,'rna-muscle'!$A:$A,0)))</f>
        <v>A</v>
      </c>
      <c r="G178" s="11">
        <f t="array" ref="G178">iferror(index('rna-muscle'!G:G,match($A178,'rna-muscle'!$A:$A,0)))</f>
        <v>11</v>
      </c>
      <c r="H178" s="11" t="str">
        <f t="shared" si="4"/>
        <v>A11</v>
      </c>
      <c r="I178" s="10" t="str">
        <f t="shared" si="5"/>
        <v>BRN56G-A11</v>
      </c>
      <c r="J178" s="16"/>
      <c r="K178" s="16" t="str">
        <f t="shared" si="6"/>
        <v>collected</v>
      </c>
      <c r="L178" s="16" t="str">
        <f t="shared" si="7"/>
        <v>N</v>
      </c>
      <c r="M178" s="16"/>
      <c r="N178" s="16"/>
    </row>
    <row r="179">
      <c r="A179" s="6" t="s">
        <v>391</v>
      </c>
      <c r="B179" s="10" t="str">
        <f t="shared" si="1"/>
        <v>RNA-gill</v>
      </c>
      <c r="C179" s="10" t="str">
        <f t="shared" si="2"/>
        <v>BRN63G-F2</v>
      </c>
      <c r="D179" s="11">
        <f t="array" ref="D179">iferror(index('rna-muscle'!D:D,match(A179,'rna-muscle'!A:A,0)))</f>
        <v>63</v>
      </c>
      <c r="E179" s="10" t="str">
        <f t="shared" si="3"/>
        <v>BRN63G</v>
      </c>
      <c r="F179" s="11" t="str">
        <f t="array" ref="F179">iferror(index('rna-muscle'!F:F,match($A179,'rna-muscle'!$A:$A,0)))</f>
        <v>F</v>
      </c>
      <c r="G179" s="11">
        <f t="array" ref="G179">iferror(index('rna-muscle'!G:G,match($A179,'rna-muscle'!$A:$A,0)))</f>
        <v>2</v>
      </c>
      <c r="H179" s="11" t="str">
        <f t="shared" si="4"/>
        <v>F2</v>
      </c>
      <c r="I179" s="10" t="str">
        <f t="shared" si="5"/>
        <v>BRN63G-F2</v>
      </c>
      <c r="J179" s="16"/>
      <c r="K179" s="16" t="str">
        <f t="shared" si="6"/>
        <v>collected</v>
      </c>
      <c r="L179" s="16" t="str">
        <f t="shared" si="7"/>
        <v>N</v>
      </c>
      <c r="M179" s="16"/>
      <c r="N179" s="16"/>
    </row>
    <row r="180">
      <c r="A180" s="6" t="s">
        <v>392</v>
      </c>
      <c r="B180" s="10" t="str">
        <f t="shared" si="1"/>
        <v>RNA-gill</v>
      </c>
      <c r="C180" s="10" t="str">
        <f t="shared" si="2"/>
        <v>BRN63G-E2</v>
      </c>
      <c r="D180" s="11">
        <f t="array" ref="D180">iferror(index('rna-muscle'!D:D,match(A180,'rna-muscle'!A:A,0)))</f>
        <v>63</v>
      </c>
      <c r="E180" s="10" t="str">
        <f t="shared" si="3"/>
        <v>BRN63G</v>
      </c>
      <c r="F180" s="11" t="str">
        <f t="array" ref="F180">iferror(index('rna-muscle'!F:F,match($A180,'rna-muscle'!$A:$A,0)))</f>
        <v>E</v>
      </c>
      <c r="G180" s="11">
        <f t="array" ref="G180">iferror(index('rna-muscle'!G:G,match($A180,'rna-muscle'!$A:$A,0)))</f>
        <v>2</v>
      </c>
      <c r="H180" s="11" t="str">
        <f t="shared" si="4"/>
        <v>E2</v>
      </c>
      <c r="I180" s="10" t="str">
        <f t="shared" si="5"/>
        <v>BRN63G-E2</v>
      </c>
      <c r="J180" s="16"/>
      <c r="K180" s="16" t="str">
        <f t="shared" si="6"/>
        <v>collected</v>
      </c>
      <c r="L180" s="16" t="str">
        <f t="shared" si="7"/>
        <v>N</v>
      </c>
      <c r="M180" s="16"/>
      <c r="N180" s="16"/>
    </row>
    <row r="181">
      <c r="A181" s="6" t="s">
        <v>394</v>
      </c>
      <c r="B181" s="10" t="str">
        <f t="shared" si="1"/>
        <v>RNA-gill</v>
      </c>
      <c r="C181" s="10" t="str">
        <f t="shared" si="2"/>
        <v>BRN56G-H10</v>
      </c>
      <c r="D181" s="11">
        <f t="array" ref="D181">iferror(index('rna-muscle'!D:D,match(A181,'rna-muscle'!A:A,0)))</f>
        <v>56</v>
      </c>
      <c r="E181" s="10" t="str">
        <f t="shared" si="3"/>
        <v>BRN56G</v>
      </c>
      <c r="F181" s="11" t="str">
        <f t="array" ref="F181">iferror(index('rna-muscle'!F:F,match($A181,'rna-muscle'!$A:$A,0)))</f>
        <v>H</v>
      </c>
      <c r="G181" s="11">
        <f t="array" ref="G181">iferror(index('rna-muscle'!G:G,match($A181,'rna-muscle'!$A:$A,0)))</f>
        <v>10</v>
      </c>
      <c r="H181" s="11" t="str">
        <f t="shared" si="4"/>
        <v>H10</v>
      </c>
      <c r="I181" s="10" t="str">
        <f t="shared" si="5"/>
        <v>BRN56G-H10</v>
      </c>
      <c r="J181" s="6"/>
      <c r="K181" s="16" t="str">
        <f t="shared" si="6"/>
        <v>collected</v>
      </c>
      <c r="L181" s="16" t="str">
        <f t="shared" si="7"/>
        <v>N</v>
      </c>
      <c r="M181" s="16"/>
      <c r="N181" s="16"/>
    </row>
    <row r="182">
      <c r="A182" s="26" t="s">
        <v>395</v>
      </c>
      <c r="B182" s="10" t="str">
        <f t="shared" si="1"/>
        <v>RNA-gill</v>
      </c>
      <c r="C182" s="10" t="str">
        <f t="shared" si="2"/>
        <v>BRN56G-G10</v>
      </c>
      <c r="D182" s="11">
        <f t="array" ref="D182">iferror(index('rna-muscle'!D:D,match(A182,'rna-muscle'!A:A,0)))</f>
        <v>56</v>
      </c>
      <c r="E182" s="10" t="str">
        <f t="shared" si="3"/>
        <v>BRN56G</v>
      </c>
      <c r="F182" s="11" t="str">
        <f t="array" ref="F182">iferror(index('rna-muscle'!F:F,match($A182,'rna-muscle'!$A:$A,0)))</f>
        <v>G</v>
      </c>
      <c r="G182" s="11">
        <f t="array" ref="G182">iferror(index('rna-muscle'!G:G,match($A182,'rna-muscle'!$A:$A,0)))</f>
        <v>10</v>
      </c>
      <c r="H182" s="11" t="str">
        <f t="shared" si="4"/>
        <v>G10</v>
      </c>
      <c r="I182" s="10" t="str">
        <f t="shared" si="5"/>
        <v>BRN56G-G10</v>
      </c>
      <c r="J182" s="6"/>
      <c r="K182" s="16" t="str">
        <f t="shared" si="6"/>
        <v>collected</v>
      </c>
      <c r="L182" s="16" t="str">
        <f t="shared" si="7"/>
        <v>N</v>
      </c>
      <c r="M182" s="16"/>
      <c r="N182" s="16"/>
    </row>
    <row r="183">
      <c r="A183" s="26" t="s">
        <v>396</v>
      </c>
      <c r="B183" s="10" t="str">
        <f t="shared" si="1"/>
        <v>RNA-gill</v>
      </c>
      <c r="C183" s="10" t="str">
        <f t="shared" si="2"/>
        <v>BRN56G-F10</v>
      </c>
      <c r="D183" s="11">
        <f t="array" ref="D183">iferror(index('rna-muscle'!D:D,match(A183,'rna-muscle'!A:A,0)))</f>
        <v>56</v>
      </c>
      <c r="E183" s="10" t="str">
        <f t="shared" si="3"/>
        <v>BRN56G</v>
      </c>
      <c r="F183" s="11" t="str">
        <f t="array" ref="F183">iferror(index('rna-muscle'!F:F,match($A183,'rna-muscle'!$A:$A,0)))</f>
        <v>F</v>
      </c>
      <c r="G183" s="11">
        <f t="array" ref="G183">iferror(index('rna-muscle'!G:G,match($A183,'rna-muscle'!$A:$A,0)))</f>
        <v>10</v>
      </c>
      <c r="H183" s="11" t="str">
        <f t="shared" si="4"/>
        <v>F10</v>
      </c>
      <c r="I183" s="10" t="str">
        <f t="shared" si="5"/>
        <v>BRN56G-F10</v>
      </c>
      <c r="J183" s="6"/>
      <c r="K183" s="16" t="str">
        <f t="shared" si="6"/>
        <v>collected</v>
      </c>
      <c r="L183" s="16" t="str">
        <f t="shared" si="7"/>
        <v>N</v>
      </c>
      <c r="M183" s="16"/>
      <c r="N183" s="16"/>
    </row>
    <row r="184">
      <c r="A184" s="26" t="s">
        <v>397</v>
      </c>
      <c r="B184" s="10" t="str">
        <f t="shared" si="1"/>
        <v>RNA-gill</v>
      </c>
      <c r="C184" s="10" t="str">
        <f t="shared" si="2"/>
        <v>BRN56G-E10</v>
      </c>
      <c r="D184" s="11">
        <f t="array" ref="D184">iferror(index('rna-muscle'!D:D,match(A184,'rna-muscle'!A:A,0)))</f>
        <v>56</v>
      </c>
      <c r="E184" s="10" t="str">
        <f t="shared" si="3"/>
        <v>BRN56G</v>
      </c>
      <c r="F184" s="11" t="str">
        <f t="array" ref="F184">iferror(index('rna-muscle'!F:F,match($A184,'rna-muscle'!$A:$A,0)))</f>
        <v>E</v>
      </c>
      <c r="G184" s="11">
        <f t="array" ref="G184">iferror(index('rna-muscle'!G:G,match($A184,'rna-muscle'!$A:$A,0)))</f>
        <v>10</v>
      </c>
      <c r="H184" s="11" t="str">
        <f t="shared" si="4"/>
        <v>E10</v>
      </c>
      <c r="I184" s="10" t="str">
        <f t="shared" si="5"/>
        <v>BRN56G-E10</v>
      </c>
      <c r="J184" s="16"/>
      <c r="K184" s="16" t="str">
        <f t="shared" si="6"/>
        <v>collected</v>
      </c>
      <c r="L184" s="16" t="str">
        <f t="shared" si="7"/>
        <v>N</v>
      </c>
      <c r="M184" s="16"/>
      <c r="N184" s="16"/>
    </row>
    <row r="185">
      <c r="A185" s="26" t="s">
        <v>400</v>
      </c>
      <c r="B185" s="10" t="str">
        <f t="shared" si="1"/>
        <v>RNA-gill</v>
      </c>
      <c r="C185" s="10" t="str">
        <f t="shared" si="2"/>
        <v>BRN56G-D10</v>
      </c>
      <c r="D185" s="11">
        <f t="array" ref="D185">iferror(index('rna-muscle'!D:D,match(A185,'rna-muscle'!A:A,0)))</f>
        <v>56</v>
      </c>
      <c r="E185" s="10" t="str">
        <f t="shared" si="3"/>
        <v>BRN56G</v>
      </c>
      <c r="F185" s="11" t="str">
        <f t="array" ref="F185">iferror(index('rna-muscle'!F:F,match($A185,'rna-muscle'!$A:$A,0)))</f>
        <v>D</v>
      </c>
      <c r="G185" s="11">
        <f t="array" ref="G185">iferror(index('rna-muscle'!G:G,match($A185,'rna-muscle'!$A:$A,0)))</f>
        <v>10</v>
      </c>
      <c r="H185" s="11" t="str">
        <f t="shared" si="4"/>
        <v>D10</v>
      </c>
      <c r="I185" s="10" t="str">
        <f t="shared" si="5"/>
        <v>BRN56G-D10</v>
      </c>
      <c r="J185" s="16"/>
      <c r="K185" s="16" t="str">
        <f t="shared" si="6"/>
        <v>collected</v>
      </c>
      <c r="L185" s="16" t="str">
        <f t="shared" si="7"/>
        <v>N</v>
      </c>
      <c r="M185" s="16"/>
      <c r="N185" s="16"/>
    </row>
    <row r="186">
      <c r="A186" s="26" t="s">
        <v>401</v>
      </c>
      <c r="B186" s="10" t="str">
        <f t="shared" si="1"/>
        <v>RNA-gill</v>
      </c>
      <c r="C186" s="10" t="str">
        <f t="shared" si="2"/>
        <v>BRN56G-C10</v>
      </c>
      <c r="D186" s="11">
        <f t="array" ref="D186">iferror(index('rna-muscle'!D:D,match(A186,'rna-muscle'!A:A,0)))</f>
        <v>56</v>
      </c>
      <c r="E186" s="10" t="str">
        <f t="shared" si="3"/>
        <v>BRN56G</v>
      </c>
      <c r="F186" s="11" t="str">
        <f t="array" ref="F186">iferror(index('rna-muscle'!F:F,match($A186,'rna-muscle'!$A:$A,0)))</f>
        <v>C</v>
      </c>
      <c r="G186" s="11">
        <f t="array" ref="G186">iferror(index('rna-muscle'!G:G,match($A186,'rna-muscle'!$A:$A,0)))</f>
        <v>10</v>
      </c>
      <c r="H186" s="11" t="str">
        <f t="shared" si="4"/>
        <v>C10</v>
      </c>
      <c r="I186" s="10" t="str">
        <f t="shared" si="5"/>
        <v>BRN56G-C10</v>
      </c>
      <c r="J186" s="16"/>
      <c r="K186" s="16" t="str">
        <f t="shared" si="6"/>
        <v>collected</v>
      </c>
      <c r="L186" s="16" t="str">
        <f t="shared" si="7"/>
        <v>N</v>
      </c>
      <c r="M186" s="16"/>
      <c r="N186" s="16"/>
    </row>
    <row r="187">
      <c r="A187" s="26" t="s">
        <v>402</v>
      </c>
      <c r="B187" s="10" t="str">
        <f t="shared" si="1"/>
        <v>RNA-gill</v>
      </c>
      <c r="C187" s="10" t="str">
        <f t="shared" si="2"/>
        <v>BRN56G-B10</v>
      </c>
      <c r="D187" s="11">
        <f t="array" ref="D187">iferror(index('rna-muscle'!D:D,match(A187,'rna-muscle'!A:A,0)))</f>
        <v>56</v>
      </c>
      <c r="E187" s="10" t="str">
        <f t="shared" si="3"/>
        <v>BRN56G</v>
      </c>
      <c r="F187" s="11" t="str">
        <f t="array" ref="F187">iferror(index('rna-muscle'!F:F,match($A187,'rna-muscle'!$A:$A,0)))</f>
        <v>B</v>
      </c>
      <c r="G187" s="11">
        <f t="array" ref="G187">iferror(index('rna-muscle'!G:G,match($A187,'rna-muscle'!$A:$A,0)))</f>
        <v>10</v>
      </c>
      <c r="H187" s="11" t="str">
        <f t="shared" si="4"/>
        <v>B10</v>
      </c>
      <c r="I187" s="10" t="str">
        <f t="shared" si="5"/>
        <v>BRN56G-B10</v>
      </c>
      <c r="J187" s="16"/>
      <c r="K187" s="16" t="str">
        <f t="shared" si="6"/>
        <v>collected</v>
      </c>
      <c r="L187" s="16" t="str">
        <f t="shared" si="7"/>
        <v>N</v>
      </c>
      <c r="M187" s="16"/>
      <c r="N187" s="16"/>
    </row>
    <row r="188">
      <c r="A188" s="26" t="s">
        <v>404</v>
      </c>
      <c r="B188" s="10" t="str">
        <f t="shared" si="1"/>
        <v>RNA-gill</v>
      </c>
      <c r="C188" s="10" t="str">
        <f t="shared" si="2"/>
        <v>BRN56G-A10</v>
      </c>
      <c r="D188" s="11">
        <f t="array" ref="D188">iferror(index('rna-muscle'!D:D,match(A188,'rna-muscle'!A:A,0)))</f>
        <v>56</v>
      </c>
      <c r="E188" s="10" t="str">
        <f t="shared" si="3"/>
        <v>BRN56G</v>
      </c>
      <c r="F188" s="11" t="str">
        <f t="array" ref="F188">iferror(index('rna-muscle'!F:F,match($A188,'rna-muscle'!$A:$A,0)))</f>
        <v>A</v>
      </c>
      <c r="G188" s="11">
        <f t="array" ref="G188">iferror(index('rna-muscle'!G:G,match($A188,'rna-muscle'!$A:$A,0)))</f>
        <v>10</v>
      </c>
      <c r="H188" s="11" t="str">
        <f t="shared" si="4"/>
        <v>A10</v>
      </c>
      <c r="I188" s="10" t="str">
        <f t="shared" si="5"/>
        <v>BRN56G-A10</v>
      </c>
      <c r="J188" s="16"/>
      <c r="K188" s="16" t="str">
        <f t="shared" si="6"/>
        <v>collected</v>
      </c>
      <c r="L188" s="16" t="str">
        <f t="shared" si="7"/>
        <v>N</v>
      </c>
      <c r="M188" s="16"/>
      <c r="N188" s="16"/>
    </row>
    <row r="189">
      <c r="A189" s="26" t="s">
        <v>405</v>
      </c>
      <c r="B189" s="10" t="str">
        <f t="shared" si="1"/>
        <v>RNA-gill</v>
      </c>
      <c r="C189" s="10" t="str">
        <f t="shared" si="2"/>
        <v>BRN56G-G12</v>
      </c>
      <c r="D189" s="11">
        <f t="array" ref="D189">iferror(index('rna-muscle'!D:D,match(A189,'rna-muscle'!A:A,0)))</f>
        <v>56</v>
      </c>
      <c r="E189" s="10" t="str">
        <f t="shared" si="3"/>
        <v>BRN56G</v>
      </c>
      <c r="F189" s="11" t="str">
        <f t="array" ref="F189">iferror(index('rna-muscle'!F:F,match($A189,'rna-muscle'!$A:$A,0)))</f>
        <v>G</v>
      </c>
      <c r="G189" s="11">
        <f t="array" ref="G189">iferror(index('rna-muscle'!G:G,match($A189,'rna-muscle'!$A:$A,0)))</f>
        <v>12</v>
      </c>
      <c r="H189" s="11" t="str">
        <f t="shared" si="4"/>
        <v>G12</v>
      </c>
      <c r="I189" s="10" t="str">
        <f t="shared" si="5"/>
        <v>BRN56G-G12</v>
      </c>
      <c r="J189" s="16"/>
      <c r="K189" s="16" t="str">
        <f t="shared" si="6"/>
        <v>collected</v>
      </c>
      <c r="L189" s="16" t="str">
        <f t="shared" si="7"/>
        <v>N</v>
      </c>
      <c r="M189" s="16"/>
      <c r="N189" s="16"/>
    </row>
    <row r="190">
      <c r="A190" s="26" t="s">
        <v>408</v>
      </c>
      <c r="B190" s="10" t="str">
        <f t="shared" si="1"/>
        <v>RNA-gill</v>
      </c>
      <c r="C190" s="10" t="str">
        <f t="shared" si="2"/>
        <v>BRN56G-F12</v>
      </c>
      <c r="D190" s="11">
        <f t="array" ref="D190">iferror(index('rna-muscle'!D:D,match(A190,'rna-muscle'!A:A,0)))</f>
        <v>56</v>
      </c>
      <c r="E190" s="10" t="str">
        <f t="shared" si="3"/>
        <v>BRN56G</v>
      </c>
      <c r="F190" s="11" t="str">
        <f t="array" ref="F190">iferror(index('rna-muscle'!F:F,match($A190,'rna-muscle'!$A:$A,0)))</f>
        <v>F</v>
      </c>
      <c r="G190" s="11">
        <f t="array" ref="G190">iferror(index('rna-muscle'!G:G,match($A190,'rna-muscle'!$A:$A,0)))</f>
        <v>12</v>
      </c>
      <c r="H190" s="11" t="str">
        <f t="shared" si="4"/>
        <v>F12</v>
      </c>
      <c r="I190" s="10" t="str">
        <f t="shared" si="5"/>
        <v>BRN56G-F12</v>
      </c>
      <c r="J190" s="16"/>
      <c r="K190" s="16" t="str">
        <f t="shared" si="6"/>
        <v>collected</v>
      </c>
      <c r="L190" s="16" t="str">
        <f t="shared" si="7"/>
        <v>N</v>
      </c>
      <c r="M190" s="16"/>
      <c r="N190" s="16"/>
    </row>
    <row r="191">
      <c r="A191" s="6" t="s">
        <v>409</v>
      </c>
      <c r="B191" s="10" t="str">
        <f t="shared" si="1"/>
        <v>RNA-gill</v>
      </c>
      <c r="C191" s="10" t="str">
        <f t="shared" si="2"/>
        <v>BRN56G-E12</v>
      </c>
      <c r="D191" s="11">
        <f t="array" ref="D191">iferror(index('rna-muscle'!D:D,match(A191,'rna-muscle'!A:A,0)))</f>
        <v>56</v>
      </c>
      <c r="E191" s="10" t="str">
        <f t="shared" si="3"/>
        <v>BRN56G</v>
      </c>
      <c r="F191" s="11" t="str">
        <f t="array" ref="F191">iferror(index('rna-muscle'!F:F,match($A191,'rna-muscle'!$A:$A,0)))</f>
        <v>E</v>
      </c>
      <c r="G191" s="11">
        <f t="array" ref="G191">iferror(index('rna-muscle'!G:G,match($A191,'rna-muscle'!$A:$A,0)))</f>
        <v>12</v>
      </c>
      <c r="H191" s="11" t="str">
        <f t="shared" si="4"/>
        <v>E12</v>
      </c>
      <c r="I191" s="10" t="str">
        <f t="shared" si="5"/>
        <v>BRN56G-E12</v>
      </c>
      <c r="J191" s="16"/>
      <c r="K191" s="16" t="str">
        <f t="shared" si="6"/>
        <v>collected</v>
      </c>
      <c r="L191" s="16" t="str">
        <f t="shared" si="7"/>
        <v>N</v>
      </c>
      <c r="M191" s="16"/>
      <c r="N191" s="16"/>
    </row>
    <row r="192">
      <c r="A192" s="6" t="s">
        <v>410</v>
      </c>
      <c r="B192" s="10" t="str">
        <f t="shared" si="1"/>
        <v>RNA-gill</v>
      </c>
      <c r="C192" s="10" t="str">
        <f t="shared" si="2"/>
        <v>BRN56G-D12</v>
      </c>
      <c r="D192" s="11">
        <f t="array" ref="D192">iferror(index('rna-muscle'!D:D,match(A192,'rna-muscle'!A:A,0)))</f>
        <v>56</v>
      </c>
      <c r="E192" s="10" t="str">
        <f t="shared" si="3"/>
        <v>BRN56G</v>
      </c>
      <c r="F192" s="11" t="str">
        <f t="array" ref="F192">iferror(index('rna-muscle'!F:F,match($A192,'rna-muscle'!$A:$A,0)))</f>
        <v>D</v>
      </c>
      <c r="G192" s="11">
        <f t="array" ref="G192">iferror(index('rna-muscle'!G:G,match($A192,'rna-muscle'!$A:$A,0)))</f>
        <v>12</v>
      </c>
      <c r="H192" s="11" t="str">
        <f t="shared" si="4"/>
        <v>D12</v>
      </c>
      <c r="I192" s="10" t="str">
        <f t="shared" si="5"/>
        <v>BRN56G-D12</v>
      </c>
      <c r="J192" s="16"/>
      <c r="K192" s="16" t="str">
        <f t="shared" si="6"/>
        <v>collected</v>
      </c>
      <c r="L192" s="16" t="str">
        <f t="shared" si="7"/>
        <v>N</v>
      </c>
      <c r="M192" s="16"/>
      <c r="N192" s="16"/>
    </row>
    <row r="193">
      <c r="A193" s="26" t="s">
        <v>412</v>
      </c>
      <c r="B193" s="10" t="str">
        <f t="shared" si="1"/>
        <v>RNA-gill</v>
      </c>
      <c r="C193" s="10" t="str">
        <f t="shared" si="2"/>
        <v>BRN56G-C12</v>
      </c>
      <c r="D193" s="11">
        <f t="array" ref="D193">iferror(index('rna-muscle'!D:D,match(A193,'rna-muscle'!A:A,0)))</f>
        <v>56</v>
      </c>
      <c r="E193" s="10" t="str">
        <f t="shared" si="3"/>
        <v>BRN56G</v>
      </c>
      <c r="F193" s="11" t="str">
        <f t="array" ref="F193">iferror(index('rna-muscle'!F:F,match($A193,'rna-muscle'!$A:$A,0)))</f>
        <v>C</v>
      </c>
      <c r="G193" s="11">
        <f t="array" ref="G193">iferror(index('rna-muscle'!G:G,match($A193,'rna-muscle'!$A:$A,0)))</f>
        <v>12</v>
      </c>
      <c r="H193" s="11" t="str">
        <f t="shared" si="4"/>
        <v>C12</v>
      </c>
      <c r="I193" s="10" t="str">
        <f t="shared" si="5"/>
        <v>BRN56G-C12</v>
      </c>
      <c r="J193" s="16"/>
      <c r="K193" s="16" t="str">
        <f t="shared" si="6"/>
        <v>collected</v>
      </c>
      <c r="L193" s="16" t="str">
        <f t="shared" si="7"/>
        <v>N</v>
      </c>
      <c r="M193" s="16"/>
      <c r="N193" s="16"/>
    </row>
    <row r="194">
      <c r="A194" s="26" t="s">
        <v>413</v>
      </c>
      <c r="B194" s="10" t="str">
        <f t="shared" si="1"/>
        <v>RNA-gill</v>
      </c>
      <c r="C194" s="10" t="str">
        <f t="shared" si="2"/>
        <v>BRN56G-B12</v>
      </c>
      <c r="D194" s="11">
        <f t="array" ref="D194">iferror(index('rna-muscle'!D:D,match(A194,'rna-muscle'!A:A,0)))</f>
        <v>56</v>
      </c>
      <c r="E194" s="10" t="str">
        <f t="shared" si="3"/>
        <v>BRN56G</v>
      </c>
      <c r="F194" s="11" t="str">
        <f t="array" ref="F194">iferror(index('rna-muscle'!F:F,match($A194,'rna-muscle'!$A:$A,0)))</f>
        <v>B</v>
      </c>
      <c r="G194" s="11">
        <f t="array" ref="G194">iferror(index('rna-muscle'!G:G,match($A194,'rna-muscle'!$A:$A,0)))</f>
        <v>12</v>
      </c>
      <c r="H194" s="11" t="str">
        <f t="shared" si="4"/>
        <v>B12</v>
      </c>
      <c r="I194" s="10" t="str">
        <f t="shared" si="5"/>
        <v>BRN56G-B12</v>
      </c>
      <c r="J194" s="6"/>
      <c r="K194" s="16" t="str">
        <f t="shared" si="6"/>
        <v>collected</v>
      </c>
      <c r="L194" s="16" t="str">
        <f t="shared" si="7"/>
        <v>N</v>
      </c>
      <c r="M194" s="16"/>
      <c r="N194" s="16"/>
    </row>
    <row r="195">
      <c r="A195" s="26" t="s">
        <v>415</v>
      </c>
      <c r="B195" s="10" t="str">
        <f t="shared" si="1"/>
        <v>RNA-gill</v>
      </c>
      <c r="C195" s="10" t="str">
        <f t="shared" si="2"/>
        <v>BRN56G-A12</v>
      </c>
      <c r="D195" s="11">
        <f t="array" ref="D195">iferror(index('rna-muscle'!D:D,match(A195,'rna-muscle'!A:A,0)))</f>
        <v>56</v>
      </c>
      <c r="E195" s="10" t="str">
        <f t="shared" si="3"/>
        <v>BRN56G</v>
      </c>
      <c r="F195" s="11" t="str">
        <f t="array" ref="F195">iferror(index('rna-muscle'!F:F,match($A195,'rna-muscle'!$A:$A,0)))</f>
        <v>A</v>
      </c>
      <c r="G195" s="11">
        <f t="array" ref="G195">iferror(index('rna-muscle'!G:G,match($A195,'rna-muscle'!$A:$A,0)))</f>
        <v>12</v>
      </c>
      <c r="H195" s="11" t="str">
        <f t="shared" si="4"/>
        <v>A12</v>
      </c>
      <c r="I195" s="10" t="str">
        <f t="shared" si="5"/>
        <v>BRN56G-A12</v>
      </c>
      <c r="J195" s="16"/>
      <c r="K195" s="16" t="str">
        <f t="shared" si="6"/>
        <v>collected</v>
      </c>
      <c r="L195" s="16" t="str">
        <f t="shared" si="7"/>
        <v>N</v>
      </c>
      <c r="M195" s="16"/>
      <c r="N195" s="16"/>
    </row>
    <row r="196">
      <c r="A196" s="26" t="s">
        <v>417</v>
      </c>
      <c r="B196" s="10" t="str">
        <f t="shared" si="1"/>
        <v>RNA-gill</v>
      </c>
      <c r="C196" s="10" t="str">
        <f t="shared" si="2"/>
        <v>BRN63G-H4</v>
      </c>
      <c r="D196" s="11">
        <f t="array" ref="D196">iferror(index('rna-muscle'!D:D,match(A196,'rna-muscle'!A:A,0)))</f>
        <v>63</v>
      </c>
      <c r="E196" s="10" t="str">
        <f t="shared" si="3"/>
        <v>BRN63G</v>
      </c>
      <c r="F196" s="11" t="str">
        <f t="array" ref="F196">iferror(index('rna-muscle'!F:F,match($A196,'rna-muscle'!$A:$A,0)))</f>
        <v>H</v>
      </c>
      <c r="G196" s="11">
        <f t="array" ref="G196">iferror(index('rna-muscle'!G:G,match($A196,'rna-muscle'!$A:$A,0)))</f>
        <v>4</v>
      </c>
      <c r="H196" s="11" t="str">
        <f t="shared" si="4"/>
        <v>H4</v>
      </c>
      <c r="I196" s="10" t="str">
        <f t="shared" si="5"/>
        <v>BRN63G-H4</v>
      </c>
      <c r="J196" s="16"/>
      <c r="K196" s="16" t="str">
        <f t="shared" si="6"/>
        <v>collected</v>
      </c>
      <c r="L196" s="16" t="str">
        <f t="shared" si="7"/>
        <v>N</v>
      </c>
      <c r="M196" s="16"/>
      <c r="N196" s="16"/>
    </row>
    <row r="197">
      <c r="A197" s="26" t="s">
        <v>419</v>
      </c>
      <c r="B197" s="10" t="str">
        <f t="shared" si="1"/>
        <v>RNA-gill</v>
      </c>
      <c r="C197" s="10" t="str">
        <f t="shared" si="2"/>
        <v>BRN63G-G4</v>
      </c>
      <c r="D197" s="11">
        <f t="array" ref="D197">iferror(index('rna-muscle'!D:D,match(A197,'rna-muscle'!A:A,0)))</f>
        <v>63</v>
      </c>
      <c r="E197" s="10" t="str">
        <f t="shared" si="3"/>
        <v>BRN63G</v>
      </c>
      <c r="F197" s="11" t="str">
        <f t="array" ref="F197">iferror(index('rna-muscle'!F:F,match($A197,'rna-muscle'!$A:$A,0)))</f>
        <v>G</v>
      </c>
      <c r="G197" s="11">
        <f t="array" ref="G197">iferror(index('rna-muscle'!G:G,match($A197,'rna-muscle'!$A:$A,0)))</f>
        <v>4</v>
      </c>
      <c r="H197" s="11" t="str">
        <f t="shared" si="4"/>
        <v>G4</v>
      </c>
      <c r="I197" s="10" t="str">
        <f t="shared" si="5"/>
        <v>BRN63G-G4</v>
      </c>
      <c r="J197" s="16"/>
      <c r="K197" s="16" t="str">
        <f t="shared" si="6"/>
        <v>collected</v>
      </c>
      <c r="L197" s="16" t="str">
        <f t="shared" si="7"/>
        <v>N</v>
      </c>
      <c r="M197" s="16"/>
      <c r="N197" s="16"/>
    </row>
    <row r="198">
      <c r="A198" s="26" t="s">
        <v>421</v>
      </c>
      <c r="B198" s="10" t="str">
        <f t="shared" si="1"/>
        <v>RNA-gill</v>
      </c>
      <c r="C198" s="10" t="str">
        <f t="shared" si="2"/>
        <v>BRN63G-F4</v>
      </c>
      <c r="D198" s="11">
        <f t="array" ref="D198">iferror(index('rna-muscle'!D:D,match(A198,'rna-muscle'!A:A,0)))</f>
        <v>63</v>
      </c>
      <c r="E198" s="10" t="str">
        <f t="shared" si="3"/>
        <v>BRN63G</v>
      </c>
      <c r="F198" s="11" t="str">
        <f t="array" ref="F198">iferror(index('rna-muscle'!F:F,match($A198,'rna-muscle'!$A:$A,0)))</f>
        <v>F</v>
      </c>
      <c r="G198" s="11">
        <f t="array" ref="G198">iferror(index('rna-muscle'!G:G,match($A198,'rna-muscle'!$A:$A,0)))</f>
        <v>4</v>
      </c>
      <c r="H198" s="11" t="str">
        <f t="shared" si="4"/>
        <v>F4</v>
      </c>
      <c r="I198" s="10" t="str">
        <f t="shared" si="5"/>
        <v>BRN63G-F4</v>
      </c>
      <c r="J198" s="6"/>
      <c r="K198" s="16" t="str">
        <f t="shared" si="6"/>
        <v>collected</v>
      </c>
      <c r="L198" s="16" t="str">
        <f t="shared" si="7"/>
        <v>N</v>
      </c>
      <c r="M198" s="16"/>
      <c r="N198" s="16"/>
    </row>
    <row r="199">
      <c r="A199" s="26" t="s">
        <v>422</v>
      </c>
      <c r="B199" s="10" t="str">
        <f t="shared" si="1"/>
        <v>RNA-gill</v>
      </c>
      <c r="C199" s="10" t="str">
        <f t="shared" si="2"/>
        <v>BRN63G-E4</v>
      </c>
      <c r="D199" s="11">
        <f t="array" ref="D199">iferror(index('rna-muscle'!D:D,match(A199,'rna-muscle'!A:A,0)))</f>
        <v>63</v>
      </c>
      <c r="E199" s="10" t="str">
        <f t="shared" si="3"/>
        <v>BRN63G</v>
      </c>
      <c r="F199" s="11" t="str">
        <f t="array" ref="F199">iferror(index('rna-muscle'!F:F,match($A199,'rna-muscle'!$A:$A,0)))</f>
        <v>E</v>
      </c>
      <c r="G199" s="11">
        <f t="array" ref="G199">iferror(index('rna-muscle'!G:G,match($A199,'rna-muscle'!$A:$A,0)))</f>
        <v>4</v>
      </c>
      <c r="H199" s="11" t="str">
        <f t="shared" si="4"/>
        <v>E4</v>
      </c>
      <c r="I199" s="10" t="str">
        <f t="shared" si="5"/>
        <v>BRN63G-E4</v>
      </c>
      <c r="J199" s="16"/>
      <c r="K199" s="16" t="str">
        <f t="shared" si="6"/>
        <v>collected</v>
      </c>
      <c r="L199" s="16" t="str">
        <f t="shared" si="7"/>
        <v>N</v>
      </c>
      <c r="M199" s="16"/>
      <c r="N199" s="16"/>
    </row>
    <row r="200">
      <c r="A200" s="26" t="s">
        <v>423</v>
      </c>
      <c r="B200" s="10" t="str">
        <f t="shared" si="1"/>
        <v>RNA-gill</v>
      </c>
      <c r="C200" s="10" t="str">
        <f t="shared" si="2"/>
        <v>BRN63G-D4</v>
      </c>
      <c r="D200" s="11">
        <f t="array" ref="D200">iferror(index('rna-muscle'!D:D,match(A200,'rna-muscle'!A:A,0)))</f>
        <v>63</v>
      </c>
      <c r="E200" s="10" t="str">
        <f t="shared" si="3"/>
        <v>BRN63G</v>
      </c>
      <c r="F200" s="11" t="str">
        <f t="array" ref="F200">iferror(index('rna-muscle'!F:F,match($A200,'rna-muscle'!$A:$A,0)))</f>
        <v>D</v>
      </c>
      <c r="G200" s="11">
        <f t="array" ref="G200">iferror(index('rna-muscle'!G:G,match($A200,'rna-muscle'!$A:$A,0)))</f>
        <v>4</v>
      </c>
      <c r="H200" s="11" t="str">
        <f t="shared" si="4"/>
        <v>D4</v>
      </c>
      <c r="I200" s="10" t="str">
        <f t="shared" si="5"/>
        <v>BRN63G-D4</v>
      </c>
      <c r="J200" s="16"/>
      <c r="K200" s="16" t="str">
        <f t="shared" si="6"/>
        <v>collected</v>
      </c>
      <c r="L200" s="16" t="str">
        <f t="shared" si="7"/>
        <v>N</v>
      </c>
      <c r="M200" s="16"/>
      <c r="N200" s="16"/>
    </row>
    <row r="201">
      <c r="A201" s="26" t="s">
        <v>427</v>
      </c>
      <c r="B201" s="10" t="str">
        <f t="shared" si="1"/>
        <v>RNA-gill</v>
      </c>
      <c r="C201" s="10" t="str">
        <f t="shared" si="2"/>
        <v>BRN63G-C4</v>
      </c>
      <c r="D201" s="11">
        <f t="array" ref="D201">iferror(index('rna-muscle'!D:D,match(A201,'rna-muscle'!A:A,0)))</f>
        <v>63</v>
      </c>
      <c r="E201" s="10" t="str">
        <f t="shared" si="3"/>
        <v>BRN63G</v>
      </c>
      <c r="F201" s="11" t="str">
        <f t="array" ref="F201">iferror(index('rna-muscle'!F:F,match($A201,'rna-muscle'!$A:$A,0)))</f>
        <v>C</v>
      </c>
      <c r="G201" s="11">
        <f t="array" ref="G201">iferror(index('rna-muscle'!G:G,match($A201,'rna-muscle'!$A:$A,0)))</f>
        <v>4</v>
      </c>
      <c r="H201" s="11" t="str">
        <f t="shared" si="4"/>
        <v>C4</v>
      </c>
      <c r="I201" s="10" t="str">
        <f t="shared" si="5"/>
        <v>BRN63G-C4</v>
      </c>
      <c r="J201" s="16"/>
      <c r="K201" s="16" t="str">
        <f t="shared" si="6"/>
        <v>collected</v>
      </c>
      <c r="L201" s="16" t="str">
        <f t="shared" si="7"/>
        <v>N</v>
      </c>
      <c r="M201" s="16"/>
      <c r="N201" s="16"/>
    </row>
    <row r="202">
      <c r="A202" s="26" t="s">
        <v>428</v>
      </c>
      <c r="B202" s="10" t="str">
        <f t="shared" si="1"/>
        <v>RNA-gill</v>
      </c>
      <c r="C202" s="10" t="str">
        <f t="shared" si="2"/>
        <v>BRN63G-D2</v>
      </c>
      <c r="D202" s="11">
        <f t="array" ref="D202">iferror(index('rna-muscle'!D:D,match(A202,'rna-muscle'!A:A,0)))</f>
        <v>63</v>
      </c>
      <c r="E202" s="10" t="str">
        <f t="shared" si="3"/>
        <v>BRN63G</v>
      </c>
      <c r="F202" s="11" t="str">
        <f t="array" ref="F202">iferror(index('rna-muscle'!F:F,match($A202,'rna-muscle'!$A:$A,0)))</f>
        <v>D</v>
      </c>
      <c r="G202" s="11">
        <f t="array" ref="G202">iferror(index('rna-muscle'!G:G,match($A202,'rna-muscle'!$A:$A,0)))</f>
        <v>2</v>
      </c>
      <c r="H202" s="11" t="str">
        <f t="shared" si="4"/>
        <v>D2</v>
      </c>
      <c r="I202" s="10" t="str">
        <f t="shared" si="5"/>
        <v>BRN63G-D2</v>
      </c>
      <c r="J202" s="16"/>
      <c r="K202" s="16" t="str">
        <f t="shared" si="6"/>
        <v>collected</v>
      </c>
      <c r="L202" s="16" t="str">
        <f t="shared" si="7"/>
        <v>N</v>
      </c>
      <c r="M202" s="16"/>
      <c r="N202" s="16"/>
    </row>
    <row r="203">
      <c r="A203" s="26" t="s">
        <v>430</v>
      </c>
      <c r="B203" s="10" t="str">
        <f t="shared" si="1"/>
        <v>RNA-gill</v>
      </c>
      <c r="C203" s="10" t="str">
        <f t="shared" si="2"/>
        <v>BRN63G-C2</v>
      </c>
      <c r="D203" s="11">
        <f t="array" ref="D203">iferror(index('rna-muscle'!D:D,match(A203,'rna-muscle'!A:A,0)))</f>
        <v>63</v>
      </c>
      <c r="E203" s="10" t="str">
        <f t="shared" si="3"/>
        <v>BRN63G</v>
      </c>
      <c r="F203" s="11" t="str">
        <f t="array" ref="F203">iferror(index('rna-muscle'!F:F,match($A203,'rna-muscle'!$A:$A,0)))</f>
        <v>C</v>
      </c>
      <c r="G203" s="11">
        <f t="array" ref="G203">iferror(index('rna-muscle'!G:G,match($A203,'rna-muscle'!$A:$A,0)))</f>
        <v>2</v>
      </c>
      <c r="H203" s="11" t="str">
        <f t="shared" si="4"/>
        <v>C2</v>
      </c>
      <c r="I203" s="10" t="str">
        <f t="shared" si="5"/>
        <v>BRN63G-C2</v>
      </c>
      <c r="J203" s="16"/>
      <c r="K203" s="16" t="str">
        <f t="shared" si="6"/>
        <v>collected</v>
      </c>
      <c r="L203" s="16" t="str">
        <f t="shared" si="7"/>
        <v>N</v>
      </c>
      <c r="M203" s="16"/>
      <c r="N203" s="16"/>
    </row>
    <row r="204">
      <c r="A204" s="26" t="s">
        <v>431</v>
      </c>
      <c r="B204" s="10" t="str">
        <f t="shared" si="1"/>
        <v>RNA-gill</v>
      </c>
      <c r="C204" s="10" t="str">
        <f t="shared" si="2"/>
        <v>BRN63G-B2</v>
      </c>
      <c r="D204" s="11">
        <f t="array" ref="D204">iferror(index('rna-muscle'!D:D,match(A204,'rna-muscle'!A:A,0)))</f>
        <v>63</v>
      </c>
      <c r="E204" s="10" t="str">
        <f t="shared" si="3"/>
        <v>BRN63G</v>
      </c>
      <c r="F204" s="11" t="str">
        <f t="array" ref="F204">iferror(index('rna-muscle'!F:F,match($A204,'rna-muscle'!$A:$A,0)))</f>
        <v>B</v>
      </c>
      <c r="G204" s="11">
        <f t="array" ref="G204">iferror(index('rna-muscle'!G:G,match($A204,'rna-muscle'!$A:$A,0)))</f>
        <v>2</v>
      </c>
      <c r="H204" s="11" t="str">
        <f t="shared" si="4"/>
        <v>B2</v>
      </c>
      <c r="I204" s="10" t="str">
        <f t="shared" si="5"/>
        <v>BRN63G-B2</v>
      </c>
      <c r="J204" s="6"/>
      <c r="K204" s="16" t="str">
        <f t="shared" si="6"/>
        <v>collected</v>
      </c>
      <c r="L204" s="16" t="str">
        <f t="shared" si="7"/>
        <v>N</v>
      </c>
      <c r="M204" s="16"/>
      <c r="N204" s="16"/>
    </row>
    <row r="205">
      <c r="A205" s="27" t="s">
        <v>432</v>
      </c>
      <c r="B205" s="10" t="str">
        <f t="shared" si="1"/>
        <v>RNA-gill</v>
      </c>
      <c r="C205" s="10" t="str">
        <f t="shared" si="2"/>
        <v>BRN63G-A2</v>
      </c>
      <c r="D205" s="11">
        <f t="array" ref="D205">iferror(index('rna-muscle'!D:D,match(A205,'rna-muscle'!A:A,0)))</f>
        <v>63</v>
      </c>
      <c r="E205" s="10" t="str">
        <f t="shared" si="3"/>
        <v>BRN63G</v>
      </c>
      <c r="F205" s="11" t="str">
        <f t="array" ref="F205">iferror(index('rna-muscle'!F:F,match($A205,'rna-muscle'!$A:$A,0)))</f>
        <v>A</v>
      </c>
      <c r="G205" s="11">
        <f t="array" ref="G205">iferror(index('rna-muscle'!G:G,match($A205,'rna-muscle'!$A:$A,0)))</f>
        <v>2</v>
      </c>
      <c r="H205" s="11" t="str">
        <f t="shared" si="4"/>
        <v>A2</v>
      </c>
      <c r="I205" s="10" t="str">
        <f t="shared" si="5"/>
        <v>BRN63G-A2</v>
      </c>
      <c r="J205" s="6"/>
      <c r="K205" s="16" t="str">
        <f t="shared" si="6"/>
        <v>collected</v>
      </c>
      <c r="L205" s="16" t="str">
        <f t="shared" si="7"/>
        <v>N</v>
      </c>
      <c r="M205" s="16"/>
      <c r="N205" s="16"/>
    </row>
    <row r="206">
      <c r="A206" s="27" t="s">
        <v>435</v>
      </c>
      <c r="B206" s="10" t="str">
        <f t="shared" si="1"/>
        <v>RNA-gill</v>
      </c>
      <c r="C206" s="10" t="str">
        <f t="shared" si="2"/>
        <v>BRN63G-H3</v>
      </c>
      <c r="D206" s="11">
        <f t="array" ref="D206">iferror(index('rna-muscle'!D:D,match(A206,'rna-muscle'!A:A,0)))</f>
        <v>63</v>
      </c>
      <c r="E206" s="10" t="str">
        <f t="shared" si="3"/>
        <v>BRN63G</v>
      </c>
      <c r="F206" s="11" t="str">
        <f t="array" ref="F206">iferror(index('rna-muscle'!F:F,match($A206,'rna-muscle'!$A:$A,0)))</f>
        <v>H</v>
      </c>
      <c r="G206" s="11">
        <f t="array" ref="G206">iferror(index('rna-muscle'!G:G,match($A206,'rna-muscle'!$A:$A,0)))</f>
        <v>3</v>
      </c>
      <c r="H206" s="11" t="str">
        <f t="shared" si="4"/>
        <v>H3</v>
      </c>
      <c r="I206" s="10" t="str">
        <f t="shared" si="5"/>
        <v>BRN63G-H3</v>
      </c>
      <c r="J206" s="16"/>
      <c r="K206" s="16" t="str">
        <f t="shared" si="6"/>
        <v>collected</v>
      </c>
      <c r="L206" s="16" t="str">
        <f t="shared" si="7"/>
        <v>N</v>
      </c>
      <c r="M206" s="16"/>
      <c r="N206" s="16"/>
    </row>
    <row r="207">
      <c r="A207" s="27" t="s">
        <v>436</v>
      </c>
      <c r="B207" s="10" t="str">
        <f t="shared" si="1"/>
        <v>RNA-gill</v>
      </c>
      <c r="C207" s="10" t="str">
        <f t="shared" si="2"/>
        <v>BRN63G-G3</v>
      </c>
      <c r="D207" s="11">
        <f t="array" ref="D207">iferror(index('rna-muscle'!D:D,match(A207,'rna-muscle'!A:A,0)))</f>
        <v>63</v>
      </c>
      <c r="E207" s="10" t="str">
        <f t="shared" si="3"/>
        <v>BRN63G</v>
      </c>
      <c r="F207" s="11" t="str">
        <f t="array" ref="F207">iferror(index('rna-muscle'!F:F,match($A207,'rna-muscle'!$A:$A,0)))</f>
        <v>G</v>
      </c>
      <c r="G207" s="11">
        <f t="array" ref="G207">iferror(index('rna-muscle'!G:G,match($A207,'rna-muscle'!$A:$A,0)))</f>
        <v>3</v>
      </c>
      <c r="H207" s="11" t="str">
        <f t="shared" si="4"/>
        <v>G3</v>
      </c>
      <c r="I207" s="10" t="str">
        <f t="shared" si="5"/>
        <v>BRN63G-G3</v>
      </c>
      <c r="J207" s="6"/>
      <c r="K207" s="16" t="str">
        <f t="shared" si="6"/>
        <v>collected</v>
      </c>
      <c r="L207" s="16" t="str">
        <f t="shared" si="7"/>
        <v>N</v>
      </c>
      <c r="M207" s="16"/>
      <c r="N207" s="16"/>
    </row>
    <row r="208">
      <c r="A208" s="27" t="s">
        <v>438</v>
      </c>
      <c r="B208" s="10" t="str">
        <f t="shared" si="1"/>
        <v>RNA-gill</v>
      </c>
      <c r="C208" s="10" t="str">
        <f t="shared" si="2"/>
        <v>BRN63G-F3</v>
      </c>
      <c r="D208" s="11">
        <f t="array" ref="D208">iferror(index('rna-muscle'!D:D,match(A208,'rna-muscle'!A:A,0)))</f>
        <v>63</v>
      </c>
      <c r="E208" s="10" t="str">
        <f t="shared" si="3"/>
        <v>BRN63G</v>
      </c>
      <c r="F208" s="11" t="str">
        <f t="array" ref="F208">iferror(index('rna-muscle'!F:F,match($A208,'rna-muscle'!$A:$A,0)))</f>
        <v>F</v>
      </c>
      <c r="G208" s="11">
        <f t="array" ref="G208">iferror(index('rna-muscle'!G:G,match($A208,'rna-muscle'!$A:$A,0)))</f>
        <v>3</v>
      </c>
      <c r="H208" s="11" t="str">
        <f t="shared" si="4"/>
        <v>F3</v>
      </c>
      <c r="I208" s="10" t="str">
        <f t="shared" si="5"/>
        <v>BRN63G-F3</v>
      </c>
      <c r="J208" s="16"/>
      <c r="K208" s="16" t="str">
        <f t="shared" si="6"/>
        <v>collected</v>
      </c>
      <c r="L208" s="16" t="str">
        <f t="shared" si="7"/>
        <v>N</v>
      </c>
      <c r="M208" s="16"/>
      <c r="N208" s="16"/>
    </row>
    <row r="209">
      <c r="A209" s="27" t="s">
        <v>440</v>
      </c>
      <c r="B209" s="10" t="str">
        <f t="shared" si="1"/>
        <v>RNA-gill</v>
      </c>
      <c r="C209" s="10" t="str">
        <f t="shared" si="2"/>
        <v>BRN63G-E3</v>
      </c>
      <c r="D209" s="11">
        <f t="array" ref="D209">iferror(index('rna-muscle'!D:D,match(A209,'rna-muscle'!A:A,0)))</f>
        <v>63</v>
      </c>
      <c r="E209" s="10" t="str">
        <f t="shared" si="3"/>
        <v>BRN63G</v>
      </c>
      <c r="F209" s="11" t="str">
        <f t="array" ref="F209">iferror(index('rna-muscle'!F:F,match($A209,'rna-muscle'!$A:$A,0)))</f>
        <v>E</v>
      </c>
      <c r="G209" s="11">
        <f t="array" ref="G209">iferror(index('rna-muscle'!G:G,match($A209,'rna-muscle'!$A:$A,0)))</f>
        <v>3</v>
      </c>
      <c r="H209" s="11" t="str">
        <f t="shared" si="4"/>
        <v>E3</v>
      </c>
      <c r="I209" s="10" t="str">
        <f t="shared" si="5"/>
        <v>BRN63G-E3</v>
      </c>
      <c r="J209" s="16"/>
      <c r="K209" s="16" t="str">
        <f t="shared" si="6"/>
        <v>collected</v>
      </c>
      <c r="L209" s="16" t="str">
        <f t="shared" si="7"/>
        <v>N</v>
      </c>
      <c r="M209" s="16"/>
      <c r="N209" s="16"/>
    </row>
    <row r="210">
      <c r="A210" s="27" t="s">
        <v>441</v>
      </c>
      <c r="B210" s="10" t="str">
        <f t="shared" si="1"/>
        <v>RNA-gill</v>
      </c>
      <c r="C210" s="10" t="str">
        <f t="shared" si="2"/>
        <v>BRN63G-D3</v>
      </c>
      <c r="D210" s="11">
        <f t="array" ref="D210">iferror(index('rna-muscle'!D:D,match(A210,'rna-muscle'!A:A,0)))</f>
        <v>63</v>
      </c>
      <c r="E210" s="10" t="str">
        <f t="shared" si="3"/>
        <v>BRN63G</v>
      </c>
      <c r="F210" s="11" t="str">
        <f t="array" ref="F210">iferror(index('rna-muscle'!F:F,match($A210,'rna-muscle'!$A:$A,0)))</f>
        <v>D</v>
      </c>
      <c r="G210" s="11">
        <f t="array" ref="G210">iferror(index('rna-muscle'!G:G,match($A210,'rna-muscle'!$A:$A,0)))</f>
        <v>3</v>
      </c>
      <c r="H210" s="11" t="str">
        <f t="shared" si="4"/>
        <v>D3</v>
      </c>
      <c r="I210" s="10" t="str">
        <f t="shared" si="5"/>
        <v>BRN63G-D3</v>
      </c>
      <c r="J210" s="16"/>
      <c r="K210" s="16" t="str">
        <f t="shared" si="6"/>
        <v>collected</v>
      </c>
      <c r="L210" s="16" t="str">
        <f t="shared" si="7"/>
        <v>N</v>
      </c>
      <c r="M210" s="16"/>
      <c r="N210" s="16"/>
    </row>
    <row r="211">
      <c r="A211" s="27" t="s">
        <v>444</v>
      </c>
      <c r="B211" s="10" t="str">
        <f t="shared" si="1"/>
        <v>RNA-gill</v>
      </c>
      <c r="C211" s="10" t="str">
        <f t="shared" si="2"/>
        <v>BRN63G-C3</v>
      </c>
      <c r="D211" s="11">
        <f t="array" ref="D211">iferror(index('rna-muscle'!D:D,match(A211,'rna-muscle'!A:A,0)))</f>
        <v>63</v>
      </c>
      <c r="E211" s="10" t="str">
        <f t="shared" si="3"/>
        <v>BRN63G</v>
      </c>
      <c r="F211" s="11" t="str">
        <f t="array" ref="F211">iferror(index('rna-muscle'!F:F,match($A211,'rna-muscle'!$A:$A,0)))</f>
        <v>C</v>
      </c>
      <c r="G211" s="11">
        <f t="array" ref="G211">iferror(index('rna-muscle'!G:G,match($A211,'rna-muscle'!$A:$A,0)))</f>
        <v>3</v>
      </c>
      <c r="H211" s="11" t="str">
        <f t="shared" si="4"/>
        <v>C3</v>
      </c>
      <c r="I211" s="10" t="str">
        <f t="shared" si="5"/>
        <v>BRN63G-C3</v>
      </c>
      <c r="J211" s="16"/>
      <c r="K211" s="16" t="str">
        <f t="shared" si="6"/>
        <v>collected</v>
      </c>
      <c r="L211" s="16" t="str">
        <f t="shared" si="7"/>
        <v>N</v>
      </c>
      <c r="M211" s="16"/>
      <c r="N211" s="16"/>
    </row>
    <row r="212">
      <c r="A212" s="27" t="s">
        <v>445</v>
      </c>
      <c r="B212" s="10" t="str">
        <f t="shared" si="1"/>
        <v>RNA-gill</v>
      </c>
      <c r="C212" s="10" t="str">
        <f t="shared" si="2"/>
        <v>BRN63G-B3</v>
      </c>
      <c r="D212" s="11">
        <f t="array" ref="D212">iferror(index('rna-muscle'!D:D,match(A212,'rna-muscle'!A:A,0)))</f>
        <v>63</v>
      </c>
      <c r="E212" s="10" t="str">
        <f t="shared" si="3"/>
        <v>BRN63G</v>
      </c>
      <c r="F212" s="11" t="str">
        <f t="array" ref="F212">iferror(index('rna-muscle'!F:F,match($A212,'rna-muscle'!$A:$A,0)))</f>
        <v>B</v>
      </c>
      <c r="G212" s="11">
        <f t="array" ref="G212">iferror(index('rna-muscle'!G:G,match($A212,'rna-muscle'!$A:$A,0)))</f>
        <v>3</v>
      </c>
      <c r="H212" s="11" t="str">
        <f t="shared" si="4"/>
        <v>B3</v>
      </c>
      <c r="I212" s="10" t="str">
        <f t="shared" si="5"/>
        <v>BRN63G-B3</v>
      </c>
      <c r="J212" s="16"/>
      <c r="K212" s="16" t="str">
        <f t="shared" si="6"/>
        <v>collected</v>
      </c>
      <c r="L212" s="16" t="str">
        <f t="shared" si="7"/>
        <v>N</v>
      </c>
      <c r="M212" s="16"/>
      <c r="N212" s="16"/>
    </row>
    <row r="213">
      <c r="A213" s="27" t="s">
        <v>446</v>
      </c>
      <c r="B213" s="10" t="str">
        <f t="shared" si="1"/>
        <v>RNA-gill</v>
      </c>
      <c r="C213" s="10" t="str">
        <f t="shared" si="2"/>
        <v>BRN63G-A3</v>
      </c>
      <c r="D213" s="11">
        <f t="array" ref="D213">iferror(index('rna-muscle'!D:D,match(A213,'rna-muscle'!A:A,0)))</f>
        <v>63</v>
      </c>
      <c r="E213" s="10" t="str">
        <f t="shared" si="3"/>
        <v>BRN63G</v>
      </c>
      <c r="F213" s="11" t="str">
        <f t="array" ref="F213">iferror(index('rna-muscle'!F:F,match($A213,'rna-muscle'!$A:$A,0)))</f>
        <v>A</v>
      </c>
      <c r="G213" s="11">
        <f t="array" ref="G213">iferror(index('rna-muscle'!G:G,match($A213,'rna-muscle'!$A:$A,0)))</f>
        <v>3</v>
      </c>
      <c r="H213" s="11" t="str">
        <f t="shared" si="4"/>
        <v>A3</v>
      </c>
      <c r="I213" s="10" t="str">
        <f t="shared" si="5"/>
        <v>BRN63G-A3</v>
      </c>
      <c r="J213" s="16"/>
      <c r="K213" s="16" t="str">
        <f t="shared" si="6"/>
        <v>collected</v>
      </c>
      <c r="L213" s="16" t="str">
        <f t="shared" si="7"/>
        <v>N</v>
      </c>
      <c r="M213" s="16"/>
      <c r="N213" s="16"/>
    </row>
    <row r="214">
      <c r="A214" s="27" t="s">
        <v>448</v>
      </c>
      <c r="B214" s="10" t="str">
        <f t="shared" si="1"/>
        <v>RNA-gill</v>
      </c>
      <c r="C214" s="10" t="str">
        <f t="shared" si="2"/>
        <v>BRN63G-H5</v>
      </c>
      <c r="D214" s="11">
        <f t="array" ref="D214">iferror(index('rna-muscle'!D:D,match(A214,'rna-muscle'!A:A,0)))</f>
        <v>63</v>
      </c>
      <c r="E214" s="10" t="str">
        <f t="shared" si="3"/>
        <v>BRN63G</v>
      </c>
      <c r="F214" s="11" t="str">
        <f t="array" ref="F214">iferror(index('rna-muscle'!F:F,match($A214,'rna-muscle'!$A:$A,0)))</f>
        <v>H</v>
      </c>
      <c r="G214" s="11">
        <f t="array" ref="G214">iferror(index('rna-muscle'!G:G,match($A214,'rna-muscle'!$A:$A,0)))</f>
        <v>5</v>
      </c>
      <c r="H214" s="11" t="str">
        <f t="shared" si="4"/>
        <v>H5</v>
      </c>
      <c r="I214" s="10" t="str">
        <f t="shared" si="5"/>
        <v>BRN63G-H5</v>
      </c>
      <c r="J214" s="16"/>
      <c r="K214" s="16" t="str">
        <f t="shared" si="6"/>
        <v>collected</v>
      </c>
      <c r="L214" s="16" t="str">
        <f t="shared" si="7"/>
        <v>N</v>
      </c>
      <c r="M214" s="16"/>
      <c r="N214" s="16"/>
    </row>
    <row r="215">
      <c r="A215" s="27" t="s">
        <v>449</v>
      </c>
      <c r="B215" s="10" t="str">
        <f t="shared" si="1"/>
        <v>RNA-gill</v>
      </c>
      <c r="C215" s="10" t="str">
        <f t="shared" si="2"/>
        <v>BRN63G-F5</v>
      </c>
      <c r="D215" s="11">
        <f t="array" ref="D215">iferror(index('rna-muscle'!D:D,match(A215,'rna-muscle'!A:A,0)))</f>
        <v>63</v>
      </c>
      <c r="E215" s="10" t="str">
        <f t="shared" si="3"/>
        <v>BRN63G</v>
      </c>
      <c r="F215" s="11" t="s">
        <v>61</v>
      </c>
      <c r="G215" s="11">
        <f t="array" ref="G215">iferror(index('rna-muscle'!G:G,match($A215,'rna-muscle'!$A:$A,0)))</f>
        <v>5</v>
      </c>
      <c r="H215" s="11" t="str">
        <f t="shared" si="4"/>
        <v>F5</v>
      </c>
      <c r="I215" s="10" t="str">
        <f t="shared" si="5"/>
        <v>BRN63G-F5</v>
      </c>
      <c r="J215" s="16"/>
      <c r="K215" s="16" t="str">
        <f t="shared" si="6"/>
        <v>collected</v>
      </c>
      <c r="L215" s="16" t="str">
        <f t="shared" si="7"/>
        <v>N</v>
      </c>
      <c r="M215" s="16"/>
      <c r="N215" s="16"/>
    </row>
    <row r="216">
      <c r="A216" s="27" t="s">
        <v>451</v>
      </c>
      <c r="B216" s="10" t="str">
        <f t="shared" si="1"/>
        <v>RNA-gill</v>
      </c>
      <c r="C216" s="10" t="str">
        <f t="shared" si="2"/>
        <v>BRN63G-G5</v>
      </c>
      <c r="D216" s="11">
        <f t="array" ref="D216">iferror(index('rna-muscle'!D:D,match(A216,'rna-muscle'!A:A,0)))</f>
        <v>63</v>
      </c>
      <c r="E216" s="10" t="str">
        <f t="shared" si="3"/>
        <v>BRN63G</v>
      </c>
      <c r="F216" s="11" t="s">
        <v>56</v>
      </c>
      <c r="G216" s="11">
        <f t="array" ref="G216">iferror(index('rna-muscle'!G:G,match($A216,'rna-muscle'!$A:$A,0)))</f>
        <v>5</v>
      </c>
      <c r="H216" s="11" t="str">
        <f t="shared" si="4"/>
        <v>G5</v>
      </c>
      <c r="I216" s="10" t="str">
        <f t="shared" si="5"/>
        <v>BRN63G-G5</v>
      </c>
      <c r="J216" s="16"/>
      <c r="K216" s="16" t="str">
        <f t="shared" si="6"/>
        <v>collected</v>
      </c>
      <c r="L216" s="16" t="str">
        <f t="shared" si="7"/>
        <v>N</v>
      </c>
      <c r="M216" s="16"/>
      <c r="N216" s="16"/>
    </row>
    <row r="217">
      <c r="A217" s="27" t="s">
        <v>452</v>
      </c>
      <c r="B217" s="10" t="str">
        <f t="shared" si="1"/>
        <v>RNA-gill</v>
      </c>
      <c r="C217" s="10" t="str">
        <f t="shared" si="2"/>
        <v>BRN63G-E5</v>
      </c>
      <c r="D217" s="11">
        <f t="array" ref="D217">iferror(index('rna-muscle'!D:D,match(A217,'rna-muscle'!A:A,0)))</f>
        <v>63</v>
      </c>
      <c r="E217" s="10" t="str">
        <f t="shared" si="3"/>
        <v>BRN63G</v>
      </c>
      <c r="F217" s="11" t="str">
        <f t="array" ref="F217">iferror(index('rna-muscle'!F:F,match($A217,'rna-muscle'!$A:$A,0)))</f>
        <v>E</v>
      </c>
      <c r="G217" s="11">
        <f t="array" ref="G217">iferror(index('rna-muscle'!G:G,match($A217,'rna-muscle'!$A:$A,0)))</f>
        <v>5</v>
      </c>
      <c r="H217" s="11" t="str">
        <f t="shared" si="4"/>
        <v>E5</v>
      </c>
      <c r="I217" s="10" t="str">
        <f t="shared" si="5"/>
        <v>BRN63G-E5</v>
      </c>
      <c r="J217" s="16"/>
      <c r="K217" s="16" t="str">
        <f t="shared" si="6"/>
        <v>collected</v>
      </c>
      <c r="L217" s="16" t="str">
        <f t="shared" si="7"/>
        <v>N</v>
      </c>
      <c r="M217" s="16"/>
      <c r="N217" s="16"/>
    </row>
    <row r="218">
      <c r="A218" s="27" t="s">
        <v>454</v>
      </c>
      <c r="B218" s="10" t="str">
        <f t="shared" si="1"/>
        <v>RNA-gill</v>
      </c>
      <c r="C218" s="10" t="str">
        <f t="shared" si="2"/>
        <v>BRN63G-D5</v>
      </c>
      <c r="D218" s="11">
        <f t="array" ref="D218">iferror(index('rna-muscle'!D:D,match(A218,'rna-muscle'!A:A,0)))</f>
        <v>63</v>
      </c>
      <c r="E218" s="10" t="str">
        <f t="shared" si="3"/>
        <v>BRN63G</v>
      </c>
      <c r="F218" s="11" t="str">
        <f t="array" ref="F218">iferror(index('rna-muscle'!F:F,match($A218,'rna-muscle'!$A:$A,0)))</f>
        <v>D</v>
      </c>
      <c r="G218" s="11">
        <f t="array" ref="G218">iferror(index('rna-muscle'!G:G,match($A218,'rna-muscle'!$A:$A,0)))</f>
        <v>5</v>
      </c>
      <c r="H218" s="11" t="str">
        <f t="shared" si="4"/>
        <v>D5</v>
      </c>
      <c r="I218" s="10" t="str">
        <f t="shared" si="5"/>
        <v>BRN63G-D5</v>
      </c>
      <c r="J218" s="16"/>
      <c r="K218" s="16" t="str">
        <f t="shared" si="6"/>
        <v>collected</v>
      </c>
      <c r="L218" s="16" t="str">
        <f t="shared" si="7"/>
        <v>N</v>
      </c>
      <c r="M218" s="16"/>
      <c r="N218" s="16"/>
    </row>
    <row r="219">
      <c r="A219" s="27" t="s">
        <v>455</v>
      </c>
      <c r="B219" s="10" t="str">
        <f t="shared" si="1"/>
        <v>RNA-gill</v>
      </c>
      <c r="C219" s="10" t="str">
        <f t="shared" si="2"/>
        <v>BRN63G-C5</v>
      </c>
      <c r="D219" s="11">
        <f t="array" ref="D219">iferror(index('rna-muscle'!D:D,match(A219,'rna-muscle'!A:A,0)))</f>
        <v>63</v>
      </c>
      <c r="E219" s="10" t="str">
        <f t="shared" si="3"/>
        <v>BRN63G</v>
      </c>
      <c r="F219" s="11" t="str">
        <f t="array" ref="F219">iferror(index('rna-muscle'!F:F,match($A219,'rna-muscle'!$A:$A,0)))</f>
        <v>C</v>
      </c>
      <c r="G219" s="11">
        <f t="array" ref="G219">iferror(index('rna-muscle'!G:G,match($A219,'rna-muscle'!$A:$A,0)))</f>
        <v>5</v>
      </c>
      <c r="H219" s="11" t="str">
        <f t="shared" si="4"/>
        <v>C5</v>
      </c>
      <c r="I219" s="10" t="str">
        <f t="shared" si="5"/>
        <v>BRN63G-C5</v>
      </c>
      <c r="J219" s="16"/>
      <c r="K219" s="16" t="str">
        <f t="shared" si="6"/>
        <v>collected</v>
      </c>
      <c r="L219" s="16" t="str">
        <f t="shared" si="7"/>
        <v>N</v>
      </c>
      <c r="M219" s="16"/>
      <c r="N219" s="16"/>
    </row>
    <row r="220">
      <c r="A220" s="27" t="s">
        <v>456</v>
      </c>
      <c r="B220" s="10" t="str">
        <f t="shared" si="1"/>
        <v>RNA-gill</v>
      </c>
      <c r="C220" s="10" t="str">
        <f t="shared" si="2"/>
        <v>BRN63G-B5</v>
      </c>
      <c r="D220" s="11">
        <f t="array" ref="D220">iferror(index('rna-muscle'!D:D,match(A220,'rna-muscle'!A:A,0)))</f>
        <v>63</v>
      </c>
      <c r="E220" s="10" t="str">
        <f t="shared" si="3"/>
        <v>BRN63G</v>
      </c>
      <c r="F220" s="11" t="str">
        <f t="array" ref="F220">iferror(index('rna-muscle'!F:F,match($A220,'rna-muscle'!$A:$A,0)))</f>
        <v>B</v>
      </c>
      <c r="G220" s="11">
        <f t="array" ref="G220">iferror(index('rna-muscle'!G:G,match($A220,'rna-muscle'!$A:$A,0)))</f>
        <v>5</v>
      </c>
      <c r="H220" s="11" t="str">
        <f t="shared" si="4"/>
        <v>B5</v>
      </c>
      <c r="I220" s="10" t="str">
        <f t="shared" si="5"/>
        <v>BRN63G-B5</v>
      </c>
      <c r="J220" s="16"/>
      <c r="K220" s="16" t="str">
        <f t="shared" si="6"/>
        <v>collected</v>
      </c>
      <c r="L220" s="16" t="str">
        <f t="shared" si="7"/>
        <v>N</v>
      </c>
      <c r="M220" s="16"/>
      <c r="N220" s="16"/>
    </row>
    <row r="221">
      <c r="A221" s="27" t="s">
        <v>457</v>
      </c>
      <c r="B221" s="10" t="str">
        <f t="shared" si="1"/>
        <v>RNA-gill</v>
      </c>
      <c r="C221" s="10" t="str">
        <f t="shared" si="2"/>
        <v>BRN63G-A5</v>
      </c>
      <c r="D221" s="11">
        <f t="array" ref="D221">iferror(index('rna-muscle'!D:D,match(A221,'rna-muscle'!A:A,0)))</f>
        <v>63</v>
      </c>
      <c r="E221" s="10" t="str">
        <f t="shared" si="3"/>
        <v>BRN63G</v>
      </c>
      <c r="F221" s="11" t="str">
        <f t="array" ref="F221">iferror(index('rna-muscle'!F:F,match($A221,'rna-muscle'!$A:$A,0)))</f>
        <v>A</v>
      </c>
      <c r="G221" s="11">
        <f t="array" ref="G221">iferror(index('rna-muscle'!G:G,match($A221,'rna-muscle'!$A:$A,0)))</f>
        <v>5</v>
      </c>
      <c r="H221" s="11" t="str">
        <f t="shared" si="4"/>
        <v>A5</v>
      </c>
      <c r="I221" s="10" t="str">
        <f t="shared" si="5"/>
        <v>BRN63G-A5</v>
      </c>
      <c r="J221" s="16"/>
      <c r="K221" s="16" t="str">
        <f t="shared" si="6"/>
        <v>collected</v>
      </c>
      <c r="L221" s="16" t="str">
        <f t="shared" si="7"/>
        <v>N</v>
      </c>
      <c r="M221" s="16"/>
      <c r="N221" s="16"/>
    </row>
    <row r="222">
      <c r="A222" s="27" t="s">
        <v>459</v>
      </c>
      <c r="B222" s="10" t="str">
        <f t="shared" si="1"/>
        <v>RNA-gill</v>
      </c>
      <c r="C222" s="10" t="str">
        <f t="shared" si="2"/>
        <v>BRN63G-G6</v>
      </c>
      <c r="D222" s="11">
        <f t="array" ref="D222">iferror(index('rna-muscle'!D:D,match(A222,'rna-muscle'!A:A,0)))</f>
        <v>63</v>
      </c>
      <c r="E222" s="10" t="str">
        <f t="shared" si="3"/>
        <v>BRN63G</v>
      </c>
      <c r="F222" s="11" t="str">
        <f t="array" ref="F222">iferror(index('rna-muscle'!F:F,match($A222,'rna-muscle'!$A:$A,0)))</f>
        <v>G</v>
      </c>
      <c r="G222" s="11">
        <f t="array" ref="G222">iferror(index('rna-muscle'!G:G,match($A222,'rna-muscle'!$A:$A,0)))</f>
        <v>6</v>
      </c>
      <c r="H222" s="11" t="str">
        <f t="shared" si="4"/>
        <v>G6</v>
      </c>
      <c r="I222" s="10" t="str">
        <f t="shared" si="5"/>
        <v>BRN63G-G6</v>
      </c>
      <c r="J222" s="6"/>
      <c r="K222" s="16" t="str">
        <f t="shared" si="6"/>
        <v>collected</v>
      </c>
      <c r="L222" s="16" t="str">
        <f t="shared" si="7"/>
        <v>N</v>
      </c>
      <c r="M222" s="16"/>
      <c r="N222" s="16"/>
    </row>
    <row r="223">
      <c r="A223" s="27" t="s">
        <v>461</v>
      </c>
      <c r="B223" s="10" t="str">
        <f t="shared" si="1"/>
        <v>RNA-gill</v>
      </c>
      <c r="C223" s="10" t="str">
        <f t="shared" si="2"/>
        <v>BRN63G-F6</v>
      </c>
      <c r="D223" s="11">
        <f t="array" ref="D223">iferror(index('rna-muscle'!D:D,match(A223,'rna-muscle'!A:A,0)))</f>
        <v>63</v>
      </c>
      <c r="E223" s="10" t="str">
        <f t="shared" si="3"/>
        <v>BRN63G</v>
      </c>
      <c r="F223" s="11" t="str">
        <f t="array" ref="F223">iferror(index('rna-muscle'!F:F,match($A223,'rna-muscle'!$A:$A,0)))</f>
        <v>F</v>
      </c>
      <c r="G223" s="11">
        <f t="array" ref="G223">iferror(index('rna-muscle'!G:G,match($A223,'rna-muscle'!$A:$A,0)))</f>
        <v>6</v>
      </c>
      <c r="H223" s="11" t="str">
        <f t="shared" si="4"/>
        <v>F6</v>
      </c>
      <c r="I223" s="10" t="str">
        <f t="shared" si="5"/>
        <v>BRN63G-F6</v>
      </c>
      <c r="J223" s="16"/>
      <c r="K223" s="16" t="str">
        <f t="shared" si="6"/>
        <v>collected</v>
      </c>
      <c r="L223" s="16" t="str">
        <f t="shared" si="7"/>
        <v>N</v>
      </c>
      <c r="M223" s="16"/>
      <c r="N223" s="16"/>
    </row>
    <row r="224">
      <c r="A224" s="27" t="s">
        <v>462</v>
      </c>
      <c r="B224" s="10" t="str">
        <f t="shared" si="1"/>
        <v>RNA-gill</v>
      </c>
      <c r="C224" s="10" t="str">
        <f t="shared" si="2"/>
        <v>BRN63G-E6</v>
      </c>
      <c r="D224" s="11">
        <f t="array" ref="D224">iferror(index('rna-muscle'!D:D,match(A224,'rna-muscle'!A:A,0)))</f>
        <v>63</v>
      </c>
      <c r="E224" s="10" t="str">
        <f t="shared" si="3"/>
        <v>BRN63G</v>
      </c>
      <c r="F224" s="11" t="str">
        <f t="array" ref="F224">iferror(index('rna-muscle'!F:F,match($A224,'rna-muscle'!$A:$A,0)))</f>
        <v>E</v>
      </c>
      <c r="G224" s="11">
        <f t="array" ref="G224">iferror(index('rna-muscle'!G:G,match($A224,'rna-muscle'!$A:$A,0)))</f>
        <v>6</v>
      </c>
      <c r="H224" s="11" t="str">
        <f t="shared" si="4"/>
        <v>E6</v>
      </c>
      <c r="I224" s="10" t="str">
        <f t="shared" si="5"/>
        <v>BRN63G-E6</v>
      </c>
      <c r="J224" s="16"/>
      <c r="K224" s="16" t="str">
        <f t="shared" si="6"/>
        <v>collected</v>
      </c>
      <c r="L224" s="16" t="str">
        <f t="shared" si="7"/>
        <v>N</v>
      </c>
      <c r="M224" s="16"/>
      <c r="N224" s="16"/>
    </row>
    <row r="225">
      <c r="A225" s="27" t="s">
        <v>463</v>
      </c>
      <c r="B225" s="10" t="str">
        <f t="shared" si="1"/>
        <v>RNA-gill</v>
      </c>
      <c r="C225" s="10" t="str">
        <f t="shared" si="2"/>
        <v>BRN63G-D6</v>
      </c>
      <c r="D225" s="11">
        <f t="array" ref="D225">iferror(index('rna-muscle'!D:D,match(A225,'rna-muscle'!A:A,0)))</f>
        <v>63</v>
      </c>
      <c r="E225" s="10" t="str">
        <f t="shared" si="3"/>
        <v>BRN63G</v>
      </c>
      <c r="F225" s="11" t="str">
        <f t="array" ref="F225">iferror(index('rna-muscle'!F:F,match($A225,'rna-muscle'!$A:$A,0)))</f>
        <v>D</v>
      </c>
      <c r="G225" s="11">
        <f t="array" ref="G225">iferror(index('rna-muscle'!G:G,match($A225,'rna-muscle'!$A:$A,0)))</f>
        <v>6</v>
      </c>
      <c r="H225" s="11" t="str">
        <f t="shared" si="4"/>
        <v>D6</v>
      </c>
      <c r="I225" s="10" t="str">
        <f t="shared" si="5"/>
        <v>BRN63G-D6</v>
      </c>
      <c r="J225" s="16"/>
      <c r="K225" s="16" t="str">
        <f t="shared" si="6"/>
        <v>collected</v>
      </c>
      <c r="L225" s="16" t="str">
        <f t="shared" si="7"/>
        <v>N</v>
      </c>
      <c r="M225" s="16"/>
      <c r="N225" s="16"/>
    </row>
    <row r="226">
      <c r="A226" s="27" t="s">
        <v>466</v>
      </c>
      <c r="B226" s="10" t="str">
        <f t="shared" si="1"/>
        <v>RNA-gill</v>
      </c>
      <c r="C226" s="10" t="str">
        <f t="shared" si="2"/>
        <v>BRN63G-C6</v>
      </c>
      <c r="D226" s="11">
        <f t="array" ref="D226">iferror(index('rna-muscle'!D:D,match(A226,'rna-muscle'!A:A,0)))</f>
        <v>63</v>
      </c>
      <c r="E226" s="10" t="str">
        <f t="shared" si="3"/>
        <v>BRN63G</v>
      </c>
      <c r="F226" s="11" t="str">
        <f t="array" ref="F226">iferror(index('rna-muscle'!F:F,match($A226,'rna-muscle'!$A:$A,0)))</f>
        <v>C</v>
      </c>
      <c r="G226" s="11">
        <f t="array" ref="G226">iferror(index('rna-muscle'!G:G,match($A226,'rna-muscle'!$A:$A,0)))</f>
        <v>6</v>
      </c>
      <c r="H226" s="11" t="str">
        <f t="shared" si="4"/>
        <v>C6</v>
      </c>
      <c r="I226" s="10" t="str">
        <f t="shared" si="5"/>
        <v>BRN63G-C6</v>
      </c>
      <c r="J226" s="16"/>
      <c r="K226" s="16" t="str">
        <f t="shared" si="6"/>
        <v>collected</v>
      </c>
      <c r="L226" s="16" t="str">
        <f t="shared" si="7"/>
        <v>N</v>
      </c>
      <c r="M226" s="16"/>
      <c r="N226" s="16"/>
    </row>
    <row r="227">
      <c r="A227" s="27" t="s">
        <v>467</v>
      </c>
      <c r="B227" s="10" t="str">
        <f t="shared" si="1"/>
        <v>RNA-gill</v>
      </c>
      <c r="C227" s="10" t="str">
        <f t="shared" si="2"/>
        <v>BRN63G-B6</v>
      </c>
      <c r="D227" s="11">
        <f t="array" ref="D227">iferror(index('rna-muscle'!D:D,match(A227,'rna-muscle'!A:A,0)))</f>
        <v>63</v>
      </c>
      <c r="E227" s="10" t="str">
        <f t="shared" si="3"/>
        <v>BRN63G</v>
      </c>
      <c r="F227" s="11" t="str">
        <f t="array" ref="F227">iferror(index('rna-muscle'!F:F,match($A227,'rna-muscle'!$A:$A,0)))</f>
        <v>B</v>
      </c>
      <c r="G227" s="11">
        <f t="array" ref="G227">iferror(index('rna-muscle'!G:G,match($A227,'rna-muscle'!$A:$A,0)))</f>
        <v>6</v>
      </c>
      <c r="H227" s="11" t="str">
        <f t="shared" si="4"/>
        <v>B6</v>
      </c>
      <c r="I227" s="10" t="str">
        <f t="shared" si="5"/>
        <v>BRN63G-B6</v>
      </c>
      <c r="J227" s="6"/>
      <c r="K227" s="16" t="str">
        <f t="shared" si="6"/>
        <v>collected</v>
      </c>
      <c r="L227" s="16" t="str">
        <f t="shared" si="7"/>
        <v>N</v>
      </c>
      <c r="M227" s="16"/>
      <c r="N227" s="16"/>
    </row>
    <row r="228">
      <c r="A228" s="27" t="s">
        <v>468</v>
      </c>
      <c r="B228" s="10" t="str">
        <f t="shared" si="1"/>
        <v>RNA-gill</v>
      </c>
      <c r="C228" s="10" t="str">
        <f t="shared" si="2"/>
        <v>BRN63G-A6</v>
      </c>
      <c r="D228" s="11">
        <f t="array" ref="D228">iferror(index('rna-muscle'!D:D,match(A228,'rna-muscle'!A:A,0)))</f>
        <v>63</v>
      </c>
      <c r="E228" s="10" t="str">
        <f t="shared" si="3"/>
        <v>BRN63G</v>
      </c>
      <c r="F228" s="11" t="str">
        <f t="array" ref="F228">iferror(index('rna-muscle'!F:F,match($A228,'rna-muscle'!$A:$A,0)))</f>
        <v>A</v>
      </c>
      <c r="G228" s="11">
        <f t="array" ref="G228">iferror(index('rna-muscle'!G:G,match($A228,'rna-muscle'!$A:$A,0)))</f>
        <v>6</v>
      </c>
      <c r="H228" s="11" t="str">
        <f t="shared" si="4"/>
        <v>A6</v>
      </c>
      <c r="I228" s="10" t="str">
        <f t="shared" si="5"/>
        <v>BRN63G-A6</v>
      </c>
      <c r="J228" s="6"/>
      <c r="K228" s="16" t="str">
        <f t="shared" si="6"/>
        <v>collected</v>
      </c>
      <c r="L228" s="16" t="str">
        <f t="shared" si="7"/>
        <v>N</v>
      </c>
      <c r="M228" s="16"/>
      <c r="N228" s="16"/>
    </row>
    <row r="229">
      <c r="A229" s="6" t="s">
        <v>470</v>
      </c>
      <c r="B229" s="10" t="str">
        <f t="shared" si="1"/>
        <v>RNA-gill</v>
      </c>
      <c r="C229" s="10" t="str">
        <f t="shared" si="2"/>
        <v>BRN63G-H7</v>
      </c>
      <c r="D229" s="11">
        <f t="array" ref="D229">iferror(index('rna-muscle'!D:D,match(A229,'rna-muscle'!A:A,0)))</f>
        <v>63</v>
      </c>
      <c r="E229" s="10" t="str">
        <f t="shared" si="3"/>
        <v>BRN63G</v>
      </c>
      <c r="F229" s="11" t="str">
        <f t="array" ref="F229">iferror(index('rna-muscle'!F:F,match($A229,'rna-muscle'!$A:$A,0)))</f>
        <v>H</v>
      </c>
      <c r="G229" s="11">
        <f t="array" ref="G229">iferror(index('rna-muscle'!G:G,match($A229,'rna-muscle'!$A:$A,0)))</f>
        <v>7</v>
      </c>
      <c r="H229" s="11" t="str">
        <f t="shared" si="4"/>
        <v>H7</v>
      </c>
      <c r="I229" s="10" t="str">
        <f t="shared" si="5"/>
        <v>BRN63G-H7</v>
      </c>
      <c r="J229" s="16"/>
      <c r="K229" s="16" t="str">
        <f t="shared" si="6"/>
        <v>collected</v>
      </c>
      <c r="L229" s="16" t="str">
        <f t="shared" si="7"/>
        <v>N</v>
      </c>
      <c r="M229" s="16"/>
      <c r="N229" s="16"/>
    </row>
    <row r="230">
      <c r="A230" s="28" t="s">
        <v>471</v>
      </c>
      <c r="B230" s="10" t="str">
        <f t="shared" si="1"/>
        <v>RNA-gill</v>
      </c>
      <c r="C230" s="10" t="str">
        <f t="shared" si="2"/>
        <v>BRN63G-G7</v>
      </c>
      <c r="D230" s="11">
        <f t="array" ref="D230">iferror(index('rna-muscle'!D:D,match(A230,'rna-muscle'!A:A,0)))</f>
        <v>63</v>
      </c>
      <c r="E230" s="10" t="str">
        <f t="shared" si="3"/>
        <v>BRN63G</v>
      </c>
      <c r="F230" s="11" t="str">
        <f t="array" ref="F230">iferror(index('rna-muscle'!F:F,match($A230,'rna-muscle'!$A:$A,0)))</f>
        <v>G</v>
      </c>
      <c r="G230" s="11">
        <f t="array" ref="G230">iferror(index('rna-muscle'!G:G,match($A230,'rna-muscle'!$A:$A,0)))</f>
        <v>7</v>
      </c>
      <c r="H230" s="11" t="str">
        <f t="shared" si="4"/>
        <v>G7</v>
      </c>
      <c r="I230" s="10" t="str">
        <f t="shared" si="5"/>
        <v>BRN63G-G7</v>
      </c>
      <c r="J230" s="16"/>
      <c r="K230" s="16" t="str">
        <f t="shared" si="6"/>
        <v>collected</v>
      </c>
      <c r="L230" s="16" t="str">
        <f t="shared" si="7"/>
        <v>N</v>
      </c>
      <c r="M230" s="16"/>
      <c r="N230" s="16"/>
    </row>
    <row r="231">
      <c r="A231" s="28" t="s">
        <v>476</v>
      </c>
      <c r="B231" s="10" t="str">
        <f t="shared" si="1"/>
        <v>RNA-gill</v>
      </c>
      <c r="C231" s="10" t="str">
        <f t="shared" si="2"/>
        <v>BRN63G-F7</v>
      </c>
      <c r="D231" s="11">
        <f t="array" ref="D231">iferror(index('rna-muscle'!D:D,match(A231,'rna-muscle'!A:A,0)))</f>
        <v>63</v>
      </c>
      <c r="E231" s="10" t="str">
        <f t="shared" si="3"/>
        <v>BRN63G</v>
      </c>
      <c r="F231" s="11" t="str">
        <f t="array" ref="F231">iferror(index('rna-muscle'!F:F,match($A231,'rna-muscle'!$A:$A,0)))</f>
        <v>F</v>
      </c>
      <c r="G231" s="11">
        <f t="array" ref="G231">iferror(index('rna-muscle'!G:G,match($A231,'rna-muscle'!$A:$A,0)))</f>
        <v>7</v>
      </c>
      <c r="H231" s="11" t="str">
        <f t="shared" si="4"/>
        <v>F7</v>
      </c>
      <c r="I231" s="10" t="str">
        <f t="shared" si="5"/>
        <v>BRN63G-F7</v>
      </c>
      <c r="J231" s="16"/>
      <c r="K231" s="16" t="str">
        <f t="shared" si="6"/>
        <v>collected</v>
      </c>
      <c r="L231" s="16" t="str">
        <f t="shared" si="7"/>
        <v>N</v>
      </c>
      <c r="M231" s="16"/>
      <c r="N231" s="16"/>
    </row>
    <row r="232">
      <c r="A232" s="28" t="s">
        <v>478</v>
      </c>
      <c r="B232" s="10" t="str">
        <f t="shared" si="1"/>
        <v>RNA-gill</v>
      </c>
      <c r="C232" s="10" t="str">
        <f t="shared" si="2"/>
        <v>BRN63G-E7</v>
      </c>
      <c r="D232" s="11">
        <f t="array" ref="D232">iferror(index('rna-muscle'!D:D,match(A232,'rna-muscle'!A:A,0)))</f>
        <v>63</v>
      </c>
      <c r="E232" s="10" t="str">
        <f t="shared" si="3"/>
        <v>BRN63G</v>
      </c>
      <c r="F232" s="11" t="str">
        <f t="array" ref="F232">iferror(index('rna-muscle'!F:F,match($A232,'rna-muscle'!$A:$A,0)))</f>
        <v>E</v>
      </c>
      <c r="G232" s="11">
        <f t="array" ref="G232">iferror(index('rna-muscle'!G:G,match($A232,'rna-muscle'!$A:$A,0)))</f>
        <v>7</v>
      </c>
      <c r="H232" s="11" t="str">
        <f t="shared" si="4"/>
        <v>E7</v>
      </c>
      <c r="I232" s="10" t="str">
        <f t="shared" si="5"/>
        <v>BRN63G-E7</v>
      </c>
      <c r="J232" s="16"/>
      <c r="K232" s="16" t="str">
        <f t="shared" si="6"/>
        <v>collected</v>
      </c>
      <c r="L232" s="16" t="str">
        <f t="shared" si="7"/>
        <v>N</v>
      </c>
      <c r="M232" s="16"/>
      <c r="N232" s="16"/>
    </row>
    <row r="233">
      <c r="A233" s="28" t="s">
        <v>480</v>
      </c>
      <c r="B233" s="10" t="str">
        <f t="shared" si="1"/>
        <v>RNA-gill</v>
      </c>
      <c r="C233" s="10" t="str">
        <f t="shared" si="2"/>
        <v>BRN63G-D7</v>
      </c>
      <c r="D233" s="11">
        <f t="array" ref="D233">iferror(index('rna-muscle'!D:D,match(A233,'rna-muscle'!A:A,0)))</f>
        <v>63</v>
      </c>
      <c r="E233" s="10" t="str">
        <f t="shared" si="3"/>
        <v>BRN63G</v>
      </c>
      <c r="F233" s="11" t="str">
        <f t="array" ref="F233">iferror(index('rna-muscle'!F:F,match($A233,'rna-muscle'!$A:$A,0)))</f>
        <v>D</v>
      </c>
      <c r="G233" s="11">
        <f t="array" ref="G233">iferror(index('rna-muscle'!G:G,match($A233,'rna-muscle'!$A:$A,0)))</f>
        <v>7</v>
      </c>
      <c r="H233" s="11" t="str">
        <f t="shared" si="4"/>
        <v>D7</v>
      </c>
      <c r="I233" s="10" t="str">
        <f t="shared" si="5"/>
        <v>BRN63G-D7</v>
      </c>
      <c r="J233" s="16"/>
      <c r="K233" s="16" t="str">
        <f t="shared" si="6"/>
        <v>collected</v>
      </c>
      <c r="L233" s="16" t="str">
        <f t="shared" si="7"/>
        <v>N</v>
      </c>
      <c r="M233" s="16"/>
      <c r="N233" s="16"/>
    </row>
    <row r="234">
      <c r="A234" s="27" t="s">
        <v>482</v>
      </c>
      <c r="B234" s="10" t="str">
        <f t="shared" si="1"/>
        <v>RNA-gill</v>
      </c>
      <c r="C234" s="10" t="str">
        <f t="shared" si="2"/>
        <v>BRN63G-C7</v>
      </c>
      <c r="D234" s="11">
        <f t="array" ref="D234">iferror(index('rna-muscle'!D:D,match(A234,'rna-muscle'!A:A,0)))</f>
        <v>63</v>
      </c>
      <c r="E234" s="10" t="str">
        <f t="shared" si="3"/>
        <v>BRN63G</v>
      </c>
      <c r="F234" s="11" t="str">
        <f t="array" ref="F234">iferror(index('rna-muscle'!F:F,match($A234,'rna-muscle'!$A:$A,0)))</f>
        <v>C</v>
      </c>
      <c r="G234" s="11">
        <f t="array" ref="G234">iferror(index('rna-muscle'!G:G,match($A234,'rna-muscle'!$A:$A,0)))</f>
        <v>7</v>
      </c>
      <c r="H234" s="11" t="str">
        <f t="shared" si="4"/>
        <v>C7</v>
      </c>
      <c r="I234" s="10" t="str">
        <f t="shared" si="5"/>
        <v>BRN63G-C7</v>
      </c>
      <c r="J234" s="16"/>
      <c r="K234" s="16" t="str">
        <f t="shared" si="6"/>
        <v>collected</v>
      </c>
      <c r="L234" s="16" t="str">
        <f t="shared" si="7"/>
        <v>N</v>
      </c>
      <c r="M234" s="16"/>
      <c r="N234" s="16"/>
    </row>
    <row r="235">
      <c r="A235" s="27" t="s">
        <v>483</v>
      </c>
      <c r="B235" s="10" t="str">
        <f t="shared" si="1"/>
        <v>RNA-gill</v>
      </c>
      <c r="C235" s="10" t="str">
        <f t="shared" si="2"/>
        <v>BRN63G-B7</v>
      </c>
      <c r="D235" s="11">
        <f t="array" ref="D235">iferror(index('rna-muscle'!D:D,match(A235,'rna-muscle'!A:A,0)))</f>
        <v>63</v>
      </c>
      <c r="E235" s="10" t="str">
        <f t="shared" si="3"/>
        <v>BRN63G</v>
      </c>
      <c r="F235" s="11" t="str">
        <f t="array" ref="F235">iferror(index('rna-muscle'!F:F,match($A235,'rna-muscle'!$A:$A,0)))</f>
        <v>B</v>
      </c>
      <c r="G235" s="11">
        <f t="array" ref="G235">iferror(index('rna-muscle'!G:G,match($A235,'rna-muscle'!$A:$A,0)))</f>
        <v>7</v>
      </c>
      <c r="H235" s="11" t="str">
        <f t="shared" si="4"/>
        <v>B7</v>
      </c>
      <c r="I235" s="10" t="str">
        <f t="shared" si="5"/>
        <v>BRN63G-B7</v>
      </c>
      <c r="J235" s="16"/>
      <c r="K235" s="16" t="str">
        <f t="shared" si="6"/>
        <v>collected</v>
      </c>
      <c r="L235" s="16" t="str">
        <f t="shared" si="7"/>
        <v>N</v>
      </c>
      <c r="M235" s="16"/>
      <c r="N235" s="16"/>
    </row>
    <row r="236">
      <c r="A236" s="27" t="s">
        <v>484</v>
      </c>
      <c r="B236" s="10" t="str">
        <f t="shared" si="1"/>
        <v>RNA-gill</v>
      </c>
      <c r="C236" s="10" t="str">
        <f t="shared" si="2"/>
        <v>BRN63G-A7</v>
      </c>
      <c r="D236" s="11">
        <f t="array" ref="D236">iferror(index('rna-muscle'!D:D,match(A236,'rna-muscle'!A:A,0)))</f>
        <v>63</v>
      </c>
      <c r="E236" s="10" t="str">
        <f t="shared" si="3"/>
        <v>BRN63G</v>
      </c>
      <c r="F236" s="11" t="str">
        <f t="array" ref="F236">iferror(index('rna-muscle'!F:F,match($A236,'rna-muscle'!$A:$A,0)))</f>
        <v>A</v>
      </c>
      <c r="G236" s="11">
        <f t="array" ref="G236">iferror(index('rna-muscle'!G:G,match($A236,'rna-muscle'!$A:$A,0)))</f>
        <v>7</v>
      </c>
      <c r="H236" s="11" t="str">
        <f t="shared" si="4"/>
        <v>A7</v>
      </c>
      <c r="I236" s="10" t="str">
        <f t="shared" si="5"/>
        <v>BRN63G-A7</v>
      </c>
      <c r="J236" s="16"/>
      <c r="K236" s="16" t="str">
        <f t="shared" si="6"/>
        <v>collected</v>
      </c>
      <c r="L236" s="16" t="str">
        <f t="shared" si="7"/>
        <v>N</v>
      </c>
      <c r="M236" s="16"/>
      <c r="N236" s="16"/>
    </row>
    <row r="237">
      <c r="A237" s="27" t="s">
        <v>487</v>
      </c>
      <c r="B237" s="10" t="str">
        <f t="shared" si="1"/>
        <v>RNA-gill</v>
      </c>
      <c r="C237" s="10" t="str">
        <f t="shared" si="2"/>
        <v>BRN63G-H9</v>
      </c>
      <c r="D237" s="11">
        <f t="array" ref="D237">iferror(index('rna-muscle'!D:D,match(A237,'rna-muscle'!A:A,0)))</f>
        <v>63</v>
      </c>
      <c r="E237" s="10" t="str">
        <f t="shared" si="3"/>
        <v>BRN63G</v>
      </c>
      <c r="F237" s="11" t="str">
        <f t="array" ref="F237">iferror(index('rna-muscle'!F:F,match($A237,'rna-muscle'!$A:$A,0)))</f>
        <v>H</v>
      </c>
      <c r="G237" s="11">
        <f t="array" ref="G237">iferror(index('rna-muscle'!G:G,match($A237,'rna-muscle'!$A:$A,0)))</f>
        <v>9</v>
      </c>
      <c r="H237" s="11" t="str">
        <f t="shared" si="4"/>
        <v>H9</v>
      </c>
      <c r="I237" s="10" t="str">
        <f t="shared" si="5"/>
        <v>BRN63G-H9</v>
      </c>
      <c r="J237" s="16"/>
      <c r="K237" s="16" t="str">
        <f t="shared" si="6"/>
        <v>collected</v>
      </c>
      <c r="L237" s="16" t="str">
        <f t="shared" si="7"/>
        <v>N</v>
      </c>
      <c r="M237" s="16"/>
      <c r="N237" s="16"/>
    </row>
    <row r="238">
      <c r="A238" s="27" t="s">
        <v>488</v>
      </c>
      <c r="B238" s="10" t="str">
        <f t="shared" si="1"/>
        <v>RNA-gill</v>
      </c>
      <c r="C238" s="10" t="str">
        <f t="shared" si="2"/>
        <v>BRN63G-G9</v>
      </c>
      <c r="D238" s="11">
        <f t="array" ref="D238">iferror(index('rna-muscle'!D:D,match(A238,'rna-muscle'!A:A,0)))</f>
        <v>63</v>
      </c>
      <c r="E238" s="10" t="str">
        <f t="shared" si="3"/>
        <v>BRN63G</v>
      </c>
      <c r="F238" s="11" t="str">
        <f t="array" ref="F238">iferror(index('rna-muscle'!F:F,match($A238,'rna-muscle'!$A:$A,0)))</f>
        <v>G</v>
      </c>
      <c r="G238" s="11">
        <f t="array" ref="G238">iferror(index('rna-muscle'!G:G,match($A238,'rna-muscle'!$A:$A,0)))</f>
        <v>9</v>
      </c>
      <c r="H238" s="11" t="str">
        <f t="shared" si="4"/>
        <v>G9</v>
      </c>
      <c r="I238" s="10" t="str">
        <f t="shared" si="5"/>
        <v>BRN63G-G9</v>
      </c>
      <c r="J238" s="16"/>
      <c r="K238" s="16" t="str">
        <f t="shared" si="6"/>
        <v>collected</v>
      </c>
      <c r="L238" s="16" t="str">
        <f t="shared" si="7"/>
        <v>N</v>
      </c>
      <c r="M238" s="16"/>
      <c r="N238" s="16"/>
    </row>
    <row r="239">
      <c r="A239" s="27" t="s">
        <v>490</v>
      </c>
      <c r="B239" s="10" t="str">
        <f t="shared" si="1"/>
        <v>RNA-gill</v>
      </c>
      <c r="C239" s="10" t="str">
        <f t="shared" si="2"/>
        <v>BRN63G-F9</v>
      </c>
      <c r="D239" s="11">
        <f t="array" ref="D239">iferror(index('rna-muscle'!D:D,match(A239,'rna-muscle'!A:A,0)))</f>
        <v>63</v>
      </c>
      <c r="E239" s="10" t="str">
        <f t="shared" si="3"/>
        <v>BRN63G</v>
      </c>
      <c r="F239" s="11" t="str">
        <f t="array" ref="F239">iferror(index('rna-muscle'!F:F,match($A239,'rna-muscle'!$A:$A,0)))</f>
        <v>F</v>
      </c>
      <c r="G239" s="11">
        <f t="array" ref="G239">iferror(index('rna-muscle'!G:G,match($A239,'rna-muscle'!$A:$A,0)))</f>
        <v>9</v>
      </c>
      <c r="H239" s="11" t="str">
        <f t="shared" si="4"/>
        <v>F9</v>
      </c>
      <c r="I239" s="10" t="str">
        <f t="shared" si="5"/>
        <v>BRN63G-F9</v>
      </c>
      <c r="J239" s="16"/>
      <c r="K239" s="16" t="str">
        <f t="shared" si="6"/>
        <v>collected</v>
      </c>
      <c r="L239" s="16" t="str">
        <f t="shared" si="7"/>
        <v>N</v>
      </c>
      <c r="M239" s="16"/>
      <c r="N239" s="16"/>
    </row>
    <row r="240">
      <c r="A240" s="27" t="s">
        <v>492</v>
      </c>
      <c r="B240" s="10" t="str">
        <f t="shared" si="1"/>
        <v>RNA-gill</v>
      </c>
      <c r="C240" s="10" t="str">
        <f t="shared" si="2"/>
        <v>BRN63G-E9</v>
      </c>
      <c r="D240" s="11">
        <f t="array" ref="D240">iferror(index('rna-muscle'!D:D,match(A240,'rna-muscle'!A:A,0)))</f>
        <v>63</v>
      </c>
      <c r="E240" s="10" t="str">
        <f t="shared" si="3"/>
        <v>BRN63G</v>
      </c>
      <c r="F240" s="11" t="str">
        <f t="array" ref="F240">iferror(index('rna-muscle'!F:F,match($A240,'rna-muscle'!$A:$A,0)))</f>
        <v>E</v>
      </c>
      <c r="G240" s="11">
        <f t="array" ref="G240">iferror(index('rna-muscle'!G:G,match($A240,'rna-muscle'!$A:$A,0)))</f>
        <v>9</v>
      </c>
      <c r="H240" s="11" t="str">
        <f t="shared" si="4"/>
        <v>E9</v>
      </c>
      <c r="I240" s="10" t="str">
        <f t="shared" si="5"/>
        <v>BRN63G-E9</v>
      </c>
      <c r="J240" s="16"/>
      <c r="K240" s="16" t="str">
        <f t="shared" si="6"/>
        <v>collected</v>
      </c>
      <c r="L240" s="16" t="str">
        <f t="shared" si="7"/>
        <v>N</v>
      </c>
      <c r="M240" s="16"/>
      <c r="N240" s="16"/>
    </row>
    <row r="241">
      <c r="A241" s="27" t="s">
        <v>493</v>
      </c>
      <c r="B241" s="10" t="str">
        <f t="shared" si="1"/>
        <v>RNA-gill</v>
      </c>
      <c r="C241" s="10" t="str">
        <f t="shared" si="2"/>
        <v>BRN63G-D9</v>
      </c>
      <c r="D241" s="11">
        <f t="array" ref="D241">iferror(index('rna-muscle'!D:D,match(A241,'rna-muscle'!A:A,0)))</f>
        <v>63</v>
      </c>
      <c r="E241" s="10" t="str">
        <f t="shared" si="3"/>
        <v>BRN63G</v>
      </c>
      <c r="F241" s="11" t="str">
        <f t="array" ref="F241">iferror(index('rna-muscle'!F:F,match($A241,'rna-muscle'!$A:$A,0)))</f>
        <v>D</v>
      </c>
      <c r="G241" s="11">
        <f t="array" ref="G241">iferror(index('rna-muscle'!G:G,match($A241,'rna-muscle'!$A:$A,0)))</f>
        <v>9</v>
      </c>
      <c r="H241" s="11" t="str">
        <f t="shared" si="4"/>
        <v>D9</v>
      </c>
      <c r="I241" s="10" t="str">
        <f t="shared" si="5"/>
        <v>BRN63G-D9</v>
      </c>
      <c r="J241" s="16"/>
      <c r="K241" s="16" t="str">
        <f t="shared" si="6"/>
        <v>collected</v>
      </c>
      <c r="L241" s="16" t="str">
        <f t="shared" si="7"/>
        <v>N</v>
      </c>
      <c r="M241" s="16"/>
      <c r="N241" s="16"/>
    </row>
    <row r="242">
      <c r="A242" s="27" t="s">
        <v>495</v>
      </c>
      <c r="B242" s="10" t="str">
        <f t="shared" si="1"/>
        <v>RNA-gill</v>
      </c>
      <c r="C242" s="10" t="str">
        <f t="shared" si="2"/>
        <v>BRN63G-C9</v>
      </c>
      <c r="D242" s="11">
        <f t="array" ref="D242">iferror(index('rna-muscle'!D:D,match(A242,'rna-muscle'!A:A,0)))</f>
        <v>63</v>
      </c>
      <c r="E242" s="10" t="str">
        <f t="shared" si="3"/>
        <v>BRN63G</v>
      </c>
      <c r="F242" s="11" t="str">
        <f t="array" ref="F242">iferror(index('rna-muscle'!F:F,match($A242,'rna-muscle'!$A:$A,0)))</f>
        <v>C</v>
      </c>
      <c r="G242" s="11">
        <f t="array" ref="G242">iferror(index('rna-muscle'!G:G,match($A242,'rna-muscle'!$A:$A,0)))</f>
        <v>9</v>
      </c>
      <c r="H242" s="11" t="str">
        <f t="shared" si="4"/>
        <v>C9</v>
      </c>
      <c r="I242" s="10" t="str">
        <f t="shared" si="5"/>
        <v>BRN63G-C9</v>
      </c>
      <c r="J242" s="6"/>
      <c r="K242" s="16" t="str">
        <f t="shared" si="6"/>
        <v>collected</v>
      </c>
      <c r="L242" s="16" t="str">
        <f t="shared" si="7"/>
        <v>N</v>
      </c>
      <c r="M242" s="16"/>
      <c r="N242" s="16"/>
    </row>
    <row r="243">
      <c r="A243" s="27" t="s">
        <v>498</v>
      </c>
      <c r="B243" s="10" t="str">
        <f t="shared" si="1"/>
        <v>RNA-gill</v>
      </c>
      <c r="C243" s="10" t="str">
        <f t="shared" si="2"/>
        <v>BRN63G-B9</v>
      </c>
      <c r="D243" s="11">
        <f t="array" ref="D243">iferror(index('rna-muscle'!D:D,match(A243,'rna-muscle'!A:A,0)))</f>
        <v>63</v>
      </c>
      <c r="E243" s="10" t="str">
        <f t="shared" si="3"/>
        <v>BRN63G</v>
      </c>
      <c r="F243" s="11" t="str">
        <f t="array" ref="F243">iferror(index('rna-muscle'!F:F,match($A243,'rna-muscle'!$A:$A,0)))</f>
        <v>B</v>
      </c>
      <c r="G243" s="11">
        <f t="array" ref="G243">iferror(index('rna-muscle'!G:G,match($A243,'rna-muscle'!$A:$A,0)))</f>
        <v>9</v>
      </c>
      <c r="H243" s="11" t="str">
        <f t="shared" si="4"/>
        <v>B9</v>
      </c>
      <c r="I243" s="10" t="str">
        <f t="shared" si="5"/>
        <v>BRN63G-B9</v>
      </c>
      <c r="J243" s="16"/>
      <c r="K243" s="16" t="str">
        <f t="shared" si="6"/>
        <v>collected</v>
      </c>
      <c r="L243" s="16" t="str">
        <f t="shared" si="7"/>
        <v>N</v>
      </c>
      <c r="M243" s="16"/>
      <c r="N243" s="16"/>
    </row>
    <row r="244">
      <c r="A244" s="27" t="s">
        <v>500</v>
      </c>
      <c r="B244" s="10" t="str">
        <f t="shared" si="1"/>
        <v>RNA-gill</v>
      </c>
      <c r="C244" s="10" t="str">
        <f t="shared" si="2"/>
        <v>BRN63G-B4</v>
      </c>
      <c r="D244" s="11">
        <f t="array" ref="D244">iferror(index('rna-muscle'!D:D,match(A244,'rna-muscle'!A:A,0)))</f>
        <v>63</v>
      </c>
      <c r="E244" s="10" t="str">
        <f t="shared" si="3"/>
        <v>BRN63G</v>
      </c>
      <c r="F244" s="11" t="str">
        <f t="array" ref="F244">iferror(index('rna-muscle'!F:F,match($A244,'rna-muscle'!$A:$A,0)))</f>
        <v>B</v>
      </c>
      <c r="G244" s="11">
        <f t="array" ref="G244">iferror(index('rna-muscle'!G:G,match($A244,'rna-muscle'!$A:$A,0)))</f>
        <v>4</v>
      </c>
      <c r="H244" s="11" t="str">
        <f t="shared" si="4"/>
        <v>B4</v>
      </c>
      <c r="I244" s="10" t="str">
        <f t="shared" si="5"/>
        <v>BRN63G-B4</v>
      </c>
      <c r="J244" s="16"/>
      <c r="K244" s="16" t="str">
        <f t="shared" si="6"/>
        <v>collected</v>
      </c>
      <c r="L244" s="16" t="str">
        <f t="shared" si="7"/>
        <v>N</v>
      </c>
      <c r="M244" s="16"/>
      <c r="N244" s="16"/>
    </row>
    <row r="245">
      <c r="A245" s="27" t="s">
        <v>501</v>
      </c>
      <c r="B245" s="10" t="str">
        <f t="shared" si="1"/>
        <v>RNA-gill</v>
      </c>
      <c r="C245" s="10" t="str">
        <f t="shared" si="2"/>
        <v>BRN63G-A4</v>
      </c>
      <c r="D245" s="11">
        <f t="array" ref="D245">iferror(index('rna-muscle'!D:D,match(A245,'rna-muscle'!A:A,0)))</f>
        <v>63</v>
      </c>
      <c r="E245" s="10" t="str">
        <f t="shared" si="3"/>
        <v>BRN63G</v>
      </c>
      <c r="F245" s="11" t="str">
        <f t="array" ref="F245">iferror(index('rna-muscle'!F:F,match($A245,'rna-muscle'!$A:$A,0)))</f>
        <v>A</v>
      </c>
      <c r="G245" s="11">
        <f t="array" ref="G245">iferror(index('rna-muscle'!G:G,match($A245,'rna-muscle'!$A:$A,0)))</f>
        <v>4</v>
      </c>
      <c r="H245" s="11" t="str">
        <f t="shared" si="4"/>
        <v>A4</v>
      </c>
      <c r="I245" s="10" t="str">
        <f t="shared" si="5"/>
        <v>BRN63G-A4</v>
      </c>
      <c r="J245" s="6"/>
      <c r="K245" s="16" t="str">
        <f t="shared" si="6"/>
        <v>collected</v>
      </c>
      <c r="L245" s="16" t="str">
        <f t="shared" si="7"/>
        <v>N</v>
      </c>
      <c r="M245" s="16"/>
      <c r="N245" s="16"/>
    </row>
    <row r="246">
      <c r="A246" s="29" t="s">
        <v>504</v>
      </c>
      <c r="B246" s="10" t="str">
        <f t="shared" si="1"/>
        <v>RNA-gill</v>
      </c>
      <c r="C246" s="10" t="str">
        <f t="shared" si="2"/>
        <v>BRN63G-H8</v>
      </c>
      <c r="D246" s="11">
        <f t="array" ref="D246">iferror(index('rna-muscle'!D:D,match(A246,'rna-muscle'!A:A,0)))</f>
        <v>63</v>
      </c>
      <c r="E246" s="10" t="str">
        <f t="shared" si="3"/>
        <v>BRN63G</v>
      </c>
      <c r="F246" s="11" t="str">
        <f t="array" ref="F246">iferror(index('rna-muscle'!F:F,match($A246,'rna-muscle'!$A:$A,0)))</f>
        <v>H</v>
      </c>
      <c r="G246" s="11">
        <f t="array" ref="G246">iferror(index('rna-muscle'!G:G,match($A246,'rna-muscle'!$A:$A,0)))</f>
        <v>8</v>
      </c>
      <c r="H246" s="11" t="str">
        <f t="shared" si="4"/>
        <v>H8</v>
      </c>
      <c r="I246" s="10" t="str">
        <f t="shared" si="5"/>
        <v>BRN63G-H8</v>
      </c>
      <c r="J246" s="16"/>
      <c r="K246" s="16" t="str">
        <f t="shared" si="6"/>
        <v>collected</v>
      </c>
      <c r="L246" s="16" t="str">
        <f t="shared" si="7"/>
        <v>N</v>
      </c>
      <c r="M246" s="16"/>
      <c r="N246" s="16"/>
    </row>
    <row r="247">
      <c r="A247" s="29" t="s">
        <v>506</v>
      </c>
      <c r="B247" s="10" t="str">
        <f t="shared" si="1"/>
        <v>RNA-gill</v>
      </c>
      <c r="C247" s="10" t="str">
        <f t="shared" si="2"/>
        <v>BRN63G-G8</v>
      </c>
      <c r="D247" s="11">
        <f t="array" ref="D247">iferror(index('rna-muscle'!D:D,match(A247,'rna-muscle'!A:A,0)))</f>
        <v>63</v>
      </c>
      <c r="E247" s="10" t="str">
        <f t="shared" si="3"/>
        <v>BRN63G</v>
      </c>
      <c r="F247" s="11" t="str">
        <f t="array" ref="F247">iferror(index('rna-muscle'!F:F,match($A247,'rna-muscle'!$A:$A,0)))</f>
        <v>G</v>
      </c>
      <c r="G247" s="11">
        <f t="array" ref="G247">iferror(index('rna-muscle'!G:G,match($A247,'rna-muscle'!$A:$A,0)))</f>
        <v>8</v>
      </c>
      <c r="H247" s="11" t="str">
        <f t="shared" si="4"/>
        <v>G8</v>
      </c>
      <c r="I247" s="10" t="str">
        <f t="shared" si="5"/>
        <v>BRN63G-G8</v>
      </c>
      <c r="J247" s="16"/>
      <c r="K247" s="16" t="str">
        <f t="shared" si="6"/>
        <v>collected</v>
      </c>
      <c r="L247" s="16" t="str">
        <f t="shared" si="7"/>
        <v>N</v>
      </c>
      <c r="M247" s="16"/>
      <c r="N247" s="16"/>
    </row>
    <row r="248">
      <c r="A248" s="29" t="s">
        <v>507</v>
      </c>
      <c r="B248" s="10" t="str">
        <f t="shared" si="1"/>
        <v>RNA-gill</v>
      </c>
      <c r="C248" s="10" t="str">
        <f t="shared" si="2"/>
        <v>BRN63G-F8</v>
      </c>
      <c r="D248" s="11">
        <f t="array" ref="D248">iferror(index('rna-muscle'!D:D,match(A248,'rna-muscle'!A:A,0)))</f>
        <v>63</v>
      </c>
      <c r="E248" s="10" t="str">
        <f t="shared" si="3"/>
        <v>BRN63G</v>
      </c>
      <c r="F248" s="11" t="str">
        <f t="array" ref="F248">iferror(index('rna-muscle'!F:F,match($A248,'rna-muscle'!$A:$A,0)))</f>
        <v>F</v>
      </c>
      <c r="G248" s="11">
        <f t="array" ref="G248">iferror(index('rna-muscle'!G:G,match($A248,'rna-muscle'!$A:$A,0)))</f>
        <v>8</v>
      </c>
      <c r="H248" s="11" t="str">
        <f t="shared" si="4"/>
        <v>F8</v>
      </c>
      <c r="I248" s="10" t="str">
        <f t="shared" si="5"/>
        <v>BRN63G-F8</v>
      </c>
      <c r="J248" s="6" t="s">
        <v>2110</v>
      </c>
      <c r="K248" s="16" t="str">
        <f t="shared" si="6"/>
        <v>collected</v>
      </c>
      <c r="L248" s="16" t="str">
        <f t="shared" si="7"/>
        <v>N</v>
      </c>
      <c r="M248" s="16"/>
      <c r="N248" s="16"/>
    </row>
    <row r="249">
      <c r="A249" s="29" t="s">
        <v>509</v>
      </c>
      <c r="B249" s="10" t="str">
        <f t="shared" si="1"/>
        <v>RNA-gill</v>
      </c>
      <c r="C249" s="10" t="str">
        <f t="shared" si="2"/>
        <v>BRN63G-E8</v>
      </c>
      <c r="D249" s="11">
        <f t="array" ref="D249">iferror(index('rna-muscle'!D:D,match(A249,'rna-muscle'!A:A,0)))</f>
        <v>63</v>
      </c>
      <c r="E249" s="10" t="str">
        <f t="shared" si="3"/>
        <v>BRN63G</v>
      </c>
      <c r="F249" s="11" t="str">
        <f t="array" ref="F249">iferror(index('rna-muscle'!F:F,match($A249,'rna-muscle'!$A:$A,0)))</f>
        <v>E</v>
      </c>
      <c r="G249" s="11">
        <f t="array" ref="G249">iferror(index('rna-muscle'!G:G,match($A249,'rna-muscle'!$A:$A,0)))</f>
        <v>8</v>
      </c>
      <c r="H249" s="11" t="str">
        <f t="shared" si="4"/>
        <v>E8</v>
      </c>
      <c r="I249" s="10" t="str">
        <f t="shared" si="5"/>
        <v>BRN63G-E8</v>
      </c>
      <c r="J249" s="16"/>
      <c r="K249" s="16" t="str">
        <f t="shared" si="6"/>
        <v>collected</v>
      </c>
      <c r="L249" s="16" t="str">
        <f t="shared" si="7"/>
        <v>N</v>
      </c>
      <c r="M249" s="16"/>
      <c r="N249" s="16"/>
    </row>
    <row r="250">
      <c r="A250" s="26" t="s">
        <v>511</v>
      </c>
      <c r="B250" s="10" t="str">
        <f t="shared" si="1"/>
        <v>RNA-gill</v>
      </c>
      <c r="C250" s="10" t="str">
        <f t="shared" si="2"/>
        <v>BRN63G-D8</v>
      </c>
      <c r="D250" s="11">
        <f t="array" ref="D250">iferror(index('rna-muscle'!D:D,match(A250,'rna-muscle'!A:A,0)))</f>
        <v>63</v>
      </c>
      <c r="E250" s="10" t="str">
        <f t="shared" si="3"/>
        <v>BRN63G</v>
      </c>
      <c r="F250" s="11" t="str">
        <f t="array" ref="F250">iferror(index('rna-muscle'!F:F,match($A250,'rna-muscle'!$A:$A,0)))</f>
        <v>D</v>
      </c>
      <c r="G250" s="11">
        <f t="array" ref="G250">iferror(index('rna-muscle'!G:G,match($A250,'rna-muscle'!$A:$A,0)))</f>
        <v>8</v>
      </c>
      <c r="H250" s="11" t="str">
        <f t="shared" si="4"/>
        <v>D8</v>
      </c>
      <c r="I250" s="10" t="str">
        <f t="shared" si="5"/>
        <v>BRN63G-D8</v>
      </c>
      <c r="J250" s="16"/>
      <c r="K250" s="16" t="str">
        <f t="shared" si="6"/>
        <v>collected</v>
      </c>
      <c r="L250" s="16" t="str">
        <f t="shared" si="7"/>
        <v>N</v>
      </c>
      <c r="M250" s="16"/>
      <c r="N250" s="16"/>
    </row>
    <row r="251">
      <c r="A251" s="26" t="s">
        <v>512</v>
      </c>
      <c r="B251" s="10" t="str">
        <f t="shared" si="1"/>
        <v>RNA-gill</v>
      </c>
      <c r="C251" s="10" t="str">
        <f t="shared" si="2"/>
        <v>BRN63G-C8</v>
      </c>
      <c r="D251" s="11">
        <f t="array" ref="D251">iferror(index('rna-muscle'!D:D,match(A251,'rna-muscle'!A:A,0)))</f>
        <v>63</v>
      </c>
      <c r="E251" s="10" t="str">
        <f t="shared" si="3"/>
        <v>BRN63G</v>
      </c>
      <c r="F251" s="11" t="str">
        <f t="array" ref="F251">iferror(index('rna-muscle'!F:F,match($A251,'rna-muscle'!$A:$A,0)))</f>
        <v>C</v>
      </c>
      <c r="G251" s="11">
        <f t="array" ref="G251">iferror(index('rna-muscle'!G:G,match($A251,'rna-muscle'!$A:$A,0)))</f>
        <v>8</v>
      </c>
      <c r="H251" s="11" t="str">
        <f t="shared" si="4"/>
        <v>C8</v>
      </c>
      <c r="I251" s="10" t="str">
        <f t="shared" si="5"/>
        <v>BRN63G-C8</v>
      </c>
      <c r="J251" s="16"/>
      <c r="K251" s="16" t="str">
        <f t="shared" si="6"/>
        <v>collected</v>
      </c>
      <c r="L251" s="16" t="str">
        <f t="shared" si="7"/>
        <v>N</v>
      </c>
      <c r="M251" s="16"/>
      <c r="N251" s="16"/>
    </row>
    <row r="252">
      <c r="A252" s="26" t="s">
        <v>514</v>
      </c>
      <c r="B252" s="10" t="str">
        <f t="shared" si="1"/>
        <v>RNA-gill</v>
      </c>
      <c r="C252" s="10" t="str">
        <f t="shared" si="2"/>
        <v>BRN63G-B8</v>
      </c>
      <c r="D252" s="11">
        <f t="array" ref="D252">iferror(index('rna-muscle'!D:D,match(A252,'rna-muscle'!A:A,0)))</f>
        <v>63</v>
      </c>
      <c r="E252" s="10" t="str">
        <f t="shared" si="3"/>
        <v>BRN63G</v>
      </c>
      <c r="F252" s="11" t="str">
        <f t="array" ref="F252">iferror(index('rna-muscle'!F:F,match($A252,'rna-muscle'!$A:$A,0)))</f>
        <v>B</v>
      </c>
      <c r="G252" s="11">
        <f t="array" ref="G252">iferror(index('rna-muscle'!G:G,match($A252,'rna-muscle'!$A:$A,0)))</f>
        <v>8</v>
      </c>
      <c r="H252" s="11" t="str">
        <f t="shared" si="4"/>
        <v>B8</v>
      </c>
      <c r="I252" s="10" t="str">
        <f t="shared" si="5"/>
        <v>BRN63G-B8</v>
      </c>
      <c r="J252" s="16"/>
      <c r="K252" s="16" t="str">
        <f t="shared" si="6"/>
        <v>collected</v>
      </c>
      <c r="L252" s="16" t="str">
        <f t="shared" si="7"/>
        <v>N</v>
      </c>
      <c r="M252" s="16"/>
      <c r="N252" s="16"/>
    </row>
    <row r="253">
      <c r="A253" s="26" t="s">
        <v>515</v>
      </c>
      <c r="B253" s="10" t="str">
        <f t="shared" si="1"/>
        <v>RNA-gill</v>
      </c>
      <c r="C253" s="10" t="str">
        <f t="shared" si="2"/>
        <v>BRN63G-A8</v>
      </c>
      <c r="D253" s="11">
        <f t="array" ref="D253">iferror(index('rna-muscle'!D:D,match(A253,'rna-muscle'!A:A,0)))</f>
        <v>63</v>
      </c>
      <c r="E253" s="10" t="str">
        <f t="shared" si="3"/>
        <v>BRN63G</v>
      </c>
      <c r="F253" s="11" t="str">
        <f t="array" ref="F253">iferror(index('rna-muscle'!F:F,match($A253,'rna-muscle'!$A:$A,0)))</f>
        <v>A</v>
      </c>
      <c r="G253" s="11">
        <f t="array" ref="G253">iferror(index('rna-muscle'!G:G,match($A253,'rna-muscle'!$A:$A,0)))</f>
        <v>8</v>
      </c>
      <c r="H253" s="11" t="str">
        <f t="shared" si="4"/>
        <v>A8</v>
      </c>
      <c r="I253" s="10" t="str">
        <f t="shared" si="5"/>
        <v>BRN63G-A8</v>
      </c>
      <c r="J253" s="16"/>
      <c r="K253" s="16" t="str">
        <f t="shared" si="6"/>
        <v>collected</v>
      </c>
      <c r="L253" s="16" t="str">
        <f t="shared" si="7"/>
        <v>N</v>
      </c>
      <c r="M253" s="16"/>
      <c r="N253" s="16"/>
    </row>
    <row r="254">
      <c r="A254" s="26" t="s">
        <v>516</v>
      </c>
      <c r="B254" s="10" t="str">
        <f t="shared" si="1"/>
        <v>RNA-gill</v>
      </c>
      <c r="C254" s="10" t="str">
        <f t="shared" si="2"/>
        <v>BRN63G-H10</v>
      </c>
      <c r="D254" s="11">
        <f t="array" ref="D254">iferror(index('rna-muscle'!D:D,match(A254,'rna-muscle'!A:A,0)))</f>
        <v>63</v>
      </c>
      <c r="E254" s="10" t="str">
        <f t="shared" si="3"/>
        <v>BRN63G</v>
      </c>
      <c r="F254" s="11" t="str">
        <f t="array" ref="F254">iferror(index('rna-muscle'!F:F,match($A254,'rna-muscle'!$A:$A,0)))</f>
        <v>H</v>
      </c>
      <c r="G254" s="11">
        <f t="array" ref="G254">iferror(index('rna-muscle'!G:G,match($A254,'rna-muscle'!$A:$A,0)))</f>
        <v>10</v>
      </c>
      <c r="H254" s="11" t="str">
        <f t="shared" si="4"/>
        <v>H10</v>
      </c>
      <c r="I254" s="10" t="str">
        <f t="shared" si="5"/>
        <v>BRN63G-H10</v>
      </c>
      <c r="J254" s="6"/>
      <c r="K254" s="16" t="str">
        <f t="shared" si="6"/>
        <v>collected</v>
      </c>
      <c r="L254" s="16" t="str">
        <f t="shared" si="7"/>
        <v>N</v>
      </c>
      <c r="M254" s="16"/>
      <c r="N254" s="16"/>
    </row>
    <row r="255">
      <c r="A255" s="26" t="s">
        <v>519</v>
      </c>
      <c r="B255" s="10" t="str">
        <f t="shared" si="1"/>
        <v>RNA-gill</v>
      </c>
      <c r="C255" s="10" t="str">
        <f t="shared" si="2"/>
        <v>BRN63G-G10</v>
      </c>
      <c r="D255" s="11">
        <f t="array" ref="D255">iferror(index('rna-muscle'!D:D,match(A255,'rna-muscle'!A:A,0)))</f>
        <v>63</v>
      </c>
      <c r="E255" s="10" t="str">
        <f t="shared" si="3"/>
        <v>BRN63G</v>
      </c>
      <c r="F255" s="11" t="str">
        <f t="array" ref="F255">iferror(index('rna-muscle'!F:F,match($A255,'rna-muscle'!$A:$A,0)))</f>
        <v>G</v>
      </c>
      <c r="G255" s="11">
        <f t="array" ref="G255">iferror(index('rna-muscle'!G:G,match($A255,'rna-muscle'!$A:$A,0)))</f>
        <v>10</v>
      </c>
      <c r="H255" s="11" t="str">
        <f t="shared" si="4"/>
        <v>G10</v>
      </c>
      <c r="I255" s="10" t="str">
        <f t="shared" si="5"/>
        <v>BRN63G-G10</v>
      </c>
      <c r="J255" s="6"/>
      <c r="K255" s="16" t="str">
        <f t="shared" si="6"/>
        <v>collected</v>
      </c>
      <c r="L255" s="16" t="str">
        <f t="shared" si="7"/>
        <v>N</v>
      </c>
      <c r="M255" s="16"/>
      <c r="N255" s="16"/>
    </row>
    <row r="256">
      <c r="A256" s="26" t="s">
        <v>520</v>
      </c>
      <c r="B256" s="10" t="str">
        <f t="shared" si="1"/>
        <v>RNA-gill</v>
      </c>
      <c r="C256" s="10" t="str">
        <f t="shared" si="2"/>
        <v>BRN63G-F10</v>
      </c>
      <c r="D256" s="11">
        <f t="array" ref="D256">iferror(index('rna-muscle'!D:D,match(A256,'rna-muscle'!A:A,0)))</f>
        <v>63</v>
      </c>
      <c r="E256" s="10" t="str">
        <f t="shared" si="3"/>
        <v>BRN63G</v>
      </c>
      <c r="F256" s="11" t="str">
        <f t="array" ref="F256">iferror(index('rna-muscle'!F:F,match($A256,'rna-muscle'!$A:$A,0)))</f>
        <v>F</v>
      </c>
      <c r="G256" s="11">
        <f t="array" ref="G256">iferror(index('rna-muscle'!G:G,match($A256,'rna-muscle'!$A:$A,0)))</f>
        <v>10</v>
      </c>
      <c r="H256" s="11" t="str">
        <f t="shared" si="4"/>
        <v>F10</v>
      </c>
      <c r="I256" s="10" t="str">
        <f t="shared" si="5"/>
        <v>BRN63G-F10</v>
      </c>
      <c r="J256" s="16"/>
      <c r="K256" s="16" t="str">
        <f t="shared" si="6"/>
        <v>collected</v>
      </c>
      <c r="L256" s="16" t="str">
        <f t="shared" si="7"/>
        <v>N</v>
      </c>
      <c r="M256" s="16"/>
      <c r="N256" s="16"/>
    </row>
    <row r="257">
      <c r="A257" s="26" t="s">
        <v>522</v>
      </c>
      <c r="B257" s="10" t="str">
        <f t="shared" si="1"/>
        <v>RNA-gill</v>
      </c>
      <c r="C257" s="10" t="str">
        <f t="shared" si="2"/>
        <v>BRN63G-E10</v>
      </c>
      <c r="D257" s="11">
        <f t="array" ref="D257">iferror(index('rna-muscle'!D:D,match(A257,'rna-muscle'!A:A,0)))</f>
        <v>63</v>
      </c>
      <c r="E257" s="10" t="str">
        <f t="shared" si="3"/>
        <v>BRN63G</v>
      </c>
      <c r="F257" s="11" t="str">
        <f t="array" ref="F257">iferror(index('rna-muscle'!F:F,match($A257,'rna-muscle'!$A:$A,0)))</f>
        <v>E</v>
      </c>
      <c r="G257" s="11">
        <f t="array" ref="G257">iferror(index('rna-muscle'!G:G,match($A257,'rna-muscle'!$A:$A,0)))</f>
        <v>10</v>
      </c>
      <c r="H257" s="11" t="str">
        <f t="shared" si="4"/>
        <v>E10</v>
      </c>
      <c r="I257" s="10" t="str">
        <f t="shared" si="5"/>
        <v>BRN63G-E10</v>
      </c>
      <c r="J257" s="16"/>
      <c r="K257" s="16" t="str">
        <f t="shared" si="6"/>
        <v>collected</v>
      </c>
      <c r="L257" s="16" t="str">
        <f t="shared" si="7"/>
        <v>N</v>
      </c>
      <c r="M257" s="16"/>
      <c r="N257" s="16"/>
    </row>
    <row r="258">
      <c r="A258" s="26" t="s">
        <v>523</v>
      </c>
      <c r="B258" s="10" t="str">
        <f t="shared" si="1"/>
        <v>RNA-gill</v>
      </c>
      <c r="C258" s="10" t="str">
        <f t="shared" si="2"/>
        <v>BRN63G-D10</v>
      </c>
      <c r="D258" s="11">
        <f t="array" ref="D258">iferror(index('rna-muscle'!D:D,match(A258,'rna-muscle'!A:A,0)))</f>
        <v>63</v>
      </c>
      <c r="E258" s="10" t="str">
        <f t="shared" si="3"/>
        <v>BRN63G</v>
      </c>
      <c r="F258" s="11" t="str">
        <f t="array" ref="F258">iferror(index('rna-muscle'!F:F,match($A258,'rna-muscle'!$A:$A,0)))</f>
        <v>D</v>
      </c>
      <c r="G258" s="11">
        <f t="array" ref="G258">iferror(index('rna-muscle'!G:G,match($A258,'rna-muscle'!$A:$A,0)))</f>
        <v>10</v>
      </c>
      <c r="H258" s="11" t="str">
        <f t="shared" si="4"/>
        <v>D10</v>
      </c>
      <c r="I258" s="10" t="str">
        <f t="shared" si="5"/>
        <v>BRN63G-D10</v>
      </c>
      <c r="J258" s="6"/>
      <c r="K258" s="16" t="str">
        <f t="shared" si="6"/>
        <v>collected</v>
      </c>
      <c r="L258" s="16" t="str">
        <f t="shared" si="7"/>
        <v>N</v>
      </c>
      <c r="M258" s="16"/>
      <c r="N258" s="16"/>
    </row>
    <row r="259">
      <c r="A259" s="26" t="s">
        <v>524</v>
      </c>
      <c r="B259" s="10" t="str">
        <f t="shared" si="1"/>
        <v>RNA-gill</v>
      </c>
      <c r="C259" s="10" t="str">
        <f t="shared" si="2"/>
        <v>BRN63G-C10</v>
      </c>
      <c r="D259" s="11">
        <f t="array" ref="D259">iferror(index('rna-muscle'!D:D,match(A259,'rna-muscle'!A:A,0)))</f>
        <v>63</v>
      </c>
      <c r="E259" s="10" t="str">
        <f t="shared" si="3"/>
        <v>BRN63G</v>
      </c>
      <c r="F259" s="11" t="str">
        <f t="array" ref="F259">iferror(index('rna-muscle'!F:F,match($A259,'rna-muscle'!$A:$A,0)))</f>
        <v>C</v>
      </c>
      <c r="G259" s="11">
        <f t="array" ref="G259">iferror(index('rna-muscle'!G:G,match($A259,'rna-muscle'!$A:$A,0)))</f>
        <v>10</v>
      </c>
      <c r="H259" s="11" t="str">
        <f t="shared" si="4"/>
        <v>C10</v>
      </c>
      <c r="I259" s="10" t="str">
        <f t="shared" si="5"/>
        <v>BRN63G-C10</v>
      </c>
      <c r="J259" s="16"/>
      <c r="K259" s="16" t="str">
        <f t="shared" si="6"/>
        <v>collected</v>
      </c>
      <c r="L259" s="16" t="str">
        <f t="shared" si="7"/>
        <v>N</v>
      </c>
      <c r="M259" s="16"/>
      <c r="N259" s="16"/>
    </row>
    <row r="260">
      <c r="A260" s="26" t="s">
        <v>527</v>
      </c>
      <c r="B260" s="10" t="str">
        <f t="shared" si="1"/>
        <v>RNA-gill</v>
      </c>
      <c r="C260" s="10" t="str">
        <f t="shared" si="2"/>
        <v>BRN63G-H11</v>
      </c>
      <c r="D260" s="11">
        <f t="array" ref="D260">iferror(index('rna-muscle'!D:D,match(A260,'rna-muscle'!A:A,0)))</f>
        <v>63</v>
      </c>
      <c r="E260" s="10" t="str">
        <f t="shared" si="3"/>
        <v>BRN63G</v>
      </c>
      <c r="F260" s="11" t="str">
        <f t="array" ref="F260">iferror(index('rna-muscle'!F:F,match($A260,'rna-muscle'!$A:$A,0)))</f>
        <v>H</v>
      </c>
      <c r="G260" s="11">
        <f t="array" ref="G260">iferror(index('rna-muscle'!G:G,match($A260,'rna-muscle'!$A:$A,0)))</f>
        <v>11</v>
      </c>
      <c r="H260" s="11" t="str">
        <f t="shared" si="4"/>
        <v>H11</v>
      </c>
      <c r="I260" s="10" t="str">
        <f t="shared" si="5"/>
        <v>BRN63G-H11</v>
      </c>
      <c r="J260" s="6"/>
      <c r="K260" s="16" t="str">
        <f t="shared" si="6"/>
        <v>collected</v>
      </c>
      <c r="L260" s="16" t="str">
        <f t="shared" si="7"/>
        <v>N</v>
      </c>
      <c r="M260" s="16"/>
      <c r="N260" s="16"/>
    </row>
    <row r="261">
      <c r="A261" s="26" t="s">
        <v>528</v>
      </c>
      <c r="B261" s="10" t="str">
        <f t="shared" si="1"/>
        <v>RNA-gill</v>
      </c>
      <c r="C261" s="10" t="str">
        <f t="shared" si="2"/>
        <v>BRN63G-G11</v>
      </c>
      <c r="D261" s="11">
        <f t="array" ref="D261">iferror(index('rna-muscle'!D:D,match(A261,'rna-muscle'!A:A,0)))</f>
        <v>63</v>
      </c>
      <c r="E261" s="10" t="str">
        <f t="shared" si="3"/>
        <v>BRN63G</v>
      </c>
      <c r="F261" s="11" t="str">
        <f t="array" ref="F261">iferror(index('rna-muscle'!F:F,match($A261,'rna-muscle'!$A:$A,0)))</f>
        <v>G</v>
      </c>
      <c r="G261" s="11">
        <f t="array" ref="G261">iferror(index('rna-muscle'!G:G,match($A261,'rna-muscle'!$A:$A,0)))</f>
        <v>11</v>
      </c>
      <c r="H261" s="11" t="str">
        <f t="shared" si="4"/>
        <v>G11</v>
      </c>
      <c r="I261" s="10" t="str">
        <f t="shared" si="5"/>
        <v>BRN63G-G11</v>
      </c>
      <c r="J261" s="16"/>
      <c r="K261" s="16" t="str">
        <f t="shared" si="6"/>
        <v>collected</v>
      </c>
      <c r="L261" s="16" t="str">
        <f t="shared" si="7"/>
        <v>N</v>
      </c>
      <c r="M261" s="16"/>
      <c r="N261" s="16"/>
    </row>
    <row r="262">
      <c r="A262" s="26" t="s">
        <v>529</v>
      </c>
      <c r="B262" s="10" t="str">
        <f t="shared" si="1"/>
        <v>RNA-gill</v>
      </c>
      <c r="C262" s="10" t="str">
        <f t="shared" si="2"/>
        <v>BRN63G-F11</v>
      </c>
      <c r="D262" s="11">
        <f t="array" ref="D262">iferror(index('rna-muscle'!D:D,match(A262,'rna-muscle'!A:A,0)))</f>
        <v>63</v>
      </c>
      <c r="E262" s="10" t="str">
        <f t="shared" si="3"/>
        <v>BRN63G</v>
      </c>
      <c r="F262" s="11" t="str">
        <f t="array" ref="F262">iferror(index('rna-muscle'!F:F,match($A262,'rna-muscle'!$A:$A,0)))</f>
        <v>F</v>
      </c>
      <c r="G262" s="11">
        <f t="array" ref="G262">iferror(index('rna-muscle'!G:G,match($A262,'rna-muscle'!$A:$A,0)))</f>
        <v>11</v>
      </c>
      <c r="H262" s="11" t="str">
        <f t="shared" si="4"/>
        <v>F11</v>
      </c>
      <c r="I262" s="10" t="str">
        <f t="shared" si="5"/>
        <v>BRN63G-F11</v>
      </c>
      <c r="J262" s="16"/>
      <c r="K262" s="16" t="str">
        <f t="shared" si="6"/>
        <v>collected</v>
      </c>
      <c r="L262" s="16" t="str">
        <f t="shared" si="7"/>
        <v>N</v>
      </c>
      <c r="M262" s="16"/>
      <c r="N262" s="16"/>
    </row>
    <row r="263">
      <c r="A263" s="26" t="s">
        <v>530</v>
      </c>
      <c r="B263" s="10" t="str">
        <f t="shared" si="1"/>
        <v>RNA-gill</v>
      </c>
      <c r="C263" s="10" t="str">
        <f t="shared" si="2"/>
        <v>BRN63G-E11</v>
      </c>
      <c r="D263" s="11">
        <f t="array" ref="D263">iferror(index('rna-muscle'!D:D,match(A263,'rna-muscle'!A:A,0)))</f>
        <v>63</v>
      </c>
      <c r="E263" s="10" t="str">
        <f t="shared" si="3"/>
        <v>BRN63G</v>
      </c>
      <c r="F263" s="11" t="str">
        <f t="array" ref="F263">iferror(index('rna-muscle'!F:F,match($A263,'rna-muscle'!$A:$A,0)))</f>
        <v>E</v>
      </c>
      <c r="G263" s="11">
        <f t="array" ref="G263">iferror(index('rna-muscle'!G:G,match($A263,'rna-muscle'!$A:$A,0)))</f>
        <v>11</v>
      </c>
      <c r="H263" s="11" t="str">
        <f t="shared" si="4"/>
        <v>E11</v>
      </c>
      <c r="I263" s="10" t="str">
        <f t="shared" si="5"/>
        <v>BRN63G-E11</v>
      </c>
      <c r="J263" s="16"/>
      <c r="K263" s="16" t="str">
        <f t="shared" si="6"/>
        <v>collected</v>
      </c>
      <c r="L263" s="16" t="str">
        <f t="shared" si="7"/>
        <v>N</v>
      </c>
      <c r="M263" s="16"/>
      <c r="N263" s="16"/>
    </row>
    <row r="264">
      <c r="A264" s="26" t="s">
        <v>531</v>
      </c>
      <c r="B264" s="10" t="str">
        <f t="shared" si="1"/>
        <v>RNA-gill</v>
      </c>
      <c r="C264" s="10" t="str">
        <f t="shared" si="2"/>
        <v>BRN63G-D11</v>
      </c>
      <c r="D264" s="11">
        <f t="array" ref="D264">iferror(index('rna-muscle'!D:D,match(A264,'rna-muscle'!A:A,0)))</f>
        <v>63</v>
      </c>
      <c r="E264" s="10" t="str">
        <f t="shared" si="3"/>
        <v>BRN63G</v>
      </c>
      <c r="F264" s="11" t="str">
        <f t="array" ref="F264">iferror(index('rna-muscle'!F:F,match($A264,'rna-muscle'!$A:$A,0)))</f>
        <v>D</v>
      </c>
      <c r="G264" s="11">
        <f t="array" ref="G264">iferror(index('rna-muscle'!G:G,match($A264,'rna-muscle'!$A:$A,0)))</f>
        <v>11</v>
      </c>
      <c r="H264" s="11" t="str">
        <f t="shared" si="4"/>
        <v>D11</v>
      </c>
      <c r="I264" s="10" t="str">
        <f t="shared" si="5"/>
        <v>BRN63G-D11</v>
      </c>
      <c r="J264" s="16"/>
      <c r="K264" s="16" t="str">
        <f t="shared" si="6"/>
        <v>collected</v>
      </c>
      <c r="L264" s="16" t="str">
        <f t="shared" si="7"/>
        <v>N</v>
      </c>
      <c r="M264" s="16"/>
      <c r="N264" s="16"/>
    </row>
    <row r="265">
      <c r="A265" s="26" t="s">
        <v>534</v>
      </c>
      <c r="B265" s="10" t="str">
        <f t="shared" si="1"/>
        <v>RNA-gill</v>
      </c>
      <c r="C265" s="10" t="str">
        <f t="shared" si="2"/>
        <v>BRN63G-C11</v>
      </c>
      <c r="D265" s="11">
        <f t="array" ref="D265">iferror(index('rna-muscle'!D:D,match(A265,'rna-muscle'!A:A,0)))</f>
        <v>63</v>
      </c>
      <c r="E265" s="10" t="str">
        <f t="shared" si="3"/>
        <v>BRN63G</v>
      </c>
      <c r="F265" s="11" t="str">
        <f t="array" ref="F265">iferror(index('rna-muscle'!F:F,match($A265,'rna-muscle'!$A:$A,0)))</f>
        <v>C</v>
      </c>
      <c r="G265" s="11">
        <f t="array" ref="G265">iferror(index('rna-muscle'!G:G,match($A265,'rna-muscle'!$A:$A,0)))</f>
        <v>11</v>
      </c>
      <c r="H265" s="11" t="str">
        <f t="shared" si="4"/>
        <v>C11</v>
      </c>
      <c r="I265" s="10" t="str">
        <f t="shared" si="5"/>
        <v>BRN63G-C11</v>
      </c>
      <c r="J265" s="16"/>
      <c r="K265" s="16" t="str">
        <f t="shared" si="6"/>
        <v>collected</v>
      </c>
      <c r="L265" s="16" t="str">
        <f t="shared" si="7"/>
        <v>N</v>
      </c>
      <c r="M265" s="16"/>
      <c r="N265" s="16"/>
    </row>
    <row r="266">
      <c r="A266" s="26" t="s">
        <v>535</v>
      </c>
      <c r="B266" s="10" t="str">
        <f t="shared" si="1"/>
        <v>RNA-gill</v>
      </c>
      <c r="C266" s="10" t="str">
        <f t="shared" si="2"/>
        <v>BRN63G-B11</v>
      </c>
      <c r="D266" s="11">
        <f t="array" ref="D266">iferror(index('rna-muscle'!D:D,match(A266,'rna-muscle'!A:A,0)))</f>
        <v>63</v>
      </c>
      <c r="E266" s="10" t="str">
        <f t="shared" si="3"/>
        <v>BRN63G</v>
      </c>
      <c r="F266" s="11" t="str">
        <f t="array" ref="F266">iferror(index('rna-muscle'!F:F,match($A266,'rna-muscle'!$A:$A,0)))</f>
        <v>B</v>
      </c>
      <c r="G266" s="11">
        <f t="array" ref="G266">iferror(index('rna-muscle'!G:G,match($A266,'rna-muscle'!$A:$A,0)))</f>
        <v>11</v>
      </c>
      <c r="H266" s="11" t="str">
        <f t="shared" si="4"/>
        <v>B11</v>
      </c>
      <c r="I266" s="10" t="str">
        <f t="shared" si="5"/>
        <v>BRN63G-B11</v>
      </c>
      <c r="J266" s="16"/>
      <c r="K266" s="16" t="str">
        <f t="shared" si="6"/>
        <v>collected</v>
      </c>
      <c r="L266" s="16" t="str">
        <f t="shared" si="7"/>
        <v>N</v>
      </c>
      <c r="M266" s="16"/>
      <c r="N266" s="16"/>
    </row>
    <row r="267">
      <c r="A267" s="26" t="s">
        <v>537</v>
      </c>
      <c r="B267" s="10" t="str">
        <f t="shared" si="1"/>
        <v>RNA-gill</v>
      </c>
      <c r="C267" s="10" t="str">
        <f t="shared" si="2"/>
        <v>BRN63G-A11</v>
      </c>
      <c r="D267" s="11">
        <f t="array" ref="D267">iferror(index('rna-muscle'!D:D,match(A267,'rna-muscle'!A:A,0)))</f>
        <v>63</v>
      </c>
      <c r="E267" s="10" t="str">
        <f t="shared" si="3"/>
        <v>BRN63G</v>
      </c>
      <c r="F267" s="11" t="str">
        <f t="array" ref="F267">iferror(index('rna-muscle'!F:F,match($A267,'rna-muscle'!$A:$A,0)))</f>
        <v>A</v>
      </c>
      <c r="G267" s="11">
        <f t="array" ref="G267">iferror(index('rna-muscle'!G:G,match($A267,'rna-muscle'!$A:$A,0)))</f>
        <v>11</v>
      </c>
      <c r="H267" s="11" t="str">
        <f t="shared" si="4"/>
        <v>A11</v>
      </c>
      <c r="I267" s="10" t="str">
        <f t="shared" si="5"/>
        <v>BRN63G-A11</v>
      </c>
      <c r="J267" s="16"/>
      <c r="K267" s="16" t="str">
        <f t="shared" si="6"/>
        <v>collected</v>
      </c>
      <c r="L267" s="16" t="str">
        <f t="shared" si="7"/>
        <v>N</v>
      </c>
      <c r="M267" s="16"/>
      <c r="N267" s="16"/>
    </row>
    <row r="268">
      <c r="A268" s="26" t="s">
        <v>539</v>
      </c>
      <c r="B268" s="10" t="str">
        <f t="shared" si="1"/>
        <v>RNA-gill</v>
      </c>
      <c r="C268" s="10" t="str">
        <f t="shared" si="2"/>
        <v>BRN63G-G12</v>
      </c>
      <c r="D268" s="11">
        <f t="array" ref="D268">iferror(index('rna-muscle'!D:D,match(A268,'rna-muscle'!A:A,0)))</f>
        <v>63</v>
      </c>
      <c r="E268" s="10" t="str">
        <f t="shared" si="3"/>
        <v>BRN63G</v>
      </c>
      <c r="F268" s="11" t="str">
        <f t="array" ref="F268">iferror(index('rna-muscle'!F:F,match($A268,'rna-muscle'!$A:$A,0)))</f>
        <v>G</v>
      </c>
      <c r="G268" s="11">
        <f t="array" ref="G268">iferror(index('rna-muscle'!G:G,match($A268,'rna-muscle'!$A:$A,0)))</f>
        <v>12</v>
      </c>
      <c r="H268" s="11" t="str">
        <f t="shared" si="4"/>
        <v>G12</v>
      </c>
      <c r="I268" s="10" t="str">
        <f t="shared" si="5"/>
        <v>BRN63G-G12</v>
      </c>
      <c r="J268" s="16"/>
      <c r="K268" s="16" t="str">
        <f t="shared" si="6"/>
        <v>collected</v>
      </c>
      <c r="L268" s="16" t="str">
        <f t="shared" si="7"/>
        <v>N</v>
      </c>
      <c r="M268" s="16"/>
      <c r="N268" s="16"/>
    </row>
    <row r="269">
      <c r="A269" s="26" t="s">
        <v>540</v>
      </c>
      <c r="B269" s="10" t="str">
        <f t="shared" si="1"/>
        <v>RNA-gill</v>
      </c>
      <c r="C269" s="10" t="str">
        <f t="shared" si="2"/>
        <v>BRN63G-F12</v>
      </c>
      <c r="D269" s="11">
        <f t="array" ref="D269">iferror(index('rna-muscle'!D:D,match(A269,'rna-muscle'!A:A,0)))</f>
        <v>63</v>
      </c>
      <c r="E269" s="10" t="str">
        <f t="shared" si="3"/>
        <v>BRN63G</v>
      </c>
      <c r="F269" s="11" t="str">
        <f t="array" ref="F269">iferror(index('rna-muscle'!F:F,match($A269,'rna-muscle'!$A:$A,0)))</f>
        <v>F</v>
      </c>
      <c r="G269" s="11">
        <f t="array" ref="G269">iferror(index('rna-muscle'!G:G,match($A269,'rna-muscle'!$A:$A,0)))</f>
        <v>12</v>
      </c>
      <c r="H269" s="11" t="str">
        <f t="shared" si="4"/>
        <v>F12</v>
      </c>
      <c r="I269" s="10" t="str">
        <f t="shared" si="5"/>
        <v>BRN63G-F12</v>
      </c>
      <c r="J269" s="16"/>
      <c r="K269" s="16" t="str">
        <f t="shared" si="6"/>
        <v>collected</v>
      </c>
      <c r="L269" s="16" t="str">
        <f t="shared" si="7"/>
        <v>N</v>
      </c>
      <c r="M269" s="16"/>
      <c r="N269" s="16"/>
    </row>
    <row r="270">
      <c r="A270" s="26" t="s">
        <v>543</v>
      </c>
      <c r="B270" s="10" t="str">
        <f t="shared" si="1"/>
        <v>RNA-gill</v>
      </c>
      <c r="C270" s="10" t="str">
        <f t="shared" si="2"/>
        <v>BRN63G-E12</v>
      </c>
      <c r="D270" s="11">
        <f t="array" ref="D270">iferror(index('rna-muscle'!D:D,match(A270,'rna-muscle'!A:A,0)))</f>
        <v>63</v>
      </c>
      <c r="E270" s="10" t="str">
        <f t="shared" si="3"/>
        <v>BRN63G</v>
      </c>
      <c r="F270" s="11" t="str">
        <f t="array" ref="F270">iferror(index('rna-muscle'!F:F,match($A270,'rna-muscle'!$A:$A,0)))</f>
        <v>E</v>
      </c>
      <c r="G270" s="11">
        <f t="array" ref="G270">iferror(index('rna-muscle'!G:G,match($A270,'rna-muscle'!$A:$A,0)))</f>
        <v>12</v>
      </c>
      <c r="H270" s="11" t="str">
        <f t="shared" si="4"/>
        <v>E12</v>
      </c>
      <c r="I270" s="10" t="str">
        <f t="shared" si="5"/>
        <v>BRN63G-E12</v>
      </c>
      <c r="J270" s="16"/>
      <c r="K270" s="16" t="str">
        <f t="shared" si="6"/>
        <v>collected</v>
      </c>
      <c r="L270" s="16" t="str">
        <f t="shared" si="7"/>
        <v>N</v>
      </c>
      <c r="M270" s="16"/>
      <c r="N270" s="16"/>
    </row>
    <row r="271">
      <c r="A271" s="26" t="s">
        <v>544</v>
      </c>
      <c r="B271" s="10" t="str">
        <f t="shared" si="1"/>
        <v>RNA-gill</v>
      </c>
      <c r="C271" s="10" t="str">
        <f t="shared" si="2"/>
        <v>BRN63G-D12</v>
      </c>
      <c r="D271" s="11">
        <f t="array" ref="D271">iferror(index('rna-muscle'!D:D,match(A271,'rna-muscle'!A:A,0)))</f>
        <v>63</v>
      </c>
      <c r="E271" s="10" t="str">
        <f t="shared" si="3"/>
        <v>BRN63G</v>
      </c>
      <c r="F271" s="11" t="str">
        <f t="array" ref="F271">iferror(index('rna-muscle'!F:F,match($A271,'rna-muscle'!$A:$A,0)))</f>
        <v>D</v>
      </c>
      <c r="G271" s="11">
        <f t="array" ref="G271">iferror(index('rna-muscle'!G:G,match($A271,'rna-muscle'!$A:$A,0)))</f>
        <v>12</v>
      </c>
      <c r="H271" s="11" t="str">
        <f t="shared" si="4"/>
        <v>D12</v>
      </c>
      <c r="I271" s="10" t="str">
        <f t="shared" si="5"/>
        <v>BRN63G-D12</v>
      </c>
      <c r="J271" s="6"/>
      <c r="K271" s="16" t="str">
        <f t="shared" si="6"/>
        <v>collected</v>
      </c>
      <c r="L271" s="16" t="str">
        <f t="shared" si="7"/>
        <v>N</v>
      </c>
      <c r="M271" s="16"/>
      <c r="N271" s="16"/>
    </row>
    <row r="272">
      <c r="A272" s="26" t="s">
        <v>546</v>
      </c>
      <c r="B272" s="10" t="str">
        <f t="shared" si="1"/>
        <v>RNA-gill</v>
      </c>
      <c r="C272" s="10" t="str">
        <f t="shared" si="2"/>
        <v>BRN63G-C12</v>
      </c>
      <c r="D272" s="11">
        <f t="array" ref="D272">iferror(index('rna-muscle'!D:D,match(A272,'rna-muscle'!A:A,0)))</f>
        <v>63</v>
      </c>
      <c r="E272" s="10" t="str">
        <f t="shared" si="3"/>
        <v>BRN63G</v>
      </c>
      <c r="F272" s="11" t="str">
        <f t="array" ref="F272">iferror(index('rna-muscle'!F:F,match($A272,'rna-muscle'!$A:$A,0)))</f>
        <v>C</v>
      </c>
      <c r="G272" s="11">
        <f t="array" ref="G272">iferror(index('rna-muscle'!G:G,match($A272,'rna-muscle'!$A:$A,0)))</f>
        <v>12</v>
      </c>
      <c r="H272" s="11" t="str">
        <f t="shared" si="4"/>
        <v>C12</v>
      </c>
      <c r="I272" s="10" t="str">
        <f t="shared" si="5"/>
        <v>BRN63G-C12</v>
      </c>
      <c r="J272" s="16"/>
      <c r="K272" s="16" t="str">
        <f t="shared" si="6"/>
        <v>collected</v>
      </c>
      <c r="L272" s="16" t="str">
        <f t="shared" si="7"/>
        <v>N</v>
      </c>
      <c r="M272" s="16"/>
      <c r="N272" s="16"/>
    </row>
    <row r="273">
      <c r="A273" s="44" t="s">
        <v>547</v>
      </c>
      <c r="B273" s="10" t="str">
        <f t="shared" si="1"/>
        <v>RNA-gill</v>
      </c>
      <c r="C273" s="10" t="str">
        <f t="shared" si="2"/>
        <v>BRN63G-B10</v>
      </c>
      <c r="D273" s="11">
        <f t="array" ref="D273">iferror(index('rna-muscle'!D:D,match(A273,'rna-muscle'!A:A,0)))</f>
        <v>63</v>
      </c>
      <c r="E273" s="10" t="str">
        <f t="shared" si="3"/>
        <v>BRN63G</v>
      </c>
      <c r="F273" s="11" t="str">
        <f t="array" ref="F273">iferror(index('rna-muscle'!F:F,match($A273,'rna-muscle'!$A:$A,0)))</f>
        <v>B</v>
      </c>
      <c r="G273" s="11">
        <f t="array" ref="G273">iferror(index('rna-muscle'!G:G,match($A273,'rna-muscle'!$A:$A,0)))</f>
        <v>10</v>
      </c>
      <c r="H273" s="11" t="str">
        <f t="shared" si="4"/>
        <v>B10</v>
      </c>
      <c r="I273" s="10" t="str">
        <f t="shared" si="5"/>
        <v>BRN63G-B10</v>
      </c>
      <c r="J273" s="6"/>
      <c r="K273" s="16" t="str">
        <f t="shared" si="6"/>
        <v>collected</v>
      </c>
      <c r="L273" s="16" t="str">
        <f t="shared" si="7"/>
        <v>N</v>
      </c>
      <c r="M273" s="16"/>
      <c r="N273" s="16"/>
    </row>
    <row r="274">
      <c r="A274" s="44" t="s">
        <v>548</v>
      </c>
      <c r="B274" s="10" t="str">
        <f t="shared" si="1"/>
        <v>RNA-gill</v>
      </c>
      <c r="C274" s="10" t="str">
        <f t="shared" si="2"/>
        <v>BRN63G-A10</v>
      </c>
      <c r="D274" s="11">
        <f t="array" ref="D274">iferror(index('rna-muscle'!D:D,match(A274,'rna-muscle'!A:A,0)))</f>
        <v>63</v>
      </c>
      <c r="E274" s="10" t="str">
        <f t="shared" si="3"/>
        <v>BRN63G</v>
      </c>
      <c r="F274" s="11" t="str">
        <f t="array" ref="F274">iferror(index('rna-muscle'!F:F,match($A274,'rna-muscle'!$A:$A,0)))</f>
        <v>A</v>
      </c>
      <c r="G274" s="11">
        <f t="array" ref="G274">iferror(index('rna-muscle'!G:G,match($A274,'rna-muscle'!$A:$A,0)))</f>
        <v>10</v>
      </c>
      <c r="H274" s="11" t="str">
        <f t="shared" si="4"/>
        <v>A10</v>
      </c>
      <c r="I274" s="10" t="str">
        <f t="shared" si="5"/>
        <v>BRN63G-A10</v>
      </c>
      <c r="J274" s="16"/>
      <c r="K274" s="16" t="str">
        <f t="shared" si="6"/>
        <v>collected</v>
      </c>
      <c r="L274" s="16" t="str">
        <f t="shared" si="7"/>
        <v>N</v>
      </c>
      <c r="M274" s="16"/>
      <c r="N274" s="16"/>
    </row>
    <row r="275">
      <c r="A275" s="44" t="s">
        <v>549</v>
      </c>
      <c r="B275" s="10" t="str">
        <f t="shared" si="1"/>
        <v>RNA-gill</v>
      </c>
      <c r="C275" s="10" t="str">
        <f t="shared" si="2"/>
        <v>BRN65G-H2</v>
      </c>
      <c r="D275" s="11">
        <f t="array" ref="D275">iferror(index('rna-muscle'!D:D,match(A275,'rna-muscle'!A:A,0)))</f>
        <v>65</v>
      </c>
      <c r="E275" s="10" t="str">
        <f t="shared" si="3"/>
        <v>BRN65G</v>
      </c>
      <c r="F275" s="11" t="str">
        <f t="array" ref="F275">iferror(index('rna-muscle'!F:F,match($A275,'rna-muscle'!$A:$A,0)))</f>
        <v>H</v>
      </c>
      <c r="G275" s="11">
        <f t="array" ref="G275">iferror(index('rna-muscle'!G:G,match($A275,'rna-muscle'!$A:$A,0)))</f>
        <v>2</v>
      </c>
      <c r="H275" s="11" t="str">
        <f t="shared" si="4"/>
        <v>H2</v>
      </c>
      <c r="I275" s="10" t="str">
        <f t="shared" si="5"/>
        <v>BRN65G-H2</v>
      </c>
      <c r="J275" s="16"/>
      <c r="K275" s="16" t="str">
        <f t="shared" si="6"/>
        <v>collected</v>
      </c>
      <c r="L275" s="16" t="str">
        <f t="shared" si="7"/>
        <v>N</v>
      </c>
      <c r="M275" s="16"/>
      <c r="N275" s="16"/>
    </row>
    <row r="276">
      <c r="A276" s="44" t="s">
        <v>552</v>
      </c>
      <c r="B276" s="10" t="str">
        <f t="shared" si="1"/>
        <v>RNA-gill</v>
      </c>
      <c r="C276" s="10" t="str">
        <f t="shared" si="2"/>
        <v>BRN65G-G2</v>
      </c>
      <c r="D276" s="11">
        <f t="array" ref="D276">iferror(index('rna-muscle'!D:D,match(A276,'rna-muscle'!A:A,0)))</f>
        <v>65</v>
      </c>
      <c r="E276" s="10" t="str">
        <f t="shared" si="3"/>
        <v>BRN65G</v>
      </c>
      <c r="F276" s="11" t="str">
        <f t="array" ref="F276">iferror(index('rna-muscle'!F:F,match($A276,'rna-muscle'!$A:$A,0)))</f>
        <v>G</v>
      </c>
      <c r="G276" s="11">
        <f t="array" ref="G276">iferror(index('rna-muscle'!G:G,match($A276,'rna-muscle'!$A:$A,0)))</f>
        <v>2</v>
      </c>
      <c r="H276" s="11" t="str">
        <f t="shared" si="4"/>
        <v>G2</v>
      </c>
      <c r="I276" s="10" t="str">
        <f t="shared" si="5"/>
        <v>BRN65G-G2</v>
      </c>
      <c r="J276" s="16"/>
      <c r="K276" s="16" t="str">
        <f t="shared" si="6"/>
        <v>collected</v>
      </c>
      <c r="L276" s="16" t="str">
        <f t="shared" si="7"/>
        <v>N</v>
      </c>
      <c r="M276" s="16"/>
      <c r="N276" s="16"/>
    </row>
    <row r="277">
      <c r="A277" s="44" t="s">
        <v>553</v>
      </c>
      <c r="B277" s="10" t="str">
        <f t="shared" si="1"/>
        <v>RNA-gill</v>
      </c>
      <c r="C277" s="10" t="str">
        <f t="shared" si="2"/>
        <v>BRN65G-F2</v>
      </c>
      <c r="D277" s="11">
        <f t="array" ref="D277">iferror(index('rna-muscle'!D:D,match(A277,'rna-muscle'!A:A,0)))</f>
        <v>65</v>
      </c>
      <c r="E277" s="10" t="str">
        <f t="shared" si="3"/>
        <v>BRN65G</v>
      </c>
      <c r="F277" s="11" t="str">
        <f t="array" ref="F277">iferror(index('rna-muscle'!F:F,match($A277,'rna-muscle'!$A:$A,0)))</f>
        <v>F</v>
      </c>
      <c r="G277" s="11">
        <f t="array" ref="G277">iferror(index('rna-muscle'!G:G,match($A277,'rna-muscle'!$A:$A,0)))</f>
        <v>2</v>
      </c>
      <c r="H277" s="11" t="str">
        <f t="shared" si="4"/>
        <v>F2</v>
      </c>
      <c r="I277" s="10" t="str">
        <f t="shared" si="5"/>
        <v>BRN65G-F2</v>
      </c>
      <c r="J277" s="16"/>
      <c r="K277" s="16" t="str">
        <f t="shared" si="6"/>
        <v>collected</v>
      </c>
      <c r="L277" s="16" t="str">
        <f t="shared" si="7"/>
        <v>N</v>
      </c>
      <c r="M277" s="16"/>
      <c r="N277" s="16"/>
    </row>
    <row r="278">
      <c r="A278" s="44" t="s">
        <v>554</v>
      </c>
      <c r="B278" s="10" t="str">
        <f t="shared" si="1"/>
        <v>RNA-gill</v>
      </c>
      <c r="C278" s="10" t="str">
        <f t="shared" si="2"/>
        <v>BRN65G-E2</v>
      </c>
      <c r="D278" s="11">
        <f t="array" ref="D278">iferror(index('rna-muscle'!D:D,match(A278,'rna-muscle'!A:A,0)))</f>
        <v>65</v>
      </c>
      <c r="E278" s="10" t="str">
        <f t="shared" si="3"/>
        <v>BRN65G</v>
      </c>
      <c r="F278" s="11" t="str">
        <f t="array" ref="F278">iferror(index('rna-muscle'!F:F,match($A278,'rna-muscle'!$A:$A,0)))</f>
        <v>E</v>
      </c>
      <c r="G278" s="11">
        <f t="array" ref="G278">iferror(index('rna-muscle'!G:G,match($A278,'rna-muscle'!$A:$A,0)))</f>
        <v>2</v>
      </c>
      <c r="H278" s="11" t="str">
        <f t="shared" si="4"/>
        <v>E2</v>
      </c>
      <c r="I278" s="10" t="str">
        <f t="shared" si="5"/>
        <v>BRN65G-E2</v>
      </c>
      <c r="J278" s="16"/>
      <c r="K278" s="16" t="str">
        <f t="shared" si="6"/>
        <v>collected</v>
      </c>
      <c r="L278" s="16" t="str">
        <f t="shared" si="7"/>
        <v>N</v>
      </c>
      <c r="M278" s="16"/>
      <c r="N278" s="16"/>
    </row>
    <row r="279">
      <c r="A279" s="44" t="s">
        <v>556</v>
      </c>
      <c r="B279" s="10" t="str">
        <f t="shared" si="1"/>
        <v>RNA-gill</v>
      </c>
      <c r="C279" s="10" t="str">
        <f t="shared" si="2"/>
        <v>BRN65G-D2</v>
      </c>
      <c r="D279" s="11">
        <f t="array" ref="D279">iferror(index('rna-muscle'!D:D,match(A279,'rna-muscle'!A:A,0)))</f>
        <v>65</v>
      </c>
      <c r="E279" s="10" t="str">
        <f t="shared" si="3"/>
        <v>BRN65G</v>
      </c>
      <c r="F279" s="11" t="str">
        <f t="array" ref="F279">iferror(index('rna-muscle'!F:F,match($A279,'rna-muscle'!$A:$A,0)))</f>
        <v>D</v>
      </c>
      <c r="G279" s="11">
        <f t="array" ref="G279">iferror(index('rna-muscle'!G:G,match($A279,'rna-muscle'!$A:$A,0)))</f>
        <v>2</v>
      </c>
      <c r="H279" s="11" t="str">
        <f t="shared" si="4"/>
        <v>D2</v>
      </c>
      <c r="I279" s="10" t="str">
        <f t="shared" si="5"/>
        <v>BRN65G-D2</v>
      </c>
      <c r="J279" s="6"/>
      <c r="K279" s="16" t="str">
        <f t="shared" si="6"/>
        <v>collected</v>
      </c>
      <c r="L279" s="16" t="str">
        <f t="shared" si="7"/>
        <v>N</v>
      </c>
      <c r="M279" s="16"/>
      <c r="N279" s="16"/>
    </row>
    <row r="280">
      <c r="A280" s="44" t="s">
        <v>558</v>
      </c>
      <c r="B280" s="10" t="str">
        <f t="shared" si="1"/>
        <v>RNA-gill</v>
      </c>
      <c r="C280" s="10" t="str">
        <f t="shared" si="2"/>
        <v>BRN65G-C2</v>
      </c>
      <c r="D280" s="11">
        <f t="array" ref="D280">iferror(index('rna-muscle'!D:D,match(A280,'rna-muscle'!A:A,0)))</f>
        <v>65</v>
      </c>
      <c r="E280" s="10" t="str">
        <f t="shared" si="3"/>
        <v>BRN65G</v>
      </c>
      <c r="F280" s="11" t="str">
        <f t="array" ref="F280">iferror(index('rna-muscle'!F:F,match($A280,'rna-muscle'!$A:$A,0)))</f>
        <v>C</v>
      </c>
      <c r="G280" s="11">
        <f t="array" ref="G280">iferror(index('rna-muscle'!G:G,match($A280,'rna-muscle'!$A:$A,0)))</f>
        <v>2</v>
      </c>
      <c r="H280" s="11" t="str">
        <f t="shared" si="4"/>
        <v>C2</v>
      </c>
      <c r="I280" s="10" t="str">
        <f t="shared" si="5"/>
        <v>BRN65G-C2</v>
      </c>
      <c r="J280" s="16"/>
      <c r="K280" s="16" t="str">
        <f t="shared" si="6"/>
        <v>collected</v>
      </c>
      <c r="L280" s="16" t="str">
        <f t="shared" si="7"/>
        <v>N</v>
      </c>
      <c r="M280" s="16"/>
      <c r="N280" s="16"/>
    </row>
    <row r="281">
      <c r="A281" s="44" t="s">
        <v>559</v>
      </c>
      <c r="B281" s="10" t="str">
        <f t="shared" si="1"/>
        <v>RNA-gill</v>
      </c>
      <c r="C281" s="10" t="str">
        <f t="shared" si="2"/>
        <v>BRN65G-B2</v>
      </c>
      <c r="D281" s="11">
        <f t="array" ref="D281">iferror(index('rna-muscle'!D:D,match(A281,'rna-muscle'!A:A,0)))</f>
        <v>65</v>
      </c>
      <c r="E281" s="10" t="str">
        <f t="shared" si="3"/>
        <v>BRN65G</v>
      </c>
      <c r="F281" s="11" t="str">
        <f t="array" ref="F281">iferror(index('rna-muscle'!F:F,match($A281,'rna-muscle'!$A:$A,0)))</f>
        <v>B</v>
      </c>
      <c r="G281" s="11">
        <f t="array" ref="G281">iferror(index('rna-muscle'!G:G,match($A281,'rna-muscle'!$A:$A,0)))</f>
        <v>2</v>
      </c>
      <c r="H281" s="11" t="str">
        <f t="shared" si="4"/>
        <v>B2</v>
      </c>
      <c r="I281" s="10" t="str">
        <f t="shared" si="5"/>
        <v>BRN65G-B2</v>
      </c>
      <c r="J281" s="6" t="s">
        <v>2112</v>
      </c>
      <c r="K281" s="16" t="str">
        <f t="shared" si="6"/>
        <v>collected</v>
      </c>
      <c r="L281" s="16" t="str">
        <f t="shared" si="7"/>
        <v>N</v>
      </c>
      <c r="M281" s="16"/>
      <c r="N281" s="16"/>
    </row>
    <row r="282">
      <c r="A282" s="44" t="s">
        <v>561</v>
      </c>
      <c r="B282" s="10" t="str">
        <f t="shared" si="1"/>
        <v>RNA-gill</v>
      </c>
      <c r="C282" s="10" t="str">
        <f t="shared" si="2"/>
        <v>BRN65G-A2</v>
      </c>
      <c r="D282" s="11">
        <f t="array" ref="D282">iferror(index('rna-muscle'!D:D,match(A282,'rna-muscle'!A:A,0)))</f>
        <v>65</v>
      </c>
      <c r="E282" s="10" t="str">
        <f t="shared" si="3"/>
        <v>BRN65G</v>
      </c>
      <c r="F282" s="11" t="str">
        <f t="array" ref="F282">iferror(index('rna-muscle'!F:F,match($A282,'rna-muscle'!$A:$A,0)))</f>
        <v>A</v>
      </c>
      <c r="G282" s="11">
        <f t="array" ref="G282">iferror(index('rna-muscle'!G:G,match($A282,'rna-muscle'!$A:$A,0)))</f>
        <v>2</v>
      </c>
      <c r="H282" s="11" t="str">
        <f t="shared" si="4"/>
        <v>A2</v>
      </c>
      <c r="I282" s="10" t="str">
        <f t="shared" si="5"/>
        <v>BRN65G-A2</v>
      </c>
      <c r="J282" s="16"/>
      <c r="K282" s="16" t="str">
        <f t="shared" si="6"/>
        <v>collected</v>
      </c>
      <c r="L282" s="16" t="str">
        <f t="shared" si="7"/>
        <v>N</v>
      </c>
      <c r="M282" s="16"/>
      <c r="N282" s="16"/>
    </row>
    <row r="283">
      <c r="A283" s="44" t="s">
        <v>562</v>
      </c>
      <c r="B283" s="10" t="str">
        <f t="shared" si="1"/>
        <v>RNA-gill</v>
      </c>
      <c r="C283" s="10" t="str">
        <f t="shared" si="2"/>
        <v>BRN65G-H4</v>
      </c>
      <c r="D283" s="11">
        <f t="array" ref="D283">iferror(index('rna-muscle'!D:D,match(A283,'rna-muscle'!A:A,0)))</f>
        <v>65</v>
      </c>
      <c r="E283" s="10" t="str">
        <f t="shared" si="3"/>
        <v>BRN65G</v>
      </c>
      <c r="F283" s="11" t="str">
        <f t="array" ref="F283">iferror(index('rna-muscle'!F:F,match($A283,'rna-muscle'!$A:$A,0)))</f>
        <v>H</v>
      </c>
      <c r="G283" s="11">
        <f t="array" ref="G283">iferror(index('rna-muscle'!G:G,match($A283,'rna-muscle'!$A:$A,0)))</f>
        <v>4</v>
      </c>
      <c r="H283" s="11" t="str">
        <f t="shared" si="4"/>
        <v>H4</v>
      </c>
      <c r="I283" s="10" t="str">
        <f t="shared" si="5"/>
        <v>BRN65G-H4</v>
      </c>
      <c r="J283" s="6"/>
      <c r="K283" s="16" t="str">
        <f t="shared" si="6"/>
        <v>collected</v>
      </c>
      <c r="L283" s="16" t="str">
        <f t="shared" si="7"/>
        <v>N</v>
      </c>
      <c r="M283" s="16"/>
      <c r="N283" s="16"/>
    </row>
    <row r="284">
      <c r="A284" s="44" t="s">
        <v>564</v>
      </c>
      <c r="B284" s="10" t="str">
        <f t="shared" si="1"/>
        <v>RNA-gill</v>
      </c>
      <c r="C284" s="10" t="str">
        <f t="shared" si="2"/>
        <v>BRN65G-G4</v>
      </c>
      <c r="D284" s="11">
        <f t="array" ref="D284">iferror(index('rna-muscle'!D:D,match(A284,'rna-muscle'!A:A,0)))</f>
        <v>65</v>
      </c>
      <c r="E284" s="10" t="str">
        <f t="shared" si="3"/>
        <v>BRN65G</v>
      </c>
      <c r="F284" s="11" t="str">
        <f t="array" ref="F284">iferror(index('rna-muscle'!F:F,match($A284,'rna-muscle'!$A:$A,0)))</f>
        <v>G</v>
      </c>
      <c r="G284" s="11">
        <f t="array" ref="G284">iferror(index('rna-muscle'!G:G,match($A284,'rna-muscle'!$A:$A,0)))</f>
        <v>4</v>
      </c>
      <c r="H284" s="11" t="str">
        <f t="shared" si="4"/>
        <v>G4</v>
      </c>
      <c r="I284" s="10" t="str">
        <f t="shared" si="5"/>
        <v>BRN65G-G4</v>
      </c>
      <c r="J284" s="16"/>
      <c r="K284" s="16" t="str">
        <f t="shared" si="6"/>
        <v>collected</v>
      </c>
      <c r="L284" s="16" t="str">
        <f t="shared" si="7"/>
        <v>N</v>
      </c>
      <c r="M284" s="16"/>
      <c r="N284" s="16"/>
    </row>
    <row r="285">
      <c r="A285" s="44" t="s">
        <v>566</v>
      </c>
      <c r="B285" s="10" t="str">
        <f t="shared" si="1"/>
        <v>RNA-gill</v>
      </c>
      <c r="C285" s="10" t="str">
        <f t="shared" si="2"/>
        <v>BRN65G-F4</v>
      </c>
      <c r="D285" s="11">
        <f t="array" ref="D285">iferror(index('rna-muscle'!D:D,match(A285,'rna-muscle'!A:A,0)))</f>
        <v>65</v>
      </c>
      <c r="E285" s="10" t="str">
        <f t="shared" si="3"/>
        <v>BRN65G</v>
      </c>
      <c r="F285" s="11" t="str">
        <f t="array" ref="F285">iferror(index('rna-muscle'!F:F,match($A285,'rna-muscle'!$A:$A,0)))</f>
        <v>F</v>
      </c>
      <c r="G285" s="11">
        <f t="array" ref="G285">iferror(index('rna-muscle'!G:G,match($A285,'rna-muscle'!$A:$A,0)))</f>
        <v>4</v>
      </c>
      <c r="H285" s="11" t="str">
        <f t="shared" si="4"/>
        <v>F4</v>
      </c>
      <c r="I285" s="10" t="str">
        <f t="shared" si="5"/>
        <v>BRN65G-F4</v>
      </c>
      <c r="J285" s="16"/>
      <c r="K285" s="16" t="str">
        <f t="shared" si="6"/>
        <v>collected</v>
      </c>
      <c r="L285" s="16" t="str">
        <f t="shared" si="7"/>
        <v>N</v>
      </c>
      <c r="M285" s="16"/>
      <c r="N285" s="16"/>
    </row>
    <row r="286">
      <c r="A286" s="44" t="s">
        <v>567</v>
      </c>
      <c r="B286" s="10" t="str">
        <f t="shared" si="1"/>
        <v>RNA-gill</v>
      </c>
      <c r="C286" s="10" t="str">
        <f t="shared" si="2"/>
        <v>BRN65G-E4</v>
      </c>
      <c r="D286" s="11">
        <f t="array" ref="D286">iferror(index('rna-muscle'!D:D,match(A286,'rna-muscle'!A:A,0)))</f>
        <v>65</v>
      </c>
      <c r="E286" s="10" t="str">
        <f t="shared" si="3"/>
        <v>BRN65G</v>
      </c>
      <c r="F286" s="11" t="str">
        <f t="array" ref="F286">iferror(index('rna-muscle'!F:F,match($A286,'rna-muscle'!$A:$A,0)))</f>
        <v>E</v>
      </c>
      <c r="G286" s="11">
        <f t="array" ref="G286">iferror(index('rna-muscle'!G:G,match($A286,'rna-muscle'!$A:$A,0)))</f>
        <v>4</v>
      </c>
      <c r="H286" s="11" t="str">
        <f t="shared" si="4"/>
        <v>E4</v>
      </c>
      <c r="I286" s="10" t="str">
        <f t="shared" si="5"/>
        <v>BRN65G-E4</v>
      </c>
      <c r="J286" s="16"/>
      <c r="K286" s="16" t="str">
        <f t="shared" si="6"/>
        <v>collected</v>
      </c>
      <c r="L286" s="16" t="str">
        <f t="shared" si="7"/>
        <v>N</v>
      </c>
      <c r="M286" s="16"/>
      <c r="N286" s="16"/>
    </row>
    <row r="287">
      <c r="A287" s="44" t="s">
        <v>569</v>
      </c>
      <c r="B287" s="10" t="str">
        <f t="shared" si="1"/>
        <v>RNA-gill</v>
      </c>
      <c r="C287" s="10" t="str">
        <f t="shared" si="2"/>
        <v>BRN65G-D4</v>
      </c>
      <c r="D287" s="11">
        <f t="array" ref="D287">iferror(index('rna-muscle'!D:D,match(A287,'rna-muscle'!A:A,0)))</f>
        <v>65</v>
      </c>
      <c r="E287" s="10" t="str">
        <f t="shared" si="3"/>
        <v>BRN65G</v>
      </c>
      <c r="F287" s="11" t="str">
        <f t="array" ref="F287">iferror(index('rna-muscle'!F:F,match($A287,'rna-muscle'!$A:$A,0)))</f>
        <v>D</v>
      </c>
      <c r="G287" s="11">
        <f t="array" ref="G287">iferror(index('rna-muscle'!G:G,match($A287,'rna-muscle'!$A:$A,0)))</f>
        <v>4</v>
      </c>
      <c r="H287" s="11" t="str">
        <f t="shared" si="4"/>
        <v>D4</v>
      </c>
      <c r="I287" s="10" t="str">
        <f t="shared" si="5"/>
        <v>BRN65G-D4</v>
      </c>
      <c r="J287" s="6"/>
      <c r="K287" s="16" t="str">
        <f t="shared" si="6"/>
        <v>collected</v>
      </c>
      <c r="L287" s="16" t="str">
        <f t="shared" si="7"/>
        <v>N</v>
      </c>
      <c r="M287" s="16"/>
      <c r="N287" s="16"/>
    </row>
    <row r="288">
      <c r="A288" s="26" t="s">
        <v>570</v>
      </c>
      <c r="B288" s="10" t="str">
        <f t="shared" si="1"/>
        <v>RNA-gill</v>
      </c>
      <c r="C288" s="10" t="str">
        <f t="shared" si="2"/>
        <v>BRN63G-A9</v>
      </c>
      <c r="D288" s="11">
        <f t="array" ref="D288">iferror(index('rna-muscle'!D:D,match(A288,'rna-muscle'!A:A,0)))</f>
        <v>63</v>
      </c>
      <c r="E288" s="10" t="str">
        <f t="shared" si="3"/>
        <v>BRN63G</v>
      </c>
      <c r="F288" s="11" t="str">
        <f t="array" ref="F288">iferror(index('rna-muscle'!F:F,match($A288,'rna-muscle'!$A:$A,0)))</f>
        <v>A</v>
      </c>
      <c r="G288" s="11">
        <f t="array" ref="G288">iferror(index('rna-muscle'!G:G,match($A288,'rna-muscle'!$A:$A,0)))</f>
        <v>9</v>
      </c>
      <c r="H288" s="11" t="str">
        <f t="shared" si="4"/>
        <v>A9</v>
      </c>
      <c r="I288" s="10" t="str">
        <f t="shared" si="5"/>
        <v>BRN63G-A9</v>
      </c>
      <c r="J288" s="16"/>
      <c r="K288" s="16" t="str">
        <f t="shared" si="6"/>
        <v>collected</v>
      </c>
      <c r="L288" s="16" t="str">
        <f t="shared" si="7"/>
        <v>N</v>
      </c>
      <c r="M288" s="16"/>
      <c r="N288" s="16"/>
    </row>
    <row r="289">
      <c r="A289" s="26" t="s">
        <v>571</v>
      </c>
      <c r="B289" s="10" t="str">
        <f t="shared" si="1"/>
        <v>RNA-gill</v>
      </c>
      <c r="C289" s="10" t="str">
        <f t="shared" si="2"/>
        <v>BRN65G-H1</v>
      </c>
      <c r="D289" s="11">
        <f t="array" ref="D289">iferror(index('rna-muscle'!D:D,match(A289,'rna-muscle'!A:A,0)))</f>
        <v>65</v>
      </c>
      <c r="E289" s="10" t="str">
        <f t="shared" si="3"/>
        <v>BRN65G</v>
      </c>
      <c r="F289" s="11" t="str">
        <f t="array" ref="F289">iferror(index('rna-muscle'!F:F,match($A289,'rna-muscle'!$A:$A,0)))</f>
        <v>H</v>
      </c>
      <c r="G289" s="11">
        <f t="array" ref="G289">iferror(index('rna-muscle'!G:G,match($A289,'rna-muscle'!$A:$A,0)))</f>
        <v>1</v>
      </c>
      <c r="H289" s="11" t="str">
        <f t="shared" si="4"/>
        <v>H1</v>
      </c>
      <c r="I289" s="10" t="str">
        <f t="shared" si="5"/>
        <v>BRN65G-H1</v>
      </c>
      <c r="J289" s="16"/>
      <c r="K289" s="16" t="str">
        <f t="shared" si="6"/>
        <v>collected</v>
      </c>
      <c r="L289" s="16" t="str">
        <f t="shared" si="7"/>
        <v>N</v>
      </c>
      <c r="M289" s="16"/>
      <c r="N289" s="16"/>
    </row>
    <row r="290">
      <c r="A290" s="26" t="s">
        <v>574</v>
      </c>
      <c r="B290" s="10" t="str">
        <f t="shared" si="1"/>
        <v>RNA-gill</v>
      </c>
      <c r="C290" s="10" t="str">
        <f t="shared" si="2"/>
        <v>BRN65G-G1</v>
      </c>
      <c r="D290" s="11">
        <f t="array" ref="D290">iferror(index('rna-muscle'!D:D,match(A290,'rna-muscle'!A:A,0)))</f>
        <v>65</v>
      </c>
      <c r="E290" s="10" t="str">
        <f t="shared" si="3"/>
        <v>BRN65G</v>
      </c>
      <c r="F290" s="11" t="str">
        <f t="array" ref="F290">iferror(index('rna-muscle'!F:F,match($A290,'rna-muscle'!$A:$A,0)))</f>
        <v>G</v>
      </c>
      <c r="G290" s="11">
        <f t="array" ref="G290">iferror(index('rna-muscle'!G:G,match($A290,'rna-muscle'!$A:$A,0)))</f>
        <v>1</v>
      </c>
      <c r="H290" s="11" t="str">
        <f t="shared" si="4"/>
        <v>G1</v>
      </c>
      <c r="I290" s="10" t="str">
        <f t="shared" si="5"/>
        <v>BRN65G-G1</v>
      </c>
      <c r="J290" s="6"/>
      <c r="K290" s="16" t="str">
        <f t="shared" si="6"/>
        <v>collected</v>
      </c>
      <c r="L290" s="16" t="str">
        <f t="shared" si="7"/>
        <v>N</v>
      </c>
      <c r="M290" s="16"/>
      <c r="N290" s="16"/>
    </row>
    <row r="291">
      <c r="A291" s="26" t="s">
        <v>575</v>
      </c>
      <c r="B291" s="10" t="str">
        <f t="shared" si="1"/>
        <v>RNA-gill</v>
      </c>
      <c r="C291" s="10" t="str">
        <f t="shared" si="2"/>
        <v>BRN65G-F1</v>
      </c>
      <c r="D291" s="11">
        <f t="array" ref="D291">iferror(index('rna-muscle'!D:D,match(A291,'rna-muscle'!A:A,0)))</f>
        <v>65</v>
      </c>
      <c r="E291" s="10" t="str">
        <f t="shared" si="3"/>
        <v>BRN65G</v>
      </c>
      <c r="F291" s="11" t="str">
        <f t="array" ref="F291">iferror(index('rna-muscle'!F:F,match($A291,'rna-muscle'!$A:$A,0)))</f>
        <v>F</v>
      </c>
      <c r="G291" s="11">
        <f t="array" ref="G291">iferror(index('rna-muscle'!G:G,match($A291,'rna-muscle'!$A:$A,0)))</f>
        <v>1</v>
      </c>
      <c r="H291" s="11" t="str">
        <f t="shared" si="4"/>
        <v>F1</v>
      </c>
      <c r="I291" s="10" t="str">
        <f t="shared" si="5"/>
        <v>BRN65G-F1</v>
      </c>
      <c r="J291" s="16"/>
      <c r="K291" s="16" t="str">
        <f t="shared" si="6"/>
        <v>collected</v>
      </c>
      <c r="L291" s="16" t="str">
        <f t="shared" si="7"/>
        <v>N</v>
      </c>
      <c r="M291" s="16"/>
      <c r="N291" s="16"/>
    </row>
    <row r="292">
      <c r="A292" s="27" t="s">
        <v>577</v>
      </c>
      <c r="B292" s="10" t="str">
        <f t="shared" si="1"/>
        <v>RNA-gill</v>
      </c>
      <c r="C292" s="10" t="str">
        <f t="shared" si="2"/>
        <v>BRN65G-E1</v>
      </c>
      <c r="D292" s="11">
        <f t="array" ref="D292">iferror(index('rna-muscle'!D:D,match(A292,'rna-muscle'!A:A,0)))</f>
        <v>65</v>
      </c>
      <c r="E292" s="10" t="str">
        <f t="shared" si="3"/>
        <v>BRN65G</v>
      </c>
      <c r="F292" s="11" t="str">
        <f t="array" ref="F292">iferror(index('rna-muscle'!F:F,match($A292,'rna-muscle'!$A:$A,0)))</f>
        <v>E</v>
      </c>
      <c r="G292" s="11">
        <f t="array" ref="G292">iferror(index('rna-muscle'!G:G,match($A292,'rna-muscle'!$A:$A,0)))</f>
        <v>1</v>
      </c>
      <c r="H292" s="11" t="str">
        <f t="shared" si="4"/>
        <v>E1</v>
      </c>
      <c r="I292" s="10" t="str">
        <f t="shared" si="5"/>
        <v>BRN65G-E1</v>
      </c>
      <c r="J292" s="6"/>
      <c r="K292" s="16" t="str">
        <f t="shared" si="6"/>
        <v>collected</v>
      </c>
      <c r="L292" s="16" t="str">
        <f t="shared" si="7"/>
        <v>N</v>
      </c>
      <c r="M292" s="16"/>
      <c r="N292" s="16"/>
    </row>
    <row r="293">
      <c r="A293" s="27" t="s">
        <v>578</v>
      </c>
      <c r="B293" s="10" t="str">
        <f t="shared" si="1"/>
        <v>RNA-gill</v>
      </c>
      <c r="C293" s="10" t="str">
        <f t="shared" si="2"/>
        <v>BRN65G-D1</v>
      </c>
      <c r="D293" s="11">
        <f t="array" ref="D293">iferror(index('rna-muscle'!D:D,match(A293,'rna-muscle'!A:A,0)))</f>
        <v>65</v>
      </c>
      <c r="E293" s="10" t="str">
        <f t="shared" si="3"/>
        <v>BRN65G</v>
      </c>
      <c r="F293" s="11" t="str">
        <f t="array" ref="F293">iferror(index('rna-muscle'!F:F,match($A293,'rna-muscle'!$A:$A,0)))</f>
        <v>D</v>
      </c>
      <c r="G293" s="11">
        <f t="array" ref="G293">iferror(index('rna-muscle'!G:G,match($A293,'rna-muscle'!$A:$A,0)))</f>
        <v>1</v>
      </c>
      <c r="H293" s="11" t="str">
        <f t="shared" si="4"/>
        <v>D1</v>
      </c>
      <c r="I293" s="10" t="str">
        <f t="shared" si="5"/>
        <v>BRN65G-D1</v>
      </c>
      <c r="J293" s="6"/>
      <c r="K293" s="16" t="str">
        <f t="shared" si="6"/>
        <v>collected</v>
      </c>
      <c r="L293" s="16" t="str">
        <f t="shared" si="7"/>
        <v>N</v>
      </c>
      <c r="M293" s="16"/>
      <c r="N293" s="16"/>
    </row>
    <row r="294">
      <c r="A294" s="27" t="s">
        <v>580</v>
      </c>
      <c r="B294" s="10" t="str">
        <f t="shared" si="1"/>
        <v>RNA-gill</v>
      </c>
      <c r="C294" s="10" t="str">
        <f t="shared" si="2"/>
        <v>BRN65G-C1</v>
      </c>
      <c r="D294" s="11">
        <f t="array" ref="D294">iferror(index('rna-muscle'!D:D,match(A294,'rna-muscle'!A:A,0)))</f>
        <v>65</v>
      </c>
      <c r="E294" s="10" t="str">
        <f t="shared" si="3"/>
        <v>BRN65G</v>
      </c>
      <c r="F294" s="11" t="str">
        <f t="array" ref="F294">iferror(index('rna-muscle'!F:F,match($A294,'rna-muscle'!$A:$A,0)))</f>
        <v>C</v>
      </c>
      <c r="G294" s="11">
        <f t="array" ref="G294">iferror(index('rna-muscle'!G:G,match($A294,'rna-muscle'!$A:$A,0)))</f>
        <v>1</v>
      </c>
      <c r="H294" s="11" t="str">
        <f t="shared" si="4"/>
        <v>C1</v>
      </c>
      <c r="I294" s="10" t="str">
        <f t="shared" si="5"/>
        <v>BRN65G-C1</v>
      </c>
      <c r="J294" s="6"/>
      <c r="K294" s="16" t="str">
        <f t="shared" si="6"/>
        <v>collected</v>
      </c>
      <c r="L294" s="16" t="str">
        <f t="shared" si="7"/>
        <v>N</v>
      </c>
      <c r="M294" s="16"/>
      <c r="N294" s="16"/>
    </row>
    <row r="295">
      <c r="A295" s="27" t="s">
        <v>581</v>
      </c>
      <c r="B295" s="10" t="str">
        <f t="shared" si="1"/>
        <v>RNA-gill</v>
      </c>
      <c r="C295" s="10" t="str">
        <f t="shared" si="2"/>
        <v>BRN65G-B1</v>
      </c>
      <c r="D295" s="11">
        <f t="array" ref="D295">iferror(index('rna-muscle'!D:D,match(A295,'rna-muscle'!A:A,0)))</f>
        <v>65</v>
      </c>
      <c r="E295" s="10" t="str">
        <f t="shared" si="3"/>
        <v>BRN65G</v>
      </c>
      <c r="F295" s="11" t="str">
        <f t="array" ref="F295">iferror(index('rna-muscle'!F:F,match($A295,'rna-muscle'!$A:$A,0)))</f>
        <v>B</v>
      </c>
      <c r="G295" s="11">
        <f t="array" ref="G295">iferror(index('rna-muscle'!G:G,match($A295,'rna-muscle'!$A:$A,0)))</f>
        <v>1</v>
      </c>
      <c r="H295" s="11" t="str">
        <f t="shared" si="4"/>
        <v>B1</v>
      </c>
      <c r="I295" s="10" t="str">
        <f t="shared" si="5"/>
        <v>BRN65G-B1</v>
      </c>
      <c r="J295" s="16"/>
      <c r="K295" s="16" t="str">
        <f t="shared" si="6"/>
        <v>collected</v>
      </c>
      <c r="L295" s="16" t="str">
        <f t="shared" si="7"/>
        <v>N</v>
      </c>
      <c r="M295" s="16"/>
      <c r="N295" s="16"/>
    </row>
    <row r="296">
      <c r="A296" s="27" t="s">
        <v>583</v>
      </c>
      <c r="B296" s="10" t="str">
        <f t="shared" si="1"/>
        <v>RNA-gill</v>
      </c>
      <c r="C296" s="10" t="str">
        <f t="shared" si="2"/>
        <v>BRN65G-A1</v>
      </c>
      <c r="D296" s="11">
        <f t="array" ref="D296">iferror(index('rna-muscle'!D:D,match(A296,'rna-muscle'!A:A,0)))</f>
        <v>65</v>
      </c>
      <c r="E296" s="10" t="str">
        <f t="shared" si="3"/>
        <v>BRN65G</v>
      </c>
      <c r="F296" s="11" t="str">
        <f t="array" ref="F296">iferror(index('rna-muscle'!F:F,match($A296,'rna-muscle'!$A:$A,0)))</f>
        <v>A</v>
      </c>
      <c r="G296" s="11">
        <f t="array" ref="G296">iferror(index('rna-muscle'!G:G,match($A296,'rna-muscle'!$A:$A,0)))</f>
        <v>1</v>
      </c>
      <c r="H296" s="11" t="str">
        <f t="shared" si="4"/>
        <v>A1</v>
      </c>
      <c r="I296" s="10" t="str">
        <f t="shared" si="5"/>
        <v>BRN65G-A1</v>
      </c>
      <c r="J296" s="16"/>
      <c r="K296" s="16" t="str">
        <f t="shared" si="6"/>
        <v>collected</v>
      </c>
      <c r="L296" s="16" t="str">
        <f t="shared" si="7"/>
        <v>N</v>
      </c>
      <c r="M296" s="16"/>
      <c r="N296" s="16"/>
    </row>
    <row r="297">
      <c r="A297" s="27" t="s">
        <v>584</v>
      </c>
      <c r="B297" s="10" t="str">
        <f t="shared" si="1"/>
        <v>RNA-gill</v>
      </c>
      <c r="C297" s="10" t="str">
        <f t="shared" si="2"/>
        <v>BRN65G-H3</v>
      </c>
      <c r="D297" s="11">
        <f t="array" ref="D297">iferror(index('rna-muscle'!D:D,match(A297,'rna-muscle'!A:A,0)))</f>
        <v>65</v>
      </c>
      <c r="E297" s="10" t="str">
        <f t="shared" si="3"/>
        <v>BRN65G</v>
      </c>
      <c r="F297" s="11" t="str">
        <f t="array" ref="F297">iferror(index('rna-muscle'!F:F,match($A297,'rna-muscle'!$A:$A,0)))</f>
        <v>H</v>
      </c>
      <c r="G297" s="11">
        <f t="array" ref="G297">iferror(index('rna-muscle'!G:G,match($A297,'rna-muscle'!$A:$A,0)))</f>
        <v>3</v>
      </c>
      <c r="H297" s="11" t="str">
        <f t="shared" si="4"/>
        <v>H3</v>
      </c>
      <c r="I297" s="10" t="str">
        <f t="shared" si="5"/>
        <v>BRN65G-H3</v>
      </c>
      <c r="J297" s="16"/>
      <c r="K297" s="16" t="str">
        <f t="shared" si="6"/>
        <v>collected</v>
      </c>
      <c r="L297" s="16" t="str">
        <f t="shared" si="7"/>
        <v>N</v>
      </c>
      <c r="M297" s="16"/>
      <c r="N297" s="16"/>
    </row>
    <row r="298">
      <c r="A298" s="27" t="s">
        <v>585</v>
      </c>
      <c r="B298" s="10" t="str">
        <f t="shared" si="1"/>
        <v>RNA-gill</v>
      </c>
      <c r="C298" s="10" t="str">
        <f t="shared" si="2"/>
        <v>BRN65G-G3</v>
      </c>
      <c r="D298" s="11">
        <f t="array" ref="D298">iferror(index('rna-muscle'!D:D,match(A298,'rna-muscle'!A:A,0)))</f>
        <v>65</v>
      </c>
      <c r="E298" s="10" t="str">
        <f t="shared" si="3"/>
        <v>BRN65G</v>
      </c>
      <c r="F298" s="11" t="str">
        <f t="array" ref="F298">iferror(index('rna-muscle'!F:F,match($A298,'rna-muscle'!$A:$A,0)))</f>
        <v>G</v>
      </c>
      <c r="G298" s="11">
        <f t="array" ref="G298">iferror(index('rna-muscle'!G:G,match($A298,'rna-muscle'!$A:$A,0)))</f>
        <v>3</v>
      </c>
      <c r="H298" s="11" t="str">
        <f t="shared" si="4"/>
        <v>G3</v>
      </c>
      <c r="I298" s="10" t="str">
        <f t="shared" si="5"/>
        <v>BRN65G-G3</v>
      </c>
      <c r="J298" s="16"/>
      <c r="K298" s="16" t="str">
        <f t="shared" si="6"/>
        <v>collected</v>
      </c>
      <c r="L298" s="16" t="str">
        <f t="shared" si="7"/>
        <v>N</v>
      </c>
      <c r="M298" s="16"/>
      <c r="N298" s="16"/>
    </row>
    <row r="299">
      <c r="A299" s="27" t="s">
        <v>588</v>
      </c>
      <c r="B299" s="10" t="str">
        <f t="shared" si="1"/>
        <v>RNA-gill</v>
      </c>
      <c r="C299" s="10" t="str">
        <f t="shared" si="2"/>
        <v>BRN65G-F3</v>
      </c>
      <c r="D299" s="11">
        <f t="array" ref="D299">iferror(index('rna-muscle'!D:D,match(A299,'rna-muscle'!A:A,0)))</f>
        <v>65</v>
      </c>
      <c r="E299" s="10" t="str">
        <f t="shared" si="3"/>
        <v>BRN65G</v>
      </c>
      <c r="F299" s="11" t="str">
        <f t="array" ref="F299">iferror(index('rna-muscle'!F:F,match($A299,'rna-muscle'!$A:$A,0)))</f>
        <v>F</v>
      </c>
      <c r="G299" s="11">
        <f t="array" ref="G299">iferror(index('rna-muscle'!G:G,match($A299,'rna-muscle'!$A:$A,0)))</f>
        <v>3</v>
      </c>
      <c r="H299" s="11" t="str">
        <f t="shared" si="4"/>
        <v>F3</v>
      </c>
      <c r="I299" s="10" t="str">
        <f t="shared" si="5"/>
        <v>BRN65G-F3</v>
      </c>
      <c r="J299" s="6"/>
      <c r="K299" s="16" t="str">
        <f t="shared" si="6"/>
        <v>collected</v>
      </c>
      <c r="L299" s="16" t="str">
        <f t="shared" si="7"/>
        <v>N</v>
      </c>
      <c r="M299" s="16"/>
      <c r="N299" s="16"/>
    </row>
    <row r="300">
      <c r="A300" s="27" t="s">
        <v>590</v>
      </c>
      <c r="B300" s="10" t="str">
        <f t="shared" si="1"/>
        <v>RNA-gill</v>
      </c>
      <c r="C300" s="10" t="str">
        <f t="shared" si="2"/>
        <v>BRN65G-E3</v>
      </c>
      <c r="D300" s="11">
        <f t="array" ref="D300">iferror(index('rna-muscle'!D:D,match(A300,'rna-muscle'!A:A,0)))</f>
        <v>65</v>
      </c>
      <c r="E300" s="10" t="str">
        <f t="shared" si="3"/>
        <v>BRN65G</v>
      </c>
      <c r="F300" s="11" t="str">
        <f t="array" ref="F300">iferror(index('rna-muscle'!F:F,match($A300,'rna-muscle'!$A:$A,0)))</f>
        <v>E</v>
      </c>
      <c r="G300" s="11">
        <f t="array" ref="G300">iferror(index('rna-muscle'!G:G,match($A300,'rna-muscle'!$A:$A,0)))</f>
        <v>3</v>
      </c>
      <c r="H300" s="11" t="str">
        <f t="shared" si="4"/>
        <v>E3</v>
      </c>
      <c r="I300" s="10" t="str">
        <f t="shared" si="5"/>
        <v>BRN65G-E3</v>
      </c>
      <c r="J300" s="16"/>
      <c r="K300" s="16" t="str">
        <f t="shared" si="6"/>
        <v>collected</v>
      </c>
      <c r="L300" s="16" t="str">
        <f t="shared" si="7"/>
        <v>N</v>
      </c>
      <c r="M300" s="16"/>
      <c r="N300" s="16"/>
    </row>
    <row r="301">
      <c r="A301" s="27" t="s">
        <v>591</v>
      </c>
      <c r="B301" s="10" t="str">
        <f t="shared" si="1"/>
        <v>RNA-gill</v>
      </c>
      <c r="C301" s="10" t="str">
        <f t="shared" si="2"/>
        <v>BRN65G-D3</v>
      </c>
      <c r="D301" s="11">
        <f t="array" ref="D301">iferror(index('rna-muscle'!D:D,match(A301,'rna-muscle'!A:A,0)))</f>
        <v>65</v>
      </c>
      <c r="E301" s="10" t="str">
        <f t="shared" si="3"/>
        <v>BRN65G</v>
      </c>
      <c r="F301" s="11" t="str">
        <f t="array" ref="F301">iferror(index('rna-muscle'!F:F,match($A301,'rna-muscle'!$A:$A,0)))</f>
        <v>D</v>
      </c>
      <c r="G301" s="11">
        <f t="array" ref="G301">iferror(index('rna-muscle'!G:G,match($A301,'rna-muscle'!$A:$A,0)))</f>
        <v>3</v>
      </c>
      <c r="H301" s="11" t="str">
        <f t="shared" si="4"/>
        <v>D3</v>
      </c>
      <c r="I301" s="10" t="str">
        <f t="shared" si="5"/>
        <v>BRN65G-D3</v>
      </c>
      <c r="J301" s="16"/>
      <c r="K301" s="16" t="str">
        <f t="shared" si="6"/>
        <v>collected</v>
      </c>
      <c r="L301" s="16" t="str">
        <f t="shared" si="7"/>
        <v>N</v>
      </c>
      <c r="M301" s="16"/>
      <c r="N301" s="16"/>
    </row>
    <row r="302">
      <c r="A302" s="27" t="s">
        <v>592</v>
      </c>
      <c r="B302" s="10" t="str">
        <f t="shared" si="1"/>
        <v>RNA-gill</v>
      </c>
      <c r="C302" s="10" t="str">
        <f t="shared" si="2"/>
        <v>BRN65G-C3</v>
      </c>
      <c r="D302" s="11">
        <f t="array" ref="D302">iferror(index('rna-muscle'!D:D,match(A302,'rna-muscle'!A:A,0)))</f>
        <v>65</v>
      </c>
      <c r="E302" s="10" t="str">
        <f t="shared" si="3"/>
        <v>BRN65G</v>
      </c>
      <c r="F302" s="11" t="str">
        <f t="array" ref="F302">iferror(index('rna-muscle'!F:F,match($A302,'rna-muscle'!$A:$A,0)))</f>
        <v>C</v>
      </c>
      <c r="G302" s="11">
        <f t="array" ref="G302">iferror(index('rna-muscle'!G:G,match($A302,'rna-muscle'!$A:$A,0)))</f>
        <v>3</v>
      </c>
      <c r="H302" s="11" t="str">
        <f t="shared" si="4"/>
        <v>C3</v>
      </c>
      <c r="I302" s="10" t="str">
        <f t="shared" si="5"/>
        <v>BRN65G-C3</v>
      </c>
      <c r="J302" s="16"/>
      <c r="K302" s="16" t="str">
        <f t="shared" si="6"/>
        <v>collected</v>
      </c>
      <c r="L302" s="16" t="str">
        <f t="shared" si="7"/>
        <v>N</v>
      </c>
      <c r="M302" s="16"/>
      <c r="N302" s="16"/>
    </row>
    <row r="303">
      <c r="A303" s="27" t="s">
        <v>593</v>
      </c>
      <c r="B303" s="10" t="str">
        <f t="shared" si="1"/>
        <v>RNA-gill</v>
      </c>
      <c r="C303" s="10" t="str">
        <f t="shared" si="2"/>
        <v>BRN65G-B3</v>
      </c>
      <c r="D303" s="11">
        <f t="array" ref="D303">iferror(index('rna-muscle'!D:D,match(A303,'rna-muscle'!A:A,0)))</f>
        <v>65</v>
      </c>
      <c r="E303" s="10" t="str">
        <f t="shared" si="3"/>
        <v>BRN65G</v>
      </c>
      <c r="F303" s="11" t="str">
        <f t="array" ref="F303">iferror(index('rna-muscle'!F:F,match($A303,'rna-muscle'!$A:$A,0)))</f>
        <v>B</v>
      </c>
      <c r="G303" s="11">
        <f t="array" ref="G303">iferror(index('rna-muscle'!G:G,match($A303,'rna-muscle'!$A:$A,0)))</f>
        <v>3</v>
      </c>
      <c r="H303" s="11" t="str">
        <f t="shared" si="4"/>
        <v>B3</v>
      </c>
      <c r="I303" s="10" t="str">
        <f t="shared" si="5"/>
        <v>BRN65G-B3</v>
      </c>
      <c r="J303" s="16"/>
      <c r="K303" s="16" t="str">
        <f t="shared" si="6"/>
        <v>collected</v>
      </c>
      <c r="L303" s="16" t="str">
        <f t="shared" si="7"/>
        <v>N</v>
      </c>
      <c r="M303" s="16"/>
      <c r="N303" s="16"/>
    </row>
    <row r="304">
      <c r="A304" s="27" t="s">
        <v>595</v>
      </c>
      <c r="B304" s="10" t="str">
        <f t="shared" si="1"/>
        <v>RNA-gill</v>
      </c>
      <c r="C304" s="10" t="str">
        <f t="shared" si="2"/>
        <v>BRN65G-A3</v>
      </c>
      <c r="D304" s="11">
        <f t="array" ref="D304">iferror(index('rna-muscle'!D:D,match(A304,'rna-muscle'!A:A,0)))</f>
        <v>65</v>
      </c>
      <c r="E304" s="10" t="str">
        <f t="shared" si="3"/>
        <v>BRN65G</v>
      </c>
      <c r="F304" s="11" t="str">
        <f t="array" ref="F304">iferror(index('rna-muscle'!F:F,match($A304,'rna-muscle'!$A:$A,0)))</f>
        <v>A</v>
      </c>
      <c r="G304" s="11">
        <f t="array" ref="G304">iferror(index('rna-muscle'!G:G,match($A304,'rna-muscle'!$A:$A,0)))</f>
        <v>3</v>
      </c>
      <c r="H304" s="11" t="str">
        <f t="shared" si="4"/>
        <v>A3</v>
      </c>
      <c r="I304" s="10" t="str">
        <f t="shared" si="5"/>
        <v>BRN65G-A3</v>
      </c>
      <c r="J304" s="6"/>
      <c r="K304" s="16" t="str">
        <f t="shared" si="6"/>
        <v>collected</v>
      </c>
      <c r="L304" s="16" t="str">
        <f t="shared" si="7"/>
        <v>N</v>
      </c>
      <c r="M304" s="16"/>
      <c r="N304" s="16"/>
    </row>
    <row r="305">
      <c r="A305" s="27" t="s">
        <v>596</v>
      </c>
      <c r="B305" s="10" t="str">
        <f t="shared" si="1"/>
        <v>RNA-gill</v>
      </c>
      <c r="C305" s="10" t="str">
        <f t="shared" si="2"/>
        <v>BRN63G-B12</v>
      </c>
      <c r="D305" s="11">
        <f t="array" ref="D305">iferror(index('rna-muscle'!D:D,match(A305,'rna-muscle'!A:A,0)))</f>
        <v>63</v>
      </c>
      <c r="E305" s="10" t="str">
        <f t="shared" si="3"/>
        <v>BRN63G</v>
      </c>
      <c r="F305" s="11" t="str">
        <f t="array" ref="F305">iferror(index('rna-muscle'!F:F,match($A305,'rna-muscle'!$A:$A,0)))</f>
        <v>B</v>
      </c>
      <c r="G305" s="11">
        <f t="array" ref="G305">iferror(index('rna-muscle'!G:G,match($A305,'rna-muscle'!$A:$A,0)))</f>
        <v>12</v>
      </c>
      <c r="H305" s="11" t="str">
        <f t="shared" si="4"/>
        <v>B12</v>
      </c>
      <c r="I305" s="10" t="str">
        <f t="shared" si="5"/>
        <v>BRN63G-B12</v>
      </c>
      <c r="J305" s="16"/>
      <c r="K305" s="16" t="str">
        <f t="shared" si="6"/>
        <v>collected</v>
      </c>
      <c r="L305" s="16" t="str">
        <f t="shared" si="7"/>
        <v>N</v>
      </c>
      <c r="M305" s="16"/>
      <c r="N305" s="16"/>
    </row>
    <row r="306">
      <c r="A306" s="27" t="s">
        <v>597</v>
      </c>
      <c r="B306" s="10" t="str">
        <f t="shared" si="1"/>
        <v>RNA-gill</v>
      </c>
      <c r="C306" s="10" t="str">
        <f t="shared" si="2"/>
        <v>BRN63G-A12</v>
      </c>
      <c r="D306" s="11">
        <f t="array" ref="D306">iferror(index('rna-muscle'!D:D,match(A306,'rna-muscle'!A:A,0)))</f>
        <v>63</v>
      </c>
      <c r="E306" s="10" t="str">
        <f t="shared" si="3"/>
        <v>BRN63G</v>
      </c>
      <c r="F306" s="11" t="str">
        <f t="array" ref="F306">iferror(index('rna-muscle'!F:F,match($A306,'rna-muscle'!$A:$A,0)))</f>
        <v>A</v>
      </c>
      <c r="G306" s="11">
        <f t="array" ref="G306">iferror(index('rna-muscle'!G:G,match($A306,'rna-muscle'!$A:$A,0)))</f>
        <v>12</v>
      </c>
      <c r="H306" s="11" t="str">
        <f t="shared" si="4"/>
        <v>A12</v>
      </c>
      <c r="I306" s="10" t="str">
        <f t="shared" si="5"/>
        <v>BRN63G-A12</v>
      </c>
      <c r="J306" s="16"/>
      <c r="K306" s="16" t="str">
        <f t="shared" si="6"/>
        <v>collected</v>
      </c>
      <c r="L306" s="16" t="str">
        <f t="shared" si="7"/>
        <v>N</v>
      </c>
      <c r="M306" s="16"/>
      <c r="N306" s="16"/>
    </row>
    <row r="307">
      <c r="A307" s="29" t="s">
        <v>598</v>
      </c>
      <c r="B307" s="10" t="str">
        <f t="shared" si="1"/>
        <v>RNA-gill</v>
      </c>
      <c r="C307" s="10" t="str">
        <f t="shared" si="2"/>
        <v>BRN65G-H7</v>
      </c>
      <c r="D307" s="11">
        <f t="array" ref="D307">iferror(index('rna-muscle'!D:D,match(A307,'rna-muscle'!A:A,0)))</f>
        <v>65</v>
      </c>
      <c r="E307" s="10" t="str">
        <f t="shared" si="3"/>
        <v>BRN65G</v>
      </c>
      <c r="F307" s="11" t="str">
        <f t="array" ref="F307">iferror(index('rna-muscle'!F:F,match($A307,'rna-muscle'!$A:$A,0)))</f>
        <v>H</v>
      </c>
      <c r="G307" s="11">
        <f t="array" ref="G307">iferror(index('rna-muscle'!G:G,match($A307,'rna-muscle'!$A:$A,0)))</f>
        <v>7</v>
      </c>
      <c r="H307" s="11" t="str">
        <f t="shared" si="4"/>
        <v>H7</v>
      </c>
      <c r="I307" s="10" t="str">
        <f t="shared" si="5"/>
        <v>BRN65G-H7</v>
      </c>
      <c r="J307" s="16"/>
      <c r="K307" s="16" t="str">
        <f t="shared" si="6"/>
        <v>collected</v>
      </c>
      <c r="L307" s="16" t="str">
        <f t="shared" si="7"/>
        <v>N</v>
      </c>
      <c r="M307" s="16"/>
      <c r="N307" s="16"/>
    </row>
    <row r="308">
      <c r="A308" s="29" t="s">
        <v>600</v>
      </c>
      <c r="B308" s="10" t="str">
        <f t="shared" si="1"/>
        <v>RNA-gill</v>
      </c>
      <c r="C308" s="10" t="str">
        <f t="shared" si="2"/>
        <v>BRN65G-G7</v>
      </c>
      <c r="D308" s="11">
        <f t="array" ref="D308">iferror(index('rna-muscle'!D:D,match(A308,'rna-muscle'!A:A,0)))</f>
        <v>65</v>
      </c>
      <c r="E308" s="10" t="str">
        <f t="shared" si="3"/>
        <v>BRN65G</v>
      </c>
      <c r="F308" s="11" t="str">
        <f t="array" ref="F308">iferror(index('rna-muscle'!F:F,match($A308,'rna-muscle'!$A:$A,0)))</f>
        <v>G</v>
      </c>
      <c r="G308" s="11">
        <f t="array" ref="G308">iferror(index('rna-muscle'!G:G,match($A308,'rna-muscle'!$A:$A,0)))</f>
        <v>7</v>
      </c>
      <c r="H308" s="11" t="str">
        <f t="shared" si="4"/>
        <v>G7</v>
      </c>
      <c r="I308" s="10" t="str">
        <f t="shared" si="5"/>
        <v>BRN65G-G7</v>
      </c>
      <c r="J308" s="16"/>
      <c r="K308" s="16" t="str">
        <f t="shared" si="6"/>
        <v>collected</v>
      </c>
      <c r="L308" s="16" t="str">
        <f t="shared" si="7"/>
        <v>N</v>
      </c>
      <c r="M308" s="16"/>
      <c r="N308" s="16"/>
    </row>
    <row r="309">
      <c r="A309" s="29" t="s">
        <v>601</v>
      </c>
      <c r="B309" s="10" t="str">
        <f t="shared" si="1"/>
        <v>RNA-gill</v>
      </c>
      <c r="C309" s="10" t="str">
        <f t="shared" si="2"/>
        <v>BRN65G-F7</v>
      </c>
      <c r="D309" s="11">
        <f t="array" ref="D309">iferror(index('rna-muscle'!D:D,match(A309,'rna-muscle'!A:A,0)))</f>
        <v>65</v>
      </c>
      <c r="E309" s="10" t="str">
        <f t="shared" si="3"/>
        <v>BRN65G</v>
      </c>
      <c r="F309" s="11" t="str">
        <f t="array" ref="F309">iferror(index('rna-muscle'!F:F,match($A309,'rna-muscle'!$A:$A,0)))</f>
        <v>F</v>
      </c>
      <c r="G309" s="11">
        <f t="array" ref="G309">iferror(index('rna-muscle'!G:G,match($A309,'rna-muscle'!$A:$A,0)))</f>
        <v>7</v>
      </c>
      <c r="H309" s="11" t="str">
        <f t="shared" si="4"/>
        <v>F7</v>
      </c>
      <c r="I309" s="10" t="str">
        <f t="shared" si="5"/>
        <v>BRN65G-F7</v>
      </c>
      <c r="J309" s="16"/>
      <c r="K309" s="16" t="str">
        <f t="shared" si="6"/>
        <v>collected</v>
      </c>
      <c r="L309" s="16" t="str">
        <f t="shared" si="7"/>
        <v>N</v>
      </c>
      <c r="M309" s="16"/>
      <c r="N309" s="16"/>
    </row>
    <row r="310">
      <c r="A310" s="29" t="s">
        <v>603</v>
      </c>
      <c r="B310" s="10" t="str">
        <f t="shared" si="1"/>
        <v>RNA-gill</v>
      </c>
      <c r="C310" s="10" t="str">
        <f t="shared" si="2"/>
        <v>BRN65G-E7</v>
      </c>
      <c r="D310" s="11">
        <f t="array" ref="D310">iferror(index('rna-muscle'!D:D,match(A310,'rna-muscle'!A:A,0)))</f>
        <v>65</v>
      </c>
      <c r="E310" s="10" t="str">
        <f t="shared" si="3"/>
        <v>BRN65G</v>
      </c>
      <c r="F310" s="11" t="str">
        <f t="array" ref="F310">iferror(index('rna-muscle'!F:F,match($A310,'rna-muscle'!$A:$A,0)))</f>
        <v>E</v>
      </c>
      <c r="G310" s="11">
        <f t="array" ref="G310">iferror(index('rna-muscle'!G:G,match($A310,'rna-muscle'!$A:$A,0)))</f>
        <v>7</v>
      </c>
      <c r="H310" s="11" t="str">
        <f t="shared" si="4"/>
        <v>E7</v>
      </c>
      <c r="I310" s="10" t="str">
        <f t="shared" si="5"/>
        <v>BRN65G-E7</v>
      </c>
      <c r="J310" s="16"/>
      <c r="K310" s="16" t="str">
        <f t="shared" si="6"/>
        <v>collected</v>
      </c>
      <c r="L310" s="16" t="str">
        <f t="shared" si="7"/>
        <v>N</v>
      </c>
      <c r="M310" s="16"/>
      <c r="N310" s="16"/>
    </row>
    <row r="311">
      <c r="A311" s="29" t="s">
        <v>604</v>
      </c>
      <c r="B311" s="10" t="str">
        <f t="shared" si="1"/>
        <v>RNA-gill</v>
      </c>
      <c r="C311" s="10" t="str">
        <f t="shared" si="2"/>
        <v>BRN65G-D7</v>
      </c>
      <c r="D311" s="11">
        <f t="array" ref="D311">iferror(index('rna-muscle'!D:D,match(A311,'rna-muscle'!A:A,0)))</f>
        <v>65</v>
      </c>
      <c r="E311" s="10" t="str">
        <f t="shared" si="3"/>
        <v>BRN65G</v>
      </c>
      <c r="F311" s="11" t="str">
        <f t="array" ref="F311">iferror(index('rna-muscle'!F:F,match($A311,'rna-muscle'!$A:$A,0)))</f>
        <v>D</v>
      </c>
      <c r="G311" s="11">
        <f t="array" ref="G311">iferror(index('rna-muscle'!G:G,match($A311,'rna-muscle'!$A:$A,0)))</f>
        <v>7</v>
      </c>
      <c r="H311" s="11" t="str">
        <f t="shared" si="4"/>
        <v>D7</v>
      </c>
      <c r="I311" s="10" t="str">
        <f t="shared" si="5"/>
        <v>BRN65G-D7</v>
      </c>
      <c r="J311" s="16"/>
      <c r="K311" s="16" t="str">
        <f t="shared" si="6"/>
        <v>collected</v>
      </c>
      <c r="L311" s="16" t="str">
        <f t="shared" si="7"/>
        <v>N</v>
      </c>
      <c r="M311" s="16"/>
      <c r="N311" s="16"/>
    </row>
    <row r="312">
      <c r="A312" s="27" t="s">
        <v>606</v>
      </c>
      <c r="B312" s="10" t="str">
        <f t="shared" si="1"/>
        <v>RNA-gill</v>
      </c>
      <c r="C312" s="10" t="str">
        <f t="shared" si="2"/>
        <v>BRN65G-H5</v>
      </c>
      <c r="D312" s="11">
        <f t="array" ref="D312">iferror(index('rna-muscle'!D:D,match(A312,'rna-muscle'!A:A,0)))</f>
        <v>65</v>
      </c>
      <c r="E312" s="10" t="str">
        <f t="shared" si="3"/>
        <v>BRN65G</v>
      </c>
      <c r="F312" s="11" t="str">
        <f t="array" ref="F312">iferror(index('rna-muscle'!F:F,match($A312,'rna-muscle'!$A:$A,0)))</f>
        <v>H</v>
      </c>
      <c r="G312" s="11">
        <f t="array" ref="G312">iferror(index('rna-muscle'!G:G,match($A312,'rna-muscle'!$A:$A,0)))</f>
        <v>5</v>
      </c>
      <c r="H312" s="11" t="str">
        <f t="shared" si="4"/>
        <v>H5</v>
      </c>
      <c r="I312" s="10" t="str">
        <f t="shared" si="5"/>
        <v>BRN65G-H5</v>
      </c>
      <c r="J312" s="16"/>
      <c r="K312" s="16" t="str">
        <f t="shared" si="6"/>
        <v>collected</v>
      </c>
      <c r="L312" s="16" t="str">
        <f t="shared" si="7"/>
        <v>N</v>
      </c>
      <c r="M312" s="16"/>
      <c r="N312" s="16"/>
    </row>
    <row r="313">
      <c r="A313" s="27" t="s">
        <v>607</v>
      </c>
      <c r="B313" s="10" t="str">
        <f t="shared" si="1"/>
        <v>RNA-gill</v>
      </c>
      <c r="C313" s="10" t="str">
        <f t="shared" si="2"/>
        <v>BRN65G-G5</v>
      </c>
      <c r="D313" s="11">
        <f t="array" ref="D313">iferror(index('rna-muscle'!D:D,match(A313,'rna-muscle'!A:A,0)))</f>
        <v>65</v>
      </c>
      <c r="E313" s="10" t="str">
        <f t="shared" si="3"/>
        <v>BRN65G</v>
      </c>
      <c r="F313" s="11" t="str">
        <f t="array" ref="F313">iferror(index('rna-muscle'!F:F,match($A313,'rna-muscle'!$A:$A,0)))</f>
        <v>G</v>
      </c>
      <c r="G313" s="11">
        <f t="array" ref="G313">iferror(index('rna-muscle'!G:G,match($A313,'rna-muscle'!$A:$A,0)))</f>
        <v>5</v>
      </c>
      <c r="H313" s="11" t="str">
        <f t="shared" si="4"/>
        <v>G5</v>
      </c>
      <c r="I313" s="10" t="str">
        <f t="shared" si="5"/>
        <v>BRN65G-G5</v>
      </c>
      <c r="J313" s="16"/>
      <c r="K313" s="16" t="str">
        <f t="shared" si="6"/>
        <v>collected</v>
      </c>
      <c r="L313" s="16" t="str">
        <f t="shared" si="7"/>
        <v>N</v>
      </c>
      <c r="M313" s="16"/>
      <c r="N313" s="16"/>
    </row>
    <row r="314">
      <c r="A314" s="27" t="s">
        <v>608</v>
      </c>
      <c r="B314" s="10" t="str">
        <f t="shared" si="1"/>
        <v>RNA-gill</v>
      </c>
      <c r="C314" s="10" t="str">
        <f t="shared" si="2"/>
        <v>BRN65G-F5</v>
      </c>
      <c r="D314" s="11">
        <f t="array" ref="D314">iferror(index('rna-muscle'!D:D,match(A314,'rna-muscle'!A:A,0)))</f>
        <v>65</v>
      </c>
      <c r="E314" s="10" t="str">
        <f t="shared" si="3"/>
        <v>BRN65G</v>
      </c>
      <c r="F314" s="11" t="str">
        <f t="array" ref="F314">iferror(index('rna-muscle'!F:F,match($A314,'rna-muscle'!$A:$A,0)))</f>
        <v>F</v>
      </c>
      <c r="G314" s="11">
        <f t="array" ref="G314">iferror(index('rna-muscle'!G:G,match($A314,'rna-muscle'!$A:$A,0)))</f>
        <v>5</v>
      </c>
      <c r="H314" s="11" t="str">
        <f t="shared" si="4"/>
        <v>F5</v>
      </c>
      <c r="I314" s="10" t="str">
        <f t="shared" si="5"/>
        <v>BRN65G-F5</v>
      </c>
      <c r="J314" s="6"/>
      <c r="K314" s="16" t="str">
        <f t="shared" si="6"/>
        <v>collected</v>
      </c>
      <c r="L314" s="16" t="str">
        <f t="shared" si="7"/>
        <v>N</v>
      </c>
      <c r="M314" s="16"/>
      <c r="N314" s="16"/>
    </row>
    <row r="315">
      <c r="A315" s="27" t="s">
        <v>610</v>
      </c>
      <c r="B315" s="10" t="str">
        <f t="shared" si="1"/>
        <v>RNA-gill</v>
      </c>
      <c r="C315" s="10" t="str">
        <f t="shared" si="2"/>
        <v>BRN65G-E5</v>
      </c>
      <c r="D315" s="11">
        <f t="array" ref="D315">iferror(index('rna-muscle'!D:D,match(A315,'rna-muscle'!A:A,0)))</f>
        <v>65</v>
      </c>
      <c r="E315" s="10" t="str">
        <f t="shared" si="3"/>
        <v>BRN65G</v>
      </c>
      <c r="F315" s="11" t="str">
        <f t="array" ref="F315">iferror(index('rna-muscle'!F:F,match($A315,'rna-muscle'!$A:$A,0)))</f>
        <v>E</v>
      </c>
      <c r="G315" s="11">
        <f t="array" ref="G315">iferror(index('rna-muscle'!G:G,match($A315,'rna-muscle'!$A:$A,0)))</f>
        <v>5</v>
      </c>
      <c r="H315" s="11" t="str">
        <f t="shared" si="4"/>
        <v>E5</v>
      </c>
      <c r="I315" s="10" t="str">
        <f t="shared" si="5"/>
        <v>BRN65G-E5</v>
      </c>
      <c r="J315" s="6"/>
      <c r="K315" s="16" t="str">
        <f t="shared" si="6"/>
        <v>collected</v>
      </c>
      <c r="L315" s="16" t="str">
        <f t="shared" si="7"/>
        <v>N</v>
      </c>
      <c r="M315" s="16"/>
      <c r="N315" s="16"/>
    </row>
    <row r="316">
      <c r="A316" s="27" t="s">
        <v>611</v>
      </c>
      <c r="B316" s="10" t="str">
        <f t="shared" si="1"/>
        <v>RNA-gill</v>
      </c>
      <c r="C316" s="10" t="str">
        <f t="shared" si="2"/>
        <v>BRN65G-D5</v>
      </c>
      <c r="D316" s="11">
        <f t="array" ref="D316">iferror(index('rna-muscle'!D:D,match(A316,'rna-muscle'!A:A,0)))</f>
        <v>65</v>
      </c>
      <c r="E316" s="10" t="str">
        <f t="shared" si="3"/>
        <v>BRN65G</v>
      </c>
      <c r="F316" s="11" t="str">
        <f t="array" ref="F316">iferror(index('rna-muscle'!F:F,match($A316,'rna-muscle'!$A:$A,0)))</f>
        <v>D</v>
      </c>
      <c r="G316" s="11">
        <f t="array" ref="G316">iferror(index('rna-muscle'!G:G,match($A316,'rna-muscle'!$A:$A,0)))</f>
        <v>5</v>
      </c>
      <c r="H316" s="11" t="str">
        <f t="shared" si="4"/>
        <v>D5</v>
      </c>
      <c r="I316" s="10" t="str">
        <f t="shared" si="5"/>
        <v>BRN65G-D5</v>
      </c>
      <c r="J316" s="16"/>
      <c r="K316" s="16" t="str">
        <f t="shared" si="6"/>
        <v>collected</v>
      </c>
      <c r="L316" s="16" t="str">
        <f t="shared" si="7"/>
        <v>N</v>
      </c>
      <c r="M316" s="16"/>
      <c r="N316" s="16"/>
    </row>
    <row r="317">
      <c r="A317" s="27" t="s">
        <v>613</v>
      </c>
      <c r="B317" s="10" t="str">
        <f t="shared" si="1"/>
        <v>RNA-gill</v>
      </c>
      <c r="C317" s="10" t="str">
        <f t="shared" si="2"/>
        <v>BRN65G-C5</v>
      </c>
      <c r="D317" s="11">
        <f t="array" ref="D317">iferror(index('rna-muscle'!D:D,match(A317,'rna-muscle'!A:A,0)))</f>
        <v>65</v>
      </c>
      <c r="E317" s="10" t="str">
        <f t="shared" si="3"/>
        <v>BRN65G</v>
      </c>
      <c r="F317" s="11" t="str">
        <f t="array" ref="F317">iferror(index('rna-muscle'!F:F,match($A317,'rna-muscle'!$A:$A,0)))</f>
        <v>C</v>
      </c>
      <c r="G317" s="11">
        <f t="array" ref="G317">iferror(index('rna-muscle'!G:G,match($A317,'rna-muscle'!$A:$A,0)))</f>
        <v>5</v>
      </c>
      <c r="H317" s="11" t="str">
        <f t="shared" si="4"/>
        <v>C5</v>
      </c>
      <c r="I317" s="10" t="str">
        <f t="shared" si="5"/>
        <v>BRN65G-C5</v>
      </c>
      <c r="J317" s="16"/>
      <c r="K317" s="16" t="str">
        <f t="shared" si="6"/>
        <v>collected</v>
      </c>
      <c r="L317" s="16" t="str">
        <f t="shared" si="7"/>
        <v>N</v>
      </c>
      <c r="M317" s="16"/>
      <c r="N317" s="16"/>
    </row>
    <row r="318">
      <c r="A318" s="27" t="s">
        <v>614</v>
      </c>
      <c r="B318" s="10" t="str">
        <f t="shared" si="1"/>
        <v>RNA-gill</v>
      </c>
      <c r="C318" s="10" t="str">
        <f t="shared" si="2"/>
        <v>BRN65G-B5</v>
      </c>
      <c r="D318" s="11">
        <f t="array" ref="D318">iferror(index('rna-muscle'!D:D,match(A318,'rna-muscle'!A:A,0)))</f>
        <v>65</v>
      </c>
      <c r="E318" s="10" t="str">
        <f t="shared" si="3"/>
        <v>BRN65G</v>
      </c>
      <c r="F318" s="11" t="str">
        <f t="array" ref="F318">iferror(index('rna-muscle'!F:F,match($A318,'rna-muscle'!$A:$A,0)))</f>
        <v>B</v>
      </c>
      <c r="G318" s="11">
        <f t="array" ref="G318">iferror(index('rna-muscle'!G:G,match($A318,'rna-muscle'!$A:$A,0)))</f>
        <v>5</v>
      </c>
      <c r="H318" s="11" t="str">
        <f t="shared" si="4"/>
        <v>B5</v>
      </c>
      <c r="I318" s="10" t="str">
        <f t="shared" si="5"/>
        <v>BRN65G-B5</v>
      </c>
      <c r="J318" s="16"/>
      <c r="K318" s="16" t="str">
        <f t="shared" si="6"/>
        <v>collected</v>
      </c>
      <c r="L318" s="16" t="str">
        <f t="shared" si="7"/>
        <v>N</v>
      </c>
      <c r="M318" s="16"/>
      <c r="N318" s="16"/>
    </row>
    <row r="319">
      <c r="A319" s="26" t="s">
        <v>615</v>
      </c>
      <c r="B319" s="10" t="str">
        <f t="shared" si="1"/>
        <v>RNA-gill</v>
      </c>
      <c r="C319" s="10" t="str">
        <f t="shared" si="2"/>
        <v>BRN65G-A5</v>
      </c>
      <c r="D319" s="11">
        <f t="array" ref="D319">iferror(index('rna-muscle'!D:D,match(A319,'rna-muscle'!A:A,0)))</f>
        <v>65</v>
      </c>
      <c r="E319" s="10" t="str">
        <f t="shared" si="3"/>
        <v>BRN65G</v>
      </c>
      <c r="F319" s="11" t="str">
        <f t="array" ref="F319">iferror(index('rna-muscle'!F:F,match($A319,'rna-muscle'!$A:$A,0)))</f>
        <v>A</v>
      </c>
      <c r="G319" s="11">
        <f t="array" ref="G319">iferror(index('rna-muscle'!G:G,match($A319,'rna-muscle'!$A:$A,0)))</f>
        <v>5</v>
      </c>
      <c r="H319" s="11" t="str">
        <f t="shared" si="4"/>
        <v>A5</v>
      </c>
      <c r="I319" s="10" t="str">
        <f t="shared" si="5"/>
        <v>BRN65G-A5</v>
      </c>
      <c r="J319" s="16"/>
      <c r="K319" s="16" t="str">
        <f t="shared" si="6"/>
        <v>collected</v>
      </c>
      <c r="L319" s="16" t="str">
        <f t="shared" si="7"/>
        <v>N</v>
      </c>
      <c r="M319" s="16"/>
      <c r="N319" s="16"/>
    </row>
    <row r="320">
      <c r="A320" s="26" t="s">
        <v>618</v>
      </c>
      <c r="B320" s="10" t="str">
        <f t="shared" si="1"/>
        <v>RNA-gill</v>
      </c>
      <c r="C320" s="10" t="str">
        <f t="shared" si="2"/>
        <v>BRN65G-H8</v>
      </c>
      <c r="D320" s="11">
        <f t="array" ref="D320">iferror(index('rna-muscle'!D:D,match(A320,'rna-muscle'!A:A,0)))</f>
        <v>65</v>
      </c>
      <c r="E320" s="10" t="str">
        <f t="shared" si="3"/>
        <v>BRN65G</v>
      </c>
      <c r="F320" s="11" t="str">
        <f t="array" ref="F320">iferror(index('rna-muscle'!F:F,match($A320,'rna-muscle'!$A:$A,0)))</f>
        <v>H</v>
      </c>
      <c r="G320" s="11">
        <f t="array" ref="G320">iferror(index('rna-muscle'!G:G,match($A320,'rna-muscle'!$A:$A,0)))</f>
        <v>8</v>
      </c>
      <c r="H320" s="11" t="str">
        <f t="shared" si="4"/>
        <v>H8</v>
      </c>
      <c r="I320" s="10" t="str">
        <f t="shared" si="5"/>
        <v>BRN65G-H8</v>
      </c>
      <c r="J320" s="6"/>
      <c r="K320" s="16" t="str">
        <f t="shared" si="6"/>
        <v>collected</v>
      </c>
      <c r="L320" s="16" t="str">
        <f t="shared" si="7"/>
        <v>N</v>
      </c>
      <c r="M320" s="16"/>
      <c r="N320" s="16"/>
    </row>
    <row r="321">
      <c r="A321" s="26" t="s">
        <v>619</v>
      </c>
      <c r="B321" s="10" t="str">
        <f t="shared" si="1"/>
        <v>RNA-gill</v>
      </c>
      <c r="C321" s="10" t="str">
        <f t="shared" si="2"/>
        <v>BRN64G-H7</v>
      </c>
      <c r="D321" s="11">
        <f t="array" ref="D321">iferror(index('rna-muscle'!D:D,match(A321,'rna-muscle'!A:A,0)))</f>
        <v>64</v>
      </c>
      <c r="E321" s="10" t="str">
        <f t="shared" si="3"/>
        <v>BRN64G</v>
      </c>
      <c r="F321" s="11" t="str">
        <f t="array" ref="F321">iferror(index('rna-muscle'!F:F,match($A321,'rna-muscle'!$A:$A,0)))</f>
        <v>H</v>
      </c>
      <c r="G321" s="11">
        <f t="array" ref="G321">iferror(index('rna-muscle'!G:G,match($A321,'rna-muscle'!$A:$A,0)))</f>
        <v>7</v>
      </c>
      <c r="H321" s="11" t="str">
        <f t="shared" si="4"/>
        <v>H7</v>
      </c>
      <c r="I321" s="10" t="str">
        <f t="shared" si="5"/>
        <v>BRN64G-H7</v>
      </c>
      <c r="J321" s="16"/>
      <c r="K321" s="16" t="str">
        <f t="shared" si="6"/>
        <v>collected</v>
      </c>
      <c r="L321" s="16" t="str">
        <f t="shared" si="7"/>
        <v>N</v>
      </c>
      <c r="M321" s="16"/>
      <c r="N321" s="16"/>
    </row>
    <row r="322">
      <c r="A322" s="26" t="s">
        <v>621</v>
      </c>
      <c r="B322" s="10" t="str">
        <f t="shared" si="1"/>
        <v>RNA-gill</v>
      </c>
      <c r="C322" s="10" t="str">
        <f t="shared" si="2"/>
        <v>BRN64G-G7</v>
      </c>
      <c r="D322" s="11">
        <f t="array" ref="D322">iferror(index('rna-muscle'!D:D,match(A322,'rna-muscle'!A:A,0)))</f>
        <v>64</v>
      </c>
      <c r="E322" s="10" t="str">
        <f t="shared" si="3"/>
        <v>BRN64G</v>
      </c>
      <c r="F322" s="11" t="str">
        <f t="array" ref="F322">iferror(index('rna-muscle'!F:F,match($A322,'rna-muscle'!$A:$A,0)))</f>
        <v>G</v>
      </c>
      <c r="G322" s="11">
        <f t="array" ref="G322">iferror(index('rna-muscle'!G:G,match($A322,'rna-muscle'!$A:$A,0)))</f>
        <v>7</v>
      </c>
      <c r="H322" s="11" t="str">
        <f t="shared" si="4"/>
        <v>G7</v>
      </c>
      <c r="I322" s="10" t="str">
        <f t="shared" si="5"/>
        <v>BRN64G-G7</v>
      </c>
      <c r="J322" s="16"/>
      <c r="K322" s="16" t="str">
        <f t="shared" si="6"/>
        <v>collected</v>
      </c>
      <c r="L322" s="16" t="str">
        <f t="shared" si="7"/>
        <v>N</v>
      </c>
      <c r="M322" s="16"/>
      <c r="N322" s="16"/>
    </row>
    <row r="323">
      <c r="A323" s="26" t="s">
        <v>622</v>
      </c>
      <c r="B323" s="10" t="str">
        <f t="shared" si="1"/>
        <v>RNA-gill</v>
      </c>
      <c r="C323" s="10" t="str">
        <f t="shared" si="2"/>
        <v>BRN64G-F7</v>
      </c>
      <c r="D323" s="11">
        <f t="array" ref="D323">iferror(index('rna-muscle'!D:D,match(A323,'rna-muscle'!A:A,0)))</f>
        <v>64</v>
      </c>
      <c r="E323" s="10" t="str">
        <f t="shared" si="3"/>
        <v>BRN64G</v>
      </c>
      <c r="F323" s="11" t="str">
        <f t="array" ref="F323">iferror(index('rna-muscle'!F:F,match($A323,'rna-muscle'!$A:$A,0)))</f>
        <v>F</v>
      </c>
      <c r="G323" s="11">
        <f t="array" ref="G323">iferror(index('rna-muscle'!G:G,match($A323,'rna-muscle'!$A:$A,0)))</f>
        <v>7</v>
      </c>
      <c r="H323" s="11" t="str">
        <f t="shared" si="4"/>
        <v>F7</v>
      </c>
      <c r="I323" s="10" t="str">
        <f t="shared" si="5"/>
        <v>BRN64G-F7</v>
      </c>
      <c r="J323" s="16"/>
      <c r="K323" s="16" t="str">
        <f t="shared" si="6"/>
        <v>collected</v>
      </c>
      <c r="L323" s="16" t="str">
        <f t="shared" si="7"/>
        <v>N</v>
      </c>
      <c r="M323" s="16"/>
      <c r="N323" s="16"/>
    </row>
    <row r="324">
      <c r="A324" s="26" t="s">
        <v>624</v>
      </c>
      <c r="B324" s="10" t="str">
        <f t="shared" si="1"/>
        <v>RNA-gill</v>
      </c>
      <c r="C324" s="10" t="str">
        <f t="shared" si="2"/>
        <v>BRN64G-E7</v>
      </c>
      <c r="D324" s="11">
        <f t="array" ref="D324">iferror(index('rna-muscle'!D:D,match(A324,'rna-muscle'!A:A,0)))</f>
        <v>64</v>
      </c>
      <c r="E324" s="10" t="str">
        <f t="shared" si="3"/>
        <v>BRN64G</v>
      </c>
      <c r="F324" s="11" t="str">
        <f t="array" ref="F324">iferror(index('rna-muscle'!F:F,match($A324,'rna-muscle'!$A:$A,0)))</f>
        <v>E</v>
      </c>
      <c r="G324" s="11">
        <f t="array" ref="G324">iferror(index('rna-muscle'!G:G,match($A324,'rna-muscle'!$A:$A,0)))</f>
        <v>7</v>
      </c>
      <c r="H324" s="11" t="str">
        <f t="shared" si="4"/>
        <v>E7</v>
      </c>
      <c r="I324" s="10" t="str">
        <f t="shared" si="5"/>
        <v>BRN64G-E7</v>
      </c>
      <c r="J324" s="16"/>
      <c r="K324" s="16" t="str">
        <f t="shared" si="6"/>
        <v>collected</v>
      </c>
      <c r="L324" s="16" t="str">
        <f t="shared" si="7"/>
        <v>N</v>
      </c>
      <c r="M324" s="16"/>
      <c r="N324" s="16"/>
    </row>
    <row r="325">
      <c r="A325" s="26" t="s">
        <v>626</v>
      </c>
      <c r="B325" s="10" t="str">
        <f t="shared" si="1"/>
        <v>RNA-gill</v>
      </c>
      <c r="C325" s="10" t="str">
        <f t="shared" si="2"/>
        <v>BRN64G-D7</v>
      </c>
      <c r="D325" s="11">
        <f t="array" ref="D325">iferror(index('rna-muscle'!D:D,match(A325,'rna-muscle'!A:A,0)))</f>
        <v>64</v>
      </c>
      <c r="E325" s="10" t="str">
        <f t="shared" si="3"/>
        <v>BRN64G</v>
      </c>
      <c r="F325" s="11" t="str">
        <f t="array" ref="F325">iferror(index('rna-muscle'!F:F,match($A325,'rna-muscle'!$A:$A,0)))</f>
        <v>D</v>
      </c>
      <c r="G325" s="11">
        <f t="array" ref="G325">iferror(index('rna-muscle'!G:G,match($A325,'rna-muscle'!$A:$A,0)))</f>
        <v>7</v>
      </c>
      <c r="H325" s="11" t="str">
        <f t="shared" si="4"/>
        <v>D7</v>
      </c>
      <c r="I325" s="10" t="str">
        <f t="shared" si="5"/>
        <v>BRN64G-D7</v>
      </c>
      <c r="J325" s="16"/>
      <c r="K325" s="16" t="str">
        <f t="shared" si="6"/>
        <v>collected</v>
      </c>
      <c r="L325" s="16" t="str">
        <f t="shared" si="7"/>
        <v>N</v>
      </c>
      <c r="M325" s="16"/>
      <c r="N325" s="16"/>
    </row>
    <row r="326">
      <c r="A326" s="26" t="s">
        <v>627</v>
      </c>
      <c r="B326" s="10" t="str">
        <f t="shared" si="1"/>
        <v>RNA-gill</v>
      </c>
      <c r="C326" s="10" t="str">
        <f t="shared" si="2"/>
        <v>BRN64G-C7</v>
      </c>
      <c r="D326" s="11">
        <f t="array" ref="D326">iferror(index('rna-muscle'!D:D,match(A326,'rna-muscle'!A:A,0)))</f>
        <v>64</v>
      </c>
      <c r="E326" s="10" t="str">
        <f t="shared" si="3"/>
        <v>BRN64G</v>
      </c>
      <c r="F326" s="11" t="str">
        <f t="array" ref="F326">iferror(index('rna-muscle'!F:F,match($A326,'rna-muscle'!$A:$A,0)))</f>
        <v>C</v>
      </c>
      <c r="G326" s="11">
        <f t="array" ref="G326">iferror(index('rna-muscle'!G:G,match($A326,'rna-muscle'!$A:$A,0)))</f>
        <v>7</v>
      </c>
      <c r="H326" s="11" t="str">
        <f t="shared" si="4"/>
        <v>C7</v>
      </c>
      <c r="I326" s="10" t="str">
        <f t="shared" si="5"/>
        <v>BRN64G-C7</v>
      </c>
      <c r="J326" s="16"/>
      <c r="K326" s="16" t="str">
        <f t="shared" si="6"/>
        <v>collected</v>
      </c>
      <c r="L326" s="16" t="str">
        <f t="shared" si="7"/>
        <v>N</v>
      </c>
      <c r="M326" s="16"/>
      <c r="N326" s="16"/>
    </row>
    <row r="327">
      <c r="A327" s="26" t="s">
        <v>628</v>
      </c>
      <c r="B327" s="10" t="str">
        <f t="shared" si="1"/>
        <v>RNA-gill</v>
      </c>
      <c r="C327" s="10" t="str">
        <f t="shared" si="2"/>
        <v>BRN64G-B7</v>
      </c>
      <c r="D327" s="11">
        <f t="array" ref="D327">iferror(index('rna-muscle'!D:D,match(A327,'rna-muscle'!A:A,0)))</f>
        <v>64</v>
      </c>
      <c r="E327" s="10" t="str">
        <f t="shared" si="3"/>
        <v>BRN64G</v>
      </c>
      <c r="F327" s="11" t="str">
        <f t="array" ref="F327">iferror(index('rna-muscle'!F:F,match($A327,'rna-muscle'!$A:$A,0)))</f>
        <v>B</v>
      </c>
      <c r="G327" s="11">
        <f t="array" ref="G327">iferror(index('rna-muscle'!G:G,match($A327,'rna-muscle'!$A:$A,0)))</f>
        <v>7</v>
      </c>
      <c r="H327" s="11" t="str">
        <f t="shared" si="4"/>
        <v>B7</v>
      </c>
      <c r="I327" s="10" t="str">
        <f t="shared" si="5"/>
        <v>BRN64G-B7</v>
      </c>
      <c r="J327" s="16"/>
      <c r="K327" s="16" t="str">
        <f t="shared" si="6"/>
        <v>collected</v>
      </c>
      <c r="L327" s="16" t="str">
        <f t="shared" si="7"/>
        <v>N</v>
      </c>
      <c r="M327" s="16"/>
      <c r="N327" s="16"/>
    </row>
    <row r="328">
      <c r="A328" s="26" t="s">
        <v>632</v>
      </c>
      <c r="B328" s="10" t="str">
        <f t="shared" si="1"/>
        <v>RNA-gill</v>
      </c>
      <c r="C328" s="10" t="str">
        <f t="shared" si="2"/>
        <v>BRN64G-A7</v>
      </c>
      <c r="D328" s="11">
        <f t="array" ref="D328">iferror(index('rna-muscle'!D:D,match(A328,'rna-muscle'!A:A,0)))</f>
        <v>64</v>
      </c>
      <c r="E328" s="10" t="str">
        <f t="shared" si="3"/>
        <v>BRN64G</v>
      </c>
      <c r="F328" s="11" t="str">
        <f t="array" ref="F328">iferror(index('rna-muscle'!F:F,match($A328,'rna-muscle'!$A:$A,0)))</f>
        <v>A</v>
      </c>
      <c r="G328" s="11">
        <f t="array" ref="G328">iferror(index('rna-muscle'!G:G,match($A328,'rna-muscle'!$A:$A,0)))</f>
        <v>7</v>
      </c>
      <c r="H328" s="11" t="str">
        <f t="shared" si="4"/>
        <v>A7</v>
      </c>
      <c r="I328" s="10" t="str">
        <f t="shared" si="5"/>
        <v>BRN64G-A7</v>
      </c>
      <c r="J328" s="6"/>
      <c r="K328" s="16" t="str">
        <f t="shared" si="6"/>
        <v>collected</v>
      </c>
      <c r="L328" s="16" t="str">
        <f t="shared" si="7"/>
        <v>N</v>
      </c>
      <c r="M328" s="16"/>
      <c r="N328" s="16"/>
    </row>
    <row r="329">
      <c r="A329" s="26" t="s">
        <v>633</v>
      </c>
      <c r="B329" s="10" t="str">
        <f t="shared" si="1"/>
        <v>RNA-gill</v>
      </c>
      <c r="C329" s="10" t="str">
        <f t="shared" si="2"/>
        <v>BRN64G-H9</v>
      </c>
      <c r="D329" s="11">
        <f t="array" ref="D329">iferror(index('rna-muscle'!D:D,match(A329,'rna-muscle'!A:A,0)))</f>
        <v>64</v>
      </c>
      <c r="E329" s="10" t="str">
        <f t="shared" si="3"/>
        <v>BRN64G</v>
      </c>
      <c r="F329" s="11" t="str">
        <f t="array" ref="F329">iferror(index('rna-muscle'!F:F,match($A329,'rna-muscle'!$A:$A,0)))</f>
        <v>H</v>
      </c>
      <c r="G329" s="11">
        <f t="array" ref="G329">iferror(index('rna-muscle'!G:G,match($A329,'rna-muscle'!$A:$A,0)))</f>
        <v>9</v>
      </c>
      <c r="H329" s="11" t="str">
        <f t="shared" si="4"/>
        <v>H9</v>
      </c>
      <c r="I329" s="10" t="str">
        <f t="shared" si="5"/>
        <v>BRN64G-H9</v>
      </c>
      <c r="J329" s="16"/>
      <c r="K329" s="16" t="str">
        <f t="shared" si="6"/>
        <v>collected</v>
      </c>
      <c r="L329" s="16" t="str">
        <f t="shared" si="7"/>
        <v>N</v>
      </c>
      <c r="M329" s="16"/>
      <c r="N329" s="16"/>
    </row>
    <row r="330">
      <c r="A330" s="26" t="s">
        <v>634</v>
      </c>
      <c r="B330" s="10" t="str">
        <f t="shared" si="1"/>
        <v>RNA-gill</v>
      </c>
      <c r="C330" s="10" t="str">
        <f t="shared" si="2"/>
        <v>BRN64G-G9</v>
      </c>
      <c r="D330" s="11">
        <f t="array" ref="D330">iferror(index('rna-muscle'!D:D,match(A330,'rna-muscle'!A:A,0)))</f>
        <v>64</v>
      </c>
      <c r="E330" s="10" t="str">
        <f t="shared" si="3"/>
        <v>BRN64G</v>
      </c>
      <c r="F330" s="11" t="str">
        <f t="array" ref="F330">iferror(index('rna-muscle'!F:F,match($A330,'rna-muscle'!$A:$A,0)))</f>
        <v>G</v>
      </c>
      <c r="G330" s="11">
        <f t="array" ref="G330">iferror(index('rna-muscle'!G:G,match($A330,'rna-muscle'!$A:$A,0)))</f>
        <v>9</v>
      </c>
      <c r="H330" s="11" t="str">
        <f t="shared" si="4"/>
        <v>G9</v>
      </c>
      <c r="I330" s="10" t="str">
        <f t="shared" si="5"/>
        <v>BRN64G-G9</v>
      </c>
      <c r="J330" s="16"/>
      <c r="K330" s="16" t="str">
        <f t="shared" si="6"/>
        <v>collected</v>
      </c>
      <c r="L330" s="16" t="str">
        <f t="shared" si="7"/>
        <v>N</v>
      </c>
      <c r="M330" s="16"/>
      <c r="N330" s="16"/>
    </row>
    <row r="331">
      <c r="A331" s="44" t="s">
        <v>635</v>
      </c>
      <c r="B331" s="10" t="str">
        <f t="shared" si="1"/>
        <v>RNA-gill</v>
      </c>
      <c r="C331" s="10" t="str">
        <f t="shared" si="2"/>
        <v>BRN62G-H2</v>
      </c>
      <c r="D331" s="11">
        <f t="array" ref="D331">iferror(index('rna-muscle'!D:D,match(A331,'rna-muscle'!A:A,0)))</f>
        <v>62</v>
      </c>
      <c r="E331" s="10" t="str">
        <f t="shared" si="3"/>
        <v>BRN62G</v>
      </c>
      <c r="F331" s="11" t="str">
        <f t="array" ref="F331">iferror(index('rna-muscle'!F:F,match($A331,'rna-muscle'!$A:$A,0)))</f>
        <v>H</v>
      </c>
      <c r="G331" s="11">
        <f t="array" ref="G331">iferror(index('rna-muscle'!G:G,match($A331,'rna-muscle'!$A:$A,0)))</f>
        <v>2</v>
      </c>
      <c r="H331" s="11" t="str">
        <f t="shared" si="4"/>
        <v>H2</v>
      </c>
      <c r="I331" s="10" t="str">
        <f t="shared" si="5"/>
        <v>BRN62G-H2</v>
      </c>
      <c r="J331" s="16"/>
      <c r="K331" s="16" t="str">
        <f t="shared" si="6"/>
        <v>collected</v>
      </c>
      <c r="L331" s="16" t="str">
        <f t="shared" si="7"/>
        <v>N</v>
      </c>
      <c r="M331" s="16"/>
      <c r="N331" s="16"/>
    </row>
    <row r="332">
      <c r="A332" s="44" t="s">
        <v>637</v>
      </c>
      <c r="B332" s="10" t="str">
        <f t="shared" si="1"/>
        <v>RNA-gill</v>
      </c>
      <c r="C332" s="10" t="str">
        <f t="shared" si="2"/>
        <v>BRN62G-G2</v>
      </c>
      <c r="D332" s="11">
        <f t="array" ref="D332">iferror(index('rna-muscle'!D:D,match(A332,'rna-muscle'!A:A,0)))</f>
        <v>62</v>
      </c>
      <c r="E332" s="10" t="str">
        <f t="shared" si="3"/>
        <v>BRN62G</v>
      </c>
      <c r="F332" s="11" t="str">
        <f t="array" ref="F332">iferror(index('rna-muscle'!F:F,match($A332,'rna-muscle'!$A:$A,0)))</f>
        <v>G</v>
      </c>
      <c r="G332" s="11">
        <f t="array" ref="G332">iferror(index('rna-muscle'!G:G,match($A332,'rna-muscle'!$A:$A,0)))</f>
        <v>2</v>
      </c>
      <c r="H332" s="11" t="str">
        <f t="shared" si="4"/>
        <v>G2</v>
      </c>
      <c r="I332" s="10" t="str">
        <f t="shared" si="5"/>
        <v>BRN62G-G2</v>
      </c>
      <c r="J332" s="16"/>
      <c r="K332" s="16" t="str">
        <f t="shared" si="6"/>
        <v>collected</v>
      </c>
      <c r="L332" s="16" t="str">
        <f t="shared" si="7"/>
        <v>N</v>
      </c>
      <c r="M332" s="16"/>
      <c r="N332" s="16"/>
    </row>
    <row r="333">
      <c r="A333" s="40" t="s">
        <v>640</v>
      </c>
      <c r="B333" s="10" t="str">
        <f t="shared" si="1"/>
        <v>RNA-gill</v>
      </c>
      <c r="C333" s="10" t="str">
        <f t="shared" si="2"/>
        <v>BRN62G-F2</v>
      </c>
      <c r="D333" s="11">
        <f t="array" ref="D333">iferror(index('rna-muscle'!D:D,match(A333,'rna-muscle'!A:A,0)))</f>
        <v>62</v>
      </c>
      <c r="E333" s="10" t="str">
        <f t="shared" si="3"/>
        <v>BRN62G</v>
      </c>
      <c r="F333" s="11" t="str">
        <f t="array" ref="F333">iferror(index('rna-muscle'!F:F,match($A333,'rna-muscle'!$A:$A,0)))</f>
        <v>F</v>
      </c>
      <c r="G333" s="11">
        <f t="array" ref="G333">iferror(index('rna-muscle'!G:G,match($A333,'rna-muscle'!$A:$A,0)))</f>
        <v>2</v>
      </c>
      <c r="H333" s="11" t="str">
        <f t="shared" si="4"/>
        <v>F2</v>
      </c>
      <c r="I333" s="10" t="str">
        <f t="shared" si="5"/>
        <v>BRN62G-F2</v>
      </c>
      <c r="J333" s="6"/>
      <c r="K333" s="16" t="str">
        <f t="shared" si="6"/>
        <v>collected</v>
      </c>
      <c r="L333" s="16" t="str">
        <f t="shared" si="7"/>
        <v>N</v>
      </c>
      <c r="M333" s="16"/>
      <c r="N333" s="16"/>
    </row>
    <row r="334">
      <c r="A334" s="40" t="s">
        <v>642</v>
      </c>
      <c r="B334" s="10" t="str">
        <f t="shared" si="1"/>
        <v>RNA-gill</v>
      </c>
      <c r="C334" s="10" t="str">
        <f t="shared" si="2"/>
        <v>BRN62G-E2</v>
      </c>
      <c r="D334" s="11">
        <f t="array" ref="D334">iferror(index('rna-muscle'!D:D,match(A334,'rna-muscle'!A:A,0)))</f>
        <v>62</v>
      </c>
      <c r="E334" s="10" t="str">
        <f t="shared" si="3"/>
        <v>BRN62G</v>
      </c>
      <c r="F334" s="11" t="str">
        <f t="array" ref="F334">iferror(index('rna-muscle'!F:F,match($A334,'rna-muscle'!$A:$A,0)))</f>
        <v>E</v>
      </c>
      <c r="G334" s="11">
        <f t="array" ref="G334">iferror(index('rna-muscle'!G:G,match($A334,'rna-muscle'!$A:$A,0)))</f>
        <v>2</v>
      </c>
      <c r="H334" s="11" t="str">
        <f t="shared" si="4"/>
        <v>E2</v>
      </c>
      <c r="I334" s="10" t="str">
        <f t="shared" si="5"/>
        <v>BRN62G-E2</v>
      </c>
      <c r="J334" s="16"/>
      <c r="K334" s="16" t="str">
        <f t="shared" si="6"/>
        <v>collected</v>
      </c>
      <c r="L334" s="16" t="str">
        <f t="shared" si="7"/>
        <v>N</v>
      </c>
      <c r="M334" s="16"/>
      <c r="N334" s="16"/>
    </row>
    <row r="335">
      <c r="A335" s="40" t="s">
        <v>643</v>
      </c>
      <c r="B335" s="10" t="str">
        <f t="shared" si="1"/>
        <v>RNA-gill</v>
      </c>
      <c r="C335" s="10" t="str">
        <f t="shared" si="2"/>
        <v>BRN62G-D2</v>
      </c>
      <c r="D335" s="11">
        <f t="array" ref="D335">iferror(index('rna-muscle'!D:D,match(A335,'rna-muscle'!A:A,0)))</f>
        <v>62</v>
      </c>
      <c r="E335" s="10" t="str">
        <f t="shared" si="3"/>
        <v>BRN62G</v>
      </c>
      <c r="F335" s="11" t="str">
        <f t="array" ref="F335">iferror(index('rna-muscle'!F:F,match($A335,'rna-muscle'!$A:$A,0)))</f>
        <v>D</v>
      </c>
      <c r="G335" s="11">
        <f t="array" ref="G335">iferror(index('rna-muscle'!G:G,match($A335,'rna-muscle'!$A:$A,0)))</f>
        <v>2</v>
      </c>
      <c r="H335" s="11" t="str">
        <f t="shared" si="4"/>
        <v>D2</v>
      </c>
      <c r="I335" s="10" t="str">
        <f t="shared" si="5"/>
        <v>BRN62G-D2</v>
      </c>
      <c r="J335" s="6"/>
      <c r="K335" s="16" t="str">
        <f t="shared" si="6"/>
        <v>collected</v>
      </c>
      <c r="L335" s="16" t="str">
        <f t="shared" si="7"/>
        <v>N</v>
      </c>
      <c r="M335" s="16"/>
      <c r="N335" s="16"/>
    </row>
    <row r="336">
      <c r="A336" s="40" t="s">
        <v>644</v>
      </c>
      <c r="B336" s="10" t="str">
        <f t="shared" si="1"/>
        <v>RNA-gill</v>
      </c>
      <c r="C336" s="10" t="str">
        <f t="shared" si="2"/>
        <v>BRN62G-C2</v>
      </c>
      <c r="D336" s="11">
        <f t="array" ref="D336">iferror(index('rna-muscle'!D:D,match(A336,'rna-muscle'!A:A,0)))</f>
        <v>62</v>
      </c>
      <c r="E336" s="10" t="str">
        <f t="shared" si="3"/>
        <v>BRN62G</v>
      </c>
      <c r="F336" s="11" t="str">
        <f t="array" ref="F336">iferror(index('rna-muscle'!F:F,match($A336,'rna-muscle'!$A:$A,0)))</f>
        <v>C</v>
      </c>
      <c r="G336" s="11">
        <f t="array" ref="G336">iferror(index('rna-muscle'!G:G,match($A336,'rna-muscle'!$A:$A,0)))</f>
        <v>2</v>
      </c>
      <c r="H336" s="11" t="str">
        <f t="shared" si="4"/>
        <v>C2</v>
      </c>
      <c r="I336" s="10" t="str">
        <f t="shared" si="5"/>
        <v>BRN62G-C2</v>
      </c>
      <c r="J336" s="16"/>
      <c r="K336" s="16" t="str">
        <f t="shared" si="6"/>
        <v>collected</v>
      </c>
      <c r="L336" s="16" t="str">
        <f t="shared" si="7"/>
        <v>N</v>
      </c>
      <c r="M336" s="16"/>
      <c r="N336" s="16"/>
    </row>
    <row r="337">
      <c r="A337" s="40" t="s">
        <v>647</v>
      </c>
      <c r="B337" s="10" t="str">
        <f t="shared" si="1"/>
        <v>RNA-gill</v>
      </c>
      <c r="C337" s="10" t="str">
        <f t="shared" si="2"/>
        <v>BRN62G-B2</v>
      </c>
      <c r="D337" s="11">
        <f t="array" ref="D337">iferror(index('rna-muscle'!D:D,match(A337,'rna-muscle'!A:A,0)))</f>
        <v>62</v>
      </c>
      <c r="E337" s="10" t="str">
        <f t="shared" si="3"/>
        <v>BRN62G</v>
      </c>
      <c r="F337" s="11" t="str">
        <f t="array" ref="F337">iferror(index('rna-muscle'!F:F,match($A337,'rna-muscle'!$A:$A,0)))</f>
        <v>B</v>
      </c>
      <c r="G337" s="11">
        <f t="array" ref="G337">iferror(index('rna-muscle'!G:G,match($A337,'rna-muscle'!$A:$A,0)))</f>
        <v>2</v>
      </c>
      <c r="H337" s="11" t="str">
        <f t="shared" si="4"/>
        <v>B2</v>
      </c>
      <c r="I337" s="10" t="str">
        <f t="shared" si="5"/>
        <v>BRN62G-B2</v>
      </c>
      <c r="J337" s="16"/>
      <c r="K337" s="16" t="str">
        <f t="shared" si="6"/>
        <v>collected</v>
      </c>
      <c r="L337" s="16" t="str">
        <f t="shared" si="7"/>
        <v>N</v>
      </c>
      <c r="M337" s="16"/>
      <c r="N337" s="16"/>
    </row>
    <row r="338">
      <c r="A338" s="40" t="s">
        <v>648</v>
      </c>
      <c r="B338" s="10" t="str">
        <f t="shared" si="1"/>
        <v>RNA-gill</v>
      </c>
      <c r="C338" s="10" t="str">
        <f t="shared" si="2"/>
        <v>BRN62G-A2</v>
      </c>
      <c r="D338" s="11">
        <f t="array" ref="D338">iferror(index('rna-muscle'!D:D,match(A338,'rna-muscle'!A:A,0)))</f>
        <v>62</v>
      </c>
      <c r="E338" s="10" t="str">
        <f t="shared" si="3"/>
        <v>BRN62G</v>
      </c>
      <c r="F338" s="11" t="str">
        <f t="array" ref="F338">iferror(index('rna-muscle'!F:F,match($A338,'rna-muscle'!$A:$A,0)))</f>
        <v>A</v>
      </c>
      <c r="G338" s="11">
        <f t="array" ref="G338">iferror(index('rna-muscle'!G:G,match($A338,'rna-muscle'!$A:$A,0)))</f>
        <v>2</v>
      </c>
      <c r="H338" s="11" t="str">
        <f t="shared" si="4"/>
        <v>A2</v>
      </c>
      <c r="I338" s="10" t="str">
        <f t="shared" si="5"/>
        <v>BRN62G-A2</v>
      </c>
      <c r="J338" s="16"/>
      <c r="K338" s="16" t="str">
        <f t="shared" si="6"/>
        <v>collected</v>
      </c>
      <c r="L338" s="16" t="str">
        <f t="shared" si="7"/>
        <v>N</v>
      </c>
      <c r="M338" s="16"/>
      <c r="N338" s="16"/>
    </row>
    <row r="339">
      <c r="A339" s="40" t="s">
        <v>650</v>
      </c>
      <c r="B339" s="10" t="str">
        <f t="shared" si="1"/>
        <v>RNA-gill</v>
      </c>
      <c r="C339" s="10" t="str">
        <f t="shared" si="2"/>
        <v>BRN62G-H3</v>
      </c>
      <c r="D339" s="11">
        <f t="array" ref="D339">iferror(index('rna-muscle'!D:D,match(A339,'rna-muscle'!A:A,0)))</f>
        <v>62</v>
      </c>
      <c r="E339" s="10" t="str">
        <f t="shared" si="3"/>
        <v>BRN62G</v>
      </c>
      <c r="F339" s="11" t="str">
        <f t="array" ref="F339">iferror(index('rna-muscle'!F:F,match($A339,'rna-muscle'!$A:$A,0)))</f>
        <v>H</v>
      </c>
      <c r="G339" s="11">
        <f t="array" ref="G339">iferror(index('rna-muscle'!G:G,match($A339,'rna-muscle'!$A:$A,0)))</f>
        <v>3</v>
      </c>
      <c r="H339" s="11" t="str">
        <f t="shared" si="4"/>
        <v>H3</v>
      </c>
      <c r="I339" s="10" t="str">
        <f t="shared" si="5"/>
        <v>BRN62G-H3</v>
      </c>
      <c r="J339" s="16"/>
      <c r="K339" s="16" t="str">
        <f t="shared" si="6"/>
        <v>collected</v>
      </c>
      <c r="L339" s="16" t="str">
        <f t="shared" si="7"/>
        <v>N</v>
      </c>
      <c r="M339" s="16"/>
      <c r="N339" s="16"/>
    </row>
    <row r="340">
      <c r="A340" s="44" t="s">
        <v>651</v>
      </c>
      <c r="B340" s="10" t="str">
        <f t="shared" si="1"/>
        <v>RNA-gill</v>
      </c>
      <c r="C340" s="10" t="str">
        <f t="shared" si="2"/>
        <v>BRN62G-G3</v>
      </c>
      <c r="D340" s="11">
        <f t="array" ref="D340">iferror(index('rna-muscle'!D:D,match(A340,'rna-muscle'!A:A,0)))</f>
        <v>62</v>
      </c>
      <c r="E340" s="10" t="str">
        <f t="shared" si="3"/>
        <v>BRN62G</v>
      </c>
      <c r="F340" s="11" t="str">
        <f t="array" ref="F340">iferror(index('rna-muscle'!F:F,match($A340,'rna-muscle'!$A:$A,0)))</f>
        <v>G</v>
      </c>
      <c r="G340" s="11">
        <f t="array" ref="G340">iferror(index('rna-muscle'!G:G,match($A340,'rna-muscle'!$A:$A,0)))</f>
        <v>3</v>
      </c>
      <c r="H340" s="11" t="str">
        <f t="shared" si="4"/>
        <v>G3</v>
      </c>
      <c r="I340" s="10" t="str">
        <f t="shared" si="5"/>
        <v>BRN62G-G3</v>
      </c>
      <c r="J340" s="16"/>
      <c r="K340" s="16" t="str">
        <f t="shared" si="6"/>
        <v>collected</v>
      </c>
      <c r="L340" s="16" t="str">
        <f t="shared" si="7"/>
        <v>N</v>
      </c>
      <c r="M340" s="16"/>
      <c r="N340" s="16"/>
    </row>
    <row r="341">
      <c r="A341" s="26" t="s">
        <v>653</v>
      </c>
      <c r="B341" s="10" t="str">
        <f t="shared" si="1"/>
        <v>RNA-gill</v>
      </c>
      <c r="C341" s="10" t="str">
        <f t="shared" si="2"/>
        <v>BRN65G-C4</v>
      </c>
      <c r="D341" s="11">
        <f t="array" ref="D341">iferror(index('rna-muscle'!D:D,match(A341,'rna-muscle'!A:A,0)))</f>
        <v>65</v>
      </c>
      <c r="E341" s="10" t="str">
        <f t="shared" si="3"/>
        <v>BRN65G</v>
      </c>
      <c r="F341" s="11" t="str">
        <f t="array" ref="F341">iferror(index('rna-muscle'!F:F,match($A341,'rna-muscle'!$A:$A,0)))</f>
        <v>C</v>
      </c>
      <c r="G341" s="11">
        <f t="array" ref="G341">iferror(index('rna-muscle'!G:G,match($A341,'rna-muscle'!$A:$A,0)))</f>
        <v>4</v>
      </c>
      <c r="H341" s="11" t="str">
        <f t="shared" si="4"/>
        <v>C4</v>
      </c>
      <c r="I341" s="10" t="str">
        <f t="shared" si="5"/>
        <v>BRN65G-C4</v>
      </c>
      <c r="J341" s="16"/>
      <c r="K341" s="16" t="str">
        <f t="shared" si="6"/>
        <v>collected</v>
      </c>
      <c r="L341" s="16" t="str">
        <f t="shared" si="7"/>
        <v>N</v>
      </c>
      <c r="M341" s="16"/>
      <c r="N341" s="16"/>
    </row>
    <row r="342">
      <c r="A342" s="26" t="s">
        <v>656</v>
      </c>
      <c r="B342" s="10" t="str">
        <f t="shared" si="1"/>
        <v>RNA-gill</v>
      </c>
      <c r="C342" s="10" t="str">
        <f t="shared" si="2"/>
        <v>BRN65G-B4</v>
      </c>
      <c r="D342" s="11">
        <f t="array" ref="D342">iferror(index('rna-muscle'!D:D,match(A342,'rna-muscle'!A:A,0)))</f>
        <v>65</v>
      </c>
      <c r="E342" s="10" t="str">
        <f t="shared" si="3"/>
        <v>BRN65G</v>
      </c>
      <c r="F342" s="11" t="str">
        <f t="array" ref="F342">iferror(index('rna-muscle'!F:F,match($A342,'rna-muscle'!$A:$A,0)))</f>
        <v>B</v>
      </c>
      <c r="G342" s="11">
        <f t="array" ref="G342">iferror(index('rna-muscle'!G:G,match($A342,'rna-muscle'!$A:$A,0)))</f>
        <v>4</v>
      </c>
      <c r="H342" s="11" t="str">
        <f t="shared" si="4"/>
        <v>B4</v>
      </c>
      <c r="I342" s="10" t="str">
        <f t="shared" si="5"/>
        <v>BRN65G-B4</v>
      </c>
      <c r="J342" s="16"/>
      <c r="K342" s="16" t="str">
        <f t="shared" si="6"/>
        <v>collected</v>
      </c>
      <c r="L342" s="16" t="str">
        <f t="shared" si="7"/>
        <v>N</v>
      </c>
      <c r="M342" s="16"/>
      <c r="N342" s="16"/>
    </row>
    <row r="343">
      <c r="A343" s="26" t="s">
        <v>657</v>
      </c>
      <c r="B343" s="10" t="str">
        <f t="shared" si="1"/>
        <v>RNA-gill</v>
      </c>
      <c r="C343" s="10" t="str">
        <f t="shared" si="2"/>
        <v>BRN65G-A4</v>
      </c>
      <c r="D343" s="11">
        <f t="array" ref="D343">iferror(index('rna-muscle'!D:D,match(A343,'rna-muscle'!A:A,0)))</f>
        <v>65</v>
      </c>
      <c r="E343" s="10" t="str">
        <f t="shared" si="3"/>
        <v>BRN65G</v>
      </c>
      <c r="F343" s="11" t="str">
        <f t="array" ref="F343">iferror(index('rna-muscle'!F:F,match($A343,'rna-muscle'!$A:$A,0)))</f>
        <v>A</v>
      </c>
      <c r="G343" s="11">
        <f t="array" ref="G343">iferror(index('rna-muscle'!G:G,match($A343,'rna-muscle'!$A:$A,0)))</f>
        <v>4</v>
      </c>
      <c r="H343" s="11" t="str">
        <f t="shared" si="4"/>
        <v>A4</v>
      </c>
      <c r="I343" s="10" t="str">
        <f t="shared" si="5"/>
        <v>BRN65G-A4</v>
      </c>
      <c r="J343" s="16"/>
      <c r="K343" s="16" t="str">
        <f t="shared" si="6"/>
        <v>collected</v>
      </c>
      <c r="L343" s="16" t="str">
        <f t="shared" si="7"/>
        <v>N</v>
      </c>
      <c r="M343" s="16"/>
      <c r="N343" s="16"/>
    </row>
    <row r="344">
      <c r="A344" s="26" t="s">
        <v>658</v>
      </c>
      <c r="B344" s="10" t="str">
        <f t="shared" si="1"/>
        <v>RNA-gill</v>
      </c>
      <c r="C344" s="10" t="str">
        <f t="shared" si="2"/>
        <v>BRN65G-G6</v>
      </c>
      <c r="D344" s="11">
        <f t="array" ref="D344">iferror(index('rna-muscle'!D:D,match(A344,'rna-muscle'!A:A,0)))</f>
        <v>65</v>
      </c>
      <c r="E344" s="10" t="str">
        <f t="shared" si="3"/>
        <v>BRN65G</v>
      </c>
      <c r="F344" s="11" t="str">
        <f t="array" ref="F344">iferror(index('rna-muscle'!F:F,match($A344,'rna-muscle'!$A:$A,0)))</f>
        <v>G</v>
      </c>
      <c r="G344" s="11">
        <f t="array" ref="G344">iferror(index('rna-muscle'!G:G,match($A344,'rna-muscle'!$A:$A,0)))</f>
        <v>6</v>
      </c>
      <c r="H344" s="11" t="str">
        <f t="shared" si="4"/>
        <v>G6</v>
      </c>
      <c r="I344" s="10" t="str">
        <f t="shared" si="5"/>
        <v>BRN65G-G6</v>
      </c>
      <c r="J344" s="16"/>
      <c r="K344" s="16" t="str">
        <f t="shared" si="6"/>
        <v>collected</v>
      </c>
      <c r="L344" s="16" t="str">
        <f t="shared" si="7"/>
        <v>N</v>
      </c>
      <c r="M344" s="16"/>
      <c r="N344" s="16"/>
    </row>
    <row r="345">
      <c r="A345" s="26" t="s">
        <v>659</v>
      </c>
      <c r="B345" s="10" t="str">
        <f t="shared" si="1"/>
        <v>RNA-gill</v>
      </c>
      <c r="C345" s="10" t="str">
        <f t="shared" si="2"/>
        <v>BRN65G-F6</v>
      </c>
      <c r="D345" s="11">
        <f t="array" ref="D345">iferror(index('rna-muscle'!D:D,match(A345,'rna-muscle'!A:A,0)))</f>
        <v>65</v>
      </c>
      <c r="E345" s="10" t="str">
        <f t="shared" si="3"/>
        <v>BRN65G</v>
      </c>
      <c r="F345" s="11" t="str">
        <f t="array" ref="F345">iferror(index('rna-muscle'!F:F,match($A345,'rna-muscle'!$A:$A,0)))</f>
        <v>F</v>
      </c>
      <c r="G345" s="11">
        <f t="array" ref="G345">iferror(index('rna-muscle'!G:G,match($A345,'rna-muscle'!$A:$A,0)))</f>
        <v>6</v>
      </c>
      <c r="H345" s="11" t="str">
        <f t="shared" si="4"/>
        <v>F6</v>
      </c>
      <c r="I345" s="10" t="str">
        <f t="shared" si="5"/>
        <v>BRN65G-F6</v>
      </c>
      <c r="J345" s="16"/>
      <c r="K345" s="16" t="str">
        <f t="shared" si="6"/>
        <v>collected</v>
      </c>
      <c r="L345" s="16" t="str">
        <f t="shared" si="7"/>
        <v>N</v>
      </c>
      <c r="M345" s="16"/>
      <c r="N345" s="16"/>
    </row>
    <row r="346">
      <c r="A346" s="26" t="s">
        <v>661</v>
      </c>
      <c r="B346" s="10" t="str">
        <f t="shared" si="1"/>
        <v>RNA-gill</v>
      </c>
      <c r="C346" s="10" t="str">
        <f t="shared" si="2"/>
        <v>BRN65G-E6</v>
      </c>
      <c r="D346" s="11">
        <f t="array" ref="D346">iferror(index('rna-muscle'!D:D,match(A346,'rna-muscle'!A:A,0)))</f>
        <v>65</v>
      </c>
      <c r="E346" s="10" t="str">
        <f t="shared" si="3"/>
        <v>BRN65G</v>
      </c>
      <c r="F346" s="11" t="str">
        <f t="array" ref="F346">iferror(index('rna-muscle'!F:F,match($A346,'rna-muscle'!$A:$A,0)))</f>
        <v>E</v>
      </c>
      <c r="G346" s="11">
        <f t="array" ref="G346">iferror(index('rna-muscle'!G:G,match($A346,'rna-muscle'!$A:$A,0)))</f>
        <v>6</v>
      </c>
      <c r="H346" s="11" t="str">
        <f t="shared" si="4"/>
        <v>E6</v>
      </c>
      <c r="I346" s="10" t="str">
        <f t="shared" si="5"/>
        <v>BRN65G-E6</v>
      </c>
      <c r="J346" s="16"/>
      <c r="K346" s="16" t="str">
        <f t="shared" si="6"/>
        <v>collected</v>
      </c>
      <c r="L346" s="16" t="str">
        <f t="shared" si="7"/>
        <v>N</v>
      </c>
      <c r="M346" s="16"/>
      <c r="N346" s="16"/>
    </row>
    <row r="347">
      <c r="A347" s="25" t="s">
        <v>662</v>
      </c>
      <c r="B347" s="10" t="str">
        <f t="shared" si="1"/>
        <v>RNA-gill</v>
      </c>
      <c r="C347" s="10" t="str">
        <f t="shared" si="2"/>
        <v>BRN65G-D6</v>
      </c>
      <c r="D347" s="11">
        <f t="array" ref="D347">iferror(index('rna-muscle'!D:D,match(A347,'rna-muscle'!A:A,0)))</f>
        <v>65</v>
      </c>
      <c r="E347" s="10" t="str">
        <f t="shared" si="3"/>
        <v>BRN65G</v>
      </c>
      <c r="F347" s="11" t="str">
        <f t="array" ref="F347">iferror(index('rna-muscle'!F:F,match($A347,'rna-muscle'!$A:$A,0)))</f>
        <v>D</v>
      </c>
      <c r="G347" s="11">
        <f t="array" ref="G347">iferror(index('rna-muscle'!G:G,match($A347,'rna-muscle'!$A:$A,0)))</f>
        <v>6</v>
      </c>
      <c r="H347" s="11" t="str">
        <f t="shared" si="4"/>
        <v>D6</v>
      </c>
      <c r="I347" s="10" t="str">
        <f t="shared" si="5"/>
        <v>BRN65G-D6</v>
      </c>
      <c r="J347" s="16"/>
      <c r="K347" s="16" t="str">
        <f t="shared" si="6"/>
        <v>collected</v>
      </c>
      <c r="L347" s="16" t="str">
        <f t="shared" si="7"/>
        <v>N</v>
      </c>
      <c r="M347" s="16"/>
      <c r="N347" s="16"/>
    </row>
    <row r="348">
      <c r="A348" s="27" t="s">
        <v>664</v>
      </c>
      <c r="B348" s="10" t="str">
        <f t="shared" si="1"/>
        <v>RNA-gill</v>
      </c>
      <c r="C348" s="10" t="str">
        <f t="shared" si="2"/>
        <v>BRN65G-C6</v>
      </c>
      <c r="D348" s="11">
        <f t="array" ref="D348">iferror(index('rna-muscle'!D:D,match(A348,'rna-muscle'!A:A,0)))</f>
        <v>65</v>
      </c>
      <c r="E348" s="10" t="str">
        <f t="shared" si="3"/>
        <v>BRN65G</v>
      </c>
      <c r="F348" s="11" t="str">
        <f t="array" ref="F348">iferror(index('rna-muscle'!F:F,match($A348,'rna-muscle'!$A:$A,0)))</f>
        <v>C</v>
      </c>
      <c r="G348" s="11">
        <f t="array" ref="G348">iferror(index('rna-muscle'!G:G,match($A348,'rna-muscle'!$A:$A,0)))</f>
        <v>6</v>
      </c>
      <c r="H348" s="11" t="str">
        <f t="shared" si="4"/>
        <v>C6</v>
      </c>
      <c r="I348" s="10" t="str">
        <f t="shared" si="5"/>
        <v>BRN65G-C6</v>
      </c>
      <c r="J348" s="16"/>
      <c r="K348" s="16" t="str">
        <f t="shared" si="6"/>
        <v>collected</v>
      </c>
      <c r="L348" s="16" t="str">
        <f t="shared" si="7"/>
        <v>N</v>
      </c>
      <c r="M348" s="16"/>
      <c r="N348" s="16"/>
    </row>
    <row r="349">
      <c r="A349" s="27" t="s">
        <v>665</v>
      </c>
      <c r="B349" s="10" t="str">
        <f t="shared" si="1"/>
        <v>RNA-gill</v>
      </c>
      <c r="C349" s="10" t="str">
        <f t="shared" si="2"/>
        <v>BRN65G-B6</v>
      </c>
      <c r="D349" s="11">
        <f t="array" ref="D349">iferror(index('rna-muscle'!D:D,match(A349,'rna-muscle'!A:A,0)))</f>
        <v>65</v>
      </c>
      <c r="E349" s="10" t="str">
        <f t="shared" si="3"/>
        <v>BRN65G</v>
      </c>
      <c r="F349" s="11" t="str">
        <f t="array" ref="F349">iferror(index('rna-muscle'!F:F,match($A349,'rna-muscle'!$A:$A,0)))</f>
        <v>B</v>
      </c>
      <c r="G349" s="11">
        <f t="array" ref="G349">iferror(index('rna-muscle'!G:G,match($A349,'rna-muscle'!$A:$A,0)))</f>
        <v>6</v>
      </c>
      <c r="H349" s="11" t="str">
        <f t="shared" si="4"/>
        <v>B6</v>
      </c>
      <c r="I349" s="10" t="str">
        <f t="shared" si="5"/>
        <v>BRN65G-B6</v>
      </c>
      <c r="J349" s="16"/>
      <c r="K349" s="16" t="str">
        <f t="shared" si="6"/>
        <v>collected</v>
      </c>
      <c r="L349" s="16" t="str">
        <f t="shared" si="7"/>
        <v>N</v>
      </c>
      <c r="M349" s="16"/>
      <c r="N349" s="16"/>
    </row>
    <row r="350">
      <c r="A350" s="27" t="s">
        <v>666</v>
      </c>
      <c r="B350" s="10" t="str">
        <f t="shared" si="1"/>
        <v>RNA-gill</v>
      </c>
      <c r="C350" s="10" t="str">
        <f t="shared" si="2"/>
        <v>BRN65G-A6</v>
      </c>
      <c r="D350" s="11">
        <f t="array" ref="D350">iferror(index('rna-muscle'!D:D,match(A350,'rna-muscle'!A:A,0)))</f>
        <v>65</v>
      </c>
      <c r="E350" s="10" t="str">
        <f t="shared" si="3"/>
        <v>BRN65G</v>
      </c>
      <c r="F350" s="11" t="str">
        <f t="array" ref="F350">iferror(index('rna-muscle'!F:F,match($A350,'rna-muscle'!$A:$A,0)))</f>
        <v>A</v>
      </c>
      <c r="G350" s="11">
        <f t="array" ref="G350">iferror(index('rna-muscle'!G:G,match($A350,'rna-muscle'!$A:$A,0)))</f>
        <v>6</v>
      </c>
      <c r="H350" s="11" t="str">
        <f t="shared" si="4"/>
        <v>A6</v>
      </c>
      <c r="I350" s="10" t="str">
        <f t="shared" si="5"/>
        <v>BRN65G-A6</v>
      </c>
      <c r="J350" s="16"/>
      <c r="K350" s="16" t="str">
        <f t="shared" si="6"/>
        <v>collected</v>
      </c>
      <c r="L350" s="16" t="str">
        <f t="shared" si="7"/>
        <v>N</v>
      </c>
      <c r="M350" s="16"/>
      <c r="N350" s="16"/>
    </row>
    <row r="351">
      <c r="A351" s="27" t="s">
        <v>668</v>
      </c>
      <c r="B351" s="10" t="str">
        <f t="shared" si="1"/>
        <v>RNA-gill</v>
      </c>
      <c r="C351" s="10" t="str">
        <f t="shared" si="2"/>
        <v>BRN64G-H8</v>
      </c>
      <c r="D351" s="11">
        <f t="array" ref="D351">iferror(index('rna-muscle'!D:D,match(A351,'rna-muscle'!A:A,0)))</f>
        <v>64</v>
      </c>
      <c r="E351" s="10" t="str">
        <f t="shared" si="3"/>
        <v>BRN64G</v>
      </c>
      <c r="F351" s="11" t="str">
        <f t="array" ref="F351">iferror(index('rna-muscle'!F:F,match($A351,'rna-muscle'!$A:$A,0)))</f>
        <v>H</v>
      </c>
      <c r="G351" s="11">
        <f t="array" ref="G351">iferror(index('rna-muscle'!G:G,match($A351,'rna-muscle'!$A:$A,0)))</f>
        <v>8</v>
      </c>
      <c r="H351" s="11" t="str">
        <f t="shared" si="4"/>
        <v>H8</v>
      </c>
      <c r="I351" s="10" t="str">
        <f t="shared" si="5"/>
        <v>BRN64G-H8</v>
      </c>
      <c r="J351" s="16"/>
      <c r="K351" s="16" t="str">
        <f t="shared" si="6"/>
        <v>collected</v>
      </c>
      <c r="L351" s="16" t="str">
        <f t="shared" si="7"/>
        <v>N</v>
      </c>
      <c r="M351" s="16"/>
      <c r="N351" s="16"/>
    </row>
    <row r="352">
      <c r="A352" s="27" t="s">
        <v>670</v>
      </c>
      <c r="B352" s="10" t="str">
        <f t="shared" si="1"/>
        <v>RNA-gill</v>
      </c>
      <c r="C352" s="10" t="str">
        <f t="shared" si="2"/>
        <v>BRN64G-G8</v>
      </c>
      <c r="D352" s="11">
        <f t="array" ref="D352">iferror(index('rna-muscle'!D:D,match(A352,'rna-muscle'!A:A,0)))</f>
        <v>64</v>
      </c>
      <c r="E352" s="10" t="str">
        <f t="shared" si="3"/>
        <v>BRN64G</v>
      </c>
      <c r="F352" s="11" t="str">
        <f t="array" ref="F352">iferror(index('rna-muscle'!F:F,match($A352,'rna-muscle'!$A:$A,0)))</f>
        <v>G</v>
      </c>
      <c r="G352" s="11">
        <f t="array" ref="G352">iferror(index('rna-muscle'!G:G,match($A352,'rna-muscle'!$A:$A,0)))</f>
        <v>8</v>
      </c>
      <c r="H352" s="11" t="str">
        <f t="shared" si="4"/>
        <v>G8</v>
      </c>
      <c r="I352" s="10" t="str">
        <f t="shared" si="5"/>
        <v>BRN64G-G8</v>
      </c>
      <c r="J352" s="16"/>
      <c r="K352" s="16" t="str">
        <f t="shared" si="6"/>
        <v>collected</v>
      </c>
      <c r="L352" s="16" t="str">
        <f t="shared" si="7"/>
        <v>N</v>
      </c>
      <c r="M352" s="16"/>
      <c r="N352" s="16"/>
    </row>
    <row r="353">
      <c r="A353" s="27" t="s">
        <v>671</v>
      </c>
      <c r="B353" s="10" t="str">
        <f t="shared" si="1"/>
        <v>RNA-gill</v>
      </c>
      <c r="C353" s="10" t="str">
        <f t="shared" si="2"/>
        <v>BRN64G-F8</v>
      </c>
      <c r="D353" s="11">
        <f t="array" ref="D353">iferror(index('rna-muscle'!D:D,match(A353,'rna-muscle'!A:A,0)))</f>
        <v>64</v>
      </c>
      <c r="E353" s="10" t="str">
        <f t="shared" si="3"/>
        <v>BRN64G</v>
      </c>
      <c r="F353" s="11" t="str">
        <f t="array" ref="F353">iferror(index('rna-muscle'!F:F,match($A353,'rna-muscle'!$A:$A,0)))</f>
        <v>F</v>
      </c>
      <c r="G353" s="11">
        <f t="array" ref="G353">iferror(index('rna-muscle'!G:G,match($A353,'rna-muscle'!$A:$A,0)))</f>
        <v>8</v>
      </c>
      <c r="H353" s="11" t="str">
        <f t="shared" si="4"/>
        <v>F8</v>
      </c>
      <c r="I353" s="10" t="str">
        <f t="shared" si="5"/>
        <v>BRN64G-F8</v>
      </c>
      <c r="J353" s="6"/>
      <c r="K353" s="16" t="str">
        <f t="shared" si="6"/>
        <v>collected</v>
      </c>
      <c r="L353" s="16" t="str">
        <f t="shared" si="7"/>
        <v>N</v>
      </c>
      <c r="M353" s="16"/>
      <c r="N353" s="16"/>
    </row>
    <row r="354">
      <c r="A354" s="27" t="s">
        <v>674</v>
      </c>
      <c r="B354" s="10" t="str">
        <f t="shared" si="1"/>
        <v>RNA-gill</v>
      </c>
      <c r="C354" s="10" t="str">
        <f t="shared" si="2"/>
        <v>BRN64G-E8</v>
      </c>
      <c r="D354" s="11">
        <f t="array" ref="D354">iferror(index('rna-muscle'!D:D,match(A354,'rna-muscle'!A:A,0)))</f>
        <v>64</v>
      </c>
      <c r="E354" s="10" t="str">
        <f t="shared" si="3"/>
        <v>BRN64G</v>
      </c>
      <c r="F354" s="11" t="str">
        <f t="array" ref="F354">iferror(index('rna-muscle'!F:F,match($A354,'rna-muscle'!$A:$A,0)))</f>
        <v>E</v>
      </c>
      <c r="G354" s="11">
        <f t="array" ref="G354">iferror(index('rna-muscle'!G:G,match($A354,'rna-muscle'!$A:$A,0)))</f>
        <v>8</v>
      </c>
      <c r="H354" s="11" t="str">
        <f t="shared" si="4"/>
        <v>E8</v>
      </c>
      <c r="I354" s="10" t="str">
        <f t="shared" si="5"/>
        <v>BRN64G-E8</v>
      </c>
      <c r="J354" s="16"/>
      <c r="K354" s="16" t="str">
        <f t="shared" si="6"/>
        <v>collected</v>
      </c>
      <c r="L354" s="16" t="str">
        <f t="shared" si="7"/>
        <v>N</v>
      </c>
      <c r="M354" s="16"/>
      <c r="N354" s="16"/>
    </row>
    <row r="355">
      <c r="A355" s="6" t="s">
        <v>676</v>
      </c>
      <c r="B355" s="10" t="str">
        <f t="shared" si="1"/>
        <v>RNA-gill</v>
      </c>
      <c r="C355" s="10" t="str">
        <f t="shared" si="2"/>
        <v>BRN64G-D8</v>
      </c>
      <c r="D355" s="11">
        <f t="array" ref="D355">iferror(index('rna-muscle'!D:D,match(A355,'rna-muscle'!A:A,0)))</f>
        <v>64</v>
      </c>
      <c r="E355" s="10" t="str">
        <f t="shared" si="3"/>
        <v>BRN64G</v>
      </c>
      <c r="F355" s="11" t="str">
        <f t="array" ref="F355">iferror(index('rna-muscle'!F:F,match($A355,'rna-muscle'!$A:$A,0)))</f>
        <v>D</v>
      </c>
      <c r="G355" s="11">
        <f t="array" ref="G355">iferror(index('rna-muscle'!G:G,match($A355,'rna-muscle'!$A:$A,0)))</f>
        <v>8</v>
      </c>
      <c r="H355" s="11" t="str">
        <f t="shared" si="4"/>
        <v>D8</v>
      </c>
      <c r="I355" s="10" t="str">
        <f t="shared" si="5"/>
        <v>BRN64G-D8</v>
      </c>
      <c r="J355" s="16"/>
      <c r="K355" s="16" t="str">
        <f t="shared" si="6"/>
        <v>collected</v>
      </c>
      <c r="L355" s="16" t="str">
        <f t="shared" si="7"/>
        <v>N</v>
      </c>
      <c r="M355" s="16"/>
      <c r="N355" s="16"/>
    </row>
    <row r="356">
      <c r="A356" s="27" t="s">
        <v>677</v>
      </c>
      <c r="B356" s="10" t="str">
        <f t="shared" si="1"/>
        <v>RNA-gill</v>
      </c>
      <c r="C356" s="10" t="str">
        <f t="shared" si="2"/>
        <v>BRN64G-C8</v>
      </c>
      <c r="D356" s="11">
        <f t="array" ref="D356">iferror(index('rna-muscle'!D:D,match(A356,'rna-muscle'!A:A,0)))</f>
        <v>64</v>
      </c>
      <c r="E356" s="10" t="str">
        <f t="shared" si="3"/>
        <v>BRN64G</v>
      </c>
      <c r="F356" s="11" t="str">
        <f t="array" ref="F356">iferror(index('rna-muscle'!F:F,match($A356,'rna-muscle'!$A:$A,0)))</f>
        <v>C</v>
      </c>
      <c r="G356" s="11">
        <f t="array" ref="G356">iferror(index('rna-muscle'!G:G,match($A356,'rna-muscle'!$A:$A,0)))</f>
        <v>8</v>
      </c>
      <c r="H356" s="11" t="str">
        <f t="shared" si="4"/>
        <v>C8</v>
      </c>
      <c r="I356" s="10" t="str">
        <f t="shared" si="5"/>
        <v>BRN64G-C8</v>
      </c>
      <c r="J356" s="16"/>
      <c r="K356" s="16" t="str">
        <f t="shared" si="6"/>
        <v>collected</v>
      </c>
      <c r="L356" s="16" t="str">
        <f t="shared" si="7"/>
        <v>N</v>
      </c>
      <c r="M356" s="16"/>
      <c r="N356" s="16"/>
    </row>
    <row r="357">
      <c r="A357" s="27" t="s">
        <v>678</v>
      </c>
      <c r="B357" s="10" t="str">
        <f t="shared" si="1"/>
        <v>RNA-gill</v>
      </c>
      <c r="C357" s="10" t="str">
        <f t="shared" si="2"/>
        <v>BRN64G-B8</v>
      </c>
      <c r="D357" s="11">
        <f t="array" ref="D357">iferror(index('rna-muscle'!D:D,match(A357,'rna-muscle'!A:A,0)))</f>
        <v>64</v>
      </c>
      <c r="E357" s="10" t="str">
        <f t="shared" si="3"/>
        <v>BRN64G</v>
      </c>
      <c r="F357" s="11" t="str">
        <f t="array" ref="F357">iferror(index('rna-muscle'!F:F,match($A357,'rna-muscle'!$A:$A,0)))</f>
        <v>B</v>
      </c>
      <c r="G357" s="11">
        <f t="array" ref="G357">iferror(index('rna-muscle'!G:G,match($A357,'rna-muscle'!$A:$A,0)))</f>
        <v>8</v>
      </c>
      <c r="H357" s="11" t="str">
        <f t="shared" si="4"/>
        <v>B8</v>
      </c>
      <c r="I357" s="10" t="str">
        <f t="shared" si="5"/>
        <v>BRN64G-B8</v>
      </c>
      <c r="J357" s="16"/>
      <c r="K357" s="16" t="str">
        <f t="shared" si="6"/>
        <v>collected</v>
      </c>
      <c r="L357" s="16" t="str">
        <f t="shared" si="7"/>
        <v>N</v>
      </c>
      <c r="M357" s="16"/>
      <c r="N357" s="16"/>
    </row>
    <row r="358">
      <c r="A358" s="27" t="s">
        <v>681</v>
      </c>
      <c r="B358" s="10" t="str">
        <f t="shared" si="1"/>
        <v>RNA-gill</v>
      </c>
      <c r="C358" s="10" t="str">
        <f t="shared" si="2"/>
        <v>BRN64G-A8</v>
      </c>
      <c r="D358" s="11">
        <f t="array" ref="D358">iferror(index('rna-muscle'!D:D,match(A358,'rna-muscle'!A:A,0)))</f>
        <v>64</v>
      </c>
      <c r="E358" s="10" t="str">
        <f t="shared" si="3"/>
        <v>BRN64G</v>
      </c>
      <c r="F358" s="11" t="str">
        <f t="array" ref="F358">iferror(index('rna-muscle'!F:F,match($A358,'rna-muscle'!$A:$A,0)))</f>
        <v>A</v>
      </c>
      <c r="G358" s="11">
        <f t="array" ref="G358">iferror(index('rna-muscle'!G:G,match($A358,'rna-muscle'!$A:$A,0)))</f>
        <v>8</v>
      </c>
      <c r="H358" s="11" t="str">
        <f t="shared" si="4"/>
        <v>A8</v>
      </c>
      <c r="I358" s="10" t="str">
        <f t="shared" si="5"/>
        <v>BRN64G-A8</v>
      </c>
      <c r="J358" s="16"/>
      <c r="K358" s="16" t="str">
        <f t="shared" si="6"/>
        <v>collected</v>
      </c>
      <c r="L358" s="16" t="str">
        <f t="shared" si="7"/>
        <v>N</v>
      </c>
      <c r="M358" s="16"/>
      <c r="N358" s="16"/>
    </row>
    <row r="359">
      <c r="A359" s="27" t="s">
        <v>682</v>
      </c>
      <c r="B359" s="10" t="str">
        <f t="shared" si="1"/>
        <v>RNA-gill</v>
      </c>
      <c r="C359" s="10" t="str">
        <f t="shared" si="2"/>
        <v>BRN64G-B6</v>
      </c>
      <c r="D359" s="11">
        <f t="array" ref="D359">iferror(index('rna-muscle'!D:D,match(A359,'rna-muscle'!A:A,0)))</f>
        <v>64</v>
      </c>
      <c r="E359" s="10" t="str">
        <f t="shared" si="3"/>
        <v>BRN64G</v>
      </c>
      <c r="F359" s="11" t="str">
        <f t="array" ref="F359">iferror(index('rna-muscle'!F:F,match($A359,'rna-muscle'!$A:$A,0)))</f>
        <v>B</v>
      </c>
      <c r="G359" s="11">
        <f t="array" ref="G359">iferror(index('rna-muscle'!G:G,match($A359,'rna-muscle'!$A:$A,0)))</f>
        <v>6</v>
      </c>
      <c r="H359" s="11" t="str">
        <f t="shared" si="4"/>
        <v>B6</v>
      </c>
      <c r="I359" s="10" t="str">
        <f t="shared" si="5"/>
        <v>BRN64G-B6</v>
      </c>
      <c r="J359" s="16"/>
      <c r="K359" s="16" t="str">
        <f t="shared" si="6"/>
        <v>collected</v>
      </c>
      <c r="L359" s="16" t="str">
        <f t="shared" si="7"/>
        <v>N</v>
      </c>
      <c r="M359" s="16"/>
      <c r="N359" s="16"/>
    </row>
    <row r="360">
      <c r="A360" s="27" t="s">
        <v>683</v>
      </c>
      <c r="B360" s="10" t="str">
        <f t="shared" si="1"/>
        <v>RNA-gill</v>
      </c>
      <c r="C360" s="10" t="str">
        <f t="shared" si="2"/>
        <v>BRN64G-A6</v>
      </c>
      <c r="D360" s="11">
        <f t="array" ref="D360">iferror(index('rna-muscle'!D:D,match(A360,'rna-muscle'!A:A,0)))</f>
        <v>64</v>
      </c>
      <c r="E360" s="10" t="str">
        <f t="shared" si="3"/>
        <v>BRN64G</v>
      </c>
      <c r="F360" s="11" t="str">
        <f t="array" ref="F360">iferror(index('rna-muscle'!F:F,match($A360,'rna-muscle'!$A:$A,0)))</f>
        <v>A</v>
      </c>
      <c r="G360" s="11">
        <f t="array" ref="G360">iferror(index('rna-muscle'!G:G,match($A360,'rna-muscle'!$A:$A,0)))</f>
        <v>6</v>
      </c>
      <c r="H360" s="11" t="str">
        <f t="shared" si="4"/>
        <v>A6</v>
      </c>
      <c r="I360" s="10" t="str">
        <f t="shared" si="5"/>
        <v>BRN64G-A6</v>
      </c>
      <c r="J360" s="16"/>
      <c r="K360" s="16" t="str">
        <f t="shared" si="6"/>
        <v>collected</v>
      </c>
      <c r="L360" s="16" t="str">
        <f t="shared" si="7"/>
        <v>N</v>
      </c>
      <c r="M360" s="16"/>
      <c r="N360" s="16"/>
    </row>
    <row r="361">
      <c r="A361" s="27" t="s">
        <v>685</v>
      </c>
      <c r="B361" s="10" t="str">
        <f t="shared" si="1"/>
        <v>RNA-gill</v>
      </c>
      <c r="C361" s="10" t="str">
        <f t="shared" si="2"/>
        <v>BRN62G-H4</v>
      </c>
      <c r="D361" s="11">
        <f t="array" ref="D361">iferror(index('rna-muscle'!D:D,match(A361,'rna-muscle'!A:A,0)))</f>
        <v>62</v>
      </c>
      <c r="E361" s="10" t="str">
        <f t="shared" si="3"/>
        <v>BRN62G</v>
      </c>
      <c r="F361" s="11" t="str">
        <f t="array" ref="F361">iferror(index('rna-muscle'!F:F,match($A361,'rna-muscle'!$A:$A,0)))</f>
        <v>H</v>
      </c>
      <c r="G361" s="11">
        <f t="array" ref="G361">iferror(index('rna-muscle'!G:G,match($A361,'rna-muscle'!$A:$A,0)))</f>
        <v>4</v>
      </c>
      <c r="H361" s="11" t="str">
        <f t="shared" si="4"/>
        <v>H4</v>
      </c>
      <c r="I361" s="10" t="str">
        <f t="shared" si="5"/>
        <v>BRN62G-H4</v>
      </c>
      <c r="J361" s="16"/>
      <c r="K361" s="16" t="str">
        <f t="shared" si="6"/>
        <v>collected</v>
      </c>
      <c r="L361" s="16" t="str">
        <f t="shared" si="7"/>
        <v>N</v>
      </c>
      <c r="M361" s="16"/>
      <c r="N361" s="16"/>
    </row>
    <row r="362">
      <c r="A362" s="27" t="s">
        <v>686</v>
      </c>
      <c r="B362" s="10" t="str">
        <f t="shared" si="1"/>
        <v>RNA-gill</v>
      </c>
      <c r="C362" s="10" t="str">
        <f t="shared" si="2"/>
        <v>BRN62G-G4</v>
      </c>
      <c r="D362" s="11">
        <f t="array" ref="D362">iferror(index('rna-muscle'!D:D,match(A362,'rna-muscle'!A:A,0)))</f>
        <v>62</v>
      </c>
      <c r="E362" s="10" t="str">
        <f t="shared" si="3"/>
        <v>BRN62G</v>
      </c>
      <c r="F362" s="11" t="str">
        <f t="array" ref="F362">iferror(index('rna-muscle'!F:F,match($A362,'rna-muscle'!$A:$A,0)))</f>
        <v>G</v>
      </c>
      <c r="G362" s="11">
        <f t="array" ref="G362">iferror(index('rna-muscle'!G:G,match($A362,'rna-muscle'!$A:$A,0)))</f>
        <v>4</v>
      </c>
      <c r="H362" s="11" t="str">
        <f t="shared" si="4"/>
        <v>G4</v>
      </c>
      <c r="I362" s="10" t="str">
        <f t="shared" si="5"/>
        <v>BRN62G-G4</v>
      </c>
      <c r="J362" s="16"/>
      <c r="K362" s="16" t="str">
        <f t="shared" si="6"/>
        <v>collected</v>
      </c>
      <c r="L362" s="16" t="str">
        <f t="shared" si="7"/>
        <v>N</v>
      </c>
      <c r="M362" s="16"/>
      <c r="N362" s="16"/>
    </row>
    <row r="363">
      <c r="A363" s="27" t="s">
        <v>689</v>
      </c>
      <c r="B363" s="10" t="str">
        <f t="shared" si="1"/>
        <v>RNA-gill</v>
      </c>
      <c r="C363" s="10" t="str">
        <f t="shared" si="2"/>
        <v>BRN62G-F4</v>
      </c>
      <c r="D363" s="11">
        <f t="array" ref="D363">iferror(index('rna-muscle'!D:D,match(A363,'rna-muscle'!A:A,0)))</f>
        <v>62</v>
      </c>
      <c r="E363" s="10" t="str">
        <f t="shared" si="3"/>
        <v>BRN62G</v>
      </c>
      <c r="F363" s="11" t="str">
        <f t="array" ref="F363">iferror(index('rna-muscle'!F:F,match($A363,'rna-muscle'!$A:$A,0)))</f>
        <v>F</v>
      </c>
      <c r="G363" s="11">
        <f t="array" ref="G363">iferror(index('rna-muscle'!G:G,match($A363,'rna-muscle'!$A:$A,0)))</f>
        <v>4</v>
      </c>
      <c r="H363" s="11" t="str">
        <f t="shared" si="4"/>
        <v>F4</v>
      </c>
      <c r="I363" s="10" t="str">
        <f t="shared" si="5"/>
        <v>BRN62G-F4</v>
      </c>
      <c r="J363" s="6"/>
      <c r="K363" s="16" t="str">
        <f t="shared" si="6"/>
        <v>collected</v>
      </c>
      <c r="L363" s="16" t="str">
        <f t="shared" si="7"/>
        <v>N</v>
      </c>
      <c r="M363" s="16"/>
      <c r="N363" s="16"/>
    </row>
    <row r="364">
      <c r="A364" s="27" t="s">
        <v>690</v>
      </c>
      <c r="B364" s="10" t="str">
        <f t="shared" si="1"/>
        <v>RNA-gill</v>
      </c>
      <c r="C364" s="10" t="str">
        <f t="shared" si="2"/>
        <v>BRN62G-E4</v>
      </c>
      <c r="D364" s="11">
        <f t="array" ref="D364">iferror(index('rna-muscle'!D:D,match(A364,'rna-muscle'!A:A,0)))</f>
        <v>62</v>
      </c>
      <c r="E364" s="10" t="str">
        <f t="shared" si="3"/>
        <v>BRN62G</v>
      </c>
      <c r="F364" s="11" t="str">
        <f t="array" ref="F364">iferror(index('rna-muscle'!F:F,match($A364,'rna-muscle'!$A:$A,0)))</f>
        <v>E</v>
      </c>
      <c r="G364" s="11">
        <f t="array" ref="G364">iferror(index('rna-muscle'!G:G,match($A364,'rna-muscle'!$A:$A,0)))</f>
        <v>4</v>
      </c>
      <c r="H364" s="11" t="str">
        <f t="shared" si="4"/>
        <v>E4</v>
      </c>
      <c r="I364" s="10" t="str">
        <f t="shared" si="5"/>
        <v>BRN62G-E4</v>
      </c>
      <c r="J364" s="16"/>
      <c r="K364" s="16" t="str">
        <f t="shared" si="6"/>
        <v>collected</v>
      </c>
      <c r="L364" s="16" t="str">
        <f t="shared" si="7"/>
        <v>N</v>
      </c>
      <c r="M364" s="16"/>
      <c r="N364" s="16"/>
    </row>
    <row r="365">
      <c r="A365" s="27" t="s">
        <v>691</v>
      </c>
      <c r="B365" s="10" t="str">
        <f t="shared" si="1"/>
        <v>RNA-gill</v>
      </c>
      <c r="C365" s="10" t="str">
        <f t="shared" si="2"/>
        <v>BRN62G-D4</v>
      </c>
      <c r="D365" s="11">
        <f t="array" ref="D365">iferror(index('rna-muscle'!D:D,match(A365,'rna-muscle'!A:A,0)))</f>
        <v>62</v>
      </c>
      <c r="E365" s="10" t="str">
        <f t="shared" si="3"/>
        <v>BRN62G</v>
      </c>
      <c r="F365" s="11" t="str">
        <f t="array" ref="F365">iferror(index('rna-muscle'!F:F,match($A365,'rna-muscle'!$A:$A,0)))</f>
        <v>D</v>
      </c>
      <c r="G365" s="11">
        <f t="array" ref="G365">iferror(index('rna-muscle'!G:G,match($A365,'rna-muscle'!$A:$A,0)))</f>
        <v>4</v>
      </c>
      <c r="H365" s="11" t="str">
        <f t="shared" si="4"/>
        <v>D4</v>
      </c>
      <c r="I365" s="10" t="str">
        <f t="shared" si="5"/>
        <v>BRN62G-D4</v>
      </c>
      <c r="J365" s="16"/>
      <c r="K365" s="16" t="str">
        <f t="shared" si="6"/>
        <v>collected</v>
      </c>
      <c r="L365" s="16" t="str">
        <f t="shared" si="7"/>
        <v>N</v>
      </c>
      <c r="M365" s="16"/>
      <c r="N365" s="16"/>
    </row>
    <row r="366">
      <c r="A366" s="27" t="s">
        <v>693</v>
      </c>
      <c r="B366" s="10" t="str">
        <f t="shared" si="1"/>
        <v>RNA-gill</v>
      </c>
      <c r="C366" s="10" t="str">
        <f t="shared" si="2"/>
        <v>BRN62G-C4</v>
      </c>
      <c r="D366" s="11">
        <f t="array" ref="D366">iferror(index('rna-muscle'!D:D,match(A366,'rna-muscle'!A:A,0)))</f>
        <v>62</v>
      </c>
      <c r="E366" s="10" t="str">
        <f t="shared" si="3"/>
        <v>BRN62G</v>
      </c>
      <c r="F366" s="11" t="str">
        <f t="array" ref="F366">iferror(index('rna-muscle'!F:F,match($A366,'rna-muscle'!$A:$A,0)))</f>
        <v>C</v>
      </c>
      <c r="G366" s="11">
        <f t="array" ref="G366">iferror(index('rna-muscle'!G:G,match($A366,'rna-muscle'!$A:$A,0)))</f>
        <v>4</v>
      </c>
      <c r="H366" s="11" t="str">
        <f t="shared" si="4"/>
        <v>C4</v>
      </c>
      <c r="I366" s="10" t="str">
        <f t="shared" si="5"/>
        <v>BRN62G-C4</v>
      </c>
      <c r="J366" s="16"/>
      <c r="K366" s="16" t="str">
        <f t="shared" si="6"/>
        <v>collected</v>
      </c>
      <c r="L366" s="16" t="str">
        <f t="shared" si="7"/>
        <v>N</v>
      </c>
      <c r="M366" s="16"/>
      <c r="N366" s="16"/>
    </row>
    <row r="367">
      <c r="A367" s="27" t="s">
        <v>694</v>
      </c>
      <c r="B367" s="10" t="str">
        <f t="shared" si="1"/>
        <v>RNA-gill</v>
      </c>
      <c r="C367" s="10" t="str">
        <f t="shared" si="2"/>
        <v>BRN62G-B4</v>
      </c>
      <c r="D367" s="11">
        <f t="array" ref="D367">iferror(index('rna-muscle'!D:D,match(A367,'rna-muscle'!A:A,0)))</f>
        <v>62</v>
      </c>
      <c r="E367" s="10" t="str">
        <f t="shared" si="3"/>
        <v>BRN62G</v>
      </c>
      <c r="F367" s="11" t="str">
        <f t="array" ref="F367">iferror(index('rna-muscle'!F:F,match($A367,'rna-muscle'!$A:$A,0)))</f>
        <v>B</v>
      </c>
      <c r="G367" s="11">
        <f t="array" ref="G367">iferror(index('rna-muscle'!G:G,match($A367,'rna-muscle'!$A:$A,0)))</f>
        <v>4</v>
      </c>
      <c r="H367" s="11" t="str">
        <f t="shared" si="4"/>
        <v>B4</v>
      </c>
      <c r="I367" s="10" t="str">
        <f t="shared" si="5"/>
        <v>BRN62G-B4</v>
      </c>
      <c r="J367" s="16"/>
      <c r="K367" s="16" t="str">
        <f t="shared" si="6"/>
        <v>collected</v>
      </c>
      <c r="L367" s="16" t="str">
        <f t="shared" si="7"/>
        <v>N</v>
      </c>
      <c r="M367" s="16"/>
      <c r="N367" s="16"/>
    </row>
    <row r="368">
      <c r="A368" s="26" t="s">
        <v>698</v>
      </c>
      <c r="B368" s="10" t="str">
        <f t="shared" si="1"/>
        <v>RNA-gill</v>
      </c>
      <c r="C368" s="10" t="str">
        <f t="shared" si="2"/>
        <v>BRN62G-A4</v>
      </c>
      <c r="D368" s="11">
        <f t="array" ref="D368">iferror(index('rna-muscle'!D:D,match(A368,'rna-muscle'!A:A,0)))</f>
        <v>62</v>
      </c>
      <c r="E368" s="10" t="str">
        <f t="shared" si="3"/>
        <v>BRN62G</v>
      </c>
      <c r="F368" s="11" t="str">
        <f t="array" ref="F368">iferror(index('rna-muscle'!F:F,match($A368,'rna-muscle'!$A:$A,0)))</f>
        <v>A</v>
      </c>
      <c r="G368" s="11">
        <f t="array" ref="G368">iferror(index('rna-muscle'!G:G,match($A368,'rna-muscle'!$A:$A,0)))</f>
        <v>4</v>
      </c>
      <c r="H368" s="11" t="str">
        <f t="shared" si="4"/>
        <v>A4</v>
      </c>
      <c r="I368" s="10" t="str">
        <f t="shared" si="5"/>
        <v>BRN62G-A4</v>
      </c>
      <c r="J368" s="16"/>
      <c r="K368" s="16" t="str">
        <f t="shared" si="6"/>
        <v>collected</v>
      </c>
      <c r="L368" s="16" t="str">
        <f t="shared" si="7"/>
        <v>N</v>
      </c>
      <c r="M368" s="16"/>
      <c r="N368" s="16"/>
    </row>
    <row r="369">
      <c r="A369" s="26" t="s">
        <v>699</v>
      </c>
      <c r="B369" s="10" t="str">
        <f t="shared" si="1"/>
        <v>RNA-gill</v>
      </c>
      <c r="C369" s="10" t="str">
        <f t="shared" si="2"/>
        <v>BRN62G-G6</v>
      </c>
      <c r="D369" s="11">
        <f t="array" ref="D369">iferror(index('rna-muscle'!D:D,match(A369,'rna-muscle'!A:A,0)))</f>
        <v>62</v>
      </c>
      <c r="E369" s="10" t="str">
        <f t="shared" si="3"/>
        <v>BRN62G</v>
      </c>
      <c r="F369" s="11" t="str">
        <f t="array" ref="F369">iferror(index('rna-muscle'!F:F,match($A369,'rna-muscle'!$A:$A,0)))</f>
        <v>G</v>
      </c>
      <c r="G369" s="11">
        <f t="array" ref="G369">iferror(index('rna-muscle'!G:G,match($A369,'rna-muscle'!$A:$A,0)))</f>
        <v>6</v>
      </c>
      <c r="H369" s="11" t="str">
        <f t="shared" si="4"/>
        <v>G6</v>
      </c>
      <c r="I369" s="10" t="str">
        <f t="shared" si="5"/>
        <v>BRN62G-G6</v>
      </c>
      <c r="J369" s="16"/>
      <c r="K369" s="16" t="str">
        <f t="shared" si="6"/>
        <v>collected</v>
      </c>
      <c r="L369" s="16" t="str">
        <f t="shared" si="7"/>
        <v>N</v>
      </c>
      <c r="M369" s="16"/>
      <c r="N369" s="16"/>
    </row>
    <row r="370">
      <c r="A370" s="26" t="s">
        <v>700</v>
      </c>
      <c r="B370" s="10" t="str">
        <f t="shared" si="1"/>
        <v>RNA-gill</v>
      </c>
      <c r="C370" s="10" t="str">
        <f t="shared" si="2"/>
        <v>BRN62G-F6</v>
      </c>
      <c r="D370" s="11">
        <f t="array" ref="D370">iferror(index('rna-muscle'!D:D,match(A370,'rna-muscle'!A:A,0)))</f>
        <v>62</v>
      </c>
      <c r="E370" s="10" t="str">
        <f t="shared" si="3"/>
        <v>BRN62G</v>
      </c>
      <c r="F370" s="11" t="str">
        <f t="array" ref="F370">iferror(index('rna-muscle'!F:F,match($A370,'rna-muscle'!$A:$A,0)))</f>
        <v>F</v>
      </c>
      <c r="G370" s="11">
        <f t="array" ref="G370">iferror(index('rna-muscle'!G:G,match($A370,'rna-muscle'!$A:$A,0)))</f>
        <v>6</v>
      </c>
      <c r="H370" s="11" t="str">
        <f t="shared" si="4"/>
        <v>F6</v>
      </c>
      <c r="I370" s="10" t="str">
        <f t="shared" si="5"/>
        <v>BRN62G-F6</v>
      </c>
      <c r="J370" s="16"/>
      <c r="K370" s="16" t="str">
        <f t="shared" si="6"/>
        <v>collected</v>
      </c>
      <c r="L370" s="16" t="str">
        <f t="shared" si="7"/>
        <v>N</v>
      </c>
      <c r="M370" s="16"/>
      <c r="N370" s="16"/>
    </row>
    <row r="371">
      <c r="A371" s="26" t="s">
        <v>702</v>
      </c>
      <c r="B371" s="10" t="str">
        <f t="shared" si="1"/>
        <v>RNA-gill</v>
      </c>
      <c r="C371" s="10" t="str">
        <f t="shared" si="2"/>
        <v>BRN62G-E6</v>
      </c>
      <c r="D371" s="11">
        <f t="array" ref="D371">iferror(index('rna-muscle'!D:D,match(A371,'rna-muscle'!A:A,0)))</f>
        <v>62</v>
      </c>
      <c r="E371" s="10" t="str">
        <f t="shared" si="3"/>
        <v>BRN62G</v>
      </c>
      <c r="F371" s="11" t="str">
        <f t="array" ref="F371">iferror(index('rna-muscle'!F:F,match($A371,'rna-muscle'!$A:$A,0)))</f>
        <v>E</v>
      </c>
      <c r="G371" s="11">
        <f t="array" ref="G371">iferror(index('rna-muscle'!G:G,match($A371,'rna-muscle'!$A:$A,0)))</f>
        <v>6</v>
      </c>
      <c r="H371" s="11" t="str">
        <f t="shared" si="4"/>
        <v>E6</v>
      </c>
      <c r="I371" s="10" t="str">
        <f t="shared" si="5"/>
        <v>BRN62G-E6</v>
      </c>
      <c r="J371" s="16"/>
      <c r="K371" s="16" t="str">
        <f t="shared" si="6"/>
        <v>collected</v>
      </c>
      <c r="L371" s="16" t="str">
        <f t="shared" si="7"/>
        <v>N</v>
      </c>
      <c r="M371" s="16"/>
      <c r="N371" s="16"/>
    </row>
    <row r="372">
      <c r="A372" s="26" t="s">
        <v>704</v>
      </c>
      <c r="B372" s="10" t="str">
        <f t="shared" si="1"/>
        <v>RNA-gill</v>
      </c>
      <c r="C372" s="10" t="str">
        <f t="shared" si="2"/>
        <v>BRN62G-D6</v>
      </c>
      <c r="D372" s="11">
        <f t="array" ref="D372">iferror(index('rna-muscle'!D:D,match(A372,'rna-muscle'!A:A,0)))</f>
        <v>62</v>
      </c>
      <c r="E372" s="10" t="str">
        <f t="shared" si="3"/>
        <v>BRN62G</v>
      </c>
      <c r="F372" s="11" t="str">
        <f t="array" ref="F372">iferror(index('rna-muscle'!F:F,match($A372,'rna-muscle'!$A:$A,0)))</f>
        <v>D</v>
      </c>
      <c r="G372" s="11">
        <f t="array" ref="G372">iferror(index('rna-muscle'!G:G,match($A372,'rna-muscle'!$A:$A,0)))</f>
        <v>6</v>
      </c>
      <c r="H372" s="11" t="str">
        <f t="shared" si="4"/>
        <v>D6</v>
      </c>
      <c r="I372" s="10" t="str">
        <f t="shared" si="5"/>
        <v>BRN62G-D6</v>
      </c>
      <c r="J372" s="16"/>
      <c r="K372" s="16" t="str">
        <f t="shared" si="6"/>
        <v>collected</v>
      </c>
      <c r="L372" s="16" t="str">
        <f t="shared" si="7"/>
        <v>N</v>
      </c>
      <c r="M372" s="16"/>
      <c r="N372" s="16"/>
    </row>
    <row r="373">
      <c r="A373" s="26" t="s">
        <v>706</v>
      </c>
      <c r="B373" s="10" t="str">
        <f t="shared" si="1"/>
        <v>RNA-gill</v>
      </c>
      <c r="C373" s="10" t="str">
        <f t="shared" si="2"/>
        <v>BRN62G-C6</v>
      </c>
      <c r="D373" s="11">
        <f t="array" ref="D373">iferror(index('rna-muscle'!D:D,match(A373,'rna-muscle'!A:A,0)))</f>
        <v>62</v>
      </c>
      <c r="E373" s="10" t="str">
        <f t="shared" si="3"/>
        <v>BRN62G</v>
      </c>
      <c r="F373" s="11" t="str">
        <f t="array" ref="F373">iferror(index('rna-muscle'!F:F,match($A373,'rna-muscle'!$A:$A,0)))</f>
        <v>C</v>
      </c>
      <c r="G373" s="11">
        <f t="array" ref="G373">iferror(index('rna-muscle'!G:G,match($A373,'rna-muscle'!$A:$A,0)))</f>
        <v>6</v>
      </c>
      <c r="H373" s="11" t="str">
        <f t="shared" si="4"/>
        <v>C6</v>
      </c>
      <c r="I373" s="10" t="str">
        <f t="shared" si="5"/>
        <v>BRN62G-C6</v>
      </c>
      <c r="J373" s="16"/>
      <c r="K373" s="16" t="str">
        <f t="shared" si="6"/>
        <v>collected</v>
      </c>
      <c r="L373" s="16" t="str">
        <f t="shared" si="7"/>
        <v>N</v>
      </c>
      <c r="M373" s="16"/>
      <c r="N373" s="16"/>
    </row>
    <row r="374">
      <c r="A374" s="26" t="s">
        <v>707</v>
      </c>
      <c r="B374" s="10" t="str">
        <f t="shared" si="1"/>
        <v>RNA-gill</v>
      </c>
      <c r="C374" s="10" t="str">
        <f t="shared" si="2"/>
        <v>BRN62G-B6</v>
      </c>
      <c r="D374" s="11">
        <f t="array" ref="D374">iferror(index('rna-muscle'!D:D,match(A374,'rna-muscle'!A:A,0)))</f>
        <v>62</v>
      </c>
      <c r="E374" s="10" t="str">
        <f t="shared" si="3"/>
        <v>BRN62G</v>
      </c>
      <c r="F374" s="11" t="str">
        <f t="array" ref="F374">iferror(index('rna-muscle'!F:F,match($A374,'rna-muscle'!$A:$A,0)))</f>
        <v>B</v>
      </c>
      <c r="G374" s="11">
        <f t="array" ref="G374">iferror(index('rna-muscle'!G:G,match($A374,'rna-muscle'!$A:$A,0)))</f>
        <v>6</v>
      </c>
      <c r="H374" s="11" t="str">
        <f t="shared" si="4"/>
        <v>B6</v>
      </c>
      <c r="I374" s="10" t="str">
        <f t="shared" si="5"/>
        <v>BRN62G-B6</v>
      </c>
      <c r="J374" s="16"/>
      <c r="K374" s="16" t="str">
        <f t="shared" si="6"/>
        <v>collected</v>
      </c>
      <c r="L374" s="16" t="str">
        <f t="shared" si="7"/>
        <v>N</v>
      </c>
      <c r="M374" s="16"/>
      <c r="N374" s="16"/>
    </row>
    <row r="375">
      <c r="A375" s="44" t="s">
        <v>709</v>
      </c>
      <c r="B375" s="10" t="str">
        <f t="shared" si="1"/>
        <v>RNA-gill</v>
      </c>
      <c r="C375" s="10" t="str">
        <f t="shared" si="2"/>
        <v>BRN62G-F3</v>
      </c>
      <c r="D375" s="11">
        <f t="array" ref="D375">iferror(index('rna-muscle'!D:D,match(A375,'rna-muscle'!A:A,0)))</f>
        <v>62</v>
      </c>
      <c r="E375" s="10" t="str">
        <f t="shared" si="3"/>
        <v>BRN62G</v>
      </c>
      <c r="F375" s="11" t="str">
        <f t="array" ref="F375">iferror(index('rna-muscle'!F:F,match($A375,'rna-muscle'!$A:$A,0)))</f>
        <v>F</v>
      </c>
      <c r="G375" s="11">
        <f t="array" ref="G375">iferror(index('rna-muscle'!G:G,match($A375,'rna-muscle'!$A:$A,0)))</f>
        <v>3</v>
      </c>
      <c r="H375" s="11" t="str">
        <f t="shared" si="4"/>
        <v>F3</v>
      </c>
      <c r="I375" s="10" t="str">
        <f t="shared" si="5"/>
        <v>BRN62G-F3</v>
      </c>
      <c r="J375" s="16"/>
      <c r="K375" s="16" t="str">
        <f t="shared" si="6"/>
        <v>collected</v>
      </c>
      <c r="L375" s="16" t="str">
        <f t="shared" si="7"/>
        <v>N</v>
      </c>
      <c r="M375" s="16"/>
      <c r="N375" s="16"/>
    </row>
    <row r="376">
      <c r="A376" s="44" t="s">
        <v>711</v>
      </c>
      <c r="B376" s="10" t="str">
        <f t="shared" si="1"/>
        <v>RNA-gill</v>
      </c>
      <c r="C376" s="10" t="str">
        <f t="shared" si="2"/>
        <v>BRN62G-E3</v>
      </c>
      <c r="D376" s="11">
        <f t="array" ref="D376">iferror(index('rna-muscle'!D:D,match(A376,'rna-muscle'!A:A,0)))</f>
        <v>62</v>
      </c>
      <c r="E376" s="10" t="str">
        <f t="shared" si="3"/>
        <v>BRN62G</v>
      </c>
      <c r="F376" s="11" t="str">
        <f t="array" ref="F376">iferror(index('rna-muscle'!F:F,match($A376,'rna-muscle'!$A:$A,0)))</f>
        <v>E</v>
      </c>
      <c r="G376" s="11">
        <f t="array" ref="G376">iferror(index('rna-muscle'!G:G,match($A376,'rna-muscle'!$A:$A,0)))</f>
        <v>3</v>
      </c>
      <c r="H376" s="11" t="str">
        <f t="shared" si="4"/>
        <v>E3</v>
      </c>
      <c r="I376" s="10" t="str">
        <f t="shared" si="5"/>
        <v>BRN62G-E3</v>
      </c>
      <c r="J376" s="16"/>
      <c r="K376" s="16" t="str">
        <f t="shared" si="6"/>
        <v>collected</v>
      </c>
      <c r="L376" s="16" t="str">
        <f t="shared" si="7"/>
        <v>N</v>
      </c>
      <c r="M376" s="16"/>
      <c r="N376" s="16"/>
    </row>
    <row r="377">
      <c r="A377" s="44" t="s">
        <v>712</v>
      </c>
      <c r="B377" s="10" t="str">
        <f t="shared" si="1"/>
        <v>RNA-gill</v>
      </c>
      <c r="C377" s="10" t="str">
        <f t="shared" si="2"/>
        <v>BRN62G-D3</v>
      </c>
      <c r="D377" s="11">
        <f t="array" ref="D377">iferror(index('rna-muscle'!D:D,match(A377,'rna-muscle'!A:A,0)))</f>
        <v>62</v>
      </c>
      <c r="E377" s="10" t="str">
        <f t="shared" si="3"/>
        <v>BRN62G</v>
      </c>
      <c r="F377" s="11" t="str">
        <f t="array" ref="F377">iferror(index('rna-muscle'!F:F,match($A377,'rna-muscle'!$A:$A,0)))</f>
        <v>D</v>
      </c>
      <c r="G377" s="11">
        <f t="array" ref="G377">iferror(index('rna-muscle'!G:G,match($A377,'rna-muscle'!$A:$A,0)))</f>
        <v>3</v>
      </c>
      <c r="H377" s="11" t="str">
        <f t="shared" si="4"/>
        <v>D3</v>
      </c>
      <c r="I377" s="10" t="str">
        <f t="shared" si="5"/>
        <v>BRN62G-D3</v>
      </c>
      <c r="J377" s="6"/>
      <c r="K377" s="16" t="str">
        <f t="shared" si="6"/>
        <v>collected</v>
      </c>
      <c r="L377" s="16" t="str">
        <f t="shared" si="7"/>
        <v>N</v>
      </c>
      <c r="M377" s="16"/>
      <c r="N377" s="16"/>
    </row>
    <row r="378">
      <c r="A378" s="44" t="s">
        <v>714</v>
      </c>
      <c r="B378" s="10" t="str">
        <f t="shared" si="1"/>
        <v>RNA-gill</v>
      </c>
      <c r="C378" s="10" t="str">
        <f t="shared" si="2"/>
        <v>BRN62G-C3</v>
      </c>
      <c r="D378" s="11">
        <f t="array" ref="D378">iferror(index('rna-muscle'!D:D,match(A378,'rna-muscle'!A:A,0)))</f>
        <v>62</v>
      </c>
      <c r="E378" s="10" t="str">
        <f t="shared" si="3"/>
        <v>BRN62G</v>
      </c>
      <c r="F378" s="11" t="str">
        <f t="array" ref="F378">iferror(index('rna-muscle'!F:F,match($A378,'rna-muscle'!$A:$A,0)))</f>
        <v>C</v>
      </c>
      <c r="G378" s="11">
        <f t="array" ref="G378">iferror(index('rna-muscle'!G:G,match($A378,'rna-muscle'!$A:$A,0)))</f>
        <v>3</v>
      </c>
      <c r="H378" s="11" t="str">
        <f t="shared" si="4"/>
        <v>C3</v>
      </c>
      <c r="I378" s="10" t="str">
        <f t="shared" si="5"/>
        <v>BRN62G-C3</v>
      </c>
      <c r="J378" s="16"/>
      <c r="K378" s="16" t="str">
        <f t="shared" si="6"/>
        <v>collected</v>
      </c>
      <c r="L378" s="16" t="str">
        <f t="shared" si="7"/>
        <v>N</v>
      </c>
      <c r="M378" s="16"/>
      <c r="N378" s="16"/>
    </row>
    <row r="379">
      <c r="A379" s="44" t="s">
        <v>715</v>
      </c>
      <c r="B379" s="10" t="str">
        <f t="shared" si="1"/>
        <v>RNA-gill</v>
      </c>
      <c r="C379" s="10" t="str">
        <f t="shared" si="2"/>
        <v>BRN62G-B3</v>
      </c>
      <c r="D379" s="11">
        <f t="array" ref="D379">iferror(index('rna-muscle'!D:D,match(A379,'rna-muscle'!A:A,0)))</f>
        <v>62</v>
      </c>
      <c r="E379" s="10" t="str">
        <f t="shared" si="3"/>
        <v>BRN62G</v>
      </c>
      <c r="F379" s="11" t="str">
        <f t="array" ref="F379">iferror(index('rna-muscle'!F:F,match($A379,'rna-muscle'!$A:$A,0)))</f>
        <v>B</v>
      </c>
      <c r="G379" s="11">
        <f t="array" ref="G379">iferror(index('rna-muscle'!G:G,match($A379,'rna-muscle'!$A:$A,0)))</f>
        <v>3</v>
      </c>
      <c r="H379" s="11" t="str">
        <f t="shared" si="4"/>
        <v>B3</v>
      </c>
      <c r="I379" s="10" t="str">
        <f t="shared" si="5"/>
        <v>BRN62G-B3</v>
      </c>
      <c r="J379" s="6"/>
      <c r="K379" s="16" t="str">
        <f t="shared" si="6"/>
        <v>collected</v>
      </c>
      <c r="L379" s="16" t="str">
        <f t="shared" si="7"/>
        <v>N</v>
      </c>
      <c r="M379" s="16"/>
      <c r="N379" s="16"/>
    </row>
    <row r="380">
      <c r="A380" s="44" t="s">
        <v>716</v>
      </c>
      <c r="B380" s="10" t="str">
        <f t="shared" si="1"/>
        <v>RNA-gill</v>
      </c>
      <c r="C380" s="10" t="str">
        <f t="shared" si="2"/>
        <v>BRN62G-A3</v>
      </c>
      <c r="D380" s="11">
        <f t="array" ref="D380">iferror(index('rna-muscle'!D:D,match(A380,'rna-muscle'!A:A,0)))</f>
        <v>62</v>
      </c>
      <c r="E380" s="10" t="str">
        <f t="shared" si="3"/>
        <v>BRN62G</v>
      </c>
      <c r="F380" s="11" t="str">
        <f t="array" ref="F380">iferror(index('rna-muscle'!F:F,match($A380,'rna-muscle'!$A:$A,0)))</f>
        <v>A</v>
      </c>
      <c r="G380" s="11">
        <f t="array" ref="G380">iferror(index('rna-muscle'!G:G,match($A380,'rna-muscle'!$A:$A,0)))</f>
        <v>3</v>
      </c>
      <c r="H380" s="11" t="str">
        <f t="shared" si="4"/>
        <v>A3</v>
      </c>
      <c r="I380" s="10" t="str">
        <f t="shared" si="5"/>
        <v>BRN62G-A3</v>
      </c>
      <c r="J380" s="6"/>
      <c r="K380" s="16" t="str">
        <f t="shared" si="6"/>
        <v>collected</v>
      </c>
      <c r="L380" s="16" t="str">
        <f t="shared" si="7"/>
        <v>N</v>
      </c>
      <c r="M380" s="16"/>
      <c r="N380" s="16"/>
    </row>
    <row r="381">
      <c r="A381" s="44" t="s">
        <v>717</v>
      </c>
      <c r="B381" s="10" t="str">
        <f t="shared" si="1"/>
        <v>RNA-gill</v>
      </c>
      <c r="C381" s="10" t="str">
        <f t="shared" si="2"/>
        <v>BRN62G-H5</v>
      </c>
      <c r="D381" s="11">
        <f t="array" ref="D381">iferror(index('rna-muscle'!D:D,match(A381,'rna-muscle'!A:A,0)))</f>
        <v>62</v>
      </c>
      <c r="E381" s="10" t="str">
        <f t="shared" si="3"/>
        <v>BRN62G</v>
      </c>
      <c r="F381" s="11" t="str">
        <f t="array" ref="F381">iferror(index('rna-muscle'!F:F,match($A381,'rna-muscle'!$A:$A,0)))</f>
        <v>H</v>
      </c>
      <c r="G381" s="11">
        <f t="array" ref="G381">iferror(index('rna-muscle'!G:G,match($A381,'rna-muscle'!$A:$A,0)))</f>
        <v>5</v>
      </c>
      <c r="H381" s="11" t="str">
        <f t="shared" si="4"/>
        <v>H5</v>
      </c>
      <c r="I381" s="10" t="str">
        <f t="shared" si="5"/>
        <v>BRN62G-H5</v>
      </c>
      <c r="J381" s="6"/>
      <c r="K381" s="16" t="str">
        <f t="shared" si="6"/>
        <v>collected</v>
      </c>
      <c r="L381" s="16" t="str">
        <f t="shared" si="7"/>
        <v>N</v>
      </c>
      <c r="M381" s="16"/>
      <c r="N381" s="16"/>
    </row>
    <row r="382">
      <c r="A382" s="44" t="s">
        <v>720</v>
      </c>
      <c r="B382" s="10" t="str">
        <f t="shared" si="1"/>
        <v>RNA-gill</v>
      </c>
      <c r="C382" s="10" t="str">
        <f t="shared" si="2"/>
        <v>BRN62G-G5</v>
      </c>
      <c r="D382" s="11">
        <f t="array" ref="D382">iferror(index('rna-muscle'!D:D,match(A382,'rna-muscle'!A:A,0)))</f>
        <v>62</v>
      </c>
      <c r="E382" s="10" t="str">
        <f t="shared" si="3"/>
        <v>BRN62G</v>
      </c>
      <c r="F382" s="11" t="str">
        <f t="array" ref="F382">iferror(index('rna-muscle'!F:F,match($A382,'rna-muscle'!$A:$A,0)))</f>
        <v>G</v>
      </c>
      <c r="G382" s="11">
        <f t="array" ref="G382">iferror(index('rna-muscle'!G:G,match($A382,'rna-muscle'!$A:$A,0)))</f>
        <v>5</v>
      </c>
      <c r="H382" s="11" t="str">
        <f t="shared" si="4"/>
        <v>G5</v>
      </c>
      <c r="I382" s="10" t="str">
        <f t="shared" si="5"/>
        <v>BRN62G-G5</v>
      </c>
      <c r="J382" s="6"/>
      <c r="K382" s="16" t="str">
        <f t="shared" si="6"/>
        <v>collected</v>
      </c>
      <c r="L382" s="16" t="str">
        <f t="shared" si="7"/>
        <v>N</v>
      </c>
      <c r="M382" s="16"/>
      <c r="N382" s="16"/>
    </row>
    <row r="383">
      <c r="A383" s="44" t="s">
        <v>721</v>
      </c>
      <c r="B383" s="10" t="str">
        <f t="shared" si="1"/>
        <v>RNA-gill</v>
      </c>
      <c r="C383" s="10" t="str">
        <f t="shared" si="2"/>
        <v>BRN62G-F5</v>
      </c>
      <c r="D383" s="11">
        <f t="array" ref="D383">iferror(index('rna-muscle'!D:D,match(A383,'rna-muscle'!A:A,0)))</f>
        <v>62</v>
      </c>
      <c r="E383" s="10" t="str">
        <f t="shared" si="3"/>
        <v>BRN62G</v>
      </c>
      <c r="F383" s="11" t="str">
        <f t="array" ref="F383">iferror(index('rna-muscle'!F:F,match($A383,'rna-muscle'!$A:$A,0)))</f>
        <v>F</v>
      </c>
      <c r="G383" s="11">
        <f t="array" ref="G383">iferror(index('rna-muscle'!G:G,match($A383,'rna-muscle'!$A:$A,0)))</f>
        <v>5</v>
      </c>
      <c r="H383" s="11" t="str">
        <f t="shared" si="4"/>
        <v>F5</v>
      </c>
      <c r="I383" s="10" t="str">
        <f t="shared" si="5"/>
        <v>BRN62G-F5</v>
      </c>
      <c r="J383" s="6"/>
      <c r="K383" s="16" t="str">
        <f t="shared" si="6"/>
        <v>collected</v>
      </c>
      <c r="L383" s="16" t="str">
        <f t="shared" si="7"/>
        <v>N</v>
      </c>
      <c r="M383" s="16"/>
      <c r="N383" s="16"/>
    </row>
    <row r="384">
      <c r="A384" s="44" t="s">
        <v>722</v>
      </c>
      <c r="B384" s="10" t="str">
        <f t="shared" si="1"/>
        <v>RNA-gill</v>
      </c>
      <c r="C384" s="10" t="str">
        <f t="shared" si="2"/>
        <v>BRN62G-E5</v>
      </c>
      <c r="D384" s="11">
        <f t="array" ref="D384">iferror(index('rna-muscle'!D:D,match(A384,'rna-muscle'!A:A,0)))</f>
        <v>62</v>
      </c>
      <c r="E384" s="10" t="str">
        <f t="shared" si="3"/>
        <v>BRN62G</v>
      </c>
      <c r="F384" s="11" t="str">
        <f t="array" ref="F384">iferror(index('rna-muscle'!F:F,match($A384,'rna-muscle'!$A:$A,0)))</f>
        <v>E</v>
      </c>
      <c r="G384" s="11">
        <f t="array" ref="G384">iferror(index('rna-muscle'!G:G,match($A384,'rna-muscle'!$A:$A,0)))</f>
        <v>5</v>
      </c>
      <c r="H384" s="11" t="str">
        <f t="shared" si="4"/>
        <v>E5</v>
      </c>
      <c r="I384" s="10" t="str">
        <f t="shared" si="5"/>
        <v>BRN62G-E5</v>
      </c>
      <c r="J384" s="6"/>
      <c r="K384" s="16" t="str">
        <f t="shared" si="6"/>
        <v>collected</v>
      </c>
      <c r="L384" s="16" t="str">
        <f t="shared" si="7"/>
        <v>N</v>
      </c>
      <c r="M384" s="16"/>
      <c r="N384" s="16"/>
    </row>
    <row r="385">
      <c r="A385" s="44" t="s">
        <v>723</v>
      </c>
      <c r="B385" s="10" t="str">
        <f t="shared" si="1"/>
        <v>RNA-gill</v>
      </c>
      <c r="C385" s="10" t="str">
        <f t="shared" si="2"/>
        <v>BRN62G-D5</v>
      </c>
      <c r="D385" s="11">
        <f t="array" ref="D385">iferror(index('rna-muscle'!D:D,match(A385,'rna-muscle'!A:A,0)))</f>
        <v>62</v>
      </c>
      <c r="E385" s="10" t="str">
        <f t="shared" si="3"/>
        <v>BRN62G</v>
      </c>
      <c r="F385" s="11" t="str">
        <f t="array" ref="F385">iferror(index('rna-muscle'!F:F,match($A385,'rna-muscle'!$A:$A,0)))</f>
        <v>D</v>
      </c>
      <c r="G385" s="11">
        <f t="array" ref="G385">iferror(index('rna-muscle'!G:G,match($A385,'rna-muscle'!$A:$A,0)))</f>
        <v>5</v>
      </c>
      <c r="H385" s="11" t="str">
        <f t="shared" si="4"/>
        <v>D5</v>
      </c>
      <c r="I385" s="10" t="str">
        <f t="shared" si="5"/>
        <v>BRN62G-D5</v>
      </c>
      <c r="J385" s="16"/>
      <c r="K385" s="16" t="str">
        <f t="shared" si="6"/>
        <v>collected</v>
      </c>
      <c r="L385" s="16" t="str">
        <f t="shared" si="7"/>
        <v>N</v>
      </c>
      <c r="M385" s="16"/>
      <c r="N385" s="16"/>
    </row>
    <row r="386">
      <c r="A386" s="44" t="s">
        <v>724</v>
      </c>
      <c r="B386" s="10" t="str">
        <f t="shared" si="1"/>
        <v>RNA-gill</v>
      </c>
      <c r="C386" s="10" t="str">
        <f t="shared" si="2"/>
        <v>BRN62G-C5</v>
      </c>
      <c r="D386" s="11">
        <f t="array" ref="D386">iferror(index('rna-muscle'!D:D,match(A386,'rna-muscle'!A:A,0)))</f>
        <v>62</v>
      </c>
      <c r="E386" s="10" t="str">
        <f t="shared" si="3"/>
        <v>BRN62G</v>
      </c>
      <c r="F386" s="11" t="str">
        <f t="array" ref="F386">iferror(index('rna-muscle'!F:F,match($A386,'rna-muscle'!$A:$A,0)))</f>
        <v>C</v>
      </c>
      <c r="G386" s="11">
        <f t="array" ref="G386">iferror(index('rna-muscle'!G:G,match($A386,'rna-muscle'!$A:$A,0)))</f>
        <v>5</v>
      </c>
      <c r="H386" s="11" t="str">
        <f t="shared" si="4"/>
        <v>C5</v>
      </c>
      <c r="I386" s="10" t="str">
        <f t="shared" si="5"/>
        <v>BRN62G-C5</v>
      </c>
      <c r="J386" s="16"/>
      <c r="K386" s="16" t="str">
        <f t="shared" si="6"/>
        <v>collected</v>
      </c>
      <c r="L386" s="16" t="str">
        <f t="shared" si="7"/>
        <v>N</v>
      </c>
      <c r="M386" s="16"/>
      <c r="N386" s="16"/>
    </row>
    <row r="387">
      <c r="A387" s="44" t="s">
        <v>726</v>
      </c>
      <c r="B387" s="10" t="str">
        <f t="shared" si="1"/>
        <v>RNA-gill</v>
      </c>
      <c r="C387" s="10" t="str">
        <f t="shared" si="2"/>
        <v>BRN62G-B5</v>
      </c>
      <c r="D387" s="11">
        <f t="array" ref="D387">iferror(index('rna-muscle'!D:D,match(A387,'rna-muscle'!A:A,0)))</f>
        <v>62</v>
      </c>
      <c r="E387" s="10" t="str">
        <f t="shared" si="3"/>
        <v>BRN62G</v>
      </c>
      <c r="F387" s="11" t="str">
        <f t="array" ref="F387">iferror(index('rna-muscle'!F:F,match($A387,'rna-muscle'!$A:$A,0)))</f>
        <v>B</v>
      </c>
      <c r="G387" s="11">
        <f t="array" ref="G387">iferror(index('rna-muscle'!G:G,match($A387,'rna-muscle'!$A:$A,0)))</f>
        <v>5</v>
      </c>
      <c r="H387" s="11" t="str">
        <f t="shared" si="4"/>
        <v>B5</v>
      </c>
      <c r="I387" s="10" t="str">
        <f t="shared" si="5"/>
        <v>BRN62G-B5</v>
      </c>
      <c r="J387" s="16"/>
      <c r="K387" s="16" t="str">
        <f t="shared" si="6"/>
        <v>collected</v>
      </c>
      <c r="L387" s="16" t="str">
        <f t="shared" si="7"/>
        <v>N</v>
      </c>
      <c r="M387" s="16"/>
      <c r="N387" s="16"/>
    </row>
    <row r="388">
      <c r="A388" s="44" t="s">
        <v>728</v>
      </c>
      <c r="B388" s="10" t="str">
        <f t="shared" si="1"/>
        <v>RNA-gill</v>
      </c>
      <c r="C388" s="10" t="str">
        <f t="shared" si="2"/>
        <v>BRN62G-A5</v>
      </c>
      <c r="D388" s="11">
        <f t="array" ref="D388">iferror(index('rna-muscle'!D:D,match(A388,'rna-muscle'!A:A,0)))</f>
        <v>62</v>
      </c>
      <c r="E388" s="10" t="str">
        <f t="shared" si="3"/>
        <v>BRN62G</v>
      </c>
      <c r="F388" s="11" t="str">
        <f t="array" ref="F388">iferror(index('rna-muscle'!F:F,match($A388,'rna-muscle'!$A:$A,0)))</f>
        <v>A</v>
      </c>
      <c r="G388" s="11">
        <f t="array" ref="G388">iferror(index('rna-muscle'!G:G,match($A388,'rna-muscle'!$A:$A,0)))</f>
        <v>5</v>
      </c>
      <c r="H388" s="11" t="str">
        <f t="shared" si="4"/>
        <v>A5</v>
      </c>
      <c r="I388" s="10" t="str">
        <f t="shared" si="5"/>
        <v>BRN62G-A5</v>
      </c>
      <c r="J388" s="16"/>
      <c r="K388" s="16" t="str">
        <f t="shared" si="6"/>
        <v>collected</v>
      </c>
      <c r="L388" s="16" t="str">
        <f t="shared" si="7"/>
        <v>N</v>
      </c>
      <c r="M388" s="16"/>
      <c r="N388" s="16"/>
    </row>
    <row r="389">
      <c r="A389" s="44" t="s">
        <v>729</v>
      </c>
      <c r="B389" s="10" t="str">
        <f t="shared" si="1"/>
        <v>RNA-gill</v>
      </c>
      <c r="C389" s="10" t="str">
        <f t="shared" si="2"/>
        <v>BRN62G-H7</v>
      </c>
      <c r="D389" s="11">
        <f t="array" ref="D389">iferror(index('rna-muscle'!D:D,match(A389,'rna-muscle'!A:A,0)))</f>
        <v>62</v>
      </c>
      <c r="E389" s="10" t="str">
        <f t="shared" si="3"/>
        <v>BRN62G</v>
      </c>
      <c r="F389" s="11" t="str">
        <f t="array" ref="F389">iferror(index('rna-muscle'!F:F,match($A389,'rna-muscle'!$A:$A,0)))</f>
        <v>H</v>
      </c>
      <c r="G389" s="11">
        <f t="array" ref="G389">iferror(index('rna-muscle'!G:G,match($A389,'rna-muscle'!$A:$A,0)))</f>
        <v>7</v>
      </c>
      <c r="H389" s="11" t="str">
        <f t="shared" si="4"/>
        <v>H7</v>
      </c>
      <c r="I389" s="10" t="str">
        <f t="shared" si="5"/>
        <v>BRN62G-H7</v>
      </c>
      <c r="J389" s="16"/>
      <c r="K389" s="16" t="str">
        <f t="shared" si="6"/>
        <v>collected</v>
      </c>
      <c r="L389" s="16" t="str">
        <f t="shared" si="7"/>
        <v>N</v>
      </c>
      <c r="M389" s="16"/>
      <c r="N389" s="16"/>
    </row>
    <row r="390">
      <c r="A390" s="44" t="s">
        <v>731</v>
      </c>
      <c r="B390" s="10" t="str">
        <f t="shared" si="1"/>
        <v>RNA-gill</v>
      </c>
      <c r="C390" s="10" t="str">
        <f t="shared" si="2"/>
        <v>BRN62G-G7</v>
      </c>
      <c r="D390" s="11">
        <f t="array" ref="D390">iferror(index('rna-muscle'!D:D,match(A390,'rna-muscle'!A:A,0)))</f>
        <v>62</v>
      </c>
      <c r="E390" s="10" t="str">
        <f t="shared" si="3"/>
        <v>BRN62G</v>
      </c>
      <c r="F390" s="11" t="str">
        <f t="array" ref="F390">iferror(index('rna-muscle'!F:F,match($A390,'rna-muscle'!$A:$A,0)))</f>
        <v>G</v>
      </c>
      <c r="G390" s="11">
        <f t="array" ref="G390">iferror(index('rna-muscle'!G:G,match($A390,'rna-muscle'!$A:$A,0)))</f>
        <v>7</v>
      </c>
      <c r="H390" s="11" t="str">
        <f t="shared" si="4"/>
        <v>G7</v>
      </c>
      <c r="I390" s="10" t="str">
        <f t="shared" si="5"/>
        <v>BRN62G-G7</v>
      </c>
      <c r="J390" s="16"/>
      <c r="K390" s="16" t="str">
        <f t="shared" si="6"/>
        <v>collected</v>
      </c>
      <c r="L390" s="16" t="str">
        <f t="shared" si="7"/>
        <v>N</v>
      </c>
      <c r="M390" s="16"/>
      <c r="N390" s="16"/>
    </row>
    <row r="391">
      <c r="A391" s="44" t="s">
        <v>734</v>
      </c>
      <c r="B391" s="10" t="str">
        <f t="shared" si="1"/>
        <v>RNA-gill</v>
      </c>
      <c r="C391" s="10" t="str">
        <f t="shared" si="2"/>
        <v>BRN62G-F7</v>
      </c>
      <c r="D391" s="11">
        <f t="array" ref="D391">iferror(index('rna-muscle'!D:D,match(A391,'rna-muscle'!A:A,0)))</f>
        <v>62</v>
      </c>
      <c r="E391" s="10" t="str">
        <f t="shared" si="3"/>
        <v>BRN62G</v>
      </c>
      <c r="F391" s="11" t="str">
        <f t="array" ref="F391">iferror(index('rna-muscle'!F:F,match($A391,'rna-muscle'!$A:$A,0)))</f>
        <v>F</v>
      </c>
      <c r="G391" s="11">
        <f t="array" ref="G391">iferror(index('rna-muscle'!G:G,match($A391,'rna-muscle'!$A:$A,0)))</f>
        <v>7</v>
      </c>
      <c r="H391" s="11" t="str">
        <f t="shared" si="4"/>
        <v>F7</v>
      </c>
      <c r="I391" s="10" t="str">
        <f t="shared" si="5"/>
        <v>BRN62G-F7</v>
      </c>
      <c r="J391" s="16"/>
      <c r="K391" s="16" t="str">
        <f t="shared" si="6"/>
        <v>collected</v>
      </c>
      <c r="L391" s="16" t="str">
        <f t="shared" si="7"/>
        <v>N</v>
      </c>
      <c r="M391" s="16"/>
      <c r="N391" s="16"/>
    </row>
    <row r="392">
      <c r="A392" s="6" t="s">
        <v>735</v>
      </c>
      <c r="B392" s="10" t="str">
        <f t="shared" si="1"/>
        <v>RNA-gill</v>
      </c>
      <c r="C392" s="10" t="str">
        <f t="shared" si="2"/>
        <v>BRN62G-A6</v>
      </c>
      <c r="D392" s="11">
        <f t="array" ref="D392">iferror(index('rna-muscle'!D:D,match(A392,'rna-muscle'!A:A,0)))</f>
        <v>62</v>
      </c>
      <c r="E392" s="10" t="str">
        <f t="shared" si="3"/>
        <v>BRN62G</v>
      </c>
      <c r="F392" s="11" t="str">
        <f t="array" ref="F392">iferror(index('rna-muscle'!F:F,match($A392,'rna-muscle'!$A:$A,0)))</f>
        <v>A</v>
      </c>
      <c r="G392" s="11">
        <f t="array" ref="G392">iferror(index('rna-muscle'!G:G,match($A392,'rna-muscle'!$A:$A,0)))</f>
        <v>6</v>
      </c>
      <c r="H392" s="11" t="str">
        <f t="shared" si="4"/>
        <v>A6</v>
      </c>
      <c r="I392" s="10" t="str">
        <f t="shared" si="5"/>
        <v>BRN62G-A6</v>
      </c>
      <c r="J392" s="16"/>
      <c r="K392" s="16" t="str">
        <f t="shared" si="6"/>
        <v>collected</v>
      </c>
      <c r="L392" s="16" t="str">
        <f t="shared" si="7"/>
        <v>N</v>
      </c>
      <c r="M392" s="16"/>
      <c r="N392" s="16"/>
    </row>
    <row r="393">
      <c r="A393" s="6" t="s">
        <v>736</v>
      </c>
      <c r="B393" s="10" t="str">
        <f t="shared" si="1"/>
        <v>RNA-gill</v>
      </c>
      <c r="C393" s="10" t="str">
        <f t="shared" si="2"/>
        <v>BRN62G-H8</v>
      </c>
      <c r="D393" s="11">
        <f t="array" ref="D393">iferror(index('rna-muscle'!D:D,match(A393,'rna-muscle'!A:A,0)))</f>
        <v>62</v>
      </c>
      <c r="E393" s="10" t="str">
        <f t="shared" si="3"/>
        <v>BRN62G</v>
      </c>
      <c r="F393" s="11" t="str">
        <f t="array" ref="F393">iferror(index('rna-muscle'!F:F,match($A393,'rna-muscle'!$A:$A,0)))</f>
        <v>H</v>
      </c>
      <c r="G393" s="11">
        <f t="array" ref="G393">iferror(index('rna-muscle'!G:G,match($A393,'rna-muscle'!$A:$A,0)))</f>
        <v>8</v>
      </c>
      <c r="H393" s="11" t="str">
        <f t="shared" si="4"/>
        <v>H8</v>
      </c>
      <c r="I393" s="10" t="str">
        <f t="shared" si="5"/>
        <v>BRN62G-H8</v>
      </c>
      <c r="J393" s="16"/>
      <c r="K393" s="16" t="str">
        <f t="shared" si="6"/>
        <v>collected</v>
      </c>
      <c r="L393" s="16" t="str">
        <f t="shared" si="7"/>
        <v>N</v>
      </c>
      <c r="M393" s="16"/>
      <c r="N393" s="16"/>
    </row>
    <row r="394">
      <c r="A394" s="6" t="s">
        <v>738</v>
      </c>
      <c r="B394" s="10" t="str">
        <f t="shared" si="1"/>
        <v>RNA-gill</v>
      </c>
      <c r="C394" s="10" t="str">
        <f t="shared" si="2"/>
        <v>BRN62G-G8</v>
      </c>
      <c r="D394" s="11">
        <f t="array" ref="D394">iferror(index('rna-muscle'!D:D,match(A394,'rna-muscle'!A:A,0)))</f>
        <v>62</v>
      </c>
      <c r="E394" s="10" t="str">
        <f t="shared" si="3"/>
        <v>BRN62G</v>
      </c>
      <c r="F394" s="11" t="str">
        <f t="array" ref="F394">iferror(index('rna-muscle'!F:F,match($A394,'rna-muscle'!$A:$A,0)))</f>
        <v>G</v>
      </c>
      <c r="G394" s="11">
        <f t="array" ref="G394">iferror(index('rna-muscle'!G:G,match($A394,'rna-muscle'!$A:$A,0)))</f>
        <v>8</v>
      </c>
      <c r="H394" s="11" t="str">
        <f t="shared" si="4"/>
        <v>G8</v>
      </c>
      <c r="I394" s="10" t="str">
        <f t="shared" si="5"/>
        <v>BRN62G-G8</v>
      </c>
      <c r="J394" s="16"/>
      <c r="K394" s="16" t="str">
        <f t="shared" si="6"/>
        <v>collected</v>
      </c>
      <c r="L394" s="16" t="str">
        <f t="shared" si="7"/>
        <v>N</v>
      </c>
      <c r="M394" s="16"/>
      <c r="N394" s="16"/>
    </row>
    <row r="395">
      <c r="A395" s="6" t="s">
        <v>740</v>
      </c>
      <c r="B395" s="10" t="str">
        <f t="shared" si="1"/>
        <v>RNA-gill</v>
      </c>
      <c r="C395" s="10" t="str">
        <f t="shared" si="2"/>
        <v>BRN62G-F8</v>
      </c>
      <c r="D395" s="11">
        <f t="array" ref="D395">iferror(index('rna-muscle'!D:D,match(A395,'rna-muscle'!A:A,0)))</f>
        <v>62</v>
      </c>
      <c r="E395" s="10" t="str">
        <f t="shared" si="3"/>
        <v>BRN62G</v>
      </c>
      <c r="F395" s="11" t="str">
        <f t="array" ref="F395">iferror(index('rna-muscle'!F:F,match($A395,'rna-muscle'!$A:$A,0)))</f>
        <v>F</v>
      </c>
      <c r="G395" s="11">
        <f t="array" ref="G395">iferror(index('rna-muscle'!G:G,match($A395,'rna-muscle'!$A:$A,0)))</f>
        <v>8</v>
      </c>
      <c r="H395" s="11" t="str">
        <f t="shared" si="4"/>
        <v>F8</v>
      </c>
      <c r="I395" s="10" t="str">
        <f t="shared" si="5"/>
        <v>BRN62G-F8</v>
      </c>
      <c r="J395" s="16"/>
      <c r="K395" s="16" t="str">
        <f t="shared" si="6"/>
        <v>collected</v>
      </c>
      <c r="L395" s="16" t="str">
        <f t="shared" si="7"/>
        <v>N</v>
      </c>
      <c r="M395" s="16"/>
      <c r="N395" s="16"/>
    </row>
    <row r="396">
      <c r="A396" s="6" t="s">
        <v>741</v>
      </c>
      <c r="B396" s="10" t="str">
        <f t="shared" si="1"/>
        <v>RNA-gill</v>
      </c>
      <c r="C396" s="10" t="str">
        <f t="shared" si="2"/>
        <v>BRN62G-E8</v>
      </c>
      <c r="D396" s="11">
        <f t="array" ref="D396">iferror(index('rna-muscle'!D:D,match(A396,'rna-muscle'!A:A,0)))</f>
        <v>62</v>
      </c>
      <c r="E396" s="10" t="str">
        <f t="shared" si="3"/>
        <v>BRN62G</v>
      </c>
      <c r="F396" s="11" t="str">
        <f t="array" ref="F396">iferror(index('rna-muscle'!F:F,match($A396,'rna-muscle'!$A:$A,0)))</f>
        <v>E</v>
      </c>
      <c r="G396" s="11">
        <f t="array" ref="G396">iferror(index('rna-muscle'!G:G,match($A396,'rna-muscle'!$A:$A,0)))</f>
        <v>8</v>
      </c>
      <c r="H396" s="11" t="str">
        <f t="shared" si="4"/>
        <v>E8</v>
      </c>
      <c r="I396" s="10" t="str">
        <f t="shared" si="5"/>
        <v>BRN62G-E8</v>
      </c>
      <c r="J396" s="16"/>
      <c r="K396" s="16" t="str">
        <f t="shared" si="6"/>
        <v>collected</v>
      </c>
      <c r="L396" s="16" t="str">
        <f t="shared" si="7"/>
        <v>N</v>
      </c>
      <c r="M396" s="16"/>
      <c r="N396" s="16"/>
    </row>
    <row r="397">
      <c r="A397" s="26" t="s">
        <v>743</v>
      </c>
      <c r="B397" s="10" t="str">
        <f t="shared" si="1"/>
        <v>RNA-gill</v>
      </c>
      <c r="C397" s="10" t="str">
        <f t="shared" si="2"/>
        <v>BRN62G-D8</v>
      </c>
      <c r="D397" s="11">
        <f t="array" ref="D397">iferror(index('rna-muscle'!D:D,match(A397,'rna-muscle'!A:A,0)))</f>
        <v>62</v>
      </c>
      <c r="E397" s="10" t="str">
        <f t="shared" si="3"/>
        <v>BRN62G</v>
      </c>
      <c r="F397" s="11" t="str">
        <f t="array" ref="F397">iferror(index('rna-muscle'!F:F,match($A397,'rna-muscle'!$A:$A,0)))</f>
        <v>D</v>
      </c>
      <c r="G397" s="11">
        <f t="array" ref="G397">iferror(index('rna-muscle'!G:G,match($A397,'rna-muscle'!$A:$A,0)))</f>
        <v>8</v>
      </c>
      <c r="H397" s="11" t="str">
        <f t="shared" si="4"/>
        <v>D8</v>
      </c>
      <c r="I397" s="10" t="str">
        <f t="shared" si="5"/>
        <v>BRN62G-D8</v>
      </c>
      <c r="J397" s="16"/>
      <c r="K397" s="16" t="str">
        <f t="shared" si="6"/>
        <v>collected</v>
      </c>
      <c r="L397" s="16" t="str">
        <f t="shared" si="7"/>
        <v>N</v>
      </c>
      <c r="M397" s="16"/>
      <c r="N397" s="16"/>
    </row>
    <row r="398">
      <c r="A398" s="26" t="s">
        <v>744</v>
      </c>
      <c r="B398" s="10" t="str">
        <f t="shared" si="1"/>
        <v>RNA-gill</v>
      </c>
      <c r="C398" s="10" t="str">
        <f t="shared" si="2"/>
        <v>BRN62G-C8</v>
      </c>
      <c r="D398" s="11">
        <f t="array" ref="D398">iferror(index('rna-muscle'!D:D,match(A398,'rna-muscle'!A:A,0)))</f>
        <v>62</v>
      </c>
      <c r="E398" s="10" t="str">
        <f t="shared" si="3"/>
        <v>BRN62G</v>
      </c>
      <c r="F398" s="11" t="str">
        <f t="array" ref="F398">iferror(index('rna-muscle'!F:F,match($A398,'rna-muscle'!$A:$A,0)))</f>
        <v>C</v>
      </c>
      <c r="G398" s="11">
        <f t="array" ref="G398">iferror(index('rna-muscle'!G:G,match($A398,'rna-muscle'!$A:$A,0)))</f>
        <v>8</v>
      </c>
      <c r="H398" s="11" t="str">
        <f t="shared" si="4"/>
        <v>C8</v>
      </c>
      <c r="I398" s="10" t="str">
        <f t="shared" si="5"/>
        <v>BRN62G-C8</v>
      </c>
      <c r="J398" s="16"/>
      <c r="K398" s="16" t="str">
        <f t="shared" si="6"/>
        <v>collected</v>
      </c>
      <c r="L398" s="16" t="str">
        <f t="shared" si="7"/>
        <v>N</v>
      </c>
      <c r="M398" s="16"/>
      <c r="N398" s="16"/>
    </row>
    <row r="399">
      <c r="A399" s="26" t="s">
        <v>745</v>
      </c>
      <c r="B399" s="10" t="str">
        <f t="shared" si="1"/>
        <v>RNA-gill</v>
      </c>
      <c r="C399" s="10" t="str">
        <f t="shared" si="2"/>
        <v>BRN62G-B8</v>
      </c>
      <c r="D399" s="11">
        <f t="array" ref="D399">iferror(index('rna-muscle'!D:D,match(A399,'rna-muscle'!A:A,0)))</f>
        <v>62</v>
      </c>
      <c r="E399" s="10" t="str">
        <f t="shared" si="3"/>
        <v>BRN62G</v>
      </c>
      <c r="F399" s="11" t="str">
        <f t="array" ref="F399">iferror(index('rna-muscle'!F:F,match($A399,'rna-muscle'!$A:$A,0)))</f>
        <v>B</v>
      </c>
      <c r="G399" s="11">
        <f t="array" ref="G399">iferror(index('rna-muscle'!G:G,match($A399,'rna-muscle'!$A:$A,0)))</f>
        <v>8</v>
      </c>
      <c r="H399" s="11" t="str">
        <f t="shared" si="4"/>
        <v>B8</v>
      </c>
      <c r="I399" s="10" t="str">
        <f t="shared" si="5"/>
        <v>BRN62G-B8</v>
      </c>
      <c r="J399" s="16"/>
      <c r="K399" s="16" t="str">
        <f t="shared" si="6"/>
        <v>collected</v>
      </c>
      <c r="L399" s="16" t="str">
        <f t="shared" si="7"/>
        <v>N</v>
      </c>
      <c r="M399" s="16"/>
      <c r="N399" s="16"/>
    </row>
    <row r="400">
      <c r="A400" s="26" t="s">
        <v>747</v>
      </c>
      <c r="B400" s="10" t="str">
        <f t="shared" si="1"/>
        <v>RNA-gill</v>
      </c>
      <c r="C400" s="10" t="str">
        <f t="shared" si="2"/>
        <v>BRN62G-A8</v>
      </c>
      <c r="D400" s="11">
        <f t="array" ref="D400">iferror(index('rna-muscle'!D:D,match(A400,'rna-muscle'!A:A,0)))</f>
        <v>62</v>
      </c>
      <c r="E400" s="10" t="str">
        <f t="shared" si="3"/>
        <v>BRN62G</v>
      </c>
      <c r="F400" s="11" t="str">
        <f t="array" ref="F400">iferror(index('rna-muscle'!F:F,match($A400,'rna-muscle'!$A:$A,0)))</f>
        <v>A</v>
      </c>
      <c r="G400" s="11">
        <f t="array" ref="G400">iferror(index('rna-muscle'!G:G,match($A400,'rna-muscle'!$A:$A,0)))</f>
        <v>8</v>
      </c>
      <c r="H400" s="11" t="str">
        <f t="shared" si="4"/>
        <v>A8</v>
      </c>
      <c r="I400" s="10" t="str">
        <f t="shared" si="5"/>
        <v>BRN62G-A8</v>
      </c>
      <c r="J400" s="16"/>
      <c r="K400" s="16" t="str">
        <f t="shared" si="6"/>
        <v>collected</v>
      </c>
      <c r="L400" s="16" t="str">
        <f t="shared" si="7"/>
        <v>N</v>
      </c>
      <c r="M400" s="16"/>
      <c r="N400" s="16"/>
    </row>
    <row r="401">
      <c r="A401" s="26" t="s">
        <v>749</v>
      </c>
      <c r="B401" s="10" t="str">
        <f t="shared" si="1"/>
        <v>RNA-gill</v>
      </c>
      <c r="C401" s="10" t="str">
        <f t="shared" si="2"/>
        <v>BRN62G-H10</v>
      </c>
      <c r="D401" s="11">
        <f t="array" ref="D401">iferror(index('rna-muscle'!D:D,match(A401,'rna-muscle'!A:A,0)))</f>
        <v>62</v>
      </c>
      <c r="E401" s="10" t="str">
        <f t="shared" si="3"/>
        <v>BRN62G</v>
      </c>
      <c r="F401" s="11" t="str">
        <f t="array" ref="F401">iferror(index('rna-muscle'!F:F,match($A401,'rna-muscle'!$A:$A,0)))</f>
        <v>H</v>
      </c>
      <c r="G401" s="11">
        <f t="array" ref="G401">iferror(index('rna-muscle'!G:G,match($A401,'rna-muscle'!$A:$A,0)))</f>
        <v>10</v>
      </c>
      <c r="H401" s="11" t="str">
        <f t="shared" si="4"/>
        <v>H10</v>
      </c>
      <c r="I401" s="10" t="str">
        <f t="shared" si="5"/>
        <v>BRN62G-H10</v>
      </c>
      <c r="J401" s="16"/>
      <c r="K401" s="16" t="str">
        <f t="shared" si="6"/>
        <v>collected</v>
      </c>
      <c r="L401" s="16" t="str">
        <f t="shared" si="7"/>
        <v>N</v>
      </c>
      <c r="M401" s="16"/>
      <c r="N401" s="16"/>
    </row>
    <row r="402">
      <c r="A402" s="26" t="s">
        <v>751</v>
      </c>
      <c r="B402" s="10" t="str">
        <f t="shared" si="1"/>
        <v>RNA-gill</v>
      </c>
      <c r="C402" s="10" t="str">
        <f t="shared" si="2"/>
        <v>BRN62G-G10</v>
      </c>
      <c r="D402" s="11">
        <f t="array" ref="D402">iferror(index('rna-muscle'!D:D,match(A402,'rna-muscle'!A:A,0)))</f>
        <v>62</v>
      </c>
      <c r="E402" s="10" t="str">
        <f t="shared" si="3"/>
        <v>BRN62G</v>
      </c>
      <c r="F402" s="11" t="str">
        <f t="array" ref="F402">iferror(index('rna-muscle'!F:F,match($A402,'rna-muscle'!$A:$A,0)))</f>
        <v>G</v>
      </c>
      <c r="G402" s="11">
        <f t="array" ref="G402">iferror(index('rna-muscle'!G:G,match($A402,'rna-muscle'!$A:$A,0)))</f>
        <v>10</v>
      </c>
      <c r="H402" s="11" t="str">
        <f t="shared" si="4"/>
        <v>G10</v>
      </c>
      <c r="I402" s="10" t="str">
        <f t="shared" si="5"/>
        <v>BRN62G-G10</v>
      </c>
      <c r="J402" s="16"/>
      <c r="K402" s="16" t="str">
        <f t="shared" si="6"/>
        <v>collected</v>
      </c>
      <c r="L402" s="16" t="str">
        <f t="shared" si="7"/>
        <v>N</v>
      </c>
      <c r="M402" s="16"/>
      <c r="N402" s="16"/>
    </row>
    <row r="403">
      <c r="A403" s="26" t="s">
        <v>753</v>
      </c>
      <c r="B403" s="10" t="str">
        <f t="shared" si="1"/>
        <v>RNA-gill</v>
      </c>
      <c r="C403" s="10" t="str">
        <f t="shared" si="2"/>
        <v>BRN62G-F10</v>
      </c>
      <c r="D403" s="11">
        <f t="array" ref="D403">iferror(index('rna-muscle'!D:D,match(A403,'rna-muscle'!A:A,0)))</f>
        <v>62</v>
      </c>
      <c r="E403" s="10" t="str">
        <f t="shared" si="3"/>
        <v>BRN62G</v>
      </c>
      <c r="F403" s="11" t="str">
        <f t="array" ref="F403">iferror(index('rna-muscle'!F:F,match($A403,'rna-muscle'!$A:$A,0)))</f>
        <v>F</v>
      </c>
      <c r="G403" s="11">
        <f t="array" ref="G403">iferror(index('rna-muscle'!G:G,match($A403,'rna-muscle'!$A:$A,0)))</f>
        <v>10</v>
      </c>
      <c r="H403" s="11" t="str">
        <f t="shared" si="4"/>
        <v>F10</v>
      </c>
      <c r="I403" s="10" t="str">
        <f t="shared" si="5"/>
        <v>BRN62G-F10</v>
      </c>
      <c r="J403" s="16"/>
      <c r="K403" s="16" t="str">
        <f t="shared" si="6"/>
        <v>collected</v>
      </c>
      <c r="L403" s="16" t="str">
        <f t="shared" si="7"/>
        <v>N</v>
      </c>
      <c r="M403" s="16"/>
      <c r="N403" s="16"/>
    </row>
    <row r="404">
      <c r="A404" s="27" t="s">
        <v>755</v>
      </c>
      <c r="B404" s="10" t="str">
        <f t="shared" si="1"/>
        <v>RNA-gill</v>
      </c>
      <c r="C404" s="10" t="str">
        <f t="shared" si="2"/>
        <v>BRN62G-E10</v>
      </c>
      <c r="D404" s="11">
        <f t="array" ref="D404">iferror(index('rna-muscle'!D:D,match(A404,'rna-muscle'!A:A,0)))</f>
        <v>62</v>
      </c>
      <c r="E404" s="10" t="str">
        <f t="shared" si="3"/>
        <v>BRN62G</v>
      </c>
      <c r="F404" s="11" t="str">
        <f t="array" ref="F404">iferror(index('rna-muscle'!F:F,match($A404,'rna-muscle'!$A:$A,0)))</f>
        <v>E</v>
      </c>
      <c r="G404" s="11">
        <f t="array" ref="G404">iferror(index('rna-muscle'!G:G,match($A404,'rna-muscle'!$A:$A,0)))</f>
        <v>10</v>
      </c>
      <c r="H404" s="11" t="str">
        <f t="shared" si="4"/>
        <v>E10</v>
      </c>
      <c r="I404" s="10" t="str">
        <f t="shared" si="5"/>
        <v>BRN62G-E10</v>
      </c>
      <c r="J404" s="16"/>
      <c r="K404" s="16" t="str">
        <f t="shared" si="6"/>
        <v>collected</v>
      </c>
      <c r="L404" s="16" t="str">
        <f t="shared" si="7"/>
        <v>N</v>
      </c>
      <c r="M404" s="16"/>
      <c r="N404" s="16"/>
    </row>
    <row r="405">
      <c r="A405" s="27" t="s">
        <v>757</v>
      </c>
      <c r="B405" s="10" t="str">
        <f t="shared" si="1"/>
        <v>RNA-gill</v>
      </c>
      <c r="C405" s="10" t="str">
        <f t="shared" si="2"/>
        <v>BRN62G-D10</v>
      </c>
      <c r="D405" s="11">
        <f t="array" ref="D405">iferror(index('rna-muscle'!D:D,match(A405,'rna-muscle'!A:A,0)))</f>
        <v>62</v>
      </c>
      <c r="E405" s="10" t="str">
        <f t="shared" si="3"/>
        <v>BRN62G</v>
      </c>
      <c r="F405" s="11" t="str">
        <f t="array" ref="F405">iferror(index('rna-muscle'!F:F,match($A405,'rna-muscle'!$A:$A,0)))</f>
        <v>D</v>
      </c>
      <c r="G405" s="11">
        <f t="array" ref="G405">iferror(index('rna-muscle'!G:G,match($A405,'rna-muscle'!$A:$A,0)))</f>
        <v>10</v>
      </c>
      <c r="H405" s="11" t="str">
        <f t="shared" si="4"/>
        <v>D10</v>
      </c>
      <c r="I405" s="10" t="str">
        <f t="shared" si="5"/>
        <v>BRN62G-D10</v>
      </c>
      <c r="J405" s="6"/>
      <c r="K405" s="16" t="str">
        <f t="shared" si="6"/>
        <v>collected</v>
      </c>
      <c r="L405" s="16" t="str">
        <f t="shared" si="7"/>
        <v>N</v>
      </c>
      <c r="M405" s="16"/>
      <c r="N405" s="16"/>
    </row>
    <row r="406">
      <c r="A406" s="27" t="s">
        <v>758</v>
      </c>
      <c r="B406" s="10" t="str">
        <f t="shared" si="1"/>
        <v>RNA-gill</v>
      </c>
      <c r="C406" s="10" t="str">
        <f t="shared" si="2"/>
        <v>BRN62G-C10</v>
      </c>
      <c r="D406" s="11">
        <f t="array" ref="D406">iferror(index('rna-muscle'!D:D,match(A406,'rna-muscle'!A:A,0)))</f>
        <v>62</v>
      </c>
      <c r="E406" s="10" t="str">
        <f t="shared" si="3"/>
        <v>BRN62G</v>
      </c>
      <c r="F406" s="11" t="str">
        <f t="array" ref="F406">iferror(index('rna-muscle'!F:F,match($A406,'rna-muscle'!$A:$A,0)))</f>
        <v>C</v>
      </c>
      <c r="G406" s="11">
        <f t="array" ref="G406">iferror(index('rna-muscle'!G:G,match($A406,'rna-muscle'!$A:$A,0)))</f>
        <v>10</v>
      </c>
      <c r="H406" s="11" t="str">
        <f t="shared" si="4"/>
        <v>C10</v>
      </c>
      <c r="I406" s="10" t="str">
        <f t="shared" si="5"/>
        <v>BRN62G-C10</v>
      </c>
      <c r="J406" s="6"/>
      <c r="K406" s="16" t="str">
        <f t="shared" si="6"/>
        <v>collected</v>
      </c>
      <c r="L406" s="16" t="str">
        <f t="shared" si="7"/>
        <v>N</v>
      </c>
      <c r="M406" s="16"/>
      <c r="N406" s="16"/>
    </row>
    <row r="407">
      <c r="A407" s="27" t="s">
        <v>760</v>
      </c>
      <c r="B407" s="10" t="str">
        <f t="shared" si="1"/>
        <v>RNA-gill</v>
      </c>
      <c r="C407" s="10" t="str">
        <f t="shared" si="2"/>
        <v>BRN62G-B10</v>
      </c>
      <c r="D407" s="11">
        <f t="array" ref="D407">iferror(index('rna-muscle'!D:D,match(A407,'rna-muscle'!A:A,0)))</f>
        <v>62</v>
      </c>
      <c r="E407" s="10" t="str">
        <f t="shared" si="3"/>
        <v>BRN62G</v>
      </c>
      <c r="F407" s="11" t="str">
        <f t="array" ref="F407">iferror(index('rna-muscle'!F:F,match($A407,'rna-muscle'!$A:$A,0)))</f>
        <v>B</v>
      </c>
      <c r="G407" s="11">
        <f t="array" ref="G407">iferror(index('rna-muscle'!G:G,match($A407,'rna-muscle'!$A:$A,0)))</f>
        <v>10</v>
      </c>
      <c r="H407" s="11" t="str">
        <f t="shared" si="4"/>
        <v>B10</v>
      </c>
      <c r="I407" s="10" t="str">
        <f t="shared" si="5"/>
        <v>BRN62G-B10</v>
      </c>
      <c r="J407" s="16"/>
      <c r="K407" s="16" t="str">
        <f t="shared" si="6"/>
        <v>collected</v>
      </c>
      <c r="L407" s="16" t="str">
        <f t="shared" si="7"/>
        <v>N</v>
      </c>
      <c r="M407" s="16"/>
      <c r="N407" s="16"/>
    </row>
    <row r="408">
      <c r="A408" s="27" t="s">
        <v>762</v>
      </c>
      <c r="B408" s="10" t="str">
        <f t="shared" si="1"/>
        <v>RNA-gill</v>
      </c>
      <c r="C408" s="10" t="str">
        <f t="shared" si="2"/>
        <v>BRN62G-A10</v>
      </c>
      <c r="D408" s="11">
        <f t="array" ref="D408">iferror(index('rna-muscle'!D:D,match(A408,'rna-muscle'!A:A,0)))</f>
        <v>62</v>
      </c>
      <c r="E408" s="10" t="str">
        <f t="shared" si="3"/>
        <v>BRN62G</v>
      </c>
      <c r="F408" s="11" t="str">
        <f t="array" ref="F408">iferror(index('rna-muscle'!F:F,match($A408,'rna-muscle'!$A:$A,0)))</f>
        <v>A</v>
      </c>
      <c r="G408" s="11">
        <f t="array" ref="G408">iferror(index('rna-muscle'!G:G,match($A408,'rna-muscle'!$A:$A,0)))</f>
        <v>10</v>
      </c>
      <c r="H408" s="11" t="str">
        <f t="shared" si="4"/>
        <v>A10</v>
      </c>
      <c r="I408" s="10" t="str">
        <f t="shared" si="5"/>
        <v>BRN62G-A10</v>
      </c>
      <c r="J408" s="16"/>
      <c r="K408" s="16" t="str">
        <f t="shared" si="6"/>
        <v>collected</v>
      </c>
      <c r="L408" s="16" t="str">
        <f t="shared" si="7"/>
        <v>N</v>
      </c>
      <c r="M408" s="16"/>
      <c r="N408" s="16"/>
    </row>
    <row r="409">
      <c r="A409" s="40" t="s">
        <v>763</v>
      </c>
      <c r="B409" s="10" t="str">
        <f t="shared" si="1"/>
        <v>RNA-gill</v>
      </c>
      <c r="C409" s="10" t="str">
        <f t="shared" si="2"/>
        <v>BRN62G-E7</v>
      </c>
      <c r="D409" s="11">
        <f t="array" ref="D409">iferror(index('rna-muscle'!D:D,match(A409,'rna-muscle'!A:A,0)))</f>
        <v>62</v>
      </c>
      <c r="E409" s="10" t="str">
        <f t="shared" si="3"/>
        <v>BRN62G</v>
      </c>
      <c r="F409" s="11" t="str">
        <f t="array" ref="F409">iferror(index('rna-muscle'!F:F,match($A409,'rna-muscle'!$A:$A,0)))</f>
        <v>E</v>
      </c>
      <c r="G409" s="11">
        <f t="array" ref="G409">iferror(index('rna-muscle'!G:G,match($A409,'rna-muscle'!$A:$A,0)))</f>
        <v>7</v>
      </c>
      <c r="H409" s="11" t="str">
        <f t="shared" si="4"/>
        <v>E7</v>
      </c>
      <c r="I409" s="10" t="str">
        <f t="shared" si="5"/>
        <v>BRN62G-E7</v>
      </c>
      <c r="J409" s="16"/>
      <c r="K409" s="16" t="str">
        <f t="shared" si="6"/>
        <v>collected</v>
      </c>
      <c r="L409" s="16" t="str">
        <f t="shared" si="7"/>
        <v>N</v>
      </c>
      <c r="M409" s="16"/>
      <c r="N409" s="16"/>
    </row>
    <row r="410">
      <c r="A410" s="40" t="s">
        <v>764</v>
      </c>
      <c r="B410" s="10" t="str">
        <f t="shared" si="1"/>
        <v>RNA-gill</v>
      </c>
      <c r="C410" s="10" t="str">
        <f t="shared" si="2"/>
        <v>BRN62G-D7</v>
      </c>
      <c r="D410" s="11">
        <f t="array" ref="D410">iferror(index('rna-muscle'!D:D,match(A410,'rna-muscle'!A:A,0)))</f>
        <v>62</v>
      </c>
      <c r="E410" s="10" t="str">
        <f t="shared" si="3"/>
        <v>BRN62G</v>
      </c>
      <c r="F410" s="11" t="str">
        <f t="array" ref="F410">iferror(index('rna-muscle'!F:F,match($A410,'rna-muscle'!$A:$A,0)))</f>
        <v>D</v>
      </c>
      <c r="G410" s="11">
        <f t="array" ref="G410">iferror(index('rna-muscle'!G:G,match($A410,'rna-muscle'!$A:$A,0)))</f>
        <v>7</v>
      </c>
      <c r="H410" s="11" t="str">
        <f t="shared" si="4"/>
        <v>D7</v>
      </c>
      <c r="I410" s="10" t="str">
        <f t="shared" si="5"/>
        <v>BRN62G-D7</v>
      </c>
      <c r="J410" s="16"/>
      <c r="K410" s="16" t="str">
        <f t="shared" si="6"/>
        <v>collected</v>
      </c>
      <c r="L410" s="16" t="str">
        <f t="shared" si="7"/>
        <v>N</v>
      </c>
      <c r="M410" s="16"/>
      <c r="N410" s="16"/>
    </row>
    <row r="411">
      <c r="A411" s="40" t="s">
        <v>767</v>
      </c>
      <c r="B411" s="10" t="str">
        <f t="shared" si="1"/>
        <v>RNA-gill</v>
      </c>
      <c r="C411" s="10" t="str">
        <f t="shared" si="2"/>
        <v>BRN62G-C7</v>
      </c>
      <c r="D411" s="11">
        <f t="array" ref="D411">iferror(index('rna-muscle'!D:D,match(A411,'rna-muscle'!A:A,0)))</f>
        <v>62</v>
      </c>
      <c r="E411" s="10" t="str">
        <f t="shared" si="3"/>
        <v>BRN62G</v>
      </c>
      <c r="F411" s="11" t="str">
        <f t="array" ref="F411">iferror(index('rna-muscle'!F:F,match($A411,'rna-muscle'!$A:$A,0)))</f>
        <v>C</v>
      </c>
      <c r="G411" s="11">
        <f t="array" ref="G411">iferror(index('rna-muscle'!G:G,match($A411,'rna-muscle'!$A:$A,0)))</f>
        <v>7</v>
      </c>
      <c r="H411" s="11" t="str">
        <f t="shared" si="4"/>
        <v>C7</v>
      </c>
      <c r="I411" s="10" t="str">
        <f t="shared" si="5"/>
        <v>BRN62G-C7</v>
      </c>
      <c r="J411" s="16"/>
      <c r="K411" s="16" t="str">
        <f t="shared" si="6"/>
        <v>collected</v>
      </c>
      <c r="L411" s="16" t="str">
        <f t="shared" si="7"/>
        <v>N</v>
      </c>
      <c r="M411" s="16"/>
      <c r="N411" s="16"/>
    </row>
    <row r="412">
      <c r="A412" s="40" t="s">
        <v>768</v>
      </c>
      <c r="B412" s="10" t="str">
        <f t="shared" si="1"/>
        <v>RNA-gill</v>
      </c>
      <c r="C412" s="10" t="str">
        <f t="shared" si="2"/>
        <v>BRN62G-B7</v>
      </c>
      <c r="D412" s="11">
        <f t="array" ref="D412">iferror(index('rna-muscle'!D:D,match(A412,'rna-muscle'!A:A,0)))</f>
        <v>62</v>
      </c>
      <c r="E412" s="10" t="str">
        <f t="shared" si="3"/>
        <v>BRN62G</v>
      </c>
      <c r="F412" s="11" t="str">
        <f t="array" ref="F412">iferror(index('rna-muscle'!F:F,match($A412,'rna-muscle'!$A:$A,0)))</f>
        <v>B</v>
      </c>
      <c r="G412" s="11">
        <f t="array" ref="G412">iferror(index('rna-muscle'!G:G,match($A412,'rna-muscle'!$A:$A,0)))</f>
        <v>7</v>
      </c>
      <c r="H412" s="11" t="str">
        <f t="shared" si="4"/>
        <v>B7</v>
      </c>
      <c r="I412" s="10" t="str">
        <f t="shared" si="5"/>
        <v>BRN62G-B7</v>
      </c>
      <c r="J412" s="16"/>
      <c r="K412" s="16" t="str">
        <f t="shared" si="6"/>
        <v>collected</v>
      </c>
      <c r="L412" s="16" t="str">
        <f t="shared" si="7"/>
        <v>N</v>
      </c>
      <c r="M412" s="16"/>
      <c r="N412" s="16"/>
    </row>
    <row r="413">
      <c r="A413" s="40" t="s">
        <v>770</v>
      </c>
      <c r="B413" s="10" t="str">
        <f t="shared" si="1"/>
        <v>RNA-gill</v>
      </c>
      <c r="C413" s="10" t="str">
        <f t="shared" si="2"/>
        <v>BRN62G-A7</v>
      </c>
      <c r="D413" s="11">
        <f t="array" ref="D413">iferror(index('rna-muscle'!D:D,match(A413,'rna-muscle'!A:A,0)))</f>
        <v>62</v>
      </c>
      <c r="E413" s="10" t="str">
        <f t="shared" si="3"/>
        <v>BRN62G</v>
      </c>
      <c r="F413" s="11" t="str">
        <f t="array" ref="F413">iferror(index('rna-muscle'!F:F,match($A413,'rna-muscle'!$A:$A,0)))</f>
        <v>A</v>
      </c>
      <c r="G413" s="11">
        <f t="array" ref="G413">iferror(index('rna-muscle'!G:G,match($A413,'rna-muscle'!$A:$A,0)))</f>
        <v>7</v>
      </c>
      <c r="H413" s="11" t="str">
        <f t="shared" si="4"/>
        <v>A7</v>
      </c>
      <c r="I413" s="10" t="str">
        <f t="shared" si="5"/>
        <v>BRN62G-A7</v>
      </c>
      <c r="J413" s="16"/>
      <c r="K413" s="16" t="str">
        <f t="shared" si="6"/>
        <v>collected</v>
      </c>
      <c r="L413" s="16" t="str">
        <f t="shared" si="7"/>
        <v>N</v>
      </c>
      <c r="M413" s="16"/>
      <c r="N413" s="16"/>
    </row>
    <row r="414">
      <c r="A414" s="40" t="s">
        <v>771</v>
      </c>
      <c r="B414" s="10" t="str">
        <f t="shared" si="1"/>
        <v>RNA-gill</v>
      </c>
      <c r="C414" s="10" t="str">
        <f t="shared" si="2"/>
        <v>BRN62G-H9</v>
      </c>
      <c r="D414" s="11">
        <f t="array" ref="D414">iferror(index('rna-muscle'!D:D,match(A414,'rna-muscle'!A:A,0)))</f>
        <v>62</v>
      </c>
      <c r="E414" s="10" t="str">
        <f t="shared" si="3"/>
        <v>BRN62G</v>
      </c>
      <c r="F414" s="11" t="str">
        <f t="array" ref="F414">iferror(index('rna-muscle'!F:F,match($A414,'rna-muscle'!$A:$A,0)))</f>
        <v>H</v>
      </c>
      <c r="G414" s="11">
        <f t="array" ref="G414">iferror(index('rna-muscle'!G:G,match($A414,'rna-muscle'!$A:$A,0)))</f>
        <v>9</v>
      </c>
      <c r="H414" s="11" t="str">
        <f t="shared" si="4"/>
        <v>H9</v>
      </c>
      <c r="I414" s="10" t="str">
        <f t="shared" si="5"/>
        <v>BRN62G-H9</v>
      </c>
      <c r="J414" s="16"/>
      <c r="K414" s="16" t="str">
        <f t="shared" si="6"/>
        <v>collected</v>
      </c>
      <c r="L414" s="16" t="str">
        <f t="shared" si="7"/>
        <v>N</v>
      </c>
      <c r="M414" s="16"/>
      <c r="N414" s="16"/>
    </row>
    <row r="415">
      <c r="A415" s="40" t="s">
        <v>773</v>
      </c>
      <c r="B415" s="10" t="str">
        <f t="shared" si="1"/>
        <v>RNA-gill</v>
      </c>
      <c r="C415" s="10" t="str">
        <f t="shared" si="2"/>
        <v>BRN62G-G9</v>
      </c>
      <c r="D415" s="11">
        <f t="array" ref="D415">iferror(index('rna-muscle'!D:D,match(A415,'rna-muscle'!A:A,0)))</f>
        <v>62</v>
      </c>
      <c r="E415" s="10" t="str">
        <f t="shared" si="3"/>
        <v>BRN62G</v>
      </c>
      <c r="F415" s="11" t="str">
        <f t="array" ref="F415">iferror(index('rna-muscle'!F:F,match($A415,'rna-muscle'!$A:$A,0)))</f>
        <v>G</v>
      </c>
      <c r="G415" s="11">
        <f t="array" ref="G415">iferror(index('rna-muscle'!G:G,match($A415,'rna-muscle'!$A:$A,0)))</f>
        <v>9</v>
      </c>
      <c r="H415" s="11" t="str">
        <f t="shared" si="4"/>
        <v>G9</v>
      </c>
      <c r="I415" s="10" t="str">
        <f t="shared" si="5"/>
        <v>BRN62G-G9</v>
      </c>
      <c r="J415" s="16"/>
      <c r="K415" s="16" t="str">
        <f t="shared" si="6"/>
        <v>collected</v>
      </c>
      <c r="L415" s="16" t="str">
        <f t="shared" si="7"/>
        <v>N</v>
      </c>
      <c r="M415" s="16"/>
      <c r="N415" s="16"/>
    </row>
    <row r="416">
      <c r="A416" s="40" t="s">
        <v>775</v>
      </c>
      <c r="B416" s="10" t="str">
        <f t="shared" si="1"/>
        <v>RNA-gill</v>
      </c>
      <c r="C416" s="10" t="str">
        <f t="shared" si="2"/>
        <v>BRN62G-F9</v>
      </c>
      <c r="D416" s="11">
        <f t="array" ref="D416">iferror(index('rna-muscle'!D:D,match(A416,'rna-muscle'!A:A,0)))</f>
        <v>62</v>
      </c>
      <c r="E416" s="10" t="str">
        <f t="shared" si="3"/>
        <v>BRN62G</v>
      </c>
      <c r="F416" s="11" t="str">
        <f t="array" ref="F416">iferror(index('rna-muscle'!F:F,match($A416,'rna-muscle'!$A:$A,0)))</f>
        <v>F</v>
      </c>
      <c r="G416" s="11">
        <f t="array" ref="G416">iferror(index('rna-muscle'!G:G,match($A416,'rna-muscle'!$A:$A,0)))</f>
        <v>9</v>
      </c>
      <c r="H416" s="11" t="str">
        <f t="shared" si="4"/>
        <v>F9</v>
      </c>
      <c r="I416" s="10" t="str">
        <f t="shared" si="5"/>
        <v>BRN62G-F9</v>
      </c>
      <c r="J416" s="16"/>
      <c r="K416" s="16" t="str">
        <f t="shared" si="6"/>
        <v>collected</v>
      </c>
      <c r="L416" s="16" t="str">
        <f t="shared" si="7"/>
        <v>N</v>
      </c>
      <c r="M416" s="16"/>
      <c r="N416" s="16"/>
    </row>
    <row r="417">
      <c r="A417" s="40" t="s">
        <v>777</v>
      </c>
      <c r="B417" s="10" t="str">
        <f t="shared" si="1"/>
        <v>RNA-gill</v>
      </c>
      <c r="C417" s="10" t="str">
        <f t="shared" si="2"/>
        <v>BRN62G-E9</v>
      </c>
      <c r="D417" s="11">
        <f t="array" ref="D417">iferror(index('rna-muscle'!D:D,match(A417,'rna-muscle'!A:A,0)))</f>
        <v>62</v>
      </c>
      <c r="E417" s="10" t="str">
        <f t="shared" si="3"/>
        <v>BRN62G</v>
      </c>
      <c r="F417" s="11" t="str">
        <f t="array" ref="F417">iferror(index('rna-muscle'!F:F,match($A417,'rna-muscle'!$A:$A,0)))</f>
        <v>E</v>
      </c>
      <c r="G417" s="11">
        <f t="array" ref="G417">iferror(index('rna-muscle'!G:G,match($A417,'rna-muscle'!$A:$A,0)))</f>
        <v>9</v>
      </c>
      <c r="H417" s="11" t="str">
        <f t="shared" si="4"/>
        <v>E9</v>
      </c>
      <c r="I417" s="10" t="str">
        <f t="shared" si="5"/>
        <v>BRN62G-E9</v>
      </c>
      <c r="J417" s="16"/>
      <c r="K417" s="16" t="str">
        <f t="shared" si="6"/>
        <v>collected</v>
      </c>
      <c r="L417" s="16" t="str">
        <f t="shared" si="7"/>
        <v>N</v>
      </c>
      <c r="M417" s="16"/>
      <c r="N417" s="16"/>
    </row>
    <row r="418">
      <c r="A418" s="40" t="s">
        <v>778</v>
      </c>
      <c r="B418" s="10" t="str">
        <f t="shared" si="1"/>
        <v>RNA-gill</v>
      </c>
      <c r="C418" s="10" t="str">
        <f t="shared" si="2"/>
        <v>BRN62G-D9</v>
      </c>
      <c r="D418" s="11">
        <f t="array" ref="D418">iferror(index('rna-muscle'!D:D,match(A418,'rna-muscle'!A:A,0)))</f>
        <v>62</v>
      </c>
      <c r="E418" s="10" t="str">
        <f t="shared" si="3"/>
        <v>BRN62G</v>
      </c>
      <c r="F418" s="11" t="str">
        <f t="array" ref="F418">iferror(index('rna-muscle'!F:F,match($A418,'rna-muscle'!$A:$A,0)))</f>
        <v>D</v>
      </c>
      <c r="G418" s="11">
        <f t="array" ref="G418">iferror(index('rna-muscle'!G:G,match($A418,'rna-muscle'!$A:$A,0)))</f>
        <v>9</v>
      </c>
      <c r="H418" s="11" t="str">
        <f t="shared" si="4"/>
        <v>D9</v>
      </c>
      <c r="I418" s="10" t="str">
        <f t="shared" si="5"/>
        <v>BRN62G-D9</v>
      </c>
      <c r="J418" s="16"/>
      <c r="K418" s="16" t="str">
        <f t="shared" si="6"/>
        <v>collected</v>
      </c>
      <c r="L418" s="16" t="str">
        <f t="shared" si="7"/>
        <v>N</v>
      </c>
      <c r="M418" s="16"/>
      <c r="N418" s="16"/>
    </row>
    <row r="419">
      <c r="A419" s="43" t="s">
        <v>781</v>
      </c>
      <c r="B419" s="10" t="str">
        <f t="shared" si="1"/>
        <v>RNA-gill</v>
      </c>
      <c r="C419" s="10" t="str">
        <f t="shared" si="2"/>
        <v>BRN62G-C9</v>
      </c>
      <c r="D419" s="11">
        <f t="array" ref="D419">iferror(index('rna-muscle'!D:D,match(A419,'rna-muscle'!A:A,0)))</f>
        <v>62</v>
      </c>
      <c r="E419" s="10" t="str">
        <f t="shared" si="3"/>
        <v>BRN62G</v>
      </c>
      <c r="F419" s="11" t="str">
        <f t="array" ref="F419">iferror(index('rna-muscle'!F:F,match($A419,'rna-muscle'!$A:$A,0)))</f>
        <v>C</v>
      </c>
      <c r="G419" s="11">
        <f t="array" ref="G419">iferror(index('rna-muscle'!G:G,match($A419,'rna-muscle'!$A:$A,0)))</f>
        <v>9</v>
      </c>
      <c r="H419" s="11" t="str">
        <f t="shared" si="4"/>
        <v>C9</v>
      </c>
      <c r="I419" s="10" t="str">
        <f t="shared" si="5"/>
        <v>BRN62G-C9</v>
      </c>
      <c r="J419" s="16"/>
      <c r="K419" s="16" t="str">
        <f t="shared" si="6"/>
        <v>collected</v>
      </c>
      <c r="L419" s="16" t="str">
        <f t="shared" si="7"/>
        <v>N</v>
      </c>
      <c r="M419" s="16"/>
      <c r="N419" s="16"/>
    </row>
    <row r="420">
      <c r="A420" s="43" t="s">
        <v>782</v>
      </c>
      <c r="B420" s="10" t="str">
        <f t="shared" si="1"/>
        <v>RNA-gill</v>
      </c>
      <c r="C420" s="10" t="str">
        <f t="shared" si="2"/>
        <v>BRN62G-B9</v>
      </c>
      <c r="D420" s="11">
        <f t="array" ref="D420">iferror(index('rna-muscle'!D:D,match(A420,'rna-muscle'!A:A,0)))</f>
        <v>62</v>
      </c>
      <c r="E420" s="10" t="str">
        <f t="shared" si="3"/>
        <v>BRN62G</v>
      </c>
      <c r="F420" s="11" t="str">
        <f t="array" ref="F420">iferror(index('rna-muscle'!F:F,match($A420,'rna-muscle'!$A:$A,0)))</f>
        <v>B</v>
      </c>
      <c r="G420" s="11">
        <f t="array" ref="G420">iferror(index('rna-muscle'!G:G,match($A420,'rna-muscle'!$A:$A,0)))</f>
        <v>9</v>
      </c>
      <c r="H420" s="11" t="str">
        <f t="shared" si="4"/>
        <v>B9</v>
      </c>
      <c r="I420" s="10" t="str">
        <f t="shared" si="5"/>
        <v>BRN62G-B9</v>
      </c>
      <c r="J420" s="16"/>
      <c r="K420" s="16" t="str">
        <f t="shared" si="6"/>
        <v>collected</v>
      </c>
      <c r="L420" s="16" t="str">
        <f t="shared" si="7"/>
        <v>N</v>
      </c>
      <c r="M420" s="16"/>
      <c r="N420" s="16"/>
    </row>
    <row r="421">
      <c r="A421" s="43" t="s">
        <v>783</v>
      </c>
      <c r="B421" s="10" t="str">
        <f t="shared" si="1"/>
        <v>RNA-gill</v>
      </c>
      <c r="C421" s="10" t="str">
        <f t="shared" si="2"/>
        <v>BRN62G-A9</v>
      </c>
      <c r="D421" s="11">
        <f t="array" ref="D421">iferror(index('rna-muscle'!D:D,match(A421,'rna-muscle'!A:A,0)))</f>
        <v>62</v>
      </c>
      <c r="E421" s="10" t="str">
        <f t="shared" si="3"/>
        <v>BRN62G</v>
      </c>
      <c r="F421" s="11" t="str">
        <f t="array" ref="F421">iferror(index('rna-muscle'!F:F,match($A421,'rna-muscle'!$A:$A,0)))</f>
        <v>A</v>
      </c>
      <c r="G421" s="11">
        <f t="array" ref="G421">iferror(index('rna-muscle'!G:G,match($A421,'rna-muscle'!$A:$A,0)))</f>
        <v>9</v>
      </c>
      <c r="H421" s="11" t="str">
        <f t="shared" si="4"/>
        <v>A9</v>
      </c>
      <c r="I421" s="10" t="str">
        <f t="shared" si="5"/>
        <v>BRN62G-A9</v>
      </c>
      <c r="J421" s="16"/>
      <c r="K421" s="16" t="str">
        <f t="shared" si="6"/>
        <v>collected</v>
      </c>
      <c r="L421" s="16" t="str">
        <f t="shared" si="7"/>
        <v>N</v>
      </c>
      <c r="M421" s="16"/>
      <c r="N421" s="16"/>
    </row>
    <row r="422">
      <c r="A422" s="40" t="s">
        <v>785</v>
      </c>
      <c r="B422" s="10" t="str">
        <f t="shared" si="1"/>
        <v>RNA-gill</v>
      </c>
      <c r="C422" s="10" t="str">
        <f t="shared" si="2"/>
        <v>BRN62G-H11</v>
      </c>
      <c r="D422" s="11">
        <f t="array" ref="D422">iferror(index('rna-muscle'!D:D,match(A422,'rna-muscle'!A:A,0)))</f>
        <v>62</v>
      </c>
      <c r="E422" s="10" t="str">
        <f t="shared" si="3"/>
        <v>BRN62G</v>
      </c>
      <c r="F422" s="11" t="str">
        <f t="array" ref="F422">iferror(index('rna-muscle'!F:F,match($A422,'rna-muscle'!$A:$A,0)))</f>
        <v>H</v>
      </c>
      <c r="G422" s="11">
        <f t="array" ref="G422">iferror(index('rna-muscle'!G:G,match($A422,'rna-muscle'!$A:$A,0)))</f>
        <v>11</v>
      </c>
      <c r="H422" s="11" t="str">
        <f t="shared" si="4"/>
        <v>H11</v>
      </c>
      <c r="I422" s="10" t="str">
        <f t="shared" si="5"/>
        <v>BRN62G-H11</v>
      </c>
      <c r="J422" s="16"/>
      <c r="K422" s="16" t="str">
        <f t="shared" si="6"/>
        <v>collected</v>
      </c>
      <c r="L422" s="16" t="str">
        <f t="shared" si="7"/>
        <v>N</v>
      </c>
      <c r="M422" s="16"/>
      <c r="N422" s="16"/>
    </row>
    <row r="423">
      <c r="A423" s="40" t="s">
        <v>787</v>
      </c>
      <c r="B423" s="10" t="str">
        <f t="shared" si="1"/>
        <v>RNA-gill</v>
      </c>
      <c r="C423" s="10" t="str">
        <f t="shared" si="2"/>
        <v>BRN62G-G11</v>
      </c>
      <c r="D423" s="11">
        <f t="array" ref="D423">iferror(index('rna-muscle'!D:D,match(A423,'rna-muscle'!A:A,0)))</f>
        <v>62</v>
      </c>
      <c r="E423" s="10" t="str">
        <f t="shared" si="3"/>
        <v>BRN62G</v>
      </c>
      <c r="F423" s="11" t="str">
        <f t="array" ref="F423">iferror(index('rna-muscle'!F:F,match($A423,'rna-muscle'!$A:$A,0)))</f>
        <v>G</v>
      </c>
      <c r="G423" s="11">
        <f t="array" ref="G423">iferror(index('rna-muscle'!G:G,match($A423,'rna-muscle'!$A:$A,0)))</f>
        <v>11</v>
      </c>
      <c r="H423" s="11" t="str">
        <f t="shared" si="4"/>
        <v>G11</v>
      </c>
      <c r="I423" s="10" t="str">
        <f t="shared" si="5"/>
        <v>BRN62G-G11</v>
      </c>
      <c r="J423" s="16"/>
      <c r="K423" s="16" t="str">
        <f t="shared" si="6"/>
        <v>collected</v>
      </c>
      <c r="L423" s="16" t="str">
        <f t="shared" si="7"/>
        <v>N</v>
      </c>
      <c r="M423" s="16"/>
      <c r="N423" s="16"/>
    </row>
    <row r="424">
      <c r="A424" s="40" t="s">
        <v>789</v>
      </c>
      <c r="B424" s="10" t="str">
        <f t="shared" si="1"/>
        <v>RNA-gill</v>
      </c>
      <c r="C424" s="10" t="str">
        <f t="shared" si="2"/>
        <v>BRN62G-F11</v>
      </c>
      <c r="D424" s="11">
        <f t="array" ref="D424">iferror(index('rna-muscle'!D:D,match(A424,'rna-muscle'!A:A,0)))</f>
        <v>62</v>
      </c>
      <c r="E424" s="10" t="str">
        <f t="shared" si="3"/>
        <v>BRN62G</v>
      </c>
      <c r="F424" s="11" t="str">
        <f t="array" ref="F424">iferror(index('rna-muscle'!F:F,match($A424,'rna-muscle'!$A:$A,0)))</f>
        <v>F</v>
      </c>
      <c r="G424" s="11">
        <f t="array" ref="G424">iferror(index('rna-muscle'!G:G,match($A424,'rna-muscle'!$A:$A,0)))</f>
        <v>11</v>
      </c>
      <c r="H424" s="11" t="str">
        <f t="shared" si="4"/>
        <v>F11</v>
      </c>
      <c r="I424" s="10" t="str">
        <f t="shared" si="5"/>
        <v>BRN62G-F11</v>
      </c>
      <c r="J424" s="16"/>
      <c r="K424" s="16" t="str">
        <f t="shared" si="6"/>
        <v>collected</v>
      </c>
      <c r="L424" s="16" t="str">
        <f t="shared" si="7"/>
        <v>N</v>
      </c>
      <c r="M424" s="16"/>
      <c r="N424" s="16"/>
    </row>
    <row r="425">
      <c r="A425" s="40" t="s">
        <v>790</v>
      </c>
      <c r="B425" s="10" t="str">
        <f t="shared" si="1"/>
        <v>RNA-gill</v>
      </c>
      <c r="C425" s="10" t="str">
        <f t="shared" si="2"/>
        <v>BRN62G-E11</v>
      </c>
      <c r="D425" s="11">
        <f t="array" ref="D425">iferror(index('rna-muscle'!D:D,match(A425,'rna-muscle'!A:A,0)))</f>
        <v>62</v>
      </c>
      <c r="E425" s="10" t="str">
        <f t="shared" si="3"/>
        <v>BRN62G</v>
      </c>
      <c r="F425" s="11" t="str">
        <f t="array" ref="F425">iferror(index('rna-muscle'!F:F,match($A425,'rna-muscle'!$A:$A,0)))</f>
        <v>E</v>
      </c>
      <c r="G425" s="11">
        <f t="array" ref="G425">iferror(index('rna-muscle'!G:G,match($A425,'rna-muscle'!$A:$A,0)))</f>
        <v>11</v>
      </c>
      <c r="H425" s="11" t="str">
        <f t="shared" si="4"/>
        <v>E11</v>
      </c>
      <c r="I425" s="10" t="str">
        <f t="shared" si="5"/>
        <v>BRN62G-E11</v>
      </c>
      <c r="J425" s="16"/>
      <c r="K425" s="16" t="str">
        <f t="shared" si="6"/>
        <v>collected</v>
      </c>
      <c r="L425" s="16" t="str">
        <f t="shared" si="7"/>
        <v>N</v>
      </c>
      <c r="M425" s="16"/>
      <c r="N425" s="16"/>
    </row>
    <row r="426">
      <c r="A426" s="43" t="s">
        <v>791</v>
      </c>
      <c r="B426" s="10" t="str">
        <f t="shared" si="1"/>
        <v>RNA-gill</v>
      </c>
      <c r="C426" s="10" t="str">
        <f t="shared" si="2"/>
        <v>BRN62G-D11</v>
      </c>
      <c r="D426" s="11">
        <f t="array" ref="D426">iferror(index('rna-muscle'!D:D,match(A426,'rna-muscle'!A:A,0)))</f>
        <v>62</v>
      </c>
      <c r="E426" s="10" t="str">
        <f t="shared" si="3"/>
        <v>BRN62G</v>
      </c>
      <c r="F426" s="11" t="str">
        <f t="array" ref="F426">iferror(index('rna-muscle'!F:F,match($A426,'rna-muscle'!$A:$A,0)))</f>
        <v>D</v>
      </c>
      <c r="G426" s="11">
        <f t="array" ref="G426">iferror(index('rna-muscle'!G:G,match($A426,'rna-muscle'!$A:$A,0)))</f>
        <v>11</v>
      </c>
      <c r="H426" s="11" t="str">
        <f t="shared" si="4"/>
        <v>D11</v>
      </c>
      <c r="I426" s="10" t="str">
        <f t="shared" si="5"/>
        <v>BRN62G-D11</v>
      </c>
      <c r="J426" s="16"/>
      <c r="K426" s="16" t="str">
        <f t="shared" si="6"/>
        <v>collected</v>
      </c>
      <c r="L426" s="16" t="str">
        <f t="shared" si="7"/>
        <v>N</v>
      </c>
      <c r="M426" s="16"/>
      <c r="N426" s="16"/>
    </row>
    <row r="427">
      <c r="A427" s="43" t="s">
        <v>794</v>
      </c>
      <c r="B427" s="10" t="str">
        <f t="shared" si="1"/>
        <v>RNA-gill</v>
      </c>
      <c r="C427" s="10" t="str">
        <f t="shared" si="2"/>
        <v>BRN62G-C11</v>
      </c>
      <c r="D427" s="11">
        <f t="array" ref="D427">iferror(index('rna-muscle'!D:D,match(A427,'rna-muscle'!A:A,0)))</f>
        <v>62</v>
      </c>
      <c r="E427" s="10" t="str">
        <f t="shared" si="3"/>
        <v>BRN62G</v>
      </c>
      <c r="F427" s="11" t="str">
        <f t="array" ref="F427">iferror(index('rna-muscle'!F:F,match($A427,'rna-muscle'!$A:$A,0)))</f>
        <v>C</v>
      </c>
      <c r="G427" s="11">
        <f t="array" ref="G427">iferror(index('rna-muscle'!G:G,match($A427,'rna-muscle'!$A:$A,0)))</f>
        <v>11</v>
      </c>
      <c r="H427" s="11" t="str">
        <f t="shared" si="4"/>
        <v>C11</v>
      </c>
      <c r="I427" s="10" t="str">
        <f t="shared" si="5"/>
        <v>BRN62G-C11</v>
      </c>
      <c r="J427" s="6"/>
      <c r="K427" s="16" t="str">
        <f t="shared" si="6"/>
        <v>collected</v>
      </c>
      <c r="L427" s="16" t="str">
        <f t="shared" si="7"/>
        <v>N</v>
      </c>
      <c r="M427" s="16"/>
      <c r="N427" s="16"/>
    </row>
    <row r="428">
      <c r="A428" s="43" t="s">
        <v>795</v>
      </c>
      <c r="B428" s="10" t="str">
        <f t="shared" si="1"/>
        <v>RNA-gill</v>
      </c>
      <c r="C428" s="10" t="str">
        <f t="shared" si="2"/>
        <v>BRN62G-B11</v>
      </c>
      <c r="D428" s="11">
        <f t="array" ref="D428">iferror(index('rna-muscle'!D:D,match(A428,'rna-muscle'!A:A,0)))</f>
        <v>62</v>
      </c>
      <c r="E428" s="10" t="str">
        <f t="shared" si="3"/>
        <v>BRN62G</v>
      </c>
      <c r="F428" s="11" t="str">
        <f t="array" ref="F428">iferror(index('rna-muscle'!F:F,match($A428,'rna-muscle'!$A:$A,0)))</f>
        <v>B</v>
      </c>
      <c r="G428" s="11">
        <f t="array" ref="G428">iferror(index('rna-muscle'!G:G,match($A428,'rna-muscle'!$A:$A,0)))</f>
        <v>11</v>
      </c>
      <c r="H428" s="11" t="str">
        <f t="shared" si="4"/>
        <v>B11</v>
      </c>
      <c r="I428" s="10" t="str">
        <f t="shared" si="5"/>
        <v>BRN62G-B11</v>
      </c>
      <c r="J428" s="6"/>
      <c r="K428" s="16" t="str">
        <f t="shared" si="6"/>
        <v>collected</v>
      </c>
      <c r="L428" s="16" t="str">
        <f t="shared" si="7"/>
        <v>N</v>
      </c>
      <c r="M428" s="16"/>
      <c r="N428" s="16"/>
    </row>
    <row r="429">
      <c r="A429" s="43" t="s">
        <v>797</v>
      </c>
      <c r="B429" s="10" t="str">
        <f t="shared" si="1"/>
        <v>RNA-gill</v>
      </c>
      <c r="C429" s="10" t="str">
        <f t="shared" si="2"/>
        <v>BRN62G-A11</v>
      </c>
      <c r="D429" s="11">
        <f t="array" ref="D429">iferror(index('rna-muscle'!D:D,match(A429,'rna-muscle'!A:A,0)))</f>
        <v>62</v>
      </c>
      <c r="E429" s="10" t="str">
        <f t="shared" si="3"/>
        <v>BRN62G</v>
      </c>
      <c r="F429" s="11" t="str">
        <f t="array" ref="F429">iferror(index('rna-muscle'!F:F,match($A429,'rna-muscle'!$A:$A,0)))</f>
        <v>A</v>
      </c>
      <c r="G429" s="11">
        <f t="array" ref="G429">iferror(index('rna-muscle'!G:G,match($A429,'rna-muscle'!$A:$A,0)))</f>
        <v>11</v>
      </c>
      <c r="H429" s="11" t="str">
        <f t="shared" si="4"/>
        <v>A11</v>
      </c>
      <c r="I429" s="10" t="str">
        <f t="shared" si="5"/>
        <v>BRN62G-A11</v>
      </c>
      <c r="K429" s="16" t="str">
        <f t="shared" si="6"/>
        <v>collected</v>
      </c>
      <c r="L429" s="16" t="str">
        <f t="shared" si="7"/>
        <v>N</v>
      </c>
      <c r="M429" s="16"/>
      <c r="N429" s="16"/>
    </row>
    <row r="430">
      <c r="A430" s="43" t="s">
        <v>798</v>
      </c>
      <c r="B430" s="10" t="str">
        <f t="shared" si="1"/>
        <v>RNA-gill</v>
      </c>
      <c r="C430" s="10" t="str">
        <f t="shared" si="2"/>
        <v>BRN67G-H1</v>
      </c>
      <c r="D430" s="11">
        <f t="array" ref="D430">iferror(index('rna-muscle'!D:D,match(A430,'rna-muscle'!A:A,0)))</f>
        <v>67</v>
      </c>
      <c r="E430" s="10" t="str">
        <f t="shared" si="3"/>
        <v>BRN67G</v>
      </c>
      <c r="F430" s="11" t="str">
        <f t="array" ref="F430">iferror(index('rna-muscle'!F:F,match($A430,'rna-muscle'!$A:$A,0)))</f>
        <v>H</v>
      </c>
      <c r="G430" s="11">
        <f t="array" ref="G430">iferror(index('rna-muscle'!G:G,match($A430,'rna-muscle'!$A:$A,0)))</f>
        <v>1</v>
      </c>
      <c r="H430" s="11" t="str">
        <f t="shared" si="4"/>
        <v>H1</v>
      </c>
      <c r="I430" s="10" t="str">
        <f t="shared" si="5"/>
        <v>BRN67G-H1</v>
      </c>
      <c r="J430" s="6"/>
      <c r="K430" s="16" t="str">
        <f t="shared" si="6"/>
        <v>collected</v>
      </c>
      <c r="L430" s="16" t="str">
        <f t="shared" si="7"/>
        <v>N</v>
      </c>
      <c r="M430" s="16"/>
      <c r="N430" s="16"/>
    </row>
    <row r="431">
      <c r="A431" s="43" t="s">
        <v>799</v>
      </c>
      <c r="B431" s="10" t="str">
        <f t="shared" si="1"/>
        <v>RNA-gill</v>
      </c>
      <c r="C431" s="10" t="str">
        <f t="shared" si="2"/>
        <v>BRN67G-G1</v>
      </c>
      <c r="D431" s="11">
        <f t="array" ref="D431">iferror(index('rna-muscle'!D:D,match(A431,'rna-muscle'!A:A,0)))</f>
        <v>67</v>
      </c>
      <c r="E431" s="10" t="str">
        <f t="shared" si="3"/>
        <v>BRN67G</v>
      </c>
      <c r="F431" s="11" t="str">
        <f t="array" ref="F431">iferror(index('rna-muscle'!F:F,match($A431,'rna-muscle'!$A:$A,0)))</f>
        <v>G</v>
      </c>
      <c r="G431" s="11">
        <f t="array" ref="G431">iferror(index('rna-muscle'!G:G,match($A431,'rna-muscle'!$A:$A,0)))</f>
        <v>1</v>
      </c>
      <c r="H431" s="11" t="str">
        <f t="shared" si="4"/>
        <v>G1</v>
      </c>
      <c r="I431" s="10" t="str">
        <f t="shared" si="5"/>
        <v>BRN67G-G1</v>
      </c>
      <c r="J431" s="16"/>
      <c r="K431" s="16" t="str">
        <f t="shared" si="6"/>
        <v>collected</v>
      </c>
      <c r="L431" s="16" t="str">
        <f t="shared" si="7"/>
        <v>N</v>
      </c>
      <c r="M431" s="16"/>
      <c r="N431" s="16"/>
    </row>
    <row r="432">
      <c r="A432" s="43" t="s">
        <v>802</v>
      </c>
      <c r="B432" s="10" t="str">
        <f t="shared" si="1"/>
        <v>RNA-gill</v>
      </c>
      <c r="C432" s="10" t="str">
        <f t="shared" si="2"/>
        <v>BRN67G-F1</v>
      </c>
      <c r="D432" s="11">
        <f t="array" ref="D432">iferror(index('rna-muscle'!D:D,match(A432,'rna-muscle'!A:A,0)))</f>
        <v>67</v>
      </c>
      <c r="E432" s="10" t="str">
        <f t="shared" si="3"/>
        <v>BRN67G</v>
      </c>
      <c r="F432" s="11" t="str">
        <f t="array" ref="F432">iferror(index('rna-muscle'!F:F,match($A432,'rna-muscle'!$A:$A,0)))</f>
        <v>F</v>
      </c>
      <c r="G432" s="11">
        <f t="array" ref="G432">iferror(index('rna-muscle'!G:G,match($A432,'rna-muscle'!$A:$A,0)))</f>
        <v>1</v>
      </c>
      <c r="H432" s="11" t="str">
        <f t="shared" si="4"/>
        <v>F1</v>
      </c>
      <c r="I432" s="10" t="str">
        <f t="shared" si="5"/>
        <v>BRN67G-F1</v>
      </c>
      <c r="J432" s="6"/>
      <c r="K432" s="16" t="str">
        <f t="shared" si="6"/>
        <v>collected</v>
      </c>
      <c r="L432" s="16" t="str">
        <f t="shared" si="7"/>
        <v>N</v>
      </c>
      <c r="M432" s="16"/>
      <c r="N432" s="16"/>
    </row>
    <row r="433">
      <c r="A433" s="43" t="s">
        <v>803</v>
      </c>
      <c r="B433" s="10" t="str">
        <f t="shared" si="1"/>
        <v>RNA-gill</v>
      </c>
      <c r="C433" s="10" t="str">
        <f t="shared" si="2"/>
        <v>BRN67G-E1</v>
      </c>
      <c r="D433" s="11">
        <f t="array" ref="D433">iferror(index('rna-muscle'!D:D,match(A433,'rna-muscle'!A:A,0)))</f>
        <v>67</v>
      </c>
      <c r="E433" s="10" t="str">
        <f t="shared" si="3"/>
        <v>BRN67G</v>
      </c>
      <c r="F433" s="11" t="str">
        <f t="array" ref="F433">iferror(index('rna-muscle'!F:F,match($A433,'rna-muscle'!$A:$A,0)))</f>
        <v>E</v>
      </c>
      <c r="G433" s="11">
        <f t="array" ref="G433">iferror(index('rna-muscle'!G:G,match($A433,'rna-muscle'!$A:$A,0)))</f>
        <v>1</v>
      </c>
      <c r="H433" s="11" t="str">
        <f t="shared" si="4"/>
        <v>E1</v>
      </c>
      <c r="I433" s="10" t="str">
        <f t="shared" si="5"/>
        <v>BRN67G-E1</v>
      </c>
      <c r="J433" s="6"/>
      <c r="K433" s="16" t="str">
        <f t="shared" si="6"/>
        <v>collected</v>
      </c>
      <c r="L433" s="16" t="str">
        <f t="shared" si="7"/>
        <v>N</v>
      </c>
      <c r="M433" s="16"/>
      <c r="N433" s="16"/>
    </row>
    <row r="434">
      <c r="A434" s="43" t="s">
        <v>804</v>
      </c>
      <c r="B434" s="10" t="str">
        <f t="shared" si="1"/>
        <v>RNA-gill</v>
      </c>
      <c r="C434" s="10" t="str">
        <f t="shared" si="2"/>
        <v>BRN67G-D1</v>
      </c>
      <c r="D434" s="11">
        <f t="array" ref="D434">iferror(index('rna-muscle'!D:D,match(A434,'rna-muscle'!A:A,0)))</f>
        <v>67</v>
      </c>
      <c r="E434" s="10" t="str">
        <f t="shared" si="3"/>
        <v>BRN67G</v>
      </c>
      <c r="F434" s="11" t="str">
        <f t="array" ref="F434">iferror(index('rna-muscle'!F:F,match($A434,'rna-muscle'!$A:$A,0)))</f>
        <v>D</v>
      </c>
      <c r="G434" s="11">
        <f t="array" ref="G434">iferror(index('rna-muscle'!G:G,match($A434,'rna-muscle'!$A:$A,0)))</f>
        <v>1</v>
      </c>
      <c r="H434" s="11" t="str">
        <f t="shared" si="4"/>
        <v>D1</v>
      </c>
      <c r="I434" s="10" t="str">
        <f t="shared" si="5"/>
        <v>BRN67G-D1</v>
      </c>
      <c r="J434" s="16"/>
      <c r="K434" s="16" t="str">
        <f t="shared" si="6"/>
        <v>collected</v>
      </c>
      <c r="L434" s="16" t="str">
        <f t="shared" si="7"/>
        <v>N</v>
      </c>
      <c r="M434" s="16"/>
      <c r="N434" s="16"/>
    </row>
    <row r="435">
      <c r="A435" s="43" t="s">
        <v>806</v>
      </c>
      <c r="B435" s="10" t="str">
        <f t="shared" si="1"/>
        <v>RNA-gill</v>
      </c>
      <c r="C435" s="10" t="str">
        <f t="shared" si="2"/>
        <v>BRN67G-C1</v>
      </c>
      <c r="D435" s="11">
        <f t="array" ref="D435">iferror(index('rna-muscle'!D:D,match(A435,'rna-muscle'!A:A,0)))</f>
        <v>67</v>
      </c>
      <c r="E435" s="10" t="str">
        <f t="shared" si="3"/>
        <v>BRN67G</v>
      </c>
      <c r="F435" s="11" t="str">
        <f t="array" ref="F435">iferror(index('rna-muscle'!F:F,match($A435,'rna-muscle'!$A:$A,0)))</f>
        <v>C</v>
      </c>
      <c r="G435" s="11">
        <f t="array" ref="G435">iferror(index('rna-muscle'!G:G,match($A435,'rna-muscle'!$A:$A,0)))</f>
        <v>1</v>
      </c>
      <c r="H435" s="11" t="str">
        <f t="shared" si="4"/>
        <v>C1</v>
      </c>
      <c r="I435" s="10" t="str">
        <f t="shared" si="5"/>
        <v>BRN67G-C1</v>
      </c>
      <c r="J435" s="6"/>
      <c r="K435" s="16" t="str">
        <f t="shared" si="6"/>
        <v>collected</v>
      </c>
      <c r="L435" s="16" t="str">
        <f t="shared" si="7"/>
        <v>N</v>
      </c>
      <c r="M435" s="16"/>
      <c r="N435" s="16"/>
    </row>
    <row r="436">
      <c r="A436" s="30" t="s">
        <v>839</v>
      </c>
      <c r="B436" s="10" t="str">
        <f t="shared" si="1"/>
        <v>RNA-gill</v>
      </c>
      <c r="C436" s="10" t="str">
        <f t="shared" si="2"/>
        <v>BRN62G-G12</v>
      </c>
      <c r="D436" s="11">
        <f t="array" ref="D436">iferror(index('rna-muscle'!D:D,match(A436,'rna-muscle'!A:A,0)))</f>
        <v>62</v>
      </c>
      <c r="E436" s="10" t="str">
        <f t="shared" si="3"/>
        <v>BRN62G</v>
      </c>
      <c r="F436" s="11" t="str">
        <f t="array" ref="F436">iferror(index('rna-muscle'!F:F,match($A436,'rna-muscle'!$A:$A,0)))</f>
        <v>G</v>
      </c>
      <c r="G436" s="11">
        <f t="array" ref="G436">iferror(index('rna-muscle'!G:G,match($A436,'rna-muscle'!$A:$A,0)))</f>
        <v>12</v>
      </c>
      <c r="H436" s="11" t="str">
        <f t="shared" si="4"/>
        <v>G12</v>
      </c>
      <c r="I436" s="10" t="str">
        <f t="shared" si="5"/>
        <v>BRN62G-G12</v>
      </c>
      <c r="J436" s="6"/>
      <c r="K436" s="16" t="str">
        <f t="shared" si="6"/>
        <v>collected</v>
      </c>
      <c r="L436" s="16" t="str">
        <f t="shared" si="7"/>
        <v>N</v>
      </c>
      <c r="M436" s="16"/>
      <c r="N436" s="16"/>
    </row>
    <row r="437">
      <c r="A437" s="30" t="s">
        <v>841</v>
      </c>
      <c r="B437" s="10" t="str">
        <f t="shared" si="1"/>
        <v>RNA-gill</v>
      </c>
      <c r="C437" s="10" t="str">
        <f t="shared" si="2"/>
        <v>BRN62G-F12</v>
      </c>
      <c r="D437" s="11">
        <f t="array" ref="D437">iferror(index('rna-muscle'!D:D,match(A437,'rna-muscle'!A:A,0)))</f>
        <v>62</v>
      </c>
      <c r="E437" s="10" t="str">
        <f t="shared" si="3"/>
        <v>BRN62G</v>
      </c>
      <c r="F437" s="11" t="str">
        <f t="array" ref="F437">iferror(index('rna-muscle'!F:F,match($A437,'rna-muscle'!$A:$A,0)))</f>
        <v>F</v>
      </c>
      <c r="G437" s="11">
        <f t="array" ref="G437">iferror(index('rna-muscle'!G:G,match($A437,'rna-muscle'!$A:$A,0)))</f>
        <v>12</v>
      </c>
      <c r="H437" s="11" t="str">
        <f t="shared" si="4"/>
        <v>F12</v>
      </c>
      <c r="I437" s="10" t="str">
        <f t="shared" si="5"/>
        <v>BRN62G-F12</v>
      </c>
      <c r="J437" s="6"/>
      <c r="K437" s="16" t="str">
        <f t="shared" si="6"/>
        <v>collected</v>
      </c>
      <c r="L437" s="16" t="str">
        <f t="shared" si="7"/>
        <v>N</v>
      </c>
      <c r="M437" s="16"/>
      <c r="N437" s="16"/>
    </row>
    <row r="438">
      <c r="A438" s="30" t="s">
        <v>843</v>
      </c>
      <c r="B438" s="10" t="str">
        <f t="shared" si="1"/>
        <v>RNA-gill</v>
      </c>
      <c r="C438" s="10" t="str">
        <f t="shared" si="2"/>
        <v>BRN62G-E12</v>
      </c>
      <c r="D438" s="11">
        <f t="array" ref="D438">iferror(index('rna-muscle'!D:D,match(A438,'rna-muscle'!A:A,0)))</f>
        <v>62</v>
      </c>
      <c r="E438" s="10" t="str">
        <f t="shared" si="3"/>
        <v>BRN62G</v>
      </c>
      <c r="F438" s="11" t="str">
        <f t="array" ref="F438">iferror(index('rna-muscle'!F:F,match($A438,'rna-muscle'!$A:$A,0)))</f>
        <v>E</v>
      </c>
      <c r="G438" s="11">
        <f t="array" ref="G438">iferror(index('rna-muscle'!G:G,match($A438,'rna-muscle'!$A:$A,0)))</f>
        <v>12</v>
      </c>
      <c r="H438" s="11" t="str">
        <f t="shared" si="4"/>
        <v>E12</v>
      </c>
      <c r="I438" s="10" t="str">
        <f t="shared" si="5"/>
        <v>BRN62G-E12</v>
      </c>
      <c r="J438" s="16"/>
      <c r="K438" s="16" t="str">
        <f t="shared" si="6"/>
        <v>collected</v>
      </c>
      <c r="L438" s="16" t="str">
        <f t="shared" si="7"/>
        <v>N</v>
      </c>
      <c r="M438" s="16"/>
      <c r="N438" s="16"/>
    </row>
    <row r="439">
      <c r="A439" s="30" t="s">
        <v>846</v>
      </c>
      <c r="B439" s="10" t="str">
        <f t="shared" si="1"/>
        <v>RNA-gill</v>
      </c>
      <c r="C439" s="10" t="str">
        <f t="shared" si="2"/>
        <v>BRN62G-D12</v>
      </c>
      <c r="D439" s="11">
        <f t="array" ref="D439">iferror(index('rna-muscle'!D:D,match(A439,'rna-muscle'!A:A,0)))</f>
        <v>62</v>
      </c>
      <c r="E439" s="10" t="str">
        <f t="shared" si="3"/>
        <v>BRN62G</v>
      </c>
      <c r="F439" s="11" t="str">
        <f t="array" ref="F439">iferror(index('rna-muscle'!F:F,match($A439,'rna-muscle'!$A:$A,0)))</f>
        <v>D</v>
      </c>
      <c r="G439" s="11">
        <f t="array" ref="G439">iferror(index('rna-muscle'!G:G,match($A439,'rna-muscle'!$A:$A,0)))</f>
        <v>12</v>
      </c>
      <c r="H439" s="11" t="str">
        <f t="shared" si="4"/>
        <v>D12</v>
      </c>
      <c r="I439" s="10" t="str">
        <f t="shared" si="5"/>
        <v>BRN62G-D12</v>
      </c>
      <c r="J439" s="16"/>
      <c r="K439" s="16" t="str">
        <f t="shared" si="6"/>
        <v>collected</v>
      </c>
      <c r="L439" s="16" t="str">
        <f t="shared" si="7"/>
        <v>N</v>
      </c>
      <c r="M439" s="16"/>
      <c r="N439" s="16"/>
    </row>
    <row r="440">
      <c r="A440" s="30" t="s">
        <v>847</v>
      </c>
      <c r="B440" s="10" t="str">
        <f t="shared" si="1"/>
        <v>RNA-gill</v>
      </c>
      <c r="C440" s="10" t="str">
        <f t="shared" si="2"/>
        <v>BRN62G-C12</v>
      </c>
      <c r="D440" s="11">
        <f t="array" ref="D440">iferror(index('rna-muscle'!D:D,match(A440,'rna-muscle'!A:A,0)))</f>
        <v>62</v>
      </c>
      <c r="E440" s="10" t="str">
        <f t="shared" si="3"/>
        <v>BRN62G</v>
      </c>
      <c r="F440" s="11" t="str">
        <f t="array" ref="F440">iferror(index('rna-muscle'!F:F,match($A440,'rna-muscle'!$A:$A,0)))</f>
        <v>C</v>
      </c>
      <c r="G440" s="11">
        <f t="array" ref="G440">iferror(index('rna-muscle'!G:G,match($A440,'rna-muscle'!$A:$A,0)))</f>
        <v>12</v>
      </c>
      <c r="H440" s="11" t="str">
        <f t="shared" si="4"/>
        <v>C12</v>
      </c>
      <c r="I440" s="10" t="str">
        <f t="shared" si="5"/>
        <v>BRN62G-C12</v>
      </c>
      <c r="J440" s="16"/>
      <c r="K440" s="16" t="str">
        <f t="shared" si="6"/>
        <v>collected</v>
      </c>
      <c r="L440" s="16" t="str">
        <f t="shared" si="7"/>
        <v>N</v>
      </c>
      <c r="M440" s="16"/>
      <c r="N440" s="16"/>
    </row>
    <row r="441">
      <c r="A441" s="30" t="s">
        <v>849</v>
      </c>
      <c r="B441" s="10" t="str">
        <f t="shared" si="1"/>
        <v>RNA-gill</v>
      </c>
      <c r="C441" s="10" t="str">
        <f t="shared" si="2"/>
        <v>BRN62G-B12</v>
      </c>
      <c r="D441" s="11">
        <f t="array" ref="D441">iferror(index('rna-muscle'!D:D,match(A441,'rna-muscle'!A:A,0)))</f>
        <v>62</v>
      </c>
      <c r="E441" s="10" t="str">
        <f t="shared" si="3"/>
        <v>BRN62G</v>
      </c>
      <c r="F441" s="11" t="str">
        <f t="array" ref="F441">iferror(index('rna-muscle'!F:F,match($A441,'rna-muscle'!$A:$A,0)))</f>
        <v>B</v>
      </c>
      <c r="G441" s="11">
        <f t="array" ref="G441">iferror(index('rna-muscle'!G:G,match($A441,'rna-muscle'!$A:$A,0)))</f>
        <v>12</v>
      </c>
      <c r="H441" s="11" t="str">
        <f t="shared" si="4"/>
        <v>B12</v>
      </c>
      <c r="I441" s="10" t="str">
        <f t="shared" si="5"/>
        <v>BRN62G-B12</v>
      </c>
      <c r="J441" s="16"/>
      <c r="K441" s="16" t="str">
        <f t="shared" si="6"/>
        <v>collected</v>
      </c>
      <c r="L441" s="16" t="str">
        <f t="shared" si="7"/>
        <v>N</v>
      </c>
      <c r="M441" s="16"/>
      <c r="N441" s="16"/>
    </row>
    <row r="442">
      <c r="A442" s="30" t="s">
        <v>851</v>
      </c>
      <c r="B442" s="10" t="str">
        <f t="shared" si="1"/>
        <v>RNA-gill</v>
      </c>
      <c r="C442" s="10" t="str">
        <f t="shared" si="2"/>
        <v>BRN62G-A12</v>
      </c>
      <c r="D442" s="11">
        <f t="array" ref="D442">iferror(index('rna-muscle'!D:D,match(A442,'rna-muscle'!A:A,0)))</f>
        <v>62</v>
      </c>
      <c r="E442" s="10" t="str">
        <f t="shared" si="3"/>
        <v>BRN62G</v>
      </c>
      <c r="F442" s="11" t="str">
        <f t="array" ref="F442">iferror(index('rna-muscle'!F:F,match($A442,'rna-muscle'!$A:$A,0)))</f>
        <v>A</v>
      </c>
      <c r="G442" s="11">
        <f t="array" ref="G442">iferror(index('rna-muscle'!G:G,match($A442,'rna-muscle'!$A:$A,0)))</f>
        <v>12</v>
      </c>
      <c r="H442" s="11" t="str">
        <f t="shared" si="4"/>
        <v>A12</v>
      </c>
      <c r="I442" s="10" t="str">
        <f t="shared" si="5"/>
        <v>BRN62G-A12</v>
      </c>
      <c r="J442" s="16"/>
      <c r="K442" s="16" t="str">
        <f t="shared" si="6"/>
        <v>collected</v>
      </c>
      <c r="L442" s="16" t="str">
        <f t="shared" si="7"/>
        <v>N</v>
      </c>
      <c r="M442" s="16"/>
      <c r="N442" s="16"/>
    </row>
    <row r="443">
      <c r="A443" s="30" t="s">
        <v>852</v>
      </c>
      <c r="B443" s="10" t="str">
        <f t="shared" si="1"/>
        <v>RNA-gill</v>
      </c>
      <c r="C443" s="10" t="str">
        <f t="shared" si="2"/>
        <v>BRN67G-H3</v>
      </c>
      <c r="D443" s="11">
        <f t="array" ref="D443">iferror(index('rna-muscle'!D:D,match(A443,'rna-muscle'!A:A,0)))</f>
        <v>67</v>
      </c>
      <c r="E443" s="10" t="str">
        <f t="shared" si="3"/>
        <v>BRN67G</v>
      </c>
      <c r="F443" s="11" t="str">
        <f t="array" ref="F443">iferror(index('rna-muscle'!F:F,match($A443,'rna-muscle'!$A:$A,0)))</f>
        <v>H</v>
      </c>
      <c r="G443" s="11">
        <f t="array" ref="G443">iferror(index('rna-muscle'!G:G,match($A443,'rna-muscle'!$A:$A,0)))</f>
        <v>3</v>
      </c>
      <c r="H443" s="11" t="str">
        <f t="shared" si="4"/>
        <v>H3</v>
      </c>
      <c r="I443" s="10" t="str">
        <f t="shared" si="5"/>
        <v>BRN67G-H3</v>
      </c>
      <c r="J443" s="16"/>
      <c r="K443" s="16" t="str">
        <f t="shared" si="6"/>
        <v>collected</v>
      </c>
      <c r="L443" s="16" t="str">
        <f t="shared" si="7"/>
        <v>N</v>
      </c>
      <c r="M443" s="16"/>
      <c r="N443" s="16"/>
    </row>
    <row r="444">
      <c r="A444" s="30" t="s">
        <v>853</v>
      </c>
      <c r="B444" s="10" t="str">
        <f t="shared" si="1"/>
        <v>RNA-gill</v>
      </c>
      <c r="C444" s="10" t="str">
        <f t="shared" si="2"/>
        <v>BRN67G-G3</v>
      </c>
      <c r="D444" s="11">
        <f t="array" ref="D444">iferror(index('rna-muscle'!D:D,match(A444,'rna-muscle'!A:A,0)))</f>
        <v>67</v>
      </c>
      <c r="E444" s="10" t="str">
        <f t="shared" si="3"/>
        <v>BRN67G</v>
      </c>
      <c r="F444" s="11" t="str">
        <f t="array" ref="F444">iferror(index('rna-muscle'!F:F,match($A444,'rna-muscle'!$A:$A,0)))</f>
        <v>G</v>
      </c>
      <c r="G444" s="11">
        <f t="array" ref="G444">iferror(index('rna-muscle'!G:G,match($A444,'rna-muscle'!$A:$A,0)))</f>
        <v>3</v>
      </c>
      <c r="H444" s="11" t="str">
        <f t="shared" si="4"/>
        <v>G3</v>
      </c>
      <c r="I444" s="10" t="str">
        <f t="shared" si="5"/>
        <v>BRN67G-G3</v>
      </c>
      <c r="J444" s="16"/>
      <c r="K444" s="16" t="str">
        <f t="shared" si="6"/>
        <v>collected</v>
      </c>
      <c r="L444" s="16" t="str">
        <f t="shared" si="7"/>
        <v>N</v>
      </c>
      <c r="M444" s="16"/>
      <c r="N444" s="16"/>
    </row>
    <row r="445">
      <c r="A445" s="30" t="s">
        <v>854</v>
      </c>
      <c r="B445" s="10" t="str">
        <f t="shared" si="1"/>
        <v>RNA-gill</v>
      </c>
      <c r="C445" s="10" t="str">
        <f t="shared" si="2"/>
        <v>BRN67G-F3</v>
      </c>
      <c r="D445" s="11">
        <f t="array" ref="D445">iferror(index('rna-muscle'!D:D,match(A445,'rna-muscle'!A:A,0)))</f>
        <v>67</v>
      </c>
      <c r="E445" s="10" t="str">
        <f t="shared" si="3"/>
        <v>BRN67G</v>
      </c>
      <c r="F445" s="11" t="str">
        <f t="array" ref="F445">iferror(index('rna-muscle'!F:F,match($A445,'rna-muscle'!$A:$A,0)))</f>
        <v>F</v>
      </c>
      <c r="G445" s="11">
        <f t="array" ref="G445">iferror(index('rna-muscle'!G:G,match($A445,'rna-muscle'!$A:$A,0)))</f>
        <v>3</v>
      </c>
      <c r="H445" s="11" t="str">
        <f t="shared" si="4"/>
        <v>F3</v>
      </c>
      <c r="I445" s="10" t="str">
        <f t="shared" si="5"/>
        <v>BRN67G-F3</v>
      </c>
      <c r="J445" s="16"/>
      <c r="K445" s="16" t="str">
        <f t="shared" si="6"/>
        <v>collected</v>
      </c>
      <c r="L445" s="16" t="str">
        <f t="shared" si="7"/>
        <v>N</v>
      </c>
      <c r="M445" s="16"/>
      <c r="N445" s="16"/>
    </row>
    <row r="446">
      <c r="A446" s="30" t="s">
        <v>857</v>
      </c>
      <c r="B446" s="10" t="str">
        <f t="shared" si="1"/>
        <v>RNA-gill</v>
      </c>
      <c r="C446" s="10" t="str">
        <f t="shared" si="2"/>
        <v>BRN67G-E3</v>
      </c>
      <c r="D446" s="11">
        <f t="array" ref="D446">iferror(index('rna-muscle'!D:D,match(A446,'rna-muscle'!A:A,0)))</f>
        <v>67</v>
      </c>
      <c r="E446" s="10" t="str">
        <f t="shared" si="3"/>
        <v>BRN67G</v>
      </c>
      <c r="F446" s="11" t="str">
        <f t="array" ref="F446">iferror(index('rna-muscle'!F:F,match($A446,'rna-muscle'!$A:$A,0)))</f>
        <v>E</v>
      </c>
      <c r="G446" s="11">
        <f t="array" ref="G446">iferror(index('rna-muscle'!G:G,match($A446,'rna-muscle'!$A:$A,0)))</f>
        <v>3</v>
      </c>
      <c r="H446" s="11" t="str">
        <f t="shared" si="4"/>
        <v>E3</v>
      </c>
      <c r="I446" s="10" t="str">
        <f t="shared" si="5"/>
        <v>BRN67G-E3</v>
      </c>
      <c r="J446" s="16"/>
      <c r="K446" s="16" t="str">
        <f t="shared" si="6"/>
        <v>collected</v>
      </c>
      <c r="L446" s="16" t="str">
        <f t="shared" si="7"/>
        <v>N</v>
      </c>
      <c r="M446" s="16"/>
      <c r="N446" s="16"/>
    </row>
    <row r="447">
      <c r="A447" s="30" t="s">
        <v>858</v>
      </c>
      <c r="B447" s="10" t="str">
        <f t="shared" si="1"/>
        <v>RNA-gill</v>
      </c>
      <c r="C447" s="10" t="str">
        <f t="shared" si="2"/>
        <v>BRN67G-D3</v>
      </c>
      <c r="D447" s="11">
        <f t="array" ref="D447">iferror(index('rna-muscle'!D:D,match(A447,'rna-muscle'!A:A,0)))</f>
        <v>67</v>
      </c>
      <c r="E447" s="10" t="str">
        <f t="shared" si="3"/>
        <v>BRN67G</v>
      </c>
      <c r="F447" s="11" t="str">
        <f t="array" ref="F447">iferror(index('rna-muscle'!F:F,match($A447,'rna-muscle'!$A:$A,0)))</f>
        <v>D</v>
      </c>
      <c r="G447" s="11">
        <f t="array" ref="G447">iferror(index('rna-muscle'!G:G,match($A447,'rna-muscle'!$A:$A,0)))</f>
        <v>3</v>
      </c>
      <c r="H447" s="11" t="str">
        <f t="shared" si="4"/>
        <v>D3</v>
      </c>
      <c r="I447" s="10" t="str">
        <f t="shared" si="5"/>
        <v>BRN67G-D3</v>
      </c>
      <c r="J447" s="16"/>
      <c r="K447" s="16" t="str">
        <f t="shared" si="6"/>
        <v>collected</v>
      </c>
      <c r="L447" s="16" t="str">
        <f t="shared" si="7"/>
        <v>N</v>
      </c>
      <c r="M447" s="16"/>
      <c r="N447" s="16"/>
    </row>
    <row r="448">
      <c r="A448" s="30" t="s">
        <v>859</v>
      </c>
      <c r="B448" s="10" t="str">
        <f t="shared" si="1"/>
        <v>RNA-gill</v>
      </c>
      <c r="C448" s="10" t="str">
        <f t="shared" si="2"/>
        <v>BRN67G-C3</v>
      </c>
      <c r="D448" s="11">
        <f t="array" ref="D448">iferror(index('rna-muscle'!D:D,match(A448,'rna-muscle'!A:A,0)))</f>
        <v>67</v>
      </c>
      <c r="E448" s="10" t="str">
        <f t="shared" si="3"/>
        <v>BRN67G</v>
      </c>
      <c r="F448" s="11" t="str">
        <f t="array" ref="F448">iferror(index('rna-muscle'!F:F,match($A448,'rna-muscle'!$A:$A,0)))</f>
        <v>C</v>
      </c>
      <c r="G448" s="11">
        <f t="array" ref="G448">iferror(index('rna-muscle'!G:G,match($A448,'rna-muscle'!$A:$A,0)))</f>
        <v>3</v>
      </c>
      <c r="H448" s="11" t="str">
        <f t="shared" si="4"/>
        <v>C3</v>
      </c>
      <c r="I448" s="10" t="str">
        <f t="shared" si="5"/>
        <v>BRN67G-C3</v>
      </c>
      <c r="J448" s="16"/>
      <c r="K448" s="16" t="str">
        <f t="shared" si="6"/>
        <v>collected</v>
      </c>
      <c r="L448" s="16" t="str">
        <f t="shared" si="7"/>
        <v>N</v>
      </c>
      <c r="M448" s="16"/>
      <c r="N448" s="16"/>
    </row>
    <row r="449">
      <c r="A449" s="30" t="s">
        <v>860</v>
      </c>
      <c r="B449" s="10" t="str">
        <f t="shared" si="1"/>
        <v>RNA-gill</v>
      </c>
      <c r="C449" s="10" t="str">
        <f t="shared" si="2"/>
        <v>BRN67G-B3</v>
      </c>
      <c r="D449" s="11">
        <f t="array" ref="D449">iferror(index('rna-muscle'!D:D,match(A449,'rna-muscle'!A:A,0)))</f>
        <v>67</v>
      </c>
      <c r="E449" s="10" t="str">
        <f t="shared" si="3"/>
        <v>BRN67G</v>
      </c>
      <c r="F449" s="11" t="str">
        <f t="array" ref="F449">iferror(index('rna-muscle'!F:F,match($A449,'rna-muscle'!$A:$A,0)))</f>
        <v>B</v>
      </c>
      <c r="G449" s="11">
        <f t="array" ref="G449">iferror(index('rna-muscle'!G:G,match($A449,'rna-muscle'!$A:$A,0)))</f>
        <v>3</v>
      </c>
      <c r="H449" s="11" t="str">
        <f t="shared" si="4"/>
        <v>B3</v>
      </c>
      <c r="I449" s="10" t="str">
        <f t="shared" si="5"/>
        <v>BRN67G-B3</v>
      </c>
      <c r="J449" s="16"/>
      <c r="K449" s="16" t="str">
        <f t="shared" si="6"/>
        <v>collected</v>
      </c>
      <c r="L449" s="16" t="str">
        <f t="shared" si="7"/>
        <v>N</v>
      </c>
      <c r="M449" s="16"/>
      <c r="N449" s="16"/>
    </row>
    <row r="450">
      <c r="A450" s="30" t="s">
        <v>863</v>
      </c>
      <c r="B450" s="10" t="str">
        <f t="shared" si="1"/>
        <v>RNA-gill</v>
      </c>
      <c r="C450" s="10" t="str">
        <f t="shared" si="2"/>
        <v>BRN67G-A3</v>
      </c>
      <c r="D450" s="11">
        <f t="array" ref="D450">iferror(index('rna-muscle'!D:D,match(A450,'rna-muscle'!A:A,0)))</f>
        <v>67</v>
      </c>
      <c r="E450" s="10" t="str">
        <f t="shared" si="3"/>
        <v>BRN67G</v>
      </c>
      <c r="F450" s="11" t="str">
        <f t="array" ref="F450">iferror(index('rna-muscle'!F:F,match($A450,'rna-muscle'!$A:$A,0)))</f>
        <v>A</v>
      </c>
      <c r="G450" s="11">
        <f t="array" ref="G450">iferror(index('rna-muscle'!G:G,match($A450,'rna-muscle'!$A:$A,0)))</f>
        <v>3</v>
      </c>
      <c r="H450" s="11" t="str">
        <f t="shared" si="4"/>
        <v>A3</v>
      </c>
      <c r="I450" s="10" t="str">
        <f t="shared" si="5"/>
        <v>BRN67G-A3</v>
      </c>
      <c r="J450" s="6"/>
      <c r="K450" s="16" t="str">
        <f t="shared" si="6"/>
        <v>collected</v>
      </c>
      <c r="L450" s="16" t="str">
        <f t="shared" si="7"/>
        <v>N</v>
      </c>
      <c r="M450" s="16"/>
      <c r="N450" s="16"/>
    </row>
    <row r="451">
      <c r="A451" s="30" t="s">
        <v>864</v>
      </c>
      <c r="B451" s="10" t="str">
        <f t="shared" si="1"/>
        <v>RNA-gill</v>
      </c>
      <c r="C451" s="10" t="str">
        <f t="shared" si="2"/>
        <v>BRN67G-H5</v>
      </c>
      <c r="D451" s="11">
        <f t="array" ref="D451">iferror(index('rna-muscle'!D:D,match(A451,'rna-muscle'!A:A,0)))</f>
        <v>67</v>
      </c>
      <c r="E451" s="10" t="str">
        <f t="shared" si="3"/>
        <v>BRN67G</v>
      </c>
      <c r="F451" s="11" t="str">
        <f t="array" ref="F451">iferror(index('rna-muscle'!F:F,match($A451,'rna-muscle'!$A:$A,0)))</f>
        <v>H</v>
      </c>
      <c r="G451" s="11">
        <f t="array" ref="G451">iferror(index('rna-muscle'!G:G,match($A451,'rna-muscle'!$A:$A,0)))</f>
        <v>5</v>
      </c>
      <c r="H451" s="11" t="str">
        <f t="shared" si="4"/>
        <v>H5</v>
      </c>
      <c r="I451" s="10" t="str">
        <f t="shared" si="5"/>
        <v>BRN67G-H5</v>
      </c>
      <c r="J451" s="6"/>
      <c r="K451" s="16" t="str">
        <f t="shared" si="6"/>
        <v>collected</v>
      </c>
      <c r="L451" s="16" t="str">
        <f t="shared" si="7"/>
        <v>N</v>
      </c>
      <c r="M451" s="16"/>
      <c r="N451" s="16"/>
    </row>
    <row r="452">
      <c r="A452" s="30" t="s">
        <v>865</v>
      </c>
      <c r="B452" s="10" t="str">
        <f t="shared" si="1"/>
        <v>RNA-gill</v>
      </c>
      <c r="C452" s="10" t="str">
        <f t="shared" si="2"/>
        <v>BRN67G-G5</v>
      </c>
      <c r="D452" s="11">
        <f t="array" ref="D452">iferror(index('rna-muscle'!D:D,match(A452,'rna-muscle'!A:A,0)))</f>
        <v>67</v>
      </c>
      <c r="E452" s="10" t="str">
        <f t="shared" si="3"/>
        <v>BRN67G</v>
      </c>
      <c r="F452" s="11" t="str">
        <f t="array" ref="F452">iferror(index('rna-muscle'!F:F,match($A452,'rna-muscle'!$A:$A,0)))</f>
        <v>G</v>
      </c>
      <c r="G452" s="11">
        <f t="array" ref="G452">iferror(index('rna-muscle'!G:G,match($A452,'rna-muscle'!$A:$A,0)))</f>
        <v>5</v>
      </c>
      <c r="H452" s="11" t="str">
        <f t="shared" si="4"/>
        <v>G5</v>
      </c>
      <c r="I452" s="10" t="str">
        <f t="shared" si="5"/>
        <v>BRN67G-G5</v>
      </c>
      <c r="J452" s="16"/>
      <c r="K452" s="16" t="str">
        <f t="shared" si="6"/>
        <v>collected</v>
      </c>
      <c r="L452" s="16" t="str">
        <f t="shared" si="7"/>
        <v>N</v>
      </c>
      <c r="M452" s="16"/>
      <c r="N452" s="16"/>
    </row>
    <row r="453">
      <c r="A453" s="30" t="s">
        <v>866</v>
      </c>
      <c r="B453" s="10" t="str">
        <f t="shared" si="1"/>
        <v>RNA-gill</v>
      </c>
      <c r="C453" s="10" t="str">
        <f t="shared" si="2"/>
        <v>BRN67G-F5</v>
      </c>
      <c r="D453" s="11">
        <f t="array" ref="D453">iferror(index('rna-muscle'!D:D,match(A453,'rna-muscle'!A:A,0)))</f>
        <v>67</v>
      </c>
      <c r="E453" s="10" t="str">
        <f t="shared" si="3"/>
        <v>BRN67G</v>
      </c>
      <c r="F453" s="11" t="str">
        <f t="array" ref="F453">iferror(index('rna-muscle'!F:F,match($A453,'rna-muscle'!$A:$A,0)))</f>
        <v>F</v>
      </c>
      <c r="G453" s="11">
        <f t="array" ref="G453">iferror(index('rna-muscle'!G:G,match($A453,'rna-muscle'!$A:$A,0)))</f>
        <v>5</v>
      </c>
      <c r="H453" s="11" t="str">
        <f t="shared" si="4"/>
        <v>F5</v>
      </c>
      <c r="I453" s="10" t="str">
        <f t="shared" si="5"/>
        <v>BRN67G-F5</v>
      </c>
      <c r="J453" s="16"/>
      <c r="K453" s="16" t="str">
        <f t="shared" si="6"/>
        <v>collected</v>
      </c>
      <c r="L453" s="16" t="str">
        <f t="shared" si="7"/>
        <v>N</v>
      </c>
      <c r="M453" s="16"/>
      <c r="N453" s="16"/>
    </row>
    <row r="454">
      <c r="A454" s="16" t="s">
        <v>870</v>
      </c>
      <c r="B454" s="10" t="str">
        <f t="shared" si="1"/>
        <v>RNA-gill</v>
      </c>
      <c r="C454" s="10" t="str">
        <f t="shared" si="2"/>
        <v>BRN67G-E5</v>
      </c>
      <c r="D454" s="11">
        <f t="array" ref="D454">iferror(index('rna-muscle'!D:D,match(A454,'rna-muscle'!A:A,0)))</f>
        <v>67</v>
      </c>
      <c r="E454" s="10" t="str">
        <f t="shared" si="3"/>
        <v>BRN67G</v>
      </c>
      <c r="F454" s="11" t="str">
        <f t="array" ref="F454">iferror(index('rna-muscle'!F:F,match($A454,'rna-muscle'!$A:$A,0)))</f>
        <v>E</v>
      </c>
      <c r="G454" s="11">
        <f t="array" ref="G454">iferror(index('rna-muscle'!G:G,match($A454,'rna-muscle'!$A:$A,0)))</f>
        <v>5</v>
      </c>
      <c r="H454" s="11" t="str">
        <f t="shared" si="4"/>
        <v>E5</v>
      </c>
      <c r="I454" s="10" t="str">
        <f t="shared" si="5"/>
        <v>BRN67G-E5</v>
      </c>
      <c r="J454" s="16"/>
      <c r="K454" s="16" t="str">
        <f t="shared" si="6"/>
        <v>collected</v>
      </c>
      <c r="L454" s="16" t="str">
        <f t="shared" si="7"/>
        <v>N</v>
      </c>
      <c r="M454" s="16"/>
      <c r="N454" s="16"/>
    </row>
    <row r="455">
      <c r="A455" s="26" t="s">
        <v>807</v>
      </c>
      <c r="B455" s="10" t="str">
        <f t="shared" si="1"/>
        <v>RNA-gill</v>
      </c>
      <c r="C455" s="10" t="str">
        <f t="shared" si="2"/>
        <v>BRN67G-B1</v>
      </c>
      <c r="D455" s="11">
        <f t="array" ref="D455">iferror(index('rna-muscle'!D:D,match(A455,'rna-muscle'!A:A,0)))</f>
        <v>67</v>
      </c>
      <c r="E455" s="10" t="str">
        <f t="shared" si="3"/>
        <v>BRN67G</v>
      </c>
      <c r="F455" s="11" t="str">
        <f t="array" ref="F455">iferror(index('rna-muscle'!F:F,match($A455,'rna-muscle'!$A:$A,0)))</f>
        <v>B</v>
      </c>
      <c r="G455" s="11">
        <f t="array" ref="G455">iferror(index('rna-muscle'!G:G,match($A455,'rna-muscle'!$A:$A,0)))</f>
        <v>1</v>
      </c>
      <c r="H455" s="11" t="str">
        <f t="shared" si="4"/>
        <v>B1</v>
      </c>
      <c r="I455" s="10" t="str">
        <f t="shared" si="5"/>
        <v>BRN67G-B1</v>
      </c>
      <c r="J455" s="16"/>
      <c r="K455" s="16" t="str">
        <f t="shared" si="6"/>
        <v>collected</v>
      </c>
      <c r="L455" s="16" t="str">
        <f t="shared" si="7"/>
        <v>N</v>
      </c>
      <c r="M455" s="16"/>
      <c r="N455" s="16"/>
    </row>
    <row r="456">
      <c r="A456" s="26" t="s">
        <v>809</v>
      </c>
      <c r="B456" s="10" t="str">
        <f t="shared" si="1"/>
        <v>RNA-gill</v>
      </c>
      <c r="C456" s="10" t="str">
        <f t="shared" si="2"/>
        <v>BRN67G-A1</v>
      </c>
      <c r="D456" s="11">
        <f t="array" ref="D456">iferror(index('rna-muscle'!D:D,match(A456,'rna-muscle'!A:A,0)))</f>
        <v>67</v>
      </c>
      <c r="E456" s="10" t="str">
        <f t="shared" si="3"/>
        <v>BRN67G</v>
      </c>
      <c r="F456" s="11" t="str">
        <f t="array" ref="F456">iferror(index('rna-muscle'!F:F,match($A456,'rna-muscle'!$A:$A,0)))</f>
        <v>A</v>
      </c>
      <c r="G456" s="11">
        <f t="array" ref="G456">iferror(index('rna-muscle'!G:G,match($A456,'rna-muscle'!$A:$A,0)))</f>
        <v>1</v>
      </c>
      <c r="H456" s="11" t="str">
        <f t="shared" si="4"/>
        <v>A1</v>
      </c>
      <c r="I456" s="10" t="str">
        <f t="shared" si="5"/>
        <v>BRN67G-A1</v>
      </c>
      <c r="J456" s="16"/>
      <c r="K456" s="16" t="str">
        <f t="shared" si="6"/>
        <v>collected</v>
      </c>
      <c r="L456" s="16" t="str">
        <f t="shared" si="7"/>
        <v>N</v>
      </c>
      <c r="M456" s="16"/>
      <c r="N456" s="16"/>
    </row>
    <row r="457">
      <c r="A457" s="26" t="s">
        <v>810</v>
      </c>
      <c r="B457" s="10" t="str">
        <f t="shared" si="1"/>
        <v>RNA-gill</v>
      </c>
      <c r="C457" s="10" t="str">
        <f t="shared" si="2"/>
        <v>BRN67G-H2</v>
      </c>
      <c r="D457" s="11">
        <f t="array" ref="D457">iferror(index('rna-muscle'!D:D,match(A457,'rna-muscle'!A:A,0)))</f>
        <v>67</v>
      </c>
      <c r="E457" s="10" t="str">
        <f t="shared" si="3"/>
        <v>BRN67G</v>
      </c>
      <c r="F457" s="11" t="str">
        <f t="array" ref="F457">iferror(index('rna-muscle'!F:F,match($A457,'rna-muscle'!$A:$A,0)))</f>
        <v>H</v>
      </c>
      <c r="G457" s="11">
        <f t="array" ref="G457">iferror(index('rna-muscle'!G:G,match($A457,'rna-muscle'!$A:$A,0)))</f>
        <v>2</v>
      </c>
      <c r="H457" s="11" t="str">
        <f t="shared" si="4"/>
        <v>H2</v>
      </c>
      <c r="I457" s="10" t="str">
        <f t="shared" si="5"/>
        <v>BRN67G-H2</v>
      </c>
      <c r="J457" s="16"/>
      <c r="K457" s="16" t="str">
        <f t="shared" si="6"/>
        <v>collected</v>
      </c>
      <c r="L457" s="16" t="str">
        <f t="shared" si="7"/>
        <v>N</v>
      </c>
      <c r="M457" s="16"/>
      <c r="N457" s="16"/>
    </row>
    <row r="458">
      <c r="A458" s="26" t="s">
        <v>812</v>
      </c>
      <c r="B458" s="10" t="str">
        <f t="shared" si="1"/>
        <v>RNA-gill</v>
      </c>
      <c r="C458" s="10" t="str">
        <f t="shared" si="2"/>
        <v>BRN67G-G2</v>
      </c>
      <c r="D458" s="11">
        <f t="array" ref="D458">iferror(index('rna-muscle'!D:D,match(A458,'rna-muscle'!A:A,0)))</f>
        <v>67</v>
      </c>
      <c r="E458" s="10" t="str">
        <f t="shared" si="3"/>
        <v>BRN67G</v>
      </c>
      <c r="F458" s="11" t="str">
        <f t="array" ref="F458">iferror(index('rna-muscle'!F:F,match($A458,'rna-muscle'!$A:$A,0)))</f>
        <v>G</v>
      </c>
      <c r="G458" s="11">
        <f t="array" ref="G458">iferror(index('rna-muscle'!G:G,match($A458,'rna-muscle'!$A:$A,0)))</f>
        <v>2</v>
      </c>
      <c r="H458" s="11" t="str">
        <f t="shared" si="4"/>
        <v>G2</v>
      </c>
      <c r="I458" s="10" t="str">
        <f t="shared" si="5"/>
        <v>BRN67G-G2</v>
      </c>
      <c r="J458" s="16"/>
      <c r="K458" s="16" t="str">
        <f t="shared" si="6"/>
        <v>collected</v>
      </c>
      <c r="L458" s="16" t="str">
        <f t="shared" si="7"/>
        <v>N</v>
      </c>
      <c r="M458" s="16"/>
      <c r="N458" s="16"/>
    </row>
    <row r="459">
      <c r="A459" s="26" t="s">
        <v>813</v>
      </c>
      <c r="B459" s="10" t="str">
        <f t="shared" si="1"/>
        <v>RNA-gill</v>
      </c>
      <c r="C459" s="10" t="str">
        <f t="shared" si="2"/>
        <v>BRN67G-F2</v>
      </c>
      <c r="D459" s="11">
        <f t="array" ref="D459">iferror(index('rna-muscle'!D:D,match(A459,'rna-muscle'!A:A,0)))</f>
        <v>67</v>
      </c>
      <c r="E459" s="10" t="str">
        <f t="shared" si="3"/>
        <v>BRN67G</v>
      </c>
      <c r="F459" s="11" t="str">
        <f t="array" ref="F459">iferror(index('rna-muscle'!F:F,match($A459,'rna-muscle'!$A:$A,0)))</f>
        <v>F</v>
      </c>
      <c r="G459" s="11">
        <f t="array" ref="G459">iferror(index('rna-muscle'!G:G,match($A459,'rna-muscle'!$A:$A,0)))</f>
        <v>2</v>
      </c>
      <c r="H459" s="11" t="str">
        <f t="shared" si="4"/>
        <v>F2</v>
      </c>
      <c r="I459" s="10" t="str">
        <f t="shared" si="5"/>
        <v>BRN67G-F2</v>
      </c>
      <c r="J459" s="16"/>
      <c r="K459" s="16" t="str">
        <f t="shared" si="6"/>
        <v>collected</v>
      </c>
      <c r="L459" s="16" t="str">
        <f t="shared" si="7"/>
        <v>N</v>
      </c>
      <c r="M459" s="16"/>
      <c r="N459" s="16"/>
    </row>
    <row r="460">
      <c r="A460" s="26" t="s">
        <v>815</v>
      </c>
      <c r="B460" s="10" t="str">
        <f t="shared" si="1"/>
        <v>RNA-gill</v>
      </c>
      <c r="C460" s="10" t="str">
        <f t="shared" si="2"/>
        <v>BRN67G-E2</v>
      </c>
      <c r="D460" s="11">
        <f t="array" ref="D460">iferror(index('rna-muscle'!D:D,match(A460,'rna-muscle'!A:A,0)))</f>
        <v>67</v>
      </c>
      <c r="E460" s="10" t="str">
        <f t="shared" si="3"/>
        <v>BRN67G</v>
      </c>
      <c r="F460" s="11" t="str">
        <f t="array" ref="F460">iferror(index('rna-muscle'!F:F,match($A460,'rna-muscle'!$A:$A,0)))</f>
        <v>E</v>
      </c>
      <c r="G460" s="11">
        <f t="array" ref="G460">iferror(index('rna-muscle'!G:G,match($A460,'rna-muscle'!$A:$A,0)))</f>
        <v>2</v>
      </c>
      <c r="H460" s="11" t="str">
        <f t="shared" si="4"/>
        <v>E2</v>
      </c>
      <c r="I460" s="10" t="str">
        <f t="shared" si="5"/>
        <v>BRN67G-E2</v>
      </c>
      <c r="J460" s="16"/>
      <c r="K460" s="16" t="str">
        <f t="shared" si="6"/>
        <v>collected</v>
      </c>
      <c r="L460" s="16" t="str">
        <f t="shared" si="7"/>
        <v>N</v>
      </c>
      <c r="M460" s="16"/>
      <c r="N460" s="16"/>
    </row>
    <row r="461">
      <c r="A461" s="26" t="s">
        <v>817</v>
      </c>
      <c r="B461" s="10" t="str">
        <f t="shared" si="1"/>
        <v>RNA-gill</v>
      </c>
      <c r="C461" s="10" t="str">
        <f t="shared" si="2"/>
        <v>BRN67G-D2</v>
      </c>
      <c r="D461" s="11">
        <f t="array" ref="D461">iferror(index('rna-muscle'!D:D,match(A461,'rna-muscle'!A:A,0)))</f>
        <v>67</v>
      </c>
      <c r="E461" s="10" t="str">
        <f t="shared" si="3"/>
        <v>BRN67G</v>
      </c>
      <c r="F461" s="11" t="str">
        <f t="array" ref="F461">iferror(index('rna-muscle'!F:F,match($A461,'rna-muscle'!$A:$A,0)))</f>
        <v>D</v>
      </c>
      <c r="G461" s="11">
        <f t="array" ref="G461">iferror(index('rna-muscle'!G:G,match($A461,'rna-muscle'!$A:$A,0)))</f>
        <v>2</v>
      </c>
      <c r="H461" s="11" t="str">
        <f t="shared" si="4"/>
        <v>D2</v>
      </c>
      <c r="I461" s="10" t="str">
        <f t="shared" si="5"/>
        <v>BRN67G-D2</v>
      </c>
      <c r="J461" s="16"/>
      <c r="K461" s="16" t="str">
        <f t="shared" si="6"/>
        <v>collected</v>
      </c>
      <c r="L461" s="16" t="str">
        <f t="shared" si="7"/>
        <v>N</v>
      </c>
      <c r="M461" s="16"/>
      <c r="N461" s="16"/>
    </row>
    <row r="462">
      <c r="A462" s="26" t="s">
        <v>820</v>
      </c>
      <c r="B462" s="10" t="str">
        <f t="shared" si="1"/>
        <v>RNA-gill</v>
      </c>
      <c r="C462" s="10" t="str">
        <f t="shared" si="2"/>
        <v>BRN67G-C2</v>
      </c>
      <c r="D462" s="11">
        <f t="array" ref="D462">iferror(index('rna-muscle'!D:D,match(A462,'rna-muscle'!A:A,0)))</f>
        <v>67</v>
      </c>
      <c r="E462" s="10" t="str">
        <f t="shared" si="3"/>
        <v>BRN67G</v>
      </c>
      <c r="F462" s="11" t="str">
        <f t="array" ref="F462">iferror(index('rna-muscle'!F:F,match($A462,'rna-muscle'!$A:$A,0)))</f>
        <v>C</v>
      </c>
      <c r="G462" s="11">
        <f t="array" ref="G462">iferror(index('rna-muscle'!G:G,match($A462,'rna-muscle'!$A:$A,0)))</f>
        <v>2</v>
      </c>
      <c r="H462" s="11" t="str">
        <f t="shared" si="4"/>
        <v>C2</v>
      </c>
      <c r="I462" s="10" t="str">
        <f t="shared" si="5"/>
        <v>BRN67G-C2</v>
      </c>
      <c r="J462" s="16"/>
      <c r="K462" s="16" t="str">
        <f t="shared" si="6"/>
        <v>collected</v>
      </c>
      <c r="L462" s="16" t="str">
        <f t="shared" si="7"/>
        <v>N</v>
      </c>
      <c r="M462" s="16"/>
      <c r="N462" s="16"/>
    </row>
    <row r="463">
      <c r="A463" s="26" t="s">
        <v>821</v>
      </c>
      <c r="B463" s="10" t="str">
        <f t="shared" si="1"/>
        <v>RNA-gill</v>
      </c>
      <c r="C463" s="10" t="str">
        <f t="shared" si="2"/>
        <v>BRN67G-B2</v>
      </c>
      <c r="D463" s="11">
        <f t="array" ref="D463">iferror(index('rna-muscle'!D:D,match(A463,'rna-muscle'!A:A,0)))</f>
        <v>67</v>
      </c>
      <c r="E463" s="10" t="str">
        <f t="shared" si="3"/>
        <v>BRN67G</v>
      </c>
      <c r="F463" s="11" t="str">
        <f t="array" ref="F463">iferror(index('rna-muscle'!F:F,match($A463,'rna-muscle'!$A:$A,0)))</f>
        <v>B</v>
      </c>
      <c r="G463" s="11">
        <f t="array" ref="G463">iferror(index('rna-muscle'!G:G,match($A463,'rna-muscle'!$A:$A,0)))</f>
        <v>2</v>
      </c>
      <c r="H463" s="11" t="str">
        <f t="shared" si="4"/>
        <v>B2</v>
      </c>
      <c r="I463" s="10" t="str">
        <f t="shared" si="5"/>
        <v>BRN67G-B2</v>
      </c>
      <c r="J463" s="16"/>
      <c r="K463" s="16" t="str">
        <f t="shared" si="6"/>
        <v>collected</v>
      </c>
      <c r="L463" s="16" t="str">
        <f t="shared" si="7"/>
        <v>N</v>
      </c>
      <c r="M463" s="16"/>
      <c r="N463" s="16"/>
    </row>
    <row r="464">
      <c r="A464" s="26" t="s">
        <v>822</v>
      </c>
      <c r="B464" s="10" t="str">
        <f t="shared" si="1"/>
        <v>RNA-gill</v>
      </c>
      <c r="C464" s="10" t="str">
        <f t="shared" si="2"/>
        <v>BRN67G-A2</v>
      </c>
      <c r="D464" s="11">
        <f t="array" ref="D464">iferror(index('rna-muscle'!D:D,match(A464,'rna-muscle'!A:A,0)))</f>
        <v>67</v>
      </c>
      <c r="E464" s="10" t="str">
        <f t="shared" si="3"/>
        <v>BRN67G</v>
      </c>
      <c r="F464" s="11" t="str">
        <f t="array" ref="F464">iferror(index('rna-muscle'!F:F,match($A464,'rna-muscle'!$A:$A,0)))</f>
        <v>A</v>
      </c>
      <c r="G464" s="11">
        <f t="array" ref="G464">iferror(index('rna-muscle'!G:G,match($A464,'rna-muscle'!$A:$A,0)))</f>
        <v>2</v>
      </c>
      <c r="H464" s="11" t="str">
        <f t="shared" si="4"/>
        <v>A2</v>
      </c>
      <c r="I464" s="10" t="str">
        <f t="shared" si="5"/>
        <v>BRN67G-A2</v>
      </c>
      <c r="J464" s="16"/>
      <c r="K464" s="16" t="str">
        <f t="shared" si="6"/>
        <v>collected</v>
      </c>
      <c r="L464" s="16" t="str">
        <f t="shared" si="7"/>
        <v>N</v>
      </c>
      <c r="M464" s="16"/>
      <c r="N464" s="16"/>
    </row>
    <row r="465">
      <c r="A465" s="26" t="s">
        <v>825</v>
      </c>
      <c r="B465" s="10" t="str">
        <f t="shared" si="1"/>
        <v>RNA-gill</v>
      </c>
      <c r="C465" s="10" t="str">
        <f t="shared" si="2"/>
        <v>BRN67G-H4</v>
      </c>
      <c r="D465" s="11">
        <f t="array" ref="D465">iferror(index('rna-muscle'!D:D,match(A465,'rna-muscle'!A:A,0)))</f>
        <v>67</v>
      </c>
      <c r="E465" s="10" t="str">
        <f t="shared" si="3"/>
        <v>BRN67G</v>
      </c>
      <c r="F465" s="11" t="str">
        <f t="array" ref="F465">iferror(index('rna-muscle'!F:F,match($A465,'rna-muscle'!$A:$A,0)))</f>
        <v>H</v>
      </c>
      <c r="G465" s="11">
        <f t="array" ref="G465">iferror(index('rna-muscle'!G:G,match($A465,'rna-muscle'!$A:$A,0)))</f>
        <v>4</v>
      </c>
      <c r="H465" s="11" t="str">
        <f t="shared" si="4"/>
        <v>H4</v>
      </c>
      <c r="I465" s="10" t="str">
        <f t="shared" si="5"/>
        <v>BRN67G-H4</v>
      </c>
      <c r="J465" s="16"/>
      <c r="K465" s="16" t="str">
        <f t="shared" si="6"/>
        <v>collected</v>
      </c>
      <c r="L465" s="16" t="str">
        <f t="shared" si="7"/>
        <v>N</v>
      </c>
      <c r="M465" s="16"/>
      <c r="N465" s="16"/>
    </row>
    <row r="466">
      <c r="A466" s="26" t="s">
        <v>826</v>
      </c>
      <c r="B466" s="10" t="str">
        <f t="shared" si="1"/>
        <v>RNA-gill</v>
      </c>
      <c r="C466" s="10" t="str">
        <f t="shared" si="2"/>
        <v>BRN67G-G4</v>
      </c>
      <c r="D466" s="11">
        <f t="array" ref="D466">iferror(index('rna-muscle'!D:D,match(A466,'rna-muscle'!A:A,0)))</f>
        <v>67</v>
      </c>
      <c r="E466" s="10" t="str">
        <f t="shared" si="3"/>
        <v>BRN67G</v>
      </c>
      <c r="F466" s="11" t="str">
        <f t="array" ref="F466">iferror(index('rna-muscle'!F:F,match($A466,'rna-muscle'!$A:$A,0)))</f>
        <v>G</v>
      </c>
      <c r="G466" s="11">
        <f t="array" ref="G466">iferror(index('rna-muscle'!G:G,match($A466,'rna-muscle'!$A:$A,0)))</f>
        <v>4</v>
      </c>
      <c r="H466" s="11" t="str">
        <f t="shared" si="4"/>
        <v>G4</v>
      </c>
      <c r="I466" s="10" t="str">
        <f t="shared" si="5"/>
        <v>BRN67G-G4</v>
      </c>
      <c r="J466" s="16"/>
      <c r="K466" s="16" t="str">
        <f t="shared" si="6"/>
        <v>collected</v>
      </c>
      <c r="L466" s="16" t="str">
        <f t="shared" si="7"/>
        <v>N</v>
      </c>
      <c r="M466" s="16"/>
      <c r="N466" s="16"/>
    </row>
    <row r="467">
      <c r="A467" s="26" t="s">
        <v>828</v>
      </c>
      <c r="B467" s="10" t="str">
        <f t="shared" si="1"/>
        <v>RNA-gill</v>
      </c>
      <c r="C467" s="10" t="str">
        <f t="shared" si="2"/>
        <v>BRN67G-F4</v>
      </c>
      <c r="D467" s="11">
        <f t="array" ref="D467">iferror(index('rna-muscle'!D:D,match(A467,'rna-muscle'!A:A,0)))</f>
        <v>67</v>
      </c>
      <c r="E467" s="10" t="str">
        <f t="shared" si="3"/>
        <v>BRN67G</v>
      </c>
      <c r="F467" s="11" t="str">
        <f t="array" ref="F467">iferror(index('rna-muscle'!F:F,match($A467,'rna-muscle'!$A:$A,0)))</f>
        <v>F</v>
      </c>
      <c r="G467" s="11">
        <f t="array" ref="G467">iferror(index('rna-muscle'!G:G,match($A467,'rna-muscle'!$A:$A,0)))</f>
        <v>4</v>
      </c>
      <c r="H467" s="11" t="str">
        <f t="shared" si="4"/>
        <v>F4</v>
      </c>
      <c r="I467" s="10" t="str">
        <f t="shared" si="5"/>
        <v>BRN67G-F4</v>
      </c>
      <c r="J467" s="16"/>
      <c r="K467" s="16" t="str">
        <f t="shared" si="6"/>
        <v>collected</v>
      </c>
      <c r="L467" s="16" t="str">
        <f t="shared" si="7"/>
        <v>N</v>
      </c>
      <c r="M467" s="16"/>
      <c r="N467" s="16"/>
    </row>
    <row r="468">
      <c r="A468" s="26" t="s">
        <v>830</v>
      </c>
      <c r="B468" s="10" t="str">
        <f t="shared" si="1"/>
        <v>RNA-gill</v>
      </c>
      <c r="C468" s="10" t="str">
        <f t="shared" si="2"/>
        <v>BRN67G-E4</v>
      </c>
      <c r="D468" s="11">
        <f t="array" ref="D468">iferror(index('rna-muscle'!D:D,match(A468,'rna-muscle'!A:A,0)))</f>
        <v>67</v>
      </c>
      <c r="E468" s="10" t="str">
        <f t="shared" si="3"/>
        <v>BRN67G</v>
      </c>
      <c r="F468" s="11" t="str">
        <f t="array" ref="F468">iferror(index('rna-muscle'!F:F,match($A468,'rna-muscle'!$A:$A,0)))</f>
        <v>E</v>
      </c>
      <c r="G468" s="11">
        <f t="array" ref="G468">iferror(index('rna-muscle'!G:G,match($A468,'rna-muscle'!$A:$A,0)))</f>
        <v>4</v>
      </c>
      <c r="H468" s="11" t="str">
        <f t="shared" si="4"/>
        <v>E4</v>
      </c>
      <c r="I468" s="10" t="str">
        <f t="shared" si="5"/>
        <v>BRN67G-E4</v>
      </c>
      <c r="J468" s="16"/>
      <c r="K468" s="16" t="str">
        <f t="shared" si="6"/>
        <v>collected</v>
      </c>
      <c r="L468" s="16" t="str">
        <f t="shared" si="7"/>
        <v>N</v>
      </c>
      <c r="M468" s="16"/>
      <c r="N468" s="16"/>
    </row>
    <row r="469">
      <c r="A469" s="26" t="s">
        <v>832</v>
      </c>
      <c r="B469" s="10" t="str">
        <f t="shared" si="1"/>
        <v>RNA-gill</v>
      </c>
      <c r="C469" s="10" t="str">
        <f t="shared" si="2"/>
        <v>BRN67G-D4</v>
      </c>
      <c r="D469" s="11">
        <f t="array" ref="D469">iferror(index('rna-muscle'!D:D,match(A469,'rna-muscle'!A:A,0)))</f>
        <v>67</v>
      </c>
      <c r="E469" s="10" t="str">
        <f t="shared" si="3"/>
        <v>BRN67G</v>
      </c>
      <c r="F469" s="11" t="str">
        <f t="array" ref="F469">iferror(index('rna-muscle'!F:F,match($A469,'rna-muscle'!$A:$A,0)))</f>
        <v>D</v>
      </c>
      <c r="G469" s="11">
        <f t="array" ref="G469">iferror(index('rna-muscle'!G:G,match($A469,'rna-muscle'!$A:$A,0)))</f>
        <v>4</v>
      </c>
      <c r="H469" s="11" t="str">
        <f t="shared" si="4"/>
        <v>D4</v>
      </c>
      <c r="I469" s="10" t="str">
        <f t="shared" si="5"/>
        <v>BRN67G-D4</v>
      </c>
      <c r="J469" s="16"/>
      <c r="K469" s="16" t="str">
        <f t="shared" si="6"/>
        <v>collected</v>
      </c>
      <c r="L469" s="16" t="str">
        <f t="shared" si="7"/>
        <v>N</v>
      </c>
      <c r="M469" s="16"/>
      <c r="N469" s="16"/>
    </row>
    <row r="470">
      <c r="A470" s="26" t="s">
        <v>833</v>
      </c>
      <c r="B470" s="10" t="str">
        <f t="shared" si="1"/>
        <v>RNA-gill</v>
      </c>
      <c r="C470" s="10" t="str">
        <f t="shared" si="2"/>
        <v>BRN67G-C4</v>
      </c>
      <c r="D470" s="11">
        <f t="array" ref="D470">iferror(index('rna-muscle'!D:D,match(A470,'rna-muscle'!A:A,0)))</f>
        <v>67</v>
      </c>
      <c r="E470" s="10" t="str">
        <f t="shared" si="3"/>
        <v>BRN67G</v>
      </c>
      <c r="F470" s="11" t="str">
        <f t="array" ref="F470">iferror(index('rna-muscle'!F:F,match($A470,'rna-muscle'!$A:$A,0)))</f>
        <v>C</v>
      </c>
      <c r="G470" s="11">
        <f t="array" ref="G470">iferror(index('rna-muscle'!G:G,match($A470,'rna-muscle'!$A:$A,0)))</f>
        <v>4</v>
      </c>
      <c r="H470" s="11" t="str">
        <f t="shared" si="4"/>
        <v>C4</v>
      </c>
      <c r="I470" s="10" t="str">
        <f t="shared" si="5"/>
        <v>BRN67G-C4</v>
      </c>
      <c r="J470" s="6"/>
      <c r="K470" s="16" t="str">
        <f t="shared" si="6"/>
        <v>collected</v>
      </c>
      <c r="L470" s="16" t="str">
        <f t="shared" si="7"/>
        <v>N</v>
      </c>
      <c r="M470" s="16"/>
      <c r="N470" s="16"/>
    </row>
    <row r="471">
      <c r="A471" s="26" t="s">
        <v>834</v>
      </c>
      <c r="B471" s="10" t="str">
        <f t="shared" si="1"/>
        <v>RNA-gill</v>
      </c>
      <c r="C471" s="10" t="str">
        <f t="shared" si="2"/>
        <v>BRN67G-B4</v>
      </c>
      <c r="D471" s="11">
        <f t="array" ref="D471">iferror(index('rna-muscle'!D:D,match(A471,'rna-muscle'!A:A,0)))</f>
        <v>67</v>
      </c>
      <c r="E471" s="10" t="str">
        <f t="shared" si="3"/>
        <v>BRN67G</v>
      </c>
      <c r="F471" s="11" t="str">
        <f t="array" ref="F471">iferror(index('rna-muscle'!F:F,match($A471,'rna-muscle'!$A:$A,0)))</f>
        <v>B</v>
      </c>
      <c r="G471" s="11">
        <f t="array" ref="G471">iferror(index('rna-muscle'!G:G,match($A471,'rna-muscle'!$A:$A,0)))</f>
        <v>4</v>
      </c>
      <c r="H471" s="11" t="str">
        <f t="shared" si="4"/>
        <v>B4</v>
      </c>
      <c r="I471" s="10" t="str">
        <f t="shared" si="5"/>
        <v>BRN67G-B4</v>
      </c>
      <c r="J471" s="16"/>
      <c r="K471" s="16" t="str">
        <f t="shared" si="6"/>
        <v>collected</v>
      </c>
      <c r="L471" s="16" t="str">
        <f t="shared" si="7"/>
        <v>N</v>
      </c>
      <c r="M471" s="16"/>
      <c r="N471" s="16"/>
    </row>
    <row r="472">
      <c r="A472" s="26" t="s">
        <v>837</v>
      </c>
      <c r="B472" s="10" t="str">
        <f t="shared" si="1"/>
        <v>RNA-gill</v>
      </c>
      <c r="C472" s="10" t="str">
        <f t="shared" si="2"/>
        <v>BRN67G-A4</v>
      </c>
      <c r="D472" s="11">
        <f t="array" ref="D472">iferror(index('rna-muscle'!D:D,match(A472,'rna-muscle'!A:A,0)))</f>
        <v>67</v>
      </c>
      <c r="E472" s="10" t="str">
        <f t="shared" si="3"/>
        <v>BRN67G</v>
      </c>
      <c r="F472" s="11" t="str">
        <f t="array" ref="F472">iferror(index('rna-muscle'!F:F,match($A472,'rna-muscle'!$A:$A,0)))</f>
        <v>A</v>
      </c>
      <c r="G472" s="11">
        <f t="array" ref="G472">iferror(index('rna-muscle'!G:G,match($A472,'rna-muscle'!$A:$A,0)))</f>
        <v>4</v>
      </c>
      <c r="H472" s="11" t="str">
        <f t="shared" si="4"/>
        <v>A4</v>
      </c>
      <c r="I472" s="10" t="str">
        <f t="shared" si="5"/>
        <v>BRN67G-A4</v>
      </c>
      <c r="J472" s="16"/>
      <c r="K472" s="16" t="str">
        <f t="shared" si="6"/>
        <v>collected</v>
      </c>
      <c r="L472" s="16" t="str">
        <f t="shared" si="7"/>
        <v>N</v>
      </c>
      <c r="M472" s="16"/>
      <c r="N472" s="16"/>
    </row>
    <row r="473">
      <c r="A473" s="26" t="s">
        <v>838</v>
      </c>
      <c r="B473" s="10" t="str">
        <f t="shared" si="1"/>
        <v>RNA-gill</v>
      </c>
      <c r="C473" s="10" t="str">
        <f t="shared" si="2"/>
        <v>BRN67G-G6</v>
      </c>
      <c r="D473" s="11">
        <f t="array" ref="D473">iferror(index('rna-muscle'!D:D,match(A473,'rna-muscle'!A:A,0)))</f>
        <v>67</v>
      </c>
      <c r="E473" s="10" t="str">
        <f t="shared" si="3"/>
        <v>BRN67G</v>
      </c>
      <c r="F473" s="11" t="str">
        <f t="array" ref="F473">iferror(index('rna-muscle'!F:F,match($A473,'rna-muscle'!$A:$A,0)))</f>
        <v>G</v>
      </c>
      <c r="G473" s="11">
        <f t="array" ref="G473">iferror(index('rna-muscle'!G:G,match($A473,'rna-muscle'!$A:$A,0)))</f>
        <v>6</v>
      </c>
      <c r="H473" s="11" t="str">
        <f t="shared" si="4"/>
        <v>G6</v>
      </c>
      <c r="I473" s="10" t="str">
        <f t="shared" si="5"/>
        <v>BRN67G-G6</v>
      </c>
      <c r="J473" s="16"/>
      <c r="K473" s="16" t="str">
        <f t="shared" si="6"/>
        <v>collected</v>
      </c>
      <c r="L473" s="16" t="str">
        <f t="shared" si="7"/>
        <v>N</v>
      </c>
      <c r="M473" s="16"/>
      <c r="N473" s="16"/>
    </row>
    <row r="474">
      <c r="A474" s="27" t="s">
        <v>871</v>
      </c>
      <c r="B474" s="10" t="str">
        <f t="shared" si="1"/>
        <v>RNA-gill</v>
      </c>
      <c r="C474" s="10" t="str">
        <f t="shared" si="2"/>
        <v>BRN67G-D5</v>
      </c>
      <c r="D474" s="11">
        <f t="array" ref="D474">iferror(index('rna-muscle'!D:D,match(A474,'rna-muscle'!A:A,0)))</f>
        <v>67</v>
      </c>
      <c r="E474" s="10" t="str">
        <f t="shared" si="3"/>
        <v>BRN67G</v>
      </c>
      <c r="F474" s="11" t="str">
        <f t="array" ref="F474">iferror(index('rna-muscle'!F:F,match($A474,'rna-muscle'!$A:$A,0)))</f>
        <v>D</v>
      </c>
      <c r="G474" s="11">
        <f t="array" ref="G474">iferror(index('rna-muscle'!G:G,match($A474,'rna-muscle'!$A:$A,0)))</f>
        <v>5</v>
      </c>
      <c r="H474" s="11" t="str">
        <f t="shared" si="4"/>
        <v>D5</v>
      </c>
      <c r="I474" s="10" t="str">
        <f t="shared" si="5"/>
        <v>BRN67G-D5</v>
      </c>
      <c r="J474" s="16"/>
      <c r="K474" s="16" t="str">
        <f t="shared" si="6"/>
        <v>collected</v>
      </c>
      <c r="L474" s="16" t="str">
        <f t="shared" si="7"/>
        <v>N</v>
      </c>
      <c r="M474" s="16"/>
      <c r="N474" s="16"/>
    </row>
    <row r="475">
      <c r="A475" s="27" t="s">
        <v>872</v>
      </c>
      <c r="B475" s="10" t="str">
        <f t="shared" si="1"/>
        <v>RNA-gill</v>
      </c>
      <c r="C475" s="10" t="str">
        <f t="shared" si="2"/>
        <v>BRN67G-C5</v>
      </c>
      <c r="D475" s="11">
        <f t="array" ref="D475">iferror(index('rna-muscle'!D:D,match(A475,'rna-muscle'!A:A,0)))</f>
        <v>67</v>
      </c>
      <c r="E475" s="10" t="str">
        <f t="shared" si="3"/>
        <v>BRN67G</v>
      </c>
      <c r="F475" s="11" t="str">
        <f t="array" ref="F475">iferror(index('rna-muscle'!F:F,match($A475,'rna-muscle'!$A:$A,0)))</f>
        <v>C</v>
      </c>
      <c r="G475" s="11">
        <f t="array" ref="G475">iferror(index('rna-muscle'!G:G,match($A475,'rna-muscle'!$A:$A,0)))</f>
        <v>5</v>
      </c>
      <c r="H475" s="11" t="str">
        <f t="shared" si="4"/>
        <v>C5</v>
      </c>
      <c r="I475" s="10" t="str">
        <f t="shared" si="5"/>
        <v>BRN67G-C5</v>
      </c>
      <c r="J475" s="16"/>
      <c r="K475" s="16" t="str">
        <f t="shared" si="6"/>
        <v>collected</v>
      </c>
      <c r="L475" s="16" t="str">
        <f t="shared" si="7"/>
        <v>N</v>
      </c>
      <c r="M475" s="16"/>
      <c r="N475" s="16"/>
    </row>
    <row r="476">
      <c r="A476" s="27" t="s">
        <v>873</v>
      </c>
      <c r="B476" s="10" t="str">
        <f t="shared" si="1"/>
        <v>RNA-gill</v>
      </c>
      <c r="C476" s="10" t="str">
        <f t="shared" si="2"/>
        <v>BRN67G-B5</v>
      </c>
      <c r="D476" s="11">
        <f t="array" ref="D476">iferror(index('rna-muscle'!D:D,match(A476,'rna-muscle'!A:A,0)))</f>
        <v>67</v>
      </c>
      <c r="E476" s="10" t="str">
        <f t="shared" si="3"/>
        <v>BRN67G</v>
      </c>
      <c r="F476" s="11" t="str">
        <f t="array" ref="F476">iferror(index('rna-muscle'!F:F,match($A476,'rna-muscle'!$A:$A,0)))</f>
        <v>B</v>
      </c>
      <c r="G476" s="11">
        <f t="array" ref="G476">iferror(index('rna-muscle'!G:G,match($A476,'rna-muscle'!$A:$A,0)))</f>
        <v>5</v>
      </c>
      <c r="H476" s="11" t="str">
        <f t="shared" si="4"/>
        <v>B5</v>
      </c>
      <c r="I476" s="10" t="str">
        <f t="shared" si="5"/>
        <v>BRN67G-B5</v>
      </c>
      <c r="J476" s="6"/>
      <c r="K476" s="16" t="str">
        <f t="shared" si="6"/>
        <v>collected</v>
      </c>
      <c r="L476" s="16" t="str">
        <f t="shared" si="7"/>
        <v>N</v>
      </c>
      <c r="M476" s="16"/>
      <c r="N476" s="16"/>
    </row>
    <row r="477">
      <c r="A477" s="27" t="s">
        <v>875</v>
      </c>
      <c r="B477" s="10" t="str">
        <f t="shared" si="1"/>
        <v>RNA-gill</v>
      </c>
      <c r="C477" s="10" t="str">
        <f t="shared" si="2"/>
        <v>BRN67G-A5</v>
      </c>
      <c r="D477" s="11">
        <f t="array" ref="D477">iferror(index('rna-muscle'!D:D,match(A477,'rna-muscle'!A:A,0)))</f>
        <v>67</v>
      </c>
      <c r="E477" s="10" t="str">
        <f t="shared" si="3"/>
        <v>BRN67G</v>
      </c>
      <c r="F477" s="11" t="str">
        <f t="array" ref="F477">iferror(index('rna-muscle'!F:F,match($A477,'rna-muscle'!$A:$A,0)))</f>
        <v>A</v>
      </c>
      <c r="G477" s="11">
        <f t="array" ref="G477">iferror(index('rna-muscle'!G:G,match($A477,'rna-muscle'!$A:$A,0)))</f>
        <v>5</v>
      </c>
      <c r="H477" s="11" t="str">
        <f t="shared" si="4"/>
        <v>A5</v>
      </c>
      <c r="I477" s="10" t="str">
        <f t="shared" si="5"/>
        <v>BRN67G-A5</v>
      </c>
      <c r="J477" s="6"/>
      <c r="K477" s="16" t="str">
        <f t="shared" si="6"/>
        <v>collected</v>
      </c>
      <c r="L477" s="16" t="str">
        <f t="shared" si="7"/>
        <v>N</v>
      </c>
      <c r="M477" s="16"/>
      <c r="N477" s="16"/>
    </row>
    <row r="478">
      <c r="A478" s="27" t="s">
        <v>877</v>
      </c>
      <c r="B478" s="10" t="str">
        <f t="shared" si="1"/>
        <v>RNA-gill</v>
      </c>
      <c r="C478" s="10" t="str">
        <f t="shared" si="2"/>
        <v>BRN67G-H7</v>
      </c>
      <c r="D478" s="11">
        <f t="array" ref="D478">iferror(index('rna-muscle'!D:D,match(A478,'rna-muscle'!A:A,0)))</f>
        <v>67</v>
      </c>
      <c r="E478" s="10" t="str">
        <f t="shared" si="3"/>
        <v>BRN67G</v>
      </c>
      <c r="F478" s="11" t="str">
        <f t="array" ref="F478">iferror(index('rna-muscle'!F:F,match($A478,'rna-muscle'!$A:$A,0)))</f>
        <v>H</v>
      </c>
      <c r="G478" s="11">
        <f t="array" ref="G478">iferror(index('rna-muscle'!G:G,match($A478,'rna-muscle'!$A:$A,0)))</f>
        <v>7</v>
      </c>
      <c r="H478" s="11" t="str">
        <f t="shared" si="4"/>
        <v>H7</v>
      </c>
      <c r="I478" s="10" t="str">
        <f t="shared" si="5"/>
        <v>BRN67G-H7</v>
      </c>
      <c r="J478" s="16"/>
      <c r="K478" s="16" t="str">
        <f t="shared" si="6"/>
        <v>collected</v>
      </c>
      <c r="L478" s="16" t="str">
        <f t="shared" si="7"/>
        <v>N</v>
      </c>
      <c r="M478" s="16"/>
      <c r="N478" s="16"/>
    </row>
    <row r="479">
      <c r="A479" s="27" t="s">
        <v>878</v>
      </c>
      <c r="B479" s="10" t="str">
        <f t="shared" si="1"/>
        <v>RNA-gill</v>
      </c>
      <c r="C479" s="10" t="str">
        <f t="shared" si="2"/>
        <v>BRN67G-G7</v>
      </c>
      <c r="D479" s="11">
        <f t="array" ref="D479">iferror(index('rna-muscle'!D:D,match(A479,'rna-muscle'!A:A,0)))</f>
        <v>67</v>
      </c>
      <c r="E479" s="10" t="str">
        <f t="shared" si="3"/>
        <v>BRN67G</v>
      </c>
      <c r="F479" s="11" t="str">
        <f t="array" ref="F479">iferror(index('rna-muscle'!F:F,match($A479,'rna-muscle'!$A:$A,0)))</f>
        <v>G</v>
      </c>
      <c r="G479" s="11">
        <f t="array" ref="G479">iferror(index('rna-muscle'!G:G,match($A479,'rna-muscle'!$A:$A,0)))</f>
        <v>7</v>
      </c>
      <c r="H479" s="11" t="str">
        <f t="shared" si="4"/>
        <v>G7</v>
      </c>
      <c r="I479" s="10" t="str">
        <f t="shared" si="5"/>
        <v>BRN67G-G7</v>
      </c>
      <c r="J479" s="6"/>
      <c r="K479" s="16" t="str">
        <f t="shared" si="6"/>
        <v>collected</v>
      </c>
      <c r="L479" s="16" t="str">
        <f t="shared" si="7"/>
        <v>N</v>
      </c>
      <c r="M479" s="16"/>
      <c r="N479" s="16"/>
    </row>
    <row r="480">
      <c r="A480" s="27" t="s">
        <v>881</v>
      </c>
      <c r="B480" s="10" t="str">
        <f t="shared" si="1"/>
        <v>RNA-gill</v>
      </c>
      <c r="C480" s="10" t="str">
        <f t="shared" si="2"/>
        <v>BRN67G-F7</v>
      </c>
      <c r="D480" s="11">
        <f t="array" ref="D480">iferror(index('rna-muscle'!D:D,match(A480,'rna-muscle'!A:A,0)))</f>
        <v>67</v>
      </c>
      <c r="E480" s="10" t="str">
        <f t="shared" si="3"/>
        <v>BRN67G</v>
      </c>
      <c r="F480" s="11" t="str">
        <f t="array" ref="F480">iferror(index('rna-muscle'!F:F,match($A480,'rna-muscle'!$A:$A,0)))</f>
        <v>F</v>
      </c>
      <c r="G480" s="11">
        <f t="array" ref="G480">iferror(index('rna-muscle'!G:G,match($A480,'rna-muscle'!$A:$A,0)))</f>
        <v>7</v>
      </c>
      <c r="H480" s="11" t="str">
        <f t="shared" si="4"/>
        <v>F7</v>
      </c>
      <c r="I480" s="10" t="str">
        <f t="shared" si="5"/>
        <v>BRN67G-F7</v>
      </c>
      <c r="J480" s="16"/>
      <c r="K480" s="16" t="str">
        <f t="shared" si="6"/>
        <v>collected</v>
      </c>
      <c r="L480" s="16" t="str">
        <f t="shared" si="7"/>
        <v>N</v>
      </c>
      <c r="M480" s="16"/>
      <c r="N480" s="16"/>
    </row>
    <row r="481">
      <c r="A481" s="27" t="s">
        <v>882</v>
      </c>
      <c r="B481" s="10" t="str">
        <f t="shared" si="1"/>
        <v>RNA-gill</v>
      </c>
      <c r="C481" s="10" t="str">
        <f t="shared" si="2"/>
        <v>BRN67G-E7</v>
      </c>
      <c r="D481" s="11">
        <f t="array" ref="D481">iferror(index('rna-muscle'!D:D,match(A481,'rna-muscle'!A:A,0)))</f>
        <v>67</v>
      </c>
      <c r="E481" s="10" t="str">
        <f t="shared" si="3"/>
        <v>BRN67G</v>
      </c>
      <c r="F481" s="11" t="str">
        <f t="array" ref="F481">iferror(index('rna-muscle'!F:F,match($A481,'rna-muscle'!$A:$A,0)))</f>
        <v>E</v>
      </c>
      <c r="G481" s="11">
        <f t="array" ref="G481">iferror(index('rna-muscle'!G:G,match($A481,'rna-muscle'!$A:$A,0)))</f>
        <v>7</v>
      </c>
      <c r="H481" s="11" t="str">
        <f t="shared" si="4"/>
        <v>E7</v>
      </c>
      <c r="I481" s="10" t="str">
        <f t="shared" si="5"/>
        <v>BRN67G-E7</v>
      </c>
      <c r="J481" s="16"/>
      <c r="K481" s="16" t="str">
        <f t="shared" si="6"/>
        <v>collected</v>
      </c>
      <c r="L481" s="16" t="str">
        <f t="shared" si="7"/>
        <v>N</v>
      </c>
      <c r="M481" s="16"/>
      <c r="N481" s="16"/>
    </row>
    <row r="482">
      <c r="A482" s="27" t="s">
        <v>884</v>
      </c>
      <c r="B482" s="10" t="str">
        <f t="shared" si="1"/>
        <v>RNA-gill</v>
      </c>
      <c r="C482" s="10" t="str">
        <f t="shared" si="2"/>
        <v>BRN67G-D7</v>
      </c>
      <c r="D482" s="11">
        <f t="array" ref="D482">iferror(index('rna-muscle'!D:D,match(A482,'rna-muscle'!A:A,0)))</f>
        <v>67</v>
      </c>
      <c r="E482" s="10" t="str">
        <f t="shared" si="3"/>
        <v>BRN67G</v>
      </c>
      <c r="F482" s="11" t="str">
        <f t="array" ref="F482">iferror(index('rna-muscle'!F:F,match($A482,'rna-muscle'!$A:$A,0)))</f>
        <v>D</v>
      </c>
      <c r="G482" s="11">
        <f t="array" ref="G482">iferror(index('rna-muscle'!G:G,match($A482,'rna-muscle'!$A:$A,0)))</f>
        <v>7</v>
      </c>
      <c r="H482" s="11" t="str">
        <f t="shared" si="4"/>
        <v>D7</v>
      </c>
      <c r="I482" s="10" t="str">
        <f t="shared" si="5"/>
        <v>BRN67G-D7</v>
      </c>
      <c r="J482" s="16"/>
      <c r="K482" s="16" t="str">
        <f t="shared" si="6"/>
        <v>collected</v>
      </c>
      <c r="L482" s="16" t="str">
        <f t="shared" si="7"/>
        <v>N</v>
      </c>
      <c r="M482" s="16"/>
      <c r="N482" s="16"/>
    </row>
    <row r="483">
      <c r="A483" s="27" t="s">
        <v>885</v>
      </c>
      <c r="B483" s="10" t="str">
        <f t="shared" si="1"/>
        <v>RNA-gill</v>
      </c>
      <c r="C483" s="10" t="str">
        <f t="shared" si="2"/>
        <v>BRN67G-C7</v>
      </c>
      <c r="D483" s="11">
        <f t="array" ref="D483">iferror(index('rna-muscle'!D:D,match(A483,'rna-muscle'!A:A,0)))</f>
        <v>67</v>
      </c>
      <c r="E483" s="10" t="str">
        <f t="shared" si="3"/>
        <v>BRN67G</v>
      </c>
      <c r="F483" s="11" t="str">
        <f t="array" ref="F483">iferror(index('rna-muscle'!F:F,match($A483,'rna-muscle'!$A:$A,0)))</f>
        <v>C</v>
      </c>
      <c r="G483" s="11">
        <f t="array" ref="G483">iferror(index('rna-muscle'!G:G,match($A483,'rna-muscle'!$A:$A,0)))</f>
        <v>7</v>
      </c>
      <c r="H483" s="11" t="str">
        <f t="shared" si="4"/>
        <v>C7</v>
      </c>
      <c r="I483" s="10" t="str">
        <f t="shared" si="5"/>
        <v>BRN67G-C7</v>
      </c>
      <c r="J483" s="16"/>
      <c r="K483" s="16" t="str">
        <f t="shared" si="6"/>
        <v>collected</v>
      </c>
      <c r="L483" s="16" t="str">
        <f t="shared" si="7"/>
        <v>N</v>
      </c>
      <c r="M483" s="16"/>
      <c r="N483" s="16"/>
    </row>
    <row r="484">
      <c r="A484" s="27" t="s">
        <v>886</v>
      </c>
      <c r="B484" s="10" t="str">
        <f t="shared" si="1"/>
        <v>RNA-gill</v>
      </c>
      <c r="C484" s="10" t="str">
        <f t="shared" si="2"/>
        <v>BRN67G-B7</v>
      </c>
      <c r="D484" s="11">
        <f t="array" ref="D484">iferror(index('rna-muscle'!D:D,match(A484,'rna-muscle'!A:A,0)))</f>
        <v>67</v>
      </c>
      <c r="E484" s="10" t="str">
        <f t="shared" si="3"/>
        <v>BRN67G</v>
      </c>
      <c r="F484" s="11" t="str">
        <f t="array" ref="F484">iferror(index('rna-muscle'!F:F,match($A484,'rna-muscle'!$A:$A,0)))</f>
        <v>B</v>
      </c>
      <c r="G484" s="11">
        <f t="array" ref="G484">iferror(index('rna-muscle'!G:G,match($A484,'rna-muscle'!$A:$A,0)))</f>
        <v>7</v>
      </c>
      <c r="H484" s="11" t="str">
        <f t="shared" si="4"/>
        <v>B7</v>
      </c>
      <c r="I484" s="10" t="str">
        <f t="shared" si="5"/>
        <v>BRN67G-B7</v>
      </c>
      <c r="J484" s="16"/>
      <c r="K484" s="16" t="str">
        <f t="shared" si="6"/>
        <v>collected</v>
      </c>
      <c r="L484" s="16" t="str">
        <f t="shared" si="7"/>
        <v>N</v>
      </c>
      <c r="M484" s="16"/>
      <c r="N484" s="16"/>
    </row>
    <row r="485">
      <c r="A485" s="27" t="s">
        <v>887</v>
      </c>
      <c r="B485" s="10" t="str">
        <f t="shared" si="1"/>
        <v>RNA-gill</v>
      </c>
      <c r="C485" s="10" t="str">
        <f t="shared" si="2"/>
        <v>BRN67G-A7</v>
      </c>
      <c r="D485" s="11">
        <f t="array" ref="D485">iferror(index('rna-muscle'!D:D,match(A485,'rna-muscle'!A:A,0)))</f>
        <v>67</v>
      </c>
      <c r="E485" s="10" t="str">
        <f t="shared" si="3"/>
        <v>BRN67G</v>
      </c>
      <c r="F485" s="11" t="str">
        <f t="array" ref="F485">iferror(index('rna-muscle'!F:F,match($A485,'rna-muscle'!$A:$A,0)))</f>
        <v>A</v>
      </c>
      <c r="G485" s="11">
        <f t="array" ref="G485">iferror(index('rna-muscle'!G:G,match($A485,'rna-muscle'!$A:$A,0)))</f>
        <v>7</v>
      </c>
      <c r="H485" s="11" t="str">
        <f t="shared" si="4"/>
        <v>A7</v>
      </c>
      <c r="I485" s="10" t="str">
        <f t="shared" si="5"/>
        <v>BRN67G-A7</v>
      </c>
      <c r="J485" s="16"/>
      <c r="K485" s="16" t="str">
        <f t="shared" si="6"/>
        <v>collected</v>
      </c>
      <c r="L485" s="16" t="str">
        <f t="shared" si="7"/>
        <v>N</v>
      </c>
      <c r="M485" s="16"/>
      <c r="N485" s="16"/>
    </row>
    <row r="486">
      <c r="A486" s="27" t="s">
        <v>889</v>
      </c>
      <c r="B486" s="10" t="str">
        <f t="shared" si="1"/>
        <v>RNA-gill</v>
      </c>
      <c r="C486" s="10" t="str">
        <f t="shared" si="2"/>
        <v>BRN67G-H9</v>
      </c>
      <c r="D486" s="11">
        <f t="array" ref="D486">iferror(index('rna-muscle'!D:D,match(A486,'rna-muscle'!A:A,0)))</f>
        <v>67</v>
      </c>
      <c r="E486" s="10" t="str">
        <f t="shared" si="3"/>
        <v>BRN67G</v>
      </c>
      <c r="F486" s="11" t="str">
        <f t="array" ref="F486">iferror(index('rna-muscle'!F:F,match($A486,'rna-muscle'!$A:$A,0)))</f>
        <v>H</v>
      </c>
      <c r="G486" s="11">
        <f t="array" ref="G486">iferror(index('rna-muscle'!G:G,match($A486,'rna-muscle'!$A:$A,0)))</f>
        <v>9</v>
      </c>
      <c r="H486" s="11" t="str">
        <f t="shared" si="4"/>
        <v>H9</v>
      </c>
      <c r="I486" s="10" t="str">
        <f t="shared" si="5"/>
        <v>BRN67G-H9</v>
      </c>
      <c r="J486" s="16"/>
      <c r="K486" s="16" t="str">
        <f t="shared" si="6"/>
        <v>collected</v>
      </c>
      <c r="L486" s="16" t="str">
        <f t="shared" si="7"/>
        <v>N</v>
      </c>
      <c r="M486" s="16"/>
      <c r="N486" s="16"/>
    </row>
    <row r="487">
      <c r="A487" s="27" t="s">
        <v>891</v>
      </c>
      <c r="B487" s="10" t="str">
        <f t="shared" si="1"/>
        <v>RNA-gill</v>
      </c>
      <c r="C487" s="10" t="str">
        <f t="shared" si="2"/>
        <v>BRN67G-G9</v>
      </c>
      <c r="D487" s="11">
        <f t="array" ref="D487">iferror(index('rna-muscle'!D:D,match(A487,'rna-muscle'!A:A,0)))</f>
        <v>67</v>
      </c>
      <c r="E487" s="10" t="str">
        <f t="shared" si="3"/>
        <v>BRN67G</v>
      </c>
      <c r="F487" s="11" t="str">
        <f t="array" ref="F487">iferror(index('rna-muscle'!F:F,match($A487,'rna-muscle'!$A:$A,0)))</f>
        <v>G</v>
      </c>
      <c r="G487" s="11">
        <f t="array" ref="G487">iferror(index('rna-muscle'!G:G,match($A487,'rna-muscle'!$A:$A,0)))</f>
        <v>9</v>
      </c>
      <c r="H487" s="11" t="str">
        <f t="shared" si="4"/>
        <v>G9</v>
      </c>
      <c r="I487" s="10" t="str">
        <f t="shared" si="5"/>
        <v>BRN67G-G9</v>
      </c>
      <c r="J487" s="16"/>
      <c r="K487" s="16" t="str">
        <f t="shared" si="6"/>
        <v>collected</v>
      </c>
      <c r="L487" s="16" t="str">
        <f t="shared" si="7"/>
        <v>N</v>
      </c>
      <c r="M487" s="16"/>
      <c r="N487" s="16"/>
    </row>
    <row r="488">
      <c r="A488" s="27" t="s">
        <v>892</v>
      </c>
      <c r="B488" s="10" t="str">
        <f t="shared" si="1"/>
        <v>RNA-gill</v>
      </c>
      <c r="C488" s="10" t="str">
        <f t="shared" si="2"/>
        <v>BRN67G-F9</v>
      </c>
      <c r="D488" s="11">
        <f t="array" ref="D488">iferror(index('rna-muscle'!D:D,match(A488,'rna-muscle'!A:A,0)))</f>
        <v>67</v>
      </c>
      <c r="E488" s="10" t="str">
        <f t="shared" si="3"/>
        <v>BRN67G</v>
      </c>
      <c r="F488" s="11" t="str">
        <f t="array" ref="F488">iferror(index('rna-muscle'!F:F,match($A488,'rna-muscle'!$A:$A,0)))</f>
        <v>F</v>
      </c>
      <c r="G488" s="11">
        <f t="array" ref="G488">iferror(index('rna-muscle'!G:G,match($A488,'rna-muscle'!$A:$A,0)))</f>
        <v>9</v>
      </c>
      <c r="H488" s="11" t="str">
        <f t="shared" si="4"/>
        <v>F9</v>
      </c>
      <c r="I488" s="10" t="str">
        <f t="shared" si="5"/>
        <v>BRN67G-F9</v>
      </c>
      <c r="J488" s="16"/>
      <c r="K488" s="16" t="str">
        <f t="shared" si="6"/>
        <v>collected</v>
      </c>
      <c r="L488" s="16" t="str">
        <f t="shared" si="7"/>
        <v>N</v>
      </c>
      <c r="M488" s="16"/>
      <c r="N488" s="16"/>
    </row>
    <row r="489">
      <c r="A489" s="27" t="s">
        <v>893</v>
      </c>
      <c r="B489" s="10" t="str">
        <f t="shared" si="1"/>
        <v>RNA-gill</v>
      </c>
      <c r="C489" s="10" t="str">
        <f t="shared" si="2"/>
        <v>BRN67G-E9</v>
      </c>
      <c r="D489" s="11">
        <f t="array" ref="D489">iferror(index('rna-muscle'!D:D,match(A489,'rna-muscle'!A:A,0)))</f>
        <v>67</v>
      </c>
      <c r="E489" s="10" t="str">
        <f t="shared" si="3"/>
        <v>BRN67G</v>
      </c>
      <c r="F489" s="11" t="str">
        <f t="array" ref="F489">iferror(index('rna-muscle'!F:F,match($A489,'rna-muscle'!$A:$A,0)))</f>
        <v>E</v>
      </c>
      <c r="G489" s="11">
        <f t="array" ref="G489">iferror(index('rna-muscle'!G:G,match($A489,'rna-muscle'!$A:$A,0)))</f>
        <v>9</v>
      </c>
      <c r="H489" s="11" t="str">
        <f t="shared" si="4"/>
        <v>E9</v>
      </c>
      <c r="I489" s="10" t="str">
        <f t="shared" si="5"/>
        <v>BRN67G-E9</v>
      </c>
      <c r="J489" s="16"/>
      <c r="K489" s="16" t="str">
        <f t="shared" si="6"/>
        <v>collected</v>
      </c>
      <c r="L489" s="16" t="str">
        <f t="shared" si="7"/>
        <v>N</v>
      </c>
      <c r="M489" s="16"/>
      <c r="N489" s="16"/>
    </row>
    <row r="490">
      <c r="A490" s="27" t="s">
        <v>894</v>
      </c>
      <c r="B490" s="10" t="str">
        <f t="shared" si="1"/>
        <v>RNA-gill</v>
      </c>
      <c r="C490" s="10" t="str">
        <f t="shared" si="2"/>
        <v>BRN67G-D9</v>
      </c>
      <c r="D490" s="11">
        <f t="array" ref="D490">iferror(index('rna-muscle'!D:D,match(A490,'rna-muscle'!A:A,0)))</f>
        <v>67</v>
      </c>
      <c r="E490" s="10" t="str">
        <f t="shared" si="3"/>
        <v>BRN67G</v>
      </c>
      <c r="F490" s="11" t="str">
        <f t="array" ref="F490">iferror(index('rna-muscle'!F:F,match($A490,'rna-muscle'!$A:$A,0)))</f>
        <v>D</v>
      </c>
      <c r="G490" s="11">
        <f t="array" ref="G490">iferror(index('rna-muscle'!G:G,match($A490,'rna-muscle'!$A:$A,0)))</f>
        <v>9</v>
      </c>
      <c r="H490" s="11" t="str">
        <f t="shared" si="4"/>
        <v>D9</v>
      </c>
      <c r="I490" s="10" t="str">
        <f t="shared" si="5"/>
        <v>BRN67G-D9</v>
      </c>
      <c r="J490" s="16"/>
      <c r="K490" s="16" t="str">
        <f t="shared" si="6"/>
        <v>collected</v>
      </c>
      <c r="L490" s="16" t="str">
        <f t="shared" si="7"/>
        <v>N</v>
      </c>
      <c r="M490" s="16"/>
      <c r="N490" s="16"/>
    </row>
    <row r="491">
      <c r="A491" s="27" t="s">
        <v>895</v>
      </c>
      <c r="B491" s="10" t="str">
        <f t="shared" si="1"/>
        <v>RNA-gill</v>
      </c>
      <c r="C491" s="10" t="str">
        <f t="shared" si="2"/>
        <v>BRN67G-C9</v>
      </c>
      <c r="D491" s="11">
        <f t="array" ref="D491">iferror(index('rna-muscle'!D:D,match(A491,'rna-muscle'!A:A,0)))</f>
        <v>67</v>
      </c>
      <c r="E491" s="10" t="str">
        <f t="shared" si="3"/>
        <v>BRN67G</v>
      </c>
      <c r="F491" s="11" t="str">
        <f t="array" ref="F491">iferror(index('rna-muscle'!F:F,match($A491,'rna-muscle'!$A:$A,0)))</f>
        <v>C</v>
      </c>
      <c r="G491" s="11">
        <f t="array" ref="G491">iferror(index('rna-muscle'!G:G,match($A491,'rna-muscle'!$A:$A,0)))</f>
        <v>9</v>
      </c>
      <c r="H491" s="11" t="str">
        <f t="shared" si="4"/>
        <v>C9</v>
      </c>
      <c r="I491" s="10" t="str">
        <f t="shared" si="5"/>
        <v>BRN67G-C9</v>
      </c>
      <c r="J491" s="16"/>
      <c r="K491" s="16" t="str">
        <f t="shared" si="6"/>
        <v>collected</v>
      </c>
      <c r="L491" s="16" t="str">
        <f t="shared" si="7"/>
        <v>N</v>
      </c>
      <c r="M491" s="16"/>
      <c r="N491" s="16"/>
    </row>
    <row r="492">
      <c r="A492" s="40" t="s">
        <v>897</v>
      </c>
      <c r="B492" s="10" t="str">
        <f t="shared" si="1"/>
        <v>RNA-gill</v>
      </c>
      <c r="C492" s="10" t="str">
        <f t="shared" si="2"/>
        <v>BRN67G-F6</v>
      </c>
      <c r="D492" s="11">
        <f t="array" ref="D492">iferror(index('rna-muscle'!D:D,match(A492,'rna-muscle'!A:A,0)))</f>
        <v>67</v>
      </c>
      <c r="E492" s="10" t="str">
        <f t="shared" si="3"/>
        <v>BRN67G</v>
      </c>
      <c r="F492" s="11" t="str">
        <f t="array" ref="F492">iferror(index('rna-muscle'!F:F,match($A492,'rna-muscle'!$A:$A,0)))</f>
        <v>F</v>
      </c>
      <c r="G492" s="11">
        <f t="array" ref="G492">iferror(index('rna-muscle'!G:G,match($A492,'rna-muscle'!$A:$A,0)))</f>
        <v>6</v>
      </c>
      <c r="H492" s="11" t="str">
        <f t="shared" si="4"/>
        <v>F6</v>
      </c>
      <c r="I492" s="10" t="str">
        <f t="shared" si="5"/>
        <v>BRN67G-F6</v>
      </c>
      <c r="J492" s="16"/>
      <c r="K492" s="16" t="str">
        <f t="shared" si="6"/>
        <v>collected</v>
      </c>
      <c r="L492" s="16" t="str">
        <f t="shared" si="7"/>
        <v>N</v>
      </c>
      <c r="M492" s="16"/>
      <c r="N492" s="16"/>
    </row>
    <row r="493">
      <c r="A493" s="43" t="s">
        <v>898</v>
      </c>
      <c r="B493" s="10" t="str">
        <f t="shared" si="1"/>
        <v>RNA-gill</v>
      </c>
      <c r="C493" s="10" t="str">
        <f t="shared" si="2"/>
        <v>BRN67G-E6</v>
      </c>
      <c r="D493" s="11">
        <f t="array" ref="D493">iferror(index('rna-muscle'!D:D,match(A493,'rna-muscle'!A:A,0)))</f>
        <v>67</v>
      </c>
      <c r="E493" s="10" t="str">
        <f t="shared" si="3"/>
        <v>BRN67G</v>
      </c>
      <c r="F493" s="11" t="str">
        <f t="array" ref="F493">iferror(index('rna-muscle'!F:F,match($A493,'rna-muscle'!$A:$A,0)))</f>
        <v>E</v>
      </c>
      <c r="G493" s="11">
        <f t="array" ref="G493">iferror(index('rna-muscle'!G:G,match($A493,'rna-muscle'!$A:$A,0)))</f>
        <v>6</v>
      </c>
      <c r="H493" s="11" t="str">
        <f t="shared" si="4"/>
        <v>E6</v>
      </c>
      <c r="I493" s="10" t="str">
        <f t="shared" si="5"/>
        <v>BRN67G-E6</v>
      </c>
      <c r="J493" s="16"/>
      <c r="K493" s="16" t="str">
        <f t="shared" si="6"/>
        <v>collected</v>
      </c>
      <c r="L493" s="16" t="str">
        <f t="shared" si="7"/>
        <v>N</v>
      </c>
      <c r="M493" s="16"/>
      <c r="N493" s="16"/>
    </row>
    <row r="494">
      <c r="A494" s="44" t="s">
        <v>899</v>
      </c>
      <c r="B494" s="10" t="str">
        <f t="shared" si="1"/>
        <v>RNA-gill</v>
      </c>
      <c r="C494" s="10" t="str">
        <f t="shared" si="2"/>
        <v>BRN67G-D6</v>
      </c>
      <c r="D494" s="11">
        <f t="array" ref="D494">iferror(index('rna-muscle'!D:D,match(A494,'rna-muscle'!A:A,0)))</f>
        <v>67</v>
      </c>
      <c r="E494" s="10" t="str">
        <f t="shared" si="3"/>
        <v>BRN67G</v>
      </c>
      <c r="F494" s="11" t="str">
        <f t="array" ref="F494">iferror(index('rna-muscle'!F:F,match($A494,'rna-muscle'!$A:$A,0)))</f>
        <v>D</v>
      </c>
      <c r="G494" s="11">
        <f t="array" ref="G494">iferror(index('rna-muscle'!G:G,match($A494,'rna-muscle'!$A:$A,0)))</f>
        <v>6</v>
      </c>
      <c r="H494" s="11" t="str">
        <f t="shared" si="4"/>
        <v>D6</v>
      </c>
      <c r="I494" s="10" t="str">
        <f t="shared" si="5"/>
        <v>BRN67G-D6</v>
      </c>
      <c r="J494" s="16"/>
      <c r="K494" s="16" t="str">
        <f t="shared" si="6"/>
        <v>collected</v>
      </c>
      <c r="L494" s="16" t="str">
        <f t="shared" si="7"/>
        <v>N</v>
      </c>
      <c r="M494" s="16"/>
      <c r="N494" s="16"/>
    </row>
    <row r="495">
      <c r="A495" s="44" t="s">
        <v>901</v>
      </c>
      <c r="B495" s="10" t="str">
        <f t="shared" si="1"/>
        <v>RNA-gill</v>
      </c>
      <c r="C495" s="10" t="str">
        <f t="shared" si="2"/>
        <v>BRN67G-C6</v>
      </c>
      <c r="D495" s="11">
        <f t="array" ref="D495">iferror(index('rna-muscle'!D:D,match(A495,'rna-muscle'!A:A,0)))</f>
        <v>67</v>
      </c>
      <c r="E495" s="10" t="str">
        <f t="shared" si="3"/>
        <v>BRN67G</v>
      </c>
      <c r="F495" s="11" t="str">
        <f t="array" ref="F495">iferror(index('rna-muscle'!F:F,match($A495,'rna-muscle'!$A:$A,0)))</f>
        <v>C</v>
      </c>
      <c r="G495" s="11">
        <f t="array" ref="G495">iferror(index('rna-muscle'!G:G,match($A495,'rna-muscle'!$A:$A,0)))</f>
        <v>6</v>
      </c>
      <c r="H495" s="11" t="str">
        <f t="shared" si="4"/>
        <v>C6</v>
      </c>
      <c r="I495" s="10" t="str">
        <f t="shared" si="5"/>
        <v>BRN67G-C6</v>
      </c>
      <c r="J495" s="16"/>
      <c r="K495" s="16" t="str">
        <f t="shared" si="6"/>
        <v>collected</v>
      </c>
      <c r="L495" s="16" t="str">
        <f t="shared" si="7"/>
        <v>N</v>
      </c>
      <c r="M495" s="16"/>
      <c r="N495" s="16"/>
    </row>
    <row r="496">
      <c r="A496" s="44" t="s">
        <v>903</v>
      </c>
      <c r="B496" s="10" t="str">
        <f t="shared" si="1"/>
        <v>RNA-gill</v>
      </c>
      <c r="C496" s="10" t="str">
        <f t="shared" si="2"/>
        <v>BRN67G-B6</v>
      </c>
      <c r="D496" s="11">
        <f t="array" ref="D496">iferror(index('rna-muscle'!D:D,match(A496,'rna-muscle'!A:A,0)))</f>
        <v>67</v>
      </c>
      <c r="E496" s="10" t="str">
        <f t="shared" si="3"/>
        <v>BRN67G</v>
      </c>
      <c r="F496" s="11" t="str">
        <f t="array" ref="F496">iferror(index('rna-muscle'!F:F,match($A496,'rna-muscle'!$A:$A,0)))</f>
        <v>B</v>
      </c>
      <c r="G496" s="11">
        <f t="array" ref="G496">iferror(index('rna-muscle'!G:G,match($A496,'rna-muscle'!$A:$A,0)))</f>
        <v>6</v>
      </c>
      <c r="H496" s="11" t="str">
        <f t="shared" si="4"/>
        <v>B6</v>
      </c>
      <c r="I496" s="10" t="str">
        <f t="shared" si="5"/>
        <v>BRN67G-B6</v>
      </c>
      <c r="J496" s="16"/>
      <c r="K496" s="16" t="str">
        <f t="shared" si="6"/>
        <v>collected</v>
      </c>
      <c r="L496" s="16" t="str">
        <f t="shared" si="7"/>
        <v>N</v>
      </c>
      <c r="M496" s="16"/>
      <c r="N496" s="16"/>
    </row>
    <row r="497">
      <c r="A497" s="44" t="s">
        <v>904</v>
      </c>
      <c r="B497" s="10" t="str">
        <f t="shared" si="1"/>
        <v>RNA-gill</v>
      </c>
      <c r="C497" s="10" t="str">
        <f t="shared" si="2"/>
        <v>BRN67G-H8</v>
      </c>
      <c r="D497" s="11">
        <f t="array" ref="D497">iferror(index('rna-muscle'!D:D,match(A497,'rna-muscle'!A:A,0)))</f>
        <v>67</v>
      </c>
      <c r="E497" s="10" t="str">
        <f t="shared" si="3"/>
        <v>BRN67G</v>
      </c>
      <c r="F497" s="11" t="str">
        <f t="array" ref="F497">iferror(index('rna-muscle'!F:F,match($A497,'rna-muscle'!$A:$A,0)))</f>
        <v>H</v>
      </c>
      <c r="G497" s="11">
        <f t="array" ref="G497">iferror(index('rna-muscle'!G:G,match($A497,'rna-muscle'!$A:$A,0)))</f>
        <v>8</v>
      </c>
      <c r="H497" s="11" t="str">
        <f t="shared" si="4"/>
        <v>H8</v>
      </c>
      <c r="I497" s="10" t="str">
        <f t="shared" si="5"/>
        <v>BRN67G-H8</v>
      </c>
      <c r="J497" s="16"/>
      <c r="K497" s="16" t="str">
        <f t="shared" si="6"/>
        <v>collected</v>
      </c>
      <c r="L497" s="16" t="str">
        <f t="shared" si="7"/>
        <v>N</v>
      </c>
      <c r="M497" s="16"/>
      <c r="N497" s="16"/>
    </row>
    <row r="498">
      <c r="A498" s="44" t="s">
        <v>905</v>
      </c>
      <c r="B498" s="10" t="str">
        <f t="shared" si="1"/>
        <v>RNA-gill</v>
      </c>
      <c r="C498" s="10" t="str">
        <f t="shared" si="2"/>
        <v>BRN67G-G8</v>
      </c>
      <c r="D498" s="11">
        <f t="array" ref="D498">iferror(index('rna-muscle'!D:D,match(A498,'rna-muscle'!A:A,0)))</f>
        <v>67</v>
      </c>
      <c r="E498" s="10" t="str">
        <f t="shared" si="3"/>
        <v>BRN67G</v>
      </c>
      <c r="F498" s="11" t="str">
        <f t="array" ref="F498">iferror(index('rna-muscle'!F:F,match($A498,'rna-muscle'!$A:$A,0)))</f>
        <v>G</v>
      </c>
      <c r="G498" s="11">
        <f t="array" ref="G498">iferror(index('rna-muscle'!G:G,match($A498,'rna-muscle'!$A:$A,0)))</f>
        <v>8</v>
      </c>
      <c r="H498" s="11" t="str">
        <f t="shared" si="4"/>
        <v>G8</v>
      </c>
      <c r="I498" s="10" t="str">
        <f t="shared" si="5"/>
        <v>BRN67G-G8</v>
      </c>
      <c r="J498" s="16"/>
      <c r="K498" s="16" t="str">
        <f t="shared" si="6"/>
        <v>collected</v>
      </c>
      <c r="L498" s="16" t="str">
        <f t="shared" si="7"/>
        <v>N</v>
      </c>
      <c r="M498" s="16"/>
      <c r="N498" s="16"/>
    </row>
    <row r="499">
      <c r="A499" s="44" t="s">
        <v>906</v>
      </c>
      <c r="B499" s="10" t="str">
        <f t="shared" si="1"/>
        <v>RNA-gill</v>
      </c>
      <c r="C499" s="10" t="str">
        <f t="shared" si="2"/>
        <v>BRN67G-F8</v>
      </c>
      <c r="D499" s="11">
        <f t="array" ref="D499">iferror(index('rna-muscle'!D:D,match(A499,'rna-muscle'!A:A,0)))</f>
        <v>67</v>
      </c>
      <c r="E499" s="10" t="str">
        <f t="shared" si="3"/>
        <v>BRN67G</v>
      </c>
      <c r="F499" s="11" t="str">
        <f t="array" ref="F499">iferror(index('rna-muscle'!F:F,match($A499,'rna-muscle'!$A:$A,0)))</f>
        <v>F</v>
      </c>
      <c r="G499" s="11">
        <f t="array" ref="G499">iferror(index('rna-muscle'!G:G,match($A499,'rna-muscle'!$A:$A,0)))</f>
        <v>8</v>
      </c>
      <c r="H499" s="11" t="str">
        <f t="shared" si="4"/>
        <v>F8</v>
      </c>
      <c r="I499" s="10" t="str">
        <f t="shared" si="5"/>
        <v>BRN67G-F8</v>
      </c>
      <c r="J499" s="16"/>
      <c r="K499" s="16" t="str">
        <f t="shared" si="6"/>
        <v>collected</v>
      </c>
      <c r="L499" s="16" t="str">
        <f t="shared" si="7"/>
        <v>N</v>
      </c>
      <c r="M499" s="16"/>
      <c r="N499" s="16"/>
    </row>
    <row r="500">
      <c r="A500" s="44" t="s">
        <v>907</v>
      </c>
      <c r="B500" s="10" t="str">
        <f t="shared" si="1"/>
        <v>RNA-gill</v>
      </c>
      <c r="C500" s="10" t="str">
        <f t="shared" si="2"/>
        <v>BRN67G-E8</v>
      </c>
      <c r="D500" s="11">
        <f t="array" ref="D500">iferror(index('rna-muscle'!D:D,match(A500,'rna-muscle'!A:A,0)))</f>
        <v>67</v>
      </c>
      <c r="E500" s="10" t="str">
        <f t="shared" si="3"/>
        <v>BRN67G</v>
      </c>
      <c r="F500" s="11" t="str">
        <f t="array" ref="F500">iferror(index('rna-muscle'!F:F,match($A500,'rna-muscle'!$A:$A,0)))</f>
        <v>E</v>
      </c>
      <c r="G500" s="11">
        <f t="array" ref="G500">iferror(index('rna-muscle'!G:G,match($A500,'rna-muscle'!$A:$A,0)))</f>
        <v>8</v>
      </c>
      <c r="H500" s="11" t="str">
        <f t="shared" si="4"/>
        <v>E8</v>
      </c>
      <c r="I500" s="10" t="str">
        <f t="shared" si="5"/>
        <v>BRN67G-E8</v>
      </c>
      <c r="J500" s="16"/>
      <c r="K500" s="16" t="str">
        <f t="shared" si="6"/>
        <v>collected</v>
      </c>
      <c r="L500" s="16" t="str">
        <f t="shared" si="7"/>
        <v>N</v>
      </c>
      <c r="M500" s="16"/>
      <c r="N500" s="16"/>
    </row>
    <row r="501">
      <c r="A501" s="44" t="s">
        <v>908</v>
      </c>
      <c r="B501" s="10" t="str">
        <f t="shared" si="1"/>
        <v>RNA-gill</v>
      </c>
      <c r="C501" s="10" t="str">
        <f t="shared" si="2"/>
        <v>BRN67G-D8</v>
      </c>
      <c r="D501" s="11">
        <f t="array" ref="D501">iferror(index('rna-muscle'!D:D,match(A501,'rna-muscle'!A:A,0)))</f>
        <v>67</v>
      </c>
      <c r="E501" s="10" t="str">
        <f t="shared" si="3"/>
        <v>BRN67G</v>
      </c>
      <c r="F501" s="11" t="str">
        <f t="array" ref="F501">iferror(index('rna-muscle'!F:F,match($A501,'rna-muscle'!$A:$A,0)))</f>
        <v>D</v>
      </c>
      <c r="G501" s="11">
        <f t="array" ref="G501">iferror(index('rna-muscle'!G:G,match($A501,'rna-muscle'!$A:$A,0)))</f>
        <v>8</v>
      </c>
      <c r="H501" s="11" t="str">
        <f t="shared" si="4"/>
        <v>D8</v>
      </c>
      <c r="I501" s="10" t="str">
        <f t="shared" si="5"/>
        <v>BRN67G-D8</v>
      </c>
      <c r="J501" s="16"/>
      <c r="K501" s="16" t="str">
        <f t="shared" si="6"/>
        <v>collected</v>
      </c>
      <c r="L501" s="16" t="str">
        <f t="shared" si="7"/>
        <v>N</v>
      </c>
      <c r="M501" s="16"/>
      <c r="N501" s="16"/>
    </row>
    <row r="502">
      <c r="A502" s="44" t="s">
        <v>910</v>
      </c>
      <c r="B502" s="10" t="str">
        <f t="shared" si="1"/>
        <v>RNA-gill</v>
      </c>
      <c r="C502" s="10" t="str">
        <f t="shared" si="2"/>
        <v>BRN67G-C8</v>
      </c>
      <c r="D502" s="11">
        <f t="array" ref="D502">iferror(index('rna-muscle'!D:D,match(A502,'rna-muscle'!A:A,0)))</f>
        <v>67</v>
      </c>
      <c r="E502" s="10" t="str">
        <f t="shared" si="3"/>
        <v>BRN67G</v>
      </c>
      <c r="F502" s="11" t="str">
        <f t="array" ref="F502">iferror(index('rna-muscle'!F:F,match($A502,'rna-muscle'!$A:$A,0)))</f>
        <v>C</v>
      </c>
      <c r="G502" s="11">
        <f t="array" ref="G502">iferror(index('rna-muscle'!G:G,match($A502,'rna-muscle'!$A:$A,0)))</f>
        <v>8</v>
      </c>
      <c r="H502" s="11" t="str">
        <f t="shared" si="4"/>
        <v>C8</v>
      </c>
      <c r="I502" s="10" t="str">
        <f t="shared" si="5"/>
        <v>BRN67G-C8</v>
      </c>
      <c r="J502" s="16"/>
      <c r="K502" s="16" t="str">
        <f t="shared" si="6"/>
        <v>collected</v>
      </c>
      <c r="L502" s="16" t="str">
        <f t="shared" si="7"/>
        <v>N</v>
      </c>
      <c r="M502" s="16"/>
      <c r="N502" s="16"/>
    </row>
    <row r="503">
      <c r="A503" s="46" t="s">
        <v>911</v>
      </c>
      <c r="B503" s="10" t="str">
        <f t="shared" si="1"/>
        <v>RNA-gill</v>
      </c>
      <c r="C503" s="10" t="str">
        <f t="shared" si="2"/>
        <v>BRN67G-B8</v>
      </c>
      <c r="D503" s="11">
        <f t="array" ref="D503">iferror(index('rna-muscle'!D:D,match(A503,'rna-muscle'!A:A,0)))</f>
        <v>67</v>
      </c>
      <c r="E503" s="10" t="str">
        <f t="shared" si="3"/>
        <v>BRN67G</v>
      </c>
      <c r="F503" s="11" t="str">
        <f t="array" ref="F503">iferror(index('rna-muscle'!F:F,match($A503,'rna-muscle'!$A:$A,0)))</f>
        <v>B</v>
      </c>
      <c r="G503" s="11">
        <f t="array" ref="G503">iferror(index('rna-muscle'!G:G,match($A503,'rna-muscle'!$A:$A,0)))</f>
        <v>8</v>
      </c>
      <c r="H503" s="11" t="str">
        <f t="shared" si="4"/>
        <v>B8</v>
      </c>
      <c r="I503" s="10" t="str">
        <f t="shared" si="5"/>
        <v>BRN67G-B8</v>
      </c>
      <c r="J503" s="16"/>
      <c r="K503" s="16" t="str">
        <f t="shared" si="6"/>
        <v>collected</v>
      </c>
      <c r="L503" s="16" t="str">
        <f t="shared" si="7"/>
        <v>N</v>
      </c>
      <c r="M503" s="16"/>
      <c r="N503" s="16"/>
    </row>
    <row r="504">
      <c r="A504" s="40" t="s">
        <v>913</v>
      </c>
      <c r="B504" s="10" t="str">
        <f t="shared" si="1"/>
        <v>RNA-gill</v>
      </c>
      <c r="C504" s="10" t="str">
        <f t="shared" si="2"/>
        <v>BRN67G-A8</v>
      </c>
      <c r="D504" s="11">
        <f t="array" ref="D504">iferror(index('rna-muscle'!D:D,match(A504,'rna-muscle'!A:A,0)))</f>
        <v>67</v>
      </c>
      <c r="E504" s="10" t="str">
        <f t="shared" si="3"/>
        <v>BRN67G</v>
      </c>
      <c r="F504" s="11" t="str">
        <f t="array" ref="F504">iferror(index('rna-muscle'!F:F,match($A504,'rna-muscle'!$A:$A,0)))</f>
        <v>A</v>
      </c>
      <c r="G504" s="11">
        <f t="array" ref="G504">iferror(index('rna-muscle'!G:G,match($A504,'rna-muscle'!$A:$A,0)))</f>
        <v>8</v>
      </c>
      <c r="H504" s="11" t="str">
        <f t="shared" si="4"/>
        <v>A8</v>
      </c>
      <c r="I504" s="10" t="str">
        <f t="shared" si="5"/>
        <v>BRN67G-A8</v>
      </c>
      <c r="J504" s="16"/>
      <c r="K504" s="16" t="str">
        <f t="shared" si="6"/>
        <v>collected</v>
      </c>
      <c r="L504" s="16" t="str">
        <f t="shared" si="7"/>
        <v>N</v>
      </c>
      <c r="M504" s="16"/>
      <c r="N504" s="16"/>
    </row>
    <row r="505">
      <c r="A505" s="40" t="s">
        <v>914</v>
      </c>
      <c r="B505" s="10" t="str">
        <f t="shared" si="1"/>
        <v>RNA-gill</v>
      </c>
      <c r="C505" s="10" t="str">
        <f t="shared" si="2"/>
        <v>BRN67G-H10</v>
      </c>
      <c r="D505" s="11">
        <f t="array" ref="D505">iferror(index('rna-muscle'!D:D,match(A505,'rna-muscle'!A:A,0)))</f>
        <v>67</v>
      </c>
      <c r="E505" s="10" t="str">
        <f t="shared" si="3"/>
        <v>BRN67G</v>
      </c>
      <c r="F505" s="11" t="str">
        <f t="array" ref="F505">iferror(index('rna-muscle'!F:F,match($A505,'rna-muscle'!$A:$A,0)))</f>
        <v>H</v>
      </c>
      <c r="G505" s="11">
        <f t="array" ref="G505">iferror(index('rna-muscle'!G:G,match($A505,'rna-muscle'!$A:$A,0)))</f>
        <v>10</v>
      </c>
      <c r="H505" s="11" t="str">
        <f t="shared" si="4"/>
        <v>H10</v>
      </c>
      <c r="I505" s="10" t="str">
        <f t="shared" si="5"/>
        <v>BRN67G-H10</v>
      </c>
      <c r="J505" s="16"/>
      <c r="K505" s="16" t="str">
        <f t="shared" si="6"/>
        <v>collected</v>
      </c>
      <c r="L505" s="16" t="str">
        <f t="shared" si="7"/>
        <v>N</v>
      </c>
      <c r="M505" s="16"/>
      <c r="N505" s="16"/>
    </row>
    <row r="506">
      <c r="A506" s="40" t="s">
        <v>916</v>
      </c>
      <c r="B506" s="10" t="str">
        <f t="shared" si="1"/>
        <v>RNA-gill</v>
      </c>
      <c r="C506" s="10" t="str">
        <f t="shared" si="2"/>
        <v>BRN67G-G10</v>
      </c>
      <c r="D506" s="11">
        <f t="array" ref="D506">iferror(index('rna-muscle'!D:D,match(A506,'rna-muscle'!A:A,0)))</f>
        <v>67</v>
      </c>
      <c r="E506" s="10" t="str">
        <f t="shared" si="3"/>
        <v>BRN67G</v>
      </c>
      <c r="F506" s="11" t="str">
        <f t="array" ref="F506">iferror(index('rna-muscle'!F:F,match($A506,'rna-muscle'!$A:$A,0)))</f>
        <v>G</v>
      </c>
      <c r="G506" s="11">
        <f t="array" ref="G506">iferror(index('rna-muscle'!G:G,match($A506,'rna-muscle'!$A:$A,0)))</f>
        <v>10</v>
      </c>
      <c r="H506" s="11" t="str">
        <f t="shared" si="4"/>
        <v>G10</v>
      </c>
      <c r="I506" s="10" t="str">
        <f t="shared" si="5"/>
        <v>BRN67G-G10</v>
      </c>
      <c r="J506" s="6"/>
      <c r="K506" s="16" t="str">
        <f t="shared" si="6"/>
        <v>collected</v>
      </c>
      <c r="L506" s="16" t="str">
        <f t="shared" si="7"/>
        <v>N</v>
      </c>
      <c r="M506" s="16"/>
      <c r="N506" s="16"/>
    </row>
    <row r="507">
      <c r="A507" s="6" t="s">
        <v>917</v>
      </c>
      <c r="B507" s="10" t="str">
        <f t="shared" si="1"/>
        <v>RNA-gill</v>
      </c>
      <c r="C507" s="10" t="str">
        <f t="shared" si="2"/>
        <v>BRN67G-B9</v>
      </c>
      <c r="D507" s="11">
        <f t="array" ref="D507">iferror(index('rna-muscle'!D:D,match(A507,'rna-muscle'!A:A,0)))</f>
        <v>67</v>
      </c>
      <c r="E507" s="10" t="str">
        <f t="shared" si="3"/>
        <v>BRN67G</v>
      </c>
      <c r="F507" s="11" t="str">
        <f t="array" ref="F507">iferror(index('rna-muscle'!F:F,match($A507,'rna-muscle'!$A:$A,0)))</f>
        <v>B</v>
      </c>
      <c r="G507" s="11">
        <f t="array" ref="G507">iferror(index('rna-muscle'!G:G,match($A507,'rna-muscle'!$A:$A,0)))</f>
        <v>9</v>
      </c>
      <c r="H507" s="11" t="str">
        <f t="shared" si="4"/>
        <v>B9</v>
      </c>
      <c r="I507" s="10" t="str">
        <f t="shared" si="5"/>
        <v>BRN67G-B9</v>
      </c>
      <c r="J507" s="16"/>
      <c r="K507" s="16" t="str">
        <f t="shared" si="6"/>
        <v>collected</v>
      </c>
      <c r="L507" s="16" t="str">
        <f t="shared" si="7"/>
        <v>N</v>
      </c>
      <c r="M507" s="16"/>
      <c r="N507" s="16"/>
    </row>
    <row r="508">
      <c r="A508" s="27" t="s">
        <v>918</v>
      </c>
      <c r="B508" s="10" t="str">
        <f t="shared" si="1"/>
        <v>RNA-gill</v>
      </c>
      <c r="C508" s="10" t="str">
        <f t="shared" si="2"/>
        <v>BRN67G-A9</v>
      </c>
      <c r="D508" s="11">
        <f t="array" ref="D508">iferror(index('rna-muscle'!D:D,match(A508,'rna-muscle'!A:A,0)))</f>
        <v>67</v>
      </c>
      <c r="E508" s="10" t="str">
        <f t="shared" si="3"/>
        <v>BRN67G</v>
      </c>
      <c r="F508" s="11" t="str">
        <f t="array" ref="F508">iferror(index('rna-muscle'!F:F,match($A508,'rna-muscle'!$A:$A,0)))</f>
        <v>A</v>
      </c>
      <c r="G508" s="11">
        <f t="array" ref="G508">iferror(index('rna-muscle'!G:G,match($A508,'rna-muscle'!$A:$A,0)))</f>
        <v>9</v>
      </c>
      <c r="H508" s="11" t="str">
        <f t="shared" si="4"/>
        <v>A9</v>
      </c>
      <c r="I508" s="10" t="str">
        <f t="shared" si="5"/>
        <v>BRN67G-A9</v>
      </c>
      <c r="J508" s="16"/>
      <c r="K508" s="16" t="str">
        <f t="shared" si="6"/>
        <v>collected</v>
      </c>
      <c r="L508" s="16" t="str">
        <f t="shared" si="7"/>
        <v>N</v>
      </c>
      <c r="M508" s="16"/>
      <c r="N508" s="16"/>
    </row>
    <row r="509">
      <c r="A509" s="27" t="s">
        <v>921</v>
      </c>
      <c r="B509" s="10" t="str">
        <f t="shared" si="1"/>
        <v>RNA-gill</v>
      </c>
      <c r="C509" s="10" t="str">
        <f t="shared" si="2"/>
        <v>BRN67G-H11</v>
      </c>
      <c r="D509" s="11">
        <f t="array" ref="D509">iferror(index('rna-muscle'!D:D,match(A509,'rna-muscle'!A:A,0)))</f>
        <v>67</v>
      </c>
      <c r="E509" s="10" t="str">
        <f t="shared" si="3"/>
        <v>BRN67G</v>
      </c>
      <c r="F509" s="11" t="str">
        <f t="array" ref="F509">iferror(index('rna-muscle'!F:F,match($A509,'rna-muscle'!$A:$A,0)))</f>
        <v>H</v>
      </c>
      <c r="G509" s="11">
        <f t="array" ref="G509">iferror(index('rna-muscle'!G:G,match($A509,'rna-muscle'!$A:$A,0)))</f>
        <v>11</v>
      </c>
      <c r="H509" s="11" t="str">
        <f t="shared" si="4"/>
        <v>H11</v>
      </c>
      <c r="I509" s="10" t="str">
        <f t="shared" si="5"/>
        <v>BRN67G-H11</v>
      </c>
      <c r="J509" s="16"/>
      <c r="K509" s="16" t="str">
        <f t="shared" si="6"/>
        <v>collected</v>
      </c>
      <c r="L509" s="16" t="str">
        <f t="shared" si="7"/>
        <v>N</v>
      </c>
      <c r="M509" s="16"/>
      <c r="N509" s="16"/>
    </row>
    <row r="510">
      <c r="A510" s="27" t="s">
        <v>922</v>
      </c>
      <c r="B510" s="10" t="str">
        <f t="shared" si="1"/>
        <v>RNA-gill</v>
      </c>
      <c r="C510" s="10" t="str">
        <f t="shared" si="2"/>
        <v>BRN67G-G11</v>
      </c>
      <c r="D510" s="11">
        <f t="array" ref="D510">iferror(index('rna-muscle'!D:D,match(A510,'rna-muscle'!A:A,0)))</f>
        <v>67</v>
      </c>
      <c r="E510" s="10" t="str">
        <f t="shared" si="3"/>
        <v>BRN67G</v>
      </c>
      <c r="F510" s="11" t="str">
        <f t="array" ref="F510">iferror(index('rna-muscle'!F:F,match($A510,'rna-muscle'!$A:$A,0)))</f>
        <v>G</v>
      </c>
      <c r="G510" s="11">
        <f t="array" ref="G510">iferror(index('rna-muscle'!G:G,match($A510,'rna-muscle'!$A:$A,0)))</f>
        <v>11</v>
      </c>
      <c r="H510" s="11" t="str">
        <f t="shared" si="4"/>
        <v>G11</v>
      </c>
      <c r="I510" s="10" t="str">
        <f t="shared" si="5"/>
        <v>BRN67G-G11</v>
      </c>
      <c r="J510" s="16"/>
      <c r="K510" s="16" t="str">
        <f t="shared" si="6"/>
        <v>collected</v>
      </c>
      <c r="L510" s="16" t="str">
        <f t="shared" si="7"/>
        <v>N</v>
      </c>
      <c r="M510" s="16"/>
      <c r="N510" s="16"/>
    </row>
    <row r="511">
      <c r="A511" s="27" t="s">
        <v>923</v>
      </c>
      <c r="B511" s="10" t="str">
        <f t="shared" si="1"/>
        <v>RNA-gill</v>
      </c>
      <c r="C511" s="10" t="str">
        <f t="shared" si="2"/>
        <v>BRN67G-F11</v>
      </c>
      <c r="D511" s="11">
        <f t="array" ref="D511">iferror(index('rna-muscle'!D:D,match(A511,'rna-muscle'!A:A,0)))</f>
        <v>67</v>
      </c>
      <c r="E511" s="10" t="str">
        <f t="shared" si="3"/>
        <v>BRN67G</v>
      </c>
      <c r="F511" s="11" t="str">
        <f t="array" ref="F511">iferror(index('rna-muscle'!F:F,match($A511,'rna-muscle'!$A:$A,0)))</f>
        <v>F</v>
      </c>
      <c r="G511" s="11">
        <f t="array" ref="G511">iferror(index('rna-muscle'!G:G,match($A511,'rna-muscle'!$A:$A,0)))</f>
        <v>11</v>
      </c>
      <c r="H511" s="11" t="str">
        <f t="shared" si="4"/>
        <v>F11</v>
      </c>
      <c r="I511" s="10" t="str">
        <f t="shared" si="5"/>
        <v>BRN67G-F11</v>
      </c>
      <c r="J511" s="6"/>
      <c r="K511" s="16" t="str">
        <f t="shared" si="6"/>
        <v>collected</v>
      </c>
      <c r="L511" s="16" t="str">
        <f t="shared" si="7"/>
        <v>N</v>
      </c>
      <c r="M511" s="16"/>
      <c r="N511" s="16"/>
    </row>
    <row r="512">
      <c r="A512" s="27" t="s">
        <v>924</v>
      </c>
      <c r="B512" s="10" t="str">
        <f t="shared" si="1"/>
        <v>RNA-gill</v>
      </c>
      <c r="C512" s="10" t="str">
        <f t="shared" si="2"/>
        <v>BRN67G-E11</v>
      </c>
      <c r="D512" s="11">
        <f t="array" ref="D512">iferror(index('rna-muscle'!D:D,match(A512,'rna-muscle'!A:A,0)))</f>
        <v>67</v>
      </c>
      <c r="E512" s="10" t="str">
        <f t="shared" si="3"/>
        <v>BRN67G</v>
      </c>
      <c r="F512" s="11" t="str">
        <f t="array" ref="F512">iferror(index('rna-muscle'!F:F,match($A512,'rna-muscle'!$A:$A,0)))</f>
        <v>E</v>
      </c>
      <c r="G512" s="11">
        <f t="array" ref="G512">iferror(index('rna-muscle'!G:G,match($A512,'rna-muscle'!$A:$A,0)))</f>
        <v>11</v>
      </c>
      <c r="H512" s="11" t="str">
        <f t="shared" si="4"/>
        <v>E11</v>
      </c>
      <c r="I512" s="10" t="str">
        <f t="shared" si="5"/>
        <v>BRN67G-E11</v>
      </c>
      <c r="J512" s="16"/>
      <c r="K512" s="16" t="str">
        <f t="shared" si="6"/>
        <v>collected</v>
      </c>
      <c r="L512" s="16" t="str">
        <f t="shared" si="7"/>
        <v>N</v>
      </c>
      <c r="M512" s="16"/>
      <c r="N512" s="16"/>
    </row>
    <row r="513">
      <c r="A513" s="27" t="s">
        <v>927</v>
      </c>
      <c r="B513" s="10" t="str">
        <f t="shared" si="1"/>
        <v>RNA-gill</v>
      </c>
      <c r="C513" s="10" t="str">
        <f t="shared" si="2"/>
        <v>BRN67G-D11</v>
      </c>
      <c r="D513" s="11">
        <f t="array" ref="D513">iferror(index('rna-muscle'!D:D,match(A513,'rna-muscle'!A:A,0)))</f>
        <v>67</v>
      </c>
      <c r="E513" s="10" t="str">
        <f t="shared" si="3"/>
        <v>BRN67G</v>
      </c>
      <c r="F513" s="11" t="str">
        <f t="array" ref="F513">iferror(index('rna-muscle'!F:F,match($A513,'rna-muscle'!$A:$A,0)))</f>
        <v>D</v>
      </c>
      <c r="G513" s="11">
        <f t="array" ref="G513">iferror(index('rna-muscle'!G:G,match($A513,'rna-muscle'!$A:$A,0)))</f>
        <v>11</v>
      </c>
      <c r="H513" s="11" t="str">
        <f t="shared" si="4"/>
        <v>D11</v>
      </c>
      <c r="I513" s="10" t="str">
        <f t="shared" si="5"/>
        <v>BRN67G-D11</v>
      </c>
      <c r="J513" s="6"/>
      <c r="K513" s="16" t="str">
        <f t="shared" si="6"/>
        <v>collected</v>
      </c>
      <c r="L513" s="16" t="str">
        <f t="shared" si="7"/>
        <v>N</v>
      </c>
      <c r="M513" s="16"/>
      <c r="N513" s="16"/>
    </row>
    <row r="514">
      <c r="A514" s="27" t="s">
        <v>929</v>
      </c>
      <c r="B514" s="10" t="str">
        <f t="shared" si="1"/>
        <v>RNA-gill</v>
      </c>
      <c r="C514" s="10" t="str">
        <f t="shared" si="2"/>
        <v>BRN67G-C11</v>
      </c>
      <c r="D514" s="11">
        <f t="array" ref="D514">iferror(index('rna-muscle'!D:D,match(A514,'rna-muscle'!A:A,0)))</f>
        <v>67</v>
      </c>
      <c r="E514" s="10" t="str">
        <f t="shared" si="3"/>
        <v>BRN67G</v>
      </c>
      <c r="F514" s="11" t="str">
        <f t="array" ref="F514">iferror(index('rna-muscle'!F:F,match($A514,'rna-muscle'!$A:$A,0)))</f>
        <v>C</v>
      </c>
      <c r="G514" s="11">
        <f t="array" ref="G514">iferror(index('rna-muscle'!G:G,match($A514,'rna-muscle'!$A:$A,0)))</f>
        <v>11</v>
      </c>
      <c r="H514" s="11" t="str">
        <f t="shared" si="4"/>
        <v>C11</v>
      </c>
      <c r="I514" s="10" t="str">
        <f t="shared" si="5"/>
        <v>BRN67G-C11</v>
      </c>
      <c r="J514" s="6"/>
      <c r="K514" s="16" t="str">
        <f t="shared" si="6"/>
        <v>collected</v>
      </c>
      <c r="L514" s="16" t="str">
        <f t="shared" si="7"/>
        <v>N</v>
      </c>
      <c r="M514" s="16"/>
      <c r="N514" s="16"/>
    </row>
    <row r="515">
      <c r="A515" s="27" t="s">
        <v>930</v>
      </c>
      <c r="B515" s="10" t="str">
        <f t="shared" si="1"/>
        <v>RNA-gill</v>
      </c>
      <c r="C515" s="10" t="str">
        <f t="shared" si="2"/>
        <v>BRN67G-B11</v>
      </c>
      <c r="D515" s="11">
        <f t="array" ref="D515">iferror(index('rna-muscle'!D:D,match(A515,'rna-muscle'!A:A,0)))</f>
        <v>67</v>
      </c>
      <c r="E515" s="10" t="str">
        <f t="shared" si="3"/>
        <v>BRN67G</v>
      </c>
      <c r="F515" s="11" t="str">
        <f t="array" ref="F515">iferror(index('rna-muscle'!F:F,match($A515,'rna-muscle'!$A:$A,0)))</f>
        <v>B</v>
      </c>
      <c r="G515" s="11">
        <f t="array" ref="G515">iferror(index('rna-muscle'!G:G,match($A515,'rna-muscle'!$A:$A,0)))</f>
        <v>11</v>
      </c>
      <c r="H515" s="11" t="str">
        <f t="shared" si="4"/>
        <v>B11</v>
      </c>
      <c r="I515" s="10" t="str">
        <f t="shared" si="5"/>
        <v>BRN67G-B11</v>
      </c>
      <c r="J515" s="16"/>
      <c r="K515" s="16" t="str">
        <f t="shared" si="6"/>
        <v>collected</v>
      </c>
      <c r="L515" s="16" t="str">
        <f t="shared" si="7"/>
        <v>N</v>
      </c>
      <c r="M515" s="16"/>
      <c r="N515" s="16"/>
    </row>
    <row r="516">
      <c r="A516" s="27" t="s">
        <v>931</v>
      </c>
      <c r="B516" s="10" t="str">
        <f t="shared" si="1"/>
        <v>RNA-gill</v>
      </c>
      <c r="C516" s="10" t="str">
        <f t="shared" si="2"/>
        <v>BRN67G-A11</v>
      </c>
      <c r="D516" s="11">
        <f t="array" ref="D516">iferror(index('rna-muscle'!D:D,match(A516,'rna-muscle'!A:A,0)))</f>
        <v>67</v>
      </c>
      <c r="E516" s="10" t="str">
        <f t="shared" si="3"/>
        <v>BRN67G</v>
      </c>
      <c r="F516" s="11" t="str">
        <f t="array" ref="F516">iferror(index('rna-muscle'!F:F,match($A516,'rna-muscle'!$A:$A,0)))</f>
        <v>A</v>
      </c>
      <c r="G516" s="11">
        <f t="array" ref="G516">iferror(index('rna-muscle'!G:G,match($A516,'rna-muscle'!$A:$A,0)))</f>
        <v>11</v>
      </c>
      <c r="H516" s="11" t="str">
        <f t="shared" si="4"/>
        <v>A11</v>
      </c>
      <c r="I516" s="10" t="str">
        <f t="shared" si="5"/>
        <v>BRN67G-A11</v>
      </c>
      <c r="J516" s="16"/>
      <c r="K516" s="16" t="str">
        <f t="shared" si="6"/>
        <v>collected</v>
      </c>
      <c r="L516" s="16" t="str">
        <f t="shared" si="7"/>
        <v>N</v>
      </c>
      <c r="M516" s="16"/>
      <c r="N516" s="16"/>
    </row>
    <row r="517">
      <c r="A517" s="27" t="s">
        <v>933</v>
      </c>
      <c r="B517" s="10" t="str">
        <f t="shared" si="1"/>
        <v>RNA-gill</v>
      </c>
      <c r="C517" s="10" t="str">
        <f t="shared" si="2"/>
        <v>BRN68G-H2</v>
      </c>
      <c r="D517" s="11">
        <f t="array" ref="D517">iferror(index('rna-muscle'!D:D,match(A517,'rna-muscle'!A:A,0)))</f>
        <v>68</v>
      </c>
      <c r="E517" s="10" t="str">
        <f t="shared" si="3"/>
        <v>BRN68G</v>
      </c>
      <c r="F517" s="11" t="str">
        <f t="array" ref="F517">iferror(index('rna-muscle'!F:F,match($A517,'rna-muscle'!$A:$A,0)))</f>
        <v>H</v>
      </c>
      <c r="G517" s="11">
        <f t="array" ref="G517">iferror(index('rna-muscle'!G:G,match($A517,'rna-muscle'!$A:$A,0)))</f>
        <v>2</v>
      </c>
      <c r="H517" s="11" t="str">
        <f t="shared" si="4"/>
        <v>H2</v>
      </c>
      <c r="I517" s="10" t="str">
        <f t="shared" si="5"/>
        <v>BRN68G-H2</v>
      </c>
      <c r="J517" s="16"/>
      <c r="K517" s="16" t="str">
        <f t="shared" si="6"/>
        <v>collected</v>
      </c>
      <c r="L517" s="16" t="str">
        <f t="shared" si="7"/>
        <v>N</v>
      </c>
      <c r="M517" s="16"/>
      <c r="N517" s="16"/>
    </row>
    <row r="518">
      <c r="A518" s="27" t="s">
        <v>934</v>
      </c>
      <c r="B518" s="10" t="str">
        <f t="shared" si="1"/>
        <v>RNA-gill</v>
      </c>
      <c r="C518" s="10" t="str">
        <f t="shared" si="2"/>
        <v>BRN68G-G2</v>
      </c>
      <c r="D518" s="11">
        <f t="array" ref="D518">iferror(index('rna-muscle'!D:D,match(A518,'rna-muscle'!A:A,0)))</f>
        <v>68</v>
      </c>
      <c r="E518" s="10" t="str">
        <f t="shared" si="3"/>
        <v>BRN68G</v>
      </c>
      <c r="F518" s="11" t="str">
        <f t="array" ref="F518">iferror(index('rna-muscle'!F:F,match($A518,'rna-muscle'!$A:$A,0)))</f>
        <v>G</v>
      </c>
      <c r="G518" s="11">
        <f t="array" ref="G518">iferror(index('rna-muscle'!G:G,match($A518,'rna-muscle'!$A:$A,0)))</f>
        <v>2</v>
      </c>
      <c r="H518" s="11" t="str">
        <f t="shared" si="4"/>
        <v>G2</v>
      </c>
      <c r="I518" s="10" t="str">
        <f t="shared" si="5"/>
        <v>BRN68G-G2</v>
      </c>
      <c r="J518" s="16"/>
      <c r="K518" s="16" t="str">
        <f t="shared" si="6"/>
        <v>collected</v>
      </c>
      <c r="L518" s="16" t="str">
        <f t="shared" si="7"/>
        <v>N</v>
      </c>
      <c r="M518" s="16"/>
      <c r="N518" s="16"/>
    </row>
    <row r="519">
      <c r="A519" s="27" t="s">
        <v>935</v>
      </c>
      <c r="B519" s="10" t="str">
        <f t="shared" si="1"/>
        <v>RNA-gill</v>
      </c>
      <c r="C519" s="10" t="str">
        <f t="shared" si="2"/>
        <v>BRN68G-F2</v>
      </c>
      <c r="D519" s="11">
        <f t="array" ref="D519">iferror(index('rna-muscle'!D:D,match(A519,'rna-muscle'!A:A,0)))</f>
        <v>68</v>
      </c>
      <c r="E519" s="10" t="str">
        <f t="shared" si="3"/>
        <v>BRN68G</v>
      </c>
      <c r="F519" s="11" t="str">
        <f t="array" ref="F519">iferror(index('rna-muscle'!F:F,match($A519,'rna-muscle'!$A:$A,0)))</f>
        <v>F</v>
      </c>
      <c r="G519" s="11">
        <f t="array" ref="G519">iferror(index('rna-muscle'!G:G,match($A519,'rna-muscle'!$A:$A,0)))</f>
        <v>2</v>
      </c>
      <c r="H519" s="11" t="str">
        <f t="shared" si="4"/>
        <v>F2</v>
      </c>
      <c r="I519" s="10" t="str">
        <f t="shared" si="5"/>
        <v>BRN68G-F2</v>
      </c>
      <c r="J519" s="16"/>
      <c r="K519" s="16" t="str">
        <f t="shared" si="6"/>
        <v>collected</v>
      </c>
      <c r="L519" s="16" t="str">
        <f t="shared" si="7"/>
        <v>N</v>
      </c>
      <c r="M519" s="16"/>
      <c r="N519" s="16"/>
    </row>
    <row r="520">
      <c r="A520" s="27" t="s">
        <v>937</v>
      </c>
      <c r="B520" s="10" t="str">
        <f t="shared" si="1"/>
        <v>RNA-gill</v>
      </c>
      <c r="C520" s="10" t="str">
        <f t="shared" si="2"/>
        <v>BRN68G-E2</v>
      </c>
      <c r="D520" s="11">
        <f t="array" ref="D520">iferror(index('rna-muscle'!D:D,match(A520,'rna-muscle'!A:A,0)))</f>
        <v>68</v>
      </c>
      <c r="E520" s="10" t="str">
        <f t="shared" si="3"/>
        <v>BRN68G</v>
      </c>
      <c r="F520" s="11" t="str">
        <f t="array" ref="F520">iferror(index('rna-muscle'!F:F,match($A520,'rna-muscle'!$A:$A,0)))</f>
        <v>E</v>
      </c>
      <c r="G520" s="11">
        <f t="array" ref="G520">iferror(index('rna-muscle'!G:G,match($A520,'rna-muscle'!$A:$A,0)))</f>
        <v>2</v>
      </c>
      <c r="H520" s="11" t="str">
        <f t="shared" si="4"/>
        <v>E2</v>
      </c>
      <c r="I520" s="10" t="str">
        <f t="shared" si="5"/>
        <v>BRN68G-E2</v>
      </c>
      <c r="J520" s="16"/>
      <c r="K520" s="16" t="str">
        <f t="shared" si="6"/>
        <v>collected</v>
      </c>
      <c r="L520" s="16" t="str">
        <f t="shared" si="7"/>
        <v>N</v>
      </c>
      <c r="M520" s="16"/>
      <c r="N520" s="16"/>
    </row>
    <row r="521">
      <c r="A521" s="27" t="s">
        <v>938</v>
      </c>
      <c r="B521" s="10" t="str">
        <f t="shared" si="1"/>
        <v>RNA-gill</v>
      </c>
      <c r="C521" s="10" t="str">
        <f t="shared" si="2"/>
        <v>BRN68G-D2</v>
      </c>
      <c r="D521" s="11">
        <f t="array" ref="D521">iferror(index('rna-muscle'!D:D,match(A521,'rna-muscle'!A:A,0)))</f>
        <v>68</v>
      </c>
      <c r="E521" s="10" t="str">
        <f t="shared" si="3"/>
        <v>BRN68G</v>
      </c>
      <c r="F521" s="11" t="str">
        <f t="array" ref="F521">iferror(index('rna-muscle'!F:F,match($A521,'rna-muscle'!$A:$A,0)))</f>
        <v>D</v>
      </c>
      <c r="G521" s="11">
        <f t="array" ref="G521">iferror(index('rna-muscle'!G:G,match($A521,'rna-muscle'!$A:$A,0)))</f>
        <v>2</v>
      </c>
      <c r="H521" s="11" t="str">
        <f t="shared" si="4"/>
        <v>D2</v>
      </c>
      <c r="I521" s="10" t="str">
        <f t="shared" si="5"/>
        <v>BRN68G-D2</v>
      </c>
      <c r="J521" s="16"/>
      <c r="K521" s="16" t="str">
        <f t="shared" si="6"/>
        <v>collected</v>
      </c>
      <c r="L521" s="16" t="str">
        <f t="shared" si="7"/>
        <v>N</v>
      </c>
      <c r="M521" s="16"/>
      <c r="N521" s="16"/>
    </row>
    <row r="522">
      <c r="A522" s="27" t="s">
        <v>940</v>
      </c>
      <c r="B522" s="10" t="str">
        <f t="shared" si="1"/>
        <v>RNA-gill</v>
      </c>
      <c r="C522" s="10" t="str">
        <f t="shared" si="2"/>
        <v>BRN68G-C2</v>
      </c>
      <c r="D522" s="11">
        <f t="array" ref="D522">iferror(index('rna-muscle'!D:D,match(A522,'rna-muscle'!A:A,0)))</f>
        <v>68</v>
      </c>
      <c r="E522" s="10" t="str">
        <f t="shared" si="3"/>
        <v>BRN68G</v>
      </c>
      <c r="F522" s="11" t="str">
        <f t="array" ref="F522">iferror(index('rna-muscle'!F:F,match($A522,'rna-muscle'!$A:$A,0)))</f>
        <v>C</v>
      </c>
      <c r="G522" s="11">
        <f t="array" ref="G522">iferror(index('rna-muscle'!G:G,match($A522,'rna-muscle'!$A:$A,0)))</f>
        <v>2</v>
      </c>
      <c r="H522" s="11" t="str">
        <f t="shared" si="4"/>
        <v>C2</v>
      </c>
      <c r="I522" s="10" t="str">
        <f t="shared" si="5"/>
        <v>BRN68G-C2</v>
      </c>
      <c r="J522" s="16"/>
      <c r="K522" s="16" t="str">
        <f t="shared" si="6"/>
        <v>collected</v>
      </c>
      <c r="L522" s="16" t="str">
        <f t="shared" si="7"/>
        <v>N</v>
      </c>
      <c r="M522" s="16"/>
      <c r="N522" s="16"/>
    </row>
    <row r="523">
      <c r="A523" s="27" t="s">
        <v>941</v>
      </c>
      <c r="B523" s="10" t="str">
        <f t="shared" si="1"/>
        <v>RNA-gill</v>
      </c>
      <c r="C523" s="10" t="str">
        <f t="shared" si="2"/>
        <v>BRN68G-B2</v>
      </c>
      <c r="D523" s="11">
        <f t="array" ref="D523">iferror(index('rna-muscle'!D:D,match(A523,'rna-muscle'!A:A,0)))</f>
        <v>68</v>
      </c>
      <c r="E523" s="10" t="str">
        <f t="shared" si="3"/>
        <v>BRN68G</v>
      </c>
      <c r="F523" s="11" t="str">
        <f t="array" ref="F523">iferror(index('rna-muscle'!F:F,match($A523,'rna-muscle'!$A:$A,0)))</f>
        <v>B</v>
      </c>
      <c r="G523" s="11">
        <f t="array" ref="G523">iferror(index('rna-muscle'!G:G,match($A523,'rna-muscle'!$A:$A,0)))</f>
        <v>2</v>
      </c>
      <c r="H523" s="11" t="str">
        <f t="shared" si="4"/>
        <v>B2</v>
      </c>
      <c r="I523" s="10" t="str">
        <f t="shared" si="5"/>
        <v>BRN68G-B2</v>
      </c>
      <c r="J523" s="16"/>
      <c r="K523" s="16" t="str">
        <f t="shared" si="6"/>
        <v>collected</v>
      </c>
      <c r="L523" s="16" t="str">
        <f t="shared" si="7"/>
        <v>N</v>
      </c>
      <c r="M523" s="16"/>
      <c r="N523" s="16"/>
    </row>
    <row r="524">
      <c r="A524" s="27" t="s">
        <v>942</v>
      </c>
      <c r="B524" s="10" t="str">
        <f t="shared" si="1"/>
        <v>RNA-gill</v>
      </c>
      <c r="C524" s="10" t="str">
        <f t="shared" si="2"/>
        <v>BRN68G-A2</v>
      </c>
      <c r="D524" s="11">
        <f t="array" ref="D524">iferror(index('rna-muscle'!D:D,match(A524,'rna-muscle'!A:A,0)))</f>
        <v>68</v>
      </c>
      <c r="E524" s="10" t="str">
        <f t="shared" si="3"/>
        <v>BRN68G</v>
      </c>
      <c r="F524" s="11" t="str">
        <f t="array" ref="F524">iferror(index('rna-muscle'!F:F,match($A524,'rna-muscle'!$A:$A,0)))</f>
        <v>A</v>
      </c>
      <c r="G524" s="11">
        <f t="array" ref="G524">iferror(index('rna-muscle'!G:G,match($A524,'rna-muscle'!$A:$A,0)))</f>
        <v>2</v>
      </c>
      <c r="H524" s="11" t="str">
        <f t="shared" si="4"/>
        <v>A2</v>
      </c>
      <c r="I524" s="10" t="str">
        <f t="shared" si="5"/>
        <v>BRN68G-A2</v>
      </c>
      <c r="J524" s="16"/>
      <c r="K524" s="16" t="str">
        <f t="shared" si="6"/>
        <v>collected</v>
      </c>
      <c r="L524" s="16" t="str">
        <f t="shared" si="7"/>
        <v>N</v>
      </c>
      <c r="M524" s="16"/>
      <c r="N524" s="16"/>
    </row>
    <row r="525">
      <c r="A525" s="40" t="s">
        <v>943</v>
      </c>
      <c r="B525" s="10" t="str">
        <f t="shared" si="1"/>
        <v>RNA-gill</v>
      </c>
      <c r="C525" s="10" t="str">
        <f t="shared" si="2"/>
        <v>BRN67G-F10</v>
      </c>
      <c r="D525" s="11">
        <f t="array" ref="D525">iferror(index('rna-muscle'!D:D,match(A525,'rna-muscle'!A:A,0)))</f>
        <v>67</v>
      </c>
      <c r="E525" s="10" t="str">
        <f t="shared" si="3"/>
        <v>BRN67G</v>
      </c>
      <c r="F525" s="11" t="str">
        <f t="array" ref="F525">iferror(index('rna-muscle'!F:F,match($A525,'rna-muscle'!$A:$A,0)))</f>
        <v>F</v>
      </c>
      <c r="G525" s="11">
        <f t="array" ref="G525">iferror(index('rna-muscle'!G:G,match($A525,'rna-muscle'!$A:$A,0)))</f>
        <v>10</v>
      </c>
      <c r="H525" s="11" t="str">
        <f t="shared" si="4"/>
        <v>F10</v>
      </c>
      <c r="I525" s="10" t="str">
        <f t="shared" si="5"/>
        <v>BRN67G-F10</v>
      </c>
      <c r="J525" s="6" t="s">
        <v>2123</v>
      </c>
      <c r="K525" s="16" t="str">
        <f t="shared" si="6"/>
        <v>collected</v>
      </c>
      <c r="L525" s="16" t="str">
        <f t="shared" si="7"/>
        <v>N</v>
      </c>
      <c r="M525" s="16"/>
      <c r="N525" s="16"/>
    </row>
    <row r="526">
      <c r="A526" s="40" t="s">
        <v>946</v>
      </c>
      <c r="B526" s="10" t="str">
        <f t="shared" si="1"/>
        <v>RNA-gill</v>
      </c>
      <c r="C526" s="10" t="str">
        <f t="shared" si="2"/>
        <v>BRN67G-E10</v>
      </c>
      <c r="D526" s="11">
        <f t="array" ref="D526">iferror(index('rna-muscle'!D:D,match(A526,'rna-muscle'!A:A,0)))</f>
        <v>67</v>
      </c>
      <c r="E526" s="10" t="str">
        <f t="shared" si="3"/>
        <v>BRN67G</v>
      </c>
      <c r="F526" s="11" t="str">
        <f t="array" ref="F526">iferror(index('rna-muscle'!F:F,match($A526,'rna-muscle'!$A:$A,0)))</f>
        <v>E</v>
      </c>
      <c r="G526" s="11">
        <f t="array" ref="G526">iferror(index('rna-muscle'!G:G,match($A526,'rna-muscle'!$A:$A,0)))</f>
        <v>10</v>
      </c>
      <c r="H526" s="11" t="str">
        <f t="shared" si="4"/>
        <v>E10</v>
      </c>
      <c r="I526" s="10" t="str">
        <f t="shared" si="5"/>
        <v>BRN67G-E10</v>
      </c>
      <c r="J526" s="6" t="s">
        <v>2123</v>
      </c>
      <c r="K526" s="16" t="str">
        <f t="shared" si="6"/>
        <v>collected</v>
      </c>
      <c r="L526" s="16" t="str">
        <f t="shared" si="7"/>
        <v>N</v>
      </c>
      <c r="M526" s="16"/>
      <c r="N526" s="16"/>
    </row>
    <row r="527">
      <c r="A527" s="40" t="s">
        <v>947</v>
      </c>
      <c r="B527" s="10" t="str">
        <f t="shared" si="1"/>
        <v>RNA-gill</v>
      </c>
      <c r="C527" s="10" t="str">
        <f t="shared" si="2"/>
        <v>BRN67G-D10</v>
      </c>
      <c r="D527" s="11">
        <f t="array" ref="D527">iferror(index('rna-muscle'!D:D,match(A527,'rna-muscle'!A:A,0)))</f>
        <v>67</v>
      </c>
      <c r="E527" s="10" t="str">
        <f t="shared" si="3"/>
        <v>BRN67G</v>
      </c>
      <c r="F527" s="11" t="str">
        <f t="array" ref="F527">iferror(index('rna-muscle'!F:F,match($A527,'rna-muscle'!$A:$A,0)))</f>
        <v>D</v>
      </c>
      <c r="G527" s="11">
        <f t="array" ref="G527">iferror(index('rna-muscle'!G:G,match($A527,'rna-muscle'!$A:$A,0)))</f>
        <v>10</v>
      </c>
      <c r="H527" s="11" t="str">
        <f t="shared" si="4"/>
        <v>D10</v>
      </c>
      <c r="I527" s="10" t="str">
        <f t="shared" si="5"/>
        <v>BRN67G-D10</v>
      </c>
      <c r="J527" s="16"/>
      <c r="K527" s="16" t="str">
        <f t="shared" si="6"/>
        <v>collected</v>
      </c>
      <c r="L527" s="16" t="str">
        <f t="shared" si="7"/>
        <v>N</v>
      </c>
      <c r="M527" s="16"/>
      <c r="N527" s="16"/>
    </row>
    <row r="528">
      <c r="A528" s="40" t="s">
        <v>948</v>
      </c>
      <c r="B528" s="10" t="str">
        <f t="shared" si="1"/>
        <v>RNA-gill</v>
      </c>
      <c r="C528" s="10" t="str">
        <f t="shared" si="2"/>
        <v>BRN67G-C10</v>
      </c>
      <c r="D528" s="11">
        <f t="array" ref="D528">iferror(index('rna-muscle'!D:D,match(A528,'rna-muscle'!A:A,0)))</f>
        <v>67</v>
      </c>
      <c r="E528" s="10" t="str">
        <f t="shared" si="3"/>
        <v>BRN67G</v>
      </c>
      <c r="F528" s="11" t="str">
        <f t="array" ref="F528">iferror(index('rna-muscle'!F:F,match($A528,'rna-muscle'!$A:$A,0)))</f>
        <v>C</v>
      </c>
      <c r="G528" s="11">
        <f t="array" ref="G528">iferror(index('rna-muscle'!G:G,match($A528,'rna-muscle'!$A:$A,0)))</f>
        <v>10</v>
      </c>
      <c r="H528" s="11" t="str">
        <f t="shared" si="4"/>
        <v>C10</v>
      </c>
      <c r="I528" s="10" t="str">
        <f t="shared" si="5"/>
        <v>BRN67G-C10</v>
      </c>
      <c r="J528" s="16"/>
      <c r="K528" s="16" t="str">
        <f t="shared" si="6"/>
        <v>collected</v>
      </c>
      <c r="L528" s="16" t="str">
        <f t="shared" si="7"/>
        <v>N</v>
      </c>
      <c r="M528" s="16"/>
      <c r="N528" s="16"/>
    </row>
    <row r="529">
      <c r="A529" s="43" t="s">
        <v>949</v>
      </c>
      <c r="B529" s="10" t="str">
        <f t="shared" si="1"/>
        <v>RNA-gill</v>
      </c>
      <c r="C529" s="10" t="str">
        <f t="shared" si="2"/>
        <v>BRN67G-B10</v>
      </c>
      <c r="D529" s="11">
        <f t="array" ref="D529">iferror(index('rna-muscle'!D:D,match(A529,'rna-muscle'!A:A,0)))</f>
        <v>67</v>
      </c>
      <c r="E529" s="10" t="str">
        <f t="shared" si="3"/>
        <v>BRN67G</v>
      </c>
      <c r="F529" s="11" t="str">
        <f t="array" ref="F529">iferror(index('rna-muscle'!F:F,match($A529,'rna-muscle'!$A:$A,0)))</f>
        <v>B</v>
      </c>
      <c r="G529" s="11">
        <f t="array" ref="G529">iferror(index('rna-muscle'!G:G,match($A529,'rna-muscle'!$A:$A,0)))</f>
        <v>10</v>
      </c>
      <c r="H529" s="11" t="str">
        <f t="shared" si="4"/>
        <v>B10</v>
      </c>
      <c r="I529" s="10" t="str">
        <f t="shared" si="5"/>
        <v>BRN67G-B10</v>
      </c>
      <c r="J529" s="16"/>
      <c r="K529" s="16" t="str">
        <f t="shared" si="6"/>
        <v>collected</v>
      </c>
      <c r="L529" s="16" t="str">
        <f t="shared" si="7"/>
        <v>N</v>
      </c>
      <c r="M529" s="16"/>
      <c r="N529" s="16"/>
    </row>
    <row r="530">
      <c r="A530" s="44" t="s">
        <v>950</v>
      </c>
      <c r="B530" s="10" t="str">
        <f t="shared" si="1"/>
        <v>RNA-gill</v>
      </c>
      <c r="C530" s="10" t="str">
        <f t="shared" si="2"/>
        <v>BRN67G-A10</v>
      </c>
      <c r="D530" s="11">
        <f t="array" ref="D530">iferror(index('rna-muscle'!D:D,match(A530,'rna-muscle'!A:A,0)))</f>
        <v>67</v>
      </c>
      <c r="E530" s="10" t="str">
        <f t="shared" si="3"/>
        <v>BRN67G</v>
      </c>
      <c r="F530" s="11" t="str">
        <f t="array" ref="F530">iferror(index('rna-muscle'!F:F,match($A530,'rna-muscle'!$A:$A,0)))</f>
        <v>A</v>
      </c>
      <c r="G530" s="11">
        <f t="array" ref="G530">iferror(index('rna-muscle'!G:G,match($A530,'rna-muscle'!$A:$A,0)))</f>
        <v>10</v>
      </c>
      <c r="H530" s="11" t="str">
        <f t="shared" si="4"/>
        <v>A10</v>
      </c>
      <c r="I530" s="10" t="str">
        <f t="shared" si="5"/>
        <v>BRN67G-A10</v>
      </c>
      <c r="J530" s="16"/>
      <c r="K530" s="16" t="str">
        <f t="shared" si="6"/>
        <v>collected</v>
      </c>
      <c r="L530" s="16" t="str">
        <f t="shared" si="7"/>
        <v>N</v>
      </c>
      <c r="M530" s="16"/>
      <c r="N530" s="16"/>
    </row>
    <row r="531">
      <c r="A531" s="44" t="s">
        <v>952</v>
      </c>
      <c r="B531" s="10" t="str">
        <f t="shared" si="1"/>
        <v>RNA-gill</v>
      </c>
      <c r="C531" s="10" t="str">
        <f t="shared" si="2"/>
        <v>BRN67G-G12</v>
      </c>
      <c r="D531" s="11">
        <f t="array" ref="D531">iferror(index('rna-muscle'!D:D,match(A531,'rna-muscle'!A:A,0)))</f>
        <v>67</v>
      </c>
      <c r="E531" s="10" t="str">
        <f t="shared" si="3"/>
        <v>BRN67G</v>
      </c>
      <c r="F531" s="11" t="str">
        <f t="array" ref="F531">iferror(index('rna-muscle'!F:F,match($A531,'rna-muscle'!$A:$A,0)))</f>
        <v>G</v>
      </c>
      <c r="G531" s="11">
        <f t="array" ref="G531">iferror(index('rna-muscle'!G:G,match($A531,'rna-muscle'!$A:$A,0)))</f>
        <v>12</v>
      </c>
      <c r="H531" s="11" t="str">
        <f t="shared" si="4"/>
        <v>G12</v>
      </c>
      <c r="I531" s="10" t="str">
        <f t="shared" si="5"/>
        <v>BRN67G-G12</v>
      </c>
      <c r="J531" s="16"/>
      <c r="K531" s="16" t="str">
        <f t="shared" si="6"/>
        <v>collected</v>
      </c>
      <c r="L531" s="16" t="str">
        <f t="shared" si="7"/>
        <v>N</v>
      </c>
      <c r="M531" s="16"/>
      <c r="N531" s="16"/>
    </row>
    <row r="532">
      <c r="A532" s="44" t="s">
        <v>954</v>
      </c>
      <c r="B532" s="10" t="str">
        <f t="shared" si="1"/>
        <v>RNA-gill</v>
      </c>
      <c r="C532" s="10" t="str">
        <f t="shared" si="2"/>
        <v>BRN67G-F12</v>
      </c>
      <c r="D532" s="11">
        <f t="array" ref="D532">iferror(index('rna-muscle'!D:D,match(A532,'rna-muscle'!A:A,0)))</f>
        <v>67</v>
      </c>
      <c r="E532" s="10" t="str">
        <f t="shared" si="3"/>
        <v>BRN67G</v>
      </c>
      <c r="F532" s="11" t="str">
        <f t="array" ref="F532">iferror(index('rna-muscle'!F:F,match($A532,'rna-muscle'!$A:$A,0)))</f>
        <v>F</v>
      </c>
      <c r="G532" s="11">
        <f t="array" ref="G532">iferror(index('rna-muscle'!G:G,match($A532,'rna-muscle'!$A:$A,0)))</f>
        <v>12</v>
      </c>
      <c r="H532" s="11" t="str">
        <f t="shared" si="4"/>
        <v>F12</v>
      </c>
      <c r="I532" s="10" t="str">
        <f t="shared" si="5"/>
        <v>BRN67G-F12</v>
      </c>
      <c r="J532" s="16"/>
      <c r="K532" s="16" t="str">
        <f t="shared" si="6"/>
        <v>collected</v>
      </c>
      <c r="L532" s="16" t="str">
        <f t="shared" si="7"/>
        <v>N</v>
      </c>
      <c r="M532" s="16"/>
      <c r="N532" s="16"/>
    </row>
    <row r="533">
      <c r="A533" s="44" t="s">
        <v>955</v>
      </c>
      <c r="B533" s="10" t="str">
        <f t="shared" si="1"/>
        <v>RNA-gill</v>
      </c>
      <c r="C533" s="10" t="str">
        <f t="shared" si="2"/>
        <v>BRN67G-E12</v>
      </c>
      <c r="D533" s="11">
        <f t="array" ref="D533">iferror(index('rna-muscle'!D:D,match(A533,'rna-muscle'!A:A,0)))</f>
        <v>67</v>
      </c>
      <c r="E533" s="10" t="str">
        <f t="shared" si="3"/>
        <v>BRN67G</v>
      </c>
      <c r="F533" s="11" t="str">
        <f t="array" ref="F533">iferror(index('rna-muscle'!F:F,match($A533,'rna-muscle'!$A:$A,0)))</f>
        <v>E</v>
      </c>
      <c r="G533" s="11">
        <f t="array" ref="G533">iferror(index('rna-muscle'!G:G,match($A533,'rna-muscle'!$A:$A,0)))</f>
        <v>12</v>
      </c>
      <c r="H533" s="11" t="str">
        <f t="shared" si="4"/>
        <v>E12</v>
      </c>
      <c r="I533" s="10" t="str">
        <f t="shared" si="5"/>
        <v>BRN67G-E12</v>
      </c>
      <c r="J533" s="16"/>
      <c r="K533" s="16" t="str">
        <f t="shared" si="6"/>
        <v>collected</v>
      </c>
      <c r="L533" s="16" t="str">
        <f t="shared" si="7"/>
        <v>N</v>
      </c>
      <c r="M533" s="16"/>
      <c r="N533" s="16"/>
    </row>
    <row r="534">
      <c r="A534" s="44" t="s">
        <v>956</v>
      </c>
      <c r="B534" s="10" t="str">
        <f t="shared" si="1"/>
        <v>RNA-gill</v>
      </c>
      <c r="C534" s="10" t="str">
        <f t="shared" si="2"/>
        <v>BRN67G-D12</v>
      </c>
      <c r="D534" s="11">
        <f t="array" ref="D534">iferror(index('rna-muscle'!D:D,match(A534,'rna-muscle'!A:A,0)))</f>
        <v>67</v>
      </c>
      <c r="E534" s="10" t="str">
        <f t="shared" si="3"/>
        <v>BRN67G</v>
      </c>
      <c r="F534" s="11" t="str">
        <f t="array" ref="F534">iferror(index('rna-muscle'!F:F,match($A534,'rna-muscle'!$A:$A,0)))</f>
        <v>D</v>
      </c>
      <c r="G534" s="11">
        <f t="array" ref="G534">iferror(index('rna-muscle'!G:G,match($A534,'rna-muscle'!$A:$A,0)))</f>
        <v>12</v>
      </c>
      <c r="H534" s="11" t="str">
        <f t="shared" si="4"/>
        <v>D12</v>
      </c>
      <c r="I534" s="10" t="str">
        <f t="shared" si="5"/>
        <v>BRN67G-D12</v>
      </c>
      <c r="J534" s="16"/>
      <c r="K534" s="16" t="str">
        <f t="shared" si="6"/>
        <v>collected</v>
      </c>
      <c r="L534" s="16" t="str">
        <f t="shared" si="7"/>
        <v>N</v>
      </c>
      <c r="M534" s="16"/>
      <c r="N534" s="16"/>
    </row>
    <row r="535">
      <c r="A535" s="44" t="s">
        <v>958</v>
      </c>
      <c r="B535" s="10" t="str">
        <f t="shared" si="1"/>
        <v>RNA-gill</v>
      </c>
      <c r="C535" s="10" t="str">
        <f t="shared" si="2"/>
        <v>BRN67G-C12</v>
      </c>
      <c r="D535" s="11">
        <f t="array" ref="D535">iferror(index('rna-muscle'!D:D,match(A535,'rna-muscle'!A:A,0)))</f>
        <v>67</v>
      </c>
      <c r="E535" s="10" t="str">
        <f t="shared" si="3"/>
        <v>BRN67G</v>
      </c>
      <c r="F535" s="11" t="str">
        <f t="array" ref="F535">iferror(index('rna-muscle'!F:F,match($A535,'rna-muscle'!$A:$A,0)))</f>
        <v>C</v>
      </c>
      <c r="G535" s="11">
        <f t="array" ref="G535">iferror(index('rna-muscle'!G:G,match($A535,'rna-muscle'!$A:$A,0)))</f>
        <v>12</v>
      </c>
      <c r="H535" s="11" t="str">
        <f t="shared" si="4"/>
        <v>C12</v>
      </c>
      <c r="I535" s="10" t="str">
        <f t="shared" si="5"/>
        <v>BRN67G-C12</v>
      </c>
      <c r="J535" s="16"/>
      <c r="K535" s="16" t="str">
        <f t="shared" si="6"/>
        <v>collected</v>
      </c>
      <c r="L535" s="16" t="str">
        <f t="shared" si="7"/>
        <v>N</v>
      </c>
      <c r="M535" s="16"/>
      <c r="N535" s="16"/>
    </row>
    <row r="536">
      <c r="A536" s="44" t="s">
        <v>959</v>
      </c>
      <c r="B536" s="10" t="str">
        <f t="shared" si="1"/>
        <v>RNA-gill</v>
      </c>
      <c r="C536" s="10" t="str">
        <f t="shared" si="2"/>
        <v>BRN67G-B12</v>
      </c>
      <c r="D536" s="11">
        <f t="array" ref="D536">iferror(index('rna-muscle'!D:D,match(A536,'rna-muscle'!A:A,0)))</f>
        <v>67</v>
      </c>
      <c r="E536" s="10" t="str">
        <f t="shared" si="3"/>
        <v>BRN67G</v>
      </c>
      <c r="F536" s="11" t="str">
        <f t="array" ref="F536">iferror(index('rna-muscle'!F:F,match($A536,'rna-muscle'!$A:$A,0)))</f>
        <v>B</v>
      </c>
      <c r="G536" s="11">
        <f t="array" ref="G536">iferror(index('rna-muscle'!G:G,match($A536,'rna-muscle'!$A:$A,0)))</f>
        <v>12</v>
      </c>
      <c r="H536" s="11" t="str">
        <f t="shared" si="4"/>
        <v>B12</v>
      </c>
      <c r="I536" s="10" t="str">
        <f t="shared" si="5"/>
        <v>BRN67G-B12</v>
      </c>
      <c r="J536" s="6"/>
      <c r="K536" s="16" t="str">
        <f t="shared" si="6"/>
        <v>collected</v>
      </c>
      <c r="L536" s="16" t="str">
        <f t="shared" si="7"/>
        <v>N</v>
      </c>
      <c r="M536" s="16"/>
      <c r="N536" s="16"/>
    </row>
    <row r="537">
      <c r="A537" s="44" t="s">
        <v>960</v>
      </c>
      <c r="B537" s="10" t="str">
        <f t="shared" si="1"/>
        <v>RNA-gill</v>
      </c>
      <c r="C537" s="10" t="str">
        <f t="shared" si="2"/>
        <v>BRN67G-A12</v>
      </c>
      <c r="D537" s="11">
        <f t="array" ref="D537">iferror(index('rna-muscle'!D:D,match(A537,'rna-muscle'!A:A,0)))</f>
        <v>67</v>
      </c>
      <c r="E537" s="10" t="str">
        <f t="shared" si="3"/>
        <v>BRN67G</v>
      </c>
      <c r="F537" s="11" t="str">
        <f t="array" ref="F537">iferror(index('rna-muscle'!F:F,match($A537,'rna-muscle'!$A:$A,0)))</f>
        <v>A</v>
      </c>
      <c r="G537" s="11">
        <f t="array" ref="G537">iferror(index('rna-muscle'!G:G,match($A537,'rna-muscle'!$A:$A,0)))</f>
        <v>12</v>
      </c>
      <c r="H537" s="11" t="str">
        <f t="shared" si="4"/>
        <v>A12</v>
      </c>
      <c r="I537" s="10" t="str">
        <f t="shared" si="5"/>
        <v>BRN67G-A12</v>
      </c>
      <c r="J537" s="16"/>
      <c r="K537" s="16" t="str">
        <f t="shared" si="6"/>
        <v>collected</v>
      </c>
      <c r="L537" s="16" t="str">
        <f t="shared" si="7"/>
        <v>N</v>
      </c>
      <c r="M537" s="16"/>
      <c r="N537" s="16"/>
    </row>
    <row r="538">
      <c r="A538" s="46" t="s">
        <v>963</v>
      </c>
      <c r="B538" s="10" t="str">
        <f t="shared" si="1"/>
        <v>RNA-gill</v>
      </c>
      <c r="C538" s="10" t="str">
        <f t="shared" si="2"/>
        <v>BRN68G-H1</v>
      </c>
      <c r="D538" s="11">
        <f t="array" ref="D538">iferror(index('rna-muscle'!D:D,match(A538,'rna-muscle'!A:A,0)))</f>
        <v>68</v>
      </c>
      <c r="E538" s="10" t="str">
        <f t="shared" si="3"/>
        <v>BRN68G</v>
      </c>
      <c r="F538" s="11" t="str">
        <f t="array" ref="F538">iferror(index('rna-muscle'!F:F,match($A538,'rna-muscle'!$A:$A,0)))</f>
        <v>H</v>
      </c>
      <c r="G538" s="11">
        <f t="array" ref="G538">iferror(index('rna-muscle'!G:G,match($A538,'rna-muscle'!$A:$A,0)))</f>
        <v>1</v>
      </c>
      <c r="H538" s="11" t="str">
        <f t="shared" si="4"/>
        <v>H1</v>
      </c>
      <c r="I538" s="10" t="str">
        <f t="shared" si="5"/>
        <v>BRN68G-H1</v>
      </c>
      <c r="J538" s="16"/>
      <c r="K538" s="16" t="str">
        <f t="shared" si="6"/>
        <v>collected</v>
      </c>
      <c r="L538" s="16" t="str">
        <f t="shared" si="7"/>
        <v>N</v>
      </c>
      <c r="M538" s="16"/>
      <c r="N538" s="16"/>
    </row>
    <row r="539">
      <c r="A539" s="40" t="s">
        <v>966</v>
      </c>
      <c r="B539" s="10" t="str">
        <f t="shared" si="1"/>
        <v>RNA-gill</v>
      </c>
      <c r="C539" s="10" t="str">
        <f t="shared" si="2"/>
        <v>BRN68G-G1</v>
      </c>
      <c r="D539" s="11">
        <f t="array" ref="D539">iferror(index('rna-muscle'!D:D,match(A539,'rna-muscle'!A:A,0)))</f>
        <v>68</v>
      </c>
      <c r="E539" s="10" t="str">
        <f t="shared" si="3"/>
        <v>BRN68G</v>
      </c>
      <c r="F539" s="11" t="str">
        <f t="array" ref="F539">iferror(index('rna-muscle'!F:F,match($A539,'rna-muscle'!$A:$A,0)))</f>
        <v>G</v>
      </c>
      <c r="G539" s="11">
        <f t="array" ref="G539">iferror(index('rna-muscle'!G:G,match($A539,'rna-muscle'!$A:$A,0)))</f>
        <v>1</v>
      </c>
      <c r="H539" s="11" t="str">
        <f t="shared" si="4"/>
        <v>G1</v>
      </c>
      <c r="I539" s="10" t="str">
        <f t="shared" si="5"/>
        <v>BRN68G-G1</v>
      </c>
      <c r="J539" s="16"/>
      <c r="K539" s="16" t="str">
        <f t="shared" si="6"/>
        <v>collected</v>
      </c>
      <c r="L539" s="16" t="str">
        <f t="shared" si="7"/>
        <v>N</v>
      </c>
      <c r="M539" s="16"/>
      <c r="N539" s="16"/>
    </row>
    <row r="540">
      <c r="A540" s="40" t="s">
        <v>967</v>
      </c>
      <c r="B540" s="10" t="str">
        <f t="shared" si="1"/>
        <v>RNA-gill</v>
      </c>
      <c r="C540" s="10" t="str">
        <f t="shared" si="2"/>
        <v>BRN68G-F1</v>
      </c>
      <c r="D540" s="11">
        <f t="array" ref="D540">iferror(index('rna-muscle'!D:D,match(A540,'rna-muscle'!A:A,0)))</f>
        <v>68</v>
      </c>
      <c r="E540" s="10" t="str">
        <f t="shared" si="3"/>
        <v>BRN68G</v>
      </c>
      <c r="F540" s="11" t="str">
        <f t="array" ref="F540">iferror(index('rna-muscle'!F:F,match($A540,'rna-muscle'!$A:$A,0)))</f>
        <v>F</v>
      </c>
      <c r="G540" s="11">
        <f t="array" ref="G540">iferror(index('rna-muscle'!G:G,match($A540,'rna-muscle'!$A:$A,0)))</f>
        <v>1</v>
      </c>
      <c r="H540" s="11" t="str">
        <f t="shared" si="4"/>
        <v>F1</v>
      </c>
      <c r="I540" s="10" t="str">
        <f t="shared" si="5"/>
        <v>BRN68G-F1</v>
      </c>
      <c r="J540" s="16"/>
      <c r="K540" s="16" t="str">
        <f t="shared" si="6"/>
        <v>collected</v>
      </c>
      <c r="L540" s="16" t="str">
        <f t="shared" si="7"/>
        <v>N</v>
      </c>
      <c r="M540" s="16"/>
      <c r="N540" s="16"/>
    </row>
    <row r="541">
      <c r="A541" s="40" t="s">
        <v>969</v>
      </c>
      <c r="B541" s="10" t="str">
        <f t="shared" si="1"/>
        <v>RNA-gill</v>
      </c>
      <c r="C541" s="10" t="str">
        <f t="shared" si="2"/>
        <v>BRN68G-E1</v>
      </c>
      <c r="D541" s="11">
        <f t="array" ref="D541">iferror(index('rna-muscle'!D:D,match(A541,'rna-muscle'!A:A,0)))</f>
        <v>68</v>
      </c>
      <c r="E541" s="10" t="str">
        <f t="shared" si="3"/>
        <v>BRN68G</v>
      </c>
      <c r="F541" s="11" t="str">
        <f t="array" ref="F541">iferror(index('rna-muscle'!F:F,match($A541,'rna-muscle'!$A:$A,0)))</f>
        <v>E</v>
      </c>
      <c r="G541" s="11">
        <f t="array" ref="G541">iferror(index('rna-muscle'!G:G,match($A541,'rna-muscle'!$A:$A,0)))</f>
        <v>1</v>
      </c>
      <c r="H541" s="11" t="str">
        <f t="shared" si="4"/>
        <v>E1</v>
      </c>
      <c r="I541" s="10" t="str">
        <f t="shared" si="5"/>
        <v>BRN68G-E1</v>
      </c>
      <c r="J541" s="6"/>
      <c r="K541" s="16" t="str">
        <f t="shared" si="6"/>
        <v>collected</v>
      </c>
      <c r="L541" s="16" t="str">
        <f t="shared" si="7"/>
        <v>N</v>
      </c>
      <c r="M541" s="16"/>
      <c r="N541" s="16"/>
    </row>
    <row r="542">
      <c r="A542" s="40" t="s">
        <v>971</v>
      </c>
      <c r="B542" s="10" t="str">
        <f t="shared" si="1"/>
        <v>RNA-gill</v>
      </c>
      <c r="C542" s="10" t="str">
        <f t="shared" si="2"/>
        <v>BRN68G-D1</v>
      </c>
      <c r="D542" s="11">
        <f t="array" ref="D542">iferror(index('rna-muscle'!D:D,match(A542,'rna-muscle'!A:A,0)))</f>
        <v>68</v>
      </c>
      <c r="E542" s="10" t="str">
        <f t="shared" si="3"/>
        <v>BRN68G</v>
      </c>
      <c r="F542" s="11" t="str">
        <f t="array" ref="F542">iferror(index('rna-muscle'!F:F,match($A542,'rna-muscle'!$A:$A,0)))</f>
        <v>D</v>
      </c>
      <c r="G542" s="11">
        <f t="array" ref="G542">iferror(index('rna-muscle'!G:G,match($A542,'rna-muscle'!$A:$A,0)))</f>
        <v>1</v>
      </c>
      <c r="H542" s="11" t="str">
        <f t="shared" si="4"/>
        <v>D1</v>
      </c>
      <c r="I542" s="10" t="str">
        <f t="shared" si="5"/>
        <v>BRN68G-D1</v>
      </c>
      <c r="J542" s="16"/>
      <c r="K542" s="16" t="str">
        <f t="shared" si="6"/>
        <v>collected</v>
      </c>
      <c r="L542" s="16" t="str">
        <f t="shared" si="7"/>
        <v>N</v>
      </c>
      <c r="M542" s="16"/>
      <c r="N542" s="16"/>
    </row>
    <row r="543">
      <c r="A543" s="40" t="s">
        <v>972</v>
      </c>
      <c r="B543" s="10" t="str">
        <f t="shared" si="1"/>
        <v>RNA-gill</v>
      </c>
      <c r="C543" s="10" t="str">
        <f t="shared" si="2"/>
        <v>BRN68G-C1</v>
      </c>
      <c r="D543" s="11">
        <f t="array" ref="D543">iferror(index('rna-muscle'!D:D,match(A543,'rna-muscle'!A:A,0)))</f>
        <v>68</v>
      </c>
      <c r="E543" s="10" t="str">
        <f t="shared" si="3"/>
        <v>BRN68G</v>
      </c>
      <c r="F543" s="11" t="str">
        <f t="array" ref="F543">iferror(index('rna-muscle'!F:F,match($A543,'rna-muscle'!$A:$A,0)))</f>
        <v>C</v>
      </c>
      <c r="G543" s="11">
        <f t="array" ref="G543">iferror(index('rna-muscle'!G:G,match($A543,'rna-muscle'!$A:$A,0)))</f>
        <v>1</v>
      </c>
      <c r="H543" s="11" t="str">
        <f t="shared" si="4"/>
        <v>C1</v>
      </c>
      <c r="I543" s="10" t="str">
        <f t="shared" si="5"/>
        <v>BRN68G-C1</v>
      </c>
      <c r="J543" s="16"/>
      <c r="K543" s="16" t="str">
        <f t="shared" si="6"/>
        <v>collected</v>
      </c>
      <c r="L543" s="16" t="str">
        <f t="shared" si="7"/>
        <v>N</v>
      </c>
      <c r="M543" s="16"/>
      <c r="N543" s="16"/>
    </row>
    <row r="544">
      <c r="A544" s="27" t="s">
        <v>974</v>
      </c>
      <c r="B544" s="10" t="str">
        <f t="shared" si="1"/>
        <v>RNA-gill</v>
      </c>
      <c r="C544" s="10" t="str">
        <f t="shared" si="2"/>
        <v>BRN68G-H3</v>
      </c>
      <c r="D544" s="11">
        <f t="array" ref="D544">iferror(index('rna-muscle'!D:D,match(A544,'rna-muscle'!A:A,0)))</f>
        <v>68</v>
      </c>
      <c r="E544" s="10" t="str">
        <f t="shared" si="3"/>
        <v>BRN68G</v>
      </c>
      <c r="F544" s="11" t="str">
        <f t="array" ref="F544">iferror(index('rna-muscle'!F:F,match($A544,'rna-muscle'!$A:$A,0)))</f>
        <v>H</v>
      </c>
      <c r="G544" s="11">
        <f t="array" ref="G544">iferror(index('rna-muscle'!G:G,match($A544,'rna-muscle'!$A:$A,0)))</f>
        <v>3</v>
      </c>
      <c r="H544" s="11" t="str">
        <f t="shared" si="4"/>
        <v>H3</v>
      </c>
      <c r="I544" s="10" t="str">
        <f t="shared" si="5"/>
        <v>BRN68G-H3</v>
      </c>
      <c r="J544" s="16"/>
      <c r="K544" s="16" t="str">
        <f t="shared" si="6"/>
        <v>collected</v>
      </c>
      <c r="L544" s="16" t="str">
        <f t="shared" si="7"/>
        <v>N</v>
      </c>
      <c r="M544" s="16"/>
      <c r="N544" s="16"/>
    </row>
    <row r="545">
      <c r="A545" s="27" t="s">
        <v>975</v>
      </c>
      <c r="B545" s="10" t="str">
        <f t="shared" si="1"/>
        <v>RNA-gill</v>
      </c>
      <c r="C545" s="10" t="str">
        <f t="shared" si="2"/>
        <v>BRN68G-G3</v>
      </c>
      <c r="D545" s="11">
        <f t="array" ref="D545">iferror(index('rna-muscle'!D:D,match(A545,'rna-muscle'!A:A,0)))</f>
        <v>68</v>
      </c>
      <c r="E545" s="10" t="str">
        <f t="shared" si="3"/>
        <v>BRN68G</v>
      </c>
      <c r="F545" s="11" t="str">
        <f t="array" ref="F545">iferror(index('rna-muscle'!F:F,match($A545,'rna-muscle'!$A:$A,0)))</f>
        <v>G</v>
      </c>
      <c r="G545" s="11">
        <f t="array" ref="G545">iferror(index('rna-muscle'!G:G,match($A545,'rna-muscle'!$A:$A,0)))</f>
        <v>3</v>
      </c>
      <c r="H545" s="11" t="str">
        <f t="shared" si="4"/>
        <v>G3</v>
      </c>
      <c r="I545" s="10" t="str">
        <f t="shared" si="5"/>
        <v>BRN68G-G3</v>
      </c>
      <c r="J545" s="16"/>
      <c r="K545" s="16" t="str">
        <f t="shared" si="6"/>
        <v>collected</v>
      </c>
      <c r="L545" s="16" t="str">
        <f t="shared" si="7"/>
        <v>N</v>
      </c>
      <c r="M545" s="16"/>
      <c r="N545" s="16"/>
    </row>
    <row r="546">
      <c r="A546" s="27" t="s">
        <v>976</v>
      </c>
      <c r="B546" s="10" t="str">
        <f t="shared" si="1"/>
        <v>RNA-gill</v>
      </c>
      <c r="C546" s="10" t="str">
        <f t="shared" si="2"/>
        <v>BRN68G-F3</v>
      </c>
      <c r="D546" s="11">
        <f t="array" ref="D546">iferror(index('rna-muscle'!D:D,match(A546,'rna-muscle'!A:A,0)))</f>
        <v>68</v>
      </c>
      <c r="E546" s="10" t="str">
        <f t="shared" si="3"/>
        <v>BRN68G</v>
      </c>
      <c r="F546" s="11" t="str">
        <f t="array" ref="F546">iferror(index('rna-muscle'!F:F,match($A546,'rna-muscle'!$A:$A,0)))</f>
        <v>F</v>
      </c>
      <c r="G546" s="11">
        <f t="array" ref="G546">iferror(index('rna-muscle'!G:G,match($A546,'rna-muscle'!$A:$A,0)))</f>
        <v>3</v>
      </c>
      <c r="H546" s="11" t="str">
        <f t="shared" si="4"/>
        <v>F3</v>
      </c>
      <c r="I546" s="10" t="str">
        <f t="shared" si="5"/>
        <v>BRN68G-F3</v>
      </c>
      <c r="J546" s="6"/>
      <c r="K546" s="16" t="str">
        <f t="shared" si="6"/>
        <v>collected</v>
      </c>
      <c r="L546" s="16" t="str">
        <f t="shared" si="7"/>
        <v>N</v>
      </c>
      <c r="M546" s="16"/>
      <c r="N546" s="16"/>
    </row>
    <row r="547">
      <c r="A547" s="27" t="s">
        <v>978</v>
      </c>
      <c r="B547" s="10" t="str">
        <f t="shared" si="1"/>
        <v>RNA-gill</v>
      </c>
      <c r="C547" s="10" t="str">
        <f t="shared" si="2"/>
        <v>BRN68G-E3</v>
      </c>
      <c r="D547" s="11">
        <f t="array" ref="D547">iferror(index('rna-muscle'!D:D,match(A547,'rna-muscle'!A:A,0)))</f>
        <v>68</v>
      </c>
      <c r="E547" s="10" t="str">
        <f t="shared" si="3"/>
        <v>BRN68G</v>
      </c>
      <c r="F547" s="11" t="str">
        <f t="array" ref="F547">iferror(index('rna-muscle'!F:F,match($A547,'rna-muscle'!$A:$A,0)))</f>
        <v>E</v>
      </c>
      <c r="G547" s="11">
        <f t="array" ref="G547">iferror(index('rna-muscle'!G:G,match($A547,'rna-muscle'!$A:$A,0)))</f>
        <v>3</v>
      </c>
      <c r="H547" s="11" t="str">
        <f t="shared" si="4"/>
        <v>E3</v>
      </c>
      <c r="I547" s="10" t="str">
        <f t="shared" si="5"/>
        <v>BRN68G-E3</v>
      </c>
      <c r="J547" s="6"/>
      <c r="K547" s="16" t="str">
        <f t="shared" si="6"/>
        <v>collected</v>
      </c>
      <c r="L547" s="16" t="str">
        <f t="shared" si="7"/>
        <v>N</v>
      </c>
      <c r="M547" s="16"/>
      <c r="N547" s="16"/>
    </row>
    <row r="548">
      <c r="A548" s="27" t="s">
        <v>979</v>
      </c>
      <c r="B548" s="10" t="str">
        <f t="shared" si="1"/>
        <v>RNA-gill</v>
      </c>
      <c r="C548" s="10" t="str">
        <f t="shared" si="2"/>
        <v>BRN68G-D3</v>
      </c>
      <c r="D548" s="11">
        <f t="array" ref="D548">iferror(index('rna-muscle'!D:D,match(A548,'rna-muscle'!A:A,0)))</f>
        <v>68</v>
      </c>
      <c r="E548" s="10" t="str">
        <f t="shared" si="3"/>
        <v>BRN68G</v>
      </c>
      <c r="F548" s="11" t="str">
        <f t="array" ref="F548">iferror(index('rna-muscle'!F:F,match($A548,'rna-muscle'!$A:$A,0)))</f>
        <v>D</v>
      </c>
      <c r="G548" s="11">
        <f t="array" ref="G548">iferror(index('rna-muscle'!G:G,match($A548,'rna-muscle'!$A:$A,0)))</f>
        <v>3</v>
      </c>
      <c r="H548" s="11" t="str">
        <f t="shared" si="4"/>
        <v>D3</v>
      </c>
      <c r="I548" s="10" t="str">
        <f t="shared" si="5"/>
        <v>BRN68G-D3</v>
      </c>
      <c r="J548" s="6"/>
      <c r="K548" s="16" t="str">
        <f t="shared" si="6"/>
        <v>collected</v>
      </c>
      <c r="L548" s="16" t="str">
        <f t="shared" si="7"/>
        <v>N</v>
      </c>
      <c r="M548" s="16"/>
      <c r="N548" s="16"/>
    </row>
    <row r="549">
      <c r="A549" s="27" t="s">
        <v>981</v>
      </c>
      <c r="B549" s="10" t="str">
        <f t="shared" si="1"/>
        <v>RNA-gill</v>
      </c>
      <c r="C549" s="10" t="str">
        <f t="shared" si="2"/>
        <v>BRN68G-C3</v>
      </c>
      <c r="D549" s="11">
        <f t="array" ref="D549">iferror(index('rna-muscle'!D:D,match(A549,'rna-muscle'!A:A,0)))</f>
        <v>68</v>
      </c>
      <c r="E549" s="10" t="str">
        <f t="shared" si="3"/>
        <v>BRN68G</v>
      </c>
      <c r="F549" s="11" t="str">
        <f t="array" ref="F549">iferror(index('rna-muscle'!F:F,match($A549,'rna-muscle'!$A:$A,0)))</f>
        <v>C</v>
      </c>
      <c r="G549" s="11">
        <f t="array" ref="G549">iferror(index('rna-muscle'!G:G,match($A549,'rna-muscle'!$A:$A,0)))</f>
        <v>3</v>
      </c>
      <c r="H549" s="11" t="str">
        <f t="shared" si="4"/>
        <v>C3</v>
      </c>
      <c r="I549" s="10" t="str">
        <f t="shared" si="5"/>
        <v>BRN68G-C3</v>
      </c>
      <c r="J549" s="16"/>
      <c r="K549" s="16" t="str">
        <f t="shared" si="6"/>
        <v>collected</v>
      </c>
      <c r="L549" s="16" t="str">
        <f t="shared" si="7"/>
        <v>N</v>
      </c>
      <c r="M549" s="16"/>
      <c r="N549" s="16"/>
    </row>
    <row r="550">
      <c r="A550" s="27" t="s">
        <v>982</v>
      </c>
      <c r="B550" s="10" t="str">
        <f t="shared" si="1"/>
        <v>RNA-gill</v>
      </c>
      <c r="C550" s="10" t="str">
        <f t="shared" si="2"/>
        <v>BRN68G-B3</v>
      </c>
      <c r="D550" s="11">
        <f t="array" ref="D550">iferror(index('rna-muscle'!D:D,match(A550,'rna-muscle'!A:A,0)))</f>
        <v>68</v>
      </c>
      <c r="E550" s="10" t="str">
        <f t="shared" si="3"/>
        <v>BRN68G</v>
      </c>
      <c r="F550" s="11" t="str">
        <f t="array" ref="F550">iferror(index('rna-muscle'!F:F,match($A550,'rna-muscle'!$A:$A,0)))</f>
        <v>B</v>
      </c>
      <c r="G550" s="11">
        <f t="array" ref="G550">iferror(index('rna-muscle'!G:G,match($A550,'rna-muscle'!$A:$A,0)))</f>
        <v>3</v>
      </c>
      <c r="H550" s="11" t="str">
        <f t="shared" si="4"/>
        <v>B3</v>
      </c>
      <c r="I550" s="10" t="str">
        <f t="shared" si="5"/>
        <v>BRN68G-B3</v>
      </c>
      <c r="J550" s="6"/>
      <c r="K550" s="16" t="str">
        <f t="shared" si="6"/>
        <v>collected</v>
      </c>
      <c r="L550" s="16" t="str">
        <f t="shared" si="7"/>
        <v>N</v>
      </c>
      <c r="M550" s="16"/>
      <c r="N550" s="16"/>
    </row>
    <row r="551">
      <c r="A551" s="27" t="s">
        <v>983</v>
      </c>
      <c r="B551" s="10" t="str">
        <f t="shared" si="1"/>
        <v>RNA-gill</v>
      </c>
      <c r="C551" s="10" t="str">
        <f t="shared" si="2"/>
        <v>BRN68G-A3</v>
      </c>
      <c r="D551" s="11">
        <f t="array" ref="D551">iferror(index('rna-muscle'!D:D,match(A551,'rna-muscle'!A:A,0)))</f>
        <v>68</v>
      </c>
      <c r="E551" s="10" t="str">
        <f t="shared" si="3"/>
        <v>BRN68G</v>
      </c>
      <c r="F551" s="11" t="str">
        <f t="array" ref="F551">iferror(index('rna-muscle'!F:F,match($A551,'rna-muscle'!$A:$A,0)))</f>
        <v>A</v>
      </c>
      <c r="G551" s="11">
        <f t="array" ref="G551">iferror(index('rna-muscle'!G:G,match($A551,'rna-muscle'!$A:$A,0)))</f>
        <v>3</v>
      </c>
      <c r="H551" s="11" t="str">
        <f t="shared" si="4"/>
        <v>A3</v>
      </c>
      <c r="I551" s="10" t="str">
        <f t="shared" si="5"/>
        <v>BRN68G-A3</v>
      </c>
      <c r="J551" s="16"/>
      <c r="K551" s="16" t="str">
        <f t="shared" si="6"/>
        <v>collected</v>
      </c>
      <c r="L551" s="16" t="str">
        <f t="shared" si="7"/>
        <v>N</v>
      </c>
      <c r="M551" s="16"/>
      <c r="N551" s="16"/>
    </row>
    <row r="552">
      <c r="A552" s="27" t="s">
        <v>985</v>
      </c>
      <c r="B552" s="10" t="str">
        <f t="shared" si="1"/>
        <v>RNA-gill</v>
      </c>
      <c r="C552" s="10" t="str">
        <f t="shared" si="2"/>
        <v>BRN68G-H5</v>
      </c>
      <c r="D552" s="11">
        <f t="array" ref="D552">iferror(index('rna-muscle'!D:D,match(A552,'rna-muscle'!A:A,0)))</f>
        <v>68</v>
      </c>
      <c r="E552" s="10" t="str">
        <f t="shared" si="3"/>
        <v>BRN68G</v>
      </c>
      <c r="F552" s="11" t="str">
        <f t="array" ref="F552">iferror(index('rna-muscle'!F:F,match($A552,'rna-muscle'!$A:$A,0)))</f>
        <v>H</v>
      </c>
      <c r="G552" s="11">
        <f t="array" ref="G552">iferror(index('rna-muscle'!G:G,match($A552,'rna-muscle'!$A:$A,0)))</f>
        <v>5</v>
      </c>
      <c r="H552" s="11" t="str">
        <f t="shared" si="4"/>
        <v>H5</v>
      </c>
      <c r="I552" s="10" t="str">
        <f t="shared" si="5"/>
        <v>BRN68G-H5</v>
      </c>
      <c r="J552" s="6"/>
      <c r="K552" s="16" t="str">
        <f t="shared" si="6"/>
        <v>collected</v>
      </c>
      <c r="L552" s="16" t="str">
        <f t="shared" si="7"/>
        <v>N</v>
      </c>
      <c r="M552" s="16"/>
      <c r="N552" s="16"/>
    </row>
    <row r="553">
      <c r="A553" s="27" t="s">
        <v>986</v>
      </c>
      <c r="B553" s="10" t="str">
        <f t="shared" si="1"/>
        <v>RNA-gill</v>
      </c>
      <c r="C553" s="10" t="str">
        <f t="shared" si="2"/>
        <v>BRN68G-G5</v>
      </c>
      <c r="D553" s="11">
        <f t="array" ref="D553">iferror(index('rna-muscle'!D:D,match(A553,'rna-muscle'!A:A,0)))</f>
        <v>68</v>
      </c>
      <c r="E553" s="10" t="str">
        <f t="shared" si="3"/>
        <v>BRN68G</v>
      </c>
      <c r="F553" s="11" t="str">
        <f t="array" ref="F553">iferror(index('rna-muscle'!F:F,match($A553,'rna-muscle'!$A:$A,0)))</f>
        <v>G</v>
      </c>
      <c r="G553" s="11">
        <f t="array" ref="G553">iferror(index('rna-muscle'!G:G,match($A553,'rna-muscle'!$A:$A,0)))</f>
        <v>5</v>
      </c>
      <c r="H553" s="11" t="str">
        <f t="shared" si="4"/>
        <v>G5</v>
      </c>
      <c r="I553" s="10" t="str">
        <f t="shared" si="5"/>
        <v>BRN68G-G5</v>
      </c>
      <c r="J553" s="16"/>
      <c r="K553" s="16" t="str">
        <f t="shared" si="6"/>
        <v>collected</v>
      </c>
      <c r="L553" s="16" t="str">
        <f t="shared" si="7"/>
        <v>N</v>
      </c>
      <c r="M553" s="16"/>
      <c r="N553" s="16"/>
    </row>
    <row r="554">
      <c r="A554" s="27" t="s">
        <v>988</v>
      </c>
      <c r="B554" s="10" t="str">
        <f t="shared" si="1"/>
        <v>RNA-gill</v>
      </c>
      <c r="C554" s="10" t="str">
        <f t="shared" si="2"/>
        <v>BRN68G-F5</v>
      </c>
      <c r="D554" s="11">
        <f t="array" ref="D554">iferror(index('rna-muscle'!D:D,match(A554,'rna-muscle'!A:A,0)))</f>
        <v>68</v>
      </c>
      <c r="E554" s="10" t="str">
        <f t="shared" si="3"/>
        <v>BRN68G</v>
      </c>
      <c r="F554" s="11" t="str">
        <f t="array" ref="F554">iferror(index('rna-muscle'!F:F,match($A554,'rna-muscle'!$A:$A,0)))</f>
        <v>F</v>
      </c>
      <c r="G554" s="11">
        <f t="array" ref="G554">iferror(index('rna-muscle'!G:G,match($A554,'rna-muscle'!$A:$A,0)))</f>
        <v>5</v>
      </c>
      <c r="H554" s="11" t="str">
        <f t="shared" si="4"/>
        <v>F5</v>
      </c>
      <c r="I554" s="10" t="str">
        <f t="shared" si="5"/>
        <v>BRN68G-F5</v>
      </c>
      <c r="J554" s="16"/>
      <c r="K554" s="16" t="str">
        <f t="shared" si="6"/>
        <v>collected</v>
      </c>
      <c r="L554" s="16" t="str">
        <f t="shared" si="7"/>
        <v>N</v>
      </c>
      <c r="M554" s="16"/>
      <c r="N554" s="16"/>
    </row>
    <row r="555">
      <c r="A555" s="27" t="s">
        <v>990</v>
      </c>
      <c r="B555" s="10" t="str">
        <f t="shared" si="1"/>
        <v>RNA-gill</v>
      </c>
      <c r="C555" s="10" t="str">
        <f t="shared" si="2"/>
        <v>BRN68G-E5</v>
      </c>
      <c r="D555" s="11">
        <f t="array" ref="D555">iferror(index('rna-muscle'!D:D,match(A555,'rna-muscle'!A:A,0)))</f>
        <v>68</v>
      </c>
      <c r="E555" s="10" t="str">
        <f t="shared" si="3"/>
        <v>BRN68G</v>
      </c>
      <c r="F555" s="11" t="str">
        <f t="array" ref="F555">iferror(index('rna-muscle'!F:F,match($A555,'rna-muscle'!$A:$A,0)))</f>
        <v>E</v>
      </c>
      <c r="G555" s="11">
        <f t="array" ref="G555">iferror(index('rna-muscle'!G:G,match($A555,'rna-muscle'!$A:$A,0)))</f>
        <v>5</v>
      </c>
      <c r="H555" s="11" t="str">
        <f t="shared" si="4"/>
        <v>E5</v>
      </c>
      <c r="I555" s="10" t="str">
        <f t="shared" si="5"/>
        <v>BRN68G-E5</v>
      </c>
      <c r="J555" s="16"/>
      <c r="K555" s="16" t="str">
        <f t="shared" si="6"/>
        <v>collected</v>
      </c>
      <c r="L555" s="16" t="str">
        <f t="shared" si="7"/>
        <v>N</v>
      </c>
      <c r="M555" s="16"/>
      <c r="N555" s="16"/>
    </row>
    <row r="556">
      <c r="A556" s="27" t="s">
        <v>991</v>
      </c>
      <c r="B556" s="10" t="str">
        <f t="shared" si="1"/>
        <v>RNA-gill</v>
      </c>
      <c r="C556" s="10" t="str">
        <f t="shared" si="2"/>
        <v>BRN68G-D5</v>
      </c>
      <c r="D556" s="11">
        <f t="array" ref="D556">iferror(index('rna-muscle'!D:D,match(A556,'rna-muscle'!A:A,0)))</f>
        <v>68</v>
      </c>
      <c r="E556" s="10" t="str">
        <f t="shared" si="3"/>
        <v>BRN68G</v>
      </c>
      <c r="F556" s="11" t="str">
        <f t="array" ref="F556">iferror(index('rna-muscle'!F:F,match($A556,'rna-muscle'!$A:$A,0)))</f>
        <v>D</v>
      </c>
      <c r="G556" s="11">
        <f t="array" ref="G556">iferror(index('rna-muscle'!G:G,match($A556,'rna-muscle'!$A:$A,0)))</f>
        <v>5</v>
      </c>
      <c r="H556" s="11" t="str">
        <f t="shared" si="4"/>
        <v>D5</v>
      </c>
      <c r="I556" s="10" t="str">
        <f t="shared" si="5"/>
        <v>BRN68G-D5</v>
      </c>
      <c r="J556" s="16"/>
      <c r="K556" s="16" t="str">
        <f t="shared" si="6"/>
        <v>collected</v>
      </c>
      <c r="L556" s="16" t="str">
        <f t="shared" si="7"/>
        <v>N</v>
      </c>
      <c r="M556" s="16"/>
      <c r="N556" s="16"/>
    </row>
    <row r="557">
      <c r="A557" s="27" t="s">
        <v>993</v>
      </c>
      <c r="B557" s="10" t="str">
        <f t="shared" si="1"/>
        <v>RNA-gill</v>
      </c>
      <c r="C557" s="10" t="str">
        <f t="shared" si="2"/>
        <v>BRN68G-C5</v>
      </c>
      <c r="D557" s="11">
        <f t="array" ref="D557">iferror(index('rna-muscle'!D:D,match(A557,'rna-muscle'!A:A,0)))</f>
        <v>68</v>
      </c>
      <c r="E557" s="10" t="str">
        <f t="shared" si="3"/>
        <v>BRN68G</v>
      </c>
      <c r="F557" s="11" t="str">
        <f t="array" ref="F557">iferror(index('rna-muscle'!F:F,match($A557,'rna-muscle'!$A:$A,0)))</f>
        <v>C</v>
      </c>
      <c r="G557" s="11">
        <f t="array" ref="G557">iferror(index('rna-muscle'!G:G,match($A557,'rna-muscle'!$A:$A,0)))</f>
        <v>5</v>
      </c>
      <c r="H557" s="11" t="str">
        <f t="shared" si="4"/>
        <v>C5</v>
      </c>
      <c r="I557" s="10" t="str">
        <f t="shared" si="5"/>
        <v>BRN68G-C5</v>
      </c>
      <c r="J557" s="16"/>
      <c r="K557" s="16" t="str">
        <f t="shared" si="6"/>
        <v>collected</v>
      </c>
      <c r="L557" s="16" t="str">
        <f t="shared" si="7"/>
        <v>N</v>
      </c>
      <c r="M557" s="16"/>
      <c r="N557" s="16"/>
    </row>
    <row r="558">
      <c r="A558" s="27" t="s">
        <v>995</v>
      </c>
      <c r="B558" s="10" t="str">
        <f t="shared" si="1"/>
        <v>RNA-gill</v>
      </c>
      <c r="C558" s="10" t="str">
        <f t="shared" si="2"/>
        <v>BRN68G-B5</v>
      </c>
      <c r="D558" s="11">
        <f t="array" ref="D558">iferror(index('rna-muscle'!D:D,match(A558,'rna-muscle'!A:A,0)))</f>
        <v>68</v>
      </c>
      <c r="E558" s="10" t="str">
        <f t="shared" si="3"/>
        <v>BRN68G</v>
      </c>
      <c r="F558" s="11" t="str">
        <f t="array" ref="F558">iferror(index('rna-muscle'!F:F,match($A558,'rna-muscle'!$A:$A,0)))</f>
        <v>B</v>
      </c>
      <c r="G558" s="11">
        <f t="array" ref="G558">iferror(index('rna-muscle'!G:G,match($A558,'rna-muscle'!$A:$A,0)))</f>
        <v>5</v>
      </c>
      <c r="H558" s="11" t="str">
        <f t="shared" si="4"/>
        <v>B5</v>
      </c>
      <c r="I558" s="10" t="str">
        <f t="shared" si="5"/>
        <v>BRN68G-B5</v>
      </c>
      <c r="J558" s="16"/>
      <c r="K558" s="16" t="str">
        <f t="shared" si="6"/>
        <v>collected</v>
      </c>
      <c r="L558" s="16" t="str">
        <f t="shared" si="7"/>
        <v>N</v>
      </c>
      <c r="M558" s="16"/>
      <c r="N558" s="16"/>
    </row>
    <row r="559">
      <c r="A559" s="27" t="s">
        <v>996</v>
      </c>
      <c r="B559" s="10" t="str">
        <f t="shared" si="1"/>
        <v>RNA-gill</v>
      </c>
      <c r="C559" s="10" t="str">
        <f t="shared" si="2"/>
        <v>BRN68G-A5</v>
      </c>
      <c r="D559" s="11">
        <f t="array" ref="D559">iferror(index('rna-muscle'!D:D,match(A559,'rna-muscle'!A:A,0)))</f>
        <v>68</v>
      </c>
      <c r="E559" s="10" t="str">
        <f t="shared" si="3"/>
        <v>BRN68G</v>
      </c>
      <c r="F559" s="11" t="str">
        <f t="array" ref="F559">iferror(index('rna-muscle'!F:F,match($A559,'rna-muscle'!$A:$A,0)))</f>
        <v>A</v>
      </c>
      <c r="G559" s="11">
        <f t="array" ref="G559">iferror(index('rna-muscle'!G:G,match($A559,'rna-muscle'!$A:$A,0)))</f>
        <v>5</v>
      </c>
      <c r="H559" s="11" t="str">
        <f t="shared" si="4"/>
        <v>A5</v>
      </c>
      <c r="I559" s="10" t="str">
        <f t="shared" si="5"/>
        <v>BRN68G-A5</v>
      </c>
      <c r="J559" s="16"/>
      <c r="K559" s="16" t="str">
        <f t="shared" si="6"/>
        <v>collected</v>
      </c>
      <c r="L559" s="16" t="str">
        <f t="shared" si="7"/>
        <v>N</v>
      </c>
      <c r="M559" s="16"/>
      <c r="N559" s="16"/>
    </row>
    <row r="560">
      <c r="A560" s="27" t="s">
        <v>997</v>
      </c>
      <c r="B560" s="10" t="str">
        <f t="shared" si="1"/>
        <v>RNA-gill</v>
      </c>
      <c r="C560" s="10" t="str">
        <f t="shared" si="2"/>
        <v>BRN68G-H7</v>
      </c>
      <c r="D560" s="11">
        <f t="array" ref="D560">iferror(index('rna-muscle'!D:D,match(A560,'rna-muscle'!A:A,0)))</f>
        <v>68</v>
      </c>
      <c r="E560" s="10" t="str">
        <f t="shared" si="3"/>
        <v>BRN68G</v>
      </c>
      <c r="F560" s="11" t="str">
        <f t="array" ref="F560">iferror(index('rna-muscle'!F:F,match($A560,'rna-muscle'!$A:$A,0)))</f>
        <v>H</v>
      </c>
      <c r="G560" s="11">
        <f t="array" ref="G560">iferror(index('rna-muscle'!G:G,match($A560,'rna-muscle'!$A:$A,0)))</f>
        <v>7</v>
      </c>
      <c r="H560" s="11" t="str">
        <f t="shared" si="4"/>
        <v>H7</v>
      </c>
      <c r="I560" s="10" t="str">
        <f t="shared" si="5"/>
        <v>BRN68G-H7</v>
      </c>
      <c r="J560" s="16"/>
      <c r="K560" s="16" t="str">
        <f t="shared" si="6"/>
        <v>collected</v>
      </c>
      <c r="L560" s="16" t="str">
        <f t="shared" si="7"/>
        <v>N</v>
      </c>
      <c r="M560" s="16"/>
      <c r="N560" s="16"/>
    </row>
    <row r="561">
      <c r="A561" s="27" t="s">
        <v>998</v>
      </c>
      <c r="B561" s="10" t="str">
        <f t="shared" si="1"/>
        <v>RNA-gill</v>
      </c>
      <c r="C561" s="10" t="str">
        <f t="shared" si="2"/>
        <v>BRN68G-G7</v>
      </c>
      <c r="D561" s="11">
        <f t="array" ref="D561">iferror(index('rna-muscle'!D:D,match(A561,'rna-muscle'!A:A,0)))</f>
        <v>68</v>
      </c>
      <c r="E561" s="10" t="str">
        <f t="shared" si="3"/>
        <v>BRN68G</v>
      </c>
      <c r="F561" s="11" t="str">
        <f t="array" ref="F561">iferror(index('rna-muscle'!F:F,match($A561,'rna-muscle'!$A:$A,0)))</f>
        <v>G</v>
      </c>
      <c r="G561" s="11">
        <f t="array" ref="G561">iferror(index('rna-muscle'!G:G,match($A561,'rna-muscle'!$A:$A,0)))</f>
        <v>7</v>
      </c>
      <c r="H561" s="11" t="str">
        <f t="shared" si="4"/>
        <v>G7</v>
      </c>
      <c r="I561" s="10" t="str">
        <f t="shared" si="5"/>
        <v>BRN68G-G7</v>
      </c>
      <c r="J561" s="16"/>
      <c r="K561" s="16" t="str">
        <f t="shared" si="6"/>
        <v>collected</v>
      </c>
      <c r="L561" s="16" t="str">
        <f t="shared" si="7"/>
        <v>N</v>
      </c>
      <c r="M561" s="16"/>
      <c r="N561" s="16"/>
    </row>
    <row r="562">
      <c r="A562" s="27" t="s">
        <v>1001</v>
      </c>
      <c r="B562" s="10" t="str">
        <f t="shared" si="1"/>
        <v>RNA-gill</v>
      </c>
      <c r="C562" s="10" t="str">
        <f t="shared" si="2"/>
        <v>BRN68G-F7</v>
      </c>
      <c r="D562" s="11">
        <f t="array" ref="D562">iferror(index('rna-muscle'!D:D,match(A562,'rna-muscle'!A:A,0)))</f>
        <v>68</v>
      </c>
      <c r="E562" s="10" t="str">
        <f t="shared" si="3"/>
        <v>BRN68G</v>
      </c>
      <c r="F562" s="11" t="str">
        <f t="array" ref="F562">iferror(index('rna-muscle'!F:F,match($A562,'rna-muscle'!$A:$A,0)))</f>
        <v>F</v>
      </c>
      <c r="G562" s="11">
        <f t="array" ref="G562">iferror(index('rna-muscle'!G:G,match($A562,'rna-muscle'!$A:$A,0)))</f>
        <v>7</v>
      </c>
      <c r="H562" s="11" t="str">
        <f t="shared" si="4"/>
        <v>F7</v>
      </c>
      <c r="I562" s="10" t="str">
        <f t="shared" si="5"/>
        <v>BRN68G-F7</v>
      </c>
      <c r="J562" s="16"/>
      <c r="K562" s="16" t="str">
        <f t="shared" si="6"/>
        <v>collected</v>
      </c>
      <c r="L562" s="16" t="str">
        <f t="shared" si="7"/>
        <v>N</v>
      </c>
      <c r="M562" s="16"/>
      <c r="N562" s="16"/>
    </row>
    <row r="563">
      <c r="A563" s="27" t="s">
        <v>1002</v>
      </c>
      <c r="B563" s="10" t="str">
        <f t="shared" si="1"/>
        <v>RNA-gill</v>
      </c>
      <c r="C563" s="10" t="str">
        <f t="shared" si="2"/>
        <v>BRN68G-E7</v>
      </c>
      <c r="D563" s="11">
        <f t="array" ref="D563">iferror(index('rna-muscle'!D:D,match(A563,'rna-muscle'!A:A,0)))</f>
        <v>68</v>
      </c>
      <c r="E563" s="10" t="str">
        <f t="shared" si="3"/>
        <v>BRN68G</v>
      </c>
      <c r="F563" s="11" t="str">
        <f t="array" ref="F563">iferror(index('rna-muscle'!F:F,match($A563,'rna-muscle'!$A:$A,0)))</f>
        <v>E</v>
      </c>
      <c r="G563" s="11">
        <f t="array" ref="G563">iferror(index('rna-muscle'!G:G,match($A563,'rna-muscle'!$A:$A,0)))</f>
        <v>7</v>
      </c>
      <c r="H563" s="11" t="str">
        <f t="shared" si="4"/>
        <v>E7</v>
      </c>
      <c r="I563" s="10" t="str">
        <f t="shared" si="5"/>
        <v>BRN68G-E7</v>
      </c>
      <c r="J563" s="16"/>
      <c r="K563" s="16" t="str">
        <f t="shared" si="6"/>
        <v>collected</v>
      </c>
      <c r="L563" s="16" t="str">
        <f t="shared" si="7"/>
        <v>N</v>
      </c>
      <c r="M563" s="16"/>
      <c r="N563" s="16"/>
    </row>
    <row r="564">
      <c r="A564" s="40" t="s">
        <v>1003</v>
      </c>
      <c r="B564" s="10" t="str">
        <f t="shared" si="1"/>
        <v>RNA-gill</v>
      </c>
      <c r="C564" s="10" t="str">
        <f t="shared" si="2"/>
        <v>BRN68G-B1</v>
      </c>
      <c r="D564" s="11">
        <f t="array" ref="D564">iferror(index('rna-muscle'!D:D,match(A564,'rna-muscle'!A:A,0)))</f>
        <v>68</v>
      </c>
      <c r="E564" s="10" t="str">
        <f t="shared" si="3"/>
        <v>BRN68G</v>
      </c>
      <c r="F564" s="11" t="str">
        <f t="array" ref="F564">iferror(index('rna-muscle'!F:F,match($A564,'rna-muscle'!$A:$A,0)))</f>
        <v>B</v>
      </c>
      <c r="G564" s="11">
        <f t="array" ref="G564">iferror(index('rna-muscle'!G:G,match($A564,'rna-muscle'!$A:$A,0)))</f>
        <v>1</v>
      </c>
      <c r="H564" s="11" t="str">
        <f t="shared" si="4"/>
        <v>B1</v>
      </c>
      <c r="I564" s="10" t="str">
        <f t="shared" si="5"/>
        <v>BRN68G-B1</v>
      </c>
      <c r="J564" s="6"/>
      <c r="K564" s="16" t="str">
        <f t="shared" si="6"/>
        <v>collected</v>
      </c>
      <c r="L564" s="16" t="str">
        <f t="shared" si="7"/>
        <v>N</v>
      </c>
      <c r="M564" s="16"/>
      <c r="N564" s="16"/>
    </row>
    <row r="565">
      <c r="A565" s="43" t="s">
        <v>1005</v>
      </c>
      <c r="B565" s="10" t="str">
        <f t="shared" si="1"/>
        <v>RNA-gill</v>
      </c>
      <c r="C565" s="10" t="str">
        <f t="shared" si="2"/>
        <v>BRN68G-A1</v>
      </c>
      <c r="D565" s="11">
        <f t="array" ref="D565">iferror(index('rna-muscle'!D:D,match(A565,'rna-muscle'!A:A,0)))</f>
        <v>68</v>
      </c>
      <c r="E565" s="10" t="str">
        <f t="shared" si="3"/>
        <v>BRN68G</v>
      </c>
      <c r="F565" s="11" t="str">
        <f t="array" ref="F565">iferror(index('rna-muscle'!F:F,match($A565,'rna-muscle'!$A:$A,0)))</f>
        <v>A</v>
      </c>
      <c r="G565" s="11">
        <f t="array" ref="G565">iferror(index('rna-muscle'!G:G,match($A565,'rna-muscle'!$A:$A,0)))</f>
        <v>1</v>
      </c>
      <c r="H565" s="11" t="str">
        <f t="shared" si="4"/>
        <v>A1</v>
      </c>
      <c r="I565" s="10" t="str">
        <f t="shared" si="5"/>
        <v>BRN68G-A1</v>
      </c>
      <c r="J565" s="16"/>
      <c r="K565" s="16" t="str">
        <f t="shared" si="6"/>
        <v>collected</v>
      </c>
      <c r="L565" s="16" t="str">
        <f t="shared" si="7"/>
        <v>N</v>
      </c>
      <c r="M565" s="16"/>
      <c r="N565" s="16"/>
    </row>
    <row r="566">
      <c r="A566" s="44" t="s">
        <v>1006</v>
      </c>
      <c r="B566" s="10" t="str">
        <f t="shared" si="1"/>
        <v>RNA-gill</v>
      </c>
      <c r="C566" s="10" t="str">
        <f t="shared" si="2"/>
        <v>BRN68G-H4</v>
      </c>
      <c r="D566" s="11">
        <f t="array" ref="D566">iferror(index('rna-muscle'!D:D,match(A566,'rna-muscle'!A:A,0)))</f>
        <v>68</v>
      </c>
      <c r="E566" s="10" t="str">
        <f t="shared" si="3"/>
        <v>BRN68G</v>
      </c>
      <c r="F566" s="11" t="str">
        <f t="array" ref="F566">iferror(index('rna-muscle'!F:F,match($A566,'rna-muscle'!$A:$A,0)))</f>
        <v>H</v>
      </c>
      <c r="G566" s="11">
        <f t="array" ref="G566">iferror(index('rna-muscle'!G:G,match($A566,'rna-muscle'!$A:$A,0)))</f>
        <v>4</v>
      </c>
      <c r="H566" s="11" t="str">
        <f t="shared" si="4"/>
        <v>H4</v>
      </c>
      <c r="I566" s="10" t="str">
        <f t="shared" si="5"/>
        <v>BRN68G-H4</v>
      </c>
      <c r="J566" s="16"/>
      <c r="K566" s="16" t="str">
        <f t="shared" si="6"/>
        <v>collected</v>
      </c>
      <c r="L566" s="16" t="str">
        <f t="shared" si="7"/>
        <v>N</v>
      </c>
      <c r="M566" s="16"/>
      <c r="N566" s="16"/>
    </row>
    <row r="567">
      <c r="A567" s="44" t="s">
        <v>1008</v>
      </c>
      <c r="B567" s="10" t="str">
        <f t="shared" si="1"/>
        <v>RNA-gill</v>
      </c>
      <c r="C567" s="10" t="str">
        <f t="shared" si="2"/>
        <v>BRN68G-G4</v>
      </c>
      <c r="D567" s="11">
        <f t="array" ref="D567">iferror(index('rna-muscle'!D:D,match(A567,'rna-muscle'!A:A,0)))</f>
        <v>68</v>
      </c>
      <c r="E567" s="10" t="str">
        <f t="shared" si="3"/>
        <v>BRN68G</v>
      </c>
      <c r="F567" s="11" t="str">
        <f t="array" ref="F567">iferror(index('rna-muscle'!F:F,match($A567,'rna-muscle'!$A:$A,0)))</f>
        <v>G</v>
      </c>
      <c r="G567" s="11">
        <f t="array" ref="G567">iferror(index('rna-muscle'!G:G,match($A567,'rna-muscle'!$A:$A,0)))</f>
        <v>4</v>
      </c>
      <c r="H567" s="11" t="str">
        <f t="shared" si="4"/>
        <v>G4</v>
      </c>
      <c r="I567" s="10" t="str">
        <f t="shared" si="5"/>
        <v>BRN68G-G4</v>
      </c>
      <c r="J567" s="16"/>
      <c r="K567" s="16" t="str">
        <f t="shared" si="6"/>
        <v>collected</v>
      </c>
      <c r="L567" s="16" t="str">
        <f t="shared" si="7"/>
        <v>N</v>
      </c>
      <c r="M567" s="16"/>
      <c r="N567" s="16"/>
    </row>
    <row r="568">
      <c r="A568" s="44" t="s">
        <v>1009</v>
      </c>
      <c r="B568" s="10" t="str">
        <f t="shared" si="1"/>
        <v>RNA-gill</v>
      </c>
      <c r="C568" s="10" t="str">
        <f t="shared" si="2"/>
        <v>BRN68G-F4</v>
      </c>
      <c r="D568" s="11">
        <f t="array" ref="D568">iferror(index('rna-muscle'!D:D,match(A568,'rna-muscle'!A:A,0)))</f>
        <v>68</v>
      </c>
      <c r="E568" s="10" t="str">
        <f t="shared" si="3"/>
        <v>BRN68G</v>
      </c>
      <c r="F568" s="11" t="str">
        <f t="array" ref="F568">iferror(index('rna-muscle'!F:F,match($A568,'rna-muscle'!$A:$A,0)))</f>
        <v>F</v>
      </c>
      <c r="G568" s="11">
        <f t="array" ref="G568">iferror(index('rna-muscle'!G:G,match($A568,'rna-muscle'!$A:$A,0)))</f>
        <v>4</v>
      </c>
      <c r="H568" s="11" t="str">
        <f t="shared" si="4"/>
        <v>F4</v>
      </c>
      <c r="I568" s="10" t="str">
        <f t="shared" si="5"/>
        <v>BRN68G-F4</v>
      </c>
      <c r="J568" s="6"/>
      <c r="K568" s="16" t="str">
        <f t="shared" si="6"/>
        <v>collected</v>
      </c>
      <c r="L568" s="16" t="str">
        <f t="shared" si="7"/>
        <v>N</v>
      </c>
      <c r="M568" s="16"/>
      <c r="N568" s="16"/>
    </row>
    <row r="569">
      <c r="A569" s="44" t="s">
        <v>1011</v>
      </c>
      <c r="B569" s="10" t="str">
        <f t="shared" si="1"/>
        <v>RNA-gill</v>
      </c>
      <c r="C569" s="10" t="str">
        <f t="shared" si="2"/>
        <v>BRN68G-E4</v>
      </c>
      <c r="D569" s="11">
        <f t="array" ref="D569">iferror(index('rna-muscle'!D:D,match(A569,'rna-muscle'!A:A,0)))</f>
        <v>68</v>
      </c>
      <c r="E569" s="10" t="str">
        <f t="shared" si="3"/>
        <v>BRN68G</v>
      </c>
      <c r="F569" s="11" t="str">
        <f t="array" ref="F569">iferror(index('rna-muscle'!F:F,match($A569,'rna-muscle'!$A:$A,0)))</f>
        <v>E</v>
      </c>
      <c r="G569" s="11">
        <f t="array" ref="G569">iferror(index('rna-muscle'!G:G,match($A569,'rna-muscle'!$A:$A,0)))</f>
        <v>4</v>
      </c>
      <c r="H569" s="11" t="str">
        <f t="shared" si="4"/>
        <v>E4</v>
      </c>
      <c r="I569" s="10" t="str">
        <f t="shared" si="5"/>
        <v>BRN68G-E4</v>
      </c>
      <c r="J569" s="6"/>
      <c r="K569" s="16" t="str">
        <f t="shared" si="6"/>
        <v>collected</v>
      </c>
      <c r="L569" s="16" t="str">
        <f t="shared" si="7"/>
        <v>N</v>
      </c>
      <c r="M569" s="16"/>
      <c r="N569" s="16"/>
    </row>
    <row r="570">
      <c r="A570" s="44" t="s">
        <v>1012</v>
      </c>
      <c r="B570" s="10" t="str">
        <f t="shared" si="1"/>
        <v>RNA-gill</v>
      </c>
      <c r="C570" s="10" t="str">
        <f t="shared" si="2"/>
        <v>BRN68G-D4</v>
      </c>
      <c r="D570" s="11">
        <f t="array" ref="D570">iferror(index('rna-muscle'!D:D,match(A570,'rna-muscle'!A:A,0)))</f>
        <v>68</v>
      </c>
      <c r="E570" s="10" t="str">
        <f t="shared" si="3"/>
        <v>BRN68G</v>
      </c>
      <c r="F570" s="11" t="str">
        <f t="array" ref="F570">iferror(index('rna-muscle'!F:F,match($A570,'rna-muscle'!$A:$A,0)))</f>
        <v>D</v>
      </c>
      <c r="G570" s="11">
        <f t="array" ref="G570">iferror(index('rna-muscle'!G:G,match($A570,'rna-muscle'!$A:$A,0)))</f>
        <v>4</v>
      </c>
      <c r="H570" s="11" t="str">
        <f t="shared" si="4"/>
        <v>D4</v>
      </c>
      <c r="I570" s="10" t="str">
        <f t="shared" si="5"/>
        <v>BRN68G-D4</v>
      </c>
      <c r="J570" s="16"/>
      <c r="K570" s="16" t="str">
        <f t="shared" si="6"/>
        <v>collected</v>
      </c>
      <c r="L570" s="16" t="str">
        <f t="shared" si="7"/>
        <v>N</v>
      </c>
      <c r="M570" s="16"/>
      <c r="N570" s="16"/>
    </row>
    <row r="571">
      <c r="A571" s="44" t="s">
        <v>1013</v>
      </c>
      <c r="B571" s="10" t="str">
        <f t="shared" si="1"/>
        <v>RNA-gill</v>
      </c>
      <c r="C571" s="10" t="str">
        <f t="shared" si="2"/>
        <v>BRN68G-C4</v>
      </c>
      <c r="D571" s="11">
        <f t="array" ref="D571">iferror(index('rna-muscle'!D:D,match(A571,'rna-muscle'!A:A,0)))</f>
        <v>68</v>
      </c>
      <c r="E571" s="10" t="str">
        <f t="shared" si="3"/>
        <v>BRN68G</v>
      </c>
      <c r="F571" s="11" t="str">
        <f t="array" ref="F571">iferror(index('rna-muscle'!F:F,match($A571,'rna-muscle'!$A:$A,0)))</f>
        <v>C</v>
      </c>
      <c r="G571" s="11">
        <f t="array" ref="G571">iferror(index('rna-muscle'!G:G,match($A571,'rna-muscle'!$A:$A,0)))</f>
        <v>4</v>
      </c>
      <c r="H571" s="11" t="str">
        <f t="shared" si="4"/>
        <v>C4</v>
      </c>
      <c r="I571" s="10" t="str">
        <f t="shared" si="5"/>
        <v>BRN68G-C4</v>
      </c>
      <c r="J571" s="16"/>
      <c r="K571" s="16" t="str">
        <f t="shared" si="6"/>
        <v>collected</v>
      </c>
      <c r="L571" s="16" t="str">
        <f t="shared" si="7"/>
        <v>N</v>
      </c>
      <c r="M571" s="16"/>
      <c r="N571" s="16"/>
    </row>
    <row r="572">
      <c r="A572" s="44" t="s">
        <v>1016</v>
      </c>
      <c r="B572" s="10" t="str">
        <f t="shared" si="1"/>
        <v>RNA-gill</v>
      </c>
      <c r="C572" s="10" t="str">
        <f t="shared" si="2"/>
        <v>BRN68G-B4</v>
      </c>
      <c r="D572" s="11">
        <f t="array" ref="D572">iferror(index('rna-muscle'!D:D,match(A572,'rna-muscle'!A:A,0)))</f>
        <v>68</v>
      </c>
      <c r="E572" s="10" t="str">
        <f t="shared" si="3"/>
        <v>BRN68G</v>
      </c>
      <c r="F572" s="11" t="str">
        <f t="array" ref="F572">iferror(index('rna-muscle'!F:F,match($A572,'rna-muscle'!$A:$A,0)))</f>
        <v>B</v>
      </c>
      <c r="G572" s="11">
        <f t="array" ref="G572">iferror(index('rna-muscle'!G:G,match($A572,'rna-muscle'!$A:$A,0)))</f>
        <v>4</v>
      </c>
      <c r="H572" s="11" t="str">
        <f t="shared" si="4"/>
        <v>B4</v>
      </c>
      <c r="I572" s="10" t="str">
        <f t="shared" si="5"/>
        <v>BRN68G-B4</v>
      </c>
      <c r="J572" s="16"/>
      <c r="K572" s="16" t="str">
        <f t="shared" si="6"/>
        <v>collected</v>
      </c>
      <c r="L572" s="16" t="str">
        <f t="shared" si="7"/>
        <v>N</v>
      </c>
      <c r="M572" s="16"/>
      <c r="N572" s="16"/>
    </row>
    <row r="573">
      <c r="A573" s="44" t="s">
        <v>1017</v>
      </c>
      <c r="B573" s="10" t="str">
        <f t="shared" si="1"/>
        <v>RNA-gill</v>
      </c>
      <c r="C573" s="10" t="str">
        <f t="shared" si="2"/>
        <v>BRN68G-A4</v>
      </c>
      <c r="D573" s="11">
        <f t="array" ref="D573">iferror(index('rna-muscle'!D:D,match(A573,'rna-muscle'!A:A,0)))</f>
        <v>68</v>
      </c>
      <c r="E573" s="10" t="str">
        <f t="shared" si="3"/>
        <v>BRN68G</v>
      </c>
      <c r="F573" s="11" t="str">
        <f t="array" ref="F573">iferror(index('rna-muscle'!F:F,match($A573,'rna-muscle'!$A:$A,0)))</f>
        <v>A</v>
      </c>
      <c r="G573" s="11">
        <f t="array" ref="G573">iferror(index('rna-muscle'!G:G,match($A573,'rna-muscle'!$A:$A,0)))</f>
        <v>4</v>
      </c>
      <c r="H573" s="11" t="str">
        <f t="shared" si="4"/>
        <v>A4</v>
      </c>
      <c r="I573" s="10" t="str">
        <f t="shared" si="5"/>
        <v>BRN68G-A4</v>
      </c>
      <c r="J573" s="16"/>
      <c r="K573" s="16" t="str">
        <f t="shared" si="6"/>
        <v>collected</v>
      </c>
      <c r="L573" s="16" t="str">
        <f t="shared" si="7"/>
        <v>N</v>
      </c>
      <c r="M573" s="16"/>
      <c r="N573" s="16"/>
    </row>
    <row r="574">
      <c r="A574" s="44" t="s">
        <v>1018</v>
      </c>
      <c r="B574" s="10" t="str">
        <f t="shared" si="1"/>
        <v>RNA-gill</v>
      </c>
      <c r="C574" s="10" t="str">
        <f t="shared" si="2"/>
        <v>BRN68G-G6</v>
      </c>
      <c r="D574" s="11">
        <f t="array" ref="D574">iferror(index('rna-muscle'!D:D,match(A574,'rna-muscle'!A:A,0)))</f>
        <v>68</v>
      </c>
      <c r="E574" s="10" t="str">
        <f t="shared" si="3"/>
        <v>BRN68G</v>
      </c>
      <c r="F574" s="11" t="str">
        <f t="array" ref="F574">iferror(index('rna-muscle'!F:F,match($A574,'rna-muscle'!$A:$A,0)))</f>
        <v>G</v>
      </c>
      <c r="G574" s="11">
        <f t="array" ref="G574">iferror(index('rna-muscle'!G:G,match($A574,'rna-muscle'!$A:$A,0)))</f>
        <v>6</v>
      </c>
      <c r="H574" s="11" t="str">
        <f t="shared" si="4"/>
        <v>G6</v>
      </c>
      <c r="I574" s="10" t="str">
        <f t="shared" si="5"/>
        <v>BRN68G-G6</v>
      </c>
      <c r="J574" s="16"/>
      <c r="K574" s="16" t="str">
        <f t="shared" si="6"/>
        <v>collected</v>
      </c>
      <c r="L574" s="16" t="str">
        <f t="shared" si="7"/>
        <v>N</v>
      </c>
      <c r="M574" s="16"/>
      <c r="N574" s="16"/>
    </row>
    <row r="575">
      <c r="A575" s="44" t="s">
        <v>1019</v>
      </c>
      <c r="B575" s="10" t="str">
        <f t="shared" si="1"/>
        <v>RNA-gill</v>
      </c>
      <c r="C575" s="10" t="str">
        <f t="shared" si="2"/>
        <v>BRN68G-F6</v>
      </c>
      <c r="D575" s="11">
        <f t="array" ref="D575">iferror(index('rna-muscle'!D:D,match(A575,'rna-muscle'!A:A,0)))</f>
        <v>68</v>
      </c>
      <c r="E575" s="10" t="str">
        <f t="shared" si="3"/>
        <v>BRN68G</v>
      </c>
      <c r="F575" s="11" t="str">
        <f t="array" ref="F575">iferror(index('rna-muscle'!F:F,match($A575,'rna-muscle'!$A:$A,0)))</f>
        <v>F</v>
      </c>
      <c r="G575" s="11">
        <f t="array" ref="G575">iferror(index('rna-muscle'!G:G,match($A575,'rna-muscle'!$A:$A,0)))</f>
        <v>6</v>
      </c>
      <c r="H575" s="11" t="str">
        <f t="shared" si="4"/>
        <v>F6</v>
      </c>
      <c r="I575" s="10" t="str">
        <f t="shared" si="5"/>
        <v>BRN68G-F6</v>
      </c>
      <c r="J575" s="16"/>
      <c r="K575" s="16" t="str">
        <f t="shared" si="6"/>
        <v>collected</v>
      </c>
      <c r="L575" s="16" t="str">
        <f t="shared" si="7"/>
        <v>N</v>
      </c>
      <c r="M575" s="16"/>
      <c r="N575" s="16"/>
    </row>
    <row r="576">
      <c r="A576" s="44" t="s">
        <v>1021</v>
      </c>
      <c r="B576" s="10" t="str">
        <f t="shared" si="1"/>
        <v>RNA-gill</v>
      </c>
      <c r="C576" s="10" t="str">
        <f t="shared" si="2"/>
        <v>BRN68G-E6</v>
      </c>
      <c r="D576" s="11">
        <f t="array" ref="D576">iferror(index('rna-muscle'!D:D,match(A576,'rna-muscle'!A:A,0)))</f>
        <v>68</v>
      </c>
      <c r="E576" s="10" t="str">
        <f t="shared" si="3"/>
        <v>BRN68G</v>
      </c>
      <c r="F576" s="11" t="str">
        <f t="array" ref="F576">iferror(index('rna-muscle'!F:F,match($A576,'rna-muscle'!$A:$A,0)))</f>
        <v>E</v>
      </c>
      <c r="G576" s="11">
        <f t="array" ref="G576">iferror(index('rna-muscle'!G:G,match($A576,'rna-muscle'!$A:$A,0)))</f>
        <v>6</v>
      </c>
      <c r="H576" s="11" t="str">
        <f t="shared" si="4"/>
        <v>E6</v>
      </c>
      <c r="I576" s="10" t="str">
        <f t="shared" si="5"/>
        <v>BRN68G-E6</v>
      </c>
      <c r="J576" s="16"/>
      <c r="K576" s="16" t="str">
        <f t="shared" si="6"/>
        <v>collected</v>
      </c>
      <c r="L576" s="16" t="str">
        <f t="shared" si="7"/>
        <v>N</v>
      </c>
      <c r="M576" s="16"/>
      <c r="N576" s="16"/>
    </row>
    <row r="577">
      <c r="A577" s="44" t="s">
        <v>1023</v>
      </c>
      <c r="B577" s="10" t="str">
        <f t="shared" si="1"/>
        <v>RNA-gill</v>
      </c>
      <c r="C577" s="10" t="str">
        <f t="shared" si="2"/>
        <v>BRN68G-D6</v>
      </c>
      <c r="D577" s="11">
        <f t="array" ref="D577">iferror(index('rna-muscle'!D:D,match(A577,'rna-muscle'!A:A,0)))</f>
        <v>68</v>
      </c>
      <c r="E577" s="10" t="str">
        <f t="shared" si="3"/>
        <v>BRN68G</v>
      </c>
      <c r="F577" s="11" t="str">
        <f t="array" ref="F577">iferror(index('rna-muscle'!F:F,match($A577,'rna-muscle'!$A:$A,0)))</f>
        <v>D</v>
      </c>
      <c r="G577" s="11">
        <f t="array" ref="G577">iferror(index('rna-muscle'!G:G,match($A577,'rna-muscle'!$A:$A,0)))</f>
        <v>6</v>
      </c>
      <c r="H577" s="11" t="str">
        <f t="shared" si="4"/>
        <v>D6</v>
      </c>
      <c r="I577" s="10" t="str">
        <f t="shared" si="5"/>
        <v>BRN68G-D6</v>
      </c>
      <c r="J577" s="16"/>
      <c r="K577" s="16" t="str">
        <f t="shared" si="6"/>
        <v>collected</v>
      </c>
      <c r="L577" s="16" t="str">
        <f t="shared" si="7"/>
        <v>N</v>
      </c>
      <c r="M577" s="16"/>
      <c r="N577" s="16"/>
    </row>
    <row r="578">
      <c r="A578" s="44" t="s">
        <v>1024</v>
      </c>
      <c r="B578" s="10" t="str">
        <f t="shared" si="1"/>
        <v>RNA-gill</v>
      </c>
      <c r="C578" s="10" t="str">
        <f t="shared" si="2"/>
        <v>BRN68G-C6</v>
      </c>
      <c r="D578" s="11">
        <f t="array" ref="D578">iferror(index('rna-muscle'!D:D,match(A578,'rna-muscle'!A:A,0)))</f>
        <v>68</v>
      </c>
      <c r="E578" s="10" t="str">
        <f t="shared" si="3"/>
        <v>BRN68G</v>
      </c>
      <c r="F578" s="11" t="str">
        <f t="array" ref="F578">iferror(index('rna-muscle'!F:F,match($A578,'rna-muscle'!$A:$A,0)))</f>
        <v>C</v>
      </c>
      <c r="G578" s="11">
        <f t="array" ref="G578">iferror(index('rna-muscle'!G:G,match($A578,'rna-muscle'!$A:$A,0)))</f>
        <v>6</v>
      </c>
      <c r="H578" s="11" t="str">
        <f t="shared" si="4"/>
        <v>C6</v>
      </c>
      <c r="I578" s="10" t="str">
        <f t="shared" si="5"/>
        <v>BRN68G-C6</v>
      </c>
      <c r="J578" s="16"/>
      <c r="K578" s="16" t="str">
        <f t="shared" si="6"/>
        <v>collected</v>
      </c>
      <c r="L578" s="16" t="str">
        <f t="shared" si="7"/>
        <v>N</v>
      </c>
      <c r="M578" s="16"/>
      <c r="N578" s="16"/>
    </row>
    <row r="579">
      <c r="A579" s="44" t="s">
        <v>1025</v>
      </c>
      <c r="B579" s="10" t="str">
        <f t="shared" si="1"/>
        <v>RNA-gill</v>
      </c>
      <c r="C579" s="10" t="str">
        <f t="shared" si="2"/>
        <v>BRN68G-B6</v>
      </c>
      <c r="D579" s="11">
        <f t="array" ref="D579">iferror(index('rna-muscle'!D:D,match(A579,'rna-muscle'!A:A,0)))</f>
        <v>68</v>
      </c>
      <c r="E579" s="10" t="str">
        <f t="shared" si="3"/>
        <v>BRN68G</v>
      </c>
      <c r="F579" s="11" t="str">
        <f t="array" ref="F579">iferror(index('rna-muscle'!F:F,match($A579,'rna-muscle'!$A:$A,0)))</f>
        <v>B</v>
      </c>
      <c r="G579" s="11">
        <f t="array" ref="G579">iferror(index('rna-muscle'!G:G,match($A579,'rna-muscle'!$A:$A,0)))</f>
        <v>6</v>
      </c>
      <c r="H579" s="11" t="str">
        <f t="shared" si="4"/>
        <v>B6</v>
      </c>
      <c r="I579" s="10" t="str">
        <f t="shared" si="5"/>
        <v>BRN68G-B6</v>
      </c>
      <c r="J579" s="6"/>
      <c r="K579" s="16" t="str">
        <f t="shared" si="6"/>
        <v>collected</v>
      </c>
      <c r="L579" s="16" t="str">
        <f t="shared" si="7"/>
        <v>N</v>
      </c>
      <c r="M579" s="16"/>
      <c r="N579" s="16"/>
    </row>
    <row r="580">
      <c r="A580" s="44" t="s">
        <v>1028</v>
      </c>
      <c r="B580" s="10" t="str">
        <f t="shared" si="1"/>
        <v>RNA-gill</v>
      </c>
      <c r="C580" s="10" t="str">
        <f t="shared" si="2"/>
        <v>BRN68G-A6</v>
      </c>
      <c r="D580" s="11">
        <f t="array" ref="D580">iferror(index('rna-muscle'!D:D,match(A580,'rna-muscle'!A:A,0)))</f>
        <v>68</v>
      </c>
      <c r="E580" s="10" t="str">
        <f t="shared" si="3"/>
        <v>BRN68G</v>
      </c>
      <c r="F580" s="11" t="str">
        <f t="array" ref="F580">iferror(index('rna-muscle'!F:F,match($A580,'rna-muscle'!$A:$A,0)))</f>
        <v>A</v>
      </c>
      <c r="G580" s="11">
        <f t="array" ref="G580">iferror(index('rna-muscle'!G:G,match($A580,'rna-muscle'!$A:$A,0)))</f>
        <v>6</v>
      </c>
      <c r="H580" s="11" t="str">
        <f t="shared" si="4"/>
        <v>A6</v>
      </c>
      <c r="I580" s="10" t="str">
        <f t="shared" si="5"/>
        <v>BRN68G-A6</v>
      </c>
      <c r="J580" s="16"/>
      <c r="K580" s="16" t="str">
        <f t="shared" si="6"/>
        <v>collected</v>
      </c>
      <c r="L580" s="16" t="str">
        <f t="shared" si="7"/>
        <v>N</v>
      </c>
      <c r="M580" s="16"/>
      <c r="N580" s="16"/>
    </row>
    <row r="581">
      <c r="A581" s="44" t="s">
        <v>1029</v>
      </c>
      <c r="B581" s="10" t="str">
        <f t="shared" si="1"/>
        <v>RNA-gill</v>
      </c>
      <c r="C581" s="10" t="str">
        <f t="shared" si="2"/>
        <v>BRN68G-H8</v>
      </c>
      <c r="D581" s="11">
        <f t="array" ref="D581">iferror(index('rna-muscle'!D:D,match(A581,'rna-muscle'!A:A,0)))</f>
        <v>68</v>
      </c>
      <c r="E581" s="10" t="str">
        <f t="shared" si="3"/>
        <v>BRN68G</v>
      </c>
      <c r="F581" s="11" t="str">
        <f t="array" ref="F581">iferror(index('rna-muscle'!F:F,match($A581,'rna-muscle'!$A:$A,0)))</f>
        <v>H</v>
      </c>
      <c r="G581" s="11">
        <f t="array" ref="G581">iferror(index('rna-muscle'!G:G,match($A581,'rna-muscle'!$A:$A,0)))</f>
        <v>8</v>
      </c>
      <c r="H581" s="11" t="str">
        <f t="shared" si="4"/>
        <v>H8</v>
      </c>
      <c r="I581" s="10" t="str">
        <f t="shared" si="5"/>
        <v>BRN68G-H8</v>
      </c>
      <c r="J581" s="16"/>
      <c r="K581" s="16" t="str">
        <f t="shared" si="6"/>
        <v>collected</v>
      </c>
      <c r="L581" s="16" t="str">
        <f t="shared" si="7"/>
        <v>N</v>
      </c>
      <c r="M581" s="16"/>
      <c r="N581" s="16"/>
    </row>
    <row r="582">
      <c r="A582" s="44" t="s">
        <v>1031</v>
      </c>
      <c r="B582" s="10" t="str">
        <f t="shared" si="1"/>
        <v>RNA-gill</v>
      </c>
      <c r="C582" s="10" t="str">
        <f t="shared" si="2"/>
        <v>BRN68G-G8</v>
      </c>
      <c r="D582" s="11">
        <f t="array" ref="D582">iferror(index('rna-muscle'!D:D,match(A582,'rna-muscle'!A:A,0)))</f>
        <v>68</v>
      </c>
      <c r="E582" s="10" t="str">
        <f t="shared" si="3"/>
        <v>BRN68G</v>
      </c>
      <c r="F582" s="11" t="str">
        <f t="array" ref="F582">iferror(index('rna-muscle'!F:F,match($A582,'rna-muscle'!$A:$A,0)))</f>
        <v>G</v>
      </c>
      <c r="G582" s="11">
        <f t="array" ref="G582">iferror(index('rna-muscle'!G:G,match($A582,'rna-muscle'!$A:$A,0)))</f>
        <v>8</v>
      </c>
      <c r="H582" s="11" t="str">
        <f t="shared" si="4"/>
        <v>G8</v>
      </c>
      <c r="I582" s="10" t="str">
        <f t="shared" si="5"/>
        <v>BRN68G-G8</v>
      </c>
      <c r="J582" s="6"/>
      <c r="K582" s="16" t="str">
        <f t="shared" si="6"/>
        <v>collected</v>
      </c>
      <c r="L582" s="16" t="str">
        <f t="shared" si="7"/>
        <v>N</v>
      </c>
      <c r="M582" s="16"/>
      <c r="N582" s="16"/>
    </row>
    <row r="583">
      <c r="A583" s="44" t="s">
        <v>1032</v>
      </c>
      <c r="B583" s="10" t="str">
        <f t="shared" si="1"/>
        <v>RNA-gill</v>
      </c>
      <c r="C583" s="10" t="str">
        <f t="shared" si="2"/>
        <v>BRN68G-F8</v>
      </c>
      <c r="D583" s="11">
        <f t="array" ref="D583">iferror(index('rna-muscle'!D:D,match(A583,'rna-muscle'!A:A,0)))</f>
        <v>68</v>
      </c>
      <c r="E583" s="10" t="str">
        <f t="shared" si="3"/>
        <v>BRN68G</v>
      </c>
      <c r="F583" s="11" t="str">
        <f t="array" ref="F583">iferror(index('rna-muscle'!F:F,match($A583,'rna-muscle'!$A:$A,0)))</f>
        <v>F</v>
      </c>
      <c r="G583" s="11">
        <f t="array" ref="G583">iferror(index('rna-muscle'!G:G,match($A583,'rna-muscle'!$A:$A,0)))</f>
        <v>8</v>
      </c>
      <c r="H583" s="11" t="str">
        <f t="shared" si="4"/>
        <v>F8</v>
      </c>
      <c r="I583" s="10" t="str">
        <f t="shared" si="5"/>
        <v>BRN68G-F8</v>
      </c>
      <c r="J583" s="16"/>
      <c r="K583" s="16" t="str">
        <f t="shared" si="6"/>
        <v>collected</v>
      </c>
      <c r="L583" s="16" t="str">
        <f t="shared" si="7"/>
        <v>N</v>
      </c>
      <c r="M583" s="16"/>
      <c r="N583" s="16"/>
    </row>
    <row r="584">
      <c r="A584" s="26" t="s">
        <v>1033</v>
      </c>
      <c r="B584" s="10" t="str">
        <f t="shared" si="1"/>
        <v>RNA-gill</v>
      </c>
      <c r="C584" s="10" t="str">
        <f t="shared" si="2"/>
        <v>BRN68G-D7</v>
      </c>
      <c r="D584" s="11">
        <f t="array" ref="D584">iferror(index('rna-muscle'!D:D,match(A584,'rna-muscle'!A:A,0)))</f>
        <v>68</v>
      </c>
      <c r="E584" s="10" t="str">
        <f t="shared" si="3"/>
        <v>BRN68G</v>
      </c>
      <c r="F584" s="11" t="str">
        <f t="array" ref="F584">iferror(index('rna-muscle'!F:F,match($A584,'rna-muscle'!$A:$A,0)))</f>
        <v>D</v>
      </c>
      <c r="G584" s="11">
        <f t="array" ref="G584">iferror(index('rna-muscle'!G:G,match($A584,'rna-muscle'!$A:$A,0)))</f>
        <v>7</v>
      </c>
      <c r="H584" s="11" t="str">
        <f t="shared" si="4"/>
        <v>D7</v>
      </c>
      <c r="I584" s="10" t="str">
        <f t="shared" si="5"/>
        <v>BRN68G-D7</v>
      </c>
      <c r="J584" s="6"/>
      <c r="K584" s="16" t="str">
        <f t="shared" si="6"/>
        <v>collected</v>
      </c>
      <c r="L584" s="16" t="str">
        <f t="shared" si="7"/>
        <v>N</v>
      </c>
      <c r="M584" s="16"/>
      <c r="N584" s="16"/>
    </row>
    <row r="585">
      <c r="A585" s="26" t="s">
        <v>1035</v>
      </c>
      <c r="B585" s="10" t="str">
        <f t="shared" si="1"/>
        <v>RNA-gill</v>
      </c>
      <c r="C585" s="10" t="str">
        <f t="shared" si="2"/>
        <v>BRN68G-C7</v>
      </c>
      <c r="D585" s="11">
        <f t="array" ref="D585">iferror(index('rna-muscle'!D:D,match(A585,'rna-muscle'!A:A,0)))</f>
        <v>68</v>
      </c>
      <c r="E585" s="10" t="str">
        <f t="shared" si="3"/>
        <v>BRN68G</v>
      </c>
      <c r="F585" s="11" t="str">
        <f t="array" ref="F585">iferror(index('rna-muscle'!F:F,match($A585,'rna-muscle'!$A:$A,0)))</f>
        <v>C</v>
      </c>
      <c r="G585" s="11">
        <f t="array" ref="G585">iferror(index('rna-muscle'!G:G,match($A585,'rna-muscle'!$A:$A,0)))</f>
        <v>7</v>
      </c>
      <c r="H585" s="11" t="str">
        <f t="shared" si="4"/>
        <v>C7</v>
      </c>
      <c r="I585" s="10" t="str">
        <f t="shared" si="5"/>
        <v>BRN68G-C7</v>
      </c>
      <c r="J585" s="16"/>
      <c r="K585" s="16" t="str">
        <f t="shared" si="6"/>
        <v>collected</v>
      </c>
      <c r="L585" s="16" t="str">
        <f t="shared" si="7"/>
        <v>N</v>
      </c>
      <c r="M585" s="16"/>
      <c r="N585" s="16"/>
    </row>
    <row r="586">
      <c r="A586" s="26" t="s">
        <v>1037</v>
      </c>
      <c r="B586" s="10" t="str">
        <f t="shared" si="1"/>
        <v>RNA-gill</v>
      </c>
      <c r="C586" s="10" t="str">
        <f t="shared" si="2"/>
        <v>BRN68G-B7</v>
      </c>
      <c r="D586" s="11">
        <f t="array" ref="D586">iferror(index('rna-muscle'!D:D,match(A586,'rna-muscle'!A:A,0)))</f>
        <v>68</v>
      </c>
      <c r="E586" s="10" t="str">
        <f t="shared" si="3"/>
        <v>BRN68G</v>
      </c>
      <c r="F586" s="11" t="str">
        <f t="array" ref="F586">iferror(index('rna-muscle'!F:F,match($A586,'rna-muscle'!$A:$A,0)))</f>
        <v>B</v>
      </c>
      <c r="G586" s="11">
        <f t="array" ref="G586">iferror(index('rna-muscle'!G:G,match($A586,'rna-muscle'!$A:$A,0)))</f>
        <v>7</v>
      </c>
      <c r="H586" s="11" t="str">
        <f t="shared" si="4"/>
        <v>B7</v>
      </c>
      <c r="I586" s="10" t="str">
        <f t="shared" si="5"/>
        <v>BRN68G-B7</v>
      </c>
      <c r="J586" s="16"/>
      <c r="K586" s="16" t="str">
        <f t="shared" si="6"/>
        <v>collected</v>
      </c>
      <c r="L586" s="16" t="str">
        <f t="shared" si="7"/>
        <v>N</v>
      </c>
      <c r="M586" s="16"/>
      <c r="N586" s="16"/>
    </row>
    <row r="587">
      <c r="A587" s="26" t="s">
        <v>1038</v>
      </c>
      <c r="B587" s="10" t="str">
        <f t="shared" si="1"/>
        <v>RNA-gill</v>
      </c>
      <c r="C587" s="10" t="str">
        <f t="shared" si="2"/>
        <v>BRN68G-A7</v>
      </c>
      <c r="D587" s="11">
        <f t="array" ref="D587">iferror(index('rna-muscle'!D:D,match(A587,'rna-muscle'!A:A,0)))</f>
        <v>68</v>
      </c>
      <c r="E587" s="10" t="str">
        <f t="shared" si="3"/>
        <v>BRN68G</v>
      </c>
      <c r="F587" s="11" t="str">
        <f t="array" ref="F587">iferror(index('rna-muscle'!F:F,match($A587,'rna-muscle'!$A:$A,0)))</f>
        <v>A</v>
      </c>
      <c r="G587" s="11">
        <f t="array" ref="G587">iferror(index('rna-muscle'!G:G,match($A587,'rna-muscle'!$A:$A,0)))</f>
        <v>7</v>
      </c>
      <c r="H587" s="11" t="str">
        <f t="shared" si="4"/>
        <v>A7</v>
      </c>
      <c r="I587" s="10" t="str">
        <f t="shared" si="5"/>
        <v>BRN68G-A7</v>
      </c>
      <c r="J587" s="16"/>
      <c r="K587" s="16" t="str">
        <f t="shared" si="6"/>
        <v>collected</v>
      </c>
      <c r="L587" s="16" t="str">
        <f t="shared" si="7"/>
        <v>N</v>
      </c>
      <c r="M587" s="16"/>
      <c r="N587" s="16"/>
    </row>
    <row r="588">
      <c r="A588" s="26" t="s">
        <v>1039</v>
      </c>
      <c r="B588" s="10" t="str">
        <f t="shared" si="1"/>
        <v>RNA-gill</v>
      </c>
      <c r="C588" s="10" t="str">
        <f t="shared" si="2"/>
        <v>BRN68G-H9</v>
      </c>
      <c r="D588" s="11">
        <f t="array" ref="D588">iferror(index('rna-muscle'!D:D,match(A588,'rna-muscle'!A:A,0)))</f>
        <v>68</v>
      </c>
      <c r="E588" s="10" t="str">
        <f t="shared" si="3"/>
        <v>BRN68G</v>
      </c>
      <c r="F588" s="11" t="str">
        <f t="array" ref="F588">iferror(index('rna-muscle'!F:F,match($A588,'rna-muscle'!$A:$A,0)))</f>
        <v>H</v>
      </c>
      <c r="G588" s="11">
        <f t="array" ref="G588">iferror(index('rna-muscle'!G:G,match($A588,'rna-muscle'!$A:$A,0)))</f>
        <v>9</v>
      </c>
      <c r="H588" s="11" t="str">
        <f t="shared" si="4"/>
        <v>H9</v>
      </c>
      <c r="I588" s="10" t="str">
        <f t="shared" si="5"/>
        <v>BRN68G-H9</v>
      </c>
      <c r="J588" s="16"/>
      <c r="K588" s="16" t="str">
        <f t="shared" si="6"/>
        <v>collected</v>
      </c>
      <c r="L588" s="16" t="str">
        <f t="shared" si="7"/>
        <v>N</v>
      </c>
      <c r="M588" s="16"/>
      <c r="N588" s="16"/>
    </row>
    <row r="589">
      <c r="A589" s="26" t="s">
        <v>1040</v>
      </c>
      <c r="B589" s="10" t="str">
        <f t="shared" si="1"/>
        <v>RNA-gill</v>
      </c>
      <c r="C589" s="10" t="str">
        <f t="shared" si="2"/>
        <v>BRN68G-G9</v>
      </c>
      <c r="D589" s="11">
        <f t="array" ref="D589">iferror(index('rna-muscle'!D:D,match(A589,'rna-muscle'!A:A,0)))</f>
        <v>68</v>
      </c>
      <c r="E589" s="10" t="str">
        <f t="shared" si="3"/>
        <v>BRN68G</v>
      </c>
      <c r="F589" s="11" t="str">
        <f t="array" ref="F589">iferror(index('rna-muscle'!F:F,match($A589,'rna-muscle'!$A:$A,0)))</f>
        <v>G</v>
      </c>
      <c r="G589" s="11">
        <f t="array" ref="G589">iferror(index('rna-muscle'!G:G,match($A589,'rna-muscle'!$A:$A,0)))</f>
        <v>9</v>
      </c>
      <c r="H589" s="11" t="str">
        <f t="shared" si="4"/>
        <v>G9</v>
      </c>
      <c r="I589" s="10" t="str">
        <f t="shared" si="5"/>
        <v>BRN68G-G9</v>
      </c>
      <c r="J589" s="16"/>
      <c r="K589" s="16" t="str">
        <f t="shared" si="6"/>
        <v>collected</v>
      </c>
      <c r="L589" s="16" t="str">
        <f t="shared" si="7"/>
        <v>N</v>
      </c>
      <c r="M589" s="16"/>
      <c r="N589" s="16"/>
    </row>
    <row r="590">
      <c r="A590" s="26" t="s">
        <v>1041</v>
      </c>
      <c r="B590" s="10" t="str">
        <f t="shared" si="1"/>
        <v>RNA-gill</v>
      </c>
      <c r="C590" s="10" t="str">
        <f t="shared" si="2"/>
        <v>BRN68G-F9</v>
      </c>
      <c r="D590" s="11">
        <f t="array" ref="D590">iferror(index('rna-muscle'!D:D,match(A590,'rna-muscle'!A:A,0)))</f>
        <v>68</v>
      </c>
      <c r="E590" s="10" t="str">
        <f t="shared" si="3"/>
        <v>BRN68G</v>
      </c>
      <c r="F590" s="11" t="str">
        <f t="array" ref="F590">iferror(index('rna-muscle'!F:F,match($A590,'rna-muscle'!$A:$A,0)))</f>
        <v>F</v>
      </c>
      <c r="G590" s="11">
        <f t="array" ref="G590">iferror(index('rna-muscle'!G:G,match($A590,'rna-muscle'!$A:$A,0)))</f>
        <v>9</v>
      </c>
      <c r="H590" s="11" t="str">
        <f t="shared" si="4"/>
        <v>F9</v>
      </c>
      <c r="I590" s="10" t="str">
        <f t="shared" si="5"/>
        <v>BRN68G-F9</v>
      </c>
      <c r="J590" s="16"/>
      <c r="K590" s="16" t="str">
        <f t="shared" si="6"/>
        <v>collected</v>
      </c>
      <c r="L590" s="16" t="str">
        <f t="shared" si="7"/>
        <v>N</v>
      </c>
      <c r="M590" s="16"/>
      <c r="N590" s="16"/>
    </row>
    <row r="591">
      <c r="A591" s="26" t="s">
        <v>1044</v>
      </c>
      <c r="B591" s="10" t="str">
        <f t="shared" si="1"/>
        <v>RNA-gill</v>
      </c>
      <c r="C591" s="10" t="str">
        <f t="shared" si="2"/>
        <v>BRN68G-E9</v>
      </c>
      <c r="D591" s="11">
        <f t="array" ref="D591">iferror(index('rna-muscle'!D:D,match(A591,'rna-muscle'!A:A,0)))</f>
        <v>68</v>
      </c>
      <c r="E591" s="10" t="str">
        <f t="shared" si="3"/>
        <v>BRN68G</v>
      </c>
      <c r="F591" s="11" t="str">
        <f t="array" ref="F591">iferror(index('rna-muscle'!F:F,match($A591,'rna-muscle'!$A:$A,0)))</f>
        <v>E</v>
      </c>
      <c r="G591" s="11">
        <f t="array" ref="G591">iferror(index('rna-muscle'!G:G,match($A591,'rna-muscle'!$A:$A,0)))</f>
        <v>9</v>
      </c>
      <c r="H591" s="11" t="str">
        <f t="shared" si="4"/>
        <v>E9</v>
      </c>
      <c r="I591" s="10" t="str">
        <f t="shared" si="5"/>
        <v>BRN68G-E9</v>
      </c>
      <c r="J591" s="16"/>
      <c r="K591" s="16" t="str">
        <f t="shared" si="6"/>
        <v>collected</v>
      </c>
      <c r="L591" s="16" t="str">
        <f t="shared" si="7"/>
        <v>N</v>
      </c>
      <c r="M591" s="16"/>
      <c r="N591" s="16"/>
    </row>
    <row r="592">
      <c r="A592" s="26" t="s">
        <v>1046</v>
      </c>
      <c r="B592" s="10" t="str">
        <f t="shared" si="1"/>
        <v>RNA-gill</v>
      </c>
      <c r="C592" s="10" t="str">
        <f t="shared" si="2"/>
        <v>BRN68G-D9</v>
      </c>
      <c r="D592" s="11">
        <f t="array" ref="D592">iferror(index('rna-muscle'!D:D,match(A592,'rna-muscle'!A:A,0)))</f>
        <v>68</v>
      </c>
      <c r="E592" s="10" t="str">
        <f t="shared" si="3"/>
        <v>BRN68G</v>
      </c>
      <c r="F592" s="11" t="str">
        <f t="array" ref="F592">iferror(index('rna-muscle'!F:F,match($A592,'rna-muscle'!$A:$A,0)))</f>
        <v>D</v>
      </c>
      <c r="G592" s="11">
        <f t="array" ref="G592">iferror(index('rna-muscle'!G:G,match($A592,'rna-muscle'!$A:$A,0)))</f>
        <v>9</v>
      </c>
      <c r="H592" s="11" t="str">
        <f t="shared" si="4"/>
        <v>D9</v>
      </c>
      <c r="I592" s="10" t="str">
        <f t="shared" si="5"/>
        <v>BRN68G-D9</v>
      </c>
      <c r="J592" s="6"/>
      <c r="K592" s="16" t="str">
        <f t="shared" si="6"/>
        <v>collected</v>
      </c>
      <c r="L592" s="16" t="str">
        <f t="shared" si="7"/>
        <v>N</v>
      </c>
      <c r="M592" s="16"/>
      <c r="N592" s="16"/>
    </row>
    <row r="593">
      <c r="A593" s="26" t="s">
        <v>1047</v>
      </c>
      <c r="B593" s="10" t="str">
        <f t="shared" si="1"/>
        <v>RNA-gill</v>
      </c>
      <c r="C593" s="10" t="str">
        <f t="shared" si="2"/>
        <v>BRN68G-C9</v>
      </c>
      <c r="D593" s="11">
        <f t="array" ref="D593">iferror(index('rna-muscle'!D:D,match(A593,'rna-muscle'!A:A,0)))</f>
        <v>68</v>
      </c>
      <c r="E593" s="10" t="str">
        <f t="shared" si="3"/>
        <v>BRN68G</v>
      </c>
      <c r="F593" s="11" t="str">
        <f t="array" ref="F593">iferror(index('rna-muscle'!F:F,match($A593,'rna-muscle'!$A:$A,0)))</f>
        <v>C</v>
      </c>
      <c r="G593" s="11">
        <f t="array" ref="G593">iferror(index('rna-muscle'!G:G,match($A593,'rna-muscle'!$A:$A,0)))</f>
        <v>9</v>
      </c>
      <c r="H593" s="11" t="str">
        <f t="shared" si="4"/>
        <v>C9</v>
      </c>
      <c r="I593" s="10" t="str">
        <f t="shared" si="5"/>
        <v>BRN68G-C9</v>
      </c>
      <c r="J593" s="16"/>
      <c r="K593" s="16" t="str">
        <f t="shared" si="6"/>
        <v>collected</v>
      </c>
      <c r="L593" s="16" t="str">
        <f t="shared" si="7"/>
        <v>N</v>
      </c>
      <c r="M593" s="16"/>
      <c r="N593" s="16"/>
    </row>
    <row r="594">
      <c r="A594" s="26" t="s">
        <v>1048</v>
      </c>
      <c r="B594" s="10" t="str">
        <f t="shared" si="1"/>
        <v>RNA-gill</v>
      </c>
      <c r="C594" s="10" t="str">
        <f t="shared" si="2"/>
        <v>BRN68G-B9</v>
      </c>
      <c r="D594" s="11">
        <f t="array" ref="D594">iferror(index('rna-muscle'!D:D,match(A594,'rna-muscle'!A:A,0)))</f>
        <v>68</v>
      </c>
      <c r="E594" s="10" t="str">
        <f t="shared" si="3"/>
        <v>BRN68G</v>
      </c>
      <c r="F594" s="11" t="str">
        <f t="array" ref="F594">iferror(index('rna-muscle'!F:F,match($A594,'rna-muscle'!$A:$A,0)))</f>
        <v>B</v>
      </c>
      <c r="G594" s="11">
        <f t="array" ref="G594">iferror(index('rna-muscle'!G:G,match($A594,'rna-muscle'!$A:$A,0)))</f>
        <v>9</v>
      </c>
      <c r="H594" s="11" t="str">
        <f t="shared" si="4"/>
        <v>B9</v>
      </c>
      <c r="I594" s="10" t="str">
        <f t="shared" si="5"/>
        <v>BRN68G-B9</v>
      </c>
      <c r="J594" s="16"/>
      <c r="K594" s="16" t="str">
        <f t="shared" si="6"/>
        <v>collected</v>
      </c>
      <c r="L594" s="16" t="str">
        <f t="shared" si="7"/>
        <v>N</v>
      </c>
      <c r="M594" s="16"/>
      <c r="N594" s="16"/>
    </row>
    <row r="595">
      <c r="A595" s="26" t="s">
        <v>1049</v>
      </c>
      <c r="B595" s="10" t="str">
        <f t="shared" si="1"/>
        <v>RNA-gill</v>
      </c>
      <c r="C595" s="10" t="str">
        <f t="shared" si="2"/>
        <v>BRN68G-A9</v>
      </c>
      <c r="D595" s="11">
        <f t="array" ref="D595">iferror(index('rna-muscle'!D:D,match(A595,'rna-muscle'!A:A,0)))</f>
        <v>68</v>
      </c>
      <c r="E595" s="10" t="str">
        <f t="shared" si="3"/>
        <v>BRN68G</v>
      </c>
      <c r="F595" s="11" t="str">
        <f t="array" ref="F595">iferror(index('rna-muscle'!F:F,match($A595,'rna-muscle'!$A:$A,0)))</f>
        <v>A</v>
      </c>
      <c r="G595" s="11">
        <f t="array" ref="G595">iferror(index('rna-muscle'!G:G,match($A595,'rna-muscle'!$A:$A,0)))</f>
        <v>9</v>
      </c>
      <c r="H595" s="11" t="str">
        <f t="shared" si="4"/>
        <v>A9</v>
      </c>
      <c r="I595" s="10" t="str">
        <f t="shared" si="5"/>
        <v>BRN68G-A9</v>
      </c>
      <c r="J595" s="16"/>
      <c r="K595" s="16" t="str">
        <f t="shared" si="6"/>
        <v>collected</v>
      </c>
      <c r="L595" s="16" t="str">
        <f t="shared" si="7"/>
        <v>N</v>
      </c>
      <c r="M595" s="16"/>
      <c r="N595" s="16"/>
    </row>
    <row r="596">
      <c r="A596" s="26" t="s">
        <v>1050</v>
      </c>
      <c r="B596" s="10" t="str">
        <f t="shared" si="1"/>
        <v>RNA-gill</v>
      </c>
      <c r="C596" s="10" t="str">
        <f t="shared" si="2"/>
        <v>BRN68G-H11</v>
      </c>
      <c r="D596" s="11">
        <f t="array" ref="D596">iferror(index('rna-muscle'!D:D,match(A596,'rna-muscle'!A:A,0)))</f>
        <v>68</v>
      </c>
      <c r="E596" s="10" t="str">
        <f t="shared" si="3"/>
        <v>BRN68G</v>
      </c>
      <c r="F596" s="11" t="str">
        <f t="array" ref="F596">iferror(index('rna-muscle'!F:F,match($A596,'rna-muscle'!$A:$A,0)))</f>
        <v>H</v>
      </c>
      <c r="G596" s="11">
        <f t="array" ref="G596">iferror(index('rna-muscle'!G:G,match($A596,'rna-muscle'!$A:$A,0)))</f>
        <v>11</v>
      </c>
      <c r="H596" s="11" t="str">
        <f t="shared" si="4"/>
        <v>H11</v>
      </c>
      <c r="I596" s="10" t="str">
        <f t="shared" si="5"/>
        <v>BRN68G-H11</v>
      </c>
      <c r="J596" s="16"/>
      <c r="K596" s="16" t="str">
        <f t="shared" si="6"/>
        <v>collected</v>
      </c>
      <c r="L596" s="16" t="str">
        <f t="shared" si="7"/>
        <v>N</v>
      </c>
      <c r="M596" s="16"/>
      <c r="N596" s="16"/>
    </row>
    <row r="597">
      <c r="A597" s="26" t="s">
        <v>1051</v>
      </c>
      <c r="B597" s="10" t="str">
        <f t="shared" si="1"/>
        <v>RNA-gill</v>
      </c>
      <c r="C597" s="10" t="str">
        <f t="shared" si="2"/>
        <v>BRN68G-G11</v>
      </c>
      <c r="D597" s="11">
        <f t="array" ref="D597">iferror(index('rna-muscle'!D:D,match(A597,'rna-muscle'!A:A,0)))</f>
        <v>68</v>
      </c>
      <c r="E597" s="10" t="str">
        <f t="shared" si="3"/>
        <v>BRN68G</v>
      </c>
      <c r="F597" s="11" t="str">
        <f t="array" ref="F597">iferror(index('rna-muscle'!F:F,match($A597,'rna-muscle'!$A:$A,0)))</f>
        <v>G</v>
      </c>
      <c r="G597" s="11">
        <f t="array" ref="G597">iferror(index('rna-muscle'!G:G,match($A597,'rna-muscle'!$A:$A,0)))</f>
        <v>11</v>
      </c>
      <c r="H597" s="11" t="str">
        <f t="shared" si="4"/>
        <v>G11</v>
      </c>
      <c r="I597" s="10" t="str">
        <f t="shared" si="5"/>
        <v>BRN68G-G11</v>
      </c>
      <c r="J597" s="16"/>
      <c r="K597" s="16" t="str">
        <f t="shared" si="6"/>
        <v>collected</v>
      </c>
      <c r="L597" s="16" t="str">
        <f t="shared" si="7"/>
        <v>N</v>
      </c>
      <c r="M597" s="16"/>
      <c r="N597" s="16"/>
    </row>
    <row r="598">
      <c r="A598" s="26" t="s">
        <v>1053</v>
      </c>
      <c r="B598" s="10" t="str">
        <f t="shared" si="1"/>
        <v>RNA-gill</v>
      </c>
      <c r="C598" s="10" t="str">
        <f t="shared" si="2"/>
        <v>BRN68G-F11</v>
      </c>
      <c r="D598" s="11">
        <f t="array" ref="D598">iferror(index('rna-muscle'!D:D,match(A598,'rna-muscle'!A:A,0)))</f>
        <v>68</v>
      </c>
      <c r="E598" s="10" t="str">
        <f t="shared" si="3"/>
        <v>BRN68G</v>
      </c>
      <c r="F598" s="11" t="str">
        <f t="array" ref="F598">iferror(index('rna-muscle'!F:F,match($A598,'rna-muscle'!$A:$A,0)))</f>
        <v>F</v>
      </c>
      <c r="G598" s="11">
        <f t="array" ref="G598">iferror(index('rna-muscle'!G:G,match($A598,'rna-muscle'!$A:$A,0)))</f>
        <v>11</v>
      </c>
      <c r="H598" s="11" t="str">
        <f t="shared" si="4"/>
        <v>F11</v>
      </c>
      <c r="I598" s="10" t="str">
        <f t="shared" si="5"/>
        <v>BRN68G-F11</v>
      </c>
      <c r="J598" s="16"/>
      <c r="K598" s="16" t="str">
        <f t="shared" si="6"/>
        <v>collected</v>
      </c>
      <c r="L598" s="16" t="str">
        <f t="shared" si="7"/>
        <v>N</v>
      </c>
      <c r="M598" s="16"/>
      <c r="N598" s="16"/>
    </row>
    <row r="599">
      <c r="A599" s="26" t="s">
        <v>1055</v>
      </c>
      <c r="B599" s="10" t="str">
        <f t="shared" si="1"/>
        <v>RNA-gill</v>
      </c>
      <c r="C599" s="10" t="str">
        <f t="shared" si="2"/>
        <v>BRN68G-E11</v>
      </c>
      <c r="D599" s="11">
        <f t="array" ref="D599">iferror(index('rna-muscle'!D:D,match(A599,'rna-muscle'!A:A,0)))</f>
        <v>68</v>
      </c>
      <c r="E599" s="10" t="str">
        <f t="shared" si="3"/>
        <v>BRN68G</v>
      </c>
      <c r="F599" s="11" t="str">
        <f t="array" ref="F599">iferror(index('rna-muscle'!F:F,match($A599,'rna-muscle'!$A:$A,0)))</f>
        <v>E</v>
      </c>
      <c r="G599" s="11">
        <f t="array" ref="G599">iferror(index('rna-muscle'!G:G,match($A599,'rna-muscle'!$A:$A,0)))</f>
        <v>11</v>
      </c>
      <c r="H599" s="11" t="str">
        <f t="shared" si="4"/>
        <v>E11</v>
      </c>
      <c r="I599" s="10" t="str">
        <f t="shared" si="5"/>
        <v>BRN68G-E11</v>
      </c>
      <c r="J599" s="16"/>
      <c r="K599" s="16" t="str">
        <f t="shared" si="6"/>
        <v>collected</v>
      </c>
      <c r="L599" s="16" t="str">
        <f t="shared" si="7"/>
        <v>N</v>
      </c>
      <c r="M599" s="16"/>
      <c r="N599" s="16"/>
    </row>
    <row r="600">
      <c r="A600" s="26" t="s">
        <v>1056</v>
      </c>
      <c r="B600" s="10" t="str">
        <f t="shared" si="1"/>
        <v>RNA-gill</v>
      </c>
      <c r="C600" s="10" t="str">
        <f t="shared" si="2"/>
        <v>BRN68G-D11</v>
      </c>
      <c r="D600" s="11">
        <f t="array" ref="D600">iferror(index('rna-muscle'!D:D,match(A600,'rna-muscle'!A:A,0)))</f>
        <v>68</v>
      </c>
      <c r="E600" s="10" t="str">
        <f t="shared" si="3"/>
        <v>BRN68G</v>
      </c>
      <c r="F600" s="11" t="str">
        <f t="array" ref="F600">iferror(index('rna-muscle'!F:F,match($A600,'rna-muscle'!$A:$A,0)))</f>
        <v>D</v>
      </c>
      <c r="G600" s="11">
        <f t="array" ref="G600">iferror(index('rna-muscle'!G:G,match($A600,'rna-muscle'!$A:$A,0)))</f>
        <v>11</v>
      </c>
      <c r="H600" s="11" t="str">
        <f t="shared" si="4"/>
        <v>D11</v>
      </c>
      <c r="I600" s="10" t="str">
        <f t="shared" si="5"/>
        <v>BRN68G-D11</v>
      </c>
      <c r="J600" s="16"/>
      <c r="K600" s="16" t="str">
        <f t="shared" si="6"/>
        <v>collected</v>
      </c>
      <c r="L600" s="16" t="str">
        <f t="shared" si="7"/>
        <v>N</v>
      </c>
      <c r="M600" s="16"/>
      <c r="N600" s="16"/>
    </row>
    <row r="601">
      <c r="A601" s="26" t="s">
        <v>1057</v>
      </c>
      <c r="B601" s="10" t="str">
        <f t="shared" si="1"/>
        <v>RNA-gill</v>
      </c>
      <c r="C601" s="10" t="str">
        <f t="shared" si="2"/>
        <v>BRN68G-E8</v>
      </c>
      <c r="D601" s="11">
        <f t="array" ref="D601">iferror(index('rna-muscle'!D:D,match(A601,'rna-muscle'!A:A,0)))</f>
        <v>68</v>
      </c>
      <c r="E601" s="10" t="str">
        <f t="shared" si="3"/>
        <v>BRN68G</v>
      </c>
      <c r="F601" s="11" t="str">
        <f t="array" ref="F601">iferror(index('rna-muscle'!F:F,match($A601,'rna-muscle'!$A:$A,0)))</f>
        <v>E</v>
      </c>
      <c r="G601" s="11">
        <f t="array" ref="G601">iferror(index('rna-muscle'!G:G,match($A601,'rna-muscle'!$A:$A,0)))</f>
        <v>8</v>
      </c>
      <c r="H601" s="11" t="str">
        <f t="shared" si="4"/>
        <v>E8</v>
      </c>
      <c r="I601" s="10" t="str">
        <f t="shared" si="5"/>
        <v>BRN68G-E8</v>
      </c>
      <c r="J601" s="16"/>
      <c r="K601" s="16" t="str">
        <f t="shared" si="6"/>
        <v>collected</v>
      </c>
      <c r="L601" s="16" t="str">
        <f t="shared" si="7"/>
        <v>N</v>
      </c>
      <c r="M601" s="16"/>
      <c r="N601" s="16"/>
    </row>
    <row r="602">
      <c r="A602" s="26" t="s">
        <v>1059</v>
      </c>
      <c r="B602" s="10" t="str">
        <f t="shared" si="1"/>
        <v>RNA-gill</v>
      </c>
      <c r="C602" s="10" t="str">
        <f t="shared" si="2"/>
        <v>BRN68G-D8</v>
      </c>
      <c r="D602" s="11">
        <f t="array" ref="D602">iferror(index('rna-muscle'!D:D,match(A602,'rna-muscle'!A:A,0)))</f>
        <v>68</v>
      </c>
      <c r="E602" s="10" t="str">
        <f t="shared" si="3"/>
        <v>BRN68G</v>
      </c>
      <c r="F602" s="11" t="str">
        <f t="array" ref="F602">iferror(index('rna-muscle'!F:F,match($A602,'rna-muscle'!$A:$A,0)))</f>
        <v>D</v>
      </c>
      <c r="G602" s="11">
        <f t="array" ref="G602">iferror(index('rna-muscle'!G:G,match($A602,'rna-muscle'!$A:$A,0)))</f>
        <v>8</v>
      </c>
      <c r="H602" s="11" t="str">
        <f t="shared" si="4"/>
        <v>D8</v>
      </c>
      <c r="I602" s="10" t="str">
        <f t="shared" si="5"/>
        <v>BRN68G-D8</v>
      </c>
      <c r="J602" s="16"/>
      <c r="K602" s="16" t="str">
        <f t="shared" si="6"/>
        <v>collected</v>
      </c>
      <c r="L602" s="16" t="str">
        <f t="shared" si="7"/>
        <v>N</v>
      </c>
      <c r="M602" s="16"/>
      <c r="N602" s="16"/>
    </row>
    <row r="603">
      <c r="A603" s="26" t="s">
        <v>1060</v>
      </c>
      <c r="B603" s="10" t="str">
        <f t="shared" si="1"/>
        <v>RNA-gill</v>
      </c>
      <c r="C603" s="10" t="str">
        <f t="shared" si="2"/>
        <v>BRN68G-C8</v>
      </c>
      <c r="D603" s="11">
        <f t="array" ref="D603">iferror(index('rna-muscle'!D:D,match(A603,'rna-muscle'!A:A,0)))</f>
        <v>68</v>
      </c>
      <c r="E603" s="10" t="str">
        <f t="shared" si="3"/>
        <v>BRN68G</v>
      </c>
      <c r="F603" s="11" t="str">
        <f t="array" ref="F603">iferror(index('rna-muscle'!F:F,match($A603,'rna-muscle'!$A:$A,0)))</f>
        <v>C</v>
      </c>
      <c r="G603" s="11">
        <f t="array" ref="G603">iferror(index('rna-muscle'!G:G,match($A603,'rna-muscle'!$A:$A,0)))</f>
        <v>8</v>
      </c>
      <c r="H603" s="11" t="str">
        <f t="shared" si="4"/>
        <v>C8</v>
      </c>
      <c r="I603" s="10" t="str">
        <f t="shared" si="5"/>
        <v>BRN68G-C8</v>
      </c>
      <c r="J603" s="6"/>
      <c r="K603" s="16" t="str">
        <f t="shared" si="6"/>
        <v>collected</v>
      </c>
      <c r="L603" s="16" t="str">
        <f t="shared" si="7"/>
        <v>N</v>
      </c>
      <c r="M603" s="16"/>
      <c r="N603" s="16"/>
    </row>
    <row r="604">
      <c r="A604" s="26" t="s">
        <v>1061</v>
      </c>
      <c r="B604" s="10" t="str">
        <f t="shared" si="1"/>
        <v>RNA-gill</v>
      </c>
      <c r="C604" s="10" t="str">
        <f t="shared" si="2"/>
        <v>BRN68G-B8</v>
      </c>
      <c r="D604" s="11">
        <f t="array" ref="D604">iferror(index('rna-muscle'!D:D,match(A604,'rna-muscle'!A:A,0)))</f>
        <v>68</v>
      </c>
      <c r="E604" s="10" t="str">
        <f t="shared" si="3"/>
        <v>BRN68G</v>
      </c>
      <c r="F604" s="11" t="str">
        <f t="array" ref="F604">iferror(index('rna-muscle'!F:F,match($A604,'rna-muscle'!$A:$A,0)))</f>
        <v>B</v>
      </c>
      <c r="G604" s="11">
        <f t="array" ref="G604">iferror(index('rna-muscle'!G:G,match($A604,'rna-muscle'!$A:$A,0)))</f>
        <v>8</v>
      </c>
      <c r="H604" s="11" t="str">
        <f t="shared" si="4"/>
        <v>B8</v>
      </c>
      <c r="I604" s="10" t="str">
        <f t="shared" si="5"/>
        <v>BRN68G-B8</v>
      </c>
      <c r="J604" s="16"/>
      <c r="K604" s="16" t="str">
        <f t="shared" si="6"/>
        <v>collected</v>
      </c>
      <c r="L604" s="16" t="str">
        <f t="shared" si="7"/>
        <v>N</v>
      </c>
      <c r="M604" s="16"/>
      <c r="N604" s="16"/>
    </row>
    <row r="605">
      <c r="A605" s="26" t="s">
        <v>1062</v>
      </c>
      <c r="B605" s="10" t="str">
        <f t="shared" si="1"/>
        <v>RNA-gill</v>
      </c>
      <c r="C605" s="10" t="str">
        <f t="shared" si="2"/>
        <v>BRN68G-A8</v>
      </c>
      <c r="D605" s="11">
        <f t="array" ref="D605">iferror(index('rna-muscle'!D:D,match(A605,'rna-muscle'!A:A,0)))</f>
        <v>68</v>
      </c>
      <c r="E605" s="10" t="str">
        <f t="shared" si="3"/>
        <v>BRN68G</v>
      </c>
      <c r="F605" s="11" t="str">
        <f t="array" ref="F605">iferror(index('rna-muscle'!F:F,match($A605,'rna-muscle'!$A:$A,0)))</f>
        <v>A</v>
      </c>
      <c r="G605" s="11">
        <f t="array" ref="G605">iferror(index('rna-muscle'!G:G,match($A605,'rna-muscle'!$A:$A,0)))</f>
        <v>8</v>
      </c>
      <c r="H605" s="11" t="str">
        <f t="shared" si="4"/>
        <v>A8</v>
      </c>
      <c r="I605" s="10" t="str">
        <f t="shared" si="5"/>
        <v>BRN68G-A8</v>
      </c>
      <c r="J605" s="16"/>
      <c r="K605" s="16" t="str">
        <f t="shared" si="6"/>
        <v>collected</v>
      </c>
      <c r="L605" s="16" t="str">
        <f t="shared" si="7"/>
        <v>N</v>
      </c>
      <c r="M605" s="16"/>
      <c r="N605" s="16"/>
    </row>
    <row r="606">
      <c r="A606" s="27" t="s">
        <v>1064</v>
      </c>
      <c r="B606" s="10" t="str">
        <f t="shared" si="1"/>
        <v>RNA-gill</v>
      </c>
      <c r="C606" s="10" t="str">
        <f t="shared" si="2"/>
        <v>BRN68G-H10</v>
      </c>
      <c r="D606" s="11">
        <f t="array" ref="D606">iferror(index('rna-muscle'!D:D,match(A606,'rna-muscle'!A:A,0)))</f>
        <v>68</v>
      </c>
      <c r="E606" s="10" t="str">
        <f t="shared" si="3"/>
        <v>BRN68G</v>
      </c>
      <c r="F606" s="11" t="str">
        <f t="array" ref="F606">iferror(index('rna-muscle'!F:F,match($A606,'rna-muscle'!$A:$A,0)))</f>
        <v>H</v>
      </c>
      <c r="G606" s="11">
        <f t="array" ref="G606">iferror(index('rna-muscle'!G:G,match($A606,'rna-muscle'!$A:$A,0)))</f>
        <v>10</v>
      </c>
      <c r="H606" s="11" t="str">
        <f t="shared" si="4"/>
        <v>H10</v>
      </c>
      <c r="I606" s="10" t="str">
        <f t="shared" si="5"/>
        <v>BRN68G-H10</v>
      </c>
      <c r="J606" s="6"/>
      <c r="K606" s="16" t="str">
        <f t="shared" si="6"/>
        <v>collected</v>
      </c>
      <c r="L606" s="16" t="str">
        <f t="shared" si="7"/>
        <v>N</v>
      </c>
      <c r="M606" s="16"/>
      <c r="N606" s="16"/>
    </row>
    <row r="607">
      <c r="A607" s="27" t="s">
        <v>1066</v>
      </c>
      <c r="B607" s="10" t="str">
        <f t="shared" si="1"/>
        <v>RNA-gill</v>
      </c>
      <c r="C607" s="10" t="str">
        <f t="shared" si="2"/>
        <v>BRN68G-G10</v>
      </c>
      <c r="D607" s="11">
        <f t="array" ref="D607">iferror(index('rna-muscle'!D:D,match(A607,'rna-muscle'!A:A,0)))</f>
        <v>68</v>
      </c>
      <c r="E607" s="10" t="str">
        <f t="shared" si="3"/>
        <v>BRN68G</v>
      </c>
      <c r="F607" s="11" t="str">
        <f t="array" ref="F607">iferror(index('rna-muscle'!F:F,match($A607,'rna-muscle'!$A:$A,0)))</f>
        <v>G</v>
      </c>
      <c r="G607" s="11">
        <f t="array" ref="G607">iferror(index('rna-muscle'!G:G,match($A607,'rna-muscle'!$A:$A,0)))</f>
        <v>10</v>
      </c>
      <c r="H607" s="11" t="str">
        <f t="shared" si="4"/>
        <v>G10</v>
      </c>
      <c r="I607" s="10" t="str">
        <f t="shared" si="5"/>
        <v>BRN68G-G10</v>
      </c>
      <c r="J607" s="16"/>
      <c r="K607" s="16" t="str">
        <f t="shared" si="6"/>
        <v>collected</v>
      </c>
      <c r="L607" s="16" t="str">
        <f t="shared" si="7"/>
        <v>N</v>
      </c>
      <c r="M607" s="16"/>
      <c r="N607" s="16"/>
    </row>
    <row r="608">
      <c r="A608" s="27" t="s">
        <v>1067</v>
      </c>
      <c r="B608" s="10" t="str">
        <f t="shared" si="1"/>
        <v>RNA-gill</v>
      </c>
      <c r="C608" s="10" t="str">
        <f t="shared" si="2"/>
        <v>BRN68G-E10</v>
      </c>
      <c r="D608" s="11">
        <f t="array" ref="D608">iferror(index('rna-muscle'!D:D,match(A608,'rna-muscle'!A:A,0)))</f>
        <v>68</v>
      </c>
      <c r="E608" s="10" t="str">
        <f t="shared" si="3"/>
        <v>BRN68G</v>
      </c>
      <c r="F608" s="11" t="str">
        <f t="array" ref="F608">iferror(index('rna-muscle'!F:F,match($A608,'rna-muscle'!$A:$A,0)))</f>
        <v>E</v>
      </c>
      <c r="G608" s="11">
        <f t="array" ref="G608">iferror(index('rna-muscle'!G:G,match($A608,'rna-muscle'!$A:$A,0)))</f>
        <v>10</v>
      </c>
      <c r="H608" s="11" t="str">
        <f t="shared" si="4"/>
        <v>E10</v>
      </c>
      <c r="I608" s="10" t="str">
        <f t="shared" si="5"/>
        <v>BRN68G-E10</v>
      </c>
      <c r="J608" s="6"/>
      <c r="K608" s="16" t="str">
        <f t="shared" si="6"/>
        <v>collected</v>
      </c>
      <c r="L608" s="16" t="str">
        <f t="shared" si="7"/>
        <v>N</v>
      </c>
      <c r="M608" s="16"/>
      <c r="N608" s="16"/>
    </row>
    <row r="609">
      <c r="A609" s="27" t="s">
        <v>1068</v>
      </c>
      <c r="B609" s="10" t="str">
        <f t="shared" si="1"/>
        <v>RNA-gill</v>
      </c>
      <c r="C609" s="10" t="str">
        <f t="shared" si="2"/>
        <v>BRN68G-F10</v>
      </c>
      <c r="D609" s="11">
        <f t="array" ref="D609">iferror(index('rna-muscle'!D:D,match(A609,'rna-muscle'!A:A,0)))</f>
        <v>68</v>
      </c>
      <c r="E609" s="10" t="str">
        <f t="shared" si="3"/>
        <v>BRN68G</v>
      </c>
      <c r="F609" s="11" t="str">
        <f t="array" ref="F609">iferror(index('rna-muscle'!F:F,match($A609,'rna-muscle'!$A:$A,0)))</f>
        <v>F</v>
      </c>
      <c r="G609" s="11">
        <f t="array" ref="G609">iferror(index('rna-muscle'!G:G,match($A609,'rna-muscle'!$A:$A,0)))</f>
        <v>10</v>
      </c>
      <c r="H609" s="11" t="str">
        <f t="shared" si="4"/>
        <v>F10</v>
      </c>
      <c r="I609" s="10" t="str">
        <f t="shared" si="5"/>
        <v>BRN68G-F10</v>
      </c>
      <c r="J609" s="16"/>
      <c r="K609" s="16" t="str">
        <f t="shared" si="6"/>
        <v>collected</v>
      </c>
      <c r="L609" s="16" t="str">
        <f t="shared" si="7"/>
        <v>N</v>
      </c>
      <c r="M609" s="16"/>
      <c r="N609" s="16"/>
    </row>
    <row r="610">
      <c r="A610" s="27" t="s">
        <v>1069</v>
      </c>
      <c r="B610" s="10" t="str">
        <f t="shared" si="1"/>
        <v>RNA-gill</v>
      </c>
      <c r="C610" s="10" t="str">
        <f t="shared" si="2"/>
        <v>BRN68G-D10</v>
      </c>
      <c r="D610" s="11">
        <f t="array" ref="D610">iferror(index('rna-muscle'!D:D,match(A610,'rna-muscle'!A:A,0)))</f>
        <v>68</v>
      </c>
      <c r="E610" s="10" t="str">
        <f t="shared" si="3"/>
        <v>BRN68G</v>
      </c>
      <c r="F610" s="11" t="str">
        <f t="array" ref="F610">iferror(index('rna-muscle'!F:F,match($A610,'rna-muscle'!$A:$A,0)))</f>
        <v>D</v>
      </c>
      <c r="G610" s="11">
        <f t="array" ref="G610">iferror(index('rna-muscle'!G:G,match($A610,'rna-muscle'!$A:$A,0)))</f>
        <v>10</v>
      </c>
      <c r="H610" s="11" t="str">
        <f t="shared" si="4"/>
        <v>D10</v>
      </c>
      <c r="I610" s="10" t="str">
        <f t="shared" si="5"/>
        <v>BRN68G-D10</v>
      </c>
      <c r="J610" s="16"/>
      <c r="K610" s="16" t="str">
        <f t="shared" si="6"/>
        <v>collected</v>
      </c>
      <c r="L610" s="16" t="str">
        <f t="shared" si="7"/>
        <v>N</v>
      </c>
      <c r="M610" s="16"/>
      <c r="N610" s="16"/>
    </row>
    <row r="611">
      <c r="A611" s="27" t="s">
        <v>1070</v>
      </c>
      <c r="B611" s="10" t="str">
        <f t="shared" si="1"/>
        <v>RNA-gill</v>
      </c>
      <c r="C611" s="10" t="str">
        <f t="shared" si="2"/>
        <v>BRN68G-C10</v>
      </c>
      <c r="D611" s="11">
        <f t="array" ref="D611">iferror(index('rna-muscle'!D:D,match(A611,'rna-muscle'!A:A,0)))</f>
        <v>68</v>
      </c>
      <c r="E611" s="10" t="str">
        <f t="shared" si="3"/>
        <v>BRN68G</v>
      </c>
      <c r="F611" s="11" t="str">
        <f t="array" ref="F611">iferror(index('rna-muscle'!F:F,match($A611,'rna-muscle'!$A:$A,0)))</f>
        <v>C</v>
      </c>
      <c r="G611" s="11">
        <f t="array" ref="G611">iferror(index('rna-muscle'!G:G,match($A611,'rna-muscle'!$A:$A,0)))</f>
        <v>10</v>
      </c>
      <c r="H611" s="11" t="str">
        <f t="shared" si="4"/>
        <v>C10</v>
      </c>
      <c r="I611" s="10" t="str">
        <f t="shared" si="5"/>
        <v>BRN68G-C10</v>
      </c>
      <c r="J611" s="16"/>
      <c r="K611" s="16" t="str">
        <f t="shared" si="6"/>
        <v>collected</v>
      </c>
      <c r="L611" s="16" t="str">
        <f t="shared" si="7"/>
        <v>N</v>
      </c>
      <c r="M611" s="16"/>
      <c r="N611" s="16"/>
    </row>
    <row r="612">
      <c r="A612" s="27" t="s">
        <v>1071</v>
      </c>
      <c r="B612" s="10" t="str">
        <f t="shared" si="1"/>
        <v>RNA-gill</v>
      </c>
      <c r="C612" s="10" t="str">
        <f t="shared" si="2"/>
        <v>BRN68G-B10</v>
      </c>
      <c r="D612" s="11">
        <f t="array" ref="D612">iferror(index('rna-muscle'!D:D,match(A612,'rna-muscle'!A:A,0)))</f>
        <v>68</v>
      </c>
      <c r="E612" s="10" t="str">
        <f t="shared" si="3"/>
        <v>BRN68G</v>
      </c>
      <c r="F612" s="11" t="str">
        <f t="array" ref="F612">iferror(index('rna-muscle'!F:F,match($A612,'rna-muscle'!$A:$A,0)))</f>
        <v>B</v>
      </c>
      <c r="G612" s="11">
        <f t="array" ref="G612">iferror(index('rna-muscle'!G:G,match($A612,'rna-muscle'!$A:$A,0)))</f>
        <v>10</v>
      </c>
      <c r="H612" s="11" t="str">
        <f t="shared" si="4"/>
        <v>B10</v>
      </c>
      <c r="I612" s="10" t="str">
        <f t="shared" si="5"/>
        <v>BRN68G-B10</v>
      </c>
      <c r="J612" s="6"/>
      <c r="K612" s="16" t="str">
        <f t="shared" si="6"/>
        <v>collected</v>
      </c>
      <c r="L612" s="16" t="str">
        <f t="shared" si="7"/>
        <v>N</v>
      </c>
      <c r="M612" s="16"/>
      <c r="N612" s="16"/>
    </row>
    <row r="613">
      <c r="A613" s="27" t="s">
        <v>1074</v>
      </c>
      <c r="B613" s="10" t="str">
        <f t="shared" si="1"/>
        <v>RNA-gill</v>
      </c>
      <c r="C613" s="10" t="str">
        <f t="shared" si="2"/>
        <v>BRN68G-A10</v>
      </c>
      <c r="D613" s="11">
        <f t="array" ref="D613">iferror(index('rna-muscle'!D:D,match(A613,'rna-muscle'!A:A,0)))</f>
        <v>68</v>
      </c>
      <c r="E613" s="10" t="str">
        <f t="shared" si="3"/>
        <v>BRN68G</v>
      </c>
      <c r="F613" s="11" t="str">
        <f t="array" ref="F613">iferror(index('rna-muscle'!F:F,match($A613,'rna-muscle'!$A:$A,0)))</f>
        <v>A</v>
      </c>
      <c r="G613" s="11">
        <f t="array" ref="G613">iferror(index('rna-muscle'!G:G,match($A613,'rna-muscle'!$A:$A,0)))</f>
        <v>10</v>
      </c>
      <c r="H613" s="11" t="str">
        <f t="shared" si="4"/>
        <v>A10</v>
      </c>
      <c r="I613" s="10" t="str">
        <f t="shared" si="5"/>
        <v>BRN68G-A10</v>
      </c>
      <c r="J613" s="6"/>
      <c r="K613" s="16" t="str">
        <f t="shared" si="6"/>
        <v>collected</v>
      </c>
      <c r="L613" s="16" t="str">
        <f t="shared" si="7"/>
        <v>N</v>
      </c>
      <c r="M613" s="16"/>
      <c r="N613" s="16"/>
    </row>
    <row r="614">
      <c r="A614" s="27" t="s">
        <v>1075</v>
      </c>
      <c r="B614" s="10" t="str">
        <f t="shared" si="1"/>
        <v>RNA-gill</v>
      </c>
      <c r="C614" s="10" t="str">
        <f t="shared" si="2"/>
        <v>BRN68G-G12</v>
      </c>
      <c r="D614" s="11">
        <f t="array" ref="D614">iferror(index('rna-muscle'!D:D,match(A614,'rna-muscle'!A:A,0)))</f>
        <v>68</v>
      </c>
      <c r="E614" s="10" t="str">
        <f t="shared" si="3"/>
        <v>BRN68G</v>
      </c>
      <c r="F614" s="11" t="str">
        <f t="array" ref="F614">iferror(index('rna-muscle'!F:F,match($A614,'rna-muscle'!$A:$A,0)))</f>
        <v>G</v>
      </c>
      <c r="G614" s="11">
        <f t="array" ref="G614">iferror(index('rna-muscle'!G:G,match($A614,'rna-muscle'!$A:$A,0)))</f>
        <v>12</v>
      </c>
      <c r="H614" s="11" t="str">
        <f t="shared" si="4"/>
        <v>G12</v>
      </c>
      <c r="I614" s="10" t="str">
        <f t="shared" si="5"/>
        <v>BRN68G-G12</v>
      </c>
      <c r="J614" s="6"/>
      <c r="K614" s="16" t="str">
        <f t="shared" si="6"/>
        <v>collected</v>
      </c>
      <c r="L614" s="16" t="str">
        <f t="shared" si="7"/>
        <v>N</v>
      </c>
      <c r="M614" s="16"/>
      <c r="N614" s="16"/>
    </row>
    <row r="615">
      <c r="A615" s="26" t="s">
        <v>1076</v>
      </c>
      <c r="B615" s="10" t="str">
        <f t="shared" si="1"/>
        <v>RNA-gill</v>
      </c>
      <c r="C615" s="10" t="str">
        <f t="shared" si="2"/>
        <v>BRN68G-F12</v>
      </c>
      <c r="D615" s="11">
        <f t="array" ref="D615">iferror(index('rna-muscle'!D:D,match(A615,'rna-muscle'!A:A,0)))</f>
        <v>68</v>
      </c>
      <c r="E615" s="10" t="str">
        <f t="shared" si="3"/>
        <v>BRN68G</v>
      </c>
      <c r="F615" s="11" t="str">
        <f t="array" ref="F615">iferror(index('rna-muscle'!F:F,match($A615,'rna-muscle'!$A:$A,0)))</f>
        <v>F</v>
      </c>
      <c r="G615" s="11">
        <f t="array" ref="G615">iferror(index('rna-muscle'!G:G,match($A615,'rna-muscle'!$A:$A,0)))</f>
        <v>12</v>
      </c>
      <c r="H615" s="11" t="str">
        <f t="shared" si="4"/>
        <v>F12</v>
      </c>
      <c r="I615" s="10" t="str">
        <f t="shared" si="5"/>
        <v>BRN68G-F12</v>
      </c>
      <c r="J615" s="6"/>
      <c r="K615" s="16" t="str">
        <f t="shared" si="6"/>
        <v>collected</v>
      </c>
      <c r="L615" s="16" t="str">
        <f t="shared" si="7"/>
        <v>N</v>
      </c>
      <c r="M615" s="16"/>
      <c r="N615" s="16"/>
    </row>
    <row r="616">
      <c r="A616" s="26" t="s">
        <v>1077</v>
      </c>
      <c r="B616" s="10" t="str">
        <f t="shared" si="1"/>
        <v>RNA-gill</v>
      </c>
      <c r="C616" s="10" t="str">
        <f t="shared" si="2"/>
        <v>BRN68G-C11</v>
      </c>
      <c r="D616" s="11">
        <f t="array" ref="D616">iferror(index('rna-muscle'!D:D,match(A616,'rna-muscle'!A:A,0)))</f>
        <v>68</v>
      </c>
      <c r="E616" s="10" t="str">
        <f t="shared" si="3"/>
        <v>BRN68G</v>
      </c>
      <c r="F616" s="11" t="str">
        <f t="array" ref="F616">iferror(index('rna-muscle'!F:F,match($A616,'rna-muscle'!$A:$A,0)))</f>
        <v>C</v>
      </c>
      <c r="G616" s="11">
        <f t="array" ref="G616">iferror(index('rna-muscle'!G:G,match($A616,'rna-muscle'!$A:$A,0)))</f>
        <v>11</v>
      </c>
      <c r="H616" s="11" t="str">
        <f t="shared" si="4"/>
        <v>C11</v>
      </c>
      <c r="I616" s="10" t="str">
        <f t="shared" si="5"/>
        <v>BRN68G-C11</v>
      </c>
      <c r="J616" s="16"/>
      <c r="K616" s="16" t="str">
        <f t="shared" si="6"/>
        <v>collected</v>
      </c>
      <c r="L616" s="16" t="str">
        <f t="shared" si="7"/>
        <v>N</v>
      </c>
      <c r="M616" s="16"/>
      <c r="N616" s="16"/>
    </row>
    <row r="617">
      <c r="A617" s="26" t="s">
        <v>1078</v>
      </c>
      <c r="B617" s="10" t="str">
        <f t="shared" si="1"/>
        <v>RNA-gill</v>
      </c>
      <c r="C617" s="10" t="str">
        <f t="shared" si="2"/>
        <v>BRN68G-B11</v>
      </c>
      <c r="D617" s="11">
        <f t="array" ref="D617">iferror(index('rna-muscle'!D:D,match(A617,'rna-muscle'!A:A,0)))</f>
        <v>68</v>
      </c>
      <c r="E617" s="10" t="str">
        <f t="shared" si="3"/>
        <v>BRN68G</v>
      </c>
      <c r="F617" s="11" t="str">
        <f t="array" ref="F617">iferror(index('rna-muscle'!F:F,match($A617,'rna-muscle'!$A:$A,0)))</f>
        <v>B</v>
      </c>
      <c r="G617" s="11">
        <f t="array" ref="G617">iferror(index('rna-muscle'!G:G,match($A617,'rna-muscle'!$A:$A,0)))</f>
        <v>11</v>
      </c>
      <c r="H617" s="11" t="str">
        <f t="shared" si="4"/>
        <v>B11</v>
      </c>
      <c r="I617" s="10" t="str">
        <f t="shared" si="5"/>
        <v>BRN68G-B11</v>
      </c>
      <c r="J617" s="16"/>
      <c r="K617" s="16" t="str">
        <f t="shared" si="6"/>
        <v>collected</v>
      </c>
      <c r="L617" s="16" t="str">
        <f t="shared" si="7"/>
        <v>N</v>
      </c>
      <c r="M617" s="16"/>
      <c r="N617" s="16"/>
    </row>
    <row r="618">
      <c r="A618" s="26" t="s">
        <v>1079</v>
      </c>
      <c r="B618" s="10" t="str">
        <f t="shared" si="1"/>
        <v>RNA-gill</v>
      </c>
      <c r="C618" s="10" t="str">
        <f t="shared" si="2"/>
        <v>BRN68G-A11</v>
      </c>
      <c r="D618" s="11">
        <f t="array" ref="D618">iferror(index('rna-muscle'!D:D,match(A618,'rna-muscle'!A:A,0)))</f>
        <v>68</v>
      </c>
      <c r="E618" s="10" t="str">
        <f t="shared" si="3"/>
        <v>BRN68G</v>
      </c>
      <c r="F618" s="11" t="str">
        <f t="array" ref="F618">iferror(index('rna-muscle'!F:F,match($A618,'rna-muscle'!$A:$A,0)))</f>
        <v>A</v>
      </c>
      <c r="G618" s="11">
        <f t="array" ref="G618">iferror(index('rna-muscle'!G:G,match($A618,'rna-muscle'!$A:$A,0)))</f>
        <v>11</v>
      </c>
      <c r="H618" s="11" t="str">
        <f t="shared" si="4"/>
        <v>A11</v>
      </c>
      <c r="I618" s="10" t="str">
        <f t="shared" si="5"/>
        <v>BRN68G-A11</v>
      </c>
      <c r="J618" s="16"/>
      <c r="K618" s="16" t="str">
        <f t="shared" si="6"/>
        <v>collected</v>
      </c>
      <c r="L618" s="16" t="str">
        <f t="shared" si="7"/>
        <v>N</v>
      </c>
      <c r="M618" s="16"/>
      <c r="N618" s="16"/>
    </row>
    <row r="619">
      <c r="A619" s="26" t="s">
        <v>1081</v>
      </c>
      <c r="B619" s="10" t="str">
        <f t="shared" si="1"/>
        <v>RNA-gill</v>
      </c>
      <c r="C619" s="10" t="str">
        <f t="shared" si="2"/>
        <v>BRN61G-H1</v>
      </c>
      <c r="D619" s="11">
        <f t="array" ref="D619">iferror(index('rna-muscle'!D:D,match(A619,'rna-muscle'!A:A,0)))</f>
        <v>61</v>
      </c>
      <c r="E619" s="10" t="str">
        <f t="shared" si="3"/>
        <v>BRN61G</v>
      </c>
      <c r="F619" s="11" t="str">
        <f t="array" ref="F619">iferror(index('rna-muscle'!F:F,match($A619,'rna-muscle'!$A:$A,0)))</f>
        <v>H</v>
      </c>
      <c r="G619" s="11">
        <f t="array" ref="G619">iferror(index('rna-muscle'!G:G,match($A619,'rna-muscle'!$A:$A,0)))</f>
        <v>1</v>
      </c>
      <c r="H619" s="11" t="str">
        <f t="shared" si="4"/>
        <v>H1</v>
      </c>
      <c r="I619" s="10" t="str">
        <f t="shared" si="5"/>
        <v>BRN61G-H1</v>
      </c>
      <c r="J619" s="16"/>
      <c r="K619" s="16" t="str">
        <f t="shared" si="6"/>
        <v>collected</v>
      </c>
      <c r="L619" s="16" t="str">
        <f t="shared" si="7"/>
        <v>N</v>
      </c>
      <c r="M619" s="16"/>
      <c r="N619" s="16"/>
    </row>
    <row r="620">
      <c r="A620" s="26" t="s">
        <v>1082</v>
      </c>
      <c r="B620" s="10" t="str">
        <f t="shared" si="1"/>
        <v>RNA-gill</v>
      </c>
      <c r="C620" s="10" t="str">
        <f t="shared" si="2"/>
        <v>BRN61G-G1</v>
      </c>
      <c r="D620" s="11">
        <f t="array" ref="D620">iferror(index('rna-muscle'!D:D,match(A620,'rna-muscle'!A:A,0)))</f>
        <v>61</v>
      </c>
      <c r="E620" s="10" t="str">
        <f t="shared" si="3"/>
        <v>BRN61G</v>
      </c>
      <c r="F620" s="11" t="str">
        <f t="array" ref="F620">iferror(index('rna-muscle'!F:F,match($A620,'rna-muscle'!$A:$A,0)))</f>
        <v>G</v>
      </c>
      <c r="G620" s="11">
        <f t="array" ref="G620">iferror(index('rna-muscle'!G:G,match($A620,'rna-muscle'!$A:$A,0)))</f>
        <v>1</v>
      </c>
      <c r="H620" s="11" t="str">
        <f t="shared" si="4"/>
        <v>G1</v>
      </c>
      <c r="I620" s="10" t="str">
        <f t="shared" si="5"/>
        <v>BRN61G-G1</v>
      </c>
      <c r="J620" s="16"/>
      <c r="K620" s="16" t="str">
        <f t="shared" si="6"/>
        <v>collected</v>
      </c>
      <c r="L620" s="16" t="str">
        <f t="shared" si="7"/>
        <v>N</v>
      </c>
      <c r="M620" s="16"/>
      <c r="N620" s="16"/>
    </row>
    <row r="621">
      <c r="A621" s="26" t="s">
        <v>1084</v>
      </c>
      <c r="B621" s="10" t="str">
        <f t="shared" si="1"/>
        <v>RNA-gill</v>
      </c>
      <c r="C621" s="10" t="str">
        <f t="shared" si="2"/>
        <v>BRN61G-F1</v>
      </c>
      <c r="D621" s="11">
        <f t="array" ref="D621">iferror(index('rna-muscle'!D:D,match(A621,'rna-muscle'!A:A,0)))</f>
        <v>61</v>
      </c>
      <c r="E621" s="10" t="str">
        <f t="shared" si="3"/>
        <v>BRN61G</v>
      </c>
      <c r="F621" s="11" t="str">
        <f t="array" ref="F621">iferror(index('rna-muscle'!F:F,match($A621,'rna-muscle'!$A:$A,0)))</f>
        <v>F</v>
      </c>
      <c r="G621" s="11">
        <f t="array" ref="G621">iferror(index('rna-muscle'!G:G,match($A621,'rna-muscle'!$A:$A,0)))</f>
        <v>1</v>
      </c>
      <c r="H621" s="11" t="str">
        <f t="shared" si="4"/>
        <v>F1</v>
      </c>
      <c r="I621" s="10" t="str">
        <f t="shared" si="5"/>
        <v>BRN61G-F1</v>
      </c>
      <c r="J621" s="6"/>
      <c r="K621" s="16" t="str">
        <f t="shared" si="6"/>
        <v>collected</v>
      </c>
      <c r="L621" s="16" t="str">
        <f t="shared" si="7"/>
        <v>N</v>
      </c>
      <c r="M621" s="16"/>
      <c r="N621" s="16"/>
    </row>
    <row r="622">
      <c r="A622" s="26" t="s">
        <v>1085</v>
      </c>
      <c r="B622" s="10" t="str">
        <f t="shared" si="1"/>
        <v>RNA-gill</v>
      </c>
      <c r="C622" s="10" t="str">
        <f t="shared" si="2"/>
        <v>BRN61G-E1</v>
      </c>
      <c r="D622" s="11">
        <f t="array" ref="D622">iferror(index('rna-muscle'!D:D,match(A622,'rna-muscle'!A:A,0)))</f>
        <v>61</v>
      </c>
      <c r="E622" s="10" t="str">
        <f t="shared" si="3"/>
        <v>BRN61G</v>
      </c>
      <c r="F622" s="11" t="str">
        <f t="array" ref="F622">iferror(index('rna-muscle'!F:F,match($A622,'rna-muscle'!$A:$A,0)))</f>
        <v>E</v>
      </c>
      <c r="G622" s="11">
        <f t="array" ref="G622">iferror(index('rna-muscle'!G:G,match($A622,'rna-muscle'!$A:$A,0)))</f>
        <v>1</v>
      </c>
      <c r="H622" s="11" t="str">
        <f t="shared" si="4"/>
        <v>E1</v>
      </c>
      <c r="I622" s="10" t="str">
        <f t="shared" si="5"/>
        <v>BRN61G-E1</v>
      </c>
      <c r="J622" s="16"/>
      <c r="K622" s="16" t="str">
        <f t="shared" si="6"/>
        <v>collected</v>
      </c>
      <c r="L622" s="16" t="str">
        <f t="shared" si="7"/>
        <v>N</v>
      </c>
      <c r="M622" s="16"/>
      <c r="N622" s="16"/>
    </row>
    <row r="623">
      <c r="A623" s="6" t="s">
        <v>1086</v>
      </c>
      <c r="B623" s="10" t="str">
        <f t="shared" si="1"/>
        <v>RNA-gill</v>
      </c>
      <c r="C623" s="10" t="str">
        <f t="shared" si="2"/>
        <v>BRN61G-D1</v>
      </c>
      <c r="D623" s="11">
        <f t="array" ref="D623">iferror(index('rna-muscle'!D:D,match(A623,'rna-muscle'!A:A,0)))</f>
        <v>61</v>
      </c>
      <c r="E623" s="10" t="str">
        <f t="shared" si="3"/>
        <v>BRN61G</v>
      </c>
      <c r="F623" s="11" t="str">
        <f t="array" ref="F623">iferror(index('rna-muscle'!F:F,match($A623,'rna-muscle'!$A:$A,0)))</f>
        <v>D</v>
      </c>
      <c r="G623" s="11">
        <f t="array" ref="G623">iferror(index('rna-muscle'!G:G,match($A623,'rna-muscle'!$A:$A,0)))</f>
        <v>1</v>
      </c>
      <c r="H623" s="11" t="str">
        <f t="shared" si="4"/>
        <v>D1</v>
      </c>
      <c r="I623" s="10" t="str">
        <f t="shared" si="5"/>
        <v>BRN61G-D1</v>
      </c>
      <c r="J623" s="16"/>
      <c r="K623" s="16" t="str">
        <f t="shared" si="6"/>
        <v>collected</v>
      </c>
      <c r="L623" s="16" t="str">
        <f t="shared" si="7"/>
        <v>N</v>
      </c>
      <c r="M623" s="16"/>
      <c r="N623" s="16"/>
    </row>
    <row r="624">
      <c r="A624" s="26" t="s">
        <v>1087</v>
      </c>
      <c r="B624" s="10" t="str">
        <f t="shared" si="1"/>
        <v>RNA-gill</v>
      </c>
      <c r="C624" s="10" t="str">
        <f t="shared" si="2"/>
        <v>BRN61G-C1</v>
      </c>
      <c r="D624" s="11">
        <f t="array" ref="D624">iferror(index('rna-muscle'!D:D,match(A624,'rna-muscle'!A:A,0)))</f>
        <v>61</v>
      </c>
      <c r="E624" s="10" t="str">
        <f t="shared" si="3"/>
        <v>BRN61G</v>
      </c>
      <c r="F624" s="11" t="str">
        <f t="array" ref="F624">iferror(index('rna-muscle'!F:F,match($A624,'rna-muscle'!$A:$A,0)))</f>
        <v>C</v>
      </c>
      <c r="G624" s="11">
        <f t="array" ref="G624">iferror(index('rna-muscle'!G:G,match($A624,'rna-muscle'!$A:$A,0)))</f>
        <v>1</v>
      </c>
      <c r="H624" s="11" t="str">
        <f t="shared" si="4"/>
        <v>C1</v>
      </c>
      <c r="I624" s="10" t="str">
        <f t="shared" si="5"/>
        <v>BRN61G-C1</v>
      </c>
      <c r="J624" s="16"/>
      <c r="K624" s="16" t="str">
        <f t="shared" si="6"/>
        <v>collected</v>
      </c>
      <c r="L624" s="16" t="str">
        <f t="shared" si="7"/>
        <v>N</v>
      </c>
      <c r="M624" s="16"/>
      <c r="N624" s="16"/>
    </row>
    <row r="625">
      <c r="A625" s="26" t="s">
        <v>1089</v>
      </c>
      <c r="B625" s="10" t="str">
        <f t="shared" si="1"/>
        <v>RNA-gill</v>
      </c>
      <c r="C625" s="10" t="str">
        <f t="shared" si="2"/>
        <v>BRN61G-B1</v>
      </c>
      <c r="D625" s="11">
        <f t="array" ref="D625">iferror(index('rna-muscle'!D:D,match(A625,'rna-muscle'!A:A,0)))</f>
        <v>61</v>
      </c>
      <c r="E625" s="10" t="str">
        <f t="shared" si="3"/>
        <v>BRN61G</v>
      </c>
      <c r="F625" s="11" t="str">
        <f t="array" ref="F625">iferror(index('rna-muscle'!F:F,match($A625,'rna-muscle'!$A:$A,0)))</f>
        <v>B</v>
      </c>
      <c r="G625" s="11">
        <f t="array" ref="G625">iferror(index('rna-muscle'!G:G,match($A625,'rna-muscle'!$A:$A,0)))</f>
        <v>1</v>
      </c>
      <c r="H625" s="11" t="str">
        <f t="shared" si="4"/>
        <v>B1</v>
      </c>
      <c r="I625" s="10" t="str">
        <f t="shared" si="5"/>
        <v>BRN61G-B1</v>
      </c>
      <c r="J625" s="16"/>
      <c r="K625" s="16" t="str">
        <f t="shared" si="6"/>
        <v>collected</v>
      </c>
      <c r="L625" s="16" t="str">
        <f t="shared" si="7"/>
        <v>N</v>
      </c>
      <c r="M625" s="16"/>
      <c r="N625" s="16"/>
    </row>
    <row r="626">
      <c r="A626" s="26" t="s">
        <v>1090</v>
      </c>
      <c r="B626" s="10" t="str">
        <f t="shared" si="1"/>
        <v>RNA-gill</v>
      </c>
      <c r="C626" s="10" t="str">
        <f t="shared" si="2"/>
        <v>BRN61G-A1</v>
      </c>
      <c r="D626" s="11">
        <f t="array" ref="D626">iferror(index('rna-muscle'!D:D,match(A626,'rna-muscle'!A:A,0)))</f>
        <v>61</v>
      </c>
      <c r="E626" s="10" t="str">
        <f t="shared" si="3"/>
        <v>BRN61G</v>
      </c>
      <c r="F626" s="11" t="str">
        <f t="array" ref="F626">iferror(index('rna-muscle'!F:F,match($A626,'rna-muscle'!$A:$A,0)))</f>
        <v>A</v>
      </c>
      <c r="G626" s="11">
        <f t="array" ref="G626">iferror(index('rna-muscle'!G:G,match($A626,'rna-muscle'!$A:$A,0)))</f>
        <v>1</v>
      </c>
      <c r="H626" s="11" t="str">
        <f t="shared" si="4"/>
        <v>A1</v>
      </c>
      <c r="I626" s="10" t="str">
        <f t="shared" si="5"/>
        <v>BRN61G-A1</v>
      </c>
      <c r="J626" s="6"/>
      <c r="K626" s="16" t="str">
        <f t="shared" si="6"/>
        <v>collected</v>
      </c>
      <c r="L626" s="16" t="str">
        <f t="shared" si="7"/>
        <v>N</v>
      </c>
      <c r="M626" s="16"/>
      <c r="N626" s="16"/>
    </row>
    <row r="627">
      <c r="A627" s="26" t="s">
        <v>1091</v>
      </c>
      <c r="B627" s="10" t="str">
        <f t="shared" si="1"/>
        <v>RNA-gill</v>
      </c>
      <c r="C627" s="10" t="str">
        <f t="shared" si="2"/>
        <v>BRN61G-H3</v>
      </c>
      <c r="D627" s="11">
        <f t="array" ref="D627">iferror(index('rna-muscle'!D:D,match(A627,'rna-muscle'!A:A,0)))</f>
        <v>61</v>
      </c>
      <c r="E627" s="10" t="str">
        <f t="shared" si="3"/>
        <v>BRN61G</v>
      </c>
      <c r="F627" s="11" t="str">
        <f t="array" ref="F627">iferror(index('rna-muscle'!F:F,match($A627,'rna-muscle'!$A:$A,0)))</f>
        <v>H</v>
      </c>
      <c r="G627" s="11">
        <f t="array" ref="G627">iferror(index('rna-muscle'!G:G,match($A627,'rna-muscle'!$A:$A,0)))</f>
        <v>3</v>
      </c>
      <c r="H627" s="11" t="str">
        <f t="shared" si="4"/>
        <v>H3</v>
      </c>
      <c r="I627" s="10" t="str">
        <f t="shared" si="5"/>
        <v>BRN61G-H3</v>
      </c>
      <c r="J627" s="16"/>
      <c r="K627" s="16" t="str">
        <f t="shared" si="6"/>
        <v>collected</v>
      </c>
      <c r="L627" s="16" t="str">
        <f t="shared" si="7"/>
        <v>N</v>
      </c>
      <c r="M627" s="16"/>
      <c r="N627" s="16"/>
    </row>
    <row r="628">
      <c r="A628" s="26" t="s">
        <v>1092</v>
      </c>
      <c r="B628" s="10" t="str">
        <f t="shared" si="1"/>
        <v>RNA-gill</v>
      </c>
      <c r="C628" s="10" t="str">
        <f t="shared" si="2"/>
        <v>BRN61G-G3</v>
      </c>
      <c r="D628" s="11">
        <f t="array" ref="D628">iferror(index('rna-muscle'!D:D,match(A628,'rna-muscle'!A:A,0)))</f>
        <v>61</v>
      </c>
      <c r="E628" s="10" t="str">
        <f t="shared" si="3"/>
        <v>BRN61G</v>
      </c>
      <c r="F628" s="11" t="str">
        <f t="array" ref="F628">iferror(index('rna-muscle'!F:F,match($A628,'rna-muscle'!$A:$A,0)))</f>
        <v>G</v>
      </c>
      <c r="G628" s="11">
        <f t="array" ref="G628">iferror(index('rna-muscle'!G:G,match($A628,'rna-muscle'!$A:$A,0)))</f>
        <v>3</v>
      </c>
      <c r="H628" s="11" t="str">
        <f t="shared" si="4"/>
        <v>G3</v>
      </c>
      <c r="I628" s="10" t="str">
        <f t="shared" si="5"/>
        <v>BRN61G-G3</v>
      </c>
      <c r="J628" s="6"/>
      <c r="K628" s="16" t="str">
        <f t="shared" si="6"/>
        <v>collected</v>
      </c>
      <c r="L628" s="16" t="str">
        <f t="shared" si="7"/>
        <v>N</v>
      </c>
      <c r="M628" s="16"/>
      <c r="N628" s="16"/>
    </row>
    <row r="629">
      <c r="A629" s="26" t="s">
        <v>1093</v>
      </c>
      <c r="B629" s="10" t="str">
        <f t="shared" si="1"/>
        <v>RNA-gill</v>
      </c>
      <c r="C629" s="10" t="str">
        <f t="shared" si="2"/>
        <v>BRN61G-F3</v>
      </c>
      <c r="D629" s="11">
        <f t="array" ref="D629">iferror(index('rna-muscle'!D:D,match(A629,'rna-muscle'!A:A,0)))</f>
        <v>61</v>
      </c>
      <c r="E629" s="10" t="str">
        <f t="shared" si="3"/>
        <v>BRN61G</v>
      </c>
      <c r="F629" s="11" t="str">
        <f t="array" ref="F629">iferror(index('rna-muscle'!F:F,match($A629,'rna-muscle'!$A:$A,0)))</f>
        <v>F</v>
      </c>
      <c r="G629" s="11">
        <f t="array" ref="G629">iferror(index('rna-muscle'!G:G,match($A629,'rna-muscle'!$A:$A,0)))</f>
        <v>3</v>
      </c>
      <c r="H629" s="11" t="str">
        <f t="shared" si="4"/>
        <v>F3</v>
      </c>
      <c r="I629" s="10" t="str">
        <f t="shared" si="5"/>
        <v>BRN61G-F3</v>
      </c>
      <c r="J629" s="16"/>
      <c r="K629" s="16" t="str">
        <f t="shared" si="6"/>
        <v>collected</v>
      </c>
      <c r="L629" s="16" t="str">
        <f t="shared" si="7"/>
        <v>N</v>
      </c>
      <c r="M629" s="16"/>
      <c r="N629" s="16"/>
    </row>
    <row r="630">
      <c r="A630" s="26" t="s">
        <v>1094</v>
      </c>
      <c r="B630" s="10" t="str">
        <f t="shared" si="1"/>
        <v>RNA-gill</v>
      </c>
      <c r="C630" s="10" t="str">
        <f t="shared" si="2"/>
        <v>BRN61G-E3</v>
      </c>
      <c r="D630" s="11">
        <f t="array" ref="D630">iferror(index('rna-muscle'!D:D,match(A630,'rna-muscle'!A:A,0)))</f>
        <v>61</v>
      </c>
      <c r="E630" s="10" t="str">
        <f t="shared" si="3"/>
        <v>BRN61G</v>
      </c>
      <c r="F630" s="11" t="str">
        <f t="array" ref="F630">iferror(index('rna-muscle'!F:F,match($A630,'rna-muscle'!$A:$A,0)))</f>
        <v>E</v>
      </c>
      <c r="G630" s="11">
        <f t="array" ref="G630">iferror(index('rna-muscle'!G:G,match($A630,'rna-muscle'!$A:$A,0)))</f>
        <v>3</v>
      </c>
      <c r="H630" s="11" t="str">
        <f t="shared" si="4"/>
        <v>E3</v>
      </c>
      <c r="I630" s="10" t="str">
        <f t="shared" si="5"/>
        <v>BRN61G-E3</v>
      </c>
      <c r="J630" s="16"/>
      <c r="K630" s="16" t="str">
        <f t="shared" si="6"/>
        <v>collected</v>
      </c>
      <c r="L630" s="16" t="str">
        <f t="shared" si="7"/>
        <v>N</v>
      </c>
      <c r="M630" s="16"/>
      <c r="N630" s="16"/>
    </row>
    <row r="631">
      <c r="A631" s="26" t="s">
        <v>1096</v>
      </c>
      <c r="B631" s="10" t="str">
        <f t="shared" si="1"/>
        <v>RNA-gill</v>
      </c>
      <c r="C631" s="10" t="str">
        <f t="shared" si="2"/>
        <v>BRN61G-D3</v>
      </c>
      <c r="D631" s="11">
        <f t="array" ref="D631">iferror(index('rna-muscle'!D:D,match(A631,'rna-muscle'!A:A,0)))</f>
        <v>61</v>
      </c>
      <c r="E631" s="10" t="str">
        <f t="shared" si="3"/>
        <v>BRN61G</v>
      </c>
      <c r="F631" s="11" t="str">
        <f t="array" ref="F631">iferror(index('rna-muscle'!F:F,match($A631,'rna-muscle'!$A:$A,0)))</f>
        <v>D</v>
      </c>
      <c r="G631" s="11">
        <f t="array" ref="G631">iferror(index('rna-muscle'!G:G,match($A631,'rna-muscle'!$A:$A,0)))</f>
        <v>3</v>
      </c>
      <c r="H631" s="11" t="str">
        <f t="shared" si="4"/>
        <v>D3</v>
      </c>
      <c r="I631" s="10" t="str">
        <f t="shared" si="5"/>
        <v>BRN61G-D3</v>
      </c>
      <c r="J631" s="6"/>
      <c r="K631" s="16" t="str">
        <f t="shared" si="6"/>
        <v>collected</v>
      </c>
      <c r="L631" s="16" t="str">
        <f t="shared" si="7"/>
        <v>N</v>
      </c>
      <c r="M631" s="16"/>
      <c r="N631" s="16"/>
    </row>
    <row r="632">
      <c r="A632" s="26" t="s">
        <v>1097</v>
      </c>
      <c r="B632" s="10" t="str">
        <f t="shared" si="1"/>
        <v>RNA-gill</v>
      </c>
      <c r="C632" s="10" t="str">
        <f t="shared" si="2"/>
        <v>BRN61G-C3</v>
      </c>
      <c r="D632" s="11">
        <f t="array" ref="D632">iferror(index('rna-muscle'!D:D,match(A632,'rna-muscle'!A:A,0)))</f>
        <v>61</v>
      </c>
      <c r="E632" s="10" t="str">
        <f t="shared" si="3"/>
        <v>BRN61G</v>
      </c>
      <c r="F632" s="11" t="str">
        <f t="array" ref="F632">iferror(index('rna-muscle'!F:F,match($A632,'rna-muscle'!$A:$A,0)))</f>
        <v>C</v>
      </c>
      <c r="G632" s="11">
        <f t="array" ref="G632">iferror(index('rna-muscle'!G:G,match($A632,'rna-muscle'!$A:$A,0)))</f>
        <v>3</v>
      </c>
      <c r="H632" s="11" t="str">
        <f t="shared" si="4"/>
        <v>C3</v>
      </c>
      <c r="I632" s="10" t="str">
        <f t="shared" si="5"/>
        <v>BRN61G-C3</v>
      </c>
      <c r="J632" s="16"/>
      <c r="K632" s="16" t="str">
        <f t="shared" si="6"/>
        <v>collected</v>
      </c>
      <c r="L632" s="16" t="str">
        <f t="shared" si="7"/>
        <v>N</v>
      </c>
      <c r="M632" s="16"/>
      <c r="N632" s="16"/>
    </row>
    <row r="633">
      <c r="A633" s="26" t="s">
        <v>1100</v>
      </c>
      <c r="B633" s="10" t="str">
        <f t="shared" si="1"/>
        <v>RNA-gill</v>
      </c>
      <c r="C633" s="10" t="str">
        <f t="shared" si="2"/>
        <v>BRN61G-B3</v>
      </c>
      <c r="D633" s="11">
        <f t="array" ref="D633">iferror(index('rna-muscle'!D:D,match(A633,'rna-muscle'!A:A,0)))</f>
        <v>61</v>
      </c>
      <c r="E633" s="10" t="str">
        <f t="shared" si="3"/>
        <v>BRN61G</v>
      </c>
      <c r="F633" s="11" t="str">
        <f t="array" ref="F633">iferror(index('rna-muscle'!F:F,match($A633,'rna-muscle'!$A:$A,0)))</f>
        <v>B</v>
      </c>
      <c r="G633" s="11">
        <f t="array" ref="G633">iferror(index('rna-muscle'!G:G,match($A633,'rna-muscle'!$A:$A,0)))</f>
        <v>3</v>
      </c>
      <c r="H633" s="11" t="str">
        <f t="shared" si="4"/>
        <v>B3</v>
      </c>
      <c r="I633" s="10" t="str">
        <f t="shared" si="5"/>
        <v>BRN61G-B3</v>
      </c>
      <c r="J633" s="16"/>
      <c r="K633" s="16" t="str">
        <f t="shared" si="6"/>
        <v>collected</v>
      </c>
      <c r="L633" s="16" t="str">
        <f t="shared" si="7"/>
        <v>N</v>
      </c>
      <c r="M633" s="16"/>
      <c r="N633" s="16"/>
    </row>
    <row r="634">
      <c r="A634" s="27" t="s">
        <v>1101</v>
      </c>
      <c r="B634" s="10" t="str">
        <f t="shared" si="1"/>
        <v>RNA-gill</v>
      </c>
      <c r="C634" s="10" t="str">
        <f t="shared" si="2"/>
        <v>BRN61G-A3</v>
      </c>
      <c r="D634" s="11">
        <f t="array" ref="D634">iferror(index('rna-muscle'!D:D,match(A634,'rna-muscle'!A:A,0)))</f>
        <v>61</v>
      </c>
      <c r="E634" s="10" t="str">
        <f t="shared" si="3"/>
        <v>BRN61G</v>
      </c>
      <c r="F634" s="11" t="str">
        <f t="array" ref="F634">iferror(index('rna-muscle'!F:F,match($A634,'rna-muscle'!$A:$A,0)))</f>
        <v>A</v>
      </c>
      <c r="G634" s="11">
        <f t="array" ref="G634">iferror(index('rna-muscle'!G:G,match($A634,'rna-muscle'!$A:$A,0)))</f>
        <v>3</v>
      </c>
      <c r="H634" s="11" t="str">
        <f t="shared" si="4"/>
        <v>A3</v>
      </c>
      <c r="I634" s="10" t="str">
        <f t="shared" si="5"/>
        <v>BRN61G-A3</v>
      </c>
      <c r="J634" s="16"/>
      <c r="K634" s="16" t="str">
        <f t="shared" si="6"/>
        <v>collected</v>
      </c>
      <c r="L634" s="16" t="str">
        <f t="shared" si="7"/>
        <v>N</v>
      </c>
      <c r="M634" s="16"/>
      <c r="N634" s="16"/>
    </row>
    <row r="635">
      <c r="A635" s="40" t="s">
        <v>1102</v>
      </c>
      <c r="B635" s="10" t="str">
        <f t="shared" si="1"/>
        <v>RNA-gill</v>
      </c>
      <c r="C635" s="10" t="str">
        <f t="shared" si="2"/>
        <v>BRN68G-E12</v>
      </c>
      <c r="D635" s="11">
        <f t="array" ref="D635">iferror(index('rna-muscle'!D:D,match(A635,'rna-muscle'!A:A,0)))</f>
        <v>68</v>
      </c>
      <c r="E635" s="10" t="str">
        <f t="shared" si="3"/>
        <v>BRN68G</v>
      </c>
      <c r="F635" s="11" t="str">
        <f t="array" ref="F635">iferror(index('rna-muscle'!F:F,match($A635,'rna-muscle'!$A:$A,0)))</f>
        <v>E</v>
      </c>
      <c r="G635" s="11">
        <f t="array" ref="G635">iferror(index('rna-muscle'!G:G,match($A635,'rna-muscle'!$A:$A,0)))</f>
        <v>12</v>
      </c>
      <c r="H635" s="11" t="str">
        <f t="shared" si="4"/>
        <v>E12</v>
      </c>
      <c r="I635" s="10" t="str">
        <f t="shared" si="5"/>
        <v>BRN68G-E12</v>
      </c>
      <c r="J635" s="16"/>
      <c r="K635" s="16" t="str">
        <f t="shared" si="6"/>
        <v>collected</v>
      </c>
      <c r="L635" s="16" t="str">
        <f t="shared" si="7"/>
        <v>N</v>
      </c>
      <c r="M635" s="16"/>
      <c r="N635" s="16"/>
    </row>
    <row r="636">
      <c r="A636" s="40" t="s">
        <v>1103</v>
      </c>
      <c r="B636" s="10" t="str">
        <f t="shared" si="1"/>
        <v>RNA-gill</v>
      </c>
      <c r="C636" s="10" t="str">
        <f t="shared" si="2"/>
        <v>BRN68G-D12</v>
      </c>
      <c r="D636" s="11">
        <f t="array" ref="D636">iferror(index('rna-muscle'!D:D,match(A636,'rna-muscle'!A:A,0)))</f>
        <v>68</v>
      </c>
      <c r="E636" s="10" t="str">
        <f t="shared" si="3"/>
        <v>BRN68G</v>
      </c>
      <c r="F636" s="11" t="str">
        <f t="array" ref="F636">iferror(index('rna-muscle'!F:F,match($A636,'rna-muscle'!$A:$A,0)))</f>
        <v>D</v>
      </c>
      <c r="G636" s="11">
        <f t="array" ref="G636">iferror(index('rna-muscle'!G:G,match($A636,'rna-muscle'!$A:$A,0)))</f>
        <v>12</v>
      </c>
      <c r="H636" s="11" t="str">
        <f t="shared" si="4"/>
        <v>D12</v>
      </c>
      <c r="I636" s="10" t="str">
        <f t="shared" si="5"/>
        <v>BRN68G-D12</v>
      </c>
      <c r="J636" s="6"/>
      <c r="K636" s="16" t="str">
        <f t="shared" si="6"/>
        <v>collected</v>
      </c>
      <c r="L636" s="16" t="str">
        <f t="shared" si="7"/>
        <v>N</v>
      </c>
      <c r="M636" s="16"/>
      <c r="N636" s="16"/>
    </row>
    <row r="637">
      <c r="A637" s="43" t="s">
        <v>1104</v>
      </c>
      <c r="B637" s="10" t="str">
        <f t="shared" si="1"/>
        <v>RNA-gill</v>
      </c>
      <c r="C637" s="10" t="str">
        <f t="shared" si="2"/>
        <v>BRN68G-C12</v>
      </c>
      <c r="D637" s="11">
        <f t="array" ref="D637">iferror(index('rna-muscle'!D:D,match(A637,'rna-muscle'!A:A,0)))</f>
        <v>68</v>
      </c>
      <c r="E637" s="10" t="str">
        <f t="shared" si="3"/>
        <v>BRN68G</v>
      </c>
      <c r="F637" s="11" t="str">
        <f t="array" ref="F637">iferror(index('rna-muscle'!F:F,match($A637,'rna-muscle'!$A:$A,0)))</f>
        <v>C</v>
      </c>
      <c r="G637" s="11">
        <f t="array" ref="G637">iferror(index('rna-muscle'!G:G,match($A637,'rna-muscle'!$A:$A,0)))</f>
        <v>12</v>
      </c>
      <c r="H637" s="11" t="str">
        <f t="shared" si="4"/>
        <v>C12</v>
      </c>
      <c r="I637" s="10" t="str">
        <f t="shared" si="5"/>
        <v>BRN68G-C12</v>
      </c>
      <c r="J637" s="6"/>
      <c r="K637" s="16" t="str">
        <f t="shared" si="6"/>
        <v>collected</v>
      </c>
      <c r="L637" s="16" t="str">
        <f t="shared" si="7"/>
        <v>N</v>
      </c>
      <c r="M637" s="16"/>
      <c r="N637" s="16"/>
    </row>
    <row r="638">
      <c r="A638" s="44" t="s">
        <v>1105</v>
      </c>
      <c r="B638" s="10" t="str">
        <f t="shared" si="1"/>
        <v>RNA-gill</v>
      </c>
      <c r="C638" s="10" t="str">
        <f t="shared" si="2"/>
        <v>BRN68G-B12</v>
      </c>
      <c r="D638" s="11">
        <f t="array" ref="D638">iferror(index('rna-muscle'!D:D,match(A638,'rna-muscle'!A:A,0)))</f>
        <v>68</v>
      </c>
      <c r="E638" s="10" t="str">
        <f t="shared" si="3"/>
        <v>BRN68G</v>
      </c>
      <c r="F638" s="11" t="str">
        <f t="array" ref="F638">iferror(index('rna-muscle'!F:F,match($A638,'rna-muscle'!$A:$A,0)))</f>
        <v>B</v>
      </c>
      <c r="G638" s="11">
        <f t="array" ref="G638">iferror(index('rna-muscle'!G:G,match($A638,'rna-muscle'!$A:$A,0)))</f>
        <v>12</v>
      </c>
      <c r="H638" s="11" t="str">
        <f t="shared" si="4"/>
        <v>B12</v>
      </c>
      <c r="I638" s="10" t="str">
        <f t="shared" si="5"/>
        <v>BRN68G-B12</v>
      </c>
      <c r="J638" s="6"/>
      <c r="K638" s="16" t="str">
        <f t="shared" si="6"/>
        <v>collected</v>
      </c>
      <c r="L638" s="16" t="str">
        <f t="shared" si="7"/>
        <v>N</v>
      </c>
      <c r="M638" s="16"/>
      <c r="N638" s="16"/>
    </row>
    <row r="639">
      <c r="A639" s="44" t="s">
        <v>1108</v>
      </c>
      <c r="B639" s="10" t="str">
        <f t="shared" si="1"/>
        <v>RNA-gill</v>
      </c>
      <c r="C639" s="10" t="str">
        <f t="shared" si="2"/>
        <v>BRN68G-A12</v>
      </c>
      <c r="D639" s="11">
        <f t="array" ref="D639">iferror(index('rna-muscle'!D:D,match(A639,'rna-muscle'!A:A,0)))</f>
        <v>68</v>
      </c>
      <c r="E639" s="10" t="str">
        <f t="shared" si="3"/>
        <v>BRN68G</v>
      </c>
      <c r="F639" s="11" t="str">
        <f t="array" ref="F639">iferror(index('rna-muscle'!F:F,match($A639,'rna-muscle'!$A:$A,0)))</f>
        <v>A</v>
      </c>
      <c r="G639" s="11">
        <f t="array" ref="G639">iferror(index('rna-muscle'!G:G,match($A639,'rna-muscle'!$A:$A,0)))</f>
        <v>12</v>
      </c>
      <c r="H639" s="11" t="str">
        <f t="shared" si="4"/>
        <v>A12</v>
      </c>
      <c r="I639" s="10" t="str">
        <f t="shared" si="5"/>
        <v>BRN68G-A12</v>
      </c>
      <c r="J639" s="16"/>
      <c r="K639" s="16" t="str">
        <f t="shared" si="6"/>
        <v>collected</v>
      </c>
      <c r="L639" s="16" t="str">
        <f t="shared" si="7"/>
        <v>N</v>
      </c>
      <c r="M639" s="16"/>
      <c r="N639" s="16"/>
    </row>
    <row r="640">
      <c r="A640" s="44" t="s">
        <v>1109</v>
      </c>
      <c r="B640" s="10" t="str">
        <f t="shared" si="1"/>
        <v>RNA-gill</v>
      </c>
      <c r="C640" s="10" t="str">
        <f t="shared" si="2"/>
        <v>BRN61G-H2</v>
      </c>
      <c r="D640" s="11">
        <f t="array" ref="D640">iferror(index('rna-muscle'!D:D,match(A640,'rna-muscle'!A:A,0)))</f>
        <v>61</v>
      </c>
      <c r="E640" s="10" t="str">
        <f t="shared" si="3"/>
        <v>BRN61G</v>
      </c>
      <c r="F640" s="11" t="str">
        <f t="array" ref="F640">iferror(index('rna-muscle'!F:F,match($A640,'rna-muscle'!$A:$A,0)))</f>
        <v>H</v>
      </c>
      <c r="G640" s="11">
        <f t="array" ref="G640">iferror(index('rna-muscle'!G:G,match($A640,'rna-muscle'!$A:$A,0)))</f>
        <v>2</v>
      </c>
      <c r="H640" s="11" t="str">
        <f t="shared" si="4"/>
        <v>H2</v>
      </c>
      <c r="I640" s="10" t="str">
        <f t="shared" si="5"/>
        <v>BRN61G-H2</v>
      </c>
      <c r="J640" s="6"/>
      <c r="K640" s="16" t="str">
        <f t="shared" si="6"/>
        <v>collected</v>
      </c>
      <c r="L640" s="16" t="str">
        <f t="shared" si="7"/>
        <v>N</v>
      </c>
      <c r="M640" s="16"/>
      <c r="N640" s="16"/>
    </row>
    <row r="641">
      <c r="A641" s="44" t="s">
        <v>1110</v>
      </c>
      <c r="B641" s="10" t="str">
        <f t="shared" si="1"/>
        <v>RNA-gill</v>
      </c>
      <c r="C641" s="10" t="str">
        <f t="shared" si="2"/>
        <v>BRN61G-G2</v>
      </c>
      <c r="D641" s="11">
        <f t="array" ref="D641">iferror(index('rna-muscle'!D:D,match(A641,'rna-muscle'!A:A,0)))</f>
        <v>61</v>
      </c>
      <c r="E641" s="10" t="str">
        <f t="shared" si="3"/>
        <v>BRN61G</v>
      </c>
      <c r="F641" s="11" t="str">
        <f t="array" ref="F641">iferror(index('rna-muscle'!F:F,match($A641,'rna-muscle'!$A:$A,0)))</f>
        <v>G</v>
      </c>
      <c r="G641" s="11">
        <f t="array" ref="G641">iferror(index('rna-muscle'!G:G,match($A641,'rna-muscle'!$A:$A,0)))</f>
        <v>2</v>
      </c>
      <c r="H641" s="11" t="str">
        <f t="shared" si="4"/>
        <v>G2</v>
      </c>
      <c r="I641" s="10" t="str">
        <f t="shared" si="5"/>
        <v>BRN61G-G2</v>
      </c>
      <c r="J641" s="16"/>
      <c r="K641" s="16" t="str">
        <f t="shared" si="6"/>
        <v>collected</v>
      </c>
      <c r="L641" s="16" t="str">
        <f t="shared" si="7"/>
        <v>N</v>
      </c>
      <c r="M641" s="16"/>
      <c r="N641" s="16"/>
    </row>
    <row r="642">
      <c r="A642" s="44" t="s">
        <v>1111</v>
      </c>
      <c r="B642" s="10" t="str">
        <f t="shared" si="1"/>
        <v>RNA-gill</v>
      </c>
      <c r="C642" s="10" t="str">
        <f t="shared" si="2"/>
        <v>BRN61G-F2</v>
      </c>
      <c r="D642" s="11">
        <f t="array" ref="D642">iferror(index('rna-muscle'!D:D,match(A642,'rna-muscle'!A:A,0)))</f>
        <v>61</v>
      </c>
      <c r="E642" s="10" t="str">
        <f t="shared" si="3"/>
        <v>BRN61G</v>
      </c>
      <c r="F642" s="11" t="str">
        <f t="array" ref="F642">iferror(index('rna-muscle'!F:F,match($A642,'rna-muscle'!$A:$A,0)))</f>
        <v>F</v>
      </c>
      <c r="G642" s="11">
        <f t="array" ref="G642">iferror(index('rna-muscle'!G:G,match($A642,'rna-muscle'!$A:$A,0)))</f>
        <v>2</v>
      </c>
      <c r="H642" s="11" t="str">
        <f t="shared" si="4"/>
        <v>F2</v>
      </c>
      <c r="I642" s="10" t="str">
        <f t="shared" si="5"/>
        <v>BRN61G-F2</v>
      </c>
      <c r="J642" s="16"/>
      <c r="K642" s="16" t="str">
        <f t="shared" si="6"/>
        <v>collected</v>
      </c>
      <c r="L642" s="16" t="str">
        <f t="shared" si="7"/>
        <v>N</v>
      </c>
      <c r="M642" s="16"/>
      <c r="N642" s="16"/>
    </row>
    <row r="643">
      <c r="A643" s="44" t="s">
        <v>1112</v>
      </c>
      <c r="B643" s="10" t="str">
        <f t="shared" si="1"/>
        <v>RNA-gill</v>
      </c>
      <c r="C643" s="10" t="str">
        <f t="shared" si="2"/>
        <v>BRN61G-E2</v>
      </c>
      <c r="D643" s="11">
        <f t="array" ref="D643">iferror(index('rna-muscle'!D:D,match(A643,'rna-muscle'!A:A,0)))</f>
        <v>61</v>
      </c>
      <c r="E643" s="10" t="str">
        <f t="shared" si="3"/>
        <v>BRN61G</v>
      </c>
      <c r="F643" s="11" t="str">
        <f t="array" ref="F643">iferror(index('rna-muscle'!F:F,match($A643,'rna-muscle'!$A:$A,0)))</f>
        <v>E</v>
      </c>
      <c r="G643" s="11">
        <f t="array" ref="G643">iferror(index('rna-muscle'!G:G,match($A643,'rna-muscle'!$A:$A,0)))</f>
        <v>2</v>
      </c>
      <c r="H643" s="11" t="str">
        <f t="shared" si="4"/>
        <v>E2</v>
      </c>
      <c r="I643" s="10" t="str">
        <f t="shared" si="5"/>
        <v>BRN61G-E2</v>
      </c>
      <c r="J643" s="16"/>
      <c r="K643" s="16" t="str">
        <f t="shared" si="6"/>
        <v>collected</v>
      </c>
      <c r="L643" s="16" t="str">
        <f t="shared" si="7"/>
        <v>N</v>
      </c>
      <c r="M643" s="16"/>
      <c r="N643" s="16"/>
    </row>
    <row r="644">
      <c r="A644" s="44" t="s">
        <v>1113</v>
      </c>
      <c r="B644" s="10" t="str">
        <f t="shared" si="1"/>
        <v>RNA-gill</v>
      </c>
      <c r="C644" s="10" t="str">
        <f t="shared" si="2"/>
        <v>BRN61G-D2</v>
      </c>
      <c r="D644" s="11">
        <f t="array" ref="D644">iferror(index('rna-muscle'!D:D,match(A644,'rna-muscle'!A:A,0)))</f>
        <v>61</v>
      </c>
      <c r="E644" s="10" t="str">
        <f t="shared" si="3"/>
        <v>BRN61G</v>
      </c>
      <c r="F644" s="11" t="str">
        <f t="array" ref="F644">iferror(index('rna-muscle'!F:F,match($A644,'rna-muscle'!$A:$A,0)))</f>
        <v>D</v>
      </c>
      <c r="G644" s="11">
        <f t="array" ref="G644">iferror(index('rna-muscle'!G:G,match($A644,'rna-muscle'!$A:$A,0)))</f>
        <v>2</v>
      </c>
      <c r="H644" s="11" t="str">
        <f t="shared" si="4"/>
        <v>D2</v>
      </c>
      <c r="I644" s="10" t="str">
        <f t="shared" si="5"/>
        <v>BRN61G-D2</v>
      </c>
      <c r="J644" s="16"/>
      <c r="K644" s="16" t="str">
        <f t="shared" si="6"/>
        <v>collected</v>
      </c>
      <c r="L644" s="16" t="str">
        <f t="shared" si="7"/>
        <v>N</v>
      </c>
      <c r="M644" s="16"/>
      <c r="N644" s="16"/>
    </row>
    <row r="645">
      <c r="A645" s="44" t="s">
        <v>1115</v>
      </c>
      <c r="B645" s="10" t="str">
        <f t="shared" si="1"/>
        <v>RNA-gill</v>
      </c>
      <c r="C645" s="10" t="str">
        <f t="shared" si="2"/>
        <v>BRN61G-C2</v>
      </c>
      <c r="D645" s="11">
        <f t="array" ref="D645">iferror(index('rna-muscle'!D:D,match(A645,'rna-muscle'!A:A,0)))</f>
        <v>61</v>
      </c>
      <c r="E645" s="10" t="str">
        <f t="shared" si="3"/>
        <v>BRN61G</v>
      </c>
      <c r="F645" s="11" t="str">
        <f t="array" ref="F645">iferror(index('rna-muscle'!F:F,match($A645,'rna-muscle'!$A:$A,0)))</f>
        <v>C</v>
      </c>
      <c r="G645" s="11">
        <f t="array" ref="G645">iferror(index('rna-muscle'!G:G,match($A645,'rna-muscle'!$A:$A,0)))</f>
        <v>2</v>
      </c>
      <c r="H645" s="11" t="str">
        <f t="shared" si="4"/>
        <v>C2</v>
      </c>
      <c r="I645" s="10" t="str">
        <f t="shared" si="5"/>
        <v>BRN61G-C2</v>
      </c>
      <c r="J645" s="16"/>
      <c r="K645" s="16" t="str">
        <f t="shared" si="6"/>
        <v>collected</v>
      </c>
      <c r="L645" s="16" t="str">
        <f t="shared" si="7"/>
        <v>N</v>
      </c>
      <c r="M645" s="16"/>
      <c r="N645" s="16"/>
    </row>
    <row r="646">
      <c r="A646" s="44" t="s">
        <v>1117</v>
      </c>
      <c r="B646" s="10" t="str">
        <f t="shared" si="1"/>
        <v>RNA-gill</v>
      </c>
      <c r="C646" s="10" t="str">
        <f t="shared" si="2"/>
        <v>BRN61G-B2</v>
      </c>
      <c r="D646" s="11">
        <f t="array" ref="D646">iferror(index('rna-muscle'!D:D,match(A646,'rna-muscle'!A:A,0)))</f>
        <v>61</v>
      </c>
      <c r="E646" s="10" t="str">
        <f t="shared" si="3"/>
        <v>BRN61G</v>
      </c>
      <c r="F646" s="11" t="str">
        <f t="array" ref="F646">iferror(index('rna-muscle'!F:F,match($A646,'rna-muscle'!$A:$A,0)))</f>
        <v>B</v>
      </c>
      <c r="G646" s="11">
        <f t="array" ref="G646">iferror(index('rna-muscle'!G:G,match($A646,'rna-muscle'!$A:$A,0)))</f>
        <v>2</v>
      </c>
      <c r="H646" s="11" t="str">
        <f t="shared" si="4"/>
        <v>B2</v>
      </c>
      <c r="I646" s="10" t="str">
        <f t="shared" si="5"/>
        <v>BRN61G-B2</v>
      </c>
      <c r="J646" s="6"/>
      <c r="K646" s="16" t="str">
        <f t="shared" si="6"/>
        <v>collected</v>
      </c>
      <c r="L646" s="16" t="str">
        <f t="shared" si="7"/>
        <v>N</v>
      </c>
      <c r="M646" s="16"/>
      <c r="N646" s="16"/>
    </row>
    <row r="647">
      <c r="A647" s="44" t="s">
        <v>1118</v>
      </c>
      <c r="B647" s="10" t="str">
        <f t="shared" si="1"/>
        <v>RNA-gill</v>
      </c>
      <c r="C647" s="10" t="str">
        <f t="shared" si="2"/>
        <v>BRN61G-A2</v>
      </c>
      <c r="D647" s="11">
        <f t="array" ref="D647">iferror(index('rna-muscle'!D:D,match(A647,'rna-muscle'!A:A,0)))</f>
        <v>61</v>
      </c>
      <c r="E647" s="10" t="str">
        <f t="shared" si="3"/>
        <v>BRN61G</v>
      </c>
      <c r="F647" s="11" t="str">
        <f t="array" ref="F647">iferror(index('rna-muscle'!F:F,match($A647,'rna-muscle'!$A:$A,0)))</f>
        <v>A</v>
      </c>
      <c r="G647" s="11">
        <f t="array" ref="G647">iferror(index('rna-muscle'!G:G,match($A647,'rna-muscle'!$A:$A,0)))</f>
        <v>2</v>
      </c>
      <c r="H647" s="11" t="str">
        <f t="shared" si="4"/>
        <v>A2</v>
      </c>
      <c r="I647" s="10" t="str">
        <f t="shared" si="5"/>
        <v>BRN61G-A2</v>
      </c>
      <c r="J647" s="16"/>
      <c r="K647" s="16" t="str">
        <f t="shared" si="6"/>
        <v>collected</v>
      </c>
      <c r="L647" s="16" t="str">
        <f t="shared" si="7"/>
        <v>N</v>
      </c>
      <c r="M647" s="16"/>
      <c r="N647" s="16"/>
    </row>
    <row r="648">
      <c r="A648" s="44" t="s">
        <v>1119</v>
      </c>
      <c r="B648" s="10" t="str">
        <f t="shared" si="1"/>
        <v>RNA-gill</v>
      </c>
      <c r="C648" s="10" t="str">
        <f t="shared" si="2"/>
        <v>BRN61G-H4</v>
      </c>
      <c r="D648" s="11">
        <f t="array" ref="D648">iferror(index('rna-muscle'!D:D,match(A648,'rna-muscle'!A:A,0)))</f>
        <v>61</v>
      </c>
      <c r="E648" s="10" t="str">
        <f t="shared" si="3"/>
        <v>BRN61G</v>
      </c>
      <c r="F648" s="11" t="str">
        <f t="array" ref="F648">iferror(index('rna-muscle'!F:F,match($A648,'rna-muscle'!$A:$A,0)))</f>
        <v>H</v>
      </c>
      <c r="G648" s="11">
        <f t="array" ref="G648">iferror(index('rna-muscle'!G:G,match($A648,'rna-muscle'!$A:$A,0)))</f>
        <v>4</v>
      </c>
      <c r="H648" s="11" t="str">
        <f t="shared" si="4"/>
        <v>H4</v>
      </c>
      <c r="I648" s="10" t="str">
        <f t="shared" si="5"/>
        <v>BRN61G-H4</v>
      </c>
      <c r="J648" s="16"/>
      <c r="K648" s="16" t="str">
        <f t="shared" si="6"/>
        <v>collected</v>
      </c>
      <c r="L648" s="16" t="str">
        <f t="shared" si="7"/>
        <v>N</v>
      </c>
      <c r="M648" s="16"/>
      <c r="N648" s="16"/>
    </row>
    <row r="649">
      <c r="A649" s="44" t="s">
        <v>1120</v>
      </c>
      <c r="B649" s="10" t="str">
        <f t="shared" si="1"/>
        <v>RNA-gill</v>
      </c>
      <c r="C649" s="10" t="str">
        <f t="shared" si="2"/>
        <v>BRN61G-G4</v>
      </c>
      <c r="D649" s="11">
        <f t="array" ref="D649">iferror(index('rna-muscle'!D:D,match(A649,'rna-muscle'!A:A,0)))</f>
        <v>61</v>
      </c>
      <c r="E649" s="10" t="str">
        <f t="shared" si="3"/>
        <v>BRN61G</v>
      </c>
      <c r="F649" s="11" t="str">
        <f t="array" ref="F649">iferror(index('rna-muscle'!F:F,match($A649,'rna-muscle'!$A:$A,0)))</f>
        <v>G</v>
      </c>
      <c r="G649" s="11">
        <f t="array" ref="G649">iferror(index('rna-muscle'!G:G,match($A649,'rna-muscle'!$A:$A,0)))</f>
        <v>4</v>
      </c>
      <c r="H649" s="11" t="str">
        <f t="shared" si="4"/>
        <v>G4</v>
      </c>
      <c r="I649" s="10" t="str">
        <f t="shared" si="5"/>
        <v>BRN61G-G4</v>
      </c>
      <c r="J649" s="16"/>
      <c r="K649" s="16" t="str">
        <f t="shared" si="6"/>
        <v>collected</v>
      </c>
      <c r="L649" s="16" t="str">
        <f t="shared" si="7"/>
        <v>N</v>
      </c>
      <c r="M649" s="16"/>
      <c r="N649" s="16"/>
    </row>
    <row r="650">
      <c r="A650" s="44" t="s">
        <v>1121</v>
      </c>
      <c r="B650" s="10" t="str">
        <f t="shared" si="1"/>
        <v>RNA-gill</v>
      </c>
      <c r="C650" s="10" t="str">
        <f t="shared" si="2"/>
        <v>BRN61G-F4</v>
      </c>
      <c r="D650" s="11">
        <f t="array" ref="D650">iferror(index('rna-muscle'!D:D,match(A650,'rna-muscle'!A:A,0)))</f>
        <v>61</v>
      </c>
      <c r="E650" s="10" t="str">
        <f t="shared" si="3"/>
        <v>BRN61G</v>
      </c>
      <c r="F650" s="11" t="str">
        <f t="array" ref="F650">iferror(index('rna-muscle'!F:F,match($A650,'rna-muscle'!$A:$A,0)))</f>
        <v>F</v>
      </c>
      <c r="G650" s="11">
        <f t="array" ref="G650">iferror(index('rna-muscle'!G:G,match($A650,'rna-muscle'!$A:$A,0)))</f>
        <v>4</v>
      </c>
      <c r="H650" s="11" t="str">
        <f t="shared" si="4"/>
        <v>F4</v>
      </c>
      <c r="I650" s="10" t="str">
        <f t="shared" si="5"/>
        <v>BRN61G-F4</v>
      </c>
      <c r="J650" s="16"/>
      <c r="K650" s="16" t="str">
        <f t="shared" si="6"/>
        <v>collected</v>
      </c>
      <c r="L650" s="16" t="str">
        <f t="shared" si="7"/>
        <v>N</v>
      </c>
      <c r="M650" s="16"/>
      <c r="N650" s="16"/>
    </row>
    <row r="651">
      <c r="A651" s="44" t="s">
        <v>1123</v>
      </c>
      <c r="B651" s="10" t="str">
        <f t="shared" si="1"/>
        <v>RNA-gill</v>
      </c>
      <c r="C651" s="10" t="str">
        <f t="shared" si="2"/>
        <v>BRN61G-E4</v>
      </c>
      <c r="D651" s="11">
        <f t="array" ref="D651">iferror(index('rna-muscle'!D:D,match(A651,'rna-muscle'!A:A,0)))</f>
        <v>61</v>
      </c>
      <c r="E651" s="10" t="str">
        <f t="shared" si="3"/>
        <v>BRN61G</v>
      </c>
      <c r="F651" s="11" t="str">
        <f t="array" ref="F651">iferror(index('rna-muscle'!F:F,match($A651,'rna-muscle'!$A:$A,0)))</f>
        <v>E</v>
      </c>
      <c r="G651" s="11">
        <f t="array" ref="G651">iferror(index('rna-muscle'!G:G,match($A651,'rna-muscle'!$A:$A,0)))</f>
        <v>4</v>
      </c>
      <c r="H651" s="11" t="str">
        <f t="shared" si="4"/>
        <v>E4</v>
      </c>
      <c r="I651" s="10" t="str">
        <f t="shared" si="5"/>
        <v>BRN61G-E4</v>
      </c>
      <c r="J651" s="6"/>
      <c r="K651" s="16" t="str">
        <f t="shared" si="6"/>
        <v>collected</v>
      </c>
      <c r="L651" s="16" t="str">
        <f t="shared" si="7"/>
        <v>N</v>
      </c>
      <c r="M651" s="16"/>
      <c r="N651" s="16"/>
    </row>
    <row r="652">
      <c r="A652" s="44" t="s">
        <v>1124</v>
      </c>
      <c r="B652" s="10" t="str">
        <f t="shared" si="1"/>
        <v>RNA-gill</v>
      </c>
      <c r="C652" s="10" t="str">
        <f t="shared" si="2"/>
        <v>BRN61G-D4</v>
      </c>
      <c r="D652" s="11">
        <f t="array" ref="D652">iferror(index('rna-muscle'!D:D,match(A652,'rna-muscle'!A:A,0)))</f>
        <v>61</v>
      </c>
      <c r="E652" s="10" t="str">
        <f t="shared" si="3"/>
        <v>BRN61G</v>
      </c>
      <c r="F652" s="11" t="str">
        <f t="array" ref="F652">iferror(index('rna-muscle'!F:F,match($A652,'rna-muscle'!$A:$A,0)))</f>
        <v>D</v>
      </c>
      <c r="G652" s="11">
        <f t="array" ref="G652">iferror(index('rna-muscle'!G:G,match($A652,'rna-muscle'!$A:$A,0)))</f>
        <v>4</v>
      </c>
      <c r="H652" s="11" t="str">
        <f t="shared" si="4"/>
        <v>D4</v>
      </c>
      <c r="I652" s="10" t="str">
        <f t="shared" si="5"/>
        <v>BRN61G-D4</v>
      </c>
      <c r="J652" s="6"/>
      <c r="K652" s="16" t="str">
        <f t="shared" si="6"/>
        <v>collected</v>
      </c>
      <c r="L652" s="16" t="str">
        <f t="shared" si="7"/>
        <v>N</v>
      </c>
      <c r="M652" s="16"/>
      <c r="N652" s="16"/>
    </row>
    <row r="653">
      <c r="A653" s="44" t="s">
        <v>1125</v>
      </c>
      <c r="B653" s="10" t="str">
        <f t="shared" si="1"/>
        <v>RNA-gill</v>
      </c>
      <c r="C653" s="10" t="str">
        <f t="shared" si="2"/>
        <v>BRN61G-C4</v>
      </c>
      <c r="D653" s="11">
        <f t="array" ref="D653">iferror(index('rna-muscle'!D:D,match(A653,'rna-muscle'!A:A,0)))</f>
        <v>61</v>
      </c>
      <c r="E653" s="10" t="str">
        <f t="shared" si="3"/>
        <v>BRN61G</v>
      </c>
      <c r="F653" s="11" t="str">
        <f t="array" ref="F653">iferror(index('rna-muscle'!F:F,match($A653,'rna-muscle'!$A:$A,0)))</f>
        <v>C</v>
      </c>
      <c r="G653" s="11">
        <f t="array" ref="G653">iferror(index('rna-muscle'!G:G,match($A653,'rna-muscle'!$A:$A,0)))</f>
        <v>4</v>
      </c>
      <c r="H653" s="11" t="str">
        <f t="shared" si="4"/>
        <v>C4</v>
      </c>
      <c r="I653" s="10" t="str">
        <f t="shared" si="5"/>
        <v>BRN61G-C4</v>
      </c>
      <c r="J653" s="16"/>
      <c r="K653" s="16" t="str">
        <f t="shared" si="6"/>
        <v>collected</v>
      </c>
      <c r="L653" s="16" t="str">
        <f t="shared" si="7"/>
        <v>N</v>
      </c>
      <c r="M653" s="16"/>
      <c r="N653" s="16"/>
    </row>
    <row r="654">
      <c r="A654" s="26" t="s">
        <v>1127</v>
      </c>
      <c r="B654" s="10" t="str">
        <f t="shared" si="1"/>
        <v>RNA-gill</v>
      </c>
      <c r="C654" s="10" t="str">
        <f t="shared" si="2"/>
        <v>BRN61G-H5</v>
      </c>
      <c r="D654" s="11">
        <f t="array" ref="D654">iferror(index('rna-muscle'!D:D,match(A654,'rna-muscle'!A:A,0)))</f>
        <v>61</v>
      </c>
      <c r="E654" s="10" t="str">
        <f t="shared" si="3"/>
        <v>BRN61G</v>
      </c>
      <c r="F654" s="11" t="str">
        <f t="array" ref="F654">iferror(index('rna-muscle'!F:F,match($A654,'rna-muscle'!$A:$A,0)))</f>
        <v>H</v>
      </c>
      <c r="G654" s="11">
        <f t="array" ref="G654">iferror(index('rna-muscle'!G:G,match($A654,'rna-muscle'!$A:$A,0)))</f>
        <v>5</v>
      </c>
      <c r="H654" s="11" t="str">
        <f t="shared" si="4"/>
        <v>H5</v>
      </c>
      <c r="I654" s="10" t="str">
        <f t="shared" si="5"/>
        <v>BRN61G-H5</v>
      </c>
      <c r="J654" s="16"/>
      <c r="K654" s="16" t="str">
        <f t="shared" si="6"/>
        <v>collected</v>
      </c>
      <c r="L654" s="16" t="str">
        <f t="shared" si="7"/>
        <v>N</v>
      </c>
      <c r="M654" s="16"/>
      <c r="N654" s="16"/>
    </row>
    <row r="655">
      <c r="A655" s="26" t="s">
        <v>1128</v>
      </c>
      <c r="B655" s="10" t="str">
        <f t="shared" si="1"/>
        <v>RNA-gill</v>
      </c>
      <c r="C655" s="10" t="str">
        <f t="shared" si="2"/>
        <v>BRN61G-G5</v>
      </c>
      <c r="D655" s="11">
        <f t="array" ref="D655">iferror(index('rna-muscle'!D:D,match(A655,'rna-muscle'!A:A,0)))</f>
        <v>61</v>
      </c>
      <c r="E655" s="10" t="str">
        <f t="shared" si="3"/>
        <v>BRN61G</v>
      </c>
      <c r="F655" s="11" t="str">
        <f t="array" ref="F655">iferror(index('rna-muscle'!F:F,match($A655,'rna-muscle'!$A:$A,0)))</f>
        <v>G</v>
      </c>
      <c r="G655" s="11">
        <f t="array" ref="G655">iferror(index('rna-muscle'!G:G,match($A655,'rna-muscle'!$A:$A,0)))</f>
        <v>5</v>
      </c>
      <c r="H655" s="11" t="str">
        <f t="shared" si="4"/>
        <v>G5</v>
      </c>
      <c r="I655" s="10" t="str">
        <f t="shared" si="5"/>
        <v>BRN61G-G5</v>
      </c>
      <c r="J655" s="6"/>
      <c r="K655" s="16" t="str">
        <f t="shared" si="6"/>
        <v>collected</v>
      </c>
      <c r="L655" s="16" t="str">
        <f t="shared" si="7"/>
        <v>N</v>
      </c>
      <c r="M655" s="16"/>
      <c r="N655" s="16"/>
    </row>
    <row r="656">
      <c r="A656" s="26" t="s">
        <v>1130</v>
      </c>
      <c r="B656" s="10" t="str">
        <f t="shared" si="1"/>
        <v>RNA-gill</v>
      </c>
      <c r="C656" s="10" t="str">
        <f t="shared" si="2"/>
        <v>BRN61G-F5</v>
      </c>
      <c r="D656" s="11">
        <f t="array" ref="D656">iferror(index('rna-muscle'!D:D,match(A656,'rna-muscle'!A:A,0)))</f>
        <v>61</v>
      </c>
      <c r="E656" s="10" t="str">
        <f t="shared" si="3"/>
        <v>BRN61G</v>
      </c>
      <c r="F656" s="11" t="str">
        <f t="array" ref="F656">iferror(index('rna-muscle'!F:F,match($A656,'rna-muscle'!$A:$A,0)))</f>
        <v>F</v>
      </c>
      <c r="G656" s="11">
        <f t="array" ref="G656">iferror(index('rna-muscle'!G:G,match($A656,'rna-muscle'!$A:$A,0)))</f>
        <v>5</v>
      </c>
      <c r="H656" s="11" t="str">
        <f t="shared" si="4"/>
        <v>F5</v>
      </c>
      <c r="I656" s="10" t="str">
        <f t="shared" si="5"/>
        <v>BRN61G-F5</v>
      </c>
      <c r="J656" s="16"/>
      <c r="K656" s="16" t="str">
        <f t="shared" si="6"/>
        <v>collected</v>
      </c>
      <c r="L656" s="16" t="str">
        <f t="shared" si="7"/>
        <v>N</v>
      </c>
      <c r="M656" s="16"/>
      <c r="N656" s="16"/>
    </row>
    <row r="657">
      <c r="A657" s="26" t="s">
        <v>1131</v>
      </c>
      <c r="B657" s="10" t="str">
        <f t="shared" si="1"/>
        <v>RNA-gill</v>
      </c>
      <c r="C657" s="10" t="str">
        <f t="shared" si="2"/>
        <v>BRN61G-E5</v>
      </c>
      <c r="D657" s="11">
        <f t="array" ref="D657">iferror(index('rna-muscle'!D:D,match(A657,'rna-muscle'!A:A,0)))</f>
        <v>61</v>
      </c>
      <c r="E657" s="10" t="str">
        <f t="shared" si="3"/>
        <v>BRN61G</v>
      </c>
      <c r="F657" s="11" t="str">
        <f t="array" ref="F657">iferror(index('rna-muscle'!F:F,match($A657,'rna-muscle'!$A:$A,0)))</f>
        <v>E</v>
      </c>
      <c r="G657" s="11">
        <f t="array" ref="G657">iferror(index('rna-muscle'!G:G,match($A657,'rna-muscle'!$A:$A,0)))</f>
        <v>5</v>
      </c>
      <c r="H657" s="11" t="str">
        <f t="shared" si="4"/>
        <v>E5</v>
      </c>
      <c r="I657" s="10" t="str">
        <f t="shared" si="5"/>
        <v>BRN61G-E5</v>
      </c>
      <c r="J657" s="16"/>
      <c r="K657" s="16" t="str">
        <f t="shared" si="6"/>
        <v>collected</v>
      </c>
      <c r="L657" s="16" t="str">
        <f t="shared" si="7"/>
        <v>N</v>
      </c>
      <c r="M657" s="16"/>
      <c r="N657" s="16"/>
    </row>
    <row r="658">
      <c r="A658" s="26" t="s">
        <v>1132</v>
      </c>
      <c r="B658" s="10" t="str">
        <f t="shared" si="1"/>
        <v>RNA-gill</v>
      </c>
      <c r="C658" s="10" t="str">
        <f t="shared" si="2"/>
        <v>BRN61G-D5</v>
      </c>
      <c r="D658" s="11">
        <f t="array" ref="D658">iferror(index('rna-muscle'!D:D,match(A658,'rna-muscle'!A:A,0)))</f>
        <v>61</v>
      </c>
      <c r="E658" s="10" t="str">
        <f t="shared" si="3"/>
        <v>BRN61G</v>
      </c>
      <c r="F658" s="11" t="str">
        <f t="array" ref="F658">iferror(index('rna-muscle'!F:F,match($A658,'rna-muscle'!$A:$A,0)))</f>
        <v>D</v>
      </c>
      <c r="G658" s="11">
        <f t="array" ref="G658">iferror(index('rna-muscle'!G:G,match($A658,'rna-muscle'!$A:$A,0)))</f>
        <v>5</v>
      </c>
      <c r="H658" s="11" t="str">
        <f t="shared" si="4"/>
        <v>D5</v>
      </c>
      <c r="I658" s="10" t="str">
        <f t="shared" si="5"/>
        <v>BRN61G-D5</v>
      </c>
      <c r="J658" s="16"/>
      <c r="K658" s="16" t="str">
        <f t="shared" si="6"/>
        <v>collected</v>
      </c>
      <c r="L658" s="16" t="str">
        <f t="shared" si="7"/>
        <v>N</v>
      </c>
      <c r="M658" s="16"/>
      <c r="N658" s="16"/>
    </row>
    <row r="659">
      <c r="A659" s="26" t="s">
        <v>1133</v>
      </c>
      <c r="B659" s="10" t="str">
        <f t="shared" si="1"/>
        <v>RNA-gill</v>
      </c>
      <c r="C659" s="10" t="str">
        <f t="shared" si="2"/>
        <v>BRN61G-C5</v>
      </c>
      <c r="D659" s="11">
        <f t="array" ref="D659">iferror(index('rna-muscle'!D:D,match(A659,'rna-muscle'!A:A,0)))</f>
        <v>61</v>
      </c>
      <c r="E659" s="10" t="str">
        <f t="shared" si="3"/>
        <v>BRN61G</v>
      </c>
      <c r="F659" s="11" t="str">
        <f t="array" ref="F659">iferror(index('rna-muscle'!F:F,match($A659,'rna-muscle'!$A:$A,0)))</f>
        <v>C</v>
      </c>
      <c r="G659" s="11">
        <f t="array" ref="G659">iferror(index('rna-muscle'!G:G,match($A659,'rna-muscle'!$A:$A,0)))</f>
        <v>5</v>
      </c>
      <c r="H659" s="11" t="str">
        <f t="shared" si="4"/>
        <v>C5</v>
      </c>
      <c r="I659" s="10" t="str">
        <f t="shared" si="5"/>
        <v>BRN61G-C5</v>
      </c>
      <c r="J659" s="16"/>
      <c r="K659" s="16" t="str">
        <f t="shared" si="6"/>
        <v>collected</v>
      </c>
      <c r="L659" s="16" t="str">
        <f t="shared" si="7"/>
        <v>N</v>
      </c>
      <c r="M659" s="16"/>
      <c r="N659" s="16"/>
    </row>
    <row r="660">
      <c r="A660" s="26" t="s">
        <v>1134</v>
      </c>
      <c r="B660" s="10" t="str">
        <f t="shared" si="1"/>
        <v>RNA-gill</v>
      </c>
      <c r="C660" s="10" t="str">
        <f t="shared" si="2"/>
        <v>BRN61G-B5</v>
      </c>
      <c r="D660" s="11">
        <f t="array" ref="D660">iferror(index('rna-muscle'!D:D,match(A660,'rna-muscle'!A:A,0)))</f>
        <v>61</v>
      </c>
      <c r="E660" s="10" t="str">
        <f t="shared" si="3"/>
        <v>BRN61G</v>
      </c>
      <c r="F660" s="11" t="str">
        <f t="array" ref="F660">iferror(index('rna-muscle'!F:F,match($A660,'rna-muscle'!$A:$A,0)))</f>
        <v>B</v>
      </c>
      <c r="G660" s="11">
        <f t="array" ref="G660">iferror(index('rna-muscle'!G:G,match($A660,'rna-muscle'!$A:$A,0)))</f>
        <v>5</v>
      </c>
      <c r="H660" s="11" t="str">
        <f t="shared" si="4"/>
        <v>B5</v>
      </c>
      <c r="I660" s="10" t="str">
        <f t="shared" si="5"/>
        <v>BRN61G-B5</v>
      </c>
      <c r="J660" s="16"/>
      <c r="K660" s="16" t="str">
        <f t="shared" si="6"/>
        <v>collected</v>
      </c>
      <c r="L660" s="16" t="str">
        <f t="shared" si="7"/>
        <v>N</v>
      </c>
      <c r="M660" s="16"/>
      <c r="N660" s="16"/>
    </row>
    <row r="661">
      <c r="A661" s="26" t="s">
        <v>1135</v>
      </c>
      <c r="B661" s="10" t="str">
        <f t="shared" si="1"/>
        <v>RNA-gill</v>
      </c>
      <c r="C661" s="10" t="str">
        <f t="shared" si="2"/>
        <v>BRN61G-A5</v>
      </c>
      <c r="D661" s="11">
        <f t="array" ref="D661">iferror(index('rna-muscle'!D:D,match(A661,'rna-muscle'!A:A,0)))</f>
        <v>61</v>
      </c>
      <c r="E661" s="10" t="str">
        <f t="shared" si="3"/>
        <v>BRN61G</v>
      </c>
      <c r="F661" s="11" t="str">
        <f t="array" ref="F661">iferror(index('rna-muscle'!F:F,match($A661,'rna-muscle'!$A:$A,0)))</f>
        <v>A</v>
      </c>
      <c r="G661" s="11">
        <f t="array" ref="G661">iferror(index('rna-muscle'!G:G,match($A661,'rna-muscle'!$A:$A,0)))</f>
        <v>5</v>
      </c>
      <c r="H661" s="11" t="str">
        <f t="shared" si="4"/>
        <v>A5</v>
      </c>
      <c r="I661" s="10" t="str">
        <f t="shared" si="5"/>
        <v>BRN61G-A5</v>
      </c>
      <c r="J661" s="16"/>
      <c r="K661" s="16" t="str">
        <f t="shared" si="6"/>
        <v>collected</v>
      </c>
      <c r="L661" s="16" t="str">
        <f t="shared" si="7"/>
        <v>N</v>
      </c>
      <c r="M661" s="16"/>
      <c r="N661" s="16"/>
    </row>
    <row r="662">
      <c r="A662" s="26" t="s">
        <v>1137</v>
      </c>
      <c r="B662" s="10" t="str">
        <f t="shared" si="1"/>
        <v>RNA-gill</v>
      </c>
      <c r="C662" s="10" t="str">
        <f t="shared" si="2"/>
        <v>BRN61G-H7</v>
      </c>
      <c r="D662" s="11">
        <f t="array" ref="D662">iferror(index('rna-muscle'!D:D,match(A662,'rna-muscle'!A:A,0)))</f>
        <v>61</v>
      </c>
      <c r="E662" s="10" t="str">
        <f t="shared" si="3"/>
        <v>BRN61G</v>
      </c>
      <c r="F662" s="11" t="str">
        <f t="array" ref="F662">iferror(index('rna-muscle'!F:F,match($A662,'rna-muscle'!$A:$A,0)))</f>
        <v>H</v>
      </c>
      <c r="G662" s="11">
        <f t="array" ref="G662">iferror(index('rna-muscle'!G:G,match($A662,'rna-muscle'!$A:$A,0)))</f>
        <v>7</v>
      </c>
      <c r="H662" s="11" t="str">
        <f t="shared" si="4"/>
        <v>H7</v>
      </c>
      <c r="I662" s="10" t="str">
        <f t="shared" si="5"/>
        <v>BRN61G-H7</v>
      </c>
      <c r="J662" s="16"/>
      <c r="K662" s="16" t="str">
        <f t="shared" si="6"/>
        <v>collected</v>
      </c>
      <c r="L662" s="16" t="str">
        <f t="shared" si="7"/>
        <v>N</v>
      </c>
      <c r="M662" s="16"/>
      <c r="N662" s="16"/>
    </row>
    <row r="663">
      <c r="A663" s="26" t="s">
        <v>1139</v>
      </c>
      <c r="B663" s="10" t="str">
        <f t="shared" si="1"/>
        <v>RNA-gill</v>
      </c>
      <c r="C663" s="10" t="str">
        <f t="shared" si="2"/>
        <v>BRN61G-G7</v>
      </c>
      <c r="D663" s="11">
        <f t="array" ref="D663">iferror(index('rna-muscle'!D:D,match(A663,'rna-muscle'!A:A,0)))</f>
        <v>61</v>
      </c>
      <c r="E663" s="10" t="str">
        <f t="shared" si="3"/>
        <v>BRN61G</v>
      </c>
      <c r="F663" s="11" t="str">
        <f t="array" ref="F663">iferror(index('rna-muscle'!F:F,match($A663,'rna-muscle'!$A:$A,0)))</f>
        <v>G</v>
      </c>
      <c r="G663" s="11">
        <f t="array" ref="G663">iferror(index('rna-muscle'!G:G,match($A663,'rna-muscle'!$A:$A,0)))</f>
        <v>7</v>
      </c>
      <c r="H663" s="11" t="str">
        <f t="shared" si="4"/>
        <v>G7</v>
      </c>
      <c r="I663" s="10" t="str">
        <f t="shared" si="5"/>
        <v>BRN61G-G7</v>
      </c>
      <c r="J663" s="16"/>
      <c r="K663" s="16" t="str">
        <f t="shared" si="6"/>
        <v>collected</v>
      </c>
      <c r="L663" s="16" t="str">
        <f t="shared" si="7"/>
        <v>N</v>
      </c>
      <c r="M663" s="16"/>
      <c r="N663" s="16"/>
    </row>
    <row r="664">
      <c r="A664" s="26" t="s">
        <v>1140</v>
      </c>
      <c r="B664" s="10" t="str">
        <f t="shared" si="1"/>
        <v>RNA-gill</v>
      </c>
      <c r="C664" s="10" t="str">
        <f t="shared" si="2"/>
        <v>BRN61G-F7</v>
      </c>
      <c r="D664" s="11">
        <f t="array" ref="D664">iferror(index('rna-muscle'!D:D,match(A664,'rna-muscle'!A:A,0)))</f>
        <v>61</v>
      </c>
      <c r="E664" s="10" t="str">
        <f t="shared" si="3"/>
        <v>BRN61G</v>
      </c>
      <c r="F664" s="11" t="str">
        <f t="array" ref="F664">iferror(index('rna-muscle'!F:F,match($A664,'rna-muscle'!$A:$A,0)))</f>
        <v>F</v>
      </c>
      <c r="G664" s="11">
        <f t="array" ref="G664">iferror(index('rna-muscle'!G:G,match($A664,'rna-muscle'!$A:$A,0)))</f>
        <v>7</v>
      </c>
      <c r="H664" s="11" t="str">
        <f t="shared" si="4"/>
        <v>F7</v>
      </c>
      <c r="I664" s="10" t="str">
        <f t="shared" si="5"/>
        <v>BRN61G-F7</v>
      </c>
      <c r="J664" s="6"/>
      <c r="K664" s="16" t="str">
        <f t="shared" si="6"/>
        <v>collected</v>
      </c>
      <c r="L664" s="16" t="str">
        <f t="shared" si="7"/>
        <v>N</v>
      </c>
      <c r="M664" s="16"/>
      <c r="N664" s="16"/>
    </row>
    <row r="665">
      <c r="A665" s="26" t="s">
        <v>1141</v>
      </c>
      <c r="B665" s="10" t="str">
        <f t="shared" si="1"/>
        <v>RNA-gill</v>
      </c>
      <c r="C665" s="10" t="str">
        <f t="shared" si="2"/>
        <v>BRN61G-E7</v>
      </c>
      <c r="D665" s="11">
        <f t="array" ref="D665">iferror(index('rna-muscle'!D:D,match(A665,'rna-muscle'!A:A,0)))</f>
        <v>61</v>
      </c>
      <c r="E665" s="10" t="str">
        <f t="shared" si="3"/>
        <v>BRN61G</v>
      </c>
      <c r="F665" s="11" t="str">
        <f t="array" ref="F665">iferror(index('rna-muscle'!F:F,match($A665,'rna-muscle'!$A:$A,0)))</f>
        <v>E</v>
      </c>
      <c r="G665" s="11">
        <f t="array" ref="G665">iferror(index('rna-muscle'!G:G,match($A665,'rna-muscle'!$A:$A,0)))</f>
        <v>7</v>
      </c>
      <c r="H665" s="11" t="str">
        <f t="shared" si="4"/>
        <v>E7</v>
      </c>
      <c r="I665" s="10" t="str">
        <f t="shared" si="5"/>
        <v>BRN61G-E7</v>
      </c>
      <c r="J665" s="16"/>
      <c r="K665" s="16" t="str">
        <f t="shared" si="6"/>
        <v>collected</v>
      </c>
      <c r="L665" s="16" t="str">
        <f t="shared" si="7"/>
        <v>N</v>
      </c>
      <c r="M665" s="16"/>
      <c r="N665" s="16"/>
    </row>
    <row r="666">
      <c r="A666" s="26" t="s">
        <v>1142</v>
      </c>
      <c r="B666" s="10" t="str">
        <f t="shared" si="1"/>
        <v>RNA-gill</v>
      </c>
      <c r="C666" s="10" t="str">
        <f t="shared" si="2"/>
        <v>BRN61G-D7</v>
      </c>
      <c r="D666" s="11">
        <f t="array" ref="D666">iferror(index('rna-muscle'!D:D,match(A666,'rna-muscle'!A:A,0)))</f>
        <v>61</v>
      </c>
      <c r="E666" s="10" t="str">
        <f t="shared" si="3"/>
        <v>BRN61G</v>
      </c>
      <c r="F666" s="11" t="str">
        <f t="array" ref="F666">iferror(index('rna-muscle'!F:F,match($A666,'rna-muscle'!$A:$A,0)))</f>
        <v>D</v>
      </c>
      <c r="G666" s="11">
        <f t="array" ref="G666">iferror(index('rna-muscle'!G:G,match($A666,'rna-muscle'!$A:$A,0)))</f>
        <v>7</v>
      </c>
      <c r="H666" s="11" t="str">
        <f t="shared" si="4"/>
        <v>D7</v>
      </c>
      <c r="I666" s="10" t="str">
        <f t="shared" si="5"/>
        <v>BRN61G-D7</v>
      </c>
      <c r="J666" s="16"/>
      <c r="K666" s="16" t="str">
        <f t="shared" si="6"/>
        <v>collected</v>
      </c>
      <c r="L666" s="16" t="str">
        <f t="shared" si="7"/>
        <v>N</v>
      </c>
      <c r="M666" s="16"/>
      <c r="N666" s="16"/>
    </row>
    <row r="667">
      <c r="A667" s="26" t="s">
        <v>1143</v>
      </c>
      <c r="B667" s="10" t="str">
        <f t="shared" si="1"/>
        <v>RNA-gill</v>
      </c>
      <c r="C667" s="10" t="str">
        <f t="shared" si="2"/>
        <v>BRN61G-C7</v>
      </c>
      <c r="D667" s="11">
        <f t="array" ref="D667">iferror(index('rna-muscle'!D:D,match(A667,'rna-muscle'!A:A,0)))</f>
        <v>61</v>
      </c>
      <c r="E667" s="10" t="str">
        <f t="shared" si="3"/>
        <v>BRN61G</v>
      </c>
      <c r="F667" s="11" t="str">
        <f t="array" ref="F667">iferror(index('rna-muscle'!F:F,match($A667,'rna-muscle'!$A:$A,0)))</f>
        <v>C</v>
      </c>
      <c r="G667" s="11">
        <f t="array" ref="G667">iferror(index('rna-muscle'!G:G,match($A667,'rna-muscle'!$A:$A,0)))</f>
        <v>7</v>
      </c>
      <c r="H667" s="11" t="str">
        <f t="shared" si="4"/>
        <v>C7</v>
      </c>
      <c r="I667" s="10" t="str">
        <f t="shared" si="5"/>
        <v>BRN61G-C7</v>
      </c>
      <c r="J667" s="16"/>
      <c r="K667" s="16" t="str">
        <f t="shared" si="6"/>
        <v>collected</v>
      </c>
      <c r="L667" s="16" t="str">
        <f t="shared" si="7"/>
        <v>N</v>
      </c>
      <c r="M667" s="16"/>
      <c r="N667" s="16"/>
    </row>
    <row r="668">
      <c r="A668" s="26" t="s">
        <v>1145</v>
      </c>
      <c r="B668" s="10" t="str">
        <f t="shared" si="1"/>
        <v>RNA-gill</v>
      </c>
      <c r="C668" s="10" t="str">
        <f t="shared" si="2"/>
        <v>BRN61G-B7</v>
      </c>
      <c r="D668" s="11">
        <f t="array" ref="D668">iferror(index('rna-muscle'!D:D,match(A668,'rna-muscle'!A:A,0)))</f>
        <v>61</v>
      </c>
      <c r="E668" s="10" t="str">
        <f t="shared" si="3"/>
        <v>BRN61G</v>
      </c>
      <c r="F668" s="11" t="str">
        <f t="array" ref="F668">iferror(index('rna-muscle'!F:F,match($A668,'rna-muscle'!$A:$A,0)))</f>
        <v>B</v>
      </c>
      <c r="G668" s="11">
        <f t="array" ref="G668">iferror(index('rna-muscle'!G:G,match($A668,'rna-muscle'!$A:$A,0)))</f>
        <v>7</v>
      </c>
      <c r="H668" s="11" t="str">
        <f t="shared" si="4"/>
        <v>B7</v>
      </c>
      <c r="I668" s="10" t="str">
        <f t="shared" si="5"/>
        <v>BRN61G-B7</v>
      </c>
      <c r="J668" s="16"/>
      <c r="K668" s="16" t="str">
        <f t="shared" si="6"/>
        <v>collected</v>
      </c>
      <c r="L668" s="16" t="str">
        <f t="shared" si="7"/>
        <v>N</v>
      </c>
      <c r="M668" s="16"/>
      <c r="N668" s="16"/>
    </row>
    <row r="669">
      <c r="A669" s="26" t="s">
        <v>1146</v>
      </c>
      <c r="B669" s="10" t="str">
        <f t="shared" si="1"/>
        <v>RNA-gill</v>
      </c>
      <c r="C669" s="10" t="str">
        <f t="shared" si="2"/>
        <v>BRN61G-A7</v>
      </c>
      <c r="D669" s="11">
        <f t="array" ref="D669">iferror(index('rna-muscle'!D:D,match(A669,'rna-muscle'!A:A,0)))</f>
        <v>61</v>
      </c>
      <c r="E669" s="10" t="str">
        <f t="shared" si="3"/>
        <v>BRN61G</v>
      </c>
      <c r="F669" s="11" t="str">
        <f t="array" ref="F669">iferror(index('rna-muscle'!F:F,match($A669,'rna-muscle'!$A:$A,0)))</f>
        <v>A</v>
      </c>
      <c r="G669" s="11">
        <f t="array" ref="G669">iferror(index('rna-muscle'!G:G,match($A669,'rna-muscle'!$A:$A,0)))</f>
        <v>7</v>
      </c>
      <c r="H669" s="11" t="str">
        <f t="shared" si="4"/>
        <v>A7</v>
      </c>
      <c r="I669" s="10" t="str">
        <f t="shared" si="5"/>
        <v>BRN61G-A7</v>
      </c>
      <c r="J669" s="16"/>
      <c r="K669" s="16" t="str">
        <f t="shared" si="6"/>
        <v>collected</v>
      </c>
      <c r="L669" s="16" t="str">
        <f t="shared" si="7"/>
        <v>N</v>
      </c>
      <c r="M669" s="16"/>
      <c r="N669" s="16"/>
    </row>
    <row r="670">
      <c r="A670" s="44" t="s">
        <v>1147</v>
      </c>
      <c r="B670" s="10" t="str">
        <f t="shared" si="1"/>
        <v>RNA-gill</v>
      </c>
      <c r="C670" s="10" t="str">
        <f t="shared" si="2"/>
        <v>BRN61G-B4</v>
      </c>
      <c r="D670" s="11">
        <f t="array" ref="D670">iferror(index('rna-muscle'!D:D,match(A670,'rna-muscle'!A:A,0)))</f>
        <v>61</v>
      </c>
      <c r="E670" s="10" t="str">
        <f t="shared" si="3"/>
        <v>BRN61G</v>
      </c>
      <c r="F670" s="11" t="str">
        <f t="array" ref="F670">iferror(index('rna-muscle'!F:F,match($A670,'rna-muscle'!$A:$A,0)))</f>
        <v>B</v>
      </c>
      <c r="G670" s="11">
        <f t="array" ref="G670">iferror(index('rna-muscle'!G:G,match($A670,'rna-muscle'!$A:$A,0)))</f>
        <v>4</v>
      </c>
      <c r="H670" s="11" t="str">
        <f t="shared" si="4"/>
        <v>B4</v>
      </c>
      <c r="I670" s="10" t="str">
        <f t="shared" si="5"/>
        <v>BRN61G-B4</v>
      </c>
      <c r="J670" s="16"/>
      <c r="K670" s="16" t="str">
        <f t="shared" si="6"/>
        <v>collected</v>
      </c>
      <c r="L670" s="16" t="str">
        <f t="shared" si="7"/>
        <v>N</v>
      </c>
      <c r="M670" s="16"/>
      <c r="N670" s="16"/>
    </row>
    <row r="671">
      <c r="A671" s="44" t="s">
        <v>1148</v>
      </c>
      <c r="B671" s="10" t="str">
        <f t="shared" si="1"/>
        <v>RNA-gill</v>
      </c>
      <c r="C671" s="10" t="str">
        <f t="shared" si="2"/>
        <v>BRN61G-A4</v>
      </c>
      <c r="D671" s="11">
        <f t="array" ref="D671">iferror(index('rna-muscle'!D:D,match(A671,'rna-muscle'!A:A,0)))</f>
        <v>61</v>
      </c>
      <c r="E671" s="10" t="str">
        <f t="shared" si="3"/>
        <v>BRN61G</v>
      </c>
      <c r="F671" s="11" t="str">
        <f t="array" ref="F671">iferror(index('rna-muscle'!F:F,match($A671,'rna-muscle'!$A:$A,0)))</f>
        <v>A</v>
      </c>
      <c r="G671" s="11">
        <f t="array" ref="G671">iferror(index('rna-muscle'!G:G,match($A671,'rna-muscle'!$A:$A,0)))</f>
        <v>4</v>
      </c>
      <c r="H671" s="11" t="str">
        <f t="shared" si="4"/>
        <v>A4</v>
      </c>
      <c r="I671" s="10" t="str">
        <f t="shared" si="5"/>
        <v>BRN61G-A4</v>
      </c>
      <c r="J671" s="16"/>
      <c r="K671" s="16" t="str">
        <f t="shared" si="6"/>
        <v>collected</v>
      </c>
      <c r="L671" s="16" t="str">
        <f t="shared" si="7"/>
        <v>N</v>
      </c>
      <c r="M671" s="16"/>
      <c r="N671" s="16"/>
    </row>
    <row r="672">
      <c r="A672" s="44" t="s">
        <v>1149</v>
      </c>
      <c r="B672" s="10" t="str">
        <f t="shared" si="1"/>
        <v>RNA-gill</v>
      </c>
      <c r="C672" s="10" t="str">
        <f t="shared" si="2"/>
        <v>BRN61G-G6</v>
      </c>
      <c r="D672" s="11">
        <f t="array" ref="D672">iferror(index('rna-muscle'!D:D,match(A672,'rna-muscle'!A:A,0)))</f>
        <v>61</v>
      </c>
      <c r="E672" s="10" t="str">
        <f t="shared" si="3"/>
        <v>BRN61G</v>
      </c>
      <c r="F672" s="11" t="str">
        <f t="array" ref="F672">iferror(index('rna-muscle'!F:F,match($A672,'rna-muscle'!$A:$A,0)))</f>
        <v>G</v>
      </c>
      <c r="G672" s="11">
        <f t="array" ref="G672">iferror(index('rna-muscle'!G:G,match($A672,'rna-muscle'!$A:$A,0)))</f>
        <v>6</v>
      </c>
      <c r="H672" s="11" t="str">
        <f t="shared" si="4"/>
        <v>G6</v>
      </c>
      <c r="I672" s="10" t="str">
        <f t="shared" si="5"/>
        <v>BRN61G-G6</v>
      </c>
      <c r="J672" s="16"/>
      <c r="K672" s="16" t="str">
        <f t="shared" si="6"/>
        <v>collected</v>
      </c>
      <c r="L672" s="16" t="str">
        <f t="shared" si="7"/>
        <v>N</v>
      </c>
      <c r="M672" s="16"/>
      <c r="N672" s="16"/>
    </row>
    <row r="673">
      <c r="A673" s="44" t="s">
        <v>1151</v>
      </c>
      <c r="B673" s="10" t="str">
        <f t="shared" si="1"/>
        <v>RNA-gill</v>
      </c>
      <c r="C673" s="10" t="str">
        <f t="shared" si="2"/>
        <v>BRN61G-F6</v>
      </c>
      <c r="D673" s="11">
        <f t="array" ref="D673">iferror(index('rna-muscle'!D:D,match(A673,'rna-muscle'!A:A,0)))</f>
        <v>61</v>
      </c>
      <c r="E673" s="10" t="str">
        <f t="shared" si="3"/>
        <v>BRN61G</v>
      </c>
      <c r="F673" s="11" t="str">
        <f t="array" ref="F673">iferror(index('rna-muscle'!F:F,match($A673,'rna-muscle'!$A:$A,0)))</f>
        <v>F</v>
      </c>
      <c r="G673" s="11">
        <f t="array" ref="G673">iferror(index('rna-muscle'!G:G,match($A673,'rna-muscle'!$A:$A,0)))</f>
        <v>6</v>
      </c>
      <c r="H673" s="11" t="str">
        <f t="shared" si="4"/>
        <v>F6</v>
      </c>
      <c r="I673" s="10" t="str">
        <f t="shared" si="5"/>
        <v>BRN61G-F6</v>
      </c>
      <c r="J673" s="6"/>
      <c r="K673" s="16" t="str">
        <f t="shared" si="6"/>
        <v>collected</v>
      </c>
      <c r="L673" s="16" t="str">
        <f t="shared" si="7"/>
        <v>N</v>
      </c>
      <c r="M673" s="16"/>
      <c r="N673" s="16"/>
    </row>
    <row r="674">
      <c r="A674" s="44" t="s">
        <v>1153</v>
      </c>
      <c r="B674" s="10" t="str">
        <f t="shared" si="1"/>
        <v>RNA-gill</v>
      </c>
      <c r="C674" s="10" t="str">
        <f t="shared" si="2"/>
        <v>BRN61G-E6</v>
      </c>
      <c r="D674" s="11">
        <f t="array" ref="D674">iferror(index('rna-muscle'!D:D,match(A674,'rna-muscle'!A:A,0)))</f>
        <v>61</v>
      </c>
      <c r="E674" s="10" t="str">
        <f t="shared" si="3"/>
        <v>BRN61G</v>
      </c>
      <c r="F674" s="11" t="str">
        <f t="array" ref="F674">iferror(index('rna-muscle'!F:F,match($A674,'rna-muscle'!$A:$A,0)))</f>
        <v>E</v>
      </c>
      <c r="G674" s="11">
        <f t="array" ref="G674">iferror(index('rna-muscle'!G:G,match($A674,'rna-muscle'!$A:$A,0)))</f>
        <v>6</v>
      </c>
      <c r="H674" s="11" t="str">
        <f t="shared" si="4"/>
        <v>E6</v>
      </c>
      <c r="I674" s="10" t="str">
        <f t="shared" si="5"/>
        <v>BRN61G-E6</v>
      </c>
      <c r="J674" s="16"/>
      <c r="K674" s="16" t="str">
        <f t="shared" si="6"/>
        <v>collected</v>
      </c>
      <c r="L674" s="16" t="str">
        <f t="shared" si="7"/>
        <v>N</v>
      </c>
      <c r="M674" s="16"/>
      <c r="N674" s="16"/>
    </row>
    <row r="675">
      <c r="A675" s="44" t="s">
        <v>1154</v>
      </c>
      <c r="B675" s="10" t="str">
        <f t="shared" si="1"/>
        <v>RNA-gill</v>
      </c>
      <c r="C675" s="10" t="str">
        <f t="shared" si="2"/>
        <v>BRN61G-D6</v>
      </c>
      <c r="D675" s="11">
        <f t="array" ref="D675">iferror(index('rna-muscle'!D:D,match(A675,'rna-muscle'!A:A,0)))</f>
        <v>61</v>
      </c>
      <c r="E675" s="10" t="str">
        <f t="shared" si="3"/>
        <v>BRN61G</v>
      </c>
      <c r="F675" s="11" t="str">
        <f t="array" ref="F675">iferror(index('rna-muscle'!F:F,match($A675,'rna-muscle'!$A:$A,0)))</f>
        <v>D</v>
      </c>
      <c r="G675" s="11">
        <f t="array" ref="G675">iferror(index('rna-muscle'!G:G,match($A675,'rna-muscle'!$A:$A,0)))</f>
        <v>6</v>
      </c>
      <c r="H675" s="11" t="str">
        <f t="shared" si="4"/>
        <v>D6</v>
      </c>
      <c r="I675" s="10" t="str">
        <f t="shared" si="5"/>
        <v>BRN61G-D6</v>
      </c>
      <c r="J675" s="16"/>
      <c r="K675" s="16" t="str">
        <f t="shared" si="6"/>
        <v>collected</v>
      </c>
      <c r="L675" s="16" t="str">
        <f t="shared" si="7"/>
        <v>N</v>
      </c>
      <c r="M675" s="16"/>
      <c r="N675" s="16"/>
    </row>
    <row r="676">
      <c r="A676" s="44" t="s">
        <v>1155</v>
      </c>
      <c r="B676" s="10" t="str">
        <f t="shared" si="1"/>
        <v>RNA-gill</v>
      </c>
      <c r="C676" s="10" t="str">
        <f t="shared" si="2"/>
        <v>BRN61G-C6</v>
      </c>
      <c r="D676" s="11">
        <f t="array" ref="D676">iferror(index('rna-muscle'!D:D,match(A676,'rna-muscle'!A:A,0)))</f>
        <v>61</v>
      </c>
      <c r="E676" s="10" t="str">
        <f t="shared" si="3"/>
        <v>BRN61G</v>
      </c>
      <c r="F676" s="11" t="str">
        <f t="array" ref="F676">iferror(index('rna-muscle'!F:F,match($A676,'rna-muscle'!$A:$A,0)))</f>
        <v>C</v>
      </c>
      <c r="G676" s="11">
        <f t="array" ref="G676">iferror(index('rna-muscle'!G:G,match($A676,'rna-muscle'!$A:$A,0)))</f>
        <v>6</v>
      </c>
      <c r="H676" s="11" t="str">
        <f t="shared" si="4"/>
        <v>C6</v>
      </c>
      <c r="I676" s="10" t="str">
        <f t="shared" si="5"/>
        <v>BRN61G-C6</v>
      </c>
      <c r="J676" s="16"/>
      <c r="K676" s="16" t="str">
        <f t="shared" si="6"/>
        <v>collected</v>
      </c>
      <c r="L676" s="16" t="str">
        <f t="shared" si="7"/>
        <v>N</v>
      </c>
      <c r="M676" s="16"/>
      <c r="N676" s="16"/>
    </row>
    <row r="677">
      <c r="A677" s="44" t="s">
        <v>1156</v>
      </c>
      <c r="B677" s="10" t="str">
        <f t="shared" si="1"/>
        <v>RNA-gill</v>
      </c>
      <c r="C677" s="10" t="str">
        <f t="shared" si="2"/>
        <v>BRN61G-B6</v>
      </c>
      <c r="D677" s="11">
        <f t="array" ref="D677">iferror(index('rna-muscle'!D:D,match(A677,'rna-muscle'!A:A,0)))</f>
        <v>61</v>
      </c>
      <c r="E677" s="10" t="str">
        <f t="shared" si="3"/>
        <v>BRN61G</v>
      </c>
      <c r="F677" s="11" t="str">
        <f t="array" ref="F677">iferror(index('rna-muscle'!F:F,match($A677,'rna-muscle'!$A:$A,0)))</f>
        <v>B</v>
      </c>
      <c r="G677" s="11">
        <f t="array" ref="G677">iferror(index('rna-muscle'!G:G,match($A677,'rna-muscle'!$A:$A,0)))</f>
        <v>6</v>
      </c>
      <c r="H677" s="11" t="str">
        <f t="shared" si="4"/>
        <v>B6</v>
      </c>
      <c r="I677" s="10" t="str">
        <f t="shared" si="5"/>
        <v>BRN61G-B6</v>
      </c>
      <c r="J677" s="16"/>
      <c r="K677" s="16" t="str">
        <f t="shared" si="6"/>
        <v>collected</v>
      </c>
      <c r="L677" s="16" t="str">
        <f t="shared" si="7"/>
        <v>N</v>
      </c>
      <c r="M677" s="16"/>
      <c r="N677" s="16"/>
    </row>
    <row r="678">
      <c r="A678" s="44" t="s">
        <v>1157</v>
      </c>
      <c r="B678" s="10" t="str">
        <f t="shared" si="1"/>
        <v>RNA-gill</v>
      </c>
      <c r="C678" s="10" t="str">
        <f t="shared" si="2"/>
        <v>BRN61G-A6</v>
      </c>
      <c r="D678" s="11">
        <f t="array" ref="D678">iferror(index('rna-muscle'!D:D,match(A678,'rna-muscle'!A:A,0)))</f>
        <v>61</v>
      </c>
      <c r="E678" s="10" t="str">
        <f t="shared" si="3"/>
        <v>BRN61G</v>
      </c>
      <c r="F678" s="11" t="str">
        <f t="array" ref="F678">iferror(index('rna-muscle'!F:F,match($A678,'rna-muscle'!$A:$A,0)))</f>
        <v>A</v>
      </c>
      <c r="G678" s="11">
        <f t="array" ref="G678">iferror(index('rna-muscle'!G:G,match($A678,'rna-muscle'!$A:$A,0)))</f>
        <v>6</v>
      </c>
      <c r="H678" s="11" t="str">
        <f t="shared" si="4"/>
        <v>A6</v>
      </c>
      <c r="I678" s="10" t="str">
        <f t="shared" si="5"/>
        <v>BRN61G-A6</v>
      </c>
      <c r="J678" s="16"/>
      <c r="K678" s="16" t="str">
        <f t="shared" si="6"/>
        <v>collected</v>
      </c>
      <c r="L678" s="16" t="str">
        <f t="shared" si="7"/>
        <v>N</v>
      </c>
      <c r="M678" s="16"/>
      <c r="N678" s="16"/>
    </row>
    <row r="679">
      <c r="A679" s="44" t="s">
        <v>1159</v>
      </c>
      <c r="B679" s="10" t="str">
        <f t="shared" si="1"/>
        <v>RNA-gill</v>
      </c>
      <c r="C679" s="10" t="str">
        <f t="shared" si="2"/>
        <v>BRN61G-H8</v>
      </c>
      <c r="D679" s="11">
        <f t="array" ref="D679">iferror(index('rna-muscle'!D:D,match(A679,'rna-muscle'!A:A,0)))</f>
        <v>61</v>
      </c>
      <c r="E679" s="10" t="str">
        <f t="shared" si="3"/>
        <v>BRN61G</v>
      </c>
      <c r="F679" s="11" t="str">
        <f t="array" ref="F679">iferror(index('rna-muscle'!F:F,match($A679,'rna-muscle'!$A:$A,0)))</f>
        <v>H</v>
      </c>
      <c r="G679" s="11">
        <f t="array" ref="G679">iferror(index('rna-muscle'!G:G,match($A679,'rna-muscle'!$A:$A,0)))</f>
        <v>8</v>
      </c>
      <c r="H679" s="11" t="str">
        <f t="shared" si="4"/>
        <v>H8</v>
      </c>
      <c r="I679" s="10" t="str">
        <f t="shared" si="5"/>
        <v>BRN61G-H8</v>
      </c>
      <c r="J679" s="16"/>
      <c r="K679" s="16" t="str">
        <f t="shared" si="6"/>
        <v>collected</v>
      </c>
      <c r="L679" s="16" t="str">
        <f t="shared" si="7"/>
        <v>N</v>
      </c>
      <c r="M679" s="16"/>
      <c r="N679" s="16"/>
    </row>
    <row r="680">
      <c r="A680" s="44" t="s">
        <v>83</v>
      </c>
      <c r="B680" s="10" t="str">
        <f t="shared" si="1"/>
        <v>RNA-gill</v>
      </c>
      <c r="C680" s="10" t="str">
        <f t="shared" si="2"/>
        <v>BRN61G-G8</v>
      </c>
      <c r="D680" s="11">
        <f t="array" ref="D680">iferror(index('rna-muscle'!D:D,match(A680,'rna-muscle'!A:A,0)))</f>
        <v>61</v>
      </c>
      <c r="E680" s="10" t="str">
        <f t="shared" si="3"/>
        <v>BRN61G</v>
      </c>
      <c r="F680" s="11" t="str">
        <f t="array" ref="F680">iferror(index('rna-muscle'!F:F,match($A680,'rna-muscle'!$A:$A,0)))</f>
        <v>G</v>
      </c>
      <c r="G680" s="11">
        <f t="array" ref="G680">iferror(index('rna-muscle'!G:G,match($A680,'rna-muscle'!$A:$A,0)))</f>
        <v>8</v>
      </c>
      <c r="H680" s="11" t="str">
        <f t="shared" si="4"/>
        <v>G8</v>
      </c>
      <c r="I680" s="10" t="str">
        <f t="shared" si="5"/>
        <v>BRN61G-G8</v>
      </c>
      <c r="J680" s="16"/>
      <c r="K680" s="16" t="str">
        <f t="shared" si="6"/>
        <v>collected</v>
      </c>
      <c r="L680" s="16" t="str">
        <f t="shared" si="7"/>
        <v>N</v>
      </c>
      <c r="M680" s="16"/>
      <c r="N680" s="16"/>
    </row>
    <row r="681">
      <c r="A681" s="44" t="s">
        <v>1161</v>
      </c>
      <c r="B681" s="10" t="str">
        <f t="shared" si="1"/>
        <v>RNA-gill</v>
      </c>
      <c r="C681" s="10" t="str">
        <f t="shared" si="2"/>
        <v>BRN61G-F8</v>
      </c>
      <c r="D681" s="11">
        <f t="array" ref="D681">iferror(index('rna-muscle'!D:D,match(A681,'rna-muscle'!A:A,0)))</f>
        <v>61</v>
      </c>
      <c r="E681" s="10" t="str">
        <f t="shared" si="3"/>
        <v>BRN61G</v>
      </c>
      <c r="F681" s="11" t="str">
        <f t="array" ref="F681">iferror(index('rna-muscle'!F:F,match($A681,'rna-muscle'!$A:$A,0)))</f>
        <v>F</v>
      </c>
      <c r="G681" s="11">
        <f t="array" ref="G681">iferror(index('rna-muscle'!G:G,match($A681,'rna-muscle'!$A:$A,0)))</f>
        <v>8</v>
      </c>
      <c r="H681" s="11" t="str">
        <f t="shared" si="4"/>
        <v>F8</v>
      </c>
      <c r="I681" s="10" t="str">
        <f t="shared" si="5"/>
        <v>BRN61G-F8</v>
      </c>
      <c r="J681" s="16"/>
      <c r="K681" s="16" t="str">
        <f t="shared" si="6"/>
        <v>collected</v>
      </c>
      <c r="L681" s="16" t="str">
        <f t="shared" si="7"/>
        <v>N</v>
      </c>
      <c r="M681" s="16"/>
      <c r="N681" s="16"/>
    </row>
    <row r="682">
      <c r="A682" s="44" t="s">
        <v>1162</v>
      </c>
      <c r="B682" s="10" t="str">
        <f t="shared" si="1"/>
        <v>RNA-gill</v>
      </c>
      <c r="C682" s="10" t="str">
        <f t="shared" si="2"/>
        <v>BRN61G-E8</v>
      </c>
      <c r="D682" s="11">
        <f t="array" ref="D682">iferror(index('rna-muscle'!D:D,match(A682,'rna-muscle'!A:A,0)))</f>
        <v>61</v>
      </c>
      <c r="E682" s="10" t="str">
        <f t="shared" si="3"/>
        <v>BRN61G</v>
      </c>
      <c r="F682" s="11" t="str">
        <f t="array" ref="F682">iferror(index('rna-muscle'!F:F,match($A682,'rna-muscle'!$A:$A,0)))</f>
        <v>E</v>
      </c>
      <c r="G682" s="11">
        <f t="array" ref="G682">iferror(index('rna-muscle'!G:G,match($A682,'rna-muscle'!$A:$A,0)))</f>
        <v>8</v>
      </c>
      <c r="H682" s="11" t="str">
        <f t="shared" si="4"/>
        <v>E8</v>
      </c>
      <c r="I682" s="10" t="str">
        <f t="shared" si="5"/>
        <v>BRN61G-E8</v>
      </c>
      <c r="J682" s="16"/>
      <c r="K682" s="16" t="str">
        <f t="shared" si="6"/>
        <v>collected</v>
      </c>
      <c r="L682" s="16" t="str">
        <f t="shared" si="7"/>
        <v>N</v>
      </c>
      <c r="M682" s="16"/>
      <c r="N682" s="16"/>
    </row>
    <row r="683">
      <c r="A683" s="44" t="s">
        <v>1164</v>
      </c>
      <c r="B683" s="10" t="str">
        <f t="shared" si="1"/>
        <v>RNA-gill</v>
      </c>
      <c r="C683" s="10" t="str">
        <f t="shared" si="2"/>
        <v>BRN61G-D8</v>
      </c>
      <c r="D683" s="11">
        <f t="array" ref="D683">iferror(index('rna-muscle'!D:D,match(A683,'rna-muscle'!A:A,0)))</f>
        <v>61</v>
      </c>
      <c r="E683" s="10" t="str">
        <f t="shared" si="3"/>
        <v>BRN61G</v>
      </c>
      <c r="F683" s="11" t="str">
        <f t="array" ref="F683">iferror(index('rna-muscle'!F:F,match($A683,'rna-muscle'!$A:$A,0)))</f>
        <v>D</v>
      </c>
      <c r="G683" s="11">
        <f t="array" ref="G683">iferror(index('rna-muscle'!G:G,match($A683,'rna-muscle'!$A:$A,0)))</f>
        <v>8</v>
      </c>
      <c r="H683" s="11" t="str">
        <f t="shared" si="4"/>
        <v>D8</v>
      </c>
      <c r="I683" s="10" t="str">
        <f t="shared" si="5"/>
        <v>BRN61G-D8</v>
      </c>
      <c r="J683" s="6"/>
      <c r="K683" s="16" t="str">
        <f t="shared" si="6"/>
        <v>collected</v>
      </c>
      <c r="L683" s="16" t="str">
        <f t="shared" si="7"/>
        <v>N</v>
      </c>
      <c r="M683" s="16"/>
      <c r="N683" s="16"/>
    </row>
    <row r="684">
      <c r="A684" s="44" t="s">
        <v>1165</v>
      </c>
      <c r="B684" s="10" t="str">
        <f t="shared" si="1"/>
        <v>RNA-gill</v>
      </c>
      <c r="C684" s="10" t="str">
        <f t="shared" si="2"/>
        <v>BRN61G-C8</v>
      </c>
      <c r="D684" s="11">
        <f t="array" ref="D684">iferror(index('rna-muscle'!D:D,match(A684,'rna-muscle'!A:A,0)))</f>
        <v>61</v>
      </c>
      <c r="E684" s="10" t="str">
        <f t="shared" si="3"/>
        <v>BRN61G</v>
      </c>
      <c r="F684" s="11" t="str">
        <f t="array" ref="F684">iferror(index('rna-muscle'!F:F,match($A684,'rna-muscle'!$A:$A,0)))</f>
        <v>C</v>
      </c>
      <c r="G684" s="11">
        <f t="array" ref="G684">iferror(index('rna-muscle'!G:G,match($A684,'rna-muscle'!$A:$A,0)))</f>
        <v>8</v>
      </c>
      <c r="H684" s="11" t="str">
        <f t="shared" si="4"/>
        <v>C8</v>
      </c>
      <c r="I684" s="10" t="str">
        <f t="shared" si="5"/>
        <v>BRN61G-C8</v>
      </c>
      <c r="J684" s="16"/>
      <c r="K684" s="16" t="str">
        <f t="shared" si="6"/>
        <v>collected</v>
      </c>
      <c r="L684" s="16" t="str">
        <f t="shared" si="7"/>
        <v>N</v>
      </c>
      <c r="M684" s="16"/>
      <c r="N684" s="16"/>
    </row>
    <row r="685">
      <c r="A685" s="44" t="s">
        <v>1166</v>
      </c>
      <c r="B685" s="10" t="str">
        <f t="shared" si="1"/>
        <v>RNA-gill</v>
      </c>
      <c r="C685" s="10" t="str">
        <f t="shared" si="2"/>
        <v>BRN61G-B8</v>
      </c>
      <c r="D685" s="11">
        <f t="array" ref="D685">iferror(index('rna-muscle'!D:D,match(A685,'rna-muscle'!A:A,0)))</f>
        <v>61</v>
      </c>
      <c r="E685" s="10" t="str">
        <f t="shared" si="3"/>
        <v>BRN61G</v>
      </c>
      <c r="F685" s="11" t="str">
        <f t="array" ref="F685">iferror(index('rna-muscle'!F:F,match($A685,'rna-muscle'!$A:$A,0)))</f>
        <v>B</v>
      </c>
      <c r="G685" s="11">
        <f t="array" ref="G685">iferror(index('rna-muscle'!G:G,match($A685,'rna-muscle'!$A:$A,0)))</f>
        <v>8</v>
      </c>
      <c r="H685" s="11" t="str">
        <f t="shared" si="4"/>
        <v>B8</v>
      </c>
      <c r="I685" s="10" t="str">
        <f t="shared" si="5"/>
        <v>BRN61G-B8</v>
      </c>
      <c r="J685" s="6"/>
      <c r="K685" s="16" t="str">
        <f t="shared" si="6"/>
        <v>collected</v>
      </c>
      <c r="L685" s="16" t="str">
        <f t="shared" si="7"/>
        <v>N</v>
      </c>
      <c r="M685" s="16"/>
      <c r="N685" s="16"/>
    </row>
    <row r="686">
      <c r="A686" s="44" t="s">
        <v>1167</v>
      </c>
      <c r="B686" s="10" t="str">
        <f t="shared" si="1"/>
        <v>RNA-gill</v>
      </c>
      <c r="C686" s="10" t="str">
        <f t="shared" si="2"/>
        <v>BRN61G-A8</v>
      </c>
      <c r="D686" s="11">
        <f t="array" ref="D686">iferror(index('rna-muscle'!D:D,match(A686,'rna-muscle'!A:A,0)))</f>
        <v>61</v>
      </c>
      <c r="E686" s="10" t="str">
        <f t="shared" si="3"/>
        <v>BRN61G</v>
      </c>
      <c r="F686" s="11" t="str">
        <f t="array" ref="F686">iferror(index('rna-muscle'!F:F,match($A686,'rna-muscle'!$A:$A,0)))</f>
        <v>A</v>
      </c>
      <c r="G686" s="11">
        <f t="array" ref="G686">iferror(index('rna-muscle'!G:G,match($A686,'rna-muscle'!$A:$A,0)))</f>
        <v>8</v>
      </c>
      <c r="H686" s="11" t="str">
        <f t="shared" si="4"/>
        <v>A8</v>
      </c>
      <c r="I686" s="10" t="str">
        <f t="shared" si="5"/>
        <v>BRN61G-A8</v>
      </c>
      <c r="J686" s="16"/>
      <c r="K686" s="16" t="str">
        <f t="shared" si="6"/>
        <v>collected</v>
      </c>
      <c r="L686" s="16" t="str">
        <f t="shared" si="7"/>
        <v>N</v>
      </c>
      <c r="M686" s="16"/>
      <c r="N686" s="16"/>
    </row>
    <row r="687">
      <c r="A687" s="44" t="s">
        <v>1168</v>
      </c>
      <c r="B687" s="10" t="str">
        <f t="shared" si="1"/>
        <v>RNA-gill</v>
      </c>
      <c r="C687" s="10" t="str">
        <f t="shared" si="2"/>
        <v>BRN61G-H10</v>
      </c>
      <c r="D687" s="11">
        <f t="array" ref="D687">iferror(index('rna-muscle'!D:D,match(A687,'rna-muscle'!A:A,0)))</f>
        <v>61</v>
      </c>
      <c r="E687" s="10" t="str">
        <f t="shared" si="3"/>
        <v>BRN61G</v>
      </c>
      <c r="F687" s="11" t="str">
        <f t="array" ref="F687">iferror(index('rna-muscle'!F:F,match($A687,'rna-muscle'!$A:$A,0)))</f>
        <v>H</v>
      </c>
      <c r="G687" s="11">
        <f t="array" ref="G687">iferror(index('rna-muscle'!G:G,match($A687,'rna-muscle'!$A:$A,0)))</f>
        <v>10</v>
      </c>
      <c r="H687" s="11" t="str">
        <f t="shared" si="4"/>
        <v>H10</v>
      </c>
      <c r="I687" s="10" t="str">
        <f t="shared" si="5"/>
        <v>BRN61G-H10</v>
      </c>
      <c r="K687" s="16" t="str">
        <f t="shared" si="6"/>
        <v>collected</v>
      </c>
      <c r="L687" s="16" t="str">
        <f t="shared" si="7"/>
        <v>N</v>
      </c>
      <c r="M687" s="16"/>
      <c r="N687" s="16"/>
    </row>
    <row r="688">
      <c r="A688" s="43" t="s">
        <v>1171</v>
      </c>
      <c r="B688" s="10" t="str">
        <f t="shared" si="1"/>
        <v>RNA-gill</v>
      </c>
      <c r="C688" s="10" t="str">
        <f t="shared" si="2"/>
        <v>BRN61G-G10</v>
      </c>
      <c r="D688" s="11">
        <f t="array" ref="D688">iferror(index('rna-muscle'!D:D,match(A688,'rna-muscle'!A:A,0)))</f>
        <v>61</v>
      </c>
      <c r="E688" s="10" t="str">
        <f t="shared" si="3"/>
        <v>BRN61G</v>
      </c>
      <c r="F688" s="11" t="str">
        <f t="array" ref="F688">iferror(index('rna-muscle'!F:F,match($A688,'rna-muscle'!$A:$A,0)))</f>
        <v>G</v>
      </c>
      <c r="G688" s="11">
        <f t="array" ref="G688">iferror(index('rna-muscle'!G:G,match($A688,'rna-muscle'!$A:$A,0)))</f>
        <v>10</v>
      </c>
      <c r="H688" s="11" t="str">
        <f t="shared" si="4"/>
        <v>G10</v>
      </c>
      <c r="I688" s="10" t="str">
        <f t="shared" si="5"/>
        <v>BRN61G-G10</v>
      </c>
      <c r="K688" s="16" t="str">
        <f t="shared" si="6"/>
        <v>collected</v>
      </c>
      <c r="L688" s="16" t="str">
        <f t="shared" si="7"/>
        <v>N</v>
      </c>
      <c r="M688" s="16"/>
      <c r="N688" s="16"/>
    </row>
    <row r="689">
      <c r="A689" s="43" t="s">
        <v>1173</v>
      </c>
      <c r="B689" s="10" t="str">
        <f t="shared" si="1"/>
        <v>RNA-gill</v>
      </c>
      <c r="C689" s="10" t="str">
        <f t="shared" si="2"/>
        <v>BRN61G-F10</v>
      </c>
      <c r="D689" s="11">
        <f t="array" ref="D689">iferror(index('rna-muscle'!D:D,match(A689,'rna-muscle'!A:A,0)))</f>
        <v>61</v>
      </c>
      <c r="E689" s="10" t="str">
        <f t="shared" si="3"/>
        <v>BRN61G</v>
      </c>
      <c r="F689" s="11" t="str">
        <f t="array" ref="F689">iferror(index('rna-muscle'!F:F,match($A689,'rna-muscle'!$A:$A,0)))</f>
        <v>F</v>
      </c>
      <c r="G689" s="11">
        <f t="array" ref="G689">iferror(index('rna-muscle'!G:G,match($A689,'rna-muscle'!$A:$A,0)))</f>
        <v>10</v>
      </c>
      <c r="H689" s="11" t="str">
        <f t="shared" si="4"/>
        <v>F10</v>
      </c>
      <c r="I689" s="10" t="str">
        <f t="shared" si="5"/>
        <v>BRN61G-F10</v>
      </c>
      <c r="K689" s="16" t="str">
        <f t="shared" si="6"/>
        <v>collected</v>
      </c>
      <c r="L689" s="16" t="str">
        <f t="shared" si="7"/>
        <v>N</v>
      </c>
      <c r="M689" s="16"/>
      <c r="N689" s="16"/>
    </row>
    <row r="690">
      <c r="A690" s="43" t="s">
        <v>1174</v>
      </c>
      <c r="B690" s="10" t="str">
        <f t="shared" si="1"/>
        <v>RNA-gill</v>
      </c>
      <c r="C690" s="10" t="str">
        <f t="shared" si="2"/>
        <v>BRN61G-E10</v>
      </c>
      <c r="D690" s="11">
        <f t="array" ref="D690">iferror(index('rna-muscle'!D:D,match(A690,'rna-muscle'!A:A,0)))</f>
        <v>61</v>
      </c>
      <c r="E690" s="10" t="str">
        <f t="shared" si="3"/>
        <v>BRN61G</v>
      </c>
      <c r="F690" s="11" t="str">
        <f t="array" ref="F690">iferror(index('rna-muscle'!F:F,match($A690,'rna-muscle'!$A:$A,0)))</f>
        <v>E</v>
      </c>
      <c r="G690" s="11">
        <f t="array" ref="G690">iferror(index('rna-muscle'!G:G,match($A690,'rna-muscle'!$A:$A,0)))</f>
        <v>10</v>
      </c>
      <c r="H690" s="11" t="str">
        <f t="shared" si="4"/>
        <v>E10</v>
      </c>
      <c r="I690" s="10" t="str">
        <f t="shared" si="5"/>
        <v>BRN61G-E10</v>
      </c>
      <c r="K690" s="16" t="str">
        <f t="shared" si="6"/>
        <v>collected</v>
      </c>
      <c r="L690" s="16" t="str">
        <f t="shared" si="7"/>
        <v>N</v>
      </c>
      <c r="M690" s="16"/>
      <c r="N690" s="16"/>
    </row>
    <row r="691">
      <c r="A691" s="43" t="s">
        <v>1175</v>
      </c>
      <c r="B691" s="10" t="str">
        <f t="shared" si="1"/>
        <v>RNA-gill</v>
      </c>
      <c r="C691" s="10" t="str">
        <f t="shared" si="2"/>
        <v>BRN61G-D10</v>
      </c>
      <c r="D691" s="11">
        <f t="array" ref="D691">iferror(index('rna-muscle'!D:D,match(A691,'rna-muscle'!A:A,0)))</f>
        <v>61</v>
      </c>
      <c r="E691" s="10" t="str">
        <f t="shared" si="3"/>
        <v>BRN61G</v>
      </c>
      <c r="F691" s="11" t="str">
        <f t="array" ref="F691">iferror(index('rna-muscle'!F:F,match($A691,'rna-muscle'!$A:$A,0)))</f>
        <v>D</v>
      </c>
      <c r="G691" s="11">
        <f t="array" ref="G691">iferror(index('rna-muscle'!G:G,match($A691,'rna-muscle'!$A:$A,0)))</f>
        <v>10</v>
      </c>
      <c r="H691" s="11" t="str">
        <f t="shared" si="4"/>
        <v>D10</v>
      </c>
      <c r="I691" s="10" t="str">
        <f t="shared" si="5"/>
        <v>BRN61G-D10</v>
      </c>
      <c r="K691" s="16" t="str">
        <f t="shared" si="6"/>
        <v>collected</v>
      </c>
      <c r="L691" s="16" t="str">
        <f t="shared" si="7"/>
        <v>N</v>
      </c>
      <c r="M691" s="16"/>
      <c r="N691" s="16"/>
    </row>
    <row r="692">
      <c r="A692" s="43" t="s">
        <v>1176</v>
      </c>
      <c r="B692" s="10" t="str">
        <f t="shared" si="1"/>
        <v>RNA-gill</v>
      </c>
      <c r="C692" s="10" t="str">
        <f t="shared" si="2"/>
        <v>BRN61G-C10</v>
      </c>
      <c r="D692" s="11">
        <f t="array" ref="D692">iferror(index('rna-muscle'!D:D,match(A692,'rna-muscle'!A:A,0)))</f>
        <v>61</v>
      </c>
      <c r="E692" s="10" t="str">
        <f t="shared" si="3"/>
        <v>BRN61G</v>
      </c>
      <c r="F692" s="11" t="str">
        <f t="array" ref="F692">iferror(index('rna-muscle'!F:F,match($A692,'rna-muscle'!$A:$A,0)))</f>
        <v>C</v>
      </c>
      <c r="G692" s="11">
        <f t="array" ref="G692">iferror(index('rna-muscle'!G:G,match($A692,'rna-muscle'!$A:$A,0)))</f>
        <v>10</v>
      </c>
      <c r="H692" s="11" t="str">
        <f t="shared" si="4"/>
        <v>C10</v>
      </c>
      <c r="I692" s="10" t="str">
        <f t="shared" si="5"/>
        <v>BRN61G-C10</v>
      </c>
      <c r="K692" s="16" t="str">
        <f t="shared" si="6"/>
        <v>collected</v>
      </c>
      <c r="L692" s="16" t="str">
        <f t="shared" si="7"/>
        <v>N</v>
      </c>
      <c r="M692" s="16"/>
      <c r="N692" s="16"/>
    </row>
    <row r="693">
      <c r="A693" s="43" t="s">
        <v>97</v>
      </c>
      <c r="B693" s="10" t="str">
        <f t="shared" si="1"/>
        <v>RNA-gill</v>
      </c>
      <c r="C693" s="10" t="str">
        <f t="shared" si="2"/>
        <v>BRN61G-B10</v>
      </c>
      <c r="D693" s="11">
        <f t="array" ref="D693">iferror(index('rna-muscle'!D:D,match(A693,'rna-muscle'!A:A,0)))</f>
        <v>61</v>
      </c>
      <c r="E693" s="10" t="str">
        <f t="shared" si="3"/>
        <v>BRN61G</v>
      </c>
      <c r="F693" s="11" t="str">
        <f t="array" ref="F693">iferror(index('rna-muscle'!F:F,match($A693,'rna-muscle'!$A:$A,0)))</f>
        <v>B</v>
      </c>
      <c r="G693" s="11">
        <f t="array" ref="G693">iferror(index('rna-muscle'!G:G,match($A693,'rna-muscle'!$A:$A,0)))</f>
        <v>10</v>
      </c>
      <c r="H693" s="11" t="str">
        <f t="shared" si="4"/>
        <v>B10</v>
      </c>
      <c r="I693" s="10" t="str">
        <f t="shared" si="5"/>
        <v>BRN61G-B10</v>
      </c>
      <c r="K693" s="16" t="str">
        <f t="shared" si="6"/>
        <v>collected</v>
      </c>
      <c r="L693" s="16" t="str">
        <f t="shared" si="7"/>
        <v>N</v>
      </c>
      <c r="M693" s="16"/>
      <c r="N693" s="16"/>
    </row>
    <row r="694">
      <c r="A694" s="43" t="s">
        <v>107</v>
      </c>
      <c r="B694" s="10" t="str">
        <f t="shared" si="1"/>
        <v>RNA-gill</v>
      </c>
      <c r="C694" s="10" t="str">
        <f t="shared" si="2"/>
        <v>BRN61G-A10</v>
      </c>
      <c r="D694" s="11">
        <f t="array" ref="D694">iferror(index('rna-muscle'!D:D,match(A694,'rna-muscle'!A:A,0)))</f>
        <v>61</v>
      </c>
      <c r="E694" s="10" t="str">
        <f t="shared" si="3"/>
        <v>BRN61G</v>
      </c>
      <c r="F694" s="11" t="str">
        <f t="array" ref="F694">iferror(index('rna-muscle'!F:F,match($A694,'rna-muscle'!$A:$A,0)))</f>
        <v>A</v>
      </c>
      <c r="G694" s="11">
        <f t="array" ref="G694">iferror(index('rna-muscle'!G:G,match($A694,'rna-muscle'!$A:$A,0)))</f>
        <v>10</v>
      </c>
      <c r="H694" s="11" t="str">
        <f t="shared" si="4"/>
        <v>A10</v>
      </c>
      <c r="I694" s="10" t="str">
        <f t="shared" si="5"/>
        <v>BRN61G-A10</v>
      </c>
      <c r="K694" s="16" t="str">
        <f t="shared" si="6"/>
        <v>collected</v>
      </c>
      <c r="L694" s="16" t="str">
        <f t="shared" si="7"/>
        <v>N</v>
      </c>
      <c r="M694" s="16"/>
      <c r="N694" s="16"/>
    </row>
    <row r="695">
      <c r="A695" s="43" t="s">
        <v>115</v>
      </c>
      <c r="B695" s="10" t="str">
        <f t="shared" si="1"/>
        <v>RNA-gill</v>
      </c>
      <c r="C695" s="10" t="str">
        <f t="shared" si="2"/>
        <v>BRN61G-C11</v>
      </c>
      <c r="D695" s="11">
        <f t="array" ref="D695">iferror(index('rna-muscle'!D:D,match(A695,'rna-muscle'!A:A,0)))</f>
        <v>61</v>
      </c>
      <c r="E695" s="10" t="str">
        <f t="shared" si="3"/>
        <v>BRN61G</v>
      </c>
      <c r="F695" s="11" t="str">
        <f t="array" ref="F695">iferror(index('rna-muscle'!F:F,match($A695,'rna-muscle'!$A:$A,0)))</f>
        <v>C</v>
      </c>
      <c r="G695" s="11">
        <f t="array" ref="G695">iferror(index('rna-muscle'!G:G,match($A695,'rna-muscle'!$A:$A,0)))</f>
        <v>11</v>
      </c>
      <c r="H695" s="11" t="str">
        <f t="shared" si="4"/>
        <v>C11</v>
      </c>
      <c r="I695" s="10" t="str">
        <f t="shared" si="5"/>
        <v>BRN61G-C11</v>
      </c>
      <c r="K695" s="16" t="str">
        <f t="shared" si="6"/>
        <v>collected</v>
      </c>
      <c r="L695" s="16" t="str">
        <f t="shared" si="7"/>
        <v>N</v>
      </c>
      <c r="M695" s="16"/>
      <c r="N695" s="16"/>
    </row>
    <row r="696">
      <c r="A696" s="43" t="s">
        <v>122</v>
      </c>
      <c r="B696" s="10" t="str">
        <f t="shared" si="1"/>
        <v>RNA-gill</v>
      </c>
      <c r="C696" s="10" t="str">
        <f t="shared" si="2"/>
        <v>BRN61G-B11</v>
      </c>
      <c r="D696" s="11">
        <f t="array" ref="D696">iferror(index('rna-muscle'!D:D,match(A696,'rna-muscle'!A:A,0)))</f>
        <v>61</v>
      </c>
      <c r="E696" s="10" t="str">
        <f t="shared" si="3"/>
        <v>BRN61G</v>
      </c>
      <c r="F696" s="11" t="str">
        <f t="array" ref="F696">iferror(index('rna-muscle'!F:F,match($A696,'rna-muscle'!$A:$A,0)))</f>
        <v>B</v>
      </c>
      <c r="G696" s="11">
        <f t="array" ref="G696">iferror(index('rna-muscle'!G:G,match($A696,'rna-muscle'!$A:$A,0)))</f>
        <v>11</v>
      </c>
      <c r="H696" s="11" t="str">
        <f t="shared" si="4"/>
        <v>B11</v>
      </c>
      <c r="I696" s="10" t="str">
        <f t="shared" si="5"/>
        <v>BRN61G-B11</v>
      </c>
      <c r="K696" s="16" t="str">
        <f t="shared" si="6"/>
        <v>collected</v>
      </c>
      <c r="L696" s="16" t="str">
        <f t="shared" si="7"/>
        <v>N</v>
      </c>
      <c r="M696" s="16"/>
      <c r="N696" s="16"/>
    </row>
    <row r="697">
      <c r="A697" s="43" t="s">
        <v>132</v>
      </c>
      <c r="B697" s="10" t="str">
        <f t="shared" si="1"/>
        <v>RNA-gill</v>
      </c>
      <c r="C697" s="10" t="str">
        <f t="shared" si="2"/>
        <v>BRN61G-A11</v>
      </c>
      <c r="D697" s="11">
        <f t="array" ref="D697">iferror(index('rna-muscle'!D:D,match(A697,'rna-muscle'!A:A,0)))</f>
        <v>61</v>
      </c>
      <c r="E697" s="10" t="str">
        <f t="shared" si="3"/>
        <v>BRN61G</v>
      </c>
      <c r="F697" s="11" t="str">
        <f t="array" ref="F697">iferror(index('rna-muscle'!F:F,match($A697,'rna-muscle'!$A:$A,0)))</f>
        <v>A</v>
      </c>
      <c r="G697" s="11">
        <f t="array" ref="G697">iferror(index('rna-muscle'!G:G,match($A697,'rna-muscle'!$A:$A,0)))</f>
        <v>11</v>
      </c>
      <c r="H697" s="11" t="str">
        <f t="shared" si="4"/>
        <v>A11</v>
      </c>
      <c r="I697" s="10" t="str">
        <f t="shared" si="5"/>
        <v>BRN61G-A11</v>
      </c>
      <c r="K697" s="16" t="str">
        <f t="shared" si="6"/>
        <v>collected</v>
      </c>
      <c r="L697" s="16" t="str">
        <f t="shared" si="7"/>
        <v>N</v>
      </c>
      <c r="M697" s="16"/>
      <c r="N697" s="16"/>
    </row>
    <row r="698">
      <c r="A698" s="43" t="s">
        <v>140</v>
      </c>
      <c r="B698" s="10" t="str">
        <f t="shared" si="1"/>
        <v>RNA-gill</v>
      </c>
      <c r="C698" s="10" t="str">
        <f t="shared" si="2"/>
        <v>BRN64G-F9</v>
      </c>
      <c r="D698" s="11">
        <f t="array" ref="D698">iferror(index('rna-muscle'!D:D,match(A698,'rna-muscle'!A:A,0)))</f>
        <v>64</v>
      </c>
      <c r="E698" s="10" t="str">
        <f t="shared" si="3"/>
        <v>BRN64G</v>
      </c>
      <c r="F698" s="11" t="str">
        <f t="array" ref="F698">iferror(index('rna-muscle'!F:F,match($A698,'rna-muscle'!$A:$A,0)))</f>
        <v>F</v>
      </c>
      <c r="G698" s="11">
        <f t="array" ref="G698">iferror(index('rna-muscle'!G:G,match($A698,'rna-muscle'!$A:$A,0)))</f>
        <v>9</v>
      </c>
      <c r="H698" s="11" t="str">
        <f t="shared" si="4"/>
        <v>F9</v>
      </c>
      <c r="I698" s="10" t="str">
        <f t="shared" si="5"/>
        <v>BRN64G-F9</v>
      </c>
      <c r="K698" s="16" t="str">
        <f t="shared" si="6"/>
        <v>collected</v>
      </c>
      <c r="L698" s="16" t="str">
        <f t="shared" si="7"/>
        <v>N</v>
      </c>
      <c r="M698" s="16"/>
      <c r="N698" s="16"/>
    </row>
    <row r="699">
      <c r="A699" s="43" t="s">
        <v>147</v>
      </c>
      <c r="B699" s="10" t="str">
        <f t="shared" si="1"/>
        <v>RNA-gill</v>
      </c>
      <c r="C699" s="10" t="str">
        <f t="shared" si="2"/>
        <v>BRN64G-E9</v>
      </c>
      <c r="D699" s="11">
        <f t="array" ref="D699">iferror(index('rna-muscle'!D:D,match(A699,'rna-muscle'!A:A,0)))</f>
        <v>64</v>
      </c>
      <c r="E699" s="10" t="str">
        <f t="shared" si="3"/>
        <v>BRN64G</v>
      </c>
      <c r="F699" s="11" t="str">
        <f t="array" ref="F699">iferror(index('rna-muscle'!F:F,match($A699,'rna-muscle'!$A:$A,0)))</f>
        <v>E</v>
      </c>
      <c r="G699" s="11">
        <f t="array" ref="G699">iferror(index('rna-muscle'!G:G,match($A699,'rna-muscle'!$A:$A,0)))</f>
        <v>9</v>
      </c>
      <c r="H699" s="11" t="str">
        <f t="shared" si="4"/>
        <v>E9</v>
      </c>
      <c r="I699" s="10" t="str">
        <f t="shared" si="5"/>
        <v>BRN64G-E9</v>
      </c>
      <c r="K699" s="16" t="str">
        <f t="shared" si="6"/>
        <v>collected</v>
      </c>
      <c r="L699" s="16" t="str">
        <f t="shared" si="7"/>
        <v>N</v>
      </c>
      <c r="M699" s="16"/>
      <c r="N699" s="16"/>
    </row>
    <row r="700">
      <c r="A700" s="43" t="s">
        <v>157</v>
      </c>
      <c r="B700" s="10" t="str">
        <f t="shared" si="1"/>
        <v>RNA-gill</v>
      </c>
      <c r="C700" s="10" t="str">
        <f t="shared" si="2"/>
        <v>BRN64G-D9</v>
      </c>
      <c r="D700" s="11">
        <f t="array" ref="D700">iferror(index('rna-muscle'!D:D,match(A700,'rna-muscle'!A:A,0)))</f>
        <v>64</v>
      </c>
      <c r="E700" s="10" t="str">
        <f t="shared" si="3"/>
        <v>BRN64G</v>
      </c>
      <c r="F700" s="11" t="str">
        <f t="array" ref="F700">iferror(index('rna-muscle'!F:F,match($A700,'rna-muscle'!$A:$A,0)))</f>
        <v>D</v>
      </c>
      <c r="G700" s="11">
        <f t="array" ref="G700">iferror(index('rna-muscle'!G:G,match($A700,'rna-muscle'!$A:$A,0)))</f>
        <v>9</v>
      </c>
      <c r="H700" s="11" t="str">
        <f t="shared" si="4"/>
        <v>D9</v>
      </c>
      <c r="I700" s="10" t="str">
        <f t="shared" si="5"/>
        <v>BRN64G-D9</v>
      </c>
      <c r="K700" s="16" t="str">
        <f t="shared" si="6"/>
        <v>collected</v>
      </c>
      <c r="L700" s="16" t="str">
        <f t="shared" si="7"/>
        <v>N</v>
      </c>
      <c r="M700" s="16"/>
      <c r="N700" s="16"/>
    </row>
    <row r="701">
      <c r="A701" s="43" t="s">
        <v>165</v>
      </c>
      <c r="B701" s="10" t="str">
        <f t="shared" si="1"/>
        <v>RNA-gill</v>
      </c>
      <c r="C701" s="10" t="str">
        <f t="shared" si="2"/>
        <v>BRN64G-C9</v>
      </c>
      <c r="D701" s="11">
        <f t="array" ref="D701">iferror(index('rna-muscle'!D:D,match(A701,'rna-muscle'!A:A,0)))</f>
        <v>64</v>
      </c>
      <c r="E701" s="10" t="str">
        <f t="shared" si="3"/>
        <v>BRN64G</v>
      </c>
      <c r="F701" s="11" t="str">
        <f t="array" ref="F701">iferror(index('rna-muscle'!F:F,match($A701,'rna-muscle'!$A:$A,0)))</f>
        <v>C</v>
      </c>
      <c r="G701" s="11">
        <f t="array" ref="G701">iferror(index('rna-muscle'!G:G,match($A701,'rna-muscle'!$A:$A,0)))</f>
        <v>9</v>
      </c>
      <c r="H701" s="11" t="str">
        <f t="shared" si="4"/>
        <v>C9</v>
      </c>
      <c r="I701" s="10" t="str">
        <f t="shared" si="5"/>
        <v>BRN64G-C9</v>
      </c>
      <c r="K701" s="16" t="str">
        <f t="shared" si="6"/>
        <v>collected</v>
      </c>
      <c r="L701" s="16" t="str">
        <f t="shared" si="7"/>
        <v>N</v>
      </c>
      <c r="M701" s="16"/>
      <c r="N701" s="16"/>
    </row>
    <row r="702">
      <c r="A702" s="6" t="s">
        <v>170</v>
      </c>
      <c r="B702" s="10" t="str">
        <f t="shared" si="1"/>
        <v>RNA-gill</v>
      </c>
      <c r="C702" s="10" t="str">
        <f t="shared" si="2"/>
        <v>BRN61G-H9</v>
      </c>
      <c r="D702" s="11">
        <f t="array" ref="D702">iferror(index('rna-muscle'!D:D,match(A702,'rna-muscle'!A:A,0)))</f>
        <v>61</v>
      </c>
      <c r="E702" s="10" t="str">
        <f t="shared" si="3"/>
        <v>BRN61G</v>
      </c>
      <c r="F702" s="11" t="str">
        <f t="array" ref="F702">iferror(index('rna-muscle'!F:F,match($A702,'rna-muscle'!$A:$A,0)))</f>
        <v>H</v>
      </c>
      <c r="G702" s="11">
        <f t="array" ref="G702">iferror(index('rna-muscle'!G:G,match($A702,'rna-muscle'!$A:$A,0)))</f>
        <v>9</v>
      </c>
      <c r="H702" s="11" t="str">
        <f t="shared" si="4"/>
        <v>H9</v>
      </c>
      <c r="I702" s="10" t="str">
        <f t="shared" si="5"/>
        <v>BRN61G-H9</v>
      </c>
      <c r="K702" s="16" t="str">
        <f t="shared" si="6"/>
        <v>collected</v>
      </c>
      <c r="L702" s="16" t="str">
        <f t="shared" si="7"/>
        <v>N</v>
      </c>
      <c r="M702" s="16"/>
      <c r="N702" s="16"/>
    </row>
    <row r="703">
      <c r="A703" s="6" t="s">
        <v>178</v>
      </c>
      <c r="B703" s="10" t="str">
        <f t="shared" si="1"/>
        <v>RNA-gill</v>
      </c>
      <c r="C703" s="10" t="str">
        <f t="shared" si="2"/>
        <v>BRN61G-G9</v>
      </c>
      <c r="D703" s="11">
        <f t="array" ref="D703">iferror(index('rna-muscle'!D:D,match(A703,'rna-muscle'!A:A,0)))</f>
        <v>61</v>
      </c>
      <c r="E703" s="10" t="str">
        <f t="shared" si="3"/>
        <v>BRN61G</v>
      </c>
      <c r="F703" s="11" t="str">
        <f t="array" ref="F703">iferror(index('rna-muscle'!F:F,match($A703,'rna-muscle'!$A:$A,0)))</f>
        <v>G</v>
      </c>
      <c r="G703" s="11">
        <f t="array" ref="G703">iferror(index('rna-muscle'!G:G,match($A703,'rna-muscle'!$A:$A,0)))</f>
        <v>9</v>
      </c>
      <c r="H703" s="11" t="str">
        <f t="shared" si="4"/>
        <v>G9</v>
      </c>
      <c r="I703" s="10" t="str">
        <f t="shared" si="5"/>
        <v>BRN61G-G9</v>
      </c>
      <c r="K703" s="16" t="str">
        <f t="shared" si="6"/>
        <v>collected</v>
      </c>
      <c r="L703" s="16" t="str">
        <f t="shared" si="7"/>
        <v>N</v>
      </c>
      <c r="M703" s="16"/>
      <c r="N703" s="16"/>
    </row>
    <row r="704">
      <c r="A704" s="6" t="s">
        <v>1183</v>
      </c>
      <c r="B704" s="10" t="str">
        <f t="shared" si="1"/>
        <v>RNA-gill</v>
      </c>
      <c r="C704" s="10" t="str">
        <f t="shared" si="2"/>
        <v>BRN61G-F9</v>
      </c>
      <c r="D704" s="11">
        <f t="array" ref="D704">iferror(index('rna-muscle'!D:D,match(A704,'rna-muscle'!A:A,0)))</f>
        <v>61</v>
      </c>
      <c r="E704" s="10" t="str">
        <f t="shared" si="3"/>
        <v>BRN61G</v>
      </c>
      <c r="F704" s="11" t="str">
        <f t="array" ref="F704">iferror(index('rna-muscle'!F:F,match($A704,'rna-muscle'!$A:$A,0)))</f>
        <v>F</v>
      </c>
      <c r="G704" s="11">
        <f t="array" ref="G704">iferror(index('rna-muscle'!G:G,match($A704,'rna-muscle'!$A:$A,0)))</f>
        <v>9</v>
      </c>
      <c r="H704" s="11" t="str">
        <f t="shared" si="4"/>
        <v>F9</v>
      </c>
      <c r="I704" s="10" t="str">
        <f t="shared" si="5"/>
        <v>BRN61G-F9</v>
      </c>
      <c r="K704" s="16" t="str">
        <f t="shared" si="6"/>
        <v>collected</v>
      </c>
      <c r="L704" s="16" t="str">
        <f t="shared" si="7"/>
        <v>N</v>
      </c>
      <c r="M704" s="16"/>
      <c r="N704" s="16"/>
    </row>
    <row r="705">
      <c r="A705" s="6" t="s">
        <v>186</v>
      </c>
      <c r="B705" s="10" t="str">
        <f t="shared" si="1"/>
        <v>RNA-gill</v>
      </c>
      <c r="C705" s="10" t="str">
        <f t="shared" si="2"/>
        <v>BRN61G-E9</v>
      </c>
      <c r="D705" s="11">
        <f t="array" ref="D705">iferror(index('rna-muscle'!D:D,match(A705,'rna-muscle'!A:A,0)))</f>
        <v>61</v>
      </c>
      <c r="E705" s="10" t="str">
        <f t="shared" si="3"/>
        <v>BRN61G</v>
      </c>
      <c r="F705" s="11" t="str">
        <f t="array" ref="F705">iferror(index('rna-muscle'!F:F,match($A705,'rna-muscle'!$A:$A,0)))</f>
        <v>E</v>
      </c>
      <c r="G705" s="11">
        <f t="array" ref="G705">iferror(index('rna-muscle'!G:G,match($A705,'rna-muscle'!$A:$A,0)))</f>
        <v>9</v>
      </c>
      <c r="H705" s="11" t="str">
        <f t="shared" si="4"/>
        <v>E9</v>
      </c>
      <c r="I705" s="10" t="str">
        <f t="shared" si="5"/>
        <v>BRN61G-E9</v>
      </c>
      <c r="K705" s="16" t="str">
        <f t="shared" si="6"/>
        <v>collected</v>
      </c>
      <c r="L705" s="16" t="str">
        <f t="shared" si="7"/>
        <v>N</v>
      </c>
      <c r="M705" s="16"/>
      <c r="N705" s="16"/>
    </row>
    <row r="706">
      <c r="A706" s="6" t="s">
        <v>192</v>
      </c>
      <c r="B706" s="10" t="str">
        <f t="shared" si="1"/>
        <v>RNA-gill</v>
      </c>
      <c r="C706" s="10" t="str">
        <f t="shared" si="2"/>
        <v>BRN61G-D9</v>
      </c>
      <c r="D706" s="11">
        <f t="array" ref="D706">iferror(index('rna-muscle'!D:D,match(A706,'rna-muscle'!A:A,0)))</f>
        <v>61</v>
      </c>
      <c r="E706" s="10" t="str">
        <f t="shared" si="3"/>
        <v>BRN61G</v>
      </c>
      <c r="F706" s="11" t="str">
        <f t="array" ref="F706">iferror(index('rna-muscle'!F:F,match($A706,'rna-muscle'!$A:$A,0)))</f>
        <v>D</v>
      </c>
      <c r="G706" s="11">
        <f t="array" ref="G706">iferror(index('rna-muscle'!G:G,match($A706,'rna-muscle'!$A:$A,0)))</f>
        <v>9</v>
      </c>
      <c r="H706" s="11" t="str">
        <f t="shared" si="4"/>
        <v>D9</v>
      </c>
      <c r="I706" s="10" t="str">
        <f t="shared" si="5"/>
        <v>BRN61G-D9</v>
      </c>
      <c r="J706" s="31"/>
      <c r="K706" s="16" t="str">
        <f t="shared" si="6"/>
        <v>collected</v>
      </c>
      <c r="L706" s="16" t="str">
        <f t="shared" si="7"/>
        <v>N</v>
      </c>
      <c r="M706" s="16"/>
      <c r="N706" s="16"/>
    </row>
    <row r="707">
      <c r="A707" s="6" t="s">
        <v>200</v>
      </c>
      <c r="B707" s="10" t="str">
        <f t="shared" si="1"/>
        <v>RNA-gill</v>
      </c>
      <c r="C707" s="10" t="str">
        <f t="shared" si="2"/>
        <v>BRN61G-C9</v>
      </c>
      <c r="D707" s="11">
        <f t="array" ref="D707">iferror(index('rna-muscle'!D:D,match(A707,'rna-muscle'!A:A,0)))</f>
        <v>61</v>
      </c>
      <c r="E707" s="10" t="str">
        <f t="shared" si="3"/>
        <v>BRN61G</v>
      </c>
      <c r="F707" s="11" t="str">
        <f t="array" ref="F707">iferror(index('rna-muscle'!F:F,match($A707,'rna-muscle'!$A:$A,0)))</f>
        <v>C</v>
      </c>
      <c r="G707" s="11">
        <f t="array" ref="G707">iferror(index('rna-muscle'!G:G,match($A707,'rna-muscle'!$A:$A,0)))</f>
        <v>9</v>
      </c>
      <c r="H707" s="11" t="str">
        <f t="shared" si="4"/>
        <v>C9</v>
      </c>
      <c r="I707" s="10" t="str">
        <f t="shared" si="5"/>
        <v>BRN61G-C9</v>
      </c>
      <c r="K707" s="16" t="str">
        <f t="shared" si="6"/>
        <v>collected</v>
      </c>
      <c r="L707" s="16" t="str">
        <f t="shared" si="7"/>
        <v>N</v>
      </c>
      <c r="M707" s="16"/>
      <c r="N707" s="16"/>
    </row>
    <row r="708">
      <c r="A708" s="26" t="s">
        <v>208</v>
      </c>
      <c r="B708" s="10" t="str">
        <f t="shared" si="1"/>
        <v>RNA-gill</v>
      </c>
      <c r="C708" s="10" t="str">
        <f t="shared" si="2"/>
        <v>BRN61G-B9</v>
      </c>
      <c r="D708" s="11">
        <f t="array" ref="D708">iferror(index('rna-muscle'!D:D,match(A708,'rna-muscle'!A:A,0)))</f>
        <v>61</v>
      </c>
      <c r="E708" s="10" t="str">
        <f t="shared" si="3"/>
        <v>BRN61G</v>
      </c>
      <c r="F708" s="11" t="str">
        <f t="array" ref="F708">iferror(index('rna-muscle'!F:F,match($A708,'rna-muscle'!$A:$A,0)))</f>
        <v>B</v>
      </c>
      <c r="G708" s="11">
        <f t="array" ref="G708">iferror(index('rna-muscle'!G:G,match($A708,'rna-muscle'!$A:$A,0)))</f>
        <v>9</v>
      </c>
      <c r="H708" s="11" t="str">
        <f t="shared" si="4"/>
        <v>B9</v>
      </c>
      <c r="I708" s="10" t="str">
        <f t="shared" si="5"/>
        <v>BRN61G-B9</v>
      </c>
      <c r="K708" s="16" t="str">
        <f t="shared" si="6"/>
        <v>collected</v>
      </c>
      <c r="L708" s="16" t="str">
        <f t="shared" si="7"/>
        <v>N</v>
      </c>
      <c r="M708" s="16"/>
      <c r="N708" s="16"/>
    </row>
    <row r="709">
      <c r="A709" s="26" t="s">
        <v>216</v>
      </c>
      <c r="B709" s="10" t="str">
        <f t="shared" si="1"/>
        <v>RNA-gill</v>
      </c>
      <c r="C709" s="10" t="str">
        <f t="shared" si="2"/>
        <v>BRN61G-A9</v>
      </c>
      <c r="D709" s="11">
        <f t="array" ref="D709">iferror(index('rna-muscle'!D:D,match(A709,'rna-muscle'!A:A,0)))</f>
        <v>61</v>
      </c>
      <c r="E709" s="10" t="str">
        <f t="shared" si="3"/>
        <v>BRN61G</v>
      </c>
      <c r="F709" s="11" t="str">
        <f t="array" ref="F709">iferror(index('rna-muscle'!F:F,match($A709,'rna-muscle'!$A:$A,0)))</f>
        <v>A</v>
      </c>
      <c r="G709" s="11">
        <f t="array" ref="G709">iferror(index('rna-muscle'!G:G,match($A709,'rna-muscle'!$A:$A,0)))</f>
        <v>9</v>
      </c>
      <c r="H709" s="11" t="str">
        <f t="shared" si="4"/>
        <v>A9</v>
      </c>
      <c r="I709" s="10" t="str">
        <f t="shared" si="5"/>
        <v>BRN61G-A9</v>
      </c>
      <c r="K709" s="16" t="str">
        <f t="shared" si="6"/>
        <v>collected</v>
      </c>
      <c r="L709" s="16" t="str">
        <f t="shared" si="7"/>
        <v>N</v>
      </c>
      <c r="M709" s="16"/>
      <c r="N709" s="16"/>
    </row>
    <row r="710">
      <c r="A710" s="26" t="s">
        <v>224</v>
      </c>
      <c r="B710" s="10" t="str">
        <f t="shared" si="1"/>
        <v>RNA-gill</v>
      </c>
      <c r="C710" s="10" t="str">
        <f t="shared" si="2"/>
        <v>BRN61G-H11</v>
      </c>
      <c r="D710" s="11">
        <f t="array" ref="D710">iferror(index('rna-muscle'!D:D,match(A710,'rna-muscle'!A:A,0)))</f>
        <v>61</v>
      </c>
      <c r="E710" s="10" t="str">
        <f t="shared" si="3"/>
        <v>BRN61G</v>
      </c>
      <c r="F710" s="11" t="str">
        <f t="array" ref="F710">iferror(index('rna-muscle'!F:F,match($A710,'rna-muscle'!$A:$A,0)))</f>
        <v>H</v>
      </c>
      <c r="G710" s="11">
        <f t="array" ref="G710">iferror(index('rna-muscle'!G:G,match($A710,'rna-muscle'!$A:$A,0)))</f>
        <v>11</v>
      </c>
      <c r="H710" s="11" t="str">
        <f t="shared" si="4"/>
        <v>H11</v>
      </c>
      <c r="I710" s="10" t="str">
        <f t="shared" si="5"/>
        <v>BRN61G-H11</v>
      </c>
      <c r="K710" s="16" t="str">
        <f t="shared" si="6"/>
        <v>collected</v>
      </c>
      <c r="L710" s="16" t="str">
        <f t="shared" si="7"/>
        <v>N</v>
      </c>
      <c r="M710" s="16"/>
      <c r="N710" s="16"/>
    </row>
    <row r="711">
      <c r="A711" s="26" t="s">
        <v>1188</v>
      </c>
      <c r="B711" s="10" t="str">
        <f t="shared" si="1"/>
        <v>RNA-gill</v>
      </c>
      <c r="C711" s="10" t="str">
        <f t="shared" si="2"/>
        <v>BRN61G-G11</v>
      </c>
      <c r="D711" s="11">
        <f t="array" ref="D711">iferror(index('rna-muscle'!D:D,match(A711,'rna-muscle'!A:A,0)))</f>
        <v>61</v>
      </c>
      <c r="E711" s="10" t="str">
        <f t="shared" si="3"/>
        <v>BRN61G</v>
      </c>
      <c r="F711" s="11" t="str">
        <f t="array" ref="F711">iferror(index('rna-muscle'!F:F,match($A711,'rna-muscle'!$A:$A,0)))</f>
        <v>G</v>
      </c>
      <c r="G711" s="11">
        <f t="array" ref="G711">iferror(index('rna-muscle'!G:G,match($A711,'rna-muscle'!$A:$A,0)))</f>
        <v>11</v>
      </c>
      <c r="H711" s="11" t="str">
        <f t="shared" si="4"/>
        <v>G11</v>
      </c>
      <c r="I711" s="10" t="str">
        <f t="shared" si="5"/>
        <v>BRN61G-G11</v>
      </c>
      <c r="K711" s="16" t="str">
        <f t="shared" si="6"/>
        <v>collected</v>
      </c>
      <c r="L711" s="16" t="str">
        <f t="shared" si="7"/>
        <v>N</v>
      </c>
      <c r="M711" s="16"/>
      <c r="N711" s="16"/>
    </row>
    <row r="712">
      <c r="A712" s="26" t="s">
        <v>1189</v>
      </c>
      <c r="B712" s="10" t="str">
        <f t="shared" si="1"/>
        <v>RNA-gill</v>
      </c>
      <c r="C712" s="10" t="str">
        <f t="shared" si="2"/>
        <v>BRN61G-F11</v>
      </c>
      <c r="D712" s="11">
        <f t="array" ref="D712">iferror(index('rna-muscle'!D:D,match(A712,'rna-muscle'!A:A,0)))</f>
        <v>61</v>
      </c>
      <c r="E712" s="10" t="str">
        <f t="shared" si="3"/>
        <v>BRN61G</v>
      </c>
      <c r="F712" s="11" t="str">
        <f t="array" ref="F712">iferror(index('rna-muscle'!F:F,match($A712,'rna-muscle'!$A:$A,0)))</f>
        <v>F</v>
      </c>
      <c r="G712" s="11">
        <f t="array" ref="G712">iferror(index('rna-muscle'!G:G,match($A712,'rna-muscle'!$A:$A,0)))</f>
        <v>11</v>
      </c>
      <c r="H712" s="11" t="str">
        <f t="shared" si="4"/>
        <v>F11</v>
      </c>
      <c r="I712" s="10" t="str">
        <f t="shared" si="5"/>
        <v>BRN61G-F11</v>
      </c>
      <c r="K712" s="16" t="str">
        <f t="shared" si="6"/>
        <v>collected</v>
      </c>
      <c r="L712" s="16" t="str">
        <f t="shared" si="7"/>
        <v>N</v>
      </c>
      <c r="M712" s="16"/>
      <c r="N712" s="16"/>
    </row>
    <row r="713">
      <c r="A713" s="26" t="s">
        <v>231</v>
      </c>
      <c r="B713" s="10" t="str">
        <f t="shared" si="1"/>
        <v>RNA-gill</v>
      </c>
      <c r="C713" s="10" t="str">
        <f t="shared" si="2"/>
        <v>BRN61G-E11</v>
      </c>
      <c r="D713" s="11">
        <f t="array" ref="D713">iferror(index('rna-muscle'!D:D,match(A713,'rna-muscle'!A:A,0)))</f>
        <v>61</v>
      </c>
      <c r="E713" s="10" t="str">
        <f t="shared" si="3"/>
        <v>BRN61G</v>
      </c>
      <c r="F713" s="11" t="str">
        <f t="array" ref="F713">iferror(index('rna-muscle'!F:F,match($A713,'rna-muscle'!$A:$A,0)))</f>
        <v>E</v>
      </c>
      <c r="G713" s="11">
        <f t="array" ref="G713">iferror(index('rna-muscle'!G:G,match($A713,'rna-muscle'!$A:$A,0)))</f>
        <v>11</v>
      </c>
      <c r="H713" s="11" t="str">
        <f t="shared" si="4"/>
        <v>E11</v>
      </c>
      <c r="I713" s="10" t="str">
        <f t="shared" si="5"/>
        <v>BRN61G-E11</v>
      </c>
      <c r="K713" s="16" t="str">
        <f t="shared" si="6"/>
        <v>collected</v>
      </c>
      <c r="L713" s="16" t="str">
        <f t="shared" si="7"/>
        <v>N</v>
      </c>
      <c r="M713" s="16"/>
      <c r="N713" s="16"/>
    </row>
    <row r="714">
      <c r="A714" s="26" t="s">
        <v>236</v>
      </c>
      <c r="B714" s="10" t="str">
        <f t="shared" si="1"/>
        <v>RNA-gill</v>
      </c>
      <c r="C714" s="10" t="str">
        <f t="shared" si="2"/>
        <v>BRN61G-D11</v>
      </c>
      <c r="D714" s="11">
        <f t="array" ref="D714">iferror(index('rna-muscle'!D:D,match(A714,'rna-muscle'!A:A,0)))</f>
        <v>61</v>
      </c>
      <c r="E714" s="10" t="str">
        <f t="shared" si="3"/>
        <v>BRN61G</v>
      </c>
      <c r="F714" s="11" t="str">
        <f t="array" ref="F714">iferror(index('rna-muscle'!F:F,match($A714,'rna-muscle'!$A:$A,0)))</f>
        <v>D</v>
      </c>
      <c r="G714" s="11">
        <f t="array" ref="G714">iferror(index('rna-muscle'!G:G,match($A714,'rna-muscle'!$A:$A,0)))</f>
        <v>11</v>
      </c>
      <c r="H714" s="11" t="str">
        <f t="shared" si="4"/>
        <v>D11</v>
      </c>
      <c r="I714" s="10" t="str">
        <f t="shared" si="5"/>
        <v>BRN61G-D11</v>
      </c>
      <c r="K714" s="16" t="str">
        <f t="shared" si="6"/>
        <v>collected</v>
      </c>
      <c r="L714" s="16" t="str">
        <f t="shared" si="7"/>
        <v>N</v>
      </c>
      <c r="M714" s="16"/>
      <c r="N714" s="16"/>
    </row>
    <row r="715">
      <c r="A715" s="26" t="s">
        <v>243</v>
      </c>
      <c r="B715" s="10" t="str">
        <f t="shared" si="1"/>
        <v>RNA-gill</v>
      </c>
      <c r="C715" s="10" t="str">
        <f t="shared" si="2"/>
        <v>BRN64G-H10</v>
      </c>
      <c r="D715" s="11">
        <f t="array" ref="D715">iferror(index('rna-muscle'!D:D,match(A715,'rna-muscle'!A:A,0)))</f>
        <v>64</v>
      </c>
      <c r="E715" s="10" t="str">
        <f t="shared" si="3"/>
        <v>BRN64G</v>
      </c>
      <c r="F715" s="11" t="str">
        <f t="array" ref="F715">iferror(index('rna-muscle'!F:F,match($A715,'rna-muscle'!$A:$A,0)))</f>
        <v>H</v>
      </c>
      <c r="G715" s="11">
        <f t="array" ref="G715">iferror(index('rna-muscle'!G:G,match($A715,'rna-muscle'!$A:$A,0)))</f>
        <v>10</v>
      </c>
      <c r="H715" s="11" t="str">
        <f t="shared" si="4"/>
        <v>H10</v>
      </c>
      <c r="I715" s="10" t="str">
        <f t="shared" si="5"/>
        <v>BRN64G-H10</v>
      </c>
      <c r="K715" s="16" t="str">
        <f t="shared" si="6"/>
        <v>collected</v>
      </c>
      <c r="L715" s="16" t="str">
        <f t="shared" si="7"/>
        <v>N</v>
      </c>
      <c r="M715" s="16"/>
      <c r="N715" s="16"/>
    </row>
    <row r="716">
      <c r="A716" s="26" t="s">
        <v>251</v>
      </c>
      <c r="B716" s="10" t="str">
        <f t="shared" si="1"/>
        <v>RNA-gill</v>
      </c>
      <c r="C716" s="10" t="str">
        <f t="shared" si="2"/>
        <v>BRN64G-G10</v>
      </c>
      <c r="D716" s="11">
        <f t="array" ref="D716">iferror(index('rna-muscle'!D:D,match(A716,'rna-muscle'!A:A,0)))</f>
        <v>64</v>
      </c>
      <c r="E716" s="10" t="str">
        <f t="shared" si="3"/>
        <v>BRN64G</v>
      </c>
      <c r="F716" s="11" t="str">
        <f t="array" ref="F716">iferror(index('rna-muscle'!F:F,match($A716,'rna-muscle'!$A:$A,0)))</f>
        <v>G</v>
      </c>
      <c r="G716" s="11">
        <f t="array" ref="G716">iferror(index('rna-muscle'!G:G,match($A716,'rna-muscle'!$A:$A,0)))</f>
        <v>10</v>
      </c>
      <c r="H716" s="11" t="str">
        <f t="shared" si="4"/>
        <v>G10</v>
      </c>
      <c r="I716" s="10" t="str">
        <f t="shared" si="5"/>
        <v>BRN64G-G10</v>
      </c>
      <c r="K716" s="16" t="str">
        <f t="shared" si="6"/>
        <v>collected</v>
      </c>
      <c r="L716" s="16" t="str">
        <f t="shared" si="7"/>
        <v>N</v>
      </c>
      <c r="M716" s="16"/>
      <c r="N716" s="16"/>
    </row>
    <row r="717">
      <c r="A717" s="26" t="s">
        <v>259</v>
      </c>
      <c r="B717" s="10" t="str">
        <f t="shared" si="1"/>
        <v>RNA-gill</v>
      </c>
      <c r="C717" s="10" t="str">
        <f t="shared" si="2"/>
        <v>BRN64G-F10</v>
      </c>
      <c r="D717" s="11">
        <f t="array" ref="D717">iferror(index('rna-muscle'!D:D,match(A717,'rna-muscle'!A:A,0)))</f>
        <v>64</v>
      </c>
      <c r="E717" s="10" t="str">
        <f t="shared" si="3"/>
        <v>BRN64G</v>
      </c>
      <c r="F717" s="11" t="str">
        <f t="array" ref="F717">iferror(index('rna-muscle'!F:F,match($A717,'rna-muscle'!$A:$A,0)))</f>
        <v>F</v>
      </c>
      <c r="G717" s="11">
        <f t="array" ref="G717">iferror(index('rna-muscle'!G:G,match($A717,'rna-muscle'!$A:$A,0)))</f>
        <v>10</v>
      </c>
      <c r="H717" s="11" t="str">
        <f t="shared" si="4"/>
        <v>F10</v>
      </c>
      <c r="I717" s="10" t="str">
        <f t="shared" si="5"/>
        <v>BRN64G-F10</v>
      </c>
      <c r="K717" s="16" t="str">
        <f t="shared" si="6"/>
        <v>collected</v>
      </c>
      <c r="L717" s="16" t="str">
        <f t="shared" si="7"/>
        <v>N</v>
      </c>
      <c r="M717" s="16"/>
      <c r="N717" s="16"/>
    </row>
    <row r="718">
      <c r="A718" s="26" t="s">
        <v>265</v>
      </c>
      <c r="B718" s="10" t="str">
        <f t="shared" si="1"/>
        <v>RNA-gill</v>
      </c>
      <c r="C718" s="10" t="str">
        <f t="shared" si="2"/>
        <v>BRN64G-E10</v>
      </c>
      <c r="D718" s="11">
        <f t="array" ref="D718">iferror(index('rna-muscle'!D:D,match(A718,'rna-muscle'!A:A,0)))</f>
        <v>64</v>
      </c>
      <c r="E718" s="10" t="str">
        <f t="shared" si="3"/>
        <v>BRN64G</v>
      </c>
      <c r="F718" s="11" t="str">
        <f t="array" ref="F718">iferror(index('rna-muscle'!F:F,match($A718,'rna-muscle'!$A:$A,0)))</f>
        <v>E</v>
      </c>
      <c r="G718" s="11">
        <f t="array" ref="G718">iferror(index('rna-muscle'!G:G,match($A718,'rna-muscle'!$A:$A,0)))</f>
        <v>10</v>
      </c>
      <c r="H718" s="11" t="str">
        <f t="shared" si="4"/>
        <v>E10</v>
      </c>
      <c r="I718" s="10" t="str">
        <f t="shared" si="5"/>
        <v>BRN64G-E10</v>
      </c>
      <c r="K718" s="16" t="str">
        <f t="shared" si="6"/>
        <v>collected</v>
      </c>
      <c r="L718" s="16" t="str">
        <f t="shared" si="7"/>
        <v>N</v>
      </c>
      <c r="M718" s="16"/>
      <c r="N718" s="16"/>
    </row>
    <row r="719">
      <c r="A719" s="26" t="s">
        <v>275</v>
      </c>
      <c r="B719" s="10" t="str">
        <f t="shared" si="1"/>
        <v>RNA-gill</v>
      </c>
      <c r="C719" s="10" t="str">
        <f t="shared" si="2"/>
        <v>BRN64G-D10</v>
      </c>
      <c r="D719" s="11">
        <f t="array" ref="D719">iferror(index('rna-muscle'!D:D,match(A719,'rna-muscle'!A:A,0)))</f>
        <v>64</v>
      </c>
      <c r="E719" s="10" t="str">
        <f t="shared" si="3"/>
        <v>BRN64G</v>
      </c>
      <c r="F719" s="11" t="str">
        <f t="array" ref="F719">iferror(index('rna-muscle'!F:F,match($A719,'rna-muscle'!$A:$A,0)))</f>
        <v>D</v>
      </c>
      <c r="G719" s="11">
        <f t="array" ref="G719">iferror(index('rna-muscle'!G:G,match($A719,'rna-muscle'!$A:$A,0)))</f>
        <v>10</v>
      </c>
      <c r="H719" s="11" t="str">
        <f t="shared" si="4"/>
        <v>D10</v>
      </c>
      <c r="I719" s="10" t="str">
        <f t="shared" si="5"/>
        <v>BRN64G-D10</v>
      </c>
      <c r="K719" s="16" t="str">
        <f t="shared" si="6"/>
        <v>collected</v>
      </c>
      <c r="L719" s="16" t="str">
        <f t="shared" si="7"/>
        <v>N</v>
      </c>
      <c r="M719" s="16"/>
      <c r="N719" s="16"/>
    </row>
    <row r="720">
      <c r="A720" s="26" t="s">
        <v>283</v>
      </c>
      <c r="B720" s="10" t="str">
        <f t="shared" si="1"/>
        <v>RNA-gill</v>
      </c>
      <c r="C720" s="10" t="str">
        <f t="shared" si="2"/>
        <v>BRN64G-C10</v>
      </c>
      <c r="D720" s="11">
        <f t="array" ref="D720">iferror(index('rna-muscle'!D:D,match(A720,'rna-muscle'!A:A,0)))</f>
        <v>64</v>
      </c>
      <c r="E720" s="10" t="str">
        <f t="shared" si="3"/>
        <v>BRN64G</v>
      </c>
      <c r="F720" s="11" t="str">
        <f t="array" ref="F720">iferror(index('rna-muscle'!F:F,match($A720,'rna-muscle'!$A:$A,0)))</f>
        <v>C</v>
      </c>
      <c r="G720" s="11">
        <f t="array" ref="G720">iferror(index('rna-muscle'!G:G,match($A720,'rna-muscle'!$A:$A,0)))</f>
        <v>10</v>
      </c>
      <c r="H720" s="11" t="str">
        <f t="shared" si="4"/>
        <v>C10</v>
      </c>
      <c r="I720" s="10" t="str">
        <f t="shared" si="5"/>
        <v>BRN64G-C10</v>
      </c>
      <c r="K720" s="16" t="str">
        <f t="shared" si="6"/>
        <v>collected</v>
      </c>
      <c r="L720" s="16" t="str">
        <f t="shared" si="7"/>
        <v>N</v>
      </c>
      <c r="M720" s="16"/>
      <c r="N720" s="16"/>
    </row>
    <row r="721">
      <c r="A721" s="26" t="s">
        <v>290</v>
      </c>
      <c r="B721" s="10" t="str">
        <f t="shared" si="1"/>
        <v>RNA-gill</v>
      </c>
      <c r="C721" s="10" t="str">
        <f t="shared" si="2"/>
        <v>BRN64G-B10</v>
      </c>
      <c r="D721" s="11">
        <f t="array" ref="D721">iferror(index('rna-muscle'!D:D,match(A721,'rna-muscle'!A:A,0)))</f>
        <v>64</v>
      </c>
      <c r="E721" s="10" t="str">
        <f t="shared" si="3"/>
        <v>BRN64G</v>
      </c>
      <c r="F721" s="11" t="str">
        <f t="array" ref="F721">iferror(index('rna-muscle'!F:F,match($A721,'rna-muscle'!$A:$A,0)))</f>
        <v>B</v>
      </c>
      <c r="G721" s="11">
        <f t="array" ref="G721">iferror(index('rna-muscle'!G:G,match($A721,'rna-muscle'!$A:$A,0)))</f>
        <v>10</v>
      </c>
      <c r="H721" s="11" t="str">
        <f t="shared" si="4"/>
        <v>B10</v>
      </c>
      <c r="I721" s="10" t="str">
        <f t="shared" si="5"/>
        <v>BRN64G-B10</v>
      </c>
      <c r="K721" s="16" t="str">
        <f t="shared" si="6"/>
        <v>collected</v>
      </c>
      <c r="L721" s="16" t="str">
        <f t="shared" si="7"/>
        <v>N</v>
      </c>
      <c r="M721" s="16"/>
      <c r="N721" s="16"/>
    </row>
    <row r="722">
      <c r="A722" s="26" t="s">
        <v>299</v>
      </c>
      <c r="B722" s="10" t="str">
        <f t="shared" si="1"/>
        <v>RNA-gill</v>
      </c>
      <c r="C722" s="10" t="str">
        <f t="shared" si="2"/>
        <v>BRN64G-A10</v>
      </c>
      <c r="D722" s="11">
        <f t="array" ref="D722">iferror(index('rna-muscle'!D:D,match(A722,'rna-muscle'!A:A,0)))</f>
        <v>64</v>
      </c>
      <c r="E722" s="10" t="str">
        <f t="shared" si="3"/>
        <v>BRN64G</v>
      </c>
      <c r="F722" s="11" t="str">
        <f t="array" ref="F722">iferror(index('rna-muscle'!F:F,match($A722,'rna-muscle'!$A:$A,0)))</f>
        <v>A</v>
      </c>
      <c r="G722" s="11">
        <f t="array" ref="G722">iferror(index('rna-muscle'!G:G,match($A722,'rna-muscle'!$A:$A,0)))</f>
        <v>10</v>
      </c>
      <c r="H722" s="11" t="str">
        <f t="shared" si="4"/>
        <v>A10</v>
      </c>
      <c r="I722" s="10" t="str">
        <f t="shared" si="5"/>
        <v>BRN64G-A10</v>
      </c>
      <c r="K722" s="16" t="str">
        <f t="shared" si="6"/>
        <v>collected</v>
      </c>
      <c r="L722" s="16" t="str">
        <f t="shared" si="7"/>
        <v>N</v>
      </c>
      <c r="M722" s="16"/>
      <c r="N722" s="16"/>
    </row>
    <row r="723">
      <c r="A723" s="26" t="s">
        <v>306</v>
      </c>
      <c r="B723" s="10" t="str">
        <f t="shared" si="1"/>
        <v>RNA-gill</v>
      </c>
      <c r="C723" s="10" t="str">
        <f t="shared" si="2"/>
        <v>BRN64G-H11</v>
      </c>
      <c r="D723" s="11">
        <f t="array" ref="D723">iferror(index('rna-muscle'!D:D,match(A723,'rna-muscle'!A:A,0)))</f>
        <v>64</v>
      </c>
      <c r="E723" s="10" t="str">
        <f t="shared" si="3"/>
        <v>BRN64G</v>
      </c>
      <c r="F723" s="11" t="str">
        <f t="array" ref="F723">iferror(index('rna-muscle'!F:F,match($A723,'rna-muscle'!$A:$A,0)))</f>
        <v>H</v>
      </c>
      <c r="G723" s="11">
        <f t="array" ref="G723">iferror(index('rna-muscle'!G:G,match($A723,'rna-muscle'!$A:$A,0)))</f>
        <v>11</v>
      </c>
      <c r="H723" s="11" t="str">
        <f t="shared" si="4"/>
        <v>H11</v>
      </c>
      <c r="I723" s="10" t="str">
        <f t="shared" si="5"/>
        <v>BRN64G-H11</v>
      </c>
      <c r="K723" s="16" t="str">
        <f t="shared" si="6"/>
        <v>collected</v>
      </c>
      <c r="L723" s="16" t="str">
        <f t="shared" si="7"/>
        <v>N</v>
      </c>
      <c r="M723" s="16"/>
      <c r="N723" s="16"/>
    </row>
    <row r="724">
      <c r="A724" s="26" t="s">
        <v>313</v>
      </c>
      <c r="B724" s="10" t="str">
        <f t="shared" si="1"/>
        <v>RNA-gill</v>
      </c>
      <c r="C724" s="10" t="str">
        <f t="shared" si="2"/>
        <v>BRN64G-G11</v>
      </c>
      <c r="D724" s="11">
        <f t="array" ref="D724">iferror(index('rna-muscle'!D:D,match(A724,'rna-muscle'!A:A,0)))</f>
        <v>64</v>
      </c>
      <c r="E724" s="10" t="str">
        <f t="shared" si="3"/>
        <v>BRN64G</v>
      </c>
      <c r="F724" s="11" t="str">
        <f t="array" ref="F724">iferror(index('rna-muscle'!F:F,match($A724,'rna-muscle'!$A:$A,0)))</f>
        <v>G</v>
      </c>
      <c r="G724" s="11">
        <f t="array" ref="G724">iferror(index('rna-muscle'!G:G,match($A724,'rna-muscle'!$A:$A,0)))</f>
        <v>11</v>
      </c>
      <c r="H724" s="11" t="str">
        <f t="shared" si="4"/>
        <v>G11</v>
      </c>
      <c r="I724" s="10" t="str">
        <f t="shared" si="5"/>
        <v>BRN64G-G11</v>
      </c>
      <c r="K724" s="16" t="str">
        <f t="shared" si="6"/>
        <v>collected</v>
      </c>
      <c r="L724" s="16" t="str">
        <f t="shared" si="7"/>
        <v>N</v>
      </c>
      <c r="M724" s="16"/>
      <c r="N724" s="16"/>
    </row>
    <row r="725">
      <c r="A725" s="26" t="s">
        <v>320</v>
      </c>
      <c r="B725" s="10" t="str">
        <f t="shared" si="1"/>
        <v>RNA-gill</v>
      </c>
      <c r="C725" s="10" t="str">
        <f t="shared" si="2"/>
        <v>BRN64G-F11</v>
      </c>
      <c r="D725" s="11">
        <f t="array" ref="D725">iferror(index('rna-muscle'!D:D,match(A725,'rna-muscle'!A:A,0)))</f>
        <v>64</v>
      </c>
      <c r="E725" s="10" t="str">
        <f t="shared" si="3"/>
        <v>BRN64G</v>
      </c>
      <c r="F725" s="11" t="str">
        <f t="array" ref="F725">iferror(index('rna-muscle'!F:F,match($A725,'rna-muscle'!$A:$A,0)))</f>
        <v>F</v>
      </c>
      <c r="G725" s="11">
        <f t="array" ref="G725">iferror(index('rna-muscle'!G:G,match($A725,'rna-muscle'!$A:$A,0)))</f>
        <v>11</v>
      </c>
      <c r="H725" s="11" t="str">
        <f t="shared" si="4"/>
        <v>F11</v>
      </c>
      <c r="I725" s="10" t="str">
        <f t="shared" si="5"/>
        <v>BRN64G-F11</v>
      </c>
      <c r="K725" s="16" t="str">
        <f t="shared" si="6"/>
        <v>collected</v>
      </c>
      <c r="L725" s="16" t="str">
        <f t="shared" si="7"/>
        <v>N</v>
      </c>
      <c r="M725" s="16"/>
      <c r="N725" s="16"/>
    </row>
    <row r="726">
      <c r="A726" s="26" t="s">
        <v>325</v>
      </c>
      <c r="B726" s="10" t="str">
        <f t="shared" si="1"/>
        <v>RNA-gill</v>
      </c>
      <c r="C726" s="10" t="str">
        <f t="shared" si="2"/>
        <v>BRN64G-E11</v>
      </c>
      <c r="D726" s="11">
        <f t="array" ref="D726">iferror(index('rna-muscle'!D:D,match(A726,'rna-muscle'!A:A,0)))</f>
        <v>64</v>
      </c>
      <c r="E726" s="10" t="str">
        <f t="shared" si="3"/>
        <v>BRN64G</v>
      </c>
      <c r="F726" s="11" t="str">
        <f t="array" ref="F726">iferror(index('rna-muscle'!F:F,match($A726,'rna-muscle'!$A:$A,0)))</f>
        <v>E</v>
      </c>
      <c r="G726" s="11">
        <f t="array" ref="G726">iferror(index('rna-muscle'!G:G,match($A726,'rna-muscle'!$A:$A,0)))</f>
        <v>11</v>
      </c>
      <c r="H726" s="11" t="str">
        <f t="shared" si="4"/>
        <v>E11</v>
      </c>
      <c r="I726" s="10" t="str">
        <f t="shared" si="5"/>
        <v>BRN64G-E11</v>
      </c>
      <c r="K726" s="16" t="str">
        <f t="shared" si="6"/>
        <v>collected</v>
      </c>
      <c r="L726" s="16" t="str">
        <f t="shared" si="7"/>
        <v>N</v>
      </c>
      <c r="M726" s="16"/>
      <c r="N726" s="16"/>
    </row>
    <row r="727">
      <c r="A727" s="26" t="s">
        <v>331</v>
      </c>
      <c r="B727" s="10" t="str">
        <f t="shared" si="1"/>
        <v>RNA-gill</v>
      </c>
      <c r="C727" s="10" t="str">
        <f t="shared" si="2"/>
        <v>BRN64G-D11</v>
      </c>
      <c r="D727" s="11">
        <f t="array" ref="D727">iferror(index('rna-muscle'!D:D,match(A727,'rna-muscle'!A:A,0)))</f>
        <v>64</v>
      </c>
      <c r="E727" s="10" t="str">
        <f t="shared" si="3"/>
        <v>BRN64G</v>
      </c>
      <c r="F727" s="11" t="str">
        <f t="array" ref="F727">iferror(index('rna-muscle'!F:F,match($A727,'rna-muscle'!$A:$A,0)))</f>
        <v>D</v>
      </c>
      <c r="G727" s="11">
        <f t="array" ref="G727">iferror(index('rna-muscle'!G:G,match($A727,'rna-muscle'!$A:$A,0)))</f>
        <v>11</v>
      </c>
      <c r="H727" s="11" t="str">
        <f t="shared" si="4"/>
        <v>D11</v>
      </c>
      <c r="I727" s="10" t="str">
        <f t="shared" si="5"/>
        <v>BRN64G-D11</v>
      </c>
      <c r="J727" s="6"/>
      <c r="K727" s="16" t="str">
        <f t="shared" si="6"/>
        <v>collected</v>
      </c>
      <c r="L727" s="16" t="str">
        <f t="shared" si="7"/>
        <v>N</v>
      </c>
      <c r="M727" s="16"/>
      <c r="N727" s="16"/>
    </row>
    <row r="728">
      <c r="A728" s="6" t="s">
        <v>337</v>
      </c>
      <c r="B728" s="10" t="str">
        <f t="shared" si="1"/>
        <v>RNA-gill</v>
      </c>
      <c r="C728" s="10" t="str">
        <f t="shared" si="2"/>
        <v>BRN64G-C11</v>
      </c>
      <c r="D728" s="11">
        <f t="array" ref="D728">iferror(index('rna-muscle'!D:D,match(A728,'rna-muscle'!A:A,0)))</f>
        <v>64</v>
      </c>
      <c r="E728" s="10" t="str">
        <f t="shared" si="3"/>
        <v>BRN64G</v>
      </c>
      <c r="F728" s="11" t="str">
        <f t="array" ref="F728">iferror(index('rna-muscle'!F:F,match($A728,'rna-muscle'!$A:$A,0)))</f>
        <v>C</v>
      </c>
      <c r="G728" s="11">
        <f t="array" ref="G728">iferror(index('rna-muscle'!G:G,match($A728,'rna-muscle'!$A:$A,0)))</f>
        <v>11</v>
      </c>
      <c r="H728" s="11" t="str">
        <f t="shared" si="4"/>
        <v>C11</v>
      </c>
      <c r="I728" s="10" t="str">
        <f t="shared" si="5"/>
        <v>BRN64G-C11</v>
      </c>
      <c r="J728" s="6"/>
      <c r="K728" s="16" t="str">
        <f t="shared" si="6"/>
        <v>collected</v>
      </c>
      <c r="L728" s="16" t="str">
        <f t="shared" si="7"/>
        <v>N</v>
      </c>
      <c r="M728" s="16"/>
      <c r="N728" s="16"/>
    </row>
    <row r="729">
      <c r="A729" s="6" t="s">
        <v>343</v>
      </c>
      <c r="B729" s="10" t="str">
        <f t="shared" si="1"/>
        <v>RNA-gill</v>
      </c>
      <c r="C729" s="10" t="str">
        <f t="shared" si="2"/>
        <v>BRN64G-B11</v>
      </c>
      <c r="D729" s="11">
        <f t="array" ref="D729">iferror(index('rna-muscle'!D:D,match(A729,'rna-muscle'!A:A,0)))</f>
        <v>64</v>
      </c>
      <c r="E729" s="10" t="str">
        <f t="shared" si="3"/>
        <v>BRN64G</v>
      </c>
      <c r="F729" s="11" t="str">
        <f t="array" ref="F729">iferror(index('rna-muscle'!F:F,match($A729,'rna-muscle'!$A:$A,0)))</f>
        <v>B</v>
      </c>
      <c r="G729" s="11">
        <f t="array" ref="G729">iferror(index('rna-muscle'!G:G,match($A729,'rna-muscle'!$A:$A,0)))</f>
        <v>11</v>
      </c>
      <c r="H729" s="11" t="str">
        <f t="shared" si="4"/>
        <v>B11</v>
      </c>
      <c r="I729" s="10" t="str">
        <f t="shared" si="5"/>
        <v>BRN64G-B11</v>
      </c>
      <c r="J729" s="6"/>
      <c r="K729" s="16" t="str">
        <f t="shared" si="6"/>
        <v>collected</v>
      </c>
      <c r="L729" s="16" t="str">
        <f t="shared" si="7"/>
        <v>N</v>
      </c>
      <c r="M729" s="16"/>
      <c r="N729" s="16"/>
    </row>
    <row r="730">
      <c r="A730" s="6" t="s">
        <v>350</v>
      </c>
      <c r="B730" s="10" t="str">
        <f t="shared" si="1"/>
        <v>RNA-gill</v>
      </c>
      <c r="C730" s="10" t="str">
        <f t="shared" si="2"/>
        <v>BRN64G-A11</v>
      </c>
      <c r="D730" s="11">
        <f t="array" ref="D730">iferror(index('rna-muscle'!D:D,match(A730,'rna-muscle'!A:A,0)))</f>
        <v>64</v>
      </c>
      <c r="E730" s="10" t="str">
        <f t="shared" si="3"/>
        <v>BRN64G</v>
      </c>
      <c r="F730" s="11" t="str">
        <f t="array" ref="F730">iferror(index('rna-muscle'!F:F,match($A730,'rna-muscle'!$A:$A,0)))</f>
        <v>A</v>
      </c>
      <c r="G730" s="11">
        <f t="array" ref="G730">iferror(index('rna-muscle'!G:G,match($A730,'rna-muscle'!$A:$A,0)))</f>
        <v>11</v>
      </c>
      <c r="H730" s="11" t="str">
        <f t="shared" si="4"/>
        <v>A11</v>
      </c>
      <c r="I730" s="10" t="str">
        <f t="shared" si="5"/>
        <v>BRN64G-A11</v>
      </c>
      <c r="J730" s="16"/>
      <c r="K730" s="16" t="str">
        <f t="shared" si="6"/>
        <v>collected</v>
      </c>
      <c r="L730" s="16" t="str">
        <f t="shared" si="7"/>
        <v>N</v>
      </c>
      <c r="M730" s="16"/>
      <c r="N730" s="16"/>
    </row>
    <row r="731">
      <c r="A731" s="6" t="s">
        <v>357</v>
      </c>
      <c r="B731" s="10" t="str">
        <f t="shared" si="1"/>
        <v>RNA-gill</v>
      </c>
      <c r="C731" s="10" t="str">
        <f t="shared" si="2"/>
        <v>BRN69G-H2</v>
      </c>
      <c r="D731" s="11">
        <f t="array" ref="D731">iferror(index('rna-muscle'!D:D,match(A731,'rna-muscle'!A:A,0)))</f>
        <v>69</v>
      </c>
      <c r="E731" s="10" t="str">
        <f t="shared" si="3"/>
        <v>BRN69G</v>
      </c>
      <c r="F731" s="11" t="str">
        <f t="array" ref="F731">iferror(index('rna-muscle'!F:F,match($A731,'rna-muscle'!$A:$A,0)))</f>
        <v>H</v>
      </c>
      <c r="G731" s="11">
        <f t="array" ref="G731">iferror(index('rna-muscle'!G:G,match($A731,'rna-muscle'!$A:$A,0)))</f>
        <v>2</v>
      </c>
      <c r="H731" s="11" t="str">
        <f t="shared" si="4"/>
        <v>H2</v>
      </c>
      <c r="I731" s="10" t="str">
        <f t="shared" si="5"/>
        <v>BRN69G-H2</v>
      </c>
      <c r="J731" s="6"/>
      <c r="K731" s="16" t="str">
        <f t="shared" si="6"/>
        <v>collected</v>
      </c>
      <c r="L731" s="16" t="str">
        <f t="shared" si="7"/>
        <v>N</v>
      </c>
      <c r="M731" s="16"/>
      <c r="N731" s="16"/>
    </row>
    <row r="732">
      <c r="A732" s="43" t="s">
        <v>364</v>
      </c>
      <c r="B732" s="10" t="str">
        <f t="shared" si="1"/>
        <v>RNA-gill</v>
      </c>
      <c r="C732" s="10" t="str">
        <f t="shared" si="2"/>
        <v>BRN64G-B9</v>
      </c>
      <c r="D732" s="11">
        <f t="array" ref="D732">iferror(index('rna-muscle'!D:D,match(A732,'rna-muscle'!A:A,0)))</f>
        <v>64</v>
      </c>
      <c r="E732" s="10" t="str">
        <f t="shared" si="3"/>
        <v>BRN64G</v>
      </c>
      <c r="F732" s="11" t="str">
        <f t="array" ref="F732">iferror(index('rna-muscle'!F:F,match($A732,'rna-muscle'!$A:$A,0)))</f>
        <v>B</v>
      </c>
      <c r="G732" s="11">
        <f t="array" ref="G732">iferror(index('rna-muscle'!G:G,match($A732,'rna-muscle'!$A:$A,0)))</f>
        <v>9</v>
      </c>
      <c r="H732" s="11" t="str">
        <f t="shared" si="4"/>
        <v>B9</v>
      </c>
      <c r="I732" s="10" t="str">
        <f t="shared" si="5"/>
        <v>BRN64G-B9</v>
      </c>
      <c r="J732" s="6"/>
      <c r="K732" s="16" t="str">
        <f t="shared" si="6"/>
        <v>collected</v>
      </c>
      <c r="L732" s="16" t="str">
        <f t="shared" si="7"/>
        <v>N</v>
      </c>
      <c r="M732" s="16"/>
      <c r="N732" s="16"/>
    </row>
    <row r="733">
      <c r="A733" s="43" t="s">
        <v>372</v>
      </c>
      <c r="B733" s="10" t="str">
        <f t="shared" si="1"/>
        <v>RNA-gill</v>
      </c>
      <c r="C733" s="10" t="str">
        <f t="shared" si="2"/>
        <v>BRN64G-A9</v>
      </c>
      <c r="D733" s="11">
        <f t="array" ref="D733">iferror(index('rna-muscle'!D:D,match(A733,'rna-muscle'!A:A,0)))</f>
        <v>64</v>
      </c>
      <c r="E733" s="10" t="str">
        <f t="shared" si="3"/>
        <v>BRN64G</v>
      </c>
      <c r="F733" s="11" t="str">
        <f t="array" ref="F733">iferror(index('rna-muscle'!F:F,match($A733,'rna-muscle'!$A:$A,0)))</f>
        <v>A</v>
      </c>
      <c r="G733" s="11">
        <f t="array" ref="G733">iferror(index('rna-muscle'!G:G,match($A733,'rna-muscle'!$A:$A,0)))</f>
        <v>9</v>
      </c>
      <c r="H733" s="11" t="str">
        <f t="shared" si="4"/>
        <v>A9</v>
      </c>
      <c r="I733" s="10" t="str">
        <f t="shared" si="5"/>
        <v>BRN64G-A9</v>
      </c>
      <c r="J733" s="6"/>
      <c r="K733" s="16" t="str">
        <f t="shared" si="6"/>
        <v>collected</v>
      </c>
      <c r="L733" s="16" t="str">
        <f t="shared" si="7"/>
        <v>N</v>
      </c>
      <c r="M733" s="16"/>
      <c r="N733" s="16"/>
    </row>
    <row r="734">
      <c r="A734" s="43" t="s">
        <v>379</v>
      </c>
      <c r="B734" s="10" t="str">
        <f t="shared" si="1"/>
        <v>RNA-gill</v>
      </c>
      <c r="C734" s="10" t="str">
        <f t="shared" si="2"/>
        <v>BRN64G-G12</v>
      </c>
      <c r="D734" s="11">
        <f t="array" ref="D734">iferror(index('rna-muscle'!D:D,match(A734,'rna-muscle'!A:A,0)))</f>
        <v>64</v>
      </c>
      <c r="E734" s="10" t="str">
        <f t="shared" si="3"/>
        <v>BRN64G</v>
      </c>
      <c r="F734" s="11" t="str">
        <f t="array" ref="F734">iferror(index('rna-muscle'!F:F,match($A734,'rna-muscle'!$A:$A,0)))</f>
        <v>G</v>
      </c>
      <c r="G734" s="11">
        <f t="array" ref="G734">iferror(index('rna-muscle'!G:G,match($A734,'rna-muscle'!$A:$A,0)))</f>
        <v>12</v>
      </c>
      <c r="H734" s="11" t="str">
        <f t="shared" si="4"/>
        <v>G12</v>
      </c>
      <c r="I734" s="10" t="str">
        <f t="shared" si="5"/>
        <v>BRN64G-G12</v>
      </c>
      <c r="K734" s="16" t="str">
        <f t="shared" si="6"/>
        <v>collected</v>
      </c>
      <c r="L734" s="16" t="str">
        <f t="shared" si="7"/>
        <v>N</v>
      </c>
      <c r="M734" s="16"/>
      <c r="N734" s="16"/>
    </row>
    <row r="735">
      <c r="A735" s="43" t="s">
        <v>385</v>
      </c>
      <c r="B735" s="10" t="str">
        <f t="shared" si="1"/>
        <v>RNA-gill</v>
      </c>
      <c r="C735" s="10" t="str">
        <f t="shared" si="2"/>
        <v>BRN64G-F12</v>
      </c>
      <c r="D735" s="11">
        <f t="array" ref="D735">iferror(index('rna-muscle'!D:D,match(A735,'rna-muscle'!A:A,0)))</f>
        <v>64</v>
      </c>
      <c r="E735" s="10" t="str">
        <f t="shared" si="3"/>
        <v>BRN64G</v>
      </c>
      <c r="F735" s="11" t="str">
        <f t="array" ref="F735">iferror(index('rna-muscle'!F:F,match($A735,'rna-muscle'!$A:$A,0)))</f>
        <v>F</v>
      </c>
      <c r="G735" s="11">
        <f t="array" ref="G735">iferror(index('rna-muscle'!G:G,match($A735,'rna-muscle'!$A:$A,0)))</f>
        <v>12</v>
      </c>
      <c r="H735" s="11" t="str">
        <f t="shared" si="4"/>
        <v>F12</v>
      </c>
      <c r="I735" s="10" t="str">
        <f t="shared" si="5"/>
        <v>BRN64G-F12</v>
      </c>
      <c r="J735" s="6"/>
      <c r="K735" s="16" t="str">
        <f t="shared" si="6"/>
        <v>collected</v>
      </c>
      <c r="L735" s="16" t="str">
        <f t="shared" si="7"/>
        <v>N</v>
      </c>
      <c r="M735" s="16"/>
      <c r="N735" s="16"/>
    </row>
    <row r="736">
      <c r="A736" s="43" t="s">
        <v>390</v>
      </c>
      <c r="B736" s="10" t="str">
        <f t="shared" si="1"/>
        <v>RNA-gill</v>
      </c>
      <c r="C736" s="10" t="str">
        <f t="shared" si="2"/>
        <v>BRN64G-E12</v>
      </c>
      <c r="D736" s="11">
        <f t="array" ref="D736">iferror(index('rna-muscle'!D:D,match(A736,'rna-muscle'!A:A,0)))</f>
        <v>64</v>
      </c>
      <c r="E736" s="10" t="str">
        <f t="shared" si="3"/>
        <v>BRN64G</v>
      </c>
      <c r="F736" s="11" t="str">
        <f t="array" ref="F736">iferror(index('rna-muscle'!F:F,match($A736,'rna-muscle'!$A:$A,0)))</f>
        <v>E</v>
      </c>
      <c r="G736" s="11">
        <f t="array" ref="G736">iferror(index('rna-muscle'!G:G,match($A736,'rna-muscle'!$A:$A,0)))</f>
        <v>12</v>
      </c>
      <c r="H736" s="11" t="str">
        <f t="shared" si="4"/>
        <v>E12</v>
      </c>
      <c r="I736" s="10" t="str">
        <f t="shared" si="5"/>
        <v>BRN64G-E12</v>
      </c>
      <c r="J736" s="6"/>
      <c r="K736" s="16" t="str">
        <f t="shared" si="6"/>
        <v>collected</v>
      </c>
      <c r="L736" s="16" t="str">
        <f t="shared" si="7"/>
        <v>N</v>
      </c>
      <c r="M736" s="16"/>
      <c r="N736" s="16"/>
    </row>
    <row r="737">
      <c r="A737" s="43" t="s">
        <v>399</v>
      </c>
      <c r="B737" s="10" t="str">
        <f t="shared" si="1"/>
        <v>RNA-gill</v>
      </c>
      <c r="C737" s="10" t="str">
        <f t="shared" si="2"/>
        <v>BRN64G-D12</v>
      </c>
      <c r="D737" s="11">
        <f t="array" ref="D737">iferror(index('rna-muscle'!D:D,match(A737,'rna-muscle'!A:A,0)))</f>
        <v>64</v>
      </c>
      <c r="E737" s="10" t="str">
        <f t="shared" si="3"/>
        <v>BRN64G</v>
      </c>
      <c r="F737" s="11" t="str">
        <f t="array" ref="F737">iferror(index('rna-muscle'!F:F,match($A737,'rna-muscle'!$A:$A,0)))</f>
        <v>D</v>
      </c>
      <c r="G737" s="11">
        <f t="array" ref="G737">iferror(index('rna-muscle'!G:G,match($A737,'rna-muscle'!$A:$A,0)))</f>
        <v>12</v>
      </c>
      <c r="H737" s="11" t="str">
        <f t="shared" si="4"/>
        <v>D12</v>
      </c>
      <c r="I737" s="10" t="str">
        <f t="shared" si="5"/>
        <v>BRN64G-D12</v>
      </c>
      <c r="J737" s="6"/>
      <c r="K737" s="16" t="str">
        <f t="shared" si="6"/>
        <v>collected</v>
      </c>
      <c r="L737" s="16" t="str">
        <f t="shared" si="7"/>
        <v>N</v>
      </c>
      <c r="M737" s="16"/>
      <c r="N737" s="16"/>
    </row>
    <row r="738">
      <c r="A738" s="44" t="s">
        <v>406</v>
      </c>
      <c r="B738" s="10" t="str">
        <f t="shared" si="1"/>
        <v>RNA-gill</v>
      </c>
      <c r="C738" s="10" t="str">
        <f t="shared" si="2"/>
        <v>BRN64G-C12</v>
      </c>
      <c r="D738" s="11">
        <f t="array" ref="D738">iferror(index('rna-muscle'!D:D,match(A738,'rna-muscle'!A:A,0)))</f>
        <v>64</v>
      </c>
      <c r="E738" s="10" t="str">
        <f t="shared" si="3"/>
        <v>BRN64G</v>
      </c>
      <c r="F738" s="11" t="str">
        <f t="array" ref="F738">iferror(index('rna-muscle'!F:F,match($A738,'rna-muscle'!$A:$A,0)))</f>
        <v>C</v>
      </c>
      <c r="G738" s="11">
        <f t="array" ref="G738">iferror(index('rna-muscle'!G:G,match($A738,'rna-muscle'!$A:$A,0)))</f>
        <v>12</v>
      </c>
      <c r="H738" s="11" t="str">
        <f t="shared" si="4"/>
        <v>C12</v>
      </c>
      <c r="I738" s="10" t="str">
        <f t="shared" si="5"/>
        <v>BRN64G-C12</v>
      </c>
      <c r="J738" s="16"/>
      <c r="K738" s="16" t="str">
        <f t="shared" si="6"/>
        <v>collected</v>
      </c>
      <c r="L738" s="16" t="str">
        <f t="shared" si="7"/>
        <v>N</v>
      </c>
      <c r="M738" s="16"/>
      <c r="N738" s="16"/>
    </row>
    <row r="739">
      <c r="A739" s="44" t="s">
        <v>416</v>
      </c>
      <c r="B739" s="10" t="str">
        <f t="shared" si="1"/>
        <v>RNA-gill</v>
      </c>
      <c r="C739" s="10" t="str">
        <f t="shared" si="2"/>
        <v>BRN64G-B12</v>
      </c>
      <c r="D739" s="11">
        <f t="array" ref="D739">iferror(index('rna-muscle'!D:D,match(A739,'rna-muscle'!A:A,0)))</f>
        <v>64</v>
      </c>
      <c r="E739" s="10" t="str">
        <f t="shared" si="3"/>
        <v>BRN64G</v>
      </c>
      <c r="F739" s="11" t="str">
        <f t="array" ref="F739">iferror(index('rna-muscle'!F:F,match($A739,'rna-muscle'!$A:$A,0)))</f>
        <v>B</v>
      </c>
      <c r="G739" s="11">
        <f t="array" ref="G739">iferror(index('rna-muscle'!G:G,match($A739,'rna-muscle'!$A:$A,0)))</f>
        <v>12</v>
      </c>
      <c r="H739" s="11" t="str">
        <f t="shared" si="4"/>
        <v>B12</v>
      </c>
      <c r="I739" s="10" t="str">
        <f t="shared" si="5"/>
        <v>BRN64G-B12</v>
      </c>
      <c r="J739" s="16"/>
      <c r="K739" s="16" t="str">
        <f t="shared" si="6"/>
        <v>collected</v>
      </c>
      <c r="L739" s="16" t="str">
        <f t="shared" si="7"/>
        <v>N</v>
      </c>
      <c r="M739" s="16"/>
      <c r="N739" s="16"/>
    </row>
    <row r="740">
      <c r="A740" s="44" t="s">
        <v>426</v>
      </c>
      <c r="B740" s="10" t="str">
        <f t="shared" si="1"/>
        <v>RNA-gill</v>
      </c>
      <c r="C740" s="10" t="str">
        <f t="shared" si="2"/>
        <v>BRN64G-A12</v>
      </c>
      <c r="D740" s="11">
        <f t="array" ref="D740">iferror(index('rna-muscle'!D:D,match(A740,'rna-muscle'!A:A,0)))</f>
        <v>64</v>
      </c>
      <c r="E740" s="10" t="str">
        <f t="shared" si="3"/>
        <v>BRN64G</v>
      </c>
      <c r="F740" s="11" t="str">
        <f t="array" ref="F740">iferror(index('rna-muscle'!F:F,match($A740,'rna-muscle'!$A:$A,0)))</f>
        <v>A</v>
      </c>
      <c r="G740" s="11">
        <f t="array" ref="G740">iferror(index('rna-muscle'!G:G,match($A740,'rna-muscle'!$A:$A,0)))</f>
        <v>12</v>
      </c>
      <c r="H740" s="11" t="str">
        <f t="shared" si="4"/>
        <v>A12</v>
      </c>
      <c r="I740" s="10" t="str">
        <f t="shared" si="5"/>
        <v>BRN64G-A12</v>
      </c>
      <c r="J740" s="16"/>
      <c r="K740" s="16" t="str">
        <f t="shared" si="6"/>
        <v>collected</v>
      </c>
      <c r="L740" s="16" t="str">
        <f t="shared" si="7"/>
        <v>N</v>
      </c>
      <c r="M740" s="16"/>
      <c r="N740" s="16"/>
    </row>
    <row r="741">
      <c r="A741" s="44" t="s">
        <v>434</v>
      </c>
      <c r="B741" s="10" t="str">
        <f t="shared" si="1"/>
        <v>RNA-gill</v>
      </c>
      <c r="C741" s="10" t="str">
        <f t="shared" si="2"/>
        <v>BRN69G-H1</v>
      </c>
      <c r="D741" s="11">
        <f t="array" ref="D741">iferror(index('rna-muscle'!D:D,match(A741,'rna-muscle'!A:A,0)))</f>
        <v>69</v>
      </c>
      <c r="E741" s="10" t="str">
        <f t="shared" si="3"/>
        <v>BRN69G</v>
      </c>
      <c r="F741" s="11" t="str">
        <f t="array" ref="F741">iferror(index('rna-muscle'!F:F,match($A741,'rna-muscle'!$A:$A,0)))</f>
        <v>H</v>
      </c>
      <c r="G741" s="11">
        <f t="array" ref="G741">iferror(index('rna-muscle'!G:G,match($A741,'rna-muscle'!$A:$A,0)))</f>
        <v>1</v>
      </c>
      <c r="H741" s="11" t="str">
        <f t="shared" si="4"/>
        <v>H1</v>
      </c>
      <c r="I741" s="10" t="str">
        <f t="shared" si="5"/>
        <v>BRN69G-H1</v>
      </c>
      <c r="J741" s="6"/>
      <c r="K741" s="16" t="str">
        <f t="shared" si="6"/>
        <v>collected</v>
      </c>
      <c r="L741" s="16" t="str">
        <f t="shared" si="7"/>
        <v>N</v>
      </c>
      <c r="M741" s="16"/>
      <c r="N741" s="16"/>
    </row>
    <row r="742">
      <c r="A742" s="44" t="s">
        <v>442</v>
      </c>
      <c r="B742" s="10" t="str">
        <f t="shared" si="1"/>
        <v>RNA-gill</v>
      </c>
      <c r="C742" s="10" t="str">
        <f t="shared" si="2"/>
        <v>BRN69G-G1</v>
      </c>
      <c r="D742" s="11">
        <f t="array" ref="D742">iferror(index('rna-muscle'!D:D,match(A742,'rna-muscle'!A:A,0)))</f>
        <v>69</v>
      </c>
      <c r="E742" s="10" t="str">
        <f t="shared" si="3"/>
        <v>BRN69G</v>
      </c>
      <c r="F742" s="11" t="str">
        <f t="array" ref="F742">iferror(index('rna-muscle'!F:F,match($A742,'rna-muscle'!$A:$A,0)))</f>
        <v>G</v>
      </c>
      <c r="G742" s="11">
        <f t="array" ref="G742">iferror(index('rna-muscle'!G:G,match($A742,'rna-muscle'!$A:$A,0)))</f>
        <v>1</v>
      </c>
      <c r="H742" s="11" t="str">
        <f t="shared" si="4"/>
        <v>G1</v>
      </c>
      <c r="I742" s="10" t="str">
        <f t="shared" si="5"/>
        <v>BRN69G-G1</v>
      </c>
      <c r="J742" s="6"/>
      <c r="K742" s="16" t="str">
        <f t="shared" si="6"/>
        <v>collected</v>
      </c>
      <c r="L742" s="16" t="str">
        <f t="shared" si="7"/>
        <v>N</v>
      </c>
      <c r="M742" s="16"/>
      <c r="N742" s="16"/>
    </row>
    <row r="743">
      <c r="A743" s="44" t="s">
        <v>450</v>
      </c>
      <c r="B743" s="10" t="str">
        <f t="shared" si="1"/>
        <v>RNA-gill</v>
      </c>
      <c r="C743" s="10" t="str">
        <f t="shared" si="2"/>
        <v>BRN69G-F1</v>
      </c>
      <c r="D743" s="11">
        <f t="array" ref="D743">iferror(index('rna-muscle'!D:D,match(A743,'rna-muscle'!A:A,0)))</f>
        <v>69</v>
      </c>
      <c r="E743" s="10" t="str">
        <f t="shared" si="3"/>
        <v>BRN69G</v>
      </c>
      <c r="F743" s="11" t="str">
        <f t="array" ref="F743">iferror(index('rna-muscle'!F:F,match($A743,'rna-muscle'!$A:$A,0)))</f>
        <v>F</v>
      </c>
      <c r="G743" s="11">
        <f t="array" ref="G743">iferror(index('rna-muscle'!G:G,match($A743,'rna-muscle'!$A:$A,0)))</f>
        <v>1</v>
      </c>
      <c r="H743" s="11" t="str">
        <f t="shared" si="4"/>
        <v>F1</v>
      </c>
      <c r="I743" s="10" t="str">
        <f t="shared" si="5"/>
        <v>BRN69G-F1</v>
      </c>
      <c r="J743" s="16"/>
      <c r="K743" s="16" t="str">
        <f t="shared" si="6"/>
        <v>collected</v>
      </c>
      <c r="L743" s="16" t="str">
        <f t="shared" si="7"/>
        <v>N</v>
      </c>
      <c r="M743" s="16"/>
      <c r="N743" s="16"/>
    </row>
    <row r="744">
      <c r="A744" s="44" t="s">
        <v>458</v>
      </c>
      <c r="B744" s="10" t="str">
        <f t="shared" si="1"/>
        <v>RNA-gill</v>
      </c>
      <c r="C744" s="10" t="str">
        <f t="shared" si="2"/>
        <v>BRN69G-E1</v>
      </c>
      <c r="D744" s="11">
        <f t="array" ref="D744">iferror(index('rna-muscle'!D:D,match(A744,'rna-muscle'!A:A,0)))</f>
        <v>69</v>
      </c>
      <c r="E744" s="10" t="str">
        <f t="shared" si="3"/>
        <v>BRN69G</v>
      </c>
      <c r="F744" s="11" t="str">
        <f t="array" ref="F744">iferror(index('rna-muscle'!F:F,match($A744,'rna-muscle'!$A:$A,0)))</f>
        <v>E</v>
      </c>
      <c r="G744" s="11">
        <f t="array" ref="G744">iferror(index('rna-muscle'!G:G,match($A744,'rna-muscle'!$A:$A,0)))</f>
        <v>1</v>
      </c>
      <c r="H744" s="11" t="str">
        <f t="shared" si="4"/>
        <v>E1</v>
      </c>
      <c r="I744" s="10" t="str">
        <f t="shared" si="5"/>
        <v>BRN69G-E1</v>
      </c>
      <c r="J744" s="16"/>
      <c r="K744" s="16" t="str">
        <f t="shared" si="6"/>
        <v>collected</v>
      </c>
      <c r="L744" s="16" t="str">
        <f t="shared" si="7"/>
        <v>N</v>
      </c>
      <c r="M744" s="16"/>
      <c r="N744" s="16"/>
    </row>
    <row r="745">
      <c r="A745" s="44" t="s">
        <v>465</v>
      </c>
      <c r="B745" s="10" t="str">
        <f t="shared" si="1"/>
        <v>RNA-gill</v>
      </c>
      <c r="C745" s="10" t="str">
        <f t="shared" si="2"/>
        <v>BRN69G-D1</v>
      </c>
      <c r="D745" s="11">
        <f t="array" ref="D745">iferror(index('rna-muscle'!D:D,match(A745,'rna-muscle'!A:A,0)))</f>
        <v>69</v>
      </c>
      <c r="E745" s="10" t="str">
        <f t="shared" si="3"/>
        <v>BRN69G</v>
      </c>
      <c r="F745" s="11" t="str">
        <f t="array" ref="F745">iferror(index('rna-muscle'!F:F,match($A745,'rna-muscle'!$A:$A,0)))</f>
        <v>D</v>
      </c>
      <c r="G745" s="11">
        <f t="array" ref="G745">iferror(index('rna-muscle'!G:G,match($A745,'rna-muscle'!$A:$A,0)))</f>
        <v>1</v>
      </c>
      <c r="H745" s="11" t="str">
        <f t="shared" si="4"/>
        <v>D1</v>
      </c>
      <c r="I745" s="10" t="str">
        <f t="shared" si="5"/>
        <v>BRN69G-D1</v>
      </c>
      <c r="J745" s="16"/>
      <c r="K745" s="16" t="str">
        <f t="shared" si="6"/>
        <v>collected</v>
      </c>
      <c r="L745" s="16" t="str">
        <f t="shared" si="7"/>
        <v>N</v>
      </c>
      <c r="M745" s="16"/>
      <c r="N745" s="16"/>
    </row>
    <row r="746">
      <c r="A746" s="44" t="s">
        <v>472</v>
      </c>
      <c r="B746" s="10" t="str">
        <f t="shared" si="1"/>
        <v>RNA-gill</v>
      </c>
      <c r="C746" s="10" t="str">
        <f t="shared" si="2"/>
        <v>BRN69G-C1</v>
      </c>
      <c r="D746" s="11">
        <f t="array" ref="D746">iferror(index('rna-muscle'!D:D,match(A746,'rna-muscle'!A:A,0)))</f>
        <v>69</v>
      </c>
      <c r="E746" s="10" t="str">
        <f t="shared" si="3"/>
        <v>BRN69G</v>
      </c>
      <c r="F746" s="11" t="str">
        <f t="array" ref="F746">iferror(index('rna-muscle'!F:F,match($A746,'rna-muscle'!$A:$A,0)))</f>
        <v>C</v>
      </c>
      <c r="G746" s="11">
        <f t="array" ref="G746">iferror(index('rna-muscle'!G:G,match($A746,'rna-muscle'!$A:$A,0)))</f>
        <v>1</v>
      </c>
      <c r="H746" s="11" t="str">
        <f t="shared" si="4"/>
        <v>C1</v>
      </c>
      <c r="I746" s="10" t="str">
        <f t="shared" si="5"/>
        <v>BRN69G-C1</v>
      </c>
      <c r="J746" s="16"/>
      <c r="K746" s="16" t="str">
        <f t="shared" si="6"/>
        <v>collected</v>
      </c>
      <c r="L746" s="16" t="str">
        <f t="shared" si="7"/>
        <v>N</v>
      </c>
      <c r="M746" s="16"/>
      <c r="N746" s="16"/>
    </row>
    <row r="747">
      <c r="A747" s="44" t="s">
        <v>479</v>
      </c>
      <c r="B747" s="10" t="str">
        <f t="shared" si="1"/>
        <v>RNA-gill</v>
      </c>
      <c r="C747" s="10" t="str">
        <f t="shared" si="2"/>
        <v>BRN69G-B1</v>
      </c>
      <c r="D747" s="11">
        <f t="array" ref="D747">iferror(index('rna-muscle'!D:D,match(A747,'rna-muscle'!A:A,0)))</f>
        <v>69</v>
      </c>
      <c r="E747" s="10" t="str">
        <f t="shared" si="3"/>
        <v>BRN69G</v>
      </c>
      <c r="F747" s="11" t="str">
        <f t="array" ref="F747">iferror(index('rna-muscle'!F:F,match($A747,'rna-muscle'!$A:$A,0)))</f>
        <v>B</v>
      </c>
      <c r="G747" s="11">
        <f t="array" ref="G747">iferror(index('rna-muscle'!G:G,match($A747,'rna-muscle'!$A:$A,0)))</f>
        <v>1</v>
      </c>
      <c r="H747" s="11" t="str">
        <f t="shared" si="4"/>
        <v>B1</v>
      </c>
      <c r="I747" s="10" t="str">
        <f t="shared" si="5"/>
        <v>BRN69G-B1</v>
      </c>
      <c r="J747" s="16"/>
      <c r="K747" s="16" t="str">
        <f t="shared" si="6"/>
        <v>collected</v>
      </c>
      <c r="L747" s="16" t="str">
        <f t="shared" si="7"/>
        <v>N</v>
      </c>
      <c r="M747" s="16"/>
      <c r="N747" s="16"/>
    </row>
    <row r="748">
      <c r="A748" s="44" t="s">
        <v>486</v>
      </c>
      <c r="B748" s="10" t="str">
        <f t="shared" si="1"/>
        <v>RNA-gill</v>
      </c>
      <c r="C748" s="10" t="str">
        <f t="shared" si="2"/>
        <v>BRN69G-A1</v>
      </c>
      <c r="D748" s="11">
        <f t="array" ref="D748">iferror(index('rna-muscle'!D:D,match(A748,'rna-muscle'!A:A,0)))</f>
        <v>69</v>
      </c>
      <c r="E748" s="10" t="str">
        <f t="shared" si="3"/>
        <v>BRN69G</v>
      </c>
      <c r="F748" s="11" t="str">
        <f t="array" ref="F748">iferror(index('rna-muscle'!F:F,match($A748,'rna-muscle'!$A:$A,0)))</f>
        <v>A</v>
      </c>
      <c r="G748" s="11">
        <f t="array" ref="G748">iferror(index('rna-muscle'!G:G,match($A748,'rna-muscle'!$A:$A,0)))</f>
        <v>1</v>
      </c>
      <c r="H748" s="11" t="str">
        <f t="shared" si="4"/>
        <v>A1</v>
      </c>
      <c r="I748" s="10" t="str">
        <f t="shared" si="5"/>
        <v>BRN69G-A1</v>
      </c>
      <c r="J748" s="16"/>
      <c r="K748" s="16" t="str">
        <f t="shared" si="6"/>
        <v>collected</v>
      </c>
      <c r="L748" s="16" t="str">
        <f t="shared" si="7"/>
        <v>N</v>
      </c>
      <c r="M748" s="16"/>
      <c r="N748" s="16"/>
    </row>
    <row r="749">
      <c r="A749" s="44" t="s">
        <v>494</v>
      </c>
      <c r="B749" s="10" t="str">
        <f t="shared" si="1"/>
        <v>RNA-gill</v>
      </c>
      <c r="C749" s="10" t="str">
        <f t="shared" si="2"/>
        <v>BRN69G-H3</v>
      </c>
      <c r="D749" s="11">
        <f t="array" ref="D749">iferror(index('rna-muscle'!D:D,match(A749,'rna-muscle'!A:A,0)))</f>
        <v>69</v>
      </c>
      <c r="E749" s="10" t="str">
        <f t="shared" si="3"/>
        <v>BRN69G</v>
      </c>
      <c r="F749" s="11" t="str">
        <f t="array" ref="F749">iferror(index('rna-muscle'!F:F,match($A749,'rna-muscle'!$A:$A,0)))</f>
        <v>H</v>
      </c>
      <c r="G749" s="11">
        <f t="array" ref="G749">iferror(index('rna-muscle'!G:G,match($A749,'rna-muscle'!$A:$A,0)))</f>
        <v>3</v>
      </c>
      <c r="H749" s="11" t="str">
        <f t="shared" si="4"/>
        <v>H3</v>
      </c>
      <c r="I749" s="10" t="str">
        <f t="shared" si="5"/>
        <v>BRN69G-H3</v>
      </c>
      <c r="J749" s="16"/>
      <c r="K749" s="16" t="str">
        <f t="shared" si="6"/>
        <v>collected</v>
      </c>
      <c r="L749" s="16" t="str">
        <f t="shared" si="7"/>
        <v>N</v>
      </c>
      <c r="M749" s="16"/>
      <c r="N749" s="16"/>
    </row>
    <row r="750">
      <c r="A750" s="44" t="s">
        <v>502</v>
      </c>
      <c r="B750" s="10" t="str">
        <f t="shared" si="1"/>
        <v>RNA-gill</v>
      </c>
      <c r="C750" s="10" t="str">
        <f t="shared" si="2"/>
        <v>BRN69G-G3</v>
      </c>
      <c r="D750" s="11">
        <f t="array" ref="D750">iferror(index('rna-muscle'!D:D,match(A750,'rna-muscle'!A:A,0)))</f>
        <v>69</v>
      </c>
      <c r="E750" s="10" t="str">
        <f t="shared" si="3"/>
        <v>BRN69G</v>
      </c>
      <c r="F750" s="11" t="str">
        <f t="array" ref="F750">iferror(index('rna-muscle'!F:F,match($A750,'rna-muscle'!$A:$A,0)))</f>
        <v>G</v>
      </c>
      <c r="G750" s="11">
        <f t="array" ref="G750">iferror(index('rna-muscle'!G:G,match($A750,'rna-muscle'!$A:$A,0)))</f>
        <v>3</v>
      </c>
      <c r="H750" s="11" t="str">
        <f t="shared" si="4"/>
        <v>G3</v>
      </c>
      <c r="I750" s="10" t="str">
        <f t="shared" si="5"/>
        <v>BRN69G-G3</v>
      </c>
      <c r="J750" s="6"/>
      <c r="K750" s="16" t="str">
        <f t="shared" si="6"/>
        <v>collected</v>
      </c>
      <c r="L750" s="16" t="str">
        <f t="shared" si="7"/>
        <v>N</v>
      </c>
      <c r="M750" s="16"/>
      <c r="N750" s="16"/>
    </row>
    <row r="751">
      <c r="A751" s="44" t="s">
        <v>508</v>
      </c>
      <c r="B751" s="10" t="str">
        <f t="shared" si="1"/>
        <v>RNA-gill</v>
      </c>
      <c r="C751" s="10" t="str">
        <f t="shared" si="2"/>
        <v>BRN69G-F3</v>
      </c>
      <c r="D751" s="11">
        <f t="array" ref="D751">iferror(index('rna-muscle'!D:D,match(A751,'rna-muscle'!A:A,0)))</f>
        <v>69</v>
      </c>
      <c r="E751" s="10" t="str">
        <f t="shared" si="3"/>
        <v>BRN69G</v>
      </c>
      <c r="F751" s="11" t="str">
        <f t="array" ref="F751">iferror(index('rna-muscle'!F:F,match($A751,'rna-muscle'!$A:$A,0)))</f>
        <v>F</v>
      </c>
      <c r="G751" s="11">
        <f t="array" ref="G751">iferror(index('rna-muscle'!G:G,match($A751,'rna-muscle'!$A:$A,0)))</f>
        <v>3</v>
      </c>
      <c r="H751" s="11" t="str">
        <f t="shared" si="4"/>
        <v>F3</v>
      </c>
      <c r="I751" s="10" t="str">
        <f t="shared" si="5"/>
        <v>BRN69G-F3</v>
      </c>
      <c r="J751" s="16"/>
      <c r="K751" s="16" t="str">
        <f t="shared" si="6"/>
        <v>collected</v>
      </c>
      <c r="L751" s="16" t="str">
        <f t="shared" si="7"/>
        <v>N</v>
      </c>
      <c r="M751" s="16"/>
      <c r="N751" s="16"/>
    </row>
    <row r="752">
      <c r="A752" s="44" t="s">
        <v>517</v>
      </c>
      <c r="B752" s="10" t="str">
        <f t="shared" si="1"/>
        <v>RNA-gill</v>
      </c>
      <c r="C752" s="10" t="str">
        <f t="shared" si="2"/>
        <v>BRN69G-E3</v>
      </c>
      <c r="D752" s="11">
        <f t="array" ref="D752">iferror(index('rna-muscle'!D:D,match(A752,'rna-muscle'!A:A,0)))</f>
        <v>69</v>
      </c>
      <c r="E752" s="10" t="str">
        <f t="shared" si="3"/>
        <v>BRN69G</v>
      </c>
      <c r="F752" s="11" t="str">
        <f t="array" ref="F752">iferror(index('rna-muscle'!F:F,match($A752,'rna-muscle'!$A:$A,0)))</f>
        <v>E</v>
      </c>
      <c r="G752" s="11">
        <f t="array" ref="G752">iferror(index('rna-muscle'!G:G,match($A752,'rna-muscle'!$A:$A,0)))</f>
        <v>3</v>
      </c>
      <c r="H752" s="11" t="str">
        <f t="shared" si="4"/>
        <v>E3</v>
      </c>
      <c r="I752" s="10" t="str">
        <f t="shared" si="5"/>
        <v>BRN69G-E3</v>
      </c>
      <c r="J752" s="6"/>
      <c r="K752" s="16" t="str">
        <f t="shared" si="6"/>
        <v>collected</v>
      </c>
      <c r="L752" s="16" t="str">
        <f t="shared" si="7"/>
        <v>N</v>
      </c>
      <c r="M752" s="16"/>
      <c r="N752" s="16"/>
    </row>
    <row r="753">
      <c r="A753" s="44" t="s">
        <v>525</v>
      </c>
      <c r="B753" s="10" t="str">
        <f t="shared" si="1"/>
        <v>RNA-gill</v>
      </c>
      <c r="C753" s="10" t="str">
        <f t="shared" si="2"/>
        <v>BRN69G-D3</v>
      </c>
      <c r="D753" s="11">
        <f t="array" ref="D753">iferror(index('rna-muscle'!D:D,match(A753,'rna-muscle'!A:A,0)))</f>
        <v>69</v>
      </c>
      <c r="E753" s="10" t="str">
        <f t="shared" si="3"/>
        <v>BRN69G</v>
      </c>
      <c r="F753" s="11" t="str">
        <f t="array" ref="F753">iferror(index('rna-muscle'!F:F,match($A753,'rna-muscle'!$A:$A,0)))</f>
        <v>D</v>
      </c>
      <c r="G753" s="11">
        <f t="array" ref="G753">iferror(index('rna-muscle'!G:G,match($A753,'rna-muscle'!$A:$A,0)))</f>
        <v>3</v>
      </c>
      <c r="H753" s="11" t="str">
        <f t="shared" si="4"/>
        <v>D3</v>
      </c>
      <c r="I753" s="10" t="str">
        <f t="shared" si="5"/>
        <v>BRN69G-D3</v>
      </c>
      <c r="J753" s="16"/>
      <c r="K753" s="16" t="str">
        <f t="shared" si="6"/>
        <v>collected</v>
      </c>
      <c r="L753" s="16" t="str">
        <f t="shared" si="7"/>
        <v>N</v>
      </c>
      <c r="M753" s="16"/>
      <c r="N753" s="16"/>
    </row>
    <row r="754">
      <c r="A754" s="26" t="s">
        <v>533</v>
      </c>
      <c r="B754" s="10" t="str">
        <f t="shared" si="1"/>
        <v>RNA-gill</v>
      </c>
      <c r="C754" s="10" t="str">
        <f t="shared" si="2"/>
        <v>BRN69G-G2</v>
      </c>
      <c r="D754" s="11">
        <f t="array" ref="D754">iferror(index('rna-muscle'!D:D,match(A754,'rna-muscle'!A:A,0)))</f>
        <v>69</v>
      </c>
      <c r="E754" s="10" t="str">
        <f t="shared" si="3"/>
        <v>BRN69G</v>
      </c>
      <c r="F754" s="11" t="str">
        <f t="array" ref="F754">iferror(index('rna-muscle'!F:F,match($A754,'rna-muscle'!$A:$A,0)))</f>
        <v>G</v>
      </c>
      <c r="G754" s="11">
        <f t="array" ref="G754">iferror(index('rna-muscle'!G:G,match($A754,'rna-muscle'!$A:$A,0)))</f>
        <v>2</v>
      </c>
      <c r="H754" s="11" t="str">
        <f t="shared" si="4"/>
        <v>G2</v>
      </c>
      <c r="I754" s="10" t="str">
        <f t="shared" si="5"/>
        <v>BRN69G-G2</v>
      </c>
      <c r="J754" s="16"/>
      <c r="K754" s="16" t="str">
        <f t="shared" si="6"/>
        <v>collected</v>
      </c>
      <c r="L754" s="16" t="str">
        <f t="shared" si="7"/>
        <v>N</v>
      </c>
      <c r="M754" s="16"/>
      <c r="N754" s="16"/>
    </row>
    <row r="755">
      <c r="A755" s="26" t="s">
        <v>542</v>
      </c>
      <c r="B755" s="10" t="str">
        <f t="shared" si="1"/>
        <v>RNA-gill</v>
      </c>
      <c r="C755" s="10" t="str">
        <f t="shared" si="2"/>
        <v>BRN69G-F2</v>
      </c>
      <c r="D755" s="11">
        <f t="array" ref="D755">iferror(index('rna-muscle'!D:D,match(A755,'rna-muscle'!A:A,0)))</f>
        <v>69</v>
      </c>
      <c r="E755" s="10" t="str">
        <f t="shared" si="3"/>
        <v>BRN69G</v>
      </c>
      <c r="F755" s="11" t="str">
        <f t="array" ref="F755">iferror(index('rna-muscle'!F:F,match($A755,'rna-muscle'!$A:$A,0)))</f>
        <v>F</v>
      </c>
      <c r="G755" s="11">
        <f t="array" ref="G755">iferror(index('rna-muscle'!G:G,match($A755,'rna-muscle'!$A:$A,0)))</f>
        <v>2</v>
      </c>
      <c r="H755" s="11" t="str">
        <f t="shared" si="4"/>
        <v>F2</v>
      </c>
      <c r="I755" s="10" t="str">
        <f t="shared" si="5"/>
        <v>BRN69G-F2</v>
      </c>
      <c r="J755" s="6"/>
      <c r="K755" s="16" t="str">
        <f t="shared" si="6"/>
        <v>collected</v>
      </c>
      <c r="L755" s="16" t="str">
        <f t="shared" si="7"/>
        <v>N</v>
      </c>
      <c r="M755" s="16"/>
      <c r="N755" s="16"/>
    </row>
    <row r="756">
      <c r="A756" s="26" t="s">
        <v>551</v>
      </c>
      <c r="B756" s="10" t="str">
        <f t="shared" si="1"/>
        <v>RNA-gill</v>
      </c>
      <c r="C756" s="10" t="str">
        <f t="shared" si="2"/>
        <v>BRN69G-E2</v>
      </c>
      <c r="D756" s="11">
        <f t="array" ref="D756">iferror(index('rna-muscle'!D:D,match(A756,'rna-muscle'!A:A,0)))</f>
        <v>69</v>
      </c>
      <c r="E756" s="10" t="str">
        <f t="shared" si="3"/>
        <v>BRN69G</v>
      </c>
      <c r="F756" s="11" t="str">
        <f t="array" ref="F756">iferror(index('rna-muscle'!F:F,match($A756,'rna-muscle'!$A:$A,0)))</f>
        <v>E</v>
      </c>
      <c r="G756" s="11">
        <f t="array" ref="G756">iferror(index('rna-muscle'!G:G,match($A756,'rna-muscle'!$A:$A,0)))</f>
        <v>2</v>
      </c>
      <c r="H756" s="11" t="str">
        <f t="shared" si="4"/>
        <v>E2</v>
      </c>
      <c r="I756" s="10" t="str">
        <f t="shared" si="5"/>
        <v>BRN69G-E2</v>
      </c>
      <c r="J756" s="16"/>
      <c r="K756" s="16" t="str">
        <f t="shared" si="6"/>
        <v>collected</v>
      </c>
      <c r="L756" s="16" t="str">
        <f t="shared" si="7"/>
        <v>N</v>
      </c>
      <c r="M756" s="16"/>
      <c r="N756" s="16"/>
    </row>
    <row r="757">
      <c r="A757" s="26" t="s">
        <v>557</v>
      </c>
      <c r="B757" s="10" t="str">
        <f t="shared" si="1"/>
        <v>RNA-gill</v>
      </c>
      <c r="C757" s="10" t="str">
        <f t="shared" si="2"/>
        <v>BRN69G-D2</v>
      </c>
      <c r="D757" s="11">
        <f t="array" ref="D757">iferror(index('rna-muscle'!D:D,match(A757,'rna-muscle'!A:A,0)))</f>
        <v>69</v>
      </c>
      <c r="E757" s="10" t="str">
        <f t="shared" si="3"/>
        <v>BRN69G</v>
      </c>
      <c r="F757" s="11" t="str">
        <f t="array" ref="F757">iferror(index('rna-muscle'!F:F,match($A757,'rna-muscle'!$A:$A,0)))</f>
        <v>D</v>
      </c>
      <c r="G757" s="11">
        <f t="array" ref="G757">iferror(index('rna-muscle'!G:G,match($A757,'rna-muscle'!$A:$A,0)))</f>
        <v>2</v>
      </c>
      <c r="H757" s="11" t="str">
        <f t="shared" si="4"/>
        <v>D2</v>
      </c>
      <c r="I757" s="10" t="str">
        <f t="shared" si="5"/>
        <v>BRN69G-D2</v>
      </c>
      <c r="J757" s="16"/>
      <c r="K757" s="16" t="str">
        <f t="shared" si="6"/>
        <v>collected</v>
      </c>
      <c r="L757" s="16" t="str">
        <f t="shared" si="7"/>
        <v>N</v>
      </c>
      <c r="M757" s="16"/>
      <c r="N757" s="16"/>
    </row>
    <row r="758">
      <c r="A758" s="26" t="s">
        <v>565</v>
      </c>
      <c r="B758" s="10" t="str">
        <f t="shared" si="1"/>
        <v>RNA-gill</v>
      </c>
      <c r="C758" s="10" t="str">
        <f t="shared" si="2"/>
        <v>BRN69G-C2</v>
      </c>
      <c r="D758" s="11">
        <f t="array" ref="D758">iferror(index('rna-muscle'!D:D,match(A758,'rna-muscle'!A:A,0)))</f>
        <v>69</v>
      </c>
      <c r="E758" s="10" t="str">
        <f t="shared" si="3"/>
        <v>BRN69G</v>
      </c>
      <c r="F758" s="11" t="str">
        <f t="array" ref="F758">iferror(index('rna-muscle'!F:F,match($A758,'rna-muscle'!$A:$A,0)))</f>
        <v>C</v>
      </c>
      <c r="G758" s="11">
        <f t="array" ref="G758">iferror(index('rna-muscle'!G:G,match($A758,'rna-muscle'!$A:$A,0)))</f>
        <v>2</v>
      </c>
      <c r="H758" s="11" t="str">
        <f t="shared" si="4"/>
        <v>C2</v>
      </c>
      <c r="I758" s="10" t="str">
        <f t="shared" si="5"/>
        <v>BRN69G-C2</v>
      </c>
      <c r="J758" s="16"/>
      <c r="K758" s="16" t="str">
        <f t="shared" si="6"/>
        <v>collected</v>
      </c>
      <c r="L758" s="16" t="str">
        <f t="shared" si="7"/>
        <v>N</v>
      </c>
      <c r="M758" s="16"/>
      <c r="N758" s="16"/>
    </row>
    <row r="759">
      <c r="A759" s="26" t="s">
        <v>573</v>
      </c>
      <c r="B759" s="10" t="str">
        <f t="shared" si="1"/>
        <v>RNA-gill</v>
      </c>
      <c r="C759" s="10" t="str">
        <f t="shared" si="2"/>
        <v>BRN69G-B2</v>
      </c>
      <c r="D759" s="11">
        <f t="array" ref="D759">iferror(index('rna-muscle'!D:D,match(A759,'rna-muscle'!A:A,0)))</f>
        <v>69</v>
      </c>
      <c r="E759" s="10" t="str">
        <f t="shared" si="3"/>
        <v>BRN69G</v>
      </c>
      <c r="F759" s="11" t="str">
        <f t="array" ref="F759">iferror(index('rna-muscle'!F:F,match($A759,'rna-muscle'!$A:$A,0)))</f>
        <v>B</v>
      </c>
      <c r="G759" s="11">
        <f t="array" ref="G759">iferror(index('rna-muscle'!G:G,match($A759,'rna-muscle'!$A:$A,0)))</f>
        <v>2</v>
      </c>
      <c r="H759" s="11" t="str">
        <f t="shared" si="4"/>
        <v>B2</v>
      </c>
      <c r="I759" s="10" t="str">
        <f t="shared" si="5"/>
        <v>BRN69G-B2</v>
      </c>
      <c r="J759" s="16"/>
      <c r="K759" s="16" t="str">
        <f t="shared" si="6"/>
        <v>collected</v>
      </c>
      <c r="L759" s="16" t="str">
        <f t="shared" si="7"/>
        <v>N</v>
      </c>
      <c r="M759" s="16"/>
      <c r="N759" s="16"/>
    </row>
    <row r="760">
      <c r="A760" s="26" t="s">
        <v>579</v>
      </c>
      <c r="B760" s="10" t="str">
        <f t="shared" si="1"/>
        <v>RNA-gill</v>
      </c>
      <c r="C760" s="10" t="str">
        <f t="shared" si="2"/>
        <v>BRN69G-A2</v>
      </c>
      <c r="D760" s="11">
        <f t="array" ref="D760">iferror(index('rna-muscle'!D:D,match(A760,'rna-muscle'!A:A,0)))</f>
        <v>69</v>
      </c>
      <c r="E760" s="10" t="str">
        <f t="shared" si="3"/>
        <v>BRN69G</v>
      </c>
      <c r="F760" s="11" t="str">
        <f t="array" ref="F760">iferror(index('rna-muscle'!F:F,match($A760,'rna-muscle'!$A:$A,0)))</f>
        <v>A</v>
      </c>
      <c r="G760" s="11">
        <f t="array" ref="G760">iferror(index('rna-muscle'!G:G,match($A760,'rna-muscle'!$A:$A,0)))</f>
        <v>2</v>
      </c>
      <c r="H760" s="11" t="str">
        <f t="shared" si="4"/>
        <v>A2</v>
      </c>
      <c r="I760" s="10" t="str">
        <f t="shared" si="5"/>
        <v>BRN69G-A2</v>
      </c>
      <c r="J760" s="16"/>
      <c r="K760" s="16" t="str">
        <f t="shared" si="6"/>
        <v>collected</v>
      </c>
      <c r="L760" s="16" t="str">
        <f t="shared" si="7"/>
        <v>N</v>
      </c>
      <c r="M760" s="16"/>
      <c r="N760" s="16"/>
    </row>
    <row r="761">
      <c r="A761" s="26" t="s">
        <v>589</v>
      </c>
      <c r="B761" s="10" t="str">
        <f t="shared" si="1"/>
        <v>RNA-gill</v>
      </c>
      <c r="C761" s="10" t="str">
        <f t="shared" si="2"/>
        <v>BRN69G-H5</v>
      </c>
      <c r="D761" s="11">
        <f t="array" ref="D761">iferror(index('rna-muscle'!D:D,match(A761,'rna-muscle'!A:A,0)))</f>
        <v>69</v>
      </c>
      <c r="E761" s="10" t="str">
        <f t="shared" si="3"/>
        <v>BRN69G</v>
      </c>
      <c r="F761" s="11" t="str">
        <f t="array" ref="F761">iferror(index('rna-muscle'!F:F,match($A761,'rna-muscle'!$A:$A,0)))</f>
        <v>H</v>
      </c>
      <c r="G761" s="11">
        <f t="array" ref="G761">iferror(index('rna-muscle'!G:G,match($A761,'rna-muscle'!$A:$A,0)))</f>
        <v>5</v>
      </c>
      <c r="H761" s="11" t="str">
        <f t="shared" si="4"/>
        <v>H5</v>
      </c>
      <c r="I761" s="10" t="str">
        <f t="shared" si="5"/>
        <v>BRN69G-H5</v>
      </c>
      <c r="J761" s="16"/>
      <c r="K761" s="16" t="str">
        <f t="shared" si="6"/>
        <v>collected</v>
      </c>
      <c r="L761" s="16" t="str">
        <f t="shared" si="7"/>
        <v>N</v>
      </c>
      <c r="M761" s="16"/>
      <c r="N761" s="16"/>
    </row>
    <row r="762">
      <c r="A762" s="26" t="s">
        <v>594</v>
      </c>
      <c r="B762" s="10" t="str">
        <f t="shared" si="1"/>
        <v>RNA-gill</v>
      </c>
      <c r="C762" s="10" t="str">
        <f t="shared" si="2"/>
        <v>BRN69G-G5</v>
      </c>
      <c r="D762" s="11">
        <f t="array" ref="D762">iferror(index('rna-muscle'!D:D,match(A762,'rna-muscle'!A:A,0)))</f>
        <v>69</v>
      </c>
      <c r="E762" s="10" t="str">
        <f t="shared" si="3"/>
        <v>BRN69G</v>
      </c>
      <c r="F762" s="11" t="str">
        <f t="array" ref="F762">iferror(index('rna-muscle'!F:F,match($A762,'rna-muscle'!$A:$A,0)))</f>
        <v>G</v>
      </c>
      <c r="G762" s="11">
        <f t="array" ref="G762">iferror(index('rna-muscle'!G:G,match($A762,'rna-muscle'!$A:$A,0)))</f>
        <v>5</v>
      </c>
      <c r="H762" s="11" t="str">
        <f t="shared" si="4"/>
        <v>G5</v>
      </c>
      <c r="I762" s="10" t="str">
        <f t="shared" si="5"/>
        <v>BRN69G-G5</v>
      </c>
      <c r="J762" s="16"/>
      <c r="K762" s="16" t="str">
        <f t="shared" si="6"/>
        <v>collected</v>
      </c>
      <c r="L762" s="16" t="str">
        <f t="shared" si="7"/>
        <v>N</v>
      </c>
      <c r="M762" s="16"/>
      <c r="N762" s="16"/>
    </row>
    <row r="763">
      <c r="A763" s="26" t="s">
        <v>599</v>
      </c>
      <c r="B763" s="10" t="str">
        <f t="shared" si="1"/>
        <v>RNA-gill</v>
      </c>
      <c r="C763" s="10" t="str">
        <f t="shared" si="2"/>
        <v>BRN69G-F5</v>
      </c>
      <c r="D763" s="11">
        <f t="array" ref="D763">iferror(index('rna-muscle'!D:D,match(A763,'rna-muscle'!A:A,0)))</f>
        <v>69</v>
      </c>
      <c r="E763" s="10" t="str">
        <f t="shared" si="3"/>
        <v>BRN69G</v>
      </c>
      <c r="F763" s="11" t="str">
        <f t="array" ref="F763">iferror(index('rna-muscle'!F:F,match($A763,'rna-muscle'!$A:$A,0)))</f>
        <v>F</v>
      </c>
      <c r="G763" s="11">
        <f t="array" ref="G763">iferror(index('rna-muscle'!G:G,match($A763,'rna-muscle'!$A:$A,0)))</f>
        <v>5</v>
      </c>
      <c r="H763" s="11" t="str">
        <f t="shared" si="4"/>
        <v>F5</v>
      </c>
      <c r="I763" s="10" t="str">
        <f t="shared" si="5"/>
        <v>BRN69G-F5</v>
      </c>
      <c r="J763" s="16"/>
      <c r="K763" s="16" t="str">
        <f t="shared" si="6"/>
        <v>collected</v>
      </c>
      <c r="L763" s="16" t="str">
        <f t="shared" si="7"/>
        <v>N</v>
      </c>
      <c r="M763" s="16"/>
      <c r="N763" s="16"/>
    </row>
    <row r="764">
      <c r="A764" s="26" t="s">
        <v>605</v>
      </c>
      <c r="B764" s="10" t="str">
        <f t="shared" si="1"/>
        <v>RNA-gill</v>
      </c>
      <c r="C764" s="10" t="str">
        <f t="shared" si="2"/>
        <v>BRN69G-E5</v>
      </c>
      <c r="D764" s="11">
        <f t="array" ref="D764">iferror(index('rna-muscle'!D:D,match(A764,'rna-muscle'!A:A,0)))</f>
        <v>69</v>
      </c>
      <c r="E764" s="10" t="str">
        <f t="shared" si="3"/>
        <v>BRN69G</v>
      </c>
      <c r="F764" s="11" t="str">
        <f t="array" ref="F764">iferror(index('rna-muscle'!F:F,match($A764,'rna-muscle'!$A:$A,0)))</f>
        <v>E</v>
      </c>
      <c r="G764" s="11">
        <f t="array" ref="G764">iferror(index('rna-muscle'!G:G,match($A764,'rna-muscle'!$A:$A,0)))</f>
        <v>5</v>
      </c>
      <c r="H764" s="11" t="str">
        <f t="shared" si="4"/>
        <v>E5</v>
      </c>
      <c r="I764" s="10" t="str">
        <f t="shared" si="5"/>
        <v>BRN69G-E5</v>
      </c>
      <c r="J764" s="6"/>
      <c r="K764" s="16" t="str">
        <f t="shared" si="6"/>
        <v>collected</v>
      </c>
      <c r="L764" s="16" t="str">
        <f t="shared" si="7"/>
        <v>N</v>
      </c>
      <c r="M764" s="16"/>
      <c r="N764" s="16"/>
    </row>
    <row r="765">
      <c r="A765" s="26" t="s">
        <v>609</v>
      </c>
      <c r="B765" s="10" t="str">
        <f t="shared" si="1"/>
        <v>RNA-gill</v>
      </c>
      <c r="C765" s="10" t="str">
        <f t="shared" si="2"/>
        <v>BRN69G-D5</v>
      </c>
      <c r="D765" s="11">
        <f t="array" ref="D765">iferror(index('rna-muscle'!D:D,match(A765,'rna-muscle'!A:A,0)))</f>
        <v>69</v>
      </c>
      <c r="E765" s="10" t="str">
        <f t="shared" si="3"/>
        <v>BRN69G</v>
      </c>
      <c r="F765" s="11" t="str">
        <f t="array" ref="F765">iferror(index('rna-muscle'!F:F,match($A765,'rna-muscle'!$A:$A,0)))</f>
        <v>D</v>
      </c>
      <c r="G765" s="11">
        <f t="array" ref="G765">iferror(index('rna-muscle'!G:G,match($A765,'rna-muscle'!$A:$A,0)))</f>
        <v>5</v>
      </c>
      <c r="H765" s="11" t="str">
        <f t="shared" si="4"/>
        <v>D5</v>
      </c>
      <c r="I765" s="10" t="str">
        <f t="shared" si="5"/>
        <v>BRN69G-D5</v>
      </c>
      <c r="J765" s="6"/>
      <c r="K765" s="16" t="str">
        <f t="shared" si="6"/>
        <v>collected</v>
      </c>
      <c r="L765" s="16" t="str">
        <f t="shared" si="7"/>
        <v>N</v>
      </c>
      <c r="M765" s="16"/>
      <c r="N765" s="16"/>
    </row>
    <row r="766">
      <c r="A766" s="26" t="s">
        <v>617</v>
      </c>
      <c r="B766" s="10" t="str">
        <f t="shared" si="1"/>
        <v>RNA-gill</v>
      </c>
      <c r="C766" s="10" t="str">
        <f t="shared" si="2"/>
        <v>BRN69G-C5</v>
      </c>
      <c r="D766" s="11">
        <f t="array" ref="D766">iferror(index('rna-muscle'!D:D,match(A766,'rna-muscle'!A:A,0)))</f>
        <v>69</v>
      </c>
      <c r="E766" s="10" t="str">
        <f t="shared" si="3"/>
        <v>BRN69G</v>
      </c>
      <c r="F766" s="11" t="str">
        <f t="array" ref="F766">iferror(index('rna-muscle'!F:F,match($A766,'rna-muscle'!$A:$A,0)))</f>
        <v>C</v>
      </c>
      <c r="G766" s="11">
        <f t="array" ref="G766">iferror(index('rna-muscle'!G:G,match($A766,'rna-muscle'!$A:$A,0)))</f>
        <v>5</v>
      </c>
      <c r="H766" s="11" t="str">
        <f t="shared" si="4"/>
        <v>C5</v>
      </c>
      <c r="I766" s="10" t="str">
        <f t="shared" si="5"/>
        <v>BRN69G-C5</v>
      </c>
      <c r="J766" s="6"/>
      <c r="K766" s="16" t="str">
        <f t="shared" si="6"/>
        <v>collected</v>
      </c>
      <c r="L766" s="16" t="str">
        <f t="shared" si="7"/>
        <v>N</v>
      </c>
      <c r="M766" s="16"/>
      <c r="N766" s="16"/>
    </row>
    <row r="767">
      <c r="A767" s="26" t="s">
        <v>623</v>
      </c>
      <c r="B767" s="10" t="str">
        <f t="shared" si="1"/>
        <v>RNA-gill</v>
      </c>
      <c r="C767" s="10" t="str">
        <f t="shared" si="2"/>
        <v>BRN69G-B5</v>
      </c>
      <c r="D767" s="11">
        <f t="array" ref="D767">iferror(index('rna-muscle'!D:D,match(A767,'rna-muscle'!A:A,0)))</f>
        <v>69</v>
      </c>
      <c r="E767" s="10" t="str">
        <f t="shared" si="3"/>
        <v>BRN69G</v>
      </c>
      <c r="F767" s="11" t="str">
        <f t="array" ref="F767">iferror(index('rna-muscle'!F:F,match($A767,'rna-muscle'!$A:$A,0)))</f>
        <v>B</v>
      </c>
      <c r="G767" s="11">
        <f t="array" ref="G767">iferror(index('rna-muscle'!G:G,match($A767,'rna-muscle'!$A:$A,0)))</f>
        <v>5</v>
      </c>
      <c r="H767" s="11" t="str">
        <f t="shared" si="4"/>
        <v>B5</v>
      </c>
      <c r="I767" s="10" t="str">
        <f t="shared" si="5"/>
        <v>BRN69G-B5</v>
      </c>
      <c r="J767" s="16"/>
      <c r="K767" s="16" t="str">
        <f t="shared" si="6"/>
        <v>collected</v>
      </c>
      <c r="L767" s="16" t="str">
        <f t="shared" si="7"/>
        <v>N</v>
      </c>
      <c r="M767" s="16"/>
      <c r="N767" s="16"/>
    </row>
    <row r="768">
      <c r="A768" s="26" t="s">
        <v>631</v>
      </c>
      <c r="B768" s="10" t="str">
        <f t="shared" si="1"/>
        <v>RNA-gill</v>
      </c>
      <c r="C768" s="10" t="str">
        <f t="shared" si="2"/>
        <v>BRN69G-A5</v>
      </c>
      <c r="D768" s="11">
        <f t="array" ref="D768">iferror(index('rna-muscle'!D:D,match(A768,'rna-muscle'!A:A,0)))</f>
        <v>69</v>
      </c>
      <c r="E768" s="10" t="str">
        <f t="shared" si="3"/>
        <v>BRN69G</v>
      </c>
      <c r="F768" s="11" t="str">
        <f t="array" ref="F768">iferror(index('rna-muscle'!F:F,match($A768,'rna-muscle'!$A:$A,0)))</f>
        <v>A</v>
      </c>
      <c r="G768" s="11">
        <f t="array" ref="G768">iferror(index('rna-muscle'!G:G,match($A768,'rna-muscle'!$A:$A,0)))</f>
        <v>5</v>
      </c>
      <c r="H768" s="11" t="str">
        <f t="shared" si="4"/>
        <v>A5</v>
      </c>
      <c r="I768" s="10" t="str">
        <f t="shared" si="5"/>
        <v>BRN69G-A5</v>
      </c>
      <c r="J768" s="16"/>
      <c r="K768" s="16" t="str">
        <f t="shared" si="6"/>
        <v>collected</v>
      </c>
      <c r="L768" s="16" t="str">
        <f t="shared" si="7"/>
        <v>N</v>
      </c>
      <c r="M768" s="16"/>
      <c r="N768" s="16"/>
    </row>
    <row r="769">
      <c r="A769" s="26" t="s">
        <v>639</v>
      </c>
      <c r="B769" s="10" t="str">
        <f t="shared" si="1"/>
        <v>RNA-gill</v>
      </c>
      <c r="C769" s="10" t="str">
        <f t="shared" si="2"/>
        <v>BRN69G-H7</v>
      </c>
      <c r="D769" s="11">
        <f t="array" ref="D769">iferror(index('rna-muscle'!D:D,match(A769,'rna-muscle'!A:A,0)))</f>
        <v>69</v>
      </c>
      <c r="E769" s="10" t="str">
        <f t="shared" si="3"/>
        <v>BRN69G</v>
      </c>
      <c r="F769" s="11" t="str">
        <f t="array" ref="F769">iferror(index('rna-muscle'!F:F,match($A769,'rna-muscle'!$A:$A,0)))</f>
        <v>H</v>
      </c>
      <c r="G769" s="11">
        <f t="array" ref="G769">iferror(index('rna-muscle'!G:G,match($A769,'rna-muscle'!$A:$A,0)))</f>
        <v>7</v>
      </c>
      <c r="H769" s="11" t="str">
        <f t="shared" si="4"/>
        <v>H7</v>
      </c>
      <c r="I769" s="10" t="str">
        <f t="shared" si="5"/>
        <v>BRN69G-H7</v>
      </c>
      <c r="J769" s="16"/>
      <c r="K769" s="16" t="str">
        <f t="shared" si="6"/>
        <v>collected</v>
      </c>
      <c r="L769" s="16" t="str">
        <f t="shared" si="7"/>
        <v>N</v>
      </c>
      <c r="M769" s="16"/>
      <c r="N769" s="16"/>
    </row>
    <row r="770">
      <c r="A770" s="26" t="s">
        <v>646</v>
      </c>
      <c r="B770" s="10" t="str">
        <f t="shared" si="1"/>
        <v>RNA-gill</v>
      </c>
      <c r="C770" s="10" t="str">
        <f t="shared" si="2"/>
        <v>BRN69G-G7</v>
      </c>
      <c r="D770" s="11">
        <f t="array" ref="D770">iferror(index('rna-muscle'!D:D,match(A770,'rna-muscle'!A:A,0)))</f>
        <v>69</v>
      </c>
      <c r="E770" s="10" t="str">
        <f t="shared" si="3"/>
        <v>BRN69G</v>
      </c>
      <c r="F770" s="11" t="str">
        <f t="array" ref="F770">iferror(index('rna-muscle'!F:F,match($A770,'rna-muscle'!$A:$A,0)))</f>
        <v>G</v>
      </c>
      <c r="G770" s="11">
        <f t="array" ref="G770">iferror(index('rna-muscle'!G:G,match($A770,'rna-muscle'!$A:$A,0)))</f>
        <v>7</v>
      </c>
      <c r="H770" s="11" t="str">
        <f t="shared" si="4"/>
        <v>G7</v>
      </c>
      <c r="I770" s="10" t="str">
        <f t="shared" si="5"/>
        <v>BRN69G-G7</v>
      </c>
      <c r="J770" s="16"/>
      <c r="K770" s="16" t="str">
        <f t="shared" si="6"/>
        <v>collected</v>
      </c>
      <c r="L770" s="16" t="str">
        <f t="shared" si="7"/>
        <v>N</v>
      </c>
      <c r="M770" s="16"/>
      <c r="N770" s="16"/>
    </row>
    <row r="771">
      <c r="A771" s="26" t="s">
        <v>652</v>
      </c>
      <c r="B771" s="10" t="str">
        <f t="shared" si="1"/>
        <v>RNA-gill</v>
      </c>
      <c r="C771" s="10" t="str">
        <f t="shared" si="2"/>
        <v>BRN69G-F7</v>
      </c>
      <c r="D771" s="11">
        <f t="array" ref="D771">iferror(index('rna-muscle'!D:D,match(A771,'rna-muscle'!A:A,0)))</f>
        <v>69</v>
      </c>
      <c r="E771" s="10" t="str">
        <f t="shared" si="3"/>
        <v>BRN69G</v>
      </c>
      <c r="F771" s="11" t="str">
        <f t="array" ref="F771">iferror(index('rna-muscle'!F:F,match($A771,'rna-muscle'!$A:$A,0)))</f>
        <v>F</v>
      </c>
      <c r="G771" s="11">
        <f t="array" ref="G771">iferror(index('rna-muscle'!G:G,match($A771,'rna-muscle'!$A:$A,0)))</f>
        <v>7</v>
      </c>
      <c r="H771" s="11" t="str">
        <f t="shared" si="4"/>
        <v>F7</v>
      </c>
      <c r="I771" s="10" t="str">
        <f t="shared" si="5"/>
        <v>BRN69G-F7</v>
      </c>
      <c r="J771" s="16"/>
      <c r="K771" s="16" t="str">
        <f t="shared" si="6"/>
        <v>collected</v>
      </c>
      <c r="L771" s="16" t="str">
        <f t="shared" si="7"/>
        <v>N</v>
      </c>
      <c r="M771" s="16"/>
      <c r="N771" s="16"/>
    </row>
    <row r="772">
      <c r="A772" s="26" t="s">
        <v>660</v>
      </c>
      <c r="B772" s="10" t="str">
        <f t="shared" si="1"/>
        <v>RNA-gill</v>
      </c>
      <c r="C772" s="10" t="str">
        <f t="shared" si="2"/>
        <v>BRN69G-E7</v>
      </c>
      <c r="D772" s="11">
        <f t="array" ref="D772">iferror(index('rna-muscle'!D:D,match(A772,'rna-muscle'!A:A,0)))</f>
        <v>69</v>
      </c>
      <c r="E772" s="10" t="str">
        <f t="shared" si="3"/>
        <v>BRN69G</v>
      </c>
      <c r="F772" s="11" t="str">
        <f t="array" ref="F772">iferror(index('rna-muscle'!F:F,match($A772,'rna-muscle'!$A:$A,0)))</f>
        <v>E</v>
      </c>
      <c r="G772" s="11">
        <f t="array" ref="G772">iferror(index('rna-muscle'!G:G,match($A772,'rna-muscle'!$A:$A,0)))</f>
        <v>7</v>
      </c>
      <c r="H772" s="11" t="str">
        <f t="shared" si="4"/>
        <v>E7</v>
      </c>
      <c r="I772" s="10" t="str">
        <f t="shared" si="5"/>
        <v>BRN69G-E7</v>
      </c>
      <c r="J772" s="6"/>
      <c r="K772" s="16" t="str">
        <f t="shared" si="6"/>
        <v>collected</v>
      </c>
      <c r="L772" s="16" t="str">
        <f t="shared" si="7"/>
        <v>N</v>
      </c>
      <c r="M772" s="16"/>
      <c r="N772" s="16"/>
    </row>
    <row r="773">
      <c r="A773" s="26" t="s">
        <v>667</v>
      </c>
      <c r="B773" s="10" t="str">
        <f t="shared" si="1"/>
        <v>RNA-gill</v>
      </c>
      <c r="C773" s="10" t="str">
        <f t="shared" si="2"/>
        <v>BRN69G-D7</v>
      </c>
      <c r="D773" s="11">
        <f t="array" ref="D773">iferror(index('rna-muscle'!D:D,match(A773,'rna-muscle'!A:A,0)))</f>
        <v>69</v>
      </c>
      <c r="E773" s="10" t="str">
        <f t="shared" si="3"/>
        <v>BRN69G</v>
      </c>
      <c r="F773" s="11" t="str">
        <f t="array" ref="F773">iferror(index('rna-muscle'!F:F,match($A773,'rna-muscle'!$A:$A,0)))</f>
        <v>D</v>
      </c>
      <c r="G773" s="11">
        <f t="array" ref="G773">iferror(index('rna-muscle'!G:G,match($A773,'rna-muscle'!$A:$A,0)))</f>
        <v>7</v>
      </c>
      <c r="H773" s="11" t="str">
        <f t="shared" si="4"/>
        <v>D7</v>
      </c>
      <c r="I773" s="10" t="str">
        <f t="shared" si="5"/>
        <v>BRN69G-D7</v>
      </c>
      <c r="J773" s="16"/>
      <c r="K773" s="16" t="str">
        <f t="shared" si="6"/>
        <v>collected</v>
      </c>
      <c r="L773" s="16" t="str">
        <f t="shared" si="7"/>
        <v>N</v>
      </c>
      <c r="M773" s="16"/>
      <c r="N773" s="16"/>
    </row>
    <row r="774">
      <c r="A774" s="44" t="s">
        <v>673</v>
      </c>
      <c r="B774" s="10" t="str">
        <f t="shared" si="1"/>
        <v>RNA-gill</v>
      </c>
      <c r="C774" s="10" t="str">
        <f t="shared" si="2"/>
        <v>BRN69G-C3</v>
      </c>
      <c r="D774" s="11">
        <f t="array" ref="D774">iferror(index('rna-muscle'!D:D,match(A774,'rna-muscle'!A:A,0)))</f>
        <v>69</v>
      </c>
      <c r="E774" s="10" t="str">
        <f t="shared" si="3"/>
        <v>BRN69G</v>
      </c>
      <c r="F774" s="11" t="str">
        <f t="array" ref="F774">iferror(index('rna-muscle'!F:F,match($A774,'rna-muscle'!$A:$A,0)))</f>
        <v>C</v>
      </c>
      <c r="G774" s="11">
        <f t="array" ref="G774">iferror(index('rna-muscle'!G:G,match($A774,'rna-muscle'!$A:$A,0)))</f>
        <v>3</v>
      </c>
      <c r="H774" s="11" t="str">
        <f t="shared" si="4"/>
        <v>C3</v>
      </c>
      <c r="I774" s="10" t="str">
        <f t="shared" si="5"/>
        <v>BRN69G-C3</v>
      </c>
      <c r="J774" s="16"/>
      <c r="K774" s="16" t="str">
        <f t="shared" si="6"/>
        <v>collected</v>
      </c>
      <c r="L774" s="16" t="str">
        <f t="shared" si="7"/>
        <v>N</v>
      </c>
      <c r="M774" s="16"/>
      <c r="N774" s="16"/>
    </row>
    <row r="775">
      <c r="A775" s="44" t="s">
        <v>679</v>
      </c>
      <c r="B775" s="10" t="str">
        <f t="shared" si="1"/>
        <v>RNA-gill</v>
      </c>
      <c r="C775" s="10" t="str">
        <f t="shared" si="2"/>
        <v>BRN69G-B3</v>
      </c>
      <c r="D775" s="11">
        <f t="array" ref="D775">iferror(index('rna-muscle'!D:D,match(A775,'rna-muscle'!A:A,0)))</f>
        <v>69</v>
      </c>
      <c r="E775" s="10" t="str">
        <f t="shared" si="3"/>
        <v>BRN69G</v>
      </c>
      <c r="F775" s="11" t="str">
        <f t="array" ref="F775">iferror(index('rna-muscle'!F:F,match($A775,'rna-muscle'!$A:$A,0)))</f>
        <v>B</v>
      </c>
      <c r="G775" s="11">
        <f t="array" ref="G775">iferror(index('rna-muscle'!G:G,match($A775,'rna-muscle'!$A:$A,0)))</f>
        <v>3</v>
      </c>
      <c r="H775" s="11" t="str">
        <f t="shared" si="4"/>
        <v>B3</v>
      </c>
      <c r="I775" s="10" t="str">
        <f t="shared" si="5"/>
        <v>BRN69G-B3</v>
      </c>
      <c r="J775" s="16"/>
      <c r="K775" s="16" t="str">
        <f t="shared" si="6"/>
        <v>collected</v>
      </c>
      <c r="L775" s="16" t="str">
        <f t="shared" si="7"/>
        <v>N</v>
      </c>
      <c r="M775" s="16"/>
      <c r="N775" s="16"/>
    </row>
    <row r="776">
      <c r="A776" s="44" t="s">
        <v>687</v>
      </c>
      <c r="B776" s="10" t="str">
        <f t="shared" si="1"/>
        <v>RNA-gill</v>
      </c>
      <c r="C776" s="10" t="str">
        <f t="shared" si="2"/>
        <v>BRN69G-A3</v>
      </c>
      <c r="D776" s="11">
        <f t="array" ref="D776">iferror(index('rna-muscle'!D:D,match(A776,'rna-muscle'!A:A,0)))</f>
        <v>69</v>
      </c>
      <c r="E776" s="10" t="str">
        <f t="shared" si="3"/>
        <v>BRN69G</v>
      </c>
      <c r="F776" s="11" t="str">
        <f t="array" ref="F776">iferror(index('rna-muscle'!F:F,match($A776,'rna-muscle'!$A:$A,0)))</f>
        <v>A</v>
      </c>
      <c r="G776" s="11">
        <f t="array" ref="G776">iferror(index('rna-muscle'!G:G,match($A776,'rna-muscle'!$A:$A,0)))</f>
        <v>3</v>
      </c>
      <c r="H776" s="11" t="str">
        <f t="shared" si="4"/>
        <v>A3</v>
      </c>
      <c r="I776" s="10" t="str">
        <f t="shared" si="5"/>
        <v>BRN69G-A3</v>
      </c>
      <c r="J776" s="6"/>
      <c r="K776" s="16" t="str">
        <f t="shared" si="6"/>
        <v>collected</v>
      </c>
      <c r="L776" s="16" t="str">
        <f t="shared" si="7"/>
        <v>N</v>
      </c>
      <c r="M776" s="16"/>
      <c r="N776" s="16"/>
    </row>
    <row r="777">
      <c r="A777" s="44" t="s">
        <v>695</v>
      </c>
      <c r="B777" s="10" t="str">
        <f t="shared" si="1"/>
        <v>RNA-gill</v>
      </c>
      <c r="C777" s="10" t="str">
        <f t="shared" si="2"/>
        <v>BRN69G-H4</v>
      </c>
      <c r="D777" s="11">
        <f t="array" ref="D777">iferror(index('rna-muscle'!D:D,match(A777,'rna-muscle'!A:A,0)))</f>
        <v>69</v>
      </c>
      <c r="E777" s="10" t="str">
        <f t="shared" si="3"/>
        <v>BRN69G</v>
      </c>
      <c r="F777" s="11" t="str">
        <f t="array" ref="F777">iferror(index('rna-muscle'!F:F,match($A777,'rna-muscle'!$A:$A,0)))</f>
        <v>H</v>
      </c>
      <c r="G777" s="11">
        <f t="array" ref="G777">iferror(index('rna-muscle'!G:G,match($A777,'rna-muscle'!$A:$A,0)))</f>
        <v>4</v>
      </c>
      <c r="H777" s="11" t="str">
        <f t="shared" si="4"/>
        <v>H4</v>
      </c>
      <c r="I777" s="10" t="str">
        <f t="shared" si="5"/>
        <v>BRN69G-H4</v>
      </c>
      <c r="J777" s="16"/>
      <c r="K777" s="16" t="str">
        <f t="shared" si="6"/>
        <v>collected</v>
      </c>
      <c r="L777" s="16" t="str">
        <f t="shared" si="7"/>
        <v>N</v>
      </c>
      <c r="M777" s="16"/>
      <c r="N777" s="16"/>
    </row>
    <row r="778">
      <c r="A778" s="46" t="s">
        <v>703</v>
      </c>
      <c r="B778" s="10" t="str">
        <f t="shared" si="1"/>
        <v>RNA-gill</v>
      </c>
      <c r="C778" s="10" t="str">
        <f t="shared" si="2"/>
        <v>BRN69G-G4</v>
      </c>
      <c r="D778" s="11">
        <f t="array" ref="D778">iferror(index('rna-muscle'!D:D,match(A778,'rna-muscle'!A:A,0)))</f>
        <v>69</v>
      </c>
      <c r="E778" s="10" t="str">
        <f t="shared" si="3"/>
        <v>BRN69G</v>
      </c>
      <c r="F778" s="11" t="str">
        <f t="array" ref="F778">iferror(index('rna-muscle'!F:F,match($A778,'rna-muscle'!$A:$A,0)))</f>
        <v>G</v>
      </c>
      <c r="G778" s="11">
        <f t="array" ref="G778">iferror(index('rna-muscle'!G:G,match($A778,'rna-muscle'!$A:$A,0)))</f>
        <v>4</v>
      </c>
      <c r="H778" s="11" t="str">
        <f t="shared" si="4"/>
        <v>G4</v>
      </c>
      <c r="I778" s="10" t="str">
        <f t="shared" si="5"/>
        <v>BRN69G-G4</v>
      </c>
      <c r="J778" s="6"/>
      <c r="K778" s="16" t="str">
        <f t="shared" si="6"/>
        <v>collected</v>
      </c>
      <c r="L778" s="16" t="str">
        <f t="shared" si="7"/>
        <v>N</v>
      </c>
      <c r="M778" s="16"/>
      <c r="N778" s="16"/>
    </row>
    <row r="779">
      <c r="A779" s="40" t="s">
        <v>710</v>
      </c>
      <c r="B779" s="10" t="str">
        <f t="shared" si="1"/>
        <v>RNA-gill</v>
      </c>
      <c r="C779" s="10" t="str">
        <f t="shared" si="2"/>
        <v>BRN69G-F4</v>
      </c>
      <c r="D779" s="11">
        <f t="array" ref="D779">iferror(index('rna-muscle'!D:D,match(A779,'rna-muscle'!A:A,0)))</f>
        <v>69</v>
      </c>
      <c r="E779" s="10" t="str">
        <f t="shared" si="3"/>
        <v>BRN69G</v>
      </c>
      <c r="F779" s="11" t="str">
        <f t="array" ref="F779">iferror(index('rna-muscle'!F:F,match($A779,'rna-muscle'!$A:$A,0)))</f>
        <v>F</v>
      </c>
      <c r="G779" s="11">
        <f t="array" ref="G779">iferror(index('rna-muscle'!G:G,match($A779,'rna-muscle'!$A:$A,0)))</f>
        <v>4</v>
      </c>
      <c r="H779" s="11" t="str">
        <f t="shared" si="4"/>
        <v>F4</v>
      </c>
      <c r="I779" s="10" t="str">
        <f t="shared" si="5"/>
        <v>BRN69G-F4</v>
      </c>
      <c r="J779" s="6"/>
      <c r="K779" s="16" t="str">
        <f t="shared" si="6"/>
        <v>collected</v>
      </c>
      <c r="L779" s="16" t="str">
        <f t="shared" si="7"/>
        <v>N</v>
      </c>
      <c r="M779" s="16"/>
      <c r="N779" s="16"/>
    </row>
    <row r="780">
      <c r="A780" s="40" t="s">
        <v>718</v>
      </c>
      <c r="B780" s="10" t="str">
        <f t="shared" si="1"/>
        <v>RNA-gill</v>
      </c>
      <c r="C780" s="10" t="str">
        <f t="shared" si="2"/>
        <v>BRN69G-E4</v>
      </c>
      <c r="D780" s="11">
        <f t="array" ref="D780">iferror(index('rna-muscle'!D:D,match(A780,'rna-muscle'!A:A,0)))</f>
        <v>69</v>
      </c>
      <c r="E780" s="10" t="str">
        <f t="shared" si="3"/>
        <v>BRN69G</v>
      </c>
      <c r="F780" s="11" t="str">
        <f t="array" ref="F780">iferror(index('rna-muscle'!F:F,match($A780,'rna-muscle'!$A:$A,0)))</f>
        <v>E</v>
      </c>
      <c r="G780" s="11">
        <f t="array" ref="G780">iferror(index('rna-muscle'!G:G,match($A780,'rna-muscle'!$A:$A,0)))</f>
        <v>4</v>
      </c>
      <c r="H780" s="11" t="str">
        <f t="shared" si="4"/>
        <v>E4</v>
      </c>
      <c r="I780" s="10" t="str">
        <f t="shared" si="5"/>
        <v>BRN69G-E4</v>
      </c>
      <c r="J780" s="16"/>
      <c r="K780" s="16" t="str">
        <f t="shared" si="6"/>
        <v>collected</v>
      </c>
      <c r="L780" s="16" t="str">
        <f t="shared" si="7"/>
        <v>N</v>
      </c>
      <c r="M780" s="16"/>
      <c r="N780" s="16"/>
    </row>
    <row r="781">
      <c r="A781" s="40" t="s">
        <v>725</v>
      </c>
      <c r="B781" s="10" t="str">
        <f t="shared" si="1"/>
        <v>RNA-gill</v>
      </c>
      <c r="C781" s="10" t="str">
        <f t="shared" si="2"/>
        <v>BRN69G-D4</v>
      </c>
      <c r="D781" s="11">
        <f t="array" ref="D781">iferror(index('rna-muscle'!D:D,match(A781,'rna-muscle'!A:A,0)))</f>
        <v>69</v>
      </c>
      <c r="E781" s="10" t="str">
        <f t="shared" si="3"/>
        <v>BRN69G</v>
      </c>
      <c r="F781" s="11" t="str">
        <f t="array" ref="F781">iferror(index('rna-muscle'!F:F,match($A781,'rna-muscle'!$A:$A,0)))</f>
        <v>D</v>
      </c>
      <c r="G781" s="11">
        <f t="array" ref="G781">iferror(index('rna-muscle'!G:G,match($A781,'rna-muscle'!$A:$A,0)))</f>
        <v>4</v>
      </c>
      <c r="H781" s="11" t="str">
        <f t="shared" si="4"/>
        <v>D4</v>
      </c>
      <c r="I781" s="10" t="str">
        <f t="shared" si="5"/>
        <v>BRN69G-D4</v>
      </c>
      <c r="J781" s="16"/>
      <c r="K781" s="16" t="str">
        <f t="shared" si="6"/>
        <v>collected</v>
      </c>
      <c r="L781" s="16" t="str">
        <f t="shared" si="7"/>
        <v>N</v>
      </c>
      <c r="M781" s="16"/>
      <c r="N781" s="16"/>
    </row>
    <row r="782">
      <c r="A782" s="40" t="s">
        <v>733</v>
      </c>
      <c r="B782" s="10" t="str">
        <f t="shared" si="1"/>
        <v>RNA-gill</v>
      </c>
      <c r="C782" s="10" t="str">
        <f t="shared" si="2"/>
        <v>BRN69G-C4</v>
      </c>
      <c r="D782" s="11">
        <f t="array" ref="D782">iferror(index('rna-muscle'!D:D,match(A782,'rna-muscle'!A:A,0)))</f>
        <v>69</v>
      </c>
      <c r="E782" s="10" t="str">
        <f t="shared" si="3"/>
        <v>BRN69G</v>
      </c>
      <c r="F782" s="11" t="str">
        <f t="array" ref="F782">iferror(index('rna-muscle'!F:F,match($A782,'rna-muscle'!$A:$A,0)))</f>
        <v>C</v>
      </c>
      <c r="G782" s="11">
        <f t="array" ref="G782">iferror(index('rna-muscle'!G:G,match($A782,'rna-muscle'!$A:$A,0)))</f>
        <v>4</v>
      </c>
      <c r="H782" s="11" t="str">
        <f t="shared" si="4"/>
        <v>C4</v>
      </c>
      <c r="I782" s="10" t="str">
        <f t="shared" si="5"/>
        <v>BRN69G-C4</v>
      </c>
      <c r="J782" s="16"/>
      <c r="K782" s="16" t="str">
        <f t="shared" si="6"/>
        <v>collected</v>
      </c>
      <c r="L782" s="16" t="str">
        <f t="shared" si="7"/>
        <v>N</v>
      </c>
      <c r="M782" s="16"/>
      <c r="N782" s="16"/>
    </row>
    <row r="783">
      <c r="A783" s="40" t="s">
        <v>739</v>
      </c>
      <c r="B783" s="10" t="str">
        <f t="shared" si="1"/>
        <v>RNA-gill</v>
      </c>
      <c r="C783" s="10" t="str">
        <f t="shared" si="2"/>
        <v>BRN69G-B4</v>
      </c>
      <c r="D783" s="11">
        <f t="array" ref="D783">iferror(index('rna-muscle'!D:D,match(A783,'rna-muscle'!A:A,0)))</f>
        <v>69</v>
      </c>
      <c r="E783" s="10" t="str">
        <f t="shared" si="3"/>
        <v>BRN69G</v>
      </c>
      <c r="F783" s="11" t="str">
        <f t="array" ref="F783">iferror(index('rna-muscle'!F:F,match($A783,'rna-muscle'!$A:$A,0)))</f>
        <v>B</v>
      </c>
      <c r="G783" s="11">
        <f t="array" ref="G783">iferror(index('rna-muscle'!G:G,match($A783,'rna-muscle'!$A:$A,0)))</f>
        <v>4</v>
      </c>
      <c r="H783" s="11" t="str">
        <f t="shared" si="4"/>
        <v>B4</v>
      </c>
      <c r="I783" s="10" t="str">
        <f t="shared" si="5"/>
        <v>BRN69G-B4</v>
      </c>
      <c r="J783" s="16"/>
      <c r="K783" s="16" t="str">
        <f t="shared" si="6"/>
        <v>collected</v>
      </c>
      <c r="L783" s="16" t="str">
        <f t="shared" si="7"/>
        <v>N</v>
      </c>
      <c r="M783" s="16"/>
      <c r="N783" s="16"/>
    </row>
    <row r="784">
      <c r="A784" s="40" t="s">
        <v>746</v>
      </c>
      <c r="B784" s="10" t="str">
        <f t="shared" si="1"/>
        <v>RNA-gill</v>
      </c>
      <c r="C784" s="10" t="str">
        <f t="shared" si="2"/>
        <v>BRN69G-A4</v>
      </c>
      <c r="D784" s="11">
        <f t="array" ref="D784">iferror(index('rna-muscle'!D:D,match(A784,'rna-muscle'!A:A,0)))</f>
        <v>69</v>
      </c>
      <c r="E784" s="10" t="str">
        <f t="shared" si="3"/>
        <v>BRN69G</v>
      </c>
      <c r="F784" s="11" t="str">
        <f t="array" ref="F784">iferror(index('rna-muscle'!F:F,match($A784,'rna-muscle'!$A:$A,0)))</f>
        <v>A</v>
      </c>
      <c r="G784" s="11">
        <f t="array" ref="G784">iferror(index('rna-muscle'!G:G,match($A784,'rna-muscle'!$A:$A,0)))</f>
        <v>4</v>
      </c>
      <c r="H784" s="11" t="str">
        <f t="shared" si="4"/>
        <v>A4</v>
      </c>
      <c r="I784" s="10" t="str">
        <f t="shared" si="5"/>
        <v>BRN69G-A4</v>
      </c>
      <c r="J784" s="16"/>
      <c r="K784" s="16" t="str">
        <f t="shared" si="6"/>
        <v>collected</v>
      </c>
      <c r="L784" s="16" t="str">
        <f t="shared" si="7"/>
        <v>N</v>
      </c>
      <c r="M784" s="16"/>
      <c r="N784" s="16"/>
    </row>
    <row r="785">
      <c r="A785" s="40" t="s">
        <v>754</v>
      </c>
      <c r="B785" s="10" t="str">
        <f t="shared" si="1"/>
        <v>RNA-gill</v>
      </c>
      <c r="C785" s="10" t="str">
        <f t="shared" si="2"/>
        <v>BRN69G-G6</v>
      </c>
      <c r="D785" s="11">
        <f t="array" ref="D785">iferror(index('rna-muscle'!D:D,match(A785,'rna-muscle'!A:A,0)))</f>
        <v>69</v>
      </c>
      <c r="E785" s="10" t="str">
        <f t="shared" si="3"/>
        <v>BRN69G</v>
      </c>
      <c r="F785" s="11" t="str">
        <f t="array" ref="F785">iferror(index('rna-muscle'!F:F,match($A785,'rna-muscle'!$A:$A,0)))</f>
        <v>G</v>
      </c>
      <c r="G785" s="11">
        <f t="array" ref="G785">iferror(index('rna-muscle'!G:G,match($A785,'rna-muscle'!$A:$A,0)))</f>
        <v>6</v>
      </c>
      <c r="H785" s="11" t="str">
        <f t="shared" si="4"/>
        <v>G6</v>
      </c>
      <c r="I785" s="10" t="str">
        <f t="shared" si="5"/>
        <v>BRN69G-G6</v>
      </c>
      <c r="J785" s="16"/>
      <c r="K785" s="16" t="str">
        <f t="shared" si="6"/>
        <v>collected</v>
      </c>
      <c r="L785" s="16" t="str">
        <f t="shared" si="7"/>
        <v>N</v>
      </c>
      <c r="M785" s="16"/>
      <c r="N785" s="16"/>
    </row>
    <row r="786">
      <c r="A786" s="40" t="s">
        <v>761</v>
      </c>
      <c r="B786" s="10" t="str">
        <f t="shared" si="1"/>
        <v>RNA-gill</v>
      </c>
      <c r="C786" s="10" t="str">
        <f t="shared" si="2"/>
        <v>BRN69G-F6</v>
      </c>
      <c r="D786" s="11">
        <f t="array" ref="D786">iferror(index('rna-muscle'!D:D,match(A786,'rna-muscle'!A:A,0)))</f>
        <v>69</v>
      </c>
      <c r="E786" s="10" t="str">
        <f t="shared" si="3"/>
        <v>BRN69G</v>
      </c>
      <c r="F786" s="11" t="str">
        <f t="array" ref="F786">iferror(index('rna-muscle'!F:F,match($A786,'rna-muscle'!$A:$A,0)))</f>
        <v>F</v>
      </c>
      <c r="G786" s="11">
        <f t="array" ref="G786">iferror(index('rna-muscle'!G:G,match($A786,'rna-muscle'!$A:$A,0)))</f>
        <v>6</v>
      </c>
      <c r="H786" s="11" t="str">
        <f t="shared" si="4"/>
        <v>F6</v>
      </c>
      <c r="I786" s="10" t="str">
        <f t="shared" si="5"/>
        <v>BRN69G-F6</v>
      </c>
      <c r="J786" s="16"/>
      <c r="K786" s="16" t="str">
        <f t="shared" si="6"/>
        <v>collected</v>
      </c>
      <c r="L786" s="16" t="str">
        <f t="shared" si="7"/>
        <v>N</v>
      </c>
      <c r="M786" s="16"/>
      <c r="N786" s="16"/>
    </row>
    <row r="787">
      <c r="A787" s="40" t="s">
        <v>766</v>
      </c>
      <c r="B787" s="10" t="str">
        <f t="shared" si="1"/>
        <v>RNA-gill</v>
      </c>
      <c r="C787" s="10" t="str">
        <f t="shared" si="2"/>
        <v>BRN69G-E6</v>
      </c>
      <c r="D787" s="11">
        <f t="array" ref="D787">iferror(index('rna-muscle'!D:D,match(A787,'rna-muscle'!A:A,0)))</f>
        <v>69</v>
      </c>
      <c r="E787" s="10" t="str">
        <f t="shared" si="3"/>
        <v>BRN69G</v>
      </c>
      <c r="F787" s="11" t="str">
        <f t="array" ref="F787">iferror(index('rna-muscle'!F:F,match($A787,'rna-muscle'!$A:$A,0)))</f>
        <v>E</v>
      </c>
      <c r="G787" s="11">
        <f t="array" ref="G787">iferror(index('rna-muscle'!G:G,match($A787,'rna-muscle'!$A:$A,0)))</f>
        <v>6</v>
      </c>
      <c r="H787" s="11" t="str">
        <f t="shared" si="4"/>
        <v>E6</v>
      </c>
      <c r="I787" s="10" t="str">
        <f t="shared" si="5"/>
        <v>BRN69G-E6</v>
      </c>
      <c r="J787" s="6"/>
      <c r="K787" s="16" t="str">
        <f t="shared" si="6"/>
        <v>collected</v>
      </c>
      <c r="L787" s="16" t="str">
        <f t="shared" si="7"/>
        <v>N</v>
      </c>
      <c r="M787" s="16"/>
      <c r="N787" s="16"/>
    </row>
    <row r="788">
      <c r="A788" s="40" t="s">
        <v>769</v>
      </c>
      <c r="B788" s="10" t="str">
        <f t="shared" si="1"/>
        <v>RNA-gill</v>
      </c>
      <c r="C788" s="10" t="str">
        <f t="shared" si="2"/>
        <v>BRN69G-D6</v>
      </c>
      <c r="D788" s="11">
        <f t="array" ref="D788">iferror(index('rna-muscle'!D:D,match(A788,'rna-muscle'!A:A,0)))</f>
        <v>69</v>
      </c>
      <c r="E788" s="10" t="str">
        <f t="shared" si="3"/>
        <v>BRN69G</v>
      </c>
      <c r="F788" s="11" t="str">
        <f t="array" ref="F788">iferror(index('rna-muscle'!F:F,match($A788,'rna-muscle'!$A:$A,0)))</f>
        <v>D</v>
      </c>
      <c r="G788" s="11">
        <f t="array" ref="G788">iferror(index('rna-muscle'!G:G,match($A788,'rna-muscle'!$A:$A,0)))</f>
        <v>6</v>
      </c>
      <c r="H788" s="11" t="str">
        <f t="shared" si="4"/>
        <v>D6</v>
      </c>
      <c r="I788" s="10" t="str">
        <f t="shared" si="5"/>
        <v>BRN69G-D6</v>
      </c>
      <c r="J788" s="16"/>
      <c r="K788" s="16" t="str">
        <f t="shared" si="6"/>
        <v>collected</v>
      </c>
      <c r="L788" s="16" t="str">
        <f t="shared" si="7"/>
        <v>N</v>
      </c>
      <c r="M788" s="16"/>
      <c r="N788" s="16"/>
    </row>
    <row r="789">
      <c r="A789" s="40" t="s">
        <v>772</v>
      </c>
      <c r="B789" s="10" t="str">
        <f t="shared" si="1"/>
        <v>RNA-gill</v>
      </c>
      <c r="C789" s="10" t="str">
        <f t="shared" si="2"/>
        <v>BRN69G-C6</v>
      </c>
      <c r="D789" s="11">
        <f t="array" ref="D789">iferror(index('rna-muscle'!D:D,match(A789,'rna-muscle'!A:A,0)))</f>
        <v>69</v>
      </c>
      <c r="E789" s="10" t="str">
        <f t="shared" si="3"/>
        <v>BRN69G</v>
      </c>
      <c r="F789" s="11" t="str">
        <f t="array" ref="F789">iferror(index('rna-muscle'!F:F,match($A789,'rna-muscle'!$A:$A,0)))</f>
        <v>C</v>
      </c>
      <c r="G789" s="11">
        <f t="array" ref="G789">iferror(index('rna-muscle'!G:G,match($A789,'rna-muscle'!$A:$A,0)))</f>
        <v>6</v>
      </c>
      <c r="H789" s="11" t="str">
        <f t="shared" si="4"/>
        <v>C6</v>
      </c>
      <c r="I789" s="10" t="str">
        <f t="shared" si="5"/>
        <v>BRN69G-C6</v>
      </c>
      <c r="J789" s="16"/>
      <c r="K789" s="16" t="str">
        <f t="shared" si="6"/>
        <v>collected</v>
      </c>
      <c r="L789" s="16" t="str">
        <f t="shared" si="7"/>
        <v>N</v>
      </c>
      <c r="M789" s="16"/>
      <c r="N789" s="16"/>
    </row>
    <row r="790">
      <c r="A790" s="40" t="s">
        <v>779</v>
      </c>
      <c r="B790" s="10" t="str">
        <f t="shared" si="1"/>
        <v>RNA-gill</v>
      </c>
      <c r="C790" s="10" t="str">
        <f t="shared" si="2"/>
        <v>BRN69G-B6</v>
      </c>
      <c r="D790" s="11">
        <f t="array" ref="D790">iferror(index('rna-muscle'!D:D,match(A790,'rna-muscle'!A:A,0)))</f>
        <v>69</v>
      </c>
      <c r="E790" s="10" t="str">
        <f t="shared" si="3"/>
        <v>BRN69G</v>
      </c>
      <c r="F790" s="11" t="str">
        <f t="array" ref="F790">iferror(index('rna-muscle'!F:F,match($A790,'rna-muscle'!$A:$A,0)))</f>
        <v>B</v>
      </c>
      <c r="G790" s="11">
        <f t="array" ref="G790">iferror(index('rna-muscle'!G:G,match($A790,'rna-muscle'!$A:$A,0)))</f>
        <v>6</v>
      </c>
      <c r="H790" s="11" t="str">
        <f t="shared" si="4"/>
        <v>B6</v>
      </c>
      <c r="I790" s="10" t="str">
        <f t="shared" si="5"/>
        <v>BRN69G-B6</v>
      </c>
      <c r="J790" s="16"/>
      <c r="K790" s="16" t="str">
        <f t="shared" si="6"/>
        <v>collected</v>
      </c>
      <c r="L790" s="16" t="str">
        <f t="shared" si="7"/>
        <v>N</v>
      </c>
      <c r="M790" s="16"/>
      <c r="N790" s="16"/>
    </row>
    <row r="791">
      <c r="A791" s="40" t="s">
        <v>786</v>
      </c>
      <c r="B791" s="10" t="str">
        <f t="shared" si="1"/>
        <v>RNA-gill</v>
      </c>
      <c r="C791" s="10" t="str">
        <f t="shared" si="2"/>
        <v>BRN69G-A6</v>
      </c>
      <c r="D791" s="11">
        <f t="array" ref="D791">iferror(index('rna-muscle'!D:D,match(A791,'rna-muscle'!A:A,0)))</f>
        <v>69</v>
      </c>
      <c r="E791" s="10" t="str">
        <f t="shared" si="3"/>
        <v>BRN69G</v>
      </c>
      <c r="F791" s="11" t="str">
        <f t="array" ref="F791">iferror(index('rna-muscle'!F:F,match($A791,'rna-muscle'!$A:$A,0)))</f>
        <v>A</v>
      </c>
      <c r="G791" s="11">
        <f t="array" ref="G791">iferror(index('rna-muscle'!G:G,match($A791,'rna-muscle'!$A:$A,0)))</f>
        <v>6</v>
      </c>
      <c r="H791" s="11" t="str">
        <f t="shared" si="4"/>
        <v>A6</v>
      </c>
      <c r="I791" s="10" t="str">
        <f t="shared" si="5"/>
        <v>BRN69G-A6</v>
      </c>
      <c r="J791" s="16"/>
      <c r="K791" s="16" t="str">
        <f t="shared" si="6"/>
        <v>collected</v>
      </c>
      <c r="L791" s="16" t="str">
        <f t="shared" si="7"/>
        <v>N</v>
      </c>
      <c r="M791" s="16"/>
      <c r="N791" s="16"/>
    </row>
    <row r="792">
      <c r="A792" s="40" t="s">
        <v>793</v>
      </c>
      <c r="B792" s="10" t="str">
        <f t="shared" si="1"/>
        <v>RNA-gill</v>
      </c>
      <c r="C792" s="10" t="str">
        <f t="shared" si="2"/>
        <v>BRN69G-H8</v>
      </c>
      <c r="D792" s="11">
        <f t="array" ref="D792">iferror(index('rna-muscle'!D:D,match(A792,'rna-muscle'!A:A,0)))</f>
        <v>69</v>
      </c>
      <c r="E792" s="10" t="str">
        <f t="shared" si="3"/>
        <v>BRN69G</v>
      </c>
      <c r="F792" s="11" t="str">
        <f t="array" ref="F792">iferror(index('rna-muscle'!F:F,match($A792,'rna-muscle'!$A:$A,0)))</f>
        <v>H</v>
      </c>
      <c r="G792" s="11">
        <f t="array" ref="G792">iferror(index('rna-muscle'!G:G,match($A792,'rna-muscle'!$A:$A,0)))</f>
        <v>8</v>
      </c>
      <c r="H792" s="11" t="str">
        <f t="shared" si="4"/>
        <v>H8</v>
      </c>
      <c r="I792" s="10" t="str">
        <f t="shared" si="5"/>
        <v>BRN69G-H8</v>
      </c>
      <c r="J792" s="16"/>
      <c r="K792" s="16" t="str">
        <f t="shared" si="6"/>
        <v>collected</v>
      </c>
      <c r="L792" s="16" t="str">
        <f t="shared" si="7"/>
        <v>N</v>
      </c>
      <c r="M792" s="16"/>
      <c r="N792" s="16"/>
    </row>
    <row r="793">
      <c r="A793" s="40" t="s">
        <v>800</v>
      </c>
      <c r="B793" s="10" t="str">
        <f t="shared" si="1"/>
        <v>RNA-gill</v>
      </c>
      <c r="C793" s="10" t="str">
        <f t="shared" si="2"/>
        <v>BRN69G-G8</v>
      </c>
      <c r="D793" s="11">
        <f t="array" ref="D793">iferror(index('rna-muscle'!D:D,match(A793,'rna-muscle'!A:A,0)))</f>
        <v>69</v>
      </c>
      <c r="E793" s="10" t="str">
        <f t="shared" si="3"/>
        <v>BRN69G</v>
      </c>
      <c r="F793" s="11" t="str">
        <f t="array" ref="F793">iferror(index('rna-muscle'!F:F,match($A793,'rna-muscle'!$A:$A,0)))</f>
        <v>G</v>
      </c>
      <c r="G793" s="11">
        <f t="array" ref="G793">iferror(index('rna-muscle'!G:G,match($A793,'rna-muscle'!$A:$A,0)))</f>
        <v>8</v>
      </c>
      <c r="H793" s="11" t="str">
        <f t="shared" si="4"/>
        <v>G8</v>
      </c>
      <c r="I793" s="10" t="str">
        <f t="shared" si="5"/>
        <v>BRN69G-G8</v>
      </c>
      <c r="J793" s="16"/>
      <c r="K793" s="16" t="str">
        <f t="shared" si="6"/>
        <v>collected</v>
      </c>
      <c r="L793" s="16" t="str">
        <f t="shared" si="7"/>
        <v>N</v>
      </c>
      <c r="M793" s="16"/>
      <c r="N793" s="16"/>
    </row>
    <row r="794">
      <c r="A794" s="27" t="s">
        <v>808</v>
      </c>
      <c r="B794" s="10" t="str">
        <f t="shared" si="1"/>
        <v>RNA-gill</v>
      </c>
      <c r="C794" s="10" t="str">
        <f t="shared" si="2"/>
        <v>BRN69G-F8</v>
      </c>
      <c r="D794" s="11">
        <f t="array" ref="D794">iferror(index('rna-muscle'!D:D,match(A794,'rna-muscle'!A:A,0)))</f>
        <v>69</v>
      </c>
      <c r="E794" s="10" t="str">
        <f t="shared" si="3"/>
        <v>BRN69G</v>
      </c>
      <c r="F794" s="11" t="str">
        <f t="array" ref="F794">iferror(index('rna-muscle'!F:F,match($A794,'rna-muscle'!$A:$A,0)))</f>
        <v>F</v>
      </c>
      <c r="G794" s="11">
        <f t="array" ref="G794">iferror(index('rna-muscle'!G:G,match($A794,'rna-muscle'!$A:$A,0)))</f>
        <v>8</v>
      </c>
      <c r="H794" s="11" t="str">
        <f t="shared" si="4"/>
        <v>F8</v>
      </c>
      <c r="I794" s="10" t="str">
        <f t="shared" si="5"/>
        <v>BRN69G-F8</v>
      </c>
      <c r="J794" s="16"/>
      <c r="K794" s="16" t="str">
        <f t="shared" si="6"/>
        <v>collected</v>
      </c>
      <c r="L794" s="16" t="str">
        <f t="shared" si="7"/>
        <v>N</v>
      </c>
      <c r="M794" s="16"/>
      <c r="N794" s="16"/>
    </row>
    <row r="795">
      <c r="A795" s="27" t="s">
        <v>816</v>
      </c>
      <c r="B795" s="10" t="str">
        <f t="shared" si="1"/>
        <v>RNA-gill</v>
      </c>
      <c r="C795" s="10" t="str">
        <f t="shared" si="2"/>
        <v>BRN69G-E8</v>
      </c>
      <c r="D795" s="11">
        <f t="array" ref="D795">iferror(index('rna-muscle'!D:D,match(A795,'rna-muscle'!A:A,0)))</f>
        <v>69</v>
      </c>
      <c r="E795" s="10" t="str">
        <f t="shared" si="3"/>
        <v>BRN69G</v>
      </c>
      <c r="F795" s="11" t="str">
        <f t="array" ref="F795">iferror(index('rna-muscle'!F:F,match($A795,'rna-muscle'!$A:$A,0)))</f>
        <v>E</v>
      </c>
      <c r="G795" s="11">
        <f t="array" ref="G795">iferror(index('rna-muscle'!G:G,match($A795,'rna-muscle'!$A:$A,0)))</f>
        <v>8</v>
      </c>
      <c r="H795" s="11" t="str">
        <f t="shared" si="4"/>
        <v>E8</v>
      </c>
      <c r="I795" s="10" t="str">
        <f t="shared" si="5"/>
        <v>BRN69G-E8</v>
      </c>
      <c r="J795" s="6"/>
      <c r="K795" s="16" t="str">
        <f t="shared" si="6"/>
        <v>collected</v>
      </c>
      <c r="L795" s="16" t="str">
        <f t="shared" si="7"/>
        <v>N</v>
      </c>
      <c r="M795" s="16"/>
      <c r="N795" s="16"/>
    </row>
    <row r="796">
      <c r="A796" s="27" t="s">
        <v>824</v>
      </c>
      <c r="B796" s="10" t="str">
        <f t="shared" si="1"/>
        <v>RNA-gill</v>
      </c>
      <c r="C796" s="10" t="str">
        <f t="shared" si="2"/>
        <v>BRN69G-D8</v>
      </c>
      <c r="D796" s="11">
        <f t="array" ref="D796">iferror(index('rna-muscle'!D:D,match(A796,'rna-muscle'!A:A,0)))</f>
        <v>69</v>
      </c>
      <c r="E796" s="10" t="str">
        <f t="shared" si="3"/>
        <v>BRN69G</v>
      </c>
      <c r="F796" s="11" t="str">
        <f t="array" ref="F796">iferror(index('rna-muscle'!F:F,match($A796,'rna-muscle'!$A:$A,0)))</f>
        <v>D</v>
      </c>
      <c r="G796" s="11">
        <f t="array" ref="G796">iferror(index('rna-muscle'!G:G,match($A796,'rna-muscle'!$A:$A,0)))</f>
        <v>8</v>
      </c>
      <c r="H796" s="11" t="str">
        <f t="shared" si="4"/>
        <v>D8</v>
      </c>
      <c r="I796" s="10" t="str">
        <f t="shared" si="5"/>
        <v>BRN69G-D8</v>
      </c>
      <c r="J796" s="6"/>
      <c r="K796" s="16" t="str">
        <f t="shared" si="6"/>
        <v>collected</v>
      </c>
      <c r="L796" s="16" t="str">
        <f t="shared" si="7"/>
        <v>N</v>
      </c>
      <c r="M796" s="16"/>
      <c r="N796" s="16"/>
    </row>
    <row r="797">
      <c r="A797" s="27" t="s">
        <v>829</v>
      </c>
      <c r="B797" s="10" t="str">
        <f t="shared" si="1"/>
        <v>RNA-gill</v>
      </c>
      <c r="C797" s="10" t="str">
        <f t="shared" si="2"/>
        <v>BRN69G-C8</v>
      </c>
      <c r="D797" s="11">
        <f t="array" ref="D797">iferror(index('rna-muscle'!D:D,match(A797,'rna-muscle'!A:A,0)))</f>
        <v>69</v>
      </c>
      <c r="E797" s="10" t="str">
        <f t="shared" si="3"/>
        <v>BRN69G</v>
      </c>
      <c r="F797" s="11" t="str">
        <f t="array" ref="F797">iferror(index('rna-muscle'!F:F,match($A797,'rna-muscle'!$A:$A,0)))</f>
        <v>C</v>
      </c>
      <c r="G797" s="11">
        <f t="array" ref="G797">iferror(index('rna-muscle'!G:G,match($A797,'rna-muscle'!$A:$A,0)))</f>
        <v>8</v>
      </c>
      <c r="H797" s="11" t="str">
        <f t="shared" si="4"/>
        <v>C8</v>
      </c>
      <c r="I797" s="10" t="str">
        <f t="shared" si="5"/>
        <v>BRN69G-C8</v>
      </c>
      <c r="J797" s="16"/>
      <c r="K797" s="16" t="str">
        <f t="shared" si="6"/>
        <v>collected</v>
      </c>
      <c r="L797" s="16" t="str">
        <f t="shared" si="7"/>
        <v>N</v>
      </c>
      <c r="M797" s="16"/>
      <c r="N797" s="16"/>
    </row>
    <row r="798">
      <c r="A798" s="27" t="s">
        <v>835</v>
      </c>
      <c r="B798" s="10" t="str">
        <f t="shared" si="1"/>
        <v>RNA-gill</v>
      </c>
      <c r="C798" s="10" t="str">
        <f t="shared" si="2"/>
        <v>BRN69G-B8</v>
      </c>
      <c r="D798" s="11">
        <f t="array" ref="D798">iferror(index('rna-muscle'!D:D,match(A798,'rna-muscle'!A:A,0)))</f>
        <v>69</v>
      </c>
      <c r="E798" s="10" t="str">
        <f t="shared" si="3"/>
        <v>BRN69G</v>
      </c>
      <c r="F798" s="11" t="str">
        <f t="array" ref="F798">iferror(index('rna-muscle'!F:F,match($A798,'rna-muscle'!$A:$A,0)))</f>
        <v>B</v>
      </c>
      <c r="G798" s="11">
        <f t="array" ref="G798">iferror(index('rna-muscle'!G:G,match($A798,'rna-muscle'!$A:$A,0)))</f>
        <v>8</v>
      </c>
      <c r="H798" s="11" t="str">
        <f t="shared" si="4"/>
        <v>B8</v>
      </c>
      <c r="I798" s="10" t="str">
        <f t="shared" si="5"/>
        <v>BRN69G-B8</v>
      </c>
      <c r="J798" s="6"/>
      <c r="K798" s="16" t="str">
        <f t="shared" si="6"/>
        <v>collected</v>
      </c>
      <c r="L798" s="16" t="str">
        <f t="shared" si="7"/>
        <v>N</v>
      </c>
      <c r="M798" s="16"/>
      <c r="N798" s="16"/>
    </row>
    <row r="799">
      <c r="A799" s="27" t="s">
        <v>840</v>
      </c>
      <c r="B799" s="10" t="str">
        <f t="shared" si="1"/>
        <v>RNA-gill</v>
      </c>
      <c r="C799" s="10" t="str">
        <f t="shared" si="2"/>
        <v>BRN69G-A8</v>
      </c>
      <c r="D799" s="11">
        <f t="array" ref="D799">iferror(index('rna-muscle'!D:D,match(A799,'rna-muscle'!A:A,0)))</f>
        <v>69</v>
      </c>
      <c r="E799" s="10" t="str">
        <f t="shared" si="3"/>
        <v>BRN69G</v>
      </c>
      <c r="F799" s="11" t="str">
        <f t="array" ref="F799">iferror(index('rna-muscle'!F:F,match($A799,'rna-muscle'!$A:$A,0)))</f>
        <v>A</v>
      </c>
      <c r="G799" s="11">
        <f t="array" ref="G799">iferror(index('rna-muscle'!G:G,match($A799,'rna-muscle'!$A:$A,0)))</f>
        <v>8</v>
      </c>
      <c r="H799" s="11" t="str">
        <f t="shared" si="4"/>
        <v>A8</v>
      </c>
      <c r="I799" s="10" t="str">
        <f t="shared" si="5"/>
        <v>BRN69G-A8</v>
      </c>
      <c r="J799" s="16"/>
      <c r="K799" s="16" t="str">
        <f t="shared" si="6"/>
        <v>collected</v>
      </c>
      <c r="L799" s="16" t="str">
        <f t="shared" si="7"/>
        <v>N</v>
      </c>
      <c r="M799" s="16"/>
      <c r="N799" s="16"/>
    </row>
    <row r="800">
      <c r="A800" s="27" t="s">
        <v>845</v>
      </c>
      <c r="B800" s="10" t="str">
        <f t="shared" si="1"/>
        <v>RNA-gill</v>
      </c>
      <c r="C800" s="10" t="str">
        <f t="shared" si="2"/>
        <v>BRN69G-H9</v>
      </c>
      <c r="D800" s="11">
        <f t="array" ref="D800">iferror(index('rna-muscle'!D:D,match(A800,'rna-muscle'!A:A,0)))</f>
        <v>69</v>
      </c>
      <c r="E800" s="10" t="str">
        <f t="shared" si="3"/>
        <v>BRN69G</v>
      </c>
      <c r="F800" s="11" t="str">
        <f t="array" ref="F800">iferror(index('rna-muscle'!F:F,match($A800,'rna-muscle'!$A:$A,0)))</f>
        <v>H</v>
      </c>
      <c r="G800" s="11">
        <f t="array" ref="G800">iferror(index('rna-muscle'!G:G,match($A800,'rna-muscle'!$A:$A,0)))</f>
        <v>9</v>
      </c>
      <c r="H800" s="11" t="str">
        <f t="shared" si="4"/>
        <v>H9</v>
      </c>
      <c r="I800" s="10" t="str">
        <f t="shared" si="5"/>
        <v>BRN69G-H9</v>
      </c>
      <c r="J800" s="16"/>
      <c r="K800" s="16" t="str">
        <f t="shared" si="6"/>
        <v>collected</v>
      </c>
      <c r="L800" s="16" t="str">
        <f t="shared" si="7"/>
        <v>N</v>
      </c>
      <c r="M800" s="16"/>
      <c r="N800" s="16"/>
    </row>
    <row r="801">
      <c r="A801" s="26" t="s">
        <v>850</v>
      </c>
      <c r="B801" s="10" t="str">
        <f t="shared" si="1"/>
        <v>RNA-gill</v>
      </c>
      <c r="C801" s="10" t="str">
        <f t="shared" si="2"/>
        <v>BRN69G-G9</v>
      </c>
      <c r="D801" s="11">
        <f t="array" ref="D801">iferror(index('rna-muscle'!D:D,match(A801,'rna-muscle'!A:A,0)))</f>
        <v>69</v>
      </c>
      <c r="E801" s="10" t="str">
        <f t="shared" si="3"/>
        <v>BRN69G</v>
      </c>
      <c r="F801" s="11" t="str">
        <f t="array" ref="F801">iferror(index('rna-muscle'!F:F,match($A801,'rna-muscle'!$A:$A,0)))</f>
        <v>G</v>
      </c>
      <c r="G801" s="11">
        <f t="array" ref="G801">iferror(index('rna-muscle'!G:G,match($A801,'rna-muscle'!$A:$A,0)))</f>
        <v>9</v>
      </c>
      <c r="H801" s="11" t="str">
        <f t="shared" si="4"/>
        <v>G9</v>
      </c>
      <c r="I801" s="10" t="str">
        <f t="shared" si="5"/>
        <v>BRN69G-G9</v>
      </c>
      <c r="J801" s="6"/>
      <c r="K801" s="16" t="str">
        <f t="shared" si="6"/>
        <v>collected</v>
      </c>
      <c r="L801" s="16" t="str">
        <f t="shared" si="7"/>
        <v>N</v>
      </c>
      <c r="M801" s="16"/>
      <c r="N801" s="16"/>
    </row>
    <row r="802">
      <c r="A802" s="26" t="s">
        <v>856</v>
      </c>
      <c r="B802" s="10" t="str">
        <f t="shared" si="1"/>
        <v>RNA-gill</v>
      </c>
      <c r="C802" s="10" t="str">
        <f t="shared" si="2"/>
        <v>BRN69G-F9</v>
      </c>
      <c r="D802" s="11">
        <f t="array" ref="D802">iferror(index('rna-muscle'!D:D,match(A802,'rna-muscle'!A:A,0)))</f>
        <v>69</v>
      </c>
      <c r="E802" s="10" t="str">
        <f t="shared" si="3"/>
        <v>BRN69G</v>
      </c>
      <c r="F802" s="11" t="str">
        <f t="array" ref="F802">iferror(index('rna-muscle'!F:F,match($A802,'rna-muscle'!$A:$A,0)))</f>
        <v>F</v>
      </c>
      <c r="G802" s="11">
        <f t="array" ref="G802">iferror(index('rna-muscle'!G:G,match($A802,'rna-muscle'!$A:$A,0)))</f>
        <v>9</v>
      </c>
      <c r="H802" s="11" t="str">
        <f t="shared" si="4"/>
        <v>F9</v>
      </c>
      <c r="I802" s="10" t="str">
        <f t="shared" si="5"/>
        <v>BRN69G-F9</v>
      </c>
      <c r="J802" s="6"/>
      <c r="K802" s="16" t="str">
        <f t="shared" si="6"/>
        <v>collected</v>
      </c>
      <c r="L802" s="16" t="str">
        <f t="shared" si="7"/>
        <v>N</v>
      </c>
      <c r="M802" s="16"/>
      <c r="N802" s="16"/>
    </row>
    <row r="803">
      <c r="A803" s="26" t="s">
        <v>861</v>
      </c>
      <c r="B803" s="10" t="str">
        <f t="shared" si="1"/>
        <v>RNA-gill</v>
      </c>
      <c r="C803" s="10" t="str">
        <f t="shared" si="2"/>
        <v>BRN69G-E9</v>
      </c>
      <c r="D803" s="11">
        <f t="array" ref="D803">iferror(index('rna-muscle'!D:D,match(A803,'rna-muscle'!A:A,0)))</f>
        <v>69</v>
      </c>
      <c r="E803" s="10" t="str">
        <f t="shared" si="3"/>
        <v>BRN69G</v>
      </c>
      <c r="F803" s="11" t="str">
        <f t="array" ref="F803">iferror(index('rna-muscle'!F:F,match($A803,'rna-muscle'!$A:$A,0)))</f>
        <v>E</v>
      </c>
      <c r="G803" s="11">
        <f t="array" ref="G803">iferror(index('rna-muscle'!G:G,match($A803,'rna-muscle'!$A:$A,0)))</f>
        <v>9</v>
      </c>
      <c r="H803" s="11" t="str">
        <f t="shared" si="4"/>
        <v>E9</v>
      </c>
      <c r="I803" s="10" t="str">
        <f t="shared" si="5"/>
        <v>BRN69G-E9</v>
      </c>
      <c r="J803" s="16"/>
      <c r="K803" s="16" t="str">
        <f t="shared" si="6"/>
        <v>collected</v>
      </c>
      <c r="L803" s="16" t="str">
        <f t="shared" si="7"/>
        <v>N</v>
      </c>
      <c r="M803" s="16"/>
      <c r="N803" s="16"/>
    </row>
    <row r="804">
      <c r="A804" s="26" t="s">
        <v>869</v>
      </c>
      <c r="B804" s="10" t="str">
        <f t="shared" si="1"/>
        <v>RNA-gill</v>
      </c>
      <c r="C804" s="10" t="str">
        <f t="shared" si="2"/>
        <v>BRN69G-D9</v>
      </c>
      <c r="D804" s="11">
        <f t="array" ref="D804">iferror(index('rna-muscle'!D:D,match(A804,'rna-muscle'!A:A,0)))</f>
        <v>69</v>
      </c>
      <c r="E804" s="10" t="str">
        <f t="shared" si="3"/>
        <v>BRN69G</v>
      </c>
      <c r="F804" s="11" t="str">
        <f t="array" ref="F804">iferror(index('rna-muscle'!F:F,match($A804,'rna-muscle'!$A:$A,0)))</f>
        <v>D</v>
      </c>
      <c r="G804" s="11">
        <f t="array" ref="G804">iferror(index('rna-muscle'!G:G,match($A804,'rna-muscle'!$A:$A,0)))</f>
        <v>9</v>
      </c>
      <c r="H804" s="11" t="str">
        <f t="shared" si="4"/>
        <v>D9</v>
      </c>
      <c r="I804" s="10" t="str">
        <f t="shared" si="5"/>
        <v>BRN69G-D9</v>
      </c>
      <c r="J804" s="16"/>
      <c r="K804" s="16" t="str">
        <f t="shared" si="6"/>
        <v>collected</v>
      </c>
      <c r="L804" s="16" t="str">
        <f t="shared" si="7"/>
        <v>N</v>
      </c>
      <c r="M804" s="16"/>
      <c r="N804" s="16"/>
    </row>
    <row r="805">
      <c r="A805" s="26" t="s">
        <v>876</v>
      </c>
      <c r="B805" s="10" t="str">
        <f t="shared" si="1"/>
        <v>RNA-gill</v>
      </c>
      <c r="C805" s="10" t="str">
        <f t="shared" si="2"/>
        <v>BRN69G-C9</v>
      </c>
      <c r="D805" s="11">
        <f t="array" ref="D805">iferror(index('rna-muscle'!D:D,match(A805,'rna-muscle'!A:A,0)))</f>
        <v>69</v>
      </c>
      <c r="E805" s="10" t="str">
        <f t="shared" si="3"/>
        <v>BRN69G</v>
      </c>
      <c r="F805" s="11" t="str">
        <f t="array" ref="F805">iferror(index('rna-muscle'!F:F,match($A805,'rna-muscle'!$A:$A,0)))</f>
        <v>C</v>
      </c>
      <c r="G805" s="11">
        <f t="array" ref="G805">iferror(index('rna-muscle'!G:G,match($A805,'rna-muscle'!$A:$A,0)))</f>
        <v>9</v>
      </c>
      <c r="H805" s="11" t="str">
        <f t="shared" si="4"/>
        <v>C9</v>
      </c>
      <c r="I805" s="10" t="str">
        <f t="shared" si="5"/>
        <v>BRN69G-C9</v>
      </c>
      <c r="J805" s="16"/>
      <c r="K805" s="16" t="str">
        <f t="shared" si="6"/>
        <v>collected</v>
      </c>
      <c r="L805" s="16" t="str">
        <f t="shared" si="7"/>
        <v>N</v>
      </c>
      <c r="M805" s="16"/>
      <c r="N805" s="16"/>
    </row>
    <row r="806">
      <c r="A806" s="26" t="s">
        <v>880</v>
      </c>
      <c r="B806" s="10" t="str">
        <f t="shared" si="1"/>
        <v>RNA-gill</v>
      </c>
      <c r="C806" s="10" t="str">
        <f t="shared" si="2"/>
        <v>BRN69G-B9</v>
      </c>
      <c r="D806" s="11">
        <f t="array" ref="D806">iferror(index('rna-muscle'!D:D,match(A806,'rna-muscle'!A:A,0)))</f>
        <v>69</v>
      </c>
      <c r="E806" s="10" t="str">
        <f t="shared" si="3"/>
        <v>BRN69G</v>
      </c>
      <c r="F806" s="11" t="str">
        <f t="array" ref="F806">iferror(index('rna-muscle'!F:F,match($A806,'rna-muscle'!$A:$A,0)))</f>
        <v>B</v>
      </c>
      <c r="G806" s="11">
        <f t="array" ref="G806">iferror(index('rna-muscle'!G:G,match($A806,'rna-muscle'!$A:$A,0)))</f>
        <v>9</v>
      </c>
      <c r="H806" s="11" t="str">
        <f t="shared" si="4"/>
        <v>B9</v>
      </c>
      <c r="I806" s="10" t="str">
        <f t="shared" si="5"/>
        <v>BRN69G-B9</v>
      </c>
      <c r="J806" s="16"/>
      <c r="K806" s="16" t="str">
        <f t="shared" si="6"/>
        <v>collected</v>
      </c>
      <c r="L806" s="16" t="str">
        <f t="shared" si="7"/>
        <v>N</v>
      </c>
      <c r="M806" s="16"/>
      <c r="N806" s="16"/>
    </row>
    <row r="807">
      <c r="A807" s="26" t="s">
        <v>890</v>
      </c>
      <c r="B807" s="10" t="str">
        <f t="shared" si="1"/>
        <v>RNA-gill</v>
      </c>
      <c r="C807" s="10" t="str">
        <f t="shared" si="2"/>
        <v>BRN69G-A9</v>
      </c>
      <c r="D807" s="11">
        <f t="array" ref="D807">iferror(index('rna-muscle'!D:D,match(A807,'rna-muscle'!A:A,0)))</f>
        <v>69</v>
      </c>
      <c r="E807" s="10" t="str">
        <f t="shared" si="3"/>
        <v>BRN69G</v>
      </c>
      <c r="F807" s="11" t="str">
        <f t="array" ref="F807">iferror(index('rna-muscle'!F:F,match($A807,'rna-muscle'!$A:$A,0)))</f>
        <v>A</v>
      </c>
      <c r="G807" s="11">
        <f t="array" ref="G807">iferror(index('rna-muscle'!G:G,match($A807,'rna-muscle'!$A:$A,0)))</f>
        <v>9</v>
      </c>
      <c r="H807" s="11" t="str">
        <f t="shared" si="4"/>
        <v>A9</v>
      </c>
      <c r="I807" s="10" t="str">
        <f t="shared" si="5"/>
        <v>BRN69G-A9</v>
      </c>
      <c r="J807" s="16"/>
      <c r="K807" s="16" t="str">
        <f t="shared" si="6"/>
        <v>collected</v>
      </c>
      <c r="L807" s="16" t="str">
        <f t="shared" si="7"/>
        <v>N</v>
      </c>
      <c r="M807" s="16"/>
      <c r="N807" s="16"/>
    </row>
    <row r="808">
      <c r="A808" s="26" t="s">
        <v>900</v>
      </c>
      <c r="B808" s="10" t="str">
        <f t="shared" si="1"/>
        <v>RNA-gill</v>
      </c>
      <c r="C808" s="10" t="str">
        <f t="shared" si="2"/>
        <v>BRN69G-H11</v>
      </c>
      <c r="D808" s="11">
        <f t="array" ref="D808">iferror(index('rna-muscle'!D:D,match(A808,'rna-muscle'!A:A,0)))</f>
        <v>69</v>
      </c>
      <c r="E808" s="10" t="str">
        <f t="shared" si="3"/>
        <v>BRN69G</v>
      </c>
      <c r="F808" s="11" t="str">
        <f t="array" ref="F808">iferror(index('rna-muscle'!F:F,match($A808,'rna-muscle'!$A:$A,0)))</f>
        <v>H</v>
      </c>
      <c r="G808" s="11">
        <f t="array" ref="G808">iferror(index('rna-muscle'!G:G,match($A808,'rna-muscle'!$A:$A,0)))</f>
        <v>11</v>
      </c>
      <c r="H808" s="11" t="str">
        <f t="shared" si="4"/>
        <v>H11</v>
      </c>
      <c r="I808" s="10" t="str">
        <f t="shared" si="5"/>
        <v>BRN69G-H11</v>
      </c>
      <c r="J808" s="6"/>
      <c r="K808" s="16" t="str">
        <f t="shared" si="6"/>
        <v>collected</v>
      </c>
      <c r="L808" s="16" t="str">
        <f t="shared" si="7"/>
        <v>N</v>
      </c>
      <c r="M808" s="16"/>
      <c r="N808" s="16"/>
    </row>
    <row r="809">
      <c r="A809" s="26" t="s">
        <v>912</v>
      </c>
      <c r="B809" s="10" t="str">
        <f t="shared" si="1"/>
        <v>RNA-gill</v>
      </c>
      <c r="C809" s="10" t="str">
        <f t="shared" si="2"/>
        <v>BRN69G-G11</v>
      </c>
      <c r="D809" s="11">
        <f t="array" ref="D809">iferror(index('rna-muscle'!D:D,match(A809,'rna-muscle'!A:A,0)))</f>
        <v>69</v>
      </c>
      <c r="E809" s="10" t="str">
        <f t="shared" si="3"/>
        <v>BRN69G</v>
      </c>
      <c r="F809" s="11" t="str">
        <f t="array" ref="F809">iferror(index('rna-muscle'!F:F,match($A809,'rna-muscle'!$A:$A,0)))</f>
        <v>G</v>
      </c>
      <c r="G809" s="11">
        <f t="array" ref="G809">iferror(index('rna-muscle'!G:G,match($A809,'rna-muscle'!$A:$A,0)))</f>
        <v>11</v>
      </c>
      <c r="H809" s="11" t="str">
        <f t="shared" si="4"/>
        <v>G11</v>
      </c>
      <c r="I809" s="10" t="str">
        <f t="shared" si="5"/>
        <v>BRN69G-G11</v>
      </c>
      <c r="J809" s="6"/>
      <c r="K809" s="16" t="str">
        <f t="shared" si="6"/>
        <v>collected</v>
      </c>
      <c r="L809" s="16" t="str">
        <f t="shared" si="7"/>
        <v>N</v>
      </c>
      <c r="M809" s="16"/>
      <c r="N809" s="16"/>
    </row>
    <row r="810">
      <c r="A810" s="26" t="s">
        <v>919</v>
      </c>
      <c r="B810" s="10" t="str">
        <f t="shared" si="1"/>
        <v>RNA-gill</v>
      </c>
      <c r="C810" s="10" t="str">
        <f t="shared" si="2"/>
        <v>BRN69G-F11</v>
      </c>
      <c r="D810" s="11">
        <f t="array" ref="D810">iferror(index('rna-muscle'!D:D,match(A810,'rna-muscle'!A:A,0)))</f>
        <v>69</v>
      </c>
      <c r="E810" s="10" t="str">
        <f t="shared" si="3"/>
        <v>BRN69G</v>
      </c>
      <c r="F810" s="11" t="str">
        <f t="array" ref="F810">iferror(index('rna-muscle'!F:F,match($A810,'rna-muscle'!$A:$A,0)))</f>
        <v>F</v>
      </c>
      <c r="G810" s="11">
        <f t="array" ref="G810">iferror(index('rna-muscle'!G:G,match($A810,'rna-muscle'!$A:$A,0)))</f>
        <v>11</v>
      </c>
      <c r="H810" s="11" t="str">
        <f t="shared" si="4"/>
        <v>F11</v>
      </c>
      <c r="I810" s="10" t="str">
        <f t="shared" si="5"/>
        <v>BRN69G-F11</v>
      </c>
      <c r="J810" s="16"/>
      <c r="K810" s="16" t="str">
        <f t="shared" si="6"/>
        <v>collected</v>
      </c>
      <c r="L810" s="16" t="str">
        <f t="shared" si="7"/>
        <v>N</v>
      </c>
      <c r="M810" s="16"/>
      <c r="N810" s="16"/>
    </row>
    <row r="811">
      <c r="A811" s="26" t="s">
        <v>928</v>
      </c>
      <c r="B811" s="10" t="str">
        <f t="shared" si="1"/>
        <v>RNA-gill</v>
      </c>
      <c r="C811" s="10" t="str">
        <f t="shared" si="2"/>
        <v>BRN69G-E11</v>
      </c>
      <c r="D811" s="11">
        <f t="array" ref="D811">iferror(index('rna-muscle'!D:D,match(A811,'rna-muscle'!A:A,0)))</f>
        <v>69</v>
      </c>
      <c r="E811" s="10" t="str">
        <f t="shared" si="3"/>
        <v>BRN69G</v>
      </c>
      <c r="F811" s="11" t="str">
        <f t="array" ref="F811">iferror(index('rna-muscle'!F:F,match($A811,'rna-muscle'!$A:$A,0)))</f>
        <v>E</v>
      </c>
      <c r="G811" s="11">
        <f t="array" ref="G811">iferror(index('rna-muscle'!G:G,match($A811,'rna-muscle'!$A:$A,0)))</f>
        <v>11</v>
      </c>
      <c r="H811" s="11" t="str">
        <f t="shared" si="4"/>
        <v>E11</v>
      </c>
      <c r="I811" s="10" t="str">
        <f t="shared" si="5"/>
        <v>BRN69G-E11</v>
      </c>
      <c r="J811" s="16"/>
      <c r="K811" s="16" t="str">
        <f t="shared" si="6"/>
        <v>collected</v>
      </c>
      <c r="L811" s="16" t="str">
        <f t="shared" si="7"/>
        <v>N</v>
      </c>
      <c r="M811" s="16"/>
      <c r="N811" s="16"/>
    </row>
    <row r="812">
      <c r="A812" s="26" t="s">
        <v>936</v>
      </c>
      <c r="B812" s="10" t="str">
        <f t="shared" si="1"/>
        <v>RNA-gill</v>
      </c>
      <c r="C812" s="10" t="str">
        <f t="shared" si="2"/>
        <v>BRN69G-C7</v>
      </c>
      <c r="D812" s="11">
        <f t="array" ref="D812">iferror(index('rna-muscle'!D:D,match(A812,'rna-muscle'!A:A,0)))</f>
        <v>69</v>
      </c>
      <c r="E812" s="10" t="str">
        <f t="shared" si="3"/>
        <v>BRN69G</v>
      </c>
      <c r="F812" s="11" t="str">
        <f t="array" ref="F812">iferror(index('rna-muscle'!F:F,match($A812,'rna-muscle'!$A:$A,0)))</f>
        <v>C</v>
      </c>
      <c r="G812" s="11">
        <f t="array" ref="G812">iferror(index('rna-muscle'!G:G,match($A812,'rna-muscle'!$A:$A,0)))</f>
        <v>7</v>
      </c>
      <c r="H812" s="11" t="str">
        <f t="shared" si="4"/>
        <v>C7</v>
      </c>
      <c r="I812" s="10" t="str">
        <f t="shared" si="5"/>
        <v>BRN69G-C7</v>
      </c>
      <c r="J812" s="6"/>
      <c r="K812" s="16" t="str">
        <f t="shared" si="6"/>
        <v>collected</v>
      </c>
      <c r="L812" s="16" t="str">
        <f t="shared" si="7"/>
        <v>N</v>
      </c>
      <c r="M812" s="16"/>
      <c r="N812" s="16"/>
    </row>
    <row r="813">
      <c r="A813" s="27" t="s">
        <v>944</v>
      </c>
      <c r="B813" s="10" t="str">
        <f t="shared" si="1"/>
        <v>RNA-gill</v>
      </c>
      <c r="C813" s="10" t="str">
        <f t="shared" si="2"/>
        <v>BRN69G-B7</v>
      </c>
      <c r="D813" s="11">
        <f t="array" ref="D813">iferror(index('rna-muscle'!D:D,match(A813,'rna-muscle'!A:A,0)))</f>
        <v>69</v>
      </c>
      <c r="E813" s="10" t="str">
        <f t="shared" si="3"/>
        <v>BRN69G</v>
      </c>
      <c r="F813" s="11" t="str">
        <f t="array" ref="F813">iferror(index('rna-muscle'!F:F,match($A813,'rna-muscle'!$A:$A,0)))</f>
        <v>B</v>
      </c>
      <c r="G813" s="11">
        <f t="array" ref="G813">iferror(index('rna-muscle'!G:G,match($A813,'rna-muscle'!$A:$A,0)))</f>
        <v>7</v>
      </c>
      <c r="H813" s="11" t="str">
        <f t="shared" si="4"/>
        <v>B7</v>
      </c>
      <c r="I813" s="10" t="str">
        <f t="shared" si="5"/>
        <v>BRN69G-B7</v>
      </c>
      <c r="J813" s="16"/>
      <c r="K813" s="16" t="str">
        <f t="shared" si="6"/>
        <v>collected</v>
      </c>
      <c r="L813" s="16" t="str">
        <f t="shared" si="7"/>
        <v>N</v>
      </c>
      <c r="M813" s="16"/>
      <c r="N813" s="16"/>
    </row>
    <row r="814">
      <c r="A814" s="27" t="s">
        <v>953</v>
      </c>
      <c r="B814" s="10" t="str">
        <f t="shared" si="1"/>
        <v>RNA-gill</v>
      </c>
      <c r="C814" s="10" t="str">
        <f t="shared" si="2"/>
        <v>BRN69G-A7</v>
      </c>
      <c r="D814" s="11">
        <f t="array" ref="D814">iferror(index('rna-muscle'!D:D,match(A814,'rna-muscle'!A:A,0)))</f>
        <v>69</v>
      </c>
      <c r="E814" s="10" t="str">
        <f t="shared" si="3"/>
        <v>BRN69G</v>
      </c>
      <c r="F814" s="11" t="str">
        <f t="array" ref="F814">iferror(index('rna-muscle'!F:F,match($A814,'rna-muscle'!$A:$A,0)))</f>
        <v>A</v>
      </c>
      <c r="G814" s="11">
        <f t="array" ref="G814">iferror(index('rna-muscle'!G:G,match($A814,'rna-muscle'!$A:$A,0)))</f>
        <v>7</v>
      </c>
      <c r="H814" s="11" t="str">
        <f t="shared" si="4"/>
        <v>A7</v>
      </c>
      <c r="I814" s="10" t="str">
        <f t="shared" si="5"/>
        <v>BRN69G-A7</v>
      </c>
      <c r="J814" s="16"/>
      <c r="K814" s="16" t="str">
        <f t="shared" si="6"/>
        <v>collected</v>
      </c>
      <c r="L814" s="16" t="str">
        <f t="shared" si="7"/>
        <v>N</v>
      </c>
      <c r="M814" s="16"/>
      <c r="N814" s="16"/>
    </row>
    <row r="815">
      <c r="A815" s="27" t="s">
        <v>961</v>
      </c>
      <c r="B815" s="10" t="str">
        <f t="shared" si="1"/>
        <v>RNA-gill</v>
      </c>
      <c r="C815" s="10" t="str">
        <f t="shared" si="2"/>
        <v>BRN69G-H10</v>
      </c>
      <c r="D815" s="11">
        <f t="array" ref="D815">iferror(index('rna-muscle'!D:D,match(A815,'rna-muscle'!A:A,0)))</f>
        <v>69</v>
      </c>
      <c r="E815" s="10" t="str">
        <f t="shared" si="3"/>
        <v>BRN69G</v>
      </c>
      <c r="F815" s="11" t="str">
        <f t="array" ref="F815">iferror(index('rna-muscle'!F:F,match($A815,'rna-muscle'!$A:$A,0)))</f>
        <v>H</v>
      </c>
      <c r="G815" s="11">
        <f t="array" ref="G815">iferror(index('rna-muscle'!G:G,match($A815,'rna-muscle'!$A:$A,0)))</f>
        <v>10</v>
      </c>
      <c r="H815" s="11" t="str">
        <f t="shared" si="4"/>
        <v>H10</v>
      </c>
      <c r="I815" s="10" t="str">
        <f t="shared" si="5"/>
        <v>BRN69G-H10</v>
      </c>
      <c r="J815" s="16"/>
      <c r="K815" s="16" t="str">
        <f t="shared" si="6"/>
        <v>collected</v>
      </c>
      <c r="L815" s="16" t="str">
        <f t="shared" si="7"/>
        <v>N</v>
      </c>
      <c r="M815" s="16"/>
      <c r="N815" s="16"/>
    </row>
    <row r="816">
      <c r="A816" s="27" t="s">
        <v>970</v>
      </c>
      <c r="B816" s="10" t="str">
        <f t="shared" si="1"/>
        <v>RNA-gill</v>
      </c>
      <c r="C816" s="10" t="str">
        <f t="shared" si="2"/>
        <v>BRN69G-G10</v>
      </c>
      <c r="D816" s="11">
        <f t="array" ref="D816">iferror(index('rna-muscle'!D:D,match(A816,'rna-muscle'!A:A,0)))</f>
        <v>69</v>
      </c>
      <c r="E816" s="10" t="str">
        <f t="shared" si="3"/>
        <v>BRN69G</v>
      </c>
      <c r="F816" s="11" t="str">
        <f t="array" ref="F816">iferror(index('rna-muscle'!F:F,match($A816,'rna-muscle'!$A:$A,0)))</f>
        <v>G</v>
      </c>
      <c r="G816" s="11">
        <f t="array" ref="G816">iferror(index('rna-muscle'!G:G,match($A816,'rna-muscle'!$A:$A,0)))</f>
        <v>10</v>
      </c>
      <c r="H816" s="11" t="str">
        <f t="shared" si="4"/>
        <v>G10</v>
      </c>
      <c r="I816" s="10" t="str">
        <f t="shared" si="5"/>
        <v>BRN69G-G10</v>
      </c>
      <c r="J816" s="16"/>
      <c r="K816" s="16" t="str">
        <f t="shared" si="6"/>
        <v>collected</v>
      </c>
      <c r="L816" s="16" t="str">
        <f t="shared" si="7"/>
        <v>N</v>
      </c>
      <c r="M816" s="16"/>
      <c r="N816" s="16"/>
    </row>
    <row r="817">
      <c r="A817" s="27" t="s">
        <v>977</v>
      </c>
      <c r="B817" s="10" t="str">
        <f t="shared" si="1"/>
        <v>RNA-gill</v>
      </c>
      <c r="C817" s="10" t="str">
        <f t="shared" si="2"/>
        <v>BRN69G-F10</v>
      </c>
      <c r="D817" s="11">
        <f t="array" ref="D817">iferror(index('rna-muscle'!D:D,match(A817,'rna-muscle'!A:A,0)))</f>
        <v>69</v>
      </c>
      <c r="E817" s="10" t="str">
        <f t="shared" si="3"/>
        <v>BRN69G</v>
      </c>
      <c r="F817" s="11" t="str">
        <f t="array" ref="F817">iferror(index('rna-muscle'!F:F,match($A817,'rna-muscle'!$A:$A,0)))</f>
        <v>F</v>
      </c>
      <c r="G817" s="11">
        <f t="array" ref="G817">iferror(index('rna-muscle'!G:G,match($A817,'rna-muscle'!$A:$A,0)))</f>
        <v>10</v>
      </c>
      <c r="H817" s="11" t="str">
        <f t="shared" si="4"/>
        <v>F10</v>
      </c>
      <c r="I817" s="10" t="str">
        <f t="shared" si="5"/>
        <v>BRN69G-F10</v>
      </c>
      <c r="J817" s="16"/>
      <c r="K817" s="16" t="str">
        <f t="shared" si="6"/>
        <v>collected</v>
      </c>
      <c r="L817" s="16" t="str">
        <f t="shared" si="7"/>
        <v>N</v>
      </c>
      <c r="M817" s="16"/>
      <c r="N817" s="16"/>
    </row>
    <row r="818">
      <c r="A818" s="27" t="s">
        <v>984</v>
      </c>
      <c r="B818" s="10" t="str">
        <f t="shared" si="1"/>
        <v>RNA-gill</v>
      </c>
      <c r="C818" s="10" t="str">
        <f t="shared" si="2"/>
        <v>BRN69G-E10</v>
      </c>
      <c r="D818" s="11">
        <f t="array" ref="D818">iferror(index('rna-muscle'!D:D,match(A818,'rna-muscle'!A:A,0)))</f>
        <v>69</v>
      </c>
      <c r="E818" s="10" t="str">
        <f t="shared" si="3"/>
        <v>BRN69G</v>
      </c>
      <c r="F818" s="11" t="str">
        <f t="array" ref="F818">iferror(index('rna-muscle'!F:F,match($A818,'rna-muscle'!$A:$A,0)))</f>
        <v>E</v>
      </c>
      <c r="G818" s="11">
        <f t="array" ref="G818">iferror(index('rna-muscle'!G:G,match($A818,'rna-muscle'!$A:$A,0)))</f>
        <v>10</v>
      </c>
      <c r="H818" s="11" t="str">
        <f t="shared" si="4"/>
        <v>E10</v>
      </c>
      <c r="I818" s="10" t="str">
        <f t="shared" si="5"/>
        <v>BRN69G-E10</v>
      </c>
      <c r="J818" s="6"/>
      <c r="K818" s="16" t="str">
        <f t="shared" si="6"/>
        <v>collected</v>
      </c>
      <c r="L818" s="16" t="str">
        <f t="shared" si="7"/>
        <v>N</v>
      </c>
      <c r="M818" s="16"/>
      <c r="N818" s="16"/>
    </row>
    <row r="819">
      <c r="A819" s="27" t="s">
        <v>992</v>
      </c>
      <c r="B819" s="10" t="str">
        <f t="shared" si="1"/>
        <v>RNA-gill</v>
      </c>
      <c r="C819" s="10" t="str">
        <f t="shared" si="2"/>
        <v>BRN69G-D10</v>
      </c>
      <c r="D819" s="11">
        <f t="array" ref="D819">iferror(index('rna-muscle'!D:D,match(A819,'rna-muscle'!A:A,0)))</f>
        <v>69</v>
      </c>
      <c r="E819" s="10" t="str">
        <f t="shared" si="3"/>
        <v>BRN69G</v>
      </c>
      <c r="F819" s="11" t="str">
        <f t="array" ref="F819">iferror(index('rna-muscle'!F:F,match($A819,'rna-muscle'!$A:$A,0)))</f>
        <v>D</v>
      </c>
      <c r="G819" s="11">
        <f t="array" ref="G819">iferror(index('rna-muscle'!G:G,match($A819,'rna-muscle'!$A:$A,0)))</f>
        <v>10</v>
      </c>
      <c r="H819" s="11" t="str">
        <f t="shared" si="4"/>
        <v>D10</v>
      </c>
      <c r="I819" s="10" t="str">
        <f t="shared" si="5"/>
        <v>BRN69G-D10</v>
      </c>
      <c r="J819" s="16"/>
      <c r="K819" s="16" t="str">
        <f t="shared" si="6"/>
        <v>collected</v>
      </c>
      <c r="L819" s="16" t="str">
        <f t="shared" si="7"/>
        <v>N</v>
      </c>
      <c r="M819" s="16"/>
      <c r="N819" s="16"/>
    </row>
    <row r="820">
      <c r="A820" s="27" t="s">
        <v>1000</v>
      </c>
      <c r="B820" s="10" t="str">
        <f t="shared" si="1"/>
        <v>RNA-gill</v>
      </c>
      <c r="C820" s="10" t="str">
        <f t="shared" si="2"/>
        <v>BRN69G-C10</v>
      </c>
      <c r="D820" s="11">
        <f t="array" ref="D820">iferror(index('rna-muscle'!D:D,match(A820,'rna-muscle'!A:A,0)))</f>
        <v>69</v>
      </c>
      <c r="E820" s="10" t="str">
        <f t="shared" si="3"/>
        <v>BRN69G</v>
      </c>
      <c r="F820" s="11" t="str">
        <f t="array" ref="F820">iferror(index('rna-muscle'!F:F,match($A820,'rna-muscle'!$A:$A,0)))</f>
        <v>C</v>
      </c>
      <c r="G820" s="11">
        <f t="array" ref="G820">iferror(index('rna-muscle'!G:G,match($A820,'rna-muscle'!$A:$A,0)))</f>
        <v>10</v>
      </c>
      <c r="H820" s="11" t="str">
        <f t="shared" si="4"/>
        <v>C10</v>
      </c>
      <c r="I820" s="10" t="str">
        <f t="shared" si="5"/>
        <v>BRN69G-C10</v>
      </c>
      <c r="J820" s="16"/>
      <c r="K820" s="16" t="str">
        <f t="shared" si="6"/>
        <v>collected</v>
      </c>
      <c r="L820" s="16" t="str">
        <f t="shared" si="7"/>
        <v>N</v>
      </c>
      <c r="M820" s="16"/>
      <c r="N820" s="16"/>
    </row>
    <row r="821">
      <c r="A821" s="27" t="s">
        <v>1007</v>
      </c>
      <c r="B821" s="10" t="str">
        <f t="shared" si="1"/>
        <v>RNA-gill</v>
      </c>
      <c r="C821" s="10" t="str">
        <f t="shared" si="2"/>
        <v>BRN69G-B10</v>
      </c>
      <c r="D821" s="11">
        <f t="array" ref="D821">iferror(index('rna-muscle'!D:D,match(A821,'rna-muscle'!A:A,0)))</f>
        <v>69</v>
      </c>
      <c r="E821" s="10" t="str">
        <f t="shared" si="3"/>
        <v>BRN69G</v>
      </c>
      <c r="F821" s="11" t="str">
        <f t="array" ref="F821">iferror(index('rna-muscle'!F:F,match($A821,'rna-muscle'!$A:$A,0)))</f>
        <v>B</v>
      </c>
      <c r="G821" s="11">
        <f t="array" ref="G821">iferror(index('rna-muscle'!G:G,match($A821,'rna-muscle'!$A:$A,0)))</f>
        <v>10</v>
      </c>
      <c r="H821" s="11" t="str">
        <f t="shared" si="4"/>
        <v>B10</v>
      </c>
      <c r="I821" s="10" t="str">
        <f t="shared" si="5"/>
        <v>BRN69G-B10</v>
      </c>
      <c r="J821" s="6"/>
      <c r="K821" s="16" t="str">
        <f t="shared" si="6"/>
        <v>collected</v>
      </c>
      <c r="L821" s="16" t="str">
        <f t="shared" si="7"/>
        <v>N</v>
      </c>
      <c r="M821" s="16"/>
      <c r="N821" s="16"/>
    </row>
    <row r="822">
      <c r="A822" s="26" t="s">
        <v>1014</v>
      </c>
      <c r="B822" s="10" t="str">
        <f t="shared" si="1"/>
        <v>RNA-gill</v>
      </c>
      <c r="C822" s="10" t="str">
        <f t="shared" si="2"/>
        <v>BRN69G-A10</v>
      </c>
      <c r="D822" s="11">
        <f t="array" ref="D822">iferror(index('rna-muscle'!D:D,match(A822,'rna-muscle'!A:A,0)))</f>
        <v>69</v>
      </c>
      <c r="E822" s="10" t="str">
        <f t="shared" si="3"/>
        <v>BRN69G</v>
      </c>
      <c r="F822" s="11" t="str">
        <f t="array" ref="F822">iferror(index('rna-muscle'!F:F,match($A822,'rna-muscle'!$A:$A,0)))</f>
        <v>A</v>
      </c>
      <c r="G822" s="11">
        <f t="array" ref="G822">iferror(index('rna-muscle'!G:G,match($A822,'rna-muscle'!$A:$A,0)))</f>
        <v>10</v>
      </c>
      <c r="H822" s="11" t="str">
        <f t="shared" si="4"/>
        <v>A10</v>
      </c>
      <c r="I822" s="10" t="str">
        <f t="shared" si="5"/>
        <v>BRN69G-A10</v>
      </c>
      <c r="J822" s="6"/>
      <c r="K822" s="16" t="str">
        <f t="shared" si="6"/>
        <v>collected</v>
      </c>
      <c r="L822" s="16" t="str">
        <f t="shared" si="7"/>
        <v>N</v>
      </c>
      <c r="M822" s="16"/>
      <c r="N822" s="16"/>
    </row>
    <row r="823">
      <c r="A823" s="26" t="s">
        <v>1022</v>
      </c>
      <c r="B823" s="10" t="str">
        <f t="shared" si="1"/>
        <v>RNA-gill</v>
      </c>
      <c r="C823" s="10" t="str">
        <f t="shared" si="2"/>
        <v>BRN69G-G12</v>
      </c>
      <c r="D823" s="11">
        <f t="array" ref="D823">iferror(index('rna-muscle'!D:D,match(A823,'rna-muscle'!A:A,0)))</f>
        <v>69</v>
      </c>
      <c r="E823" s="10" t="str">
        <f t="shared" si="3"/>
        <v>BRN69G</v>
      </c>
      <c r="F823" s="11" t="str">
        <f t="array" ref="F823">iferror(index('rna-muscle'!F:F,match($A823,'rna-muscle'!$A:$A,0)))</f>
        <v>G</v>
      </c>
      <c r="G823" s="11">
        <f t="array" ref="G823">iferror(index('rna-muscle'!G:G,match($A823,'rna-muscle'!$A:$A,0)))</f>
        <v>12</v>
      </c>
      <c r="H823" s="11" t="str">
        <f t="shared" si="4"/>
        <v>G12</v>
      </c>
      <c r="I823" s="10" t="str">
        <f t="shared" si="5"/>
        <v>BRN69G-G12</v>
      </c>
      <c r="J823" s="6"/>
      <c r="K823" s="16" t="str">
        <f t="shared" si="6"/>
        <v>collected</v>
      </c>
      <c r="L823" s="16" t="str">
        <f t="shared" si="7"/>
        <v>N</v>
      </c>
      <c r="M823" s="16"/>
      <c r="N823" s="16"/>
    </row>
    <row r="824">
      <c r="A824" s="26" t="s">
        <v>1027</v>
      </c>
      <c r="B824" s="10" t="str">
        <f t="shared" si="1"/>
        <v>RNA-gill</v>
      </c>
      <c r="C824" s="10" t="str">
        <f t="shared" si="2"/>
        <v>BRN69G-F12</v>
      </c>
      <c r="D824" s="11">
        <f t="array" ref="D824">iferror(index('rna-muscle'!D:D,match(A824,'rna-muscle'!A:A,0)))</f>
        <v>69</v>
      </c>
      <c r="E824" s="10" t="str">
        <f t="shared" si="3"/>
        <v>BRN69G</v>
      </c>
      <c r="F824" s="11" t="str">
        <f t="array" ref="F824">iferror(index('rna-muscle'!F:F,match($A824,'rna-muscle'!$A:$A,0)))</f>
        <v>F</v>
      </c>
      <c r="G824" s="11">
        <f t="array" ref="G824">iferror(index('rna-muscle'!G:G,match($A824,'rna-muscle'!$A:$A,0)))</f>
        <v>12</v>
      </c>
      <c r="H824" s="11" t="str">
        <f t="shared" si="4"/>
        <v>F12</v>
      </c>
      <c r="I824" s="10" t="str">
        <f t="shared" si="5"/>
        <v>BRN69G-F12</v>
      </c>
      <c r="J824" s="6"/>
      <c r="K824" s="16" t="str">
        <f t="shared" si="6"/>
        <v>collected</v>
      </c>
      <c r="L824" s="16" t="str">
        <f t="shared" si="7"/>
        <v>N</v>
      </c>
      <c r="M824" s="16"/>
      <c r="N824" s="16"/>
    </row>
    <row r="825">
      <c r="A825" s="26" t="s">
        <v>1034</v>
      </c>
      <c r="B825" s="10" t="str">
        <f t="shared" si="1"/>
        <v>RNA-gill</v>
      </c>
      <c r="C825" s="10" t="str">
        <f t="shared" si="2"/>
        <v>BRN69G-E12</v>
      </c>
      <c r="D825" s="11">
        <f t="array" ref="D825">iferror(index('rna-muscle'!D:D,match(A825,'rna-muscle'!A:A,0)))</f>
        <v>69</v>
      </c>
      <c r="E825" s="10" t="str">
        <f t="shared" si="3"/>
        <v>BRN69G</v>
      </c>
      <c r="F825" s="11" t="str">
        <f t="array" ref="F825">iferror(index('rna-muscle'!F:F,match($A825,'rna-muscle'!$A:$A,0)))</f>
        <v>E</v>
      </c>
      <c r="G825" s="11">
        <f t="array" ref="G825">iferror(index('rna-muscle'!G:G,match($A825,'rna-muscle'!$A:$A,0)))</f>
        <v>12</v>
      </c>
      <c r="H825" s="11" t="str">
        <f t="shared" si="4"/>
        <v>E12</v>
      </c>
      <c r="I825" s="10" t="str">
        <f t="shared" si="5"/>
        <v>BRN69G-E12</v>
      </c>
      <c r="J825" s="16"/>
      <c r="K825" s="16" t="str">
        <f t="shared" si="6"/>
        <v>collected</v>
      </c>
      <c r="L825" s="16" t="str">
        <f t="shared" si="7"/>
        <v>N</v>
      </c>
      <c r="M825" s="16"/>
      <c r="N825" s="16"/>
    </row>
    <row r="826">
      <c r="A826" s="26" t="s">
        <v>1043</v>
      </c>
      <c r="B826" s="10" t="str">
        <f t="shared" si="1"/>
        <v>RNA-gill</v>
      </c>
      <c r="C826" s="10" t="str">
        <f t="shared" si="2"/>
        <v>BRN69G-D12</v>
      </c>
      <c r="D826" s="11">
        <f t="array" ref="D826">iferror(index('rna-muscle'!D:D,match(A826,'rna-muscle'!A:A,0)))</f>
        <v>69</v>
      </c>
      <c r="E826" s="10" t="str">
        <f t="shared" si="3"/>
        <v>BRN69G</v>
      </c>
      <c r="F826" s="11" t="str">
        <f t="array" ref="F826">iferror(index('rna-muscle'!F:F,match($A826,'rna-muscle'!$A:$A,0)))</f>
        <v>D</v>
      </c>
      <c r="G826" s="11">
        <f t="array" ref="G826">iferror(index('rna-muscle'!G:G,match($A826,'rna-muscle'!$A:$A,0)))</f>
        <v>12</v>
      </c>
      <c r="H826" s="11" t="str">
        <f t="shared" si="4"/>
        <v>D12</v>
      </c>
      <c r="I826" s="10" t="str">
        <f t="shared" si="5"/>
        <v>BRN69G-D12</v>
      </c>
      <c r="J826" s="32"/>
      <c r="K826" s="16" t="str">
        <f t="shared" si="6"/>
        <v>collected</v>
      </c>
      <c r="L826" s="16" t="str">
        <f t="shared" si="7"/>
        <v>N</v>
      </c>
      <c r="M826" s="16"/>
      <c r="N826" s="16"/>
    </row>
    <row r="827">
      <c r="A827" s="26" t="s">
        <v>1054</v>
      </c>
      <c r="B827" s="10" t="str">
        <f t="shared" si="1"/>
        <v>RNA-gill</v>
      </c>
      <c r="C827" s="10" t="str">
        <f t="shared" si="2"/>
        <v>BRN69G-C12</v>
      </c>
      <c r="D827" s="11">
        <f t="array" ref="D827">iferror(index('rna-muscle'!D:D,match(A827,'rna-muscle'!A:A,0)))</f>
        <v>69</v>
      </c>
      <c r="E827" s="10" t="str">
        <f t="shared" si="3"/>
        <v>BRN69G</v>
      </c>
      <c r="F827" s="11" t="str">
        <f t="array" ref="F827">iferror(index('rna-muscle'!F:F,match($A827,'rna-muscle'!$A:$A,0)))</f>
        <v>C</v>
      </c>
      <c r="G827" s="11">
        <f t="array" ref="G827">iferror(index('rna-muscle'!G:G,match($A827,'rna-muscle'!$A:$A,0)))</f>
        <v>12</v>
      </c>
      <c r="H827" s="11" t="str">
        <f t="shared" si="4"/>
        <v>C12</v>
      </c>
      <c r="I827" s="10" t="str">
        <f t="shared" si="5"/>
        <v>BRN69G-C12</v>
      </c>
      <c r="J827" s="16"/>
      <c r="K827" s="16" t="str">
        <f t="shared" si="6"/>
        <v>collected</v>
      </c>
      <c r="L827" s="16" t="str">
        <f t="shared" si="7"/>
        <v>N</v>
      </c>
      <c r="M827" s="16"/>
      <c r="N827" s="16"/>
    </row>
    <row r="828">
      <c r="A828" s="26" t="s">
        <v>1063</v>
      </c>
      <c r="B828" s="10" t="str">
        <f t="shared" si="1"/>
        <v>RNA-gill</v>
      </c>
      <c r="C828" s="10" t="str">
        <f t="shared" si="2"/>
        <v>BRN69G-B12</v>
      </c>
      <c r="D828" s="11">
        <f t="array" ref="D828">iferror(index('rna-muscle'!D:D,match(A828,'rna-muscle'!A:A,0)))</f>
        <v>69</v>
      </c>
      <c r="E828" s="10" t="str">
        <f t="shared" si="3"/>
        <v>BRN69G</v>
      </c>
      <c r="F828" s="11" t="str">
        <f t="array" ref="F828">iferror(index('rna-muscle'!F:F,match($A828,'rna-muscle'!$A:$A,0)))</f>
        <v>B</v>
      </c>
      <c r="G828" s="11">
        <f t="array" ref="G828">iferror(index('rna-muscle'!G:G,match($A828,'rna-muscle'!$A:$A,0)))</f>
        <v>12</v>
      </c>
      <c r="H828" s="11" t="str">
        <f t="shared" si="4"/>
        <v>B12</v>
      </c>
      <c r="I828" s="10" t="str">
        <f t="shared" si="5"/>
        <v>BRN69G-B12</v>
      </c>
      <c r="J828" s="32"/>
      <c r="K828" s="16" t="str">
        <f t="shared" si="6"/>
        <v>collected</v>
      </c>
      <c r="L828" s="16" t="str">
        <f t="shared" si="7"/>
        <v>N</v>
      </c>
      <c r="M828" s="16"/>
      <c r="N828" s="16"/>
    </row>
    <row r="829">
      <c r="A829" s="26" t="s">
        <v>1073</v>
      </c>
      <c r="B829" s="10" t="str">
        <f t="shared" si="1"/>
        <v>RNA-gill</v>
      </c>
      <c r="C829" s="10" t="str">
        <f t="shared" si="2"/>
        <v>BRN69G-A12</v>
      </c>
      <c r="D829" s="11">
        <f t="array" ref="D829">iferror(index('rna-muscle'!D:D,match(A829,'rna-muscle'!A:A,0)))</f>
        <v>69</v>
      </c>
      <c r="E829" s="10" t="str">
        <f t="shared" si="3"/>
        <v>BRN69G</v>
      </c>
      <c r="F829" s="11" t="str">
        <f t="array" ref="F829">iferror(index('rna-muscle'!F:F,match($A829,'rna-muscle'!$A:$A,0)))</f>
        <v>A</v>
      </c>
      <c r="G829" s="11">
        <f t="array" ref="G829">iferror(index('rna-muscle'!G:G,match($A829,'rna-muscle'!$A:$A,0)))</f>
        <v>12</v>
      </c>
      <c r="H829" s="11" t="str">
        <f t="shared" si="4"/>
        <v>A12</v>
      </c>
      <c r="I829" s="10" t="str">
        <f t="shared" si="5"/>
        <v>BRN69G-A12</v>
      </c>
      <c r="J829" s="16"/>
      <c r="K829" s="16" t="str">
        <f t="shared" si="6"/>
        <v>collected</v>
      </c>
      <c r="L829" s="16" t="str">
        <f t="shared" si="7"/>
        <v>N</v>
      </c>
      <c r="M829" s="16"/>
      <c r="N829" s="16"/>
    </row>
    <row r="830">
      <c r="A830" s="26" t="s">
        <v>1083</v>
      </c>
      <c r="B830" s="10" t="str">
        <f t="shared" si="1"/>
        <v>RNA-gill</v>
      </c>
      <c r="C830" s="10" t="str">
        <f t="shared" si="2"/>
        <v>BRN70G-H1</v>
      </c>
      <c r="D830" s="11">
        <f t="array" ref="D830">iferror(index('rna-muscle'!D:D,match(A830,'rna-muscle'!A:A,0)))</f>
        <v>70</v>
      </c>
      <c r="E830" s="10" t="str">
        <f t="shared" si="3"/>
        <v>BRN70G</v>
      </c>
      <c r="F830" s="11" t="str">
        <f t="array" ref="F830">iferror(index('rna-muscle'!F:F,match($A830,'rna-muscle'!$A:$A,0)))</f>
        <v>H</v>
      </c>
      <c r="G830" s="11">
        <f t="array" ref="G830">iferror(index('rna-muscle'!G:G,match($A830,'rna-muscle'!$A:$A,0)))</f>
        <v>1</v>
      </c>
      <c r="H830" s="11" t="str">
        <f t="shared" si="4"/>
        <v>H1</v>
      </c>
      <c r="I830" s="10" t="str">
        <f t="shared" si="5"/>
        <v>BRN70G-H1</v>
      </c>
      <c r="J830" s="6"/>
      <c r="K830" s="16" t="str">
        <f t="shared" si="6"/>
        <v>collected</v>
      </c>
      <c r="L830" s="16" t="str">
        <f t="shared" si="7"/>
        <v>N</v>
      </c>
      <c r="M830" s="16"/>
      <c r="N830" s="16"/>
    </row>
    <row r="831">
      <c r="A831" s="26" t="s">
        <v>1095</v>
      </c>
      <c r="B831" s="10" t="str">
        <f t="shared" si="1"/>
        <v>RNA-gill</v>
      </c>
      <c r="C831" s="10" t="str">
        <f t="shared" si="2"/>
        <v>BRN70G-G1</v>
      </c>
      <c r="D831" s="11">
        <f t="array" ref="D831">iferror(index('rna-muscle'!D:D,match(A831,'rna-muscle'!A:A,0)))</f>
        <v>70</v>
      </c>
      <c r="E831" s="10" t="str">
        <f t="shared" si="3"/>
        <v>BRN70G</v>
      </c>
      <c r="F831" s="11" t="str">
        <f t="array" ref="F831">iferror(index('rna-muscle'!F:F,match($A831,'rna-muscle'!$A:$A,0)))</f>
        <v>G</v>
      </c>
      <c r="G831" s="11">
        <f t="array" ref="G831">iferror(index('rna-muscle'!G:G,match($A831,'rna-muscle'!$A:$A,0)))</f>
        <v>1</v>
      </c>
      <c r="H831" s="11" t="str">
        <f t="shared" si="4"/>
        <v>G1</v>
      </c>
      <c r="I831" s="10" t="str">
        <f t="shared" si="5"/>
        <v>BRN70G-G1</v>
      </c>
      <c r="J831" s="16"/>
      <c r="K831" s="16" t="str">
        <f t="shared" si="6"/>
        <v>collected</v>
      </c>
      <c r="L831" s="16" t="str">
        <f t="shared" si="7"/>
        <v>N</v>
      </c>
      <c r="M831" s="16"/>
      <c r="N831" s="16"/>
    </row>
    <row r="832">
      <c r="A832" s="26" t="s">
        <v>1106</v>
      </c>
      <c r="B832" s="10" t="str">
        <f t="shared" si="1"/>
        <v>RNA-gill</v>
      </c>
      <c r="C832" s="10" t="str">
        <f t="shared" si="2"/>
        <v>BRN70G-F1</v>
      </c>
      <c r="D832" s="11">
        <f t="array" ref="D832">iferror(index('rna-muscle'!D:D,match(A832,'rna-muscle'!A:A,0)))</f>
        <v>70</v>
      </c>
      <c r="E832" s="10" t="str">
        <f t="shared" si="3"/>
        <v>BRN70G</v>
      </c>
      <c r="F832" s="11" t="str">
        <f t="array" ref="F832">iferror(index('rna-muscle'!F:F,match($A832,'rna-muscle'!$A:$A,0)))</f>
        <v>F</v>
      </c>
      <c r="G832" s="11">
        <f t="array" ref="G832">iferror(index('rna-muscle'!G:G,match($A832,'rna-muscle'!$A:$A,0)))</f>
        <v>1</v>
      </c>
      <c r="H832" s="11" t="str">
        <f t="shared" si="4"/>
        <v>F1</v>
      </c>
      <c r="I832" s="10" t="str">
        <f t="shared" si="5"/>
        <v>BRN70G-F1</v>
      </c>
      <c r="J832" s="16"/>
      <c r="K832" s="16" t="str">
        <f t="shared" si="6"/>
        <v>collected</v>
      </c>
      <c r="L832" s="16" t="str">
        <f t="shared" si="7"/>
        <v>N</v>
      </c>
      <c r="M832" s="16"/>
      <c r="N832" s="16"/>
    </row>
    <row r="833">
      <c r="A833" s="26" t="s">
        <v>1116</v>
      </c>
      <c r="B833" s="10" t="str">
        <f t="shared" si="1"/>
        <v>RNA-gill</v>
      </c>
      <c r="C833" s="10" t="str">
        <f t="shared" si="2"/>
        <v>BRN70G-E1</v>
      </c>
      <c r="D833" s="11">
        <f t="array" ref="D833">iferror(index('rna-muscle'!D:D,match(A833,'rna-muscle'!A:A,0)))</f>
        <v>70</v>
      </c>
      <c r="E833" s="10" t="str">
        <f t="shared" si="3"/>
        <v>BRN70G</v>
      </c>
      <c r="F833" s="11" t="str">
        <f t="array" ref="F833">iferror(index('rna-muscle'!F:F,match($A833,'rna-muscle'!$A:$A,0)))</f>
        <v>E</v>
      </c>
      <c r="G833" s="11">
        <f t="array" ref="G833">iferror(index('rna-muscle'!G:G,match($A833,'rna-muscle'!$A:$A,0)))</f>
        <v>1</v>
      </c>
      <c r="H833" s="11" t="str">
        <f t="shared" si="4"/>
        <v>E1</v>
      </c>
      <c r="I833" s="10" t="str">
        <f t="shared" si="5"/>
        <v>BRN70G-E1</v>
      </c>
      <c r="J833" s="16"/>
      <c r="K833" s="16" t="str">
        <f t="shared" si="6"/>
        <v>collected</v>
      </c>
      <c r="L833" s="16" t="str">
        <f t="shared" si="7"/>
        <v>N</v>
      </c>
      <c r="M833" s="16"/>
      <c r="N833" s="16"/>
    </row>
    <row r="834">
      <c r="A834" s="26" t="s">
        <v>1126</v>
      </c>
      <c r="B834" s="10" t="str">
        <f t="shared" si="1"/>
        <v>RNA-gill</v>
      </c>
      <c r="C834" s="10" t="str">
        <f t="shared" si="2"/>
        <v>BRN70G-D1</v>
      </c>
      <c r="D834" s="11">
        <f t="array" ref="D834">iferror(index('rna-muscle'!D:D,match(A834,'rna-muscle'!A:A,0)))</f>
        <v>70</v>
      </c>
      <c r="E834" s="10" t="str">
        <f t="shared" si="3"/>
        <v>BRN70G</v>
      </c>
      <c r="F834" s="11" t="str">
        <f t="array" ref="F834">iferror(index('rna-muscle'!F:F,match($A834,'rna-muscle'!$A:$A,0)))</f>
        <v>D</v>
      </c>
      <c r="G834" s="11">
        <f t="array" ref="G834">iferror(index('rna-muscle'!G:G,match($A834,'rna-muscle'!$A:$A,0)))</f>
        <v>1</v>
      </c>
      <c r="H834" s="11" t="str">
        <f t="shared" si="4"/>
        <v>D1</v>
      </c>
      <c r="I834" s="10" t="str">
        <f t="shared" si="5"/>
        <v>BRN70G-D1</v>
      </c>
      <c r="J834" s="16"/>
      <c r="K834" s="16" t="str">
        <f t="shared" si="6"/>
        <v>collected</v>
      </c>
      <c r="L834" s="16" t="str">
        <f t="shared" si="7"/>
        <v>N</v>
      </c>
      <c r="M834" s="16"/>
      <c r="N834" s="16"/>
    </row>
    <row r="835">
      <c r="A835" s="26" t="s">
        <v>1138</v>
      </c>
      <c r="B835" s="10" t="str">
        <f t="shared" si="1"/>
        <v>RNA-gill</v>
      </c>
      <c r="C835" s="10" t="str">
        <f t="shared" si="2"/>
        <v>BRN70G-C1</v>
      </c>
      <c r="D835" s="11">
        <f t="array" ref="D835">iferror(index('rna-muscle'!D:D,match(A835,'rna-muscle'!A:A,0)))</f>
        <v>70</v>
      </c>
      <c r="E835" s="10" t="str">
        <f t="shared" si="3"/>
        <v>BRN70G</v>
      </c>
      <c r="F835" s="11" t="str">
        <f t="array" ref="F835">iferror(index('rna-muscle'!F:F,match($A835,'rna-muscle'!$A:$A,0)))</f>
        <v>C</v>
      </c>
      <c r="G835" s="11">
        <f t="array" ref="G835">iferror(index('rna-muscle'!G:G,match($A835,'rna-muscle'!$A:$A,0)))</f>
        <v>1</v>
      </c>
      <c r="H835" s="11" t="str">
        <f t="shared" si="4"/>
        <v>C1</v>
      </c>
      <c r="I835" s="10" t="str">
        <f t="shared" si="5"/>
        <v>BRN70G-C1</v>
      </c>
      <c r="J835" s="16"/>
      <c r="K835" s="16" t="str">
        <f t="shared" si="6"/>
        <v>collected</v>
      </c>
      <c r="L835" s="16" t="str">
        <f t="shared" si="7"/>
        <v>N</v>
      </c>
      <c r="M835" s="16"/>
      <c r="N835" s="16"/>
    </row>
    <row r="836">
      <c r="A836" s="26" t="s">
        <v>1150</v>
      </c>
      <c r="B836" s="10" t="str">
        <f t="shared" si="1"/>
        <v>RNA-gill</v>
      </c>
      <c r="C836" s="10" t="str">
        <f t="shared" si="2"/>
        <v>BRN70G-B1</v>
      </c>
      <c r="D836" s="11">
        <f t="array" ref="D836">iferror(index('rna-muscle'!D:D,match(A836,'rna-muscle'!A:A,0)))</f>
        <v>70</v>
      </c>
      <c r="E836" s="10" t="str">
        <f t="shared" si="3"/>
        <v>BRN70G</v>
      </c>
      <c r="F836" s="11" t="str">
        <f t="array" ref="F836">iferror(index('rna-muscle'!F:F,match($A836,'rna-muscle'!$A:$A,0)))</f>
        <v>B</v>
      </c>
      <c r="G836" s="11">
        <f t="array" ref="G836">iferror(index('rna-muscle'!G:G,match($A836,'rna-muscle'!$A:$A,0)))</f>
        <v>1</v>
      </c>
      <c r="H836" s="11" t="str">
        <f t="shared" si="4"/>
        <v>B1</v>
      </c>
      <c r="I836" s="10" t="str">
        <f t="shared" si="5"/>
        <v>BRN70G-B1</v>
      </c>
      <c r="J836" s="16"/>
      <c r="K836" s="16" t="str">
        <f t="shared" si="6"/>
        <v>collected</v>
      </c>
      <c r="L836" s="16" t="str">
        <f t="shared" si="7"/>
        <v>N</v>
      </c>
      <c r="M836" s="16"/>
      <c r="N836" s="16"/>
    </row>
    <row r="837">
      <c r="A837" s="26" t="s">
        <v>1160</v>
      </c>
      <c r="B837" s="10" t="str">
        <f t="shared" si="1"/>
        <v>RNA-gill</v>
      </c>
      <c r="C837" s="10" t="str">
        <f t="shared" si="2"/>
        <v>BRN70G-A1</v>
      </c>
      <c r="D837" s="11">
        <f t="array" ref="D837">iferror(index('rna-muscle'!D:D,match(A837,'rna-muscle'!A:A,0)))</f>
        <v>70</v>
      </c>
      <c r="E837" s="10" t="str">
        <f t="shared" si="3"/>
        <v>BRN70G</v>
      </c>
      <c r="F837" s="11" t="str">
        <f t="array" ref="F837">iferror(index('rna-muscle'!F:F,match($A837,'rna-muscle'!$A:$A,0)))</f>
        <v>A</v>
      </c>
      <c r="G837" s="11">
        <f t="array" ref="G837">iferror(index('rna-muscle'!G:G,match($A837,'rna-muscle'!$A:$A,0)))</f>
        <v>1</v>
      </c>
      <c r="H837" s="11" t="str">
        <f t="shared" si="4"/>
        <v>A1</v>
      </c>
      <c r="I837" s="10" t="str">
        <f t="shared" si="5"/>
        <v>BRN70G-A1</v>
      </c>
      <c r="J837" s="6"/>
      <c r="K837" s="16" t="str">
        <f t="shared" si="6"/>
        <v>collected</v>
      </c>
      <c r="L837" s="16" t="str">
        <f t="shared" si="7"/>
        <v>N</v>
      </c>
      <c r="M837" s="16"/>
      <c r="N837" s="16"/>
    </row>
    <row r="838">
      <c r="A838" s="26" t="s">
        <v>1169</v>
      </c>
      <c r="B838" s="10" t="str">
        <f t="shared" si="1"/>
        <v>RNA-gill</v>
      </c>
      <c r="C838" s="10" t="str">
        <f t="shared" si="2"/>
        <v>BRN70G-H2</v>
      </c>
      <c r="D838" s="11">
        <f t="array" ref="D838">iferror(index('rna-muscle'!D:D,match(A838,'rna-muscle'!A:A,0)))</f>
        <v>70</v>
      </c>
      <c r="E838" s="10" t="str">
        <f t="shared" si="3"/>
        <v>BRN70G</v>
      </c>
      <c r="F838" s="11" t="str">
        <f t="array" ref="F838">iferror(index('rna-muscle'!F:F,match($A838,'rna-muscle'!$A:$A,0)))</f>
        <v>H</v>
      </c>
      <c r="G838" s="11">
        <f t="array" ref="G838">iferror(index('rna-muscle'!G:G,match($A838,'rna-muscle'!$A:$A,0)))</f>
        <v>2</v>
      </c>
      <c r="H838" s="11" t="str">
        <f t="shared" si="4"/>
        <v>H2</v>
      </c>
      <c r="I838" s="10" t="str">
        <f t="shared" si="5"/>
        <v>BRN70G-H2</v>
      </c>
      <c r="J838" s="16"/>
      <c r="K838" s="16" t="str">
        <f t="shared" si="6"/>
        <v>collected</v>
      </c>
      <c r="L838" s="16" t="str">
        <f t="shared" si="7"/>
        <v>N</v>
      </c>
      <c r="M838" s="16"/>
      <c r="N838" s="16"/>
    </row>
    <row r="839">
      <c r="A839" s="26" t="s">
        <v>1178</v>
      </c>
      <c r="B839" s="10" t="str">
        <f t="shared" si="1"/>
        <v>RNA-gill</v>
      </c>
      <c r="C839" s="10" t="str">
        <f t="shared" si="2"/>
        <v>BRN70G-G2</v>
      </c>
      <c r="D839" s="11">
        <f t="array" ref="D839">iferror(index('rna-muscle'!D:D,match(A839,'rna-muscle'!A:A,0)))</f>
        <v>70</v>
      </c>
      <c r="E839" s="10" t="str">
        <f t="shared" si="3"/>
        <v>BRN70G</v>
      </c>
      <c r="F839" s="11" t="str">
        <f t="array" ref="F839">iferror(index('rna-muscle'!F:F,match($A839,'rna-muscle'!$A:$A,0)))</f>
        <v>G</v>
      </c>
      <c r="G839" s="11">
        <f t="array" ref="G839">iferror(index('rna-muscle'!G:G,match($A839,'rna-muscle'!$A:$A,0)))</f>
        <v>2</v>
      </c>
      <c r="H839" s="11" t="str">
        <f t="shared" si="4"/>
        <v>G2</v>
      </c>
      <c r="I839" s="10" t="str">
        <f t="shared" si="5"/>
        <v>BRN70G-G2</v>
      </c>
      <c r="J839" s="16"/>
      <c r="K839" s="16" t="str">
        <f t="shared" si="6"/>
        <v>collected</v>
      </c>
      <c r="L839" s="16" t="str">
        <f t="shared" si="7"/>
        <v>N</v>
      </c>
      <c r="M839" s="16"/>
      <c r="N839" s="16"/>
    </row>
    <row r="840">
      <c r="A840" s="44" t="s">
        <v>1180</v>
      </c>
      <c r="B840" s="10" t="str">
        <f t="shared" si="1"/>
        <v>RNA-gill</v>
      </c>
      <c r="C840" s="10" t="str">
        <f t="shared" si="2"/>
        <v>BRN69G-D11</v>
      </c>
      <c r="D840" s="11">
        <f t="array" ref="D840">iferror(index('rna-muscle'!D:D,match(A840,'rna-muscle'!A:A,0)))</f>
        <v>69</v>
      </c>
      <c r="E840" s="10" t="str">
        <f t="shared" si="3"/>
        <v>BRN69G</v>
      </c>
      <c r="F840" s="11" t="str">
        <f t="array" ref="F840">iferror(index('rna-muscle'!F:F,match($A840,'rna-muscle'!$A:$A,0)))</f>
        <v>D</v>
      </c>
      <c r="G840" s="11">
        <f t="array" ref="G840">iferror(index('rna-muscle'!G:G,match($A840,'rna-muscle'!$A:$A,0)))</f>
        <v>11</v>
      </c>
      <c r="H840" s="11" t="str">
        <f t="shared" si="4"/>
        <v>D11</v>
      </c>
      <c r="I840" s="10" t="str">
        <f t="shared" si="5"/>
        <v>BRN69G-D11</v>
      </c>
      <c r="J840" s="16"/>
      <c r="K840" s="16" t="str">
        <f t="shared" si="6"/>
        <v>collected</v>
      </c>
      <c r="L840" s="16" t="str">
        <f t="shared" si="7"/>
        <v>N</v>
      </c>
      <c r="M840" s="16"/>
      <c r="N840" s="16"/>
    </row>
    <row r="841">
      <c r="A841" s="46" t="s">
        <v>1182</v>
      </c>
      <c r="B841" s="10" t="str">
        <f t="shared" si="1"/>
        <v>RNA-gill</v>
      </c>
      <c r="C841" s="10" t="str">
        <f t="shared" si="2"/>
        <v>BRN69G-C11</v>
      </c>
      <c r="D841" s="11">
        <f t="array" ref="D841">iferror(index('rna-muscle'!D:D,match(A841,'rna-muscle'!A:A,0)))</f>
        <v>69</v>
      </c>
      <c r="E841" s="10" t="str">
        <f t="shared" si="3"/>
        <v>BRN69G</v>
      </c>
      <c r="F841" s="11" t="str">
        <f t="array" ref="F841">iferror(index('rna-muscle'!F:F,match($A841,'rna-muscle'!$A:$A,0)))</f>
        <v>C</v>
      </c>
      <c r="G841" s="11">
        <f t="array" ref="G841">iferror(index('rna-muscle'!G:G,match($A841,'rna-muscle'!$A:$A,0)))</f>
        <v>11</v>
      </c>
      <c r="H841" s="11" t="str">
        <f t="shared" si="4"/>
        <v>C11</v>
      </c>
      <c r="I841" s="10" t="str">
        <f t="shared" si="5"/>
        <v>BRN69G-C11</v>
      </c>
      <c r="J841" s="16"/>
      <c r="K841" s="16" t="str">
        <f t="shared" si="6"/>
        <v>collected</v>
      </c>
      <c r="L841" s="16" t="str">
        <f t="shared" si="7"/>
        <v>N</v>
      </c>
      <c r="M841" s="16"/>
      <c r="N841" s="16"/>
    </row>
    <row r="842">
      <c r="A842" s="43" t="s">
        <v>1186</v>
      </c>
      <c r="B842" s="10" t="str">
        <f t="shared" si="1"/>
        <v>RNA-gill</v>
      </c>
      <c r="C842" s="10" t="str">
        <f t="shared" si="2"/>
        <v>BRN69G-B11</v>
      </c>
      <c r="D842" s="11">
        <f t="array" ref="D842">iferror(index('rna-muscle'!D:D,match(A842,'rna-muscle'!A:A,0)))</f>
        <v>69</v>
      </c>
      <c r="E842" s="10" t="str">
        <f t="shared" si="3"/>
        <v>BRN69G</v>
      </c>
      <c r="F842" s="11" t="str">
        <f t="array" ref="F842">iferror(index('rna-muscle'!F:F,match($A842,'rna-muscle'!$A:$A,0)))</f>
        <v>B</v>
      </c>
      <c r="G842" s="11">
        <f t="array" ref="G842">iferror(index('rna-muscle'!G:G,match($A842,'rna-muscle'!$A:$A,0)))</f>
        <v>11</v>
      </c>
      <c r="H842" s="11" t="str">
        <f t="shared" si="4"/>
        <v>B11</v>
      </c>
      <c r="I842" s="10" t="str">
        <f t="shared" si="5"/>
        <v>BRN69G-B11</v>
      </c>
      <c r="J842" s="6"/>
      <c r="K842" s="16" t="str">
        <f t="shared" si="6"/>
        <v>collected</v>
      </c>
      <c r="L842" s="16" t="str">
        <f t="shared" si="7"/>
        <v>N</v>
      </c>
      <c r="M842" s="16"/>
      <c r="N842" s="16"/>
    </row>
    <row r="843">
      <c r="A843" s="44" t="s">
        <v>1190</v>
      </c>
      <c r="B843" s="10" t="str">
        <f t="shared" si="1"/>
        <v>RNA-gill</v>
      </c>
      <c r="C843" s="10" t="str">
        <f t="shared" si="2"/>
        <v>BRN69G-A11</v>
      </c>
      <c r="D843" s="11">
        <f t="array" ref="D843">iferror(index('rna-muscle'!D:D,match(A843,'rna-muscle'!A:A,0)))</f>
        <v>69</v>
      </c>
      <c r="E843" s="10" t="str">
        <f t="shared" si="3"/>
        <v>BRN69G</v>
      </c>
      <c r="F843" s="11" t="str">
        <f t="array" ref="F843">iferror(index('rna-muscle'!F:F,match($A843,'rna-muscle'!$A:$A,0)))</f>
        <v>A</v>
      </c>
      <c r="G843" s="11">
        <f t="array" ref="G843">iferror(index('rna-muscle'!G:G,match($A843,'rna-muscle'!$A:$A,0)))</f>
        <v>11</v>
      </c>
      <c r="H843" s="11" t="str">
        <f t="shared" si="4"/>
        <v>A11</v>
      </c>
      <c r="I843" s="10" t="str">
        <f t="shared" si="5"/>
        <v>BRN69G-A11</v>
      </c>
      <c r="J843" s="16"/>
      <c r="K843" s="16" t="str">
        <f t="shared" si="6"/>
        <v>collected</v>
      </c>
      <c r="L843" s="16" t="str">
        <f t="shared" si="7"/>
        <v>N</v>
      </c>
      <c r="M843" s="16"/>
      <c r="N843" s="16"/>
    </row>
    <row r="844">
      <c r="A844" s="44" t="s">
        <v>1192</v>
      </c>
      <c r="B844" s="10" t="str">
        <f t="shared" si="1"/>
        <v>RNA-gill</v>
      </c>
      <c r="C844" s="10" t="str">
        <f t="shared" si="2"/>
        <v>BRN70G-H3</v>
      </c>
      <c r="D844" s="11">
        <f t="array" ref="D844">iferror(index('rna-muscle'!D:D,match(A844,'rna-muscle'!A:A,0)))</f>
        <v>70</v>
      </c>
      <c r="E844" s="10" t="str">
        <f t="shared" si="3"/>
        <v>BRN70G</v>
      </c>
      <c r="F844" s="11" t="str">
        <f t="array" ref="F844">iferror(index('rna-muscle'!F:F,match($A844,'rna-muscle'!$A:$A,0)))</f>
        <v>H</v>
      </c>
      <c r="G844" s="11">
        <f t="array" ref="G844">iferror(index('rna-muscle'!G:G,match($A844,'rna-muscle'!$A:$A,0)))</f>
        <v>3</v>
      </c>
      <c r="H844" s="11" t="str">
        <f t="shared" si="4"/>
        <v>H3</v>
      </c>
      <c r="I844" s="10" t="str">
        <f t="shared" si="5"/>
        <v>BRN70G-H3</v>
      </c>
      <c r="J844" s="6"/>
      <c r="K844" s="16" t="str">
        <f t="shared" si="6"/>
        <v>collected</v>
      </c>
      <c r="L844" s="16" t="str">
        <f t="shared" si="7"/>
        <v>N</v>
      </c>
      <c r="M844" s="16"/>
      <c r="N844" s="16"/>
    </row>
    <row r="845">
      <c r="A845" s="44" t="s">
        <v>1195</v>
      </c>
      <c r="B845" s="10" t="str">
        <f t="shared" si="1"/>
        <v>RNA-gill</v>
      </c>
      <c r="C845" s="10" t="str">
        <f t="shared" si="2"/>
        <v>BRN70G-G3</v>
      </c>
      <c r="D845" s="11">
        <f t="array" ref="D845">iferror(index('rna-muscle'!D:D,match(A845,'rna-muscle'!A:A,0)))</f>
        <v>70</v>
      </c>
      <c r="E845" s="10" t="str">
        <f t="shared" si="3"/>
        <v>BRN70G</v>
      </c>
      <c r="F845" s="11" t="str">
        <f t="array" ref="F845">iferror(index('rna-muscle'!F:F,match($A845,'rna-muscle'!$A:$A,0)))</f>
        <v>G</v>
      </c>
      <c r="G845" s="11">
        <f t="array" ref="G845">iferror(index('rna-muscle'!G:G,match($A845,'rna-muscle'!$A:$A,0)))</f>
        <v>3</v>
      </c>
      <c r="H845" s="11" t="str">
        <f t="shared" si="4"/>
        <v>G3</v>
      </c>
      <c r="I845" s="10" t="str">
        <f t="shared" si="5"/>
        <v>BRN70G-G3</v>
      </c>
      <c r="J845" s="16"/>
      <c r="K845" s="16" t="str">
        <f t="shared" si="6"/>
        <v>collected</v>
      </c>
      <c r="L845" s="16" t="str">
        <f t="shared" si="7"/>
        <v>N</v>
      </c>
      <c r="M845" s="16"/>
      <c r="N845" s="16"/>
    </row>
    <row r="846">
      <c r="A846" s="44" t="s">
        <v>1197</v>
      </c>
      <c r="B846" s="10" t="str">
        <f t="shared" si="1"/>
        <v>RNA-gill</v>
      </c>
      <c r="C846" s="10" t="str">
        <f t="shared" si="2"/>
        <v>BRN70G-F3</v>
      </c>
      <c r="D846" s="11">
        <f t="array" ref="D846">iferror(index('rna-muscle'!D:D,match(A846,'rna-muscle'!A:A,0)))</f>
        <v>70</v>
      </c>
      <c r="E846" s="10" t="str">
        <f t="shared" si="3"/>
        <v>BRN70G</v>
      </c>
      <c r="F846" s="11" t="str">
        <f t="array" ref="F846">iferror(index('rna-muscle'!F:F,match($A846,'rna-muscle'!$A:$A,0)))</f>
        <v>F</v>
      </c>
      <c r="G846" s="11">
        <f t="array" ref="G846">iferror(index('rna-muscle'!G:G,match($A846,'rna-muscle'!$A:$A,0)))</f>
        <v>3</v>
      </c>
      <c r="H846" s="11" t="str">
        <f t="shared" si="4"/>
        <v>F3</v>
      </c>
      <c r="I846" s="10" t="str">
        <f t="shared" si="5"/>
        <v>BRN70G-F3</v>
      </c>
      <c r="J846" s="16"/>
      <c r="K846" s="16" t="str">
        <f t="shared" si="6"/>
        <v>collected</v>
      </c>
      <c r="L846" s="16" t="str">
        <f t="shared" si="7"/>
        <v>N</v>
      </c>
      <c r="M846" s="16"/>
      <c r="N846" s="16"/>
    </row>
    <row r="847">
      <c r="A847" s="44" t="s">
        <v>1200</v>
      </c>
      <c r="B847" s="10" t="str">
        <f t="shared" si="1"/>
        <v>RNA-gill</v>
      </c>
      <c r="C847" s="10" t="str">
        <f t="shared" si="2"/>
        <v>BRN70G-E3</v>
      </c>
      <c r="D847" s="11">
        <f t="array" ref="D847">iferror(index('rna-muscle'!D:D,match(A847,'rna-muscle'!A:A,0)))</f>
        <v>70</v>
      </c>
      <c r="E847" s="10" t="str">
        <f t="shared" si="3"/>
        <v>BRN70G</v>
      </c>
      <c r="F847" s="11" t="str">
        <f t="array" ref="F847">iferror(index('rna-muscle'!F:F,match($A847,'rna-muscle'!$A:$A,0)))</f>
        <v>E</v>
      </c>
      <c r="G847" s="11">
        <f t="array" ref="G847">iferror(index('rna-muscle'!G:G,match($A847,'rna-muscle'!$A:$A,0)))</f>
        <v>3</v>
      </c>
      <c r="H847" s="11" t="str">
        <f t="shared" si="4"/>
        <v>E3</v>
      </c>
      <c r="I847" s="10" t="str">
        <f t="shared" si="5"/>
        <v>BRN70G-E3</v>
      </c>
      <c r="J847" s="16"/>
      <c r="K847" s="16" t="str">
        <f t="shared" si="6"/>
        <v>collected</v>
      </c>
      <c r="L847" s="16" t="str">
        <f t="shared" si="7"/>
        <v>N</v>
      </c>
      <c r="M847" s="16"/>
      <c r="N847" s="16"/>
    </row>
    <row r="848">
      <c r="A848" s="44" t="s">
        <v>1202</v>
      </c>
      <c r="B848" s="10" t="str">
        <f t="shared" si="1"/>
        <v>RNA-gill</v>
      </c>
      <c r="C848" s="10" t="str">
        <f t="shared" si="2"/>
        <v>BRN70G-D3</v>
      </c>
      <c r="D848" s="11">
        <f t="array" ref="D848">iferror(index('rna-muscle'!D:D,match(A848,'rna-muscle'!A:A,0)))</f>
        <v>70</v>
      </c>
      <c r="E848" s="10" t="str">
        <f t="shared" si="3"/>
        <v>BRN70G</v>
      </c>
      <c r="F848" s="11" t="str">
        <f t="array" ref="F848">iferror(index('rna-muscle'!F:F,match($A848,'rna-muscle'!$A:$A,0)))</f>
        <v>D</v>
      </c>
      <c r="G848" s="11">
        <f t="array" ref="G848">iferror(index('rna-muscle'!G:G,match($A848,'rna-muscle'!$A:$A,0)))</f>
        <v>3</v>
      </c>
      <c r="H848" s="11" t="str">
        <f t="shared" si="4"/>
        <v>D3</v>
      </c>
      <c r="I848" s="10" t="str">
        <f t="shared" si="5"/>
        <v>BRN70G-D3</v>
      </c>
      <c r="J848" s="16"/>
      <c r="K848" s="16" t="str">
        <f t="shared" si="6"/>
        <v>collected</v>
      </c>
      <c r="L848" s="16" t="str">
        <f t="shared" si="7"/>
        <v>N</v>
      </c>
      <c r="M848" s="16"/>
      <c r="N848" s="16"/>
    </row>
    <row r="849">
      <c r="A849" s="44" t="s">
        <v>1204</v>
      </c>
      <c r="B849" s="10" t="str">
        <f t="shared" si="1"/>
        <v>RNA-gill</v>
      </c>
      <c r="C849" s="10" t="str">
        <f t="shared" si="2"/>
        <v>BRN70G-C3</v>
      </c>
      <c r="D849" s="11">
        <f t="array" ref="D849">iferror(index('rna-muscle'!D:D,match(A849,'rna-muscle'!A:A,0)))</f>
        <v>70</v>
      </c>
      <c r="E849" s="10" t="str">
        <f t="shared" si="3"/>
        <v>BRN70G</v>
      </c>
      <c r="F849" s="11" t="str">
        <f t="array" ref="F849">iferror(index('rna-muscle'!F:F,match($A849,'rna-muscle'!$A:$A,0)))</f>
        <v>C</v>
      </c>
      <c r="G849" s="11">
        <f t="array" ref="G849">iferror(index('rna-muscle'!G:G,match($A849,'rna-muscle'!$A:$A,0)))</f>
        <v>3</v>
      </c>
      <c r="H849" s="11" t="str">
        <f t="shared" si="4"/>
        <v>C3</v>
      </c>
      <c r="I849" s="10" t="str">
        <f t="shared" si="5"/>
        <v>BRN70G-C3</v>
      </c>
      <c r="J849" s="16"/>
      <c r="K849" s="16" t="str">
        <f t="shared" si="6"/>
        <v>collected</v>
      </c>
      <c r="L849" s="16" t="str">
        <f t="shared" si="7"/>
        <v>N</v>
      </c>
      <c r="M849" s="16"/>
      <c r="N849" s="16"/>
    </row>
    <row r="850">
      <c r="A850" s="44" t="s">
        <v>1208</v>
      </c>
      <c r="B850" s="10" t="str">
        <f t="shared" si="1"/>
        <v>RNA-gill</v>
      </c>
      <c r="C850" s="10" t="str">
        <f t="shared" si="2"/>
        <v>BRN70G-B3</v>
      </c>
      <c r="D850" s="11">
        <f t="array" ref="D850">iferror(index('rna-muscle'!D:D,match(A850,'rna-muscle'!A:A,0)))</f>
        <v>70</v>
      </c>
      <c r="E850" s="10" t="str">
        <f t="shared" si="3"/>
        <v>BRN70G</v>
      </c>
      <c r="F850" s="11" t="str">
        <f t="array" ref="F850">iferror(index('rna-muscle'!F:F,match($A850,'rna-muscle'!$A:$A,0)))</f>
        <v>B</v>
      </c>
      <c r="G850" s="11">
        <f t="array" ref="G850">iferror(index('rna-muscle'!G:G,match($A850,'rna-muscle'!$A:$A,0)))</f>
        <v>3</v>
      </c>
      <c r="H850" s="11" t="str">
        <f t="shared" si="4"/>
        <v>B3</v>
      </c>
      <c r="I850" s="10" t="str">
        <f t="shared" si="5"/>
        <v>BRN70G-B3</v>
      </c>
      <c r="J850" s="16"/>
      <c r="K850" s="16" t="str">
        <f t="shared" si="6"/>
        <v>collected</v>
      </c>
      <c r="L850" s="16" t="str">
        <f t="shared" si="7"/>
        <v>N</v>
      </c>
      <c r="M850" s="16"/>
      <c r="N850" s="16"/>
    </row>
    <row r="851">
      <c r="A851" s="44" t="s">
        <v>1209</v>
      </c>
      <c r="B851" s="10" t="str">
        <f t="shared" si="1"/>
        <v>RNA-gill</v>
      </c>
      <c r="C851" s="10" t="str">
        <f t="shared" si="2"/>
        <v>BRN70G-A3</v>
      </c>
      <c r="D851" s="11">
        <f t="array" ref="D851">iferror(index('rna-muscle'!D:D,match(A851,'rna-muscle'!A:A,0)))</f>
        <v>70</v>
      </c>
      <c r="E851" s="10" t="str">
        <f t="shared" si="3"/>
        <v>BRN70G</v>
      </c>
      <c r="F851" s="11" t="str">
        <f t="array" ref="F851">iferror(index('rna-muscle'!F:F,match($A851,'rna-muscle'!$A:$A,0)))</f>
        <v>A</v>
      </c>
      <c r="G851" s="11">
        <f t="array" ref="G851">iferror(index('rna-muscle'!G:G,match($A851,'rna-muscle'!$A:$A,0)))</f>
        <v>3</v>
      </c>
      <c r="H851" s="11" t="str">
        <f t="shared" si="4"/>
        <v>A3</v>
      </c>
      <c r="I851" s="10" t="str">
        <f t="shared" si="5"/>
        <v>BRN70G-A3</v>
      </c>
      <c r="J851" s="6"/>
      <c r="K851" s="16" t="str">
        <f t="shared" si="6"/>
        <v>collected</v>
      </c>
      <c r="L851" s="16" t="str">
        <f t="shared" si="7"/>
        <v>N</v>
      </c>
      <c r="M851" s="16"/>
      <c r="N851" s="16"/>
    </row>
    <row r="852">
      <c r="A852" s="44" t="s">
        <v>1211</v>
      </c>
      <c r="B852" s="10" t="str">
        <f t="shared" si="1"/>
        <v>RNA-gill</v>
      </c>
      <c r="C852" s="10" t="str">
        <f t="shared" si="2"/>
        <v>BRN70G-H5</v>
      </c>
      <c r="D852" s="11">
        <f t="array" ref="D852">iferror(index('rna-muscle'!D:D,match(A852,'rna-muscle'!A:A,0)))</f>
        <v>70</v>
      </c>
      <c r="E852" s="10" t="str">
        <f t="shared" si="3"/>
        <v>BRN70G</v>
      </c>
      <c r="F852" s="11" t="str">
        <f t="array" ref="F852">iferror(index('rna-muscle'!F:F,match($A852,'rna-muscle'!$A:$A,0)))</f>
        <v>H</v>
      </c>
      <c r="G852" s="11">
        <f t="array" ref="G852">iferror(index('rna-muscle'!G:G,match($A852,'rna-muscle'!$A:$A,0)))</f>
        <v>5</v>
      </c>
      <c r="H852" s="11" t="str">
        <f t="shared" si="4"/>
        <v>H5</v>
      </c>
      <c r="I852" s="10" t="str">
        <f t="shared" si="5"/>
        <v>BRN70G-H5</v>
      </c>
      <c r="J852" s="6"/>
      <c r="K852" s="16" t="str">
        <f t="shared" si="6"/>
        <v>collected</v>
      </c>
      <c r="L852" s="16" t="str">
        <f t="shared" si="7"/>
        <v>N</v>
      </c>
      <c r="M852" s="16"/>
      <c r="N852" s="16"/>
    </row>
    <row r="853">
      <c r="A853" s="44" t="s">
        <v>1230</v>
      </c>
      <c r="B853" s="10" t="str">
        <f t="shared" si="1"/>
        <v>RNA-gill</v>
      </c>
      <c r="C853" s="10" t="str">
        <f t="shared" si="2"/>
        <v>BRN70G-G5</v>
      </c>
      <c r="D853" s="11">
        <f t="array" ref="D853">iferror(index('rna-muscle'!D:D,match(A853,'rna-muscle'!A:A,0)))</f>
        <v>70</v>
      </c>
      <c r="E853" s="10" t="str">
        <f t="shared" si="3"/>
        <v>BRN70G</v>
      </c>
      <c r="F853" s="11" t="str">
        <f t="array" ref="F853">iferror(index('rna-muscle'!F:F,match($A853,'rna-muscle'!$A:$A,0)))</f>
        <v>G</v>
      </c>
      <c r="G853" s="11">
        <f t="array" ref="G853">iferror(index('rna-muscle'!G:G,match($A853,'rna-muscle'!$A:$A,0)))</f>
        <v>5</v>
      </c>
      <c r="H853" s="11" t="str">
        <f t="shared" si="4"/>
        <v>G5</v>
      </c>
      <c r="I853" s="10" t="str">
        <f t="shared" si="5"/>
        <v>BRN70G-G5</v>
      </c>
      <c r="J853" s="16"/>
      <c r="K853" s="16" t="str">
        <f t="shared" si="6"/>
        <v>collected</v>
      </c>
      <c r="L853" s="16" t="str">
        <f t="shared" si="7"/>
        <v>N</v>
      </c>
      <c r="M853" s="16"/>
      <c r="N853" s="16"/>
    </row>
    <row r="854">
      <c r="A854" s="44" t="s">
        <v>1232</v>
      </c>
      <c r="B854" s="10" t="str">
        <f t="shared" si="1"/>
        <v>RNA-gill</v>
      </c>
      <c r="C854" s="10" t="str">
        <f t="shared" si="2"/>
        <v>BRN70G-F5</v>
      </c>
      <c r="D854" s="11">
        <f t="array" ref="D854">iferror(index('rna-muscle'!D:D,match(A854,'rna-muscle'!A:A,0)))</f>
        <v>70</v>
      </c>
      <c r="E854" s="10" t="str">
        <f t="shared" si="3"/>
        <v>BRN70G</v>
      </c>
      <c r="F854" s="11" t="str">
        <f t="array" ref="F854">iferror(index('rna-muscle'!F:F,match($A854,'rna-muscle'!$A:$A,0)))</f>
        <v>F</v>
      </c>
      <c r="G854" s="11">
        <f t="array" ref="G854">iferror(index('rna-muscle'!G:G,match($A854,'rna-muscle'!$A:$A,0)))</f>
        <v>5</v>
      </c>
      <c r="H854" s="11" t="str">
        <f t="shared" si="4"/>
        <v>F5</v>
      </c>
      <c r="I854" s="10" t="str">
        <f t="shared" si="5"/>
        <v>BRN70G-F5</v>
      </c>
      <c r="J854" s="16"/>
      <c r="K854" s="16" t="str">
        <f t="shared" si="6"/>
        <v>collected</v>
      </c>
      <c r="L854" s="16" t="str">
        <f t="shared" si="7"/>
        <v>N</v>
      </c>
      <c r="M854" s="16"/>
      <c r="N854" s="16"/>
    </row>
    <row r="855">
      <c r="A855" s="46" t="s">
        <v>1236</v>
      </c>
      <c r="B855" s="10" t="str">
        <f t="shared" si="1"/>
        <v>RNA-gill</v>
      </c>
      <c r="C855" s="10" t="str">
        <f t="shared" si="2"/>
        <v>BRN70G-E5</v>
      </c>
      <c r="D855" s="11">
        <f t="array" ref="D855">iferror(index('rna-muscle'!D:D,match(A855,'rna-muscle'!A:A,0)))</f>
        <v>70</v>
      </c>
      <c r="E855" s="10" t="str">
        <f t="shared" si="3"/>
        <v>BRN70G</v>
      </c>
      <c r="F855" s="11" t="str">
        <f t="array" ref="F855">iferror(index('rna-muscle'!F:F,match($A855,'rna-muscle'!$A:$A,0)))</f>
        <v>E</v>
      </c>
      <c r="G855" s="11">
        <f t="array" ref="G855">iferror(index('rna-muscle'!G:G,match($A855,'rna-muscle'!$A:$A,0)))</f>
        <v>5</v>
      </c>
      <c r="H855" s="11" t="str">
        <f t="shared" si="4"/>
        <v>E5</v>
      </c>
      <c r="I855" s="10" t="str">
        <f t="shared" si="5"/>
        <v>BRN70G-E5</v>
      </c>
      <c r="J855" s="16"/>
      <c r="K855" s="16" t="str">
        <f t="shared" si="6"/>
        <v>collected</v>
      </c>
      <c r="L855" s="16" t="str">
        <f t="shared" si="7"/>
        <v>N</v>
      </c>
      <c r="M855" s="16"/>
      <c r="N855" s="16"/>
    </row>
    <row r="856">
      <c r="A856" s="40" t="s">
        <v>1238</v>
      </c>
      <c r="B856" s="10" t="str">
        <f t="shared" si="1"/>
        <v>RNA-gill</v>
      </c>
      <c r="C856" s="10" t="str">
        <f t="shared" si="2"/>
        <v>BRN70G-D5</v>
      </c>
      <c r="D856" s="11">
        <f t="array" ref="D856">iferror(index('rna-muscle'!D:D,match(A856,'rna-muscle'!A:A,0)))</f>
        <v>70</v>
      </c>
      <c r="E856" s="10" t="str">
        <f t="shared" si="3"/>
        <v>BRN70G</v>
      </c>
      <c r="F856" s="11" t="str">
        <f t="array" ref="F856">iferror(index('rna-muscle'!F:F,match($A856,'rna-muscle'!$A:$A,0)))</f>
        <v>D</v>
      </c>
      <c r="G856" s="11">
        <f t="array" ref="G856">iferror(index('rna-muscle'!G:G,match($A856,'rna-muscle'!$A:$A,0)))</f>
        <v>5</v>
      </c>
      <c r="H856" s="11" t="str">
        <f t="shared" si="4"/>
        <v>D5</v>
      </c>
      <c r="I856" s="10" t="str">
        <f t="shared" si="5"/>
        <v>BRN70G-D5</v>
      </c>
      <c r="J856" s="16"/>
      <c r="K856" s="16" t="str">
        <f t="shared" si="6"/>
        <v>collected</v>
      </c>
      <c r="L856" s="16" t="str">
        <f t="shared" si="7"/>
        <v>N</v>
      </c>
      <c r="M856" s="16"/>
      <c r="N856" s="16"/>
    </row>
    <row r="857">
      <c r="A857" s="40" t="s">
        <v>1240</v>
      </c>
      <c r="B857" s="10" t="str">
        <f t="shared" si="1"/>
        <v>RNA-gill</v>
      </c>
      <c r="C857" s="10" t="str">
        <f t="shared" si="2"/>
        <v>BRN70G-C5</v>
      </c>
      <c r="D857" s="11">
        <f t="array" ref="D857">iferror(index('rna-muscle'!D:D,match(A857,'rna-muscle'!A:A,0)))</f>
        <v>70</v>
      </c>
      <c r="E857" s="10" t="str">
        <f t="shared" si="3"/>
        <v>BRN70G</v>
      </c>
      <c r="F857" s="11" t="str">
        <f t="array" ref="F857">iferror(index('rna-muscle'!F:F,match($A857,'rna-muscle'!$A:$A,0)))</f>
        <v>C</v>
      </c>
      <c r="G857" s="11">
        <f t="array" ref="G857">iferror(index('rna-muscle'!G:G,match($A857,'rna-muscle'!$A:$A,0)))</f>
        <v>5</v>
      </c>
      <c r="H857" s="11" t="str">
        <f t="shared" si="4"/>
        <v>C5</v>
      </c>
      <c r="I857" s="10" t="str">
        <f t="shared" si="5"/>
        <v>BRN70G-C5</v>
      </c>
      <c r="J857" s="16"/>
      <c r="K857" s="16" t="str">
        <f t="shared" si="6"/>
        <v>collected</v>
      </c>
      <c r="L857" s="16" t="str">
        <f t="shared" si="7"/>
        <v>N</v>
      </c>
      <c r="M857" s="16"/>
      <c r="N857" s="16"/>
    </row>
    <row r="858">
      <c r="A858" s="40" t="s">
        <v>1244</v>
      </c>
      <c r="B858" s="10" t="str">
        <f t="shared" si="1"/>
        <v>RNA-gill</v>
      </c>
      <c r="C858" s="10" t="str">
        <f t="shared" si="2"/>
        <v>BRN70G-B5</v>
      </c>
      <c r="D858" s="11">
        <f t="array" ref="D858">iferror(index('rna-muscle'!D:D,match(A858,'rna-muscle'!A:A,0)))</f>
        <v>70</v>
      </c>
      <c r="E858" s="10" t="str">
        <f t="shared" si="3"/>
        <v>BRN70G</v>
      </c>
      <c r="F858" s="11" t="str">
        <f t="array" ref="F858">iferror(index('rna-muscle'!F:F,match($A858,'rna-muscle'!$A:$A,0)))</f>
        <v>B</v>
      </c>
      <c r="G858" s="11">
        <f t="array" ref="G858">iferror(index('rna-muscle'!G:G,match($A858,'rna-muscle'!$A:$A,0)))</f>
        <v>5</v>
      </c>
      <c r="H858" s="11" t="str">
        <f t="shared" si="4"/>
        <v>B5</v>
      </c>
      <c r="I858" s="10" t="str">
        <f t="shared" si="5"/>
        <v>BRN70G-B5</v>
      </c>
      <c r="J858" s="16"/>
      <c r="K858" s="16" t="str">
        <f t="shared" si="6"/>
        <v>collected</v>
      </c>
      <c r="L858" s="16" t="str">
        <f t="shared" si="7"/>
        <v>N</v>
      </c>
      <c r="M858" s="16"/>
      <c r="N858" s="16"/>
    </row>
    <row r="859">
      <c r="A859" s="40" t="s">
        <v>1246</v>
      </c>
      <c r="B859" s="10" t="str">
        <f t="shared" si="1"/>
        <v>RNA-gill</v>
      </c>
      <c r="C859" s="10" t="str">
        <f t="shared" si="2"/>
        <v>BRN70G-A5</v>
      </c>
      <c r="D859" s="11">
        <f t="array" ref="D859">iferror(index('rna-muscle'!D:D,match(A859,'rna-muscle'!A:A,0)))</f>
        <v>70</v>
      </c>
      <c r="E859" s="10" t="str">
        <f t="shared" si="3"/>
        <v>BRN70G</v>
      </c>
      <c r="F859" s="11" t="str">
        <f t="array" ref="F859">iferror(index('rna-muscle'!F:F,match($A859,'rna-muscle'!$A:$A,0)))</f>
        <v>A</v>
      </c>
      <c r="G859" s="11">
        <f t="array" ref="G859">iferror(index('rna-muscle'!G:G,match($A859,'rna-muscle'!$A:$A,0)))</f>
        <v>5</v>
      </c>
      <c r="H859" s="11" t="str">
        <f t="shared" si="4"/>
        <v>A5</v>
      </c>
      <c r="I859" s="10" t="str">
        <f t="shared" si="5"/>
        <v>BRN70G-A5</v>
      </c>
      <c r="J859" s="16"/>
      <c r="K859" s="16" t="str">
        <f t="shared" si="6"/>
        <v>collected</v>
      </c>
      <c r="L859" s="16" t="str">
        <f t="shared" si="7"/>
        <v>N</v>
      </c>
      <c r="M859" s="16"/>
      <c r="N859" s="16"/>
    </row>
    <row r="860">
      <c r="A860" s="27" t="s">
        <v>1249</v>
      </c>
      <c r="B860" s="10" t="str">
        <f t="shared" si="1"/>
        <v>RNA-gill</v>
      </c>
      <c r="C860" s="10" t="str">
        <f t="shared" si="2"/>
        <v>BRN70G-F2</v>
      </c>
      <c r="D860" s="11">
        <f t="array" ref="D860">iferror(index('rna-muscle'!D:D,match(A860,'rna-muscle'!A:A,0)))</f>
        <v>70</v>
      </c>
      <c r="E860" s="10" t="str">
        <f t="shared" si="3"/>
        <v>BRN70G</v>
      </c>
      <c r="F860" s="11" t="str">
        <f t="array" ref="F860">iferror(index('rna-muscle'!F:F,match($A860,'rna-muscle'!$A:$A,0)))</f>
        <v>F</v>
      </c>
      <c r="G860" s="11">
        <f t="array" ref="G860">iferror(index('rna-muscle'!G:G,match($A860,'rna-muscle'!$A:$A,0)))</f>
        <v>2</v>
      </c>
      <c r="H860" s="11" t="str">
        <f t="shared" si="4"/>
        <v>F2</v>
      </c>
      <c r="I860" s="10" t="str">
        <f t="shared" si="5"/>
        <v>BRN70G-F2</v>
      </c>
      <c r="J860" s="16"/>
      <c r="K860" s="16" t="str">
        <f t="shared" si="6"/>
        <v>collected</v>
      </c>
      <c r="L860" s="16" t="str">
        <f t="shared" si="7"/>
        <v>N</v>
      </c>
      <c r="M860" s="16"/>
      <c r="N860" s="16"/>
    </row>
    <row r="861">
      <c r="A861" s="27" t="s">
        <v>1251</v>
      </c>
      <c r="B861" s="10" t="str">
        <f t="shared" si="1"/>
        <v>RNA-gill</v>
      </c>
      <c r="C861" s="10" t="str">
        <f t="shared" si="2"/>
        <v>BRN70G-E2</v>
      </c>
      <c r="D861" s="11">
        <f t="array" ref="D861">iferror(index('rna-muscle'!D:D,match(A861,'rna-muscle'!A:A,0)))</f>
        <v>70</v>
      </c>
      <c r="E861" s="10" t="str">
        <f t="shared" si="3"/>
        <v>BRN70G</v>
      </c>
      <c r="F861" s="11" t="str">
        <f t="array" ref="F861">iferror(index('rna-muscle'!F:F,match($A861,'rna-muscle'!$A:$A,0)))</f>
        <v>E</v>
      </c>
      <c r="G861" s="11">
        <f t="array" ref="G861">iferror(index('rna-muscle'!G:G,match($A861,'rna-muscle'!$A:$A,0)))</f>
        <v>2</v>
      </c>
      <c r="H861" s="11" t="str">
        <f t="shared" si="4"/>
        <v>E2</v>
      </c>
      <c r="I861" s="10" t="str">
        <f t="shared" si="5"/>
        <v>BRN70G-E2</v>
      </c>
      <c r="J861" s="16"/>
      <c r="K861" s="16" t="str">
        <f t="shared" si="6"/>
        <v>collected</v>
      </c>
      <c r="L861" s="16" t="str">
        <f t="shared" si="7"/>
        <v>N</v>
      </c>
      <c r="M861" s="16"/>
      <c r="N861" s="16"/>
    </row>
    <row r="862">
      <c r="A862" s="27" t="s">
        <v>1254</v>
      </c>
      <c r="B862" s="10" t="str">
        <f t="shared" si="1"/>
        <v>RNA-gill</v>
      </c>
      <c r="C862" s="10" t="str">
        <f t="shared" si="2"/>
        <v>BRN70G-D2</v>
      </c>
      <c r="D862" s="11">
        <f t="array" ref="D862">iferror(index('rna-muscle'!D:D,match(A862,'rna-muscle'!A:A,0)))</f>
        <v>70</v>
      </c>
      <c r="E862" s="10" t="str">
        <f t="shared" si="3"/>
        <v>BRN70G</v>
      </c>
      <c r="F862" s="11" t="str">
        <f t="array" ref="F862">iferror(index('rna-muscle'!F:F,match($A862,'rna-muscle'!$A:$A,0)))</f>
        <v>D</v>
      </c>
      <c r="G862" s="11">
        <f t="array" ref="G862">iferror(index('rna-muscle'!G:G,match($A862,'rna-muscle'!$A:$A,0)))</f>
        <v>2</v>
      </c>
      <c r="H862" s="11" t="str">
        <f t="shared" si="4"/>
        <v>D2</v>
      </c>
      <c r="I862" s="10" t="str">
        <f t="shared" si="5"/>
        <v>BRN70G-D2</v>
      </c>
      <c r="J862" s="16"/>
      <c r="K862" s="16" t="str">
        <f t="shared" si="6"/>
        <v>collected</v>
      </c>
      <c r="L862" s="16" t="str">
        <f t="shared" si="7"/>
        <v>N</v>
      </c>
      <c r="M862" s="16"/>
      <c r="N862" s="16"/>
    </row>
    <row r="863">
      <c r="A863" s="27" t="s">
        <v>1256</v>
      </c>
      <c r="B863" s="10" t="str">
        <f t="shared" si="1"/>
        <v>RNA-gill</v>
      </c>
      <c r="C863" s="10" t="str">
        <f t="shared" si="2"/>
        <v>BRN70G-C2</v>
      </c>
      <c r="D863" s="11">
        <f t="array" ref="D863">iferror(index('rna-muscle'!D:D,match(A863,'rna-muscle'!A:A,0)))</f>
        <v>70</v>
      </c>
      <c r="E863" s="10" t="str">
        <f t="shared" si="3"/>
        <v>BRN70G</v>
      </c>
      <c r="F863" s="11" t="str">
        <f t="array" ref="F863">iferror(index('rna-muscle'!F:F,match($A863,'rna-muscle'!$A:$A,0)))</f>
        <v>C</v>
      </c>
      <c r="G863" s="11">
        <f t="array" ref="G863">iferror(index('rna-muscle'!G:G,match($A863,'rna-muscle'!$A:$A,0)))</f>
        <v>2</v>
      </c>
      <c r="H863" s="11" t="str">
        <f t="shared" si="4"/>
        <v>C2</v>
      </c>
      <c r="I863" s="10" t="str">
        <f t="shared" si="5"/>
        <v>BRN70G-C2</v>
      </c>
      <c r="J863" s="16"/>
      <c r="K863" s="16" t="str">
        <f t="shared" si="6"/>
        <v>collected</v>
      </c>
      <c r="L863" s="16" t="str">
        <f t="shared" si="7"/>
        <v>N</v>
      </c>
      <c r="M863" s="16"/>
      <c r="N863" s="16"/>
    </row>
    <row r="864">
      <c r="A864" s="27" t="s">
        <v>1259</v>
      </c>
      <c r="B864" s="10" t="str">
        <f t="shared" si="1"/>
        <v>RNA-gill</v>
      </c>
      <c r="C864" s="10" t="str">
        <f t="shared" si="2"/>
        <v>BRN70G-B2</v>
      </c>
      <c r="D864" s="11">
        <f t="array" ref="D864">iferror(index('rna-muscle'!D:D,match(A864,'rna-muscle'!A:A,0)))</f>
        <v>70</v>
      </c>
      <c r="E864" s="10" t="str">
        <f t="shared" si="3"/>
        <v>BRN70G</v>
      </c>
      <c r="F864" s="11" t="str">
        <f t="array" ref="F864">iferror(index('rna-muscle'!F:F,match($A864,'rna-muscle'!$A:$A,0)))</f>
        <v>B</v>
      </c>
      <c r="G864" s="11">
        <f t="array" ref="G864">iferror(index('rna-muscle'!G:G,match($A864,'rna-muscle'!$A:$A,0)))</f>
        <v>2</v>
      </c>
      <c r="H864" s="11" t="str">
        <f t="shared" si="4"/>
        <v>B2</v>
      </c>
      <c r="I864" s="10" t="str">
        <f t="shared" si="5"/>
        <v>BRN70G-B2</v>
      </c>
      <c r="J864" s="16"/>
      <c r="K864" s="16" t="str">
        <f t="shared" si="6"/>
        <v>collected</v>
      </c>
      <c r="L864" s="16" t="str">
        <f t="shared" si="7"/>
        <v>N</v>
      </c>
      <c r="M864" s="16"/>
      <c r="N864" s="16"/>
    </row>
    <row r="865">
      <c r="A865" s="27" t="s">
        <v>1262</v>
      </c>
      <c r="B865" s="10" t="str">
        <f t="shared" si="1"/>
        <v>RNA-gill</v>
      </c>
      <c r="C865" s="10" t="str">
        <f t="shared" si="2"/>
        <v>BRN70G-A2</v>
      </c>
      <c r="D865" s="11">
        <f t="array" ref="D865">iferror(index('rna-muscle'!D:D,match(A865,'rna-muscle'!A:A,0)))</f>
        <v>70</v>
      </c>
      <c r="E865" s="10" t="str">
        <f t="shared" si="3"/>
        <v>BRN70G</v>
      </c>
      <c r="F865" s="11" t="str">
        <f t="array" ref="F865">iferror(index('rna-muscle'!F:F,match($A865,'rna-muscle'!$A:$A,0)))</f>
        <v>A</v>
      </c>
      <c r="G865" s="11">
        <f t="array" ref="G865">iferror(index('rna-muscle'!G:G,match($A865,'rna-muscle'!$A:$A,0)))</f>
        <v>2</v>
      </c>
      <c r="H865" s="11" t="str">
        <f t="shared" si="4"/>
        <v>A2</v>
      </c>
      <c r="I865" s="10" t="str">
        <f t="shared" si="5"/>
        <v>BRN70G-A2</v>
      </c>
      <c r="J865" s="16"/>
      <c r="K865" s="16" t="str">
        <f t="shared" si="6"/>
        <v>collected</v>
      </c>
      <c r="L865" s="16" t="str">
        <f t="shared" si="7"/>
        <v>N</v>
      </c>
      <c r="M865" s="16"/>
      <c r="N865" s="16"/>
    </row>
    <row r="866">
      <c r="A866" s="27" t="s">
        <v>1264</v>
      </c>
      <c r="B866" s="10" t="str">
        <f t="shared" si="1"/>
        <v>RNA-gill</v>
      </c>
      <c r="C866" s="10" t="str">
        <f t="shared" si="2"/>
        <v>BRN70G-H4</v>
      </c>
      <c r="D866" s="11">
        <f t="array" ref="D866">iferror(index('rna-muscle'!D:D,match(A866,'rna-muscle'!A:A,0)))</f>
        <v>70</v>
      </c>
      <c r="E866" s="10" t="str">
        <f t="shared" si="3"/>
        <v>BRN70G</v>
      </c>
      <c r="F866" s="11" t="str">
        <f t="array" ref="F866">iferror(index('rna-muscle'!F:F,match($A866,'rna-muscle'!$A:$A,0)))</f>
        <v>H</v>
      </c>
      <c r="G866" s="11">
        <f t="array" ref="G866">iferror(index('rna-muscle'!G:G,match($A866,'rna-muscle'!$A:$A,0)))</f>
        <v>4</v>
      </c>
      <c r="H866" s="11" t="str">
        <f t="shared" si="4"/>
        <v>H4</v>
      </c>
      <c r="I866" s="10" t="str">
        <f t="shared" si="5"/>
        <v>BRN70G-H4</v>
      </c>
      <c r="J866" s="16"/>
      <c r="K866" s="16" t="str">
        <f t="shared" si="6"/>
        <v>collected</v>
      </c>
      <c r="L866" s="16" t="str">
        <f t="shared" si="7"/>
        <v>N</v>
      </c>
      <c r="M866" s="16"/>
      <c r="N866" s="16"/>
    </row>
    <row r="867">
      <c r="A867" s="27" t="s">
        <v>1266</v>
      </c>
      <c r="B867" s="10" t="str">
        <f t="shared" si="1"/>
        <v>RNA-gill</v>
      </c>
      <c r="C867" s="10" t="str">
        <f t="shared" si="2"/>
        <v>BRN70G-G4</v>
      </c>
      <c r="D867" s="11">
        <f t="array" ref="D867">iferror(index('rna-muscle'!D:D,match(A867,'rna-muscle'!A:A,0)))</f>
        <v>70</v>
      </c>
      <c r="E867" s="10" t="str">
        <f t="shared" si="3"/>
        <v>BRN70G</v>
      </c>
      <c r="F867" s="11" t="str">
        <f t="array" ref="F867">iferror(index('rna-muscle'!F:F,match($A867,'rna-muscle'!$A:$A,0)))</f>
        <v>G</v>
      </c>
      <c r="G867" s="11">
        <f t="array" ref="G867">iferror(index('rna-muscle'!G:G,match($A867,'rna-muscle'!$A:$A,0)))</f>
        <v>4</v>
      </c>
      <c r="H867" s="11" t="str">
        <f t="shared" si="4"/>
        <v>G4</v>
      </c>
      <c r="I867" s="10" t="str">
        <f t="shared" si="5"/>
        <v>BRN70G-G4</v>
      </c>
      <c r="J867" s="16"/>
      <c r="K867" s="16" t="str">
        <f t="shared" si="6"/>
        <v>collected</v>
      </c>
      <c r="L867" s="16" t="str">
        <f t="shared" si="7"/>
        <v>N</v>
      </c>
      <c r="M867" s="16"/>
      <c r="N867" s="16"/>
    </row>
    <row r="868">
      <c r="A868" s="27" t="s">
        <v>1269</v>
      </c>
      <c r="B868" s="10" t="str">
        <f t="shared" si="1"/>
        <v>RNA-gill</v>
      </c>
      <c r="C868" s="10" t="str">
        <f t="shared" si="2"/>
        <v>BRN70G-F4</v>
      </c>
      <c r="D868" s="11">
        <f t="array" ref="D868">iferror(index('rna-muscle'!D:D,match(A868,'rna-muscle'!A:A,0)))</f>
        <v>70</v>
      </c>
      <c r="E868" s="10" t="str">
        <f t="shared" si="3"/>
        <v>BRN70G</v>
      </c>
      <c r="F868" s="11" t="str">
        <f t="array" ref="F868">iferror(index('rna-muscle'!F:F,match($A868,'rna-muscle'!$A:$A,0)))</f>
        <v>F</v>
      </c>
      <c r="G868" s="11">
        <f t="array" ref="G868">iferror(index('rna-muscle'!G:G,match($A868,'rna-muscle'!$A:$A,0)))</f>
        <v>4</v>
      </c>
      <c r="H868" s="11" t="str">
        <f t="shared" si="4"/>
        <v>F4</v>
      </c>
      <c r="I868" s="10" t="str">
        <f t="shared" si="5"/>
        <v>BRN70G-F4</v>
      </c>
      <c r="J868" s="16"/>
      <c r="K868" s="16" t="str">
        <f t="shared" si="6"/>
        <v>collected</v>
      </c>
      <c r="L868" s="16" t="str">
        <f t="shared" si="7"/>
        <v>N</v>
      </c>
      <c r="M868" s="16"/>
      <c r="N868" s="16"/>
    </row>
    <row r="869">
      <c r="A869" s="27" t="s">
        <v>1273</v>
      </c>
      <c r="B869" s="10" t="str">
        <f t="shared" si="1"/>
        <v>RNA-gill</v>
      </c>
      <c r="C869" s="10" t="str">
        <f t="shared" si="2"/>
        <v>BRN70G-E4</v>
      </c>
      <c r="D869" s="11">
        <f t="array" ref="D869">iferror(index('rna-muscle'!D:D,match(A869,'rna-muscle'!A:A,0)))</f>
        <v>70</v>
      </c>
      <c r="E869" s="10" t="str">
        <f t="shared" si="3"/>
        <v>BRN70G</v>
      </c>
      <c r="F869" s="11" t="str">
        <f t="array" ref="F869">iferror(index('rna-muscle'!F:F,match($A869,'rna-muscle'!$A:$A,0)))</f>
        <v>E</v>
      </c>
      <c r="G869" s="11">
        <f t="array" ref="G869">iferror(index('rna-muscle'!G:G,match($A869,'rna-muscle'!$A:$A,0)))</f>
        <v>4</v>
      </c>
      <c r="H869" s="11" t="str">
        <f t="shared" si="4"/>
        <v>E4</v>
      </c>
      <c r="I869" s="10" t="str">
        <f t="shared" si="5"/>
        <v>BRN70G-E4</v>
      </c>
      <c r="J869" s="16"/>
      <c r="K869" s="16" t="str">
        <f t="shared" si="6"/>
        <v>collected</v>
      </c>
      <c r="L869" s="16" t="str">
        <f t="shared" si="7"/>
        <v>N</v>
      </c>
      <c r="M869" s="16"/>
      <c r="N869" s="16"/>
    </row>
    <row r="870">
      <c r="A870" s="27" t="s">
        <v>1275</v>
      </c>
      <c r="B870" s="10" t="str">
        <f t="shared" si="1"/>
        <v>RNA-gill</v>
      </c>
      <c r="C870" s="10" t="str">
        <f t="shared" si="2"/>
        <v>BRN70G-D4</v>
      </c>
      <c r="D870" s="11">
        <f t="array" ref="D870">iferror(index('rna-muscle'!D:D,match(A870,'rna-muscle'!A:A,0)))</f>
        <v>70</v>
      </c>
      <c r="E870" s="10" t="str">
        <f t="shared" si="3"/>
        <v>BRN70G</v>
      </c>
      <c r="F870" s="11" t="str">
        <f t="array" ref="F870">iferror(index('rna-muscle'!F:F,match($A870,'rna-muscle'!$A:$A,0)))</f>
        <v>D</v>
      </c>
      <c r="G870" s="11">
        <f t="array" ref="G870">iferror(index('rna-muscle'!G:G,match($A870,'rna-muscle'!$A:$A,0)))</f>
        <v>4</v>
      </c>
      <c r="H870" s="11" t="str">
        <f t="shared" si="4"/>
        <v>D4</v>
      </c>
      <c r="I870" s="10" t="str">
        <f t="shared" si="5"/>
        <v>BRN70G-D4</v>
      </c>
      <c r="J870" s="16"/>
      <c r="K870" s="16" t="str">
        <f t="shared" si="6"/>
        <v>collected</v>
      </c>
      <c r="L870" s="16" t="str">
        <f t="shared" si="7"/>
        <v>N</v>
      </c>
      <c r="M870" s="16"/>
      <c r="N870" s="16"/>
    </row>
    <row r="871">
      <c r="A871" s="27" t="s">
        <v>1276</v>
      </c>
      <c r="B871" s="10" t="str">
        <f t="shared" si="1"/>
        <v>RNA-gill</v>
      </c>
      <c r="C871" s="10" t="str">
        <f t="shared" si="2"/>
        <v>BRN70G-C4</v>
      </c>
      <c r="D871" s="11">
        <f t="array" ref="D871">iferror(index('rna-muscle'!D:D,match(A871,'rna-muscle'!A:A,0)))</f>
        <v>70</v>
      </c>
      <c r="E871" s="10" t="str">
        <f t="shared" si="3"/>
        <v>BRN70G</v>
      </c>
      <c r="F871" s="11" t="str">
        <f t="array" ref="F871">iferror(index('rna-muscle'!F:F,match($A871,'rna-muscle'!$A:$A,0)))</f>
        <v>C</v>
      </c>
      <c r="G871" s="11">
        <f t="array" ref="G871">iferror(index('rna-muscle'!G:G,match($A871,'rna-muscle'!$A:$A,0)))</f>
        <v>4</v>
      </c>
      <c r="H871" s="11" t="str">
        <f t="shared" si="4"/>
        <v>C4</v>
      </c>
      <c r="I871" s="10" t="str">
        <f t="shared" si="5"/>
        <v>BRN70G-C4</v>
      </c>
      <c r="J871" s="16"/>
      <c r="K871" s="16" t="str">
        <f t="shared" si="6"/>
        <v>collected</v>
      </c>
      <c r="L871" s="16" t="str">
        <f t="shared" si="7"/>
        <v>N</v>
      </c>
      <c r="M871" s="16"/>
      <c r="N871" s="16"/>
    </row>
    <row r="872">
      <c r="A872" s="27" t="s">
        <v>1278</v>
      </c>
      <c r="B872" s="10" t="str">
        <f t="shared" si="1"/>
        <v>RNA-gill</v>
      </c>
      <c r="C872" s="10" t="str">
        <f t="shared" si="2"/>
        <v>BRN70G-B4</v>
      </c>
      <c r="D872" s="11">
        <f t="array" ref="D872">iferror(index('rna-muscle'!D:D,match(A872,'rna-muscle'!A:A,0)))</f>
        <v>70</v>
      </c>
      <c r="E872" s="10" t="str">
        <f t="shared" si="3"/>
        <v>BRN70G</v>
      </c>
      <c r="F872" s="11" t="str">
        <f t="array" ref="F872">iferror(index('rna-muscle'!F:F,match($A872,'rna-muscle'!$A:$A,0)))</f>
        <v>B</v>
      </c>
      <c r="G872" s="11">
        <f t="array" ref="G872">iferror(index('rna-muscle'!G:G,match($A872,'rna-muscle'!$A:$A,0)))</f>
        <v>4</v>
      </c>
      <c r="H872" s="11" t="str">
        <f t="shared" si="4"/>
        <v>B4</v>
      </c>
      <c r="I872" s="10" t="str">
        <f t="shared" si="5"/>
        <v>BRN70G-B4</v>
      </c>
      <c r="J872" s="16"/>
      <c r="K872" s="16" t="str">
        <f t="shared" si="6"/>
        <v>collected</v>
      </c>
      <c r="L872" s="16" t="str">
        <f t="shared" si="7"/>
        <v>N</v>
      </c>
      <c r="M872" s="16"/>
      <c r="N872" s="16"/>
    </row>
    <row r="873">
      <c r="A873" s="27" t="s">
        <v>1279</v>
      </c>
      <c r="B873" s="10" t="str">
        <f t="shared" si="1"/>
        <v>RNA-gill</v>
      </c>
      <c r="C873" s="10" t="str">
        <f t="shared" si="2"/>
        <v>BRN70G-A4</v>
      </c>
      <c r="D873" s="11">
        <f t="array" ref="D873">iferror(index('rna-muscle'!D:D,match(A873,'rna-muscle'!A:A,0)))</f>
        <v>70</v>
      </c>
      <c r="E873" s="10" t="str">
        <f t="shared" si="3"/>
        <v>BRN70G</v>
      </c>
      <c r="F873" s="11" t="str">
        <f t="array" ref="F873">iferror(index('rna-muscle'!F:F,match($A873,'rna-muscle'!$A:$A,0)))</f>
        <v>A</v>
      </c>
      <c r="G873" s="11">
        <f t="array" ref="G873">iferror(index('rna-muscle'!G:G,match($A873,'rna-muscle'!$A:$A,0)))</f>
        <v>4</v>
      </c>
      <c r="H873" s="11" t="str">
        <f t="shared" si="4"/>
        <v>A4</v>
      </c>
      <c r="I873" s="10" t="str">
        <f t="shared" si="5"/>
        <v>BRN70G-A4</v>
      </c>
      <c r="J873" s="16"/>
      <c r="K873" s="16" t="str">
        <f t="shared" si="6"/>
        <v>collected</v>
      </c>
      <c r="L873" s="16" t="str">
        <f t="shared" si="7"/>
        <v>N</v>
      </c>
      <c r="M873" s="16"/>
      <c r="N873" s="16"/>
    </row>
    <row r="874">
      <c r="A874" s="27" t="s">
        <v>1280</v>
      </c>
      <c r="B874" s="10" t="str">
        <f t="shared" si="1"/>
        <v>RNA-gill</v>
      </c>
      <c r="C874" s="10" t="str">
        <f t="shared" si="2"/>
        <v>BRN70G-G6</v>
      </c>
      <c r="D874" s="11">
        <f t="array" ref="D874">iferror(index('rna-muscle'!D:D,match(A874,'rna-muscle'!A:A,0)))</f>
        <v>70</v>
      </c>
      <c r="E874" s="10" t="str">
        <f t="shared" si="3"/>
        <v>BRN70G</v>
      </c>
      <c r="F874" s="11" t="str">
        <f t="array" ref="F874">iferror(index('rna-muscle'!F:F,match($A874,'rna-muscle'!$A:$A,0)))</f>
        <v>G</v>
      </c>
      <c r="G874" s="11">
        <f t="array" ref="G874">iferror(index('rna-muscle'!G:G,match($A874,'rna-muscle'!$A:$A,0)))</f>
        <v>6</v>
      </c>
      <c r="H874" s="11" t="str">
        <f t="shared" si="4"/>
        <v>G6</v>
      </c>
      <c r="I874" s="10" t="str">
        <f t="shared" si="5"/>
        <v>BRN70G-G6</v>
      </c>
      <c r="J874" s="16"/>
      <c r="K874" s="16" t="str">
        <f t="shared" si="6"/>
        <v>collected</v>
      </c>
      <c r="L874" s="16" t="str">
        <f t="shared" si="7"/>
        <v>N</v>
      </c>
      <c r="M874" s="16"/>
      <c r="N874" s="16"/>
    </row>
    <row r="875">
      <c r="A875" s="27" t="s">
        <v>1282</v>
      </c>
      <c r="B875" s="10" t="str">
        <f t="shared" si="1"/>
        <v>RNA-gill</v>
      </c>
      <c r="C875" s="10" t="str">
        <f t="shared" si="2"/>
        <v>BRN70G-F6</v>
      </c>
      <c r="D875" s="11">
        <f t="array" ref="D875">iferror(index('rna-muscle'!D:D,match(A875,'rna-muscle'!A:A,0)))</f>
        <v>70</v>
      </c>
      <c r="E875" s="10" t="str">
        <f t="shared" si="3"/>
        <v>BRN70G</v>
      </c>
      <c r="F875" s="11" t="str">
        <f t="array" ref="F875">iferror(index('rna-muscle'!F:F,match($A875,'rna-muscle'!$A:$A,0)))</f>
        <v>F</v>
      </c>
      <c r="G875" s="11">
        <f t="array" ref="G875">iferror(index('rna-muscle'!G:G,match($A875,'rna-muscle'!$A:$A,0)))</f>
        <v>6</v>
      </c>
      <c r="H875" s="11" t="str">
        <f t="shared" si="4"/>
        <v>F6</v>
      </c>
      <c r="I875" s="10" t="str">
        <f t="shared" si="5"/>
        <v>BRN70G-F6</v>
      </c>
      <c r="J875" s="16"/>
      <c r="K875" s="16" t="str">
        <f t="shared" si="6"/>
        <v>collected</v>
      </c>
      <c r="L875" s="16" t="str">
        <f t="shared" si="7"/>
        <v>N</v>
      </c>
      <c r="M875" s="16"/>
      <c r="N875" s="16"/>
    </row>
    <row r="876">
      <c r="A876" s="27" t="s">
        <v>1283</v>
      </c>
      <c r="B876" s="10" t="str">
        <f t="shared" si="1"/>
        <v>RNA-gill</v>
      </c>
      <c r="C876" s="10" t="str">
        <f t="shared" si="2"/>
        <v>BRN70G-E6</v>
      </c>
      <c r="D876" s="11">
        <f t="array" ref="D876">iferror(index('rna-muscle'!D:D,match(A876,'rna-muscle'!A:A,0)))</f>
        <v>70</v>
      </c>
      <c r="E876" s="10" t="str">
        <f t="shared" si="3"/>
        <v>BRN70G</v>
      </c>
      <c r="F876" s="11" t="str">
        <f t="array" ref="F876">iferror(index('rna-muscle'!F:F,match($A876,'rna-muscle'!$A:$A,0)))</f>
        <v>E</v>
      </c>
      <c r="G876" s="11">
        <f t="array" ref="G876">iferror(index('rna-muscle'!G:G,match($A876,'rna-muscle'!$A:$A,0)))</f>
        <v>6</v>
      </c>
      <c r="H876" s="11" t="str">
        <f t="shared" si="4"/>
        <v>E6</v>
      </c>
      <c r="I876" s="10" t="str">
        <f t="shared" si="5"/>
        <v>BRN70G-E6</v>
      </c>
      <c r="J876" s="16"/>
      <c r="K876" s="16" t="str">
        <f t="shared" si="6"/>
        <v>collected</v>
      </c>
      <c r="L876" s="16" t="str">
        <f t="shared" si="7"/>
        <v>N</v>
      </c>
      <c r="M876" s="16"/>
      <c r="N876" s="16"/>
    </row>
    <row r="877">
      <c r="A877" s="27" t="s">
        <v>1284</v>
      </c>
      <c r="B877" s="10" t="str">
        <f t="shared" si="1"/>
        <v>RNA-gill</v>
      </c>
      <c r="C877" s="10" t="str">
        <f t="shared" si="2"/>
        <v>BRN70G-D6</v>
      </c>
      <c r="D877" s="11">
        <f t="array" ref="D877">iferror(index('rna-muscle'!D:D,match(A877,'rna-muscle'!A:A,0)))</f>
        <v>70</v>
      </c>
      <c r="E877" s="10" t="str">
        <f t="shared" si="3"/>
        <v>BRN70G</v>
      </c>
      <c r="F877" s="11" t="str">
        <f t="array" ref="F877">iferror(index('rna-muscle'!F:F,match($A877,'rna-muscle'!$A:$A,0)))</f>
        <v>D</v>
      </c>
      <c r="G877" s="11">
        <f t="array" ref="G877">iferror(index('rna-muscle'!G:G,match($A877,'rna-muscle'!$A:$A,0)))</f>
        <v>6</v>
      </c>
      <c r="H877" s="11" t="str">
        <f t="shared" si="4"/>
        <v>D6</v>
      </c>
      <c r="I877" s="10" t="str">
        <f t="shared" si="5"/>
        <v>BRN70G-D6</v>
      </c>
      <c r="J877" s="16"/>
      <c r="K877" s="16" t="str">
        <f t="shared" si="6"/>
        <v>collected</v>
      </c>
      <c r="L877" s="16" t="str">
        <f t="shared" si="7"/>
        <v>N</v>
      </c>
      <c r="M877" s="16"/>
      <c r="N877" s="16"/>
    </row>
    <row r="878">
      <c r="A878" s="27" t="s">
        <v>1286</v>
      </c>
      <c r="B878" s="10" t="str">
        <f t="shared" si="1"/>
        <v>RNA-gill</v>
      </c>
      <c r="C878" s="10" t="str">
        <f t="shared" si="2"/>
        <v>BRN70G-C6</v>
      </c>
      <c r="D878" s="11">
        <f t="array" ref="D878">iferror(index('rna-muscle'!D:D,match(A878,'rna-muscle'!A:A,0)))</f>
        <v>70</v>
      </c>
      <c r="E878" s="10" t="str">
        <f t="shared" si="3"/>
        <v>BRN70G</v>
      </c>
      <c r="F878" s="11" t="str">
        <f t="array" ref="F878">iferror(index('rna-muscle'!F:F,match($A878,'rna-muscle'!$A:$A,0)))</f>
        <v>C</v>
      </c>
      <c r="G878" s="11">
        <f t="array" ref="G878">iferror(index('rna-muscle'!G:G,match($A878,'rna-muscle'!$A:$A,0)))</f>
        <v>6</v>
      </c>
      <c r="H878" s="11" t="str">
        <f t="shared" si="4"/>
        <v>C6</v>
      </c>
      <c r="I878" s="10" t="str">
        <f t="shared" si="5"/>
        <v>BRN70G-C6</v>
      </c>
      <c r="J878" s="16"/>
      <c r="K878" s="16" t="str">
        <f t="shared" si="6"/>
        <v>collected</v>
      </c>
      <c r="L878" s="16" t="str">
        <f t="shared" si="7"/>
        <v>N</v>
      </c>
      <c r="M878" s="16"/>
      <c r="N878" s="16"/>
    </row>
    <row r="879">
      <c r="A879" s="27" t="s">
        <v>1287</v>
      </c>
      <c r="B879" s="10" t="str">
        <f t="shared" si="1"/>
        <v>RNA-gill</v>
      </c>
      <c r="C879" s="10" t="str">
        <f t="shared" si="2"/>
        <v>BRN70G-B6</v>
      </c>
      <c r="D879" s="11">
        <f t="array" ref="D879">iferror(index('rna-muscle'!D:D,match(A879,'rna-muscle'!A:A,0)))</f>
        <v>70</v>
      </c>
      <c r="E879" s="10" t="str">
        <f t="shared" si="3"/>
        <v>BRN70G</v>
      </c>
      <c r="F879" s="11" t="str">
        <f t="array" ref="F879">iferror(index('rna-muscle'!F:F,match($A879,'rna-muscle'!$A:$A,0)))</f>
        <v>B</v>
      </c>
      <c r="G879" s="11">
        <f t="array" ref="G879">iferror(index('rna-muscle'!G:G,match($A879,'rna-muscle'!$A:$A,0)))</f>
        <v>6</v>
      </c>
      <c r="H879" s="11" t="str">
        <f t="shared" si="4"/>
        <v>B6</v>
      </c>
      <c r="I879" s="10" t="str">
        <f t="shared" si="5"/>
        <v>BRN70G-B6</v>
      </c>
      <c r="J879" s="16"/>
      <c r="K879" s="16" t="str">
        <f t="shared" si="6"/>
        <v>collected</v>
      </c>
      <c r="L879" s="16" t="str">
        <f t="shared" si="7"/>
        <v>N</v>
      </c>
      <c r="M879" s="16"/>
      <c r="N879" s="16"/>
    </row>
    <row r="880">
      <c r="A880" s="40" t="s">
        <v>1289</v>
      </c>
      <c r="B880" s="10" t="str">
        <f t="shared" si="1"/>
        <v>RNA-gill</v>
      </c>
      <c r="C880" s="10" t="str">
        <f t="shared" si="2"/>
        <v>BRN70G-H7</v>
      </c>
      <c r="D880" s="11">
        <f t="array" ref="D880">iferror(index('rna-muscle'!D:D,match(A880,'rna-muscle'!A:A,0)))</f>
        <v>70</v>
      </c>
      <c r="E880" s="10" t="str">
        <f t="shared" si="3"/>
        <v>BRN70G</v>
      </c>
      <c r="F880" s="11" t="str">
        <f t="array" ref="F880">iferror(index('rna-muscle'!F:F,match($A880,'rna-muscle'!$A:$A,0)))</f>
        <v>H</v>
      </c>
      <c r="G880" s="11">
        <f t="array" ref="G880">iferror(index('rna-muscle'!G:G,match($A880,'rna-muscle'!$A:$A,0)))</f>
        <v>7</v>
      </c>
      <c r="H880" s="11" t="str">
        <f t="shared" si="4"/>
        <v>H7</v>
      </c>
      <c r="I880" s="10" t="str">
        <f t="shared" si="5"/>
        <v>BRN70G-H7</v>
      </c>
      <c r="J880" s="16"/>
      <c r="K880" s="16" t="str">
        <f t="shared" si="6"/>
        <v>collected</v>
      </c>
      <c r="L880" s="16" t="str">
        <f t="shared" si="7"/>
        <v>N</v>
      </c>
      <c r="M880" s="16"/>
      <c r="N880" s="16"/>
    </row>
    <row r="881">
      <c r="A881" s="40" t="s">
        <v>1290</v>
      </c>
      <c r="B881" s="10" t="str">
        <f t="shared" si="1"/>
        <v>RNA-gill</v>
      </c>
      <c r="C881" s="10" t="str">
        <f t="shared" si="2"/>
        <v>BRN70G-G7</v>
      </c>
      <c r="D881" s="11">
        <f t="array" ref="D881">iferror(index('rna-muscle'!D:D,match(A881,'rna-muscle'!A:A,0)))</f>
        <v>70</v>
      </c>
      <c r="E881" s="10" t="str">
        <f t="shared" si="3"/>
        <v>BRN70G</v>
      </c>
      <c r="F881" s="11" t="str">
        <f t="array" ref="F881">iferror(index('rna-muscle'!F:F,match($A881,'rna-muscle'!$A:$A,0)))</f>
        <v>G</v>
      </c>
      <c r="G881" s="11">
        <f t="array" ref="G881">iferror(index('rna-muscle'!G:G,match($A881,'rna-muscle'!$A:$A,0)))</f>
        <v>7</v>
      </c>
      <c r="H881" s="11" t="str">
        <f t="shared" si="4"/>
        <v>G7</v>
      </c>
      <c r="I881" s="10" t="str">
        <f t="shared" si="5"/>
        <v>BRN70G-G7</v>
      </c>
      <c r="J881" s="16"/>
      <c r="K881" s="16" t="str">
        <f t="shared" si="6"/>
        <v>collected</v>
      </c>
      <c r="L881" s="16" t="str">
        <f t="shared" si="7"/>
        <v>N</v>
      </c>
      <c r="M881" s="16"/>
      <c r="N881" s="16"/>
    </row>
    <row r="882">
      <c r="A882" s="40" t="s">
        <v>1291</v>
      </c>
      <c r="B882" s="10" t="str">
        <f t="shared" si="1"/>
        <v>RNA-gill</v>
      </c>
      <c r="C882" s="10" t="str">
        <f t="shared" si="2"/>
        <v>BRN70G-F7</v>
      </c>
      <c r="D882" s="11">
        <f t="array" ref="D882">iferror(index('rna-muscle'!D:D,match(A882,'rna-muscle'!A:A,0)))</f>
        <v>70</v>
      </c>
      <c r="E882" s="10" t="str">
        <f t="shared" si="3"/>
        <v>BRN70G</v>
      </c>
      <c r="F882" s="11" t="str">
        <f t="array" ref="F882">iferror(index('rna-muscle'!F:F,match($A882,'rna-muscle'!$A:$A,0)))</f>
        <v>F</v>
      </c>
      <c r="G882" s="11">
        <f t="array" ref="G882">iferror(index('rna-muscle'!G:G,match($A882,'rna-muscle'!$A:$A,0)))</f>
        <v>7</v>
      </c>
      <c r="H882" s="11" t="str">
        <f t="shared" si="4"/>
        <v>F7</v>
      </c>
      <c r="I882" s="10" t="str">
        <f t="shared" si="5"/>
        <v>BRN70G-F7</v>
      </c>
      <c r="J882" s="16"/>
      <c r="K882" s="16" t="str">
        <f t="shared" si="6"/>
        <v>collected</v>
      </c>
      <c r="L882" s="16" t="str">
        <f t="shared" si="7"/>
        <v>N</v>
      </c>
      <c r="M882" s="16"/>
      <c r="N882" s="16"/>
    </row>
    <row r="883">
      <c r="A883" s="40" t="s">
        <v>1292</v>
      </c>
      <c r="B883" s="10" t="str">
        <f t="shared" si="1"/>
        <v>RNA-gill</v>
      </c>
      <c r="C883" s="10" t="str">
        <f t="shared" si="2"/>
        <v>BRN70G-E7</v>
      </c>
      <c r="D883" s="11">
        <f t="array" ref="D883">iferror(index('rna-muscle'!D:D,match(A883,'rna-muscle'!A:A,0)))</f>
        <v>70</v>
      </c>
      <c r="E883" s="10" t="str">
        <f t="shared" si="3"/>
        <v>BRN70G</v>
      </c>
      <c r="F883" s="11" t="str">
        <f t="array" ref="F883">iferror(index('rna-muscle'!F:F,match($A883,'rna-muscle'!$A:$A,0)))</f>
        <v>E</v>
      </c>
      <c r="G883" s="11">
        <f t="array" ref="G883">iferror(index('rna-muscle'!G:G,match($A883,'rna-muscle'!$A:$A,0)))</f>
        <v>7</v>
      </c>
      <c r="H883" s="11" t="str">
        <f t="shared" si="4"/>
        <v>E7</v>
      </c>
      <c r="I883" s="10" t="str">
        <f t="shared" si="5"/>
        <v>BRN70G-E7</v>
      </c>
      <c r="J883" s="16"/>
      <c r="K883" s="16" t="str">
        <f t="shared" si="6"/>
        <v>collected</v>
      </c>
      <c r="L883" s="16" t="str">
        <f t="shared" si="7"/>
        <v>N</v>
      </c>
      <c r="M883" s="16"/>
      <c r="N883" s="16"/>
    </row>
    <row r="884">
      <c r="A884" s="40" t="s">
        <v>1294</v>
      </c>
      <c r="B884" s="10" t="str">
        <f t="shared" si="1"/>
        <v>RNA-gill</v>
      </c>
      <c r="C884" s="10" t="str">
        <f t="shared" si="2"/>
        <v>BRN70G-D7</v>
      </c>
      <c r="D884" s="11">
        <f t="array" ref="D884">iferror(index('rna-muscle'!D:D,match(A884,'rna-muscle'!A:A,0)))</f>
        <v>70</v>
      </c>
      <c r="E884" s="10" t="str">
        <f t="shared" si="3"/>
        <v>BRN70G</v>
      </c>
      <c r="F884" s="11" t="str">
        <f t="array" ref="F884">iferror(index('rna-muscle'!F:F,match($A884,'rna-muscle'!$A:$A,0)))</f>
        <v>D</v>
      </c>
      <c r="G884" s="11">
        <f t="array" ref="G884">iferror(index('rna-muscle'!G:G,match($A884,'rna-muscle'!$A:$A,0)))</f>
        <v>7</v>
      </c>
      <c r="H884" s="11" t="str">
        <f t="shared" si="4"/>
        <v>D7</v>
      </c>
      <c r="I884" s="10" t="str">
        <f t="shared" si="5"/>
        <v>BRN70G-D7</v>
      </c>
      <c r="J884" s="16"/>
      <c r="K884" s="16" t="str">
        <f t="shared" si="6"/>
        <v>collected</v>
      </c>
      <c r="L884" s="16" t="str">
        <f t="shared" si="7"/>
        <v>N</v>
      </c>
      <c r="M884" s="16"/>
      <c r="N884" s="16"/>
    </row>
    <row r="885">
      <c r="A885" s="27" t="s">
        <v>1295</v>
      </c>
      <c r="B885" s="10" t="str">
        <f t="shared" si="1"/>
        <v>RNA-gill</v>
      </c>
      <c r="C885" s="10" t="str">
        <f t="shared" si="2"/>
        <v>BRN70G-A6</v>
      </c>
      <c r="D885" s="11">
        <f t="array" ref="D885">iferror(index('rna-muscle'!D:D,match(A885,'rna-muscle'!A:A,0)))</f>
        <v>70</v>
      </c>
      <c r="E885" s="10" t="str">
        <f t="shared" si="3"/>
        <v>BRN70G</v>
      </c>
      <c r="F885" s="11" t="str">
        <f t="array" ref="F885">iferror(index('rna-muscle'!F:F,match($A885,'rna-muscle'!$A:$A,0)))</f>
        <v>A</v>
      </c>
      <c r="G885" s="11">
        <f t="array" ref="G885">iferror(index('rna-muscle'!G:G,match($A885,'rna-muscle'!$A:$A,0)))</f>
        <v>6</v>
      </c>
      <c r="H885" s="11" t="str">
        <f t="shared" si="4"/>
        <v>A6</v>
      </c>
      <c r="I885" s="10" t="str">
        <f t="shared" si="5"/>
        <v>BRN70G-A6</v>
      </c>
      <c r="J885" s="16"/>
      <c r="K885" s="16" t="str">
        <f t="shared" si="6"/>
        <v>collected</v>
      </c>
      <c r="L885" s="16" t="str">
        <f t="shared" si="7"/>
        <v>N</v>
      </c>
      <c r="M885" s="16"/>
      <c r="N885" s="16"/>
    </row>
    <row r="886">
      <c r="A886" s="27" t="s">
        <v>1296</v>
      </c>
      <c r="B886" s="10" t="str">
        <f t="shared" si="1"/>
        <v>RNA-gill</v>
      </c>
      <c r="C886" s="10" t="str">
        <f t="shared" si="2"/>
        <v>BRN70G-H8</v>
      </c>
      <c r="D886" s="11">
        <f t="array" ref="D886">iferror(index('rna-muscle'!D:D,match(A886,'rna-muscle'!A:A,0)))</f>
        <v>70</v>
      </c>
      <c r="E886" s="10" t="str">
        <f t="shared" si="3"/>
        <v>BRN70G</v>
      </c>
      <c r="F886" s="11" t="str">
        <f t="array" ref="F886">iferror(index('rna-muscle'!F:F,match($A886,'rna-muscle'!$A:$A,0)))</f>
        <v>H</v>
      </c>
      <c r="G886" s="11">
        <f t="array" ref="G886">iferror(index('rna-muscle'!G:G,match($A886,'rna-muscle'!$A:$A,0)))</f>
        <v>8</v>
      </c>
      <c r="H886" s="11" t="str">
        <f t="shared" si="4"/>
        <v>H8</v>
      </c>
      <c r="I886" s="10" t="str">
        <f t="shared" si="5"/>
        <v>BRN70G-H8</v>
      </c>
      <c r="J886" s="16"/>
      <c r="K886" s="16" t="str">
        <f t="shared" si="6"/>
        <v>collected</v>
      </c>
      <c r="L886" s="16" t="str">
        <f t="shared" si="7"/>
        <v>N</v>
      </c>
      <c r="M886" s="16"/>
      <c r="N886" s="16"/>
    </row>
    <row r="887">
      <c r="A887" s="27" t="s">
        <v>1297</v>
      </c>
      <c r="B887" s="10" t="str">
        <f t="shared" si="1"/>
        <v>RNA-gill</v>
      </c>
      <c r="C887" s="10" t="str">
        <f t="shared" si="2"/>
        <v>BRN70G-G8</v>
      </c>
      <c r="D887" s="11">
        <f t="array" ref="D887">iferror(index('rna-muscle'!D:D,match(A887,'rna-muscle'!A:A,0)))</f>
        <v>70</v>
      </c>
      <c r="E887" s="10" t="str">
        <f t="shared" si="3"/>
        <v>BRN70G</v>
      </c>
      <c r="F887" s="11" t="str">
        <f t="array" ref="F887">iferror(index('rna-muscle'!F:F,match($A887,'rna-muscle'!$A:$A,0)))</f>
        <v>G</v>
      </c>
      <c r="G887" s="11">
        <f t="array" ref="G887">iferror(index('rna-muscle'!G:G,match($A887,'rna-muscle'!$A:$A,0)))</f>
        <v>8</v>
      </c>
      <c r="H887" s="11" t="str">
        <f t="shared" si="4"/>
        <v>G8</v>
      </c>
      <c r="I887" s="10" t="str">
        <f t="shared" si="5"/>
        <v>BRN70G-G8</v>
      </c>
      <c r="J887" s="16"/>
      <c r="K887" s="16" t="str">
        <f t="shared" si="6"/>
        <v>collected</v>
      </c>
      <c r="L887" s="16" t="str">
        <f t="shared" si="7"/>
        <v>N</v>
      </c>
      <c r="M887" s="16"/>
      <c r="N887" s="16"/>
    </row>
    <row r="888">
      <c r="A888" s="27" t="s">
        <v>1299</v>
      </c>
      <c r="B888" s="10" t="str">
        <f t="shared" si="1"/>
        <v>RNA-gill</v>
      </c>
      <c r="C888" s="10" t="str">
        <f t="shared" si="2"/>
        <v>BRN70G-F8</v>
      </c>
      <c r="D888" s="11">
        <f t="array" ref="D888">iferror(index('rna-muscle'!D:D,match(A888,'rna-muscle'!A:A,0)))</f>
        <v>70</v>
      </c>
      <c r="E888" s="10" t="str">
        <f t="shared" si="3"/>
        <v>BRN70G</v>
      </c>
      <c r="F888" s="11" t="str">
        <f t="array" ref="F888">iferror(index('rna-muscle'!F:F,match($A888,'rna-muscle'!$A:$A,0)))</f>
        <v>F</v>
      </c>
      <c r="G888" s="11">
        <f t="array" ref="G888">iferror(index('rna-muscle'!G:G,match($A888,'rna-muscle'!$A:$A,0)))</f>
        <v>8</v>
      </c>
      <c r="H888" s="11" t="str">
        <f t="shared" si="4"/>
        <v>F8</v>
      </c>
      <c r="I888" s="10" t="str">
        <f t="shared" si="5"/>
        <v>BRN70G-F8</v>
      </c>
      <c r="J888" s="16"/>
      <c r="K888" s="16" t="str">
        <f t="shared" si="6"/>
        <v>collected</v>
      </c>
      <c r="L888" s="16" t="str">
        <f t="shared" si="7"/>
        <v>N</v>
      </c>
      <c r="M888" s="16"/>
      <c r="N888" s="16"/>
    </row>
    <row r="889">
      <c r="A889" s="27" t="s">
        <v>1300</v>
      </c>
      <c r="B889" s="10" t="str">
        <f t="shared" si="1"/>
        <v>RNA-gill</v>
      </c>
      <c r="C889" s="10" t="str">
        <f t="shared" si="2"/>
        <v>BRN70G-E8</v>
      </c>
      <c r="D889" s="11">
        <f t="array" ref="D889">iferror(index('rna-muscle'!D:D,match(A889,'rna-muscle'!A:A,0)))</f>
        <v>70</v>
      </c>
      <c r="E889" s="10" t="str">
        <f t="shared" si="3"/>
        <v>BRN70G</v>
      </c>
      <c r="F889" s="11" t="str">
        <f t="array" ref="F889">iferror(index('rna-muscle'!F:F,match($A889,'rna-muscle'!$A:$A,0)))</f>
        <v>E</v>
      </c>
      <c r="G889" s="11">
        <f t="array" ref="G889">iferror(index('rna-muscle'!G:G,match($A889,'rna-muscle'!$A:$A,0)))</f>
        <v>8</v>
      </c>
      <c r="H889" s="11" t="str">
        <f t="shared" si="4"/>
        <v>E8</v>
      </c>
      <c r="I889" s="10" t="str">
        <f t="shared" si="5"/>
        <v>BRN70G-E8</v>
      </c>
      <c r="J889" s="16"/>
      <c r="K889" s="16" t="str">
        <f t="shared" si="6"/>
        <v>collected</v>
      </c>
      <c r="L889" s="16" t="str">
        <f t="shared" si="7"/>
        <v>N</v>
      </c>
      <c r="M889" s="16"/>
      <c r="N889" s="16"/>
    </row>
    <row r="890">
      <c r="A890" s="27" t="s">
        <v>1301</v>
      </c>
      <c r="B890" s="10" t="str">
        <f t="shared" si="1"/>
        <v>RNA-gill</v>
      </c>
      <c r="C890" s="10" t="str">
        <f t="shared" si="2"/>
        <v>BRN70G-D8</v>
      </c>
      <c r="D890" s="11">
        <f t="array" ref="D890">iferror(index('rna-muscle'!D:D,match(A890,'rna-muscle'!A:A,0)))</f>
        <v>70</v>
      </c>
      <c r="E890" s="10" t="str">
        <f t="shared" si="3"/>
        <v>BRN70G</v>
      </c>
      <c r="F890" s="11" t="str">
        <f t="array" ref="F890">iferror(index('rna-muscle'!F:F,match($A890,'rna-muscle'!$A:$A,0)))</f>
        <v>D</v>
      </c>
      <c r="G890" s="11">
        <f t="array" ref="G890">iferror(index('rna-muscle'!G:G,match($A890,'rna-muscle'!$A:$A,0)))</f>
        <v>8</v>
      </c>
      <c r="H890" s="11" t="str">
        <f t="shared" si="4"/>
        <v>D8</v>
      </c>
      <c r="I890" s="10" t="str">
        <f t="shared" si="5"/>
        <v>BRN70G-D8</v>
      </c>
      <c r="J890" s="16"/>
      <c r="K890" s="16" t="str">
        <f t="shared" si="6"/>
        <v>collected</v>
      </c>
      <c r="L890" s="16" t="str">
        <f t="shared" si="7"/>
        <v>N</v>
      </c>
      <c r="M890" s="16"/>
      <c r="N890" s="16"/>
    </row>
    <row r="891">
      <c r="A891" s="27" t="s">
        <v>1302</v>
      </c>
      <c r="B891" s="10" t="str">
        <f t="shared" si="1"/>
        <v>RNA-gill</v>
      </c>
      <c r="C891" s="10" t="str">
        <f t="shared" si="2"/>
        <v>BRN70G-C8</v>
      </c>
      <c r="D891" s="11">
        <f t="array" ref="D891">iferror(index('rna-muscle'!D:D,match(A891,'rna-muscle'!A:A,0)))</f>
        <v>70</v>
      </c>
      <c r="E891" s="10" t="str">
        <f t="shared" si="3"/>
        <v>BRN70G</v>
      </c>
      <c r="F891" s="11" t="str">
        <f t="array" ref="F891">iferror(index('rna-muscle'!F:F,match($A891,'rna-muscle'!$A:$A,0)))</f>
        <v>C</v>
      </c>
      <c r="G891" s="11">
        <f t="array" ref="G891">iferror(index('rna-muscle'!G:G,match($A891,'rna-muscle'!$A:$A,0)))</f>
        <v>8</v>
      </c>
      <c r="H891" s="11" t="str">
        <f t="shared" si="4"/>
        <v>C8</v>
      </c>
      <c r="I891" s="10" t="str">
        <f t="shared" si="5"/>
        <v>BRN70G-C8</v>
      </c>
      <c r="J891" s="16"/>
      <c r="K891" s="16" t="str">
        <f t="shared" si="6"/>
        <v>collected</v>
      </c>
      <c r="L891" s="16" t="str">
        <f t="shared" si="7"/>
        <v>N</v>
      </c>
      <c r="M891" s="16"/>
      <c r="N891" s="16"/>
    </row>
    <row r="892">
      <c r="A892" s="27" t="s">
        <v>1304</v>
      </c>
      <c r="B892" s="10" t="str">
        <f t="shared" si="1"/>
        <v>RNA-gill</v>
      </c>
      <c r="C892" s="10" t="str">
        <f t="shared" si="2"/>
        <v>BRN70G-B8</v>
      </c>
      <c r="D892" s="11">
        <f t="array" ref="D892">iferror(index('rna-muscle'!D:D,match(A892,'rna-muscle'!A:A,0)))</f>
        <v>70</v>
      </c>
      <c r="E892" s="10" t="str">
        <f t="shared" si="3"/>
        <v>BRN70G</v>
      </c>
      <c r="F892" s="11" t="str">
        <f t="array" ref="F892">iferror(index('rna-muscle'!F:F,match($A892,'rna-muscle'!$A:$A,0)))</f>
        <v>B</v>
      </c>
      <c r="G892" s="11">
        <f t="array" ref="G892">iferror(index('rna-muscle'!G:G,match($A892,'rna-muscle'!$A:$A,0)))</f>
        <v>8</v>
      </c>
      <c r="H892" s="11" t="str">
        <f t="shared" si="4"/>
        <v>B8</v>
      </c>
      <c r="I892" s="10" t="str">
        <f t="shared" si="5"/>
        <v>BRN70G-B8</v>
      </c>
      <c r="J892" s="16"/>
      <c r="K892" s="16" t="str">
        <f t="shared" si="6"/>
        <v>collected</v>
      </c>
      <c r="L892" s="16" t="str">
        <f t="shared" si="7"/>
        <v>N</v>
      </c>
      <c r="M892" s="16"/>
      <c r="N892" s="16"/>
    </row>
    <row r="893">
      <c r="A893" s="27" t="s">
        <v>1305</v>
      </c>
      <c r="B893" s="10" t="str">
        <f t="shared" si="1"/>
        <v>RNA-gill</v>
      </c>
      <c r="C893" s="10" t="str">
        <f t="shared" si="2"/>
        <v>BRN70G-A8</v>
      </c>
      <c r="D893" s="11">
        <f t="array" ref="D893">iferror(index('rna-muscle'!D:D,match(A893,'rna-muscle'!A:A,0)))</f>
        <v>70</v>
      </c>
      <c r="E893" s="10" t="str">
        <f t="shared" si="3"/>
        <v>BRN70G</v>
      </c>
      <c r="F893" s="11" t="str">
        <f t="array" ref="F893">iferror(index('rna-muscle'!F:F,match($A893,'rna-muscle'!$A:$A,0)))</f>
        <v>A</v>
      </c>
      <c r="G893" s="11">
        <f t="array" ref="G893">iferror(index('rna-muscle'!G:G,match($A893,'rna-muscle'!$A:$A,0)))</f>
        <v>8</v>
      </c>
      <c r="H893" s="11" t="str">
        <f t="shared" si="4"/>
        <v>A8</v>
      </c>
      <c r="I893" s="10" t="str">
        <f t="shared" si="5"/>
        <v>BRN70G-A8</v>
      </c>
      <c r="J893" s="16"/>
      <c r="K893" s="16" t="str">
        <f t="shared" si="6"/>
        <v>collected</v>
      </c>
      <c r="L893" s="16" t="str">
        <f t="shared" si="7"/>
        <v>N</v>
      </c>
      <c r="M893" s="16"/>
      <c r="N893" s="16"/>
    </row>
    <row r="894">
      <c r="A894" s="27" t="s">
        <v>1306</v>
      </c>
      <c r="B894" s="10" t="str">
        <f t="shared" si="1"/>
        <v>RNA-gill</v>
      </c>
      <c r="C894" s="10" t="str">
        <f t="shared" si="2"/>
        <v>BRN70G-H10</v>
      </c>
      <c r="D894" s="11">
        <f t="array" ref="D894">iferror(index('rna-muscle'!D:D,match(A894,'rna-muscle'!A:A,0)))</f>
        <v>70</v>
      </c>
      <c r="E894" s="10" t="str">
        <f t="shared" si="3"/>
        <v>BRN70G</v>
      </c>
      <c r="F894" s="11" t="str">
        <f t="array" ref="F894">iferror(index('rna-muscle'!F:F,match($A894,'rna-muscle'!$A:$A,0)))</f>
        <v>H</v>
      </c>
      <c r="G894" s="11">
        <f t="array" ref="G894">iferror(index('rna-muscle'!G:G,match($A894,'rna-muscle'!$A:$A,0)))</f>
        <v>10</v>
      </c>
      <c r="H894" s="11" t="str">
        <f t="shared" si="4"/>
        <v>H10</v>
      </c>
      <c r="I894" s="10" t="str">
        <f t="shared" si="5"/>
        <v>BRN70G-H10</v>
      </c>
      <c r="J894" s="16"/>
      <c r="K894" s="16" t="str">
        <f t="shared" si="6"/>
        <v>collected</v>
      </c>
      <c r="L894" s="16" t="str">
        <f t="shared" si="7"/>
        <v>N</v>
      </c>
      <c r="M894" s="16"/>
      <c r="N894" s="16"/>
    </row>
    <row r="895">
      <c r="A895" s="27" t="s">
        <v>1307</v>
      </c>
      <c r="B895" s="10" t="str">
        <f t="shared" si="1"/>
        <v>RNA-gill</v>
      </c>
      <c r="C895" s="10" t="str">
        <f t="shared" si="2"/>
        <v>BRN70G-G10</v>
      </c>
      <c r="D895" s="11">
        <f t="array" ref="D895">iferror(index('rna-muscle'!D:D,match(A895,'rna-muscle'!A:A,0)))</f>
        <v>70</v>
      </c>
      <c r="E895" s="10" t="str">
        <f t="shared" si="3"/>
        <v>BRN70G</v>
      </c>
      <c r="F895" s="11" t="str">
        <f t="array" ref="F895">iferror(index('rna-muscle'!F:F,match($A895,'rna-muscle'!$A:$A,0)))</f>
        <v>G</v>
      </c>
      <c r="G895" s="11">
        <f t="array" ref="G895">iferror(index('rna-muscle'!G:G,match($A895,'rna-muscle'!$A:$A,0)))</f>
        <v>10</v>
      </c>
      <c r="H895" s="11" t="str">
        <f t="shared" si="4"/>
        <v>G10</v>
      </c>
      <c r="I895" s="10" t="str">
        <f t="shared" si="5"/>
        <v>BRN70G-G10</v>
      </c>
      <c r="J895" s="16"/>
      <c r="K895" s="16" t="str">
        <f t="shared" si="6"/>
        <v>collected</v>
      </c>
      <c r="L895" s="16" t="str">
        <f t="shared" si="7"/>
        <v>N</v>
      </c>
      <c r="M895" s="16"/>
      <c r="N895" s="16"/>
    </row>
    <row r="896">
      <c r="A896" s="27" t="s">
        <v>1309</v>
      </c>
      <c r="B896" s="10" t="str">
        <f t="shared" si="1"/>
        <v>RNA-gill</v>
      </c>
      <c r="C896" s="10" t="str">
        <f t="shared" si="2"/>
        <v>BRN70G-F10</v>
      </c>
      <c r="D896" s="11">
        <f t="array" ref="D896">iferror(index('rna-muscle'!D:D,match(A896,'rna-muscle'!A:A,0)))</f>
        <v>70</v>
      </c>
      <c r="E896" s="10" t="str">
        <f t="shared" si="3"/>
        <v>BRN70G</v>
      </c>
      <c r="F896" s="11" t="str">
        <f t="array" ref="F896">iferror(index('rna-muscle'!F:F,match($A896,'rna-muscle'!$A:$A,0)))</f>
        <v>F</v>
      </c>
      <c r="G896" s="11">
        <f t="array" ref="G896">iferror(index('rna-muscle'!G:G,match($A896,'rna-muscle'!$A:$A,0)))</f>
        <v>10</v>
      </c>
      <c r="H896" s="11" t="str">
        <f t="shared" si="4"/>
        <v>F10</v>
      </c>
      <c r="I896" s="10" t="str">
        <f t="shared" si="5"/>
        <v>BRN70G-F10</v>
      </c>
      <c r="J896" s="16"/>
      <c r="K896" s="16" t="str">
        <f t="shared" si="6"/>
        <v>collected</v>
      </c>
      <c r="L896" s="16" t="str">
        <f t="shared" si="7"/>
        <v>N</v>
      </c>
      <c r="M896" s="16"/>
      <c r="N896" s="16"/>
    </row>
    <row r="897">
      <c r="A897" s="40" t="s">
        <v>1310</v>
      </c>
      <c r="B897" s="10" t="str">
        <f t="shared" si="1"/>
        <v>RNA-gill</v>
      </c>
      <c r="C897" s="10" t="str">
        <f t="shared" si="2"/>
        <v>BRN70G-C7</v>
      </c>
      <c r="D897" s="11">
        <f t="array" ref="D897">iferror(index('rna-muscle'!D:D,match(A897,'rna-muscle'!A:A,0)))</f>
        <v>70</v>
      </c>
      <c r="E897" s="10" t="str">
        <f t="shared" si="3"/>
        <v>BRN70G</v>
      </c>
      <c r="F897" s="11" t="str">
        <f t="array" ref="F897">iferror(index('rna-muscle'!F:F,match($A897,'rna-muscle'!$A:$A,0)))</f>
        <v>C</v>
      </c>
      <c r="G897" s="11">
        <f t="array" ref="G897">iferror(index('rna-muscle'!G:G,match($A897,'rna-muscle'!$A:$A,0)))</f>
        <v>7</v>
      </c>
      <c r="H897" s="11" t="str">
        <f t="shared" si="4"/>
        <v>C7</v>
      </c>
      <c r="I897" s="10" t="str">
        <f t="shared" si="5"/>
        <v>BRN70G-C7</v>
      </c>
      <c r="J897" s="16"/>
      <c r="K897" s="16" t="str">
        <f t="shared" si="6"/>
        <v>collected</v>
      </c>
      <c r="L897" s="16" t="str">
        <f t="shared" si="7"/>
        <v>N</v>
      </c>
      <c r="M897" s="16"/>
      <c r="N897" s="16"/>
    </row>
    <row r="898">
      <c r="A898" s="40" t="s">
        <v>1311</v>
      </c>
      <c r="B898" s="10" t="str">
        <f t="shared" si="1"/>
        <v>RNA-gill</v>
      </c>
      <c r="C898" s="10" t="str">
        <f t="shared" si="2"/>
        <v>BRN70G-B7</v>
      </c>
      <c r="D898" s="11">
        <f t="array" ref="D898">iferror(index('rna-muscle'!D:D,match(A898,'rna-muscle'!A:A,0)))</f>
        <v>70</v>
      </c>
      <c r="E898" s="10" t="str">
        <f t="shared" si="3"/>
        <v>BRN70G</v>
      </c>
      <c r="F898" s="11" t="str">
        <f t="array" ref="F898">iferror(index('rna-muscle'!F:F,match($A898,'rna-muscle'!$A:$A,0)))</f>
        <v>B</v>
      </c>
      <c r="G898" s="11">
        <f t="array" ref="G898">iferror(index('rna-muscle'!G:G,match($A898,'rna-muscle'!$A:$A,0)))</f>
        <v>7</v>
      </c>
      <c r="H898" s="11" t="str">
        <f t="shared" si="4"/>
        <v>B7</v>
      </c>
      <c r="I898" s="10" t="str">
        <f t="shared" si="5"/>
        <v>BRN70G-B7</v>
      </c>
      <c r="J898" s="16"/>
      <c r="K898" s="16" t="str">
        <f t="shared" si="6"/>
        <v>collected</v>
      </c>
      <c r="L898" s="16" t="str">
        <f t="shared" si="7"/>
        <v>N</v>
      </c>
      <c r="M898" s="16"/>
      <c r="N898" s="16"/>
    </row>
    <row r="899">
      <c r="A899" s="40" t="s">
        <v>1312</v>
      </c>
      <c r="B899" s="10" t="str">
        <f t="shared" si="1"/>
        <v>RNA-gill</v>
      </c>
      <c r="C899" s="10" t="str">
        <f t="shared" si="2"/>
        <v>BRN70G-A7</v>
      </c>
      <c r="D899" s="11">
        <f t="array" ref="D899">iferror(index('rna-muscle'!D:D,match(A899,'rna-muscle'!A:A,0)))</f>
        <v>70</v>
      </c>
      <c r="E899" s="10" t="str">
        <f t="shared" si="3"/>
        <v>BRN70G</v>
      </c>
      <c r="F899" s="11" t="str">
        <f t="array" ref="F899">iferror(index('rna-muscle'!F:F,match($A899,'rna-muscle'!$A:$A,0)))</f>
        <v>A</v>
      </c>
      <c r="G899" s="11">
        <f t="array" ref="G899">iferror(index('rna-muscle'!G:G,match($A899,'rna-muscle'!$A:$A,0)))</f>
        <v>7</v>
      </c>
      <c r="H899" s="11" t="str">
        <f t="shared" si="4"/>
        <v>A7</v>
      </c>
      <c r="I899" s="10" t="str">
        <f t="shared" si="5"/>
        <v>BRN70G-A7</v>
      </c>
      <c r="J899" s="16"/>
      <c r="K899" s="16" t="str">
        <f t="shared" si="6"/>
        <v>collected</v>
      </c>
      <c r="L899" s="16" t="str">
        <f t="shared" si="7"/>
        <v>N</v>
      </c>
      <c r="M899" s="16"/>
      <c r="N899" s="16"/>
    </row>
    <row r="900">
      <c r="A900" s="40" t="s">
        <v>1313</v>
      </c>
      <c r="B900" s="10" t="str">
        <f t="shared" si="1"/>
        <v>RNA-gill</v>
      </c>
      <c r="C900" s="10" t="str">
        <f t="shared" si="2"/>
        <v>BRN70G-H9</v>
      </c>
      <c r="D900" s="11">
        <f t="array" ref="D900">iferror(index('rna-muscle'!D:D,match(A900,'rna-muscle'!A:A,0)))</f>
        <v>70</v>
      </c>
      <c r="E900" s="10" t="str">
        <f t="shared" si="3"/>
        <v>BRN70G</v>
      </c>
      <c r="F900" s="11" t="str">
        <f t="array" ref="F900">iferror(index('rna-muscle'!F:F,match($A900,'rna-muscle'!$A:$A,0)))</f>
        <v>H</v>
      </c>
      <c r="G900" s="11">
        <f t="array" ref="G900">iferror(index('rna-muscle'!G:G,match($A900,'rna-muscle'!$A:$A,0)))</f>
        <v>9</v>
      </c>
      <c r="H900" s="11" t="str">
        <f t="shared" si="4"/>
        <v>H9</v>
      </c>
      <c r="I900" s="10" t="str">
        <f t="shared" si="5"/>
        <v>BRN70G-H9</v>
      </c>
      <c r="J900" s="16"/>
      <c r="K900" s="16" t="str">
        <f t="shared" si="6"/>
        <v>collected</v>
      </c>
      <c r="L900" s="16" t="str">
        <f t="shared" si="7"/>
        <v>N</v>
      </c>
      <c r="M900" s="16"/>
      <c r="N900" s="16"/>
    </row>
    <row r="901">
      <c r="A901" s="40" t="s">
        <v>1315</v>
      </c>
      <c r="B901" s="10" t="str">
        <f t="shared" si="1"/>
        <v>RNA-gill</v>
      </c>
      <c r="C901" s="10" t="str">
        <f t="shared" si="2"/>
        <v>BRN70G-G9</v>
      </c>
      <c r="D901" s="11">
        <f t="array" ref="D901">iferror(index('rna-muscle'!D:D,match(A901,'rna-muscle'!A:A,0)))</f>
        <v>70</v>
      </c>
      <c r="E901" s="10" t="str">
        <f t="shared" si="3"/>
        <v>BRN70G</v>
      </c>
      <c r="F901" s="11" t="str">
        <f t="array" ref="F901">iferror(index('rna-muscle'!F:F,match($A901,'rna-muscle'!$A:$A,0)))</f>
        <v>G</v>
      </c>
      <c r="G901" s="11">
        <f t="array" ref="G901">iferror(index('rna-muscle'!G:G,match($A901,'rna-muscle'!$A:$A,0)))</f>
        <v>9</v>
      </c>
      <c r="H901" s="11" t="str">
        <f t="shared" si="4"/>
        <v>G9</v>
      </c>
      <c r="I901" s="10" t="str">
        <f t="shared" si="5"/>
        <v>BRN70G-G9</v>
      </c>
      <c r="J901" s="16"/>
      <c r="K901" s="16" t="str">
        <f t="shared" si="6"/>
        <v>collected</v>
      </c>
      <c r="L901" s="16" t="str">
        <f t="shared" si="7"/>
        <v>N</v>
      </c>
      <c r="M901" s="16"/>
      <c r="N901" s="16"/>
    </row>
    <row r="902">
      <c r="A902" s="40" t="s">
        <v>1317</v>
      </c>
      <c r="B902" s="10" t="str">
        <f t="shared" si="1"/>
        <v>RNA-gill</v>
      </c>
      <c r="C902" s="10" t="str">
        <f t="shared" si="2"/>
        <v>BRN70G-F9</v>
      </c>
      <c r="D902" s="11">
        <f t="array" ref="D902">iferror(index('rna-muscle'!D:D,match(A902,'rna-muscle'!A:A,0)))</f>
        <v>70</v>
      </c>
      <c r="E902" s="10" t="str">
        <f t="shared" si="3"/>
        <v>BRN70G</v>
      </c>
      <c r="F902" s="11" t="str">
        <f t="array" ref="F902">iferror(index('rna-muscle'!F:F,match($A902,'rna-muscle'!$A:$A,0)))</f>
        <v>F</v>
      </c>
      <c r="G902" s="11">
        <f t="array" ref="G902">iferror(index('rna-muscle'!G:G,match($A902,'rna-muscle'!$A:$A,0)))</f>
        <v>9</v>
      </c>
      <c r="H902" s="11" t="str">
        <f t="shared" si="4"/>
        <v>F9</v>
      </c>
      <c r="I902" s="10" t="str">
        <f t="shared" si="5"/>
        <v>BRN70G-F9</v>
      </c>
      <c r="J902" s="16"/>
      <c r="K902" s="16" t="str">
        <f t="shared" si="6"/>
        <v>collected</v>
      </c>
      <c r="L902" s="16" t="str">
        <f t="shared" si="7"/>
        <v>N</v>
      </c>
      <c r="M902" s="16"/>
      <c r="N902" s="16"/>
    </row>
    <row r="903">
      <c r="A903" s="40" t="s">
        <v>1318</v>
      </c>
      <c r="B903" s="10" t="str">
        <f t="shared" si="1"/>
        <v>RNA-gill</v>
      </c>
      <c r="C903" s="10" t="str">
        <f t="shared" si="2"/>
        <v>BRN70G-E9</v>
      </c>
      <c r="D903" s="11">
        <f t="array" ref="D903">iferror(index('rna-muscle'!D:D,match(A903,'rna-muscle'!A:A,0)))</f>
        <v>70</v>
      </c>
      <c r="E903" s="10" t="str">
        <f t="shared" si="3"/>
        <v>BRN70G</v>
      </c>
      <c r="F903" s="11" t="str">
        <f t="array" ref="F903">iferror(index('rna-muscle'!F:F,match($A903,'rna-muscle'!$A:$A,0)))</f>
        <v>E</v>
      </c>
      <c r="G903" s="11">
        <f t="array" ref="G903">iferror(index('rna-muscle'!G:G,match($A903,'rna-muscle'!$A:$A,0)))</f>
        <v>9</v>
      </c>
      <c r="H903" s="11" t="str">
        <f t="shared" si="4"/>
        <v>E9</v>
      </c>
      <c r="I903" s="10" t="str">
        <f t="shared" si="5"/>
        <v>BRN70G-E9</v>
      </c>
      <c r="J903" s="16"/>
      <c r="K903" s="16" t="str">
        <f t="shared" si="6"/>
        <v>collected</v>
      </c>
      <c r="L903" s="16" t="str">
        <f t="shared" si="7"/>
        <v>N</v>
      </c>
      <c r="M903" s="16"/>
      <c r="N903" s="16"/>
    </row>
    <row r="904">
      <c r="A904" s="40" t="s">
        <v>1320</v>
      </c>
      <c r="B904" s="10" t="str">
        <f t="shared" si="1"/>
        <v>RNA-gill</v>
      </c>
      <c r="C904" s="10" t="str">
        <f t="shared" si="2"/>
        <v>BRN70G-D9</v>
      </c>
      <c r="D904" s="11">
        <f t="array" ref="D904">iferror(index('rna-muscle'!D:D,match(A904,'rna-muscle'!A:A,0)))</f>
        <v>70</v>
      </c>
      <c r="E904" s="10" t="str">
        <f t="shared" si="3"/>
        <v>BRN70G</v>
      </c>
      <c r="F904" s="11" t="str">
        <f t="array" ref="F904">iferror(index('rna-muscle'!F:F,match($A904,'rna-muscle'!$A:$A,0)))</f>
        <v>D</v>
      </c>
      <c r="G904" s="11">
        <f t="array" ref="G904">iferror(index('rna-muscle'!G:G,match($A904,'rna-muscle'!$A:$A,0)))</f>
        <v>9</v>
      </c>
      <c r="H904" s="11" t="str">
        <f t="shared" si="4"/>
        <v>D9</v>
      </c>
      <c r="I904" s="10" t="str">
        <f t="shared" si="5"/>
        <v>BRN70G-D9</v>
      </c>
      <c r="J904" s="16"/>
      <c r="K904" s="16" t="str">
        <f t="shared" si="6"/>
        <v>collected</v>
      </c>
      <c r="L904" s="16" t="str">
        <f t="shared" si="7"/>
        <v>N</v>
      </c>
      <c r="M904" s="16"/>
      <c r="N904" s="16"/>
    </row>
    <row r="905">
      <c r="A905" s="40" t="s">
        <v>1322</v>
      </c>
      <c r="B905" s="10" t="str">
        <f t="shared" si="1"/>
        <v>RNA-gill</v>
      </c>
      <c r="C905" s="10" t="str">
        <f t="shared" si="2"/>
        <v>BRN70G-C9</v>
      </c>
      <c r="D905" s="11">
        <f t="array" ref="D905">iferror(index('rna-muscle'!D:D,match(A905,'rna-muscle'!A:A,0)))</f>
        <v>70</v>
      </c>
      <c r="E905" s="10" t="str">
        <f t="shared" si="3"/>
        <v>BRN70G</v>
      </c>
      <c r="F905" s="11" t="str">
        <f t="array" ref="F905">iferror(index('rna-muscle'!F:F,match($A905,'rna-muscle'!$A:$A,0)))</f>
        <v>C</v>
      </c>
      <c r="G905" s="11">
        <f t="array" ref="G905">iferror(index('rna-muscle'!G:G,match($A905,'rna-muscle'!$A:$A,0)))</f>
        <v>9</v>
      </c>
      <c r="H905" s="11" t="str">
        <f t="shared" si="4"/>
        <v>C9</v>
      </c>
      <c r="I905" s="10" t="str">
        <f t="shared" si="5"/>
        <v>BRN70G-C9</v>
      </c>
      <c r="J905" s="16"/>
      <c r="K905" s="16" t="str">
        <f t="shared" si="6"/>
        <v>collected</v>
      </c>
      <c r="L905" s="16" t="str">
        <f t="shared" si="7"/>
        <v>N</v>
      </c>
      <c r="M905" s="16"/>
      <c r="N905" s="16"/>
    </row>
    <row r="906">
      <c r="A906" s="40" t="s">
        <v>1324</v>
      </c>
      <c r="B906" s="10" t="str">
        <f t="shared" si="1"/>
        <v>RNA-gill</v>
      </c>
      <c r="C906" s="10" t="str">
        <f t="shared" si="2"/>
        <v>BRN70G-B9</v>
      </c>
      <c r="D906" s="11">
        <f t="array" ref="D906">iferror(index('rna-muscle'!D:D,match(A906,'rna-muscle'!A:A,0)))</f>
        <v>70</v>
      </c>
      <c r="E906" s="10" t="str">
        <f t="shared" si="3"/>
        <v>BRN70G</v>
      </c>
      <c r="F906" s="11" t="str">
        <f t="array" ref="F906">iferror(index('rna-muscle'!F:F,match($A906,'rna-muscle'!$A:$A,0)))</f>
        <v>B</v>
      </c>
      <c r="G906" s="11">
        <f t="array" ref="G906">iferror(index('rna-muscle'!G:G,match($A906,'rna-muscle'!$A:$A,0)))</f>
        <v>9</v>
      </c>
      <c r="H906" s="11" t="str">
        <f t="shared" si="4"/>
        <v>B9</v>
      </c>
      <c r="I906" s="10" t="str">
        <f t="shared" si="5"/>
        <v>BRN70G-B9</v>
      </c>
      <c r="J906" s="16"/>
      <c r="K906" s="16" t="str">
        <f t="shared" si="6"/>
        <v>collected</v>
      </c>
      <c r="L906" s="16" t="str">
        <f t="shared" si="7"/>
        <v>N</v>
      </c>
      <c r="M906" s="16"/>
      <c r="N906" s="16"/>
    </row>
    <row r="907">
      <c r="A907" s="40" t="s">
        <v>1325</v>
      </c>
      <c r="B907" s="10" t="str">
        <f t="shared" si="1"/>
        <v>RNA-gill</v>
      </c>
      <c r="C907" s="10" t="str">
        <f t="shared" si="2"/>
        <v>BRN70G-A9</v>
      </c>
      <c r="D907" s="11">
        <f t="array" ref="D907">iferror(index('rna-muscle'!D:D,match(A907,'rna-muscle'!A:A,0)))</f>
        <v>70</v>
      </c>
      <c r="E907" s="10" t="str">
        <f t="shared" si="3"/>
        <v>BRN70G</v>
      </c>
      <c r="F907" s="11" t="str">
        <f t="array" ref="F907">iferror(index('rna-muscle'!F:F,match($A907,'rna-muscle'!$A:$A,0)))</f>
        <v>A</v>
      </c>
      <c r="G907" s="11">
        <f t="array" ref="G907">iferror(index('rna-muscle'!G:G,match($A907,'rna-muscle'!$A:$A,0)))</f>
        <v>9</v>
      </c>
      <c r="H907" s="11" t="str">
        <f t="shared" si="4"/>
        <v>A9</v>
      </c>
      <c r="I907" s="10" t="str">
        <f t="shared" si="5"/>
        <v>BRN70G-A9</v>
      </c>
      <c r="J907" s="6" t="s">
        <v>2132</v>
      </c>
      <c r="K907" s="16" t="str">
        <f t="shared" si="6"/>
        <v>collected</v>
      </c>
      <c r="L907" s="16" t="str">
        <f t="shared" si="7"/>
        <v>N</v>
      </c>
      <c r="M907" s="16"/>
      <c r="N907" s="16"/>
    </row>
    <row r="908">
      <c r="A908" s="40" t="s">
        <v>1326</v>
      </c>
      <c r="B908" s="10" t="str">
        <f t="shared" si="1"/>
        <v>RNA-gill</v>
      </c>
      <c r="C908" s="10" t="str">
        <f t="shared" si="2"/>
        <v>BRN70G-H11</v>
      </c>
      <c r="D908" s="11">
        <f t="array" ref="D908">iferror(index('rna-muscle'!D:D,match(A908,'rna-muscle'!A:A,0)))</f>
        <v>70</v>
      </c>
      <c r="E908" s="10" t="str">
        <f t="shared" si="3"/>
        <v>BRN70G</v>
      </c>
      <c r="F908" s="11" t="str">
        <f t="array" ref="F908">iferror(index('rna-muscle'!F:F,match($A908,'rna-muscle'!$A:$A,0)))</f>
        <v>H</v>
      </c>
      <c r="G908" s="11">
        <f t="array" ref="G908">iferror(index('rna-muscle'!G:G,match($A908,'rna-muscle'!$A:$A,0)))</f>
        <v>11</v>
      </c>
      <c r="H908" s="11" t="str">
        <f t="shared" si="4"/>
        <v>H11</v>
      </c>
      <c r="I908" s="10" t="str">
        <f t="shared" si="5"/>
        <v>BRN70G-H11</v>
      </c>
      <c r="J908" s="16"/>
      <c r="K908" s="16" t="str">
        <f t="shared" si="6"/>
        <v>collected</v>
      </c>
      <c r="L908" s="16" t="str">
        <f t="shared" si="7"/>
        <v>N</v>
      </c>
      <c r="M908" s="16"/>
      <c r="N908" s="16"/>
    </row>
    <row r="909">
      <c r="A909" s="33" t="s">
        <v>1327</v>
      </c>
      <c r="B909" s="10" t="str">
        <f t="shared" si="1"/>
        <v>RNA-gill</v>
      </c>
      <c r="C909" s="10" t="str">
        <f t="shared" si="2"/>
        <v>BRN70G-G11</v>
      </c>
      <c r="D909" s="11">
        <f t="array" ref="D909">iferror(index('rna-muscle'!D:D,match(A909,'rna-muscle'!A:A,0)))</f>
        <v>70</v>
      </c>
      <c r="E909" s="10" t="str">
        <f t="shared" si="3"/>
        <v>BRN70G</v>
      </c>
      <c r="F909" s="11" t="str">
        <f t="array" ref="F909">iferror(index('rna-muscle'!F:F,match($A909,'rna-muscle'!$A:$A,0)))</f>
        <v>G</v>
      </c>
      <c r="G909" s="11">
        <f t="array" ref="G909">iferror(index('rna-muscle'!G:G,match($A909,'rna-muscle'!$A:$A,0)))</f>
        <v>11</v>
      </c>
      <c r="H909" s="11" t="str">
        <f t="shared" si="4"/>
        <v>G11</v>
      </c>
      <c r="I909" s="10" t="str">
        <f t="shared" si="5"/>
        <v>BRN70G-G11</v>
      </c>
      <c r="J909" s="16"/>
      <c r="K909" s="16" t="str">
        <f t="shared" si="6"/>
        <v>collected</v>
      </c>
      <c r="L909" s="16" t="str">
        <f t="shared" si="7"/>
        <v>N</v>
      </c>
      <c r="M909" s="16"/>
      <c r="N909" s="16"/>
    </row>
    <row r="910">
      <c r="A910" s="40" t="s">
        <v>1328</v>
      </c>
      <c r="B910" s="10" t="str">
        <f t="shared" si="1"/>
        <v>RNA-gill</v>
      </c>
      <c r="C910" s="10" t="str">
        <f t="shared" si="2"/>
        <v>BRN70G-F11</v>
      </c>
      <c r="D910" s="11">
        <f t="array" ref="D910">iferror(index('rna-muscle'!D:D,match(A910,'rna-muscle'!A:A,0)))</f>
        <v>70</v>
      </c>
      <c r="E910" s="10" t="str">
        <f t="shared" si="3"/>
        <v>BRN70G</v>
      </c>
      <c r="F910" s="11" t="str">
        <f t="array" ref="F910">iferror(index('rna-muscle'!F:F,match($A910,'rna-muscle'!$A:$A,0)))</f>
        <v>F</v>
      </c>
      <c r="G910" s="11">
        <f t="array" ref="G910">iferror(index('rna-muscle'!G:G,match($A910,'rna-muscle'!$A:$A,0)))</f>
        <v>11</v>
      </c>
      <c r="H910" s="11" t="str">
        <f t="shared" si="4"/>
        <v>F11</v>
      </c>
      <c r="I910" s="10" t="str">
        <f t="shared" si="5"/>
        <v>BRN70G-F11</v>
      </c>
      <c r="J910" s="16"/>
      <c r="K910" s="16" t="str">
        <f t="shared" si="6"/>
        <v>collected</v>
      </c>
      <c r="L910" s="16" t="str">
        <f t="shared" si="7"/>
        <v>N</v>
      </c>
      <c r="M910" s="16"/>
      <c r="N910" s="16"/>
    </row>
    <row r="911">
      <c r="A911" s="40" t="s">
        <v>1329</v>
      </c>
      <c r="B911" s="10" t="str">
        <f t="shared" si="1"/>
        <v>RNA-gill</v>
      </c>
      <c r="C911" s="10" t="str">
        <f t="shared" si="2"/>
        <v>BRN70G-E11</v>
      </c>
      <c r="D911" s="11">
        <f t="array" ref="D911">iferror(index('rna-muscle'!D:D,match(A911,'rna-muscle'!A:A,0)))</f>
        <v>70</v>
      </c>
      <c r="E911" s="10" t="str">
        <f t="shared" si="3"/>
        <v>BRN70G</v>
      </c>
      <c r="F911" s="11" t="str">
        <f t="array" ref="F911">iferror(index('rna-muscle'!F:F,match($A911,'rna-muscle'!$A:$A,0)))</f>
        <v>E</v>
      </c>
      <c r="G911" s="11">
        <f t="array" ref="G911">iferror(index('rna-muscle'!G:G,match($A911,'rna-muscle'!$A:$A,0)))</f>
        <v>11</v>
      </c>
      <c r="H911" s="11" t="str">
        <f t="shared" si="4"/>
        <v>E11</v>
      </c>
      <c r="I911" s="10" t="str">
        <f t="shared" si="5"/>
        <v>BRN70G-E11</v>
      </c>
      <c r="J911" s="16"/>
      <c r="K911" s="16" t="str">
        <f t="shared" si="6"/>
        <v>collected</v>
      </c>
      <c r="L911" s="16" t="str">
        <f t="shared" si="7"/>
        <v>N</v>
      </c>
      <c r="M911" s="16"/>
      <c r="N911" s="16"/>
    </row>
    <row r="912">
      <c r="A912" s="40" t="s">
        <v>1330</v>
      </c>
      <c r="B912" s="10" t="str">
        <f t="shared" si="1"/>
        <v>RNA-gill</v>
      </c>
      <c r="C912" s="10" t="str">
        <f t="shared" si="2"/>
        <v>BRN70G-D11</v>
      </c>
      <c r="D912" s="11">
        <f t="array" ref="D912">iferror(index('rna-muscle'!D:D,match(A912,'rna-muscle'!A:A,0)))</f>
        <v>70</v>
      </c>
      <c r="E912" s="10" t="str">
        <f t="shared" si="3"/>
        <v>BRN70G</v>
      </c>
      <c r="F912" s="11" t="str">
        <f t="array" ref="F912">iferror(index('rna-muscle'!F:F,match($A912,'rna-muscle'!$A:$A,0)))</f>
        <v>D</v>
      </c>
      <c r="G912" s="11">
        <f t="array" ref="G912">iferror(index('rna-muscle'!G:G,match($A912,'rna-muscle'!$A:$A,0)))</f>
        <v>11</v>
      </c>
      <c r="H912" s="11" t="str">
        <f t="shared" si="4"/>
        <v>D11</v>
      </c>
      <c r="I912" s="10" t="str">
        <f t="shared" si="5"/>
        <v>BRN70G-D11</v>
      </c>
      <c r="J912" s="6" t="s">
        <v>2133</v>
      </c>
      <c r="K912" s="16" t="str">
        <f t="shared" si="6"/>
        <v>collected</v>
      </c>
      <c r="L912" s="16" t="str">
        <f t="shared" si="7"/>
        <v>N</v>
      </c>
      <c r="M912" s="16"/>
      <c r="N912" s="16"/>
    </row>
    <row r="913">
      <c r="A913" s="40" t="s">
        <v>1331</v>
      </c>
      <c r="B913" s="10" t="str">
        <f t="shared" si="1"/>
        <v>RNA-gill</v>
      </c>
      <c r="C913" s="10" t="str">
        <f t="shared" si="2"/>
        <v>BRN70G-C11</v>
      </c>
      <c r="D913" s="11">
        <f t="array" ref="D913">iferror(index('rna-muscle'!D:D,match(A913,'rna-muscle'!A:A,0)))</f>
        <v>70</v>
      </c>
      <c r="E913" s="10" t="str">
        <f t="shared" si="3"/>
        <v>BRN70G</v>
      </c>
      <c r="F913" s="11" t="str">
        <f t="array" ref="F913">iferror(index('rna-muscle'!F:F,match($A913,'rna-muscle'!$A:$A,0)))</f>
        <v>C</v>
      </c>
      <c r="G913" s="11">
        <f t="array" ref="G913">iferror(index('rna-muscle'!G:G,match($A913,'rna-muscle'!$A:$A,0)))</f>
        <v>11</v>
      </c>
      <c r="H913" s="11" t="str">
        <f t="shared" si="4"/>
        <v>C11</v>
      </c>
      <c r="I913" s="10" t="str">
        <f t="shared" si="5"/>
        <v>BRN70G-C11</v>
      </c>
      <c r="J913" s="16"/>
      <c r="K913" s="16" t="str">
        <f t="shared" si="6"/>
        <v>collected</v>
      </c>
      <c r="L913" s="16" t="str">
        <f t="shared" si="7"/>
        <v>N</v>
      </c>
      <c r="M913" s="16"/>
      <c r="N913" s="16"/>
    </row>
    <row r="914">
      <c r="A914" s="40" t="s">
        <v>1332</v>
      </c>
      <c r="B914" s="10" t="str">
        <f t="shared" si="1"/>
        <v>RNA-gill</v>
      </c>
      <c r="C914" s="10" t="str">
        <f t="shared" si="2"/>
        <v>BRN70G-B11</v>
      </c>
      <c r="D914" s="11">
        <f t="array" ref="D914">iferror(index('rna-muscle'!D:D,match(A914,'rna-muscle'!A:A,0)))</f>
        <v>70</v>
      </c>
      <c r="E914" s="10" t="str">
        <f t="shared" si="3"/>
        <v>BRN70G</v>
      </c>
      <c r="F914" s="11" t="str">
        <f t="array" ref="F914">iferror(index('rna-muscle'!F:F,match($A914,'rna-muscle'!$A:$A,0)))</f>
        <v>B</v>
      </c>
      <c r="G914" s="11">
        <f t="array" ref="G914">iferror(index('rna-muscle'!G:G,match($A914,'rna-muscle'!$A:$A,0)))</f>
        <v>11</v>
      </c>
      <c r="H914" s="11" t="str">
        <f t="shared" si="4"/>
        <v>B11</v>
      </c>
      <c r="I914" s="10" t="str">
        <f t="shared" si="5"/>
        <v>BRN70G-B11</v>
      </c>
      <c r="J914" s="16"/>
      <c r="K914" s="16" t="str">
        <f t="shared" si="6"/>
        <v>collected</v>
      </c>
      <c r="L914" s="16" t="str">
        <f t="shared" si="7"/>
        <v>N</v>
      </c>
      <c r="M914" s="16"/>
      <c r="N914" s="16"/>
    </row>
    <row r="915">
      <c r="A915" s="40" t="s">
        <v>1333</v>
      </c>
      <c r="B915" s="10" t="str">
        <f t="shared" si="1"/>
        <v>RNA-gill</v>
      </c>
      <c r="C915" s="10" t="str">
        <f t="shared" si="2"/>
        <v>BRN70G-A11</v>
      </c>
      <c r="D915" s="11">
        <f t="array" ref="D915">iferror(index('rna-muscle'!D:D,match(A915,'rna-muscle'!A:A,0)))</f>
        <v>70</v>
      </c>
      <c r="E915" s="10" t="str">
        <f t="shared" si="3"/>
        <v>BRN70G</v>
      </c>
      <c r="F915" s="11" t="str">
        <f t="array" ref="F915">iferror(index('rna-muscle'!F:F,match($A915,'rna-muscle'!$A:$A,0)))</f>
        <v>A</v>
      </c>
      <c r="G915" s="11">
        <f t="array" ref="G915">iferror(index('rna-muscle'!G:G,match($A915,'rna-muscle'!$A:$A,0)))</f>
        <v>11</v>
      </c>
      <c r="H915" s="11" t="str">
        <f t="shared" si="4"/>
        <v>A11</v>
      </c>
      <c r="I915" s="10" t="str">
        <f t="shared" si="5"/>
        <v>BRN70G-A11</v>
      </c>
      <c r="J915" s="16"/>
      <c r="K915" s="16" t="str">
        <f t="shared" si="6"/>
        <v>collected</v>
      </c>
      <c r="L915" s="16" t="str">
        <f t="shared" si="7"/>
        <v>N</v>
      </c>
      <c r="M915" s="16"/>
      <c r="N915" s="16"/>
    </row>
    <row r="916">
      <c r="A916" s="40" t="s">
        <v>1334</v>
      </c>
      <c r="B916" s="10" t="str">
        <f t="shared" si="1"/>
        <v>RNA-gill</v>
      </c>
      <c r="C916" s="10" t="str">
        <f t="shared" si="2"/>
        <v>BRN71G-H1</v>
      </c>
      <c r="D916" s="11">
        <f t="array" ref="D916">iferror(index('rna-muscle'!D:D,match(A916,'rna-muscle'!A:A,0)))</f>
        <v>71</v>
      </c>
      <c r="E916" s="10" t="str">
        <f t="shared" si="3"/>
        <v>BRN71G</v>
      </c>
      <c r="F916" s="11" t="str">
        <f t="array" ref="F916">iferror(index('rna-muscle'!F:F,match($A916,'rna-muscle'!$A:$A,0)))</f>
        <v>H</v>
      </c>
      <c r="G916" s="11">
        <f t="array" ref="G916">iferror(index('rna-muscle'!G:G,match($A916,'rna-muscle'!$A:$A,0)))</f>
        <v>1</v>
      </c>
      <c r="H916" s="11" t="str">
        <f t="shared" si="4"/>
        <v>H1</v>
      </c>
      <c r="I916" s="10" t="str">
        <f t="shared" si="5"/>
        <v>BRN71G-H1</v>
      </c>
      <c r="J916" s="16"/>
      <c r="K916" s="16" t="str">
        <f t="shared" si="6"/>
        <v>collected</v>
      </c>
      <c r="L916" s="16" t="str">
        <f t="shared" si="7"/>
        <v>N</v>
      </c>
      <c r="M916" s="16"/>
      <c r="N916" s="16"/>
    </row>
    <row r="917">
      <c r="A917" s="40" t="s">
        <v>1335</v>
      </c>
      <c r="B917" s="10" t="str">
        <f t="shared" si="1"/>
        <v>RNA-gill</v>
      </c>
      <c r="C917" s="10" t="str">
        <f t="shared" si="2"/>
        <v>BRN71G-G1</v>
      </c>
      <c r="D917" s="11">
        <f t="array" ref="D917">iferror(index('rna-muscle'!D:D,match(A917,'rna-muscle'!A:A,0)))</f>
        <v>71</v>
      </c>
      <c r="E917" s="10" t="str">
        <f t="shared" si="3"/>
        <v>BRN71G</v>
      </c>
      <c r="F917" s="11" t="str">
        <f t="array" ref="F917">iferror(index('rna-muscle'!F:F,match($A917,'rna-muscle'!$A:$A,0)))</f>
        <v>G</v>
      </c>
      <c r="G917" s="11">
        <f t="array" ref="G917">iferror(index('rna-muscle'!G:G,match($A917,'rna-muscle'!$A:$A,0)))</f>
        <v>1</v>
      </c>
      <c r="H917" s="11" t="str">
        <f t="shared" si="4"/>
        <v>G1</v>
      </c>
      <c r="I917" s="10" t="str">
        <f t="shared" si="5"/>
        <v>BRN71G-G1</v>
      </c>
      <c r="J917" s="16"/>
      <c r="K917" s="16" t="str">
        <f t="shared" si="6"/>
        <v>collected</v>
      </c>
      <c r="L917" s="16" t="str">
        <f t="shared" si="7"/>
        <v>N</v>
      </c>
      <c r="M917" s="16"/>
      <c r="N917" s="16"/>
    </row>
    <row r="918">
      <c r="A918" s="40" t="s">
        <v>1336</v>
      </c>
      <c r="B918" s="10" t="str">
        <f t="shared" si="1"/>
        <v>RNA-gill</v>
      </c>
      <c r="C918" s="10" t="str">
        <f t="shared" si="2"/>
        <v>BRN71G-F1</v>
      </c>
      <c r="D918" s="11">
        <f t="array" ref="D918">iferror(index('rna-muscle'!D:D,match(A918,'rna-muscle'!A:A,0)))</f>
        <v>71</v>
      </c>
      <c r="E918" s="10" t="str">
        <f t="shared" si="3"/>
        <v>BRN71G</v>
      </c>
      <c r="F918" s="11" t="str">
        <f t="array" ref="F918">iferror(index('rna-muscle'!F:F,match($A918,'rna-muscle'!$A:$A,0)))</f>
        <v>F</v>
      </c>
      <c r="G918" s="11">
        <f t="array" ref="G918">iferror(index('rna-muscle'!G:G,match($A918,'rna-muscle'!$A:$A,0)))</f>
        <v>1</v>
      </c>
      <c r="H918" s="11" t="str">
        <f t="shared" si="4"/>
        <v>F1</v>
      </c>
      <c r="I918" s="10" t="str">
        <f t="shared" si="5"/>
        <v>BRN71G-F1</v>
      </c>
      <c r="J918" s="16"/>
      <c r="K918" s="16" t="str">
        <f t="shared" si="6"/>
        <v>collected</v>
      </c>
      <c r="L918" s="16" t="str">
        <f t="shared" si="7"/>
        <v>N</v>
      </c>
      <c r="M918" s="16"/>
      <c r="N918" s="16"/>
    </row>
    <row r="919">
      <c r="A919" s="40" t="s">
        <v>1337</v>
      </c>
      <c r="B919" s="10" t="str">
        <f t="shared" si="1"/>
        <v>RNA-gill</v>
      </c>
      <c r="C919" s="10" t="str">
        <f t="shared" si="2"/>
        <v>BRN71G-E1</v>
      </c>
      <c r="D919" s="11">
        <f t="array" ref="D919">iferror(index('rna-muscle'!D:D,match(A919,'rna-muscle'!A:A,0)))</f>
        <v>71</v>
      </c>
      <c r="E919" s="10" t="str">
        <f t="shared" si="3"/>
        <v>BRN71G</v>
      </c>
      <c r="F919" s="11" t="str">
        <f t="array" ref="F919">iferror(index('rna-muscle'!F:F,match($A919,'rna-muscle'!$A:$A,0)))</f>
        <v>E</v>
      </c>
      <c r="G919" s="11">
        <f t="array" ref="G919">iferror(index('rna-muscle'!G:G,match($A919,'rna-muscle'!$A:$A,0)))</f>
        <v>1</v>
      </c>
      <c r="H919" s="11" t="str">
        <f t="shared" si="4"/>
        <v>E1</v>
      </c>
      <c r="I919" s="10" t="str">
        <f t="shared" si="5"/>
        <v>BRN71G-E1</v>
      </c>
      <c r="J919" s="16"/>
      <c r="K919" s="16" t="str">
        <f t="shared" si="6"/>
        <v>collected</v>
      </c>
      <c r="L919" s="16" t="str">
        <f t="shared" si="7"/>
        <v>N</v>
      </c>
      <c r="M919" s="16"/>
      <c r="N919" s="16"/>
    </row>
    <row r="920">
      <c r="A920" s="40" t="s">
        <v>1338</v>
      </c>
      <c r="B920" s="10" t="str">
        <f t="shared" si="1"/>
        <v>RNA-gill</v>
      </c>
      <c r="C920" s="10" t="str">
        <f t="shared" si="2"/>
        <v>BRN71G-D1</v>
      </c>
      <c r="D920" s="11">
        <f t="array" ref="D920">iferror(index('rna-muscle'!D:D,match(A920,'rna-muscle'!A:A,0)))</f>
        <v>71</v>
      </c>
      <c r="E920" s="10" t="str">
        <f t="shared" si="3"/>
        <v>BRN71G</v>
      </c>
      <c r="F920" s="11" t="str">
        <f t="array" ref="F920">iferror(index('rna-muscle'!F:F,match($A920,'rna-muscle'!$A:$A,0)))</f>
        <v>D</v>
      </c>
      <c r="G920" s="11">
        <f t="array" ref="G920">iferror(index('rna-muscle'!G:G,match($A920,'rna-muscle'!$A:$A,0)))</f>
        <v>1</v>
      </c>
      <c r="H920" s="11" t="str">
        <f t="shared" si="4"/>
        <v>D1</v>
      </c>
      <c r="I920" s="10" t="str">
        <f t="shared" si="5"/>
        <v>BRN71G-D1</v>
      </c>
      <c r="J920" s="16"/>
      <c r="K920" s="16" t="str">
        <f t="shared" si="6"/>
        <v>collected</v>
      </c>
      <c r="L920" s="16" t="str">
        <f t="shared" si="7"/>
        <v>N</v>
      </c>
      <c r="M920" s="16"/>
      <c r="N920" s="16"/>
    </row>
    <row r="921">
      <c r="A921" s="40" t="s">
        <v>1339</v>
      </c>
      <c r="B921" s="10" t="str">
        <f t="shared" si="1"/>
        <v>RNA-gill</v>
      </c>
      <c r="C921" s="10" t="str">
        <f t="shared" si="2"/>
        <v>BRN71G-C1</v>
      </c>
      <c r="D921" s="11">
        <f t="array" ref="D921">iferror(index('rna-muscle'!D:D,match(A921,'rna-muscle'!A:A,0)))</f>
        <v>71</v>
      </c>
      <c r="E921" s="10" t="str">
        <f t="shared" si="3"/>
        <v>BRN71G</v>
      </c>
      <c r="F921" s="11" t="str">
        <f t="array" ref="F921">iferror(index('rna-muscle'!F:F,match($A921,'rna-muscle'!$A:$A,0)))</f>
        <v>C</v>
      </c>
      <c r="G921" s="11">
        <f t="array" ref="G921">iferror(index('rna-muscle'!G:G,match($A921,'rna-muscle'!$A:$A,0)))</f>
        <v>1</v>
      </c>
      <c r="H921" s="11" t="str">
        <f t="shared" si="4"/>
        <v>C1</v>
      </c>
      <c r="I921" s="10" t="str">
        <f t="shared" si="5"/>
        <v>BRN71G-C1</v>
      </c>
      <c r="J921" s="16"/>
      <c r="K921" s="16" t="str">
        <f t="shared" si="6"/>
        <v>collected</v>
      </c>
      <c r="L921" s="16" t="str">
        <f t="shared" si="7"/>
        <v>N</v>
      </c>
      <c r="M921" s="16"/>
      <c r="N921" s="16"/>
    </row>
    <row r="922">
      <c r="A922" s="40" t="s">
        <v>1340</v>
      </c>
      <c r="B922" s="10" t="str">
        <f t="shared" si="1"/>
        <v>RNA-gill</v>
      </c>
      <c r="C922" s="10" t="str">
        <f t="shared" si="2"/>
        <v>BRN71G-B1</v>
      </c>
      <c r="D922" s="11">
        <f t="array" ref="D922">iferror(index('rna-muscle'!D:D,match(A922,'rna-muscle'!A:A,0)))</f>
        <v>71</v>
      </c>
      <c r="E922" s="10" t="str">
        <f t="shared" si="3"/>
        <v>BRN71G</v>
      </c>
      <c r="F922" s="11" t="str">
        <f t="array" ref="F922">iferror(index('rna-muscle'!F:F,match($A922,'rna-muscle'!$A:$A,0)))</f>
        <v>B</v>
      </c>
      <c r="G922" s="11">
        <f t="array" ref="G922">iferror(index('rna-muscle'!G:G,match($A922,'rna-muscle'!$A:$A,0)))</f>
        <v>1</v>
      </c>
      <c r="H922" s="11" t="str">
        <f t="shared" si="4"/>
        <v>B1</v>
      </c>
      <c r="I922" s="10" t="str">
        <f t="shared" si="5"/>
        <v>BRN71G-B1</v>
      </c>
      <c r="J922" s="16"/>
      <c r="K922" s="16" t="str">
        <f t="shared" si="6"/>
        <v>collected</v>
      </c>
      <c r="L922" s="16" t="str">
        <f t="shared" si="7"/>
        <v>N</v>
      </c>
      <c r="M922" s="16"/>
      <c r="N922" s="16"/>
    </row>
    <row r="923">
      <c r="A923" s="27" t="s">
        <v>1341</v>
      </c>
      <c r="B923" s="10" t="str">
        <f t="shared" si="1"/>
        <v>RNA-gill</v>
      </c>
      <c r="C923" s="10" t="str">
        <f t="shared" si="2"/>
        <v>BRN70G-E10</v>
      </c>
      <c r="D923" s="11">
        <f t="array" ref="D923">iferror(index('rna-muscle'!D:D,match(A923,'rna-muscle'!A:A,0)))</f>
        <v>70</v>
      </c>
      <c r="E923" s="10" t="str">
        <f t="shared" si="3"/>
        <v>BRN70G</v>
      </c>
      <c r="F923" s="11" t="str">
        <f t="array" ref="F923">iferror(index('rna-muscle'!F:F,match($A923,'rna-muscle'!$A:$A,0)))</f>
        <v>E</v>
      </c>
      <c r="G923" s="11">
        <f t="array" ref="G923">iferror(index('rna-muscle'!G:G,match($A923,'rna-muscle'!$A:$A,0)))</f>
        <v>10</v>
      </c>
      <c r="H923" s="11" t="str">
        <f t="shared" si="4"/>
        <v>E10</v>
      </c>
      <c r="I923" s="10" t="str">
        <f t="shared" si="5"/>
        <v>BRN70G-E10</v>
      </c>
      <c r="J923" s="16"/>
      <c r="K923" s="16" t="str">
        <f t="shared" si="6"/>
        <v>collected</v>
      </c>
      <c r="L923" s="16" t="str">
        <f t="shared" si="7"/>
        <v>N</v>
      </c>
      <c r="M923" s="16"/>
      <c r="N923" s="16"/>
    </row>
    <row r="924">
      <c r="A924" s="27" t="s">
        <v>1342</v>
      </c>
      <c r="B924" s="10" t="str">
        <f t="shared" si="1"/>
        <v>RNA-gill</v>
      </c>
      <c r="C924" s="10" t="str">
        <f t="shared" si="2"/>
        <v>BRN70G-D10</v>
      </c>
      <c r="D924" s="11">
        <f t="array" ref="D924">iferror(index('rna-muscle'!D:D,match(A924,'rna-muscle'!A:A,0)))</f>
        <v>70</v>
      </c>
      <c r="E924" s="10" t="str">
        <f t="shared" si="3"/>
        <v>BRN70G</v>
      </c>
      <c r="F924" s="11" t="str">
        <f t="array" ref="F924">iferror(index('rna-muscle'!F:F,match($A924,'rna-muscle'!$A:$A,0)))</f>
        <v>D</v>
      </c>
      <c r="G924" s="11">
        <f t="array" ref="G924">iferror(index('rna-muscle'!G:G,match($A924,'rna-muscle'!$A:$A,0)))</f>
        <v>10</v>
      </c>
      <c r="H924" s="11" t="str">
        <f t="shared" si="4"/>
        <v>D10</v>
      </c>
      <c r="I924" s="10" t="str">
        <f t="shared" si="5"/>
        <v>BRN70G-D10</v>
      </c>
      <c r="J924" s="16"/>
      <c r="K924" s="16" t="str">
        <f t="shared" si="6"/>
        <v>collected</v>
      </c>
      <c r="L924" s="16" t="str">
        <f t="shared" si="7"/>
        <v>N</v>
      </c>
      <c r="M924" s="16"/>
      <c r="N924" s="16"/>
    </row>
    <row r="925">
      <c r="A925" s="27" t="s">
        <v>1343</v>
      </c>
      <c r="B925" s="10" t="str">
        <f t="shared" si="1"/>
        <v>RNA-gill</v>
      </c>
      <c r="C925" s="10" t="str">
        <f t="shared" si="2"/>
        <v>BRN70G-C10</v>
      </c>
      <c r="D925" s="11">
        <f t="array" ref="D925">iferror(index('rna-muscle'!D:D,match(A925,'rna-muscle'!A:A,0)))</f>
        <v>70</v>
      </c>
      <c r="E925" s="10" t="str">
        <f t="shared" si="3"/>
        <v>BRN70G</v>
      </c>
      <c r="F925" s="11" t="str">
        <f t="array" ref="F925">iferror(index('rna-muscle'!F:F,match($A925,'rna-muscle'!$A:$A,0)))</f>
        <v>C</v>
      </c>
      <c r="G925" s="11">
        <f t="array" ref="G925">iferror(index('rna-muscle'!G:G,match($A925,'rna-muscle'!$A:$A,0)))</f>
        <v>10</v>
      </c>
      <c r="H925" s="11" t="str">
        <f t="shared" si="4"/>
        <v>C10</v>
      </c>
      <c r="I925" s="10" t="str">
        <f t="shared" si="5"/>
        <v>BRN70G-C10</v>
      </c>
      <c r="J925" s="16"/>
      <c r="K925" s="16" t="str">
        <f t="shared" si="6"/>
        <v>collected</v>
      </c>
      <c r="L925" s="16" t="str">
        <f t="shared" si="7"/>
        <v>N</v>
      </c>
      <c r="M925" s="16"/>
      <c r="N925" s="16"/>
    </row>
    <row r="926">
      <c r="A926" s="27" t="s">
        <v>1344</v>
      </c>
      <c r="B926" s="10" t="str">
        <f t="shared" si="1"/>
        <v>RNA-gill</v>
      </c>
      <c r="C926" s="10" t="str">
        <f t="shared" si="2"/>
        <v>BRN70G-B10</v>
      </c>
      <c r="D926" s="11">
        <f t="array" ref="D926">iferror(index('rna-muscle'!D:D,match(A926,'rna-muscle'!A:A,0)))</f>
        <v>70</v>
      </c>
      <c r="E926" s="10" t="str">
        <f t="shared" si="3"/>
        <v>BRN70G</v>
      </c>
      <c r="F926" s="11" t="str">
        <f t="array" ref="F926">iferror(index('rna-muscle'!F:F,match($A926,'rna-muscle'!$A:$A,0)))</f>
        <v>B</v>
      </c>
      <c r="G926" s="11">
        <f t="array" ref="G926">iferror(index('rna-muscle'!G:G,match($A926,'rna-muscle'!$A:$A,0)))</f>
        <v>10</v>
      </c>
      <c r="H926" s="11" t="str">
        <f t="shared" si="4"/>
        <v>B10</v>
      </c>
      <c r="I926" s="10" t="str">
        <f t="shared" si="5"/>
        <v>BRN70G-B10</v>
      </c>
      <c r="J926" s="16"/>
      <c r="K926" s="16" t="str">
        <f t="shared" si="6"/>
        <v>collected</v>
      </c>
      <c r="L926" s="16" t="str">
        <f t="shared" si="7"/>
        <v>N</v>
      </c>
      <c r="M926" s="16"/>
      <c r="N926" s="16"/>
    </row>
    <row r="927">
      <c r="A927" s="27" t="s">
        <v>1345</v>
      </c>
      <c r="B927" s="10" t="str">
        <f t="shared" si="1"/>
        <v>RNA-gill</v>
      </c>
      <c r="C927" s="10" t="str">
        <f t="shared" si="2"/>
        <v>BRN70G-A10</v>
      </c>
      <c r="D927" s="11">
        <f t="array" ref="D927">iferror(index('rna-muscle'!D:D,match(A927,'rna-muscle'!A:A,0)))</f>
        <v>70</v>
      </c>
      <c r="E927" s="10" t="str">
        <f t="shared" si="3"/>
        <v>BRN70G</v>
      </c>
      <c r="F927" s="11" t="str">
        <f t="array" ref="F927">iferror(index('rna-muscle'!F:F,match($A927,'rna-muscle'!$A:$A,0)))</f>
        <v>A</v>
      </c>
      <c r="G927" s="11">
        <f t="array" ref="G927">iferror(index('rna-muscle'!G:G,match($A927,'rna-muscle'!$A:$A,0)))</f>
        <v>10</v>
      </c>
      <c r="H927" s="11" t="str">
        <f t="shared" si="4"/>
        <v>A10</v>
      </c>
      <c r="I927" s="10" t="str">
        <f t="shared" si="5"/>
        <v>BRN70G-A10</v>
      </c>
      <c r="J927" s="16"/>
      <c r="K927" s="16" t="str">
        <f t="shared" si="6"/>
        <v>collected</v>
      </c>
      <c r="L927" s="16" t="str">
        <f t="shared" si="7"/>
        <v>N</v>
      </c>
      <c r="M927" s="16"/>
      <c r="N927" s="16"/>
    </row>
    <row r="928">
      <c r="A928" s="27" t="s">
        <v>1346</v>
      </c>
      <c r="B928" s="10" t="str">
        <f t="shared" si="1"/>
        <v>RNA-gill</v>
      </c>
      <c r="C928" s="10" t="str">
        <f t="shared" si="2"/>
        <v>BRN70G-G12</v>
      </c>
      <c r="D928" s="11">
        <f t="array" ref="D928">iferror(index('rna-muscle'!D:D,match(A928,'rna-muscle'!A:A,0)))</f>
        <v>70</v>
      </c>
      <c r="E928" s="10" t="str">
        <f t="shared" si="3"/>
        <v>BRN70G</v>
      </c>
      <c r="F928" s="11" t="str">
        <f t="array" ref="F928">iferror(index('rna-muscle'!F:F,match($A928,'rna-muscle'!$A:$A,0)))</f>
        <v>G</v>
      </c>
      <c r="G928" s="11">
        <f t="array" ref="G928">iferror(index('rna-muscle'!G:G,match($A928,'rna-muscle'!$A:$A,0)))</f>
        <v>12</v>
      </c>
      <c r="H928" s="11" t="str">
        <f t="shared" si="4"/>
        <v>G12</v>
      </c>
      <c r="I928" s="10" t="str">
        <f t="shared" si="5"/>
        <v>BRN70G-G12</v>
      </c>
      <c r="J928" s="16"/>
      <c r="K928" s="16" t="str">
        <f t="shared" si="6"/>
        <v>collected</v>
      </c>
      <c r="L928" s="16" t="str">
        <f t="shared" si="7"/>
        <v>N</v>
      </c>
      <c r="M928" s="16"/>
      <c r="N928" s="16"/>
    </row>
    <row r="929">
      <c r="A929" s="27" t="s">
        <v>1347</v>
      </c>
      <c r="B929" s="10" t="str">
        <f t="shared" si="1"/>
        <v>RNA-gill</v>
      </c>
      <c r="C929" s="10" t="str">
        <f t="shared" si="2"/>
        <v>BRN70G-F12</v>
      </c>
      <c r="D929" s="11">
        <f t="array" ref="D929">iferror(index('rna-muscle'!D:D,match(A929,'rna-muscle'!A:A,0)))</f>
        <v>70</v>
      </c>
      <c r="E929" s="10" t="str">
        <f t="shared" si="3"/>
        <v>BRN70G</v>
      </c>
      <c r="F929" s="11" t="str">
        <f t="array" ref="F929">iferror(index('rna-muscle'!F:F,match($A929,'rna-muscle'!$A:$A,0)))</f>
        <v>F</v>
      </c>
      <c r="G929" s="11">
        <f t="array" ref="G929">iferror(index('rna-muscle'!G:G,match($A929,'rna-muscle'!$A:$A,0)))</f>
        <v>12</v>
      </c>
      <c r="H929" s="11" t="str">
        <f t="shared" si="4"/>
        <v>F12</v>
      </c>
      <c r="I929" s="10" t="str">
        <f t="shared" si="5"/>
        <v>BRN70G-F12</v>
      </c>
      <c r="J929" s="16"/>
      <c r="K929" s="16" t="str">
        <f t="shared" si="6"/>
        <v>collected</v>
      </c>
      <c r="L929" s="16" t="str">
        <f t="shared" si="7"/>
        <v>N</v>
      </c>
      <c r="M929" s="16"/>
      <c r="N929" s="16"/>
    </row>
    <row r="930">
      <c r="A930" s="27" t="s">
        <v>1348</v>
      </c>
      <c r="B930" s="10" t="str">
        <f t="shared" si="1"/>
        <v>RNA-gill</v>
      </c>
      <c r="C930" s="10" t="str">
        <f t="shared" si="2"/>
        <v>BRN70G-E12</v>
      </c>
      <c r="D930" s="11">
        <f t="array" ref="D930">iferror(index('rna-muscle'!D:D,match(A930,'rna-muscle'!A:A,0)))</f>
        <v>70</v>
      </c>
      <c r="E930" s="10" t="str">
        <f t="shared" si="3"/>
        <v>BRN70G</v>
      </c>
      <c r="F930" s="11" t="str">
        <f t="array" ref="F930">iferror(index('rna-muscle'!F:F,match($A930,'rna-muscle'!$A:$A,0)))</f>
        <v>E</v>
      </c>
      <c r="G930" s="11">
        <f t="array" ref="G930">iferror(index('rna-muscle'!G:G,match($A930,'rna-muscle'!$A:$A,0)))</f>
        <v>12</v>
      </c>
      <c r="H930" s="11" t="str">
        <f t="shared" si="4"/>
        <v>E12</v>
      </c>
      <c r="I930" s="10" t="str">
        <f t="shared" si="5"/>
        <v>BRN70G-E12</v>
      </c>
      <c r="J930" s="16"/>
      <c r="K930" s="16" t="str">
        <f t="shared" si="6"/>
        <v>collected</v>
      </c>
      <c r="L930" s="16" t="str">
        <f t="shared" si="7"/>
        <v>N</v>
      </c>
      <c r="M930" s="16"/>
      <c r="N930" s="16"/>
    </row>
    <row r="931">
      <c r="A931" s="27" t="s">
        <v>1350</v>
      </c>
      <c r="B931" s="10" t="str">
        <f t="shared" si="1"/>
        <v>RNA-gill</v>
      </c>
      <c r="C931" s="10" t="str">
        <f t="shared" si="2"/>
        <v>BRN70G-D12</v>
      </c>
      <c r="D931" s="11">
        <f t="array" ref="D931">iferror(index('rna-muscle'!D:D,match(A931,'rna-muscle'!A:A,0)))</f>
        <v>70</v>
      </c>
      <c r="E931" s="10" t="str">
        <f t="shared" si="3"/>
        <v>BRN70G</v>
      </c>
      <c r="F931" s="11" t="str">
        <f t="array" ref="F931">iferror(index('rna-muscle'!F:F,match($A931,'rna-muscle'!$A:$A,0)))</f>
        <v>D</v>
      </c>
      <c r="G931" s="11">
        <f t="array" ref="G931">iferror(index('rna-muscle'!G:G,match($A931,'rna-muscle'!$A:$A,0)))</f>
        <v>12</v>
      </c>
      <c r="H931" s="11" t="str">
        <f t="shared" si="4"/>
        <v>D12</v>
      </c>
      <c r="I931" s="10" t="str">
        <f t="shared" si="5"/>
        <v>BRN70G-D12</v>
      </c>
      <c r="J931" s="16"/>
      <c r="K931" s="16" t="str">
        <f t="shared" si="6"/>
        <v>collected</v>
      </c>
      <c r="L931" s="16" t="str">
        <f t="shared" si="7"/>
        <v>N</v>
      </c>
      <c r="M931" s="16"/>
      <c r="N931" s="16"/>
    </row>
    <row r="932">
      <c r="A932" s="27" t="s">
        <v>1351</v>
      </c>
      <c r="B932" s="10" t="str">
        <f t="shared" si="1"/>
        <v>RNA-gill</v>
      </c>
      <c r="C932" s="10" t="str">
        <f t="shared" si="2"/>
        <v>BRN70G-C12</v>
      </c>
      <c r="D932" s="11">
        <f t="array" ref="D932">iferror(index('rna-muscle'!D:D,match(A932,'rna-muscle'!A:A,0)))</f>
        <v>70</v>
      </c>
      <c r="E932" s="10" t="str">
        <f t="shared" si="3"/>
        <v>BRN70G</v>
      </c>
      <c r="F932" s="11" t="str">
        <f t="array" ref="F932">iferror(index('rna-muscle'!F:F,match($A932,'rna-muscle'!$A:$A,0)))</f>
        <v>C</v>
      </c>
      <c r="G932" s="11">
        <f t="array" ref="G932">iferror(index('rna-muscle'!G:G,match($A932,'rna-muscle'!$A:$A,0)))</f>
        <v>12</v>
      </c>
      <c r="H932" s="11" t="str">
        <f t="shared" si="4"/>
        <v>C12</v>
      </c>
      <c r="I932" s="10" t="str">
        <f t="shared" si="5"/>
        <v>BRN70G-C12</v>
      </c>
      <c r="J932" s="16"/>
      <c r="K932" s="16" t="str">
        <f t="shared" si="6"/>
        <v>collected</v>
      </c>
      <c r="L932" s="16" t="str">
        <f t="shared" si="7"/>
        <v>N</v>
      </c>
      <c r="M932" s="16"/>
      <c r="N932" s="16"/>
    </row>
    <row r="933">
      <c r="A933" s="27" t="s">
        <v>1352</v>
      </c>
      <c r="B933" s="10" t="str">
        <f t="shared" si="1"/>
        <v>RNA-gill</v>
      </c>
      <c r="C933" s="10" t="str">
        <f t="shared" si="2"/>
        <v>BRN70G-B12</v>
      </c>
      <c r="D933" s="11">
        <f t="array" ref="D933">iferror(index('rna-muscle'!D:D,match(A933,'rna-muscle'!A:A,0)))</f>
        <v>70</v>
      </c>
      <c r="E933" s="10" t="str">
        <f t="shared" si="3"/>
        <v>BRN70G</v>
      </c>
      <c r="F933" s="11" t="str">
        <f t="array" ref="F933">iferror(index('rna-muscle'!F:F,match($A933,'rna-muscle'!$A:$A,0)))</f>
        <v>B</v>
      </c>
      <c r="G933" s="11">
        <f t="array" ref="G933">iferror(index('rna-muscle'!G:G,match($A933,'rna-muscle'!$A:$A,0)))</f>
        <v>12</v>
      </c>
      <c r="H933" s="11" t="str">
        <f t="shared" si="4"/>
        <v>B12</v>
      </c>
      <c r="I933" s="10" t="str">
        <f t="shared" si="5"/>
        <v>BRN70G-B12</v>
      </c>
      <c r="J933" s="16"/>
      <c r="K933" s="16" t="str">
        <f t="shared" si="6"/>
        <v>collected</v>
      </c>
      <c r="L933" s="16" t="str">
        <f t="shared" si="7"/>
        <v>N</v>
      </c>
      <c r="M933" s="16"/>
      <c r="N933" s="16"/>
    </row>
    <row r="934">
      <c r="A934" s="27" t="s">
        <v>1353</v>
      </c>
      <c r="B934" s="10" t="str">
        <f t="shared" si="1"/>
        <v>RNA-gill</v>
      </c>
      <c r="C934" s="10" t="str">
        <f t="shared" si="2"/>
        <v>BRN70G-A12</v>
      </c>
      <c r="D934" s="11">
        <f t="array" ref="D934">iferror(index('rna-muscle'!D:D,match(A934,'rna-muscle'!A:A,0)))</f>
        <v>70</v>
      </c>
      <c r="E934" s="10" t="str">
        <f t="shared" si="3"/>
        <v>BRN70G</v>
      </c>
      <c r="F934" s="11" t="str">
        <f t="array" ref="F934">iferror(index('rna-muscle'!F:F,match($A934,'rna-muscle'!$A:$A,0)))</f>
        <v>A</v>
      </c>
      <c r="G934" s="11">
        <f t="array" ref="G934">iferror(index('rna-muscle'!G:G,match($A934,'rna-muscle'!$A:$A,0)))</f>
        <v>12</v>
      </c>
      <c r="H934" s="11" t="str">
        <f t="shared" si="4"/>
        <v>A12</v>
      </c>
      <c r="I934" s="10" t="str">
        <f t="shared" si="5"/>
        <v>BRN70G-A12</v>
      </c>
      <c r="J934" s="16"/>
      <c r="K934" s="16" t="str">
        <f t="shared" si="6"/>
        <v>collected</v>
      </c>
      <c r="L934" s="16" t="str">
        <f t="shared" si="7"/>
        <v>N</v>
      </c>
      <c r="M934" s="16"/>
      <c r="N934" s="16"/>
    </row>
    <row r="935">
      <c r="A935" s="27" t="s">
        <v>1355</v>
      </c>
      <c r="B935" s="10" t="str">
        <f t="shared" si="1"/>
        <v>RNA-gill</v>
      </c>
      <c r="C935" s="10" t="str">
        <f t="shared" si="2"/>
        <v>BRN71G-H2</v>
      </c>
      <c r="D935" s="11">
        <f t="array" ref="D935">iferror(index('rna-muscle'!D:D,match(A935,'rna-muscle'!A:A,0)))</f>
        <v>71</v>
      </c>
      <c r="E935" s="10" t="str">
        <f t="shared" si="3"/>
        <v>BRN71G</v>
      </c>
      <c r="F935" s="11" t="str">
        <f t="array" ref="F935">iferror(index('rna-muscle'!F:F,match($A935,'rna-muscle'!$A:$A,0)))</f>
        <v>H</v>
      </c>
      <c r="G935" s="11">
        <f t="array" ref="G935">iferror(index('rna-muscle'!G:G,match($A935,'rna-muscle'!$A:$A,0)))</f>
        <v>2</v>
      </c>
      <c r="H935" s="11" t="str">
        <f t="shared" si="4"/>
        <v>H2</v>
      </c>
      <c r="I935" s="10" t="str">
        <f t="shared" si="5"/>
        <v>BRN71G-H2</v>
      </c>
      <c r="J935" s="16"/>
      <c r="K935" s="16" t="str">
        <f t="shared" si="6"/>
        <v>collected</v>
      </c>
      <c r="L935" s="16" t="str">
        <f t="shared" si="7"/>
        <v>N</v>
      </c>
      <c r="M935" s="16"/>
      <c r="N935" s="16"/>
    </row>
    <row r="936">
      <c r="A936" s="27" t="s">
        <v>1356</v>
      </c>
      <c r="B936" s="10" t="str">
        <f t="shared" si="1"/>
        <v>RNA-gill</v>
      </c>
      <c r="C936" s="10" t="str">
        <f t="shared" si="2"/>
        <v>BRN71G-G2</v>
      </c>
      <c r="D936" s="11">
        <f t="array" ref="D936">iferror(index('rna-muscle'!D:D,match(A936,'rna-muscle'!A:A,0)))</f>
        <v>71</v>
      </c>
      <c r="E936" s="10" t="str">
        <f t="shared" si="3"/>
        <v>BRN71G</v>
      </c>
      <c r="F936" s="11" t="str">
        <f t="array" ref="F936">iferror(index('rna-muscle'!F:F,match($A936,'rna-muscle'!$A:$A,0)))</f>
        <v>G</v>
      </c>
      <c r="G936" s="11">
        <f t="array" ref="G936">iferror(index('rna-muscle'!G:G,match($A936,'rna-muscle'!$A:$A,0)))</f>
        <v>2</v>
      </c>
      <c r="H936" s="11" t="str">
        <f t="shared" si="4"/>
        <v>G2</v>
      </c>
      <c r="I936" s="10" t="str">
        <f t="shared" si="5"/>
        <v>BRN71G-G2</v>
      </c>
      <c r="J936" s="16"/>
      <c r="K936" s="16" t="str">
        <f t="shared" si="6"/>
        <v>collected</v>
      </c>
      <c r="L936" s="16" t="str">
        <f t="shared" si="7"/>
        <v>N</v>
      </c>
      <c r="M936" s="16"/>
      <c r="N936" s="16"/>
    </row>
    <row r="937">
      <c r="A937" s="27" t="s">
        <v>1357</v>
      </c>
      <c r="B937" s="10" t="str">
        <f t="shared" si="1"/>
        <v>RNA-gill</v>
      </c>
      <c r="C937" s="10" t="str">
        <f t="shared" si="2"/>
        <v>BRN71G-F2</v>
      </c>
      <c r="D937" s="11">
        <f t="array" ref="D937">iferror(index('rna-muscle'!D:D,match(A937,'rna-muscle'!A:A,0)))</f>
        <v>71</v>
      </c>
      <c r="E937" s="10" t="str">
        <f t="shared" si="3"/>
        <v>BRN71G</v>
      </c>
      <c r="F937" s="11" t="str">
        <f t="array" ref="F937">iferror(index('rna-muscle'!F:F,match($A937,'rna-muscle'!$A:$A,0)))</f>
        <v>F</v>
      </c>
      <c r="G937" s="11">
        <f t="array" ref="G937">iferror(index('rna-muscle'!G:G,match($A937,'rna-muscle'!$A:$A,0)))</f>
        <v>2</v>
      </c>
      <c r="H937" s="11" t="str">
        <f t="shared" si="4"/>
        <v>F2</v>
      </c>
      <c r="I937" s="10" t="str">
        <f t="shared" si="5"/>
        <v>BRN71G-F2</v>
      </c>
      <c r="J937" s="16"/>
      <c r="K937" s="16" t="str">
        <f t="shared" si="6"/>
        <v>collected</v>
      </c>
      <c r="L937" s="16" t="str">
        <f t="shared" si="7"/>
        <v>N</v>
      </c>
      <c r="M937" s="16"/>
      <c r="N937" s="16"/>
    </row>
    <row r="938">
      <c r="A938" s="27" t="s">
        <v>1358</v>
      </c>
      <c r="B938" s="10" t="str">
        <f t="shared" si="1"/>
        <v>RNA-gill</v>
      </c>
      <c r="C938" s="10" t="str">
        <f t="shared" si="2"/>
        <v>BRN71G-E2</v>
      </c>
      <c r="D938" s="11">
        <f t="array" ref="D938">iferror(index('rna-muscle'!D:D,match(A938,'rna-muscle'!A:A,0)))</f>
        <v>71</v>
      </c>
      <c r="E938" s="10" t="str">
        <f t="shared" si="3"/>
        <v>BRN71G</v>
      </c>
      <c r="F938" s="11" t="str">
        <f t="array" ref="F938">iferror(index('rna-muscle'!F:F,match($A938,'rna-muscle'!$A:$A,0)))</f>
        <v>E</v>
      </c>
      <c r="G938" s="11">
        <f t="array" ref="G938">iferror(index('rna-muscle'!G:G,match($A938,'rna-muscle'!$A:$A,0)))</f>
        <v>2</v>
      </c>
      <c r="H938" s="11" t="str">
        <f t="shared" si="4"/>
        <v>E2</v>
      </c>
      <c r="I938" s="10" t="str">
        <f t="shared" si="5"/>
        <v>BRN71G-E2</v>
      </c>
      <c r="J938" s="16"/>
      <c r="K938" s="16" t="str">
        <f t="shared" si="6"/>
        <v>collected</v>
      </c>
      <c r="L938" s="16" t="str">
        <f t="shared" si="7"/>
        <v>N</v>
      </c>
      <c r="M938" s="16"/>
      <c r="N938" s="16"/>
    </row>
    <row r="939">
      <c r="A939" s="27" t="s">
        <v>1359</v>
      </c>
      <c r="B939" s="10" t="str">
        <f t="shared" si="1"/>
        <v>RNA-gill</v>
      </c>
      <c r="C939" s="10" t="str">
        <f t="shared" si="2"/>
        <v>BRN71G-D2</v>
      </c>
      <c r="D939" s="11">
        <f t="array" ref="D939">iferror(index('rna-muscle'!D:D,match(A939,'rna-muscle'!A:A,0)))</f>
        <v>71</v>
      </c>
      <c r="E939" s="10" t="str">
        <f t="shared" si="3"/>
        <v>BRN71G</v>
      </c>
      <c r="F939" s="11" t="str">
        <f t="array" ref="F939">iferror(index('rna-muscle'!F:F,match($A939,'rna-muscle'!$A:$A,0)))</f>
        <v>D</v>
      </c>
      <c r="G939" s="11">
        <f t="array" ref="G939">iferror(index('rna-muscle'!G:G,match($A939,'rna-muscle'!$A:$A,0)))</f>
        <v>2</v>
      </c>
      <c r="H939" s="11" t="str">
        <f t="shared" si="4"/>
        <v>D2</v>
      </c>
      <c r="I939" s="10" t="str">
        <f t="shared" si="5"/>
        <v>BRN71G-D2</v>
      </c>
      <c r="J939" s="16"/>
      <c r="K939" s="16" t="str">
        <f t="shared" si="6"/>
        <v>collected</v>
      </c>
      <c r="L939" s="16" t="str">
        <f t="shared" si="7"/>
        <v>N</v>
      </c>
      <c r="M939" s="16"/>
      <c r="N939" s="16"/>
    </row>
    <row r="940">
      <c r="A940" s="27" t="s">
        <v>1360</v>
      </c>
      <c r="B940" s="10" t="str">
        <f t="shared" si="1"/>
        <v>RNA-gill</v>
      </c>
      <c r="C940" s="10" t="str">
        <f t="shared" si="2"/>
        <v>BRN71G-C2</v>
      </c>
      <c r="D940" s="11">
        <f t="array" ref="D940">iferror(index('rna-muscle'!D:D,match(A940,'rna-muscle'!A:A,0)))</f>
        <v>71</v>
      </c>
      <c r="E940" s="10" t="str">
        <f t="shared" si="3"/>
        <v>BRN71G</v>
      </c>
      <c r="F940" s="11" t="str">
        <f t="array" ref="F940">iferror(index('rna-muscle'!F:F,match($A940,'rna-muscle'!$A:$A,0)))</f>
        <v>C</v>
      </c>
      <c r="G940" s="11">
        <f t="array" ref="G940">iferror(index('rna-muscle'!G:G,match($A940,'rna-muscle'!$A:$A,0)))</f>
        <v>2</v>
      </c>
      <c r="H940" s="11" t="str">
        <f t="shared" si="4"/>
        <v>C2</v>
      </c>
      <c r="I940" s="10" t="str">
        <f t="shared" si="5"/>
        <v>BRN71G-C2</v>
      </c>
      <c r="J940" s="16"/>
      <c r="K940" s="16" t="str">
        <f t="shared" si="6"/>
        <v>collected</v>
      </c>
      <c r="L940" s="16" t="str">
        <f t="shared" si="7"/>
        <v>N</v>
      </c>
      <c r="M940" s="16"/>
      <c r="N940" s="16"/>
    </row>
    <row r="941">
      <c r="A941" s="27" t="s">
        <v>1361</v>
      </c>
      <c r="B941" s="10" t="str">
        <f t="shared" si="1"/>
        <v>RNA-gill</v>
      </c>
      <c r="C941" s="10" t="str">
        <f t="shared" si="2"/>
        <v>BRN71G-B2</v>
      </c>
      <c r="D941" s="11">
        <f t="array" ref="D941">iferror(index('rna-muscle'!D:D,match(A941,'rna-muscle'!A:A,0)))</f>
        <v>71</v>
      </c>
      <c r="E941" s="10" t="str">
        <f t="shared" si="3"/>
        <v>BRN71G</v>
      </c>
      <c r="F941" s="11" t="str">
        <f t="array" ref="F941">iferror(index('rna-muscle'!F:F,match($A941,'rna-muscle'!$A:$A,0)))</f>
        <v>B</v>
      </c>
      <c r="G941" s="11">
        <f t="array" ref="G941">iferror(index('rna-muscle'!G:G,match($A941,'rna-muscle'!$A:$A,0)))</f>
        <v>2</v>
      </c>
      <c r="H941" s="11" t="str">
        <f t="shared" si="4"/>
        <v>B2</v>
      </c>
      <c r="I941" s="10" t="str">
        <f t="shared" si="5"/>
        <v>BRN71G-B2</v>
      </c>
      <c r="J941" s="16"/>
      <c r="K941" s="16" t="str">
        <f t="shared" si="6"/>
        <v>collected</v>
      </c>
      <c r="L941" s="16" t="str">
        <f t="shared" si="7"/>
        <v>N</v>
      </c>
      <c r="M941" s="16"/>
      <c r="N941" s="16"/>
    </row>
    <row r="942">
      <c r="A942" s="27" t="s">
        <v>1362</v>
      </c>
      <c r="B942" s="10" t="str">
        <f t="shared" si="1"/>
        <v>RNA-gill</v>
      </c>
      <c r="C942" s="10" t="str">
        <f t="shared" si="2"/>
        <v>BRN71G-A2</v>
      </c>
      <c r="D942" s="11">
        <f t="array" ref="D942">iferror(index('rna-muscle'!D:D,match(A942,'rna-muscle'!A:A,0)))</f>
        <v>71</v>
      </c>
      <c r="E942" s="10" t="str">
        <f t="shared" si="3"/>
        <v>BRN71G</v>
      </c>
      <c r="F942" s="11" t="str">
        <f t="array" ref="F942">iferror(index('rna-muscle'!F:F,match($A942,'rna-muscle'!$A:$A,0)))</f>
        <v>A</v>
      </c>
      <c r="G942" s="11">
        <f t="array" ref="G942">iferror(index('rna-muscle'!G:G,match($A942,'rna-muscle'!$A:$A,0)))</f>
        <v>2</v>
      </c>
      <c r="H942" s="11" t="str">
        <f t="shared" si="4"/>
        <v>A2</v>
      </c>
      <c r="I942" s="10" t="str">
        <f t="shared" si="5"/>
        <v>BRN71G-A2</v>
      </c>
      <c r="J942" s="16"/>
      <c r="K942" s="16" t="str">
        <f t="shared" si="6"/>
        <v>collected</v>
      </c>
      <c r="L942" s="16" t="str">
        <f t="shared" si="7"/>
        <v>N</v>
      </c>
      <c r="M942" s="16"/>
      <c r="N942" s="16"/>
    </row>
    <row r="943">
      <c r="A943" s="6" t="s">
        <v>1363</v>
      </c>
      <c r="B943" s="10" t="str">
        <f t="shared" si="1"/>
        <v>RNA-gill</v>
      </c>
      <c r="C943" s="10" t="str">
        <f t="shared" si="2"/>
        <v>BRN71G-H3</v>
      </c>
      <c r="D943" s="11">
        <f t="array" ref="D943">iferror(index('rna-muscle'!D:D,match(A943,'rna-muscle'!A:A,0)))</f>
        <v>71</v>
      </c>
      <c r="E943" s="10" t="str">
        <f t="shared" si="3"/>
        <v>BRN71G</v>
      </c>
      <c r="F943" s="11" t="str">
        <f t="array" ref="F943">iferror(index('rna-muscle'!F:F,match($A943,'rna-muscle'!$A:$A,0)))</f>
        <v>H</v>
      </c>
      <c r="G943" s="11">
        <f t="array" ref="G943">iferror(index('rna-muscle'!G:G,match($A943,'rna-muscle'!$A:$A,0)))</f>
        <v>3</v>
      </c>
      <c r="H943" s="11" t="str">
        <f t="shared" si="4"/>
        <v>H3</v>
      </c>
      <c r="I943" s="10" t="str">
        <f t="shared" si="5"/>
        <v>BRN71G-H3</v>
      </c>
      <c r="J943" s="16"/>
      <c r="K943" s="16" t="str">
        <f t="shared" si="6"/>
        <v>collected</v>
      </c>
      <c r="L943" s="16" t="str">
        <f t="shared" si="7"/>
        <v>N</v>
      </c>
      <c r="M943" s="16"/>
      <c r="N943" s="16"/>
    </row>
    <row r="944">
      <c r="A944" s="27" t="s">
        <v>1364</v>
      </c>
      <c r="B944" s="10" t="str">
        <f t="shared" si="1"/>
        <v>RNA-gill</v>
      </c>
      <c r="C944" s="10" t="str">
        <f t="shared" si="2"/>
        <v>BRN71G-G3</v>
      </c>
      <c r="D944" s="11">
        <f t="array" ref="D944">iferror(index('rna-muscle'!D:D,match(A944,'rna-muscle'!A:A,0)))</f>
        <v>71</v>
      </c>
      <c r="E944" s="10" t="str">
        <f t="shared" si="3"/>
        <v>BRN71G</v>
      </c>
      <c r="F944" s="11" t="str">
        <f t="array" ref="F944">iferror(index('rna-muscle'!F:F,match($A944,'rna-muscle'!$A:$A,0)))</f>
        <v>G</v>
      </c>
      <c r="G944" s="11">
        <f t="array" ref="G944">iferror(index('rna-muscle'!G:G,match($A944,'rna-muscle'!$A:$A,0)))</f>
        <v>3</v>
      </c>
      <c r="H944" s="11" t="str">
        <f t="shared" si="4"/>
        <v>G3</v>
      </c>
      <c r="I944" s="10" t="str">
        <f t="shared" si="5"/>
        <v>BRN71G-G3</v>
      </c>
      <c r="J944" s="16"/>
      <c r="K944" s="16" t="str">
        <f t="shared" si="6"/>
        <v>collected</v>
      </c>
      <c r="L944" s="16" t="str">
        <f t="shared" si="7"/>
        <v>N</v>
      </c>
      <c r="M944" s="16"/>
      <c r="N944" s="16"/>
    </row>
    <row r="945">
      <c r="A945" s="27" t="s">
        <v>1365</v>
      </c>
      <c r="B945" s="10" t="str">
        <f t="shared" si="1"/>
        <v>RNA-gill</v>
      </c>
      <c r="C945" s="10" t="str">
        <f t="shared" si="2"/>
        <v>BRN61G-G12</v>
      </c>
      <c r="D945" s="11">
        <f t="array" ref="D945">iferror(index('rna-muscle'!D:D,match(A945,'rna-muscle'!A:A,0)))</f>
        <v>61</v>
      </c>
      <c r="E945" s="10" t="str">
        <f t="shared" si="3"/>
        <v>BRN61G</v>
      </c>
      <c r="F945" s="11" t="str">
        <f t="array" ref="F945">iferror(index('rna-muscle'!F:F,match($A945,'rna-muscle'!$A:$A,0)))</f>
        <v>G</v>
      </c>
      <c r="G945" s="11">
        <f t="array" ref="G945">iferror(index('rna-muscle'!G:G,match($A945,'rna-muscle'!$A:$A,0)))</f>
        <v>12</v>
      </c>
      <c r="H945" s="11" t="str">
        <f t="shared" si="4"/>
        <v>G12</v>
      </c>
      <c r="I945" s="10" t="str">
        <f t="shared" si="5"/>
        <v>BRN61G-G12</v>
      </c>
      <c r="J945" s="6" t="s">
        <v>2148</v>
      </c>
      <c r="K945" s="16" t="str">
        <f t="shared" si="6"/>
        <v>collected</v>
      </c>
      <c r="L945" s="16" t="str">
        <f t="shared" si="7"/>
        <v>N</v>
      </c>
      <c r="M945" s="16"/>
      <c r="N945" s="16"/>
    </row>
    <row r="946">
      <c r="A946" s="27" t="s">
        <v>1366</v>
      </c>
      <c r="B946" s="10" t="str">
        <f t="shared" si="1"/>
        <v>RNA-gill</v>
      </c>
      <c r="C946" s="10" t="str">
        <f t="shared" si="2"/>
        <v>BRN61G-F12</v>
      </c>
      <c r="D946" s="11">
        <f t="array" ref="D946">iferror(index('rna-muscle'!D:D,match(A946,'rna-muscle'!A:A,0)))</f>
        <v>61</v>
      </c>
      <c r="E946" s="10" t="str">
        <f t="shared" si="3"/>
        <v>BRN61G</v>
      </c>
      <c r="F946" s="11" t="str">
        <f t="array" ref="F946">iferror(index('rna-muscle'!F:F,match($A946,'rna-muscle'!$A:$A,0)))</f>
        <v>F</v>
      </c>
      <c r="G946" s="11">
        <f t="array" ref="G946">iferror(index('rna-muscle'!G:G,match($A946,'rna-muscle'!$A:$A,0)))</f>
        <v>12</v>
      </c>
      <c r="H946" s="11" t="str">
        <f t="shared" si="4"/>
        <v>F12</v>
      </c>
      <c r="I946" s="10" t="str">
        <f t="shared" si="5"/>
        <v>BRN61G-F12</v>
      </c>
      <c r="J946" s="16"/>
      <c r="K946" s="16" t="str">
        <f t="shared" si="6"/>
        <v>collected</v>
      </c>
      <c r="L946" s="16" t="str">
        <f t="shared" si="7"/>
        <v>N</v>
      </c>
      <c r="M946" s="16"/>
      <c r="N946" s="16"/>
    </row>
    <row r="947">
      <c r="A947" s="27" t="s">
        <v>1367</v>
      </c>
      <c r="B947" s="10" t="str">
        <f t="shared" si="1"/>
        <v>RNA-gill</v>
      </c>
      <c r="C947" s="10" t="str">
        <f t="shared" si="2"/>
        <v>BRN61G-E12</v>
      </c>
      <c r="D947" s="11">
        <f t="array" ref="D947">iferror(index('rna-muscle'!D:D,match(A947,'rna-muscle'!A:A,0)))</f>
        <v>61</v>
      </c>
      <c r="E947" s="10" t="str">
        <f t="shared" si="3"/>
        <v>BRN61G</v>
      </c>
      <c r="F947" s="11" t="str">
        <f t="array" ref="F947">iferror(index('rna-muscle'!F:F,match($A947,'rna-muscle'!$A:$A,0)))</f>
        <v>E</v>
      </c>
      <c r="G947" s="11">
        <f t="array" ref="G947">iferror(index('rna-muscle'!G:G,match($A947,'rna-muscle'!$A:$A,0)))</f>
        <v>12</v>
      </c>
      <c r="H947" s="11" t="str">
        <f t="shared" si="4"/>
        <v>E12</v>
      </c>
      <c r="I947" s="10" t="str">
        <f t="shared" si="5"/>
        <v>BRN61G-E12</v>
      </c>
      <c r="J947" s="16"/>
      <c r="K947" s="16" t="str">
        <f t="shared" si="6"/>
        <v>collected</v>
      </c>
      <c r="L947" s="16" t="str">
        <f t="shared" si="7"/>
        <v>N</v>
      </c>
      <c r="M947" s="16"/>
      <c r="N947" s="16"/>
    </row>
    <row r="948">
      <c r="A948" s="27" t="s">
        <v>1368</v>
      </c>
      <c r="B948" s="10" t="str">
        <f t="shared" si="1"/>
        <v>RNA-gill</v>
      </c>
      <c r="C948" s="10" t="str">
        <f t="shared" si="2"/>
        <v>BRN61G-D12</v>
      </c>
      <c r="D948" s="11">
        <f t="array" ref="D948">iferror(index('rna-muscle'!D:D,match(A948,'rna-muscle'!A:A,0)))</f>
        <v>61</v>
      </c>
      <c r="E948" s="10" t="str">
        <f t="shared" si="3"/>
        <v>BRN61G</v>
      </c>
      <c r="F948" s="11" t="str">
        <f t="array" ref="F948">iferror(index('rna-muscle'!F:F,match($A948,'rna-muscle'!$A:$A,0)))</f>
        <v>D</v>
      </c>
      <c r="G948" s="11">
        <f t="array" ref="G948">iferror(index('rna-muscle'!G:G,match($A948,'rna-muscle'!$A:$A,0)))</f>
        <v>12</v>
      </c>
      <c r="H948" s="11" t="str">
        <f t="shared" si="4"/>
        <v>D12</v>
      </c>
      <c r="I948" s="10" t="str">
        <f t="shared" si="5"/>
        <v>BRN61G-D12</v>
      </c>
      <c r="J948" s="16"/>
      <c r="K948" s="16" t="str">
        <f t="shared" si="6"/>
        <v>collected</v>
      </c>
      <c r="L948" s="16" t="str">
        <f t="shared" si="7"/>
        <v>N</v>
      </c>
      <c r="M948" s="16"/>
      <c r="N948" s="16"/>
    </row>
    <row r="949">
      <c r="A949" s="27" t="s">
        <v>1369</v>
      </c>
      <c r="B949" s="10" t="str">
        <f t="shared" si="1"/>
        <v>RNA-gill</v>
      </c>
      <c r="C949" s="10" t="str">
        <f t="shared" si="2"/>
        <v>BRN61G-C12</v>
      </c>
      <c r="D949" s="11">
        <f t="array" ref="D949">iferror(index('rna-muscle'!D:D,match(A949,'rna-muscle'!A:A,0)))</f>
        <v>61</v>
      </c>
      <c r="E949" s="10" t="str">
        <f t="shared" si="3"/>
        <v>BRN61G</v>
      </c>
      <c r="F949" s="11" t="str">
        <f t="array" ref="F949">iferror(index('rna-muscle'!F:F,match($A949,'rna-muscle'!$A:$A,0)))</f>
        <v>C</v>
      </c>
      <c r="G949" s="11">
        <f t="array" ref="G949">iferror(index('rna-muscle'!G:G,match($A949,'rna-muscle'!$A:$A,0)))</f>
        <v>12</v>
      </c>
      <c r="H949" s="11" t="str">
        <f t="shared" si="4"/>
        <v>C12</v>
      </c>
      <c r="I949" s="10" t="str">
        <f t="shared" si="5"/>
        <v>BRN61G-C12</v>
      </c>
      <c r="J949" s="16"/>
      <c r="K949" s="16" t="str">
        <f t="shared" si="6"/>
        <v>collected</v>
      </c>
      <c r="L949" s="16" t="str">
        <f t="shared" si="7"/>
        <v>N</v>
      </c>
      <c r="M949" s="16"/>
      <c r="N949" s="16"/>
    </row>
    <row r="950">
      <c r="A950" s="27" t="s">
        <v>1370</v>
      </c>
      <c r="B950" s="10" t="str">
        <f t="shared" si="1"/>
        <v>RNA-gill</v>
      </c>
      <c r="C950" s="10" t="str">
        <f t="shared" si="2"/>
        <v>BRN61G-B12</v>
      </c>
      <c r="D950" s="11">
        <f t="array" ref="D950">iferror(index('rna-muscle'!D:D,match(A950,'rna-muscle'!A:A,0)))</f>
        <v>61</v>
      </c>
      <c r="E950" s="10" t="str">
        <f t="shared" si="3"/>
        <v>BRN61G</v>
      </c>
      <c r="F950" s="11" t="str">
        <f t="array" ref="F950">iferror(index('rna-muscle'!F:F,match($A950,'rna-muscle'!$A:$A,0)))</f>
        <v>B</v>
      </c>
      <c r="G950" s="11">
        <f t="array" ref="G950">iferror(index('rna-muscle'!G:G,match($A950,'rna-muscle'!$A:$A,0)))</f>
        <v>12</v>
      </c>
      <c r="H950" s="11" t="str">
        <f t="shared" si="4"/>
        <v>B12</v>
      </c>
      <c r="I950" s="10" t="str">
        <f t="shared" si="5"/>
        <v>BRN61G-B12</v>
      </c>
      <c r="J950" s="16"/>
      <c r="K950" s="16" t="str">
        <f t="shared" si="6"/>
        <v>collected</v>
      </c>
      <c r="L950" s="16" t="str">
        <f t="shared" si="7"/>
        <v>N</v>
      </c>
      <c r="M950" s="16"/>
      <c r="N950" s="16"/>
    </row>
    <row r="951">
      <c r="A951" s="27" t="s">
        <v>1371</v>
      </c>
      <c r="B951" s="10" t="str">
        <f t="shared" si="1"/>
        <v>RNA-gill</v>
      </c>
      <c r="C951" s="10" t="str">
        <f t="shared" si="2"/>
        <v>BRN61G-A12</v>
      </c>
      <c r="D951" s="11">
        <f t="array" ref="D951">iferror(index('rna-muscle'!D:D,match(A951,'rna-muscle'!A:A,0)))</f>
        <v>61</v>
      </c>
      <c r="E951" s="10" t="str">
        <f t="shared" si="3"/>
        <v>BRN61G</v>
      </c>
      <c r="F951" s="11" t="str">
        <f t="array" ref="F951">iferror(index('rna-muscle'!F:F,match($A951,'rna-muscle'!$A:$A,0)))</f>
        <v>A</v>
      </c>
      <c r="G951" s="11">
        <f t="array" ref="G951">iferror(index('rna-muscle'!G:G,match($A951,'rna-muscle'!$A:$A,0)))</f>
        <v>12</v>
      </c>
      <c r="H951" s="11" t="str">
        <f t="shared" si="4"/>
        <v>A12</v>
      </c>
      <c r="I951" s="10" t="str">
        <f t="shared" si="5"/>
        <v>BRN61G-A12</v>
      </c>
      <c r="J951" s="16"/>
      <c r="K951" s="16" t="str">
        <f t="shared" si="6"/>
        <v>collected</v>
      </c>
      <c r="L951" s="16" t="str">
        <f t="shared" si="7"/>
        <v>N</v>
      </c>
      <c r="M951" s="16"/>
      <c r="N951" s="16"/>
    </row>
    <row r="952">
      <c r="A952" s="27" t="s">
        <v>1372</v>
      </c>
      <c r="B952" s="10" t="str">
        <f t="shared" si="1"/>
        <v>RNA-gill</v>
      </c>
      <c r="C952" s="10" t="str">
        <f t="shared" si="2"/>
        <v>BRN72G-H1</v>
      </c>
      <c r="D952" s="11">
        <f t="array" ref="D952">iferror(index('rna-muscle'!D:D,match(A952,'rna-muscle'!A:A,0)))</f>
        <v>72</v>
      </c>
      <c r="E952" s="10" t="str">
        <f t="shared" si="3"/>
        <v>BRN72G</v>
      </c>
      <c r="F952" s="11" t="str">
        <f t="array" ref="F952">iferror(index('rna-muscle'!F:F,match($A952,'rna-muscle'!$A:$A,0)))</f>
        <v>H</v>
      </c>
      <c r="G952" s="11">
        <f t="array" ref="G952">iferror(index('rna-muscle'!G:G,match($A952,'rna-muscle'!$A:$A,0)))</f>
        <v>1</v>
      </c>
      <c r="H952" s="11" t="str">
        <f t="shared" si="4"/>
        <v>H1</v>
      </c>
      <c r="I952" s="10" t="str">
        <f t="shared" si="5"/>
        <v>BRN72G-H1</v>
      </c>
      <c r="J952" s="16"/>
      <c r="K952" s="16" t="str">
        <f t="shared" si="6"/>
        <v>collected</v>
      </c>
      <c r="L952" s="16" t="str">
        <f t="shared" si="7"/>
        <v>N</v>
      </c>
      <c r="M952" s="16"/>
      <c r="N952" s="16"/>
    </row>
    <row r="953">
      <c r="A953" s="27" t="s">
        <v>1374</v>
      </c>
      <c r="B953" s="10" t="str">
        <f t="shared" si="1"/>
        <v>RNA-gill</v>
      </c>
      <c r="C953" s="10" t="str">
        <f t="shared" si="2"/>
        <v>BRN72G-G1</v>
      </c>
      <c r="D953" s="11">
        <f t="array" ref="D953">iferror(index('rna-muscle'!D:D,match(A953,'rna-muscle'!A:A,0)))</f>
        <v>72</v>
      </c>
      <c r="E953" s="10" t="str">
        <f t="shared" si="3"/>
        <v>BRN72G</v>
      </c>
      <c r="F953" s="11" t="str">
        <f t="array" ref="F953">iferror(index('rna-muscle'!F:F,match($A953,'rna-muscle'!$A:$A,0)))</f>
        <v>G</v>
      </c>
      <c r="G953" s="11">
        <f t="array" ref="G953">iferror(index('rna-muscle'!G:G,match($A953,'rna-muscle'!$A:$A,0)))</f>
        <v>1</v>
      </c>
      <c r="H953" s="11" t="str">
        <f t="shared" si="4"/>
        <v>G1</v>
      </c>
      <c r="I953" s="10" t="str">
        <f t="shared" si="5"/>
        <v>BRN72G-G1</v>
      </c>
      <c r="J953" s="16"/>
      <c r="K953" s="16" t="str">
        <f t="shared" si="6"/>
        <v>collected</v>
      </c>
      <c r="L953" s="16" t="str">
        <f t="shared" si="7"/>
        <v>N</v>
      </c>
      <c r="M953" s="16"/>
      <c r="N953" s="16"/>
    </row>
    <row r="954">
      <c r="A954" s="27" t="s">
        <v>1375</v>
      </c>
      <c r="B954" s="10" t="str">
        <f t="shared" si="1"/>
        <v>RNA-gill</v>
      </c>
      <c r="C954" s="10" t="str">
        <f t="shared" si="2"/>
        <v>BRN72G-F1</v>
      </c>
      <c r="D954" s="11">
        <f t="array" ref="D954">iferror(index('rna-muscle'!D:D,match(A954,'rna-muscle'!A:A,0)))</f>
        <v>72</v>
      </c>
      <c r="E954" s="10" t="str">
        <f t="shared" si="3"/>
        <v>BRN72G</v>
      </c>
      <c r="F954" s="11" t="str">
        <f t="array" ref="F954">iferror(index('rna-muscle'!F:F,match($A954,'rna-muscle'!$A:$A,0)))</f>
        <v>F</v>
      </c>
      <c r="G954" s="11">
        <f t="array" ref="G954">iferror(index('rna-muscle'!G:G,match($A954,'rna-muscle'!$A:$A,0)))</f>
        <v>1</v>
      </c>
      <c r="H954" s="11" t="str">
        <f t="shared" si="4"/>
        <v>F1</v>
      </c>
      <c r="I954" s="10" t="str">
        <f t="shared" si="5"/>
        <v>BRN72G-F1</v>
      </c>
      <c r="J954" s="16"/>
      <c r="K954" s="16" t="str">
        <f t="shared" si="6"/>
        <v>collected</v>
      </c>
      <c r="L954" s="16" t="str">
        <f t="shared" si="7"/>
        <v>N</v>
      </c>
      <c r="M954" s="16"/>
      <c r="N954" s="16"/>
    </row>
    <row r="955">
      <c r="A955" s="40" t="s">
        <v>1376</v>
      </c>
      <c r="B955" s="10" t="str">
        <f t="shared" si="1"/>
        <v>RNA-gill</v>
      </c>
      <c r="C955" s="10" t="str">
        <f t="shared" si="2"/>
        <v>BRN71G-A1</v>
      </c>
      <c r="D955" s="11">
        <f t="array" ref="D955">iferror(index('rna-muscle'!D:D,match(A955,'rna-muscle'!A:A,0)))</f>
        <v>71</v>
      </c>
      <c r="E955" s="10" t="str">
        <f t="shared" si="3"/>
        <v>BRN71G</v>
      </c>
      <c r="F955" s="11" t="str">
        <f t="array" ref="F955">iferror(index('rna-muscle'!F:F,match($A955,'rna-muscle'!$A:$A,0)))</f>
        <v>A</v>
      </c>
      <c r="G955" s="11">
        <f t="array" ref="G955">iferror(index('rna-muscle'!G:G,match($A955,'rna-muscle'!$A:$A,0)))</f>
        <v>1</v>
      </c>
      <c r="H955" s="11" t="str">
        <f t="shared" si="4"/>
        <v>A1</v>
      </c>
      <c r="I955" s="10" t="str">
        <f t="shared" si="5"/>
        <v>BRN71G-A1</v>
      </c>
      <c r="J955" s="16"/>
      <c r="K955" s="16" t="str">
        <f t="shared" si="6"/>
        <v>collected</v>
      </c>
      <c r="L955" s="16" t="str">
        <f t="shared" si="7"/>
        <v>N</v>
      </c>
      <c r="M955" s="16"/>
      <c r="N955" s="16"/>
    </row>
    <row r="956">
      <c r="A956" s="40" t="s">
        <v>1377</v>
      </c>
      <c r="B956" s="10" t="str">
        <f t="shared" si="1"/>
        <v>RNA-gill</v>
      </c>
      <c r="C956" s="10" t="str">
        <f t="shared" si="2"/>
        <v>BRN71G-H4</v>
      </c>
      <c r="D956" s="11">
        <f t="array" ref="D956">iferror(index('rna-muscle'!D:D,match(A956,'rna-muscle'!A:A,0)))</f>
        <v>71</v>
      </c>
      <c r="E956" s="10" t="str">
        <f t="shared" si="3"/>
        <v>BRN71G</v>
      </c>
      <c r="F956" s="11" t="str">
        <f t="array" ref="F956">iferror(index('rna-muscle'!F:F,match($A956,'rna-muscle'!$A:$A,0)))</f>
        <v>H</v>
      </c>
      <c r="G956" s="11">
        <f t="array" ref="G956">iferror(index('rna-muscle'!G:G,match($A956,'rna-muscle'!$A:$A,0)))</f>
        <v>4</v>
      </c>
      <c r="H956" s="11" t="str">
        <f t="shared" si="4"/>
        <v>H4</v>
      </c>
      <c r="I956" s="10" t="str">
        <f t="shared" si="5"/>
        <v>BRN71G-H4</v>
      </c>
      <c r="J956" s="16"/>
      <c r="K956" s="16" t="str">
        <f t="shared" si="6"/>
        <v>collected</v>
      </c>
      <c r="L956" s="16" t="str">
        <f t="shared" si="7"/>
        <v>N</v>
      </c>
      <c r="M956" s="16"/>
      <c r="N956" s="16"/>
    </row>
    <row r="957">
      <c r="A957" s="40" t="s">
        <v>1379</v>
      </c>
      <c r="B957" s="10" t="str">
        <f t="shared" si="1"/>
        <v>RNA-gill</v>
      </c>
      <c r="C957" s="10" t="str">
        <f t="shared" si="2"/>
        <v>BRN71G-G4</v>
      </c>
      <c r="D957" s="11">
        <f t="array" ref="D957">iferror(index('rna-muscle'!D:D,match(A957,'rna-muscle'!A:A,0)))</f>
        <v>71</v>
      </c>
      <c r="E957" s="10" t="str">
        <f t="shared" si="3"/>
        <v>BRN71G</v>
      </c>
      <c r="F957" s="11" t="str">
        <f t="array" ref="F957">iferror(index('rna-muscle'!F:F,match($A957,'rna-muscle'!$A:$A,0)))</f>
        <v>G</v>
      </c>
      <c r="G957" s="11">
        <f t="array" ref="G957">iferror(index('rna-muscle'!G:G,match($A957,'rna-muscle'!$A:$A,0)))</f>
        <v>4</v>
      </c>
      <c r="H957" s="11" t="str">
        <f t="shared" si="4"/>
        <v>G4</v>
      </c>
      <c r="I957" s="10" t="str">
        <f t="shared" si="5"/>
        <v>BRN71G-G4</v>
      </c>
      <c r="J957" s="16"/>
      <c r="K957" s="16" t="str">
        <f t="shared" si="6"/>
        <v>collected</v>
      </c>
      <c r="L957" s="16" t="str">
        <f t="shared" si="7"/>
        <v>N</v>
      </c>
      <c r="M957" s="16"/>
      <c r="N957" s="16"/>
    </row>
    <row r="958">
      <c r="A958" s="40" t="s">
        <v>1380</v>
      </c>
      <c r="B958" s="10" t="str">
        <f t="shared" si="1"/>
        <v>RNA-gill</v>
      </c>
      <c r="C958" s="10" t="str">
        <f t="shared" si="2"/>
        <v>BRN71G-F4</v>
      </c>
      <c r="D958" s="11">
        <f t="array" ref="D958">iferror(index('rna-muscle'!D:D,match(A958,'rna-muscle'!A:A,0)))</f>
        <v>71</v>
      </c>
      <c r="E958" s="10" t="str">
        <f t="shared" si="3"/>
        <v>BRN71G</v>
      </c>
      <c r="F958" s="11" t="str">
        <f t="array" ref="F958">iferror(index('rna-muscle'!F:F,match($A958,'rna-muscle'!$A:$A,0)))</f>
        <v>F</v>
      </c>
      <c r="G958" s="11">
        <f t="array" ref="G958">iferror(index('rna-muscle'!G:G,match($A958,'rna-muscle'!$A:$A,0)))</f>
        <v>4</v>
      </c>
      <c r="H958" s="11" t="str">
        <f t="shared" si="4"/>
        <v>F4</v>
      </c>
      <c r="I958" s="10" t="str">
        <f t="shared" si="5"/>
        <v>BRN71G-F4</v>
      </c>
      <c r="J958" s="16"/>
      <c r="K958" s="16" t="str">
        <f t="shared" si="6"/>
        <v>collected</v>
      </c>
      <c r="L958" s="16" t="str">
        <f t="shared" si="7"/>
        <v>N</v>
      </c>
      <c r="M958" s="16"/>
      <c r="N958" s="16"/>
    </row>
    <row r="959">
      <c r="A959" s="40" t="s">
        <v>1381</v>
      </c>
      <c r="B959" s="10" t="str">
        <f t="shared" si="1"/>
        <v>RNA-gill</v>
      </c>
      <c r="C959" s="10" t="str">
        <f t="shared" si="2"/>
        <v>BRN71G-E4</v>
      </c>
      <c r="D959" s="11">
        <f t="array" ref="D959">iferror(index('rna-muscle'!D:D,match(A959,'rna-muscle'!A:A,0)))</f>
        <v>71</v>
      </c>
      <c r="E959" s="10" t="str">
        <f t="shared" si="3"/>
        <v>BRN71G</v>
      </c>
      <c r="F959" s="11" t="str">
        <f t="array" ref="F959">iferror(index('rna-muscle'!F:F,match($A959,'rna-muscle'!$A:$A,0)))</f>
        <v>E</v>
      </c>
      <c r="G959" s="11">
        <f t="array" ref="G959">iferror(index('rna-muscle'!G:G,match($A959,'rna-muscle'!$A:$A,0)))</f>
        <v>4</v>
      </c>
      <c r="H959" s="11" t="str">
        <f t="shared" si="4"/>
        <v>E4</v>
      </c>
      <c r="I959" s="10" t="str">
        <f t="shared" si="5"/>
        <v>BRN71G-E4</v>
      </c>
      <c r="J959" s="16"/>
      <c r="K959" s="16" t="str">
        <f t="shared" si="6"/>
        <v>collected</v>
      </c>
      <c r="L959" s="16" t="str">
        <f t="shared" si="7"/>
        <v>N</v>
      </c>
      <c r="M959" s="16"/>
      <c r="N959" s="16"/>
    </row>
    <row r="960">
      <c r="A960" s="40" t="s">
        <v>1382</v>
      </c>
      <c r="B960" s="10" t="str">
        <f t="shared" si="1"/>
        <v>RNA-gill</v>
      </c>
      <c r="C960" s="10" t="str">
        <f t="shared" si="2"/>
        <v>BRN71G-D4</v>
      </c>
      <c r="D960" s="11">
        <f t="array" ref="D960">iferror(index('rna-muscle'!D:D,match(A960,'rna-muscle'!A:A,0)))</f>
        <v>71</v>
      </c>
      <c r="E960" s="10" t="str">
        <f t="shared" si="3"/>
        <v>BRN71G</v>
      </c>
      <c r="F960" s="11" t="str">
        <f t="array" ref="F960">iferror(index('rna-muscle'!F:F,match($A960,'rna-muscle'!$A:$A,0)))</f>
        <v>D</v>
      </c>
      <c r="G960" s="11">
        <f t="array" ref="G960">iferror(index('rna-muscle'!G:G,match($A960,'rna-muscle'!$A:$A,0)))</f>
        <v>4</v>
      </c>
      <c r="H960" s="11" t="str">
        <f t="shared" si="4"/>
        <v>D4</v>
      </c>
      <c r="I960" s="10" t="str">
        <f t="shared" si="5"/>
        <v>BRN71G-D4</v>
      </c>
      <c r="J960" s="16"/>
      <c r="K960" s="16" t="str">
        <f t="shared" si="6"/>
        <v>collected</v>
      </c>
      <c r="L960" s="16" t="str">
        <f t="shared" si="7"/>
        <v>N</v>
      </c>
      <c r="M960" s="16"/>
      <c r="N960" s="16"/>
    </row>
    <row r="961">
      <c r="A961" s="40" t="s">
        <v>1383</v>
      </c>
      <c r="B961" s="10" t="str">
        <f t="shared" si="1"/>
        <v>RNA-gill</v>
      </c>
      <c r="C961" s="10" t="str">
        <f t="shared" si="2"/>
        <v>BRN71G-C4</v>
      </c>
      <c r="D961" s="11">
        <f t="array" ref="D961">iferror(index('rna-muscle'!D:D,match(A961,'rna-muscle'!A:A,0)))</f>
        <v>71</v>
      </c>
      <c r="E961" s="10" t="str">
        <f t="shared" si="3"/>
        <v>BRN71G</v>
      </c>
      <c r="F961" s="11" t="str">
        <f t="array" ref="F961">iferror(index('rna-muscle'!F:F,match($A961,'rna-muscle'!$A:$A,0)))</f>
        <v>C</v>
      </c>
      <c r="G961" s="11">
        <f t="array" ref="G961">iferror(index('rna-muscle'!G:G,match($A961,'rna-muscle'!$A:$A,0)))</f>
        <v>4</v>
      </c>
      <c r="H961" s="11" t="str">
        <f t="shared" si="4"/>
        <v>C4</v>
      </c>
      <c r="I961" s="10" t="str">
        <f t="shared" si="5"/>
        <v>BRN71G-C4</v>
      </c>
      <c r="J961" s="16"/>
      <c r="K961" s="16" t="str">
        <f t="shared" si="6"/>
        <v>collected</v>
      </c>
      <c r="L961" s="16" t="str">
        <f t="shared" si="7"/>
        <v>N</v>
      </c>
      <c r="M961" s="16"/>
      <c r="N961" s="16"/>
    </row>
    <row r="962">
      <c r="A962" s="40" t="s">
        <v>1385</v>
      </c>
      <c r="B962" s="10" t="str">
        <f t="shared" si="1"/>
        <v>RNA-gill</v>
      </c>
      <c r="C962" s="10" t="str">
        <f t="shared" si="2"/>
        <v>BRN71G-B4</v>
      </c>
      <c r="D962" s="11">
        <f t="array" ref="D962">iferror(index('rna-muscle'!D:D,match(A962,'rna-muscle'!A:A,0)))</f>
        <v>71</v>
      </c>
      <c r="E962" s="10" t="str">
        <f t="shared" si="3"/>
        <v>BRN71G</v>
      </c>
      <c r="F962" s="11" t="str">
        <f t="array" ref="F962">iferror(index('rna-muscle'!F:F,match($A962,'rna-muscle'!$A:$A,0)))</f>
        <v>B</v>
      </c>
      <c r="G962" s="11">
        <f t="array" ref="G962">iferror(index('rna-muscle'!G:G,match($A962,'rna-muscle'!$A:$A,0)))</f>
        <v>4</v>
      </c>
      <c r="H962" s="11" t="str">
        <f t="shared" si="4"/>
        <v>B4</v>
      </c>
      <c r="I962" s="10" t="str">
        <f t="shared" si="5"/>
        <v>BRN71G-B4</v>
      </c>
      <c r="K962" s="16" t="str">
        <f t="shared" si="6"/>
        <v>collected</v>
      </c>
      <c r="L962" s="16" t="str">
        <f t="shared" si="7"/>
        <v>N</v>
      </c>
      <c r="M962" s="16"/>
      <c r="N962" s="16"/>
    </row>
    <row r="963">
      <c r="A963" s="40" t="s">
        <v>1386</v>
      </c>
      <c r="B963" s="10" t="str">
        <f t="shared" si="1"/>
        <v>RNA-gill</v>
      </c>
      <c r="C963" s="10" t="str">
        <f t="shared" si="2"/>
        <v>BRN71G-A4</v>
      </c>
      <c r="D963" s="11">
        <f t="array" ref="D963">iferror(index('rna-muscle'!D:D,match(A963,'rna-muscle'!A:A,0)))</f>
        <v>71</v>
      </c>
      <c r="E963" s="10" t="str">
        <f t="shared" si="3"/>
        <v>BRN71G</v>
      </c>
      <c r="F963" s="11" t="str">
        <f t="array" ref="F963">iferror(index('rna-muscle'!F:F,match($A963,'rna-muscle'!$A:$A,0)))</f>
        <v>A</v>
      </c>
      <c r="G963" s="11">
        <f t="array" ref="G963">iferror(index('rna-muscle'!G:G,match($A963,'rna-muscle'!$A:$A,0)))</f>
        <v>4</v>
      </c>
      <c r="H963" s="11" t="str">
        <f t="shared" si="4"/>
        <v>A4</v>
      </c>
      <c r="I963" s="10" t="str">
        <f t="shared" si="5"/>
        <v>BRN71G-A4</v>
      </c>
      <c r="K963" s="16" t="str">
        <f t="shared" si="6"/>
        <v>collected</v>
      </c>
      <c r="L963" s="16" t="str">
        <f t="shared" si="7"/>
        <v>N</v>
      </c>
      <c r="M963" s="16"/>
      <c r="N963" s="16"/>
    </row>
    <row r="964">
      <c r="A964" s="40" t="s">
        <v>1387</v>
      </c>
      <c r="B964" s="10" t="str">
        <f t="shared" si="1"/>
        <v>RNA-gill</v>
      </c>
      <c r="C964" s="10" t="str">
        <f t="shared" si="2"/>
        <v>BRN71G-G6</v>
      </c>
      <c r="D964" s="11">
        <f t="array" ref="D964">iferror(index('rna-muscle'!D:D,match(A964,'rna-muscle'!A:A,0)))</f>
        <v>71</v>
      </c>
      <c r="E964" s="10" t="str">
        <f t="shared" si="3"/>
        <v>BRN71G</v>
      </c>
      <c r="F964" s="11" t="str">
        <f t="array" ref="F964">iferror(index('rna-muscle'!F:F,match($A964,'rna-muscle'!$A:$A,0)))</f>
        <v>G</v>
      </c>
      <c r="G964" s="11">
        <f t="array" ref="G964">iferror(index('rna-muscle'!G:G,match($A964,'rna-muscle'!$A:$A,0)))</f>
        <v>6</v>
      </c>
      <c r="H964" s="11" t="str">
        <f t="shared" si="4"/>
        <v>G6</v>
      </c>
      <c r="I964" s="10" t="str">
        <f t="shared" si="5"/>
        <v>BRN71G-G6</v>
      </c>
      <c r="J964" s="16"/>
      <c r="K964" s="16" t="str">
        <f t="shared" si="6"/>
        <v>collected</v>
      </c>
      <c r="L964" s="16" t="str">
        <f t="shared" si="7"/>
        <v>N</v>
      </c>
      <c r="M964" s="16"/>
      <c r="N964" s="16"/>
    </row>
    <row r="965">
      <c r="A965" s="40" t="s">
        <v>1389</v>
      </c>
      <c r="B965" s="10" t="str">
        <f t="shared" si="1"/>
        <v>RNA-gill</v>
      </c>
      <c r="C965" s="10" t="str">
        <f t="shared" si="2"/>
        <v>BRN71G-F6</v>
      </c>
      <c r="D965" s="11">
        <f t="array" ref="D965">iferror(index('rna-muscle'!D:D,match(A965,'rna-muscle'!A:A,0)))</f>
        <v>71</v>
      </c>
      <c r="E965" s="10" t="str">
        <f t="shared" si="3"/>
        <v>BRN71G</v>
      </c>
      <c r="F965" s="11" t="str">
        <f t="array" ref="F965">iferror(index('rna-muscle'!F:F,match($A965,'rna-muscle'!$A:$A,0)))</f>
        <v>F</v>
      </c>
      <c r="G965" s="11">
        <f t="array" ref="G965">iferror(index('rna-muscle'!G:G,match($A965,'rna-muscle'!$A:$A,0)))</f>
        <v>6</v>
      </c>
      <c r="H965" s="11" t="str">
        <f t="shared" si="4"/>
        <v>F6</v>
      </c>
      <c r="I965" s="10" t="str">
        <f t="shared" si="5"/>
        <v>BRN71G-F6</v>
      </c>
      <c r="J965" s="16"/>
      <c r="K965" s="16" t="str">
        <f t="shared" si="6"/>
        <v>collected</v>
      </c>
      <c r="L965" s="16" t="str">
        <f t="shared" si="7"/>
        <v>N</v>
      </c>
      <c r="M965" s="16"/>
      <c r="N965" s="16"/>
    </row>
    <row r="966">
      <c r="A966" s="27" t="s">
        <v>1390</v>
      </c>
      <c r="B966" s="10" t="str">
        <f t="shared" si="1"/>
        <v>RNA-gill</v>
      </c>
      <c r="C966" s="10" t="str">
        <f t="shared" si="2"/>
        <v>BRN71G-F3</v>
      </c>
      <c r="D966" s="11">
        <f t="array" ref="D966">iferror(index('rna-muscle'!D:D,match(A966,'rna-muscle'!A:A,0)))</f>
        <v>71</v>
      </c>
      <c r="E966" s="10" t="str">
        <f t="shared" si="3"/>
        <v>BRN71G</v>
      </c>
      <c r="F966" s="11" t="str">
        <f t="array" ref="F966">iferror(index('rna-muscle'!F:F,match($A966,'rna-muscle'!$A:$A,0)))</f>
        <v>F</v>
      </c>
      <c r="G966" s="11">
        <f t="array" ref="G966">iferror(index('rna-muscle'!G:G,match($A966,'rna-muscle'!$A:$A,0)))</f>
        <v>3</v>
      </c>
      <c r="H966" s="11" t="str">
        <f t="shared" si="4"/>
        <v>F3</v>
      </c>
      <c r="I966" s="10" t="str">
        <f t="shared" si="5"/>
        <v>BRN71G-F3</v>
      </c>
      <c r="J966" s="16"/>
      <c r="K966" s="16" t="str">
        <f t="shared" si="6"/>
        <v>collected</v>
      </c>
      <c r="L966" s="16" t="str">
        <f t="shared" si="7"/>
        <v>N</v>
      </c>
      <c r="M966" s="16"/>
      <c r="N966" s="16"/>
    </row>
    <row r="967">
      <c r="A967" s="27" t="s">
        <v>1391</v>
      </c>
      <c r="B967" s="10" t="str">
        <f t="shared" si="1"/>
        <v>RNA-gill</v>
      </c>
      <c r="C967" s="10" t="str">
        <f t="shared" si="2"/>
        <v>BRN71G-E3</v>
      </c>
      <c r="D967" s="11">
        <f t="array" ref="D967">iferror(index('rna-muscle'!D:D,match(A967,'rna-muscle'!A:A,0)))</f>
        <v>71</v>
      </c>
      <c r="E967" s="10" t="str">
        <f t="shared" si="3"/>
        <v>BRN71G</v>
      </c>
      <c r="F967" s="11" t="str">
        <f t="array" ref="F967">iferror(index('rna-muscle'!F:F,match($A967,'rna-muscle'!$A:$A,0)))</f>
        <v>E</v>
      </c>
      <c r="G967" s="11">
        <f t="array" ref="G967">iferror(index('rna-muscle'!G:G,match($A967,'rna-muscle'!$A:$A,0)))</f>
        <v>3</v>
      </c>
      <c r="H967" s="11" t="str">
        <f t="shared" si="4"/>
        <v>E3</v>
      </c>
      <c r="I967" s="10" t="str">
        <f t="shared" si="5"/>
        <v>BRN71G-E3</v>
      </c>
      <c r="J967" s="16"/>
      <c r="K967" s="16" t="str">
        <f t="shared" si="6"/>
        <v>collected</v>
      </c>
      <c r="L967" s="16" t="str">
        <f t="shared" si="7"/>
        <v>N</v>
      </c>
      <c r="M967" s="16"/>
      <c r="N967" s="16"/>
    </row>
    <row r="968">
      <c r="A968" s="27" t="s">
        <v>1392</v>
      </c>
      <c r="B968" s="10" t="str">
        <f t="shared" si="1"/>
        <v>RNA-gill</v>
      </c>
      <c r="C968" s="10" t="str">
        <f t="shared" si="2"/>
        <v>BRN71G-D3</v>
      </c>
      <c r="D968" s="11">
        <f t="array" ref="D968">iferror(index('rna-muscle'!D:D,match(A968,'rna-muscle'!A:A,0)))</f>
        <v>71</v>
      </c>
      <c r="E968" s="10" t="str">
        <f t="shared" si="3"/>
        <v>BRN71G</v>
      </c>
      <c r="F968" s="11" t="str">
        <f t="array" ref="F968">iferror(index('rna-muscle'!F:F,match($A968,'rna-muscle'!$A:$A,0)))</f>
        <v>D</v>
      </c>
      <c r="G968" s="11">
        <f t="array" ref="G968">iferror(index('rna-muscle'!G:G,match($A968,'rna-muscle'!$A:$A,0)))</f>
        <v>3</v>
      </c>
      <c r="H968" s="11" t="str">
        <f t="shared" si="4"/>
        <v>D3</v>
      </c>
      <c r="I968" s="10" t="str">
        <f t="shared" si="5"/>
        <v>BRN71G-D3</v>
      </c>
      <c r="J968" s="16"/>
      <c r="K968" s="16" t="str">
        <f t="shared" si="6"/>
        <v>collected</v>
      </c>
      <c r="L968" s="16" t="str">
        <f t="shared" si="7"/>
        <v>N</v>
      </c>
      <c r="M968" s="16"/>
      <c r="N968" s="16"/>
    </row>
    <row r="969">
      <c r="A969" s="27" t="s">
        <v>1395</v>
      </c>
      <c r="B969" s="10" t="str">
        <f t="shared" si="1"/>
        <v>RNA-gill</v>
      </c>
      <c r="C969" s="10" t="str">
        <f t="shared" si="2"/>
        <v>BRN71G-C3</v>
      </c>
      <c r="D969" s="11">
        <f t="array" ref="D969">iferror(index('rna-muscle'!D:D,match(A969,'rna-muscle'!A:A,0)))</f>
        <v>71</v>
      </c>
      <c r="E969" s="10" t="str">
        <f t="shared" si="3"/>
        <v>BRN71G</v>
      </c>
      <c r="F969" s="11" t="str">
        <f t="array" ref="F969">iferror(index('rna-muscle'!F:F,match($A969,'rna-muscle'!$A:$A,0)))</f>
        <v>C</v>
      </c>
      <c r="G969" s="11">
        <f t="array" ref="G969">iferror(index('rna-muscle'!G:G,match($A969,'rna-muscle'!$A:$A,0)))</f>
        <v>3</v>
      </c>
      <c r="H969" s="11" t="str">
        <f t="shared" si="4"/>
        <v>C3</v>
      </c>
      <c r="I969" s="10" t="str">
        <f t="shared" si="5"/>
        <v>BRN71G-C3</v>
      </c>
      <c r="J969" s="16"/>
      <c r="K969" s="16" t="str">
        <f t="shared" si="6"/>
        <v>collected</v>
      </c>
      <c r="L969" s="16" t="str">
        <f t="shared" si="7"/>
        <v>N</v>
      </c>
      <c r="M969" s="16"/>
      <c r="N969" s="16"/>
    </row>
    <row r="970">
      <c r="A970" s="27" t="s">
        <v>1396</v>
      </c>
      <c r="B970" s="10" t="str">
        <f t="shared" si="1"/>
        <v>RNA-gill</v>
      </c>
      <c r="C970" s="10" t="str">
        <f t="shared" si="2"/>
        <v>BRN71G-B3</v>
      </c>
      <c r="D970" s="11">
        <f t="array" ref="D970">iferror(index('rna-muscle'!D:D,match(A970,'rna-muscle'!A:A,0)))</f>
        <v>71</v>
      </c>
      <c r="E970" s="10" t="str">
        <f t="shared" si="3"/>
        <v>BRN71G</v>
      </c>
      <c r="F970" s="11" t="str">
        <f t="array" ref="F970">iferror(index('rna-muscle'!F:F,match($A970,'rna-muscle'!$A:$A,0)))</f>
        <v>B</v>
      </c>
      <c r="G970" s="11">
        <f t="array" ref="G970">iferror(index('rna-muscle'!G:G,match($A970,'rna-muscle'!$A:$A,0)))</f>
        <v>3</v>
      </c>
      <c r="H970" s="11" t="str">
        <f t="shared" si="4"/>
        <v>B3</v>
      </c>
      <c r="I970" s="10" t="str">
        <f t="shared" si="5"/>
        <v>BRN71G-B3</v>
      </c>
      <c r="J970" s="16"/>
      <c r="K970" s="16" t="str">
        <f t="shared" si="6"/>
        <v>collected</v>
      </c>
      <c r="L970" s="16" t="str">
        <f t="shared" si="7"/>
        <v>N</v>
      </c>
      <c r="M970" s="16"/>
      <c r="N970" s="16"/>
    </row>
    <row r="971">
      <c r="A971" s="27" t="s">
        <v>1397</v>
      </c>
      <c r="B971" s="10" t="str">
        <f t="shared" si="1"/>
        <v>RNA-gill</v>
      </c>
      <c r="C971" s="10" t="str">
        <f t="shared" si="2"/>
        <v>BRN71G-A3</v>
      </c>
      <c r="D971" s="11">
        <f t="array" ref="D971">iferror(index('rna-muscle'!D:D,match(A971,'rna-muscle'!A:A,0)))</f>
        <v>71</v>
      </c>
      <c r="E971" s="10" t="str">
        <f t="shared" si="3"/>
        <v>BRN71G</v>
      </c>
      <c r="F971" s="11" t="str">
        <f t="array" ref="F971">iferror(index('rna-muscle'!F:F,match($A971,'rna-muscle'!$A:$A,0)))</f>
        <v>A</v>
      </c>
      <c r="G971" s="11">
        <f t="array" ref="G971">iferror(index('rna-muscle'!G:G,match($A971,'rna-muscle'!$A:$A,0)))</f>
        <v>3</v>
      </c>
      <c r="H971" s="11" t="str">
        <f t="shared" si="4"/>
        <v>A3</v>
      </c>
      <c r="I971" s="10" t="str">
        <f t="shared" si="5"/>
        <v>BRN71G-A3</v>
      </c>
      <c r="J971" s="16"/>
      <c r="K971" s="16" t="str">
        <f t="shared" si="6"/>
        <v>collected</v>
      </c>
      <c r="L971" s="16" t="str">
        <f t="shared" si="7"/>
        <v>N</v>
      </c>
      <c r="M971" s="16"/>
      <c r="N971" s="16"/>
    </row>
    <row r="972">
      <c r="A972" s="27" t="s">
        <v>1398</v>
      </c>
      <c r="B972" s="10" t="str">
        <f t="shared" si="1"/>
        <v>RNA-gill</v>
      </c>
      <c r="C972" s="10" t="str">
        <f t="shared" si="2"/>
        <v>BRN71G-H5</v>
      </c>
      <c r="D972" s="11">
        <f t="array" ref="D972">iferror(index('rna-muscle'!D:D,match(A972,'rna-muscle'!A:A,0)))</f>
        <v>71</v>
      </c>
      <c r="E972" s="10" t="str">
        <f t="shared" si="3"/>
        <v>BRN71G</v>
      </c>
      <c r="F972" s="11" t="str">
        <f t="array" ref="F972">iferror(index('rna-muscle'!F:F,match($A972,'rna-muscle'!$A:$A,0)))</f>
        <v>H</v>
      </c>
      <c r="G972" s="11">
        <f t="array" ref="G972">iferror(index('rna-muscle'!G:G,match($A972,'rna-muscle'!$A:$A,0)))</f>
        <v>5</v>
      </c>
      <c r="H972" s="11" t="str">
        <f t="shared" si="4"/>
        <v>H5</v>
      </c>
      <c r="I972" s="10" t="str">
        <f t="shared" si="5"/>
        <v>BRN71G-H5</v>
      </c>
      <c r="J972" s="16"/>
      <c r="K972" s="16" t="str">
        <f t="shared" si="6"/>
        <v>collected</v>
      </c>
      <c r="L972" s="16" t="str">
        <f t="shared" si="7"/>
        <v>N</v>
      </c>
      <c r="M972" s="16"/>
      <c r="N972" s="16"/>
    </row>
    <row r="973">
      <c r="A973" s="27" t="s">
        <v>1399</v>
      </c>
      <c r="B973" s="10" t="str">
        <f t="shared" si="1"/>
        <v>RNA-gill</v>
      </c>
      <c r="C973" s="10" t="str">
        <f t="shared" si="2"/>
        <v>BRN71G-G5</v>
      </c>
      <c r="D973" s="11">
        <f t="array" ref="D973">iferror(index('rna-muscle'!D:D,match(A973,'rna-muscle'!A:A,0)))</f>
        <v>71</v>
      </c>
      <c r="E973" s="10" t="str">
        <f t="shared" si="3"/>
        <v>BRN71G</v>
      </c>
      <c r="F973" s="11" t="str">
        <f t="array" ref="F973">iferror(index('rna-muscle'!F:F,match($A973,'rna-muscle'!$A:$A,0)))</f>
        <v>G</v>
      </c>
      <c r="G973" s="11">
        <f t="array" ref="G973">iferror(index('rna-muscle'!G:G,match($A973,'rna-muscle'!$A:$A,0)))</f>
        <v>5</v>
      </c>
      <c r="H973" s="11" t="str">
        <f t="shared" si="4"/>
        <v>G5</v>
      </c>
      <c r="I973" s="10" t="str">
        <f t="shared" si="5"/>
        <v>BRN71G-G5</v>
      </c>
      <c r="J973" s="16"/>
      <c r="K973" s="16" t="str">
        <f t="shared" si="6"/>
        <v>collected</v>
      </c>
      <c r="L973" s="16" t="str">
        <f t="shared" si="7"/>
        <v>N</v>
      </c>
      <c r="M973" s="16"/>
      <c r="N973" s="16"/>
    </row>
    <row r="974">
      <c r="A974" s="27" t="s">
        <v>1400</v>
      </c>
      <c r="B974" s="10" t="str">
        <f t="shared" si="1"/>
        <v>RNA-gill</v>
      </c>
      <c r="C974" s="10" t="str">
        <f t="shared" si="2"/>
        <v>BRN71G-F5</v>
      </c>
      <c r="D974" s="11">
        <f t="array" ref="D974">iferror(index('rna-muscle'!D:D,match(A974,'rna-muscle'!A:A,0)))</f>
        <v>71</v>
      </c>
      <c r="E974" s="10" t="str">
        <f t="shared" si="3"/>
        <v>BRN71G</v>
      </c>
      <c r="F974" s="11" t="str">
        <f t="array" ref="F974">iferror(index('rna-muscle'!F:F,match($A974,'rna-muscle'!$A:$A,0)))</f>
        <v>F</v>
      </c>
      <c r="G974" s="11">
        <f t="array" ref="G974">iferror(index('rna-muscle'!G:G,match($A974,'rna-muscle'!$A:$A,0)))</f>
        <v>5</v>
      </c>
      <c r="H974" s="11" t="str">
        <f t="shared" si="4"/>
        <v>F5</v>
      </c>
      <c r="I974" s="10" t="str">
        <f t="shared" si="5"/>
        <v>BRN71G-F5</v>
      </c>
      <c r="J974" s="16"/>
      <c r="K974" s="16" t="str">
        <f t="shared" si="6"/>
        <v>collected</v>
      </c>
      <c r="L974" s="16" t="str">
        <f t="shared" si="7"/>
        <v>N</v>
      </c>
      <c r="M974" s="16"/>
      <c r="N974" s="16"/>
    </row>
    <row r="975">
      <c r="A975" s="27" t="s">
        <v>1401</v>
      </c>
      <c r="B975" s="10" t="str">
        <f t="shared" si="1"/>
        <v>RNA-gill</v>
      </c>
      <c r="C975" s="10" t="str">
        <f t="shared" si="2"/>
        <v>BRN71G-E5</v>
      </c>
      <c r="D975" s="11">
        <f t="array" ref="D975">iferror(index('rna-muscle'!D:D,match(A975,'rna-muscle'!A:A,0)))</f>
        <v>71</v>
      </c>
      <c r="E975" s="10" t="str">
        <f t="shared" si="3"/>
        <v>BRN71G</v>
      </c>
      <c r="F975" s="11" t="str">
        <f t="array" ref="F975">iferror(index('rna-muscle'!F:F,match($A975,'rna-muscle'!$A:$A,0)))</f>
        <v>E</v>
      </c>
      <c r="G975" s="11">
        <f t="array" ref="G975">iferror(index('rna-muscle'!G:G,match($A975,'rna-muscle'!$A:$A,0)))</f>
        <v>5</v>
      </c>
      <c r="H975" s="11" t="str">
        <f t="shared" si="4"/>
        <v>E5</v>
      </c>
      <c r="I975" s="10" t="str">
        <f t="shared" si="5"/>
        <v>BRN71G-E5</v>
      </c>
      <c r="J975" s="16"/>
      <c r="K975" s="16" t="str">
        <f t="shared" si="6"/>
        <v>collected</v>
      </c>
      <c r="L975" s="16" t="str">
        <f t="shared" si="7"/>
        <v>N</v>
      </c>
      <c r="M975" s="16"/>
      <c r="N975" s="16"/>
    </row>
    <row r="976">
      <c r="A976" s="27" t="s">
        <v>1402</v>
      </c>
      <c r="B976" s="10" t="str">
        <f t="shared" si="1"/>
        <v>RNA-gill</v>
      </c>
      <c r="C976" s="10" t="str">
        <f t="shared" si="2"/>
        <v>BRN71G-D5</v>
      </c>
      <c r="D976" s="11">
        <f t="array" ref="D976">iferror(index('rna-muscle'!D:D,match(A976,'rna-muscle'!A:A,0)))</f>
        <v>71</v>
      </c>
      <c r="E976" s="10" t="str">
        <f t="shared" si="3"/>
        <v>BRN71G</v>
      </c>
      <c r="F976" s="11" t="str">
        <f t="array" ref="F976">iferror(index('rna-muscle'!F:F,match($A976,'rna-muscle'!$A:$A,0)))</f>
        <v>D</v>
      </c>
      <c r="G976" s="11">
        <f t="array" ref="G976">iferror(index('rna-muscle'!G:G,match($A976,'rna-muscle'!$A:$A,0)))</f>
        <v>5</v>
      </c>
      <c r="H976" s="11" t="str">
        <f t="shared" si="4"/>
        <v>D5</v>
      </c>
      <c r="I976" s="10" t="str">
        <f t="shared" si="5"/>
        <v>BRN71G-D5</v>
      </c>
      <c r="J976" s="16"/>
      <c r="K976" s="16" t="str">
        <f t="shared" si="6"/>
        <v>collected</v>
      </c>
      <c r="L976" s="16" t="str">
        <f t="shared" si="7"/>
        <v>N</v>
      </c>
      <c r="M976" s="16"/>
      <c r="N976" s="16"/>
    </row>
    <row r="977">
      <c r="A977" s="26" t="s">
        <v>1403</v>
      </c>
      <c r="B977" s="10" t="str">
        <f t="shared" si="1"/>
        <v>RNA-gill</v>
      </c>
      <c r="C977" s="10" t="str">
        <f t="shared" si="2"/>
        <v>BRN71G-E6</v>
      </c>
      <c r="D977" s="11">
        <f t="array" ref="D977">iferror(index('rna-muscle'!D:D,match(A977,'rna-muscle'!A:A,0)))</f>
        <v>71</v>
      </c>
      <c r="E977" s="10" t="str">
        <f t="shared" si="3"/>
        <v>BRN71G</v>
      </c>
      <c r="F977" s="11" t="str">
        <f t="array" ref="F977">iferror(index('rna-muscle'!F:F,match($A977,'rna-muscle'!$A:$A,0)))</f>
        <v>E</v>
      </c>
      <c r="G977" s="11">
        <f t="array" ref="G977">iferror(index('rna-muscle'!G:G,match($A977,'rna-muscle'!$A:$A,0)))</f>
        <v>6</v>
      </c>
      <c r="H977" s="11" t="str">
        <f t="shared" si="4"/>
        <v>E6</v>
      </c>
      <c r="I977" s="10" t="str">
        <f t="shared" si="5"/>
        <v>BRN71G-E6</v>
      </c>
      <c r="J977" s="16"/>
      <c r="K977" s="16" t="str">
        <f t="shared" si="6"/>
        <v>collected</v>
      </c>
      <c r="L977" s="16" t="str">
        <f t="shared" si="7"/>
        <v>N</v>
      </c>
      <c r="M977" s="16"/>
      <c r="N977" s="16"/>
    </row>
    <row r="978">
      <c r="A978" s="26" t="s">
        <v>1404</v>
      </c>
      <c r="B978" s="10" t="str">
        <f t="shared" si="1"/>
        <v>RNA-gill</v>
      </c>
      <c r="C978" s="10" t="str">
        <f t="shared" si="2"/>
        <v>BRN71G-D6</v>
      </c>
      <c r="D978" s="11">
        <f t="array" ref="D978">iferror(index('rna-muscle'!D:D,match(A978,'rna-muscle'!A:A,0)))</f>
        <v>71</v>
      </c>
      <c r="E978" s="10" t="str">
        <f t="shared" si="3"/>
        <v>BRN71G</v>
      </c>
      <c r="F978" s="11" t="str">
        <f t="array" ref="F978">iferror(index('rna-muscle'!F:F,match($A978,'rna-muscle'!$A:$A,0)))</f>
        <v>D</v>
      </c>
      <c r="G978" s="11">
        <f t="array" ref="G978">iferror(index('rna-muscle'!G:G,match($A978,'rna-muscle'!$A:$A,0)))</f>
        <v>6</v>
      </c>
      <c r="H978" s="11" t="str">
        <f t="shared" si="4"/>
        <v>D6</v>
      </c>
      <c r="I978" s="10" t="str">
        <f t="shared" si="5"/>
        <v>BRN71G-D6</v>
      </c>
      <c r="J978" s="16"/>
      <c r="K978" s="16" t="str">
        <f t="shared" si="6"/>
        <v>collected</v>
      </c>
      <c r="L978" s="16" t="str">
        <f t="shared" si="7"/>
        <v>N</v>
      </c>
      <c r="M978" s="16"/>
      <c r="N978" s="16"/>
    </row>
    <row r="979">
      <c r="A979" s="26" t="s">
        <v>1405</v>
      </c>
      <c r="B979" s="10" t="str">
        <f t="shared" si="1"/>
        <v>RNA-gill</v>
      </c>
      <c r="C979" s="10" t="str">
        <f t="shared" si="2"/>
        <v>BRN71G-C6</v>
      </c>
      <c r="D979" s="11">
        <f t="array" ref="D979">iferror(index('rna-muscle'!D:D,match(A979,'rna-muscle'!A:A,0)))</f>
        <v>71</v>
      </c>
      <c r="E979" s="10" t="str">
        <f t="shared" si="3"/>
        <v>BRN71G</v>
      </c>
      <c r="F979" s="11" t="str">
        <f t="array" ref="F979">iferror(index('rna-muscle'!F:F,match($A979,'rna-muscle'!$A:$A,0)))</f>
        <v>C</v>
      </c>
      <c r="G979" s="11">
        <f t="array" ref="G979">iferror(index('rna-muscle'!G:G,match($A979,'rna-muscle'!$A:$A,0)))</f>
        <v>6</v>
      </c>
      <c r="H979" s="11" t="str">
        <f t="shared" si="4"/>
        <v>C6</v>
      </c>
      <c r="I979" s="10" t="str">
        <f t="shared" si="5"/>
        <v>BRN71G-C6</v>
      </c>
      <c r="J979" s="16"/>
      <c r="K979" s="16" t="str">
        <f t="shared" si="6"/>
        <v>collected</v>
      </c>
      <c r="L979" s="16" t="str">
        <f t="shared" si="7"/>
        <v>N</v>
      </c>
      <c r="M979" s="16"/>
      <c r="N979" s="16"/>
    </row>
    <row r="980">
      <c r="A980" s="26" t="s">
        <v>1406</v>
      </c>
      <c r="B980" s="10" t="str">
        <f t="shared" si="1"/>
        <v>RNA-gill</v>
      </c>
      <c r="C980" s="10" t="str">
        <f t="shared" si="2"/>
        <v>BRN71G-B6</v>
      </c>
      <c r="D980" s="11">
        <f t="array" ref="D980">iferror(index('rna-muscle'!D:D,match(A980,'rna-muscle'!A:A,0)))</f>
        <v>71</v>
      </c>
      <c r="E980" s="10" t="str">
        <f t="shared" si="3"/>
        <v>BRN71G</v>
      </c>
      <c r="F980" s="11" t="str">
        <f t="array" ref="F980">iferror(index('rna-muscle'!F:F,match($A980,'rna-muscle'!$A:$A,0)))</f>
        <v>B</v>
      </c>
      <c r="G980" s="11">
        <f t="array" ref="G980">iferror(index('rna-muscle'!G:G,match($A980,'rna-muscle'!$A:$A,0)))</f>
        <v>6</v>
      </c>
      <c r="H980" s="11" t="str">
        <f t="shared" si="4"/>
        <v>B6</v>
      </c>
      <c r="I980" s="10" t="str">
        <f t="shared" si="5"/>
        <v>BRN71G-B6</v>
      </c>
      <c r="J980" s="16"/>
      <c r="K980" s="16" t="str">
        <f t="shared" si="6"/>
        <v>collected</v>
      </c>
      <c r="L980" s="16" t="str">
        <f t="shared" si="7"/>
        <v>N</v>
      </c>
      <c r="M980" s="16"/>
      <c r="N980" s="16"/>
    </row>
    <row r="981">
      <c r="A981" s="26" t="s">
        <v>1407</v>
      </c>
      <c r="B981" s="10" t="str">
        <f t="shared" si="1"/>
        <v>RNA-gill</v>
      </c>
      <c r="C981" s="10" t="str">
        <f t="shared" si="2"/>
        <v>BRN71G-A6</v>
      </c>
      <c r="D981" s="11">
        <f t="array" ref="D981">iferror(index('rna-muscle'!D:D,match(A981,'rna-muscle'!A:A,0)))</f>
        <v>71</v>
      </c>
      <c r="E981" s="10" t="str">
        <f t="shared" si="3"/>
        <v>BRN71G</v>
      </c>
      <c r="F981" s="11" t="str">
        <f t="array" ref="F981">iferror(index('rna-muscle'!F:F,match($A981,'rna-muscle'!$A:$A,0)))</f>
        <v>A</v>
      </c>
      <c r="G981" s="11">
        <f t="array" ref="G981">iferror(index('rna-muscle'!G:G,match($A981,'rna-muscle'!$A:$A,0)))</f>
        <v>6</v>
      </c>
      <c r="H981" s="11" t="str">
        <f t="shared" si="4"/>
        <v>A6</v>
      </c>
      <c r="I981" s="10" t="str">
        <f t="shared" si="5"/>
        <v>BRN71G-A6</v>
      </c>
      <c r="J981" s="16"/>
      <c r="K981" s="16" t="str">
        <f t="shared" si="6"/>
        <v>collected</v>
      </c>
      <c r="L981" s="16" t="str">
        <f t="shared" si="7"/>
        <v>N</v>
      </c>
      <c r="M981" s="16"/>
      <c r="N981" s="16"/>
    </row>
    <row r="982">
      <c r="A982" s="26" t="s">
        <v>1408</v>
      </c>
      <c r="B982" s="10" t="str">
        <f t="shared" si="1"/>
        <v>RNA-gill</v>
      </c>
      <c r="C982" s="10" t="str">
        <f t="shared" si="2"/>
        <v>BRN71G-C5</v>
      </c>
      <c r="D982" s="11">
        <f t="array" ref="D982">iferror(index('rna-muscle'!D:D,match(A982,'rna-muscle'!A:A,0)))</f>
        <v>71</v>
      </c>
      <c r="E982" s="10" t="str">
        <f t="shared" si="3"/>
        <v>BRN71G</v>
      </c>
      <c r="F982" s="11" t="str">
        <f t="array" ref="F982">iferror(index('rna-muscle'!F:F,match($A982,'rna-muscle'!$A:$A,0)))</f>
        <v>C</v>
      </c>
      <c r="G982" s="11">
        <f t="array" ref="G982">iferror(index('rna-muscle'!G:G,match($A982,'rna-muscle'!$A:$A,0)))</f>
        <v>5</v>
      </c>
      <c r="H982" s="11" t="str">
        <f t="shared" si="4"/>
        <v>C5</v>
      </c>
      <c r="I982" s="10" t="str">
        <f t="shared" si="5"/>
        <v>BRN71G-C5</v>
      </c>
      <c r="J982" s="16"/>
      <c r="K982" s="16" t="str">
        <f t="shared" si="6"/>
        <v>collected</v>
      </c>
      <c r="L982" s="16" t="str">
        <f t="shared" si="7"/>
        <v>N</v>
      </c>
      <c r="M982" s="16"/>
      <c r="N982" s="16"/>
    </row>
    <row r="983">
      <c r="A983" s="26" t="s">
        <v>1409</v>
      </c>
      <c r="B983" s="10" t="str">
        <f t="shared" si="1"/>
        <v>RNA-gill</v>
      </c>
      <c r="C983" s="10" t="str">
        <f t="shared" si="2"/>
        <v>BRN71G-B5</v>
      </c>
      <c r="D983" s="11">
        <f t="array" ref="D983">iferror(index('rna-muscle'!D:D,match(A983,'rna-muscle'!A:A,0)))</f>
        <v>71</v>
      </c>
      <c r="E983" s="10" t="str">
        <f t="shared" si="3"/>
        <v>BRN71G</v>
      </c>
      <c r="F983" s="11" t="str">
        <f t="array" ref="F983">iferror(index('rna-muscle'!F:F,match($A983,'rna-muscle'!$A:$A,0)))</f>
        <v>B</v>
      </c>
      <c r="G983" s="11">
        <f t="array" ref="G983">iferror(index('rna-muscle'!G:G,match($A983,'rna-muscle'!$A:$A,0)))</f>
        <v>5</v>
      </c>
      <c r="H983" s="11" t="str">
        <f t="shared" si="4"/>
        <v>B5</v>
      </c>
      <c r="I983" s="10" t="str">
        <f t="shared" si="5"/>
        <v>BRN71G-B5</v>
      </c>
      <c r="J983" s="16"/>
      <c r="K983" s="16" t="str">
        <f t="shared" si="6"/>
        <v>collected</v>
      </c>
      <c r="L983" s="16" t="str">
        <f t="shared" si="7"/>
        <v>N</v>
      </c>
      <c r="M983" s="16"/>
      <c r="N983" s="16"/>
    </row>
    <row r="984">
      <c r="A984" s="26" t="s">
        <v>1411</v>
      </c>
      <c r="B984" s="10" t="str">
        <f t="shared" si="1"/>
        <v>RNA-gill</v>
      </c>
      <c r="C984" s="10" t="str">
        <f t="shared" si="2"/>
        <v>BRN71G-A5</v>
      </c>
      <c r="D984" s="11">
        <f t="array" ref="D984">iferror(index('rna-muscle'!D:D,match(A984,'rna-muscle'!A:A,0)))</f>
        <v>71</v>
      </c>
      <c r="E984" s="10" t="str">
        <f t="shared" si="3"/>
        <v>BRN71G</v>
      </c>
      <c r="F984" s="11" t="str">
        <f t="array" ref="F984">iferror(index('rna-muscle'!F:F,match($A984,'rna-muscle'!$A:$A,0)))</f>
        <v>A</v>
      </c>
      <c r="G984" s="11">
        <f t="array" ref="G984">iferror(index('rna-muscle'!G:G,match($A984,'rna-muscle'!$A:$A,0)))</f>
        <v>5</v>
      </c>
      <c r="H984" s="11" t="str">
        <f t="shared" si="4"/>
        <v>A5</v>
      </c>
      <c r="I984" s="10" t="str">
        <f t="shared" si="5"/>
        <v>BRN71G-A5</v>
      </c>
      <c r="J984" s="16"/>
      <c r="K984" s="16" t="str">
        <f t="shared" si="6"/>
        <v>collected</v>
      </c>
      <c r="L984" s="16" t="str">
        <f t="shared" si="7"/>
        <v>N</v>
      </c>
      <c r="M984" s="16"/>
      <c r="N984" s="16"/>
    </row>
    <row r="985">
      <c r="A985" s="26" t="s">
        <v>1412</v>
      </c>
      <c r="B985" s="10" t="str">
        <f t="shared" si="1"/>
        <v>RNA-gill</v>
      </c>
      <c r="C985" s="10" t="str">
        <f t="shared" si="2"/>
        <v>BRN71G-H7</v>
      </c>
      <c r="D985" s="11">
        <f t="array" ref="D985">iferror(index('rna-muscle'!D:D,match(A985,'rna-muscle'!A:A,0)))</f>
        <v>71</v>
      </c>
      <c r="E985" s="10" t="str">
        <f t="shared" si="3"/>
        <v>BRN71G</v>
      </c>
      <c r="F985" s="11" t="str">
        <f t="array" ref="F985">iferror(index('rna-muscle'!F:F,match($A985,'rna-muscle'!$A:$A,0)))</f>
        <v>H</v>
      </c>
      <c r="G985" s="11">
        <f t="array" ref="G985">iferror(index('rna-muscle'!G:G,match($A985,'rna-muscle'!$A:$A,0)))</f>
        <v>7</v>
      </c>
      <c r="H985" s="11" t="str">
        <f t="shared" si="4"/>
        <v>H7</v>
      </c>
      <c r="I985" s="10" t="str">
        <f t="shared" si="5"/>
        <v>BRN71G-H7</v>
      </c>
      <c r="J985" s="16"/>
      <c r="K985" s="16" t="str">
        <f t="shared" si="6"/>
        <v>collected</v>
      </c>
      <c r="L985" s="16" t="str">
        <f t="shared" si="7"/>
        <v>N</v>
      </c>
      <c r="M985" s="16"/>
      <c r="N985" s="16"/>
    </row>
    <row r="986">
      <c r="A986" s="26" t="s">
        <v>1413</v>
      </c>
      <c r="B986" s="10" t="str">
        <f t="shared" si="1"/>
        <v>RNA-gill</v>
      </c>
      <c r="C986" s="10" t="str">
        <f t="shared" si="2"/>
        <v>BRN71G-G7</v>
      </c>
      <c r="D986" s="11">
        <f t="array" ref="D986">iferror(index('rna-muscle'!D:D,match(A986,'rna-muscle'!A:A,0)))</f>
        <v>71</v>
      </c>
      <c r="E986" s="10" t="str">
        <f t="shared" si="3"/>
        <v>BRN71G</v>
      </c>
      <c r="F986" s="11" t="str">
        <f t="array" ref="F986">iferror(index('rna-muscle'!F:F,match($A986,'rna-muscle'!$A:$A,0)))</f>
        <v>G</v>
      </c>
      <c r="G986" s="11">
        <f t="array" ref="G986">iferror(index('rna-muscle'!G:G,match($A986,'rna-muscle'!$A:$A,0)))</f>
        <v>7</v>
      </c>
      <c r="H986" s="11" t="str">
        <f t="shared" si="4"/>
        <v>G7</v>
      </c>
      <c r="I986" s="10" t="str">
        <f t="shared" si="5"/>
        <v>BRN71G-G7</v>
      </c>
      <c r="J986" s="16"/>
      <c r="K986" s="16" t="str">
        <f t="shared" si="6"/>
        <v>collected</v>
      </c>
      <c r="L986" s="16" t="str">
        <f t="shared" si="7"/>
        <v>N</v>
      </c>
      <c r="M986" s="16"/>
      <c r="N986" s="16"/>
    </row>
    <row r="987">
      <c r="A987" s="26" t="s">
        <v>1414</v>
      </c>
      <c r="B987" s="10" t="str">
        <f t="shared" si="1"/>
        <v>RNA-gill</v>
      </c>
      <c r="C987" s="10" t="str">
        <f t="shared" si="2"/>
        <v>BRN71G-F7</v>
      </c>
      <c r="D987" s="11">
        <f t="array" ref="D987">iferror(index('rna-muscle'!D:D,match(A987,'rna-muscle'!A:A,0)))</f>
        <v>71</v>
      </c>
      <c r="E987" s="10" t="str">
        <f t="shared" si="3"/>
        <v>BRN71G</v>
      </c>
      <c r="F987" s="11" t="str">
        <f t="array" ref="F987">iferror(index('rna-muscle'!F:F,match($A987,'rna-muscle'!$A:$A,0)))</f>
        <v>F</v>
      </c>
      <c r="G987" s="11">
        <f t="array" ref="G987">iferror(index('rna-muscle'!G:G,match($A987,'rna-muscle'!$A:$A,0)))</f>
        <v>7</v>
      </c>
      <c r="H987" s="11" t="str">
        <f t="shared" si="4"/>
        <v>F7</v>
      </c>
      <c r="I987" s="10" t="str">
        <f t="shared" si="5"/>
        <v>BRN71G-F7</v>
      </c>
      <c r="J987" s="16"/>
      <c r="K987" s="16" t="str">
        <f t="shared" si="6"/>
        <v>collected</v>
      </c>
      <c r="L987" s="16" t="str">
        <f t="shared" si="7"/>
        <v>N</v>
      </c>
      <c r="M987" s="16"/>
      <c r="N987" s="16"/>
    </row>
    <row r="988">
      <c r="A988" s="26" t="s">
        <v>1415</v>
      </c>
      <c r="B988" s="10" t="str">
        <f t="shared" si="1"/>
        <v>RNA-gill</v>
      </c>
      <c r="C988" s="10" t="str">
        <f t="shared" si="2"/>
        <v>BRN71G-E7</v>
      </c>
      <c r="D988" s="11">
        <f t="array" ref="D988">iferror(index('rna-muscle'!D:D,match(A988,'rna-muscle'!A:A,0)))</f>
        <v>71</v>
      </c>
      <c r="E988" s="10" t="str">
        <f t="shared" si="3"/>
        <v>BRN71G</v>
      </c>
      <c r="F988" s="11" t="str">
        <f t="array" ref="F988">iferror(index('rna-muscle'!F:F,match($A988,'rna-muscle'!$A:$A,0)))</f>
        <v>E</v>
      </c>
      <c r="G988" s="11">
        <f t="array" ref="G988">iferror(index('rna-muscle'!G:G,match($A988,'rna-muscle'!$A:$A,0)))</f>
        <v>7</v>
      </c>
      <c r="H988" s="11" t="str">
        <f t="shared" si="4"/>
        <v>E7</v>
      </c>
      <c r="I988" s="10" t="str">
        <f t="shared" si="5"/>
        <v>BRN71G-E7</v>
      </c>
      <c r="J988" s="16"/>
      <c r="K988" s="16" t="str">
        <f t="shared" si="6"/>
        <v>collected</v>
      </c>
      <c r="L988" s="16" t="str">
        <f t="shared" si="7"/>
        <v>N</v>
      </c>
      <c r="M988" s="16"/>
      <c r="N988" s="16"/>
    </row>
    <row r="989">
      <c r="A989" s="26" t="s">
        <v>1416</v>
      </c>
      <c r="B989" s="10" t="str">
        <f t="shared" si="1"/>
        <v>RNA-gill</v>
      </c>
      <c r="C989" s="10" t="str">
        <f t="shared" si="2"/>
        <v>BRN71G-D7</v>
      </c>
      <c r="D989" s="11">
        <f t="array" ref="D989">iferror(index('rna-muscle'!D:D,match(A989,'rna-muscle'!A:A,0)))</f>
        <v>71</v>
      </c>
      <c r="E989" s="10" t="str">
        <f t="shared" si="3"/>
        <v>BRN71G</v>
      </c>
      <c r="F989" s="11" t="str">
        <f t="array" ref="F989">iferror(index('rna-muscle'!F:F,match($A989,'rna-muscle'!$A:$A,0)))</f>
        <v>D</v>
      </c>
      <c r="G989" s="11">
        <f t="array" ref="G989">iferror(index('rna-muscle'!G:G,match($A989,'rna-muscle'!$A:$A,0)))</f>
        <v>7</v>
      </c>
      <c r="H989" s="11" t="str">
        <f t="shared" si="4"/>
        <v>D7</v>
      </c>
      <c r="I989" s="10" t="str">
        <f t="shared" si="5"/>
        <v>BRN71G-D7</v>
      </c>
      <c r="J989" s="16"/>
      <c r="K989" s="16" t="str">
        <f t="shared" si="6"/>
        <v>collected</v>
      </c>
      <c r="L989" s="16" t="str">
        <f t="shared" si="7"/>
        <v>N</v>
      </c>
      <c r="M989" s="16"/>
      <c r="N989" s="16"/>
    </row>
    <row r="990">
      <c r="A990" s="26" t="s">
        <v>1417</v>
      </c>
      <c r="B990" s="10" t="str">
        <f t="shared" si="1"/>
        <v>RNA-gill</v>
      </c>
      <c r="C990" s="10" t="str">
        <f t="shared" si="2"/>
        <v>BRN71G-C7</v>
      </c>
      <c r="D990" s="11">
        <f t="array" ref="D990">iferror(index('rna-muscle'!D:D,match(A990,'rna-muscle'!A:A,0)))</f>
        <v>71</v>
      </c>
      <c r="E990" s="10" t="str">
        <f t="shared" si="3"/>
        <v>BRN71G</v>
      </c>
      <c r="F990" s="11" t="str">
        <f t="array" ref="F990">iferror(index('rna-muscle'!F:F,match($A990,'rna-muscle'!$A:$A,0)))</f>
        <v>C</v>
      </c>
      <c r="G990" s="11">
        <f t="array" ref="G990">iferror(index('rna-muscle'!G:G,match($A990,'rna-muscle'!$A:$A,0)))</f>
        <v>7</v>
      </c>
      <c r="H990" s="11" t="str">
        <f t="shared" si="4"/>
        <v>C7</v>
      </c>
      <c r="I990" s="10" t="str">
        <f t="shared" si="5"/>
        <v>BRN71G-C7</v>
      </c>
      <c r="J990" s="16"/>
      <c r="K990" s="16" t="str">
        <f t="shared" si="6"/>
        <v>collected</v>
      </c>
      <c r="L990" s="16" t="str">
        <f t="shared" si="7"/>
        <v>N</v>
      </c>
      <c r="M990" s="16"/>
      <c r="N990" s="16"/>
    </row>
    <row r="991">
      <c r="A991" s="26" t="s">
        <v>1418</v>
      </c>
      <c r="B991" s="10" t="str">
        <f t="shared" si="1"/>
        <v>RNA-gill</v>
      </c>
      <c r="C991" s="10" t="str">
        <f t="shared" si="2"/>
        <v>BRN71G-B7</v>
      </c>
      <c r="D991" s="11">
        <f t="array" ref="D991">iferror(index('rna-muscle'!D:D,match(A991,'rna-muscle'!A:A,0)))</f>
        <v>71</v>
      </c>
      <c r="E991" s="10" t="str">
        <f t="shared" si="3"/>
        <v>BRN71G</v>
      </c>
      <c r="F991" s="11" t="str">
        <f t="array" ref="F991">iferror(index('rna-muscle'!F:F,match($A991,'rna-muscle'!$A:$A,0)))</f>
        <v>B</v>
      </c>
      <c r="G991" s="11">
        <f t="array" ref="G991">iferror(index('rna-muscle'!G:G,match($A991,'rna-muscle'!$A:$A,0)))</f>
        <v>7</v>
      </c>
      <c r="H991" s="11" t="str">
        <f t="shared" si="4"/>
        <v>B7</v>
      </c>
      <c r="I991" s="10" t="str">
        <f t="shared" si="5"/>
        <v>BRN71G-B7</v>
      </c>
      <c r="J991" s="16"/>
      <c r="K991" s="16" t="str">
        <f t="shared" si="6"/>
        <v>collected</v>
      </c>
      <c r="L991" s="16" t="str">
        <f t="shared" si="7"/>
        <v>N</v>
      </c>
      <c r="M991" s="16"/>
      <c r="N991" s="16"/>
    </row>
    <row r="992">
      <c r="A992" s="26" t="s">
        <v>1420</v>
      </c>
      <c r="B992" s="10" t="str">
        <f t="shared" si="1"/>
        <v>RNA-gill</v>
      </c>
      <c r="C992" s="10" t="str">
        <f t="shared" si="2"/>
        <v>BRN71G-A7</v>
      </c>
      <c r="D992" s="11">
        <f t="array" ref="D992">iferror(index('rna-muscle'!D:D,match(A992,'rna-muscle'!A:A,0)))</f>
        <v>71</v>
      </c>
      <c r="E992" s="10" t="str">
        <f t="shared" si="3"/>
        <v>BRN71G</v>
      </c>
      <c r="F992" s="11" t="str">
        <f t="array" ref="F992">iferror(index('rna-muscle'!F:F,match($A992,'rna-muscle'!$A:$A,0)))</f>
        <v>A</v>
      </c>
      <c r="G992" s="11">
        <f t="array" ref="G992">iferror(index('rna-muscle'!G:G,match($A992,'rna-muscle'!$A:$A,0)))</f>
        <v>7</v>
      </c>
      <c r="H992" s="11" t="str">
        <f t="shared" si="4"/>
        <v>A7</v>
      </c>
      <c r="I992" s="10" t="str">
        <f t="shared" si="5"/>
        <v>BRN71G-A7</v>
      </c>
      <c r="J992" s="16"/>
      <c r="K992" s="16" t="str">
        <f t="shared" si="6"/>
        <v>collected</v>
      </c>
      <c r="L992" s="16" t="str">
        <f t="shared" si="7"/>
        <v>N</v>
      </c>
      <c r="M992" s="16"/>
      <c r="N992" s="16"/>
    </row>
    <row r="993">
      <c r="A993" s="40" t="s">
        <v>1421</v>
      </c>
      <c r="B993" s="10" t="str">
        <f t="shared" si="1"/>
        <v>RNA-gill</v>
      </c>
      <c r="C993" s="10" t="str">
        <f t="shared" si="2"/>
        <v>BRN71G-H8</v>
      </c>
      <c r="D993" s="11">
        <f t="array" ref="D993">iferror(index('rna-muscle'!D:D,match(A993,'rna-muscle'!A:A,0)))</f>
        <v>71</v>
      </c>
      <c r="E993" s="10" t="str">
        <f t="shared" si="3"/>
        <v>BRN71G</v>
      </c>
      <c r="F993" s="11" t="str">
        <f t="array" ref="F993">iferror(index('rna-muscle'!F:F,match($A993,'rna-muscle'!$A:$A,0)))</f>
        <v>H</v>
      </c>
      <c r="G993" s="11">
        <f t="array" ref="G993">iferror(index('rna-muscle'!G:G,match($A993,'rna-muscle'!$A:$A,0)))</f>
        <v>8</v>
      </c>
      <c r="H993" s="11" t="str">
        <f t="shared" si="4"/>
        <v>H8</v>
      </c>
      <c r="I993" s="10" t="str">
        <f t="shared" si="5"/>
        <v>BRN71G-H8</v>
      </c>
      <c r="J993" s="16"/>
      <c r="K993" s="16" t="str">
        <f t="shared" si="6"/>
        <v>collected</v>
      </c>
      <c r="L993" s="16" t="str">
        <f t="shared" si="7"/>
        <v>N</v>
      </c>
      <c r="M993" s="16"/>
      <c r="N993" s="16"/>
    </row>
    <row r="994">
      <c r="A994" s="40" t="s">
        <v>1422</v>
      </c>
      <c r="B994" s="10" t="str">
        <f t="shared" si="1"/>
        <v>RNA-gill</v>
      </c>
      <c r="C994" s="10" t="str">
        <f t="shared" si="2"/>
        <v>BRN71G-G8</v>
      </c>
      <c r="D994" s="11">
        <f t="array" ref="D994">iferror(index('rna-muscle'!D:D,match(A994,'rna-muscle'!A:A,0)))</f>
        <v>71</v>
      </c>
      <c r="E994" s="10" t="str">
        <f t="shared" si="3"/>
        <v>BRN71G</v>
      </c>
      <c r="F994" s="11" t="str">
        <f t="array" ref="F994">iferror(index('rna-muscle'!F:F,match($A994,'rna-muscle'!$A:$A,0)))</f>
        <v>G</v>
      </c>
      <c r="G994" s="11">
        <f t="array" ref="G994">iferror(index('rna-muscle'!G:G,match($A994,'rna-muscle'!$A:$A,0)))</f>
        <v>8</v>
      </c>
      <c r="H994" s="11" t="str">
        <f t="shared" si="4"/>
        <v>G8</v>
      </c>
      <c r="I994" s="10" t="str">
        <f t="shared" si="5"/>
        <v>BRN71G-G8</v>
      </c>
      <c r="J994" s="16"/>
      <c r="K994" s="16" t="str">
        <f t="shared" si="6"/>
        <v>collected</v>
      </c>
      <c r="L994" s="16" t="str">
        <f t="shared" si="7"/>
        <v>N</v>
      </c>
      <c r="M994" s="16"/>
      <c r="N994" s="16"/>
    </row>
    <row r="995">
      <c r="A995" s="40" t="s">
        <v>1423</v>
      </c>
      <c r="B995" s="10" t="str">
        <f t="shared" si="1"/>
        <v>RNA-gill</v>
      </c>
      <c r="C995" s="10" t="str">
        <f t="shared" si="2"/>
        <v>BRN71G-F8</v>
      </c>
      <c r="D995" s="11">
        <f t="array" ref="D995">iferror(index('rna-muscle'!D:D,match(A995,'rna-muscle'!A:A,0)))</f>
        <v>71</v>
      </c>
      <c r="E995" s="10" t="str">
        <f t="shared" si="3"/>
        <v>BRN71G</v>
      </c>
      <c r="F995" s="11" t="str">
        <f t="array" ref="F995">iferror(index('rna-muscle'!F:F,match($A995,'rna-muscle'!$A:$A,0)))</f>
        <v>F</v>
      </c>
      <c r="G995" s="11">
        <f t="array" ref="G995">iferror(index('rna-muscle'!G:G,match($A995,'rna-muscle'!$A:$A,0)))</f>
        <v>8</v>
      </c>
      <c r="H995" s="11" t="str">
        <f t="shared" si="4"/>
        <v>F8</v>
      </c>
      <c r="I995" s="10" t="str">
        <f t="shared" si="5"/>
        <v>BRN71G-F8</v>
      </c>
      <c r="J995" s="16"/>
      <c r="K995" s="16" t="str">
        <f t="shared" si="6"/>
        <v>collected</v>
      </c>
      <c r="L995" s="16" t="str">
        <f t="shared" si="7"/>
        <v>N</v>
      </c>
      <c r="M995" s="16"/>
      <c r="N995" s="16"/>
    </row>
    <row r="996">
      <c r="A996" s="40" t="s">
        <v>1424</v>
      </c>
      <c r="B996" s="10" t="str">
        <f t="shared" si="1"/>
        <v>RNA-gill</v>
      </c>
      <c r="C996" s="10" t="str">
        <f t="shared" si="2"/>
        <v>BRN71G-E8</v>
      </c>
      <c r="D996" s="11">
        <f t="array" ref="D996">iferror(index('rna-muscle'!D:D,match(A996,'rna-muscle'!A:A,0)))</f>
        <v>71</v>
      </c>
      <c r="E996" s="10" t="str">
        <f t="shared" si="3"/>
        <v>BRN71G</v>
      </c>
      <c r="F996" s="11" t="str">
        <f t="array" ref="F996">iferror(index('rna-muscle'!F:F,match($A996,'rna-muscle'!$A:$A,0)))</f>
        <v>E</v>
      </c>
      <c r="G996" s="11">
        <f t="array" ref="G996">iferror(index('rna-muscle'!G:G,match($A996,'rna-muscle'!$A:$A,0)))</f>
        <v>8</v>
      </c>
      <c r="H996" s="11" t="str">
        <f t="shared" si="4"/>
        <v>E8</v>
      </c>
      <c r="I996" s="10" t="str">
        <f t="shared" si="5"/>
        <v>BRN71G-E8</v>
      </c>
      <c r="J996" s="16"/>
      <c r="K996" s="16" t="str">
        <f t="shared" si="6"/>
        <v>collected</v>
      </c>
      <c r="L996" s="16" t="str">
        <f t="shared" si="7"/>
        <v>N</v>
      </c>
      <c r="M996" s="16"/>
      <c r="N996" s="16"/>
    </row>
    <row r="997">
      <c r="A997" s="40" t="s">
        <v>1425</v>
      </c>
      <c r="B997" s="10" t="str">
        <f t="shared" si="1"/>
        <v>RNA-gill</v>
      </c>
      <c r="C997" s="10" t="str">
        <f t="shared" si="2"/>
        <v>BRN71G-D8</v>
      </c>
      <c r="D997" s="11">
        <f t="array" ref="D997">iferror(index('rna-muscle'!D:D,match(A997,'rna-muscle'!A:A,0)))</f>
        <v>71</v>
      </c>
      <c r="E997" s="10" t="str">
        <f t="shared" si="3"/>
        <v>BRN71G</v>
      </c>
      <c r="F997" s="11" t="str">
        <f t="array" ref="F997">iferror(index('rna-muscle'!F:F,match($A997,'rna-muscle'!$A:$A,0)))</f>
        <v>D</v>
      </c>
      <c r="G997" s="11">
        <f t="array" ref="G997">iferror(index('rna-muscle'!G:G,match($A997,'rna-muscle'!$A:$A,0)))</f>
        <v>8</v>
      </c>
      <c r="H997" s="11" t="str">
        <f t="shared" si="4"/>
        <v>D8</v>
      </c>
      <c r="I997" s="10" t="str">
        <f t="shared" si="5"/>
        <v>BRN71G-D8</v>
      </c>
      <c r="J997" s="16"/>
      <c r="K997" s="16" t="str">
        <f t="shared" si="6"/>
        <v>collected</v>
      </c>
      <c r="L997" s="16" t="str">
        <f t="shared" si="7"/>
        <v>N</v>
      </c>
      <c r="M997" s="16"/>
      <c r="N997" s="16"/>
    </row>
    <row r="998">
      <c r="A998" s="40" t="s">
        <v>1426</v>
      </c>
      <c r="B998" s="10" t="str">
        <f t="shared" si="1"/>
        <v>RNA-gill</v>
      </c>
      <c r="C998" s="10" t="str">
        <f t="shared" si="2"/>
        <v>BRN71G-C8</v>
      </c>
      <c r="D998" s="11">
        <f t="array" ref="D998">iferror(index('rna-muscle'!D:D,match(A998,'rna-muscle'!A:A,0)))</f>
        <v>71</v>
      </c>
      <c r="E998" s="10" t="str">
        <f t="shared" si="3"/>
        <v>BRN71G</v>
      </c>
      <c r="F998" s="11" t="str">
        <f t="array" ref="F998">iferror(index('rna-muscle'!F:F,match($A998,'rna-muscle'!$A:$A,0)))</f>
        <v>C</v>
      </c>
      <c r="G998" s="11">
        <f t="array" ref="G998">iferror(index('rna-muscle'!G:G,match($A998,'rna-muscle'!$A:$A,0)))</f>
        <v>8</v>
      </c>
      <c r="H998" s="11" t="str">
        <f t="shared" si="4"/>
        <v>C8</v>
      </c>
      <c r="I998" s="10" t="str">
        <f t="shared" si="5"/>
        <v>BRN71G-C8</v>
      </c>
      <c r="J998" s="16"/>
      <c r="K998" s="16" t="str">
        <f t="shared" si="6"/>
        <v>collected</v>
      </c>
      <c r="L998" s="16" t="str">
        <f t="shared" si="7"/>
        <v>N</v>
      </c>
      <c r="M998" s="16"/>
      <c r="N998" s="16"/>
    </row>
    <row r="999">
      <c r="A999" s="40" t="s">
        <v>1429</v>
      </c>
      <c r="B999" s="10" t="str">
        <f t="shared" si="1"/>
        <v>RNA-gill</v>
      </c>
      <c r="C999" s="10" t="str">
        <f t="shared" si="2"/>
        <v>BRN71G-B8</v>
      </c>
      <c r="D999" s="11">
        <f t="array" ref="D999">iferror(index('rna-muscle'!D:D,match(A999,'rna-muscle'!A:A,0)))</f>
        <v>71</v>
      </c>
      <c r="E999" s="10" t="str">
        <f t="shared" si="3"/>
        <v>BRN71G</v>
      </c>
      <c r="F999" s="11" t="str">
        <f t="array" ref="F999">iferror(index('rna-muscle'!F:F,match($A999,'rna-muscle'!$A:$A,0)))</f>
        <v>B</v>
      </c>
      <c r="G999" s="11">
        <f t="array" ref="G999">iferror(index('rna-muscle'!G:G,match($A999,'rna-muscle'!$A:$A,0)))</f>
        <v>8</v>
      </c>
      <c r="H999" s="11" t="str">
        <f t="shared" si="4"/>
        <v>B8</v>
      </c>
      <c r="I999" s="10" t="str">
        <f t="shared" si="5"/>
        <v>BRN71G-B8</v>
      </c>
      <c r="J999" s="16"/>
      <c r="K999" s="16" t="str">
        <f t="shared" si="6"/>
        <v>collected</v>
      </c>
      <c r="L999" s="16" t="str">
        <f t="shared" si="7"/>
        <v>N</v>
      </c>
      <c r="M999" s="16"/>
      <c r="N999" s="16"/>
    </row>
    <row r="1000">
      <c r="A1000" s="40" t="s">
        <v>1430</v>
      </c>
      <c r="B1000" s="10" t="str">
        <f t="shared" si="1"/>
        <v>RNA-gill</v>
      </c>
      <c r="C1000" s="10" t="str">
        <f t="shared" si="2"/>
        <v>BRN71G-A8</v>
      </c>
      <c r="D1000" s="11">
        <f t="array" ref="D1000">iferror(index('rna-muscle'!D:D,match(A1000,'rna-muscle'!A:A,0)))</f>
        <v>71</v>
      </c>
      <c r="E1000" s="10" t="str">
        <f t="shared" si="3"/>
        <v>BRN71G</v>
      </c>
      <c r="F1000" s="11" t="str">
        <f t="array" ref="F1000">iferror(index('rna-muscle'!F:F,match($A1000,'rna-muscle'!$A:$A,0)))</f>
        <v>A</v>
      </c>
      <c r="G1000" s="11">
        <f t="array" ref="G1000">iferror(index('rna-muscle'!G:G,match($A1000,'rna-muscle'!$A:$A,0)))</f>
        <v>8</v>
      </c>
      <c r="H1000" s="11" t="str">
        <f t="shared" si="4"/>
        <v>A8</v>
      </c>
      <c r="I1000" s="10" t="str">
        <f t="shared" si="5"/>
        <v>BRN71G-A8</v>
      </c>
      <c r="J1000" s="16"/>
      <c r="K1000" s="16" t="str">
        <f t="shared" si="6"/>
        <v>collected</v>
      </c>
      <c r="L1000" s="16" t="str">
        <f t="shared" si="7"/>
        <v>N</v>
      </c>
      <c r="M1000" s="16"/>
      <c r="N1000" s="16"/>
    </row>
    <row r="1001">
      <c r="A1001" s="40" t="s">
        <v>1431</v>
      </c>
      <c r="B1001" s="10" t="str">
        <f t="shared" si="1"/>
        <v>RNA-gill</v>
      </c>
      <c r="C1001" s="10" t="str">
        <f t="shared" si="2"/>
        <v>BRN71G-H9</v>
      </c>
      <c r="D1001" s="11">
        <f t="array" ref="D1001">iferror(index('rna-muscle'!D:D,match(A1001,'rna-muscle'!A:A,0)))</f>
        <v>71</v>
      </c>
      <c r="E1001" s="10" t="str">
        <f t="shared" si="3"/>
        <v>BRN71G</v>
      </c>
      <c r="F1001" s="11" t="str">
        <f t="array" ref="F1001">iferror(index('rna-muscle'!F:F,match($A1001,'rna-muscle'!$A:$A,0)))</f>
        <v>H</v>
      </c>
      <c r="G1001" s="11">
        <f t="array" ref="G1001">iferror(index('rna-muscle'!G:G,match($A1001,'rna-muscle'!$A:$A,0)))</f>
        <v>9</v>
      </c>
      <c r="H1001" s="11" t="str">
        <f t="shared" si="4"/>
        <v>H9</v>
      </c>
      <c r="I1001" s="10" t="str">
        <f t="shared" si="5"/>
        <v>BRN71G-H9</v>
      </c>
      <c r="J1001" s="16"/>
      <c r="K1001" s="16" t="str">
        <f t="shared" si="6"/>
        <v>collected</v>
      </c>
      <c r="L1001" s="16" t="str">
        <f t="shared" si="7"/>
        <v>N</v>
      </c>
      <c r="M1001" s="16"/>
      <c r="N1001" s="16"/>
    </row>
    <row r="1002">
      <c r="A1002" s="40" t="s">
        <v>1432</v>
      </c>
      <c r="B1002" s="10" t="str">
        <f t="shared" si="1"/>
        <v>RNA-gill</v>
      </c>
      <c r="C1002" s="10" t="str">
        <f t="shared" si="2"/>
        <v>BRN71G-G9</v>
      </c>
      <c r="D1002" s="11">
        <f t="array" ref="D1002">iferror(index('rna-muscle'!D:D,match(A1002,'rna-muscle'!A:A,0)))</f>
        <v>71</v>
      </c>
      <c r="E1002" s="10" t="str">
        <f t="shared" si="3"/>
        <v>BRN71G</v>
      </c>
      <c r="F1002" s="11" t="str">
        <f t="array" ref="F1002">iferror(index('rna-muscle'!F:F,match($A1002,'rna-muscle'!$A:$A,0)))</f>
        <v>G</v>
      </c>
      <c r="G1002" s="11">
        <f t="array" ref="G1002">iferror(index('rna-muscle'!G:G,match($A1002,'rna-muscle'!$A:$A,0)))</f>
        <v>9</v>
      </c>
      <c r="H1002" s="11" t="str">
        <f t="shared" si="4"/>
        <v>G9</v>
      </c>
      <c r="I1002" s="10" t="str">
        <f t="shared" si="5"/>
        <v>BRN71G-G9</v>
      </c>
      <c r="J1002" s="16"/>
      <c r="K1002" s="16" t="str">
        <f t="shared" si="6"/>
        <v>collected</v>
      </c>
      <c r="L1002" s="16" t="str">
        <f t="shared" si="7"/>
        <v>N</v>
      </c>
      <c r="M1002" s="16"/>
      <c r="N1002" s="16"/>
    </row>
    <row r="1003">
      <c r="A1003" s="40" t="s">
        <v>1433</v>
      </c>
      <c r="B1003" s="10" t="str">
        <f t="shared" si="1"/>
        <v>RNA-gill</v>
      </c>
      <c r="C1003" s="10" t="str">
        <f t="shared" si="2"/>
        <v>BRN71G-F9</v>
      </c>
      <c r="D1003" s="11">
        <f t="array" ref="D1003">iferror(index('rna-muscle'!D:D,match(A1003,'rna-muscle'!A:A,0)))</f>
        <v>71</v>
      </c>
      <c r="E1003" s="10" t="str">
        <f t="shared" si="3"/>
        <v>BRN71G</v>
      </c>
      <c r="F1003" s="11" t="str">
        <f t="array" ref="F1003">iferror(index('rna-muscle'!F:F,match($A1003,'rna-muscle'!$A:$A,0)))</f>
        <v>F</v>
      </c>
      <c r="G1003" s="11">
        <f t="array" ref="G1003">iferror(index('rna-muscle'!G:G,match($A1003,'rna-muscle'!$A:$A,0)))</f>
        <v>9</v>
      </c>
      <c r="H1003" s="11" t="str">
        <f t="shared" si="4"/>
        <v>F9</v>
      </c>
      <c r="I1003" s="10" t="str">
        <f t="shared" si="5"/>
        <v>BRN71G-F9</v>
      </c>
      <c r="J1003" s="16"/>
      <c r="K1003" s="16" t="str">
        <f t="shared" si="6"/>
        <v>collected</v>
      </c>
      <c r="L1003" s="16" t="str">
        <f t="shared" si="7"/>
        <v>N</v>
      </c>
      <c r="M1003" s="16"/>
      <c r="N1003" s="16"/>
    </row>
    <row r="1004">
      <c r="A1004" s="40" t="s">
        <v>1435</v>
      </c>
      <c r="B1004" s="10" t="str">
        <f t="shared" si="1"/>
        <v>RNA-gill</v>
      </c>
      <c r="C1004" s="10" t="str">
        <f t="shared" si="2"/>
        <v>BRN71G-E9</v>
      </c>
      <c r="D1004" s="11">
        <f t="array" ref="D1004">iferror(index('rna-muscle'!D:D,match(A1004,'rna-muscle'!A:A,0)))</f>
        <v>71</v>
      </c>
      <c r="E1004" s="10" t="str">
        <f t="shared" si="3"/>
        <v>BRN71G</v>
      </c>
      <c r="F1004" s="11" t="str">
        <f t="array" ref="F1004">iferror(index('rna-muscle'!F:F,match($A1004,'rna-muscle'!$A:$A,0)))</f>
        <v>E</v>
      </c>
      <c r="G1004" s="11">
        <f t="array" ref="G1004">iferror(index('rna-muscle'!G:G,match($A1004,'rna-muscle'!$A:$A,0)))</f>
        <v>9</v>
      </c>
      <c r="H1004" s="11" t="str">
        <f t="shared" si="4"/>
        <v>E9</v>
      </c>
      <c r="I1004" s="10" t="str">
        <f t="shared" si="5"/>
        <v>BRN71G-E9</v>
      </c>
      <c r="J1004" s="16"/>
      <c r="K1004" s="16" t="str">
        <f t="shared" si="6"/>
        <v>collected</v>
      </c>
      <c r="L1004" s="16" t="str">
        <f t="shared" si="7"/>
        <v>N</v>
      </c>
      <c r="M1004" s="16"/>
      <c r="N1004" s="16"/>
    </row>
    <row r="1005">
      <c r="A1005" s="40" t="s">
        <v>1436</v>
      </c>
      <c r="B1005" s="10" t="str">
        <f t="shared" si="1"/>
        <v>RNA-gill</v>
      </c>
      <c r="C1005" s="10" t="str">
        <f t="shared" si="2"/>
        <v>BRN71G-D9</v>
      </c>
      <c r="D1005" s="11">
        <f t="array" ref="D1005">iferror(index('rna-muscle'!D:D,match(A1005,'rna-muscle'!A:A,0)))</f>
        <v>71</v>
      </c>
      <c r="E1005" s="10" t="str">
        <f t="shared" si="3"/>
        <v>BRN71G</v>
      </c>
      <c r="F1005" s="11" t="str">
        <f t="array" ref="F1005">iferror(index('rna-muscle'!F:F,match($A1005,'rna-muscle'!$A:$A,0)))</f>
        <v>D</v>
      </c>
      <c r="G1005" s="11">
        <f t="array" ref="G1005">iferror(index('rna-muscle'!G:G,match($A1005,'rna-muscle'!$A:$A,0)))</f>
        <v>9</v>
      </c>
      <c r="H1005" s="11" t="str">
        <f t="shared" si="4"/>
        <v>D9</v>
      </c>
      <c r="I1005" s="10" t="str">
        <f t="shared" si="5"/>
        <v>BRN71G-D9</v>
      </c>
      <c r="J1005" s="16"/>
      <c r="K1005" s="16" t="str">
        <f t="shared" si="6"/>
        <v>collected</v>
      </c>
      <c r="L1005" s="16" t="str">
        <f t="shared" si="7"/>
        <v>N</v>
      </c>
      <c r="M1005" s="16"/>
      <c r="N1005" s="16"/>
    </row>
    <row r="1006">
      <c r="A1006" s="40" t="s">
        <v>1438</v>
      </c>
      <c r="B1006" s="10" t="str">
        <f t="shared" si="1"/>
        <v>RNA-gill</v>
      </c>
      <c r="C1006" s="10" t="str">
        <f t="shared" si="2"/>
        <v>BRN71G-C9</v>
      </c>
      <c r="D1006" s="11">
        <f t="array" ref="D1006">iferror(index('rna-muscle'!D:D,match(A1006,'rna-muscle'!A:A,0)))</f>
        <v>71</v>
      </c>
      <c r="E1006" s="10" t="str">
        <f t="shared" si="3"/>
        <v>BRN71G</v>
      </c>
      <c r="F1006" s="11" t="str">
        <f t="array" ref="F1006">iferror(index('rna-muscle'!F:F,match($A1006,'rna-muscle'!$A:$A,0)))</f>
        <v>C</v>
      </c>
      <c r="G1006" s="11">
        <f t="array" ref="G1006">iferror(index('rna-muscle'!G:G,match($A1006,'rna-muscle'!$A:$A,0)))</f>
        <v>9</v>
      </c>
      <c r="H1006" s="11" t="str">
        <f t="shared" si="4"/>
        <v>C9</v>
      </c>
      <c r="I1006" s="10" t="str">
        <f t="shared" si="5"/>
        <v>BRN71G-C9</v>
      </c>
      <c r="J1006" s="16"/>
      <c r="K1006" s="16" t="str">
        <f t="shared" si="6"/>
        <v>collected</v>
      </c>
      <c r="L1006" s="16" t="str">
        <f t="shared" si="7"/>
        <v>N</v>
      </c>
      <c r="M1006" s="16"/>
      <c r="N1006" s="16"/>
    </row>
    <row r="1007">
      <c r="A1007" s="40" t="s">
        <v>1439</v>
      </c>
      <c r="B1007" s="10" t="str">
        <f t="shared" si="1"/>
        <v>RNA-gill</v>
      </c>
      <c r="C1007" s="10" t="str">
        <f t="shared" si="2"/>
        <v>BRN71G-B9</v>
      </c>
      <c r="D1007" s="11">
        <f t="array" ref="D1007">iferror(index('rna-muscle'!D:D,match(A1007,'rna-muscle'!A:A,0)))</f>
        <v>71</v>
      </c>
      <c r="E1007" s="10" t="str">
        <f t="shared" si="3"/>
        <v>BRN71G</v>
      </c>
      <c r="F1007" s="11" t="str">
        <f t="array" ref="F1007">iferror(index('rna-muscle'!F:F,match($A1007,'rna-muscle'!$A:$A,0)))</f>
        <v>B</v>
      </c>
      <c r="G1007" s="11">
        <f t="array" ref="G1007">iferror(index('rna-muscle'!G:G,match($A1007,'rna-muscle'!$A:$A,0)))</f>
        <v>9</v>
      </c>
      <c r="H1007" s="11" t="str">
        <f t="shared" si="4"/>
        <v>B9</v>
      </c>
      <c r="I1007" s="10" t="str">
        <f t="shared" si="5"/>
        <v>BRN71G-B9</v>
      </c>
      <c r="J1007" s="16"/>
      <c r="K1007" s="16" t="str">
        <f t="shared" si="6"/>
        <v>collected</v>
      </c>
      <c r="L1007" s="16" t="str">
        <f t="shared" si="7"/>
        <v>N</v>
      </c>
      <c r="M1007" s="16"/>
      <c r="N1007" s="16"/>
    </row>
    <row r="1008">
      <c r="A1008" s="40" t="s">
        <v>1440</v>
      </c>
      <c r="B1008" s="10" t="str">
        <f t="shared" si="1"/>
        <v>RNA-gill</v>
      </c>
      <c r="C1008" s="10" t="str">
        <f t="shared" si="2"/>
        <v>BRN71G-A9</v>
      </c>
      <c r="D1008" s="11">
        <f t="array" ref="D1008">iferror(index('rna-muscle'!D:D,match(A1008,'rna-muscle'!A:A,0)))</f>
        <v>71</v>
      </c>
      <c r="E1008" s="10" t="str">
        <f t="shared" si="3"/>
        <v>BRN71G</v>
      </c>
      <c r="F1008" s="11" t="str">
        <f t="array" ref="F1008">iferror(index('rna-muscle'!F:F,match($A1008,'rna-muscle'!$A:$A,0)))</f>
        <v>A</v>
      </c>
      <c r="G1008" s="11">
        <f t="array" ref="G1008">iferror(index('rna-muscle'!G:G,match($A1008,'rna-muscle'!$A:$A,0)))</f>
        <v>9</v>
      </c>
      <c r="H1008" s="11" t="str">
        <f t="shared" si="4"/>
        <v>A9</v>
      </c>
      <c r="I1008" s="10" t="str">
        <f t="shared" si="5"/>
        <v>BRN71G-A9</v>
      </c>
      <c r="J1008" s="16"/>
      <c r="K1008" s="16" t="str">
        <f t="shared" si="6"/>
        <v>collected</v>
      </c>
      <c r="L1008" s="16" t="str">
        <f t="shared" si="7"/>
        <v>N</v>
      </c>
      <c r="M1008" s="16"/>
      <c r="N1008" s="16"/>
    </row>
    <row r="1009">
      <c r="A1009" s="40" t="s">
        <v>1441</v>
      </c>
      <c r="B1009" s="10" t="str">
        <f t="shared" si="1"/>
        <v>RNA-gill</v>
      </c>
      <c r="C1009" s="10" t="str">
        <f t="shared" si="2"/>
        <v>BRN71G-H10</v>
      </c>
      <c r="D1009" s="11">
        <f t="array" ref="D1009">iferror(index('rna-muscle'!D:D,match(A1009,'rna-muscle'!A:A,0)))</f>
        <v>71</v>
      </c>
      <c r="E1009" s="10" t="str">
        <f t="shared" si="3"/>
        <v>BRN71G</v>
      </c>
      <c r="F1009" s="11" t="str">
        <f t="array" ref="F1009">iferror(index('rna-muscle'!F:F,match($A1009,'rna-muscle'!$A:$A,0)))</f>
        <v>H</v>
      </c>
      <c r="G1009" s="11">
        <f t="array" ref="G1009">iferror(index('rna-muscle'!G:G,match($A1009,'rna-muscle'!$A:$A,0)))</f>
        <v>10</v>
      </c>
      <c r="H1009" s="11" t="str">
        <f t="shared" si="4"/>
        <v>H10</v>
      </c>
      <c r="I1009" s="10" t="str">
        <f t="shared" si="5"/>
        <v>BRN71G-H10</v>
      </c>
      <c r="J1009" s="16"/>
      <c r="K1009" s="16" t="str">
        <f t="shared" si="6"/>
        <v>collected</v>
      </c>
      <c r="L1009" s="16" t="str">
        <f t="shared" si="7"/>
        <v>N</v>
      </c>
      <c r="M1009" s="16"/>
      <c r="N1009" s="16"/>
    </row>
    <row r="1010">
      <c r="A1010" s="40" t="s">
        <v>1443</v>
      </c>
      <c r="B1010" s="10" t="str">
        <f t="shared" si="1"/>
        <v>RNA-gill</v>
      </c>
      <c r="C1010" s="10" t="str">
        <f t="shared" si="2"/>
        <v>BRN71G-G10</v>
      </c>
      <c r="D1010" s="11">
        <f t="array" ref="D1010">iferror(index('rna-muscle'!D:D,match(A1010,'rna-muscle'!A:A,0)))</f>
        <v>71</v>
      </c>
      <c r="E1010" s="10" t="str">
        <f t="shared" si="3"/>
        <v>BRN71G</v>
      </c>
      <c r="F1010" s="11" t="str">
        <f t="array" ref="F1010">iferror(index('rna-muscle'!F:F,match($A1010,'rna-muscle'!$A:$A,0)))</f>
        <v>G</v>
      </c>
      <c r="G1010" s="11">
        <f t="array" ref="G1010">iferror(index('rna-muscle'!G:G,match($A1010,'rna-muscle'!$A:$A,0)))</f>
        <v>10</v>
      </c>
      <c r="H1010" s="11" t="str">
        <f t="shared" si="4"/>
        <v>G10</v>
      </c>
      <c r="I1010" s="10" t="str">
        <f t="shared" si="5"/>
        <v>BRN71G-G10</v>
      </c>
      <c r="J1010" s="16"/>
      <c r="K1010" s="16" t="str">
        <f t="shared" si="6"/>
        <v>collected</v>
      </c>
      <c r="L1010" s="16" t="str">
        <f t="shared" si="7"/>
        <v>N</v>
      </c>
      <c r="M1010" s="16"/>
      <c r="N1010" s="16"/>
    </row>
    <row r="1011">
      <c r="A1011" s="40" t="s">
        <v>1444</v>
      </c>
      <c r="B1011" s="10" t="str">
        <f t="shared" si="1"/>
        <v>RNA-gill</v>
      </c>
      <c r="C1011" s="10" t="str">
        <f t="shared" si="2"/>
        <v>BRN71G-F10</v>
      </c>
      <c r="D1011" s="11">
        <f t="array" ref="D1011">iferror(index('rna-muscle'!D:D,match(A1011,'rna-muscle'!A:A,0)))</f>
        <v>71</v>
      </c>
      <c r="E1011" s="10" t="str">
        <f t="shared" si="3"/>
        <v>BRN71G</v>
      </c>
      <c r="F1011" s="11" t="str">
        <f t="array" ref="F1011">iferror(index('rna-muscle'!F:F,match($A1011,'rna-muscle'!$A:$A,0)))</f>
        <v>F</v>
      </c>
      <c r="G1011" s="11">
        <f t="array" ref="G1011">iferror(index('rna-muscle'!G:G,match($A1011,'rna-muscle'!$A:$A,0)))</f>
        <v>10</v>
      </c>
      <c r="H1011" s="11" t="str">
        <f t="shared" si="4"/>
        <v>F10</v>
      </c>
      <c r="I1011" s="10" t="str">
        <f t="shared" si="5"/>
        <v>BRN71G-F10</v>
      </c>
      <c r="J1011" s="16"/>
      <c r="K1011" s="16" t="str">
        <f t="shared" si="6"/>
        <v>collected</v>
      </c>
      <c r="L1011" s="16" t="str">
        <f t="shared" si="7"/>
        <v>N</v>
      </c>
      <c r="M1011" s="16"/>
      <c r="N1011" s="16"/>
    </row>
    <row r="1012">
      <c r="A1012" s="40" t="s">
        <v>1446</v>
      </c>
      <c r="B1012" s="10" t="str">
        <f t="shared" si="1"/>
        <v>RNA-gill</v>
      </c>
      <c r="C1012" s="10" t="str">
        <f t="shared" si="2"/>
        <v>BRN71G-E10</v>
      </c>
      <c r="D1012" s="11">
        <f t="array" ref="D1012">iferror(index('rna-muscle'!D:D,match(A1012,'rna-muscle'!A:A,0)))</f>
        <v>71</v>
      </c>
      <c r="E1012" s="10" t="str">
        <f t="shared" si="3"/>
        <v>BRN71G</v>
      </c>
      <c r="F1012" s="11" t="str">
        <f t="array" ref="F1012">iferror(index('rna-muscle'!F:F,match($A1012,'rna-muscle'!$A:$A,0)))</f>
        <v>E</v>
      </c>
      <c r="G1012" s="11">
        <f t="array" ref="G1012">iferror(index('rna-muscle'!G:G,match($A1012,'rna-muscle'!$A:$A,0)))</f>
        <v>10</v>
      </c>
      <c r="H1012" s="11" t="str">
        <f t="shared" si="4"/>
        <v>E10</v>
      </c>
      <c r="I1012" s="10" t="str">
        <f t="shared" si="5"/>
        <v>BRN71G-E10</v>
      </c>
      <c r="J1012" s="16"/>
      <c r="K1012" s="16" t="str">
        <f t="shared" si="6"/>
        <v>collected</v>
      </c>
      <c r="L1012" s="16" t="str">
        <f t="shared" si="7"/>
        <v>N</v>
      </c>
      <c r="M1012" s="16"/>
      <c r="N1012" s="16"/>
    </row>
    <row r="1013">
      <c r="A1013" s="40" t="s">
        <v>1447</v>
      </c>
      <c r="B1013" s="10" t="str">
        <f t="shared" si="1"/>
        <v>RNA-gill</v>
      </c>
      <c r="C1013" s="10" t="str">
        <f t="shared" si="2"/>
        <v>BRN71G-D10</v>
      </c>
      <c r="D1013" s="11">
        <f t="array" ref="D1013">iferror(index('rna-muscle'!D:D,match(A1013,'rna-muscle'!A:A,0)))</f>
        <v>71</v>
      </c>
      <c r="E1013" s="10" t="str">
        <f t="shared" si="3"/>
        <v>BRN71G</v>
      </c>
      <c r="F1013" s="11" t="str">
        <f t="array" ref="F1013">iferror(index('rna-muscle'!F:F,match($A1013,'rna-muscle'!$A:$A,0)))</f>
        <v>D</v>
      </c>
      <c r="G1013" s="11">
        <f t="array" ref="G1013">iferror(index('rna-muscle'!G:G,match($A1013,'rna-muscle'!$A:$A,0)))</f>
        <v>10</v>
      </c>
      <c r="H1013" s="11" t="str">
        <f t="shared" si="4"/>
        <v>D10</v>
      </c>
      <c r="I1013" s="10" t="str">
        <f t="shared" si="5"/>
        <v>BRN71G-D10</v>
      </c>
      <c r="J1013" s="16"/>
      <c r="K1013" s="16" t="str">
        <f t="shared" si="6"/>
        <v>collected</v>
      </c>
      <c r="L1013" s="16" t="str">
        <f t="shared" si="7"/>
        <v>N</v>
      </c>
      <c r="M1013" s="16"/>
      <c r="N1013" s="16"/>
    </row>
    <row r="1014">
      <c r="A1014" s="40" t="s">
        <v>1448</v>
      </c>
      <c r="B1014" s="10" t="str">
        <f t="shared" si="1"/>
        <v>RNA-gill</v>
      </c>
      <c r="C1014" s="10" t="str">
        <f t="shared" si="2"/>
        <v>BRN71G-C10</v>
      </c>
      <c r="D1014" s="11">
        <f t="array" ref="D1014">iferror(index('rna-muscle'!D:D,match(A1014,'rna-muscle'!A:A,0)))</f>
        <v>71</v>
      </c>
      <c r="E1014" s="10" t="str">
        <f t="shared" si="3"/>
        <v>BRN71G</v>
      </c>
      <c r="F1014" s="11" t="str">
        <f t="array" ref="F1014">iferror(index('rna-muscle'!F:F,match($A1014,'rna-muscle'!$A:$A,0)))</f>
        <v>C</v>
      </c>
      <c r="G1014" s="11">
        <f t="array" ref="G1014">iferror(index('rna-muscle'!G:G,match($A1014,'rna-muscle'!$A:$A,0)))</f>
        <v>10</v>
      </c>
      <c r="H1014" s="11" t="str">
        <f t="shared" si="4"/>
        <v>C10</v>
      </c>
      <c r="I1014" s="10" t="str">
        <f t="shared" si="5"/>
        <v>BRN71G-C10</v>
      </c>
      <c r="J1014" s="16"/>
      <c r="K1014" s="16" t="str">
        <f t="shared" si="6"/>
        <v>collected</v>
      </c>
      <c r="L1014" s="16" t="str">
        <f t="shared" si="7"/>
        <v>N</v>
      </c>
      <c r="M1014" s="16"/>
      <c r="N1014" s="16"/>
    </row>
    <row r="1015">
      <c r="A1015" s="40" t="s">
        <v>1449</v>
      </c>
      <c r="B1015" s="10" t="str">
        <f t="shared" si="1"/>
        <v>RNA-gill</v>
      </c>
      <c r="C1015" s="10" t="str">
        <f t="shared" si="2"/>
        <v>BRN71G-B10</v>
      </c>
      <c r="D1015" s="11">
        <f t="array" ref="D1015">iferror(index('rna-muscle'!D:D,match(A1015,'rna-muscle'!A:A,0)))</f>
        <v>71</v>
      </c>
      <c r="E1015" s="10" t="str">
        <f t="shared" si="3"/>
        <v>BRN71G</v>
      </c>
      <c r="F1015" s="11" t="str">
        <f t="array" ref="F1015">iferror(index('rna-muscle'!F:F,match($A1015,'rna-muscle'!$A:$A,0)))</f>
        <v>B</v>
      </c>
      <c r="G1015" s="11">
        <f t="array" ref="G1015">iferror(index('rna-muscle'!G:G,match($A1015,'rna-muscle'!$A:$A,0)))</f>
        <v>10</v>
      </c>
      <c r="H1015" s="11" t="str">
        <f t="shared" si="4"/>
        <v>B10</v>
      </c>
      <c r="I1015" s="10" t="str">
        <f t="shared" si="5"/>
        <v>BRN71G-B10</v>
      </c>
      <c r="J1015" s="16"/>
      <c r="K1015" s="16" t="str">
        <f t="shared" si="6"/>
        <v>collected</v>
      </c>
      <c r="L1015" s="16" t="str">
        <f t="shared" si="7"/>
        <v>N</v>
      </c>
      <c r="M1015" s="16"/>
      <c r="N1015" s="16"/>
    </row>
    <row r="1016">
      <c r="A1016" s="40" t="s">
        <v>1451</v>
      </c>
      <c r="B1016" s="10" t="str">
        <f t="shared" si="1"/>
        <v>RNA-gill</v>
      </c>
      <c r="C1016" s="10" t="str">
        <f t="shared" si="2"/>
        <v>BRN71G-A10</v>
      </c>
      <c r="D1016" s="11">
        <f t="array" ref="D1016">iferror(index('rna-muscle'!D:D,match(A1016,'rna-muscle'!A:A,0)))</f>
        <v>71</v>
      </c>
      <c r="E1016" s="10" t="str">
        <f t="shared" si="3"/>
        <v>BRN71G</v>
      </c>
      <c r="F1016" s="11" t="str">
        <f t="array" ref="F1016">iferror(index('rna-muscle'!F:F,match($A1016,'rna-muscle'!$A:$A,0)))</f>
        <v>A</v>
      </c>
      <c r="G1016" s="11">
        <f t="array" ref="G1016">iferror(index('rna-muscle'!G:G,match($A1016,'rna-muscle'!$A:$A,0)))</f>
        <v>10</v>
      </c>
      <c r="H1016" s="11" t="str">
        <f t="shared" si="4"/>
        <v>A10</v>
      </c>
      <c r="I1016" s="10" t="str">
        <f t="shared" si="5"/>
        <v>BRN71G-A10</v>
      </c>
      <c r="J1016" s="16"/>
      <c r="K1016" s="16" t="str">
        <f t="shared" si="6"/>
        <v>collected</v>
      </c>
      <c r="L1016" s="16" t="str">
        <f t="shared" si="7"/>
        <v>N</v>
      </c>
      <c r="M1016" s="16"/>
      <c r="N1016" s="16"/>
    </row>
    <row r="1017">
      <c r="A1017" s="40" t="s">
        <v>1452</v>
      </c>
      <c r="B1017" s="10" t="str">
        <f t="shared" si="1"/>
        <v>RNA-gill</v>
      </c>
      <c r="C1017" s="10" t="str">
        <f t="shared" si="2"/>
        <v>BRN71G-H11</v>
      </c>
      <c r="D1017" s="11">
        <f t="array" ref="D1017">iferror(index('rna-muscle'!D:D,match(A1017,'rna-muscle'!A:A,0)))</f>
        <v>71</v>
      </c>
      <c r="E1017" s="10" t="str">
        <f t="shared" si="3"/>
        <v>BRN71G</v>
      </c>
      <c r="F1017" s="11" t="str">
        <f t="array" ref="F1017">iferror(index('rna-muscle'!F:F,match($A1017,'rna-muscle'!$A:$A,0)))</f>
        <v>H</v>
      </c>
      <c r="G1017" s="11">
        <f t="array" ref="G1017">iferror(index('rna-muscle'!G:G,match($A1017,'rna-muscle'!$A:$A,0)))</f>
        <v>11</v>
      </c>
      <c r="H1017" s="11" t="str">
        <f t="shared" si="4"/>
        <v>H11</v>
      </c>
      <c r="I1017" s="10" t="str">
        <f t="shared" si="5"/>
        <v>BRN71G-H11</v>
      </c>
      <c r="J1017" s="16"/>
      <c r="K1017" s="16" t="str">
        <f t="shared" si="6"/>
        <v>collected</v>
      </c>
      <c r="L1017" s="16" t="str">
        <f t="shared" si="7"/>
        <v>N</v>
      </c>
      <c r="M1017" s="16"/>
      <c r="N1017" s="16"/>
    </row>
    <row r="1018">
      <c r="A1018" s="40" t="s">
        <v>1453</v>
      </c>
      <c r="B1018" s="10" t="str">
        <f t="shared" si="1"/>
        <v>RNA-gill</v>
      </c>
      <c r="C1018" s="10" t="str">
        <f t="shared" si="2"/>
        <v>BRN71G-G11</v>
      </c>
      <c r="D1018" s="11">
        <f t="array" ref="D1018">iferror(index('rna-muscle'!D:D,match(A1018,'rna-muscle'!A:A,0)))</f>
        <v>71</v>
      </c>
      <c r="E1018" s="10" t="str">
        <f t="shared" si="3"/>
        <v>BRN71G</v>
      </c>
      <c r="F1018" s="11" t="str">
        <f t="array" ref="F1018">iferror(index('rna-muscle'!F:F,match($A1018,'rna-muscle'!$A:$A,0)))</f>
        <v>G</v>
      </c>
      <c r="G1018" s="11">
        <f t="array" ref="G1018">iferror(index('rna-muscle'!G:G,match($A1018,'rna-muscle'!$A:$A,0)))</f>
        <v>11</v>
      </c>
      <c r="H1018" s="11" t="str">
        <f t="shared" si="4"/>
        <v>G11</v>
      </c>
      <c r="I1018" s="10" t="str">
        <f t="shared" si="5"/>
        <v>BRN71G-G11</v>
      </c>
      <c r="J1018" s="16"/>
      <c r="K1018" s="16" t="str">
        <f t="shared" si="6"/>
        <v>collected</v>
      </c>
      <c r="L1018" s="16" t="str">
        <f t="shared" si="7"/>
        <v>N</v>
      </c>
      <c r="M1018" s="16"/>
      <c r="N1018" s="16"/>
    </row>
    <row r="1019">
      <c r="A1019" s="40" t="s">
        <v>1455</v>
      </c>
      <c r="B1019" s="10" t="str">
        <f t="shared" si="1"/>
        <v>RNA-gill</v>
      </c>
      <c r="C1019" s="10" t="str">
        <f t="shared" si="2"/>
        <v>BRN71G-F11</v>
      </c>
      <c r="D1019" s="11">
        <f t="array" ref="D1019">iferror(index('rna-muscle'!D:D,match(A1019,'rna-muscle'!A:A,0)))</f>
        <v>71</v>
      </c>
      <c r="E1019" s="10" t="str">
        <f t="shared" si="3"/>
        <v>BRN71G</v>
      </c>
      <c r="F1019" s="11" t="str">
        <f t="array" ref="F1019">iferror(index('rna-muscle'!F:F,match($A1019,'rna-muscle'!$A:$A,0)))</f>
        <v>F</v>
      </c>
      <c r="G1019" s="11">
        <f t="array" ref="G1019">iferror(index('rna-muscle'!G:G,match($A1019,'rna-muscle'!$A:$A,0)))</f>
        <v>11</v>
      </c>
      <c r="H1019" s="11" t="str">
        <f t="shared" si="4"/>
        <v>F11</v>
      </c>
      <c r="I1019" s="10" t="str">
        <f t="shared" si="5"/>
        <v>BRN71G-F11</v>
      </c>
      <c r="J1019" s="16"/>
      <c r="K1019" s="16" t="str">
        <f t="shared" si="6"/>
        <v>collected</v>
      </c>
      <c r="L1019" s="16" t="str">
        <f t="shared" si="7"/>
        <v>N</v>
      </c>
      <c r="M1019" s="16"/>
      <c r="N1019" s="16"/>
    </row>
    <row r="1020">
      <c r="A1020" s="40" t="s">
        <v>1458</v>
      </c>
      <c r="B1020" s="10" t="str">
        <f t="shared" si="1"/>
        <v>RNA-gill</v>
      </c>
      <c r="C1020" s="10" t="str">
        <f t="shared" si="2"/>
        <v>BRN71G-E11</v>
      </c>
      <c r="D1020" s="11">
        <f t="array" ref="D1020">iferror(index('rna-muscle'!D:D,match(A1020,'rna-muscle'!A:A,0)))</f>
        <v>71</v>
      </c>
      <c r="E1020" s="10" t="str">
        <f t="shared" si="3"/>
        <v>BRN71G</v>
      </c>
      <c r="F1020" s="11" t="str">
        <f t="array" ref="F1020">iferror(index('rna-muscle'!F:F,match($A1020,'rna-muscle'!$A:$A,0)))</f>
        <v>E</v>
      </c>
      <c r="G1020" s="11">
        <f t="array" ref="G1020">iferror(index('rna-muscle'!G:G,match($A1020,'rna-muscle'!$A:$A,0)))</f>
        <v>11</v>
      </c>
      <c r="H1020" s="11" t="str">
        <f t="shared" si="4"/>
        <v>E11</v>
      </c>
      <c r="I1020" s="10" t="str">
        <f t="shared" si="5"/>
        <v>BRN71G-E11</v>
      </c>
      <c r="J1020" s="16"/>
      <c r="K1020" s="16" t="str">
        <f t="shared" si="6"/>
        <v>collected</v>
      </c>
      <c r="L1020" s="16" t="str">
        <f t="shared" si="7"/>
        <v>N</v>
      </c>
      <c r="M1020" s="16"/>
      <c r="N1020" s="16"/>
    </row>
    <row r="1021">
      <c r="A1021" s="40" t="s">
        <v>1459</v>
      </c>
      <c r="B1021" s="10" t="str">
        <f t="shared" si="1"/>
        <v>RNA-gill</v>
      </c>
      <c r="C1021" s="10" t="str">
        <f t="shared" si="2"/>
        <v>BRN71G-D11</v>
      </c>
      <c r="D1021" s="11">
        <f t="array" ref="D1021">iferror(index('rna-muscle'!D:D,match(A1021,'rna-muscle'!A:A,0)))</f>
        <v>71</v>
      </c>
      <c r="E1021" s="10" t="str">
        <f t="shared" si="3"/>
        <v>BRN71G</v>
      </c>
      <c r="F1021" s="11" t="str">
        <f t="array" ref="F1021">iferror(index('rna-muscle'!F:F,match($A1021,'rna-muscle'!$A:$A,0)))</f>
        <v>D</v>
      </c>
      <c r="G1021" s="11">
        <f t="array" ref="G1021">iferror(index('rna-muscle'!G:G,match($A1021,'rna-muscle'!$A:$A,0)))</f>
        <v>11</v>
      </c>
      <c r="H1021" s="11" t="str">
        <f t="shared" si="4"/>
        <v>D11</v>
      </c>
      <c r="I1021" s="10" t="str">
        <f t="shared" si="5"/>
        <v>BRN71G-D11</v>
      </c>
      <c r="J1021" s="16"/>
      <c r="K1021" s="16" t="str">
        <f t="shared" si="6"/>
        <v>collected</v>
      </c>
      <c r="L1021" s="16" t="str">
        <f t="shared" si="7"/>
        <v>N</v>
      </c>
      <c r="M1021" s="16"/>
      <c r="N1021" s="16"/>
    </row>
    <row r="1022">
      <c r="A1022" s="40" t="s">
        <v>1461</v>
      </c>
      <c r="B1022" s="10" t="str">
        <f t="shared" si="1"/>
        <v>RNA-gill</v>
      </c>
      <c r="C1022" s="10" t="str">
        <f t="shared" si="2"/>
        <v>BRN71G-C11</v>
      </c>
      <c r="D1022" s="11">
        <f t="array" ref="D1022">iferror(index('rna-muscle'!D:D,match(A1022,'rna-muscle'!A:A,0)))</f>
        <v>71</v>
      </c>
      <c r="E1022" s="10" t="str">
        <f t="shared" si="3"/>
        <v>BRN71G</v>
      </c>
      <c r="F1022" s="11" t="str">
        <f t="array" ref="F1022">iferror(index('rna-muscle'!F:F,match($A1022,'rna-muscle'!$A:$A,0)))</f>
        <v>C</v>
      </c>
      <c r="G1022" s="11">
        <f t="array" ref="G1022">iferror(index('rna-muscle'!G:G,match($A1022,'rna-muscle'!$A:$A,0)))</f>
        <v>11</v>
      </c>
      <c r="H1022" s="11" t="str">
        <f t="shared" si="4"/>
        <v>C11</v>
      </c>
      <c r="I1022" s="10" t="str">
        <f t="shared" si="5"/>
        <v>BRN71G-C11</v>
      </c>
      <c r="J1022" s="16"/>
      <c r="K1022" s="16" t="str">
        <f t="shared" si="6"/>
        <v>collected</v>
      </c>
      <c r="L1022" s="16" t="str">
        <f t="shared" si="7"/>
        <v>N</v>
      </c>
      <c r="M1022" s="16"/>
      <c r="N1022" s="16"/>
    </row>
    <row r="1023">
      <c r="A1023" s="40" t="s">
        <v>1462</v>
      </c>
      <c r="B1023" s="10" t="str">
        <f t="shared" si="1"/>
        <v>RNA-gill</v>
      </c>
      <c r="C1023" s="10" t="str">
        <f t="shared" si="2"/>
        <v>BRN71G-B11</v>
      </c>
      <c r="D1023" s="11">
        <f t="array" ref="D1023">iferror(index('rna-muscle'!D:D,match(A1023,'rna-muscle'!A:A,0)))</f>
        <v>71</v>
      </c>
      <c r="E1023" s="10" t="str">
        <f t="shared" si="3"/>
        <v>BRN71G</v>
      </c>
      <c r="F1023" s="11" t="str">
        <f t="array" ref="F1023">iferror(index('rna-muscle'!F:F,match($A1023,'rna-muscle'!$A:$A,0)))</f>
        <v>B</v>
      </c>
      <c r="G1023" s="11">
        <f t="array" ref="G1023">iferror(index('rna-muscle'!G:G,match($A1023,'rna-muscle'!$A:$A,0)))</f>
        <v>11</v>
      </c>
      <c r="H1023" s="11" t="str">
        <f t="shared" si="4"/>
        <v>B11</v>
      </c>
      <c r="I1023" s="10" t="str">
        <f t="shared" si="5"/>
        <v>BRN71G-B11</v>
      </c>
      <c r="J1023" s="16"/>
      <c r="K1023" s="16" t="str">
        <f t="shared" si="6"/>
        <v>collected</v>
      </c>
      <c r="L1023" s="16" t="str">
        <f t="shared" si="7"/>
        <v>N</v>
      </c>
      <c r="M1023" s="16"/>
      <c r="N1023" s="16"/>
    </row>
    <row r="1024">
      <c r="A1024" s="40" t="s">
        <v>1464</v>
      </c>
      <c r="B1024" s="10" t="str">
        <f t="shared" si="1"/>
        <v>RNA-gill</v>
      </c>
      <c r="C1024" s="10" t="str">
        <f t="shared" si="2"/>
        <v>BRN71G-A11</v>
      </c>
      <c r="D1024" s="11">
        <f t="array" ref="D1024">iferror(index('rna-muscle'!D:D,match(A1024,'rna-muscle'!A:A,0)))</f>
        <v>71</v>
      </c>
      <c r="E1024" s="10" t="str">
        <f t="shared" si="3"/>
        <v>BRN71G</v>
      </c>
      <c r="F1024" s="11" t="str">
        <f t="array" ref="F1024">iferror(index('rna-muscle'!F:F,match($A1024,'rna-muscle'!$A:$A,0)))</f>
        <v>A</v>
      </c>
      <c r="G1024" s="11">
        <f t="array" ref="G1024">iferror(index('rna-muscle'!G:G,match($A1024,'rna-muscle'!$A:$A,0)))</f>
        <v>11</v>
      </c>
      <c r="H1024" s="11" t="str">
        <f t="shared" si="4"/>
        <v>A11</v>
      </c>
      <c r="I1024" s="10" t="str">
        <f t="shared" si="5"/>
        <v>BRN71G-A11</v>
      </c>
      <c r="J1024" s="16"/>
      <c r="K1024" s="16" t="str">
        <f t="shared" si="6"/>
        <v>collected</v>
      </c>
      <c r="L1024" s="16" t="str">
        <f t="shared" si="7"/>
        <v>N</v>
      </c>
      <c r="M1024" s="16"/>
      <c r="N1024" s="16"/>
    </row>
    <row r="1025">
      <c r="A1025" s="40" t="s">
        <v>1465</v>
      </c>
      <c r="B1025" s="10" t="str">
        <f t="shared" si="1"/>
        <v>RNA-gill</v>
      </c>
      <c r="C1025" s="10" t="str">
        <f t="shared" si="2"/>
        <v>BRN71G-G12</v>
      </c>
      <c r="D1025" s="11">
        <f t="array" ref="D1025">iferror(index('rna-muscle'!D:D,match(A1025,'rna-muscle'!A:A,0)))</f>
        <v>71</v>
      </c>
      <c r="E1025" s="10" t="str">
        <f t="shared" si="3"/>
        <v>BRN71G</v>
      </c>
      <c r="F1025" s="11" t="str">
        <f t="array" ref="F1025">iferror(index('rna-muscle'!F:F,match($A1025,'rna-muscle'!$A:$A,0)))</f>
        <v>G</v>
      </c>
      <c r="G1025" s="11">
        <f t="array" ref="G1025">iferror(index('rna-muscle'!G:G,match($A1025,'rna-muscle'!$A:$A,0)))</f>
        <v>12</v>
      </c>
      <c r="H1025" s="11" t="str">
        <f t="shared" si="4"/>
        <v>G12</v>
      </c>
      <c r="I1025" s="10" t="str">
        <f t="shared" si="5"/>
        <v>BRN71G-G12</v>
      </c>
      <c r="J1025" s="16"/>
      <c r="K1025" s="16" t="str">
        <f t="shared" si="6"/>
        <v>collected</v>
      </c>
      <c r="L1025" s="16" t="str">
        <f t="shared" si="7"/>
        <v>N</v>
      </c>
      <c r="M1025" s="16"/>
      <c r="N1025" s="16"/>
    </row>
    <row r="1026">
      <c r="A1026" s="40" t="s">
        <v>1468</v>
      </c>
      <c r="B1026" s="10" t="str">
        <f t="shared" si="1"/>
        <v>RNA-gill</v>
      </c>
      <c r="C1026" s="10" t="str">
        <f t="shared" si="2"/>
        <v>BRN71G-F12</v>
      </c>
      <c r="D1026" s="11">
        <f t="array" ref="D1026">iferror(index('rna-muscle'!D:D,match(A1026,'rna-muscle'!A:A,0)))</f>
        <v>71</v>
      </c>
      <c r="E1026" s="10" t="str">
        <f t="shared" si="3"/>
        <v>BRN71G</v>
      </c>
      <c r="F1026" s="11" t="str">
        <f t="array" ref="F1026">iferror(index('rna-muscle'!F:F,match($A1026,'rna-muscle'!$A:$A,0)))</f>
        <v>F</v>
      </c>
      <c r="G1026" s="11">
        <f t="array" ref="G1026">iferror(index('rna-muscle'!G:G,match($A1026,'rna-muscle'!$A:$A,0)))</f>
        <v>12</v>
      </c>
      <c r="H1026" s="11" t="str">
        <f t="shared" si="4"/>
        <v>F12</v>
      </c>
      <c r="I1026" s="10" t="str">
        <f t="shared" si="5"/>
        <v>BRN71G-F12</v>
      </c>
      <c r="J1026" s="16"/>
      <c r="K1026" s="16" t="str">
        <f t="shared" si="6"/>
        <v>collected</v>
      </c>
      <c r="L1026" s="16" t="str">
        <f t="shared" si="7"/>
        <v>N</v>
      </c>
      <c r="M1026" s="16"/>
      <c r="N1026" s="16"/>
    </row>
    <row r="1027">
      <c r="A1027" s="40" t="s">
        <v>1469</v>
      </c>
      <c r="B1027" s="10" t="str">
        <f t="shared" si="1"/>
        <v>RNA-gill</v>
      </c>
      <c r="C1027" s="10" t="str">
        <f t="shared" si="2"/>
        <v>BRN71G-E12</v>
      </c>
      <c r="D1027" s="11">
        <f t="array" ref="D1027">iferror(index('rna-muscle'!D:D,match(A1027,'rna-muscle'!A:A,0)))</f>
        <v>71</v>
      </c>
      <c r="E1027" s="10" t="str">
        <f t="shared" si="3"/>
        <v>BRN71G</v>
      </c>
      <c r="F1027" s="11" t="str">
        <f t="array" ref="F1027">iferror(index('rna-muscle'!F:F,match($A1027,'rna-muscle'!$A:$A,0)))</f>
        <v>E</v>
      </c>
      <c r="G1027" s="11">
        <f t="array" ref="G1027">iferror(index('rna-muscle'!G:G,match($A1027,'rna-muscle'!$A:$A,0)))</f>
        <v>12</v>
      </c>
      <c r="H1027" s="11" t="str">
        <f t="shared" si="4"/>
        <v>E12</v>
      </c>
      <c r="I1027" s="10" t="str">
        <f t="shared" si="5"/>
        <v>BRN71G-E12</v>
      </c>
      <c r="J1027" s="16"/>
      <c r="K1027" s="16" t="str">
        <f t="shared" si="6"/>
        <v>collected</v>
      </c>
      <c r="L1027" s="16" t="str">
        <f t="shared" si="7"/>
        <v>N</v>
      </c>
      <c r="M1027" s="16"/>
      <c r="N1027" s="16"/>
    </row>
    <row r="1028">
      <c r="A1028" s="40" t="s">
        <v>1471</v>
      </c>
      <c r="B1028" s="10" t="str">
        <f t="shared" si="1"/>
        <v>RNA-gill</v>
      </c>
      <c r="C1028" s="10" t="str">
        <f t="shared" si="2"/>
        <v>BRN71G-D12</v>
      </c>
      <c r="D1028" s="11">
        <f t="array" ref="D1028">iferror(index('rna-muscle'!D:D,match(A1028,'rna-muscle'!A:A,0)))</f>
        <v>71</v>
      </c>
      <c r="E1028" s="10" t="str">
        <f t="shared" si="3"/>
        <v>BRN71G</v>
      </c>
      <c r="F1028" s="11" t="str">
        <f t="array" ref="F1028">iferror(index('rna-muscle'!F:F,match($A1028,'rna-muscle'!$A:$A,0)))</f>
        <v>D</v>
      </c>
      <c r="G1028" s="11">
        <f t="array" ref="G1028">iferror(index('rna-muscle'!G:G,match($A1028,'rna-muscle'!$A:$A,0)))</f>
        <v>12</v>
      </c>
      <c r="H1028" s="11" t="str">
        <f t="shared" si="4"/>
        <v>D12</v>
      </c>
      <c r="I1028" s="10" t="str">
        <f t="shared" si="5"/>
        <v>BRN71G-D12</v>
      </c>
      <c r="J1028" s="16"/>
      <c r="K1028" s="16" t="str">
        <f t="shared" si="6"/>
        <v>collected</v>
      </c>
      <c r="L1028" s="16" t="str">
        <f t="shared" si="7"/>
        <v>N</v>
      </c>
      <c r="M1028" s="16"/>
      <c r="N1028" s="16"/>
    </row>
    <row r="1029">
      <c r="A1029" s="40" t="s">
        <v>1472</v>
      </c>
      <c r="B1029" s="10" t="str">
        <f t="shared" si="1"/>
        <v>RNA-gill</v>
      </c>
      <c r="C1029" s="10" t="str">
        <f t="shared" si="2"/>
        <v>BRN71G-C12</v>
      </c>
      <c r="D1029" s="11">
        <f t="array" ref="D1029">iferror(index('rna-muscle'!D:D,match(A1029,'rna-muscle'!A:A,0)))</f>
        <v>71</v>
      </c>
      <c r="E1029" s="10" t="str">
        <f t="shared" si="3"/>
        <v>BRN71G</v>
      </c>
      <c r="F1029" s="11" t="str">
        <f t="array" ref="F1029">iferror(index('rna-muscle'!F:F,match($A1029,'rna-muscle'!$A:$A,0)))</f>
        <v>C</v>
      </c>
      <c r="G1029" s="11">
        <f t="array" ref="G1029">iferror(index('rna-muscle'!G:G,match($A1029,'rna-muscle'!$A:$A,0)))</f>
        <v>12</v>
      </c>
      <c r="H1029" s="11" t="str">
        <f t="shared" si="4"/>
        <v>C12</v>
      </c>
      <c r="I1029" s="10" t="str">
        <f t="shared" si="5"/>
        <v>BRN71G-C12</v>
      </c>
      <c r="J1029" s="16"/>
      <c r="K1029" s="16" t="str">
        <f t="shared" si="6"/>
        <v>collected</v>
      </c>
      <c r="L1029" s="16" t="str">
        <f t="shared" si="7"/>
        <v>N</v>
      </c>
      <c r="M1029" s="16"/>
      <c r="N1029" s="16"/>
    </row>
    <row r="1030">
      <c r="A1030" s="40" t="s">
        <v>1473</v>
      </c>
      <c r="B1030" s="10" t="str">
        <f t="shared" si="1"/>
        <v>RNA-gill</v>
      </c>
      <c r="C1030" s="10" t="str">
        <f t="shared" si="2"/>
        <v>BRN71G-B12</v>
      </c>
      <c r="D1030" s="11">
        <f t="array" ref="D1030">iferror(index('rna-muscle'!D:D,match(A1030,'rna-muscle'!A:A,0)))</f>
        <v>71</v>
      </c>
      <c r="E1030" s="10" t="str">
        <f t="shared" si="3"/>
        <v>BRN71G</v>
      </c>
      <c r="F1030" s="11" t="str">
        <f t="array" ref="F1030">iferror(index('rna-muscle'!F:F,match($A1030,'rna-muscle'!$A:$A,0)))</f>
        <v>B</v>
      </c>
      <c r="G1030" s="11">
        <f t="array" ref="G1030">iferror(index('rna-muscle'!G:G,match($A1030,'rna-muscle'!$A:$A,0)))</f>
        <v>12</v>
      </c>
      <c r="H1030" s="11" t="str">
        <f t="shared" si="4"/>
        <v>B12</v>
      </c>
      <c r="I1030" s="10" t="str">
        <f t="shared" si="5"/>
        <v>BRN71G-B12</v>
      </c>
      <c r="J1030" s="16"/>
      <c r="K1030" s="16" t="str">
        <f t="shared" si="6"/>
        <v>collected</v>
      </c>
      <c r="L1030" s="16" t="str">
        <f t="shared" si="7"/>
        <v>N</v>
      </c>
      <c r="M1030" s="16"/>
      <c r="N1030" s="16"/>
    </row>
    <row r="1031">
      <c r="A1031" s="40" t="s">
        <v>1475</v>
      </c>
      <c r="B1031" s="10" t="str">
        <f t="shared" si="1"/>
        <v>RNA-gill</v>
      </c>
      <c r="C1031" s="10" t="str">
        <f t="shared" si="2"/>
        <v>BRN71G-A12</v>
      </c>
      <c r="D1031" s="11">
        <f t="array" ref="D1031">iferror(index('rna-muscle'!D:D,match(A1031,'rna-muscle'!A:A,0)))</f>
        <v>71</v>
      </c>
      <c r="E1031" s="10" t="str">
        <f t="shared" si="3"/>
        <v>BRN71G</v>
      </c>
      <c r="F1031" s="11" t="str">
        <f t="array" ref="F1031">iferror(index('rna-muscle'!F:F,match($A1031,'rna-muscle'!$A:$A,0)))</f>
        <v>A</v>
      </c>
      <c r="G1031" s="11">
        <f t="array" ref="G1031">iferror(index('rna-muscle'!G:G,match($A1031,'rna-muscle'!$A:$A,0)))</f>
        <v>12</v>
      </c>
      <c r="H1031" s="11" t="str">
        <f t="shared" si="4"/>
        <v>A12</v>
      </c>
      <c r="I1031" s="10" t="str">
        <f t="shared" si="5"/>
        <v>BRN71G-A12</v>
      </c>
      <c r="J1031" s="16"/>
      <c r="K1031" s="16" t="str">
        <f t="shared" si="6"/>
        <v>collected</v>
      </c>
      <c r="L1031" s="16" t="str">
        <f t="shared" si="7"/>
        <v>N</v>
      </c>
      <c r="M1031" s="16"/>
      <c r="N1031" s="16"/>
    </row>
    <row r="1032">
      <c r="A1032" s="40" t="s">
        <v>1476</v>
      </c>
      <c r="B1032" s="10" t="str">
        <f t="shared" si="1"/>
        <v>RNA-gill</v>
      </c>
      <c r="C1032" s="10" t="str">
        <f t="shared" si="2"/>
        <v>BRN73G-H1</v>
      </c>
      <c r="D1032" s="11">
        <f t="array" ref="D1032">iferror(index('rna-muscle'!D:D,match(A1032,'rna-muscle'!A:A,0)))</f>
        <v>73</v>
      </c>
      <c r="E1032" s="10" t="str">
        <f t="shared" si="3"/>
        <v>BRN73G</v>
      </c>
      <c r="F1032" s="11" t="str">
        <f t="array" ref="F1032">iferror(index('rna-muscle'!F:F,match($A1032,'rna-muscle'!$A:$A,0)))</f>
        <v>H</v>
      </c>
      <c r="G1032" s="11">
        <f t="array" ref="G1032">iferror(index('rna-muscle'!G:G,match($A1032,'rna-muscle'!$A:$A,0)))</f>
        <v>1</v>
      </c>
      <c r="H1032" s="11" t="str">
        <f t="shared" si="4"/>
        <v>H1</v>
      </c>
      <c r="I1032" s="10" t="str">
        <f t="shared" si="5"/>
        <v>BRN73G-H1</v>
      </c>
      <c r="J1032" s="16"/>
      <c r="K1032" s="16" t="str">
        <f t="shared" si="6"/>
        <v>collected</v>
      </c>
      <c r="L1032" s="16" t="str">
        <f t="shared" si="7"/>
        <v>N</v>
      </c>
      <c r="M1032" s="16"/>
      <c r="N1032" s="16"/>
    </row>
    <row r="1033">
      <c r="A1033" s="40" t="s">
        <v>1477</v>
      </c>
      <c r="B1033" s="10" t="str">
        <f t="shared" si="1"/>
        <v>RNA-gill</v>
      </c>
      <c r="C1033" s="10" t="str">
        <f t="shared" si="2"/>
        <v>BRN73G-G1</v>
      </c>
      <c r="D1033" s="11">
        <f t="array" ref="D1033">iferror(index('rna-muscle'!D:D,match(A1033,'rna-muscle'!A:A,0)))</f>
        <v>73</v>
      </c>
      <c r="E1033" s="10" t="str">
        <f t="shared" si="3"/>
        <v>BRN73G</v>
      </c>
      <c r="F1033" s="11" t="str">
        <f t="array" ref="F1033">iferror(index('rna-muscle'!F:F,match($A1033,'rna-muscle'!$A:$A,0)))</f>
        <v>G</v>
      </c>
      <c r="G1033" s="11">
        <f t="array" ref="G1033">iferror(index('rna-muscle'!G:G,match($A1033,'rna-muscle'!$A:$A,0)))</f>
        <v>1</v>
      </c>
      <c r="H1033" s="11" t="str">
        <f t="shared" si="4"/>
        <v>G1</v>
      </c>
      <c r="I1033" s="10" t="str">
        <f t="shared" si="5"/>
        <v>BRN73G-G1</v>
      </c>
      <c r="J1033" s="16"/>
      <c r="K1033" s="16" t="str">
        <f t="shared" si="6"/>
        <v>collected</v>
      </c>
      <c r="L1033" s="16" t="str">
        <f t="shared" si="7"/>
        <v>N</v>
      </c>
      <c r="M1033" s="16"/>
      <c r="N1033" s="16"/>
    </row>
    <row r="1034">
      <c r="A1034" s="40" t="s">
        <v>1478</v>
      </c>
      <c r="B1034" s="10" t="str">
        <f t="shared" si="1"/>
        <v>RNA-gill</v>
      </c>
      <c r="C1034" s="10" t="str">
        <f t="shared" si="2"/>
        <v>BRN73G-F1</v>
      </c>
      <c r="D1034" s="11">
        <f t="array" ref="D1034">iferror(index('rna-muscle'!D:D,match(A1034,'rna-muscle'!A:A,0)))</f>
        <v>73</v>
      </c>
      <c r="E1034" s="10" t="str">
        <f t="shared" si="3"/>
        <v>BRN73G</v>
      </c>
      <c r="F1034" s="11" t="str">
        <f t="array" ref="F1034">iferror(index('rna-muscle'!F:F,match($A1034,'rna-muscle'!$A:$A,0)))</f>
        <v>F</v>
      </c>
      <c r="G1034" s="11">
        <f t="array" ref="G1034">iferror(index('rna-muscle'!G:G,match($A1034,'rna-muscle'!$A:$A,0)))</f>
        <v>1</v>
      </c>
      <c r="H1034" s="11" t="str">
        <f t="shared" si="4"/>
        <v>F1</v>
      </c>
      <c r="I1034" s="10" t="str">
        <f t="shared" si="5"/>
        <v>BRN73G-F1</v>
      </c>
      <c r="J1034" s="16"/>
      <c r="K1034" s="16" t="str">
        <f t="shared" si="6"/>
        <v>collected</v>
      </c>
      <c r="L1034" s="16" t="str">
        <f t="shared" si="7"/>
        <v>N</v>
      </c>
      <c r="M1034" s="16"/>
      <c r="N1034" s="16"/>
    </row>
    <row r="1035">
      <c r="A1035" s="40" t="s">
        <v>1479</v>
      </c>
      <c r="B1035" s="10" t="str">
        <f t="shared" si="1"/>
        <v>RNA-gill</v>
      </c>
      <c r="C1035" s="10" t="str">
        <f t="shared" si="2"/>
        <v>BRN73G-E1</v>
      </c>
      <c r="D1035" s="11">
        <f t="array" ref="D1035">iferror(index('rna-muscle'!D:D,match(A1035,'rna-muscle'!A:A,0)))</f>
        <v>73</v>
      </c>
      <c r="E1035" s="10" t="str">
        <f t="shared" si="3"/>
        <v>BRN73G</v>
      </c>
      <c r="F1035" s="11" t="str">
        <f t="array" ref="F1035">iferror(index('rna-muscle'!F:F,match($A1035,'rna-muscle'!$A:$A,0)))</f>
        <v>E</v>
      </c>
      <c r="G1035" s="11">
        <f t="array" ref="G1035">iferror(index('rna-muscle'!G:G,match($A1035,'rna-muscle'!$A:$A,0)))</f>
        <v>1</v>
      </c>
      <c r="H1035" s="11" t="str">
        <f t="shared" si="4"/>
        <v>E1</v>
      </c>
      <c r="I1035" s="10" t="str">
        <f t="shared" si="5"/>
        <v>BRN73G-E1</v>
      </c>
      <c r="J1035" s="16"/>
      <c r="K1035" s="16" t="str">
        <f t="shared" si="6"/>
        <v>collected</v>
      </c>
      <c r="L1035" s="16" t="str">
        <f t="shared" si="7"/>
        <v>N</v>
      </c>
      <c r="M1035" s="16"/>
      <c r="N1035" s="16"/>
    </row>
    <row r="1036">
      <c r="A1036" s="40" t="s">
        <v>1481</v>
      </c>
      <c r="B1036" s="10" t="str">
        <f t="shared" si="1"/>
        <v>RNA-gill</v>
      </c>
      <c r="C1036" s="10" t="str">
        <f t="shared" si="2"/>
        <v>BRN73G-D1</v>
      </c>
      <c r="D1036" s="11">
        <f t="array" ref="D1036">iferror(index('rna-muscle'!D:D,match(A1036,'rna-muscle'!A:A,0)))</f>
        <v>73</v>
      </c>
      <c r="E1036" s="10" t="str">
        <f t="shared" si="3"/>
        <v>BRN73G</v>
      </c>
      <c r="F1036" s="11" t="str">
        <f t="array" ref="F1036">iferror(index('rna-muscle'!F:F,match($A1036,'rna-muscle'!$A:$A,0)))</f>
        <v>D</v>
      </c>
      <c r="G1036" s="11">
        <f t="array" ref="G1036">iferror(index('rna-muscle'!G:G,match($A1036,'rna-muscle'!$A:$A,0)))</f>
        <v>1</v>
      </c>
      <c r="H1036" s="11" t="str">
        <f t="shared" si="4"/>
        <v>D1</v>
      </c>
      <c r="I1036" s="10" t="str">
        <f t="shared" si="5"/>
        <v>BRN73G-D1</v>
      </c>
      <c r="J1036" s="16"/>
      <c r="K1036" s="16" t="str">
        <f t="shared" si="6"/>
        <v>collected</v>
      </c>
      <c r="L1036" s="16" t="str">
        <f t="shared" si="7"/>
        <v>N</v>
      </c>
      <c r="M1036" s="16"/>
      <c r="N1036" s="16"/>
    </row>
    <row r="1037">
      <c r="A1037" s="40" t="s">
        <v>1482</v>
      </c>
      <c r="B1037" s="10" t="str">
        <f t="shared" si="1"/>
        <v>RNA-gill</v>
      </c>
      <c r="C1037" s="10" t="str">
        <f t="shared" si="2"/>
        <v>BRN73G-C1</v>
      </c>
      <c r="D1037" s="11">
        <f t="array" ref="D1037">iferror(index('rna-muscle'!D:D,match(A1037,'rna-muscle'!A:A,0)))</f>
        <v>73</v>
      </c>
      <c r="E1037" s="10" t="str">
        <f t="shared" si="3"/>
        <v>BRN73G</v>
      </c>
      <c r="F1037" s="11" t="str">
        <f t="array" ref="F1037">iferror(index('rna-muscle'!F:F,match($A1037,'rna-muscle'!$A:$A,0)))</f>
        <v>C</v>
      </c>
      <c r="G1037" s="11">
        <f t="array" ref="G1037">iferror(index('rna-muscle'!G:G,match($A1037,'rna-muscle'!$A:$A,0)))</f>
        <v>1</v>
      </c>
      <c r="H1037" s="11" t="str">
        <f t="shared" si="4"/>
        <v>C1</v>
      </c>
      <c r="I1037" s="10" t="str">
        <f t="shared" si="5"/>
        <v>BRN73G-C1</v>
      </c>
      <c r="J1037" s="16"/>
      <c r="K1037" s="16" t="str">
        <f t="shared" si="6"/>
        <v>collected</v>
      </c>
      <c r="L1037" s="16" t="str">
        <f t="shared" si="7"/>
        <v>N</v>
      </c>
      <c r="M1037" s="16"/>
      <c r="N1037" s="16"/>
    </row>
    <row r="1038">
      <c r="A1038" s="40" t="s">
        <v>1483</v>
      </c>
      <c r="B1038" s="10" t="str">
        <f t="shared" si="1"/>
        <v>RNA-gill</v>
      </c>
      <c r="C1038" s="10" t="str">
        <f t="shared" si="2"/>
        <v>BRN73G-B1</v>
      </c>
      <c r="D1038" s="11">
        <f t="array" ref="D1038">iferror(index('rna-muscle'!D:D,match(A1038,'rna-muscle'!A:A,0)))</f>
        <v>73</v>
      </c>
      <c r="E1038" s="10" t="str">
        <f t="shared" si="3"/>
        <v>BRN73G</v>
      </c>
      <c r="F1038" s="11" t="str">
        <f t="array" ref="F1038">iferror(index('rna-muscle'!F:F,match($A1038,'rna-muscle'!$A:$A,0)))</f>
        <v>B</v>
      </c>
      <c r="G1038" s="11">
        <f t="array" ref="G1038">iferror(index('rna-muscle'!G:G,match($A1038,'rna-muscle'!$A:$A,0)))</f>
        <v>1</v>
      </c>
      <c r="H1038" s="11" t="str">
        <f t="shared" si="4"/>
        <v>B1</v>
      </c>
      <c r="I1038" s="10" t="str">
        <f t="shared" si="5"/>
        <v>BRN73G-B1</v>
      </c>
      <c r="J1038" s="16"/>
      <c r="K1038" s="16" t="str">
        <f t="shared" si="6"/>
        <v>collected</v>
      </c>
      <c r="L1038" s="16" t="str">
        <f t="shared" si="7"/>
        <v>N</v>
      </c>
      <c r="M1038" s="16"/>
      <c r="N1038" s="16"/>
    </row>
    <row r="1039">
      <c r="A1039" s="40" t="s">
        <v>1485</v>
      </c>
      <c r="B1039" s="10" t="str">
        <f t="shared" si="1"/>
        <v>RNA-gill</v>
      </c>
      <c r="C1039" s="10" t="str">
        <f t="shared" si="2"/>
        <v>BRN73G-A1</v>
      </c>
      <c r="D1039" s="11">
        <f t="array" ref="D1039">iferror(index('rna-muscle'!D:D,match(A1039,'rna-muscle'!A:A,0)))</f>
        <v>73</v>
      </c>
      <c r="E1039" s="10" t="str">
        <f t="shared" si="3"/>
        <v>BRN73G</v>
      </c>
      <c r="F1039" s="11" t="str">
        <f t="array" ref="F1039">iferror(index('rna-muscle'!F:F,match($A1039,'rna-muscle'!$A:$A,0)))</f>
        <v>A</v>
      </c>
      <c r="G1039" s="11">
        <f t="array" ref="G1039">iferror(index('rna-muscle'!G:G,match($A1039,'rna-muscle'!$A:$A,0)))</f>
        <v>1</v>
      </c>
      <c r="H1039" s="11" t="str">
        <f t="shared" si="4"/>
        <v>A1</v>
      </c>
      <c r="I1039" s="10" t="str">
        <f t="shared" si="5"/>
        <v>BRN73G-A1</v>
      </c>
      <c r="J1039" s="16"/>
      <c r="K1039" s="16" t="str">
        <f t="shared" si="6"/>
        <v>collected</v>
      </c>
      <c r="L1039" s="16" t="str">
        <f t="shared" si="7"/>
        <v>N</v>
      </c>
      <c r="M1039" s="16"/>
      <c r="N1039" s="16"/>
    </row>
    <row r="1040">
      <c r="A1040" s="27" t="s">
        <v>1486</v>
      </c>
      <c r="B1040" s="10" t="str">
        <f t="shared" si="1"/>
        <v>RNA-gill</v>
      </c>
      <c r="C1040" s="10" t="str">
        <f t="shared" si="2"/>
        <v>BRN73G-H2</v>
      </c>
      <c r="D1040" s="11">
        <f t="array" ref="D1040">iferror(index('rna-muscle'!D:D,match(A1040,'rna-muscle'!A:A,0)))</f>
        <v>73</v>
      </c>
      <c r="E1040" s="10" t="str">
        <f t="shared" si="3"/>
        <v>BRN73G</v>
      </c>
      <c r="F1040" s="11" t="str">
        <f t="array" ref="F1040">iferror(index('rna-muscle'!F:F,match($A1040,'rna-muscle'!$A:$A,0)))</f>
        <v>H</v>
      </c>
      <c r="G1040" s="11">
        <f t="array" ref="G1040">iferror(index('rna-muscle'!G:G,match($A1040,'rna-muscle'!$A:$A,0)))</f>
        <v>2</v>
      </c>
      <c r="H1040" s="11" t="str">
        <f t="shared" si="4"/>
        <v>H2</v>
      </c>
      <c r="I1040" s="10" t="str">
        <f t="shared" si="5"/>
        <v>BRN73G-H2</v>
      </c>
      <c r="J1040" s="6" t="s">
        <v>2157</v>
      </c>
      <c r="K1040" s="16" t="str">
        <f t="shared" si="6"/>
        <v>collected</v>
      </c>
      <c r="L1040" s="16" t="str">
        <f t="shared" si="7"/>
        <v>N</v>
      </c>
      <c r="M1040" s="16"/>
      <c r="N1040" s="16"/>
    </row>
    <row r="1041">
      <c r="A1041" s="27" t="s">
        <v>1487</v>
      </c>
      <c r="B1041" s="10" t="str">
        <f t="shared" si="1"/>
        <v>RNA-gill</v>
      </c>
      <c r="C1041" s="10" t="str">
        <f t="shared" si="2"/>
        <v>BRN73G-G2</v>
      </c>
      <c r="D1041" s="11">
        <f t="array" ref="D1041">iferror(index('rna-muscle'!D:D,match(A1041,'rna-muscle'!A:A,0)))</f>
        <v>73</v>
      </c>
      <c r="E1041" s="10" t="str">
        <f t="shared" si="3"/>
        <v>BRN73G</v>
      </c>
      <c r="F1041" s="11" t="str">
        <f t="array" ref="F1041">iferror(index('rna-muscle'!F:F,match($A1041,'rna-muscle'!$A:$A,0)))</f>
        <v>G</v>
      </c>
      <c r="G1041" s="11">
        <f t="array" ref="G1041">iferror(index('rna-muscle'!G:G,match($A1041,'rna-muscle'!$A:$A,0)))</f>
        <v>2</v>
      </c>
      <c r="H1041" s="11" t="str">
        <f t="shared" si="4"/>
        <v>G2</v>
      </c>
      <c r="I1041" s="10" t="str">
        <f t="shared" si="5"/>
        <v>BRN73G-G2</v>
      </c>
      <c r="J1041" s="16"/>
      <c r="K1041" s="16" t="str">
        <f t="shared" si="6"/>
        <v>collected</v>
      </c>
      <c r="L1041" s="16" t="str">
        <f t="shared" si="7"/>
        <v>N</v>
      </c>
      <c r="M1041" s="16"/>
      <c r="N1041" s="16"/>
    </row>
    <row r="1042">
      <c r="A1042" s="27" t="s">
        <v>1489</v>
      </c>
      <c r="B1042" s="10" t="str">
        <f t="shared" si="1"/>
        <v>RNA-gill</v>
      </c>
      <c r="C1042" s="10" t="str">
        <f t="shared" si="2"/>
        <v>BRN73G-F2</v>
      </c>
      <c r="D1042" s="11">
        <f t="array" ref="D1042">iferror(index('rna-muscle'!D:D,match(A1042,'rna-muscle'!A:A,0)))</f>
        <v>73</v>
      </c>
      <c r="E1042" s="10" t="str">
        <f t="shared" si="3"/>
        <v>BRN73G</v>
      </c>
      <c r="F1042" s="11" t="str">
        <f t="array" ref="F1042">iferror(index('rna-muscle'!F:F,match($A1042,'rna-muscle'!$A:$A,0)))</f>
        <v>F</v>
      </c>
      <c r="G1042" s="11">
        <f t="array" ref="G1042">iferror(index('rna-muscle'!G:G,match($A1042,'rna-muscle'!$A:$A,0)))</f>
        <v>2</v>
      </c>
      <c r="H1042" s="11" t="str">
        <f t="shared" si="4"/>
        <v>F2</v>
      </c>
      <c r="I1042" s="10" t="str">
        <f t="shared" si="5"/>
        <v>BRN73G-F2</v>
      </c>
      <c r="J1042" s="16"/>
      <c r="K1042" s="16" t="str">
        <f t="shared" si="6"/>
        <v>collected</v>
      </c>
      <c r="L1042" s="16" t="str">
        <f t="shared" si="7"/>
        <v>N</v>
      </c>
      <c r="M1042" s="16"/>
      <c r="N1042" s="16"/>
    </row>
    <row r="1043">
      <c r="A1043" s="27" t="s">
        <v>1491</v>
      </c>
      <c r="B1043" s="10" t="str">
        <f t="shared" si="1"/>
        <v>RNA-gill</v>
      </c>
      <c r="C1043" s="10" t="str">
        <f t="shared" si="2"/>
        <v>BRN73G-E2</v>
      </c>
      <c r="D1043" s="11">
        <f t="array" ref="D1043">iferror(index('rna-muscle'!D:D,match(A1043,'rna-muscle'!A:A,0)))</f>
        <v>73</v>
      </c>
      <c r="E1043" s="10" t="str">
        <f t="shared" si="3"/>
        <v>BRN73G</v>
      </c>
      <c r="F1043" s="11" t="str">
        <f t="array" ref="F1043">iferror(index('rna-muscle'!F:F,match($A1043,'rna-muscle'!$A:$A,0)))</f>
        <v>E</v>
      </c>
      <c r="G1043" s="11">
        <f t="array" ref="G1043">iferror(index('rna-muscle'!G:G,match($A1043,'rna-muscle'!$A:$A,0)))</f>
        <v>2</v>
      </c>
      <c r="H1043" s="11" t="str">
        <f t="shared" si="4"/>
        <v>E2</v>
      </c>
      <c r="I1043" s="10" t="str">
        <f t="shared" si="5"/>
        <v>BRN73G-E2</v>
      </c>
      <c r="J1043" s="16"/>
      <c r="K1043" s="16" t="str">
        <f t="shared" si="6"/>
        <v>collected</v>
      </c>
      <c r="L1043" s="16" t="str">
        <f t="shared" si="7"/>
        <v>N</v>
      </c>
      <c r="M1043" s="16"/>
      <c r="N1043" s="16"/>
    </row>
    <row r="1044">
      <c r="A1044" s="27" t="s">
        <v>1492</v>
      </c>
      <c r="B1044" s="10" t="str">
        <f t="shared" si="1"/>
        <v>RNA-gill</v>
      </c>
      <c r="C1044" s="10" t="str">
        <f t="shared" si="2"/>
        <v>BRN73G-D2</v>
      </c>
      <c r="D1044" s="11">
        <f t="array" ref="D1044">iferror(index('rna-muscle'!D:D,match(A1044,'rna-muscle'!A:A,0)))</f>
        <v>73</v>
      </c>
      <c r="E1044" s="10" t="str">
        <f t="shared" si="3"/>
        <v>BRN73G</v>
      </c>
      <c r="F1044" s="11" t="str">
        <f t="array" ref="F1044">iferror(index('rna-muscle'!F:F,match($A1044,'rna-muscle'!$A:$A,0)))</f>
        <v>D</v>
      </c>
      <c r="G1044" s="11">
        <f t="array" ref="G1044">iferror(index('rna-muscle'!G:G,match($A1044,'rna-muscle'!$A:$A,0)))</f>
        <v>2</v>
      </c>
      <c r="H1044" s="11" t="str">
        <f t="shared" si="4"/>
        <v>D2</v>
      </c>
      <c r="I1044" s="10" t="str">
        <f t="shared" si="5"/>
        <v>BRN73G-D2</v>
      </c>
      <c r="J1044" s="16"/>
      <c r="K1044" s="16" t="str">
        <f t="shared" si="6"/>
        <v>collected</v>
      </c>
      <c r="L1044" s="16" t="str">
        <f t="shared" si="7"/>
        <v>N</v>
      </c>
      <c r="M1044" s="16"/>
      <c r="N1044" s="16"/>
    </row>
    <row r="1045">
      <c r="A1045" s="27" t="s">
        <v>1493</v>
      </c>
      <c r="B1045" s="10" t="str">
        <f t="shared" si="1"/>
        <v>RNA-gill</v>
      </c>
      <c r="C1045" s="10" t="str">
        <f t="shared" si="2"/>
        <v>BRN73G-C2</v>
      </c>
      <c r="D1045" s="11">
        <f t="array" ref="D1045">iferror(index('rna-muscle'!D:D,match(A1045,'rna-muscle'!A:A,0)))</f>
        <v>73</v>
      </c>
      <c r="E1045" s="10" t="str">
        <f t="shared" si="3"/>
        <v>BRN73G</v>
      </c>
      <c r="F1045" s="11" t="str">
        <f t="array" ref="F1045">iferror(index('rna-muscle'!F:F,match($A1045,'rna-muscle'!$A:$A,0)))</f>
        <v>C</v>
      </c>
      <c r="G1045" s="11">
        <f t="array" ref="G1045">iferror(index('rna-muscle'!G:G,match($A1045,'rna-muscle'!$A:$A,0)))</f>
        <v>2</v>
      </c>
      <c r="H1045" s="11" t="str">
        <f t="shared" si="4"/>
        <v>C2</v>
      </c>
      <c r="I1045" s="10" t="str">
        <f t="shared" si="5"/>
        <v>BRN73G-C2</v>
      </c>
      <c r="J1045" s="16"/>
      <c r="K1045" s="16" t="str">
        <f t="shared" si="6"/>
        <v>collected</v>
      </c>
      <c r="L1045" s="16" t="str">
        <f t="shared" si="7"/>
        <v>N</v>
      </c>
      <c r="M1045" s="16"/>
      <c r="N1045" s="16"/>
    </row>
    <row r="1046">
      <c r="A1046" s="27" t="s">
        <v>1494</v>
      </c>
      <c r="B1046" s="10" t="str">
        <f t="shared" si="1"/>
        <v>RNA-gill</v>
      </c>
      <c r="C1046" s="10" t="str">
        <f t="shared" si="2"/>
        <v>BRN73G-B2</v>
      </c>
      <c r="D1046" s="11">
        <f t="array" ref="D1046">iferror(index('rna-muscle'!D:D,match(A1046,'rna-muscle'!A:A,0)))</f>
        <v>73</v>
      </c>
      <c r="E1046" s="10" t="str">
        <f t="shared" si="3"/>
        <v>BRN73G</v>
      </c>
      <c r="F1046" s="11" t="str">
        <f t="array" ref="F1046">iferror(index('rna-muscle'!F:F,match($A1046,'rna-muscle'!$A:$A,0)))</f>
        <v>B</v>
      </c>
      <c r="G1046" s="11">
        <f t="array" ref="G1046">iferror(index('rna-muscle'!G:G,match($A1046,'rna-muscle'!$A:$A,0)))</f>
        <v>2</v>
      </c>
      <c r="H1046" s="11" t="str">
        <f t="shared" si="4"/>
        <v>B2</v>
      </c>
      <c r="I1046" s="10" t="str">
        <f t="shared" si="5"/>
        <v>BRN73G-B2</v>
      </c>
      <c r="J1046" s="16"/>
      <c r="K1046" s="16" t="str">
        <f t="shared" si="6"/>
        <v>collected</v>
      </c>
      <c r="L1046" s="16" t="str">
        <f t="shared" si="7"/>
        <v>N</v>
      </c>
      <c r="M1046" s="16"/>
      <c r="N1046" s="16"/>
    </row>
    <row r="1047">
      <c r="A1047" s="27" t="s">
        <v>1497</v>
      </c>
      <c r="B1047" s="10" t="str">
        <f t="shared" si="1"/>
        <v>RNA-gill</v>
      </c>
      <c r="C1047" s="10" t="str">
        <f t="shared" si="2"/>
        <v>BRN73G-A2</v>
      </c>
      <c r="D1047" s="11">
        <f t="array" ref="D1047">iferror(index('rna-muscle'!D:D,match(A1047,'rna-muscle'!A:A,0)))</f>
        <v>73</v>
      </c>
      <c r="E1047" s="10" t="str">
        <f t="shared" si="3"/>
        <v>BRN73G</v>
      </c>
      <c r="F1047" s="11" t="str">
        <f t="array" ref="F1047">iferror(index('rna-muscle'!F:F,match($A1047,'rna-muscle'!$A:$A,0)))</f>
        <v>A</v>
      </c>
      <c r="G1047" s="11">
        <f t="array" ref="G1047">iferror(index('rna-muscle'!G:G,match($A1047,'rna-muscle'!$A:$A,0)))</f>
        <v>2</v>
      </c>
      <c r="H1047" s="11" t="str">
        <f t="shared" si="4"/>
        <v>A2</v>
      </c>
      <c r="I1047" s="10" t="str">
        <f t="shared" si="5"/>
        <v>BRN73G-A2</v>
      </c>
      <c r="J1047" s="16"/>
      <c r="K1047" s="16" t="str">
        <f t="shared" si="6"/>
        <v>collected</v>
      </c>
      <c r="L1047" s="16" t="str">
        <f t="shared" si="7"/>
        <v>N</v>
      </c>
      <c r="M1047" s="16"/>
      <c r="N1047" s="16"/>
    </row>
    <row r="1048">
      <c r="A1048" s="27" t="s">
        <v>1498</v>
      </c>
      <c r="B1048" s="10" t="str">
        <f t="shared" si="1"/>
        <v>RNA-gill</v>
      </c>
      <c r="C1048" s="10" t="str">
        <f t="shared" si="2"/>
        <v>BRN73G-H3</v>
      </c>
      <c r="D1048" s="11">
        <f t="array" ref="D1048">iferror(index('rna-muscle'!D:D,match(A1048,'rna-muscle'!A:A,0)))</f>
        <v>73</v>
      </c>
      <c r="E1048" s="10" t="str">
        <f t="shared" si="3"/>
        <v>BRN73G</v>
      </c>
      <c r="F1048" s="11" t="str">
        <f t="array" ref="F1048">iferror(index('rna-muscle'!F:F,match($A1048,'rna-muscle'!$A:$A,0)))</f>
        <v>H</v>
      </c>
      <c r="G1048" s="11">
        <f t="array" ref="G1048">iferror(index('rna-muscle'!G:G,match($A1048,'rna-muscle'!$A:$A,0)))</f>
        <v>3</v>
      </c>
      <c r="H1048" s="11" t="str">
        <f t="shared" si="4"/>
        <v>H3</v>
      </c>
      <c r="I1048" s="10" t="str">
        <f t="shared" si="5"/>
        <v>BRN73G-H3</v>
      </c>
      <c r="J1048" s="16"/>
      <c r="K1048" s="16" t="str">
        <f t="shared" si="6"/>
        <v>collected</v>
      </c>
      <c r="L1048" s="16" t="str">
        <f t="shared" si="7"/>
        <v>N</v>
      </c>
      <c r="M1048" s="16"/>
      <c r="N1048" s="16"/>
    </row>
    <row r="1049">
      <c r="A1049" s="27" t="s">
        <v>1499</v>
      </c>
      <c r="B1049" s="10" t="str">
        <f t="shared" si="1"/>
        <v>RNA-gill</v>
      </c>
      <c r="C1049" s="10" t="str">
        <f t="shared" si="2"/>
        <v>BRN73G-G3</v>
      </c>
      <c r="D1049" s="11">
        <f t="array" ref="D1049">iferror(index('rna-muscle'!D:D,match(A1049,'rna-muscle'!A:A,0)))</f>
        <v>73</v>
      </c>
      <c r="E1049" s="10" t="str">
        <f t="shared" si="3"/>
        <v>BRN73G</v>
      </c>
      <c r="F1049" s="11" t="str">
        <f t="array" ref="F1049">iferror(index('rna-muscle'!F:F,match($A1049,'rna-muscle'!$A:$A,0)))</f>
        <v>G</v>
      </c>
      <c r="G1049" s="11">
        <f t="array" ref="G1049">iferror(index('rna-muscle'!G:G,match($A1049,'rna-muscle'!$A:$A,0)))</f>
        <v>3</v>
      </c>
      <c r="H1049" s="11" t="str">
        <f t="shared" si="4"/>
        <v>G3</v>
      </c>
      <c r="I1049" s="10" t="str">
        <f t="shared" si="5"/>
        <v>BRN73G-G3</v>
      </c>
      <c r="J1049" s="16"/>
      <c r="K1049" s="16" t="str">
        <f t="shared" si="6"/>
        <v>collected</v>
      </c>
      <c r="L1049" s="16" t="str">
        <f t="shared" si="7"/>
        <v>N</v>
      </c>
      <c r="M1049" s="16"/>
      <c r="N1049" s="16"/>
    </row>
    <row r="1050">
      <c r="A1050" s="27" t="s">
        <v>1501</v>
      </c>
      <c r="B1050" s="10" t="str">
        <f t="shared" si="1"/>
        <v>RNA-gill</v>
      </c>
      <c r="C1050" s="10" t="str">
        <f t="shared" si="2"/>
        <v>BRN65G-C7</v>
      </c>
      <c r="D1050" s="11">
        <f t="array" ref="D1050">iferror(index('rna-muscle'!D:D,match(A1050,'rna-muscle'!A:A,0)))</f>
        <v>65</v>
      </c>
      <c r="E1050" s="10" t="str">
        <f t="shared" si="3"/>
        <v>BRN65G</v>
      </c>
      <c r="F1050" s="11" t="str">
        <f t="array" ref="F1050">iferror(index('rna-muscle'!F:F,match($A1050,'rna-muscle'!$A:$A,0)))</f>
        <v>C</v>
      </c>
      <c r="G1050" s="11">
        <f t="array" ref="G1050">iferror(index('rna-muscle'!G:G,match($A1050,'rna-muscle'!$A:$A,0)))</f>
        <v>7</v>
      </c>
      <c r="H1050" s="11" t="str">
        <f t="shared" si="4"/>
        <v>C7</v>
      </c>
      <c r="I1050" s="10" t="str">
        <f t="shared" si="5"/>
        <v>BRN65G-C7</v>
      </c>
      <c r="J1050" s="16"/>
      <c r="K1050" s="16" t="str">
        <f t="shared" si="6"/>
        <v>collected</v>
      </c>
      <c r="L1050" s="16" t="str">
        <f t="shared" si="7"/>
        <v>N</v>
      </c>
      <c r="M1050" s="16"/>
      <c r="N1050" s="16"/>
    </row>
    <row r="1051">
      <c r="A1051" s="27" t="s">
        <v>1503</v>
      </c>
      <c r="B1051" s="10" t="str">
        <f t="shared" si="1"/>
        <v>RNA-gill</v>
      </c>
      <c r="C1051" s="10" t="str">
        <f t="shared" si="2"/>
        <v>BRN65G-B7</v>
      </c>
      <c r="D1051" s="11">
        <f t="array" ref="D1051">iferror(index('rna-muscle'!D:D,match(A1051,'rna-muscle'!A:A,0)))</f>
        <v>65</v>
      </c>
      <c r="E1051" s="10" t="str">
        <f t="shared" si="3"/>
        <v>BRN65G</v>
      </c>
      <c r="F1051" s="11" t="str">
        <f t="array" ref="F1051">iferror(index('rna-muscle'!F:F,match($A1051,'rna-muscle'!$A:$A,0)))</f>
        <v>B</v>
      </c>
      <c r="G1051" s="11">
        <f t="array" ref="G1051">iferror(index('rna-muscle'!G:G,match($A1051,'rna-muscle'!$A:$A,0)))</f>
        <v>7</v>
      </c>
      <c r="H1051" s="11" t="str">
        <f t="shared" si="4"/>
        <v>B7</v>
      </c>
      <c r="I1051" s="10" t="str">
        <f t="shared" si="5"/>
        <v>BRN65G-B7</v>
      </c>
      <c r="J1051" s="16"/>
      <c r="K1051" s="16" t="str">
        <f t="shared" si="6"/>
        <v>collected</v>
      </c>
      <c r="L1051" s="16" t="str">
        <f t="shared" si="7"/>
        <v>N</v>
      </c>
      <c r="M1051" s="16"/>
      <c r="N1051" s="16"/>
    </row>
    <row r="1052">
      <c r="A1052" s="40" t="s">
        <v>1504</v>
      </c>
      <c r="B1052" s="10" t="str">
        <f t="shared" si="1"/>
        <v>RNA-gill</v>
      </c>
      <c r="C1052" s="10" t="str">
        <f t="shared" si="2"/>
        <v>BRN73G-H4</v>
      </c>
      <c r="D1052" s="11">
        <f t="array" ref="D1052">iferror(index('rna-muscle'!D:D,match(A1052,'rna-muscle'!A:A,0)))</f>
        <v>73</v>
      </c>
      <c r="E1052" s="10" t="str">
        <f t="shared" si="3"/>
        <v>BRN73G</v>
      </c>
      <c r="F1052" s="11" t="str">
        <f t="array" ref="F1052">iferror(index('rna-muscle'!F:F,match($A1052,'rna-muscle'!$A:$A,0)))</f>
        <v>H</v>
      </c>
      <c r="G1052" s="11">
        <f t="array" ref="G1052">iferror(index('rna-muscle'!G:G,match($A1052,'rna-muscle'!$A:$A,0)))</f>
        <v>4</v>
      </c>
      <c r="H1052" s="11" t="str">
        <f t="shared" si="4"/>
        <v>H4</v>
      </c>
      <c r="I1052" s="10" t="str">
        <f t="shared" si="5"/>
        <v>BRN73G-H4</v>
      </c>
      <c r="J1052" s="16"/>
      <c r="K1052" s="16" t="str">
        <f t="shared" si="6"/>
        <v>collected</v>
      </c>
      <c r="L1052" s="16" t="str">
        <f t="shared" si="7"/>
        <v>N</v>
      </c>
      <c r="M1052" s="16"/>
      <c r="N1052" s="16"/>
    </row>
    <row r="1053">
      <c r="A1053" s="40" t="s">
        <v>1505</v>
      </c>
      <c r="B1053" s="10" t="str">
        <f t="shared" si="1"/>
        <v>RNA-gill</v>
      </c>
      <c r="C1053" s="10" t="str">
        <f t="shared" si="2"/>
        <v>BRN73G-G4</v>
      </c>
      <c r="D1053" s="11">
        <f t="array" ref="D1053">iferror(index('rna-muscle'!D:D,match(A1053,'rna-muscle'!A:A,0)))</f>
        <v>73</v>
      </c>
      <c r="E1053" s="10" t="str">
        <f t="shared" si="3"/>
        <v>BRN73G</v>
      </c>
      <c r="F1053" s="11" t="str">
        <f t="array" ref="F1053">iferror(index('rna-muscle'!F:F,match($A1053,'rna-muscle'!$A:$A,0)))</f>
        <v>G</v>
      </c>
      <c r="G1053" s="11">
        <f t="array" ref="G1053">iferror(index('rna-muscle'!G:G,match($A1053,'rna-muscle'!$A:$A,0)))</f>
        <v>4</v>
      </c>
      <c r="H1053" s="11" t="str">
        <f t="shared" si="4"/>
        <v>G4</v>
      </c>
      <c r="I1053" s="10" t="str">
        <f t="shared" si="5"/>
        <v>BRN73G-G4</v>
      </c>
      <c r="J1053" s="16"/>
      <c r="K1053" s="16" t="str">
        <f t="shared" si="6"/>
        <v>collected</v>
      </c>
      <c r="L1053" s="16" t="str">
        <f t="shared" si="7"/>
        <v>N</v>
      </c>
      <c r="M1053" s="16"/>
      <c r="N1053" s="16"/>
    </row>
    <row r="1054">
      <c r="A1054" s="40" t="s">
        <v>1508</v>
      </c>
      <c r="B1054" s="10" t="str">
        <f t="shared" si="1"/>
        <v>RNA-gill</v>
      </c>
      <c r="C1054" s="10" t="str">
        <f t="shared" si="2"/>
        <v>BRN73G-F4</v>
      </c>
      <c r="D1054" s="11">
        <f t="array" ref="D1054">iferror(index('rna-muscle'!D:D,match(A1054,'rna-muscle'!A:A,0)))</f>
        <v>73</v>
      </c>
      <c r="E1054" s="10" t="str">
        <f t="shared" si="3"/>
        <v>BRN73G</v>
      </c>
      <c r="F1054" s="11" t="str">
        <f t="array" ref="F1054">iferror(index('rna-muscle'!F:F,match($A1054,'rna-muscle'!$A:$A,0)))</f>
        <v>F</v>
      </c>
      <c r="G1054" s="11">
        <f t="array" ref="G1054">iferror(index('rna-muscle'!G:G,match($A1054,'rna-muscle'!$A:$A,0)))</f>
        <v>4</v>
      </c>
      <c r="H1054" s="11" t="str">
        <f t="shared" si="4"/>
        <v>F4</v>
      </c>
      <c r="I1054" s="10" t="str">
        <f t="shared" si="5"/>
        <v>BRN73G-F4</v>
      </c>
      <c r="J1054" s="16"/>
      <c r="K1054" s="16" t="str">
        <f t="shared" si="6"/>
        <v>collected</v>
      </c>
      <c r="L1054" s="16" t="str">
        <f t="shared" si="7"/>
        <v>N</v>
      </c>
      <c r="M1054" s="16"/>
      <c r="N1054" s="16"/>
    </row>
    <row r="1055">
      <c r="A1055" s="40" t="s">
        <v>1509</v>
      </c>
      <c r="B1055" s="10" t="str">
        <f t="shared" si="1"/>
        <v>RNA-gill</v>
      </c>
      <c r="C1055" s="10" t="str">
        <f t="shared" si="2"/>
        <v>BRN73G-E4</v>
      </c>
      <c r="D1055" s="11">
        <f t="array" ref="D1055">iferror(index('rna-muscle'!D:D,match(A1055,'rna-muscle'!A:A,0)))</f>
        <v>73</v>
      </c>
      <c r="E1055" s="10" t="str">
        <f t="shared" si="3"/>
        <v>BRN73G</v>
      </c>
      <c r="F1055" s="11" t="str">
        <f t="array" ref="F1055">iferror(index('rna-muscle'!F:F,match($A1055,'rna-muscle'!$A:$A,0)))</f>
        <v>E</v>
      </c>
      <c r="G1055" s="11">
        <f t="array" ref="G1055">iferror(index('rna-muscle'!G:G,match($A1055,'rna-muscle'!$A:$A,0)))</f>
        <v>4</v>
      </c>
      <c r="H1055" s="11" t="str">
        <f t="shared" si="4"/>
        <v>E4</v>
      </c>
      <c r="I1055" s="10" t="str">
        <f t="shared" si="5"/>
        <v>BRN73G-E4</v>
      </c>
      <c r="J1055" s="16"/>
      <c r="K1055" s="16" t="str">
        <f t="shared" si="6"/>
        <v>collected</v>
      </c>
      <c r="L1055" s="16" t="str">
        <f t="shared" si="7"/>
        <v>N</v>
      </c>
      <c r="M1055" s="16"/>
      <c r="N1055" s="16"/>
    </row>
    <row r="1056">
      <c r="A1056" s="40" t="s">
        <v>1510</v>
      </c>
      <c r="B1056" s="10" t="str">
        <f t="shared" si="1"/>
        <v>RNA-gill</v>
      </c>
      <c r="C1056" s="10" t="str">
        <f t="shared" si="2"/>
        <v>BRN73G-D4</v>
      </c>
      <c r="D1056" s="11">
        <f t="array" ref="D1056">iferror(index('rna-muscle'!D:D,match(A1056,'rna-muscle'!A:A,0)))</f>
        <v>73</v>
      </c>
      <c r="E1056" s="10" t="str">
        <f t="shared" si="3"/>
        <v>BRN73G</v>
      </c>
      <c r="F1056" s="11" t="str">
        <f t="array" ref="F1056">iferror(index('rna-muscle'!F:F,match($A1056,'rna-muscle'!$A:$A,0)))</f>
        <v>D</v>
      </c>
      <c r="G1056" s="11">
        <f t="array" ref="G1056">iferror(index('rna-muscle'!G:G,match($A1056,'rna-muscle'!$A:$A,0)))</f>
        <v>4</v>
      </c>
      <c r="H1056" s="11" t="str">
        <f t="shared" si="4"/>
        <v>D4</v>
      </c>
      <c r="I1056" s="10" t="str">
        <f t="shared" si="5"/>
        <v>BRN73G-D4</v>
      </c>
      <c r="J1056" s="16"/>
      <c r="K1056" s="16" t="str">
        <f t="shared" si="6"/>
        <v>collected</v>
      </c>
      <c r="L1056" s="16" t="str">
        <f t="shared" si="7"/>
        <v>N</v>
      </c>
      <c r="M1056" s="16"/>
      <c r="N1056" s="16"/>
    </row>
    <row r="1057">
      <c r="A1057" s="40" t="s">
        <v>1513</v>
      </c>
      <c r="B1057" s="10" t="str">
        <f t="shared" si="1"/>
        <v>RNA-gill</v>
      </c>
      <c r="C1057" s="10" t="str">
        <f t="shared" si="2"/>
        <v>BRN73G-C4</v>
      </c>
      <c r="D1057" s="11">
        <f t="array" ref="D1057">iferror(index('rna-muscle'!D:D,match(A1057,'rna-muscle'!A:A,0)))</f>
        <v>73</v>
      </c>
      <c r="E1057" s="10" t="str">
        <f t="shared" si="3"/>
        <v>BRN73G</v>
      </c>
      <c r="F1057" s="11" t="str">
        <f t="array" ref="F1057">iferror(index('rna-muscle'!F:F,match($A1057,'rna-muscle'!$A:$A,0)))</f>
        <v>C</v>
      </c>
      <c r="G1057" s="11">
        <f t="array" ref="G1057">iferror(index('rna-muscle'!G:G,match($A1057,'rna-muscle'!$A:$A,0)))</f>
        <v>4</v>
      </c>
      <c r="H1057" s="11" t="str">
        <f t="shared" si="4"/>
        <v>C4</v>
      </c>
      <c r="I1057" s="10" t="str">
        <f t="shared" si="5"/>
        <v>BRN73G-C4</v>
      </c>
      <c r="J1057" s="16"/>
      <c r="K1057" s="16" t="str">
        <f t="shared" si="6"/>
        <v>collected</v>
      </c>
      <c r="L1057" s="16" t="str">
        <f t="shared" si="7"/>
        <v>N</v>
      </c>
      <c r="M1057" s="16"/>
      <c r="N1057" s="16"/>
    </row>
    <row r="1058">
      <c r="A1058" s="40" t="s">
        <v>1514</v>
      </c>
      <c r="B1058" s="10" t="str">
        <f t="shared" si="1"/>
        <v>RNA-gill</v>
      </c>
      <c r="C1058" s="10" t="str">
        <f t="shared" si="2"/>
        <v>BRN73G-B4</v>
      </c>
      <c r="D1058" s="11">
        <f t="array" ref="D1058">iferror(index('rna-muscle'!D:D,match(A1058,'rna-muscle'!A:A,0)))</f>
        <v>73</v>
      </c>
      <c r="E1058" s="10" t="str">
        <f t="shared" si="3"/>
        <v>BRN73G</v>
      </c>
      <c r="F1058" s="11" t="str">
        <f t="array" ref="F1058">iferror(index('rna-muscle'!F:F,match($A1058,'rna-muscle'!$A:$A,0)))</f>
        <v>B</v>
      </c>
      <c r="G1058" s="11">
        <f t="array" ref="G1058">iferror(index('rna-muscle'!G:G,match($A1058,'rna-muscle'!$A:$A,0)))</f>
        <v>4</v>
      </c>
      <c r="H1058" s="11" t="str">
        <f t="shared" si="4"/>
        <v>B4</v>
      </c>
      <c r="I1058" s="10" t="str">
        <f t="shared" si="5"/>
        <v>BRN73G-B4</v>
      </c>
      <c r="J1058" s="16"/>
      <c r="K1058" s="16" t="str">
        <f t="shared" si="6"/>
        <v>collected</v>
      </c>
      <c r="L1058" s="16" t="str">
        <f t="shared" si="7"/>
        <v>N</v>
      </c>
      <c r="M1058" s="16"/>
      <c r="N1058" s="16"/>
    </row>
    <row r="1059">
      <c r="A1059" s="40" t="s">
        <v>1515</v>
      </c>
      <c r="B1059" s="10" t="str">
        <f t="shared" si="1"/>
        <v>RNA-gill</v>
      </c>
      <c r="C1059" s="10" t="str">
        <f t="shared" si="2"/>
        <v>BRN73G-A4</v>
      </c>
      <c r="D1059" s="11">
        <f t="array" ref="D1059">iferror(index('rna-muscle'!D:D,match(A1059,'rna-muscle'!A:A,0)))</f>
        <v>73</v>
      </c>
      <c r="E1059" s="10" t="str">
        <f t="shared" si="3"/>
        <v>BRN73G</v>
      </c>
      <c r="F1059" s="11" t="str">
        <f t="array" ref="F1059">iferror(index('rna-muscle'!F:F,match($A1059,'rna-muscle'!$A:$A,0)))</f>
        <v>A</v>
      </c>
      <c r="G1059" s="11">
        <f t="array" ref="G1059">iferror(index('rna-muscle'!G:G,match($A1059,'rna-muscle'!$A:$A,0)))</f>
        <v>4</v>
      </c>
      <c r="H1059" s="11" t="str">
        <f t="shared" si="4"/>
        <v>A4</v>
      </c>
      <c r="I1059" s="10" t="str">
        <f t="shared" si="5"/>
        <v>BRN73G-A4</v>
      </c>
      <c r="J1059" s="16"/>
      <c r="K1059" s="16" t="str">
        <f t="shared" si="6"/>
        <v>collected</v>
      </c>
      <c r="L1059" s="16" t="str">
        <f t="shared" si="7"/>
        <v>N</v>
      </c>
      <c r="M1059" s="16"/>
      <c r="N1059" s="16"/>
    </row>
    <row r="1060">
      <c r="A1060" s="40" t="s">
        <v>1516</v>
      </c>
      <c r="B1060" s="10" t="str">
        <f t="shared" si="1"/>
        <v>RNA-gill</v>
      </c>
      <c r="C1060" s="10" t="str">
        <f t="shared" si="2"/>
        <v>BRN73G-H5</v>
      </c>
      <c r="D1060" s="11">
        <f t="array" ref="D1060">iferror(index('rna-muscle'!D:D,match(A1060,'rna-muscle'!A:A,0)))</f>
        <v>73</v>
      </c>
      <c r="E1060" s="10" t="str">
        <f t="shared" si="3"/>
        <v>BRN73G</v>
      </c>
      <c r="F1060" s="11" t="str">
        <f t="array" ref="F1060">iferror(index('rna-muscle'!F:F,match($A1060,'rna-muscle'!$A:$A,0)))</f>
        <v>H</v>
      </c>
      <c r="G1060" s="11">
        <f t="array" ref="G1060">iferror(index('rna-muscle'!G:G,match($A1060,'rna-muscle'!$A:$A,0)))</f>
        <v>5</v>
      </c>
      <c r="H1060" s="11" t="str">
        <f t="shared" si="4"/>
        <v>H5</v>
      </c>
      <c r="I1060" s="10" t="str">
        <f t="shared" si="5"/>
        <v>BRN73G-H5</v>
      </c>
      <c r="J1060" s="16"/>
      <c r="K1060" s="16" t="str">
        <f t="shared" si="6"/>
        <v>collected</v>
      </c>
      <c r="L1060" s="16" t="str">
        <f t="shared" si="7"/>
        <v>N</v>
      </c>
      <c r="M1060" s="16"/>
      <c r="N1060" s="16"/>
    </row>
    <row r="1061">
      <c r="A1061" s="40" t="s">
        <v>1519</v>
      </c>
      <c r="B1061" s="10" t="str">
        <f t="shared" si="1"/>
        <v>RNA-gill</v>
      </c>
      <c r="C1061" s="10" t="str">
        <f t="shared" si="2"/>
        <v>BRN73G-G5</v>
      </c>
      <c r="D1061" s="11">
        <f t="array" ref="D1061">iferror(index('rna-muscle'!D:D,match(A1061,'rna-muscle'!A:A,0)))</f>
        <v>73</v>
      </c>
      <c r="E1061" s="10" t="str">
        <f t="shared" si="3"/>
        <v>BRN73G</v>
      </c>
      <c r="F1061" s="11" t="str">
        <f t="array" ref="F1061">iferror(index('rna-muscle'!F:F,match($A1061,'rna-muscle'!$A:$A,0)))</f>
        <v>G</v>
      </c>
      <c r="G1061" s="11">
        <f t="array" ref="G1061">iferror(index('rna-muscle'!G:G,match($A1061,'rna-muscle'!$A:$A,0)))</f>
        <v>5</v>
      </c>
      <c r="H1061" s="11" t="str">
        <f t="shared" si="4"/>
        <v>G5</v>
      </c>
      <c r="I1061" s="10" t="str">
        <f t="shared" si="5"/>
        <v>BRN73G-G5</v>
      </c>
      <c r="J1061" s="16"/>
      <c r="K1061" s="16" t="str">
        <f t="shared" si="6"/>
        <v>collected</v>
      </c>
      <c r="L1061" s="16" t="str">
        <f t="shared" si="7"/>
        <v>N</v>
      </c>
      <c r="M1061" s="16"/>
      <c r="N1061" s="16"/>
    </row>
    <row r="1062">
      <c r="A1062" s="40" t="s">
        <v>1520</v>
      </c>
      <c r="B1062" s="10" t="str">
        <f t="shared" si="1"/>
        <v>RNA-gill</v>
      </c>
      <c r="C1062" s="10" t="str">
        <f t="shared" si="2"/>
        <v>BRN73G-F5</v>
      </c>
      <c r="D1062" s="11">
        <f t="array" ref="D1062">iferror(index('rna-muscle'!D:D,match(A1062,'rna-muscle'!A:A,0)))</f>
        <v>73</v>
      </c>
      <c r="E1062" s="10" t="str">
        <f t="shared" si="3"/>
        <v>BRN73G</v>
      </c>
      <c r="F1062" s="11" t="str">
        <f t="array" ref="F1062">iferror(index('rna-muscle'!F:F,match($A1062,'rna-muscle'!$A:$A,0)))</f>
        <v>F</v>
      </c>
      <c r="G1062" s="11">
        <f t="array" ref="G1062">iferror(index('rna-muscle'!G:G,match($A1062,'rna-muscle'!$A:$A,0)))</f>
        <v>5</v>
      </c>
      <c r="H1062" s="11" t="str">
        <f t="shared" si="4"/>
        <v>F5</v>
      </c>
      <c r="I1062" s="10" t="str">
        <f t="shared" si="5"/>
        <v>BRN73G-F5</v>
      </c>
      <c r="J1062" s="16"/>
      <c r="K1062" s="16" t="str">
        <f t="shared" si="6"/>
        <v>collected</v>
      </c>
      <c r="L1062" s="16" t="str">
        <f t="shared" si="7"/>
        <v>N</v>
      </c>
      <c r="M1062" s="16"/>
      <c r="N1062" s="16"/>
    </row>
    <row r="1063">
      <c r="A1063" s="40" t="s">
        <v>1521</v>
      </c>
      <c r="B1063" s="10" t="str">
        <f t="shared" si="1"/>
        <v>RNA-gill</v>
      </c>
      <c r="C1063" s="10" t="str">
        <f t="shared" si="2"/>
        <v>BRN73G-E5</v>
      </c>
      <c r="D1063" s="11">
        <f t="array" ref="D1063">iferror(index('rna-muscle'!D:D,match(A1063,'rna-muscle'!A:A,0)))</f>
        <v>73</v>
      </c>
      <c r="E1063" s="10" t="str">
        <f t="shared" si="3"/>
        <v>BRN73G</v>
      </c>
      <c r="F1063" s="11" t="str">
        <f t="array" ref="F1063">iferror(index('rna-muscle'!F:F,match($A1063,'rna-muscle'!$A:$A,0)))</f>
        <v>E</v>
      </c>
      <c r="G1063" s="11">
        <f t="array" ref="G1063">iferror(index('rna-muscle'!G:G,match($A1063,'rna-muscle'!$A:$A,0)))</f>
        <v>5</v>
      </c>
      <c r="H1063" s="11" t="str">
        <f t="shared" si="4"/>
        <v>E5</v>
      </c>
      <c r="I1063" s="10" t="str">
        <f t="shared" si="5"/>
        <v>BRN73G-E5</v>
      </c>
      <c r="J1063" s="16"/>
      <c r="K1063" s="16" t="str">
        <f t="shared" si="6"/>
        <v>collected</v>
      </c>
      <c r="L1063" s="16" t="str">
        <f t="shared" si="7"/>
        <v>N</v>
      </c>
      <c r="M1063" s="16"/>
      <c r="N1063" s="16"/>
    </row>
    <row r="1064">
      <c r="A1064" s="40" t="s">
        <v>1524</v>
      </c>
      <c r="B1064" s="10" t="str">
        <f t="shared" si="1"/>
        <v>RNA-gill</v>
      </c>
      <c r="C1064" s="10" t="str">
        <f t="shared" si="2"/>
        <v>BRN73G-D5</v>
      </c>
      <c r="D1064" s="11">
        <f t="array" ref="D1064">iferror(index('rna-muscle'!D:D,match(A1064,'rna-muscle'!A:A,0)))</f>
        <v>73</v>
      </c>
      <c r="E1064" s="10" t="str">
        <f t="shared" si="3"/>
        <v>BRN73G</v>
      </c>
      <c r="F1064" s="11" t="str">
        <f t="array" ref="F1064">iferror(index('rna-muscle'!F:F,match($A1064,'rna-muscle'!$A:$A,0)))</f>
        <v>D</v>
      </c>
      <c r="G1064" s="11">
        <f t="array" ref="G1064">iferror(index('rna-muscle'!G:G,match($A1064,'rna-muscle'!$A:$A,0)))</f>
        <v>5</v>
      </c>
      <c r="H1064" s="11" t="str">
        <f t="shared" si="4"/>
        <v>D5</v>
      </c>
      <c r="I1064" s="10" t="str">
        <f t="shared" si="5"/>
        <v>BRN73G-D5</v>
      </c>
      <c r="J1064" s="16"/>
      <c r="K1064" s="16" t="str">
        <f t="shared" si="6"/>
        <v>collected</v>
      </c>
      <c r="L1064" s="16" t="str">
        <f t="shared" si="7"/>
        <v>N</v>
      </c>
      <c r="M1064" s="16"/>
      <c r="N1064" s="16"/>
    </row>
    <row r="1065">
      <c r="A1065" s="40" t="s">
        <v>1525</v>
      </c>
      <c r="B1065" s="10" t="str">
        <f t="shared" si="1"/>
        <v>RNA-gill</v>
      </c>
      <c r="C1065" s="10" t="str">
        <f t="shared" si="2"/>
        <v>BRN73G-C5</v>
      </c>
      <c r="D1065" s="11">
        <f t="array" ref="D1065">iferror(index('rna-muscle'!D:D,match(A1065,'rna-muscle'!A:A,0)))</f>
        <v>73</v>
      </c>
      <c r="E1065" s="10" t="str">
        <f t="shared" si="3"/>
        <v>BRN73G</v>
      </c>
      <c r="F1065" s="11" t="str">
        <f t="array" ref="F1065">iferror(index('rna-muscle'!F:F,match($A1065,'rna-muscle'!$A:$A,0)))</f>
        <v>C</v>
      </c>
      <c r="G1065" s="11">
        <f t="array" ref="G1065">iferror(index('rna-muscle'!G:G,match($A1065,'rna-muscle'!$A:$A,0)))</f>
        <v>5</v>
      </c>
      <c r="H1065" s="11" t="str">
        <f t="shared" si="4"/>
        <v>C5</v>
      </c>
      <c r="I1065" s="10" t="str">
        <f t="shared" si="5"/>
        <v>BRN73G-C5</v>
      </c>
      <c r="J1065" s="16"/>
      <c r="K1065" s="16" t="str">
        <f t="shared" si="6"/>
        <v>collected</v>
      </c>
      <c r="L1065" s="16" t="str">
        <f t="shared" si="7"/>
        <v>N</v>
      </c>
      <c r="M1065" s="16"/>
      <c r="N1065" s="16"/>
    </row>
    <row r="1066">
      <c r="A1066" s="40" t="s">
        <v>1526</v>
      </c>
      <c r="B1066" s="10" t="str">
        <f t="shared" si="1"/>
        <v>RNA-gill</v>
      </c>
      <c r="C1066" s="10" t="str">
        <f t="shared" si="2"/>
        <v>BRN73G-B5</v>
      </c>
      <c r="D1066" s="11">
        <f t="array" ref="D1066">iferror(index('rna-muscle'!D:D,match(A1066,'rna-muscle'!A:A,0)))</f>
        <v>73</v>
      </c>
      <c r="E1066" s="10" t="str">
        <f t="shared" si="3"/>
        <v>BRN73G</v>
      </c>
      <c r="F1066" s="11" t="str">
        <f t="array" ref="F1066">iferror(index('rna-muscle'!F:F,match($A1066,'rna-muscle'!$A:$A,0)))</f>
        <v>B</v>
      </c>
      <c r="G1066" s="11">
        <f t="array" ref="G1066">iferror(index('rna-muscle'!G:G,match($A1066,'rna-muscle'!$A:$A,0)))</f>
        <v>5</v>
      </c>
      <c r="H1066" s="11" t="str">
        <f t="shared" si="4"/>
        <v>B5</v>
      </c>
      <c r="I1066" s="10" t="str">
        <f t="shared" si="5"/>
        <v>BRN73G-B5</v>
      </c>
      <c r="J1066" s="16"/>
      <c r="K1066" s="16" t="str">
        <f t="shared" si="6"/>
        <v>collected</v>
      </c>
      <c r="L1066" s="16" t="str">
        <f t="shared" si="7"/>
        <v>N</v>
      </c>
      <c r="M1066" s="16"/>
      <c r="N1066" s="16"/>
    </row>
    <row r="1067">
      <c r="A1067" s="40" t="s">
        <v>1529</v>
      </c>
      <c r="B1067" s="10" t="str">
        <f t="shared" si="1"/>
        <v>RNA-gill</v>
      </c>
      <c r="C1067" s="10" t="str">
        <f t="shared" si="2"/>
        <v>BRN73G-A5</v>
      </c>
      <c r="D1067" s="11">
        <f t="array" ref="D1067">iferror(index('rna-muscle'!D:D,match(A1067,'rna-muscle'!A:A,0)))</f>
        <v>73</v>
      </c>
      <c r="E1067" s="10" t="str">
        <f t="shared" si="3"/>
        <v>BRN73G</v>
      </c>
      <c r="F1067" s="11" t="str">
        <f t="array" ref="F1067">iferror(index('rna-muscle'!F:F,match($A1067,'rna-muscle'!$A:$A,0)))</f>
        <v>A</v>
      </c>
      <c r="G1067" s="11">
        <f t="array" ref="G1067">iferror(index('rna-muscle'!G:G,match($A1067,'rna-muscle'!$A:$A,0)))</f>
        <v>5</v>
      </c>
      <c r="H1067" s="11" t="str">
        <f t="shared" si="4"/>
        <v>A5</v>
      </c>
      <c r="I1067" s="10" t="str">
        <f t="shared" si="5"/>
        <v>BRN73G-A5</v>
      </c>
      <c r="J1067" s="16"/>
      <c r="K1067" s="16" t="str">
        <f t="shared" si="6"/>
        <v>collected</v>
      </c>
      <c r="L1067" s="16" t="str">
        <f t="shared" si="7"/>
        <v>N</v>
      </c>
      <c r="M1067" s="16"/>
      <c r="N1067" s="16"/>
    </row>
    <row r="1068">
      <c r="A1068" s="40" t="s">
        <v>1530</v>
      </c>
      <c r="B1068" s="10" t="str">
        <f t="shared" si="1"/>
        <v>RNA-gill</v>
      </c>
      <c r="C1068" s="10" t="str">
        <f t="shared" si="2"/>
        <v>BRN73G-G6</v>
      </c>
      <c r="D1068" s="11">
        <f t="array" ref="D1068">iferror(index('rna-muscle'!D:D,match(A1068,'rna-muscle'!A:A,0)))</f>
        <v>73</v>
      </c>
      <c r="E1068" s="10" t="str">
        <f t="shared" si="3"/>
        <v>BRN73G</v>
      </c>
      <c r="F1068" s="11" t="str">
        <f t="array" ref="F1068">iferror(index('rna-muscle'!F:F,match($A1068,'rna-muscle'!$A:$A,0)))</f>
        <v>G</v>
      </c>
      <c r="G1068" s="11">
        <f t="array" ref="G1068">iferror(index('rna-muscle'!G:G,match($A1068,'rna-muscle'!$A:$A,0)))</f>
        <v>6</v>
      </c>
      <c r="H1068" s="11" t="str">
        <f t="shared" si="4"/>
        <v>G6</v>
      </c>
      <c r="I1068" s="10" t="str">
        <f t="shared" si="5"/>
        <v>BRN73G-G6</v>
      </c>
      <c r="J1068" s="16"/>
      <c r="K1068" s="16" t="str">
        <f t="shared" si="6"/>
        <v>collected</v>
      </c>
      <c r="L1068" s="16" t="str">
        <f t="shared" si="7"/>
        <v>N</v>
      </c>
      <c r="M1068" s="16"/>
      <c r="N1068" s="16"/>
    </row>
    <row r="1069">
      <c r="A1069" s="40" t="s">
        <v>1531</v>
      </c>
      <c r="B1069" s="10" t="str">
        <f t="shared" si="1"/>
        <v>RNA-gill</v>
      </c>
      <c r="C1069" s="10" t="str">
        <f t="shared" si="2"/>
        <v>BRN73G-F6</v>
      </c>
      <c r="D1069" s="11">
        <f t="array" ref="D1069">iferror(index('rna-muscle'!D:D,match(A1069,'rna-muscle'!A:A,0)))</f>
        <v>73</v>
      </c>
      <c r="E1069" s="10" t="str">
        <f t="shared" si="3"/>
        <v>BRN73G</v>
      </c>
      <c r="F1069" s="11" t="str">
        <f t="array" ref="F1069">iferror(index('rna-muscle'!F:F,match($A1069,'rna-muscle'!$A:$A,0)))</f>
        <v>F</v>
      </c>
      <c r="G1069" s="11">
        <f t="array" ref="G1069">iferror(index('rna-muscle'!G:G,match($A1069,'rna-muscle'!$A:$A,0)))</f>
        <v>6</v>
      </c>
      <c r="H1069" s="11" t="str">
        <f t="shared" si="4"/>
        <v>F6</v>
      </c>
      <c r="I1069" s="10" t="str">
        <f t="shared" si="5"/>
        <v>BRN73G-F6</v>
      </c>
      <c r="J1069" s="16"/>
      <c r="K1069" s="16" t="str">
        <f t="shared" si="6"/>
        <v>collected</v>
      </c>
      <c r="L1069" s="16" t="str">
        <f t="shared" si="7"/>
        <v>N</v>
      </c>
      <c r="M1069" s="16"/>
      <c r="N1069" s="16"/>
    </row>
    <row r="1070">
      <c r="A1070" s="40" t="s">
        <v>1532</v>
      </c>
      <c r="B1070" s="10" t="str">
        <f t="shared" si="1"/>
        <v>RNA-gill</v>
      </c>
      <c r="C1070" s="10" t="str">
        <f t="shared" si="2"/>
        <v>BRN73G-E6</v>
      </c>
      <c r="D1070" s="11">
        <f t="array" ref="D1070">iferror(index('rna-muscle'!D:D,match(A1070,'rna-muscle'!A:A,0)))</f>
        <v>73</v>
      </c>
      <c r="E1070" s="10" t="str">
        <f t="shared" si="3"/>
        <v>BRN73G</v>
      </c>
      <c r="F1070" s="11" t="str">
        <f t="array" ref="F1070">iferror(index('rna-muscle'!F:F,match($A1070,'rna-muscle'!$A:$A,0)))</f>
        <v>E</v>
      </c>
      <c r="G1070" s="11">
        <f t="array" ref="G1070">iferror(index('rna-muscle'!G:G,match($A1070,'rna-muscle'!$A:$A,0)))</f>
        <v>6</v>
      </c>
      <c r="H1070" s="11" t="str">
        <f t="shared" si="4"/>
        <v>E6</v>
      </c>
      <c r="I1070" s="10" t="str">
        <f t="shared" si="5"/>
        <v>BRN73G-E6</v>
      </c>
      <c r="J1070" s="16"/>
      <c r="K1070" s="16" t="str">
        <f t="shared" si="6"/>
        <v>collected</v>
      </c>
      <c r="L1070" s="16" t="str">
        <f t="shared" si="7"/>
        <v>N</v>
      </c>
      <c r="M1070" s="16"/>
      <c r="N1070" s="16"/>
    </row>
    <row r="1071">
      <c r="A1071" s="40" t="s">
        <v>1534</v>
      </c>
      <c r="B1071" s="10" t="str">
        <f t="shared" si="1"/>
        <v>RNA-gill</v>
      </c>
      <c r="C1071" s="10" t="str">
        <f t="shared" si="2"/>
        <v>BRN73G-D6</v>
      </c>
      <c r="D1071" s="11">
        <f t="array" ref="D1071">iferror(index('rna-muscle'!D:D,match(A1071,'rna-muscle'!A:A,0)))</f>
        <v>73</v>
      </c>
      <c r="E1071" s="10" t="str">
        <f t="shared" si="3"/>
        <v>BRN73G</v>
      </c>
      <c r="F1071" s="11" t="str">
        <f t="array" ref="F1071">iferror(index('rna-muscle'!F:F,match($A1071,'rna-muscle'!$A:$A,0)))</f>
        <v>D</v>
      </c>
      <c r="G1071" s="11">
        <f t="array" ref="G1071">iferror(index('rna-muscle'!G:G,match($A1071,'rna-muscle'!$A:$A,0)))</f>
        <v>6</v>
      </c>
      <c r="H1071" s="11" t="str">
        <f t="shared" si="4"/>
        <v>D6</v>
      </c>
      <c r="I1071" s="10" t="str">
        <f t="shared" si="5"/>
        <v>BRN73G-D6</v>
      </c>
      <c r="J1071" s="16"/>
      <c r="K1071" s="16" t="str">
        <f t="shared" si="6"/>
        <v>collected</v>
      </c>
      <c r="L1071" s="16" t="str">
        <f t="shared" si="7"/>
        <v>N</v>
      </c>
      <c r="M1071" s="16"/>
      <c r="N1071" s="16"/>
    </row>
    <row r="1072">
      <c r="A1072" s="40" t="s">
        <v>1536</v>
      </c>
      <c r="B1072" s="10" t="str">
        <f t="shared" si="1"/>
        <v>RNA-gill</v>
      </c>
      <c r="C1072" s="10" t="str">
        <f t="shared" si="2"/>
        <v>BRN73G-C6</v>
      </c>
      <c r="D1072" s="11">
        <f t="array" ref="D1072">iferror(index('rna-muscle'!D:D,match(A1072,'rna-muscle'!A:A,0)))</f>
        <v>73</v>
      </c>
      <c r="E1072" s="10" t="str">
        <f t="shared" si="3"/>
        <v>BRN73G</v>
      </c>
      <c r="F1072" s="11" t="str">
        <f t="array" ref="F1072">iferror(index('rna-muscle'!F:F,match($A1072,'rna-muscle'!$A:$A,0)))</f>
        <v>C</v>
      </c>
      <c r="G1072" s="11">
        <f t="array" ref="G1072">iferror(index('rna-muscle'!G:G,match($A1072,'rna-muscle'!$A:$A,0)))</f>
        <v>6</v>
      </c>
      <c r="H1072" s="11" t="str">
        <f t="shared" si="4"/>
        <v>C6</v>
      </c>
      <c r="I1072" s="10" t="str">
        <f t="shared" si="5"/>
        <v>BRN73G-C6</v>
      </c>
      <c r="J1072" s="16"/>
      <c r="K1072" s="16" t="str">
        <f t="shared" si="6"/>
        <v>collected</v>
      </c>
      <c r="L1072" s="16" t="str">
        <f t="shared" si="7"/>
        <v>N</v>
      </c>
      <c r="M1072" s="16"/>
      <c r="N1072" s="16"/>
    </row>
    <row r="1073">
      <c r="A1073" s="40" t="s">
        <v>1537</v>
      </c>
      <c r="B1073" s="10" t="str">
        <f t="shared" si="1"/>
        <v>RNA-gill</v>
      </c>
      <c r="C1073" s="10" t="str">
        <f t="shared" si="2"/>
        <v>BRN73G-B6</v>
      </c>
      <c r="D1073" s="11">
        <f t="array" ref="D1073">iferror(index('rna-muscle'!D:D,match(A1073,'rna-muscle'!A:A,0)))</f>
        <v>73</v>
      </c>
      <c r="E1073" s="10" t="str">
        <f t="shared" si="3"/>
        <v>BRN73G</v>
      </c>
      <c r="F1073" s="11" t="str">
        <f t="array" ref="F1073">iferror(index('rna-muscle'!F:F,match($A1073,'rna-muscle'!$A:$A,0)))</f>
        <v>B</v>
      </c>
      <c r="G1073" s="11">
        <f t="array" ref="G1073">iferror(index('rna-muscle'!G:G,match($A1073,'rna-muscle'!$A:$A,0)))</f>
        <v>6</v>
      </c>
      <c r="H1073" s="11" t="str">
        <f t="shared" si="4"/>
        <v>B6</v>
      </c>
      <c r="I1073" s="10" t="str">
        <f t="shared" si="5"/>
        <v>BRN73G-B6</v>
      </c>
      <c r="J1073" s="16"/>
      <c r="K1073" s="16" t="str">
        <f t="shared" si="6"/>
        <v>collected</v>
      </c>
      <c r="L1073" s="16" t="str">
        <f t="shared" si="7"/>
        <v>N</v>
      </c>
      <c r="M1073" s="16"/>
      <c r="N1073" s="16"/>
    </row>
    <row r="1074">
      <c r="A1074" s="40" t="s">
        <v>1538</v>
      </c>
      <c r="B1074" s="10" t="str">
        <f t="shared" si="1"/>
        <v>RNA-gill</v>
      </c>
      <c r="C1074" s="10" t="str">
        <f t="shared" si="2"/>
        <v>BRN73G-A6</v>
      </c>
      <c r="D1074" s="11">
        <f t="array" ref="D1074">iferror(index('rna-muscle'!D:D,match(A1074,'rna-muscle'!A:A,0)))</f>
        <v>73</v>
      </c>
      <c r="E1074" s="10" t="str">
        <f t="shared" si="3"/>
        <v>BRN73G</v>
      </c>
      <c r="F1074" s="11" t="str">
        <f t="array" ref="F1074">iferror(index('rna-muscle'!F:F,match($A1074,'rna-muscle'!$A:$A,0)))</f>
        <v>A</v>
      </c>
      <c r="G1074" s="11">
        <f t="array" ref="G1074">iferror(index('rna-muscle'!G:G,match($A1074,'rna-muscle'!$A:$A,0)))</f>
        <v>6</v>
      </c>
      <c r="H1074" s="11" t="str">
        <f t="shared" si="4"/>
        <v>A6</v>
      </c>
      <c r="I1074" s="10" t="str">
        <f t="shared" si="5"/>
        <v>BRN73G-A6</v>
      </c>
      <c r="J1074" s="16"/>
      <c r="K1074" s="16" t="str">
        <f t="shared" si="6"/>
        <v>collected</v>
      </c>
      <c r="L1074" s="16" t="str">
        <f t="shared" si="7"/>
        <v>N</v>
      </c>
      <c r="M1074" s="16"/>
      <c r="N1074" s="16"/>
    </row>
    <row r="1075">
      <c r="A1075" s="40" t="s">
        <v>1539</v>
      </c>
      <c r="B1075" s="10" t="str">
        <f t="shared" si="1"/>
        <v>RNA-gill</v>
      </c>
      <c r="C1075" s="10" t="str">
        <f t="shared" si="2"/>
        <v>BRN73G-F3</v>
      </c>
      <c r="D1075" s="11">
        <f t="array" ref="D1075">iferror(index('rna-muscle'!D:D,match(A1075,'rna-muscle'!A:A,0)))</f>
        <v>73</v>
      </c>
      <c r="E1075" s="10" t="str">
        <f t="shared" si="3"/>
        <v>BRN73G</v>
      </c>
      <c r="F1075" s="11" t="s">
        <v>61</v>
      </c>
      <c r="G1075" s="11">
        <f t="array" ref="G1075">iferror(index('rna-muscle'!G:G,match($A1075,'rna-muscle'!$A:$A,0)))</f>
        <v>3</v>
      </c>
      <c r="H1075" s="11" t="str">
        <f t="shared" si="4"/>
        <v>F3</v>
      </c>
      <c r="I1075" s="10" t="str">
        <f t="shared" si="5"/>
        <v>BRN73G-F3</v>
      </c>
      <c r="J1075" s="16"/>
      <c r="K1075" s="16" t="str">
        <f t="shared" si="6"/>
        <v>collected</v>
      </c>
      <c r="L1075" s="16" t="str">
        <f t="shared" si="7"/>
        <v>N</v>
      </c>
      <c r="M1075" s="16"/>
      <c r="N1075" s="16"/>
    </row>
    <row r="1076">
      <c r="A1076" s="40" t="s">
        <v>1540</v>
      </c>
      <c r="B1076" s="10" t="str">
        <f t="shared" si="1"/>
        <v>RNA-gill</v>
      </c>
      <c r="C1076" s="10" t="str">
        <f t="shared" si="2"/>
        <v>BRN73G-D3</v>
      </c>
      <c r="D1076" s="11">
        <f t="array" ref="D1076">iferror(index('rna-muscle'!D:D,match(A1076,'rna-muscle'!A:A,0)))</f>
        <v>73</v>
      </c>
      <c r="E1076" s="10" t="str">
        <f t="shared" si="3"/>
        <v>BRN73G</v>
      </c>
      <c r="F1076" s="11" t="str">
        <f t="array" ref="F1076">iferror(index('rna-muscle'!F:F,match($A1076,'rna-muscle'!$A:$A,0)))</f>
        <v>D</v>
      </c>
      <c r="G1076" s="11">
        <f t="array" ref="G1076">iferror(index('rna-muscle'!G:G,match($A1076,'rna-muscle'!$A:$A,0)))</f>
        <v>3</v>
      </c>
      <c r="H1076" s="11" t="str">
        <f t="shared" si="4"/>
        <v>D3</v>
      </c>
      <c r="I1076" s="10" t="str">
        <f t="shared" si="5"/>
        <v>BRN73G-D3</v>
      </c>
      <c r="J1076" s="16"/>
      <c r="K1076" s="16" t="str">
        <f t="shared" si="6"/>
        <v>collected</v>
      </c>
      <c r="L1076" s="16" t="str">
        <f t="shared" si="7"/>
        <v>N</v>
      </c>
      <c r="M1076" s="16"/>
      <c r="N1076" s="16"/>
    </row>
    <row r="1077">
      <c r="A1077" s="40" t="s">
        <v>1542</v>
      </c>
      <c r="B1077" s="10" t="str">
        <f t="shared" si="1"/>
        <v>RNA-gill</v>
      </c>
      <c r="C1077" s="10" t="str">
        <f t="shared" si="2"/>
        <v>BRN73G-C3</v>
      </c>
      <c r="D1077" s="11">
        <f t="array" ref="D1077">iferror(index('rna-muscle'!D:D,match(A1077,'rna-muscle'!A:A,0)))</f>
        <v>73</v>
      </c>
      <c r="E1077" s="10" t="str">
        <f t="shared" si="3"/>
        <v>BRN73G</v>
      </c>
      <c r="F1077" s="11" t="str">
        <f t="array" ref="F1077">iferror(index('rna-muscle'!F:F,match($A1077,'rna-muscle'!$A:$A,0)))</f>
        <v>C</v>
      </c>
      <c r="G1077" s="11">
        <f t="array" ref="G1077">iferror(index('rna-muscle'!G:G,match($A1077,'rna-muscle'!$A:$A,0)))</f>
        <v>3</v>
      </c>
      <c r="H1077" s="11" t="str">
        <f t="shared" si="4"/>
        <v>C3</v>
      </c>
      <c r="I1077" s="10" t="str">
        <f t="shared" si="5"/>
        <v>BRN73G-C3</v>
      </c>
      <c r="J1077" s="16"/>
      <c r="K1077" s="16" t="str">
        <f t="shared" si="6"/>
        <v>collected</v>
      </c>
      <c r="L1077" s="16" t="str">
        <f t="shared" si="7"/>
        <v>N</v>
      </c>
      <c r="M1077" s="16"/>
      <c r="N1077" s="16"/>
    </row>
    <row r="1078">
      <c r="A1078" s="40" t="s">
        <v>1544</v>
      </c>
      <c r="B1078" s="10" t="str">
        <f t="shared" si="1"/>
        <v>RNA-gill</v>
      </c>
      <c r="C1078" s="10" t="str">
        <f t="shared" si="2"/>
        <v>BRN73G-B3</v>
      </c>
      <c r="D1078" s="11">
        <f t="array" ref="D1078">iferror(index('rna-muscle'!D:D,match(A1078,'rna-muscle'!A:A,0)))</f>
        <v>73</v>
      </c>
      <c r="E1078" s="10" t="str">
        <f t="shared" si="3"/>
        <v>BRN73G</v>
      </c>
      <c r="F1078" s="11" t="str">
        <f t="array" ref="F1078">iferror(index('rna-muscle'!F:F,match($A1078,'rna-muscle'!$A:$A,0)))</f>
        <v>B</v>
      </c>
      <c r="G1078" s="11">
        <f t="array" ref="G1078">iferror(index('rna-muscle'!G:G,match($A1078,'rna-muscle'!$A:$A,0)))</f>
        <v>3</v>
      </c>
      <c r="H1078" s="11" t="str">
        <f t="shared" si="4"/>
        <v>B3</v>
      </c>
      <c r="I1078" s="10" t="str">
        <f t="shared" si="5"/>
        <v>BRN73G-B3</v>
      </c>
      <c r="J1078" s="16"/>
      <c r="K1078" s="16" t="str">
        <f t="shared" si="6"/>
        <v>collected</v>
      </c>
      <c r="L1078" s="16" t="str">
        <f t="shared" si="7"/>
        <v>N</v>
      </c>
      <c r="M1078" s="16"/>
      <c r="N1078" s="16"/>
    </row>
    <row r="1079">
      <c r="A1079" s="40" t="s">
        <v>1545</v>
      </c>
      <c r="B1079" s="10" t="str">
        <f t="shared" si="1"/>
        <v>RNA-gill</v>
      </c>
      <c r="C1079" s="10" t="str">
        <f t="shared" si="2"/>
        <v>BRN73G-A3</v>
      </c>
      <c r="D1079" s="11">
        <f t="array" ref="D1079">iferror(index('rna-muscle'!D:D,match(A1079,'rna-muscle'!A:A,0)))</f>
        <v>73</v>
      </c>
      <c r="E1079" s="10" t="str">
        <f t="shared" si="3"/>
        <v>BRN73G</v>
      </c>
      <c r="F1079" s="11" t="str">
        <f t="array" ref="F1079">iferror(index('rna-muscle'!F:F,match($A1079,'rna-muscle'!$A:$A,0)))</f>
        <v>A</v>
      </c>
      <c r="G1079" s="11">
        <f t="array" ref="G1079">iferror(index('rna-muscle'!G:G,match($A1079,'rna-muscle'!$A:$A,0)))</f>
        <v>3</v>
      </c>
      <c r="H1079" s="11" t="str">
        <f t="shared" si="4"/>
        <v>A3</v>
      </c>
      <c r="I1079" s="10" t="str">
        <f t="shared" si="5"/>
        <v>BRN73G-A3</v>
      </c>
      <c r="J1079" s="16"/>
      <c r="K1079" s="16" t="str">
        <f t="shared" si="6"/>
        <v>collected</v>
      </c>
      <c r="L1079" s="16" t="str">
        <f t="shared" si="7"/>
        <v>N</v>
      </c>
      <c r="M1079" s="16"/>
      <c r="N1079" s="16"/>
    </row>
    <row r="1080">
      <c r="A1080" s="40" t="s">
        <v>1547</v>
      </c>
      <c r="B1080" s="10" t="str">
        <f t="shared" si="1"/>
        <v>RNA-gill</v>
      </c>
      <c r="C1080" s="10" t="str">
        <f t="shared" si="2"/>
        <v>BRN65G-G8</v>
      </c>
      <c r="D1080" s="11">
        <f t="array" ref="D1080">iferror(index('rna-muscle'!D:D,match(A1080,'rna-muscle'!A:A,0)))</f>
        <v>65</v>
      </c>
      <c r="E1080" s="10" t="str">
        <f t="shared" si="3"/>
        <v>BRN65G</v>
      </c>
      <c r="F1080" s="11" t="str">
        <f t="array" ref="F1080">iferror(index('rna-muscle'!F:F,match($A1080,'rna-muscle'!$A:$A,0)))</f>
        <v>G</v>
      </c>
      <c r="G1080" s="11">
        <f t="array" ref="G1080">iferror(index('rna-muscle'!G:G,match($A1080,'rna-muscle'!$A:$A,0)))</f>
        <v>8</v>
      </c>
      <c r="H1080" s="11" t="str">
        <f t="shared" si="4"/>
        <v>G8</v>
      </c>
      <c r="I1080" s="10" t="str">
        <f t="shared" si="5"/>
        <v>BRN65G-G8</v>
      </c>
      <c r="J1080" s="16"/>
      <c r="K1080" s="16" t="str">
        <f t="shared" si="6"/>
        <v>collected</v>
      </c>
      <c r="L1080" s="16" t="str">
        <f t="shared" si="7"/>
        <v>N</v>
      </c>
      <c r="M1080" s="16"/>
      <c r="N1080" s="16"/>
    </row>
    <row r="1081">
      <c r="A1081" s="40" t="s">
        <v>1549</v>
      </c>
      <c r="B1081" s="10" t="str">
        <f t="shared" si="1"/>
        <v>RNA-gill</v>
      </c>
      <c r="C1081" s="10" t="str">
        <f t="shared" si="2"/>
        <v>BRN65G-F8</v>
      </c>
      <c r="D1081" s="11">
        <f t="array" ref="D1081">iferror(index('rna-muscle'!D:D,match(A1081,'rna-muscle'!A:A,0)))</f>
        <v>65</v>
      </c>
      <c r="E1081" s="10" t="str">
        <f t="shared" si="3"/>
        <v>BRN65G</v>
      </c>
      <c r="F1081" s="11" t="str">
        <f t="array" ref="F1081">iferror(index('rna-muscle'!F:F,match($A1081,'rna-muscle'!$A:$A,0)))</f>
        <v>F</v>
      </c>
      <c r="G1081" s="11">
        <f t="array" ref="G1081">iferror(index('rna-muscle'!G:G,match($A1081,'rna-muscle'!$A:$A,0)))</f>
        <v>8</v>
      </c>
      <c r="H1081" s="11" t="str">
        <f t="shared" si="4"/>
        <v>F8</v>
      </c>
      <c r="I1081" s="10" t="str">
        <f t="shared" si="5"/>
        <v>BRN65G-F8</v>
      </c>
      <c r="J1081" s="16"/>
      <c r="K1081" s="16" t="str">
        <f t="shared" si="6"/>
        <v>collected</v>
      </c>
      <c r="L1081" s="16" t="str">
        <f t="shared" si="7"/>
        <v>N</v>
      </c>
      <c r="M1081" s="16"/>
      <c r="N1081" s="16"/>
    </row>
    <row r="1082">
      <c r="A1082" s="40" t="s">
        <v>1550</v>
      </c>
      <c r="B1082" s="10" t="str">
        <f t="shared" si="1"/>
        <v>RNA-gill</v>
      </c>
      <c r="C1082" s="10" t="str">
        <f t="shared" si="2"/>
        <v>BRN65G-E8</v>
      </c>
      <c r="D1082" s="11">
        <f t="array" ref="D1082">iferror(index('rna-muscle'!D:D,match(A1082,'rna-muscle'!A:A,0)))</f>
        <v>65</v>
      </c>
      <c r="E1082" s="10" t="str">
        <f t="shared" si="3"/>
        <v>BRN65G</v>
      </c>
      <c r="F1082" s="11" t="str">
        <f t="array" ref="F1082">iferror(index('rna-muscle'!F:F,match($A1082,'rna-muscle'!$A:$A,0)))</f>
        <v>E</v>
      </c>
      <c r="G1082" s="11">
        <f t="array" ref="G1082">iferror(index('rna-muscle'!G:G,match($A1082,'rna-muscle'!$A:$A,0)))</f>
        <v>8</v>
      </c>
      <c r="H1082" s="11" t="str">
        <f t="shared" si="4"/>
        <v>E8</v>
      </c>
      <c r="I1082" s="10" t="str">
        <f t="shared" si="5"/>
        <v>BRN65G-E8</v>
      </c>
      <c r="J1082" s="16"/>
      <c r="K1082" s="16" t="str">
        <f t="shared" si="6"/>
        <v>collected</v>
      </c>
      <c r="L1082" s="16" t="str">
        <f t="shared" si="7"/>
        <v>N</v>
      </c>
      <c r="M1082" s="16"/>
      <c r="N1082" s="16"/>
    </row>
    <row r="1083">
      <c r="A1083" s="40" t="s">
        <v>1552</v>
      </c>
      <c r="B1083" s="10" t="str">
        <f t="shared" si="1"/>
        <v>RNA-gill</v>
      </c>
      <c r="C1083" s="10" t="str">
        <f t="shared" si="2"/>
        <v>BRN65G-D8</v>
      </c>
      <c r="D1083" s="11">
        <f t="array" ref="D1083">iferror(index('rna-muscle'!D:D,match(A1083,'rna-muscle'!A:A,0)))</f>
        <v>65</v>
      </c>
      <c r="E1083" s="10" t="str">
        <f t="shared" si="3"/>
        <v>BRN65G</v>
      </c>
      <c r="F1083" s="11" t="str">
        <f t="array" ref="F1083">iferror(index('rna-muscle'!F:F,match($A1083,'rna-muscle'!$A:$A,0)))</f>
        <v>D</v>
      </c>
      <c r="G1083" s="11">
        <f t="array" ref="G1083">iferror(index('rna-muscle'!G:G,match($A1083,'rna-muscle'!$A:$A,0)))</f>
        <v>8</v>
      </c>
      <c r="H1083" s="11" t="str">
        <f t="shared" si="4"/>
        <v>D8</v>
      </c>
      <c r="I1083" s="10" t="str">
        <f t="shared" si="5"/>
        <v>BRN65G-D8</v>
      </c>
      <c r="J1083" s="16"/>
      <c r="K1083" s="16" t="str">
        <f t="shared" si="6"/>
        <v>collected</v>
      </c>
      <c r="L1083" s="16" t="str">
        <f t="shared" si="7"/>
        <v>N</v>
      </c>
      <c r="M1083" s="16"/>
      <c r="N1083" s="16"/>
    </row>
    <row r="1084">
      <c r="A1084" s="40" t="s">
        <v>1554</v>
      </c>
      <c r="B1084" s="10" t="str">
        <f t="shared" si="1"/>
        <v>RNA-gill</v>
      </c>
      <c r="C1084" s="10" t="str">
        <f t="shared" si="2"/>
        <v>BRN65G-C8</v>
      </c>
      <c r="D1084" s="11">
        <f t="array" ref="D1084">iferror(index('rna-muscle'!D:D,match(A1084,'rna-muscle'!A:A,0)))</f>
        <v>65</v>
      </c>
      <c r="E1084" s="10" t="str">
        <f t="shared" si="3"/>
        <v>BRN65G</v>
      </c>
      <c r="F1084" s="11" t="str">
        <f t="array" ref="F1084">iferror(index('rna-muscle'!F:F,match($A1084,'rna-muscle'!$A:$A,0)))</f>
        <v>C</v>
      </c>
      <c r="G1084" s="11">
        <f t="array" ref="G1084">iferror(index('rna-muscle'!G:G,match($A1084,'rna-muscle'!$A:$A,0)))</f>
        <v>8</v>
      </c>
      <c r="H1084" s="11" t="str">
        <f t="shared" si="4"/>
        <v>C8</v>
      </c>
      <c r="I1084" s="10" t="str">
        <f t="shared" si="5"/>
        <v>BRN65G-C8</v>
      </c>
      <c r="J1084" s="16"/>
      <c r="K1084" s="16" t="str">
        <f t="shared" si="6"/>
        <v>collected</v>
      </c>
      <c r="L1084" s="16" t="str">
        <f t="shared" si="7"/>
        <v>N</v>
      </c>
      <c r="M1084" s="16"/>
      <c r="N1084" s="16"/>
    </row>
    <row r="1085">
      <c r="A1085" s="40" t="s">
        <v>1555</v>
      </c>
      <c r="B1085" s="10" t="str">
        <f t="shared" si="1"/>
        <v>RNA-gill</v>
      </c>
      <c r="C1085" s="10" t="str">
        <f t="shared" si="2"/>
        <v>BRN65G-B8</v>
      </c>
      <c r="D1085" s="11">
        <f t="array" ref="D1085">iferror(index('rna-muscle'!D:D,match(A1085,'rna-muscle'!A:A,0)))</f>
        <v>65</v>
      </c>
      <c r="E1085" s="10" t="str">
        <f t="shared" si="3"/>
        <v>BRN65G</v>
      </c>
      <c r="F1085" s="11" t="str">
        <f t="array" ref="F1085">iferror(index('rna-muscle'!F:F,match($A1085,'rna-muscle'!$A:$A,0)))</f>
        <v>B</v>
      </c>
      <c r="G1085" s="11">
        <f t="array" ref="G1085">iferror(index('rna-muscle'!G:G,match($A1085,'rna-muscle'!$A:$A,0)))</f>
        <v>8</v>
      </c>
      <c r="H1085" s="11" t="str">
        <f t="shared" si="4"/>
        <v>B8</v>
      </c>
      <c r="I1085" s="10" t="str">
        <f t="shared" si="5"/>
        <v>BRN65G-B8</v>
      </c>
      <c r="J1085" s="16"/>
      <c r="K1085" s="16" t="str">
        <f t="shared" si="6"/>
        <v>collected</v>
      </c>
      <c r="L1085" s="16" t="str">
        <f t="shared" si="7"/>
        <v>N</v>
      </c>
      <c r="M1085" s="16"/>
      <c r="N1085" s="16"/>
    </row>
    <row r="1086">
      <c r="A1086" s="40" t="s">
        <v>1556</v>
      </c>
      <c r="B1086" s="10" t="str">
        <f t="shared" si="1"/>
        <v>RNA-gill</v>
      </c>
      <c r="C1086" s="10" t="str">
        <f t="shared" si="2"/>
        <v>BRN65G-A8</v>
      </c>
      <c r="D1086" s="11">
        <f t="array" ref="D1086">iferror(index('rna-muscle'!D:D,match(A1086,'rna-muscle'!A:A,0)))</f>
        <v>65</v>
      </c>
      <c r="E1086" s="10" t="str">
        <f t="shared" si="3"/>
        <v>BRN65G</v>
      </c>
      <c r="F1086" s="11" t="str">
        <f t="array" ref="F1086">iferror(index('rna-muscle'!F:F,match($A1086,'rna-muscle'!$A:$A,0)))</f>
        <v>A</v>
      </c>
      <c r="G1086" s="11">
        <f t="array" ref="G1086">iferror(index('rna-muscle'!G:G,match($A1086,'rna-muscle'!$A:$A,0)))</f>
        <v>8</v>
      </c>
      <c r="H1086" s="11" t="str">
        <f t="shared" si="4"/>
        <v>A8</v>
      </c>
      <c r="I1086" s="10" t="str">
        <f t="shared" si="5"/>
        <v>BRN65G-A8</v>
      </c>
      <c r="J1086" s="16"/>
      <c r="K1086" s="16" t="str">
        <f t="shared" si="6"/>
        <v>collected</v>
      </c>
      <c r="L1086" s="16" t="str">
        <f t="shared" si="7"/>
        <v>N</v>
      </c>
      <c r="M1086" s="16"/>
      <c r="N1086" s="16"/>
    </row>
    <row r="1087">
      <c r="A1087" s="40" t="s">
        <v>1558</v>
      </c>
      <c r="B1087" s="10" t="str">
        <f t="shared" si="1"/>
        <v>RNA-gill</v>
      </c>
      <c r="C1087" s="10" t="str">
        <f t="shared" si="2"/>
        <v>BRN65G-H9</v>
      </c>
      <c r="D1087" s="11">
        <f t="array" ref="D1087">iferror(index('rna-muscle'!D:D,match(A1087,'rna-muscle'!A:A,0)))</f>
        <v>65</v>
      </c>
      <c r="E1087" s="10" t="str">
        <f t="shared" si="3"/>
        <v>BRN65G</v>
      </c>
      <c r="F1087" s="11" t="str">
        <f t="array" ref="F1087">iferror(index('rna-muscle'!F:F,match($A1087,'rna-muscle'!$A:$A,0)))</f>
        <v>H</v>
      </c>
      <c r="G1087" s="11">
        <f t="array" ref="G1087">iferror(index('rna-muscle'!G:G,match($A1087,'rna-muscle'!$A:$A,0)))</f>
        <v>9</v>
      </c>
      <c r="H1087" s="11" t="str">
        <f t="shared" si="4"/>
        <v>H9</v>
      </c>
      <c r="I1087" s="10" t="str">
        <f t="shared" si="5"/>
        <v>BRN65G-H9</v>
      </c>
      <c r="J1087" s="16"/>
      <c r="K1087" s="16" t="str">
        <f t="shared" si="6"/>
        <v>collected</v>
      </c>
      <c r="L1087" s="16" t="str">
        <f t="shared" si="7"/>
        <v>N</v>
      </c>
      <c r="M1087" s="16"/>
      <c r="N1087" s="16"/>
    </row>
    <row r="1088">
      <c r="A1088" s="40" t="s">
        <v>1560</v>
      </c>
      <c r="B1088" s="10" t="str">
        <f t="shared" si="1"/>
        <v>RNA-gill</v>
      </c>
      <c r="C1088" s="10" t="str">
        <f t="shared" si="2"/>
        <v>BRN65G-G9</v>
      </c>
      <c r="D1088" s="11">
        <f t="array" ref="D1088">iferror(index('rna-muscle'!D:D,match(A1088,'rna-muscle'!A:A,0)))</f>
        <v>65</v>
      </c>
      <c r="E1088" s="10" t="str">
        <f t="shared" si="3"/>
        <v>BRN65G</v>
      </c>
      <c r="F1088" s="11" t="str">
        <f t="array" ref="F1088">iferror(index('rna-muscle'!F:F,match($A1088,'rna-muscle'!$A:$A,0)))</f>
        <v>G</v>
      </c>
      <c r="G1088" s="11">
        <f t="array" ref="G1088">iferror(index('rna-muscle'!G:G,match($A1088,'rna-muscle'!$A:$A,0)))</f>
        <v>9</v>
      </c>
      <c r="H1088" s="11" t="str">
        <f t="shared" si="4"/>
        <v>G9</v>
      </c>
      <c r="I1088" s="10" t="str">
        <f t="shared" si="5"/>
        <v>BRN65G-G9</v>
      </c>
      <c r="J1088" s="16"/>
      <c r="K1088" s="16" t="str">
        <f t="shared" si="6"/>
        <v>collected</v>
      </c>
      <c r="L1088" s="16" t="str">
        <f t="shared" si="7"/>
        <v>N</v>
      </c>
      <c r="M1088" s="16"/>
      <c r="N1088" s="16"/>
    </row>
    <row r="1089">
      <c r="A1089" s="40" t="s">
        <v>1561</v>
      </c>
      <c r="B1089" s="10" t="str">
        <f t="shared" si="1"/>
        <v>RNA-gill</v>
      </c>
      <c r="C1089" s="10" t="str">
        <f t="shared" si="2"/>
        <v>BRN65G-F9</v>
      </c>
      <c r="D1089" s="11">
        <f t="array" ref="D1089">iferror(index('rna-muscle'!D:D,match(A1089,'rna-muscle'!A:A,0)))</f>
        <v>65</v>
      </c>
      <c r="E1089" s="10" t="str">
        <f t="shared" si="3"/>
        <v>BRN65G</v>
      </c>
      <c r="F1089" s="11" t="str">
        <f t="array" ref="F1089">iferror(index('rna-muscle'!F:F,match($A1089,'rna-muscle'!$A:$A,0)))</f>
        <v>F</v>
      </c>
      <c r="G1089" s="11">
        <f t="array" ref="G1089">iferror(index('rna-muscle'!G:G,match($A1089,'rna-muscle'!$A:$A,0)))</f>
        <v>9</v>
      </c>
      <c r="H1089" s="11" t="str">
        <f t="shared" si="4"/>
        <v>F9</v>
      </c>
      <c r="I1089" s="10" t="str">
        <f t="shared" si="5"/>
        <v>BRN65G-F9</v>
      </c>
      <c r="J1089" s="16"/>
      <c r="K1089" s="16" t="str">
        <f t="shared" si="6"/>
        <v>collected</v>
      </c>
      <c r="L1089" s="16" t="str">
        <f t="shared" si="7"/>
        <v>N</v>
      </c>
      <c r="M1089" s="16"/>
      <c r="N1089" s="16"/>
    </row>
    <row r="1090">
      <c r="A1090" s="40" t="s">
        <v>1563</v>
      </c>
      <c r="B1090" s="10" t="str">
        <f t="shared" si="1"/>
        <v>RNA-gill</v>
      </c>
      <c r="C1090" s="10" t="str">
        <f t="shared" si="2"/>
        <v>BRN65G-E9</v>
      </c>
      <c r="D1090" s="11">
        <f t="array" ref="D1090">iferror(index('rna-muscle'!D:D,match(A1090,'rna-muscle'!A:A,0)))</f>
        <v>65</v>
      </c>
      <c r="E1090" s="10" t="str">
        <f t="shared" si="3"/>
        <v>BRN65G</v>
      </c>
      <c r="F1090" s="11" t="str">
        <f t="array" ref="F1090">iferror(index('rna-muscle'!F:F,match($A1090,'rna-muscle'!$A:$A,0)))</f>
        <v>E</v>
      </c>
      <c r="G1090" s="11">
        <f t="array" ref="G1090">iferror(index('rna-muscle'!G:G,match($A1090,'rna-muscle'!$A:$A,0)))</f>
        <v>9</v>
      </c>
      <c r="H1090" s="11" t="str">
        <f t="shared" si="4"/>
        <v>E9</v>
      </c>
      <c r="I1090" s="10" t="str">
        <f t="shared" si="5"/>
        <v>BRN65G-E9</v>
      </c>
      <c r="J1090" s="16"/>
      <c r="K1090" s="16" t="str">
        <f t="shared" si="6"/>
        <v>collected</v>
      </c>
      <c r="L1090" s="16" t="str">
        <f t="shared" si="7"/>
        <v>N</v>
      </c>
      <c r="M1090" s="16"/>
      <c r="N1090" s="16"/>
    </row>
    <row r="1091">
      <c r="A1091" s="40" t="s">
        <v>1564</v>
      </c>
      <c r="B1091" s="10" t="str">
        <f t="shared" si="1"/>
        <v>RNA-gill</v>
      </c>
      <c r="C1091" s="10" t="str">
        <f t="shared" si="2"/>
        <v>BRN65G-D9</v>
      </c>
      <c r="D1091" s="11">
        <f t="array" ref="D1091">iferror(index('rna-muscle'!D:D,match(A1091,'rna-muscle'!A:A,0)))</f>
        <v>65</v>
      </c>
      <c r="E1091" s="10" t="str">
        <f t="shared" si="3"/>
        <v>BRN65G</v>
      </c>
      <c r="F1091" s="11" t="str">
        <f t="array" ref="F1091">iferror(index('rna-muscle'!F:F,match($A1091,'rna-muscle'!$A:$A,0)))</f>
        <v>D</v>
      </c>
      <c r="G1091" s="11">
        <f t="array" ref="G1091">iferror(index('rna-muscle'!G:G,match($A1091,'rna-muscle'!$A:$A,0)))</f>
        <v>9</v>
      </c>
      <c r="H1091" s="11" t="str">
        <f t="shared" si="4"/>
        <v>D9</v>
      </c>
      <c r="I1091" s="10" t="str">
        <f t="shared" si="5"/>
        <v>BRN65G-D9</v>
      </c>
      <c r="J1091" s="16"/>
      <c r="K1091" s="16" t="str">
        <f t="shared" si="6"/>
        <v>collected</v>
      </c>
      <c r="L1091" s="16" t="str">
        <f t="shared" si="7"/>
        <v>N</v>
      </c>
      <c r="M1091" s="16"/>
      <c r="N1091" s="16"/>
    </row>
    <row r="1092">
      <c r="A1092" s="40" t="s">
        <v>1565</v>
      </c>
      <c r="B1092" s="10" t="str">
        <f t="shared" si="1"/>
        <v>RNA-gill</v>
      </c>
      <c r="C1092" s="10" t="str">
        <f t="shared" si="2"/>
        <v>BRN65G-C9</v>
      </c>
      <c r="D1092" s="11">
        <f t="array" ref="D1092">iferror(index('rna-muscle'!D:D,match(A1092,'rna-muscle'!A:A,0)))</f>
        <v>65</v>
      </c>
      <c r="E1092" s="10" t="str">
        <f t="shared" si="3"/>
        <v>BRN65G</v>
      </c>
      <c r="F1092" s="11" t="str">
        <f t="array" ref="F1092">iferror(index('rna-muscle'!F:F,match($A1092,'rna-muscle'!$A:$A,0)))</f>
        <v>C</v>
      </c>
      <c r="G1092" s="11">
        <f t="array" ref="G1092">iferror(index('rna-muscle'!G:G,match($A1092,'rna-muscle'!$A:$A,0)))</f>
        <v>9</v>
      </c>
      <c r="H1092" s="11" t="str">
        <f t="shared" si="4"/>
        <v>C9</v>
      </c>
      <c r="I1092" s="10" t="str">
        <f t="shared" si="5"/>
        <v>BRN65G-C9</v>
      </c>
      <c r="J1092" s="16"/>
      <c r="K1092" s="16" t="str">
        <f t="shared" si="6"/>
        <v>collected</v>
      </c>
      <c r="L1092" s="16" t="str">
        <f t="shared" si="7"/>
        <v>N</v>
      </c>
      <c r="M1092" s="16"/>
      <c r="N1092" s="16"/>
    </row>
    <row r="1093">
      <c r="A1093" s="40" t="s">
        <v>1566</v>
      </c>
      <c r="B1093" s="10" t="str">
        <f t="shared" si="1"/>
        <v>RNA-gill</v>
      </c>
      <c r="C1093" s="10" t="str">
        <f t="shared" si="2"/>
        <v>BRN65G-B9</v>
      </c>
      <c r="D1093" s="11">
        <f t="array" ref="D1093">iferror(index('rna-muscle'!D:D,match(A1093,'rna-muscle'!A:A,0)))</f>
        <v>65</v>
      </c>
      <c r="E1093" s="10" t="str">
        <f t="shared" si="3"/>
        <v>BRN65G</v>
      </c>
      <c r="F1093" s="11" t="str">
        <f t="array" ref="F1093">iferror(index('rna-muscle'!F:F,match($A1093,'rna-muscle'!$A:$A,0)))</f>
        <v>B</v>
      </c>
      <c r="G1093" s="11">
        <f t="array" ref="G1093">iferror(index('rna-muscle'!G:G,match($A1093,'rna-muscle'!$A:$A,0)))</f>
        <v>9</v>
      </c>
      <c r="H1093" s="11" t="str">
        <f t="shared" si="4"/>
        <v>B9</v>
      </c>
      <c r="I1093" s="10" t="str">
        <f t="shared" si="5"/>
        <v>BRN65G-B9</v>
      </c>
      <c r="J1093" s="16"/>
      <c r="K1093" s="16" t="str">
        <f t="shared" si="6"/>
        <v>collected</v>
      </c>
      <c r="L1093" s="16" t="str">
        <f t="shared" si="7"/>
        <v>N</v>
      </c>
      <c r="M1093" s="16"/>
      <c r="N1093" s="16"/>
    </row>
    <row r="1094">
      <c r="A1094" s="40" t="s">
        <v>1567</v>
      </c>
      <c r="B1094" s="10" t="str">
        <f t="shared" si="1"/>
        <v>RNA-gill</v>
      </c>
      <c r="C1094" s="10" t="str">
        <f t="shared" si="2"/>
        <v>BRN65G-A9</v>
      </c>
      <c r="D1094" s="11">
        <f t="array" ref="D1094">iferror(index('rna-muscle'!D:D,match(A1094,'rna-muscle'!A:A,0)))</f>
        <v>65</v>
      </c>
      <c r="E1094" s="10" t="str">
        <f t="shared" si="3"/>
        <v>BRN65G</v>
      </c>
      <c r="F1094" s="11" t="str">
        <f t="array" ref="F1094">iferror(index('rna-muscle'!F:F,match($A1094,'rna-muscle'!$A:$A,0)))</f>
        <v>A</v>
      </c>
      <c r="G1094" s="11">
        <f t="array" ref="G1094">iferror(index('rna-muscle'!G:G,match($A1094,'rna-muscle'!$A:$A,0)))</f>
        <v>9</v>
      </c>
      <c r="H1094" s="11" t="str">
        <f t="shared" si="4"/>
        <v>A9</v>
      </c>
      <c r="I1094" s="10" t="str">
        <f t="shared" si="5"/>
        <v>BRN65G-A9</v>
      </c>
      <c r="J1094" s="16"/>
      <c r="K1094" s="16" t="str">
        <f t="shared" si="6"/>
        <v>collected</v>
      </c>
      <c r="L1094" s="16" t="str">
        <f t="shared" si="7"/>
        <v>N</v>
      </c>
      <c r="M1094" s="16"/>
      <c r="N1094" s="16"/>
    </row>
    <row r="1095">
      <c r="A1095" s="40" t="s">
        <v>1568</v>
      </c>
      <c r="B1095" s="10" t="str">
        <f t="shared" si="1"/>
        <v>RNA-gill</v>
      </c>
      <c r="C1095" s="10" t="str">
        <f t="shared" si="2"/>
        <v>BRN65G-H11</v>
      </c>
      <c r="D1095" s="11">
        <f t="array" ref="D1095">iferror(index('rna-muscle'!D:D,match(A1095,'rna-muscle'!A:A,0)))</f>
        <v>65</v>
      </c>
      <c r="E1095" s="10" t="str">
        <f t="shared" si="3"/>
        <v>BRN65G</v>
      </c>
      <c r="F1095" s="11" t="str">
        <f t="array" ref="F1095">iferror(index('rna-muscle'!F:F,match($A1095,'rna-muscle'!$A:$A,0)))</f>
        <v>H</v>
      </c>
      <c r="G1095" s="11">
        <f t="array" ref="G1095">iferror(index('rna-muscle'!G:G,match($A1095,'rna-muscle'!$A:$A,0)))</f>
        <v>11</v>
      </c>
      <c r="H1095" s="11" t="str">
        <f t="shared" si="4"/>
        <v>H11</v>
      </c>
      <c r="I1095" s="10" t="str">
        <f t="shared" si="5"/>
        <v>BRN65G-H11</v>
      </c>
      <c r="J1095" s="16"/>
      <c r="K1095" s="16" t="str">
        <f t="shared" si="6"/>
        <v>collected</v>
      </c>
      <c r="L1095" s="16" t="str">
        <f t="shared" si="7"/>
        <v>N</v>
      </c>
      <c r="M1095" s="16"/>
      <c r="N1095" s="16"/>
    </row>
    <row r="1096">
      <c r="A1096" s="40" t="s">
        <v>1571</v>
      </c>
      <c r="B1096" s="10" t="str">
        <f t="shared" si="1"/>
        <v>RNA-gill</v>
      </c>
      <c r="C1096" s="10" t="str">
        <f t="shared" si="2"/>
        <v>BRN65G-G11</v>
      </c>
      <c r="D1096" s="11">
        <f t="array" ref="D1096">iferror(index('rna-muscle'!D:D,match(A1096,'rna-muscle'!A:A,0)))</f>
        <v>65</v>
      </c>
      <c r="E1096" s="10" t="str">
        <f t="shared" si="3"/>
        <v>BRN65G</v>
      </c>
      <c r="F1096" s="11" t="str">
        <f t="array" ref="F1096">iferror(index('rna-muscle'!F:F,match($A1096,'rna-muscle'!$A:$A,0)))</f>
        <v>G</v>
      </c>
      <c r="G1096" s="11">
        <f t="array" ref="G1096">iferror(index('rna-muscle'!G:G,match($A1096,'rna-muscle'!$A:$A,0)))</f>
        <v>11</v>
      </c>
      <c r="H1096" s="11" t="str">
        <f t="shared" si="4"/>
        <v>G11</v>
      </c>
      <c r="I1096" s="10" t="str">
        <f t="shared" si="5"/>
        <v>BRN65G-G11</v>
      </c>
      <c r="J1096" s="16"/>
      <c r="K1096" s="16" t="str">
        <f t="shared" si="6"/>
        <v>collected</v>
      </c>
      <c r="L1096" s="16" t="str">
        <f t="shared" si="7"/>
        <v>N</v>
      </c>
      <c r="M1096" s="16"/>
      <c r="N1096" s="16"/>
    </row>
    <row r="1097">
      <c r="A1097" s="40" t="s">
        <v>1572</v>
      </c>
      <c r="B1097" s="10" t="str">
        <f t="shared" si="1"/>
        <v>RNA-gill</v>
      </c>
      <c r="C1097" s="10" t="str">
        <f t="shared" si="2"/>
        <v>BRN65G-F11</v>
      </c>
      <c r="D1097" s="11">
        <f t="array" ref="D1097">iferror(index('rna-muscle'!D:D,match(A1097,'rna-muscle'!A:A,0)))</f>
        <v>65</v>
      </c>
      <c r="E1097" s="10" t="str">
        <f t="shared" si="3"/>
        <v>BRN65G</v>
      </c>
      <c r="F1097" s="11" t="str">
        <f t="array" ref="F1097">iferror(index('rna-muscle'!F:F,match($A1097,'rna-muscle'!$A:$A,0)))</f>
        <v>F</v>
      </c>
      <c r="G1097" s="11">
        <f t="array" ref="G1097">iferror(index('rna-muscle'!G:G,match($A1097,'rna-muscle'!$A:$A,0)))</f>
        <v>11</v>
      </c>
      <c r="H1097" s="11" t="str">
        <f t="shared" si="4"/>
        <v>F11</v>
      </c>
      <c r="I1097" s="10" t="str">
        <f t="shared" si="5"/>
        <v>BRN65G-F11</v>
      </c>
      <c r="J1097" s="16"/>
      <c r="K1097" s="16" t="str">
        <f t="shared" si="6"/>
        <v>collected</v>
      </c>
      <c r="L1097" s="16" t="str">
        <f t="shared" si="7"/>
        <v>N</v>
      </c>
      <c r="M1097" s="16"/>
      <c r="N1097" s="16"/>
    </row>
    <row r="1098">
      <c r="A1098" s="40" t="s">
        <v>1574</v>
      </c>
      <c r="B1098" s="10" t="str">
        <f t="shared" si="1"/>
        <v>RNA-gill</v>
      </c>
      <c r="C1098" s="10" t="str">
        <f t="shared" si="2"/>
        <v>BRN65G-E11</v>
      </c>
      <c r="D1098" s="11">
        <f t="array" ref="D1098">iferror(index('rna-muscle'!D:D,match(A1098,'rna-muscle'!A:A,0)))</f>
        <v>65</v>
      </c>
      <c r="E1098" s="10" t="str">
        <f t="shared" si="3"/>
        <v>BRN65G</v>
      </c>
      <c r="F1098" s="11" t="str">
        <f t="array" ref="F1098">iferror(index('rna-muscle'!F:F,match($A1098,'rna-muscle'!$A:$A,0)))</f>
        <v>E</v>
      </c>
      <c r="G1098" s="11">
        <f t="array" ref="G1098">iferror(index('rna-muscle'!G:G,match($A1098,'rna-muscle'!$A:$A,0)))</f>
        <v>11</v>
      </c>
      <c r="H1098" s="11" t="str">
        <f t="shared" si="4"/>
        <v>E11</v>
      </c>
      <c r="I1098" s="10" t="str">
        <f t="shared" si="5"/>
        <v>BRN65G-E11</v>
      </c>
      <c r="J1098" s="16"/>
      <c r="K1098" s="16" t="str">
        <f t="shared" si="6"/>
        <v>collected</v>
      </c>
      <c r="L1098" s="16" t="str">
        <f t="shared" si="7"/>
        <v>N</v>
      </c>
      <c r="M1098" s="16"/>
      <c r="N1098" s="16"/>
    </row>
    <row r="1099">
      <c r="A1099" s="40" t="s">
        <v>1576</v>
      </c>
      <c r="B1099" s="10" t="str">
        <f t="shared" si="1"/>
        <v>RNA-gill</v>
      </c>
      <c r="C1099" s="10" t="str">
        <f t="shared" si="2"/>
        <v>BRN65G-D11</v>
      </c>
      <c r="D1099" s="11">
        <f t="array" ref="D1099">iferror(index('rna-muscle'!D:D,match(A1099,'rna-muscle'!A:A,0)))</f>
        <v>65</v>
      </c>
      <c r="E1099" s="10" t="str">
        <f t="shared" si="3"/>
        <v>BRN65G</v>
      </c>
      <c r="F1099" s="11" t="str">
        <f t="array" ref="F1099">iferror(index('rna-muscle'!F:F,match($A1099,'rna-muscle'!$A:$A,0)))</f>
        <v>D</v>
      </c>
      <c r="G1099" s="11">
        <f t="array" ref="G1099">iferror(index('rna-muscle'!G:G,match($A1099,'rna-muscle'!$A:$A,0)))</f>
        <v>11</v>
      </c>
      <c r="H1099" s="11" t="str">
        <f t="shared" si="4"/>
        <v>D11</v>
      </c>
      <c r="I1099" s="10" t="str">
        <f t="shared" si="5"/>
        <v>BRN65G-D11</v>
      </c>
      <c r="J1099" s="16"/>
      <c r="K1099" s="16" t="str">
        <f t="shared" si="6"/>
        <v>collected</v>
      </c>
      <c r="L1099" s="16" t="str">
        <f t="shared" si="7"/>
        <v>N</v>
      </c>
      <c r="M1099" s="16"/>
      <c r="N1099" s="16"/>
    </row>
    <row r="1100">
      <c r="A1100" s="27" t="s">
        <v>1578</v>
      </c>
      <c r="B1100" s="10" t="str">
        <f t="shared" si="1"/>
        <v>RNA-gill</v>
      </c>
      <c r="C1100" s="10" t="str">
        <f t="shared" si="2"/>
        <v>BRN65G-A7</v>
      </c>
      <c r="D1100" s="11">
        <f t="array" ref="D1100">iferror(index('rna-muscle'!D:D,match(A1100,'rna-muscle'!A:A,0)))</f>
        <v>65</v>
      </c>
      <c r="E1100" s="10" t="str">
        <f t="shared" si="3"/>
        <v>BRN65G</v>
      </c>
      <c r="F1100" s="11" t="str">
        <f t="array" ref="F1100">iferror(index('rna-muscle'!F:F,match($A1100,'rna-muscle'!$A:$A,0)))</f>
        <v>A</v>
      </c>
      <c r="G1100" s="11">
        <f t="array" ref="G1100">iferror(index('rna-muscle'!G:G,match($A1100,'rna-muscle'!$A:$A,0)))</f>
        <v>7</v>
      </c>
      <c r="H1100" s="11" t="str">
        <f t="shared" si="4"/>
        <v>A7</v>
      </c>
      <c r="I1100" s="10" t="str">
        <f t="shared" si="5"/>
        <v>BRN65G-A7</v>
      </c>
      <c r="J1100" s="16"/>
      <c r="K1100" s="16" t="str">
        <f t="shared" si="6"/>
        <v>collected</v>
      </c>
      <c r="L1100" s="16" t="str">
        <f t="shared" si="7"/>
        <v>N</v>
      </c>
      <c r="M1100" s="16"/>
      <c r="N1100" s="16"/>
    </row>
    <row r="1101">
      <c r="A1101" s="27" t="s">
        <v>1579</v>
      </c>
      <c r="B1101" s="10" t="str">
        <f t="shared" si="1"/>
        <v>RNA-gill</v>
      </c>
      <c r="C1101" s="10" t="str">
        <f t="shared" si="2"/>
        <v>BRN65G-H10</v>
      </c>
      <c r="D1101" s="11">
        <f t="array" ref="D1101">iferror(index('rna-muscle'!D:D,match(A1101,'rna-muscle'!A:A,0)))</f>
        <v>65</v>
      </c>
      <c r="E1101" s="10" t="str">
        <f t="shared" si="3"/>
        <v>BRN65G</v>
      </c>
      <c r="F1101" s="11" t="str">
        <f t="array" ref="F1101">iferror(index('rna-muscle'!F:F,match($A1101,'rna-muscle'!$A:$A,0)))</f>
        <v>H</v>
      </c>
      <c r="G1101" s="11">
        <f t="array" ref="G1101">iferror(index('rna-muscle'!G:G,match($A1101,'rna-muscle'!$A:$A,0)))</f>
        <v>10</v>
      </c>
      <c r="H1101" s="11" t="str">
        <f t="shared" si="4"/>
        <v>H10</v>
      </c>
      <c r="I1101" s="10" t="str">
        <f t="shared" si="5"/>
        <v>BRN65G-H10</v>
      </c>
      <c r="J1101" s="16"/>
      <c r="K1101" s="16" t="str">
        <f t="shared" si="6"/>
        <v>collected</v>
      </c>
      <c r="L1101" s="16" t="str">
        <f t="shared" si="7"/>
        <v>N</v>
      </c>
      <c r="M1101" s="16"/>
      <c r="N1101" s="16"/>
    </row>
    <row r="1102">
      <c r="A1102" s="27" t="s">
        <v>1580</v>
      </c>
      <c r="B1102" s="10" t="str">
        <f t="shared" si="1"/>
        <v>RNA-gill</v>
      </c>
      <c r="C1102" s="10" t="str">
        <f t="shared" si="2"/>
        <v>BRN65G-G10</v>
      </c>
      <c r="D1102" s="11">
        <f t="array" ref="D1102">iferror(index('rna-muscle'!D:D,match(A1102,'rna-muscle'!A:A,0)))</f>
        <v>65</v>
      </c>
      <c r="E1102" s="10" t="str">
        <f t="shared" si="3"/>
        <v>BRN65G</v>
      </c>
      <c r="F1102" s="11" t="str">
        <f t="array" ref="F1102">iferror(index('rna-muscle'!F:F,match($A1102,'rna-muscle'!$A:$A,0)))</f>
        <v>G</v>
      </c>
      <c r="G1102" s="11">
        <f t="array" ref="G1102">iferror(index('rna-muscle'!G:G,match($A1102,'rna-muscle'!$A:$A,0)))</f>
        <v>10</v>
      </c>
      <c r="H1102" s="11" t="str">
        <f t="shared" si="4"/>
        <v>G10</v>
      </c>
      <c r="I1102" s="10" t="str">
        <f t="shared" si="5"/>
        <v>BRN65G-G10</v>
      </c>
      <c r="J1102" s="16"/>
      <c r="K1102" s="16" t="str">
        <f t="shared" si="6"/>
        <v>collected</v>
      </c>
      <c r="L1102" s="16" t="str">
        <f t="shared" si="7"/>
        <v>N</v>
      </c>
      <c r="M1102" s="16"/>
      <c r="N1102" s="16"/>
    </row>
    <row r="1103">
      <c r="A1103" s="27" t="s">
        <v>1583</v>
      </c>
      <c r="B1103" s="10" t="str">
        <f t="shared" si="1"/>
        <v>RNA-gill</v>
      </c>
      <c r="C1103" s="10" t="str">
        <f t="shared" si="2"/>
        <v>BRN65G-F10</v>
      </c>
      <c r="D1103" s="11">
        <f t="array" ref="D1103">iferror(index('rna-muscle'!D:D,match(A1103,'rna-muscle'!A:A,0)))</f>
        <v>65</v>
      </c>
      <c r="E1103" s="10" t="str">
        <f t="shared" si="3"/>
        <v>BRN65G</v>
      </c>
      <c r="F1103" s="11" t="str">
        <f t="array" ref="F1103">iferror(index('rna-muscle'!F:F,match($A1103,'rna-muscle'!$A:$A,0)))</f>
        <v>F</v>
      </c>
      <c r="G1103" s="11">
        <f t="array" ref="G1103">iferror(index('rna-muscle'!G:G,match($A1103,'rna-muscle'!$A:$A,0)))</f>
        <v>10</v>
      </c>
      <c r="H1103" s="11" t="str">
        <f t="shared" si="4"/>
        <v>F10</v>
      </c>
      <c r="I1103" s="10" t="str">
        <f t="shared" si="5"/>
        <v>BRN65G-F10</v>
      </c>
      <c r="J1103" s="16"/>
      <c r="K1103" s="16" t="str">
        <f t="shared" si="6"/>
        <v>collected</v>
      </c>
      <c r="L1103" s="16" t="str">
        <f t="shared" si="7"/>
        <v>N</v>
      </c>
      <c r="M1103" s="16"/>
      <c r="N1103" s="16"/>
    </row>
    <row r="1104">
      <c r="A1104" s="27" t="s">
        <v>1585</v>
      </c>
      <c r="B1104" s="10" t="str">
        <f t="shared" si="1"/>
        <v>RNA-gill</v>
      </c>
      <c r="C1104" s="10" t="str">
        <f t="shared" si="2"/>
        <v>BRN65G-E10</v>
      </c>
      <c r="D1104" s="11">
        <f t="array" ref="D1104">iferror(index('rna-muscle'!D:D,match(A1104,'rna-muscle'!A:A,0)))</f>
        <v>65</v>
      </c>
      <c r="E1104" s="10" t="str">
        <f t="shared" si="3"/>
        <v>BRN65G</v>
      </c>
      <c r="F1104" s="11" t="str">
        <f t="array" ref="F1104">iferror(index('rna-muscle'!F:F,match($A1104,'rna-muscle'!$A:$A,0)))</f>
        <v>E</v>
      </c>
      <c r="G1104" s="11">
        <f t="array" ref="G1104">iferror(index('rna-muscle'!G:G,match($A1104,'rna-muscle'!$A:$A,0)))</f>
        <v>10</v>
      </c>
      <c r="H1104" s="11" t="str">
        <f t="shared" si="4"/>
        <v>E10</v>
      </c>
      <c r="I1104" s="10" t="str">
        <f t="shared" si="5"/>
        <v>BRN65G-E10</v>
      </c>
      <c r="J1104" s="16"/>
      <c r="K1104" s="16" t="str">
        <f t="shared" si="6"/>
        <v>collected</v>
      </c>
      <c r="L1104" s="16" t="str">
        <f t="shared" si="7"/>
        <v>N</v>
      </c>
      <c r="M1104" s="16"/>
      <c r="N1104" s="16"/>
    </row>
    <row r="1105">
      <c r="A1105" s="27" t="s">
        <v>1586</v>
      </c>
      <c r="B1105" s="10" t="str">
        <f t="shared" si="1"/>
        <v>RNA-gill</v>
      </c>
      <c r="C1105" s="10" t="str">
        <f t="shared" si="2"/>
        <v>BRN65G-D10</v>
      </c>
      <c r="D1105" s="11">
        <f t="array" ref="D1105">iferror(index('rna-muscle'!D:D,match(A1105,'rna-muscle'!A:A,0)))</f>
        <v>65</v>
      </c>
      <c r="E1105" s="10" t="str">
        <f t="shared" si="3"/>
        <v>BRN65G</v>
      </c>
      <c r="F1105" s="11" t="str">
        <f t="array" ref="F1105">iferror(index('rna-muscle'!F:F,match($A1105,'rna-muscle'!$A:$A,0)))</f>
        <v>D</v>
      </c>
      <c r="G1105" s="11">
        <f t="array" ref="G1105">iferror(index('rna-muscle'!G:G,match($A1105,'rna-muscle'!$A:$A,0)))</f>
        <v>10</v>
      </c>
      <c r="H1105" s="11" t="str">
        <f t="shared" si="4"/>
        <v>D10</v>
      </c>
      <c r="I1105" s="10" t="str">
        <f t="shared" si="5"/>
        <v>BRN65G-D10</v>
      </c>
      <c r="J1105" s="16"/>
      <c r="K1105" s="16" t="str">
        <f t="shared" si="6"/>
        <v>collected</v>
      </c>
      <c r="L1105" s="16" t="str">
        <f t="shared" si="7"/>
        <v>N</v>
      </c>
      <c r="M1105" s="16"/>
      <c r="N1105" s="16"/>
    </row>
    <row r="1106">
      <c r="A1106" s="27" t="s">
        <v>1587</v>
      </c>
      <c r="B1106" s="10" t="str">
        <f t="shared" si="1"/>
        <v>RNA-gill</v>
      </c>
      <c r="C1106" s="10" t="str">
        <f t="shared" si="2"/>
        <v>BRN65G-C10</v>
      </c>
      <c r="D1106" s="11">
        <f t="array" ref="D1106">iferror(index('rna-muscle'!D:D,match(A1106,'rna-muscle'!A:A,0)))</f>
        <v>65</v>
      </c>
      <c r="E1106" s="10" t="str">
        <f t="shared" si="3"/>
        <v>BRN65G</v>
      </c>
      <c r="F1106" s="11" t="str">
        <f t="array" ref="F1106">iferror(index('rna-muscle'!F:F,match($A1106,'rna-muscle'!$A:$A,0)))</f>
        <v>C</v>
      </c>
      <c r="G1106" s="11">
        <f t="array" ref="G1106">iferror(index('rna-muscle'!G:G,match($A1106,'rna-muscle'!$A:$A,0)))</f>
        <v>10</v>
      </c>
      <c r="H1106" s="11" t="str">
        <f t="shared" si="4"/>
        <v>C10</v>
      </c>
      <c r="I1106" s="10" t="str">
        <f t="shared" si="5"/>
        <v>BRN65G-C10</v>
      </c>
      <c r="J1106" s="16"/>
      <c r="K1106" s="16" t="str">
        <f t="shared" si="6"/>
        <v>collected</v>
      </c>
      <c r="L1106" s="16" t="str">
        <f t="shared" si="7"/>
        <v>N</v>
      </c>
      <c r="M1106" s="16"/>
      <c r="N1106" s="16"/>
    </row>
    <row r="1107">
      <c r="A1107" s="27" t="s">
        <v>1588</v>
      </c>
      <c r="B1107" s="10" t="str">
        <f t="shared" si="1"/>
        <v>RNA-gill</v>
      </c>
      <c r="C1107" s="10" t="str">
        <f t="shared" si="2"/>
        <v>BRN65G-B10</v>
      </c>
      <c r="D1107" s="11">
        <f t="array" ref="D1107">iferror(index('rna-muscle'!D:D,match(A1107,'rna-muscle'!A:A,0)))</f>
        <v>65</v>
      </c>
      <c r="E1107" s="10" t="str">
        <f t="shared" si="3"/>
        <v>BRN65G</v>
      </c>
      <c r="F1107" s="11" t="str">
        <f t="array" ref="F1107">iferror(index('rna-muscle'!F:F,match($A1107,'rna-muscle'!$A:$A,0)))</f>
        <v>B</v>
      </c>
      <c r="G1107" s="11">
        <f t="array" ref="G1107">iferror(index('rna-muscle'!G:G,match($A1107,'rna-muscle'!$A:$A,0)))</f>
        <v>10</v>
      </c>
      <c r="H1107" s="11" t="str">
        <f t="shared" si="4"/>
        <v>B10</v>
      </c>
      <c r="I1107" s="10" t="str">
        <f t="shared" si="5"/>
        <v>BRN65G-B10</v>
      </c>
      <c r="J1107" s="16"/>
      <c r="K1107" s="16" t="str">
        <f t="shared" si="6"/>
        <v>collected</v>
      </c>
      <c r="L1107" s="16" t="str">
        <f t="shared" si="7"/>
        <v>N</v>
      </c>
      <c r="M1107" s="16"/>
      <c r="N1107" s="16"/>
    </row>
    <row r="1108">
      <c r="A1108" s="27" t="s">
        <v>1589</v>
      </c>
      <c r="B1108" s="10" t="str">
        <f t="shared" si="1"/>
        <v>RNA-gill</v>
      </c>
      <c r="C1108" s="10" t="str">
        <f t="shared" si="2"/>
        <v>BRN65G-A10</v>
      </c>
      <c r="D1108" s="11">
        <f t="array" ref="D1108">iferror(index('rna-muscle'!D:D,match(A1108,'rna-muscle'!A:A,0)))</f>
        <v>65</v>
      </c>
      <c r="E1108" s="10" t="str">
        <f t="shared" si="3"/>
        <v>BRN65G</v>
      </c>
      <c r="F1108" s="11" t="str">
        <f t="array" ref="F1108">iferror(index('rna-muscle'!F:F,match($A1108,'rna-muscle'!$A:$A,0)))</f>
        <v>A</v>
      </c>
      <c r="G1108" s="11">
        <f t="array" ref="G1108">iferror(index('rna-muscle'!G:G,match($A1108,'rna-muscle'!$A:$A,0)))</f>
        <v>10</v>
      </c>
      <c r="H1108" s="11" t="str">
        <f t="shared" si="4"/>
        <v>A10</v>
      </c>
      <c r="I1108" s="10" t="str">
        <f t="shared" si="5"/>
        <v>BRN65G-A10</v>
      </c>
      <c r="J1108" s="16"/>
      <c r="K1108" s="16" t="str">
        <f t="shared" si="6"/>
        <v>collected</v>
      </c>
      <c r="L1108" s="16" t="str">
        <f t="shared" si="7"/>
        <v>N</v>
      </c>
      <c r="M1108" s="16"/>
      <c r="N1108" s="16"/>
    </row>
    <row r="1109">
      <c r="A1109" s="40" t="s">
        <v>1591</v>
      </c>
      <c r="B1109" s="10" t="str">
        <f t="shared" si="1"/>
        <v>RNA-gill</v>
      </c>
      <c r="C1109" s="10" t="str">
        <f t="shared" si="2"/>
        <v>BRN65G-C11</v>
      </c>
      <c r="D1109" s="11">
        <f t="array" ref="D1109">iferror(index('rna-muscle'!D:D,match(A1109,'rna-muscle'!A:A,0)))</f>
        <v>65</v>
      </c>
      <c r="E1109" s="10" t="str">
        <f t="shared" si="3"/>
        <v>BRN65G</v>
      </c>
      <c r="F1109" s="11" t="str">
        <f t="array" ref="F1109">iferror(index('rna-muscle'!F:F,match($A1109,'rna-muscle'!$A:$A,0)))</f>
        <v>C</v>
      </c>
      <c r="G1109" s="11">
        <f t="array" ref="G1109">iferror(index('rna-muscle'!G:G,match($A1109,'rna-muscle'!$A:$A,0)))</f>
        <v>11</v>
      </c>
      <c r="H1109" s="11" t="str">
        <f t="shared" si="4"/>
        <v>C11</v>
      </c>
      <c r="I1109" s="10" t="str">
        <f t="shared" si="5"/>
        <v>BRN65G-C11</v>
      </c>
      <c r="J1109" s="16"/>
      <c r="K1109" s="16" t="str">
        <f t="shared" si="6"/>
        <v>collected</v>
      </c>
      <c r="L1109" s="16" t="str">
        <f t="shared" si="7"/>
        <v>N</v>
      </c>
      <c r="M1109" s="16"/>
      <c r="N1109" s="16"/>
    </row>
    <row r="1110">
      <c r="A1110" s="40" t="s">
        <v>1592</v>
      </c>
      <c r="B1110" s="10" t="str">
        <f t="shared" si="1"/>
        <v>RNA-gill</v>
      </c>
      <c r="C1110" s="10" t="str">
        <f t="shared" si="2"/>
        <v>BRN65G-B11</v>
      </c>
      <c r="D1110" s="11">
        <f t="array" ref="D1110">iferror(index('rna-muscle'!D:D,match(A1110,'rna-muscle'!A:A,0)))</f>
        <v>65</v>
      </c>
      <c r="E1110" s="10" t="str">
        <f t="shared" si="3"/>
        <v>BRN65G</v>
      </c>
      <c r="F1110" s="11" t="str">
        <f t="array" ref="F1110">iferror(index('rna-muscle'!F:F,match($A1110,'rna-muscle'!$A:$A,0)))</f>
        <v>B</v>
      </c>
      <c r="G1110" s="11">
        <f t="array" ref="G1110">iferror(index('rna-muscle'!G:G,match($A1110,'rna-muscle'!$A:$A,0)))</f>
        <v>11</v>
      </c>
      <c r="H1110" s="11" t="str">
        <f t="shared" si="4"/>
        <v>B11</v>
      </c>
      <c r="I1110" s="10" t="str">
        <f t="shared" si="5"/>
        <v>BRN65G-B11</v>
      </c>
      <c r="J1110" s="16"/>
      <c r="K1110" s="16" t="str">
        <f t="shared" si="6"/>
        <v>collected</v>
      </c>
      <c r="L1110" s="16" t="str">
        <f t="shared" si="7"/>
        <v>N</v>
      </c>
      <c r="M1110" s="16"/>
      <c r="N1110" s="16"/>
    </row>
    <row r="1111">
      <c r="A1111" s="40" t="s">
        <v>1593</v>
      </c>
      <c r="B1111" s="10" t="str">
        <f t="shared" si="1"/>
        <v>RNA-gill</v>
      </c>
      <c r="C1111" s="10" t="str">
        <f t="shared" si="2"/>
        <v>BRN65G-A11</v>
      </c>
      <c r="D1111" s="11">
        <f t="array" ref="D1111">iferror(index('rna-muscle'!D:D,match(A1111,'rna-muscle'!A:A,0)))</f>
        <v>65</v>
      </c>
      <c r="E1111" s="10" t="str">
        <f t="shared" si="3"/>
        <v>BRN65G</v>
      </c>
      <c r="F1111" s="11" t="str">
        <f t="array" ref="F1111">iferror(index('rna-muscle'!F:F,match($A1111,'rna-muscle'!$A:$A,0)))</f>
        <v>A</v>
      </c>
      <c r="G1111" s="11">
        <f t="array" ref="G1111">iferror(index('rna-muscle'!G:G,match($A1111,'rna-muscle'!$A:$A,0)))</f>
        <v>11</v>
      </c>
      <c r="H1111" s="11" t="str">
        <f t="shared" si="4"/>
        <v>A11</v>
      </c>
      <c r="I1111" s="10" t="str">
        <f t="shared" si="5"/>
        <v>BRN65G-A11</v>
      </c>
      <c r="J1111" s="16"/>
      <c r="K1111" s="16" t="str">
        <f t="shared" si="6"/>
        <v>collected</v>
      </c>
      <c r="L1111" s="16" t="str">
        <f t="shared" si="7"/>
        <v>N</v>
      </c>
      <c r="M1111" s="16"/>
      <c r="N1111" s="16"/>
    </row>
    <row r="1112">
      <c r="A1112" s="40" t="s">
        <v>1594</v>
      </c>
      <c r="B1112" s="10" t="str">
        <f t="shared" si="1"/>
        <v>RNA-gill</v>
      </c>
      <c r="C1112" s="10" t="str">
        <f t="shared" si="2"/>
        <v>BRN74G-H1</v>
      </c>
      <c r="D1112" s="11">
        <f t="array" ref="D1112">iferror(index('rna-muscle'!D:D,match(A1112,'rna-muscle'!A:A,0)))</f>
        <v>74</v>
      </c>
      <c r="E1112" s="10" t="str">
        <f t="shared" si="3"/>
        <v>BRN74G</v>
      </c>
      <c r="F1112" s="11" t="str">
        <f t="array" ref="F1112">iferror(index('rna-muscle'!F:F,match($A1112,'rna-muscle'!$A:$A,0)))</f>
        <v>H</v>
      </c>
      <c r="G1112" s="11">
        <f t="array" ref="G1112">iferror(index('rna-muscle'!G:G,match($A1112,'rna-muscle'!$A:$A,0)))</f>
        <v>1</v>
      </c>
      <c r="H1112" s="11" t="str">
        <f t="shared" si="4"/>
        <v>H1</v>
      </c>
      <c r="I1112" s="10" t="str">
        <f t="shared" si="5"/>
        <v>BRN74G-H1</v>
      </c>
      <c r="J1112" s="16"/>
      <c r="K1112" s="16" t="str">
        <f t="shared" si="6"/>
        <v>collected</v>
      </c>
      <c r="L1112" s="16" t="str">
        <f t="shared" si="7"/>
        <v>N</v>
      </c>
      <c r="M1112" s="16"/>
      <c r="N1112" s="16"/>
    </row>
    <row r="1113">
      <c r="A1113" s="40" t="s">
        <v>1596</v>
      </c>
      <c r="B1113" s="10" t="str">
        <f t="shared" si="1"/>
        <v>RNA-gill</v>
      </c>
      <c r="C1113" s="10" t="str">
        <f t="shared" si="2"/>
        <v>BRN74G-G1</v>
      </c>
      <c r="D1113" s="11">
        <f t="array" ref="D1113">iferror(index('rna-muscle'!D:D,match(A1113,'rna-muscle'!A:A,0)))</f>
        <v>74</v>
      </c>
      <c r="E1113" s="10" t="str">
        <f t="shared" si="3"/>
        <v>BRN74G</v>
      </c>
      <c r="F1113" s="11" t="str">
        <f t="array" ref="F1113">iferror(index('rna-muscle'!F:F,match($A1113,'rna-muscle'!$A:$A,0)))</f>
        <v>G</v>
      </c>
      <c r="G1113" s="11">
        <f t="array" ref="G1113">iferror(index('rna-muscle'!G:G,match($A1113,'rna-muscle'!$A:$A,0)))</f>
        <v>1</v>
      </c>
      <c r="H1113" s="11" t="str">
        <f t="shared" si="4"/>
        <v>G1</v>
      </c>
      <c r="I1113" s="10" t="str">
        <f t="shared" si="5"/>
        <v>BRN74G-G1</v>
      </c>
      <c r="J1113" s="16"/>
      <c r="K1113" s="16" t="str">
        <f t="shared" si="6"/>
        <v>collected</v>
      </c>
      <c r="L1113" s="16" t="str">
        <f t="shared" si="7"/>
        <v>N</v>
      </c>
      <c r="M1113" s="16"/>
      <c r="N1113" s="16"/>
    </row>
    <row r="1114">
      <c r="A1114" s="40" t="s">
        <v>1598</v>
      </c>
      <c r="B1114" s="10" t="str">
        <f t="shared" si="1"/>
        <v>RNA-gill</v>
      </c>
      <c r="C1114" s="10" t="str">
        <f t="shared" si="2"/>
        <v>BRN74G-F1</v>
      </c>
      <c r="D1114" s="11">
        <f t="array" ref="D1114">iferror(index('rna-muscle'!D:D,match(A1114,'rna-muscle'!A:A,0)))</f>
        <v>74</v>
      </c>
      <c r="E1114" s="10" t="str">
        <f t="shared" si="3"/>
        <v>BRN74G</v>
      </c>
      <c r="F1114" s="11" t="str">
        <f t="array" ref="F1114">iferror(index('rna-muscle'!F:F,match($A1114,'rna-muscle'!$A:$A,0)))</f>
        <v>F</v>
      </c>
      <c r="G1114" s="11">
        <f t="array" ref="G1114">iferror(index('rna-muscle'!G:G,match($A1114,'rna-muscle'!$A:$A,0)))</f>
        <v>1</v>
      </c>
      <c r="H1114" s="11" t="str">
        <f t="shared" si="4"/>
        <v>F1</v>
      </c>
      <c r="I1114" s="10" t="str">
        <f t="shared" si="5"/>
        <v>BRN74G-F1</v>
      </c>
      <c r="J1114" s="16"/>
      <c r="K1114" s="16" t="str">
        <f t="shared" si="6"/>
        <v>collected</v>
      </c>
      <c r="L1114" s="16" t="str">
        <f t="shared" si="7"/>
        <v>N</v>
      </c>
      <c r="M1114" s="16"/>
      <c r="N1114" s="16"/>
    </row>
    <row r="1115">
      <c r="A1115" s="40" t="s">
        <v>1599</v>
      </c>
      <c r="B1115" s="10" t="str">
        <f t="shared" si="1"/>
        <v>RNA-gill</v>
      </c>
      <c r="C1115" s="10" t="str">
        <f t="shared" si="2"/>
        <v>BRN74G-E1</v>
      </c>
      <c r="D1115" s="11">
        <f t="array" ref="D1115">iferror(index('rna-muscle'!D:D,match(A1115,'rna-muscle'!A:A,0)))</f>
        <v>74</v>
      </c>
      <c r="E1115" s="10" t="str">
        <f t="shared" si="3"/>
        <v>BRN74G</v>
      </c>
      <c r="F1115" s="11" t="str">
        <f t="array" ref="F1115">iferror(index('rna-muscle'!F:F,match($A1115,'rna-muscle'!$A:$A,0)))</f>
        <v>E</v>
      </c>
      <c r="G1115" s="11">
        <f t="array" ref="G1115">iferror(index('rna-muscle'!G:G,match($A1115,'rna-muscle'!$A:$A,0)))</f>
        <v>1</v>
      </c>
      <c r="H1115" s="11" t="str">
        <f t="shared" si="4"/>
        <v>E1</v>
      </c>
      <c r="I1115" s="10" t="str">
        <f t="shared" si="5"/>
        <v>BRN74G-E1</v>
      </c>
      <c r="J1115" s="16"/>
      <c r="K1115" s="16" t="str">
        <f t="shared" si="6"/>
        <v>collected</v>
      </c>
      <c r="L1115" s="16" t="str">
        <f t="shared" si="7"/>
        <v>N</v>
      </c>
      <c r="M1115" s="16"/>
      <c r="N1115" s="16"/>
    </row>
    <row r="1116">
      <c r="A1116" s="40" t="s">
        <v>1600</v>
      </c>
      <c r="B1116" s="10" t="str">
        <f t="shared" si="1"/>
        <v>RNA-gill</v>
      </c>
      <c r="C1116" s="10" t="str">
        <f t="shared" si="2"/>
        <v>BRN74G-D1</v>
      </c>
      <c r="D1116" s="11">
        <f t="array" ref="D1116">iferror(index('rna-muscle'!D:D,match(A1116,'rna-muscle'!A:A,0)))</f>
        <v>74</v>
      </c>
      <c r="E1116" s="10" t="str">
        <f t="shared" si="3"/>
        <v>BRN74G</v>
      </c>
      <c r="F1116" s="11" t="str">
        <f t="array" ref="F1116">iferror(index('rna-muscle'!F:F,match($A1116,'rna-muscle'!$A:$A,0)))</f>
        <v>D</v>
      </c>
      <c r="G1116" s="11">
        <f t="array" ref="G1116">iferror(index('rna-muscle'!G:G,match($A1116,'rna-muscle'!$A:$A,0)))</f>
        <v>1</v>
      </c>
      <c r="H1116" s="11" t="str">
        <f t="shared" si="4"/>
        <v>D1</v>
      </c>
      <c r="I1116" s="10" t="str">
        <f t="shared" si="5"/>
        <v>BRN74G-D1</v>
      </c>
      <c r="J1116" s="16"/>
      <c r="K1116" s="16" t="str">
        <f t="shared" si="6"/>
        <v>collected</v>
      </c>
      <c r="L1116" s="16" t="str">
        <f t="shared" si="7"/>
        <v>N</v>
      </c>
      <c r="M1116" s="16"/>
      <c r="N1116" s="16"/>
    </row>
    <row r="1117">
      <c r="A1117" s="40" t="s">
        <v>1602</v>
      </c>
      <c r="B1117" s="10" t="str">
        <f t="shared" si="1"/>
        <v>RNA-gill</v>
      </c>
      <c r="C1117" s="10" t="str">
        <f t="shared" si="2"/>
        <v>BRN74G-C1</v>
      </c>
      <c r="D1117" s="11">
        <f t="array" ref="D1117">iferror(index('rna-muscle'!D:D,match(A1117,'rna-muscle'!A:A,0)))</f>
        <v>74</v>
      </c>
      <c r="E1117" s="10" t="str">
        <f t="shared" si="3"/>
        <v>BRN74G</v>
      </c>
      <c r="F1117" s="11" t="str">
        <f t="array" ref="F1117">iferror(index('rna-muscle'!F:F,match($A1117,'rna-muscle'!$A:$A,0)))</f>
        <v>C</v>
      </c>
      <c r="G1117" s="11">
        <f t="array" ref="G1117">iferror(index('rna-muscle'!G:G,match($A1117,'rna-muscle'!$A:$A,0)))</f>
        <v>1</v>
      </c>
      <c r="H1117" s="11" t="str">
        <f t="shared" si="4"/>
        <v>C1</v>
      </c>
      <c r="I1117" s="10" t="str">
        <f t="shared" si="5"/>
        <v>BRN74G-C1</v>
      </c>
      <c r="J1117" s="16"/>
      <c r="K1117" s="16" t="str">
        <f t="shared" si="6"/>
        <v>collected</v>
      </c>
      <c r="L1117" s="16" t="str">
        <f t="shared" si="7"/>
        <v>N</v>
      </c>
      <c r="M1117" s="16"/>
      <c r="N1117" s="16"/>
    </row>
    <row r="1118">
      <c r="A1118" s="40" t="s">
        <v>1604</v>
      </c>
      <c r="B1118" s="10" t="str">
        <f t="shared" si="1"/>
        <v>RNA-gill</v>
      </c>
      <c r="C1118" s="10" t="str">
        <f t="shared" si="2"/>
        <v>BRN74G-B1</v>
      </c>
      <c r="D1118" s="11">
        <f t="array" ref="D1118">iferror(index('rna-muscle'!D:D,match(A1118,'rna-muscle'!A:A,0)))</f>
        <v>74</v>
      </c>
      <c r="E1118" s="10" t="str">
        <f t="shared" si="3"/>
        <v>BRN74G</v>
      </c>
      <c r="F1118" s="11" t="str">
        <f t="array" ref="F1118">iferror(index('rna-muscle'!F:F,match($A1118,'rna-muscle'!$A:$A,0)))</f>
        <v>B</v>
      </c>
      <c r="G1118" s="11">
        <f t="array" ref="G1118">iferror(index('rna-muscle'!G:G,match($A1118,'rna-muscle'!$A:$A,0)))</f>
        <v>1</v>
      </c>
      <c r="H1118" s="11" t="str">
        <f t="shared" si="4"/>
        <v>B1</v>
      </c>
      <c r="I1118" s="10" t="str">
        <f t="shared" si="5"/>
        <v>BRN74G-B1</v>
      </c>
      <c r="J1118" s="16"/>
      <c r="K1118" s="16" t="str">
        <f t="shared" si="6"/>
        <v>collected</v>
      </c>
      <c r="L1118" s="16" t="str">
        <f t="shared" si="7"/>
        <v>N</v>
      </c>
      <c r="M1118" s="16"/>
      <c r="N1118" s="16"/>
    </row>
    <row r="1119">
      <c r="A1119" s="40" t="s">
        <v>1606</v>
      </c>
      <c r="B1119" s="10" t="str">
        <f t="shared" si="1"/>
        <v>RNA-gill</v>
      </c>
      <c r="C1119" s="10" t="str">
        <f t="shared" si="2"/>
        <v>BRN74G-A1</v>
      </c>
      <c r="D1119" s="11">
        <f t="array" ref="D1119">iferror(index('rna-muscle'!D:D,match(A1119,'rna-muscle'!A:A,0)))</f>
        <v>74</v>
      </c>
      <c r="E1119" s="10" t="str">
        <f t="shared" si="3"/>
        <v>BRN74G</v>
      </c>
      <c r="F1119" s="11" t="str">
        <f t="array" ref="F1119">iferror(index('rna-muscle'!F:F,match($A1119,'rna-muscle'!$A:$A,0)))</f>
        <v>A</v>
      </c>
      <c r="G1119" s="11">
        <f t="array" ref="G1119">iferror(index('rna-muscle'!G:G,match($A1119,'rna-muscle'!$A:$A,0)))</f>
        <v>1</v>
      </c>
      <c r="H1119" s="11" t="str">
        <f t="shared" si="4"/>
        <v>A1</v>
      </c>
      <c r="I1119" s="10" t="str">
        <f t="shared" si="5"/>
        <v>BRN74G-A1</v>
      </c>
      <c r="J1119" s="16"/>
      <c r="K1119" s="16" t="str">
        <f t="shared" si="6"/>
        <v>collected</v>
      </c>
      <c r="L1119" s="16" t="str">
        <f t="shared" si="7"/>
        <v>N</v>
      </c>
      <c r="M1119" s="16"/>
      <c r="N1119" s="16"/>
    </row>
    <row r="1120">
      <c r="A1120" s="40" t="s">
        <v>1607</v>
      </c>
      <c r="B1120" s="10" t="str">
        <f t="shared" si="1"/>
        <v>RNA-gill</v>
      </c>
      <c r="C1120" s="10" t="str">
        <f t="shared" si="2"/>
        <v>BRN74G-H3</v>
      </c>
      <c r="D1120" s="11">
        <f t="array" ref="D1120">iferror(index('rna-muscle'!D:D,match(A1120,'rna-muscle'!A:A,0)))</f>
        <v>74</v>
      </c>
      <c r="E1120" s="10" t="str">
        <f t="shared" si="3"/>
        <v>BRN74G</v>
      </c>
      <c r="F1120" s="11" t="str">
        <f t="array" ref="F1120">iferror(index('rna-muscle'!F:F,match($A1120,'rna-muscle'!$A:$A,0)))</f>
        <v>H</v>
      </c>
      <c r="G1120" s="11">
        <f t="array" ref="G1120">iferror(index('rna-muscle'!G:G,match($A1120,'rna-muscle'!$A:$A,0)))</f>
        <v>3</v>
      </c>
      <c r="H1120" s="11" t="str">
        <f t="shared" si="4"/>
        <v>H3</v>
      </c>
      <c r="I1120" s="10" t="str">
        <f t="shared" si="5"/>
        <v>BRN74G-H3</v>
      </c>
      <c r="J1120" s="16"/>
      <c r="K1120" s="16" t="str">
        <f t="shared" si="6"/>
        <v>collected</v>
      </c>
      <c r="L1120" s="16" t="str">
        <f t="shared" si="7"/>
        <v>N</v>
      </c>
      <c r="M1120" s="16"/>
      <c r="N1120" s="16"/>
    </row>
    <row r="1121">
      <c r="A1121" s="40" t="s">
        <v>1608</v>
      </c>
      <c r="B1121" s="10" t="str">
        <f t="shared" si="1"/>
        <v>RNA-gill</v>
      </c>
      <c r="C1121" s="10" t="str">
        <f t="shared" si="2"/>
        <v>BRN74G-G3</v>
      </c>
      <c r="D1121" s="11">
        <f t="array" ref="D1121">iferror(index('rna-muscle'!D:D,match(A1121,'rna-muscle'!A:A,0)))</f>
        <v>74</v>
      </c>
      <c r="E1121" s="10" t="str">
        <f t="shared" si="3"/>
        <v>BRN74G</v>
      </c>
      <c r="F1121" s="11" t="str">
        <f t="array" ref="F1121">iferror(index('rna-muscle'!F:F,match($A1121,'rna-muscle'!$A:$A,0)))</f>
        <v>G</v>
      </c>
      <c r="G1121" s="11">
        <f t="array" ref="G1121">iferror(index('rna-muscle'!G:G,match($A1121,'rna-muscle'!$A:$A,0)))</f>
        <v>3</v>
      </c>
      <c r="H1121" s="11" t="str">
        <f t="shared" si="4"/>
        <v>G3</v>
      </c>
      <c r="I1121" s="10" t="str">
        <f t="shared" si="5"/>
        <v>BRN74G-G3</v>
      </c>
      <c r="J1121" s="16"/>
      <c r="K1121" s="16" t="str">
        <f t="shared" si="6"/>
        <v>collected</v>
      </c>
      <c r="L1121" s="16" t="str">
        <f t="shared" si="7"/>
        <v>N</v>
      </c>
      <c r="M1121" s="16"/>
      <c r="N1121" s="16"/>
    </row>
    <row r="1122">
      <c r="A1122" s="40" t="s">
        <v>1609</v>
      </c>
      <c r="B1122" s="10" t="str">
        <f t="shared" si="1"/>
        <v>RNA-gill</v>
      </c>
      <c r="C1122" s="10" t="str">
        <f t="shared" si="2"/>
        <v>BRN74G-F3</v>
      </c>
      <c r="D1122" s="11">
        <f t="array" ref="D1122">iferror(index('rna-muscle'!D:D,match(A1122,'rna-muscle'!A:A,0)))</f>
        <v>74</v>
      </c>
      <c r="E1122" s="10" t="str">
        <f t="shared" si="3"/>
        <v>BRN74G</v>
      </c>
      <c r="F1122" s="11" t="str">
        <f t="array" ref="F1122">iferror(index('rna-muscle'!F:F,match($A1122,'rna-muscle'!$A:$A,0)))</f>
        <v>F</v>
      </c>
      <c r="G1122" s="11">
        <f t="array" ref="G1122">iferror(index('rna-muscle'!G:G,match($A1122,'rna-muscle'!$A:$A,0)))</f>
        <v>3</v>
      </c>
      <c r="H1122" s="11" t="str">
        <f t="shared" si="4"/>
        <v>F3</v>
      </c>
      <c r="I1122" s="10" t="str">
        <f t="shared" si="5"/>
        <v>BRN74G-F3</v>
      </c>
      <c r="J1122" s="16"/>
      <c r="K1122" s="16" t="str">
        <f t="shared" si="6"/>
        <v>collected</v>
      </c>
      <c r="L1122" s="16" t="str">
        <f t="shared" si="7"/>
        <v>N</v>
      </c>
      <c r="M1122" s="16"/>
      <c r="N1122" s="16"/>
    </row>
    <row r="1123">
      <c r="A1123" s="40" t="s">
        <v>1610</v>
      </c>
      <c r="B1123" s="10" t="str">
        <f t="shared" si="1"/>
        <v>RNA-gill</v>
      </c>
      <c r="C1123" s="10" t="str">
        <f t="shared" si="2"/>
        <v>BRN74G-E3</v>
      </c>
      <c r="D1123" s="11">
        <f t="array" ref="D1123">iferror(index('rna-muscle'!D:D,match(A1123,'rna-muscle'!A:A,0)))</f>
        <v>74</v>
      </c>
      <c r="E1123" s="10" t="str">
        <f t="shared" si="3"/>
        <v>BRN74G</v>
      </c>
      <c r="F1123" s="11" t="str">
        <f t="array" ref="F1123">iferror(index('rna-muscle'!F:F,match($A1123,'rna-muscle'!$A:$A,0)))</f>
        <v>E</v>
      </c>
      <c r="G1123" s="11">
        <f t="array" ref="G1123">iferror(index('rna-muscle'!G:G,match($A1123,'rna-muscle'!$A:$A,0)))</f>
        <v>3</v>
      </c>
      <c r="H1123" s="11" t="str">
        <f t="shared" si="4"/>
        <v>E3</v>
      </c>
      <c r="I1123" s="10" t="str">
        <f t="shared" si="5"/>
        <v>BRN74G-E3</v>
      </c>
      <c r="J1123" s="16"/>
      <c r="K1123" s="16" t="str">
        <f t="shared" si="6"/>
        <v>collected</v>
      </c>
      <c r="L1123" s="16" t="str">
        <f t="shared" si="7"/>
        <v>N</v>
      </c>
      <c r="M1123" s="16"/>
      <c r="N1123" s="16"/>
    </row>
    <row r="1124">
      <c r="A1124" s="40" t="s">
        <v>1612</v>
      </c>
      <c r="B1124" s="10" t="str">
        <f t="shared" si="1"/>
        <v>RNA-gill</v>
      </c>
      <c r="C1124" s="10" t="str">
        <f t="shared" si="2"/>
        <v>BRN74G-D3</v>
      </c>
      <c r="D1124" s="11">
        <f t="array" ref="D1124">iferror(index('rna-muscle'!D:D,match(A1124,'rna-muscle'!A:A,0)))</f>
        <v>74</v>
      </c>
      <c r="E1124" s="10" t="str">
        <f t="shared" si="3"/>
        <v>BRN74G</v>
      </c>
      <c r="F1124" s="11" t="str">
        <f t="array" ref="F1124">iferror(index('rna-muscle'!F:F,match($A1124,'rna-muscle'!$A:$A,0)))</f>
        <v>D</v>
      </c>
      <c r="G1124" s="11">
        <f t="array" ref="G1124">iferror(index('rna-muscle'!G:G,match($A1124,'rna-muscle'!$A:$A,0)))</f>
        <v>3</v>
      </c>
      <c r="H1124" s="11" t="str">
        <f t="shared" si="4"/>
        <v>D3</v>
      </c>
      <c r="I1124" s="10" t="str">
        <f t="shared" si="5"/>
        <v>BRN74G-D3</v>
      </c>
      <c r="J1124" s="16"/>
      <c r="K1124" s="16" t="str">
        <f t="shared" si="6"/>
        <v>collected</v>
      </c>
      <c r="L1124" s="16" t="str">
        <f t="shared" si="7"/>
        <v>N</v>
      </c>
      <c r="M1124" s="16"/>
      <c r="N1124" s="16"/>
    </row>
    <row r="1125">
      <c r="A1125" s="40" t="s">
        <v>1613</v>
      </c>
      <c r="B1125" s="10" t="str">
        <f t="shared" si="1"/>
        <v>RNA-gill</v>
      </c>
      <c r="C1125" s="10" t="str">
        <f t="shared" si="2"/>
        <v>BRN74G-C3</v>
      </c>
      <c r="D1125" s="11">
        <f t="array" ref="D1125">iferror(index('rna-muscle'!D:D,match(A1125,'rna-muscle'!A:A,0)))</f>
        <v>74</v>
      </c>
      <c r="E1125" s="10" t="str">
        <f t="shared" si="3"/>
        <v>BRN74G</v>
      </c>
      <c r="F1125" s="11" t="str">
        <f t="array" ref="F1125">iferror(index('rna-muscle'!F:F,match($A1125,'rna-muscle'!$A:$A,0)))</f>
        <v>C</v>
      </c>
      <c r="G1125" s="11">
        <f t="array" ref="G1125">iferror(index('rna-muscle'!G:G,match($A1125,'rna-muscle'!$A:$A,0)))</f>
        <v>3</v>
      </c>
      <c r="H1125" s="11" t="str">
        <f t="shared" si="4"/>
        <v>C3</v>
      </c>
      <c r="I1125" s="10" t="str">
        <f t="shared" si="5"/>
        <v>BRN74G-C3</v>
      </c>
      <c r="J1125" s="16"/>
      <c r="K1125" s="16" t="str">
        <f t="shared" si="6"/>
        <v>collected</v>
      </c>
      <c r="L1125" s="16" t="str">
        <f t="shared" si="7"/>
        <v>N</v>
      </c>
      <c r="M1125" s="16"/>
      <c r="N1125" s="16"/>
    </row>
    <row r="1126">
      <c r="A1126" s="16" t="s">
        <v>1614</v>
      </c>
      <c r="B1126" s="10" t="str">
        <f t="shared" si="1"/>
        <v>RNA-gill</v>
      </c>
      <c r="C1126" s="10" t="str">
        <f t="shared" si="2"/>
        <v>BRN65G-G12</v>
      </c>
      <c r="D1126" s="11">
        <f t="array" ref="D1126">iferror(index('rna-muscle'!D:D,match(A1126,'rna-muscle'!A:A,0)))</f>
        <v>65</v>
      </c>
      <c r="E1126" s="10" t="str">
        <f t="shared" si="3"/>
        <v>BRN65G</v>
      </c>
      <c r="F1126" s="11" t="str">
        <f t="array" ref="F1126">iferror(index('rna-muscle'!F:F,match($A1126,'rna-muscle'!$A:$A,0)))</f>
        <v>G</v>
      </c>
      <c r="G1126" s="11">
        <f t="array" ref="G1126">iferror(index('rna-muscle'!G:G,match($A1126,'rna-muscle'!$A:$A,0)))</f>
        <v>12</v>
      </c>
      <c r="H1126" s="11" t="str">
        <f t="shared" si="4"/>
        <v>G12</v>
      </c>
      <c r="I1126" s="10" t="str">
        <f t="shared" si="5"/>
        <v>BRN65G-G12</v>
      </c>
      <c r="J1126" s="16"/>
      <c r="K1126" s="16" t="str">
        <f t="shared" si="6"/>
        <v>collected</v>
      </c>
      <c r="L1126" s="16" t="str">
        <f t="shared" si="7"/>
        <v>N</v>
      </c>
      <c r="M1126" s="16"/>
      <c r="N1126" s="16"/>
    </row>
    <row r="1127">
      <c r="A1127" s="16" t="s">
        <v>1615</v>
      </c>
      <c r="B1127" s="10" t="str">
        <f t="shared" si="1"/>
        <v>RNA-gill</v>
      </c>
      <c r="C1127" s="10" t="str">
        <f t="shared" si="2"/>
        <v>BRN65G-F12</v>
      </c>
      <c r="D1127" s="11">
        <f t="array" ref="D1127">iferror(index('rna-muscle'!D:D,match(A1127,'rna-muscle'!A:A,0)))</f>
        <v>65</v>
      </c>
      <c r="E1127" s="10" t="str">
        <f t="shared" si="3"/>
        <v>BRN65G</v>
      </c>
      <c r="F1127" s="11" t="str">
        <f t="array" ref="F1127">iferror(index('rna-muscle'!F:F,match($A1127,'rna-muscle'!$A:$A,0)))</f>
        <v>F</v>
      </c>
      <c r="G1127" s="11">
        <f t="array" ref="G1127">iferror(index('rna-muscle'!G:G,match($A1127,'rna-muscle'!$A:$A,0)))</f>
        <v>12</v>
      </c>
      <c r="H1127" s="11" t="str">
        <f t="shared" si="4"/>
        <v>F12</v>
      </c>
      <c r="I1127" s="10" t="str">
        <f t="shared" si="5"/>
        <v>BRN65G-F12</v>
      </c>
      <c r="J1127" s="6" t="s">
        <v>2163</v>
      </c>
      <c r="K1127" s="16" t="str">
        <f t="shared" si="6"/>
        <v>collected</v>
      </c>
      <c r="L1127" s="16" t="str">
        <f t="shared" si="7"/>
        <v>N</v>
      </c>
      <c r="M1127" s="16"/>
      <c r="N1127" s="16"/>
    </row>
    <row r="1128">
      <c r="A1128" s="16" t="s">
        <v>1618</v>
      </c>
      <c r="B1128" s="10" t="str">
        <f t="shared" si="1"/>
        <v>RNA-gill</v>
      </c>
      <c r="C1128" s="10" t="str">
        <f t="shared" si="2"/>
        <v>BRN65G-E12</v>
      </c>
      <c r="D1128" s="11">
        <f t="array" ref="D1128">iferror(index('rna-muscle'!D:D,match(A1128,'rna-muscle'!A:A,0)))</f>
        <v>65</v>
      </c>
      <c r="E1128" s="10" t="str">
        <f t="shared" si="3"/>
        <v>BRN65G</v>
      </c>
      <c r="F1128" s="11" t="str">
        <f t="array" ref="F1128">iferror(index('rna-muscle'!F:F,match($A1128,'rna-muscle'!$A:$A,0)))</f>
        <v>E</v>
      </c>
      <c r="G1128" s="11">
        <f t="array" ref="G1128">iferror(index('rna-muscle'!G:G,match($A1128,'rna-muscle'!$A:$A,0)))</f>
        <v>12</v>
      </c>
      <c r="H1128" s="11" t="str">
        <f t="shared" si="4"/>
        <v>E12</v>
      </c>
      <c r="I1128" s="10" t="str">
        <f t="shared" si="5"/>
        <v>BRN65G-E12</v>
      </c>
      <c r="J1128" s="16"/>
      <c r="K1128" s="16" t="str">
        <f t="shared" si="6"/>
        <v>collected</v>
      </c>
      <c r="L1128" s="16" t="str">
        <f t="shared" si="7"/>
        <v>N</v>
      </c>
      <c r="M1128" s="16"/>
      <c r="N1128" s="16"/>
    </row>
    <row r="1129">
      <c r="A1129" s="16" t="s">
        <v>1619</v>
      </c>
      <c r="B1129" s="10" t="str">
        <f t="shared" si="1"/>
        <v>RNA-gill</v>
      </c>
      <c r="C1129" s="10" t="str">
        <f t="shared" si="2"/>
        <v>BRN65G-D12</v>
      </c>
      <c r="D1129" s="11">
        <f t="array" ref="D1129">iferror(index('rna-muscle'!D:D,match(A1129,'rna-muscle'!A:A,0)))</f>
        <v>65</v>
      </c>
      <c r="E1129" s="10" t="str">
        <f t="shared" si="3"/>
        <v>BRN65G</v>
      </c>
      <c r="F1129" s="11" t="str">
        <f t="array" ref="F1129">iferror(index('rna-muscle'!F:F,match($A1129,'rna-muscle'!$A:$A,0)))</f>
        <v>D</v>
      </c>
      <c r="G1129" s="11">
        <f t="array" ref="G1129">iferror(index('rna-muscle'!G:G,match($A1129,'rna-muscle'!$A:$A,0)))</f>
        <v>12</v>
      </c>
      <c r="H1129" s="11" t="str">
        <f t="shared" si="4"/>
        <v>D12</v>
      </c>
      <c r="I1129" s="10" t="str">
        <f t="shared" si="5"/>
        <v>BRN65G-D12</v>
      </c>
      <c r="J1129" s="16"/>
      <c r="K1129" s="16" t="str">
        <f t="shared" si="6"/>
        <v>collected</v>
      </c>
      <c r="L1129" s="16" t="str">
        <f t="shared" si="7"/>
        <v>N</v>
      </c>
      <c r="M1129" s="16"/>
      <c r="N1129" s="16"/>
    </row>
    <row r="1130">
      <c r="A1130" s="16" t="s">
        <v>1620</v>
      </c>
      <c r="B1130" s="10" t="str">
        <f t="shared" si="1"/>
        <v>RNA-gill</v>
      </c>
      <c r="C1130" s="10" t="str">
        <f t="shared" si="2"/>
        <v>BRN65G-C12</v>
      </c>
      <c r="D1130" s="11">
        <f t="array" ref="D1130">iferror(index('rna-muscle'!D:D,match(A1130,'rna-muscle'!A:A,0)))</f>
        <v>65</v>
      </c>
      <c r="E1130" s="10" t="str">
        <f t="shared" si="3"/>
        <v>BRN65G</v>
      </c>
      <c r="F1130" s="11" t="str">
        <f t="array" ref="F1130">iferror(index('rna-muscle'!F:F,match($A1130,'rna-muscle'!$A:$A,0)))</f>
        <v>C</v>
      </c>
      <c r="G1130" s="11">
        <f t="array" ref="G1130">iferror(index('rna-muscle'!G:G,match($A1130,'rna-muscle'!$A:$A,0)))</f>
        <v>12</v>
      </c>
      <c r="H1130" s="11" t="str">
        <f t="shared" si="4"/>
        <v>C12</v>
      </c>
      <c r="I1130" s="10" t="str">
        <f t="shared" si="5"/>
        <v>BRN65G-C12</v>
      </c>
      <c r="J1130" s="16"/>
      <c r="K1130" s="16" t="str">
        <f t="shared" si="6"/>
        <v>collected</v>
      </c>
      <c r="L1130" s="16" t="str">
        <f t="shared" si="7"/>
        <v>N</v>
      </c>
      <c r="M1130" s="16"/>
      <c r="N1130" s="16"/>
    </row>
    <row r="1131">
      <c r="A1131" s="16" t="s">
        <v>1621</v>
      </c>
      <c r="B1131" s="10" t="str">
        <f t="shared" si="1"/>
        <v>RNA-gill</v>
      </c>
      <c r="C1131" s="10" t="str">
        <f t="shared" si="2"/>
        <v>BRN65G-B12</v>
      </c>
      <c r="D1131" s="11">
        <f t="array" ref="D1131">iferror(index('rna-muscle'!D:D,match(A1131,'rna-muscle'!A:A,0)))</f>
        <v>65</v>
      </c>
      <c r="E1131" s="10" t="str">
        <f t="shared" si="3"/>
        <v>BRN65G</v>
      </c>
      <c r="F1131" s="11" t="str">
        <f t="array" ref="F1131">iferror(index('rna-muscle'!F:F,match($A1131,'rna-muscle'!$A:$A,0)))</f>
        <v>B</v>
      </c>
      <c r="G1131" s="11">
        <f t="array" ref="G1131">iferror(index('rna-muscle'!G:G,match($A1131,'rna-muscle'!$A:$A,0)))</f>
        <v>12</v>
      </c>
      <c r="H1131" s="11" t="str">
        <f t="shared" si="4"/>
        <v>B12</v>
      </c>
      <c r="I1131" s="10" t="str">
        <f t="shared" si="5"/>
        <v>BRN65G-B12</v>
      </c>
      <c r="J1131" s="16"/>
      <c r="K1131" s="16" t="str">
        <f t="shared" si="6"/>
        <v>collected</v>
      </c>
      <c r="L1131" s="16" t="str">
        <f t="shared" si="7"/>
        <v>N</v>
      </c>
      <c r="M1131" s="16"/>
      <c r="N1131" s="16"/>
    </row>
    <row r="1132">
      <c r="A1132" s="16" t="s">
        <v>1623</v>
      </c>
      <c r="B1132" s="10" t="str">
        <f t="shared" si="1"/>
        <v>RNA-gill</v>
      </c>
      <c r="C1132" s="10" t="str">
        <f t="shared" si="2"/>
        <v>BRN65G-A12</v>
      </c>
      <c r="D1132" s="11">
        <f t="array" ref="D1132">iferror(index('rna-muscle'!D:D,match(A1132,'rna-muscle'!A:A,0)))</f>
        <v>65</v>
      </c>
      <c r="E1132" s="10" t="str">
        <f t="shared" si="3"/>
        <v>BRN65G</v>
      </c>
      <c r="F1132" s="11" t="str">
        <f t="array" ref="F1132">iferror(index('rna-muscle'!F:F,match($A1132,'rna-muscle'!$A:$A,0)))</f>
        <v>A</v>
      </c>
      <c r="G1132" s="11">
        <f t="array" ref="G1132">iferror(index('rna-muscle'!G:G,match($A1132,'rna-muscle'!$A:$A,0)))</f>
        <v>12</v>
      </c>
      <c r="H1132" s="11" t="str">
        <f t="shared" si="4"/>
        <v>A12</v>
      </c>
      <c r="I1132" s="10" t="str">
        <f t="shared" si="5"/>
        <v>BRN65G-A12</v>
      </c>
      <c r="J1132" s="16"/>
      <c r="K1132" s="16" t="str">
        <f t="shared" si="6"/>
        <v>collected</v>
      </c>
      <c r="L1132" s="16" t="str">
        <f t="shared" si="7"/>
        <v>N</v>
      </c>
      <c r="M1132" s="16"/>
      <c r="N1132" s="16"/>
    </row>
    <row r="1133">
      <c r="A1133" s="16" t="s">
        <v>1624</v>
      </c>
      <c r="B1133" s="10" t="str">
        <f t="shared" si="1"/>
        <v>RNA-gill</v>
      </c>
      <c r="C1133" s="10" t="str">
        <f t="shared" si="2"/>
        <v>BRN74G-H2</v>
      </c>
      <c r="D1133" s="11">
        <f t="array" ref="D1133">iferror(index('rna-muscle'!D:D,match(A1133,'rna-muscle'!A:A,0)))</f>
        <v>74</v>
      </c>
      <c r="E1133" s="10" t="str">
        <f t="shared" si="3"/>
        <v>BRN74G</v>
      </c>
      <c r="F1133" s="11" t="str">
        <f t="array" ref="F1133">iferror(index('rna-muscle'!F:F,match($A1133,'rna-muscle'!$A:$A,0)))</f>
        <v>H</v>
      </c>
      <c r="G1133" s="11">
        <f t="array" ref="G1133">iferror(index('rna-muscle'!G:G,match($A1133,'rna-muscle'!$A:$A,0)))</f>
        <v>2</v>
      </c>
      <c r="H1133" s="11" t="str">
        <f t="shared" si="4"/>
        <v>H2</v>
      </c>
      <c r="I1133" s="10" t="str">
        <f t="shared" si="5"/>
        <v>BRN74G-H2</v>
      </c>
      <c r="J1133" s="16"/>
      <c r="K1133" s="16" t="str">
        <f t="shared" si="6"/>
        <v>collected</v>
      </c>
      <c r="L1133" s="16" t="str">
        <f t="shared" si="7"/>
        <v>N</v>
      </c>
      <c r="M1133" s="16"/>
      <c r="N1133" s="16"/>
    </row>
    <row r="1134">
      <c r="A1134" s="16" t="s">
        <v>1625</v>
      </c>
      <c r="B1134" s="10" t="str">
        <f t="shared" si="1"/>
        <v>RNA-gill</v>
      </c>
      <c r="C1134" s="10" t="str">
        <f t="shared" si="2"/>
        <v>BRN74G-G2</v>
      </c>
      <c r="D1134" s="11">
        <f t="array" ref="D1134">iferror(index('rna-muscle'!D:D,match(A1134,'rna-muscle'!A:A,0)))</f>
        <v>74</v>
      </c>
      <c r="E1134" s="10" t="str">
        <f t="shared" si="3"/>
        <v>BRN74G</v>
      </c>
      <c r="F1134" s="11" t="str">
        <f t="array" ref="F1134">iferror(index('rna-muscle'!F:F,match($A1134,'rna-muscle'!$A:$A,0)))</f>
        <v>G</v>
      </c>
      <c r="G1134" s="11">
        <f t="array" ref="G1134">iferror(index('rna-muscle'!G:G,match($A1134,'rna-muscle'!$A:$A,0)))</f>
        <v>2</v>
      </c>
      <c r="H1134" s="11" t="str">
        <f t="shared" si="4"/>
        <v>G2</v>
      </c>
      <c r="I1134" s="10" t="str">
        <f t="shared" si="5"/>
        <v>BRN74G-G2</v>
      </c>
      <c r="J1134" s="16"/>
      <c r="K1134" s="16" t="str">
        <f t="shared" si="6"/>
        <v>collected</v>
      </c>
      <c r="L1134" s="16" t="str">
        <f t="shared" si="7"/>
        <v>N</v>
      </c>
      <c r="M1134" s="16"/>
      <c r="N1134" s="16"/>
    </row>
    <row r="1135">
      <c r="A1135" s="16" t="s">
        <v>1626</v>
      </c>
      <c r="B1135" s="10" t="str">
        <f t="shared" si="1"/>
        <v>RNA-gill</v>
      </c>
      <c r="C1135" s="10" t="str">
        <f t="shared" si="2"/>
        <v>BRN74G-F2</v>
      </c>
      <c r="D1135" s="11">
        <f t="array" ref="D1135">iferror(index('rna-muscle'!D:D,match(A1135,'rna-muscle'!A:A,0)))</f>
        <v>74</v>
      </c>
      <c r="E1135" s="10" t="str">
        <f t="shared" si="3"/>
        <v>BRN74G</v>
      </c>
      <c r="F1135" s="11" t="str">
        <f t="array" ref="F1135">iferror(index('rna-muscle'!F:F,match($A1135,'rna-muscle'!$A:$A,0)))</f>
        <v>F</v>
      </c>
      <c r="G1135" s="11">
        <f t="array" ref="G1135">iferror(index('rna-muscle'!G:G,match($A1135,'rna-muscle'!$A:$A,0)))</f>
        <v>2</v>
      </c>
      <c r="H1135" s="11" t="str">
        <f t="shared" si="4"/>
        <v>F2</v>
      </c>
      <c r="I1135" s="10" t="str">
        <f t="shared" si="5"/>
        <v>BRN74G-F2</v>
      </c>
      <c r="J1135" s="16"/>
      <c r="K1135" s="16" t="str">
        <f t="shared" si="6"/>
        <v>collected</v>
      </c>
      <c r="L1135" s="16" t="str">
        <f t="shared" si="7"/>
        <v>N</v>
      </c>
      <c r="M1135" s="16"/>
      <c r="N1135" s="16"/>
    </row>
    <row r="1136">
      <c r="A1136" s="16" t="s">
        <v>1627</v>
      </c>
      <c r="B1136" s="10" t="str">
        <f t="shared" si="1"/>
        <v>RNA-gill</v>
      </c>
      <c r="C1136" s="10" t="str">
        <f t="shared" si="2"/>
        <v>BRN74G-E2</v>
      </c>
      <c r="D1136" s="11">
        <f t="array" ref="D1136">iferror(index('rna-muscle'!D:D,match(A1136,'rna-muscle'!A:A,0)))</f>
        <v>74</v>
      </c>
      <c r="E1136" s="10" t="str">
        <f t="shared" si="3"/>
        <v>BRN74G</v>
      </c>
      <c r="F1136" s="11" t="str">
        <f t="array" ref="F1136">iferror(index('rna-muscle'!F:F,match($A1136,'rna-muscle'!$A:$A,0)))</f>
        <v>E</v>
      </c>
      <c r="G1136" s="11">
        <f t="array" ref="G1136">iferror(index('rna-muscle'!G:G,match($A1136,'rna-muscle'!$A:$A,0)))</f>
        <v>2</v>
      </c>
      <c r="H1136" s="11" t="str">
        <f t="shared" si="4"/>
        <v>E2</v>
      </c>
      <c r="I1136" s="10" t="str">
        <f t="shared" si="5"/>
        <v>BRN74G-E2</v>
      </c>
      <c r="J1136" s="16"/>
      <c r="K1136" s="16" t="str">
        <f t="shared" si="6"/>
        <v>collected</v>
      </c>
      <c r="L1136" s="16" t="str">
        <f t="shared" si="7"/>
        <v>N</v>
      </c>
      <c r="M1136" s="16"/>
      <c r="N1136" s="16"/>
    </row>
    <row r="1137">
      <c r="A1137" s="16" t="s">
        <v>1629</v>
      </c>
      <c r="B1137" s="10" t="str">
        <f t="shared" si="1"/>
        <v>RNA-gill</v>
      </c>
      <c r="C1137" s="10" t="str">
        <f t="shared" si="2"/>
        <v>BRN74G-D2</v>
      </c>
      <c r="D1137" s="11">
        <f t="array" ref="D1137">iferror(index('rna-muscle'!D:D,match(A1137,'rna-muscle'!A:A,0)))</f>
        <v>74</v>
      </c>
      <c r="E1137" s="10" t="str">
        <f t="shared" si="3"/>
        <v>BRN74G</v>
      </c>
      <c r="F1137" s="11" t="str">
        <f t="array" ref="F1137">iferror(index('rna-muscle'!F:F,match($A1137,'rna-muscle'!$A:$A,0)))</f>
        <v>D</v>
      </c>
      <c r="G1137" s="11">
        <f t="array" ref="G1137">iferror(index('rna-muscle'!G:G,match($A1137,'rna-muscle'!$A:$A,0)))</f>
        <v>2</v>
      </c>
      <c r="H1137" s="11" t="str">
        <f t="shared" si="4"/>
        <v>D2</v>
      </c>
      <c r="I1137" s="10" t="str">
        <f t="shared" si="5"/>
        <v>BRN74G-D2</v>
      </c>
      <c r="J1137" s="6" t="s">
        <v>2164</v>
      </c>
      <c r="K1137" s="16" t="str">
        <f t="shared" si="6"/>
        <v>collected</v>
      </c>
      <c r="L1137" s="16" t="str">
        <f t="shared" si="7"/>
        <v>N</v>
      </c>
      <c r="M1137" s="16"/>
      <c r="N1137" s="16"/>
    </row>
    <row r="1138">
      <c r="A1138" s="16" t="s">
        <v>1630</v>
      </c>
      <c r="B1138" s="10" t="str">
        <f t="shared" si="1"/>
        <v>RNA-gill</v>
      </c>
      <c r="C1138" s="10" t="str">
        <f t="shared" si="2"/>
        <v>BRN74G-C2</v>
      </c>
      <c r="D1138" s="11">
        <f t="array" ref="D1138">iferror(index('rna-muscle'!D:D,match(A1138,'rna-muscle'!A:A,0)))</f>
        <v>74</v>
      </c>
      <c r="E1138" s="10" t="str">
        <f t="shared" si="3"/>
        <v>BRN74G</v>
      </c>
      <c r="F1138" s="11" t="str">
        <f t="array" ref="F1138">iferror(index('rna-muscle'!F:F,match($A1138,'rna-muscle'!$A:$A,0)))</f>
        <v>C</v>
      </c>
      <c r="G1138" s="11">
        <f t="array" ref="G1138">iferror(index('rna-muscle'!G:G,match($A1138,'rna-muscle'!$A:$A,0)))</f>
        <v>2</v>
      </c>
      <c r="H1138" s="11" t="str">
        <f t="shared" si="4"/>
        <v>C2</v>
      </c>
      <c r="I1138" s="10" t="str">
        <f t="shared" si="5"/>
        <v>BRN74G-C2</v>
      </c>
      <c r="J1138" s="16"/>
      <c r="K1138" s="16" t="str">
        <f t="shared" si="6"/>
        <v>collected</v>
      </c>
      <c r="L1138" s="16" t="str">
        <f t="shared" si="7"/>
        <v>N</v>
      </c>
      <c r="M1138" s="16"/>
      <c r="N1138" s="16"/>
    </row>
    <row r="1139">
      <c r="A1139" s="16" t="s">
        <v>1632</v>
      </c>
      <c r="B1139" s="10" t="str">
        <f t="shared" si="1"/>
        <v>RNA-gill</v>
      </c>
      <c r="C1139" s="10" t="str">
        <f t="shared" si="2"/>
        <v>BRN74G-B2</v>
      </c>
      <c r="D1139" s="11">
        <f t="array" ref="D1139">iferror(index('rna-muscle'!D:D,match(A1139,'rna-muscle'!A:A,0)))</f>
        <v>74</v>
      </c>
      <c r="E1139" s="10" t="str">
        <f t="shared" si="3"/>
        <v>BRN74G</v>
      </c>
      <c r="F1139" s="11" t="str">
        <f t="array" ref="F1139">iferror(index('rna-muscle'!F:F,match($A1139,'rna-muscle'!$A:$A,0)))</f>
        <v>B</v>
      </c>
      <c r="G1139" s="11">
        <f t="array" ref="G1139">iferror(index('rna-muscle'!G:G,match($A1139,'rna-muscle'!$A:$A,0)))</f>
        <v>2</v>
      </c>
      <c r="H1139" s="11" t="str">
        <f t="shared" si="4"/>
        <v>B2</v>
      </c>
      <c r="I1139" s="10" t="str">
        <f t="shared" si="5"/>
        <v>BRN74G-B2</v>
      </c>
      <c r="J1139" s="16"/>
      <c r="K1139" s="16" t="str">
        <f t="shared" si="6"/>
        <v>collected</v>
      </c>
      <c r="L1139" s="16" t="str">
        <f t="shared" si="7"/>
        <v>N</v>
      </c>
      <c r="M1139" s="16"/>
      <c r="N1139" s="16"/>
    </row>
    <row r="1140">
      <c r="A1140" s="16" t="s">
        <v>1633</v>
      </c>
      <c r="B1140" s="10" t="str">
        <f t="shared" si="1"/>
        <v>RNA-gill</v>
      </c>
      <c r="C1140" s="10" t="str">
        <f t="shared" si="2"/>
        <v>BRN74G-A2</v>
      </c>
      <c r="D1140" s="11">
        <f t="array" ref="D1140">iferror(index('rna-muscle'!D:D,match(A1140,'rna-muscle'!A:A,0)))</f>
        <v>74</v>
      </c>
      <c r="E1140" s="10" t="str">
        <f t="shared" si="3"/>
        <v>BRN74G</v>
      </c>
      <c r="F1140" s="11" t="str">
        <f t="array" ref="F1140">iferror(index('rna-muscle'!F:F,match($A1140,'rna-muscle'!$A:$A,0)))</f>
        <v>A</v>
      </c>
      <c r="G1140" s="11">
        <f t="array" ref="G1140">iferror(index('rna-muscle'!G:G,match($A1140,'rna-muscle'!$A:$A,0)))</f>
        <v>2</v>
      </c>
      <c r="H1140" s="11" t="str">
        <f t="shared" si="4"/>
        <v>A2</v>
      </c>
      <c r="I1140" s="10" t="str">
        <f t="shared" si="5"/>
        <v>BRN74G-A2</v>
      </c>
      <c r="J1140" s="16"/>
      <c r="K1140" s="16" t="str">
        <f t="shared" si="6"/>
        <v>collected</v>
      </c>
      <c r="L1140" s="16" t="str">
        <f t="shared" si="7"/>
        <v>N</v>
      </c>
      <c r="M1140" s="16"/>
      <c r="N1140" s="16"/>
    </row>
    <row r="1141">
      <c r="A1141" s="16" t="s">
        <v>1635</v>
      </c>
      <c r="B1141" s="10" t="str">
        <f t="shared" si="1"/>
        <v>RNA-gill</v>
      </c>
      <c r="C1141" s="10" t="str">
        <f t="shared" si="2"/>
        <v>BRN74G-H4</v>
      </c>
      <c r="D1141" s="11">
        <f t="array" ref="D1141">iferror(index('rna-muscle'!D:D,match(A1141,'rna-muscle'!A:A,0)))</f>
        <v>74</v>
      </c>
      <c r="E1141" s="10" t="str">
        <f t="shared" si="3"/>
        <v>BRN74G</v>
      </c>
      <c r="F1141" s="11" t="str">
        <f t="array" ref="F1141">iferror(index('rna-muscle'!F:F,match($A1141,'rna-muscle'!$A:$A,0)))</f>
        <v>H</v>
      </c>
      <c r="G1141" s="11">
        <f t="array" ref="G1141">iferror(index('rna-muscle'!G:G,match($A1141,'rna-muscle'!$A:$A,0)))</f>
        <v>4</v>
      </c>
      <c r="H1141" s="11" t="str">
        <f t="shared" si="4"/>
        <v>H4</v>
      </c>
      <c r="I1141" s="10" t="str">
        <f t="shared" si="5"/>
        <v>BRN74G-H4</v>
      </c>
      <c r="J1141" s="16"/>
      <c r="K1141" s="16" t="str">
        <f t="shared" si="6"/>
        <v>collected</v>
      </c>
      <c r="L1141" s="16" t="str">
        <f t="shared" si="7"/>
        <v>N</v>
      </c>
      <c r="M1141" s="16"/>
      <c r="N1141" s="16"/>
    </row>
    <row r="1142">
      <c r="A1142" s="16" t="s">
        <v>1636</v>
      </c>
      <c r="B1142" s="10" t="str">
        <f t="shared" si="1"/>
        <v>RNA-gill</v>
      </c>
      <c r="C1142" s="10" t="str">
        <f t="shared" si="2"/>
        <v>BRN74G-G4</v>
      </c>
      <c r="D1142" s="11">
        <f t="array" ref="D1142">iferror(index('rna-muscle'!D:D,match(A1142,'rna-muscle'!A:A,0)))</f>
        <v>74</v>
      </c>
      <c r="E1142" s="10" t="str">
        <f t="shared" si="3"/>
        <v>BRN74G</v>
      </c>
      <c r="F1142" s="11" t="str">
        <f t="array" ref="F1142">iferror(index('rna-muscle'!F:F,match($A1142,'rna-muscle'!$A:$A,0)))</f>
        <v>G</v>
      </c>
      <c r="G1142" s="11">
        <f t="array" ref="G1142">iferror(index('rna-muscle'!G:G,match($A1142,'rna-muscle'!$A:$A,0)))</f>
        <v>4</v>
      </c>
      <c r="H1142" s="11" t="str">
        <f t="shared" si="4"/>
        <v>G4</v>
      </c>
      <c r="I1142" s="10" t="str">
        <f t="shared" si="5"/>
        <v>BRN74G-G4</v>
      </c>
      <c r="J1142" s="16"/>
      <c r="K1142" s="16" t="str">
        <f t="shared" si="6"/>
        <v>collected</v>
      </c>
      <c r="L1142" s="16" t="str">
        <f t="shared" si="7"/>
        <v>N</v>
      </c>
      <c r="M1142" s="16"/>
      <c r="N1142" s="16"/>
    </row>
    <row r="1143">
      <c r="A1143" s="40" t="s">
        <v>1638</v>
      </c>
      <c r="B1143" s="10" t="str">
        <f t="shared" si="1"/>
        <v>RNA-gill</v>
      </c>
      <c r="C1143" s="10" t="str">
        <f t="shared" si="2"/>
        <v>BRN74G-B3</v>
      </c>
      <c r="D1143" s="11">
        <f t="array" ref="D1143">iferror(index('rna-muscle'!D:D,match(A1143,'rna-muscle'!A:A,0)))</f>
        <v>74</v>
      </c>
      <c r="E1143" s="10" t="str">
        <f t="shared" si="3"/>
        <v>BRN74G</v>
      </c>
      <c r="F1143" s="11" t="str">
        <f t="array" ref="F1143">iferror(index('rna-muscle'!F:F,match($A1143,'rna-muscle'!$A:$A,0)))</f>
        <v>B</v>
      </c>
      <c r="G1143" s="11">
        <f t="array" ref="G1143">iferror(index('rna-muscle'!G:G,match($A1143,'rna-muscle'!$A:$A,0)))</f>
        <v>3</v>
      </c>
      <c r="H1143" s="11" t="str">
        <f t="shared" si="4"/>
        <v>B3</v>
      </c>
      <c r="I1143" s="10" t="str">
        <f t="shared" si="5"/>
        <v>BRN74G-B3</v>
      </c>
      <c r="J1143" s="16"/>
      <c r="K1143" s="16" t="str">
        <f t="shared" si="6"/>
        <v>collected</v>
      </c>
      <c r="L1143" s="16" t="str">
        <f t="shared" si="7"/>
        <v>N</v>
      </c>
      <c r="M1143" s="16"/>
      <c r="N1143" s="16"/>
    </row>
    <row r="1144">
      <c r="A1144" s="40" t="s">
        <v>1639</v>
      </c>
      <c r="B1144" s="10" t="str">
        <f t="shared" si="1"/>
        <v>RNA-gill</v>
      </c>
      <c r="C1144" s="10" t="str">
        <f t="shared" si="2"/>
        <v>BRN74G-A3</v>
      </c>
      <c r="D1144" s="11">
        <f t="array" ref="D1144">iferror(index('rna-muscle'!D:D,match(A1144,'rna-muscle'!A:A,0)))</f>
        <v>74</v>
      </c>
      <c r="E1144" s="10" t="str">
        <f t="shared" si="3"/>
        <v>BRN74G</v>
      </c>
      <c r="F1144" s="11" t="str">
        <f t="array" ref="F1144">iferror(index('rna-muscle'!F:F,match($A1144,'rna-muscle'!$A:$A,0)))</f>
        <v>A</v>
      </c>
      <c r="G1144" s="11">
        <f t="array" ref="G1144">iferror(index('rna-muscle'!G:G,match($A1144,'rna-muscle'!$A:$A,0)))</f>
        <v>3</v>
      </c>
      <c r="H1144" s="11" t="str">
        <f t="shared" si="4"/>
        <v>A3</v>
      </c>
      <c r="I1144" s="10" t="str">
        <f t="shared" si="5"/>
        <v>BRN74G-A3</v>
      </c>
      <c r="J1144" s="16"/>
      <c r="K1144" s="16" t="str">
        <f t="shared" si="6"/>
        <v>collected</v>
      </c>
      <c r="L1144" s="16" t="str">
        <f t="shared" si="7"/>
        <v>N</v>
      </c>
      <c r="M1144" s="16"/>
      <c r="N1144" s="16"/>
    </row>
    <row r="1145">
      <c r="A1145" s="40" t="s">
        <v>1641</v>
      </c>
      <c r="B1145" s="10" t="str">
        <f t="shared" si="1"/>
        <v>RNA-gill</v>
      </c>
      <c r="C1145" s="10" t="str">
        <f t="shared" si="2"/>
        <v>BRN74G-G6</v>
      </c>
      <c r="D1145" s="11">
        <f t="array" ref="D1145">iferror(index('rna-muscle'!D:D,match(A1145,'rna-muscle'!A:A,0)))</f>
        <v>74</v>
      </c>
      <c r="E1145" s="10" t="str">
        <f t="shared" si="3"/>
        <v>BRN74G</v>
      </c>
      <c r="F1145" s="11" t="str">
        <f t="array" ref="F1145">iferror(index('rna-muscle'!F:F,match($A1145,'rna-muscle'!$A:$A,0)))</f>
        <v>G</v>
      </c>
      <c r="G1145" s="11">
        <f t="array" ref="G1145">iferror(index('rna-muscle'!G:G,match($A1145,'rna-muscle'!$A:$A,0)))</f>
        <v>6</v>
      </c>
      <c r="H1145" s="11" t="str">
        <f t="shared" si="4"/>
        <v>G6</v>
      </c>
      <c r="I1145" s="10" t="str">
        <f t="shared" si="5"/>
        <v>BRN74G-G6</v>
      </c>
      <c r="J1145" s="16"/>
      <c r="K1145" s="16" t="str">
        <f t="shared" si="6"/>
        <v>collected</v>
      </c>
      <c r="L1145" s="16" t="str">
        <f t="shared" si="7"/>
        <v>N</v>
      </c>
      <c r="M1145" s="16"/>
      <c r="N1145" s="16"/>
    </row>
    <row r="1146">
      <c r="A1146" s="40" t="s">
        <v>1642</v>
      </c>
      <c r="B1146" s="10" t="str">
        <f t="shared" si="1"/>
        <v>RNA-gill</v>
      </c>
      <c r="C1146" s="10" t="str">
        <f t="shared" si="2"/>
        <v>BRN74G-F6</v>
      </c>
      <c r="D1146" s="11">
        <f t="array" ref="D1146">iferror(index('rna-muscle'!D:D,match(A1146,'rna-muscle'!A:A,0)))</f>
        <v>74</v>
      </c>
      <c r="E1146" s="10" t="str">
        <f t="shared" si="3"/>
        <v>BRN74G</v>
      </c>
      <c r="F1146" s="11" t="str">
        <f t="array" ref="F1146">iferror(index('rna-muscle'!F:F,match($A1146,'rna-muscle'!$A:$A,0)))</f>
        <v>F</v>
      </c>
      <c r="G1146" s="11">
        <f t="array" ref="G1146">iferror(index('rna-muscle'!G:G,match($A1146,'rna-muscle'!$A:$A,0)))</f>
        <v>6</v>
      </c>
      <c r="H1146" s="11" t="str">
        <f t="shared" si="4"/>
        <v>F6</v>
      </c>
      <c r="I1146" s="10" t="str">
        <f t="shared" si="5"/>
        <v>BRN74G-F6</v>
      </c>
      <c r="J1146" s="16"/>
      <c r="K1146" s="16" t="str">
        <f t="shared" si="6"/>
        <v>collected</v>
      </c>
      <c r="L1146" s="16" t="str">
        <f t="shared" si="7"/>
        <v>N</v>
      </c>
      <c r="M1146" s="16"/>
      <c r="N1146" s="16"/>
    </row>
    <row r="1147">
      <c r="A1147" s="40" t="s">
        <v>1643</v>
      </c>
      <c r="B1147" s="10" t="str">
        <f t="shared" si="1"/>
        <v>RNA-gill</v>
      </c>
      <c r="C1147" s="10" t="str">
        <f t="shared" si="2"/>
        <v>BRN74G-E6</v>
      </c>
      <c r="D1147" s="11">
        <f t="array" ref="D1147">iferror(index('rna-muscle'!D:D,match(A1147,'rna-muscle'!A:A,0)))</f>
        <v>74</v>
      </c>
      <c r="E1147" s="10" t="str">
        <f t="shared" si="3"/>
        <v>BRN74G</v>
      </c>
      <c r="F1147" s="11" t="str">
        <f t="array" ref="F1147">iferror(index('rna-muscle'!F:F,match($A1147,'rna-muscle'!$A:$A,0)))</f>
        <v>E</v>
      </c>
      <c r="G1147" s="11">
        <f t="array" ref="G1147">iferror(index('rna-muscle'!G:G,match($A1147,'rna-muscle'!$A:$A,0)))</f>
        <v>6</v>
      </c>
      <c r="H1147" s="11" t="str">
        <f t="shared" si="4"/>
        <v>E6</v>
      </c>
      <c r="I1147" s="10" t="str">
        <f t="shared" si="5"/>
        <v>BRN74G-E6</v>
      </c>
      <c r="J1147" s="16"/>
      <c r="K1147" s="16" t="str">
        <f t="shared" si="6"/>
        <v>collected</v>
      </c>
      <c r="L1147" s="16" t="str">
        <f t="shared" si="7"/>
        <v>N</v>
      </c>
      <c r="M1147" s="16"/>
      <c r="N1147" s="16"/>
    </row>
    <row r="1148">
      <c r="A1148" s="40" t="s">
        <v>1644</v>
      </c>
      <c r="B1148" s="10" t="str">
        <f t="shared" si="1"/>
        <v>RNA-gill</v>
      </c>
      <c r="C1148" s="10" t="str">
        <f t="shared" si="2"/>
        <v>BRN74G-D6</v>
      </c>
      <c r="D1148" s="11">
        <f t="array" ref="D1148">iferror(index('rna-muscle'!D:D,match(A1148,'rna-muscle'!A:A,0)))</f>
        <v>74</v>
      </c>
      <c r="E1148" s="10" t="str">
        <f t="shared" si="3"/>
        <v>BRN74G</v>
      </c>
      <c r="F1148" s="11" t="str">
        <f t="array" ref="F1148">iferror(index('rna-muscle'!F:F,match($A1148,'rna-muscle'!$A:$A,0)))</f>
        <v>D</v>
      </c>
      <c r="G1148" s="11">
        <f t="array" ref="G1148">iferror(index('rna-muscle'!G:G,match($A1148,'rna-muscle'!$A:$A,0)))</f>
        <v>6</v>
      </c>
      <c r="H1148" s="11" t="str">
        <f t="shared" si="4"/>
        <v>D6</v>
      </c>
      <c r="I1148" s="10" t="str">
        <f t="shared" si="5"/>
        <v>BRN74G-D6</v>
      </c>
      <c r="J1148" s="16"/>
      <c r="K1148" s="16" t="str">
        <f t="shared" si="6"/>
        <v>collected</v>
      </c>
      <c r="L1148" s="16" t="str">
        <f t="shared" si="7"/>
        <v>N</v>
      </c>
      <c r="M1148" s="16"/>
      <c r="N1148" s="16"/>
    </row>
    <row r="1149">
      <c r="A1149" s="40" t="s">
        <v>1646</v>
      </c>
      <c r="B1149" s="10" t="str">
        <f t="shared" si="1"/>
        <v>RNA-gill</v>
      </c>
      <c r="C1149" s="10" t="str">
        <f t="shared" si="2"/>
        <v>BRN74G-C6</v>
      </c>
      <c r="D1149" s="11">
        <f t="array" ref="D1149">iferror(index('rna-muscle'!D:D,match(A1149,'rna-muscle'!A:A,0)))</f>
        <v>74</v>
      </c>
      <c r="E1149" s="10" t="str">
        <f t="shared" si="3"/>
        <v>BRN74G</v>
      </c>
      <c r="F1149" s="11" t="str">
        <f t="array" ref="F1149">iferror(index('rna-muscle'!F:F,match($A1149,'rna-muscle'!$A:$A,0)))</f>
        <v>C</v>
      </c>
      <c r="G1149" s="11">
        <f t="array" ref="G1149">iferror(index('rna-muscle'!G:G,match($A1149,'rna-muscle'!$A:$A,0)))</f>
        <v>6</v>
      </c>
      <c r="H1149" s="11" t="str">
        <f t="shared" si="4"/>
        <v>C6</v>
      </c>
      <c r="I1149" s="10" t="str">
        <f t="shared" si="5"/>
        <v>BRN74G-C6</v>
      </c>
      <c r="J1149" s="16"/>
      <c r="K1149" s="16" t="str">
        <f t="shared" si="6"/>
        <v>collected</v>
      </c>
      <c r="L1149" s="16" t="str">
        <f t="shared" si="7"/>
        <v>N</v>
      </c>
      <c r="M1149" s="16"/>
      <c r="N1149" s="16"/>
    </row>
    <row r="1150">
      <c r="A1150" s="40" t="s">
        <v>1647</v>
      </c>
      <c r="B1150" s="10" t="str">
        <f t="shared" si="1"/>
        <v>RNA-gill</v>
      </c>
      <c r="C1150" s="10" t="str">
        <f t="shared" si="2"/>
        <v>BRN74G-B6</v>
      </c>
      <c r="D1150" s="11">
        <f t="array" ref="D1150">iferror(index('rna-muscle'!D:D,match(A1150,'rna-muscle'!A:A,0)))</f>
        <v>74</v>
      </c>
      <c r="E1150" s="10" t="str">
        <f t="shared" si="3"/>
        <v>BRN74G</v>
      </c>
      <c r="F1150" s="11" t="str">
        <f t="array" ref="F1150">iferror(index('rna-muscle'!F:F,match($A1150,'rna-muscle'!$A:$A,0)))</f>
        <v>B</v>
      </c>
      <c r="G1150" s="11">
        <f t="array" ref="G1150">iferror(index('rna-muscle'!G:G,match($A1150,'rna-muscle'!$A:$A,0)))</f>
        <v>6</v>
      </c>
      <c r="H1150" s="11" t="str">
        <f t="shared" si="4"/>
        <v>B6</v>
      </c>
      <c r="I1150" s="10" t="str">
        <f t="shared" si="5"/>
        <v>BRN74G-B6</v>
      </c>
      <c r="J1150" s="16"/>
      <c r="K1150" s="16" t="str">
        <f t="shared" si="6"/>
        <v>collected</v>
      </c>
      <c r="L1150" s="16" t="str">
        <f t="shared" si="7"/>
        <v>N</v>
      </c>
      <c r="M1150" s="16"/>
      <c r="N1150" s="16"/>
    </row>
    <row r="1151">
      <c r="A1151" s="40" t="s">
        <v>1648</v>
      </c>
      <c r="B1151" s="10" t="str">
        <f t="shared" si="1"/>
        <v>RNA-gill</v>
      </c>
      <c r="C1151" s="10" t="str">
        <f t="shared" si="2"/>
        <v>BRN74G-A6</v>
      </c>
      <c r="D1151" s="11">
        <f t="array" ref="D1151">iferror(index('rna-muscle'!D:D,match(A1151,'rna-muscle'!A:A,0)))</f>
        <v>74</v>
      </c>
      <c r="E1151" s="10" t="str">
        <f t="shared" si="3"/>
        <v>BRN74G</v>
      </c>
      <c r="F1151" s="11" t="str">
        <f t="array" ref="F1151">iferror(index('rna-muscle'!F:F,match($A1151,'rna-muscle'!$A:$A,0)))</f>
        <v>A</v>
      </c>
      <c r="G1151" s="11">
        <f t="array" ref="G1151">iferror(index('rna-muscle'!G:G,match($A1151,'rna-muscle'!$A:$A,0)))</f>
        <v>6</v>
      </c>
      <c r="H1151" s="11" t="str">
        <f t="shared" si="4"/>
        <v>A6</v>
      </c>
      <c r="I1151" s="10" t="str">
        <f t="shared" si="5"/>
        <v>BRN74G-A6</v>
      </c>
      <c r="J1151" s="16"/>
      <c r="K1151" s="16" t="str">
        <f t="shared" si="6"/>
        <v>collected</v>
      </c>
      <c r="L1151" s="16" t="str">
        <f t="shared" si="7"/>
        <v>N</v>
      </c>
      <c r="M1151" s="16"/>
      <c r="N1151" s="16"/>
    </row>
    <row r="1152">
      <c r="A1152" s="40" t="s">
        <v>1649</v>
      </c>
      <c r="B1152" s="10" t="str">
        <f t="shared" si="1"/>
        <v>RNA-gill</v>
      </c>
      <c r="C1152" s="10" t="str">
        <f t="shared" si="2"/>
        <v>BRN74G-H7</v>
      </c>
      <c r="D1152" s="11">
        <f t="array" ref="D1152">iferror(index('rna-muscle'!D:D,match(A1152,'rna-muscle'!A:A,0)))</f>
        <v>74</v>
      </c>
      <c r="E1152" s="10" t="str">
        <f t="shared" si="3"/>
        <v>BRN74G</v>
      </c>
      <c r="F1152" s="11" t="str">
        <f t="array" ref="F1152">iferror(index('rna-muscle'!F:F,match($A1152,'rna-muscle'!$A:$A,0)))</f>
        <v>H</v>
      </c>
      <c r="G1152" s="11">
        <f t="array" ref="G1152">iferror(index('rna-muscle'!G:G,match($A1152,'rna-muscle'!$A:$A,0)))</f>
        <v>7</v>
      </c>
      <c r="H1152" s="11" t="str">
        <f t="shared" si="4"/>
        <v>H7</v>
      </c>
      <c r="I1152" s="10" t="str">
        <f t="shared" si="5"/>
        <v>BRN74G-H7</v>
      </c>
      <c r="J1152" s="16"/>
      <c r="K1152" s="16" t="str">
        <f t="shared" si="6"/>
        <v>collected</v>
      </c>
      <c r="L1152" s="16" t="str">
        <f t="shared" si="7"/>
        <v>N</v>
      </c>
      <c r="M1152" s="16"/>
      <c r="N1152" s="16"/>
    </row>
    <row r="1153">
      <c r="A1153" s="40" t="s">
        <v>1650</v>
      </c>
      <c r="B1153" s="10" t="str">
        <f t="shared" si="1"/>
        <v>RNA-gill</v>
      </c>
      <c r="C1153" s="10" t="str">
        <f t="shared" si="2"/>
        <v>BRN74G-G7</v>
      </c>
      <c r="D1153" s="11">
        <f t="array" ref="D1153">iferror(index('rna-muscle'!D:D,match(A1153,'rna-muscle'!A:A,0)))</f>
        <v>74</v>
      </c>
      <c r="E1153" s="10" t="str">
        <f t="shared" si="3"/>
        <v>BRN74G</v>
      </c>
      <c r="F1153" s="11" t="str">
        <f t="array" ref="F1153">iferror(index('rna-muscle'!F:F,match($A1153,'rna-muscle'!$A:$A,0)))</f>
        <v>G</v>
      </c>
      <c r="G1153" s="11">
        <f t="array" ref="G1153">iferror(index('rna-muscle'!G:G,match($A1153,'rna-muscle'!$A:$A,0)))</f>
        <v>7</v>
      </c>
      <c r="H1153" s="11" t="str">
        <f t="shared" si="4"/>
        <v>G7</v>
      </c>
      <c r="I1153" s="10" t="str">
        <f t="shared" si="5"/>
        <v>BRN74G-G7</v>
      </c>
      <c r="J1153" s="16"/>
      <c r="K1153" s="16" t="str">
        <f t="shared" si="6"/>
        <v>collected</v>
      </c>
      <c r="L1153" s="16" t="str">
        <f t="shared" si="7"/>
        <v>N</v>
      </c>
      <c r="M1153" s="16"/>
      <c r="N1153" s="16"/>
    </row>
    <row r="1154">
      <c r="A1154" s="40" t="s">
        <v>1652</v>
      </c>
      <c r="B1154" s="10" t="str">
        <f t="shared" si="1"/>
        <v>RNA-gill</v>
      </c>
      <c r="C1154" s="10" t="str">
        <f t="shared" si="2"/>
        <v>BRN74G-F7</v>
      </c>
      <c r="D1154" s="11">
        <f t="array" ref="D1154">iferror(index('rna-muscle'!D:D,match(A1154,'rna-muscle'!A:A,0)))</f>
        <v>74</v>
      </c>
      <c r="E1154" s="10" t="str">
        <f t="shared" si="3"/>
        <v>BRN74G</v>
      </c>
      <c r="F1154" s="11" t="str">
        <f t="array" ref="F1154">iferror(index('rna-muscle'!F:F,match($A1154,'rna-muscle'!$A:$A,0)))</f>
        <v>F</v>
      </c>
      <c r="G1154" s="11">
        <f t="array" ref="G1154">iferror(index('rna-muscle'!G:G,match($A1154,'rna-muscle'!$A:$A,0)))</f>
        <v>7</v>
      </c>
      <c r="H1154" s="11" t="str">
        <f t="shared" si="4"/>
        <v>F7</v>
      </c>
      <c r="I1154" s="10" t="str">
        <f t="shared" si="5"/>
        <v>BRN74G-F7</v>
      </c>
      <c r="J1154" s="16"/>
      <c r="K1154" s="16" t="str">
        <f t="shared" si="6"/>
        <v>collected</v>
      </c>
      <c r="L1154" s="16" t="str">
        <f t="shared" si="7"/>
        <v>N</v>
      </c>
      <c r="M1154" s="16"/>
      <c r="N1154" s="16"/>
    </row>
    <row r="1155">
      <c r="A1155" s="40" t="s">
        <v>1653</v>
      </c>
      <c r="B1155" s="10" t="str">
        <f t="shared" si="1"/>
        <v>RNA-gill</v>
      </c>
      <c r="C1155" s="10" t="str">
        <f t="shared" si="2"/>
        <v>BRN74G-E7</v>
      </c>
      <c r="D1155" s="11">
        <f t="array" ref="D1155">iferror(index('rna-muscle'!D:D,match(A1155,'rna-muscle'!A:A,0)))</f>
        <v>74</v>
      </c>
      <c r="E1155" s="10" t="str">
        <f t="shared" si="3"/>
        <v>BRN74G</v>
      </c>
      <c r="F1155" s="11" t="str">
        <f t="array" ref="F1155">iferror(index('rna-muscle'!F:F,match($A1155,'rna-muscle'!$A:$A,0)))</f>
        <v>E</v>
      </c>
      <c r="G1155" s="11">
        <f t="array" ref="G1155">iferror(index('rna-muscle'!G:G,match($A1155,'rna-muscle'!$A:$A,0)))</f>
        <v>7</v>
      </c>
      <c r="H1155" s="11" t="str">
        <f t="shared" si="4"/>
        <v>E7</v>
      </c>
      <c r="I1155" s="10" t="str">
        <f t="shared" si="5"/>
        <v>BRN74G-E7</v>
      </c>
      <c r="J1155" s="16"/>
      <c r="K1155" s="16" t="str">
        <f t="shared" si="6"/>
        <v>collected</v>
      </c>
      <c r="L1155" s="16" t="str">
        <f t="shared" si="7"/>
        <v>N</v>
      </c>
      <c r="M1155" s="16"/>
      <c r="N1155" s="16"/>
    </row>
    <row r="1156">
      <c r="A1156" s="40" t="s">
        <v>1654</v>
      </c>
      <c r="B1156" s="10" t="str">
        <f t="shared" si="1"/>
        <v>RNA-gill</v>
      </c>
      <c r="C1156" s="10" t="str">
        <f t="shared" si="2"/>
        <v>BRN74G-D7</v>
      </c>
      <c r="D1156" s="11">
        <f t="array" ref="D1156">iferror(index('rna-muscle'!D:D,match(A1156,'rna-muscle'!A:A,0)))</f>
        <v>74</v>
      </c>
      <c r="E1156" s="10" t="str">
        <f t="shared" si="3"/>
        <v>BRN74G</v>
      </c>
      <c r="F1156" s="11" t="str">
        <f t="array" ref="F1156">iferror(index('rna-muscle'!F:F,match($A1156,'rna-muscle'!$A:$A,0)))</f>
        <v>D</v>
      </c>
      <c r="G1156" s="11">
        <f t="array" ref="G1156">iferror(index('rna-muscle'!G:G,match($A1156,'rna-muscle'!$A:$A,0)))</f>
        <v>7</v>
      </c>
      <c r="H1156" s="11" t="str">
        <f t="shared" si="4"/>
        <v>D7</v>
      </c>
      <c r="I1156" s="10" t="str">
        <f t="shared" si="5"/>
        <v>BRN74G-D7</v>
      </c>
      <c r="J1156" s="16"/>
      <c r="K1156" s="16" t="str">
        <f t="shared" si="6"/>
        <v>collected</v>
      </c>
      <c r="L1156" s="16" t="str">
        <f t="shared" si="7"/>
        <v>N</v>
      </c>
      <c r="M1156" s="16"/>
      <c r="N1156" s="16"/>
    </row>
    <row r="1157">
      <c r="A1157" s="40" t="s">
        <v>1655</v>
      </c>
      <c r="B1157" s="10" t="str">
        <f t="shared" si="1"/>
        <v>RNA-gill</v>
      </c>
      <c r="C1157" s="10" t="str">
        <f t="shared" si="2"/>
        <v>BRN74G-C7</v>
      </c>
      <c r="D1157" s="11">
        <f t="array" ref="D1157">iferror(index('rna-muscle'!D:D,match(A1157,'rna-muscle'!A:A,0)))</f>
        <v>74</v>
      </c>
      <c r="E1157" s="10" t="str">
        <f t="shared" si="3"/>
        <v>BRN74G</v>
      </c>
      <c r="F1157" s="11" t="str">
        <f t="array" ref="F1157">iferror(index('rna-muscle'!F:F,match($A1157,'rna-muscle'!$A:$A,0)))</f>
        <v>C</v>
      </c>
      <c r="G1157" s="11">
        <f t="array" ref="G1157">iferror(index('rna-muscle'!G:G,match($A1157,'rna-muscle'!$A:$A,0)))</f>
        <v>7</v>
      </c>
      <c r="H1157" s="11" t="str">
        <f t="shared" si="4"/>
        <v>C7</v>
      </c>
      <c r="I1157" s="10" t="str">
        <f t="shared" si="5"/>
        <v>BRN74G-C7</v>
      </c>
      <c r="J1157" s="16"/>
      <c r="K1157" s="16" t="str">
        <f t="shared" si="6"/>
        <v>collected</v>
      </c>
      <c r="L1157" s="16" t="str">
        <f t="shared" si="7"/>
        <v>N</v>
      </c>
      <c r="M1157" s="16"/>
      <c r="N1157" s="16"/>
    </row>
    <row r="1158">
      <c r="A1158" s="40" t="s">
        <v>1656</v>
      </c>
      <c r="B1158" s="10" t="str">
        <f t="shared" si="1"/>
        <v>RNA-gill</v>
      </c>
      <c r="C1158" s="10" t="str">
        <f t="shared" si="2"/>
        <v>BRN74G-B7</v>
      </c>
      <c r="D1158" s="11">
        <f t="array" ref="D1158">iferror(index('rna-muscle'!D:D,match(A1158,'rna-muscle'!A:A,0)))</f>
        <v>74</v>
      </c>
      <c r="E1158" s="10" t="str">
        <f t="shared" si="3"/>
        <v>BRN74G</v>
      </c>
      <c r="F1158" s="11" t="str">
        <f t="array" ref="F1158">iferror(index('rna-muscle'!F:F,match($A1158,'rna-muscle'!$A:$A,0)))</f>
        <v>B</v>
      </c>
      <c r="G1158" s="11">
        <f t="array" ref="G1158">iferror(index('rna-muscle'!G:G,match($A1158,'rna-muscle'!$A:$A,0)))</f>
        <v>7</v>
      </c>
      <c r="H1158" s="11" t="str">
        <f t="shared" si="4"/>
        <v>B7</v>
      </c>
      <c r="I1158" s="10" t="str">
        <f t="shared" si="5"/>
        <v>BRN74G-B7</v>
      </c>
      <c r="J1158" s="16"/>
      <c r="K1158" s="16" t="str">
        <f t="shared" si="6"/>
        <v>collected</v>
      </c>
      <c r="L1158" s="16" t="str">
        <f t="shared" si="7"/>
        <v>N</v>
      </c>
      <c r="M1158" s="16"/>
      <c r="N1158" s="16"/>
    </row>
    <row r="1159">
      <c r="A1159" s="40" t="s">
        <v>1658</v>
      </c>
      <c r="B1159" s="10" t="str">
        <f t="shared" si="1"/>
        <v>RNA-gill</v>
      </c>
      <c r="C1159" s="10" t="str">
        <f t="shared" si="2"/>
        <v>BRN74G-A7</v>
      </c>
      <c r="D1159" s="11">
        <f t="array" ref="D1159">iferror(index('rna-muscle'!D:D,match(A1159,'rna-muscle'!A:A,0)))</f>
        <v>74</v>
      </c>
      <c r="E1159" s="10" t="str">
        <f t="shared" si="3"/>
        <v>BRN74G</v>
      </c>
      <c r="F1159" s="11" t="str">
        <f t="array" ref="F1159">iferror(index('rna-muscle'!F:F,match($A1159,'rna-muscle'!$A:$A,0)))</f>
        <v>A</v>
      </c>
      <c r="G1159" s="11">
        <f t="array" ref="G1159">iferror(index('rna-muscle'!G:G,match($A1159,'rna-muscle'!$A:$A,0)))</f>
        <v>7</v>
      </c>
      <c r="H1159" s="11" t="str">
        <f t="shared" si="4"/>
        <v>A7</v>
      </c>
      <c r="I1159" s="10" t="str">
        <f t="shared" si="5"/>
        <v>BRN74G-A7</v>
      </c>
      <c r="J1159" s="16"/>
      <c r="K1159" s="16" t="str">
        <f t="shared" si="6"/>
        <v>collected</v>
      </c>
      <c r="L1159" s="16" t="str">
        <f t="shared" si="7"/>
        <v>N</v>
      </c>
      <c r="M1159" s="16"/>
      <c r="N1159" s="16"/>
    </row>
    <row r="1160">
      <c r="A1160" s="40" t="s">
        <v>1659</v>
      </c>
      <c r="B1160" s="10" t="str">
        <f t="shared" si="1"/>
        <v>RNA-gill</v>
      </c>
      <c r="C1160" s="10" t="str">
        <f t="shared" si="2"/>
        <v>BRN74G-H8</v>
      </c>
      <c r="D1160" s="11">
        <f t="array" ref="D1160">iferror(index('rna-muscle'!D:D,match(A1160,'rna-muscle'!A:A,0)))</f>
        <v>74</v>
      </c>
      <c r="E1160" s="10" t="str">
        <f t="shared" si="3"/>
        <v>BRN74G</v>
      </c>
      <c r="F1160" s="11" t="str">
        <f t="array" ref="F1160">iferror(index('rna-muscle'!F:F,match($A1160,'rna-muscle'!$A:$A,0)))</f>
        <v>H</v>
      </c>
      <c r="G1160" s="11">
        <f t="array" ref="G1160">iferror(index('rna-muscle'!G:G,match($A1160,'rna-muscle'!$A:$A,0)))</f>
        <v>8</v>
      </c>
      <c r="H1160" s="11" t="str">
        <f t="shared" si="4"/>
        <v>H8</v>
      </c>
      <c r="I1160" s="10" t="str">
        <f t="shared" si="5"/>
        <v>BRN74G-H8</v>
      </c>
      <c r="J1160" s="16"/>
      <c r="K1160" s="16" t="str">
        <f t="shared" si="6"/>
        <v>collected</v>
      </c>
      <c r="L1160" s="16" t="str">
        <f t="shared" si="7"/>
        <v>N</v>
      </c>
      <c r="M1160" s="16"/>
      <c r="N1160" s="16"/>
    </row>
    <row r="1161">
      <c r="A1161" s="40" t="s">
        <v>1660</v>
      </c>
      <c r="B1161" s="10" t="str">
        <f t="shared" si="1"/>
        <v>RNA-gill</v>
      </c>
      <c r="C1161" s="10" t="str">
        <f t="shared" si="2"/>
        <v>BRN74G-G8</v>
      </c>
      <c r="D1161" s="11">
        <f t="array" ref="D1161">iferror(index('rna-muscle'!D:D,match(A1161,'rna-muscle'!A:A,0)))</f>
        <v>74</v>
      </c>
      <c r="E1161" s="10" t="str">
        <f t="shared" si="3"/>
        <v>BRN74G</v>
      </c>
      <c r="F1161" s="11" t="str">
        <f t="array" ref="F1161">iferror(index('rna-muscle'!F:F,match($A1161,'rna-muscle'!$A:$A,0)))</f>
        <v>G</v>
      </c>
      <c r="G1161" s="11">
        <f t="array" ref="G1161">iferror(index('rna-muscle'!G:G,match($A1161,'rna-muscle'!$A:$A,0)))</f>
        <v>8</v>
      </c>
      <c r="H1161" s="11" t="str">
        <f t="shared" si="4"/>
        <v>G8</v>
      </c>
      <c r="I1161" s="10" t="str">
        <f t="shared" si="5"/>
        <v>BRN74G-G8</v>
      </c>
      <c r="J1161" s="16"/>
      <c r="K1161" s="16" t="str">
        <f t="shared" si="6"/>
        <v>collected</v>
      </c>
      <c r="L1161" s="16" t="str">
        <f t="shared" si="7"/>
        <v>N</v>
      </c>
      <c r="M1161" s="16"/>
      <c r="N1161" s="16"/>
    </row>
    <row r="1162">
      <c r="A1162" s="40" t="s">
        <v>1661</v>
      </c>
      <c r="B1162" s="10" t="str">
        <f t="shared" si="1"/>
        <v>RNA-gill</v>
      </c>
      <c r="C1162" s="10" t="str">
        <f t="shared" si="2"/>
        <v>BRN74G-F8</v>
      </c>
      <c r="D1162" s="11">
        <f t="array" ref="D1162">iferror(index('rna-muscle'!D:D,match(A1162,'rna-muscle'!A:A,0)))</f>
        <v>74</v>
      </c>
      <c r="E1162" s="10" t="str">
        <f t="shared" si="3"/>
        <v>BRN74G</v>
      </c>
      <c r="F1162" s="11" t="str">
        <f t="array" ref="F1162">iferror(index('rna-muscle'!F:F,match($A1162,'rna-muscle'!$A:$A,0)))</f>
        <v>F</v>
      </c>
      <c r="G1162" s="11">
        <f t="array" ref="G1162">iferror(index('rna-muscle'!G:G,match($A1162,'rna-muscle'!$A:$A,0)))</f>
        <v>8</v>
      </c>
      <c r="H1162" s="11" t="str">
        <f t="shared" si="4"/>
        <v>F8</v>
      </c>
      <c r="I1162" s="10" t="str">
        <f t="shared" si="5"/>
        <v>BRN74G-F8</v>
      </c>
      <c r="J1162" s="16"/>
      <c r="K1162" s="16" t="str">
        <f t="shared" si="6"/>
        <v>collected</v>
      </c>
      <c r="L1162" s="16" t="str">
        <f t="shared" si="7"/>
        <v>N</v>
      </c>
      <c r="M1162" s="16"/>
      <c r="N1162" s="16"/>
    </row>
    <row r="1163">
      <c r="A1163" s="40" t="s">
        <v>1663</v>
      </c>
      <c r="B1163" s="10" t="str">
        <f t="shared" si="1"/>
        <v>RNA-gill</v>
      </c>
      <c r="C1163" s="10" t="str">
        <f t="shared" si="2"/>
        <v>BRN74G-E8</v>
      </c>
      <c r="D1163" s="11">
        <f t="array" ref="D1163">iferror(index('rna-muscle'!D:D,match(A1163,'rna-muscle'!A:A,0)))</f>
        <v>74</v>
      </c>
      <c r="E1163" s="10" t="str">
        <f t="shared" si="3"/>
        <v>BRN74G</v>
      </c>
      <c r="F1163" s="11" t="str">
        <f t="array" ref="F1163">iferror(index('rna-muscle'!F:F,match($A1163,'rna-muscle'!$A:$A,0)))</f>
        <v>E</v>
      </c>
      <c r="G1163" s="11">
        <f t="array" ref="G1163">iferror(index('rna-muscle'!G:G,match($A1163,'rna-muscle'!$A:$A,0)))</f>
        <v>8</v>
      </c>
      <c r="H1163" s="11" t="str">
        <f t="shared" si="4"/>
        <v>E8</v>
      </c>
      <c r="I1163" s="10" t="str">
        <f t="shared" si="5"/>
        <v>BRN74G-E8</v>
      </c>
      <c r="J1163" s="16"/>
      <c r="K1163" s="16" t="str">
        <f t="shared" si="6"/>
        <v>collected</v>
      </c>
      <c r="L1163" s="16" t="str">
        <f t="shared" si="7"/>
        <v>N</v>
      </c>
      <c r="M1163" s="16"/>
      <c r="N1163" s="16"/>
    </row>
    <row r="1164">
      <c r="A1164" s="40" t="s">
        <v>1664</v>
      </c>
      <c r="B1164" s="10" t="str">
        <f t="shared" si="1"/>
        <v>RNA-gill</v>
      </c>
      <c r="C1164" s="10" t="str">
        <f t="shared" si="2"/>
        <v>BRN74G-D8</v>
      </c>
      <c r="D1164" s="11">
        <f t="array" ref="D1164">iferror(index('rna-muscle'!D:D,match(A1164,'rna-muscle'!A:A,0)))</f>
        <v>74</v>
      </c>
      <c r="E1164" s="10" t="str">
        <f t="shared" si="3"/>
        <v>BRN74G</v>
      </c>
      <c r="F1164" s="11" t="str">
        <f t="array" ref="F1164">iferror(index('rna-muscle'!F:F,match($A1164,'rna-muscle'!$A:$A,0)))</f>
        <v>D</v>
      </c>
      <c r="G1164" s="11">
        <f t="array" ref="G1164">iferror(index('rna-muscle'!G:G,match($A1164,'rna-muscle'!$A:$A,0)))</f>
        <v>8</v>
      </c>
      <c r="H1164" s="11" t="str">
        <f t="shared" si="4"/>
        <v>D8</v>
      </c>
      <c r="I1164" s="10" t="str">
        <f t="shared" si="5"/>
        <v>BRN74G-D8</v>
      </c>
      <c r="J1164" s="16"/>
      <c r="K1164" s="16" t="str">
        <f t="shared" si="6"/>
        <v>collected</v>
      </c>
      <c r="L1164" s="16" t="str">
        <f t="shared" si="7"/>
        <v>N</v>
      </c>
      <c r="M1164" s="16"/>
      <c r="N1164" s="16"/>
    </row>
    <row r="1165">
      <c r="A1165" s="40" t="s">
        <v>1665</v>
      </c>
      <c r="B1165" s="10" t="str">
        <f t="shared" si="1"/>
        <v>RNA-gill</v>
      </c>
      <c r="C1165" s="10" t="str">
        <f t="shared" si="2"/>
        <v>BRN74G-C8</v>
      </c>
      <c r="D1165" s="11">
        <f t="array" ref="D1165">iferror(index('rna-muscle'!D:D,match(A1165,'rna-muscle'!A:A,0)))</f>
        <v>74</v>
      </c>
      <c r="E1165" s="10" t="str">
        <f t="shared" si="3"/>
        <v>BRN74G</v>
      </c>
      <c r="F1165" s="11" t="str">
        <f t="array" ref="F1165">iferror(index('rna-muscle'!F:F,match($A1165,'rna-muscle'!$A:$A,0)))</f>
        <v>C</v>
      </c>
      <c r="G1165" s="11">
        <f t="array" ref="G1165">iferror(index('rna-muscle'!G:G,match($A1165,'rna-muscle'!$A:$A,0)))</f>
        <v>8</v>
      </c>
      <c r="H1165" s="11" t="str">
        <f t="shared" si="4"/>
        <v>C8</v>
      </c>
      <c r="I1165" s="10" t="str">
        <f t="shared" si="5"/>
        <v>BRN74G-C8</v>
      </c>
      <c r="J1165" s="16"/>
      <c r="K1165" s="16" t="str">
        <f t="shared" si="6"/>
        <v>collected</v>
      </c>
      <c r="L1165" s="16" t="str">
        <f t="shared" si="7"/>
        <v>N</v>
      </c>
      <c r="M1165" s="16"/>
      <c r="N1165" s="16"/>
    </row>
    <row r="1166">
      <c r="A1166" s="40" t="s">
        <v>1666</v>
      </c>
      <c r="B1166" s="10" t="str">
        <f t="shared" si="1"/>
        <v>RNA-gill</v>
      </c>
      <c r="C1166" s="10" t="str">
        <f t="shared" si="2"/>
        <v>BRN74G-B8</v>
      </c>
      <c r="D1166" s="11">
        <f t="array" ref="D1166">iferror(index('rna-muscle'!D:D,match(A1166,'rna-muscle'!A:A,0)))</f>
        <v>74</v>
      </c>
      <c r="E1166" s="10" t="str">
        <f t="shared" si="3"/>
        <v>BRN74G</v>
      </c>
      <c r="F1166" s="11" t="str">
        <f t="array" ref="F1166">iferror(index('rna-muscle'!F:F,match($A1166,'rna-muscle'!$A:$A,0)))</f>
        <v>B</v>
      </c>
      <c r="G1166" s="11">
        <f t="array" ref="G1166">iferror(index('rna-muscle'!G:G,match($A1166,'rna-muscle'!$A:$A,0)))</f>
        <v>8</v>
      </c>
      <c r="H1166" s="11" t="str">
        <f t="shared" si="4"/>
        <v>B8</v>
      </c>
      <c r="I1166" s="10" t="str">
        <f t="shared" si="5"/>
        <v>BRN74G-B8</v>
      </c>
      <c r="J1166" s="16"/>
      <c r="K1166" s="16" t="str">
        <f t="shared" si="6"/>
        <v>collected</v>
      </c>
      <c r="L1166" s="16" t="str">
        <f t="shared" si="7"/>
        <v>N</v>
      </c>
      <c r="M1166" s="16"/>
      <c r="N1166" s="16"/>
    </row>
    <row r="1167">
      <c r="A1167" s="40" t="s">
        <v>1667</v>
      </c>
      <c r="B1167" s="10" t="str">
        <f t="shared" si="1"/>
        <v>RNA-gill</v>
      </c>
      <c r="C1167" s="10" t="str">
        <f t="shared" si="2"/>
        <v>BRN74G-A8</v>
      </c>
      <c r="D1167" s="11">
        <f t="array" ref="D1167">iferror(index('rna-muscle'!D:D,match(A1167,'rna-muscle'!A:A,0)))</f>
        <v>74</v>
      </c>
      <c r="E1167" s="10" t="str">
        <f t="shared" si="3"/>
        <v>BRN74G</v>
      </c>
      <c r="F1167" s="11" t="str">
        <f t="array" ref="F1167">iferror(index('rna-muscle'!F:F,match($A1167,'rna-muscle'!$A:$A,0)))</f>
        <v>A</v>
      </c>
      <c r="G1167" s="11">
        <f t="array" ref="G1167">iferror(index('rna-muscle'!G:G,match($A1167,'rna-muscle'!$A:$A,0)))</f>
        <v>8</v>
      </c>
      <c r="H1167" s="11" t="str">
        <f t="shared" si="4"/>
        <v>A8</v>
      </c>
      <c r="I1167" s="10" t="str">
        <f t="shared" si="5"/>
        <v>BRN74G-A8</v>
      </c>
      <c r="J1167" s="16"/>
      <c r="K1167" s="16" t="str">
        <f t="shared" si="6"/>
        <v>collected</v>
      </c>
      <c r="L1167" s="16" t="str">
        <f t="shared" si="7"/>
        <v>N</v>
      </c>
      <c r="M1167" s="16"/>
      <c r="N1167" s="16"/>
    </row>
    <row r="1168">
      <c r="A1168" s="40" t="s">
        <v>1669</v>
      </c>
      <c r="B1168" s="10" t="str">
        <f t="shared" si="1"/>
        <v>RNA-gill</v>
      </c>
      <c r="C1168" s="10" t="str">
        <f t="shared" si="2"/>
        <v>BRN74G-H9</v>
      </c>
      <c r="D1168" s="11">
        <f t="array" ref="D1168">iferror(index('rna-muscle'!D:D,match(A1168,'rna-muscle'!A:A,0)))</f>
        <v>74</v>
      </c>
      <c r="E1168" s="10" t="str">
        <f t="shared" si="3"/>
        <v>BRN74G</v>
      </c>
      <c r="F1168" s="11" t="str">
        <f t="array" ref="F1168">iferror(index('rna-muscle'!F:F,match($A1168,'rna-muscle'!$A:$A,0)))</f>
        <v>H</v>
      </c>
      <c r="G1168" s="11">
        <f t="array" ref="G1168">iferror(index('rna-muscle'!G:G,match($A1168,'rna-muscle'!$A:$A,0)))</f>
        <v>9</v>
      </c>
      <c r="H1168" s="11" t="str">
        <f t="shared" si="4"/>
        <v>H9</v>
      </c>
      <c r="I1168" s="10" t="str">
        <f t="shared" si="5"/>
        <v>BRN74G-H9</v>
      </c>
      <c r="J1168" s="16"/>
      <c r="K1168" s="16" t="str">
        <f t="shared" si="6"/>
        <v>collected</v>
      </c>
      <c r="L1168" s="16" t="str">
        <f t="shared" si="7"/>
        <v>N</v>
      </c>
      <c r="M1168" s="16"/>
      <c r="N1168" s="16"/>
    </row>
    <row r="1169">
      <c r="A1169" s="40" t="s">
        <v>1670</v>
      </c>
      <c r="B1169" s="10" t="str">
        <f t="shared" si="1"/>
        <v>RNA-gill</v>
      </c>
      <c r="C1169" s="10" t="str">
        <f t="shared" si="2"/>
        <v>BRN74G-G9</v>
      </c>
      <c r="D1169" s="11">
        <f t="array" ref="D1169">iferror(index('rna-muscle'!D:D,match(A1169,'rna-muscle'!A:A,0)))</f>
        <v>74</v>
      </c>
      <c r="E1169" s="10" t="str">
        <f t="shared" si="3"/>
        <v>BRN74G</v>
      </c>
      <c r="F1169" s="11" t="str">
        <f t="array" ref="F1169">iferror(index('rna-muscle'!F:F,match($A1169,'rna-muscle'!$A:$A,0)))</f>
        <v>G</v>
      </c>
      <c r="G1169" s="11">
        <f t="array" ref="G1169">iferror(index('rna-muscle'!G:G,match($A1169,'rna-muscle'!$A:$A,0)))</f>
        <v>9</v>
      </c>
      <c r="H1169" s="11" t="str">
        <f t="shared" si="4"/>
        <v>G9</v>
      </c>
      <c r="I1169" s="10" t="str">
        <f t="shared" si="5"/>
        <v>BRN74G-G9</v>
      </c>
      <c r="J1169" s="16"/>
      <c r="K1169" s="16" t="str">
        <f t="shared" si="6"/>
        <v>collected</v>
      </c>
      <c r="L1169" s="16" t="str">
        <f t="shared" si="7"/>
        <v>N</v>
      </c>
      <c r="M1169" s="16"/>
      <c r="N1169" s="16"/>
    </row>
    <row r="1170">
      <c r="A1170" s="40" t="s">
        <v>1671</v>
      </c>
      <c r="B1170" s="10" t="str">
        <f t="shared" si="1"/>
        <v>RNA-gill</v>
      </c>
      <c r="C1170" s="10" t="str">
        <f t="shared" si="2"/>
        <v>BRN74G-F9</v>
      </c>
      <c r="D1170" s="11">
        <f t="array" ref="D1170">iferror(index('rna-muscle'!D:D,match(A1170,'rna-muscle'!A:A,0)))</f>
        <v>74</v>
      </c>
      <c r="E1170" s="10" t="str">
        <f t="shared" si="3"/>
        <v>BRN74G</v>
      </c>
      <c r="F1170" s="11" t="str">
        <f t="array" ref="F1170">iferror(index('rna-muscle'!F:F,match($A1170,'rna-muscle'!$A:$A,0)))</f>
        <v>F</v>
      </c>
      <c r="G1170" s="11">
        <f t="array" ref="G1170">iferror(index('rna-muscle'!G:G,match($A1170,'rna-muscle'!$A:$A,0)))</f>
        <v>9</v>
      </c>
      <c r="H1170" s="11" t="str">
        <f t="shared" si="4"/>
        <v>F9</v>
      </c>
      <c r="I1170" s="10" t="str">
        <f t="shared" si="5"/>
        <v>BRN74G-F9</v>
      </c>
      <c r="J1170" s="16"/>
      <c r="K1170" s="16" t="str">
        <f t="shared" si="6"/>
        <v>collected</v>
      </c>
      <c r="L1170" s="16" t="str">
        <f t="shared" si="7"/>
        <v>N</v>
      </c>
      <c r="M1170" s="16"/>
      <c r="N1170" s="16"/>
    </row>
    <row r="1171">
      <c r="A1171" s="40" t="s">
        <v>1672</v>
      </c>
      <c r="B1171" s="10" t="str">
        <f t="shared" si="1"/>
        <v>RNA-gill</v>
      </c>
      <c r="C1171" s="10" t="str">
        <f t="shared" si="2"/>
        <v>BRN74G-E9</v>
      </c>
      <c r="D1171" s="11">
        <f t="array" ref="D1171">iferror(index('rna-muscle'!D:D,match(A1171,'rna-muscle'!A:A,0)))</f>
        <v>74</v>
      </c>
      <c r="E1171" s="10" t="str">
        <f t="shared" si="3"/>
        <v>BRN74G</v>
      </c>
      <c r="F1171" s="11" t="str">
        <f t="array" ref="F1171">iferror(index('rna-muscle'!F:F,match($A1171,'rna-muscle'!$A:$A,0)))</f>
        <v>E</v>
      </c>
      <c r="G1171" s="11">
        <f t="array" ref="G1171">iferror(index('rna-muscle'!G:G,match($A1171,'rna-muscle'!$A:$A,0)))</f>
        <v>9</v>
      </c>
      <c r="H1171" s="11" t="str">
        <f t="shared" si="4"/>
        <v>E9</v>
      </c>
      <c r="I1171" s="10" t="str">
        <f t="shared" si="5"/>
        <v>BRN74G-E9</v>
      </c>
      <c r="J1171" s="16"/>
      <c r="K1171" s="16" t="str">
        <f t="shared" si="6"/>
        <v>collected</v>
      </c>
      <c r="L1171" s="16" t="str">
        <f t="shared" si="7"/>
        <v>N</v>
      </c>
      <c r="M1171" s="16"/>
      <c r="N1171" s="16"/>
    </row>
    <row r="1172">
      <c r="A1172" s="40" t="s">
        <v>1674</v>
      </c>
      <c r="B1172" s="10" t="str">
        <f t="shared" si="1"/>
        <v>RNA-gill</v>
      </c>
      <c r="C1172" s="10" t="str">
        <f t="shared" si="2"/>
        <v>BRN74G-D9</v>
      </c>
      <c r="D1172" s="11">
        <f t="array" ref="D1172">iferror(index('rna-muscle'!D:D,match(A1172,'rna-muscle'!A:A,0)))</f>
        <v>74</v>
      </c>
      <c r="E1172" s="10" t="str">
        <f t="shared" si="3"/>
        <v>BRN74G</v>
      </c>
      <c r="F1172" s="11" t="str">
        <f t="array" ref="F1172">iferror(index('rna-muscle'!F:F,match($A1172,'rna-muscle'!$A:$A,0)))</f>
        <v>D</v>
      </c>
      <c r="G1172" s="11">
        <f t="array" ref="G1172">iferror(index('rna-muscle'!G:G,match($A1172,'rna-muscle'!$A:$A,0)))</f>
        <v>9</v>
      </c>
      <c r="H1172" s="11" t="str">
        <f t="shared" si="4"/>
        <v>D9</v>
      </c>
      <c r="I1172" s="10" t="str">
        <f t="shared" si="5"/>
        <v>BRN74G-D9</v>
      </c>
      <c r="J1172" s="16"/>
      <c r="K1172" s="16" t="str">
        <f t="shared" si="6"/>
        <v>collected</v>
      </c>
      <c r="L1172" s="16" t="str">
        <f t="shared" si="7"/>
        <v>N</v>
      </c>
      <c r="M1172" s="16"/>
      <c r="N1172" s="16"/>
    </row>
    <row r="1173">
      <c r="A1173" s="40" t="s">
        <v>1675</v>
      </c>
      <c r="B1173" s="10" t="str">
        <f t="shared" si="1"/>
        <v>RNA-gill</v>
      </c>
      <c r="C1173" s="10" t="str">
        <f t="shared" si="2"/>
        <v>BRN74G-C9</v>
      </c>
      <c r="D1173" s="11">
        <f t="array" ref="D1173">iferror(index('rna-muscle'!D:D,match(A1173,'rna-muscle'!A:A,0)))</f>
        <v>74</v>
      </c>
      <c r="E1173" s="10" t="str">
        <f t="shared" si="3"/>
        <v>BRN74G</v>
      </c>
      <c r="F1173" s="11" t="str">
        <f t="array" ref="F1173">iferror(index('rna-muscle'!F:F,match($A1173,'rna-muscle'!$A:$A,0)))</f>
        <v>C</v>
      </c>
      <c r="G1173" s="11">
        <f t="array" ref="G1173">iferror(index('rna-muscle'!G:G,match($A1173,'rna-muscle'!$A:$A,0)))</f>
        <v>9</v>
      </c>
      <c r="H1173" s="11" t="str">
        <f t="shared" si="4"/>
        <v>C9</v>
      </c>
      <c r="I1173" s="10" t="str">
        <f t="shared" si="5"/>
        <v>BRN74G-C9</v>
      </c>
      <c r="J1173" s="16"/>
      <c r="K1173" s="16" t="str">
        <f t="shared" si="6"/>
        <v>collected</v>
      </c>
      <c r="L1173" s="16" t="str">
        <f t="shared" si="7"/>
        <v>N</v>
      </c>
      <c r="M1173" s="16"/>
      <c r="N1173" s="16"/>
    </row>
    <row r="1174">
      <c r="A1174" s="40" t="s">
        <v>1676</v>
      </c>
      <c r="B1174" s="10" t="str">
        <f t="shared" si="1"/>
        <v>RNA-gill</v>
      </c>
      <c r="C1174" s="10" t="str">
        <f t="shared" si="2"/>
        <v>BRN74G-B9</v>
      </c>
      <c r="D1174" s="11">
        <f t="array" ref="D1174">iferror(index('rna-muscle'!D:D,match(A1174,'rna-muscle'!A:A,0)))</f>
        <v>74</v>
      </c>
      <c r="E1174" s="10" t="str">
        <f t="shared" si="3"/>
        <v>BRN74G</v>
      </c>
      <c r="F1174" s="11" t="str">
        <f t="array" ref="F1174">iferror(index('rna-muscle'!F:F,match($A1174,'rna-muscle'!$A:$A,0)))</f>
        <v>B</v>
      </c>
      <c r="G1174" s="11">
        <f t="array" ref="G1174">iferror(index('rna-muscle'!G:G,match($A1174,'rna-muscle'!$A:$A,0)))</f>
        <v>9</v>
      </c>
      <c r="H1174" s="11" t="str">
        <f t="shared" si="4"/>
        <v>B9</v>
      </c>
      <c r="I1174" s="10" t="str">
        <f t="shared" si="5"/>
        <v>BRN74G-B9</v>
      </c>
      <c r="J1174" s="16"/>
      <c r="K1174" s="16" t="str">
        <f t="shared" si="6"/>
        <v>collected</v>
      </c>
      <c r="L1174" s="16" t="str">
        <f t="shared" si="7"/>
        <v>N</v>
      </c>
      <c r="M1174" s="16"/>
      <c r="N1174" s="16"/>
    </row>
    <row r="1175">
      <c r="A1175" s="40" t="s">
        <v>1677</v>
      </c>
      <c r="B1175" s="10" t="str">
        <f t="shared" si="1"/>
        <v>RNA-gill</v>
      </c>
      <c r="C1175" s="10" t="str">
        <f t="shared" si="2"/>
        <v>BRN74G-A9</v>
      </c>
      <c r="D1175" s="11">
        <f t="array" ref="D1175">iferror(index('rna-muscle'!D:D,match(A1175,'rna-muscle'!A:A,0)))</f>
        <v>74</v>
      </c>
      <c r="E1175" s="10" t="str">
        <f t="shared" si="3"/>
        <v>BRN74G</v>
      </c>
      <c r="F1175" s="11" t="str">
        <f t="array" ref="F1175">iferror(index('rna-muscle'!F:F,match($A1175,'rna-muscle'!$A:$A,0)))</f>
        <v>A</v>
      </c>
      <c r="G1175" s="11">
        <f t="array" ref="G1175">iferror(index('rna-muscle'!G:G,match($A1175,'rna-muscle'!$A:$A,0)))</f>
        <v>9</v>
      </c>
      <c r="H1175" s="11" t="str">
        <f t="shared" si="4"/>
        <v>A9</v>
      </c>
      <c r="I1175" s="10" t="str">
        <f t="shared" si="5"/>
        <v>BRN74G-A9</v>
      </c>
      <c r="J1175" s="16"/>
      <c r="K1175" s="16" t="str">
        <f t="shared" si="6"/>
        <v>collected</v>
      </c>
      <c r="L1175" s="16" t="str">
        <f t="shared" si="7"/>
        <v>N</v>
      </c>
      <c r="M1175" s="16"/>
      <c r="N1175" s="16"/>
    </row>
    <row r="1176">
      <c r="A1176" s="40" t="s">
        <v>1678</v>
      </c>
      <c r="B1176" s="10" t="str">
        <f t="shared" si="1"/>
        <v>RNA-gill</v>
      </c>
      <c r="C1176" s="10" t="str">
        <f t="shared" si="2"/>
        <v>BRN74G-H10</v>
      </c>
      <c r="D1176" s="11">
        <f t="array" ref="D1176">iferror(index('rna-muscle'!D:D,match(A1176,'rna-muscle'!A:A,0)))</f>
        <v>74</v>
      </c>
      <c r="E1176" s="10" t="str">
        <f t="shared" si="3"/>
        <v>BRN74G</v>
      </c>
      <c r="F1176" s="11" t="str">
        <f t="array" ref="F1176">iferror(index('rna-muscle'!F:F,match($A1176,'rna-muscle'!$A:$A,0)))</f>
        <v>H</v>
      </c>
      <c r="G1176" s="11">
        <f t="array" ref="G1176">iferror(index('rna-muscle'!G:G,match($A1176,'rna-muscle'!$A:$A,0)))</f>
        <v>10</v>
      </c>
      <c r="H1176" s="11" t="str">
        <f t="shared" si="4"/>
        <v>H10</v>
      </c>
      <c r="I1176" s="10" t="str">
        <f t="shared" si="5"/>
        <v>BRN74G-H10</v>
      </c>
      <c r="J1176" s="16"/>
      <c r="K1176" s="16" t="str">
        <f t="shared" si="6"/>
        <v>collected</v>
      </c>
      <c r="L1176" s="16" t="str">
        <f t="shared" si="7"/>
        <v>N</v>
      </c>
      <c r="M1176" s="16"/>
      <c r="N1176" s="16"/>
    </row>
    <row r="1177">
      <c r="A1177" s="40" t="s">
        <v>1680</v>
      </c>
      <c r="B1177" s="10" t="str">
        <f t="shared" si="1"/>
        <v>RNA-gill</v>
      </c>
      <c r="C1177" s="10" t="str">
        <f t="shared" si="2"/>
        <v>BRN74G-G10</v>
      </c>
      <c r="D1177" s="11">
        <f t="array" ref="D1177">iferror(index('rna-muscle'!D:D,match(A1177,'rna-muscle'!A:A,0)))</f>
        <v>74</v>
      </c>
      <c r="E1177" s="10" t="str">
        <f t="shared" si="3"/>
        <v>BRN74G</v>
      </c>
      <c r="F1177" s="11" t="str">
        <f t="array" ref="F1177">iferror(index('rna-muscle'!F:F,match($A1177,'rna-muscle'!$A:$A,0)))</f>
        <v>G</v>
      </c>
      <c r="G1177" s="11">
        <f t="array" ref="G1177">iferror(index('rna-muscle'!G:G,match($A1177,'rna-muscle'!$A:$A,0)))</f>
        <v>10</v>
      </c>
      <c r="H1177" s="11" t="str">
        <f t="shared" si="4"/>
        <v>G10</v>
      </c>
      <c r="I1177" s="10" t="str">
        <f t="shared" si="5"/>
        <v>BRN74G-G10</v>
      </c>
      <c r="J1177" s="16"/>
      <c r="K1177" s="16" t="str">
        <f t="shared" si="6"/>
        <v>collected</v>
      </c>
      <c r="L1177" s="16" t="str">
        <f t="shared" si="7"/>
        <v>N</v>
      </c>
      <c r="M1177" s="16"/>
      <c r="N1177" s="16"/>
    </row>
    <row r="1178">
      <c r="A1178" s="40" t="s">
        <v>1681</v>
      </c>
      <c r="B1178" s="10" t="str">
        <f t="shared" si="1"/>
        <v>RNA-gill</v>
      </c>
      <c r="C1178" s="10" t="str">
        <f t="shared" si="2"/>
        <v>BRN74G-F10</v>
      </c>
      <c r="D1178" s="11">
        <f t="array" ref="D1178">iferror(index('rna-muscle'!D:D,match(A1178,'rna-muscle'!A:A,0)))</f>
        <v>74</v>
      </c>
      <c r="E1178" s="10" t="str">
        <f t="shared" si="3"/>
        <v>BRN74G</v>
      </c>
      <c r="F1178" s="11" t="str">
        <f t="array" ref="F1178">iferror(index('rna-muscle'!F:F,match($A1178,'rna-muscle'!$A:$A,0)))</f>
        <v>F</v>
      </c>
      <c r="G1178" s="11">
        <f t="array" ref="G1178">iferror(index('rna-muscle'!G:G,match($A1178,'rna-muscle'!$A:$A,0)))</f>
        <v>10</v>
      </c>
      <c r="H1178" s="11" t="str">
        <f t="shared" si="4"/>
        <v>F10</v>
      </c>
      <c r="I1178" s="10" t="str">
        <f t="shared" si="5"/>
        <v>BRN74G-F10</v>
      </c>
      <c r="J1178" s="16"/>
      <c r="K1178" s="16" t="str">
        <f t="shared" si="6"/>
        <v>collected</v>
      </c>
      <c r="L1178" s="16" t="str">
        <f t="shared" si="7"/>
        <v>N</v>
      </c>
      <c r="M1178" s="16"/>
      <c r="N1178" s="16"/>
    </row>
    <row r="1179">
      <c r="A1179" s="40" t="s">
        <v>1682</v>
      </c>
      <c r="B1179" s="10" t="str">
        <f t="shared" si="1"/>
        <v>RNA-gill</v>
      </c>
      <c r="C1179" s="10" t="str">
        <f t="shared" si="2"/>
        <v>BRN74G-E10</v>
      </c>
      <c r="D1179" s="11">
        <f t="array" ref="D1179">iferror(index('rna-muscle'!D:D,match(A1179,'rna-muscle'!A:A,0)))</f>
        <v>74</v>
      </c>
      <c r="E1179" s="10" t="str">
        <f t="shared" si="3"/>
        <v>BRN74G</v>
      </c>
      <c r="F1179" s="11" t="str">
        <f t="array" ref="F1179">iferror(index('rna-muscle'!F:F,match($A1179,'rna-muscle'!$A:$A,0)))</f>
        <v>E</v>
      </c>
      <c r="G1179" s="11">
        <f t="array" ref="G1179">iferror(index('rna-muscle'!G:G,match($A1179,'rna-muscle'!$A:$A,0)))</f>
        <v>10</v>
      </c>
      <c r="H1179" s="11" t="str">
        <f t="shared" si="4"/>
        <v>E10</v>
      </c>
      <c r="I1179" s="10" t="str">
        <f t="shared" si="5"/>
        <v>BRN74G-E10</v>
      </c>
      <c r="J1179" s="16"/>
      <c r="K1179" s="16" t="str">
        <f t="shared" si="6"/>
        <v>collected</v>
      </c>
      <c r="L1179" s="16" t="str">
        <f t="shared" si="7"/>
        <v>N</v>
      </c>
      <c r="M1179" s="16"/>
      <c r="N1179" s="16"/>
    </row>
    <row r="1180">
      <c r="A1180" s="40" t="s">
        <v>1683</v>
      </c>
      <c r="B1180" s="10" t="str">
        <f t="shared" si="1"/>
        <v>RNA-gill</v>
      </c>
      <c r="C1180" s="10" t="str">
        <f t="shared" si="2"/>
        <v>BRN74G-D10</v>
      </c>
      <c r="D1180" s="11">
        <f t="array" ref="D1180">iferror(index('rna-muscle'!D:D,match(A1180,'rna-muscle'!A:A,0)))</f>
        <v>74</v>
      </c>
      <c r="E1180" s="10" t="str">
        <f t="shared" si="3"/>
        <v>BRN74G</v>
      </c>
      <c r="F1180" s="11" t="str">
        <f t="array" ref="F1180">iferror(index('rna-muscle'!F:F,match($A1180,'rna-muscle'!$A:$A,0)))</f>
        <v>D</v>
      </c>
      <c r="G1180" s="11">
        <f t="array" ref="G1180">iferror(index('rna-muscle'!G:G,match($A1180,'rna-muscle'!$A:$A,0)))</f>
        <v>10</v>
      </c>
      <c r="H1180" s="11" t="str">
        <f t="shared" si="4"/>
        <v>D10</v>
      </c>
      <c r="I1180" s="10" t="str">
        <f t="shared" si="5"/>
        <v>BRN74G-D10</v>
      </c>
      <c r="J1180" s="16"/>
      <c r="K1180" s="16" t="str">
        <f t="shared" si="6"/>
        <v>collected</v>
      </c>
      <c r="L1180" s="16" t="str">
        <f t="shared" si="7"/>
        <v>N</v>
      </c>
      <c r="M1180" s="16"/>
      <c r="N1180" s="16"/>
    </row>
    <row r="1181">
      <c r="A1181" s="40" t="s">
        <v>1684</v>
      </c>
      <c r="B1181" s="10" t="str">
        <f t="shared" si="1"/>
        <v>RNA-gill</v>
      </c>
      <c r="C1181" s="10" t="str">
        <f t="shared" si="2"/>
        <v>BRN74G-C10</v>
      </c>
      <c r="D1181" s="11">
        <f t="array" ref="D1181">iferror(index('rna-muscle'!D:D,match(A1181,'rna-muscle'!A:A,0)))</f>
        <v>74</v>
      </c>
      <c r="E1181" s="10" t="str">
        <f t="shared" si="3"/>
        <v>BRN74G</v>
      </c>
      <c r="F1181" s="11" t="str">
        <f t="array" ref="F1181">iferror(index('rna-muscle'!F:F,match($A1181,'rna-muscle'!$A:$A,0)))</f>
        <v>C</v>
      </c>
      <c r="G1181" s="11">
        <f t="array" ref="G1181">iferror(index('rna-muscle'!G:G,match($A1181,'rna-muscle'!$A:$A,0)))</f>
        <v>10</v>
      </c>
      <c r="H1181" s="11" t="str">
        <f t="shared" si="4"/>
        <v>C10</v>
      </c>
      <c r="I1181" s="10" t="str">
        <f t="shared" si="5"/>
        <v>BRN74G-C10</v>
      </c>
      <c r="J1181" s="16"/>
      <c r="K1181" s="16" t="str">
        <f t="shared" si="6"/>
        <v>collected</v>
      </c>
      <c r="L1181" s="16" t="str">
        <f t="shared" si="7"/>
        <v>N</v>
      </c>
      <c r="M1181" s="16"/>
      <c r="N1181" s="16"/>
    </row>
    <row r="1182">
      <c r="A1182" s="40" t="s">
        <v>1686</v>
      </c>
      <c r="B1182" s="10" t="str">
        <f t="shared" si="1"/>
        <v>RNA-gill</v>
      </c>
      <c r="C1182" s="10" t="str">
        <f t="shared" si="2"/>
        <v>BRN74G-B10</v>
      </c>
      <c r="D1182" s="11">
        <f t="array" ref="D1182">iferror(index('rna-muscle'!D:D,match(A1182,'rna-muscle'!A:A,0)))</f>
        <v>74</v>
      </c>
      <c r="E1182" s="10" t="str">
        <f t="shared" si="3"/>
        <v>BRN74G</v>
      </c>
      <c r="F1182" s="11" t="str">
        <f t="array" ref="F1182">iferror(index('rna-muscle'!F:F,match($A1182,'rna-muscle'!$A:$A,0)))</f>
        <v>B</v>
      </c>
      <c r="G1182" s="11">
        <f t="array" ref="G1182">iferror(index('rna-muscle'!G:G,match($A1182,'rna-muscle'!$A:$A,0)))</f>
        <v>10</v>
      </c>
      <c r="H1182" s="11" t="str">
        <f t="shared" si="4"/>
        <v>B10</v>
      </c>
      <c r="I1182" s="10" t="str">
        <f t="shared" si="5"/>
        <v>BRN74G-B10</v>
      </c>
      <c r="J1182" s="16"/>
      <c r="K1182" s="16" t="str">
        <f t="shared" si="6"/>
        <v>collected</v>
      </c>
      <c r="L1182" s="16" t="str">
        <f t="shared" si="7"/>
        <v>N</v>
      </c>
      <c r="M1182" s="16"/>
      <c r="N1182" s="16"/>
    </row>
    <row r="1183">
      <c r="A1183" s="40" t="s">
        <v>1687</v>
      </c>
      <c r="B1183" s="10" t="str">
        <f t="shared" si="1"/>
        <v>RNA-gill</v>
      </c>
      <c r="C1183" s="10" t="str">
        <f t="shared" si="2"/>
        <v>BRN74G-A10</v>
      </c>
      <c r="D1183" s="11">
        <f t="array" ref="D1183">iferror(index('rna-muscle'!D:D,match(A1183,'rna-muscle'!A:A,0)))</f>
        <v>74</v>
      </c>
      <c r="E1183" s="10" t="str">
        <f t="shared" si="3"/>
        <v>BRN74G</v>
      </c>
      <c r="F1183" s="11" t="str">
        <f t="array" ref="F1183">iferror(index('rna-muscle'!F:F,match($A1183,'rna-muscle'!$A:$A,0)))</f>
        <v>A</v>
      </c>
      <c r="G1183" s="11">
        <f t="array" ref="G1183">iferror(index('rna-muscle'!G:G,match($A1183,'rna-muscle'!$A:$A,0)))</f>
        <v>10</v>
      </c>
      <c r="H1183" s="11" t="str">
        <f t="shared" si="4"/>
        <v>A10</v>
      </c>
      <c r="I1183" s="10" t="str">
        <f t="shared" si="5"/>
        <v>BRN74G-A10</v>
      </c>
      <c r="J1183" s="16"/>
      <c r="K1183" s="16" t="str">
        <f t="shared" si="6"/>
        <v>collected</v>
      </c>
      <c r="L1183" s="16" t="str">
        <f t="shared" si="7"/>
        <v>N</v>
      </c>
      <c r="M1183" s="16"/>
      <c r="N1183" s="16"/>
    </row>
    <row r="1184">
      <c r="A1184" s="40" t="s">
        <v>1688</v>
      </c>
      <c r="B1184" s="10" t="str">
        <f t="shared" si="1"/>
        <v>RNA-gill</v>
      </c>
      <c r="C1184" s="10" t="str">
        <f t="shared" si="2"/>
        <v>BRN75G-H1</v>
      </c>
      <c r="D1184" s="11">
        <f t="array" ref="D1184">iferror(index('rna-muscle'!D:D,match(A1184,'rna-muscle'!A:A,0)))</f>
        <v>75</v>
      </c>
      <c r="E1184" s="10" t="str">
        <f t="shared" si="3"/>
        <v>BRN75G</v>
      </c>
      <c r="F1184" s="11" t="str">
        <f t="array" ref="F1184">iferror(index('rna-muscle'!F:F,match($A1184,'rna-muscle'!$A:$A,0)))</f>
        <v>H</v>
      </c>
      <c r="G1184" s="11">
        <f t="array" ref="G1184">iferror(index('rna-muscle'!G:G,match($A1184,'rna-muscle'!$A:$A,0)))</f>
        <v>1</v>
      </c>
      <c r="H1184" s="11" t="str">
        <f t="shared" si="4"/>
        <v>H1</v>
      </c>
      <c r="I1184" s="10" t="str">
        <f t="shared" si="5"/>
        <v>BRN75G-H1</v>
      </c>
      <c r="J1184" s="16"/>
      <c r="K1184" s="16" t="str">
        <f t="shared" si="6"/>
        <v>collected</v>
      </c>
      <c r="L1184" s="16" t="str">
        <f t="shared" si="7"/>
        <v>N</v>
      </c>
      <c r="M1184" s="16"/>
      <c r="N1184" s="16"/>
    </row>
    <row r="1185">
      <c r="A1185" s="40" t="s">
        <v>1690</v>
      </c>
      <c r="B1185" s="10" t="str">
        <f t="shared" si="1"/>
        <v>RNA-gill</v>
      </c>
      <c r="C1185" s="10" t="str">
        <f t="shared" si="2"/>
        <v>BRN75G-G1</v>
      </c>
      <c r="D1185" s="11">
        <f t="array" ref="D1185">iferror(index('rna-muscle'!D:D,match(A1185,'rna-muscle'!A:A,0)))</f>
        <v>75</v>
      </c>
      <c r="E1185" s="10" t="str">
        <f t="shared" si="3"/>
        <v>BRN75G</v>
      </c>
      <c r="F1185" s="11" t="str">
        <f t="array" ref="F1185">iferror(index('rna-muscle'!F:F,match($A1185,'rna-muscle'!$A:$A,0)))</f>
        <v>G</v>
      </c>
      <c r="G1185" s="11">
        <f t="array" ref="G1185">iferror(index('rna-muscle'!G:G,match($A1185,'rna-muscle'!$A:$A,0)))</f>
        <v>1</v>
      </c>
      <c r="H1185" s="11" t="str">
        <f t="shared" si="4"/>
        <v>G1</v>
      </c>
      <c r="I1185" s="10" t="str">
        <f t="shared" si="5"/>
        <v>BRN75G-G1</v>
      </c>
      <c r="J1185" s="16"/>
      <c r="K1185" s="16" t="str">
        <f t="shared" si="6"/>
        <v>collected</v>
      </c>
      <c r="L1185" s="16" t="str">
        <f t="shared" si="7"/>
        <v>N</v>
      </c>
      <c r="M1185" s="16"/>
      <c r="N1185" s="16"/>
    </row>
    <row r="1186">
      <c r="A1186" s="40" t="s">
        <v>1691</v>
      </c>
      <c r="B1186" s="10" t="str">
        <f t="shared" si="1"/>
        <v>RNA-gill</v>
      </c>
      <c r="C1186" s="10" t="str">
        <f t="shared" si="2"/>
        <v>BRN75G-F1</v>
      </c>
      <c r="D1186" s="11">
        <f t="array" ref="D1186">iferror(index('rna-muscle'!D:D,match(A1186,'rna-muscle'!A:A,0)))</f>
        <v>75</v>
      </c>
      <c r="E1186" s="10" t="str">
        <f t="shared" si="3"/>
        <v>BRN75G</v>
      </c>
      <c r="F1186" s="11" t="str">
        <f t="array" ref="F1186">iferror(index('rna-muscle'!F:F,match($A1186,'rna-muscle'!$A:$A,0)))</f>
        <v>F</v>
      </c>
      <c r="G1186" s="11">
        <f t="array" ref="G1186">iferror(index('rna-muscle'!G:G,match($A1186,'rna-muscle'!$A:$A,0)))</f>
        <v>1</v>
      </c>
      <c r="H1186" s="11" t="str">
        <f t="shared" si="4"/>
        <v>F1</v>
      </c>
      <c r="I1186" s="10" t="str">
        <f t="shared" si="5"/>
        <v>BRN75G-F1</v>
      </c>
      <c r="J1186" s="16"/>
      <c r="K1186" s="16" t="str">
        <f t="shared" si="6"/>
        <v>collected</v>
      </c>
      <c r="L1186" s="16" t="str">
        <f t="shared" si="7"/>
        <v>N</v>
      </c>
      <c r="M1186" s="16"/>
      <c r="N1186" s="16"/>
    </row>
    <row r="1187">
      <c r="A1187" s="40" t="s">
        <v>1692</v>
      </c>
      <c r="B1187" s="10" t="str">
        <f t="shared" si="1"/>
        <v>RNA-gill</v>
      </c>
      <c r="C1187" s="10" t="str">
        <f t="shared" si="2"/>
        <v>BRN75G-E1</v>
      </c>
      <c r="D1187" s="11">
        <f t="array" ref="D1187">iferror(index('rna-muscle'!D:D,match(A1187,'rna-muscle'!A:A,0)))</f>
        <v>75</v>
      </c>
      <c r="E1187" s="10" t="str">
        <f t="shared" si="3"/>
        <v>BRN75G</v>
      </c>
      <c r="F1187" s="11" t="str">
        <f t="array" ref="F1187">iferror(index('rna-muscle'!F:F,match($A1187,'rna-muscle'!$A:$A,0)))</f>
        <v>E</v>
      </c>
      <c r="G1187" s="11">
        <f t="array" ref="G1187">iferror(index('rna-muscle'!G:G,match($A1187,'rna-muscle'!$A:$A,0)))</f>
        <v>1</v>
      </c>
      <c r="H1187" s="11" t="str">
        <f t="shared" si="4"/>
        <v>E1</v>
      </c>
      <c r="I1187" s="10" t="str">
        <f t="shared" si="5"/>
        <v>BRN75G-E1</v>
      </c>
      <c r="J1187" s="16"/>
      <c r="K1187" s="16" t="str">
        <f t="shared" si="6"/>
        <v>collected</v>
      </c>
      <c r="L1187" s="16" t="str">
        <f t="shared" si="7"/>
        <v>N</v>
      </c>
      <c r="M1187" s="16"/>
      <c r="N1187" s="16"/>
    </row>
    <row r="1188">
      <c r="A1188" s="40" t="s">
        <v>1693</v>
      </c>
      <c r="B1188" s="10" t="str">
        <f t="shared" si="1"/>
        <v>RNA-gill</v>
      </c>
      <c r="C1188" s="10" t="str">
        <f t="shared" si="2"/>
        <v>BRN75G-D1</v>
      </c>
      <c r="D1188" s="11">
        <f t="array" ref="D1188">iferror(index('rna-muscle'!D:D,match(A1188,'rna-muscle'!A:A,0)))</f>
        <v>75</v>
      </c>
      <c r="E1188" s="10" t="str">
        <f t="shared" si="3"/>
        <v>BRN75G</v>
      </c>
      <c r="F1188" s="11" t="str">
        <f t="array" ref="F1188">iferror(index('rna-muscle'!F:F,match($A1188,'rna-muscle'!$A:$A,0)))</f>
        <v>D</v>
      </c>
      <c r="G1188" s="11">
        <f t="array" ref="G1188">iferror(index('rna-muscle'!G:G,match($A1188,'rna-muscle'!$A:$A,0)))</f>
        <v>1</v>
      </c>
      <c r="H1188" s="11" t="str">
        <f t="shared" si="4"/>
        <v>D1</v>
      </c>
      <c r="I1188" s="10" t="str">
        <f t="shared" si="5"/>
        <v>BRN75G-D1</v>
      </c>
      <c r="J1188" s="16"/>
      <c r="K1188" s="16" t="str">
        <f t="shared" si="6"/>
        <v>collected</v>
      </c>
      <c r="L1188" s="16" t="str">
        <f t="shared" si="7"/>
        <v>N</v>
      </c>
      <c r="M1188" s="16"/>
      <c r="N1188" s="16"/>
    </row>
    <row r="1189">
      <c r="A1189" s="40" t="s">
        <v>1695</v>
      </c>
      <c r="B1189" s="10" t="str">
        <f t="shared" si="1"/>
        <v>RNA-gill</v>
      </c>
      <c r="C1189" s="10" t="str">
        <f t="shared" si="2"/>
        <v>BRN75G-C1</v>
      </c>
      <c r="D1189" s="11">
        <f t="array" ref="D1189">iferror(index('rna-muscle'!D:D,match(A1189,'rna-muscle'!A:A,0)))</f>
        <v>75</v>
      </c>
      <c r="E1189" s="10" t="str">
        <f t="shared" si="3"/>
        <v>BRN75G</v>
      </c>
      <c r="F1189" s="11" t="str">
        <f t="array" ref="F1189">iferror(index('rna-muscle'!F:F,match($A1189,'rna-muscle'!$A:$A,0)))</f>
        <v>C</v>
      </c>
      <c r="G1189" s="11">
        <f t="array" ref="G1189">iferror(index('rna-muscle'!G:G,match($A1189,'rna-muscle'!$A:$A,0)))</f>
        <v>1</v>
      </c>
      <c r="H1189" s="11" t="str">
        <f t="shared" si="4"/>
        <v>C1</v>
      </c>
      <c r="I1189" s="10" t="str">
        <f t="shared" si="5"/>
        <v>BRN75G-C1</v>
      </c>
      <c r="J1189" s="16"/>
      <c r="K1189" s="16" t="str">
        <f t="shared" si="6"/>
        <v>collected</v>
      </c>
      <c r="L1189" s="16" t="str">
        <f t="shared" si="7"/>
        <v>N</v>
      </c>
      <c r="M1189" s="16"/>
      <c r="N1189" s="16"/>
    </row>
    <row r="1190">
      <c r="A1190" s="40" t="s">
        <v>1696</v>
      </c>
      <c r="B1190" s="10" t="str">
        <f t="shared" si="1"/>
        <v>RNA-gill</v>
      </c>
      <c r="C1190" s="10" t="str">
        <f t="shared" si="2"/>
        <v>BRN74G-F4</v>
      </c>
      <c r="D1190" s="11">
        <f t="array" ref="D1190">iferror(index('rna-muscle'!D:D,match(A1190,'rna-muscle'!A:A,0)))</f>
        <v>74</v>
      </c>
      <c r="E1190" s="10" t="str">
        <f t="shared" si="3"/>
        <v>BRN74G</v>
      </c>
      <c r="F1190" s="11" t="str">
        <f t="array" ref="F1190">iferror(index('rna-muscle'!F:F,match($A1190,'rna-muscle'!$A:$A,0)))</f>
        <v>F</v>
      </c>
      <c r="G1190" s="11">
        <f t="array" ref="G1190">iferror(index('rna-muscle'!G:G,match($A1190,'rna-muscle'!$A:$A,0)))</f>
        <v>4</v>
      </c>
      <c r="H1190" s="11" t="str">
        <f t="shared" si="4"/>
        <v>F4</v>
      </c>
      <c r="I1190" s="10" t="str">
        <f t="shared" si="5"/>
        <v>BRN74G-F4</v>
      </c>
      <c r="J1190" s="16"/>
      <c r="K1190" s="16" t="str">
        <f t="shared" si="6"/>
        <v>collected</v>
      </c>
      <c r="L1190" s="16" t="str">
        <f t="shared" si="7"/>
        <v>N</v>
      </c>
      <c r="M1190" s="16"/>
      <c r="N1190" s="16"/>
    </row>
    <row r="1191">
      <c r="A1191" s="40" t="s">
        <v>1697</v>
      </c>
      <c r="B1191" s="10" t="str">
        <f t="shared" si="1"/>
        <v>RNA-gill</v>
      </c>
      <c r="C1191" s="10" t="str">
        <f t="shared" si="2"/>
        <v>BRN74G-E4</v>
      </c>
      <c r="D1191" s="11">
        <f t="array" ref="D1191">iferror(index('rna-muscle'!D:D,match(A1191,'rna-muscle'!A:A,0)))</f>
        <v>74</v>
      </c>
      <c r="E1191" s="10" t="str">
        <f t="shared" si="3"/>
        <v>BRN74G</v>
      </c>
      <c r="F1191" s="11" t="str">
        <f t="array" ref="F1191">iferror(index('rna-muscle'!F:F,match($A1191,'rna-muscle'!$A:$A,0)))</f>
        <v>E</v>
      </c>
      <c r="G1191" s="11">
        <f t="array" ref="G1191">iferror(index('rna-muscle'!G:G,match($A1191,'rna-muscle'!$A:$A,0)))</f>
        <v>4</v>
      </c>
      <c r="H1191" s="11" t="str">
        <f t="shared" si="4"/>
        <v>E4</v>
      </c>
      <c r="I1191" s="10" t="str">
        <f t="shared" si="5"/>
        <v>BRN74G-E4</v>
      </c>
      <c r="J1191" s="16"/>
      <c r="K1191" s="16" t="str">
        <f t="shared" si="6"/>
        <v>collected</v>
      </c>
      <c r="L1191" s="16" t="str">
        <f t="shared" si="7"/>
        <v>N</v>
      </c>
      <c r="M1191" s="16"/>
      <c r="N1191" s="16"/>
    </row>
    <row r="1192">
      <c r="A1192" s="40" t="s">
        <v>1698</v>
      </c>
      <c r="B1192" s="10" t="str">
        <f t="shared" si="1"/>
        <v>RNA-gill</v>
      </c>
      <c r="C1192" s="10" t="str">
        <f t="shared" si="2"/>
        <v>BRN74G-D4</v>
      </c>
      <c r="D1192" s="11">
        <f t="array" ref="D1192">iferror(index('rna-muscle'!D:D,match(A1192,'rna-muscle'!A:A,0)))</f>
        <v>74</v>
      </c>
      <c r="E1192" s="10" t="str">
        <f t="shared" si="3"/>
        <v>BRN74G</v>
      </c>
      <c r="F1192" s="11" t="str">
        <f t="array" ref="F1192">iferror(index('rna-muscle'!F:F,match($A1192,'rna-muscle'!$A:$A,0)))</f>
        <v>D</v>
      </c>
      <c r="G1192" s="11">
        <f t="array" ref="G1192">iferror(index('rna-muscle'!G:G,match($A1192,'rna-muscle'!$A:$A,0)))</f>
        <v>4</v>
      </c>
      <c r="H1192" s="11" t="str">
        <f t="shared" si="4"/>
        <v>D4</v>
      </c>
      <c r="I1192" s="10" t="str">
        <f t="shared" si="5"/>
        <v>BRN74G-D4</v>
      </c>
      <c r="J1192" s="16"/>
      <c r="K1192" s="16" t="str">
        <f t="shared" si="6"/>
        <v>collected</v>
      </c>
      <c r="L1192" s="16" t="str">
        <f t="shared" si="7"/>
        <v>N</v>
      </c>
      <c r="M1192" s="16"/>
      <c r="N1192" s="16"/>
    </row>
    <row r="1193">
      <c r="A1193" s="40" t="s">
        <v>1699</v>
      </c>
      <c r="B1193" s="10" t="str">
        <f t="shared" si="1"/>
        <v>RNA-gill</v>
      </c>
      <c r="C1193" s="10" t="str">
        <f t="shared" si="2"/>
        <v>BRN74G-C4</v>
      </c>
      <c r="D1193" s="11">
        <f t="array" ref="D1193">iferror(index('rna-muscle'!D:D,match(A1193,'rna-muscle'!A:A,0)))</f>
        <v>74</v>
      </c>
      <c r="E1193" s="10" t="str">
        <f t="shared" si="3"/>
        <v>BRN74G</v>
      </c>
      <c r="F1193" s="11" t="str">
        <f t="array" ref="F1193">iferror(index('rna-muscle'!F:F,match($A1193,'rna-muscle'!$A:$A,0)))</f>
        <v>C</v>
      </c>
      <c r="G1193" s="11">
        <f t="array" ref="G1193">iferror(index('rna-muscle'!G:G,match($A1193,'rna-muscle'!$A:$A,0)))</f>
        <v>4</v>
      </c>
      <c r="H1193" s="11" t="str">
        <f t="shared" si="4"/>
        <v>C4</v>
      </c>
      <c r="I1193" s="10" t="str">
        <f t="shared" si="5"/>
        <v>BRN74G-C4</v>
      </c>
      <c r="J1193" s="16"/>
      <c r="K1193" s="16" t="str">
        <f t="shared" si="6"/>
        <v>collected</v>
      </c>
      <c r="L1193" s="16" t="str">
        <f t="shared" si="7"/>
        <v>N</v>
      </c>
      <c r="M1193" s="16"/>
      <c r="N1193" s="16"/>
    </row>
    <row r="1194">
      <c r="A1194" s="40" t="s">
        <v>1701</v>
      </c>
      <c r="B1194" s="10" t="str">
        <f t="shared" si="1"/>
        <v>RNA-gill</v>
      </c>
      <c r="C1194" s="10" t="str">
        <f t="shared" si="2"/>
        <v>BRN74G-B4</v>
      </c>
      <c r="D1194" s="11">
        <f t="array" ref="D1194">iferror(index('rna-muscle'!D:D,match(A1194,'rna-muscle'!A:A,0)))</f>
        <v>74</v>
      </c>
      <c r="E1194" s="10" t="str">
        <f t="shared" si="3"/>
        <v>BRN74G</v>
      </c>
      <c r="F1194" s="11" t="str">
        <f t="array" ref="F1194">iferror(index('rna-muscle'!F:F,match($A1194,'rna-muscle'!$A:$A,0)))</f>
        <v>B</v>
      </c>
      <c r="G1194" s="11">
        <f t="array" ref="G1194">iferror(index('rna-muscle'!G:G,match($A1194,'rna-muscle'!$A:$A,0)))</f>
        <v>4</v>
      </c>
      <c r="H1194" s="11" t="str">
        <f t="shared" si="4"/>
        <v>B4</v>
      </c>
      <c r="I1194" s="10" t="str">
        <f t="shared" si="5"/>
        <v>BRN74G-B4</v>
      </c>
      <c r="J1194" s="16"/>
      <c r="K1194" s="16" t="str">
        <f t="shared" si="6"/>
        <v>collected</v>
      </c>
      <c r="L1194" s="16" t="str">
        <f t="shared" si="7"/>
        <v>N</v>
      </c>
      <c r="M1194" s="16"/>
      <c r="N1194" s="16"/>
    </row>
    <row r="1195">
      <c r="A1195" s="40" t="s">
        <v>1702</v>
      </c>
      <c r="B1195" s="10" t="str">
        <f t="shared" si="1"/>
        <v>RNA-gill</v>
      </c>
      <c r="C1195" s="10" t="str">
        <f t="shared" si="2"/>
        <v>BRN74G-A4</v>
      </c>
      <c r="D1195" s="11">
        <f t="array" ref="D1195">iferror(index('rna-muscle'!D:D,match(A1195,'rna-muscle'!A:A,0)))</f>
        <v>74</v>
      </c>
      <c r="E1195" s="10" t="str">
        <f t="shared" si="3"/>
        <v>BRN74G</v>
      </c>
      <c r="F1195" s="11" t="str">
        <f t="array" ref="F1195">iferror(index('rna-muscle'!F:F,match($A1195,'rna-muscle'!$A:$A,0)))</f>
        <v>A</v>
      </c>
      <c r="G1195" s="11">
        <f t="array" ref="G1195">iferror(index('rna-muscle'!G:G,match($A1195,'rna-muscle'!$A:$A,0)))</f>
        <v>4</v>
      </c>
      <c r="H1195" s="11" t="str">
        <f t="shared" si="4"/>
        <v>A4</v>
      </c>
      <c r="I1195" s="10" t="str">
        <f t="shared" si="5"/>
        <v>BRN74G-A4</v>
      </c>
      <c r="J1195" s="16"/>
      <c r="K1195" s="16" t="str">
        <f t="shared" si="6"/>
        <v>collected</v>
      </c>
      <c r="L1195" s="16" t="str">
        <f t="shared" si="7"/>
        <v>N</v>
      </c>
      <c r="M1195" s="16"/>
      <c r="N1195" s="16"/>
    </row>
    <row r="1196">
      <c r="A1196" s="40" t="s">
        <v>1703</v>
      </c>
      <c r="B1196" s="10" t="str">
        <f t="shared" si="1"/>
        <v>RNA-gill</v>
      </c>
      <c r="C1196" s="10" t="str">
        <f t="shared" si="2"/>
        <v>BRN74G-H5</v>
      </c>
      <c r="D1196" s="11">
        <f t="array" ref="D1196">iferror(index('rna-muscle'!D:D,match(A1196,'rna-muscle'!A:A,0)))</f>
        <v>74</v>
      </c>
      <c r="E1196" s="10" t="str">
        <f t="shared" si="3"/>
        <v>BRN74G</v>
      </c>
      <c r="F1196" s="11" t="str">
        <f t="array" ref="F1196">iferror(index('rna-muscle'!F:F,match($A1196,'rna-muscle'!$A:$A,0)))</f>
        <v>H</v>
      </c>
      <c r="G1196" s="11">
        <f t="array" ref="G1196">iferror(index('rna-muscle'!G:G,match($A1196,'rna-muscle'!$A:$A,0)))</f>
        <v>5</v>
      </c>
      <c r="H1196" s="11" t="str">
        <f t="shared" si="4"/>
        <v>H5</v>
      </c>
      <c r="I1196" s="10" t="str">
        <f t="shared" si="5"/>
        <v>BRN74G-H5</v>
      </c>
      <c r="J1196" s="16"/>
      <c r="K1196" s="16" t="str">
        <f t="shared" si="6"/>
        <v>collected</v>
      </c>
      <c r="L1196" s="16" t="str">
        <f t="shared" si="7"/>
        <v>N</v>
      </c>
      <c r="M1196" s="16"/>
      <c r="N1196" s="16"/>
    </row>
    <row r="1197">
      <c r="A1197" s="40" t="s">
        <v>1704</v>
      </c>
      <c r="B1197" s="10" t="str">
        <f t="shared" si="1"/>
        <v>RNA-gill</v>
      </c>
      <c r="C1197" s="10" t="str">
        <f t="shared" si="2"/>
        <v>BRN74G-G5</v>
      </c>
      <c r="D1197" s="11">
        <f t="array" ref="D1197">iferror(index('rna-muscle'!D:D,match(A1197,'rna-muscle'!A:A,0)))</f>
        <v>74</v>
      </c>
      <c r="E1197" s="10" t="str">
        <f t="shared" si="3"/>
        <v>BRN74G</v>
      </c>
      <c r="F1197" s="11" t="str">
        <f t="array" ref="F1197">iferror(index('rna-muscle'!F:F,match($A1197,'rna-muscle'!$A:$A,0)))</f>
        <v>G</v>
      </c>
      <c r="G1197" s="11">
        <f t="array" ref="G1197">iferror(index('rna-muscle'!G:G,match($A1197,'rna-muscle'!$A:$A,0)))</f>
        <v>5</v>
      </c>
      <c r="H1197" s="11" t="str">
        <f t="shared" si="4"/>
        <v>G5</v>
      </c>
      <c r="I1197" s="10" t="str">
        <f t="shared" si="5"/>
        <v>BRN74G-G5</v>
      </c>
      <c r="J1197" s="16"/>
      <c r="K1197" s="16" t="str">
        <f t="shared" si="6"/>
        <v>collected</v>
      </c>
      <c r="L1197" s="16" t="str">
        <f t="shared" si="7"/>
        <v>N</v>
      </c>
      <c r="M1197" s="16"/>
      <c r="N1197" s="16"/>
    </row>
    <row r="1198">
      <c r="A1198" s="40" t="s">
        <v>1706</v>
      </c>
      <c r="B1198" s="10" t="str">
        <f t="shared" si="1"/>
        <v>RNA-gill</v>
      </c>
      <c r="C1198" s="10" t="str">
        <f t="shared" si="2"/>
        <v>BRN74G-F5</v>
      </c>
      <c r="D1198" s="11">
        <f t="array" ref="D1198">iferror(index('rna-muscle'!D:D,match(A1198,'rna-muscle'!A:A,0)))</f>
        <v>74</v>
      </c>
      <c r="E1198" s="10" t="str">
        <f t="shared" si="3"/>
        <v>BRN74G</v>
      </c>
      <c r="F1198" s="11" t="str">
        <f t="array" ref="F1198">iferror(index('rna-muscle'!F:F,match($A1198,'rna-muscle'!$A:$A,0)))</f>
        <v>F</v>
      </c>
      <c r="G1198" s="11">
        <f t="array" ref="G1198">iferror(index('rna-muscle'!G:G,match($A1198,'rna-muscle'!$A:$A,0)))</f>
        <v>5</v>
      </c>
      <c r="H1198" s="11" t="str">
        <f t="shared" si="4"/>
        <v>F5</v>
      </c>
      <c r="I1198" s="10" t="str">
        <f t="shared" si="5"/>
        <v>BRN74G-F5</v>
      </c>
      <c r="J1198" s="16"/>
      <c r="K1198" s="16" t="str">
        <f t="shared" si="6"/>
        <v>collected</v>
      </c>
      <c r="L1198" s="16" t="str">
        <f t="shared" si="7"/>
        <v>N</v>
      </c>
      <c r="M1198" s="16"/>
      <c r="N1198" s="16"/>
    </row>
    <row r="1199">
      <c r="A1199" s="40" t="s">
        <v>1707</v>
      </c>
      <c r="B1199" s="10" t="str">
        <f t="shared" si="1"/>
        <v>RNA-gill</v>
      </c>
      <c r="C1199" s="10" t="str">
        <f t="shared" si="2"/>
        <v>BRN74G-E5</v>
      </c>
      <c r="D1199" s="11">
        <f t="array" ref="D1199">iferror(index('rna-muscle'!D:D,match(A1199,'rna-muscle'!A:A,0)))</f>
        <v>74</v>
      </c>
      <c r="E1199" s="10" t="str">
        <f t="shared" si="3"/>
        <v>BRN74G</v>
      </c>
      <c r="F1199" s="11" t="str">
        <f t="array" ref="F1199">iferror(index('rna-muscle'!F:F,match($A1199,'rna-muscle'!$A:$A,0)))</f>
        <v>E</v>
      </c>
      <c r="G1199" s="11">
        <f t="array" ref="G1199">iferror(index('rna-muscle'!G:G,match($A1199,'rna-muscle'!$A:$A,0)))</f>
        <v>5</v>
      </c>
      <c r="H1199" s="11" t="str">
        <f t="shared" si="4"/>
        <v>E5</v>
      </c>
      <c r="I1199" s="10" t="str">
        <f t="shared" si="5"/>
        <v>BRN74G-E5</v>
      </c>
      <c r="J1199" s="16"/>
      <c r="K1199" s="16" t="str">
        <f t="shared" si="6"/>
        <v>collected</v>
      </c>
      <c r="L1199" s="16" t="str">
        <f t="shared" si="7"/>
        <v>N</v>
      </c>
      <c r="M1199" s="16"/>
      <c r="N1199" s="16"/>
    </row>
    <row r="1200">
      <c r="A1200" s="40" t="s">
        <v>1708</v>
      </c>
      <c r="B1200" s="10" t="str">
        <f t="shared" si="1"/>
        <v>RNA-gill</v>
      </c>
      <c r="C1200" s="10" t="str">
        <f t="shared" si="2"/>
        <v>BRN74G-D5</v>
      </c>
      <c r="D1200" s="11">
        <f t="array" ref="D1200">iferror(index('rna-muscle'!D:D,match(A1200,'rna-muscle'!A:A,0)))</f>
        <v>74</v>
      </c>
      <c r="E1200" s="10" t="str">
        <f t="shared" si="3"/>
        <v>BRN74G</v>
      </c>
      <c r="F1200" s="11" t="str">
        <f t="array" ref="F1200">iferror(index('rna-muscle'!F:F,match($A1200,'rna-muscle'!$A:$A,0)))</f>
        <v>D</v>
      </c>
      <c r="G1200" s="11">
        <f t="array" ref="G1200">iferror(index('rna-muscle'!G:G,match($A1200,'rna-muscle'!$A:$A,0)))</f>
        <v>5</v>
      </c>
      <c r="H1200" s="11" t="str">
        <f t="shared" si="4"/>
        <v>D5</v>
      </c>
      <c r="I1200" s="10" t="str">
        <f t="shared" si="5"/>
        <v>BRN74G-D5</v>
      </c>
      <c r="J1200" s="16"/>
      <c r="K1200" s="16" t="str">
        <f t="shared" si="6"/>
        <v>collected</v>
      </c>
      <c r="L1200" s="16" t="str">
        <f t="shared" si="7"/>
        <v>N</v>
      </c>
      <c r="M1200" s="16"/>
      <c r="N1200" s="16"/>
    </row>
    <row r="1201">
      <c r="A1201" s="40" t="s">
        <v>1709</v>
      </c>
      <c r="B1201" s="10" t="str">
        <f t="shared" si="1"/>
        <v>RNA-gill</v>
      </c>
      <c r="C1201" s="10" t="str">
        <f t="shared" si="2"/>
        <v>BRN74G-C5</v>
      </c>
      <c r="D1201" s="11">
        <f t="array" ref="D1201">iferror(index('rna-muscle'!D:D,match(A1201,'rna-muscle'!A:A,0)))</f>
        <v>74</v>
      </c>
      <c r="E1201" s="10" t="str">
        <f t="shared" si="3"/>
        <v>BRN74G</v>
      </c>
      <c r="F1201" s="11" t="str">
        <f t="array" ref="F1201">iferror(index('rna-muscle'!F:F,match($A1201,'rna-muscle'!$A:$A,0)))</f>
        <v>C</v>
      </c>
      <c r="G1201" s="11">
        <f t="array" ref="G1201">iferror(index('rna-muscle'!G:G,match($A1201,'rna-muscle'!$A:$A,0)))</f>
        <v>5</v>
      </c>
      <c r="H1201" s="11" t="str">
        <f t="shared" si="4"/>
        <v>C5</v>
      </c>
      <c r="I1201" s="10" t="str">
        <f t="shared" si="5"/>
        <v>BRN74G-C5</v>
      </c>
      <c r="J1201" s="16"/>
      <c r="K1201" s="16" t="str">
        <f t="shared" si="6"/>
        <v>collected</v>
      </c>
      <c r="L1201" s="16" t="str">
        <f t="shared" si="7"/>
        <v>N</v>
      </c>
      <c r="M1201" s="16"/>
      <c r="N1201" s="16"/>
    </row>
    <row r="1202">
      <c r="A1202" s="40" t="s">
        <v>1711</v>
      </c>
      <c r="B1202" s="10" t="str">
        <f t="shared" si="1"/>
        <v>RNA-gill</v>
      </c>
      <c r="C1202" s="10" t="str">
        <f t="shared" si="2"/>
        <v>BRN74G-B5</v>
      </c>
      <c r="D1202" s="11">
        <f t="array" ref="D1202">iferror(index('rna-muscle'!D:D,match(A1202,'rna-muscle'!A:A,0)))</f>
        <v>74</v>
      </c>
      <c r="E1202" s="10" t="str">
        <f t="shared" si="3"/>
        <v>BRN74G</v>
      </c>
      <c r="F1202" s="11" t="str">
        <f t="array" ref="F1202">iferror(index('rna-muscle'!F:F,match($A1202,'rna-muscle'!$A:$A,0)))</f>
        <v>B</v>
      </c>
      <c r="G1202" s="11">
        <f t="array" ref="G1202">iferror(index('rna-muscle'!G:G,match($A1202,'rna-muscle'!$A:$A,0)))</f>
        <v>5</v>
      </c>
      <c r="H1202" s="11" t="str">
        <f t="shared" si="4"/>
        <v>B5</v>
      </c>
      <c r="I1202" s="10" t="str">
        <f t="shared" si="5"/>
        <v>BRN74G-B5</v>
      </c>
      <c r="J1202" s="16"/>
      <c r="K1202" s="16" t="str">
        <f t="shared" si="6"/>
        <v>collected</v>
      </c>
      <c r="L1202" s="16" t="str">
        <f t="shared" si="7"/>
        <v>N</v>
      </c>
      <c r="M1202" s="16"/>
      <c r="N1202" s="16"/>
    </row>
    <row r="1203">
      <c r="A1203" s="40" t="s">
        <v>1712</v>
      </c>
      <c r="B1203" s="10" t="str">
        <f t="shared" si="1"/>
        <v>RNA-gill</v>
      </c>
      <c r="C1203" s="10" t="str">
        <f t="shared" si="2"/>
        <v>BRN74G-A5</v>
      </c>
      <c r="D1203" s="11">
        <f t="array" ref="D1203">iferror(index('rna-muscle'!D:D,match(A1203,'rna-muscle'!A:A,0)))</f>
        <v>74</v>
      </c>
      <c r="E1203" s="10" t="str">
        <f t="shared" si="3"/>
        <v>BRN74G</v>
      </c>
      <c r="F1203" s="11" t="str">
        <f t="array" ref="F1203">iferror(index('rna-muscle'!F:F,match($A1203,'rna-muscle'!$A:$A,0)))</f>
        <v>A</v>
      </c>
      <c r="G1203" s="11">
        <f t="array" ref="G1203">iferror(index('rna-muscle'!G:G,match($A1203,'rna-muscle'!$A:$A,0)))</f>
        <v>5</v>
      </c>
      <c r="H1203" s="11" t="str">
        <f t="shared" si="4"/>
        <v>A5</v>
      </c>
      <c r="I1203" s="10" t="str">
        <f t="shared" si="5"/>
        <v>BRN74G-A5</v>
      </c>
      <c r="J1203" s="16"/>
      <c r="K1203" s="16" t="str">
        <f t="shared" si="6"/>
        <v>collected</v>
      </c>
      <c r="L1203" s="16" t="str">
        <f t="shared" si="7"/>
        <v>N</v>
      </c>
      <c r="M1203" s="16"/>
      <c r="N1203" s="16"/>
    </row>
    <row r="1204">
      <c r="A1204" s="40" t="s">
        <v>1713</v>
      </c>
      <c r="B1204" s="10" t="str">
        <f t="shared" si="1"/>
        <v>RNA-gill</v>
      </c>
      <c r="C1204" s="10" t="str">
        <f t="shared" si="2"/>
        <v>BRN74G-H11</v>
      </c>
      <c r="D1204" s="11">
        <f t="array" ref="D1204">iferror(index('rna-muscle'!D:D,match(A1204,'rna-muscle'!A:A,0)))</f>
        <v>74</v>
      </c>
      <c r="E1204" s="10" t="str">
        <f t="shared" si="3"/>
        <v>BRN74G</v>
      </c>
      <c r="F1204" s="11" t="str">
        <f t="array" ref="F1204">iferror(index('rna-muscle'!F:F,match($A1204,'rna-muscle'!$A:$A,0)))</f>
        <v>H</v>
      </c>
      <c r="G1204" s="11">
        <f t="array" ref="G1204">iferror(index('rna-muscle'!G:G,match($A1204,'rna-muscle'!$A:$A,0)))</f>
        <v>11</v>
      </c>
      <c r="H1204" s="11" t="str">
        <f t="shared" si="4"/>
        <v>H11</v>
      </c>
      <c r="I1204" s="10" t="str">
        <f t="shared" si="5"/>
        <v>BRN74G-H11</v>
      </c>
      <c r="J1204" s="16"/>
      <c r="K1204" s="16" t="str">
        <f t="shared" si="6"/>
        <v>collected</v>
      </c>
      <c r="L1204" s="16" t="str">
        <f t="shared" si="7"/>
        <v>N</v>
      </c>
      <c r="M1204" s="16"/>
      <c r="N1204" s="16"/>
    </row>
    <row r="1205">
      <c r="A1205" s="40" t="s">
        <v>1714</v>
      </c>
      <c r="B1205" s="10" t="str">
        <f t="shared" si="1"/>
        <v>RNA-gill</v>
      </c>
      <c r="C1205" s="10" t="str">
        <f t="shared" si="2"/>
        <v>BRN74G-G11</v>
      </c>
      <c r="D1205" s="11">
        <f t="array" ref="D1205">iferror(index('rna-muscle'!D:D,match(A1205,'rna-muscle'!A:A,0)))</f>
        <v>74</v>
      </c>
      <c r="E1205" s="10" t="str">
        <f t="shared" si="3"/>
        <v>BRN74G</v>
      </c>
      <c r="F1205" s="11" t="str">
        <f t="array" ref="F1205">iferror(index('rna-muscle'!F:F,match($A1205,'rna-muscle'!$A:$A,0)))</f>
        <v>G</v>
      </c>
      <c r="G1205" s="11">
        <f t="array" ref="G1205">iferror(index('rna-muscle'!G:G,match($A1205,'rna-muscle'!$A:$A,0)))</f>
        <v>11</v>
      </c>
      <c r="H1205" s="11" t="str">
        <f t="shared" si="4"/>
        <v>G11</v>
      </c>
      <c r="I1205" s="10" t="str">
        <f t="shared" si="5"/>
        <v>BRN74G-G11</v>
      </c>
      <c r="J1205" s="16"/>
      <c r="K1205" s="16" t="str">
        <f t="shared" si="6"/>
        <v>collected</v>
      </c>
      <c r="L1205" s="16" t="str">
        <f t="shared" si="7"/>
        <v>N</v>
      </c>
      <c r="M1205" s="16"/>
      <c r="N1205" s="16"/>
    </row>
    <row r="1206">
      <c r="A1206" s="40" t="s">
        <v>1715</v>
      </c>
      <c r="B1206" s="10" t="str">
        <f t="shared" si="1"/>
        <v>RNA-gill</v>
      </c>
      <c r="C1206" s="10" t="str">
        <f t="shared" si="2"/>
        <v>BRN74G-F11</v>
      </c>
      <c r="D1206" s="11">
        <f t="array" ref="D1206">iferror(index('rna-muscle'!D:D,match(A1206,'rna-muscle'!A:A,0)))</f>
        <v>74</v>
      </c>
      <c r="E1206" s="10" t="str">
        <f t="shared" si="3"/>
        <v>BRN74G</v>
      </c>
      <c r="F1206" s="11" t="str">
        <f t="array" ref="F1206">iferror(index('rna-muscle'!F:F,match($A1206,'rna-muscle'!$A:$A,0)))</f>
        <v>F</v>
      </c>
      <c r="G1206" s="11">
        <f t="array" ref="G1206">iferror(index('rna-muscle'!G:G,match($A1206,'rna-muscle'!$A:$A,0)))</f>
        <v>11</v>
      </c>
      <c r="H1206" s="11" t="str">
        <f t="shared" si="4"/>
        <v>F11</v>
      </c>
      <c r="I1206" s="10" t="str">
        <f t="shared" si="5"/>
        <v>BRN74G-F11</v>
      </c>
      <c r="J1206" s="16"/>
      <c r="K1206" s="16" t="str">
        <f t="shared" si="6"/>
        <v>collected</v>
      </c>
      <c r="L1206" s="16" t="str">
        <f t="shared" si="7"/>
        <v>N</v>
      </c>
      <c r="M1206" s="16"/>
      <c r="N1206" s="16"/>
    </row>
    <row r="1207">
      <c r="A1207" s="40" t="s">
        <v>1717</v>
      </c>
      <c r="B1207" s="10" t="str">
        <f t="shared" si="1"/>
        <v>RNA-gill</v>
      </c>
      <c r="C1207" s="10" t="str">
        <f t="shared" si="2"/>
        <v>BRN74G-E11</v>
      </c>
      <c r="D1207" s="11">
        <f t="array" ref="D1207">iferror(index('rna-muscle'!D:D,match(A1207,'rna-muscle'!A:A,0)))</f>
        <v>74</v>
      </c>
      <c r="E1207" s="10" t="str">
        <f t="shared" si="3"/>
        <v>BRN74G</v>
      </c>
      <c r="F1207" s="11" t="str">
        <f t="array" ref="F1207">iferror(index('rna-muscle'!F:F,match($A1207,'rna-muscle'!$A:$A,0)))</f>
        <v>E</v>
      </c>
      <c r="G1207" s="11">
        <f t="array" ref="G1207">iferror(index('rna-muscle'!G:G,match($A1207,'rna-muscle'!$A:$A,0)))</f>
        <v>11</v>
      </c>
      <c r="H1207" s="11" t="str">
        <f t="shared" si="4"/>
        <v>E11</v>
      </c>
      <c r="I1207" s="10" t="str">
        <f t="shared" si="5"/>
        <v>BRN74G-E11</v>
      </c>
      <c r="J1207" s="16"/>
      <c r="K1207" s="16" t="str">
        <f t="shared" si="6"/>
        <v>collected</v>
      </c>
      <c r="L1207" s="16" t="str">
        <f t="shared" si="7"/>
        <v>N</v>
      </c>
      <c r="M1207" s="16"/>
      <c r="N1207" s="16"/>
    </row>
    <row r="1208">
      <c r="A1208" s="40" t="s">
        <v>1718</v>
      </c>
      <c r="B1208" s="10" t="str">
        <f t="shared" si="1"/>
        <v>RNA-gill</v>
      </c>
      <c r="C1208" s="10" t="str">
        <f t="shared" si="2"/>
        <v>BRN74G-D11</v>
      </c>
      <c r="D1208" s="11">
        <f t="array" ref="D1208">iferror(index('rna-muscle'!D:D,match(A1208,'rna-muscle'!A:A,0)))</f>
        <v>74</v>
      </c>
      <c r="E1208" s="10" t="str">
        <f t="shared" si="3"/>
        <v>BRN74G</v>
      </c>
      <c r="F1208" s="11" t="str">
        <f t="array" ref="F1208">iferror(index('rna-muscle'!F:F,match($A1208,'rna-muscle'!$A:$A,0)))</f>
        <v>D</v>
      </c>
      <c r="G1208" s="11">
        <f t="array" ref="G1208">iferror(index('rna-muscle'!G:G,match($A1208,'rna-muscle'!$A:$A,0)))</f>
        <v>11</v>
      </c>
      <c r="H1208" s="11" t="str">
        <f t="shared" si="4"/>
        <v>D11</v>
      </c>
      <c r="I1208" s="10" t="str">
        <f t="shared" si="5"/>
        <v>BRN74G-D11</v>
      </c>
      <c r="J1208" s="16"/>
      <c r="K1208" s="16" t="str">
        <f t="shared" si="6"/>
        <v>collected</v>
      </c>
      <c r="L1208" s="16" t="str">
        <f t="shared" si="7"/>
        <v>N</v>
      </c>
      <c r="M1208" s="16"/>
      <c r="N1208" s="16"/>
    </row>
    <row r="1209">
      <c r="A1209" s="40" t="s">
        <v>1719</v>
      </c>
      <c r="B1209" s="10" t="str">
        <f t="shared" si="1"/>
        <v>RNA-gill</v>
      </c>
      <c r="C1209" s="10" t="str">
        <f t="shared" si="2"/>
        <v>BRN74G-C11</v>
      </c>
      <c r="D1209" s="11">
        <f t="array" ref="D1209">iferror(index('rna-muscle'!D:D,match(A1209,'rna-muscle'!A:A,0)))</f>
        <v>74</v>
      </c>
      <c r="E1209" s="10" t="str">
        <f t="shared" si="3"/>
        <v>BRN74G</v>
      </c>
      <c r="F1209" s="11" t="str">
        <f t="array" ref="F1209">iferror(index('rna-muscle'!F:F,match($A1209,'rna-muscle'!$A:$A,0)))</f>
        <v>C</v>
      </c>
      <c r="G1209" s="11">
        <f t="array" ref="G1209">iferror(index('rna-muscle'!G:G,match($A1209,'rna-muscle'!$A:$A,0)))</f>
        <v>11</v>
      </c>
      <c r="H1209" s="11" t="str">
        <f t="shared" si="4"/>
        <v>C11</v>
      </c>
      <c r="I1209" s="10" t="str">
        <f t="shared" si="5"/>
        <v>BRN74G-C11</v>
      </c>
      <c r="J1209" s="16"/>
      <c r="K1209" s="16" t="str">
        <f t="shared" si="6"/>
        <v>collected</v>
      </c>
      <c r="L1209" s="16" t="str">
        <f t="shared" si="7"/>
        <v>N</v>
      </c>
      <c r="M1209" s="16"/>
      <c r="N1209" s="16"/>
    </row>
    <row r="1210">
      <c r="A1210" s="40" t="s">
        <v>1721</v>
      </c>
      <c r="B1210" s="10" t="str">
        <f t="shared" si="1"/>
        <v>RNA-gill</v>
      </c>
      <c r="C1210" s="10" t="str">
        <f t="shared" si="2"/>
        <v>BRN74G-B11</v>
      </c>
      <c r="D1210" s="11">
        <f t="array" ref="D1210">iferror(index('rna-muscle'!D:D,match(A1210,'rna-muscle'!A:A,0)))</f>
        <v>74</v>
      </c>
      <c r="E1210" s="10" t="str">
        <f t="shared" si="3"/>
        <v>BRN74G</v>
      </c>
      <c r="F1210" s="11" t="str">
        <f t="array" ref="F1210">iferror(index('rna-muscle'!F:F,match($A1210,'rna-muscle'!$A:$A,0)))</f>
        <v>B</v>
      </c>
      <c r="G1210" s="11">
        <f t="array" ref="G1210">iferror(index('rna-muscle'!G:G,match($A1210,'rna-muscle'!$A:$A,0)))</f>
        <v>11</v>
      </c>
      <c r="H1210" s="11" t="str">
        <f t="shared" si="4"/>
        <v>B11</v>
      </c>
      <c r="I1210" s="10" t="str">
        <f t="shared" si="5"/>
        <v>BRN74G-B11</v>
      </c>
      <c r="J1210" s="16"/>
      <c r="K1210" s="16" t="str">
        <f t="shared" si="6"/>
        <v>collected</v>
      </c>
      <c r="L1210" s="16" t="str">
        <f t="shared" si="7"/>
        <v>N</v>
      </c>
      <c r="M1210" s="16"/>
      <c r="N1210" s="16"/>
    </row>
    <row r="1211">
      <c r="A1211" s="40" t="s">
        <v>1722</v>
      </c>
      <c r="B1211" s="10" t="str">
        <f t="shared" si="1"/>
        <v>RNA-gill</v>
      </c>
      <c r="C1211" s="10" t="str">
        <f t="shared" si="2"/>
        <v>BRN74G-A11</v>
      </c>
      <c r="D1211" s="11">
        <f t="array" ref="D1211">iferror(index('rna-muscle'!D:D,match(A1211,'rna-muscle'!A:A,0)))</f>
        <v>74</v>
      </c>
      <c r="E1211" s="10" t="str">
        <f t="shared" si="3"/>
        <v>BRN74G</v>
      </c>
      <c r="F1211" s="11" t="str">
        <f t="array" ref="F1211">iferror(index('rna-muscle'!F:F,match($A1211,'rna-muscle'!$A:$A,0)))</f>
        <v>A</v>
      </c>
      <c r="G1211" s="11">
        <f t="array" ref="G1211">iferror(index('rna-muscle'!G:G,match($A1211,'rna-muscle'!$A:$A,0)))</f>
        <v>11</v>
      </c>
      <c r="H1211" s="11" t="str">
        <f t="shared" si="4"/>
        <v>A11</v>
      </c>
      <c r="I1211" s="10" t="str">
        <f t="shared" si="5"/>
        <v>BRN74G-A11</v>
      </c>
      <c r="J1211" s="16"/>
      <c r="K1211" s="16" t="str">
        <f t="shared" si="6"/>
        <v>collected</v>
      </c>
      <c r="L1211" s="16" t="str">
        <f t="shared" si="7"/>
        <v>N</v>
      </c>
      <c r="M1211" s="16"/>
      <c r="N1211" s="16"/>
    </row>
    <row r="1212">
      <c r="A1212" s="40" t="s">
        <v>1723</v>
      </c>
      <c r="B1212" s="10" t="str">
        <f t="shared" si="1"/>
        <v>RNA-gill</v>
      </c>
      <c r="C1212" s="10" t="str">
        <f t="shared" si="2"/>
        <v>BRN74G-H12</v>
      </c>
      <c r="D1212" s="11">
        <f t="array" ref="D1212">iferror(index('rna-muscle'!D:D,match(A1212,'rna-muscle'!A:A,0)))</f>
        <v>74</v>
      </c>
      <c r="E1212" s="10" t="str">
        <f t="shared" si="3"/>
        <v>BRN74G</v>
      </c>
      <c r="F1212" s="11" t="str">
        <f t="array" ref="F1212">iferror(index('rna-muscle'!F:F,match($A1212,'rna-muscle'!$A:$A,0)))</f>
        <v>H</v>
      </c>
      <c r="G1212" s="11">
        <f t="array" ref="G1212">iferror(index('rna-muscle'!G:G,match($A1212,'rna-muscle'!$A:$A,0)))</f>
        <v>12</v>
      </c>
      <c r="H1212" s="11" t="str">
        <f t="shared" si="4"/>
        <v>H12</v>
      </c>
      <c r="I1212" s="10" t="str">
        <f t="shared" si="5"/>
        <v>BRN74G-H12</v>
      </c>
      <c r="J1212" s="16"/>
      <c r="K1212" s="16" t="str">
        <f t="shared" si="6"/>
        <v>collected</v>
      </c>
      <c r="L1212" s="16" t="str">
        <f t="shared" si="7"/>
        <v>N</v>
      </c>
      <c r="M1212" s="16"/>
      <c r="N1212" s="16"/>
    </row>
    <row r="1213">
      <c r="A1213" s="40" t="s">
        <v>1724</v>
      </c>
      <c r="B1213" s="10" t="str">
        <f t="shared" si="1"/>
        <v>RNA-gill</v>
      </c>
      <c r="C1213" s="10" t="str">
        <f t="shared" si="2"/>
        <v>BRN74G-F12</v>
      </c>
      <c r="D1213" s="11">
        <f t="array" ref="D1213">iferror(index('rna-muscle'!D:D,match(A1213,'rna-muscle'!A:A,0)))</f>
        <v>74</v>
      </c>
      <c r="E1213" s="10" t="str">
        <f t="shared" si="3"/>
        <v>BRN74G</v>
      </c>
      <c r="F1213" s="11" t="str">
        <f t="array" ref="F1213">iferror(index('rna-muscle'!F:F,match($A1213,'rna-muscle'!$A:$A,0)))</f>
        <v>F</v>
      </c>
      <c r="G1213" s="11">
        <f t="array" ref="G1213">iferror(index('rna-muscle'!G:G,match($A1213,'rna-muscle'!$A:$A,0)))</f>
        <v>12</v>
      </c>
      <c r="H1213" s="11" t="str">
        <f t="shared" si="4"/>
        <v>F12</v>
      </c>
      <c r="I1213" s="10" t="str">
        <f t="shared" si="5"/>
        <v>BRN74G-F12</v>
      </c>
      <c r="J1213" s="16"/>
      <c r="K1213" s="16" t="str">
        <f t="shared" si="6"/>
        <v>collected</v>
      </c>
      <c r="L1213" s="16" t="str">
        <f t="shared" si="7"/>
        <v>N</v>
      </c>
      <c r="M1213" s="16"/>
      <c r="N1213" s="16"/>
    </row>
    <row r="1214">
      <c r="A1214" s="40" t="s">
        <v>1725</v>
      </c>
      <c r="B1214" s="10" t="str">
        <f t="shared" si="1"/>
        <v>RNA-gill</v>
      </c>
      <c r="C1214" s="10" t="str">
        <f t="shared" si="2"/>
        <v>BRN75G-B1</v>
      </c>
      <c r="D1214" s="11">
        <f t="array" ref="D1214">iferror(index('rna-muscle'!D:D,match(A1214,'rna-muscle'!A:A,0)))</f>
        <v>75</v>
      </c>
      <c r="E1214" s="10" t="str">
        <f t="shared" si="3"/>
        <v>BRN75G</v>
      </c>
      <c r="F1214" s="11" t="str">
        <f t="array" ref="F1214">iferror(index('rna-muscle'!F:F,match($A1214,'rna-muscle'!$A:$A,0)))</f>
        <v>B</v>
      </c>
      <c r="G1214" s="11">
        <f t="array" ref="G1214">iferror(index('rna-muscle'!G:G,match($A1214,'rna-muscle'!$A:$A,0)))</f>
        <v>1</v>
      </c>
      <c r="H1214" s="11" t="str">
        <f t="shared" si="4"/>
        <v>B1</v>
      </c>
      <c r="I1214" s="10" t="str">
        <f t="shared" si="5"/>
        <v>BRN75G-B1</v>
      </c>
      <c r="J1214" s="16"/>
      <c r="K1214" s="16" t="str">
        <f t="shared" si="6"/>
        <v>collected</v>
      </c>
      <c r="L1214" s="16" t="str">
        <f t="shared" si="7"/>
        <v>N</v>
      </c>
      <c r="M1214" s="16"/>
      <c r="N1214" s="16"/>
    </row>
    <row r="1215">
      <c r="A1215" s="40" t="s">
        <v>1726</v>
      </c>
      <c r="B1215" s="10" t="str">
        <f t="shared" si="1"/>
        <v>RNA-gill</v>
      </c>
      <c r="C1215" s="10" t="str">
        <f t="shared" si="2"/>
        <v>BRN75G-A1</v>
      </c>
      <c r="D1215" s="11">
        <f t="array" ref="D1215">iferror(index('rna-muscle'!D:D,match(A1215,'rna-muscle'!A:A,0)))</f>
        <v>75</v>
      </c>
      <c r="E1215" s="10" t="str">
        <f t="shared" si="3"/>
        <v>BRN75G</v>
      </c>
      <c r="F1215" s="11" t="str">
        <f t="array" ref="F1215">iferror(index('rna-muscle'!F:F,match($A1215,'rna-muscle'!$A:$A,0)))</f>
        <v>A</v>
      </c>
      <c r="G1215" s="11">
        <f t="array" ref="G1215">iferror(index('rna-muscle'!G:G,match($A1215,'rna-muscle'!$A:$A,0)))</f>
        <v>1</v>
      </c>
      <c r="H1215" s="11" t="str">
        <f t="shared" si="4"/>
        <v>A1</v>
      </c>
      <c r="I1215" s="10" t="str">
        <f t="shared" si="5"/>
        <v>BRN75G-A1</v>
      </c>
      <c r="J1215" s="16"/>
      <c r="K1215" s="16" t="str">
        <f t="shared" si="6"/>
        <v>collected</v>
      </c>
      <c r="L1215" s="16" t="str">
        <f t="shared" si="7"/>
        <v>N</v>
      </c>
      <c r="M1215" s="16"/>
      <c r="N1215" s="16"/>
    </row>
    <row r="1216">
      <c r="A1216" s="40" t="s">
        <v>1727</v>
      </c>
      <c r="B1216" s="10" t="str">
        <f t="shared" si="1"/>
        <v>RNA-gill</v>
      </c>
      <c r="C1216" s="10" t="str">
        <f t="shared" si="2"/>
        <v>BRN75G-H2</v>
      </c>
      <c r="D1216" s="11">
        <f t="array" ref="D1216">iferror(index('rna-muscle'!D:D,match(A1216,'rna-muscle'!A:A,0)))</f>
        <v>75</v>
      </c>
      <c r="E1216" s="10" t="str">
        <f t="shared" si="3"/>
        <v>BRN75G</v>
      </c>
      <c r="F1216" s="11" t="str">
        <f t="array" ref="F1216">iferror(index('rna-muscle'!F:F,match($A1216,'rna-muscle'!$A:$A,0)))</f>
        <v>H</v>
      </c>
      <c r="G1216" s="11">
        <f t="array" ref="G1216">iferror(index('rna-muscle'!G:G,match($A1216,'rna-muscle'!$A:$A,0)))</f>
        <v>2</v>
      </c>
      <c r="H1216" s="11" t="str">
        <f t="shared" si="4"/>
        <v>H2</v>
      </c>
      <c r="I1216" s="10" t="str">
        <f t="shared" si="5"/>
        <v>BRN75G-H2</v>
      </c>
      <c r="J1216" s="16"/>
      <c r="K1216" s="16" t="str">
        <f t="shared" si="6"/>
        <v>collected</v>
      </c>
      <c r="L1216" s="16" t="str">
        <f t="shared" si="7"/>
        <v>N</v>
      </c>
      <c r="M1216" s="16"/>
      <c r="N1216" s="16"/>
    </row>
    <row r="1217">
      <c r="A1217" s="40" t="s">
        <v>1728</v>
      </c>
      <c r="B1217" s="10" t="str">
        <f t="shared" si="1"/>
        <v>RNA-gill</v>
      </c>
      <c r="C1217" s="10" t="str">
        <f t="shared" si="2"/>
        <v>BRN75G-G2</v>
      </c>
      <c r="D1217" s="11">
        <f t="array" ref="D1217">iferror(index('rna-muscle'!D:D,match(A1217,'rna-muscle'!A:A,0)))</f>
        <v>75</v>
      </c>
      <c r="E1217" s="10" t="str">
        <f t="shared" si="3"/>
        <v>BRN75G</v>
      </c>
      <c r="F1217" s="11" t="str">
        <f t="array" ref="F1217">iferror(index('rna-muscle'!F:F,match($A1217,'rna-muscle'!$A:$A,0)))</f>
        <v>G</v>
      </c>
      <c r="G1217" s="11">
        <f t="array" ref="G1217">iferror(index('rna-muscle'!G:G,match($A1217,'rna-muscle'!$A:$A,0)))</f>
        <v>2</v>
      </c>
      <c r="H1217" s="11" t="str">
        <f t="shared" si="4"/>
        <v>G2</v>
      </c>
      <c r="I1217" s="10" t="str">
        <f t="shared" si="5"/>
        <v>BRN75G-G2</v>
      </c>
      <c r="J1217" s="16"/>
      <c r="K1217" s="16" t="str">
        <f t="shared" si="6"/>
        <v>collected</v>
      </c>
      <c r="L1217" s="16" t="str">
        <f t="shared" si="7"/>
        <v>N</v>
      </c>
      <c r="M1217" s="16"/>
      <c r="N1217" s="16"/>
    </row>
    <row r="1218">
      <c r="A1218" s="40" t="s">
        <v>1730</v>
      </c>
      <c r="B1218" s="10" t="str">
        <f t="shared" si="1"/>
        <v>RNA-gill</v>
      </c>
      <c r="C1218" s="10" t="str">
        <f t="shared" si="2"/>
        <v>BRN75G-F2</v>
      </c>
      <c r="D1218" s="11">
        <f t="array" ref="D1218">iferror(index('rna-muscle'!D:D,match(A1218,'rna-muscle'!A:A,0)))</f>
        <v>75</v>
      </c>
      <c r="E1218" s="10" t="str">
        <f t="shared" si="3"/>
        <v>BRN75G</v>
      </c>
      <c r="F1218" s="11" t="str">
        <f t="array" ref="F1218">iferror(index('rna-muscle'!F:F,match($A1218,'rna-muscle'!$A:$A,0)))</f>
        <v>F</v>
      </c>
      <c r="G1218" s="11">
        <f t="array" ref="G1218">iferror(index('rna-muscle'!G:G,match($A1218,'rna-muscle'!$A:$A,0)))</f>
        <v>2</v>
      </c>
      <c r="H1218" s="11" t="str">
        <f t="shared" si="4"/>
        <v>F2</v>
      </c>
      <c r="I1218" s="10" t="str">
        <f t="shared" si="5"/>
        <v>BRN75G-F2</v>
      </c>
      <c r="J1218" s="16"/>
      <c r="K1218" s="16" t="str">
        <f t="shared" si="6"/>
        <v>collected</v>
      </c>
      <c r="L1218" s="16" t="str">
        <f t="shared" si="7"/>
        <v>N</v>
      </c>
      <c r="M1218" s="16"/>
      <c r="N1218" s="16"/>
    </row>
    <row r="1219">
      <c r="A1219" s="40" t="s">
        <v>1731</v>
      </c>
      <c r="B1219" s="10" t="str">
        <f t="shared" si="1"/>
        <v>RNA-gill</v>
      </c>
      <c r="C1219" s="10" t="str">
        <f t="shared" si="2"/>
        <v>BRN75G-E2</v>
      </c>
      <c r="D1219" s="11">
        <f t="array" ref="D1219">iferror(index('rna-muscle'!D:D,match(A1219,'rna-muscle'!A:A,0)))</f>
        <v>75</v>
      </c>
      <c r="E1219" s="10" t="str">
        <f t="shared" si="3"/>
        <v>BRN75G</v>
      </c>
      <c r="F1219" s="11" t="str">
        <f t="array" ref="F1219">iferror(index('rna-muscle'!F:F,match($A1219,'rna-muscle'!$A:$A,0)))</f>
        <v>E</v>
      </c>
      <c r="G1219" s="11">
        <f t="array" ref="G1219">iferror(index('rna-muscle'!G:G,match($A1219,'rna-muscle'!$A:$A,0)))</f>
        <v>2</v>
      </c>
      <c r="H1219" s="11" t="str">
        <f t="shared" si="4"/>
        <v>E2</v>
      </c>
      <c r="I1219" s="10" t="str">
        <f t="shared" si="5"/>
        <v>BRN75G-E2</v>
      </c>
      <c r="J1219" s="16"/>
      <c r="K1219" s="16" t="str">
        <f t="shared" si="6"/>
        <v>collected</v>
      </c>
      <c r="L1219" s="16" t="str">
        <f t="shared" si="7"/>
        <v>N</v>
      </c>
      <c r="M1219" s="16"/>
      <c r="N1219" s="16"/>
    </row>
    <row r="1220">
      <c r="A1220" s="40" t="s">
        <v>1732</v>
      </c>
      <c r="B1220" s="10" t="str">
        <f t="shared" si="1"/>
        <v>RNA-gill</v>
      </c>
      <c r="C1220" s="10" t="str">
        <f t="shared" si="2"/>
        <v>BRN75G-D2</v>
      </c>
      <c r="D1220" s="11">
        <f t="array" ref="D1220">iferror(index('rna-muscle'!D:D,match(A1220,'rna-muscle'!A:A,0)))</f>
        <v>75</v>
      </c>
      <c r="E1220" s="10" t="str">
        <f t="shared" si="3"/>
        <v>BRN75G</v>
      </c>
      <c r="F1220" s="11" t="str">
        <f t="array" ref="F1220">iferror(index('rna-muscle'!F:F,match($A1220,'rna-muscle'!$A:$A,0)))</f>
        <v>D</v>
      </c>
      <c r="G1220" s="11">
        <f t="array" ref="G1220">iferror(index('rna-muscle'!G:G,match($A1220,'rna-muscle'!$A:$A,0)))</f>
        <v>2</v>
      </c>
      <c r="H1220" s="11" t="str">
        <f t="shared" si="4"/>
        <v>D2</v>
      </c>
      <c r="I1220" s="10" t="str">
        <f t="shared" si="5"/>
        <v>BRN75G-D2</v>
      </c>
      <c r="J1220" s="16"/>
      <c r="K1220" s="16" t="str">
        <f t="shared" si="6"/>
        <v>collected</v>
      </c>
      <c r="L1220" s="16" t="str">
        <f t="shared" si="7"/>
        <v>N</v>
      </c>
      <c r="M1220" s="16"/>
      <c r="N1220" s="16"/>
    </row>
    <row r="1221">
      <c r="A1221" s="40" t="s">
        <v>1733</v>
      </c>
      <c r="B1221" s="10" t="str">
        <f t="shared" si="1"/>
        <v>RNA-gill</v>
      </c>
      <c r="C1221" s="10" t="str">
        <f t="shared" si="2"/>
        <v>BRN75G-C2</v>
      </c>
      <c r="D1221" s="11">
        <f t="array" ref="D1221">iferror(index('rna-muscle'!D:D,match(A1221,'rna-muscle'!A:A,0)))</f>
        <v>75</v>
      </c>
      <c r="E1221" s="10" t="str">
        <f t="shared" si="3"/>
        <v>BRN75G</v>
      </c>
      <c r="F1221" s="11" t="str">
        <f t="array" ref="F1221">iferror(index('rna-muscle'!F:F,match($A1221,'rna-muscle'!$A:$A,0)))</f>
        <v>C</v>
      </c>
      <c r="G1221" s="11">
        <f t="array" ref="G1221">iferror(index('rna-muscle'!G:G,match($A1221,'rna-muscle'!$A:$A,0)))</f>
        <v>2</v>
      </c>
      <c r="H1221" s="11" t="str">
        <f t="shared" si="4"/>
        <v>C2</v>
      </c>
      <c r="I1221" s="10" t="str">
        <f t="shared" si="5"/>
        <v>BRN75G-C2</v>
      </c>
      <c r="J1221" s="16"/>
      <c r="K1221" s="16" t="str">
        <f t="shared" si="6"/>
        <v>collected</v>
      </c>
      <c r="L1221" s="16" t="str">
        <f t="shared" si="7"/>
        <v>N</v>
      </c>
      <c r="M1221" s="16"/>
      <c r="N1221" s="16"/>
    </row>
    <row r="1222">
      <c r="A1222" s="40" t="s">
        <v>1734</v>
      </c>
      <c r="B1222" s="10" t="str">
        <f t="shared" si="1"/>
        <v>RNA-gill</v>
      </c>
      <c r="C1222" s="10" t="str">
        <f t="shared" si="2"/>
        <v>BRN75G-B2</v>
      </c>
      <c r="D1222" s="11">
        <f t="array" ref="D1222">iferror(index('rna-muscle'!D:D,match(A1222,'rna-muscle'!A:A,0)))</f>
        <v>75</v>
      </c>
      <c r="E1222" s="10" t="str">
        <f t="shared" si="3"/>
        <v>BRN75G</v>
      </c>
      <c r="F1222" s="11" t="str">
        <f t="array" ref="F1222">iferror(index('rna-muscle'!F:F,match($A1222,'rna-muscle'!$A:$A,0)))</f>
        <v>B</v>
      </c>
      <c r="G1222" s="11">
        <f t="array" ref="G1222">iferror(index('rna-muscle'!G:G,match($A1222,'rna-muscle'!$A:$A,0)))</f>
        <v>2</v>
      </c>
      <c r="H1222" s="11" t="str">
        <f t="shared" si="4"/>
        <v>B2</v>
      </c>
      <c r="I1222" s="10" t="str">
        <f t="shared" si="5"/>
        <v>BRN75G-B2</v>
      </c>
      <c r="J1222" s="16"/>
      <c r="K1222" s="16" t="str">
        <f t="shared" si="6"/>
        <v>collected</v>
      </c>
      <c r="L1222" s="16" t="str">
        <f t="shared" si="7"/>
        <v>N</v>
      </c>
      <c r="M1222" s="16"/>
      <c r="N1222" s="16"/>
    </row>
    <row r="1223">
      <c r="A1223" s="40" t="s">
        <v>1735</v>
      </c>
      <c r="B1223" s="10" t="str">
        <f t="shared" si="1"/>
        <v>RNA-gill</v>
      </c>
      <c r="C1223" s="10" t="str">
        <f t="shared" si="2"/>
        <v>BRN75G-A2</v>
      </c>
      <c r="D1223" s="11">
        <f t="array" ref="D1223">iferror(index('rna-muscle'!D:D,match(A1223,'rna-muscle'!A:A,0)))</f>
        <v>75</v>
      </c>
      <c r="E1223" s="10" t="str">
        <f t="shared" si="3"/>
        <v>BRN75G</v>
      </c>
      <c r="F1223" s="11" t="str">
        <f t="array" ref="F1223">iferror(index('rna-muscle'!F:F,match($A1223,'rna-muscle'!$A:$A,0)))</f>
        <v>A</v>
      </c>
      <c r="G1223" s="11">
        <f t="array" ref="G1223">iferror(index('rna-muscle'!G:G,match($A1223,'rna-muscle'!$A:$A,0)))</f>
        <v>2</v>
      </c>
      <c r="H1223" s="11" t="str">
        <f t="shared" si="4"/>
        <v>A2</v>
      </c>
      <c r="I1223" s="10" t="str">
        <f t="shared" si="5"/>
        <v>BRN75G-A2</v>
      </c>
      <c r="J1223" s="16"/>
      <c r="K1223" s="16" t="str">
        <f t="shared" si="6"/>
        <v>collected</v>
      </c>
      <c r="L1223" s="16" t="str">
        <f t="shared" si="7"/>
        <v>N</v>
      </c>
      <c r="M1223" s="16"/>
      <c r="N1223" s="16"/>
    </row>
    <row r="1224">
      <c r="A1224" s="40" t="s">
        <v>1736</v>
      </c>
      <c r="B1224" s="10" t="str">
        <f t="shared" si="1"/>
        <v>RNA-gill</v>
      </c>
      <c r="C1224" s="10" t="str">
        <f t="shared" si="2"/>
        <v>BRN75G-H4</v>
      </c>
      <c r="D1224" s="11">
        <f t="array" ref="D1224">iferror(index('rna-muscle'!D:D,match(A1224,'rna-muscle'!A:A,0)))</f>
        <v>75</v>
      </c>
      <c r="E1224" s="10" t="str">
        <f t="shared" si="3"/>
        <v>BRN75G</v>
      </c>
      <c r="F1224" s="11" t="str">
        <f t="array" ref="F1224">iferror(index('rna-muscle'!F:F,match($A1224,'rna-muscle'!$A:$A,0)))</f>
        <v>H</v>
      </c>
      <c r="G1224" s="11">
        <f t="array" ref="G1224">iferror(index('rna-muscle'!G:G,match($A1224,'rna-muscle'!$A:$A,0)))</f>
        <v>4</v>
      </c>
      <c r="H1224" s="11" t="str">
        <f t="shared" si="4"/>
        <v>H4</v>
      </c>
      <c r="I1224" s="10" t="str">
        <f t="shared" si="5"/>
        <v>BRN75G-H4</v>
      </c>
      <c r="J1224" s="16"/>
      <c r="K1224" s="16" t="str">
        <f t="shared" si="6"/>
        <v>collected</v>
      </c>
      <c r="L1224" s="16" t="str">
        <f t="shared" si="7"/>
        <v>N</v>
      </c>
      <c r="M1224" s="16"/>
      <c r="N1224" s="16"/>
    </row>
    <row r="1225">
      <c r="A1225" s="40" t="s">
        <v>1737</v>
      </c>
      <c r="B1225" s="10" t="str">
        <f t="shared" si="1"/>
        <v>RNA-gill</v>
      </c>
      <c r="C1225" s="10" t="str">
        <f t="shared" si="2"/>
        <v>BRN75G-G4</v>
      </c>
      <c r="D1225" s="11">
        <f t="array" ref="D1225">iferror(index('rna-muscle'!D:D,match(A1225,'rna-muscle'!A:A,0)))</f>
        <v>75</v>
      </c>
      <c r="E1225" s="10" t="str">
        <f t="shared" si="3"/>
        <v>BRN75G</v>
      </c>
      <c r="F1225" s="11" t="str">
        <f t="array" ref="F1225">iferror(index('rna-muscle'!F:F,match($A1225,'rna-muscle'!$A:$A,0)))</f>
        <v>G</v>
      </c>
      <c r="G1225" s="11">
        <f t="array" ref="G1225">iferror(index('rna-muscle'!G:G,match($A1225,'rna-muscle'!$A:$A,0)))</f>
        <v>4</v>
      </c>
      <c r="H1225" s="11" t="str">
        <f t="shared" si="4"/>
        <v>G4</v>
      </c>
      <c r="I1225" s="10" t="str">
        <f t="shared" si="5"/>
        <v>BRN75G-G4</v>
      </c>
      <c r="J1225" s="16"/>
      <c r="K1225" s="16" t="str">
        <f t="shared" si="6"/>
        <v>collected</v>
      </c>
      <c r="L1225" s="16" t="str">
        <f t="shared" si="7"/>
        <v>N</v>
      </c>
      <c r="M1225" s="16"/>
      <c r="N1225" s="16"/>
    </row>
    <row r="1226">
      <c r="A1226" s="40" t="s">
        <v>1738</v>
      </c>
      <c r="B1226" s="10" t="str">
        <f t="shared" si="1"/>
        <v>RNA-gill</v>
      </c>
      <c r="C1226" s="10" t="str">
        <f t="shared" si="2"/>
        <v>BRN75G-F4</v>
      </c>
      <c r="D1226" s="11">
        <f t="array" ref="D1226">iferror(index('rna-muscle'!D:D,match(A1226,'rna-muscle'!A:A,0)))</f>
        <v>75</v>
      </c>
      <c r="E1226" s="10" t="str">
        <f t="shared" si="3"/>
        <v>BRN75G</v>
      </c>
      <c r="F1226" s="11" t="str">
        <f t="array" ref="F1226">iferror(index('rna-muscle'!F:F,match($A1226,'rna-muscle'!$A:$A,0)))</f>
        <v>F</v>
      </c>
      <c r="G1226" s="11">
        <f t="array" ref="G1226">iferror(index('rna-muscle'!G:G,match($A1226,'rna-muscle'!$A:$A,0)))</f>
        <v>4</v>
      </c>
      <c r="H1226" s="11" t="str">
        <f t="shared" si="4"/>
        <v>F4</v>
      </c>
      <c r="I1226" s="10" t="str">
        <f t="shared" si="5"/>
        <v>BRN75G-F4</v>
      </c>
      <c r="J1226" s="16"/>
      <c r="K1226" s="16" t="str">
        <f t="shared" si="6"/>
        <v>collected</v>
      </c>
      <c r="L1226" s="16" t="str">
        <f t="shared" si="7"/>
        <v>N</v>
      </c>
      <c r="M1226" s="16"/>
      <c r="N1226" s="16"/>
    </row>
    <row r="1227">
      <c r="A1227" s="40" t="s">
        <v>1739</v>
      </c>
      <c r="B1227" s="10" t="str">
        <f t="shared" si="1"/>
        <v>RNA-gill</v>
      </c>
      <c r="C1227" s="10" t="str">
        <f t="shared" si="2"/>
        <v>BRN75G-E4</v>
      </c>
      <c r="D1227" s="11">
        <f t="array" ref="D1227">iferror(index('rna-muscle'!D:D,match(A1227,'rna-muscle'!A:A,0)))</f>
        <v>75</v>
      </c>
      <c r="E1227" s="10" t="str">
        <f t="shared" si="3"/>
        <v>BRN75G</v>
      </c>
      <c r="F1227" s="11" t="str">
        <f t="array" ref="F1227">iferror(index('rna-muscle'!F:F,match($A1227,'rna-muscle'!$A:$A,0)))</f>
        <v>E</v>
      </c>
      <c r="G1227" s="11">
        <f t="array" ref="G1227">iferror(index('rna-muscle'!G:G,match($A1227,'rna-muscle'!$A:$A,0)))</f>
        <v>4</v>
      </c>
      <c r="H1227" s="11" t="str">
        <f t="shared" si="4"/>
        <v>E4</v>
      </c>
      <c r="I1227" s="10" t="str">
        <f t="shared" si="5"/>
        <v>BRN75G-E4</v>
      </c>
      <c r="J1227" s="16"/>
      <c r="K1227" s="16" t="str">
        <f t="shared" si="6"/>
        <v>collected</v>
      </c>
      <c r="L1227" s="16" t="str">
        <f t="shared" si="7"/>
        <v>N</v>
      </c>
      <c r="M1227" s="16"/>
      <c r="N1227" s="16"/>
    </row>
    <row r="1228">
      <c r="A1228" s="40" t="s">
        <v>1740</v>
      </c>
      <c r="B1228" s="10" t="str">
        <f t="shared" si="1"/>
        <v>RNA-gill</v>
      </c>
      <c r="C1228" s="10" t="str">
        <f t="shared" si="2"/>
        <v>BRN75G-D4</v>
      </c>
      <c r="D1228" s="11">
        <f t="array" ref="D1228">iferror(index('rna-muscle'!D:D,match(A1228,'rna-muscle'!A:A,0)))</f>
        <v>75</v>
      </c>
      <c r="E1228" s="10" t="str">
        <f t="shared" si="3"/>
        <v>BRN75G</v>
      </c>
      <c r="F1228" s="11" t="str">
        <f t="array" ref="F1228">iferror(index('rna-muscle'!F:F,match($A1228,'rna-muscle'!$A:$A,0)))</f>
        <v>D</v>
      </c>
      <c r="G1228" s="11">
        <f t="array" ref="G1228">iferror(index('rna-muscle'!G:G,match($A1228,'rna-muscle'!$A:$A,0)))</f>
        <v>4</v>
      </c>
      <c r="H1228" s="11" t="str">
        <f t="shared" si="4"/>
        <v>D4</v>
      </c>
      <c r="I1228" s="10" t="str">
        <f t="shared" si="5"/>
        <v>BRN75G-D4</v>
      </c>
      <c r="J1228" s="16"/>
      <c r="K1228" s="16" t="str">
        <f t="shared" si="6"/>
        <v>collected</v>
      </c>
      <c r="L1228" s="16" t="str">
        <f t="shared" si="7"/>
        <v>N</v>
      </c>
      <c r="M1228" s="16"/>
      <c r="N1228" s="16"/>
    </row>
    <row r="1229">
      <c r="A1229" s="40" t="s">
        <v>1741</v>
      </c>
      <c r="B1229" s="10" t="str">
        <f t="shared" si="1"/>
        <v>RNA-gill</v>
      </c>
      <c r="C1229" s="10" t="str">
        <f t="shared" si="2"/>
        <v>BRN75G-C4</v>
      </c>
      <c r="D1229" s="11">
        <f t="array" ref="D1229">iferror(index('rna-muscle'!D:D,match(A1229,'rna-muscle'!A:A,0)))</f>
        <v>75</v>
      </c>
      <c r="E1229" s="10" t="str">
        <f t="shared" si="3"/>
        <v>BRN75G</v>
      </c>
      <c r="F1229" s="11" t="str">
        <f t="array" ref="F1229">iferror(index('rna-muscle'!F:F,match($A1229,'rna-muscle'!$A:$A,0)))</f>
        <v>C</v>
      </c>
      <c r="G1229" s="11">
        <f t="array" ref="G1229">iferror(index('rna-muscle'!G:G,match($A1229,'rna-muscle'!$A:$A,0)))</f>
        <v>4</v>
      </c>
      <c r="H1229" s="11" t="str">
        <f t="shared" si="4"/>
        <v>C4</v>
      </c>
      <c r="I1229" s="10" t="str">
        <f t="shared" si="5"/>
        <v>BRN75G-C4</v>
      </c>
      <c r="J1229" s="16"/>
      <c r="K1229" s="16" t="str">
        <f t="shared" si="6"/>
        <v>collected</v>
      </c>
      <c r="L1229" s="16" t="str">
        <f t="shared" si="7"/>
        <v>N</v>
      </c>
      <c r="M1229" s="16"/>
      <c r="N1229" s="16"/>
    </row>
    <row r="1230">
      <c r="A1230" s="40" t="s">
        <v>1742</v>
      </c>
      <c r="B1230" s="10" t="str">
        <f t="shared" si="1"/>
        <v>RNA-gill</v>
      </c>
      <c r="C1230" s="10" t="str">
        <f t="shared" si="2"/>
        <v>BRN75G-B4</v>
      </c>
      <c r="D1230" s="11">
        <f t="array" ref="D1230">iferror(index('rna-muscle'!D:D,match(A1230,'rna-muscle'!A:A,0)))</f>
        <v>75</v>
      </c>
      <c r="E1230" s="10" t="str">
        <f t="shared" si="3"/>
        <v>BRN75G</v>
      </c>
      <c r="F1230" s="11" t="str">
        <f t="array" ref="F1230">iferror(index('rna-muscle'!F:F,match($A1230,'rna-muscle'!$A:$A,0)))</f>
        <v>B</v>
      </c>
      <c r="G1230" s="11">
        <f t="array" ref="G1230">iferror(index('rna-muscle'!G:G,match($A1230,'rna-muscle'!$A:$A,0)))</f>
        <v>4</v>
      </c>
      <c r="H1230" s="11" t="str">
        <f t="shared" si="4"/>
        <v>B4</v>
      </c>
      <c r="I1230" s="10" t="str">
        <f t="shared" si="5"/>
        <v>BRN75G-B4</v>
      </c>
      <c r="J1230" s="16"/>
      <c r="K1230" s="16" t="str">
        <f t="shared" si="6"/>
        <v>collected</v>
      </c>
      <c r="L1230" s="16" t="str">
        <f t="shared" si="7"/>
        <v>N</v>
      </c>
      <c r="M1230" s="16"/>
      <c r="N1230" s="16"/>
    </row>
    <row r="1231">
      <c r="A1231" s="40" t="s">
        <v>1743</v>
      </c>
      <c r="B1231" s="10" t="str">
        <f t="shared" si="1"/>
        <v>RNA-gill</v>
      </c>
      <c r="C1231" s="10" t="str">
        <f t="shared" si="2"/>
        <v>BRN75G-A4</v>
      </c>
      <c r="D1231" s="11">
        <f t="array" ref="D1231">iferror(index('rna-muscle'!D:D,match(A1231,'rna-muscle'!A:A,0)))</f>
        <v>75</v>
      </c>
      <c r="E1231" s="10" t="str">
        <f t="shared" si="3"/>
        <v>BRN75G</v>
      </c>
      <c r="F1231" s="11" t="str">
        <f t="array" ref="F1231">iferror(index('rna-muscle'!F:F,match($A1231,'rna-muscle'!$A:$A,0)))</f>
        <v>A</v>
      </c>
      <c r="G1231" s="11">
        <f t="array" ref="G1231">iferror(index('rna-muscle'!G:G,match($A1231,'rna-muscle'!$A:$A,0)))</f>
        <v>4</v>
      </c>
      <c r="H1231" s="11" t="str">
        <f t="shared" si="4"/>
        <v>A4</v>
      </c>
      <c r="I1231" s="10" t="str">
        <f t="shared" si="5"/>
        <v>BRN75G-A4</v>
      </c>
      <c r="J1231" s="16"/>
      <c r="K1231" s="16" t="str">
        <f t="shared" si="6"/>
        <v>collected</v>
      </c>
      <c r="L1231" s="16" t="str">
        <f t="shared" si="7"/>
        <v>N</v>
      </c>
      <c r="M1231" s="16"/>
      <c r="N1231" s="16"/>
    </row>
    <row r="1232">
      <c r="A1232" s="40" t="s">
        <v>1744</v>
      </c>
      <c r="B1232" s="10" t="str">
        <f t="shared" si="1"/>
        <v>RNA-gill</v>
      </c>
      <c r="C1232" s="10" t="str">
        <f t="shared" si="2"/>
        <v>BRN74G-E12</v>
      </c>
      <c r="D1232" s="11">
        <f t="array" ref="D1232">iferror(index('rna-muscle'!D:D,match(A1232,'rna-muscle'!A:A,0)))</f>
        <v>74</v>
      </c>
      <c r="E1232" s="10" t="str">
        <f t="shared" si="3"/>
        <v>BRN74G</v>
      </c>
      <c r="F1232" s="11" t="str">
        <f t="array" ref="F1232">iferror(index('rna-muscle'!F:F,match($A1232,'rna-muscle'!$A:$A,0)))</f>
        <v>E</v>
      </c>
      <c r="G1232" s="11">
        <f t="array" ref="G1232">iferror(index('rna-muscle'!G:G,match($A1232,'rna-muscle'!$A:$A,0)))</f>
        <v>12</v>
      </c>
      <c r="H1232" s="11" t="str">
        <f t="shared" si="4"/>
        <v>E12</v>
      </c>
      <c r="I1232" s="10" t="str">
        <f t="shared" si="5"/>
        <v>BRN74G-E12</v>
      </c>
      <c r="J1232" s="16"/>
      <c r="K1232" s="16" t="str">
        <f t="shared" si="6"/>
        <v>collected</v>
      </c>
      <c r="L1232" s="16" t="str">
        <f t="shared" si="7"/>
        <v>N</v>
      </c>
      <c r="M1232" s="16"/>
      <c r="N1232" s="16"/>
    </row>
    <row r="1233">
      <c r="A1233" s="40" t="s">
        <v>1745</v>
      </c>
      <c r="B1233" s="10" t="str">
        <f t="shared" si="1"/>
        <v>RNA-gill</v>
      </c>
      <c r="C1233" s="10" t="str">
        <f t="shared" si="2"/>
        <v>BRN74G-D12</v>
      </c>
      <c r="D1233" s="11">
        <f t="array" ref="D1233">iferror(index('rna-muscle'!D:D,match(A1233,'rna-muscle'!A:A,0)))</f>
        <v>74</v>
      </c>
      <c r="E1233" s="10" t="str">
        <f t="shared" si="3"/>
        <v>BRN74G</v>
      </c>
      <c r="F1233" s="11" t="str">
        <f t="array" ref="F1233">iferror(index('rna-muscle'!F:F,match($A1233,'rna-muscle'!$A:$A,0)))</f>
        <v>D</v>
      </c>
      <c r="G1233" s="11">
        <f t="array" ref="G1233">iferror(index('rna-muscle'!G:G,match($A1233,'rna-muscle'!$A:$A,0)))</f>
        <v>12</v>
      </c>
      <c r="H1233" s="11" t="str">
        <f t="shared" si="4"/>
        <v>D12</v>
      </c>
      <c r="I1233" s="10" t="str">
        <f t="shared" si="5"/>
        <v>BRN74G-D12</v>
      </c>
      <c r="J1233" s="16"/>
      <c r="K1233" s="16" t="str">
        <f t="shared" si="6"/>
        <v>collected</v>
      </c>
      <c r="L1233" s="16" t="str">
        <f t="shared" si="7"/>
        <v>N</v>
      </c>
      <c r="M1233" s="16"/>
      <c r="N1233" s="16"/>
    </row>
    <row r="1234">
      <c r="A1234" s="40" t="s">
        <v>1746</v>
      </c>
      <c r="B1234" s="10" t="str">
        <f t="shared" si="1"/>
        <v>RNA-gill</v>
      </c>
      <c r="C1234" s="10" t="str">
        <f t="shared" si="2"/>
        <v>BRN74G-C12</v>
      </c>
      <c r="D1234" s="11">
        <f t="array" ref="D1234">iferror(index('rna-muscle'!D:D,match(A1234,'rna-muscle'!A:A,0)))</f>
        <v>74</v>
      </c>
      <c r="E1234" s="10" t="str">
        <f t="shared" si="3"/>
        <v>BRN74G</v>
      </c>
      <c r="F1234" s="11" t="str">
        <f t="array" ref="F1234">iferror(index('rna-muscle'!F:F,match($A1234,'rna-muscle'!$A:$A,0)))</f>
        <v>C</v>
      </c>
      <c r="G1234" s="11">
        <f t="array" ref="G1234">iferror(index('rna-muscle'!G:G,match($A1234,'rna-muscle'!$A:$A,0)))</f>
        <v>12</v>
      </c>
      <c r="H1234" s="11" t="str">
        <f t="shared" si="4"/>
        <v>C12</v>
      </c>
      <c r="I1234" s="10" t="str">
        <f t="shared" si="5"/>
        <v>BRN74G-C12</v>
      </c>
      <c r="J1234" s="16"/>
      <c r="K1234" s="16" t="str">
        <f t="shared" si="6"/>
        <v>collected</v>
      </c>
      <c r="L1234" s="16" t="str">
        <f t="shared" si="7"/>
        <v>N</v>
      </c>
      <c r="M1234" s="16"/>
      <c r="N1234" s="16"/>
    </row>
    <row r="1235">
      <c r="A1235" s="40" t="s">
        <v>1747</v>
      </c>
      <c r="B1235" s="10" t="str">
        <f t="shared" si="1"/>
        <v>RNA-gill</v>
      </c>
      <c r="C1235" s="10" t="str">
        <f t="shared" si="2"/>
        <v>BRN74G-B12</v>
      </c>
      <c r="D1235" s="11">
        <f t="array" ref="D1235">iferror(index('rna-muscle'!D:D,match(A1235,'rna-muscle'!A:A,0)))</f>
        <v>74</v>
      </c>
      <c r="E1235" s="10" t="str">
        <f t="shared" si="3"/>
        <v>BRN74G</v>
      </c>
      <c r="F1235" s="11" t="str">
        <f t="array" ref="F1235">iferror(index('rna-muscle'!F:F,match($A1235,'rna-muscle'!$A:$A,0)))</f>
        <v>B</v>
      </c>
      <c r="G1235" s="11">
        <f t="array" ref="G1235">iferror(index('rna-muscle'!G:G,match($A1235,'rna-muscle'!$A:$A,0)))</f>
        <v>12</v>
      </c>
      <c r="H1235" s="11" t="str">
        <f t="shared" si="4"/>
        <v>B12</v>
      </c>
      <c r="I1235" s="10" t="str">
        <f t="shared" si="5"/>
        <v>BRN74G-B12</v>
      </c>
      <c r="J1235" s="16"/>
      <c r="K1235" s="16" t="str">
        <f t="shared" si="6"/>
        <v>collected</v>
      </c>
      <c r="L1235" s="16" t="str">
        <f t="shared" si="7"/>
        <v>N</v>
      </c>
      <c r="M1235" s="16"/>
      <c r="N1235" s="16"/>
    </row>
    <row r="1236">
      <c r="A1236" s="40" t="s">
        <v>1748</v>
      </c>
      <c r="B1236" s="10" t="str">
        <f t="shared" si="1"/>
        <v>RNA-gill</v>
      </c>
      <c r="C1236" s="10" t="str">
        <f t="shared" si="2"/>
        <v>BRN74G-A12</v>
      </c>
      <c r="D1236" s="11">
        <f t="array" ref="D1236">iferror(index('rna-muscle'!D:D,match(A1236,'rna-muscle'!A:A,0)))</f>
        <v>74</v>
      </c>
      <c r="E1236" s="10" t="str">
        <f t="shared" si="3"/>
        <v>BRN74G</v>
      </c>
      <c r="F1236" s="11" t="str">
        <f t="array" ref="F1236">iferror(index('rna-muscle'!F:F,match($A1236,'rna-muscle'!$A:$A,0)))</f>
        <v>A</v>
      </c>
      <c r="G1236" s="11">
        <f t="array" ref="G1236">iferror(index('rna-muscle'!G:G,match($A1236,'rna-muscle'!$A:$A,0)))</f>
        <v>12</v>
      </c>
      <c r="H1236" s="11" t="str">
        <f t="shared" si="4"/>
        <v>A12</v>
      </c>
      <c r="I1236" s="10" t="str">
        <f t="shared" si="5"/>
        <v>BRN74G-A12</v>
      </c>
      <c r="J1236" s="16"/>
      <c r="K1236" s="16" t="str">
        <f t="shared" si="6"/>
        <v>collected</v>
      </c>
      <c r="L1236" s="16" t="str">
        <f t="shared" si="7"/>
        <v>N</v>
      </c>
      <c r="M1236" s="16"/>
      <c r="N1236" s="16"/>
    </row>
    <row r="1237">
      <c r="A1237" s="40" t="s">
        <v>1749</v>
      </c>
      <c r="B1237" s="10" t="str">
        <f t="shared" si="1"/>
        <v>RNA-gill</v>
      </c>
      <c r="C1237" s="10" t="str">
        <f t="shared" si="2"/>
        <v>BRN75G-H3</v>
      </c>
      <c r="D1237" s="11">
        <f t="array" ref="D1237">iferror(index('rna-muscle'!D:D,match(A1237,'rna-muscle'!A:A,0)))</f>
        <v>75</v>
      </c>
      <c r="E1237" s="10" t="str">
        <f t="shared" si="3"/>
        <v>BRN75G</v>
      </c>
      <c r="F1237" s="11" t="str">
        <f t="array" ref="F1237">iferror(index('rna-muscle'!F:F,match($A1237,'rna-muscle'!$A:$A,0)))</f>
        <v>H</v>
      </c>
      <c r="G1237" s="11">
        <f t="array" ref="G1237">iferror(index('rna-muscle'!G:G,match($A1237,'rna-muscle'!$A:$A,0)))</f>
        <v>3</v>
      </c>
      <c r="H1237" s="11" t="str">
        <f t="shared" si="4"/>
        <v>H3</v>
      </c>
      <c r="I1237" s="10" t="str">
        <f t="shared" si="5"/>
        <v>BRN75G-H3</v>
      </c>
      <c r="J1237" s="16"/>
      <c r="K1237" s="16" t="str">
        <f t="shared" si="6"/>
        <v>collected</v>
      </c>
      <c r="L1237" s="16" t="str">
        <f t="shared" si="7"/>
        <v>N</v>
      </c>
      <c r="M1237" s="16"/>
      <c r="N1237" s="16"/>
    </row>
    <row r="1238">
      <c r="A1238" s="40" t="s">
        <v>1750</v>
      </c>
      <c r="B1238" s="10" t="str">
        <f t="shared" si="1"/>
        <v>RNA-gill</v>
      </c>
      <c r="C1238" s="10" t="str">
        <f t="shared" si="2"/>
        <v>BRN75G-G3</v>
      </c>
      <c r="D1238" s="11">
        <f t="array" ref="D1238">iferror(index('rna-muscle'!D:D,match(A1238,'rna-muscle'!A:A,0)))</f>
        <v>75</v>
      </c>
      <c r="E1238" s="10" t="str">
        <f t="shared" si="3"/>
        <v>BRN75G</v>
      </c>
      <c r="F1238" s="11" t="str">
        <f t="array" ref="F1238">iferror(index('rna-muscle'!F:F,match($A1238,'rna-muscle'!$A:$A,0)))</f>
        <v>G</v>
      </c>
      <c r="G1238" s="11">
        <f t="array" ref="G1238">iferror(index('rna-muscle'!G:G,match($A1238,'rna-muscle'!$A:$A,0)))</f>
        <v>3</v>
      </c>
      <c r="H1238" s="11" t="str">
        <f t="shared" si="4"/>
        <v>G3</v>
      </c>
      <c r="I1238" s="10" t="str">
        <f t="shared" si="5"/>
        <v>BRN75G-G3</v>
      </c>
      <c r="J1238" s="16"/>
      <c r="K1238" s="16" t="str">
        <f t="shared" si="6"/>
        <v>collected</v>
      </c>
      <c r="L1238" s="16" t="str">
        <f t="shared" si="7"/>
        <v>N</v>
      </c>
      <c r="M1238" s="16"/>
      <c r="N1238" s="16"/>
    </row>
    <row r="1239">
      <c r="A1239" s="40" t="s">
        <v>1751</v>
      </c>
      <c r="B1239" s="10" t="str">
        <f t="shared" si="1"/>
        <v>RNA-gill</v>
      </c>
      <c r="C1239" s="10" t="str">
        <f t="shared" si="2"/>
        <v>BRN75G-F3</v>
      </c>
      <c r="D1239" s="11">
        <f t="array" ref="D1239">iferror(index('rna-muscle'!D:D,match(A1239,'rna-muscle'!A:A,0)))</f>
        <v>75</v>
      </c>
      <c r="E1239" s="10" t="str">
        <f t="shared" si="3"/>
        <v>BRN75G</v>
      </c>
      <c r="F1239" s="11" t="str">
        <f t="array" ref="F1239">iferror(index('rna-muscle'!F:F,match($A1239,'rna-muscle'!$A:$A,0)))</f>
        <v>F</v>
      </c>
      <c r="G1239" s="11">
        <f t="array" ref="G1239">iferror(index('rna-muscle'!G:G,match($A1239,'rna-muscle'!$A:$A,0)))</f>
        <v>3</v>
      </c>
      <c r="H1239" s="11" t="str">
        <f t="shared" si="4"/>
        <v>F3</v>
      </c>
      <c r="I1239" s="10" t="str">
        <f t="shared" si="5"/>
        <v>BRN75G-F3</v>
      </c>
      <c r="J1239" s="16"/>
      <c r="K1239" s="16" t="str">
        <f t="shared" si="6"/>
        <v>collected</v>
      </c>
      <c r="L1239" s="16" t="str">
        <f t="shared" si="7"/>
        <v>N</v>
      </c>
      <c r="M1239" s="16"/>
      <c r="N1239" s="16"/>
    </row>
    <row r="1240">
      <c r="A1240" s="40" t="s">
        <v>1752</v>
      </c>
      <c r="B1240" s="10" t="str">
        <f t="shared" si="1"/>
        <v>RNA-gill</v>
      </c>
      <c r="C1240" s="10" t="str">
        <f t="shared" si="2"/>
        <v>BRN75G-E3</v>
      </c>
      <c r="D1240" s="11">
        <f t="array" ref="D1240">iferror(index('rna-muscle'!D:D,match(A1240,'rna-muscle'!A:A,0)))</f>
        <v>75</v>
      </c>
      <c r="E1240" s="10" t="str">
        <f t="shared" si="3"/>
        <v>BRN75G</v>
      </c>
      <c r="F1240" s="11" t="str">
        <f t="array" ref="F1240">iferror(index('rna-muscle'!F:F,match($A1240,'rna-muscle'!$A:$A,0)))</f>
        <v>E</v>
      </c>
      <c r="G1240" s="11">
        <f t="array" ref="G1240">iferror(index('rna-muscle'!G:G,match($A1240,'rna-muscle'!$A:$A,0)))</f>
        <v>3</v>
      </c>
      <c r="H1240" s="11" t="str">
        <f t="shared" si="4"/>
        <v>E3</v>
      </c>
      <c r="I1240" s="10" t="str">
        <f t="shared" si="5"/>
        <v>BRN75G-E3</v>
      </c>
      <c r="J1240" s="16"/>
      <c r="K1240" s="16" t="str">
        <f t="shared" si="6"/>
        <v>collected</v>
      </c>
      <c r="L1240" s="16" t="str">
        <f t="shared" si="7"/>
        <v>N</v>
      </c>
      <c r="M1240" s="16"/>
      <c r="N1240" s="16"/>
    </row>
    <row r="1241">
      <c r="A1241" s="40" t="s">
        <v>1753</v>
      </c>
      <c r="B1241" s="10" t="str">
        <f t="shared" si="1"/>
        <v>RNA-gill</v>
      </c>
      <c r="C1241" s="10" t="str">
        <f t="shared" si="2"/>
        <v>BRN75G-D3</v>
      </c>
      <c r="D1241" s="11">
        <f t="array" ref="D1241">iferror(index('rna-muscle'!D:D,match(A1241,'rna-muscle'!A:A,0)))</f>
        <v>75</v>
      </c>
      <c r="E1241" s="10" t="str">
        <f t="shared" si="3"/>
        <v>BRN75G</v>
      </c>
      <c r="F1241" s="11" t="str">
        <f t="array" ref="F1241">iferror(index('rna-muscle'!F:F,match($A1241,'rna-muscle'!$A:$A,0)))</f>
        <v>D</v>
      </c>
      <c r="G1241" s="11">
        <f t="array" ref="G1241">iferror(index('rna-muscle'!G:G,match($A1241,'rna-muscle'!$A:$A,0)))</f>
        <v>3</v>
      </c>
      <c r="H1241" s="11" t="str">
        <f t="shared" si="4"/>
        <v>D3</v>
      </c>
      <c r="I1241" s="10" t="str">
        <f t="shared" si="5"/>
        <v>BRN75G-D3</v>
      </c>
      <c r="J1241" s="16"/>
      <c r="K1241" s="16" t="str">
        <f t="shared" si="6"/>
        <v>collected</v>
      </c>
      <c r="L1241" s="16" t="str">
        <f t="shared" si="7"/>
        <v>N</v>
      </c>
      <c r="M1241" s="16"/>
      <c r="N1241" s="16"/>
    </row>
    <row r="1242">
      <c r="A1242" s="40" t="s">
        <v>1754</v>
      </c>
      <c r="B1242" s="10" t="str">
        <f t="shared" si="1"/>
        <v>RNA-gill</v>
      </c>
      <c r="C1242" s="10" t="str">
        <f t="shared" si="2"/>
        <v>BRN75G-C3</v>
      </c>
      <c r="D1242" s="11">
        <f t="array" ref="D1242">iferror(index('rna-muscle'!D:D,match(A1242,'rna-muscle'!A:A,0)))</f>
        <v>75</v>
      </c>
      <c r="E1242" s="10" t="str">
        <f t="shared" si="3"/>
        <v>BRN75G</v>
      </c>
      <c r="F1242" s="11" t="str">
        <f t="array" ref="F1242">iferror(index('rna-muscle'!F:F,match($A1242,'rna-muscle'!$A:$A,0)))</f>
        <v>C</v>
      </c>
      <c r="G1242" s="11">
        <f t="array" ref="G1242">iferror(index('rna-muscle'!G:G,match($A1242,'rna-muscle'!$A:$A,0)))</f>
        <v>3</v>
      </c>
      <c r="H1242" s="11" t="str">
        <f t="shared" si="4"/>
        <v>C3</v>
      </c>
      <c r="I1242" s="10" t="str">
        <f t="shared" si="5"/>
        <v>BRN75G-C3</v>
      </c>
      <c r="J1242" s="16"/>
      <c r="K1242" s="16" t="str">
        <f t="shared" si="6"/>
        <v>collected</v>
      </c>
      <c r="L1242" s="16" t="str">
        <f t="shared" si="7"/>
        <v>N</v>
      </c>
      <c r="M1242" s="16"/>
      <c r="N1242" s="16"/>
    </row>
    <row r="1243">
      <c r="A1243" s="40" t="s">
        <v>1755</v>
      </c>
      <c r="B1243" s="10" t="str">
        <f t="shared" si="1"/>
        <v>RNA-gill</v>
      </c>
      <c r="C1243" s="10" t="str">
        <f t="shared" si="2"/>
        <v>BRN75G-B3</v>
      </c>
      <c r="D1243" s="11">
        <f t="array" ref="D1243">iferror(index('rna-muscle'!D:D,match(A1243,'rna-muscle'!A:A,0)))</f>
        <v>75</v>
      </c>
      <c r="E1243" s="10" t="str">
        <f t="shared" si="3"/>
        <v>BRN75G</v>
      </c>
      <c r="F1243" s="11" t="str">
        <f t="array" ref="F1243">iferror(index('rna-muscle'!F:F,match($A1243,'rna-muscle'!$A:$A,0)))</f>
        <v>B</v>
      </c>
      <c r="G1243" s="11">
        <f t="array" ref="G1243">iferror(index('rna-muscle'!G:G,match($A1243,'rna-muscle'!$A:$A,0)))</f>
        <v>3</v>
      </c>
      <c r="H1243" s="11" t="str">
        <f t="shared" si="4"/>
        <v>B3</v>
      </c>
      <c r="I1243" s="10" t="str">
        <f t="shared" si="5"/>
        <v>BRN75G-B3</v>
      </c>
      <c r="J1243" s="16"/>
      <c r="K1243" s="16" t="str">
        <f t="shared" si="6"/>
        <v>collected</v>
      </c>
      <c r="L1243" s="16" t="str">
        <f t="shared" si="7"/>
        <v>N</v>
      </c>
      <c r="M1243" s="16"/>
      <c r="N1243" s="16"/>
    </row>
    <row r="1244">
      <c r="A1244" s="40" t="s">
        <v>1756</v>
      </c>
      <c r="B1244" s="10" t="str">
        <f t="shared" si="1"/>
        <v>RNA-gill</v>
      </c>
      <c r="C1244" s="10" t="str">
        <f t="shared" si="2"/>
        <v>BRN75G-A3</v>
      </c>
      <c r="D1244" s="11">
        <f t="array" ref="D1244">iferror(index('rna-muscle'!D:D,match(A1244,'rna-muscle'!A:A,0)))</f>
        <v>75</v>
      </c>
      <c r="E1244" s="10" t="str">
        <f t="shared" si="3"/>
        <v>BRN75G</v>
      </c>
      <c r="F1244" s="11" t="str">
        <f t="array" ref="F1244">iferror(index('rna-muscle'!F:F,match($A1244,'rna-muscle'!$A:$A,0)))</f>
        <v>A</v>
      </c>
      <c r="G1244" s="11">
        <f t="array" ref="G1244">iferror(index('rna-muscle'!G:G,match($A1244,'rna-muscle'!$A:$A,0)))</f>
        <v>3</v>
      </c>
      <c r="H1244" s="11" t="str">
        <f t="shared" si="4"/>
        <v>A3</v>
      </c>
      <c r="I1244" s="10" t="str">
        <f t="shared" si="5"/>
        <v>BRN75G-A3</v>
      </c>
      <c r="J1244" s="16"/>
      <c r="K1244" s="16" t="str">
        <f t="shared" si="6"/>
        <v>collected</v>
      </c>
      <c r="L1244" s="16" t="str">
        <f t="shared" si="7"/>
        <v>N</v>
      </c>
      <c r="M1244" s="16"/>
      <c r="N1244" s="16"/>
    </row>
    <row r="1245">
      <c r="A1245" s="40" t="s">
        <v>1757</v>
      </c>
      <c r="B1245" s="10" t="str">
        <f t="shared" si="1"/>
        <v>RNA-gill</v>
      </c>
      <c r="C1245" s="10" t="str">
        <f t="shared" si="2"/>
        <v>BRN75G-G6</v>
      </c>
      <c r="D1245" s="11">
        <f t="array" ref="D1245">iferror(index('rna-muscle'!D:D,match(A1245,'rna-muscle'!A:A,0)))</f>
        <v>75</v>
      </c>
      <c r="E1245" s="10" t="str">
        <f t="shared" si="3"/>
        <v>BRN75G</v>
      </c>
      <c r="F1245" s="11" t="str">
        <f t="array" ref="F1245">iferror(index('rna-muscle'!F:F,match($A1245,'rna-muscle'!$A:$A,0)))</f>
        <v>G</v>
      </c>
      <c r="G1245" s="11">
        <f t="array" ref="G1245">iferror(index('rna-muscle'!G:G,match($A1245,'rna-muscle'!$A:$A,0)))</f>
        <v>6</v>
      </c>
      <c r="H1245" s="11" t="str">
        <f t="shared" si="4"/>
        <v>G6</v>
      </c>
      <c r="I1245" s="10" t="str">
        <f t="shared" si="5"/>
        <v>BRN75G-G6</v>
      </c>
      <c r="J1245" s="16"/>
      <c r="K1245" s="16" t="str">
        <f t="shared" si="6"/>
        <v>collected</v>
      </c>
      <c r="L1245" s="16" t="str">
        <f t="shared" si="7"/>
        <v>N</v>
      </c>
      <c r="M1245" s="16"/>
      <c r="N1245" s="16"/>
    </row>
    <row r="1246">
      <c r="A1246" s="40" t="s">
        <v>1758</v>
      </c>
      <c r="B1246" s="10" t="str">
        <f t="shared" si="1"/>
        <v>RNA-gill</v>
      </c>
      <c r="C1246" s="10" t="str">
        <f t="shared" si="2"/>
        <v>BRN75G-F6</v>
      </c>
      <c r="D1246" s="11">
        <f t="array" ref="D1246">iferror(index('rna-muscle'!D:D,match(A1246,'rna-muscle'!A:A,0)))</f>
        <v>75</v>
      </c>
      <c r="E1246" s="10" t="str">
        <f t="shared" si="3"/>
        <v>BRN75G</v>
      </c>
      <c r="F1246" s="11" t="str">
        <f t="array" ref="F1246">iferror(index('rna-muscle'!F:F,match($A1246,'rna-muscle'!$A:$A,0)))</f>
        <v>F</v>
      </c>
      <c r="G1246" s="11">
        <f t="array" ref="G1246">iferror(index('rna-muscle'!G:G,match($A1246,'rna-muscle'!$A:$A,0)))</f>
        <v>6</v>
      </c>
      <c r="H1246" s="11" t="str">
        <f t="shared" si="4"/>
        <v>F6</v>
      </c>
      <c r="I1246" s="10" t="str">
        <f t="shared" si="5"/>
        <v>BRN75G-F6</v>
      </c>
      <c r="J1246" s="16"/>
      <c r="K1246" s="16" t="str">
        <f t="shared" si="6"/>
        <v>collected</v>
      </c>
      <c r="L1246" s="16" t="str">
        <f t="shared" si="7"/>
        <v>N</v>
      </c>
      <c r="M1246" s="16"/>
      <c r="N1246" s="16"/>
    </row>
    <row r="1247">
      <c r="A1247" s="40" t="s">
        <v>1759</v>
      </c>
      <c r="B1247" s="10" t="str">
        <f t="shared" si="1"/>
        <v>RNA-gill</v>
      </c>
      <c r="C1247" s="10" t="str">
        <f t="shared" si="2"/>
        <v>BRN75G-E6</v>
      </c>
      <c r="D1247" s="11">
        <f t="array" ref="D1247">iferror(index('rna-muscle'!D:D,match(A1247,'rna-muscle'!A:A,0)))</f>
        <v>75</v>
      </c>
      <c r="E1247" s="10" t="str">
        <f t="shared" si="3"/>
        <v>BRN75G</v>
      </c>
      <c r="F1247" s="11" t="str">
        <f t="array" ref="F1247">iferror(index('rna-muscle'!F:F,match($A1247,'rna-muscle'!$A:$A,0)))</f>
        <v>E</v>
      </c>
      <c r="G1247" s="11">
        <f t="array" ref="G1247">iferror(index('rna-muscle'!G:G,match($A1247,'rna-muscle'!$A:$A,0)))</f>
        <v>6</v>
      </c>
      <c r="H1247" s="11" t="str">
        <f t="shared" si="4"/>
        <v>E6</v>
      </c>
      <c r="I1247" s="10" t="str">
        <f t="shared" si="5"/>
        <v>BRN75G-E6</v>
      </c>
      <c r="J1247" s="16"/>
      <c r="K1247" s="16" t="str">
        <f t="shared" si="6"/>
        <v>collected</v>
      </c>
      <c r="L1247" s="16" t="str">
        <f t="shared" si="7"/>
        <v>N</v>
      </c>
      <c r="M1247" s="16"/>
      <c r="N1247" s="16"/>
    </row>
    <row r="1248">
      <c r="A1248" s="40" t="s">
        <v>1760</v>
      </c>
      <c r="B1248" s="10" t="str">
        <f t="shared" si="1"/>
        <v>RNA-gill</v>
      </c>
      <c r="C1248" s="10" t="str">
        <f t="shared" si="2"/>
        <v>BRN75G-D6</v>
      </c>
      <c r="D1248" s="11">
        <f t="array" ref="D1248">iferror(index('rna-muscle'!D:D,match(A1248,'rna-muscle'!A:A,0)))</f>
        <v>75</v>
      </c>
      <c r="E1248" s="10" t="str">
        <f t="shared" si="3"/>
        <v>BRN75G</v>
      </c>
      <c r="F1248" s="11" t="str">
        <f t="array" ref="F1248">iferror(index('rna-muscle'!F:F,match($A1248,'rna-muscle'!$A:$A,0)))</f>
        <v>D</v>
      </c>
      <c r="G1248" s="11">
        <f t="array" ref="G1248">iferror(index('rna-muscle'!G:G,match($A1248,'rna-muscle'!$A:$A,0)))</f>
        <v>6</v>
      </c>
      <c r="H1248" s="11" t="str">
        <f t="shared" si="4"/>
        <v>D6</v>
      </c>
      <c r="I1248" s="10" t="str">
        <f t="shared" si="5"/>
        <v>BRN75G-D6</v>
      </c>
      <c r="J1248" s="16"/>
      <c r="K1248" s="16" t="str">
        <f t="shared" si="6"/>
        <v>collected</v>
      </c>
      <c r="L1248" s="16" t="str">
        <f t="shared" si="7"/>
        <v>N</v>
      </c>
      <c r="M1248" s="16"/>
      <c r="N1248" s="16"/>
    </row>
    <row r="1249">
      <c r="A1249" s="40" t="s">
        <v>1761</v>
      </c>
      <c r="B1249" s="10" t="str">
        <f t="shared" si="1"/>
        <v>RNA-gill</v>
      </c>
      <c r="C1249" s="10" t="str">
        <f t="shared" si="2"/>
        <v>BRN75G-C6</v>
      </c>
      <c r="D1249" s="11">
        <f t="array" ref="D1249">iferror(index('rna-muscle'!D:D,match(A1249,'rna-muscle'!A:A,0)))</f>
        <v>75</v>
      </c>
      <c r="E1249" s="10" t="str">
        <f t="shared" si="3"/>
        <v>BRN75G</v>
      </c>
      <c r="F1249" s="11" t="str">
        <f t="array" ref="F1249">iferror(index('rna-muscle'!F:F,match($A1249,'rna-muscle'!$A:$A,0)))</f>
        <v>C</v>
      </c>
      <c r="G1249" s="11">
        <f t="array" ref="G1249">iferror(index('rna-muscle'!G:G,match($A1249,'rna-muscle'!$A:$A,0)))</f>
        <v>6</v>
      </c>
      <c r="H1249" s="11" t="str">
        <f t="shared" si="4"/>
        <v>C6</v>
      </c>
      <c r="I1249" s="10" t="str">
        <f t="shared" si="5"/>
        <v>BRN75G-C6</v>
      </c>
      <c r="J1249" s="16"/>
      <c r="K1249" s="16" t="str">
        <f t="shared" si="6"/>
        <v>collected</v>
      </c>
      <c r="L1249" s="16" t="str">
        <f t="shared" si="7"/>
        <v>N</v>
      </c>
      <c r="M1249" s="16"/>
      <c r="N1249" s="16"/>
    </row>
    <row r="1250">
      <c r="A1250" s="40" t="s">
        <v>1762</v>
      </c>
      <c r="B1250" s="10" t="str">
        <f t="shared" si="1"/>
        <v>RNA-gill</v>
      </c>
      <c r="C1250" s="10" t="str">
        <f t="shared" si="2"/>
        <v>BRN75G-B6</v>
      </c>
      <c r="D1250" s="11">
        <f t="array" ref="D1250">iferror(index('rna-muscle'!D:D,match(A1250,'rna-muscle'!A:A,0)))</f>
        <v>75</v>
      </c>
      <c r="E1250" s="10" t="str">
        <f t="shared" si="3"/>
        <v>BRN75G</v>
      </c>
      <c r="F1250" s="11" t="str">
        <f t="array" ref="F1250">iferror(index('rna-muscle'!F:F,match($A1250,'rna-muscle'!$A:$A,0)))</f>
        <v>B</v>
      </c>
      <c r="G1250" s="11">
        <f t="array" ref="G1250">iferror(index('rna-muscle'!G:G,match($A1250,'rna-muscle'!$A:$A,0)))</f>
        <v>6</v>
      </c>
      <c r="H1250" s="11" t="str">
        <f t="shared" si="4"/>
        <v>B6</v>
      </c>
      <c r="I1250" s="10" t="str">
        <f t="shared" si="5"/>
        <v>BRN75G-B6</v>
      </c>
      <c r="J1250" s="16"/>
      <c r="K1250" s="16" t="str">
        <f t="shared" si="6"/>
        <v>collected</v>
      </c>
      <c r="L1250" s="16" t="str">
        <f t="shared" si="7"/>
        <v>N</v>
      </c>
      <c r="M1250" s="16"/>
      <c r="N1250" s="16"/>
    </row>
    <row r="1251">
      <c r="A1251" s="40" t="s">
        <v>1763</v>
      </c>
      <c r="B1251" s="10" t="str">
        <f t="shared" si="1"/>
        <v>RNA-gill</v>
      </c>
      <c r="C1251" s="10" t="str">
        <f t="shared" si="2"/>
        <v>BRN75G-A6</v>
      </c>
      <c r="D1251" s="11">
        <f t="array" ref="D1251">iferror(index('rna-muscle'!D:D,match(A1251,'rna-muscle'!A:A,0)))</f>
        <v>75</v>
      </c>
      <c r="E1251" s="10" t="str">
        <f t="shared" si="3"/>
        <v>BRN75G</v>
      </c>
      <c r="F1251" s="11" t="str">
        <f t="array" ref="F1251">iferror(index('rna-muscle'!F:F,match($A1251,'rna-muscle'!$A:$A,0)))</f>
        <v>A</v>
      </c>
      <c r="G1251" s="11">
        <f t="array" ref="G1251">iferror(index('rna-muscle'!G:G,match($A1251,'rna-muscle'!$A:$A,0)))</f>
        <v>6</v>
      </c>
      <c r="H1251" s="11" t="str">
        <f t="shared" si="4"/>
        <v>A6</v>
      </c>
      <c r="I1251" s="10" t="str">
        <f t="shared" si="5"/>
        <v>BRN75G-A6</v>
      </c>
      <c r="J1251" s="16"/>
      <c r="K1251" s="16" t="str">
        <f t="shared" si="6"/>
        <v>collected</v>
      </c>
      <c r="L1251" s="16" t="str">
        <f t="shared" si="7"/>
        <v>N</v>
      </c>
      <c r="M1251" s="16"/>
      <c r="N1251" s="16"/>
    </row>
    <row r="1252">
      <c r="A1252" s="40" t="s">
        <v>1765</v>
      </c>
      <c r="B1252" s="10" t="str">
        <f t="shared" si="1"/>
        <v>RNA-gill</v>
      </c>
      <c r="C1252" s="10" t="str">
        <f t="shared" si="2"/>
        <v>BRN75G-H5</v>
      </c>
      <c r="D1252" s="11">
        <f t="array" ref="D1252">iferror(index('rna-muscle'!D:D,match(A1252,'rna-muscle'!A:A,0)))</f>
        <v>75</v>
      </c>
      <c r="E1252" s="10" t="str">
        <f t="shared" si="3"/>
        <v>BRN75G</v>
      </c>
      <c r="F1252" s="11" t="str">
        <f t="array" ref="F1252">iferror(index('rna-muscle'!F:F,match($A1252,'rna-muscle'!$A:$A,0)))</f>
        <v>H</v>
      </c>
      <c r="G1252" s="11">
        <f t="array" ref="G1252">iferror(index('rna-muscle'!G:G,match($A1252,'rna-muscle'!$A:$A,0)))</f>
        <v>5</v>
      </c>
      <c r="H1252" s="11" t="str">
        <f t="shared" si="4"/>
        <v>H5</v>
      </c>
      <c r="I1252" s="10" t="str">
        <f t="shared" si="5"/>
        <v>BRN75G-H5</v>
      </c>
      <c r="J1252" s="16"/>
      <c r="K1252" s="16" t="str">
        <f t="shared" si="6"/>
        <v>collected</v>
      </c>
      <c r="L1252" s="16" t="str">
        <f t="shared" si="7"/>
        <v>N</v>
      </c>
      <c r="M1252" s="16"/>
      <c r="N1252" s="16"/>
    </row>
    <row r="1253">
      <c r="A1253" s="40" t="s">
        <v>1766</v>
      </c>
      <c r="B1253" s="10" t="str">
        <f t="shared" si="1"/>
        <v>RNA-gill</v>
      </c>
      <c r="C1253" s="10" t="str">
        <f t="shared" si="2"/>
        <v>BRN75G-G5</v>
      </c>
      <c r="D1253" s="11">
        <f t="array" ref="D1253">iferror(index('rna-muscle'!D:D,match(A1253,'rna-muscle'!A:A,0)))</f>
        <v>75</v>
      </c>
      <c r="E1253" s="10" t="str">
        <f t="shared" si="3"/>
        <v>BRN75G</v>
      </c>
      <c r="F1253" s="11" t="str">
        <f t="array" ref="F1253">iferror(index('rna-muscle'!F:F,match($A1253,'rna-muscle'!$A:$A,0)))</f>
        <v>G</v>
      </c>
      <c r="G1253" s="11">
        <f t="array" ref="G1253">iferror(index('rna-muscle'!G:G,match($A1253,'rna-muscle'!$A:$A,0)))</f>
        <v>5</v>
      </c>
      <c r="H1253" s="11" t="str">
        <f t="shared" si="4"/>
        <v>G5</v>
      </c>
      <c r="I1253" s="10" t="str">
        <f t="shared" si="5"/>
        <v>BRN75G-G5</v>
      </c>
      <c r="J1253" s="16"/>
      <c r="K1253" s="16" t="str">
        <f t="shared" si="6"/>
        <v>collected</v>
      </c>
      <c r="L1253" s="16" t="str">
        <f t="shared" si="7"/>
        <v>N</v>
      </c>
      <c r="M1253" s="16"/>
      <c r="N1253" s="16"/>
    </row>
    <row r="1254">
      <c r="A1254" s="40" t="s">
        <v>1767</v>
      </c>
      <c r="B1254" s="10" t="str">
        <f t="shared" si="1"/>
        <v>RNA-gill</v>
      </c>
      <c r="C1254" s="10" t="str">
        <f t="shared" si="2"/>
        <v>BRN75G-F5</v>
      </c>
      <c r="D1254" s="11">
        <f t="array" ref="D1254">iferror(index('rna-muscle'!D:D,match(A1254,'rna-muscle'!A:A,0)))</f>
        <v>75</v>
      </c>
      <c r="E1254" s="10" t="str">
        <f t="shared" si="3"/>
        <v>BRN75G</v>
      </c>
      <c r="F1254" s="11" t="str">
        <f t="array" ref="F1254">iferror(index('rna-muscle'!F:F,match($A1254,'rna-muscle'!$A:$A,0)))</f>
        <v>F</v>
      </c>
      <c r="G1254" s="11">
        <f t="array" ref="G1254">iferror(index('rna-muscle'!G:G,match($A1254,'rna-muscle'!$A:$A,0)))</f>
        <v>5</v>
      </c>
      <c r="H1254" s="11" t="str">
        <f t="shared" si="4"/>
        <v>F5</v>
      </c>
      <c r="I1254" s="10" t="str">
        <f t="shared" si="5"/>
        <v>BRN75G-F5</v>
      </c>
      <c r="J1254" s="16"/>
      <c r="K1254" s="16" t="str">
        <f t="shared" si="6"/>
        <v>collected</v>
      </c>
      <c r="L1254" s="16" t="str">
        <f t="shared" si="7"/>
        <v>N</v>
      </c>
      <c r="M1254" s="16"/>
      <c r="N1254" s="16"/>
    </row>
    <row r="1255">
      <c r="A1255" s="40" t="s">
        <v>1768</v>
      </c>
      <c r="B1255" s="10" t="str">
        <f t="shared" si="1"/>
        <v>RNA-gill</v>
      </c>
      <c r="C1255" s="10" t="str">
        <f t="shared" si="2"/>
        <v>BRN75G-E5</v>
      </c>
      <c r="D1255" s="11">
        <f t="array" ref="D1255">iferror(index('rna-muscle'!D:D,match(A1255,'rna-muscle'!A:A,0)))</f>
        <v>75</v>
      </c>
      <c r="E1255" s="10" t="str">
        <f t="shared" si="3"/>
        <v>BRN75G</v>
      </c>
      <c r="F1255" s="11" t="str">
        <f t="array" ref="F1255">iferror(index('rna-muscle'!F:F,match($A1255,'rna-muscle'!$A:$A,0)))</f>
        <v>E</v>
      </c>
      <c r="G1255" s="11">
        <f t="array" ref="G1255">iferror(index('rna-muscle'!G:G,match($A1255,'rna-muscle'!$A:$A,0)))</f>
        <v>5</v>
      </c>
      <c r="H1255" s="11" t="str">
        <f t="shared" si="4"/>
        <v>E5</v>
      </c>
      <c r="I1255" s="10" t="str">
        <f t="shared" si="5"/>
        <v>BRN75G-E5</v>
      </c>
      <c r="J1255" s="16"/>
      <c r="K1255" s="16" t="str">
        <f t="shared" si="6"/>
        <v>collected</v>
      </c>
      <c r="L1255" s="16" t="str">
        <f t="shared" si="7"/>
        <v>N</v>
      </c>
      <c r="M1255" s="16"/>
      <c r="N1255" s="16"/>
    </row>
    <row r="1256">
      <c r="A1256" s="40" t="s">
        <v>1769</v>
      </c>
      <c r="B1256" s="10" t="str">
        <f t="shared" si="1"/>
        <v>RNA-gill</v>
      </c>
      <c r="C1256" s="10" t="str">
        <f t="shared" si="2"/>
        <v>BRN75G-D5</v>
      </c>
      <c r="D1256" s="11">
        <f t="array" ref="D1256">iferror(index('rna-muscle'!D:D,match(A1256,'rna-muscle'!A:A,0)))</f>
        <v>75</v>
      </c>
      <c r="E1256" s="10" t="str">
        <f t="shared" si="3"/>
        <v>BRN75G</v>
      </c>
      <c r="F1256" s="11" t="str">
        <f t="array" ref="F1256">iferror(index('rna-muscle'!F:F,match($A1256,'rna-muscle'!$A:$A,0)))</f>
        <v>D</v>
      </c>
      <c r="G1256" s="11">
        <f t="array" ref="G1256">iferror(index('rna-muscle'!G:G,match($A1256,'rna-muscle'!$A:$A,0)))</f>
        <v>5</v>
      </c>
      <c r="H1256" s="11" t="str">
        <f t="shared" si="4"/>
        <v>D5</v>
      </c>
      <c r="I1256" s="10" t="str">
        <f t="shared" si="5"/>
        <v>BRN75G-D5</v>
      </c>
      <c r="J1256" s="16"/>
      <c r="K1256" s="16" t="str">
        <f t="shared" si="6"/>
        <v>collected</v>
      </c>
      <c r="L1256" s="16" t="str">
        <f t="shared" si="7"/>
        <v>N</v>
      </c>
      <c r="M1256" s="16"/>
      <c r="N1256" s="16"/>
    </row>
    <row r="1257">
      <c r="A1257" s="40" t="s">
        <v>1770</v>
      </c>
      <c r="B1257" s="10" t="str">
        <f t="shared" si="1"/>
        <v>RNA-gill</v>
      </c>
      <c r="C1257" s="10" t="str">
        <f t="shared" si="2"/>
        <v>BRN75G-C5</v>
      </c>
      <c r="D1257" s="11">
        <f t="array" ref="D1257">iferror(index('rna-muscle'!D:D,match(A1257,'rna-muscle'!A:A,0)))</f>
        <v>75</v>
      </c>
      <c r="E1257" s="10" t="str">
        <f t="shared" si="3"/>
        <v>BRN75G</v>
      </c>
      <c r="F1257" s="11" t="str">
        <f t="array" ref="F1257">iferror(index('rna-muscle'!F:F,match($A1257,'rna-muscle'!$A:$A,0)))</f>
        <v>C</v>
      </c>
      <c r="G1257" s="11">
        <f t="array" ref="G1257">iferror(index('rna-muscle'!G:G,match($A1257,'rna-muscle'!$A:$A,0)))</f>
        <v>5</v>
      </c>
      <c r="H1257" s="11" t="str">
        <f t="shared" si="4"/>
        <v>C5</v>
      </c>
      <c r="I1257" s="10" t="str">
        <f t="shared" si="5"/>
        <v>BRN75G-C5</v>
      </c>
      <c r="J1257" s="16"/>
      <c r="K1257" s="16" t="str">
        <f t="shared" si="6"/>
        <v>collected</v>
      </c>
      <c r="L1257" s="16" t="str">
        <f t="shared" si="7"/>
        <v>N</v>
      </c>
      <c r="M1257" s="16"/>
      <c r="N1257" s="16"/>
    </row>
    <row r="1258">
      <c r="A1258" s="40" t="s">
        <v>1771</v>
      </c>
      <c r="B1258" s="10" t="str">
        <f t="shared" si="1"/>
        <v>RNA-gill</v>
      </c>
      <c r="C1258" s="10" t="str">
        <f t="shared" si="2"/>
        <v>BRN75G-B5</v>
      </c>
      <c r="D1258" s="11">
        <f t="array" ref="D1258">iferror(index('rna-muscle'!D:D,match(A1258,'rna-muscle'!A:A,0)))</f>
        <v>75</v>
      </c>
      <c r="E1258" s="10" t="str">
        <f t="shared" si="3"/>
        <v>BRN75G</v>
      </c>
      <c r="F1258" s="11" t="str">
        <f t="array" ref="F1258">iferror(index('rna-muscle'!F:F,match($A1258,'rna-muscle'!$A:$A,0)))</f>
        <v>B</v>
      </c>
      <c r="G1258" s="11">
        <f t="array" ref="G1258">iferror(index('rna-muscle'!G:G,match($A1258,'rna-muscle'!$A:$A,0)))</f>
        <v>5</v>
      </c>
      <c r="H1258" s="11" t="str">
        <f t="shared" si="4"/>
        <v>B5</v>
      </c>
      <c r="I1258" s="10" t="str">
        <f t="shared" si="5"/>
        <v>BRN75G-B5</v>
      </c>
      <c r="J1258" s="16"/>
      <c r="K1258" s="16" t="str">
        <f t="shared" si="6"/>
        <v>collected</v>
      </c>
      <c r="L1258" s="16" t="str">
        <f t="shared" si="7"/>
        <v>N</v>
      </c>
      <c r="M1258" s="16"/>
      <c r="N1258" s="16"/>
    </row>
    <row r="1259">
      <c r="A1259" s="40" t="s">
        <v>1772</v>
      </c>
      <c r="B1259" s="10" t="str">
        <f t="shared" si="1"/>
        <v>RNA-gill</v>
      </c>
      <c r="C1259" s="10" t="str">
        <f t="shared" si="2"/>
        <v>BRN75G-A5</v>
      </c>
      <c r="D1259" s="11">
        <f t="array" ref="D1259">iferror(index('rna-muscle'!D:D,match(A1259,'rna-muscle'!A:A,0)))</f>
        <v>75</v>
      </c>
      <c r="E1259" s="10" t="str">
        <f t="shared" si="3"/>
        <v>BRN75G</v>
      </c>
      <c r="F1259" s="11" t="str">
        <f t="array" ref="F1259">iferror(index('rna-muscle'!F:F,match($A1259,'rna-muscle'!$A:$A,0)))</f>
        <v>A</v>
      </c>
      <c r="G1259" s="11">
        <f t="array" ref="G1259">iferror(index('rna-muscle'!G:G,match($A1259,'rna-muscle'!$A:$A,0)))</f>
        <v>5</v>
      </c>
      <c r="H1259" s="11" t="str">
        <f t="shared" si="4"/>
        <v>A5</v>
      </c>
      <c r="I1259" s="10" t="str">
        <f t="shared" si="5"/>
        <v>BRN75G-A5</v>
      </c>
      <c r="J1259" s="16"/>
      <c r="K1259" s="16" t="str">
        <f t="shared" si="6"/>
        <v>collected</v>
      </c>
      <c r="L1259" s="16" t="str">
        <f t="shared" si="7"/>
        <v>N</v>
      </c>
      <c r="M1259" s="16"/>
      <c r="N1259" s="16"/>
    </row>
    <row r="1260">
      <c r="A1260" s="40" t="s">
        <v>1773</v>
      </c>
      <c r="B1260" s="10" t="str">
        <f t="shared" si="1"/>
        <v>RNA-gill</v>
      </c>
      <c r="C1260" s="10" t="str">
        <f t="shared" si="2"/>
        <v>BRN75G-H9</v>
      </c>
      <c r="D1260" s="11">
        <f t="array" ref="D1260">iferror(index('rna-muscle'!D:D,match(A1260,'rna-muscle'!A:A,0)))</f>
        <v>75</v>
      </c>
      <c r="E1260" s="10" t="str">
        <f t="shared" si="3"/>
        <v>BRN75G</v>
      </c>
      <c r="F1260" s="11" t="str">
        <f t="array" ref="F1260">iferror(index('rna-muscle'!F:F,match($A1260,'rna-muscle'!$A:$A,0)))</f>
        <v>H</v>
      </c>
      <c r="G1260" s="11">
        <f t="array" ref="G1260">iferror(index('rna-muscle'!G:G,match($A1260,'rna-muscle'!$A:$A,0)))</f>
        <v>9</v>
      </c>
      <c r="H1260" s="11" t="str">
        <f t="shared" si="4"/>
        <v>H9</v>
      </c>
      <c r="I1260" s="10" t="str">
        <f t="shared" si="5"/>
        <v>BRN75G-H9</v>
      </c>
      <c r="J1260" s="16"/>
      <c r="K1260" s="16" t="str">
        <f t="shared" si="6"/>
        <v>collected</v>
      </c>
      <c r="L1260" s="16" t="str">
        <f t="shared" si="7"/>
        <v>N</v>
      </c>
      <c r="M1260" s="16"/>
      <c r="N1260" s="16"/>
    </row>
    <row r="1261">
      <c r="A1261" s="40" t="s">
        <v>1774</v>
      </c>
      <c r="B1261" s="10" t="str">
        <f t="shared" si="1"/>
        <v>RNA-gill</v>
      </c>
      <c r="C1261" s="10" t="str">
        <f t="shared" si="2"/>
        <v>BRN75G-G9</v>
      </c>
      <c r="D1261" s="11">
        <f t="array" ref="D1261">iferror(index('rna-muscle'!D:D,match(A1261,'rna-muscle'!A:A,0)))</f>
        <v>75</v>
      </c>
      <c r="E1261" s="10" t="str">
        <f t="shared" si="3"/>
        <v>BRN75G</v>
      </c>
      <c r="F1261" s="11" t="str">
        <f t="array" ref="F1261">iferror(index('rna-muscle'!F:F,match($A1261,'rna-muscle'!$A:$A,0)))</f>
        <v>G</v>
      </c>
      <c r="G1261" s="11">
        <f t="array" ref="G1261">iferror(index('rna-muscle'!G:G,match($A1261,'rna-muscle'!$A:$A,0)))</f>
        <v>9</v>
      </c>
      <c r="H1261" s="11" t="str">
        <f t="shared" si="4"/>
        <v>G9</v>
      </c>
      <c r="I1261" s="10" t="str">
        <f t="shared" si="5"/>
        <v>BRN75G-G9</v>
      </c>
      <c r="J1261" s="16"/>
      <c r="K1261" s="16" t="str">
        <f t="shared" si="6"/>
        <v>collected</v>
      </c>
      <c r="L1261" s="16" t="str">
        <f t="shared" si="7"/>
        <v>N</v>
      </c>
      <c r="M1261" s="16"/>
      <c r="N1261" s="16"/>
    </row>
    <row r="1262">
      <c r="A1262" s="40" t="s">
        <v>1775</v>
      </c>
      <c r="B1262" s="10" t="str">
        <f t="shared" si="1"/>
        <v>RNA-gill</v>
      </c>
      <c r="C1262" s="10" t="str">
        <f t="shared" si="2"/>
        <v>BRN75G-F9</v>
      </c>
      <c r="D1262" s="11">
        <f t="array" ref="D1262">iferror(index('rna-muscle'!D:D,match(A1262,'rna-muscle'!A:A,0)))</f>
        <v>75</v>
      </c>
      <c r="E1262" s="10" t="str">
        <f t="shared" si="3"/>
        <v>BRN75G</v>
      </c>
      <c r="F1262" s="11" t="str">
        <f t="array" ref="F1262">iferror(index('rna-muscle'!F:F,match($A1262,'rna-muscle'!$A:$A,0)))</f>
        <v>F</v>
      </c>
      <c r="G1262" s="11">
        <f t="array" ref="G1262">iferror(index('rna-muscle'!G:G,match($A1262,'rna-muscle'!$A:$A,0)))</f>
        <v>9</v>
      </c>
      <c r="H1262" s="11" t="str">
        <f t="shared" si="4"/>
        <v>F9</v>
      </c>
      <c r="I1262" s="10" t="str">
        <f t="shared" si="5"/>
        <v>BRN75G-F9</v>
      </c>
      <c r="J1262" s="16"/>
      <c r="K1262" s="16" t="str">
        <f t="shared" si="6"/>
        <v>collected</v>
      </c>
      <c r="L1262" s="16" t="str">
        <f t="shared" si="7"/>
        <v>N</v>
      </c>
      <c r="M1262" s="16"/>
      <c r="N1262" s="16"/>
    </row>
    <row r="1263">
      <c r="A1263" s="40" t="s">
        <v>1776</v>
      </c>
      <c r="B1263" s="10" t="str">
        <f t="shared" si="1"/>
        <v>RNA-gill</v>
      </c>
      <c r="C1263" s="10" t="str">
        <f t="shared" si="2"/>
        <v>BRN75G-E9</v>
      </c>
      <c r="D1263" s="11">
        <f t="array" ref="D1263">iferror(index('rna-muscle'!D:D,match(A1263,'rna-muscle'!A:A,0)))</f>
        <v>75</v>
      </c>
      <c r="E1263" s="10" t="str">
        <f t="shared" si="3"/>
        <v>BRN75G</v>
      </c>
      <c r="F1263" s="11" t="str">
        <f t="array" ref="F1263">iferror(index('rna-muscle'!F:F,match($A1263,'rna-muscle'!$A:$A,0)))</f>
        <v>E</v>
      </c>
      <c r="G1263" s="11">
        <f t="array" ref="G1263">iferror(index('rna-muscle'!G:G,match($A1263,'rna-muscle'!$A:$A,0)))</f>
        <v>9</v>
      </c>
      <c r="H1263" s="11" t="str">
        <f t="shared" si="4"/>
        <v>E9</v>
      </c>
      <c r="I1263" s="10" t="str">
        <f t="shared" si="5"/>
        <v>BRN75G-E9</v>
      </c>
      <c r="J1263" s="16"/>
      <c r="K1263" s="16" t="str">
        <f t="shared" si="6"/>
        <v>collected</v>
      </c>
      <c r="L1263" s="16" t="str">
        <f t="shared" si="7"/>
        <v>N</v>
      </c>
      <c r="M1263" s="16"/>
      <c r="N1263" s="16"/>
    </row>
    <row r="1264">
      <c r="A1264" s="40" t="s">
        <v>1777</v>
      </c>
      <c r="B1264" s="10" t="str">
        <f t="shared" si="1"/>
        <v>RNA-gill</v>
      </c>
      <c r="C1264" s="10" t="str">
        <f t="shared" si="2"/>
        <v>BRN75G-D9</v>
      </c>
      <c r="D1264" s="11">
        <f t="array" ref="D1264">iferror(index('rna-muscle'!D:D,match(A1264,'rna-muscle'!A:A,0)))</f>
        <v>75</v>
      </c>
      <c r="E1264" s="10" t="str">
        <f t="shared" si="3"/>
        <v>BRN75G</v>
      </c>
      <c r="F1264" s="11" t="str">
        <f t="array" ref="F1264">iferror(index('rna-muscle'!F:F,match($A1264,'rna-muscle'!$A:$A,0)))</f>
        <v>D</v>
      </c>
      <c r="G1264" s="11">
        <f t="array" ref="G1264">iferror(index('rna-muscle'!G:G,match($A1264,'rna-muscle'!$A:$A,0)))</f>
        <v>9</v>
      </c>
      <c r="H1264" s="11" t="str">
        <f t="shared" si="4"/>
        <v>D9</v>
      </c>
      <c r="I1264" s="10" t="str">
        <f t="shared" si="5"/>
        <v>BRN75G-D9</v>
      </c>
      <c r="J1264" s="16"/>
      <c r="K1264" s="16" t="str">
        <f t="shared" si="6"/>
        <v>collected</v>
      </c>
      <c r="L1264" s="16" t="str">
        <f t="shared" si="7"/>
        <v>N</v>
      </c>
      <c r="M1264" s="16"/>
      <c r="N1264" s="16"/>
    </row>
    <row r="1265">
      <c r="A1265" s="40" t="s">
        <v>1778</v>
      </c>
      <c r="B1265" s="10" t="str">
        <f t="shared" si="1"/>
        <v>RNA-gill</v>
      </c>
      <c r="C1265" s="10" t="str">
        <f t="shared" si="2"/>
        <v>BRN75G-C9</v>
      </c>
      <c r="D1265" s="11">
        <f t="array" ref="D1265">iferror(index('rna-muscle'!D:D,match(A1265,'rna-muscle'!A:A,0)))</f>
        <v>75</v>
      </c>
      <c r="E1265" s="10" t="str">
        <f t="shared" si="3"/>
        <v>BRN75G</v>
      </c>
      <c r="F1265" s="11" t="str">
        <f t="array" ref="F1265">iferror(index('rna-muscle'!F:F,match($A1265,'rna-muscle'!$A:$A,0)))</f>
        <v>C</v>
      </c>
      <c r="G1265" s="11">
        <f t="array" ref="G1265">iferror(index('rna-muscle'!G:G,match($A1265,'rna-muscle'!$A:$A,0)))</f>
        <v>9</v>
      </c>
      <c r="H1265" s="11" t="str">
        <f t="shared" si="4"/>
        <v>C9</v>
      </c>
      <c r="I1265" s="10" t="str">
        <f t="shared" si="5"/>
        <v>BRN75G-C9</v>
      </c>
      <c r="J1265" s="16"/>
      <c r="K1265" s="16" t="str">
        <f t="shared" si="6"/>
        <v>collected</v>
      </c>
      <c r="L1265" s="16" t="str">
        <f t="shared" si="7"/>
        <v>N</v>
      </c>
      <c r="M1265" s="16"/>
      <c r="N1265" s="16"/>
    </row>
    <row r="1266">
      <c r="A1266" s="40" t="s">
        <v>1779</v>
      </c>
      <c r="B1266" s="10" t="str">
        <f t="shared" si="1"/>
        <v>RNA-gill</v>
      </c>
      <c r="C1266" s="10" t="str">
        <f t="shared" si="2"/>
        <v>BRN75G-B9</v>
      </c>
      <c r="D1266" s="11">
        <f t="array" ref="D1266">iferror(index('rna-muscle'!D:D,match(A1266,'rna-muscle'!A:A,0)))</f>
        <v>75</v>
      </c>
      <c r="E1266" s="10" t="str">
        <f t="shared" si="3"/>
        <v>BRN75G</v>
      </c>
      <c r="F1266" s="11" t="str">
        <f t="array" ref="F1266">iferror(index('rna-muscle'!F:F,match($A1266,'rna-muscle'!$A:$A,0)))</f>
        <v>B</v>
      </c>
      <c r="G1266" s="11">
        <f t="array" ref="G1266">iferror(index('rna-muscle'!G:G,match($A1266,'rna-muscle'!$A:$A,0)))</f>
        <v>9</v>
      </c>
      <c r="H1266" s="11" t="str">
        <f t="shared" si="4"/>
        <v>B9</v>
      </c>
      <c r="I1266" s="10" t="str">
        <f t="shared" si="5"/>
        <v>BRN75G-B9</v>
      </c>
      <c r="J1266" s="16"/>
      <c r="K1266" s="16" t="str">
        <f t="shared" si="6"/>
        <v>collected</v>
      </c>
      <c r="L1266" s="16" t="str">
        <f t="shared" si="7"/>
        <v>N</v>
      </c>
      <c r="M1266" s="16"/>
      <c r="N1266" s="16"/>
    </row>
    <row r="1267">
      <c r="A1267" s="40" t="s">
        <v>1781</v>
      </c>
      <c r="B1267" s="10" t="str">
        <f t="shared" si="1"/>
        <v>RNA-gill</v>
      </c>
      <c r="C1267" s="10" t="str">
        <f t="shared" si="2"/>
        <v>BRN75G-A9</v>
      </c>
      <c r="D1267" s="11">
        <f t="array" ref="D1267">iferror(index('rna-muscle'!D:D,match(A1267,'rna-muscle'!A:A,0)))</f>
        <v>75</v>
      </c>
      <c r="E1267" s="10" t="str">
        <f t="shared" si="3"/>
        <v>BRN75G</v>
      </c>
      <c r="F1267" s="11" t="str">
        <f t="array" ref="F1267">iferror(index('rna-muscle'!F:F,match($A1267,'rna-muscle'!$A:$A,0)))</f>
        <v>A</v>
      </c>
      <c r="G1267" s="11">
        <f t="array" ref="G1267">iferror(index('rna-muscle'!G:G,match($A1267,'rna-muscle'!$A:$A,0)))</f>
        <v>9</v>
      </c>
      <c r="H1267" s="11" t="str">
        <f t="shared" si="4"/>
        <v>A9</v>
      </c>
      <c r="I1267" s="10" t="str">
        <f t="shared" si="5"/>
        <v>BRN75G-A9</v>
      </c>
      <c r="J1267" s="16"/>
      <c r="K1267" s="16" t="str">
        <f t="shared" si="6"/>
        <v>collected</v>
      </c>
      <c r="L1267" s="16" t="str">
        <f t="shared" si="7"/>
        <v>N</v>
      </c>
      <c r="M1267" s="16"/>
      <c r="N1267" s="16"/>
    </row>
    <row r="1268">
      <c r="A1268" s="40" t="s">
        <v>1782</v>
      </c>
      <c r="B1268" s="10" t="str">
        <f t="shared" si="1"/>
        <v>RNA-gill</v>
      </c>
      <c r="C1268" s="10" t="str">
        <f t="shared" si="2"/>
        <v>BRN75G-H10</v>
      </c>
      <c r="D1268" s="11">
        <f t="array" ref="D1268">iferror(index('rna-muscle'!D:D,match(A1268,'rna-muscle'!A:A,0)))</f>
        <v>75</v>
      </c>
      <c r="E1268" s="10" t="str">
        <f t="shared" si="3"/>
        <v>BRN75G</v>
      </c>
      <c r="F1268" s="11" t="str">
        <f t="array" ref="F1268">iferror(index('rna-muscle'!F:F,match($A1268,'rna-muscle'!$A:$A,0)))</f>
        <v>H</v>
      </c>
      <c r="G1268" s="11">
        <f t="array" ref="G1268">iferror(index('rna-muscle'!G:G,match($A1268,'rna-muscle'!$A:$A,0)))</f>
        <v>10</v>
      </c>
      <c r="H1268" s="11" t="str">
        <f t="shared" si="4"/>
        <v>H10</v>
      </c>
      <c r="I1268" s="10" t="str">
        <f t="shared" si="5"/>
        <v>BRN75G-H10</v>
      </c>
      <c r="J1268" s="16"/>
      <c r="K1268" s="16" t="str">
        <f t="shared" si="6"/>
        <v>collected</v>
      </c>
      <c r="L1268" s="16" t="str">
        <f t="shared" si="7"/>
        <v>N</v>
      </c>
      <c r="M1268" s="16"/>
      <c r="N1268" s="16"/>
    </row>
    <row r="1269">
      <c r="A1269" s="40" t="s">
        <v>1784</v>
      </c>
      <c r="B1269" s="10" t="str">
        <f t="shared" si="1"/>
        <v>RNA-gill</v>
      </c>
      <c r="C1269" s="10" t="str">
        <f t="shared" si="2"/>
        <v>BRN75G-G10</v>
      </c>
      <c r="D1269" s="11">
        <f t="array" ref="D1269">iferror(index('rna-muscle'!D:D,match(A1269,'rna-muscle'!A:A,0)))</f>
        <v>75</v>
      </c>
      <c r="E1269" s="10" t="str">
        <f t="shared" si="3"/>
        <v>BRN75G</v>
      </c>
      <c r="F1269" s="11" t="str">
        <f t="array" ref="F1269">iferror(index('rna-muscle'!F:F,match($A1269,'rna-muscle'!$A:$A,0)))</f>
        <v>G</v>
      </c>
      <c r="G1269" s="11">
        <f t="array" ref="G1269">iferror(index('rna-muscle'!G:G,match($A1269,'rna-muscle'!$A:$A,0)))</f>
        <v>10</v>
      </c>
      <c r="H1269" s="11" t="str">
        <f t="shared" si="4"/>
        <v>G10</v>
      </c>
      <c r="I1269" s="10" t="str">
        <f t="shared" si="5"/>
        <v>BRN75G-G10</v>
      </c>
      <c r="J1269" s="16"/>
      <c r="K1269" s="16" t="str">
        <f t="shared" si="6"/>
        <v>collected</v>
      </c>
      <c r="L1269" s="16" t="str">
        <f t="shared" si="7"/>
        <v>N</v>
      </c>
      <c r="M1269" s="16"/>
      <c r="N1269" s="16"/>
    </row>
    <row r="1270">
      <c r="A1270" s="40" t="s">
        <v>1785</v>
      </c>
      <c r="B1270" s="10" t="str">
        <f t="shared" si="1"/>
        <v>RNA-gill</v>
      </c>
      <c r="C1270" s="10" t="str">
        <f t="shared" si="2"/>
        <v>BRN75G-F10</v>
      </c>
      <c r="D1270" s="11">
        <f t="array" ref="D1270">iferror(index('rna-muscle'!D:D,match(A1270,'rna-muscle'!A:A,0)))</f>
        <v>75</v>
      </c>
      <c r="E1270" s="10" t="str">
        <f t="shared" si="3"/>
        <v>BRN75G</v>
      </c>
      <c r="F1270" s="11" t="str">
        <f t="array" ref="F1270">iferror(index('rna-muscle'!F:F,match($A1270,'rna-muscle'!$A:$A,0)))</f>
        <v>F</v>
      </c>
      <c r="G1270" s="11">
        <f t="array" ref="G1270">iferror(index('rna-muscle'!G:G,match($A1270,'rna-muscle'!$A:$A,0)))</f>
        <v>10</v>
      </c>
      <c r="H1270" s="11" t="str">
        <f t="shared" si="4"/>
        <v>F10</v>
      </c>
      <c r="I1270" s="10" t="str">
        <f t="shared" si="5"/>
        <v>BRN75G-F10</v>
      </c>
      <c r="J1270" s="16"/>
      <c r="K1270" s="16" t="str">
        <f t="shared" si="6"/>
        <v>collected</v>
      </c>
      <c r="L1270" s="16" t="str">
        <f t="shared" si="7"/>
        <v>N</v>
      </c>
      <c r="M1270" s="16"/>
      <c r="N1270" s="16"/>
    </row>
    <row r="1271">
      <c r="A1271" s="40" t="s">
        <v>1786</v>
      </c>
      <c r="B1271" s="10" t="str">
        <f t="shared" si="1"/>
        <v>RNA-gill</v>
      </c>
      <c r="C1271" s="10" t="str">
        <f t="shared" si="2"/>
        <v>BRN75G-E10</v>
      </c>
      <c r="D1271" s="11">
        <f t="array" ref="D1271">iferror(index('rna-muscle'!D:D,match(A1271,'rna-muscle'!A:A,0)))</f>
        <v>75</v>
      </c>
      <c r="E1271" s="10" t="str">
        <f t="shared" si="3"/>
        <v>BRN75G</v>
      </c>
      <c r="F1271" s="11" t="str">
        <f t="array" ref="F1271">iferror(index('rna-muscle'!F:F,match($A1271,'rna-muscle'!$A:$A,0)))</f>
        <v>E</v>
      </c>
      <c r="G1271" s="11">
        <f t="array" ref="G1271">iferror(index('rna-muscle'!G:G,match($A1271,'rna-muscle'!$A:$A,0)))</f>
        <v>10</v>
      </c>
      <c r="H1271" s="11" t="str">
        <f t="shared" si="4"/>
        <v>E10</v>
      </c>
      <c r="I1271" s="10" t="str">
        <f t="shared" si="5"/>
        <v>BRN75G-E10</v>
      </c>
      <c r="J1271" s="16"/>
      <c r="K1271" s="16" t="str">
        <f t="shared" si="6"/>
        <v>collected</v>
      </c>
      <c r="L1271" s="16" t="str">
        <f t="shared" si="7"/>
        <v>N</v>
      </c>
      <c r="M1271" s="16"/>
      <c r="N1271" s="16"/>
    </row>
    <row r="1272">
      <c r="A1272" s="40" t="s">
        <v>1787</v>
      </c>
      <c r="B1272" s="10" t="str">
        <f t="shared" si="1"/>
        <v>RNA-gill</v>
      </c>
      <c r="C1272" s="10" t="str">
        <f t="shared" si="2"/>
        <v>BRN75G-D10</v>
      </c>
      <c r="D1272" s="11">
        <f t="array" ref="D1272">iferror(index('rna-muscle'!D:D,match(A1272,'rna-muscle'!A:A,0)))</f>
        <v>75</v>
      </c>
      <c r="E1272" s="10" t="str">
        <f t="shared" si="3"/>
        <v>BRN75G</v>
      </c>
      <c r="F1272" s="11" t="str">
        <f t="array" ref="F1272">iferror(index('rna-muscle'!F:F,match($A1272,'rna-muscle'!$A:$A,0)))</f>
        <v>D</v>
      </c>
      <c r="G1272" s="11">
        <f t="array" ref="G1272">iferror(index('rna-muscle'!G:G,match($A1272,'rna-muscle'!$A:$A,0)))</f>
        <v>10</v>
      </c>
      <c r="H1272" s="11" t="str">
        <f t="shared" si="4"/>
        <v>D10</v>
      </c>
      <c r="I1272" s="10" t="str">
        <f t="shared" si="5"/>
        <v>BRN75G-D10</v>
      </c>
      <c r="J1272" s="16"/>
      <c r="K1272" s="16" t="str">
        <f t="shared" si="6"/>
        <v>collected</v>
      </c>
      <c r="L1272" s="16" t="str">
        <f t="shared" si="7"/>
        <v>N</v>
      </c>
      <c r="M1272" s="16"/>
      <c r="N1272" s="16"/>
    </row>
    <row r="1273">
      <c r="A1273" s="40" t="s">
        <v>1788</v>
      </c>
      <c r="B1273" s="10" t="str">
        <f t="shared" si="1"/>
        <v>RNA-gill</v>
      </c>
      <c r="C1273" s="10" t="str">
        <f t="shared" si="2"/>
        <v>BRN75G-C10</v>
      </c>
      <c r="D1273" s="11">
        <f t="array" ref="D1273">iferror(index('rna-muscle'!D:D,match(A1273,'rna-muscle'!A:A,0)))</f>
        <v>75</v>
      </c>
      <c r="E1273" s="10" t="str">
        <f t="shared" si="3"/>
        <v>BRN75G</v>
      </c>
      <c r="F1273" s="11" t="str">
        <f t="array" ref="F1273">iferror(index('rna-muscle'!F:F,match($A1273,'rna-muscle'!$A:$A,0)))</f>
        <v>C</v>
      </c>
      <c r="G1273" s="11">
        <f t="array" ref="G1273">iferror(index('rna-muscle'!G:G,match($A1273,'rna-muscle'!$A:$A,0)))</f>
        <v>10</v>
      </c>
      <c r="H1273" s="11" t="str">
        <f t="shared" si="4"/>
        <v>C10</v>
      </c>
      <c r="I1273" s="10" t="str">
        <f t="shared" si="5"/>
        <v>BRN75G-C10</v>
      </c>
      <c r="J1273" s="16"/>
      <c r="K1273" s="16" t="str">
        <f t="shared" si="6"/>
        <v>collected</v>
      </c>
      <c r="L1273" s="16" t="str">
        <f t="shared" si="7"/>
        <v>N</v>
      </c>
      <c r="M1273" s="16"/>
      <c r="N1273" s="16"/>
    </row>
    <row r="1274">
      <c r="A1274" s="40" t="s">
        <v>1790</v>
      </c>
      <c r="B1274" s="10" t="str">
        <f t="shared" si="1"/>
        <v>RNA-gill</v>
      </c>
      <c r="C1274" s="10" t="str">
        <f t="shared" si="2"/>
        <v>BRN75G-B10</v>
      </c>
      <c r="D1274" s="11">
        <f t="array" ref="D1274">iferror(index('rna-muscle'!D:D,match(A1274,'rna-muscle'!A:A,0)))</f>
        <v>75</v>
      </c>
      <c r="E1274" s="10" t="str">
        <f t="shared" si="3"/>
        <v>BRN75G</v>
      </c>
      <c r="F1274" s="11" t="str">
        <f t="array" ref="F1274">iferror(index('rna-muscle'!F:F,match($A1274,'rna-muscle'!$A:$A,0)))</f>
        <v>B</v>
      </c>
      <c r="G1274" s="11">
        <f t="array" ref="G1274">iferror(index('rna-muscle'!G:G,match($A1274,'rna-muscle'!$A:$A,0)))</f>
        <v>10</v>
      </c>
      <c r="H1274" s="11" t="str">
        <f t="shared" si="4"/>
        <v>B10</v>
      </c>
      <c r="I1274" s="10" t="str">
        <f t="shared" si="5"/>
        <v>BRN75G-B10</v>
      </c>
      <c r="J1274" s="16"/>
      <c r="K1274" s="16" t="str">
        <f t="shared" si="6"/>
        <v>collected</v>
      </c>
      <c r="L1274" s="16" t="str">
        <f t="shared" si="7"/>
        <v>N</v>
      </c>
      <c r="M1274" s="16"/>
      <c r="N1274" s="16"/>
    </row>
    <row r="1275">
      <c r="A1275" s="40" t="s">
        <v>1791</v>
      </c>
      <c r="B1275" s="10" t="str">
        <f t="shared" si="1"/>
        <v>RNA-gill</v>
      </c>
      <c r="C1275" s="10" t="str">
        <f t="shared" si="2"/>
        <v>BRN75G-A10</v>
      </c>
      <c r="D1275" s="11">
        <f t="array" ref="D1275">iferror(index('rna-muscle'!D:D,match(A1275,'rna-muscle'!A:A,0)))</f>
        <v>75</v>
      </c>
      <c r="E1275" s="10" t="str">
        <f t="shared" si="3"/>
        <v>BRN75G</v>
      </c>
      <c r="F1275" s="11" t="str">
        <f t="array" ref="F1275">iferror(index('rna-muscle'!F:F,match($A1275,'rna-muscle'!$A:$A,0)))</f>
        <v>A</v>
      </c>
      <c r="G1275" s="11">
        <f t="array" ref="G1275">iferror(index('rna-muscle'!G:G,match($A1275,'rna-muscle'!$A:$A,0)))</f>
        <v>10</v>
      </c>
      <c r="H1275" s="11" t="str">
        <f t="shared" si="4"/>
        <v>A10</v>
      </c>
      <c r="I1275" s="10" t="str">
        <f t="shared" si="5"/>
        <v>BRN75G-A10</v>
      </c>
      <c r="J1275" s="16"/>
      <c r="K1275" s="16" t="str">
        <f t="shared" si="6"/>
        <v>collected</v>
      </c>
      <c r="L1275" s="16" t="str">
        <f t="shared" si="7"/>
        <v>N</v>
      </c>
      <c r="M1275" s="16"/>
      <c r="N1275" s="16"/>
    </row>
    <row r="1276">
      <c r="A1276" s="40" t="s">
        <v>1792</v>
      </c>
      <c r="B1276" s="10" t="str">
        <f t="shared" si="1"/>
        <v>RNA-gill</v>
      </c>
      <c r="C1276" s="10" t="str">
        <f t="shared" si="2"/>
        <v>BRN75G-H11</v>
      </c>
      <c r="D1276" s="11">
        <f t="array" ref="D1276">iferror(index('rna-muscle'!D:D,match(A1276,'rna-muscle'!A:A,0)))</f>
        <v>75</v>
      </c>
      <c r="E1276" s="10" t="str">
        <f t="shared" si="3"/>
        <v>BRN75G</v>
      </c>
      <c r="F1276" s="11" t="str">
        <f t="array" ref="F1276">iferror(index('rna-muscle'!F:F,match($A1276,'rna-muscle'!$A:$A,0)))</f>
        <v>H</v>
      </c>
      <c r="G1276" s="11">
        <f t="array" ref="G1276">iferror(index('rna-muscle'!G:G,match($A1276,'rna-muscle'!$A:$A,0)))</f>
        <v>11</v>
      </c>
      <c r="H1276" s="11" t="str">
        <f t="shared" si="4"/>
        <v>H11</v>
      </c>
      <c r="I1276" s="10" t="str">
        <f t="shared" si="5"/>
        <v>BRN75G-H11</v>
      </c>
      <c r="J1276" s="16"/>
      <c r="K1276" s="16" t="str">
        <f t="shared" si="6"/>
        <v>collected</v>
      </c>
      <c r="L1276" s="16" t="str">
        <f t="shared" si="7"/>
        <v>N</v>
      </c>
      <c r="M1276" s="16"/>
      <c r="N1276" s="16"/>
    </row>
    <row r="1277">
      <c r="A1277" s="40" t="s">
        <v>1793</v>
      </c>
      <c r="B1277" s="10" t="str">
        <f t="shared" si="1"/>
        <v>RNA-gill</v>
      </c>
      <c r="C1277" s="10" t="str">
        <f t="shared" si="2"/>
        <v>BRN75G-G11</v>
      </c>
      <c r="D1277" s="11">
        <f t="array" ref="D1277">iferror(index('rna-muscle'!D:D,match(A1277,'rna-muscle'!A:A,0)))</f>
        <v>75</v>
      </c>
      <c r="E1277" s="10" t="str">
        <f t="shared" si="3"/>
        <v>BRN75G</v>
      </c>
      <c r="F1277" s="11" t="str">
        <f t="array" ref="F1277">iferror(index('rna-muscle'!F:F,match($A1277,'rna-muscle'!$A:$A,0)))</f>
        <v>G</v>
      </c>
      <c r="G1277" s="11">
        <f t="array" ref="G1277">iferror(index('rna-muscle'!G:G,match($A1277,'rna-muscle'!$A:$A,0)))</f>
        <v>11</v>
      </c>
      <c r="H1277" s="11" t="str">
        <f t="shared" si="4"/>
        <v>G11</v>
      </c>
      <c r="I1277" s="10" t="str">
        <f t="shared" si="5"/>
        <v>BRN75G-G11</v>
      </c>
      <c r="J1277" s="16"/>
      <c r="K1277" s="16" t="str">
        <f t="shared" si="6"/>
        <v>collected</v>
      </c>
      <c r="L1277" s="16" t="str">
        <f t="shared" si="7"/>
        <v>N</v>
      </c>
      <c r="M1277" s="16"/>
      <c r="N1277" s="16"/>
    </row>
    <row r="1278">
      <c r="A1278" s="40" t="s">
        <v>1795</v>
      </c>
      <c r="B1278" s="10" t="str">
        <f t="shared" si="1"/>
        <v>RNA-gill</v>
      </c>
      <c r="C1278" s="10" t="str">
        <f t="shared" si="2"/>
        <v>BRN75G-F11</v>
      </c>
      <c r="D1278" s="11">
        <f t="array" ref="D1278">iferror(index('rna-muscle'!D:D,match(A1278,'rna-muscle'!A:A,0)))</f>
        <v>75</v>
      </c>
      <c r="E1278" s="10" t="str">
        <f t="shared" si="3"/>
        <v>BRN75G</v>
      </c>
      <c r="F1278" s="11" t="str">
        <f t="array" ref="F1278">iferror(index('rna-muscle'!F:F,match($A1278,'rna-muscle'!$A:$A,0)))</f>
        <v>F</v>
      </c>
      <c r="G1278" s="11">
        <f t="array" ref="G1278">iferror(index('rna-muscle'!G:G,match($A1278,'rna-muscle'!$A:$A,0)))</f>
        <v>11</v>
      </c>
      <c r="H1278" s="11" t="str">
        <f t="shared" si="4"/>
        <v>F11</v>
      </c>
      <c r="I1278" s="10" t="str">
        <f t="shared" si="5"/>
        <v>BRN75G-F11</v>
      </c>
      <c r="J1278" s="16"/>
      <c r="K1278" s="16" t="str">
        <f t="shared" si="6"/>
        <v>collected</v>
      </c>
      <c r="L1278" s="16" t="str">
        <f t="shared" si="7"/>
        <v>N</v>
      </c>
      <c r="M1278" s="16"/>
      <c r="N1278" s="16"/>
    </row>
    <row r="1279">
      <c r="A1279" s="40" t="s">
        <v>1796</v>
      </c>
      <c r="B1279" s="10" t="str">
        <f t="shared" si="1"/>
        <v>RNA-gill</v>
      </c>
      <c r="C1279" s="10" t="str">
        <f t="shared" si="2"/>
        <v>BRN75G-E11</v>
      </c>
      <c r="D1279" s="11">
        <f t="array" ref="D1279">iferror(index('rna-muscle'!D:D,match(A1279,'rna-muscle'!A:A,0)))</f>
        <v>75</v>
      </c>
      <c r="E1279" s="10" t="str">
        <f t="shared" si="3"/>
        <v>BRN75G</v>
      </c>
      <c r="F1279" s="11" t="str">
        <f t="array" ref="F1279">iferror(index('rna-muscle'!F:F,match($A1279,'rna-muscle'!$A:$A,0)))</f>
        <v>E</v>
      </c>
      <c r="G1279" s="11">
        <f t="array" ref="G1279">iferror(index('rna-muscle'!G:G,match($A1279,'rna-muscle'!$A:$A,0)))</f>
        <v>11</v>
      </c>
      <c r="H1279" s="11" t="str">
        <f t="shared" si="4"/>
        <v>E11</v>
      </c>
      <c r="I1279" s="10" t="str">
        <f t="shared" si="5"/>
        <v>BRN75G-E11</v>
      </c>
      <c r="J1279" s="16"/>
      <c r="K1279" s="16" t="str">
        <f t="shared" si="6"/>
        <v>collected</v>
      </c>
      <c r="L1279" s="16" t="str">
        <f t="shared" si="7"/>
        <v>N</v>
      </c>
      <c r="M1279" s="16"/>
      <c r="N1279" s="16"/>
    </row>
    <row r="1280">
      <c r="A1280" s="40" t="s">
        <v>1797</v>
      </c>
      <c r="B1280" s="10" t="str">
        <f t="shared" si="1"/>
        <v>RNA-gill</v>
      </c>
      <c r="C1280" s="10" t="str">
        <f t="shared" si="2"/>
        <v>BRN75G-H7</v>
      </c>
      <c r="D1280" s="11">
        <f t="array" ref="D1280">iferror(index('rna-muscle'!D:D,match(A1280,'rna-muscle'!A:A,0)))</f>
        <v>75</v>
      </c>
      <c r="E1280" s="10" t="str">
        <f t="shared" si="3"/>
        <v>BRN75G</v>
      </c>
      <c r="F1280" s="11" t="str">
        <f t="array" ref="F1280">iferror(index('rna-muscle'!F:F,match($A1280,'rna-muscle'!$A:$A,0)))</f>
        <v>H</v>
      </c>
      <c r="G1280" s="11">
        <f t="array" ref="G1280">iferror(index('rna-muscle'!G:G,match($A1280,'rna-muscle'!$A:$A,0)))</f>
        <v>7</v>
      </c>
      <c r="H1280" s="11" t="str">
        <f t="shared" si="4"/>
        <v>H7</v>
      </c>
      <c r="I1280" s="10" t="str">
        <f t="shared" si="5"/>
        <v>BRN75G-H7</v>
      </c>
      <c r="J1280" s="16"/>
      <c r="K1280" s="16" t="str">
        <f t="shared" si="6"/>
        <v>collected</v>
      </c>
      <c r="L1280" s="16" t="str">
        <f t="shared" si="7"/>
        <v>N</v>
      </c>
      <c r="M1280" s="16"/>
      <c r="N1280" s="16"/>
    </row>
    <row r="1281">
      <c r="A1281" s="40" t="s">
        <v>1798</v>
      </c>
      <c r="B1281" s="10" t="str">
        <f t="shared" si="1"/>
        <v>RNA-gill</v>
      </c>
      <c r="C1281" s="10" t="str">
        <f t="shared" si="2"/>
        <v>BRN75G-G7</v>
      </c>
      <c r="D1281" s="11">
        <f t="array" ref="D1281">iferror(index('rna-muscle'!D:D,match(A1281,'rna-muscle'!A:A,0)))</f>
        <v>75</v>
      </c>
      <c r="E1281" s="10" t="str">
        <f t="shared" si="3"/>
        <v>BRN75G</v>
      </c>
      <c r="F1281" s="11" t="str">
        <f t="array" ref="F1281">iferror(index('rna-muscle'!F:F,match($A1281,'rna-muscle'!$A:$A,0)))</f>
        <v>G</v>
      </c>
      <c r="G1281" s="11">
        <f t="array" ref="G1281">iferror(index('rna-muscle'!G:G,match($A1281,'rna-muscle'!$A:$A,0)))</f>
        <v>7</v>
      </c>
      <c r="H1281" s="11" t="str">
        <f t="shared" si="4"/>
        <v>G7</v>
      </c>
      <c r="I1281" s="10" t="str">
        <f t="shared" si="5"/>
        <v>BRN75G-G7</v>
      </c>
      <c r="J1281" s="16"/>
      <c r="K1281" s="16" t="str">
        <f t="shared" si="6"/>
        <v>collected</v>
      </c>
      <c r="L1281" s="16" t="str">
        <f t="shared" si="7"/>
        <v>N</v>
      </c>
      <c r="M1281" s="16"/>
      <c r="N1281" s="16"/>
    </row>
    <row r="1282">
      <c r="A1282" s="40" t="s">
        <v>1799</v>
      </c>
      <c r="B1282" s="10" t="str">
        <f t="shared" si="1"/>
        <v>RNA-gill</v>
      </c>
      <c r="C1282" s="10" t="str">
        <f t="shared" si="2"/>
        <v>BRN75G-F7</v>
      </c>
      <c r="D1282" s="11">
        <f t="array" ref="D1282">iferror(index('rna-muscle'!D:D,match(A1282,'rna-muscle'!A:A,0)))</f>
        <v>75</v>
      </c>
      <c r="E1282" s="10" t="str">
        <f t="shared" si="3"/>
        <v>BRN75G</v>
      </c>
      <c r="F1282" s="11" t="str">
        <f t="array" ref="F1282">iferror(index('rna-muscle'!F:F,match($A1282,'rna-muscle'!$A:$A,0)))</f>
        <v>F</v>
      </c>
      <c r="G1282" s="11">
        <f t="array" ref="G1282">iferror(index('rna-muscle'!G:G,match($A1282,'rna-muscle'!$A:$A,0)))</f>
        <v>7</v>
      </c>
      <c r="H1282" s="11" t="str">
        <f t="shared" si="4"/>
        <v>F7</v>
      </c>
      <c r="I1282" s="10" t="str">
        <f t="shared" si="5"/>
        <v>BRN75G-F7</v>
      </c>
      <c r="J1282" s="16"/>
      <c r="K1282" s="16" t="str">
        <f t="shared" si="6"/>
        <v>collected</v>
      </c>
      <c r="L1282" s="16" t="str">
        <f t="shared" si="7"/>
        <v>N</v>
      </c>
      <c r="M1282" s="16"/>
      <c r="N1282" s="16"/>
    </row>
    <row r="1283">
      <c r="A1283" s="40" t="s">
        <v>1801</v>
      </c>
      <c r="B1283" s="10" t="str">
        <f t="shared" si="1"/>
        <v>RNA-gill</v>
      </c>
      <c r="C1283" s="10" t="str">
        <f t="shared" si="2"/>
        <v>BRN75G-E7</v>
      </c>
      <c r="D1283" s="11">
        <f t="array" ref="D1283">iferror(index('rna-muscle'!D:D,match(A1283,'rna-muscle'!A:A,0)))</f>
        <v>75</v>
      </c>
      <c r="E1283" s="10" t="str">
        <f t="shared" si="3"/>
        <v>BRN75G</v>
      </c>
      <c r="F1283" s="11" t="str">
        <f t="array" ref="F1283">iferror(index('rna-muscle'!F:F,match($A1283,'rna-muscle'!$A:$A,0)))</f>
        <v>E</v>
      </c>
      <c r="G1283" s="11">
        <f t="array" ref="G1283">iferror(index('rna-muscle'!G:G,match($A1283,'rna-muscle'!$A:$A,0)))</f>
        <v>7</v>
      </c>
      <c r="H1283" s="11" t="str">
        <f t="shared" si="4"/>
        <v>E7</v>
      </c>
      <c r="I1283" s="10" t="str">
        <f t="shared" si="5"/>
        <v>BRN75G-E7</v>
      </c>
      <c r="J1283" s="16"/>
      <c r="K1283" s="16" t="str">
        <f t="shared" si="6"/>
        <v>collected</v>
      </c>
      <c r="L1283" s="16" t="str">
        <f t="shared" si="7"/>
        <v>N</v>
      </c>
      <c r="M1283" s="16"/>
      <c r="N1283" s="16"/>
    </row>
    <row r="1284">
      <c r="A1284" s="40" t="s">
        <v>1802</v>
      </c>
      <c r="B1284" s="10" t="str">
        <f t="shared" si="1"/>
        <v>RNA-gill</v>
      </c>
      <c r="C1284" s="10" t="str">
        <f t="shared" si="2"/>
        <v>BRN75G-D7</v>
      </c>
      <c r="D1284" s="11">
        <f t="array" ref="D1284">iferror(index('rna-muscle'!D:D,match(A1284,'rna-muscle'!A:A,0)))</f>
        <v>75</v>
      </c>
      <c r="E1284" s="10" t="str">
        <f t="shared" si="3"/>
        <v>BRN75G</v>
      </c>
      <c r="F1284" s="11" t="str">
        <f t="array" ref="F1284">iferror(index('rna-muscle'!F:F,match($A1284,'rna-muscle'!$A:$A,0)))</f>
        <v>D</v>
      </c>
      <c r="G1284" s="11">
        <f t="array" ref="G1284">iferror(index('rna-muscle'!G:G,match($A1284,'rna-muscle'!$A:$A,0)))</f>
        <v>7</v>
      </c>
      <c r="H1284" s="11" t="str">
        <f t="shared" si="4"/>
        <v>D7</v>
      </c>
      <c r="I1284" s="10" t="str">
        <f t="shared" si="5"/>
        <v>BRN75G-D7</v>
      </c>
      <c r="J1284" s="16"/>
      <c r="K1284" s="16" t="str">
        <f t="shared" si="6"/>
        <v>collected</v>
      </c>
      <c r="L1284" s="16" t="str">
        <f t="shared" si="7"/>
        <v>N</v>
      </c>
      <c r="M1284" s="16"/>
      <c r="N1284" s="16"/>
    </row>
    <row r="1285">
      <c r="A1285" s="40" t="s">
        <v>1803</v>
      </c>
      <c r="B1285" s="10" t="str">
        <f t="shared" si="1"/>
        <v>RNA-gill</v>
      </c>
      <c r="C1285" s="10" t="str">
        <f t="shared" si="2"/>
        <v>BRN75G-C7</v>
      </c>
      <c r="D1285" s="11">
        <f t="array" ref="D1285">iferror(index('rna-muscle'!D:D,match(A1285,'rna-muscle'!A:A,0)))</f>
        <v>75</v>
      </c>
      <c r="E1285" s="10" t="str">
        <f t="shared" si="3"/>
        <v>BRN75G</v>
      </c>
      <c r="F1285" s="11" t="str">
        <f t="array" ref="F1285">iferror(index('rna-muscle'!F:F,match($A1285,'rna-muscle'!$A:$A,0)))</f>
        <v>C</v>
      </c>
      <c r="G1285" s="11">
        <f t="array" ref="G1285">iferror(index('rna-muscle'!G:G,match($A1285,'rna-muscle'!$A:$A,0)))</f>
        <v>7</v>
      </c>
      <c r="H1285" s="11" t="str">
        <f t="shared" si="4"/>
        <v>C7</v>
      </c>
      <c r="I1285" s="10" t="str">
        <f t="shared" si="5"/>
        <v>BRN75G-C7</v>
      </c>
      <c r="J1285" s="16"/>
      <c r="K1285" s="16" t="str">
        <f t="shared" si="6"/>
        <v>collected</v>
      </c>
      <c r="L1285" s="16" t="str">
        <f t="shared" si="7"/>
        <v>N</v>
      </c>
      <c r="M1285" s="16"/>
      <c r="N1285" s="16"/>
    </row>
    <row r="1286">
      <c r="A1286" s="40" t="s">
        <v>1804</v>
      </c>
      <c r="B1286" s="10" t="str">
        <f t="shared" si="1"/>
        <v>RNA-gill</v>
      </c>
      <c r="C1286" s="10" t="str">
        <f t="shared" si="2"/>
        <v>BRN75G-B7</v>
      </c>
      <c r="D1286" s="11">
        <f t="array" ref="D1286">iferror(index('rna-muscle'!D:D,match(A1286,'rna-muscle'!A:A,0)))</f>
        <v>75</v>
      </c>
      <c r="E1286" s="10" t="str">
        <f t="shared" si="3"/>
        <v>BRN75G</v>
      </c>
      <c r="F1286" s="11" t="str">
        <f t="array" ref="F1286">iferror(index('rna-muscle'!F:F,match($A1286,'rna-muscle'!$A:$A,0)))</f>
        <v>B</v>
      </c>
      <c r="G1286" s="11">
        <f t="array" ref="G1286">iferror(index('rna-muscle'!G:G,match($A1286,'rna-muscle'!$A:$A,0)))</f>
        <v>7</v>
      </c>
      <c r="H1286" s="11" t="str">
        <f t="shared" si="4"/>
        <v>B7</v>
      </c>
      <c r="I1286" s="10" t="str">
        <f t="shared" si="5"/>
        <v>BRN75G-B7</v>
      </c>
      <c r="J1286" s="16"/>
      <c r="K1286" s="16" t="str">
        <f t="shared" si="6"/>
        <v>collected</v>
      </c>
      <c r="L1286" s="16" t="str">
        <f t="shared" si="7"/>
        <v>N</v>
      </c>
      <c r="M1286" s="16"/>
      <c r="N1286" s="16"/>
    </row>
    <row r="1287">
      <c r="A1287" s="40" t="s">
        <v>1805</v>
      </c>
      <c r="B1287" s="10" t="str">
        <f t="shared" si="1"/>
        <v>RNA-gill</v>
      </c>
      <c r="C1287" s="10" t="str">
        <f t="shared" si="2"/>
        <v>BRN75G-A7</v>
      </c>
      <c r="D1287" s="11">
        <f t="array" ref="D1287">iferror(index('rna-muscle'!D:D,match(A1287,'rna-muscle'!A:A,0)))</f>
        <v>75</v>
      </c>
      <c r="E1287" s="10" t="str">
        <f t="shared" si="3"/>
        <v>BRN75G</v>
      </c>
      <c r="F1287" s="11" t="str">
        <f t="array" ref="F1287">iferror(index('rna-muscle'!F:F,match($A1287,'rna-muscle'!$A:$A,0)))</f>
        <v>A</v>
      </c>
      <c r="G1287" s="11">
        <f t="array" ref="G1287">iferror(index('rna-muscle'!G:G,match($A1287,'rna-muscle'!$A:$A,0)))</f>
        <v>7</v>
      </c>
      <c r="H1287" s="11" t="str">
        <f t="shared" si="4"/>
        <v>A7</v>
      </c>
      <c r="I1287" s="10" t="str">
        <f t="shared" si="5"/>
        <v>BRN75G-A7</v>
      </c>
      <c r="J1287" s="16"/>
      <c r="K1287" s="16" t="str">
        <f t="shared" si="6"/>
        <v>collected</v>
      </c>
      <c r="L1287" s="16" t="str">
        <f t="shared" si="7"/>
        <v>N</v>
      </c>
      <c r="M1287" s="16"/>
      <c r="N1287" s="16"/>
    </row>
    <row r="1288">
      <c r="A1288" s="40" t="s">
        <v>1806</v>
      </c>
      <c r="B1288" s="10" t="str">
        <f t="shared" si="1"/>
        <v>RNA-gill</v>
      </c>
      <c r="C1288" s="10" t="str">
        <f t="shared" si="2"/>
        <v>BRN75G-H8</v>
      </c>
      <c r="D1288" s="11">
        <f t="array" ref="D1288">iferror(index('rna-muscle'!D:D,match(A1288,'rna-muscle'!A:A,0)))</f>
        <v>75</v>
      </c>
      <c r="E1288" s="10" t="str">
        <f t="shared" si="3"/>
        <v>BRN75G</v>
      </c>
      <c r="F1288" s="11" t="str">
        <f t="array" ref="F1288">iferror(index('rna-muscle'!F:F,match($A1288,'rna-muscle'!$A:$A,0)))</f>
        <v>H</v>
      </c>
      <c r="G1288" s="11">
        <f t="array" ref="G1288">iferror(index('rna-muscle'!G:G,match($A1288,'rna-muscle'!$A:$A,0)))</f>
        <v>8</v>
      </c>
      <c r="H1288" s="11" t="str">
        <f t="shared" si="4"/>
        <v>H8</v>
      </c>
      <c r="I1288" s="10" t="str">
        <f t="shared" si="5"/>
        <v>BRN75G-H8</v>
      </c>
      <c r="J1288" s="16"/>
      <c r="K1288" s="16" t="str">
        <f t="shared" si="6"/>
        <v>collected</v>
      </c>
      <c r="L1288" s="16" t="str">
        <f t="shared" si="7"/>
        <v>N</v>
      </c>
      <c r="M1288" s="16"/>
      <c r="N1288" s="16"/>
    </row>
    <row r="1289">
      <c r="A1289" s="40" t="s">
        <v>1808</v>
      </c>
      <c r="B1289" s="10" t="str">
        <f t="shared" si="1"/>
        <v>RNA-gill</v>
      </c>
      <c r="C1289" s="10" t="str">
        <f t="shared" si="2"/>
        <v>BRN75G-G8</v>
      </c>
      <c r="D1289" s="11">
        <f t="array" ref="D1289">iferror(index('rna-muscle'!D:D,match(A1289,'rna-muscle'!A:A,0)))</f>
        <v>75</v>
      </c>
      <c r="E1289" s="10" t="str">
        <f t="shared" si="3"/>
        <v>BRN75G</v>
      </c>
      <c r="F1289" s="11" t="str">
        <f t="array" ref="F1289">iferror(index('rna-muscle'!F:F,match($A1289,'rna-muscle'!$A:$A,0)))</f>
        <v>G</v>
      </c>
      <c r="G1289" s="11">
        <f t="array" ref="G1289">iferror(index('rna-muscle'!G:G,match($A1289,'rna-muscle'!$A:$A,0)))</f>
        <v>8</v>
      </c>
      <c r="H1289" s="11" t="str">
        <f t="shared" si="4"/>
        <v>G8</v>
      </c>
      <c r="I1289" s="10" t="str">
        <f t="shared" si="5"/>
        <v>BRN75G-G8</v>
      </c>
      <c r="J1289" s="16"/>
      <c r="K1289" s="16" t="str">
        <f t="shared" si="6"/>
        <v>collected</v>
      </c>
      <c r="L1289" s="16" t="str">
        <f t="shared" si="7"/>
        <v>N</v>
      </c>
      <c r="M1289" s="16"/>
      <c r="N1289" s="16"/>
    </row>
    <row r="1290">
      <c r="A1290" s="40" t="s">
        <v>1810</v>
      </c>
      <c r="B1290" s="10" t="str">
        <f t="shared" si="1"/>
        <v>RNA-gill</v>
      </c>
      <c r="C1290" s="10" t="str">
        <f t="shared" si="2"/>
        <v>BRN75G-F8</v>
      </c>
      <c r="D1290" s="11">
        <f t="array" ref="D1290">iferror(index('rna-muscle'!D:D,match(A1290,'rna-muscle'!A:A,0)))</f>
        <v>75</v>
      </c>
      <c r="E1290" s="10" t="str">
        <f t="shared" si="3"/>
        <v>BRN75G</v>
      </c>
      <c r="F1290" s="11" t="str">
        <f t="array" ref="F1290">iferror(index('rna-muscle'!F:F,match($A1290,'rna-muscle'!$A:$A,0)))</f>
        <v>F</v>
      </c>
      <c r="G1290" s="11">
        <f t="array" ref="G1290">iferror(index('rna-muscle'!G:G,match($A1290,'rna-muscle'!$A:$A,0)))</f>
        <v>8</v>
      </c>
      <c r="H1290" s="11" t="str">
        <f t="shared" si="4"/>
        <v>F8</v>
      </c>
      <c r="I1290" s="10" t="str">
        <f t="shared" si="5"/>
        <v>BRN75G-F8</v>
      </c>
      <c r="J1290" s="16"/>
      <c r="K1290" s="16" t="str">
        <f t="shared" si="6"/>
        <v>collected</v>
      </c>
      <c r="L1290" s="16" t="str">
        <f t="shared" si="7"/>
        <v>N</v>
      </c>
      <c r="M1290" s="16"/>
      <c r="N1290" s="16"/>
    </row>
    <row r="1291">
      <c r="A1291" s="40" t="s">
        <v>1811</v>
      </c>
      <c r="B1291" s="10" t="str">
        <f t="shared" si="1"/>
        <v>RNA-gill</v>
      </c>
      <c r="C1291" s="10" t="str">
        <f t="shared" si="2"/>
        <v>BRN75G-E8</v>
      </c>
      <c r="D1291" s="11">
        <f t="array" ref="D1291">iferror(index('rna-muscle'!D:D,match(A1291,'rna-muscle'!A:A,0)))</f>
        <v>75</v>
      </c>
      <c r="E1291" s="10" t="str">
        <f t="shared" si="3"/>
        <v>BRN75G</v>
      </c>
      <c r="F1291" s="11" t="str">
        <f t="array" ref="F1291">iferror(index('rna-muscle'!F:F,match($A1291,'rna-muscle'!$A:$A,0)))</f>
        <v>E</v>
      </c>
      <c r="G1291" s="11">
        <f t="array" ref="G1291">iferror(index('rna-muscle'!G:G,match($A1291,'rna-muscle'!$A:$A,0)))</f>
        <v>8</v>
      </c>
      <c r="H1291" s="11" t="str">
        <f t="shared" si="4"/>
        <v>E8</v>
      </c>
      <c r="I1291" s="10" t="str">
        <f t="shared" si="5"/>
        <v>BRN75G-E8</v>
      </c>
      <c r="J1291" s="16"/>
      <c r="K1291" s="16" t="str">
        <f t="shared" si="6"/>
        <v>collected</v>
      </c>
      <c r="L1291" s="16" t="str">
        <f t="shared" si="7"/>
        <v>N</v>
      </c>
      <c r="M1291" s="16"/>
      <c r="N1291" s="16"/>
    </row>
    <row r="1292">
      <c r="A1292" s="40" t="s">
        <v>1812</v>
      </c>
      <c r="B1292" s="10" t="str">
        <f t="shared" si="1"/>
        <v>RNA-gill</v>
      </c>
      <c r="C1292" s="10" t="str">
        <f t="shared" si="2"/>
        <v>BRN75G-D8</v>
      </c>
      <c r="D1292" s="11">
        <f t="array" ref="D1292">iferror(index('rna-muscle'!D:D,match(A1292,'rna-muscle'!A:A,0)))</f>
        <v>75</v>
      </c>
      <c r="E1292" s="10" t="str">
        <f t="shared" si="3"/>
        <v>BRN75G</v>
      </c>
      <c r="F1292" s="11" t="str">
        <f t="array" ref="F1292">iferror(index('rna-muscle'!F:F,match($A1292,'rna-muscle'!$A:$A,0)))</f>
        <v>D</v>
      </c>
      <c r="G1292" s="11">
        <f t="array" ref="G1292">iferror(index('rna-muscle'!G:G,match($A1292,'rna-muscle'!$A:$A,0)))</f>
        <v>8</v>
      </c>
      <c r="H1292" s="11" t="str">
        <f t="shared" si="4"/>
        <v>D8</v>
      </c>
      <c r="I1292" s="10" t="str">
        <f t="shared" si="5"/>
        <v>BRN75G-D8</v>
      </c>
      <c r="J1292" s="16"/>
      <c r="K1292" s="16" t="str">
        <f t="shared" si="6"/>
        <v>collected</v>
      </c>
      <c r="L1292" s="16" t="str">
        <f t="shared" si="7"/>
        <v>N</v>
      </c>
      <c r="M1292" s="16"/>
      <c r="N1292" s="16"/>
    </row>
    <row r="1293">
      <c r="A1293" s="40" t="s">
        <v>1814</v>
      </c>
      <c r="B1293" s="10" t="str">
        <f t="shared" si="1"/>
        <v>RNA-gill</v>
      </c>
      <c r="C1293" s="10" t="str">
        <f t="shared" si="2"/>
        <v>BRN75G-C8</v>
      </c>
      <c r="D1293" s="11">
        <f t="array" ref="D1293">iferror(index('rna-muscle'!D:D,match(A1293,'rna-muscle'!A:A,0)))</f>
        <v>75</v>
      </c>
      <c r="E1293" s="10" t="str">
        <f t="shared" si="3"/>
        <v>BRN75G</v>
      </c>
      <c r="F1293" s="11" t="str">
        <f t="array" ref="F1293">iferror(index('rna-muscle'!F:F,match($A1293,'rna-muscle'!$A:$A,0)))</f>
        <v>C</v>
      </c>
      <c r="G1293" s="11">
        <f t="array" ref="G1293">iferror(index('rna-muscle'!G:G,match($A1293,'rna-muscle'!$A:$A,0)))</f>
        <v>8</v>
      </c>
      <c r="H1293" s="11" t="str">
        <f t="shared" si="4"/>
        <v>C8</v>
      </c>
      <c r="I1293" s="10" t="str">
        <f t="shared" si="5"/>
        <v>BRN75G-C8</v>
      </c>
      <c r="J1293" s="16"/>
      <c r="K1293" s="16" t="str">
        <f t="shared" si="6"/>
        <v>collected</v>
      </c>
      <c r="L1293" s="16" t="str">
        <f t="shared" si="7"/>
        <v>N</v>
      </c>
      <c r="M1293" s="16"/>
      <c r="N1293" s="16"/>
    </row>
    <row r="1294">
      <c r="A1294" s="40" t="s">
        <v>1815</v>
      </c>
      <c r="B1294" s="10" t="str">
        <f t="shared" si="1"/>
        <v>RNA-gill</v>
      </c>
      <c r="C1294" s="10" t="str">
        <f t="shared" si="2"/>
        <v>BRN75G-B8</v>
      </c>
      <c r="D1294" s="11">
        <f t="array" ref="D1294">iferror(index('rna-muscle'!D:D,match(A1294,'rna-muscle'!A:A,0)))</f>
        <v>75</v>
      </c>
      <c r="E1294" s="10" t="str">
        <f t="shared" si="3"/>
        <v>BRN75G</v>
      </c>
      <c r="F1294" s="11" t="str">
        <f t="array" ref="F1294">iferror(index('rna-muscle'!F:F,match($A1294,'rna-muscle'!$A:$A,0)))</f>
        <v>B</v>
      </c>
      <c r="G1294" s="11">
        <f t="array" ref="G1294">iferror(index('rna-muscle'!G:G,match($A1294,'rna-muscle'!$A:$A,0)))</f>
        <v>8</v>
      </c>
      <c r="H1294" s="11" t="str">
        <f t="shared" si="4"/>
        <v>B8</v>
      </c>
      <c r="I1294" s="10" t="str">
        <f t="shared" si="5"/>
        <v>BRN75G-B8</v>
      </c>
      <c r="J1294" s="16"/>
      <c r="K1294" s="16" t="str">
        <f t="shared" si="6"/>
        <v>collected</v>
      </c>
      <c r="L1294" s="16" t="str">
        <f t="shared" si="7"/>
        <v>N</v>
      </c>
      <c r="M1294" s="16"/>
      <c r="N1294" s="16"/>
    </row>
    <row r="1295">
      <c r="A1295" s="40" t="s">
        <v>1816</v>
      </c>
      <c r="B1295" s="10" t="str">
        <f t="shared" si="1"/>
        <v>RNA-gill</v>
      </c>
      <c r="C1295" s="10" t="str">
        <f t="shared" si="2"/>
        <v>BRN75G-A8</v>
      </c>
      <c r="D1295" s="11">
        <f t="array" ref="D1295">iferror(index('rna-muscle'!D:D,match(A1295,'rna-muscle'!A:A,0)))</f>
        <v>75</v>
      </c>
      <c r="E1295" s="10" t="str">
        <f t="shared" si="3"/>
        <v>BRN75G</v>
      </c>
      <c r="F1295" s="11" t="str">
        <f t="array" ref="F1295">iferror(index('rna-muscle'!F:F,match($A1295,'rna-muscle'!$A:$A,0)))</f>
        <v>A</v>
      </c>
      <c r="G1295" s="11">
        <f t="array" ref="G1295">iferror(index('rna-muscle'!G:G,match($A1295,'rna-muscle'!$A:$A,0)))</f>
        <v>8</v>
      </c>
      <c r="H1295" s="11" t="str">
        <f t="shared" si="4"/>
        <v>A8</v>
      </c>
      <c r="I1295" s="10" t="str">
        <f t="shared" si="5"/>
        <v>BRN75G-A8</v>
      </c>
      <c r="J1295" s="16"/>
      <c r="K1295" s="16" t="str">
        <f t="shared" si="6"/>
        <v>collected</v>
      </c>
      <c r="L1295" s="16" t="str">
        <f t="shared" si="7"/>
        <v>N</v>
      </c>
      <c r="M1295" s="16"/>
      <c r="N1295" s="16"/>
    </row>
    <row r="1296">
      <c r="A1296" s="40" t="s">
        <v>1817</v>
      </c>
      <c r="B1296" s="10" t="str">
        <f t="shared" si="1"/>
        <v>RNA-gill</v>
      </c>
      <c r="C1296" s="10" t="str">
        <f t="shared" si="2"/>
        <v>BRN76G-H1</v>
      </c>
      <c r="D1296" s="11">
        <f t="array" ref="D1296">iferror(index('rna-muscle'!D:D,match(A1296,'rna-muscle'!A:A,0)))</f>
        <v>76</v>
      </c>
      <c r="E1296" s="10" t="str">
        <f t="shared" si="3"/>
        <v>BRN76G</v>
      </c>
      <c r="F1296" s="11" t="str">
        <f t="array" ref="F1296">iferror(index('rna-muscle'!F:F,match($A1296,'rna-muscle'!$A:$A,0)))</f>
        <v>H</v>
      </c>
      <c r="G1296" s="11">
        <f t="array" ref="G1296">iferror(index('rna-muscle'!G:G,match($A1296,'rna-muscle'!$A:$A,0)))</f>
        <v>1</v>
      </c>
      <c r="H1296" s="11" t="str">
        <f t="shared" si="4"/>
        <v>H1</v>
      </c>
      <c r="I1296" s="10" t="str">
        <f t="shared" si="5"/>
        <v>BRN76G-H1</v>
      </c>
      <c r="J1296" s="16"/>
      <c r="K1296" s="16" t="str">
        <f t="shared" si="6"/>
        <v>collected</v>
      </c>
      <c r="L1296" s="16" t="str">
        <f t="shared" si="7"/>
        <v>N</v>
      </c>
      <c r="M1296" s="16"/>
      <c r="N1296" s="16"/>
    </row>
    <row r="1297">
      <c r="A1297" s="40" t="s">
        <v>1818</v>
      </c>
      <c r="B1297" s="10" t="str">
        <f t="shared" si="1"/>
        <v>RNA-gill</v>
      </c>
      <c r="C1297" s="10" t="str">
        <f t="shared" si="2"/>
        <v>BRN76G-G1</v>
      </c>
      <c r="D1297" s="11">
        <f t="array" ref="D1297">iferror(index('rna-muscle'!D:D,match(A1297,'rna-muscle'!A:A,0)))</f>
        <v>76</v>
      </c>
      <c r="E1297" s="10" t="str">
        <f t="shared" si="3"/>
        <v>BRN76G</v>
      </c>
      <c r="F1297" s="11" t="str">
        <f t="array" ref="F1297">iferror(index('rna-muscle'!F:F,match($A1297,'rna-muscle'!$A:$A,0)))</f>
        <v>G</v>
      </c>
      <c r="G1297" s="11">
        <f t="array" ref="G1297">iferror(index('rna-muscle'!G:G,match($A1297,'rna-muscle'!$A:$A,0)))</f>
        <v>1</v>
      </c>
      <c r="H1297" s="11" t="str">
        <f t="shared" si="4"/>
        <v>G1</v>
      </c>
      <c r="I1297" s="10" t="str">
        <f t="shared" si="5"/>
        <v>BRN76G-G1</v>
      </c>
      <c r="J1297" s="16"/>
      <c r="K1297" s="16" t="str">
        <f t="shared" si="6"/>
        <v>collected</v>
      </c>
      <c r="L1297" s="16" t="str">
        <f t="shared" si="7"/>
        <v>N</v>
      </c>
      <c r="M1297" s="16"/>
      <c r="N1297" s="16"/>
    </row>
    <row r="1298">
      <c r="A1298" s="40" t="s">
        <v>1819</v>
      </c>
      <c r="B1298" s="10" t="str">
        <f t="shared" si="1"/>
        <v>RNA-gill</v>
      </c>
      <c r="C1298" s="10" t="str">
        <f t="shared" si="2"/>
        <v>BRN76G-F1</v>
      </c>
      <c r="D1298" s="11">
        <f t="array" ref="D1298">iferror(index('rna-muscle'!D:D,match(A1298,'rna-muscle'!A:A,0)))</f>
        <v>76</v>
      </c>
      <c r="E1298" s="10" t="str">
        <f t="shared" si="3"/>
        <v>BRN76G</v>
      </c>
      <c r="F1298" s="11" t="str">
        <f t="array" ref="F1298">iferror(index('rna-muscle'!F:F,match($A1298,'rna-muscle'!$A:$A,0)))</f>
        <v>F</v>
      </c>
      <c r="G1298" s="11">
        <f t="array" ref="G1298">iferror(index('rna-muscle'!G:G,match($A1298,'rna-muscle'!$A:$A,0)))</f>
        <v>1</v>
      </c>
      <c r="H1298" s="11" t="str">
        <f t="shared" si="4"/>
        <v>F1</v>
      </c>
      <c r="I1298" s="10" t="str">
        <f t="shared" si="5"/>
        <v>BRN76G-F1</v>
      </c>
      <c r="J1298" s="16"/>
      <c r="K1298" s="16" t="str">
        <f t="shared" si="6"/>
        <v>collected</v>
      </c>
      <c r="L1298" s="16" t="str">
        <f t="shared" si="7"/>
        <v>N</v>
      </c>
      <c r="M1298" s="16"/>
      <c r="N1298" s="16"/>
    </row>
    <row r="1299">
      <c r="A1299" s="40" t="s">
        <v>1821</v>
      </c>
      <c r="B1299" s="10" t="str">
        <f t="shared" si="1"/>
        <v>RNA-gill</v>
      </c>
      <c r="C1299" s="10" t="str">
        <f t="shared" si="2"/>
        <v>BRN76G-E1</v>
      </c>
      <c r="D1299" s="11">
        <f t="array" ref="D1299">iferror(index('rna-muscle'!D:D,match(A1299,'rna-muscle'!A:A,0)))</f>
        <v>76</v>
      </c>
      <c r="E1299" s="10" t="str">
        <f t="shared" si="3"/>
        <v>BRN76G</v>
      </c>
      <c r="F1299" s="11" t="str">
        <f t="array" ref="F1299">iferror(index('rna-muscle'!F:F,match($A1299,'rna-muscle'!$A:$A,0)))</f>
        <v>E</v>
      </c>
      <c r="G1299" s="11">
        <f t="array" ref="G1299">iferror(index('rna-muscle'!G:G,match($A1299,'rna-muscle'!$A:$A,0)))</f>
        <v>1</v>
      </c>
      <c r="H1299" s="11" t="str">
        <f t="shared" si="4"/>
        <v>E1</v>
      </c>
      <c r="I1299" s="10" t="str">
        <f t="shared" si="5"/>
        <v>BRN76G-E1</v>
      </c>
      <c r="J1299" s="16"/>
      <c r="K1299" s="16" t="str">
        <f t="shared" si="6"/>
        <v>collected</v>
      </c>
      <c r="L1299" s="16" t="str">
        <f t="shared" si="7"/>
        <v>N</v>
      </c>
      <c r="M1299" s="16"/>
      <c r="N1299" s="16"/>
    </row>
    <row r="1300">
      <c r="A1300" s="40" t="s">
        <v>1822</v>
      </c>
      <c r="B1300" s="10" t="str">
        <f t="shared" si="1"/>
        <v>RNA-gill</v>
      </c>
      <c r="C1300" s="10" t="str">
        <f t="shared" si="2"/>
        <v>BRN75G-D11</v>
      </c>
      <c r="D1300" s="11">
        <f t="array" ref="D1300">iferror(index('rna-muscle'!D:D,match(A1300,'rna-muscle'!A:A,0)))</f>
        <v>75</v>
      </c>
      <c r="E1300" s="10" t="str">
        <f t="shared" si="3"/>
        <v>BRN75G</v>
      </c>
      <c r="F1300" s="11" t="str">
        <f t="array" ref="F1300">iferror(index('rna-muscle'!F:F,match($A1300,'rna-muscle'!$A:$A,0)))</f>
        <v>D</v>
      </c>
      <c r="G1300" s="11">
        <f t="array" ref="G1300">iferror(index('rna-muscle'!G:G,match($A1300,'rna-muscle'!$A:$A,0)))</f>
        <v>11</v>
      </c>
      <c r="H1300" s="11" t="str">
        <f t="shared" si="4"/>
        <v>D11</v>
      </c>
      <c r="I1300" s="10" t="str">
        <f t="shared" si="5"/>
        <v>BRN75G-D11</v>
      </c>
      <c r="J1300" s="16"/>
      <c r="K1300" s="16" t="str">
        <f t="shared" si="6"/>
        <v>collected</v>
      </c>
      <c r="L1300" s="16" t="str">
        <f t="shared" si="7"/>
        <v>N</v>
      </c>
      <c r="M1300" s="16"/>
      <c r="N1300" s="16"/>
    </row>
    <row r="1301">
      <c r="A1301" s="40" t="s">
        <v>1823</v>
      </c>
      <c r="B1301" s="10" t="str">
        <f t="shared" si="1"/>
        <v>RNA-gill</v>
      </c>
      <c r="C1301" s="10" t="str">
        <f t="shared" si="2"/>
        <v>BRN75G-C11</v>
      </c>
      <c r="D1301" s="11">
        <f t="array" ref="D1301">iferror(index('rna-muscle'!D:D,match(A1301,'rna-muscle'!A:A,0)))</f>
        <v>75</v>
      </c>
      <c r="E1301" s="10" t="str">
        <f t="shared" si="3"/>
        <v>BRN75G</v>
      </c>
      <c r="F1301" s="11" t="str">
        <f t="array" ref="F1301">iferror(index('rna-muscle'!F:F,match($A1301,'rna-muscle'!$A:$A,0)))</f>
        <v>C</v>
      </c>
      <c r="G1301" s="11">
        <f t="array" ref="G1301">iferror(index('rna-muscle'!G:G,match($A1301,'rna-muscle'!$A:$A,0)))</f>
        <v>11</v>
      </c>
      <c r="H1301" s="11" t="str">
        <f t="shared" si="4"/>
        <v>C11</v>
      </c>
      <c r="I1301" s="10" t="str">
        <f t="shared" si="5"/>
        <v>BRN75G-C11</v>
      </c>
      <c r="J1301" s="16"/>
      <c r="K1301" s="16" t="str">
        <f t="shared" si="6"/>
        <v>collected</v>
      </c>
      <c r="L1301" s="16" t="str">
        <f t="shared" si="7"/>
        <v>N</v>
      </c>
      <c r="M1301" s="16"/>
      <c r="N1301" s="16"/>
    </row>
    <row r="1302">
      <c r="A1302" s="40" t="s">
        <v>1824</v>
      </c>
      <c r="B1302" s="10" t="str">
        <f t="shared" si="1"/>
        <v>RNA-gill</v>
      </c>
      <c r="C1302" s="10" t="str">
        <f t="shared" si="2"/>
        <v>BRN75G-B11</v>
      </c>
      <c r="D1302" s="11">
        <f t="array" ref="D1302">iferror(index('rna-muscle'!D:D,match(A1302,'rna-muscle'!A:A,0)))</f>
        <v>75</v>
      </c>
      <c r="E1302" s="10" t="str">
        <f t="shared" si="3"/>
        <v>BRN75G</v>
      </c>
      <c r="F1302" s="11" t="str">
        <f t="array" ref="F1302">iferror(index('rna-muscle'!F:F,match($A1302,'rna-muscle'!$A:$A,0)))</f>
        <v>B</v>
      </c>
      <c r="G1302" s="11">
        <f t="array" ref="G1302">iferror(index('rna-muscle'!G:G,match($A1302,'rna-muscle'!$A:$A,0)))</f>
        <v>11</v>
      </c>
      <c r="H1302" s="11" t="str">
        <f t="shared" si="4"/>
        <v>B11</v>
      </c>
      <c r="I1302" s="10" t="str">
        <f t="shared" si="5"/>
        <v>BRN75G-B11</v>
      </c>
      <c r="J1302" s="16"/>
      <c r="K1302" s="16" t="str">
        <f t="shared" si="6"/>
        <v>collected</v>
      </c>
      <c r="L1302" s="16" t="str">
        <f t="shared" si="7"/>
        <v>N</v>
      </c>
      <c r="M1302" s="16"/>
      <c r="N1302" s="16"/>
    </row>
    <row r="1303">
      <c r="A1303" s="40" t="s">
        <v>1825</v>
      </c>
      <c r="B1303" s="10" t="str">
        <f t="shared" si="1"/>
        <v>RNA-gill</v>
      </c>
      <c r="C1303" s="10" t="str">
        <f t="shared" si="2"/>
        <v>BRN75G-A11</v>
      </c>
      <c r="D1303" s="11">
        <f t="array" ref="D1303">iferror(index('rna-muscle'!D:D,match(A1303,'rna-muscle'!A:A,0)))</f>
        <v>75</v>
      </c>
      <c r="E1303" s="10" t="str">
        <f t="shared" si="3"/>
        <v>BRN75G</v>
      </c>
      <c r="F1303" s="11" t="str">
        <f t="array" ref="F1303">iferror(index('rna-muscle'!F:F,match($A1303,'rna-muscle'!$A:$A,0)))</f>
        <v>A</v>
      </c>
      <c r="G1303" s="11">
        <f t="array" ref="G1303">iferror(index('rna-muscle'!G:G,match($A1303,'rna-muscle'!$A:$A,0)))</f>
        <v>11</v>
      </c>
      <c r="H1303" s="11" t="str">
        <f t="shared" si="4"/>
        <v>A11</v>
      </c>
      <c r="I1303" s="10" t="str">
        <f t="shared" si="5"/>
        <v>BRN75G-A11</v>
      </c>
      <c r="J1303" s="16"/>
      <c r="K1303" s="16" t="str">
        <f t="shared" si="6"/>
        <v>collected</v>
      </c>
      <c r="L1303" s="16" t="str">
        <f t="shared" si="7"/>
        <v>N</v>
      </c>
      <c r="M1303" s="16"/>
      <c r="N1303" s="16"/>
    </row>
    <row r="1304">
      <c r="A1304" s="40" t="s">
        <v>1827</v>
      </c>
      <c r="B1304" s="10" t="str">
        <f t="shared" si="1"/>
        <v>RNA-gill</v>
      </c>
      <c r="C1304" s="10" t="str">
        <f t="shared" si="2"/>
        <v>BRN75G-G12</v>
      </c>
      <c r="D1304" s="11">
        <f t="array" ref="D1304">iferror(index('rna-muscle'!D:D,match(A1304,'rna-muscle'!A:A,0)))</f>
        <v>75</v>
      </c>
      <c r="E1304" s="10" t="str">
        <f t="shared" si="3"/>
        <v>BRN75G</v>
      </c>
      <c r="F1304" s="11" t="str">
        <f t="array" ref="F1304">iferror(index('rna-muscle'!F:F,match($A1304,'rna-muscle'!$A:$A,0)))</f>
        <v>G</v>
      </c>
      <c r="G1304" s="11">
        <f t="array" ref="G1304">iferror(index('rna-muscle'!G:G,match($A1304,'rna-muscle'!$A:$A,0)))</f>
        <v>12</v>
      </c>
      <c r="H1304" s="11" t="str">
        <f t="shared" si="4"/>
        <v>G12</v>
      </c>
      <c r="I1304" s="10" t="str">
        <f t="shared" si="5"/>
        <v>BRN75G-G12</v>
      </c>
      <c r="J1304" s="16"/>
      <c r="K1304" s="16" t="str">
        <f t="shared" si="6"/>
        <v>collected</v>
      </c>
      <c r="L1304" s="16" t="str">
        <f t="shared" si="7"/>
        <v>N</v>
      </c>
      <c r="M1304" s="16"/>
      <c r="N1304" s="16"/>
    </row>
    <row r="1305">
      <c r="A1305" s="40" t="s">
        <v>1828</v>
      </c>
      <c r="B1305" s="10" t="str">
        <f t="shared" si="1"/>
        <v>RNA-gill</v>
      </c>
      <c r="C1305" s="10" t="str">
        <f t="shared" si="2"/>
        <v>BRN75G-F12</v>
      </c>
      <c r="D1305" s="11">
        <f t="array" ref="D1305">iferror(index('rna-muscle'!D:D,match(A1305,'rna-muscle'!A:A,0)))</f>
        <v>75</v>
      </c>
      <c r="E1305" s="10" t="str">
        <f t="shared" si="3"/>
        <v>BRN75G</v>
      </c>
      <c r="F1305" s="11" t="str">
        <f t="array" ref="F1305">iferror(index('rna-muscle'!F:F,match($A1305,'rna-muscle'!$A:$A,0)))</f>
        <v>F</v>
      </c>
      <c r="G1305" s="11">
        <f t="array" ref="G1305">iferror(index('rna-muscle'!G:G,match($A1305,'rna-muscle'!$A:$A,0)))</f>
        <v>12</v>
      </c>
      <c r="H1305" s="11" t="str">
        <f t="shared" si="4"/>
        <v>F12</v>
      </c>
      <c r="I1305" s="10" t="str">
        <f t="shared" si="5"/>
        <v>BRN75G-F12</v>
      </c>
      <c r="J1305" s="16"/>
      <c r="K1305" s="16" t="str">
        <f t="shared" si="6"/>
        <v>collected</v>
      </c>
      <c r="L1305" s="16" t="str">
        <f t="shared" si="7"/>
        <v>N</v>
      </c>
      <c r="M1305" s="16"/>
      <c r="N1305" s="16"/>
    </row>
    <row r="1306">
      <c r="A1306" s="40" t="s">
        <v>1829</v>
      </c>
      <c r="B1306" s="10" t="str">
        <f t="shared" si="1"/>
        <v>RNA-gill</v>
      </c>
      <c r="C1306" s="10" t="str">
        <f t="shared" si="2"/>
        <v>BRN75G-E12</v>
      </c>
      <c r="D1306" s="11">
        <f t="array" ref="D1306">iferror(index('rna-muscle'!D:D,match(A1306,'rna-muscle'!A:A,0)))</f>
        <v>75</v>
      </c>
      <c r="E1306" s="10" t="str">
        <f t="shared" si="3"/>
        <v>BRN75G</v>
      </c>
      <c r="F1306" s="11" t="str">
        <f t="array" ref="F1306">iferror(index('rna-muscle'!F:F,match($A1306,'rna-muscle'!$A:$A,0)))</f>
        <v>E</v>
      </c>
      <c r="G1306" s="11">
        <f t="array" ref="G1306">iferror(index('rna-muscle'!G:G,match($A1306,'rna-muscle'!$A:$A,0)))</f>
        <v>12</v>
      </c>
      <c r="H1306" s="11" t="str">
        <f t="shared" si="4"/>
        <v>E12</v>
      </c>
      <c r="I1306" s="10" t="str">
        <f t="shared" si="5"/>
        <v>BRN75G-E12</v>
      </c>
      <c r="J1306" s="16"/>
      <c r="K1306" s="16" t="str">
        <f t="shared" si="6"/>
        <v>collected</v>
      </c>
      <c r="L1306" s="16" t="str">
        <f t="shared" si="7"/>
        <v>N</v>
      </c>
      <c r="M1306" s="16"/>
      <c r="N1306" s="16"/>
    </row>
    <row r="1307">
      <c r="A1307" s="40" t="s">
        <v>1830</v>
      </c>
      <c r="B1307" s="10" t="str">
        <f t="shared" si="1"/>
        <v>RNA-gill</v>
      </c>
      <c r="C1307" s="10" t="str">
        <f t="shared" si="2"/>
        <v>BRN75G-D12</v>
      </c>
      <c r="D1307" s="11">
        <f t="array" ref="D1307">iferror(index('rna-muscle'!D:D,match(A1307,'rna-muscle'!A:A,0)))</f>
        <v>75</v>
      </c>
      <c r="E1307" s="10" t="str">
        <f t="shared" si="3"/>
        <v>BRN75G</v>
      </c>
      <c r="F1307" s="11" t="str">
        <f t="array" ref="F1307">iferror(index('rna-muscle'!F:F,match($A1307,'rna-muscle'!$A:$A,0)))</f>
        <v>D</v>
      </c>
      <c r="G1307" s="11">
        <f t="array" ref="G1307">iferror(index('rna-muscle'!G:G,match($A1307,'rna-muscle'!$A:$A,0)))</f>
        <v>12</v>
      </c>
      <c r="H1307" s="11" t="str">
        <f t="shared" si="4"/>
        <v>D12</v>
      </c>
      <c r="I1307" s="10" t="str">
        <f t="shared" si="5"/>
        <v>BRN75G-D12</v>
      </c>
      <c r="J1307" s="16"/>
      <c r="K1307" s="16" t="str">
        <f t="shared" si="6"/>
        <v>collected</v>
      </c>
      <c r="L1307" s="16" t="str">
        <f t="shared" si="7"/>
        <v>N</v>
      </c>
      <c r="M1307" s="16"/>
      <c r="N1307" s="16"/>
    </row>
    <row r="1308">
      <c r="A1308" s="40" t="s">
        <v>1832</v>
      </c>
      <c r="B1308" s="10" t="str">
        <f t="shared" si="1"/>
        <v>RNA-gill</v>
      </c>
      <c r="C1308" s="10" t="str">
        <f t="shared" si="2"/>
        <v>BRN75G-C12</v>
      </c>
      <c r="D1308" s="11">
        <f t="array" ref="D1308">iferror(index('rna-muscle'!D:D,match(A1308,'rna-muscle'!A:A,0)))</f>
        <v>75</v>
      </c>
      <c r="E1308" s="10" t="str">
        <f t="shared" si="3"/>
        <v>BRN75G</v>
      </c>
      <c r="F1308" s="11" t="str">
        <f t="array" ref="F1308">iferror(index('rna-muscle'!F:F,match($A1308,'rna-muscle'!$A:$A,0)))</f>
        <v>C</v>
      </c>
      <c r="G1308" s="11">
        <f t="array" ref="G1308">iferror(index('rna-muscle'!G:G,match($A1308,'rna-muscle'!$A:$A,0)))</f>
        <v>12</v>
      </c>
      <c r="H1308" s="11" t="str">
        <f t="shared" si="4"/>
        <v>C12</v>
      </c>
      <c r="I1308" s="10" t="str">
        <f t="shared" si="5"/>
        <v>BRN75G-C12</v>
      </c>
      <c r="J1308" s="16"/>
      <c r="K1308" s="16" t="str">
        <f t="shared" si="6"/>
        <v>collected</v>
      </c>
      <c r="L1308" s="16" t="str">
        <f t="shared" si="7"/>
        <v>N</v>
      </c>
      <c r="M1308" s="16"/>
      <c r="N1308" s="16"/>
    </row>
    <row r="1309">
      <c r="A1309" s="40" t="s">
        <v>1833</v>
      </c>
      <c r="B1309" s="10" t="str">
        <f t="shared" si="1"/>
        <v>RNA-gill</v>
      </c>
      <c r="C1309" s="10" t="str">
        <f t="shared" si="2"/>
        <v>BRN75G-B12</v>
      </c>
      <c r="D1309" s="11">
        <f t="array" ref="D1309">iferror(index('rna-muscle'!D:D,match(A1309,'rna-muscle'!A:A,0)))</f>
        <v>75</v>
      </c>
      <c r="E1309" s="10" t="str">
        <f t="shared" si="3"/>
        <v>BRN75G</v>
      </c>
      <c r="F1309" s="11" t="str">
        <f t="array" ref="F1309">iferror(index('rna-muscle'!F:F,match($A1309,'rna-muscle'!$A:$A,0)))</f>
        <v>B</v>
      </c>
      <c r="G1309" s="11">
        <f t="array" ref="G1309">iferror(index('rna-muscle'!G:G,match($A1309,'rna-muscle'!$A:$A,0)))</f>
        <v>12</v>
      </c>
      <c r="H1309" s="11" t="str">
        <f t="shared" si="4"/>
        <v>B12</v>
      </c>
      <c r="I1309" s="10" t="str">
        <f t="shared" si="5"/>
        <v>BRN75G-B12</v>
      </c>
      <c r="J1309" s="16"/>
      <c r="K1309" s="16" t="str">
        <f t="shared" si="6"/>
        <v>collected</v>
      </c>
      <c r="L1309" s="16" t="str">
        <f t="shared" si="7"/>
        <v>N</v>
      </c>
      <c r="M1309" s="16"/>
      <c r="N1309" s="16"/>
    </row>
    <row r="1310">
      <c r="A1310" s="40" t="s">
        <v>1835</v>
      </c>
      <c r="B1310" s="10" t="str">
        <f t="shared" si="1"/>
        <v>RNA-gill</v>
      </c>
      <c r="C1310" s="10" t="str">
        <f t="shared" si="2"/>
        <v>BRN75G-A12</v>
      </c>
      <c r="D1310" s="11">
        <f t="array" ref="D1310">iferror(index('rna-muscle'!D:D,match(A1310,'rna-muscle'!A:A,0)))</f>
        <v>75</v>
      </c>
      <c r="E1310" s="10" t="str">
        <f t="shared" si="3"/>
        <v>BRN75G</v>
      </c>
      <c r="F1310" s="11" t="str">
        <f t="array" ref="F1310">iferror(index('rna-muscle'!F:F,match($A1310,'rna-muscle'!$A:$A,0)))</f>
        <v>A</v>
      </c>
      <c r="G1310" s="11">
        <f t="array" ref="G1310">iferror(index('rna-muscle'!G:G,match($A1310,'rna-muscle'!$A:$A,0)))</f>
        <v>12</v>
      </c>
      <c r="H1310" s="11" t="str">
        <f t="shared" si="4"/>
        <v>A12</v>
      </c>
      <c r="I1310" s="10" t="str">
        <f t="shared" si="5"/>
        <v>BRN75G-A12</v>
      </c>
      <c r="J1310" s="16"/>
      <c r="K1310" s="16" t="str">
        <f t="shared" si="6"/>
        <v>collected</v>
      </c>
      <c r="L1310" s="16" t="str">
        <f t="shared" si="7"/>
        <v>N</v>
      </c>
      <c r="M1310" s="16"/>
      <c r="N1310" s="16"/>
    </row>
    <row r="1311">
      <c r="A1311" s="40" t="s">
        <v>1836</v>
      </c>
      <c r="B1311" s="10" t="str">
        <f t="shared" si="1"/>
        <v>RNA-gill</v>
      </c>
      <c r="C1311" s="10" t="str">
        <f t="shared" si="2"/>
        <v>BRN76G-H4</v>
      </c>
      <c r="D1311" s="11">
        <f t="array" ref="D1311">iferror(index('rna-muscle'!D:D,match(A1311,'rna-muscle'!A:A,0)))</f>
        <v>76</v>
      </c>
      <c r="E1311" s="10" t="str">
        <f t="shared" si="3"/>
        <v>BRN76G</v>
      </c>
      <c r="F1311" s="11" t="str">
        <f t="array" ref="F1311">iferror(index('rna-muscle'!F:F,match($A1311,'rna-muscle'!$A:$A,0)))</f>
        <v>H</v>
      </c>
      <c r="G1311" s="11">
        <f t="array" ref="G1311">iferror(index('rna-muscle'!G:G,match($A1311,'rna-muscle'!$A:$A,0)))</f>
        <v>4</v>
      </c>
      <c r="H1311" s="11" t="str">
        <f t="shared" si="4"/>
        <v>H4</v>
      </c>
      <c r="I1311" s="10" t="str">
        <f t="shared" si="5"/>
        <v>BRN76G-H4</v>
      </c>
      <c r="J1311" s="16"/>
      <c r="K1311" s="16" t="str">
        <f t="shared" si="6"/>
        <v>collected</v>
      </c>
      <c r="L1311" s="16" t="str">
        <f t="shared" si="7"/>
        <v>N</v>
      </c>
      <c r="M1311" s="16"/>
      <c r="N1311" s="16"/>
    </row>
    <row r="1312">
      <c r="A1312" s="40" t="s">
        <v>1838</v>
      </c>
      <c r="B1312" s="10" t="str">
        <f t="shared" si="1"/>
        <v>RNA-gill</v>
      </c>
      <c r="C1312" s="10" t="str">
        <f t="shared" si="2"/>
        <v>BRN76G-G4</v>
      </c>
      <c r="D1312" s="11">
        <f t="array" ref="D1312">iferror(index('rna-muscle'!D:D,match(A1312,'rna-muscle'!A:A,0)))</f>
        <v>76</v>
      </c>
      <c r="E1312" s="10" t="str">
        <f t="shared" si="3"/>
        <v>BRN76G</v>
      </c>
      <c r="F1312" s="11" t="str">
        <f t="array" ref="F1312">iferror(index('rna-muscle'!F:F,match($A1312,'rna-muscle'!$A:$A,0)))</f>
        <v>G</v>
      </c>
      <c r="G1312" s="11">
        <f t="array" ref="G1312">iferror(index('rna-muscle'!G:G,match($A1312,'rna-muscle'!$A:$A,0)))</f>
        <v>4</v>
      </c>
      <c r="H1312" s="11" t="str">
        <f t="shared" si="4"/>
        <v>G4</v>
      </c>
      <c r="I1312" s="10" t="str">
        <f t="shared" si="5"/>
        <v>BRN76G-G4</v>
      </c>
      <c r="J1312" s="16"/>
      <c r="K1312" s="16" t="str">
        <f t="shared" si="6"/>
        <v>collected</v>
      </c>
      <c r="L1312" s="16" t="str">
        <f t="shared" si="7"/>
        <v>N</v>
      </c>
      <c r="M1312" s="16"/>
      <c r="N1312" s="16"/>
    </row>
    <row r="1313">
      <c r="A1313" s="40" t="s">
        <v>1840</v>
      </c>
      <c r="B1313" s="10" t="str">
        <f t="shared" si="1"/>
        <v>RNA-gill</v>
      </c>
      <c r="C1313" s="10" t="str">
        <f t="shared" si="2"/>
        <v>BRN76G-F4</v>
      </c>
      <c r="D1313" s="11">
        <f t="array" ref="D1313">iferror(index('rna-muscle'!D:D,match(A1313,'rna-muscle'!A:A,0)))</f>
        <v>76</v>
      </c>
      <c r="E1313" s="10" t="str">
        <f t="shared" si="3"/>
        <v>BRN76G</v>
      </c>
      <c r="F1313" s="11" t="str">
        <f t="array" ref="F1313">iferror(index('rna-muscle'!F:F,match($A1313,'rna-muscle'!$A:$A,0)))</f>
        <v>F</v>
      </c>
      <c r="G1313" s="11">
        <f t="array" ref="G1313">iferror(index('rna-muscle'!G:G,match($A1313,'rna-muscle'!$A:$A,0)))</f>
        <v>4</v>
      </c>
      <c r="H1313" s="11" t="str">
        <f t="shared" si="4"/>
        <v>F4</v>
      </c>
      <c r="I1313" s="10" t="str">
        <f t="shared" si="5"/>
        <v>BRN76G-F4</v>
      </c>
      <c r="J1313" s="16"/>
      <c r="K1313" s="16" t="str">
        <f t="shared" si="6"/>
        <v>collected</v>
      </c>
      <c r="L1313" s="16" t="str">
        <f t="shared" si="7"/>
        <v>N</v>
      </c>
      <c r="M1313" s="16"/>
      <c r="N1313" s="16"/>
    </row>
    <row r="1314">
      <c r="A1314" s="40" t="s">
        <v>1841</v>
      </c>
      <c r="B1314" s="10" t="str">
        <f t="shared" si="1"/>
        <v>RNA-gill</v>
      </c>
      <c r="C1314" s="10" t="str">
        <f t="shared" si="2"/>
        <v>BRN76G-E4</v>
      </c>
      <c r="D1314" s="11">
        <f t="array" ref="D1314">iferror(index('rna-muscle'!D:D,match(A1314,'rna-muscle'!A:A,0)))</f>
        <v>76</v>
      </c>
      <c r="E1314" s="10" t="str">
        <f t="shared" si="3"/>
        <v>BRN76G</v>
      </c>
      <c r="F1314" s="11" t="str">
        <f t="array" ref="F1314">iferror(index('rna-muscle'!F:F,match($A1314,'rna-muscle'!$A:$A,0)))</f>
        <v>E</v>
      </c>
      <c r="G1314" s="11">
        <f t="array" ref="G1314">iferror(index('rna-muscle'!G:G,match($A1314,'rna-muscle'!$A:$A,0)))</f>
        <v>4</v>
      </c>
      <c r="H1314" s="11" t="str">
        <f t="shared" si="4"/>
        <v>E4</v>
      </c>
      <c r="I1314" s="10" t="str">
        <f t="shared" si="5"/>
        <v>BRN76G-E4</v>
      </c>
      <c r="J1314" s="16"/>
      <c r="K1314" s="16" t="str">
        <f t="shared" si="6"/>
        <v>collected</v>
      </c>
      <c r="L1314" s="16" t="str">
        <f t="shared" si="7"/>
        <v>N</v>
      </c>
      <c r="M1314" s="16"/>
      <c r="N1314" s="16"/>
    </row>
    <row r="1315">
      <c r="A1315" s="40" t="s">
        <v>1843</v>
      </c>
      <c r="B1315" s="10" t="str">
        <f t="shared" si="1"/>
        <v>RNA-gill</v>
      </c>
      <c r="C1315" s="10" t="str">
        <f t="shared" si="2"/>
        <v>BRN76G-D4</v>
      </c>
      <c r="D1315" s="11">
        <f t="array" ref="D1315">iferror(index('rna-muscle'!D:D,match(A1315,'rna-muscle'!A:A,0)))</f>
        <v>76</v>
      </c>
      <c r="E1315" s="10" t="str">
        <f t="shared" si="3"/>
        <v>BRN76G</v>
      </c>
      <c r="F1315" s="11" t="str">
        <f t="array" ref="F1315">iferror(index('rna-muscle'!F:F,match($A1315,'rna-muscle'!$A:$A,0)))</f>
        <v>D</v>
      </c>
      <c r="G1315" s="11">
        <f t="array" ref="G1315">iferror(index('rna-muscle'!G:G,match($A1315,'rna-muscle'!$A:$A,0)))</f>
        <v>4</v>
      </c>
      <c r="H1315" s="11" t="str">
        <f t="shared" si="4"/>
        <v>D4</v>
      </c>
      <c r="I1315" s="10" t="str">
        <f t="shared" si="5"/>
        <v>BRN76G-D4</v>
      </c>
      <c r="J1315" s="16"/>
      <c r="K1315" s="16" t="str">
        <f t="shared" si="6"/>
        <v>collected</v>
      </c>
      <c r="L1315" s="16" t="str">
        <f t="shared" si="7"/>
        <v>N</v>
      </c>
      <c r="M1315" s="16"/>
      <c r="N1315" s="16"/>
    </row>
    <row r="1316">
      <c r="A1316" s="40" t="s">
        <v>1844</v>
      </c>
      <c r="B1316" s="10" t="str">
        <f t="shared" si="1"/>
        <v>RNA-gill</v>
      </c>
      <c r="C1316" s="10" t="str">
        <f t="shared" si="2"/>
        <v>BRN76G-C4</v>
      </c>
      <c r="D1316" s="11">
        <f t="array" ref="D1316">iferror(index('rna-muscle'!D:D,match(A1316,'rna-muscle'!A:A,0)))</f>
        <v>76</v>
      </c>
      <c r="E1316" s="10" t="str">
        <f t="shared" si="3"/>
        <v>BRN76G</v>
      </c>
      <c r="F1316" s="11" t="str">
        <f t="array" ref="F1316">iferror(index('rna-muscle'!F:F,match($A1316,'rna-muscle'!$A:$A,0)))</f>
        <v>C</v>
      </c>
      <c r="G1316" s="11">
        <f t="array" ref="G1316">iferror(index('rna-muscle'!G:G,match($A1316,'rna-muscle'!$A:$A,0)))</f>
        <v>4</v>
      </c>
      <c r="H1316" s="11" t="str">
        <f t="shared" si="4"/>
        <v>C4</v>
      </c>
      <c r="I1316" s="10" t="str">
        <f t="shared" si="5"/>
        <v>BRN76G-C4</v>
      </c>
      <c r="J1316" s="16"/>
      <c r="K1316" s="16" t="str">
        <f t="shared" si="6"/>
        <v>collected</v>
      </c>
      <c r="L1316" s="16" t="str">
        <f t="shared" si="7"/>
        <v>N</v>
      </c>
      <c r="M1316" s="16"/>
      <c r="N1316" s="16"/>
    </row>
    <row r="1317">
      <c r="A1317" s="40" t="s">
        <v>1845</v>
      </c>
      <c r="B1317" s="10" t="str">
        <f t="shared" si="1"/>
        <v>RNA-gill</v>
      </c>
      <c r="C1317" s="10" t="str">
        <f t="shared" si="2"/>
        <v>BRN76G-B4</v>
      </c>
      <c r="D1317" s="11">
        <f t="array" ref="D1317">iferror(index('rna-muscle'!D:D,match(A1317,'rna-muscle'!A:A,0)))</f>
        <v>76</v>
      </c>
      <c r="E1317" s="10" t="str">
        <f t="shared" si="3"/>
        <v>BRN76G</v>
      </c>
      <c r="F1317" s="11" t="str">
        <f t="array" ref="F1317">iferror(index('rna-muscle'!F:F,match($A1317,'rna-muscle'!$A:$A,0)))</f>
        <v>B</v>
      </c>
      <c r="G1317" s="11">
        <f t="array" ref="G1317">iferror(index('rna-muscle'!G:G,match($A1317,'rna-muscle'!$A:$A,0)))</f>
        <v>4</v>
      </c>
      <c r="H1317" s="11" t="str">
        <f t="shared" si="4"/>
        <v>B4</v>
      </c>
      <c r="I1317" s="10" t="str">
        <f t="shared" si="5"/>
        <v>BRN76G-B4</v>
      </c>
      <c r="J1317" s="16"/>
      <c r="K1317" s="16" t="str">
        <f t="shared" si="6"/>
        <v>collected</v>
      </c>
      <c r="L1317" s="16" t="str">
        <f t="shared" si="7"/>
        <v>N</v>
      </c>
      <c r="M1317" s="16"/>
      <c r="N1317" s="16"/>
    </row>
    <row r="1318">
      <c r="A1318" s="40" t="s">
        <v>1846</v>
      </c>
      <c r="B1318" s="10" t="str">
        <f t="shared" si="1"/>
        <v>RNA-gill</v>
      </c>
      <c r="C1318" s="10" t="str">
        <f t="shared" si="2"/>
        <v>BRN76G-A4</v>
      </c>
      <c r="D1318" s="11">
        <f t="array" ref="D1318">iferror(index('rna-muscle'!D:D,match(A1318,'rna-muscle'!A:A,0)))</f>
        <v>76</v>
      </c>
      <c r="E1318" s="10" t="str">
        <f t="shared" si="3"/>
        <v>BRN76G</v>
      </c>
      <c r="F1318" s="11" t="str">
        <f t="array" ref="F1318">iferror(index('rna-muscle'!F:F,match($A1318,'rna-muscle'!$A:$A,0)))</f>
        <v>A</v>
      </c>
      <c r="G1318" s="11">
        <f t="array" ref="G1318">iferror(index('rna-muscle'!G:G,match($A1318,'rna-muscle'!$A:$A,0)))</f>
        <v>4</v>
      </c>
      <c r="H1318" s="11" t="str">
        <f t="shared" si="4"/>
        <v>A4</v>
      </c>
      <c r="I1318" s="10" t="str">
        <f t="shared" si="5"/>
        <v>BRN76G-A4</v>
      </c>
      <c r="J1318" s="16"/>
      <c r="K1318" s="16" t="str">
        <f t="shared" si="6"/>
        <v>collected</v>
      </c>
      <c r="L1318" s="16" t="str">
        <f t="shared" si="7"/>
        <v>N</v>
      </c>
      <c r="M1318" s="16"/>
      <c r="N1318" s="16"/>
    </row>
    <row r="1319">
      <c r="A1319" s="40" t="s">
        <v>1847</v>
      </c>
      <c r="B1319" s="10" t="str">
        <f t="shared" si="1"/>
        <v>RNA-gill</v>
      </c>
      <c r="C1319" s="10" t="str">
        <f t="shared" si="2"/>
        <v>BRN76G-H5</v>
      </c>
      <c r="D1319" s="11">
        <f t="array" ref="D1319">iferror(index('rna-muscle'!D:D,match(A1319,'rna-muscle'!A:A,0)))</f>
        <v>76</v>
      </c>
      <c r="E1319" s="10" t="str">
        <f t="shared" si="3"/>
        <v>BRN76G</v>
      </c>
      <c r="F1319" s="11" t="str">
        <f t="array" ref="F1319">iferror(index('rna-muscle'!F:F,match($A1319,'rna-muscle'!$A:$A,0)))</f>
        <v>H</v>
      </c>
      <c r="G1319" s="11">
        <f t="array" ref="G1319">iferror(index('rna-muscle'!G:G,match($A1319,'rna-muscle'!$A:$A,0)))</f>
        <v>5</v>
      </c>
      <c r="H1319" s="11" t="str">
        <f t="shared" si="4"/>
        <v>H5</v>
      </c>
      <c r="I1319" s="10" t="str">
        <f t="shared" si="5"/>
        <v>BRN76G-H5</v>
      </c>
      <c r="J1319" s="16"/>
      <c r="K1319" s="16" t="str">
        <f t="shared" si="6"/>
        <v>collected</v>
      </c>
      <c r="L1319" s="16" t="str">
        <f t="shared" si="7"/>
        <v>N</v>
      </c>
      <c r="M1319" s="16"/>
      <c r="N1319" s="16"/>
    </row>
    <row r="1320">
      <c r="A1320" s="40" t="s">
        <v>1848</v>
      </c>
      <c r="B1320" s="10" t="str">
        <f t="shared" si="1"/>
        <v>RNA-gill</v>
      </c>
      <c r="C1320" s="10" t="str">
        <f t="shared" si="2"/>
        <v>BRN76G-D1</v>
      </c>
      <c r="D1320" s="11">
        <f t="array" ref="D1320">iferror(index('rna-muscle'!D:D,match(A1320,'rna-muscle'!A:A,0)))</f>
        <v>76</v>
      </c>
      <c r="E1320" s="10" t="str">
        <f t="shared" si="3"/>
        <v>BRN76G</v>
      </c>
      <c r="F1320" s="11" t="str">
        <f t="array" ref="F1320">iferror(index('rna-muscle'!F:F,match($A1320,'rna-muscle'!$A:$A,0)))</f>
        <v>D</v>
      </c>
      <c r="G1320" s="11">
        <f t="array" ref="G1320">iferror(index('rna-muscle'!G:G,match($A1320,'rna-muscle'!$A:$A,0)))</f>
        <v>1</v>
      </c>
      <c r="H1320" s="11" t="str">
        <f t="shared" si="4"/>
        <v>D1</v>
      </c>
      <c r="I1320" s="10" t="str">
        <f t="shared" si="5"/>
        <v>BRN76G-D1</v>
      </c>
      <c r="J1320" s="16"/>
      <c r="K1320" s="16" t="str">
        <f t="shared" si="6"/>
        <v>collected</v>
      </c>
      <c r="L1320" s="16" t="str">
        <f t="shared" si="7"/>
        <v>N</v>
      </c>
      <c r="M1320" s="16"/>
      <c r="N1320" s="16"/>
    </row>
    <row r="1321">
      <c r="A1321" s="40" t="s">
        <v>1849</v>
      </c>
      <c r="B1321" s="10" t="str">
        <f t="shared" si="1"/>
        <v>RNA-gill</v>
      </c>
      <c r="C1321" s="10" t="str">
        <f t="shared" si="2"/>
        <v>BRN76G-C1</v>
      </c>
      <c r="D1321" s="11">
        <f t="array" ref="D1321">iferror(index('rna-muscle'!D:D,match(A1321,'rna-muscle'!A:A,0)))</f>
        <v>76</v>
      </c>
      <c r="E1321" s="10" t="str">
        <f t="shared" si="3"/>
        <v>BRN76G</v>
      </c>
      <c r="F1321" s="11" t="str">
        <f t="array" ref="F1321">iferror(index('rna-muscle'!F:F,match($A1321,'rna-muscle'!$A:$A,0)))</f>
        <v>C</v>
      </c>
      <c r="G1321" s="11">
        <f t="array" ref="G1321">iferror(index('rna-muscle'!G:G,match($A1321,'rna-muscle'!$A:$A,0)))</f>
        <v>1</v>
      </c>
      <c r="H1321" s="11" t="str">
        <f t="shared" si="4"/>
        <v>C1</v>
      </c>
      <c r="I1321" s="10" t="str">
        <f t="shared" si="5"/>
        <v>BRN76G-C1</v>
      </c>
      <c r="J1321" s="16"/>
      <c r="K1321" s="16" t="str">
        <f t="shared" si="6"/>
        <v>collected</v>
      </c>
      <c r="L1321" s="16" t="str">
        <f t="shared" si="7"/>
        <v>N</v>
      </c>
      <c r="M1321" s="16"/>
      <c r="N1321" s="16"/>
    </row>
    <row r="1322">
      <c r="A1322" s="40" t="s">
        <v>1850</v>
      </c>
      <c r="B1322" s="10" t="str">
        <f t="shared" si="1"/>
        <v>RNA-gill</v>
      </c>
      <c r="C1322" s="10" t="str">
        <f t="shared" si="2"/>
        <v>BRN76G-B1</v>
      </c>
      <c r="D1322" s="11">
        <f t="array" ref="D1322">iferror(index('rna-muscle'!D:D,match(A1322,'rna-muscle'!A:A,0)))</f>
        <v>76</v>
      </c>
      <c r="E1322" s="10" t="str">
        <f t="shared" si="3"/>
        <v>BRN76G</v>
      </c>
      <c r="F1322" s="11" t="str">
        <f t="array" ref="F1322">iferror(index('rna-muscle'!F:F,match($A1322,'rna-muscle'!$A:$A,0)))</f>
        <v>B</v>
      </c>
      <c r="G1322" s="11">
        <f t="array" ref="G1322">iferror(index('rna-muscle'!G:G,match($A1322,'rna-muscle'!$A:$A,0)))</f>
        <v>1</v>
      </c>
      <c r="H1322" s="11" t="str">
        <f t="shared" si="4"/>
        <v>B1</v>
      </c>
      <c r="I1322" s="10" t="str">
        <f t="shared" si="5"/>
        <v>BRN76G-B1</v>
      </c>
      <c r="J1322" s="16"/>
      <c r="K1322" s="16" t="str">
        <f t="shared" si="6"/>
        <v>collected</v>
      </c>
      <c r="L1322" s="16" t="str">
        <f t="shared" si="7"/>
        <v>N</v>
      </c>
      <c r="M1322" s="16"/>
      <c r="N1322" s="16"/>
    </row>
    <row r="1323">
      <c r="A1323" s="40" t="s">
        <v>1852</v>
      </c>
      <c r="B1323" s="10" t="str">
        <f t="shared" si="1"/>
        <v>RNA-gill</v>
      </c>
      <c r="C1323" s="10" t="str">
        <f t="shared" si="2"/>
        <v>BRN76G-A1</v>
      </c>
      <c r="D1323" s="11">
        <f t="array" ref="D1323">iferror(index('rna-muscle'!D:D,match(A1323,'rna-muscle'!A:A,0)))</f>
        <v>76</v>
      </c>
      <c r="E1323" s="10" t="str">
        <f t="shared" si="3"/>
        <v>BRN76G</v>
      </c>
      <c r="F1323" s="11" t="str">
        <f t="array" ref="F1323">iferror(index('rna-muscle'!F:F,match($A1323,'rna-muscle'!$A:$A,0)))</f>
        <v>A</v>
      </c>
      <c r="G1323" s="11">
        <f t="array" ref="G1323">iferror(index('rna-muscle'!G:G,match($A1323,'rna-muscle'!$A:$A,0)))</f>
        <v>1</v>
      </c>
      <c r="H1323" s="11" t="str">
        <f t="shared" si="4"/>
        <v>A1</v>
      </c>
      <c r="I1323" s="10" t="str">
        <f t="shared" si="5"/>
        <v>BRN76G-A1</v>
      </c>
      <c r="J1323" s="16"/>
      <c r="K1323" s="16" t="str">
        <f t="shared" si="6"/>
        <v>collected</v>
      </c>
      <c r="L1323" s="16" t="str">
        <f t="shared" si="7"/>
        <v>N</v>
      </c>
      <c r="M1323" s="16"/>
      <c r="N1323" s="16"/>
    </row>
    <row r="1324">
      <c r="A1324" s="40" t="s">
        <v>1853</v>
      </c>
      <c r="B1324" s="10" t="str">
        <f t="shared" si="1"/>
        <v>RNA-gill</v>
      </c>
      <c r="C1324" s="10" t="str">
        <f t="shared" si="2"/>
        <v>BRN76G-H2</v>
      </c>
      <c r="D1324" s="11">
        <f t="array" ref="D1324">iferror(index('rna-muscle'!D:D,match(A1324,'rna-muscle'!A:A,0)))</f>
        <v>76</v>
      </c>
      <c r="E1324" s="10" t="str">
        <f t="shared" si="3"/>
        <v>BRN76G</v>
      </c>
      <c r="F1324" s="11" t="str">
        <f t="array" ref="F1324">iferror(index('rna-muscle'!F:F,match($A1324,'rna-muscle'!$A:$A,0)))</f>
        <v>H</v>
      </c>
      <c r="G1324" s="11">
        <f t="array" ref="G1324">iferror(index('rna-muscle'!G:G,match($A1324,'rna-muscle'!$A:$A,0)))</f>
        <v>2</v>
      </c>
      <c r="H1324" s="11" t="str">
        <f t="shared" si="4"/>
        <v>H2</v>
      </c>
      <c r="I1324" s="10" t="str">
        <f t="shared" si="5"/>
        <v>BRN76G-H2</v>
      </c>
      <c r="J1324" s="16"/>
      <c r="K1324" s="16" t="str">
        <f t="shared" si="6"/>
        <v>collected</v>
      </c>
      <c r="L1324" s="16" t="str">
        <f t="shared" si="7"/>
        <v>N</v>
      </c>
      <c r="M1324" s="16"/>
      <c r="N1324" s="16"/>
    </row>
    <row r="1325">
      <c r="A1325" s="40" t="s">
        <v>1854</v>
      </c>
      <c r="B1325" s="10" t="str">
        <f t="shared" si="1"/>
        <v>RNA-gill</v>
      </c>
      <c r="C1325" s="10" t="str">
        <f t="shared" si="2"/>
        <v>BRN76G-G2</v>
      </c>
      <c r="D1325" s="11">
        <f t="array" ref="D1325">iferror(index('rna-muscle'!D:D,match(A1325,'rna-muscle'!A:A,0)))</f>
        <v>76</v>
      </c>
      <c r="E1325" s="10" t="str">
        <f t="shared" si="3"/>
        <v>BRN76G</v>
      </c>
      <c r="F1325" s="11" t="str">
        <f t="array" ref="F1325">iferror(index('rna-muscle'!F:F,match($A1325,'rna-muscle'!$A:$A,0)))</f>
        <v>G</v>
      </c>
      <c r="G1325" s="11">
        <f t="array" ref="G1325">iferror(index('rna-muscle'!G:G,match($A1325,'rna-muscle'!$A:$A,0)))</f>
        <v>2</v>
      </c>
      <c r="H1325" s="11" t="str">
        <f t="shared" si="4"/>
        <v>G2</v>
      </c>
      <c r="I1325" s="10" t="str">
        <f t="shared" si="5"/>
        <v>BRN76G-G2</v>
      </c>
      <c r="J1325" s="16"/>
      <c r="K1325" s="16" t="str">
        <f t="shared" si="6"/>
        <v>collected</v>
      </c>
      <c r="L1325" s="16" t="str">
        <f t="shared" si="7"/>
        <v>N</v>
      </c>
      <c r="M1325" s="16"/>
      <c r="N1325" s="16"/>
    </row>
    <row r="1326">
      <c r="A1326" s="40" t="s">
        <v>1855</v>
      </c>
      <c r="B1326" s="10" t="str">
        <f t="shared" si="1"/>
        <v>RNA-gill</v>
      </c>
      <c r="C1326" s="10" t="str">
        <f t="shared" si="2"/>
        <v>BRN76G-F2</v>
      </c>
      <c r="D1326" s="11">
        <f t="array" ref="D1326">iferror(index('rna-muscle'!D:D,match(A1326,'rna-muscle'!A:A,0)))</f>
        <v>76</v>
      </c>
      <c r="E1326" s="10" t="str">
        <f t="shared" si="3"/>
        <v>BRN76G</v>
      </c>
      <c r="F1326" s="11" t="str">
        <f t="array" ref="F1326">iferror(index('rna-muscle'!F:F,match($A1326,'rna-muscle'!$A:$A,0)))</f>
        <v>F</v>
      </c>
      <c r="G1326" s="11">
        <f t="array" ref="G1326">iferror(index('rna-muscle'!G:G,match($A1326,'rna-muscle'!$A:$A,0)))</f>
        <v>2</v>
      </c>
      <c r="H1326" s="11" t="str">
        <f t="shared" si="4"/>
        <v>F2</v>
      </c>
      <c r="I1326" s="10" t="str">
        <f t="shared" si="5"/>
        <v>BRN76G-F2</v>
      </c>
      <c r="J1326" s="16"/>
      <c r="K1326" s="16" t="str">
        <f t="shared" si="6"/>
        <v>collected</v>
      </c>
      <c r="L1326" s="16" t="str">
        <f t="shared" si="7"/>
        <v>N</v>
      </c>
      <c r="M1326" s="16"/>
      <c r="N1326" s="16"/>
    </row>
    <row r="1327">
      <c r="A1327" s="40" t="s">
        <v>1857</v>
      </c>
      <c r="B1327" s="10" t="str">
        <f t="shared" si="1"/>
        <v>RNA-gill</v>
      </c>
      <c r="C1327" s="10" t="str">
        <f t="shared" si="2"/>
        <v>BRN76G-E2</v>
      </c>
      <c r="D1327" s="11">
        <f t="array" ref="D1327">iferror(index('rna-muscle'!D:D,match(A1327,'rna-muscle'!A:A,0)))</f>
        <v>76</v>
      </c>
      <c r="E1327" s="10" t="str">
        <f t="shared" si="3"/>
        <v>BRN76G</v>
      </c>
      <c r="F1327" s="11" t="str">
        <f t="array" ref="F1327">iferror(index('rna-muscle'!F:F,match($A1327,'rna-muscle'!$A:$A,0)))</f>
        <v>E</v>
      </c>
      <c r="G1327" s="11">
        <f t="array" ref="G1327">iferror(index('rna-muscle'!G:G,match($A1327,'rna-muscle'!$A:$A,0)))</f>
        <v>2</v>
      </c>
      <c r="H1327" s="11" t="str">
        <f t="shared" si="4"/>
        <v>E2</v>
      </c>
      <c r="I1327" s="10" t="str">
        <f t="shared" si="5"/>
        <v>BRN76G-E2</v>
      </c>
      <c r="J1327" s="16"/>
      <c r="K1327" s="16" t="str">
        <f t="shared" si="6"/>
        <v>collected</v>
      </c>
      <c r="L1327" s="16" t="str">
        <f t="shared" si="7"/>
        <v>N</v>
      </c>
      <c r="M1327" s="16"/>
      <c r="N1327" s="16"/>
    </row>
    <row r="1328">
      <c r="A1328" s="40" t="s">
        <v>1858</v>
      </c>
      <c r="B1328" s="10" t="str">
        <f t="shared" si="1"/>
        <v>RNA-gill</v>
      </c>
      <c r="C1328" s="10" t="str">
        <f t="shared" si="2"/>
        <v>BRN76G-D2</v>
      </c>
      <c r="D1328" s="11">
        <f t="array" ref="D1328">iferror(index('rna-muscle'!D:D,match(A1328,'rna-muscle'!A:A,0)))</f>
        <v>76</v>
      </c>
      <c r="E1328" s="10" t="str">
        <f t="shared" si="3"/>
        <v>BRN76G</v>
      </c>
      <c r="F1328" s="11" t="str">
        <f t="array" ref="F1328">iferror(index('rna-muscle'!F:F,match($A1328,'rna-muscle'!$A:$A,0)))</f>
        <v>D</v>
      </c>
      <c r="G1328" s="11">
        <f t="array" ref="G1328">iferror(index('rna-muscle'!G:G,match($A1328,'rna-muscle'!$A:$A,0)))</f>
        <v>2</v>
      </c>
      <c r="H1328" s="11" t="str">
        <f t="shared" si="4"/>
        <v>D2</v>
      </c>
      <c r="I1328" s="10" t="str">
        <f t="shared" si="5"/>
        <v>BRN76G-D2</v>
      </c>
      <c r="J1328" s="16"/>
      <c r="K1328" s="16" t="str">
        <f t="shared" si="6"/>
        <v>collected</v>
      </c>
      <c r="L1328" s="16" t="str">
        <f t="shared" si="7"/>
        <v>N</v>
      </c>
      <c r="M1328" s="16"/>
      <c r="N1328" s="16"/>
    </row>
    <row r="1329">
      <c r="A1329" s="40" t="s">
        <v>1859</v>
      </c>
      <c r="B1329" s="10" t="str">
        <f t="shared" si="1"/>
        <v>RNA-gill</v>
      </c>
      <c r="C1329" s="10" t="str">
        <f t="shared" si="2"/>
        <v>BRN76G-C2</v>
      </c>
      <c r="D1329" s="11">
        <f t="array" ref="D1329">iferror(index('rna-muscle'!D:D,match(A1329,'rna-muscle'!A:A,0)))</f>
        <v>76</v>
      </c>
      <c r="E1329" s="10" t="str">
        <f t="shared" si="3"/>
        <v>BRN76G</v>
      </c>
      <c r="F1329" s="11" t="str">
        <f t="array" ref="F1329">iferror(index('rna-muscle'!F:F,match($A1329,'rna-muscle'!$A:$A,0)))</f>
        <v>C</v>
      </c>
      <c r="G1329" s="11">
        <f t="array" ref="G1329">iferror(index('rna-muscle'!G:G,match($A1329,'rna-muscle'!$A:$A,0)))</f>
        <v>2</v>
      </c>
      <c r="H1329" s="11" t="str">
        <f t="shared" si="4"/>
        <v>C2</v>
      </c>
      <c r="I1329" s="10" t="str">
        <f t="shared" si="5"/>
        <v>BRN76G-C2</v>
      </c>
      <c r="J1329" s="16"/>
      <c r="K1329" s="16" t="str">
        <f t="shared" si="6"/>
        <v>collected</v>
      </c>
      <c r="L1329" s="16" t="str">
        <f t="shared" si="7"/>
        <v>N</v>
      </c>
      <c r="M1329" s="16"/>
      <c r="N1329" s="16"/>
    </row>
    <row r="1330">
      <c r="A1330" s="40" t="s">
        <v>1860</v>
      </c>
      <c r="B1330" s="10" t="str">
        <f t="shared" si="1"/>
        <v>RNA-gill</v>
      </c>
      <c r="C1330" s="10" t="str">
        <f t="shared" si="2"/>
        <v>BRN76G-B2</v>
      </c>
      <c r="D1330" s="11">
        <f t="array" ref="D1330">iferror(index('rna-muscle'!D:D,match(A1330,'rna-muscle'!A:A,0)))</f>
        <v>76</v>
      </c>
      <c r="E1330" s="10" t="str">
        <f t="shared" si="3"/>
        <v>BRN76G</v>
      </c>
      <c r="F1330" s="11" t="str">
        <f t="array" ref="F1330">iferror(index('rna-muscle'!F:F,match($A1330,'rna-muscle'!$A:$A,0)))</f>
        <v>B</v>
      </c>
      <c r="G1330" s="11">
        <f t="array" ref="G1330">iferror(index('rna-muscle'!G:G,match($A1330,'rna-muscle'!$A:$A,0)))</f>
        <v>2</v>
      </c>
      <c r="H1330" s="11" t="str">
        <f t="shared" si="4"/>
        <v>B2</v>
      </c>
      <c r="I1330" s="10" t="str">
        <f t="shared" si="5"/>
        <v>BRN76G-B2</v>
      </c>
      <c r="J1330" s="16"/>
      <c r="K1330" s="16" t="str">
        <f t="shared" si="6"/>
        <v>collected</v>
      </c>
      <c r="L1330" s="16" t="str">
        <f t="shared" si="7"/>
        <v>N</v>
      </c>
      <c r="M1330" s="16"/>
      <c r="N1330" s="16"/>
    </row>
    <row r="1331">
      <c r="A1331" s="40" t="s">
        <v>1861</v>
      </c>
      <c r="B1331" s="10" t="str">
        <f t="shared" si="1"/>
        <v>RNA-gill</v>
      </c>
      <c r="C1331" s="10" t="str">
        <f t="shared" si="2"/>
        <v>BRN76G-A2</v>
      </c>
      <c r="D1331" s="11">
        <f t="array" ref="D1331">iferror(index('rna-muscle'!D:D,match(A1331,'rna-muscle'!A:A,0)))</f>
        <v>76</v>
      </c>
      <c r="E1331" s="10" t="str">
        <f t="shared" si="3"/>
        <v>BRN76G</v>
      </c>
      <c r="F1331" s="11" t="str">
        <f t="array" ref="F1331">iferror(index('rna-muscle'!F:F,match($A1331,'rna-muscle'!$A:$A,0)))</f>
        <v>A</v>
      </c>
      <c r="G1331" s="11">
        <f t="array" ref="G1331">iferror(index('rna-muscle'!G:G,match($A1331,'rna-muscle'!$A:$A,0)))</f>
        <v>2</v>
      </c>
      <c r="H1331" s="11" t="str">
        <f t="shared" si="4"/>
        <v>A2</v>
      </c>
      <c r="I1331" s="10" t="str">
        <f t="shared" si="5"/>
        <v>BRN76G-A2</v>
      </c>
      <c r="J1331" s="16"/>
      <c r="K1331" s="16" t="str">
        <f t="shared" si="6"/>
        <v>collected</v>
      </c>
      <c r="L1331" s="16" t="str">
        <f t="shared" si="7"/>
        <v>N</v>
      </c>
      <c r="M1331" s="16"/>
      <c r="N1331" s="16"/>
    </row>
    <row r="1332">
      <c r="A1332" s="40" t="s">
        <v>1863</v>
      </c>
      <c r="B1332" s="10" t="str">
        <f t="shared" si="1"/>
        <v>RNA-gill</v>
      </c>
      <c r="C1332" s="10" t="str">
        <f t="shared" si="2"/>
        <v>BRN76G-H3</v>
      </c>
      <c r="D1332" s="11">
        <f t="array" ref="D1332">iferror(index('rna-muscle'!D:D,match(A1332,'rna-muscle'!A:A,0)))</f>
        <v>76</v>
      </c>
      <c r="E1332" s="10" t="str">
        <f t="shared" si="3"/>
        <v>BRN76G</v>
      </c>
      <c r="F1332" s="11" t="str">
        <f t="array" ref="F1332">iferror(index('rna-muscle'!F:F,match($A1332,'rna-muscle'!$A:$A,0)))</f>
        <v>H</v>
      </c>
      <c r="G1332" s="11">
        <f t="array" ref="G1332">iferror(index('rna-muscle'!G:G,match($A1332,'rna-muscle'!$A:$A,0)))</f>
        <v>3</v>
      </c>
      <c r="H1332" s="11" t="str">
        <f t="shared" si="4"/>
        <v>H3</v>
      </c>
      <c r="I1332" s="10" t="str">
        <f t="shared" si="5"/>
        <v>BRN76G-H3</v>
      </c>
      <c r="J1332" s="16"/>
      <c r="K1332" s="16" t="str">
        <f t="shared" si="6"/>
        <v>collected</v>
      </c>
      <c r="L1332" s="16" t="str">
        <f t="shared" si="7"/>
        <v>N</v>
      </c>
      <c r="M1332" s="16"/>
      <c r="N1332" s="16"/>
    </row>
    <row r="1333">
      <c r="A1333" s="40" t="s">
        <v>1864</v>
      </c>
      <c r="B1333" s="10" t="str">
        <f t="shared" si="1"/>
        <v>RNA-gill</v>
      </c>
      <c r="C1333" s="10" t="str">
        <f t="shared" si="2"/>
        <v>BRN76G-G3</v>
      </c>
      <c r="D1333" s="11">
        <f t="array" ref="D1333">iferror(index('rna-muscle'!D:D,match(A1333,'rna-muscle'!A:A,0)))</f>
        <v>76</v>
      </c>
      <c r="E1333" s="10" t="str">
        <f t="shared" si="3"/>
        <v>BRN76G</v>
      </c>
      <c r="F1333" s="11" t="str">
        <f t="array" ref="F1333">iferror(index('rna-muscle'!F:F,match($A1333,'rna-muscle'!$A:$A,0)))</f>
        <v>G</v>
      </c>
      <c r="G1333" s="11">
        <f t="array" ref="G1333">iferror(index('rna-muscle'!G:G,match($A1333,'rna-muscle'!$A:$A,0)))</f>
        <v>3</v>
      </c>
      <c r="H1333" s="11" t="str">
        <f t="shared" si="4"/>
        <v>G3</v>
      </c>
      <c r="I1333" s="10" t="str">
        <f t="shared" si="5"/>
        <v>BRN76G-G3</v>
      </c>
      <c r="J1333" s="16"/>
      <c r="K1333" s="16" t="str">
        <f t="shared" si="6"/>
        <v>collected</v>
      </c>
      <c r="L1333" s="16" t="str">
        <f t="shared" si="7"/>
        <v>N</v>
      </c>
      <c r="M1333" s="16"/>
      <c r="N1333" s="16"/>
    </row>
    <row r="1334">
      <c r="A1334" s="40" t="s">
        <v>1865</v>
      </c>
      <c r="B1334" s="10" t="str">
        <f t="shared" si="1"/>
        <v>RNA-gill</v>
      </c>
      <c r="C1334" s="10" t="str">
        <f t="shared" si="2"/>
        <v>BRN76G-G5</v>
      </c>
      <c r="D1334" s="11">
        <f t="array" ref="D1334">iferror(index('rna-muscle'!D:D,match(A1334,'rna-muscle'!A:A,0)))</f>
        <v>76</v>
      </c>
      <c r="E1334" s="10" t="str">
        <f t="shared" si="3"/>
        <v>BRN76G</v>
      </c>
      <c r="F1334" s="11" t="str">
        <f t="array" ref="F1334">iferror(index('rna-muscle'!F:F,match($A1334,'rna-muscle'!$A:$A,0)))</f>
        <v>G</v>
      </c>
      <c r="G1334" s="11">
        <f t="array" ref="G1334">iferror(index('rna-muscle'!G:G,match($A1334,'rna-muscle'!$A:$A,0)))</f>
        <v>5</v>
      </c>
      <c r="H1334" s="11" t="str">
        <f t="shared" si="4"/>
        <v>G5</v>
      </c>
      <c r="I1334" s="10" t="str">
        <f t="shared" si="5"/>
        <v>BRN76G-G5</v>
      </c>
      <c r="J1334" s="16"/>
      <c r="K1334" s="16" t="str">
        <f t="shared" si="6"/>
        <v>collected</v>
      </c>
      <c r="L1334" s="16" t="str">
        <f t="shared" si="7"/>
        <v>N</v>
      </c>
      <c r="M1334" s="16"/>
      <c r="N1334" s="16"/>
    </row>
    <row r="1335">
      <c r="A1335" s="40" t="s">
        <v>1866</v>
      </c>
      <c r="B1335" s="10" t="str">
        <f t="shared" si="1"/>
        <v>RNA-gill</v>
      </c>
      <c r="C1335" s="10" t="str">
        <f t="shared" si="2"/>
        <v>BRN76G-F5</v>
      </c>
      <c r="D1335" s="11">
        <f t="array" ref="D1335">iferror(index('rna-muscle'!D:D,match(A1335,'rna-muscle'!A:A,0)))</f>
        <v>76</v>
      </c>
      <c r="E1335" s="10" t="str">
        <f t="shared" si="3"/>
        <v>BRN76G</v>
      </c>
      <c r="F1335" s="11" t="str">
        <f t="array" ref="F1335">iferror(index('rna-muscle'!F:F,match($A1335,'rna-muscle'!$A:$A,0)))</f>
        <v>F</v>
      </c>
      <c r="G1335" s="11">
        <f t="array" ref="G1335">iferror(index('rna-muscle'!G:G,match($A1335,'rna-muscle'!$A:$A,0)))</f>
        <v>5</v>
      </c>
      <c r="H1335" s="11" t="str">
        <f t="shared" si="4"/>
        <v>F5</v>
      </c>
      <c r="I1335" s="10" t="str">
        <f t="shared" si="5"/>
        <v>BRN76G-F5</v>
      </c>
      <c r="J1335" s="16"/>
      <c r="K1335" s="16" t="str">
        <f t="shared" si="6"/>
        <v>collected</v>
      </c>
      <c r="L1335" s="16" t="str">
        <f t="shared" si="7"/>
        <v>N</v>
      </c>
      <c r="M1335" s="16"/>
      <c r="N1335" s="16"/>
    </row>
    <row r="1336">
      <c r="A1336" s="40" t="s">
        <v>1867</v>
      </c>
      <c r="B1336" s="10" t="str">
        <f t="shared" si="1"/>
        <v>RNA-gill</v>
      </c>
      <c r="C1336" s="10" t="str">
        <f t="shared" si="2"/>
        <v>BRN76G-E5</v>
      </c>
      <c r="D1336" s="11">
        <f t="array" ref="D1336">iferror(index('rna-muscle'!D:D,match(A1336,'rna-muscle'!A:A,0)))</f>
        <v>76</v>
      </c>
      <c r="E1336" s="10" t="str">
        <f t="shared" si="3"/>
        <v>BRN76G</v>
      </c>
      <c r="F1336" s="11" t="str">
        <f t="array" ref="F1336">iferror(index('rna-muscle'!F:F,match($A1336,'rna-muscle'!$A:$A,0)))</f>
        <v>E</v>
      </c>
      <c r="G1336" s="11">
        <f t="array" ref="G1336">iferror(index('rna-muscle'!G:G,match($A1336,'rna-muscle'!$A:$A,0)))</f>
        <v>5</v>
      </c>
      <c r="H1336" s="11" t="str">
        <f t="shared" si="4"/>
        <v>E5</v>
      </c>
      <c r="I1336" s="10" t="str">
        <f t="shared" si="5"/>
        <v>BRN76G-E5</v>
      </c>
      <c r="J1336" s="16"/>
      <c r="K1336" s="16" t="str">
        <f t="shared" si="6"/>
        <v>collected</v>
      </c>
      <c r="L1336" s="16" t="str">
        <f t="shared" si="7"/>
        <v>N</v>
      </c>
      <c r="M1336" s="16"/>
      <c r="N1336" s="16"/>
    </row>
    <row r="1337">
      <c r="A1337" s="40" t="s">
        <v>1869</v>
      </c>
      <c r="B1337" s="10" t="str">
        <f t="shared" si="1"/>
        <v>RNA-gill</v>
      </c>
      <c r="C1337" s="10" t="str">
        <f t="shared" si="2"/>
        <v>BRN76G-D5</v>
      </c>
      <c r="D1337" s="11">
        <f t="array" ref="D1337">iferror(index('rna-muscle'!D:D,match(A1337,'rna-muscle'!A:A,0)))</f>
        <v>76</v>
      </c>
      <c r="E1337" s="10" t="str">
        <f t="shared" si="3"/>
        <v>BRN76G</v>
      </c>
      <c r="F1337" s="11" t="str">
        <f t="array" ref="F1337">iferror(index('rna-muscle'!F:F,match($A1337,'rna-muscle'!$A:$A,0)))</f>
        <v>D</v>
      </c>
      <c r="G1337" s="11">
        <f t="array" ref="G1337">iferror(index('rna-muscle'!G:G,match($A1337,'rna-muscle'!$A:$A,0)))</f>
        <v>5</v>
      </c>
      <c r="H1337" s="11" t="str">
        <f t="shared" si="4"/>
        <v>D5</v>
      </c>
      <c r="I1337" s="10" t="str">
        <f t="shared" si="5"/>
        <v>BRN76G-D5</v>
      </c>
      <c r="J1337" s="16"/>
      <c r="K1337" s="16" t="str">
        <f t="shared" si="6"/>
        <v>collected</v>
      </c>
      <c r="L1337" s="16" t="str">
        <f t="shared" si="7"/>
        <v>N</v>
      </c>
      <c r="M1337" s="16"/>
      <c r="N1337" s="16"/>
    </row>
    <row r="1338">
      <c r="A1338" s="40" t="s">
        <v>1870</v>
      </c>
      <c r="B1338" s="10" t="str">
        <f t="shared" si="1"/>
        <v>RNA-gill</v>
      </c>
      <c r="C1338" s="10" t="str">
        <f t="shared" si="2"/>
        <v>BRN76G-C5</v>
      </c>
      <c r="D1338" s="11">
        <f t="array" ref="D1338">iferror(index('rna-muscle'!D:D,match(A1338,'rna-muscle'!A:A,0)))</f>
        <v>76</v>
      </c>
      <c r="E1338" s="10" t="str">
        <f t="shared" si="3"/>
        <v>BRN76G</v>
      </c>
      <c r="F1338" s="11" t="str">
        <f t="array" ref="F1338">iferror(index('rna-muscle'!F:F,match($A1338,'rna-muscle'!$A:$A,0)))</f>
        <v>C</v>
      </c>
      <c r="G1338" s="11">
        <f t="array" ref="G1338">iferror(index('rna-muscle'!G:G,match($A1338,'rna-muscle'!$A:$A,0)))</f>
        <v>5</v>
      </c>
      <c r="H1338" s="11" t="str">
        <f t="shared" si="4"/>
        <v>C5</v>
      </c>
      <c r="I1338" s="10" t="str">
        <f t="shared" si="5"/>
        <v>BRN76G-C5</v>
      </c>
      <c r="J1338" s="16"/>
      <c r="K1338" s="16" t="str">
        <f t="shared" si="6"/>
        <v>collected</v>
      </c>
      <c r="L1338" s="16" t="str">
        <f t="shared" si="7"/>
        <v>N</v>
      </c>
      <c r="M1338" s="16"/>
      <c r="N1338" s="16"/>
    </row>
    <row r="1339">
      <c r="A1339" s="40" t="s">
        <v>1871</v>
      </c>
      <c r="B1339" s="10" t="str">
        <f t="shared" si="1"/>
        <v>RNA-gill</v>
      </c>
      <c r="C1339" s="10" t="str">
        <f t="shared" si="2"/>
        <v>BRN76G-B5</v>
      </c>
      <c r="D1339" s="11">
        <f t="array" ref="D1339">iferror(index('rna-muscle'!D:D,match(A1339,'rna-muscle'!A:A,0)))</f>
        <v>76</v>
      </c>
      <c r="E1339" s="10" t="str">
        <f t="shared" si="3"/>
        <v>BRN76G</v>
      </c>
      <c r="F1339" s="11" t="str">
        <f t="array" ref="F1339">iferror(index('rna-muscle'!F:F,match($A1339,'rna-muscle'!$A:$A,0)))</f>
        <v>B</v>
      </c>
      <c r="G1339" s="11">
        <f t="array" ref="G1339">iferror(index('rna-muscle'!G:G,match($A1339,'rna-muscle'!$A:$A,0)))</f>
        <v>5</v>
      </c>
      <c r="H1339" s="11" t="str">
        <f t="shared" si="4"/>
        <v>B5</v>
      </c>
      <c r="I1339" s="10" t="str">
        <f t="shared" si="5"/>
        <v>BRN76G-B5</v>
      </c>
      <c r="J1339" s="16"/>
      <c r="K1339" s="16" t="str">
        <f t="shared" si="6"/>
        <v>collected</v>
      </c>
      <c r="L1339" s="16" t="str">
        <f t="shared" si="7"/>
        <v>N</v>
      </c>
      <c r="M1339" s="16"/>
      <c r="N1339" s="16"/>
    </row>
    <row r="1340">
      <c r="A1340" s="40" t="s">
        <v>1872</v>
      </c>
      <c r="B1340" s="10" t="str">
        <f t="shared" si="1"/>
        <v>RNA-gill</v>
      </c>
      <c r="C1340" s="10" t="str">
        <f t="shared" si="2"/>
        <v>BRN76G-A5</v>
      </c>
      <c r="D1340" s="11">
        <f t="array" ref="D1340">iferror(index('rna-muscle'!D:D,match(A1340,'rna-muscle'!A:A,0)))</f>
        <v>76</v>
      </c>
      <c r="E1340" s="10" t="str">
        <f t="shared" si="3"/>
        <v>BRN76G</v>
      </c>
      <c r="F1340" s="11" t="str">
        <f t="array" ref="F1340">iferror(index('rna-muscle'!F:F,match($A1340,'rna-muscle'!$A:$A,0)))</f>
        <v>A</v>
      </c>
      <c r="G1340" s="11">
        <f t="array" ref="G1340">iferror(index('rna-muscle'!G:G,match($A1340,'rna-muscle'!$A:$A,0)))</f>
        <v>5</v>
      </c>
      <c r="H1340" s="11" t="str">
        <f t="shared" si="4"/>
        <v>A5</v>
      </c>
      <c r="I1340" s="10" t="str">
        <f t="shared" si="5"/>
        <v>BRN76G-A5</v>
      </c>
      <c r="J1340" s="16"/>
      <c r="K1340" s="16" t="str">
        <f t="shared" si="6"/>
        <v>collected</v>
      </c>
      <c r="L1340" s="16" t="str">
        <f t="shared" si="7"/>
        <v>N</v>
      </c>
      <c r="M1340" s="16"/>
      <c r="N1340" s="16"/>
    </row>
    <row r="1341">
      <c r="A1341" s="40" t="s">
        <v>1874</v>
      </c>
      <c r="B1341" s="10" t="str">
        <f t="shared" si="1"/>
        <v>RNA-gill</v>
      </c>
      <c r="C1341" s="10" t="str">
        <f t="shared" si="2"/>
        <v>BRN76G-G6</v>
      </c>
      <c r="D1341" s="11">
        <f t="array" ref="D1341">iferror(index('rna-muscle'!D:D,match(A1341,'rna-muscle'!A:A,0)))</f>
        <v>76</v>
      </c>
      <c r="E1341" s="10" t="str">
        <f t="shared" si="3"/>
        <v>BRN76G</v>
      </c>
      <c r="F1341" s="11" t="str">
        <f t="array" ref="F1341">iferror(index('rna-muscle'!F:F,match($A1341,'rna-muscle'!$A:$A,0)))</f>
        <v>G</v>
      </c>
      <c r="G1341" s="11">
        <f t="array" ref="G1341">iferror(index('rna-muscle'!G:G,match($A1341,'rna-muscle'!$A:$A,0)))</f>
        <v>6</v>
      </c>
      <c r="H1341" s="11" t="str">
        <f t="shared" si="4"/>
        <v>G6</v>
      </c>
      <c r="I1341" s="10" t="str">
        <f t="shared" si="5"/>
        <v>BRN76G-G6</v>
      </c>
      <c r="J1341" s="16"/>
      <c r="K1341" s="16" t="str">
        <f t="shared" si="6"/>
        <v>collected</v>
      </c>
      <c r="L1341" s="16" t="str">
        <f t="shared" si="7"/>
        <v>N</v>
      </c>
      <c r="M1341" s="16"/>
      <c r="N1341" s="16"/>
    </row>
    <row r="1342">
      <c r="A1342" s="40" t="s">
        <v>1875</v>
      </c>
      <c r="B1342" s="10" t="str">
        <f t="shared" si="1"/>
        <v>RNA-gill</v>
      </c>
      <c r="C1342" s="10" t="str">
        <f t="shared" si="2"/>
        <v>BRN76G-F6</v>
      </c>
      <c r="D1342" s="11">
        <f t="array" ref="D1342">iferror(index('rna-muscle'!D:D,match(A1342,'rna-muscle'!A:A,0)))</f>
        <v>76</v>
      </c>
      <c r="E1342" s="10" t="str">
        <f t="shared" si="3"/>
        <v>BRN76G</v>
      </c>
      <c r="F1342" s="11" t="str">
        <f t="array" ref="F1342">iferror(index('rna-muscle'!F:F,match($A1342,'rna-muscle'!$A:$A,0)))</f>
        <v>F</v>
      </c>
      <c r="G1342" s="11">
        <f t="array" ref="G1342">iferror(index('rna-muscle'!G:G,match($A1342,'rna-muscle'!$A:$A,0)))</f>
        <v>6</v>
      </c>
      <c r="H1342" s="11" t="str">
        <f t="shared" si="4"/>
        <v>F6</v>
      </c>
      <c r="I1342" s="10" t="str">
        <f t="shared" si="5"/>
        <v>BRN76G-F6</v>
      </c>
      <c r="J1342" s="16"/>
      <c r="K1342" s="16" t="str">
        <f t="shared" si="6"/>
        <v>collected</v>
      </c>
      <c r="L1342" s="16" t="str">
        <f t="shared" si="7"/>
        <v>N</v>
      </c>
      <c r="M1342" s="16"/>
      <c r="N1342" s="16"/>
    </row>
    <row r="1343">
      <c r="A1343" s="40" t="s">
        <v>1876</v>
      </c>
      <c r="B1343" s="10" t="str">
        <f t="shared" si="1"/>
        <v>RNA-gill</v>
      </c>
      <c r="C1343" s="10" t="str">
        <f t="shared" si="2"/>
        <v>BRN76G-E6</v>
      </c>
      <c r="D1343" s="11">
        <f t="array" ref="D1343">iferror(index('rna-muscle'!D:D,match(A1343,'rna-muscle'!A:A,0)))</f>
        <v>76</v>
      </c>
      <c r="E1343" s="10" t="str">
        <f t="shared" si="3"/>
        <v>BRN76G</v>
      </c>
      <c r="F1343" s="11" t="str">
        <f t="array" ref="F1343">iferror(index('rna-muscle'!F:F,match($A1343,'rna-muscle'!$A:$A,0)))</f>
        <v>E</v>
      </c>
      <c r="G1343" s="11">
        <f t="array" ref="G1343">iferror(index('rna-muscle'!G:G,match($A1343,'rna-muscle'!$A:$A,0)))</f>
        <v>6</v>
      </c>
      <c r="H1343" s="11" t="str">
        <f t="shared" si="4"/>
        <v>E6</v>
      </c>
      <c r="I1343" s="10" t="str">
        <f t="shared" si="5"/>
        <v>BRN76G-E6</v>
      </c>
      <c r="J1343" s="16"/>
      <c r="K1343" s="16" t="str">
        <f t="shared" si="6"/>
        <v>collected</v>
      </c>
      <c r="L1343" s="16" t="str">
        <f t="shared" si="7"/>
        <v>N</v>
      </c>
      <c r="M1343" s="16"/>
      <c r="N1343" s="16"/>
    </row>
    <row r="1344">
      <c r="A1344" s="40" t="s">
        <v>1877</v>
      </c>
      <c r="B1344" s="10" t="str">
        <f t="shared" si="1"/>
        <v>RNA-gill</v>
      </c>
      <c r="C1344" s="10" t="str">
        <f t="shared" si="2"/>
        <v>BRN76G-D6</v>
      </c>
      <c r="D1344" s="11">
        <f t="array" ref="D1344">iferror(index('rna-muscle'!D:D,match(A1344,'rna-muscle'!A:A,0)))</f>
        <v>76</v>
      </c>
      <c r="E1344" s="10" t="str">
        <f t="shared" si="3"/>
        <v>BRN76G</v>
      </c>
      <c r="F1344" s="11" t="str">
        <f t="array" ref="F1344">iferror(index('rna-muscle'!F:F,match($A1344,'rna-muscle'!$A:$A,0)))</f>
        <v>D</v>
      </c>
      <c r="G1344" s="11">
        <f t="array" ref="G1344">iferror(index('rna-muscle'!G:G,match($A1344,'rna-muscle'!$A:$A,0)))</f>
        <v>6</v>
      </c>
      <c r="H1344" s="11" t="str">
        <f t="shared" si="4"/>
        <v>D6</v>
      </c>
      <c r="I1344" s="10" t="str">
        <f t="shared" si="5"/>
        <v>BRN76G-D6</v>
      </c>
      <c r="J1344" s="16"/>
      <c r="K1344" s="16" t="str">
        <f t="shared" si="6"/>
        <v>collected</v>
      </c>
      <c r="L1344" s="16" t="str">
        <f t="shared" si="7"/>
        <v>N</v>
      </c>
      <c r="M1344" s="16"/>
      <c r="N1344" s="16"/>
    </row>
    <row r="1345">
      <c r="A1345" s="40" t="s">
        <v>1878</v>
      </c>
      <c r="B1345" s="10" t="str">
        <f t="shared" si="1"/>
        <v>RNA-gill</v>
      </c>
      <c r="C1345" s="10" t="str">
        <f t="shared" si="2"/>
        <v>BRN76G-B6</v>
      </c>
      <c r="D1345" s="11">
        <f t="array" ref="D1345">iferror(index('rna-muscle'!D:D,match(A1345,'rna-muscle'!A:A,0)))</f>
        <v>76</v>
      </c>
      <c r="E1345" s="10" t="str">
        <f t="shared" si="3"/>
        <v>BRN76G</v>
      </c>
      <c r="F1345" s="11" t="str">
        <f t="array" ref="F1345">iferror(index('rna-muscle'!F:F,match($A1345,'rna-muscle'!$A:$A,0)))</f>
        <v>B</v>
      </c>
      <c r="G1345" s="11">
        <f t="array" ref="G1345">iferror(index('rna-muscle'!G:G,match($A1345,'rna-muscle'!$A:$A,0)))</f>
        <v>6</v>
      </c>
      <c r="H1345" s="11" t="str">
        <f t="shared" si="4"/>
        <v>B6</v>
      </c>
      <c r="I1345" s="10" t="str">
        <f t="shared" si="5"/>
        <v>BRN76G-B6</v>
      </c>
      <c r="J1345" s="16"/>
      <c r="K1345" s="16" t="str">
        <f t="shared" si="6"/>
        <v>collected</v>
      </c>
      <c r="L1345" s="16" t="str">
        <f t="shared" si="7"/>
        <v>N</v>
      </c>
      <c r="M1345" s="16"/>
      <c r="N1345" s="16"/>
    </row>
    <row r="1346">
      <c r="A1346" s="40" t="s">
        <v>1880</v>
      </c>
      <c r="B1346" s="10" t="str">
        <f t="shared" si="1"/>
        <v>RNA-gill</v>
      </c>
      <c r="C1346" s="10" t="str">
        <f t="shared" si="2"/>
        <v>BRN76G-C6</v>
      </c>
      <c r="D1346" s="11">
        <f t="array" ref="D1346">iferror(index('rna-muscle'!D:D,match(A1346,'rna-muscle'!A:A,0)))</f>
        <v>76</v>
      </c>
      <c r="E1346" s="10" t="str">
        <f t="shared" si="3"/>
        <v>BRN76G</v>
      </c>
      <c r="F1346" s="11" t="str">
        <f t="array" ref="F1346">iferror(index('rna-muscle'!F:F,match($A1346,'rna-muscle'!$A:$A,0)))</f>
        <v>C</v>
      </c>
      <c r="G1346" s="11">
        <f t="array" ref="G1346">iferror(index('rna-muscle'!G:G,match($A1346,'rna-muscle'!$A:$A,0)))</f>
        <v>6</v>
      </c>
      <c r="H1346" s="11" t="str">
        <f t="shared" si="4"/>
        <v>C6</v>
      </c>
      <c r="I1346" s="10" t="str">
        <f t="shared" si="5"/>
        <v>BRN76G-C6</v>
      </c>
      <c r="J1346" s="16"/>
      <c r="K1346" s="16" t="str">
        <f t="shared" si="6"/>
        <v>collected</v>
      </c>
      <c r="L1346" s="16" t="str">
        <f t="shared" si="7"/>
        <v>N</v>
      </c>
      <c r="M1346" s="16"/>
      <c r="N1346" s="16"/>
    </row>
    <row r="1347">
      <c r="A1347" s="40" t="s">
        <v>1881</v>
      </c>
      <c r="B1347" s="10" t="str">
        <f t="shared" si="1"/>
        <v>RNA-gill</v>
      </c>
      <c r="C1347" s="10" t="str">
        <f t="shared" si="2"/>
        <v>BRN76G-A6</v>
      </c>
      <c r="D1347" s="11">
        <f t="array" ref="D1347">iferror(index('rna-muscle'!D:D,match(A1347,'rna-muscle'!A:A,0)))</f>
        <v>76</v>
      </c>
      <c r="E1347" s="10" t="str">
        <f t="shared" si="3"/>
        <v>BRN76G</v>
      </c>
      <c r="F1347" s="11" t="str">
        <f t="array" ref="F1347">iferror(index('rna-muscle'!F:F,match($A1347,'rna-muscle'!$A:$A,0)))</f>
        <v>A</v>
      </c>
      <c r="G1347" s="11">
        <f t="array" ref="G1347">iferror(index('rna-muscle'!G:G,match($A1347,'rna-muscle'!$A:$A,0)))</f>
        <v>6</v>
      </c>
      <c r="H1347" s="11" t="str">
        <f t="shared" si="4"/>
        <v>A6</v>
      </c>
      <c r="I1347" s="10" t="str">
        <f t="shared" si="5"/>
        <v>BRN76G-A6</v>
      </c>
      <c r="J1347" s="16"/>
      <c r="K1347" s="16" t="str">
        <f t="shared" si="6"/>
        <v>collected</v>
      </c>
      <c r="L1347" s="16" t="str">
        <f t="shared" si="7"/>
        <v>N</v>
      </c>
      <c r="M1347" s="16"/>
      <c r="N1347" s="16"/>
    </row>
    <row r="1348">
      <c r="A1348" s="40" t="s">
        <v>1882</v>
      </c>
      <c r="B1348" s="10" t="str">
        <f t="shared" si="1"/>
        <v>RNA-gill</v>
      </c>
      <c r="C1348" s="10" t="str">
        <f t="shared" si="2"/>
        <v>BRN76G-H7</v>
      </c>
      <c r="D1348" s="11">
        <f t="array" ref="D1348">iferror(index('rna-muscle'!D:D,match(A1348,'rna-muscle'!A:A,0)))</f>
        <v>76</v>
      </c>
      <c r="E1348" s="10" t="str">
        <f t="shared" si="3"/>
        <v>BRN76G</v>
      </c>
      <c r="F1348" s="11" t="str">
        <f t="array" ref="F1348">iferror(index('rna-muscle'!F:F,match($A1348,'rna-muscle'!$A:$A,0)))</f>
        <v>H</v>
      </c>
      <c r="G1348" s="11">
        <f t="array" ref="G1348">iferror(index('rna-muscle'!G:G,match($A1348,'rna-muscle'!$A:$A,0)))</f>
        <v>7</v>
      </c>
      <c r="H1348" s="11" t="str">
        <f t="shared" si="4"/>
        <v>H7</v>
      </c>
      <c r="I1348" s="10" t="str">
        <f t="shared" si="5"/>
        <v>BRN76G-H7</v>
      </c>
      <c r="J1348" s="16"/>
      <c r="K1348" s="16" t="str">
        <f t="shared" si="6"/>
        <v>collected</v>
      </c>
      <c r="L1348" s="16" t="str">
        <f t="shared" si="7"/>
        <v>N</v>
      </c>
      <c r="M1348" s="16"/>
      <c r="N1348" s="16"/>
    </row>
    <row r="1349">
      <c r="A1349" s="40" t="s">
        <v>1883</v>
      </c>
      <c r="B1349" s="10" t="str">
        <f t="shared" si="1"/>
        <v>RNA-gill</v>
      </c>
      <c r="C1349" s="10" t="str">
        <f t="shared" si="2"/>
        <v>BRN76G-G7</v>
      </c>
      <c r="D1349" s="11">
        <f t="array" ref="D1349">iferror(index('rna-muscle'!D:D,match(A1349,'rna-muscle'!A:A,0)))</f>
        <v>76</v>
      </c>
      <c r="E1349" s="10" t="str">
        <f t="shared" si="3"/>
        <v>BRN76G</v>
      </c>
      <c r="F1349" s="11" t="str">
        <f t="array" ref="F1349">iferror(index('rna-muscle'!F:F,match($A1349,'rna-muscle'!$A:$A,0)))</f>
        <v>G</v>
      </c>
      <c r="G1349" s="11">
        <f t="array" ref="G1349">iferror(index('rna-muscle'!G:G,match($A1349,'rna-muscle'!$A:$A,0)))</f>
        <v>7</v>
      </c>
      <c r="H1349" s="11" t="str">
        <f t="shared" si="4"/>
        <v>G7</v>
      </c>
      <c r="I1349" s="10" t="str">
        <f t="shared" si="5"/>
        <v>BRN76G-G7</v>
      </c>
      <c r="J1349" s="16"/>
      <c r="K1349" s="16" t="str">
        <f t="shared" si="6"/>
        <v>collected</v>
      </c>
      <c r="L1349" s="16" t="str">
        <f t="shared" si="7"/>
        <v>N</v>
      </c>
      <c r="M1349" s="16"/>
      <c r="N1349" s="16"/>
    </row>
    <row r="1350">
      <c r="A1350" s="40" t="s">
        <v>1885</v>
      </c>
      <c r="B1350" s="10" t="str">
        <f t="shared" si="1"/>
        <v>RNA-gill</v>
      </c>
      <c r="C1350" s="10" t="str">
        <f t="shared" si="2"/>
        <v>BRN76G-F7</v>
      </c>
      <c r="D1350" s="11">
        <f t="array" ref="D1350">iferror(index('rna-muscle'!D:D,match(A1350,'rna-muscle'!A:A,0)))</f>
        <v>76</v>
      </c>
      <c r="E1350" s="10" t="str">
        <f t="shared" si="3"/>
        <v>BRN76G</v>
      </c>
      <c r="F1350" s="11" t="str">
        <f t="array" ref="F1350">iferror(index('rna-muscle'!F:F,match($A1350,'rna-muscle'!$A:$A,0)))</f>
        <v>F</v>
      </c>
      <c r="G1350" s="11">
        <f t="array" ref="G1350">iferror(index('rna-muscle'!G:G,match($A1350,'rna-muscle'!$A:$A,0)))</f>
        <v>7</v>
      </c>
      <c r="H1350" s="11" t="str">
        <f t="shared" si="4"/>
        <v>F7</v>
      </c>
      <c r="I1350" s="10" t="str">
        <f t="shared" si="5"/>
        <v>BRN76G-F7</v>
      </c>
      <c r="J1350" s="16"/>
      <c r="K1350" s="16" t="str">
        <f t="shared" si="6"/>
        <v>collected</v>
      </c>
      <c r="L1350" s="16" t="str">
        <f t="shared" si="7"/>
        <v>N</v>
      </c>
      <c r="M1350" s="16"/>
      <c r="N1350" s="16"/>
    </row>
    <row r="1351">
      <c r="A1351" s="40" t="s">
        <v>1886</v>
      </c>
      <c r="B1351" s="10" t="str">
        <f t="shared" si="1"/>
        <v>RNA-gill</v>
      </c>
      <c r="C1351" s="10" t="str">
        <f t="shared" si="2"/>
        <v>BRN76G-E7</v>
      </c>
      <c r="D1351" s="11">
        <f t="array" ref="D1351">iferror(index('rna-muscle'!D:D,match(A1351,'rna-muscle'!A:A,0)))</f>
        <v>76</v>
      </c>
      <c r="E1351" s="10" t="str">
        <f t="shared" si="3"/>
        <v>BRN76G</v>
      </c>
      <c r="F1351" s="11" t="str">
        <f t="array" ref="F1351">iferror(index('rna-muscle'!F:F,match($A1351,'rna-muscle'!$A:$A,0)))</f>
        <v>E</v>
      </c>
      <c r="G1351" s="11">
        <f t="array" ref="G1351">iferror(index('rna-muscle'!G:G,match($A1351,'rna-muscle'!$A:$A,0)))</f>
        <v>7</v>
      </c>
      <c r="H1351" s="11" t="str">
        <f t="shared" si="4"/>
        <v>E7</v>
      </c>
      <c r="I1351" s="10" t="str">
        <f t="shared" si="5"/>
        <v>BRN76G-E7</v>
      </c>
      <c r="J1351" s="16"/>
      <c r="K1351" s="16" t="str">
        <f t="shared" si="6"/>
        <v>collected</v>
      </c>
      <c r="L1351" s="16" t="str">
        <f t="shared" si="7"/>
        <v>N</v>
      </c>
      <c r="M1351" s="16"/>
      <c r="N1351" s="16"/>
    </row>
    <row r="1352">
      <c r="A1352" s="40" t="s">
        <v>1887</v>
      </c>
      <c r="B1352" s="10" t="str">
        <f t="shared" si="1"/>
        <v>RNA-gill</v>
      </c>
      <c r="C1352" s="10" t="str">
        <f t="shared" si="2"/>
        <v>BRN76G-D7</v>
      </c>
      <c r="D1352" s="11">
        <f t="array" ref="D1352">iferror(index('rna-muscle'!D:D,match(A1352,'rna-muscle'!A:A,0)))</f>
        <v>76</v>
      </c>
      <c r="E1352" s="10" t="str">
        <f t="shared" si="3"/>
        <v>BRN76G</v>
      </c>
      <c r="F1352" s="11" t="str">
        <f t="array" ref="F1352">iferror(index('rna-muscle'!F:F,match($A1352,'rna-muscle'!$A:$A,0)))</f>
        <v>D</v>
      </c>
      <c r="G1352" s="11">
        <f t="array" ref="G1352">iferror(index('rna-muscle'!G:G,match($A1352,'rna-muscle'!$A:$A,0)))</f>
        <v>7</v>
      </c>
      <c r="H1352" s="11" t="str">
        <f t="shared" si="4"/>
        <v>D7</v>
      </c>
      <c r="I1352" s="10" t="str">
        <f t="shared" si="5"/>
        <v>BRN76G-D7</v>
      </c>
      <c r="J1352" s="16"/>
      <c r="K1352" s="16" t="str">
        <f t="shared" si="6"/>
        <v>collected</v>
      </c>
      <c r="L1352" s="16" t="str">
        <f t="shared" si="7"/>
        <v>N</v>
      </c>
      <c r="M1352" s="16"/>
      <c r="N1352" s="16"/>
    </row>
    <row r="1353">
      <c r="A1353" s="40" t="s">
        <v>1888</v>
      </c>
      <c r="B1353" s="10" t="str">
        <f t="shared" si="1"/>
        <v>RNA-gill</v>
      </c>
      <c r="C1353" s="10" t="str">
        <f t="shared" si="2"/>
        <v>BRN76G-C7</v>
      </c>
      <c r="D1353" s="11">
        <f t="array" ref="D1353">iferror(index('rna-muscle'!D:D,match(A1353,'rna-muscle'!A:A,0)))</f>
        <v>76</v>
      </c>
      <c r="E1353" s="10" t="str">
        <f t="shared" si="3"/>
        <v>BRN76G</v>
      </c>
      <c r="F1353" s="11" t="str">
        <f t="array" ref="F1353">iferror(index('rna-muscle'!F:F,match($A1353,'rna-muscle'!$A:$A,0)))</f>
        <v>C</v>
      </c>
      <c r="G1353" s="11">
        <f t="array" ref="G1353">iferror(index('rna-muscle'!G:G,match($A1353,'rna-muscle'!$A:$A,0)))</f>
        <v>7</v>
      </c>
      <c r="H1353" s="11" t="str">
        <f t="shared" si="4"/>
        <v>C7</v>
      </c>
      <c r="I1353" s="10" t="str">
        <f t="shared" si="5"/>
        <v>BRN76G-C7</v>
      </c>
      <c r="J1353" s="16"/>
      <c r="K1353" s="16" t="str">
        <f t="shared" si="6"/>
        <v>collected</v>
      </c>
      <c r="L1353" s="16" t="str">
        <f t="shared" si="7"/>
        <v>N</v>
      </c>
      <c r="M1353" s="16"/>
      <c r="N1353" s="16"/>
    </row>
    <row r="1354">
      <c r="A1354" s="27" t="s">
        <v>1889</v>
      </c>
      <c r="B1354" s="10" t="str">
        <f t="shared" si="1"/>
        <v>RNA-gill</v>
      </c>
      <c r="C1354" s="10" t="str">
        <f t="shared" si="2"/>
        <v>BRN76G-F3</v>
      </c>
      <c r="D1354" s="11">
        <f t="array" ref="D1354">iferror(index('rna-muscle'!D:D,match(A1354,'rna-muscle'!A:A,0)))</f>
        <v>76</v>
      </c>
      <c r="E1354" s="10" t="str">
        <f t="shared" si="3"/>
        <v>BRN76G</v>
      </c>
      <c r="F1354" s="11" t="str">
        <f t="array" ref="F1354">iferror(index('rna-muscle'!F:F,match($A1354,'rna-muscle'!$A:$A,0)))</f>
        <v>F</v>
      </c>
      <c r="G1354" s="11">
        <f t="array" ref="G1354">iferror(index('rna-muscle'!G:G,match($A1354,'rna-muscle'!$A:$A,0)))</f>
        <v>3</v>
      </c>
      <c r="H1354" s="11" t="str">
        <f t="shared" si="4"/>
        <v>F3</v>
      </c>
      <c r="I1354" s="10" t="str">
        <f t="shared" si="5"/>
        <v>BRN76G-F3</v>
      </c>
      <c r="J1354" s="16"/>
      <c r="K1354" s="16" t="str">
        <f t="shared" si="6"/>
        <v>collected</v>
      </c>
      <c r="L1354" s="16" t="str">
        <f t="shared" si="7"/>
        <v>N</v>
      </c>
      <c r="M1354" s="16"/>
      <c r="N1354" s="16"/>
    </row>
    <row r="1355">
      <c r="A1355" s="27" t="s">
        <v>1891</v>
      </c>
      <c r="B1355" s="10" t="str">
        <f t="shared" si="1"/>
        <v>RNA-gill</v>
      </c>
      <c r="C1355" s="10" t="str">
        <f t="shared" si="2"/>
        <v>BRN76G-E3</v>
      </c>
      <c r="D1355" s="11">
        <f t="array" ref="D1355">iferror(index('rna-muscle'!D:D,match(A1355,'rna-muscle'!A:A,0)))</f>
        <v>76</v>
      </c>
      <c r="E1355" s="10" t="str">
        <f t="shared" si="3"/>
        <v>BRN76G</v>
      </c>
      <c r="F1355" s="11" t="str">
        <f t="array" ref="F1355">iferror(index('rna-muscle'!F:F,match($A1355,'rna-muscle'!$A:$A,0)))</f>
        <v>E</v>
      </c>
      <c r="G1355" s="11">
        <f t="array" ref="G1355">iferror(index('rna-muscle'!G:G,match($A1355,'rna-muscle'!$A:$A,0)))</f>
        <v>3</v>
      </c>
      <c r="H1355" s="11" t="str">
        <f t="shared" si="4"/>
        <v>E3</v>
      </c>
      <c r="I1355" s="10" t="str">
        <f t="shared" si="5"/>
        <v>BRN76G-E3</v>
      </c>
      <c r="J1355" s="16"/>
      <c r="K1355" s="16" t="str">
        <f t="shared" si="6"/>
        <v>collected</v>
      </c>
      <c r="L1355" s="16" t="str">
        <f t="shared" si="7"/>
        <v>N</v>
      </c>
      <c r="M1355" s="16"/>
      <c r="N1355" s="16"/>
    </row>
    <row r="1356">
      <c r="A1356" s="27" t="s">
        <v>1892</v>
      </c>
      <c r="B1356" s="10" t="str">
        <f t="shared" si="1"/>
        <v>RNA-gill</v>
      </c>
      <c r="C1356" s="10" t="str">
        <f t="shared" si="2"/>
        <v>BRN76G-D3</v>
      </c>
      <c r="D1356" s="11">
        <f t="array" ref="D1356">iferror(index('rna-muscle'!D:D,match(A1356,'rna-muscle'!A:A,0)))</f>
        <v>76</v>
      </c>
      <c r="E1356" s="10" t="str">
        <f t="shared" si="3"/>
        <v>BRN76G</v>
      </c>
      <c r="F1356" s="11" t="str">
        <f t="array" ref="F1356">iferror(index('rna-muscle'!F:F,match($A1356,'rna-muscle'!$A:$A,0)))</f>
        <v>D</v>
      </c>
      <c r="G1356" s="11">
        <f t="array" ref="G1356">iferror(index('rna-muscle'!G:G,match($A1356,'rna-muscle'!$A:$A,0)))</f>
        <v>3</v>
      </c>
      <c r="H1356" s="11" t="str">
        <f t="shared" si="4"/>
        <v>D3</v>
      </c>
      <c r="I1356" s="10" t="str">
        <f t="shared" si="5"/>
        <v>BRN76G-D3</v>
      </c>
      <c r="J1356" s="16"/>
      <c r="K1356" s="16" t="str">
        <f t="shared" si="6"/>
        <v>collected</v>
      </c>
      <c r="L1356" s="16" t="str">
        <f t="shared" si="7"/>
        <v>N</v>
      </c>
      <c r="M1356" s="16"/>
      <c r="N1356" s="16"/>
    </row>
    <row r="1357">
      <c r="A1357" s="27" t="s">
        <v>1893</v>
      </c>
      <c r="B1357" s="10" t="str">
        <f t="shared" si="1"/>
        <v>RNA-gill</v>
      </c>
      <c r="C1357" s="10" t="str">
        <f t="shared" si="2"/>
        <v>BRN76G-C3</v>
      </c>
      <c r="D1357" s="11">
        <f t="array" ref="D1357">iferror(index('rna-muscle'!D:D,match(A1357,'rna-muscle'!A:A,0)))</f>
        <v>76</v>
      </c>
      <c r="E1357" s="10" t="str">
        <f t="shared" si="3"/>
        <v>BRN76G</v>
      </c>
      <c r="F1357" s="11" t="str">
        <f t="array" ref="F1357">iferror(index('rna-muscle'!F:F,match($A1357,'rna-muscle'!$A:$A,0)))</f>
        <v>C</v>
      </c>
      <c r="G1357" s="11">
        <f t="array" ref="G1357">iferror(index('rna-muscle'!G:G,match($A1357,'rna-muscle'!$A:$A,0)))</f>
        <v>3</v>
      </c>
      <c r="H1357" s="11" t="str">
        <f t="shared" si="4"/>
        <v>C3</v>
      </c>
      <c r="I1357" s="10" t="str">
        <f t="shared" si="5"/>
        <v>BRN76G-C3</v>
      </c>
      <c r="J1357" s="16"/>
      <c r="K1357" s="16" t="str">
        <f t="shared" si="6"/>
        <v>collected</v>
      </c>
      <c r="L1357" s="16" t="str">
        <f t="shared" si="7"/>
        <v>N</v>
      </c>
      <c r="M1357" s="16"/>
      <c r="N1357" s="16"/>
    </row>
    <row r="1358">
      <c r="A1358" s="27" t="s">
        <v>1894</v>
      </c>
      <c r="B1358" s="10" t="str">
        <f t="shared" si="1"/>
        <v>RNA-gill</v>
      </c>
      <c r="C1358" s="10" t="str">
        <f t="shared" si="2"/>
        <v>BRN76G-B3</v>
      </c>
      <c r="D1358" s="11">
        <f t="array" ref="D1358">iferror(index('rna-muscle'!D:D,match(A1358,'rna-muscle'!A:A,0)))</f>
        <v>76</v>
      </c>
      <c r="E1358" s="10" t="str">
        <f t="shared" si="3"/>
        <v>BRN76G</v>
      </c>
      <c r="F1358" s="11" t="str">
        <f t="array" ref="F1358">iferror(index('rna-muscle'!F:F,match($A1358,'rna-muscle'!$A:$A,0)))</f>
        <v>B</v>
      </c>
      <c r="G1358" s="11">
        <f t="array" ref="G1358">iferror(index('rna-muscle'!G:G,match($A1358,'rna-muscle'!$A:$A,0)))</f>
        <v>3</v>
      </c>
      <c r="H1358" s="11" t="str">
        <f t="shared" si="4"/>
        <v>B3</v>
      </c>
      <c r="I1358" s="10" t="str">
        <f t="shared" si="5"/>
        <v>BRN76G-B3</v>
      </c>
      <c r="J1358" s="16"/>
      <c r="K1358" s="16" t="str">
        <f t="shared" si="6"/>
        <v>collected</v>
      </c>
      <c r="L1358" s="16" t="str">
        <f t="shared" si="7"/>
        <v>N</v>
      </c>
      <c r="M1358" s="16"/>
      <c r="N1358" s="16"/>
    </row>
    <row r="1359">
      <c r="A1359" s="27" t="s">
        <v>1895</v>
      </c>
      <c r="B1359" s="10" t="str">
        <f t="shared" si="1"/>
        <v>RNA-gill</v>
      </c>
      <c r="C1359" s="10" t="str">
        <f t="shared" si="2"/>
        <v>BRN76G-A3</v>
      </c>
      <c r="D1359" s="11">
        <f t="array" ref="D1359">iferror(index('rna-muscle'!D:D,match(A1359,'rna-muscle'!A:A,0)))</f>
        <v>76</v>
      </c>
      <c r="E1359" s="10" t="str">
        <f t="shared" si="3"/>
        <v>BRN76G</v>
      </c>
      <c r="F1359" s="11" t="str">
        <f t="array" ref="F1359">iferror(index('rna-muscle'!F:F,match($A1359,'rna-muscle'!$A:$A,0)))</f>
        <v>A</v>
      </c>
      <c r="G1359" s="11">
        <f t="array" ref="G1359">iferror(index('rna-muscle'!G:G,match($A1359,'rna-muscle'!$A:$A,0)))</f>
        <v>3</v>
      </c>
      <c r="H1359" s="11" t="str">
        <f t="shared" si="4"/>
        <v>A3</v>
      </c>
      <c r="I1359" s="10" t="str">
        <f t="shared" si="5"/>
        <v>BRN76G-A3</v>
      </c>
      <c r="J1359" s="16"/>
      <c r="K1359" s="16" t="str">
        <f t="shared" si="6"/>
        <v>collected</v>
      </c>
      <c r="L1359" s="16" t="str">
        <f t="shared" si="7"/>
        <v>N</v>
      </c>
      <c r="M1359" s="16"/>
      <c r="N1359" s="16"/>
    </row>
    <row r="1360">
      <c r="A1360" s="27" t="s">
        <v>1896</v>
      </c>
      <c r="B1360" s="10" t="str">
        <f t="shared" si="1"/>
        <v>RNA-gill</v>
      </c>
      <c r="C1360" s="10" t="str">
        <f t="shared" si="2"/>
        <v>BRN76G-H8</v>
      </c>
      <c r="D1360" s="11">
        <f t="array" ref="D1360">iferror(index('rna-muscle'!D:D,match(A1360,'rna-muscle'!A:A,0)))</f>
        <v>76</v>
      </c>
      <c r="E1360" s="10" t="str">
        <f t="shared" si="3"/>
        <v>BRN76G</v>
      </c>
      <c r="F1360" s="11" t="str">
        <f t="array" ref="F1360">iferror(index('rna-muscle'!F:F,match($A1360,'rna-muscle'!$A:$A,0)))</f>
        <v>H</v>
      </c>
      <c r="G1360" s="11">
        <f t="array" ref="G1360">iferror(index('rna-muscle'!G:G,match($A1360,'rna-muscle'!$A:$A,0)))</f>
        <v>8</v>
      </c>
      <c r="H1360" s="11" t="str">
        <f t="shared" si="4"/>
        <v>H8</v>
      </c>
      <c r="I1360" s="10" t="str">
        <f t="shared" si="5"/>
        <v>BRN76G-H8</v>
      </c>
      <c r="J1360" s="16"/>
      <c r="K1360" s="16" t="str">
        <f t="shared" si="6"/>
        <v>collected</v>
      </c>
      <c r="L1360" s="16" t="str">
        <f t="shared" si="7"/>
        <v>N</v>
      </c>
      <c r="M1360" s="16"/>
      <c r="N1360" s="16"/>
    </row>
    <row r="1361">
      <c r="A1361" s="27" t="s">
        <v>1897</v>
      </c>
      <c r="B1361" s="10" t="str">
        <f t="shared" si="1"/>
        <v>RNA-gill</v>
      </c>
      <c r="C1361" s="10" t="str">
        <f t="shared" si="2"/>
        <v>BRN76G-G8</v>
      </c>
      <c r="D1361" s="11">
        <f t="array" ref="D1361">iferror(index('rna-muscle'!D:D,match(A1361,'rna-muscle'!A:A,0)))</f>
        <v>76</v>
      </c>
      <c r="E1361" s="10" t="str">
        <f t="shared" si="3"/>
        <v>BRN76G</v>
      </c>
      <c r="F1361" s="11" t="str">
        <f t="array" ref="F1361">iferror(index('rna-muscle'!F:F,match($A1361,'rna-muscle'!$A:$A,0)))</f>
        <v>G</v>
      </c>
      <c r="G1361" s="11">
        <f t="array" ref="G1361">iferror(index('rna-muscle'!G:G,match($A1361,'rna-muscle'!$A:$A,0)))</f>
        <v>8</v>
      </c>
      <c r="H1361" s="11" t="str">
        <f t="shared" si="4"/>
        <v>G8</v>
      </c>
      <c r="I1361" s="10" t="str">
        <f t="shared" si="5"/>
        <v>BRN76G-G8</v>
      </c>
      <c r="J1361" s="16"/>
      <c r="K1361" s="16" t="str">
        <f t="shared" si="6"/>
        <v>collected</v>
      </c>
      <c r="L1361" s="16" t="str">
        <f t="shared" si="7"/>
        <v>N</v>
      </c>
      <c r="M1361" s="16"/>
      <c r="N1361" s="16"/>
    </row>
    <row r="1362">
      <c r="A1362" s="27" t="s">
        <v>1898</v>
      </c>
      <c r="B1362" s="10" t="str">
        <f t="shared" si="1"/>
        <v>RNA-gill</v>
      </c>
      <c r="C1362" s="10" t="str">
        <f t="shared" si="2"/>
        <v>BRN76G-F8</v>
      </c>
      <c r="D1362" s="11">
        <f t="array" ref="D1362">iferror(index('rna-muscle'!D:D,match(A1362,'rna-muscle'!A:A,0)))</f>
        <v>76</v>
      </c>
      <c r="E1362" s="10" t="str">
        <f t="shared" si="3"/>
        <v>BRN76G</v>
      </c>
      <c r="F1362" s="11" t="str">
        <f t="array" ref="F1362">iferror(index('rna-muscle'!F:F,match($A1362,'rna-muscle'!$A:$A,0)))</f>
        <v>F</v>
      </c>
      <c r="G1362" s="11">
        <f t="array" ref="G1362">iferror(index('rna-muscle'!G:G,match($A1362,'rna-muscle'!$A:$A,0)))</f>
        <v>8</v>
      </c>
      <c r="H1362" s="11" t="str">
        <f t="shared" si="4"/>
        <v>F8</v>
      </c>
      <c r="I1362" s="10" t="str">
        <f t="shared" si="5"/>
        <v>BRN76G-F8</v>
      </c>
      <c r="J1362" s="16"/>
      <c r="K1362" s="16" t="str">
        <f t="shared" si="6"/>
        <v>collected</v>
      </c>
      <c r="L1362" s="16" t="str">
        <f t="shared" si="7"/>
        <v>N</v>
      </c>
      <c r="M1362" s="16"/>
      <c r="N1362" s="16"/>
    </row>
    <row r="1363">
      <c r="A1363" s="27" t="s">
        <v>1900</v>
      </c>
      <c r="B1363" s="10" t="str">
        <f t="shared" si="1"/>
        <v>RNA-gill</v>
      </c>
      <c r="C1363" s="10" t="str">
        <f t="shared" si="2"/>
        <v>BRN76G-E8</v>
      </c>
      <c r="D1363" s="11">
        <f t="array" ref="D1363">iferror(index('rna-muscle'!D:D,match(A1363,'rna-muscle'!A:A,0)))</f>
        <v>76</v>
      </c>
      <c r="E1363" s="10" t="str">
        <f t="shared" si="3"/>
        <v>BRN76G</v>
      </c>
      <c r="F1363" s="11" t="str">
        <f t="array" ref="F1363">iferror(index('rna-muscle'!F:F,match($A1363,'rna-muscle'!$A:$A,0)))</f>
        <v>E</v>
      </c>
      <c r="G1363" s="11">
        <f t="array" ref="G1363">iferror(index('rna-muscle'!G:G,match($A1363,'rna-muscle'!$A:$A,0)))</f>
        <v>8</v>
      </c>
      <c r="H1363" s="11" t="str">
        <f t="shared" si="4"/>
        <v>E8</v>
      </c>
      <c r="I1363" s="10" t="str">
        <f t="shared" si="5"/>
        <v>BRN76G-E8</v>
      </c>
      <c r="J1363" s="16"/>
      <c r="K1363" s="16" t="str">
        <f t="shared" si="6"/>
        <v>collected</v>
      </c>
      <c r="L1363" s="16" t="str">
        <f t="shared" si="7"/>
        <v>N</v>
      </c>
      <c r="M1363" s="16"/>
      <c r="N1363" s="16"/>
    </row>
    <row r="1364">
      <c r="A1364" s="27" t="s">
        <v>1901</v>
      </c>
      <c r="B1364" s="10" t="str">
        <f t="shared" si="1"/>
        <v>RNA-gill</v>
      </c>
      <c r="C1364" s="10" t="str">
        <f t="shared" si="2"/>
        <v>BRN76G-D8</v>
      </c>
      <c r="D1364" s="11">
        <f t="array" ref="D1364">iferror(index('rna-muscle'!D:D,match(A1364,'rna-muscle'!A:A,0)))</f>
        <v>76</v>
      </c>
      <c r="E1364" s="10" t="str">
        <f t="shared" si="3"/>
        <v>BRN76G</v>
      </c>
      <c r="F1364" s="11" t="str">
        <f t="array" ref="F1364">iferror(index('rna-muscle'!F:F,match($A1364,'rna-muscle'!$A:$A,0)))</f>
        <v>D</v>
      </c>
      <c r="G1364" s="11">
        <f t="array" ref="G1364">iferror(index('rna-muscle'!G:G,match($A1364,'rna-muscle'!$A:$A,0)))</f>
        <v>8</v>
      </c>
      <c r="H1364" s="11" t="str">
        <f t="shared" si="4"/>
        <v>D8</v>
      </c>
      <c r="I1364" s="10" t="str">
        <f t="shared" si="5"/>
        <v>BRN76G-D8</v>
      </c>
      <c r="J1364" s="16"/>
      <c r="K1364" s="16" t="str">
        <f t="shared" si="6"/>
        <v>collected</v>
      </c>
      <c r="L1364" s="16" t="str">
        <f t="shared" si="7"/>
        <v>N</v>
      </c>
      <c r="M1364" s="16"/>
      <c r="N1364" s="16"/>
    </row>
    <row r="1365">
      <c r="A1365" s="27" t="s">
        <v>1902</v>
      </c>
      <c r="B1365" s="10" t="str">
        <f t="shared" si="1"/>
        <v>RNA-gill</v>
      </c>
      <c r="C1365" s="10" t="str">
        <f t="shared" si="2"/>
        <v>BRN76G-C8</v>
      </c>
      <c r="D1365" s="11">
        <f t="array" ref="D1365">iferror(index('rna-muscle'!D:D,match(A1365,'rna-muscle'!A:A,0)))</f>
        <v>76</v>
      </c>
      <c r="E1365" s="10" t="str">
        <f t="shared" si="3"/>
        <v>BRN76G</v>
      </c>
      <c r="F1365" s="11" t="str">
        <f t="array" ref="F1365">iferror(index('rna-muscle'!F:F,match($A1365,'rna-muscle'!$A:$A,0)))</f>
        <v>C</v>
      </c>
      <c r="G1365" s="11">
        <f t="array" ref="G1365">iferror(index('rna-muscle'!G:G,match($A1365,'rna-muscle'!$A:$A,0)))</f>
        <v>8</v>
      </c>
      <c r="H1365" s="11" t="str">
        <f t="shared" si="4"/>
        <v>C8</v>
      </c>
      <c r="I1365" s="10" t="str">
        <f t="shared" si="5"/>
        <v>BRN76G-C8</v>
      </c>
      <c r="J1365" s="16"/>
      <c r="K1365" s="16" t="str">
        <f t="shared" si="6"/>
        <v>collected</v>
      </c>
      <c r="L1365" s="16" t="str">
        <f t="shared" si="7"/>
        <v>N</v>
      </c>
      <c r="M1365" s="16"/>
      <c r="N1365" s="16"/>
    </row>
    <row r="1366">
      <c r="A1366" s="27" t="s">
        <v>1903</v>
      </c>
      <c r="B1366" s="10" t="str">
        <f t="shared" si="1"/>
        <v>RNA-gill</v>
      </c>
      <c r="C1366" s="10" t="str">
        <f t="shared" si="2"/>
        <v>BRN76G-B8</v>
      </c>
      <c r="D1366" s="11">
        <f t="array" ref="D1366">iferror(index('rna-muscle'!D:D,match(A1366,'rna-muscle'!A:A,0)))</f>
        <v>76</v>
      </c>
      <c r="E1366" s="10" t="str">
        <f t="shared" si="3"/>
        <v>BRN76G</v>
      </c>
      <c r="F1366" s="11" t="str">
        <f t="array" ref="F1366">iferror(index('rna-muscle'!F:F,match($A1366,'rna-muscle'!$A:$A,0)))</f>
        <v>B</v>
      </c>
      <c r="G1366" s="11">
        <f t="array" ref="G1366">iferror(index('rna-muscle'!G:G,match($A1366,'rna-muscle'!$A:$A,0)))</f>
        <v>8</v>
      </c>
      <c r="H1366" s="11" t="str">
        <f t="shared" si="4"/>
        <v>B8</v>
      </c>
      <c r="I1366" s="10" t="str">
        <f t="shared" si="5"/>
        <v>BRN76G-B8</v>
      </c>
      <c r="J1366" s="16"/>
      <c r="K1366" s="16" t="str">
        <f t="shared" si="6"/>
        <v>collected</v>
      </c>
      <c r="L1366" s="16" t="str">
        <f t="shared" si="7"/>
        <v>N</v>
      </c>
      <c r="M1366" s="16"/>
      <c r="N1366" s="16"/>
    </row>
    <row r="1367">
      <c r="A1367" s="27" t="s">
        <v>1904</v>
      </c>
      <c r="B1367" s="10" t="str">
        <f t="shared" si="1"/>
        <v>RNA-gill</v>
      </c>
      <c r="C1367" s="10" t="str">
        <f t="shared" si="2"/>
        <v>BRN76G-A8</v>
      </c>
      <c r="D1367" s="11">
        <f t="array" ref="D1367">iferror(index('rna-muscle'!D:D,match(A1367,'rna-muscle'!A:A,0)))</f>
        <v>76</v>
      </c>
      <c r="E1367" s="10" t="str">
        <f t="shared" si="3"/>
        <v>BRN76G</v>
      </c>
      <c r="F1367" s="11" t="str">
        <f t="array" ref="F1367">iferror(index('rna-muscle'!F:F,match($A1367,'rna-muscle'!$A:$A,0)))</f>
        <v>A</v>
      </c>
      <c r="G1367" s="11">
        <f t="array" ref="G1367">iferror(index('rna-muscle'!G:G,match($A1367,'rna-muscle'!$A:$A,0)))</f>
        <v>8</v>
      </c>
      <c r="H1367" s="11" t="str">
        <f t="shared" si="4"/>
        <v>A8</v>
      </c>
      <c r="I1367" s="10" t="str">
        <f t="shared" si="5"/>
        <v>BRN76G-A8</v>
      </c>
      <c r="J1367" s="16"/>
      <c r="K1367" s="16" t="str">
        <f t="shared" si="6"/>
        <v>collected</v>
      </c>
      <c r="L1367" s="16" t="str">
        <f t="shared" si="7"/>
        <v>N</v>
      </c>
      <c r="M1367" s="16"/>
      <c r="N1367" s="16"/>
    </row>
    <row r="1368">
      <c r="A1368" s="27" t="s">
        <v>1905</v>
      </c>
      <c r="B1368" s="10" t="str">
        <f t="shared" si="1"/>
        <v>RNA-gill</v>
      </c>
      <c r="C1368" s="10" t="str">
        <f t="shared" si="2"/>
        <v>BRN76G-H9</v>
      </c>
      <c r="D1368" s="11">
        <f t="array" ref="D1368">iferror(index('rna-muscle'!D:D,match(A1368,'rna-muscle'!A:A,0)))</f>
        <v>76</v>
      </c>
      <c r="E1368" s="10" t="str">
        <f t="shared" si="3"/>
        <v>BRN76G</v>
      </c>
      <c r="F1368" s="11" t="str">
        <f t="array" ref="F1368">iferror(index('rna-muscle'!F:F,match($A1368,'rna-muscle'!$A:$A,0)))</f>
        <v>H</v>
      </c>
      <c r="G1368" s="11">
        <f t="array" ref="G1368">iferror(index('rna-muscle'!G:G,match($A1368,'rna-muscle'!$A:$A,0)))</f>
        <v>9</v>
      </c>
      <c r="H1368" s="11" t="str">
        <f t="shared" si="4"/>
        <v>H9</v>
      </c>
      <c r="I1368" s="10" t="str">
        <f t="shared" si="5"/>
        <v>BRN76G-H9</v>
      </c>
      <c r="J1368" s="16"/>
      <c r="K1368" s="16" t="str">
        <f t="shared" si="6"/>
        <v>collected</v>
      </c>
      <c r="L1368" s="16" t="str">
        <f t="shared" si="7"/>
        <v>N</v>
      </c>
      <c r="M1368" s="16"/>
      <c r="N1368" s="16"/>
    </row>
    <row r="1369">
      <c r="A1369" s="27" t="s">
        <v>1906</v>
      </c>
      <c r="B1369" s="10" t="str">
        <f t="shared" si="1"/>
        <v>RNA-gill</v>
      </c>
      <c r="C1369" s="10" t="str">
        <f t="shared" si="2"/>
        <v>BRN76G-G9</v>
      </c>
      <c r="D1369" s="11">
        <f t="array" ref="D1369">iferror(index('rna-muscle'!D:D,match(A1369,'rna-muscle'!A:A,0)))</f>
        <v>76</v>
      </c>
      <c r="E1369" s="10" t="str">
        <f t="shared" si="3"/>
        <v>BRN76G</v>
      </c>
      <c r="F1369" s="11" t="str">
        <f t="array" ref="F1369">iferror(index('rna-muscle'!F:F,match($A1369,'rna-muscle'!$A:$A,0)))</f>
        <v>G</v>
      </c>
      <c r="G1369" s="11">
        <f t="array" ref="G1369">iferror(index('rna-muscle'!G:G,match($A1369,'rna-muscle'!$A:$A,0)))</f>
        <v>9</v>
      </c>
      <c r="H1369" s="11" t="str">
        <f t="shared" si="4"/>
        <v>G9</v>
      </c>
      <c r="I1369" s="10" t="str">
        <f t="shared" si="5"/>
        <v>BRN76G-G9</v>
      </c>
      <c r="J1369" s="16"/>
      <c r="K1369" s="16" t="str">
        <f t="shared" si="6"/>
        <v>collected</v>
      </c>
      <c r="L1369" s="16" t="str">
        <f t="shared" si="7"/>
        <v>N</v>
      </c>
      <c r="M1369" s="16"/>
      <c r="N1369" s="16"/>
    </row>
    <row r="1370">
      <c r="A1370" s="27" t="s">
        <v>1907</v>
      </c>
      <c r="B1370" s="10" t="str">
        <f t="shared" si="1"/>
        <v>RNA-gill</v>
      </c>
      <c r="C1370" s="10" t="str">
        <f t="shared" si="2"/>
        <v>BRN76G-F9</v>
      </c>
      <c r="D1370" s="11">
        <f t="array" ref="D1370">iferror(index('rna-muscle'!D:D,match(A1370,'rna-muscle'!A:A,0)))</f>
        <v>76</v>
      </c>
      <c r="E1370" s="10" t="str">
        <f t="shared" si="3"/>
        <v>BRN76G</v>
      </c>
      <c r="F1370" s="11" t="str">
        <f t="array" ref="F1370">iferror(index('rna-muscle'!F:F,match($A1370,'rna-muscle'!$A:$A,0)))</f>
        <v>F</v>
      </c>
      <c r="G1370" s="11">
        <f t="array" ref="G1370">iferror(index('rna-muscle'!G:G,match($A1370,'rna-muscle'!$A:$A,0)))</f>
        <v>9</v>
      </c>
      <c r="H1370" s="11" t="str">
        <f t="shared" si="4"/>
        <v>F9</v>
      </c>
      <c r="I1370" s="10" t="str">
        <f t="shared" si="5"/>
        <v>BRN76G-F9</v>
      </c>
      <c r="J1370" s="16"/>
      <c r="K1370" s="16" t="str">
        <f t="shared" si="6"/>
        <v>collected</v>
      </c>
      <c r="L1370" s="16" t="str">
        <f t="shared" si="7"/>
        <v>N</v>
      </c>
      <c r="M1370" s="16"/>
      <c r="N1370" s="16"/>
    </row>
    <row r="1371">
      <c r="A1371" s="27" t="s">
        <v>1908</v>
      </c>
      <c r="B1371" s="10" t="str">
        <f t="shared" si="1"/>
        <v>RNA-gill</v>
      </c>
      <c r="C1371" s="10" t="str">
        <f t="shared" si="2"/>
        <v>BRN76G-E9</v>
      </c>
      <c r="D1371" s="11">
        <f t="array" ref="D1371">iferror(index('rna-muscle'!D:D,match(A1371,'rna-muscle'!A:A,0)))</f>
        <v>76</v>
      </c>
      <c r="E1371" s="10" t="str">
        <f t="shared" si="3"/>
        <v>BRN76G</v>
      </c>
      <c r="F1371" s="11" t="str">
        <f t="array" ref="F1371">iferror(index('rna-muscle'!F:F,match($A1371,'rna-muscle'!$A:$A,0)))</f>
        <v>E</v>
      </c>
      <c r="G1371" s="11">
        <f t="array" ref="G1371">iferror(index('rna-muscle'!G:G,match($A1371,'rna-muscle'!$A:$A,0)))</f>
        <v>9</v>
      </c>
      <c r="H1371" s="11" t="str">
        <f t="shared" si="4"/>
        <v>E9</v>
      </c>
      <c r="I1371" s="10" t="str">
        <f t="shared" si="5"/>
        <v>BRN76G-E9</v>
      </c>
      <c r="J1371" s="16"/>
      <c r="K1371" s="16" t="str">
        <f t="shared" si="6"/>
        <v>collected</v>
      </c>
      <c r="L1371" s="16" t="str">
        <f t="shared" si="7"/>
        <v>N</v>
      </c>
      <c r="M1371" s="16"/>
      <c r="N1371" s="16"/>
    </row>
    <row r="1372">
      <c r="A1372" s="27" t="s">
        <v>1909</v>
      </c>
      <c r="B1372" s="10" t="str">
        <f t="shared" si="1"/>
        <v>RNA-gill</v>
      </c>
      <c r="C1372" s="10" t="str">
        <f t="shared" si="2"/>
        <v>BRN76G-D9</v>
      </c>
      <c r="D1372" s="11">
        <f t="array" ref="D1372">iferror(index('rna-muscle'!D:D,match(A1372,'rna-muscle'!A:A,0)))</f>
        <v>76</v>
      </c>
      <c r="E1372" s="10" t="str">
        <f t="shared" si="3"/>
        <v>BRN76G</v>
      </c>
      <c r="F1372" s="11" t="str">
        <f t="array" ref="F1372">iferror(index('rna-muscle'!F:F,match($A1372,'rna-muscle'!$A:$A,0)))</f>
        <v>D</v>
      </c>
      <c r="G1372" s="11">
        <f t="array" ref="G1372">iferror(index('rna-muscle'!G:G,match($A1372,'rna-muscle'!$A:$A,0)))</f>
        <v>9</v>
      </c>
      <c r="H1372" s="11" t="str">
        <f t="shared" si="4"/>
        <v>D9</v>
      </c>
      <c r="I1372" s="10" t="str">
        <f t="shared" si="5"/>
        <v>BRN76G-D9</v>
      </c>
      <c r="J1372" s="16"/>
      <c r="K1372" s="16" t="str">
        <f t="shared" si="6"/>
        <v>collected</v>
      </c>
      <c r="L1372" s="16" t="str">
        <f t="shared" si="7"/>
        <v>N</v>
      </c>
      <c r="M1372" s="16"/>
      <c r="N1372" s="16"/>
    </row>
    <row r="1373">
      <c r="A1373" s="27" t="s">
        <v>1910</v>
      </c>
      <c r="B1373" s="10" t="str">
        <f t="shared" si="1"/>
        <v>RNA-gill</v>
      </c>
      <c r="C1373" s="10" t="str">
        <f t="shared" si="2"/>
        <v>BRN76G-C9</v>
      </c>
      <c r="D1373" s="11">
        <f t="array" ref="D1373">iferror(index('rna-muscle'!D:D,match(A1373,'rna-muscle'!A:A,0)))</f>
        <v>76</v>
      </c>
      <c r="E1373" s="10" t="str">
        <f t="shared" si="3"/>
        <v>BRN76G</v>
      </c>
      <c r="F1373" s="11" t="str">
        <f t="array" ref="F1373">iferror(index('rna-muscle'!F:F,match($A1373,'rna-muscle'!$A:$A,0)))</f>
        <v>C</v>
      </c>
      <c r="G1373" s="11">
        <f t="array" ref="G1373">iferror(index('rna-muscle'!G:G,match($A1373,'rna-muscle'!$A:$A,0)))</f>
        <v>9</v>
      </c>
      <c r="H1373" s="11" t="str">
        <f t="shared" si="4"/>
        <v>C9</v>
      </c>
      <c r="I1373" s="10" t="str">
        <f t="shared" si="5"/>
        <v>BRN76G-C9</v>
      </c>
      <c r="J1373" s="16"/>
      <c r="K1373" s="16" t="str">
        <f t="shared" si="6"/>
        <v>collected</v>
      </c>
      <c r="L1373" s="16" t="str">
        <f t="shared" si="7"/>
        <v>N</v>
      </c>
      <c r="M1373" s="16"/>
      <c r="N1373" s="16"/>
    </row>
    <row r="1374">
      <c r="A1374" s="27" t="s">
        <v>1911</v>
      </c>
      <c r="B1374" s="10" t="str">
        <f t="shared" si="1"/>
        <v>RNA-gill</v>
      </c>
      <c r="C1374" s="10" t="str">
        <f t="shared" si="2"/>
        <v>BRN76G-B9</v>
      </c>
      <c r="D1374" s="11">
        <f t="array" ref="D1374">iferror(index('rna-muscle'!D:D,match(A1374,'rna-muscle'!A:A,0)))</f>
        <v>76</v>
      </c>
      <c r="E1374" s="10" t="str">
        <f t="shared" si="3"/>
        <v>BRN76G</v>
      </c>
      <c r="F1374" s="11" t="str">
        <f t="array" ref="F1374">iferror(index('rna-muscle'!F:F,match($A1374,'rna-muscle'!$A:$A,0)))</f>
        <v>B</v>
      </c>
      <c r="G1374" s="11">
        <f t="array" ref="G1374">iferror(index('rna-muscle'!G:G,match($A1374,'rna-muscle'!$A:$A,0)))</f>
        <v>9</v>
      </c>
      <c r="H1374" s="11" t="str">
        <f t="shared" si="4"/>
        <v>B9</v>
      </c>
      <c r="I1374" s="10" t="str">
        <f t="shared" si="5"/>
        <v>BRN76G-B9</v>
      </c>
      <c r="J1374" s="16"/>
      <c r="K1374" s="16" t="str">
        <f t="shared" si="6"/>
        <v>collected</v>
      </c>
      <c r="L1374" s="16" t="str">
        <f t="shared" si="7"/>
        <v>N</v>
      </c>
      <c r="M1374" s="16"/>
      <c r="N1374" s="16"/>
    </row>
    <row r="1375">
      <c r="A1375" s="6" t="s">
        <v>1912</v>
      </c>
      <c r="B1375" s="10" t="str">
        <f t="shared" si="1"/>
        <v>RNA-gill</v>
      </c>
      <c r="C1375" s="10" t="str">
        <f t="shared" si="2"/>
        <v>BRN76G-A9</v>
      </c>
      <c r="D1375" s="11">
        <f t="array" ref="D1375">iferror(index('rna-muscle'!D:D,match(A1375,'rna-muscle'!A:A,0)))</f>
        <v>76</v>
      </c>
      <c r="E1375" s="10" t="str">
        <f t="shared" si="3"/>
        <v>BRN76G</v>
      </c>
      <c r="F1375" s="11" t="str">
        <f t="array" ref="F1375">iferror(index('rna-muscle'!F:F,match($A1375,'rna-muscle'!$A:$A,0)))</f>
        <v>A</v>
      </c>
      <c r="G1375" s="11">
        <f t="array" ref="G1375">iferror(index('rna-muscle'!G:G,match($A1375,'rna-muscle'!$A:$A,0)))</f>
        <v>9</v>
      </c>
      <c r="H1375" s="11" t="str">
        <f t="shared" si="4"/>
        <v>A9</v>
      </c>
      <c r="I1375" s="10" t="str">
        <f t="shared" si="5"/>
        <v>BRN76G-A9</v>
      </c>
      <c r="J1375" s="6" t="s">
        <v>2178</v>
      </c>
      <c r="K1375" s="16" t="str">
        <f t="shared" si="6"/>
        <v>collected</v>
      </c>
      <c r="L1375" s="16" t="str">
        <f t="shared" si="7"/>
        <v>N</v>
      </c>
      <c r="M1375" s="16"/>
      <c r="N1375" s="16"/>
    </row>
    <row r="1376">
      <c r="A1376" s="27" t="s">
        <v>1913</v>
      </c>
      <c r="B1376" s="10" t="str">
        <f t="shared" si="1"/>
        <v>RNA-gill</v>
      </c>
      <c r="C1376" s="10" t="str">
        <f t="shared" si="2"/>
        <v>BRN76G-H10</v>
      </c>
      <c r="D1376" s="11">
        <f t="array" ref="D1376">iferror(index('rna-muscle'!D:D,match(A1376,'rna-muscle'!A:A,0)))</f>
        <v>76</v>
      </c>
      <c r="E1376" s="10" t="str">
        <f t="shared" si="3"/>
        <v>BRN76G</v>
      </c>
      <c r="F1376" s="11" t="str">
        <f t="array" ref="F1376">iferror(index('rna-muscle'!F:F,match($A1376,'rna-muscle'!$A:$A,0)))</f>
        <v>H</v>
      </c>
      <c r="G1376" s="11">
        <f t="array" ref="G1376">iferror(index('rna-muscle'!G:G,match($A1376,'rna-muscle'!$A:$A,0)))</f>
        <v>10</v>
      </c>
      <c r="H1376" s="11" t="str">
        <f t="shared" si="4"/>
        <v>H10</v>
      </c>
      <c r="I1376" s="10" t="str">
        <f t="shared" si="5"/>
        <v>BRN76G-H10</v>
      </c>
      <c r="J1376" s="16"/>
      <c r="K1376" s="16" t="str">
        <f t="shared" si="6"/>
        <v>collected</v>
      </c>
      <c r="L1376" s="16" t="str">
        <f t="shared" si="7"/>
        <v>N</v>
      </c>
      <c r="M1376" s="16"/>
      <c r="N1376" s="16"/>
    </row>
    <row r="1377">
      <c r="A1377" s="27" t="s">
        <v>1915</v>
      </c>
      <c r="B1377" s="10" t="str">
        <f t="shared" si="1"/>
        <v>RNA-gill</v>
      </c>
      <c r="C1377" s="10" t="str">
        <f t="shared" si="2"/>
        <v>BRN76G-G10</v>
      </c>
      <c r="D1377" s="11">
        <f t="array" ref="D1377">iferror(index('rna-muscle'!D:D,match(A1377,'rna-muscle'!A:A,0)))</f>
        <v>76</v>
      </c>
      <c r="E1377" s="10" t="str">
        <f t="shared" si="3"/>
        <v>BRN76G</v>
      </c>
      <c r="F1377" s="11" t="str">
        <f t="array" ref="F1377">iferror(index('rna-muscle'!F:F,match($A1377,'rna-muscle'!$A:$A,0)))</f>
        <v>G</v>
      </c>
      <c r="G1377" s="11">
        <f t="array" ref="G1377">iferror(index('rna-muscle'!G:G,match($A1377,'rna-muscle'!$A:$A,0)))</f>
        <v>10</v>
      </c>
      <c r="H1377" s="11" t="str">
        <f t="shared" si="4"/>
        <v>G10</v>
      </c>
      <c r="I1377" s="10" t="str">
        <f t="shared" si="5"/>
        <v>BRN76G-G10</v>
      </c>
      <c r="J1377" s="16"/>
      <c r="K1377" s="16" t="str">
        <f t="shared" si="6"/>
        <v>collected</v>
      </c>
      <c r="L1377" s="16" t="str">
        <f t="shared" si="7"/>
        <v>N</v>
      </c>
      <c r="M1377" s="16"/>
      <c r="N1377" s="16"/>
    </row>
    <row r="1378">
      <c r="A1378" s="27" t="s">
        <v>1916</v>
      </c>
      <c r="B1378" s="10" t="str">
        <f t="shared" si="1"/>
        <v>RNA-gill</v>
      </c>
      <c r="C1378" s="10" t="str">
        <f t="shared" si="2"/>
        <v>BRN76G-F10</v>
      </c>
      <c r="D1378" s="11">
        <f t="array" ref="D1378">iferror(index('rna-muscle'!D:D,match(A1378,'rna-muscle'!A:A,0)))</f>
        <v>76</v>
      </c>
      <c r="E1378" s="10" t="str">
        <f t="shared" si="3"/>
        <v>BRN76G</v>
      </c>
      <c r="F1378" s="11" t="str">
        <f t="array" ref="F1378">iferror(index('rna-muscle'!F:F,match($A1378,'rna-muscle'!$A:$A,0)))</f>
        <v>F</v>
      </c>
      <c r="G1378" s="11">
        <f t="array" ref="G1378">iferror(index('rna-muscle'!G:G,match($A1378,'rna-muscle'!$A:$A,0)))</f>
        <v>10</v>
      </c>
      <c r="H1378" s="11" t="str">
        <f t="shared" si="4"/>
        <v>F10</v>
      </c>
      <c r="I1378" s="10" t="str">
        <f t="shared" si="5"/>
        <v>BRN76G-F10</v>
      </c>
      <c r="J1378" s="16"/>
      <c r="K1378" s="16" t="str">
        <f t="shared" si="6"/>
        <v>collected</v>
      </c>
      <c r="L1378" s="16" t="str">
        <f t="shared" si="7"/>
        <v>N</v>
      </c>
      <c r="M1378" s="16"/>
      <c r="N1378" s="16"/>
    </row>
    <row r="1379">
      <c r="A1379" s="27" t="s">
        <v>1918</v>
      </c>
      <c r="B1379" s="10" t="str">
        <f t="shared" si="1"/>
        <v>RNA-gill</v>
      </c>
      <c r="C1379" s="10" t="str">
        <f t="shared" si="2"/>
        <v>BRN76G-E10</v>
      </c>
      <c r="D1379" s="11">
        <f t="array" ref="D1379">iferror(index('rna-muscle'!D:D,match(A1379,'rna-muscle'!A:A,0)))</f>
        <v>76</v>
      </c>
      <c r="E1379" s="10" t="str">
        <f t="shared" si="3"/>
        <v>BRN76G</v>
      </c>
      <c r="F1379" s="11" t="str">
        <f t="array" ref="F1379">iferror(index('rna-muscle'!F:F,match($A1379,'rna-muscle'!$A:$A,0)))</f>
        <v>E</v>
      </c>
      <c r="G1379" s="11">
        <f t="array" ref="G1379">iferror(index('rna-muscle'!G:G,match($A1379,'rna-muscle'!$A:$A,0)))</f>
        <v>10</v>
      </c>
      <c r="H1379" s="11" t="str">
        <f t="shared" si="4"/>
        <v>E10</v>
      </c>
      <c r="I1379" s="10" t="str">
        <f t="shared" si="5"/>
        <v>BRN76G-E10</v>
      </c>
      <c r="J1379" s="6" t="s">
        <v>2179</v>
      </c>
      <c r="K1379" s="16" t="str">
        <f t="shared" si="6"/>
        <v>collected</v>
      </c>
      <c r="L1379" s="16" t="str">
        <f t="shared" si="7"/>
        <v>N</v>
      </c>
      <c r="M1379" s="16"/>
      <c r="N1379" s="16"/>
    </row>
    <row r="1380">
      <c r="A1380" s="40" t="s">
        <v>1919</v>
      </c>
      <c r="B1380" s="10" t="str">
        <f t="shared" si="1"/>
        <v>RNA-gill</v>
      </c>
      <c r="C1380" s="10" t="str">
        <f t="shared" si="2"/>
        <v>BRN76G-B7</v>
      </c>
      <c r="D1380" s="11">
        <f t="array" ref="D1380">iferror(index('rna-muscle'!D:D,match(A1380,'rna-muscle'!A:A,0)))</f>
        <v>76</v>
      </c>
      <c r="E1380" s="10" t="str">
        <f t="shared" si="3"/>
        <v>BRN76G</v>
      </c>
      <c r="F1380" s="11" t="str">
        <f t="array" ref="F1380">iferror(index('rna-muscle'!F:F,match($A1380,'rna-muscle'!$A:$A,0)))</f>
        <v>B</v>
      </c>
      <c r="G1380" s="11">
        <f t="array" ref="G1380">iferror(index('rna-muscle'!G:G,match($A1380,'rna-muscle'!$A:$A,0)))</f>
        <v>7</v>
      </c>
      <c r="H1380" s="11" t="str">
        <f t="shared" si="4"/>
        <v>B7</v>
      </c>
      <c r="I1380" s="10" t="str">
        <f t="shared" si="5"/>
        <v>BRN76G-B7</v>
      </c>
      <c r="J1380" s="16"/>
      <c r="K1380" s="16" t="str">
        <f t="shared" si="6"/>
        <v>collected</v>
      </c>
      <c r="L1380" s="16" t="str">
        <f t="shared" si="7"/>
        <v>N</v>
      </c>
      <c r="M1380" s="16"/>
      <c r="N1380" s="16"/>
    </row>
    <row r="1381">
      <c r="A1381" s="40" t="s">
        <v>1920</v>
      </c>
      <c r="B1381" s="10" t="str">
        <f t="shared" si="1"/>
        <v>RNA-gill</v>
      </c>
      <c r="C1381" s="10" t="str">
        <f t="shared" si="2"/>
        <v>BRN76G-A7</v>
      </c>
      <c r="D1381" s="11">
        <f t="array" ref="D1381">iferror(index('rna-muscle'!D:D,match(A1381,'rna-muscle'!A:A,0)))</f>
        <v>76</v>
      </c>
      <c r="E1381" s="10" t="str">
        <f t="shared" si="3"/>
        <v>BRN76G</v>
      </c>
      <c r="F1381" s="11" t="str">
        <f t="array" ref="F1381">iferror(index('rna-muscle'!F:F,match($A1381,'rna-muscle'!$A:$A,0)))</f>
        <v>A</v>
      </c>
      <c r="G1381" s="11">
        <f t="array" ref="G1381">iferror(index('rna-muscle'!G:G,match($A1381,'rna-muscle'!$A:$A,0)))</f>
        <v>7</v>
      </c>
      <c r="H1381" s="11" t="str">
        <f t="shared" si="4"/>
        <v>A7</v>
      </c>
      <c r="I1381" s="10" t="str">
        <f t="shared" si="5"/>
        <v>BRN76G-A7</v>
      </c>
      <c r="J1381" s="16"/>
      <c r="K1381" s="16" t="str">
        <f t="shared" si="6"/>
        <v>collected</v>
      </c>
      <c r="L1381" s="16" t="str">
        <f t="shared" si="7"/>
        <v>N</v>
      </c>
      <c r="M1381" s="16"/>
      <c r="N1381" s="16"/>
    </row>
    <row r="1382">
      <c r="A1382" s="40" t="s">
        <v>1921</v>
      </c>
      <c r="B1382" s="10" t="str">
        <f t="shared" si="1"/>
        <v>RNA-gill</v>
      </c>
      <c r="C1382" s="10" t="str">
        <f t="shared" si="2"/>
        <v>BRN76G-G12</v>
      </c>
      <c r="D1382" s="11">
        <f t="array" ref="D1382">iferror(index('rna-muscle'!D:D,match(A1382,'rna-muscle'!A:A,0)))</f>
        <v>76</v>
      </c>
      <c r="E1382" s="10" t="str">
        <f t="shared" si="3"/>
        <v>BRN76G</v>
      </c>
      <c r="F1382" s="11" t="str">
        <f t="array" ref="F1382">iferror(index('rna-muscle'!F:F,match($A1382,'rna-muscle'!$A:$A,0)))</f>
        <v>G</v>
      </c>
      <c r="G1382" s="11">
        <f t="array" ref="G1382">iferror(index('rna-muscle'!G:G,match($A1382,'rna-muscle'!$A:$A,0)))</f>
        <v>12</v>
      </c>
      <c r="H1382" s="11" t="str">
        <f t="shared" si="4"/>
        <v>G12</v>
      </c>
      <c r="I1382" s="10" t="str">
        <f t="shared" si="5"/>
        <v>BRN76G-G12</v>
      </c>
      <c r="J1382" s="16"/>
      <c r="K1382" s="16" t="str">
        <f t="shared" si="6"/>
        <v>collected</v>
      </c>
      <c r="L1382" s="16" t="str">
        <f t="shared" si="7"/>
        <v>N</v>
      </c>
      <c r="M1382" s="16"/>
      <c r="N1382" s="16"/>
    </row>
    <row r="1383">
      <c r="A1383" s="40" t="s">
        <v>1922</v>
      </c>
      <c r="B1383" s="10" t="str">
        <f t="shared" si="1"/>
        <v>RNA-gill</v>
      </c>
      <c r="C1383" s="10" t="str">
        <f t="shared" si="2"/>
        <v>BRN76G-F12</v>
      </c>
      <c r="D1383" s="11">
        <f t="array" ref="D1383">iferror(index('rna-muscle'!D:D,match(A1383,'rna-muscle'!A:A,0)))</f>
        <v>76</v>
      </c>
      <c r="E1383" s="10" t="str">
        <f t="shared" si="3"/>
        <v>BRN76G</v>
      </c>
      <c r="F1383" s="11" t="str">
        <f t="array" ref="F1383">iferror(index('rna-muscle'!F:F,match($A1383,'rna-muscle'!$A:$A,0)))</f>
        <v>F</v>
      </c>
      <c r="G1383" s="11">
        <f t="array" ref="G1383">iferror(index('rna-muscle'!G:G,match($A1383,'rna-muscle'!$A:$A,0)))</f>
        <v>12</v>
      </c>
      <c r="H1383" s="11" t="str">
        <f t="shared" si="4"/>
        <v>F12</v>
      </c>
      <c r="I1383" s="10" t="str">
        <f t="shared" si="5"/>
        <v>BRN76G-F12</v>
      </c>
      <c r="J1383" s="16"/>
      <c r="K1383" s="16" t="str">
        <f t="shared" si="6"/>
        <v>collected</v>
      </c>
      <c r="L1383" s="16" t="str">
        <f t="shared" si="7"/>
        <v>N</v>
      </c>
      <c r="M1383" s="16"/>
      <c r="N1383" s="16"/>
    </row>
    <row r="1384">
      <c r="A1384" s="40" t="s">
        <v>1923</v>
      </c>
      <c r="B1384" s="10" t="str">
        <f t="shared" si="1"/>
        <v>RNA-gill</v>
      </c>
      <c r="C1384" s="10" t="str">
        <f t="shared" si="2"/>
        <v>BRN76G-E12</v>
      </c>
      <c r="D1384" s="11">
        <f t="array" ref="D1384">iferror(index('rna-muscle'!D:D,match(A1384,'rna-muscle'!A:A,0)))</f>
        <v>76</v>
      </c>
      <c r="E1384" s="10" t="str">
        <f t="shared" si="3"/>
        <v>BRN76G</v>
      </c>
      <c r="F1384" s="11" t="str">
        <f t="array" ref="F1384">iferror(index('rna-muscle'!F:F,match($A1384,'rna-muscle'!$A:$A,0)))</f>
        <v>E</v>
      </c>
      <c r="G1384" s="11">
        <f t="array" ref="G1384">iferror(index('rna-muscle'!G:G,match($A1384,'rna-muscle'!$A:$A,0)))</f>
        <v>12</v>
      </c>
      <c r="H1384" s="11" t="str">
        <f t="shared" si="4"/>
        <v>E12</v>
      </c>
      <c r="I1384" s="10" t="str">
        <f t="shared" si="5"/>
        <v>BRN76G-E12</v>
      </c>
      <c r="J1384" s="16"/>
      <c r="K1384" s="16" t="str">
        <f t="shared" si="6"/>
        <v>collected</v>
      </c>
      <c r="L1384" s="16" t="str">
        <f t="shared" si="7"/>
        <v>N</v>
      </c>
      <c r="M1384" s="16"/>
      <c r="N1384" s="16"/>
    </row>
    <row r="1385">
      <c r="A1385" s="40" t="s">
        <v>1924</v>
      </c>
      <c r="B1385" s="10" t="str">
        <f t="shared" si="1"/>
        <v>RNA-gill</v>
      </c>
      <c r="C1385" s="10" t="str">
        <f t="shared" si="2"/>
        <v>BRN76G-D12</v>
      </c>
      <c r="D1385" s="11">
        <f t="array" ref="D1385">iferror(index('rna-muscle'!D:D,match(A1385,'rna-muscle'!A:A,0)))</f>
        <v>76</v>
      </c>
      <c r="E1385" s="10" t="str">
        <f t="shared" si="3"/>
        <v>BRN76G</v>
      </c>
      <c r="F1385" s="11" t="str">
        <f t="array" ref="F1385">iferror(index('rna-muscle'!F:F,match($A1385,'rna-muscle'!$A:$A,0)))</f>
        <v>D</v>
      </c>
      <c r="G1385" s="11">
        <f t="array" ref="G1385">iferror(index('rna-muscle'!G:G,match($A1385,'rna-muscle'!$A:$A,0)))</f>
        <v>12</v>
      </c>
      <c r="H1385" s="11" t="str">
        <f t="shared" si="4"/>
        <v>D12</v>
      </c>
      <c r="I1385" s="10" t="str">
        <f t="shared" si="5"/>
        <v>BRN76G-D12</v>
      </c>
      <c r="J1385" s="16"/>
      <c r="K1385" s="16" t="str">
        <f t="shared" si="6"/>
        <v>collected</v>
      </c>
      <c r="L1385" s="16" t="str">
        <f t="shared" si="7"/>
        <v>N</v>
      </c>
      <c r="M1385" s="16"/>
      <c r="N1385" s="16"/>
    </row>
    <row r="1386">
      <c r="A1386" s="40" t="s">
        <v>1925</v>
      </c>
      <c r="B1386" s="10" t="str">
        <f t="shared" si="1"/>
        <v>RNA-gill</v>
      </c>
      <c r="C1386" s="10" t="str">
        <f t="shared" si="2"/>
        <v>BRN76G-C12</v>
      </c>
      <c r="D1386" s="11">
        <f t="array" ref="D1386">iferror(index('rna-muscle'!D:D,match(A1386,'rna-muscle'!A:A,0)))</f>
        <v>76</v>
      </c>
      <c r="E1386" s="10" t="str">
        <f t="shared" si="3"/>
        <v>BRN76G</v>
      </c>
      <c r="F1386" s="11" t="str">
        <f t="array" ref="F1386">iferror(index('rna-muscle'!F:F,match($A1386,'rna-muscle'!$A:$A,0)))</f>
        <v>C</v>
      </c>
      <c r="G1386" s="11">
        <f t="array" ref="G1386">iferror(index('rna-muscle'!G:G,match($A1386,'rna-muscle'!$A:$A,0)))</f>
        <v>12</v>
      </c>
      <c r="H1386" s="11" t="str">
        <f t="shared" si="4"/>
        <v>C12</v>
      </c>
      <c r="I1386" s="10" t="str">
        <f t="shared" si="5"/>
        <v>BRN76G-C12</v>
      </c>
      <c r="J1386" s="16"/>
      <c r="K1386" s="16" t="str">
        <f t="shared" si="6"/>
        <v>collected</v>
      </c>
      <c r="L1386" s="16" t="str">
        <f t="shared" si="7"/>
        <v>N</v>
      </c>
      <c r="M1386" s="16"/>
      <c r="N1386" s="16"/>
    </row>
    <row r="1387">
      <c r="A1387" s="40" t="s">
        <v>1926</v>
      </c>
      <c r="B1387" s="10" t="str">
        <f t="shared" si="1"/>
        <v>RNA-gill</v>
      </c>
      <c r="C1387" s="10" t="str">
        <f t="shared" si="2"/>
        <v>BRN76G-B12</v>
      </c>
      <c r="D1387" s="11">
        <f t="array" ref="D1387">iferror(index('rna-muscle'!D:D,match(A1387,'rna-muscle'!A:A,0)))</f>
        <v>76</v>
      </c>
      <c r="E1387" s="10" t="str">
        <f t="shared" si="3"/>
        <v>BRN76G</v>
      </c>
      <c r="F1387" s="11" t="str">
        <f t="array" ref="F1387">iferror(index('rna-muscle'!F:F,match($A1387,'rna-muscle'!$A:$A,0)))</f>
        <v>B</v>
      </c>
      <c r="G1387" s="11">
        <f t="array" ref="G1387">iferror(index('rna-muscle'!G:G,match($A1387,'rna-muscle'!$A:$A,0)))</f>
        <v>12</v>
      </c>
      <c r="H1387" s="11" t="str">
        <f t="shared" si="4"/>
        <v>B12</v>
      </c>
      <c r="I1387" s="10" t="str">
        <f t="shared" si="5"/>
        <v>BRN76G-B12</v>
      </c>
      <c r="J1387" s="16"/>
      <c r="K1387" s="16" t="str">
        <f t="shared" si="6"/>
        <v>collected</v>
      </c>
      <c r="L1387" s="16" t="str">
        <f t="shared" si="7"/>
        <v>N</v>
      </c>
      <c r="M1387" s="16"/>
      <c r="N1387" s="16"/>
    </row>
    <row r="1388">
      <c r="A1388" s="40" t="s">
        <v>1927</v>
      </c>
      <c r="B1388" s="10" t="str">
        <f t="shared" si="1"/>
        <v>RNA-gill</v>
      </c>
      <c r="C1388" s="10" t="str">
        <f t="shared" si="2"/>
        <v>BRN76G-A12</v>
      </c>
      <c r="D1388" s="11">
        <f t="array" ref="D1388">iferror(index('rna-muscle'!D:D,match(A1388,'rna-muscle'!A:A,0)))</f>
        <v>76</v>
      </c>
      <c r="E1388" s="10" t="str">
        <f t="shared" si="3"/>
        <v>BRN76G</v>
      </c>
      <c r="F1388" s="11" t="str">
        <f t="array" ref="F1388">iferror(index('rna-muscle'!F:F,match($A1388,'rna-muscle'!$A:$A,0)))</f>
        <v>A</v>
      </c>
      <c r="G1388" s="11">
        <f t="array" ref="G1388">iferror(index('rna-muscle'!G:G,match($A1388,'rna-muscle'!$A:$A,0)))</f>
        <v>12</v>
      </c>
      <c r="H1388" s="11" t="str">
        <f t="shared" si="4"/>
        <v>A12</v>
      </c>
      <c r="I1388" s="10" t="str">
        <f t="shared" si="5"/>
        <v>BRN76G-A12</v>
      </c>
      <c r="J1388" s="16"/>
      <c r="K1388" s="16" t="str">
        <f t="shared" si="6"/>
        <v>collected</v>
      </c>
      <c r="L1388" s="16" t="str">
        <f t="shared" si="7"/>
        <v>N</v>
      </c>
      <c r="M1388" s="16"/>
      <c r="N1388" s="16"/>
    </row>
    <row r="1389">
      <c r="A1389" s="40" t="s">
        <v>1928</v>
      </c>
      <c r="B1389" s="10" t="str">
        <f t="shared" si="1"/>
        <v>RNA-gill</v>
      </c>
      <c r="C1389" s="10" t="str">
        <f t="shared" si="2"/>
        <v>BRN77G-H1</v>
      </c>
      <c r="D1389" s="11">
        <f t="array" ref="D1389">iferror(index('rna-muscle'!D:D,match(A1389,'rna-muscle'!A:A,0)))</f>
        <v>77</v>
      </c>
      <c r="E1389" s="10" t="str">
        <f t="shared" si="3"/>
        <v>BRN77G</v>
      </c>
      <c r="F1389" s="11" t="str">
        <f t="array" ref="F1389">iferror(index('rna-muscle'!F:F,match($A1389,'rna-muscle'!$A:$A,0)))</f>
        <v>H</v>
      </c>
      <c r="G1389" s="11">
        <f t="array" ref="G1389">iferror(index('rna-muscle'!G:G,match($A1389,'rna-muscle'!$A:$A,0)))</f>
        <v>1</v>
      </c>
      <c r="H1389" s="11" t="str">
        <f t="shared" si="4"/>
        <v>H1</v>
      </c>
      <c r="I1389" s="10" t="str">
        <f t="shared" si="5"/>
        <v>BRN77G-H1</v>
      </c>
      <c r="J1389" s="16"/>
      <c r="K1389" s="16" t="str">
        <f t="shared" si="6"/>
        <v>collected</v>
      </c>
      <c r="L1389" s="16" t="str">
        <f t="shared" si="7"/>
        <v>N</v>
      </c>
      <c r="M1389" s="16"/>
      <c r="N1389" s="16"/>
    </row>
    <row r="1390">
      <c r="A1390" s="40" t="s">
        <v>1929</v>
      </c>
      <c r="B1390" s="10" t="str">
        <f t="shared" si="1"/>
        <v>RNA-gill</v>
      </c>
      <c r="C1390" s="10" t="str">
        <f t="shared" si="2"/>
        <v>BRN77G-G1</v>
      </c>
      <c r="D1390" s="11">
        <f t="array" ref="D1390">iferror(index('rna-muscle'!D:D,match(A1390,'rna-muscle'!A:A,0)))</f>
        <v>77</v>
      </c>
      <c r="E1390" s="10" t="str">
        <f t="shared" si="3"/>
        <v>BRN77G</v>
      </c>
      <c r="F1390" s="11" t="str">
        <f t="array" ref="F1390">iferror(index('rna-muscle'!F:F,match($A1390,'rna-muscle'!$A:$A,0)))</f>
        <v>G</v>
      </c>
      <c r="G1390" s="11">
        <f t="array" ref="G1390">iferror(index('rna-muscle'!G:G,match($A1390,'rna-muscle'!$A:$A,0)))</f>
        <v>1</v>
      </c>
      <c r="H1390" s="11" t="str">
        <f t="shared" si="4"/>
        <v>G1</v>
      </c>
      <c r="I1390" s="10" t="str">
        <f t="shared" si="5"/>
        <v>BRN77G-G1</v>
      </c>
      <c r="J1390" s="16"/>
      <c r="K1390" s="16" t="str">
        <f t="shared" si="6"/>
        <v>collected</v>
      </c>
      <c r="L1390" s="16" t="str">
        <f t="shared" si="7"/>
        <v>N</v>
      </c>
      <c r="M1390" s="16"/>
      <c r="N1390" s="16"/>
    </row>
    <row r="1391">
      <c r="A1391" s="40" t="s">
        <v>1930</v>
      </c>
      <c r="B1391" s="10" t="str">
        <f t="shared" si="1"/>
        <v>RNA-gill</v>
      </c>
      <c r="C1391" s="10" t="str">
        <f t="shared" si="2"/>
        <v>BRN77G-F1</v>
      </c>
      <c r="D1391" s="11">
        <f t="array" ref="D1391">iferror(index('rna-muscle'!D:D,match(A1391,'rna-muscle'!A:A,0)))</f>
        <v>77</v>
      </c>
      <c r="E1391" s="10" t="str">
        <f t="shared" si="3"/>
        <v>BRN77G</v>
      </c>
      <c r="F1391" s="11" t="str">
        <f t="array" ref="F1391">iferror(index('rna-muscle'!F:F,match($A1391,'rna-muscle'!$A:$A,0)))</f>
        <v>F</v>
      </c>
      <c r="G1391" s="11">
        <f t="array" ref="G1391">iferror(index('rna-muscle'!G:G,match($A1391,'rna-muscle'!$A:$A,0)))</f>
        <v>1</v>
      </c>
      <c r="H1391" s="11" t="str">
        <f t="shared" si="4"/>
        <v>F1</v>
      </c>
      <c r="I1391" s="10" t="str">
        <f t="shared" si="5"/>
        <v>BRN77G-F1</v>
      </c>
      <c r="J1391" s="16"/>
      <c r="K1391" s="16" t="str">
        <f t="shared" si="6"/>
        <v>collected</v>
      </c>
      <c r="L1391" s="16" t="str">
        <f t="shared" si="7"/>
        <v>N</v>
      </c>
      <c r="M1391" s="16"/>
      <c r="N1391" s="16"/>
    </row>
    <row r="1392">
      <c r="A1392" s="40" t="s">
        <v>1931</v>
      </c>
      <c r="B1392" s="10" t="str">
        <f t="shared" si="1"/>
        <v>RNA-gill</v>
      </c>
      <c r="C1392" s="10" t="str">
        <f t="shared" si="2"/>
        <v>BRN77G-E1</v>
      </c>
      <c r="D1392" s="11">
        <f t="array" ref="D1392">iferror(index('rna-muscle'!D:D,match(A1392,'rna-muscle'!A:A,0)))</f>
        <v>77</v>
      </c>
      <c r="E1392" s="10" t="str">
        <f t="shared" si="3"/>
        <v>BRN77G</v>
      </c>
      <c r="F1392" s="11" t="str">
        <f t="array" ref="F1392">iferror(index('rna-muscle'!F:F,match($A1392,'rna-muscle'!$A:$A,0)))</f>
        <v>E</v>
      </c>
      <c r="G1392" s="11">
        <f t="array" ref="G1392">iferror(index('rna-muscle'!G:G,match($A1392,'rna-muscle'!$A:$A,0)))</f>
        <v>1</v>
      </c>
      <c r="H1392" s="11" t="str">
        <f t="shared" si="4"/>
        <v>E1</v>
      </c>
      <c r="I1392" s="10" t="str">
        <f t="shared" si="5"/>
        <v>BRN77G-E1</v>
      </c>
      <c r="J1392" s="16"/>
      <c r="K1392" s="16" t="str">
        <f t="shared" si="6"/>
        <v>collected</v>
      </c>
      <c r="L1392" s="16" t="str">
        <f t="shared" si="7"/>
        <v>N</v>
      </c>
      <c r="M1392" s="16"/>
      <c r="N1392" s="16"/>
    </row>
    <row r="1393">
      <c r="A1393" s="40" t="s">
        <v>1932</v>
      </c>
      <c r="B1393" s="10" t="str">
        <f t="shared" si="1"/>
        <v>RNA-gill</v>
      </c>
      <c r="C1393" s="10" t="str">
        <f t="shared" si="2"/>
        <v>BRN77G-D1</v>
      </c>
      <c r="D1393" s="11">
        <f t="array" ref="D1393">iferror(index('rna-muscle'!D:D,match(A1393,'rna-muscle'!A:A,0)))</f>
        <v>77</v>
      </c>
      <c r="E1393" s="10" t="str">
        <f t="shared" si="3"/>
        <v>BRN77G</v>
      </c>
      <c r="F1393" s="11" t="str">
        <f t="array" ref="F1393">iferror(index('rna-muscle'!F:F,match($A1393,'rna-muscle'!$A:$A,0)))</f>
        <v>D</v>
      </c>
      <c r="G1393" s="11">
        <f t="array" ref="G1393">iferror(index('rna-muscle'!G:G,match($A1393,'rna-muscle'!$A:$A,0)))</f>
        <v>1</v>
      </c>
      <c r="H1393" s="11" t="str">
        <f t="shared" si="4"/>
        <v>D1</v>
      </c>
      <c r="I1393" s="10" t="str">
        <f t="shared" si="5"/>
        <v>BRN77G-D1</v>
      </c>
      <c r="J1393" s="16"/>
      <c r="K1393" s="16" t="str">
        <f t="shared" si="6"/>
        <v>collected</v>
      </c>
      <c r="L1393" s="16" t="str">
        <f t="shared" si="7"/>
        <v>N</v>
      </c>
      <c r="M1393" s="16"/>
      <c r="N1393" s="16"/>
    </row>
    <row r="1394">
      <c r="A1394" s="40" t="s">
        <v>1933</v>
      </c>
      <c r="B1394" s="10" t="str">
        <f t="shared" si="1"/>
        <v>RNA-gill</v>
      </c>
      <c r="C1394" s="10" t="str">
        <f t="shared" si="2"/>
        <v>BRN77G-C1</v>
      </c>
      <c r="D1394" s="11">
        <f t="array" ref="D1394">iferror(index('rna-muscle'!D:D,match(A1394,'rna-muscle'!A:A,0)))</f>
        <v>77</v>
      </c>
      <c r="E1394" s="10" t="str">
        <f t="shared" si="3"/>
        <v>BRN77G</v>
      </c>
      <c r="F1394" s="11" t="str">
        <f t="array" ref="F1394">iferror(index('rna-muscle'!F:F,match($A1394,'rna-muscle'!$A:$A,0)))</f>
        <v>C</v>
      </c>
      <c r="G1394" s="11">
        <f t="array" ref="G1394">iferror(index('rna-muscle'!G:G,match($A1394,'rna-muscle'!$A:$A,0)))</f>
        <v>1</v>
      </c>
      <c r="H1394" s="11" t="str">
        <f t="shared" si="4"/>
        <v>C1</v>
      </c>
      <c r="I1394" s="10" t="str">
        <f t="shared" si="5"/>
        <v>BRN77G-C1</v>
      </c>
      <c r="J1394" s="16"/>
      <c r="K1394" s="16" t="str">
        <f t="shared" si="6"/>
        <v>collected</v>
      </c>
      <c r="L1394" s="16" t="str">
        <f t="shared" si="7"/>
        <v>N</v>
      </c>
      <c r="M1394" s="16"/>
      <c r="N1394" s="16"/>
    </row>
    <row r="1395">
      <c r="A1395" s="40" t="s">
        <v>1934</v>
      </c>
      <c r="B1395" s="10" t="str">
        <f t="shared" si="1"/>
        <v>RNA-gill</v>
      </c>
      <c r="C1395" s="10" t="str">
        <f t="shared" si="2"/>
        <v>BRN77G-B1</v>
      </c>
      <c r="D1395" s="11">
        <f t="array" ref="D1395">iferror(index('rna-muscle'!D:D,match(A1395,'rna-muscle'!A:A,0)))</f>
        <v>77</v>
      </c>
      <c r="E1395" s="10" t="str">
        <f t="shared" si="3"/>
        <v>BRN77G</v>
      </c>
      <c r="F1395" s="11" t="str">
        <f t="array" ref="F1395">iferror(index('rna-muscle'!F:F,match($A1395,'rna-muscle'!$A:$A,0)))</f>
        <v>B</v>
      </c>
      <c r="G1395" s="11">
        <f t="array" ref="G1395">iferror(index('rna-muscle'!G:G,match($A1395,'rna-muscle'!$A:$A,0)))</f>
        <v>1</v>
      </c>
      <c r="H1395" s="11" t="str">
        <f t="shared" si="4"/>
        <v>B1</v>
      </c>
      <c r="I1395" s="10" t="str">
        <f t="shared" si="5"/>
        <v>BRN77G-B1</v>
      </c>
      <c r="J1395" s="16"/>
      <c r="K1395" s="16" t="str">
        <f t="shared" si="6"/>
        <v>collected</v>
      </c>
      <c r="L1395" s="16" t="str">
        <f t="shared" si="7"/>
        <v>N</v>
      </c>
      <c r="M1395" s="16"/>
      <c r="N1395" s="16"/>
    </row>
    <row r="1396">
      <c r="A1396" s="40" t="s">
        <v>1935</v>
      </c>
      <c r="B1396" s="10" t="str">
        <f t="shared" si="1"/>
        <v>RNA-gill</v>
      </c>
      <c r="C1396" s="10" t="str">
        <f t="shared" si="2"/>
        <v>BRN77G-A1</v>
      </c>
      <c r="D1396" s="11">
        <f t="array" ref="D1396">iferror(index('rna-muscle'!D:D,match(A1396,'rna-muscle'!A:A,0)))</f>
        <v>77</v>
      </c>
      <c r="E1396" s="10" t="str">
        <f t="shared" si="3"/>
        <v>BRN77G</v>
      </c>
      <c r="F1396" s="11" t="str">
        <f t="array" ref="F1396">iferror(index('rna-muscle'!F:F,match($A1396,'rna-muscle'!$A:$A,0)))</f>
        <v>A</v>
      </c>
      <c r="G1396" s="11">
        <f t="array" ref="G1396">iferror(index('rna-muscle'!G:G,match($A1396,'rna-muscle'!$A:$A,0)))</f>
        <v>1</v>
      </c>
      <c r="H1396" s="11" t="str">
        <f t="shared" si="4"/>
        <v>A1</v>
      </c>
      <c r="I1396" s="10" t="str">
        <f t="shared" si="5"/>
        <v>BRN77G-A1</v>
      </c>
      <c r="J1396" s="16"/>
      <c r="K1396" s="16" t="str">
        <f t="shared" si="6"/>
        <v>collected</v>
      </c>
      <c r="L1396" s="16" t="str">
        <f t="shared" si="7"/>
        <v>N</v>
      </c>
      <c r="M1396" s="16"/>
      <c r="N1396" s="16"/>
    </row>
    <row r="1397">
      <c r="A1397" s="40" t="s">
        <v>1936</v>
      </c>
      <c r="B1397" s="10" t="str">
        <f t="shared" si="1"/>
        <v>RNA-gill</v>
      </c>
      <c r="C1397" s="10" t="str">
        <f t="shared" si="2"/>
        <v>BRN77G-H4</v>
      </c>
      <c r="D1397" s="11">
        <f t="array" ref="D1397">iferror(index('rna-muscle'!D:D,match(A1397,'rna-muscle'!A:A,0)))</f>
        <v>77</v>
      </c>
      <c r="E1397" s="10" t="str">
        <f t="shared" si="3"/>
        <v>BRN77G</v>
      </c>
      <c r="F1397" s="11" t="str">
        <f t="array" ref="F1397">iferror(index('rna-muscle'!F:F,match($A1397,'rna-muscle'!$A:$A,0)))</f>
        <v>H</v>
      </c>
      <c r="G1397" s="11">
        <f t="array" ref="G1397">iferror(index('rna-muscle'!G:G,match($A1397,'rna-muscle'!$A:$A,0)))</f>
        <v>4</v>
      </c>
      <c r="H1397" s="11" t="str">
        <f t="shared" si="4"/>
        <v>H4</v>
      </c>
      <c r="I1397" s="10" t="str">
        <f t="shared" si="5"/>
        <v>BRN77G-H4</v>
      </c>
      <c r="J1397" s="16"/>
      <c r="K1397" s="16" t="str">
        <f t="shared" si="6"/>
        <v>collected</v>
      </c>
      <c r="L1397" s="16" t="str">
        <f t="shared" si="7"/>
        <v>N</v>
      </c>
      <c r="M1397" s="16"/>
      <c r="N1397" s="16"/>
    </row>
    <row r="1398">
      <c r="A1398" s="40" t="s">
        <v>1937</v>
      </c>
      <c r="B1398" s="10" t="str">
        <f t="shared" si="1"/>
        <v>RNA-gill</v>
      </c>
      <c r="C1398" s="10" t="str">
        <f t="shared" si="2"/>
        <v>BRN77G-G4</v>
      </c>
      <c r="D1398" s="11">
        <f t="array" ref="D1398">iferror(index('rna-muscle'!D:D,match(A1398,'rna-muscle'!A:A,0)))</f>
        <v>77</v>
      </c>
      <c r="E1398" s="10" t="str">
        <f t="shared" si="3"/>
        <v>BRN77G</v>
      </c>
      <c r="F1398" s="11" t="str">
        <f t="array" ref="F1398">iferror(index('rna-muscle'!F:F,match($A1398,'rna-muscle'!$A:$A,0)))</f>
        <v>G</v>
      </c>
      <c r="G1398" s="11">
        <f t="array" ref="G1398">iferror(index('rna-muscle'!G:G,match($A1398,'rna-muscle'!$A:$A,0)))</f>
        <v>4</v>
      </c>
      <c r="H1398" s="11" t="str">
        <f t="shared" si="4"/>
        <v>G4</v>
      </c>
      <c r="I1398" s="10" t="str">
        <f t="shared" si="5"/>
        <v>BRN77G-G4</v>
      </c>
      <c r="J1398" s="16"/>
      <c r="K1398" s="16" t="str">
        <f t="shared" si="6"/>
        <v>collected</v>
      </c>
      <c r="L1398" s="16" t="str">
        <f t="shared" si="7"/>
        <v>N</v>
      </c>
      <c r="M1398" s="16"/>
      <c r="N1398" s="16"/>
    </row>
    <row r="1399">
      <c r="A1399" s="40" t="s">
        <v>1938</v>
      </c>
      <c r="B1399" s="10" t="str">
        <f t="shared" si="1"/>
        <v>RNA-gill</v>
      </c>
      <c r="C1399" s="10" t="str">
        <f t="shared" si="2"/>
        <v>BRN77G-F4</v>
      </c>
      <c r="D1399" s="11">
        <f t="array" ref="D1399">iferror(index('rna-muscle'!D:D,match(A1399,'rna-muscle'!A:A,0)))</f>
        <v>77</v>
      </c>
      <c r="E1399" s="10" t="str">
        <f t="shared" si="3"/>
        <v>BRN77G</v>
      </c>
      <c r="F1399" s="11" t="str">
        <f t="array" ref="F1399">iferror(index('rna-muscle'!F:F,match($A1399,'rna-muscle'!$A:$A,0)))</f>
        <v>F</v>
      </c>
      <c r="G1399" s="11">
        <f t="array" ref="G1399">iferror(index('rna-muscle'!G:G,match($A1399,'rna-muscle'!$A:$A,0)))</f>
        <v>4</v>
      </c>
      <c r="H1399" s="11" t="str">
        <f t="shared" si="4"/>
        <v>F4</v>
      </c>
      <c r="I1399" s="10" t="str">
        <f t="shared" si="5"/>
        <v>BRN77G-F4</v>
      </c>
      <c r="J1399" s="16"/>
      <c r="K1399" s="16" t="str">
        <f t="shared" si="6"/>
        <v>collected</v>
      </c>
      <c r="L1399" s="16" t="str">
        <f t="shared" si="7"/>
        <v>N</v>
      </c>
      <c r="M1399" s="16"/>
      <c r="N1399" s="16"/>
    </row>
    <row r="1400">
      <c r="A1400" s="40" t="s">
        <v>1939</v>
      </c>
      <c r="B1400" s="10" t="str">
        <f t="shared" si="1"/>
        <v>RNA-gill</v>
      </c>
      <c r="C1400" s="10" t="str">
        <f t="shared" si="2"/>
        <v>BRN77G-E4</v>
      </c>
      <c r="D1400" s="11">
        <f t="array" ref="D1400">iferror(index('rna-muscle'!D:D,match(A1400,'rna-muscle'!A:A,0)))</f>
        <v>77</v>
      </c>
      <c r="E1400" s="10" t="str">
        <f t="shared" si="3"/>
        <v>BRN77G</v>
      </c>
      <c r="F1400" s="11" t="str">
        <f t="array" ref="F1400">iferror(index('rna-muscle'!F:F,match($A1400,'rna-muscle'!$A:$A,0)))</f>
        <v>E</v>
      </c>
      <c r="G1400" s="11">
        <f t="array" ref="G1400">iferror(index('rna-muscle'!G:G,match($A1400,'rna-muscle'!$A:$A,0)))</f>
        <v>4</v>
      </c>
      <c r="H1400" s="11" t="str">
        <f t="shared" si="4"/>
        <v>E4</v>
      </c>
      <c r="I1400" s="10" t="str">
        <f t="shared" si="5"/>
        <v>BRN77G-E4</v>
      </c>
      <c r="J1400" s="16"/>
      <c r="K1400" s="16" t="str">
        <f t="shared" si="6"/>
        <v>collected</v>
      </c>
      <c r="L1400" s="16" t="str">
        <f t="shared" si="7"/>
        <v>N</v>
      </c>
      <c r="M1400" s="16"/>
      <c r="N1400" s="16"/>
    </row>
    <row r="1401">
      <c r="A1401" s="40" t="s">
        <v>1940</v>
      </c>
      <c r="B1401" s="10" t="str">
        <f t="shared" si="1"/>
        <v>RNA-gill</v>
      </c>
      <c r="C1401" s="10" t="str">
        <f t="shared" si="2"/>
        <v>BRN77G-D4</v>
      </c>
      <c r="D1401" s="11">
        <f t="array" ref="D1401">iferror(index('rna-muscle'!D:D,match(A1401,'rna-muscle'!A:A,0)))</f>
        <v>77</v>
      </c>
      <c r="E1401" s="10" t="str">
        <f t="shared" si="3"/>
        <v>BRN77G</v>
      </c>
      <c r="F1401" s="11" t="str">
        <f t="array" ref="F1401">iferror(index('rna-muscle'!F:F,match($A1401,'rna-muscle'!$A:$A,0)))</f>
        <v>D</v>
      </c>
      <c r="G1401" s="11">
        <f t="array" ref="G1401">iferror(index('rna-muscle'!G:G,match($A1401,'rna-muscle'!$A:$A,0)))</f>
        <v>4</v>
      </c>
      <c r="H1401" s="11" t="str">
        <f t="shared" si="4"/>
        <v>D4</v>
      </c>
      <c r="I1401" s="10" t="str">
        <f t="shared" si="5"/>
        <v>BRN77G-D4</v>
      </c>
      <c r="J1401" s="16"/>
      <c r="K1401" s="16" t="str">
        <f t="shared" si="6"/>
        <v>collected</v>
      </c>
      <c r="L1401" s="16" t="str">
        <f t="shared" si="7"/>
        <v>N</v>
      </c>
      <c r="M1401" s="16"/>
      <c r="N1401" s="16"/>
    </row>
    <row r="1402">
      <c r="A1402" s="40" t="s">
        <v>1941</v>
      </c>
      <c r="B1402" s="10" t="str">
        <f t="shared" si="1"/>
        <v>RNA-gill</v>
      </c>
      <c r="C1402" s="10" t="str">
        <f t="shared" si="2"/>
        <v>BRN77G-C4</v>
      </c>
      <c r="D1402" s="11">
        <f t="array" ref="D1402">iferror(index('rna-muscle'!D:D,match(A1402,'rna-muscle'!A:A,0)))</f>
        <v>77</v>
      </c>
      <c r="E1402" s="10" t="str">
        <f t="shared" si="3"/>
        <v>BRN77G</v>
      </c>
      <c r="F1402" s="11" t="str">
        <f t="array" ref="F1402">iferror(index('rna-muscle'!F:F,match($A1402,'rna-muscle'!$A:$A,0)))</f>
        <v>C</v>
      </c>
      <c r="G1402" s="11">
        <f t="array" ref="G1402">iferror(index('rna-muscle'!G:G,match($A1402,'rna-muscle'!$A:$A,0)))</f>
        <v>4</v>
      </c>
      <c r="H1402" s="11" t="str">
        <f t="shared" si="4"/>
        <v>C4</v>
      </c>
      <c r="I1402" s="10" t="str">
        <f t="shared" si="5"/>
        <v>BRN77G-C4</v>
      </c>
      <c r="J1402" s="16"/>
      <c r="K1402" s="16" t="str">
        <f t="shared" si="6"/>
        <v>collected</v>
      </c>
      <c r="L1402" s="16" t="str">
        <f t="shared" si="7"/>
        <v>N</v>
      </c>
      <c r="M1402" s="16"/>
      <c r="N1402" s="16"/>
    </row>
    <row r="1403">
      <c r="A1403" s="40" t="s">
        <v>1942</v>
      </c>
      <c r="B1403" s="10" t="str">
        <f t="shared" si="1"/>
        <v>RNA-gill</v>
      </c>
      <c r="C1403" s="10" t="str">
        <f t="shared" si="2"/>
        <v>BRN77G-B4</v>
      </c>
      <c r="D1403" s="11">
        <f t="array" ref="D1403">iferror(index('rna-muscle'!D:D,match(A1403,'rna-muscle'!A:A,0)))</f>
        <v>77</v>
      </c>
      <c r="E1403" s="10" t="str">
        <f t="shared" si="3"/>
        <v>BRN77G</v>
      </c>
      <c r="F1403" s="11" t="str">
        <f t="array" ref="F1403">iferror(index('rna-muscle'!F:F,match($A1403,'rna-muscle'!$A:$A,0)))</f>
        <v>B</v>
      </c>
      <c r="G1403" s="11">
        <f t="array" ref="G1403">iferror(index('rna-muscle'!G:G,match($A1403,'rna-muscle'!$A:$A,0)))</f>
        <v>4</v>
      </c>
      <c r="H1403" s="11" t="str">
        <f t="shared" si="4"/>
        <v>B4</v>
      </c>
      <c r="I1403" s="10" t="str">
        <f t="shared" si="5"/>
        <v>BRN77G-B4</v>
      </c>
      <c r="J1403" s="16"/>
      <c r="K1403" s="16" t="str">
        <f t="shared" si="6"/>
        <v>collected</v>
      </c>
      <c r="L1403" s="16" t="str">
        <f t="shared" si="7"/>
        <v>N</v>
      </c>
      <c r="M1403" s="16"/>
      <c r="N1403" s="16"/>
    </row>
    <row r="1404">
      <c r="A1404" s="40" t="s">
        <v>1943</v>
      </c>
      <c r="B1404" s="10" t="str">
        <f t="shared" si="1"/>
        <v>RNA-gill</v>
      </c>
      <c r="C1404" s="10" t="str">
        <f t="shared" si="2"/>
        <v>BRN77G-A4</v>
      </c>
      <c r="D1404" s="11">
        <f t="array" ref="D1404">iferror(index('rna-muscle'!D:D,match(A1404,'rna-muscle'!A:A,0)))</f>
        <v>77</v>
      </c>
      <c r="E1404" s="10" t="str">
        <f t="shared" si="3"/>
        <v>BRN77G</v>
      </c>
      <c r="F1404" s="11" t="str">
        <f t="array" ref="F1404">iferror(index('rna-muscle'!F:F,match($A1404,'rna-muscle'!$A:$A,0)))</f>
        <v>A</v>
      </c>
      <c r="G1404" s="11">
        <f t="array" ref="G1404">iferror(index('rna-muscle'!G:G,match($A1404,'rna-muscle'!$A:$A,0)))</f>
        <v>4</v>
      </c>
      <c r="H1404" s="11" t="str">
        <f t="shared" si="4"/>
        <v>A4</v>
      </c>
      <c r="I1404" s="10" t="str">
        <f t="shared" si="5"/>
        <v>BRN77G-A4</v>
      </c>
      <c r="J1404" s="16"/>
      <c r="K1404" s="16" t="str">
        <f t="shared" si="6"/>
        <v>collected</v>
      </c>
      <c r="L1404" s="16" t="str">
        <f t="shared" si="7"/>
        <v>N</v>
      </c>
      <c r="M1404" s="16"/>
      <c r="N1404" s="16"/>
    </row>
    <row r="1405">
      <c r="A1405" s="40" t="s">
        <v>1944</v>
      </c>
      <c r="B1405" s="10" t="str">
        <f t="shared" si="1"/>
        <v>RNA-gill</v>
      </c>
      <c r="C1405" s="10" t="str">
        <f t="shared" si="2"/>
        <v>BRN77G-H5</v>
      </c>
      <c r="D1405" s="11">
        <f t="array" ref="D1405">iferror(index('rna-muscle'!D:D,match(A1405,'rna-muscle'!A:A,0)))</f>
        <v>77</v>
      </c>
      <c r="E1405" s="10" t="str">
        <f t="shared" si="3"/>
        <v>BRN77G</v>
      </c>
      <c r="F1405" s="11" t="str">
        <f t="array" ref="F1405">iferror(index('rna-muscle'!F:F,match($A1405,'rna-muscle'!$A:$A,0)))</f>
        <v>H</v>
      </c>
      <c r="G1405" s="11">
        <f t="array" ref="G1405">iferror(index('rna-muscle'!G:G,match($A1405,'rna-muscle'!$A:$A,0)))</f>
        <v>5</v>
      </c>
      <c r="H1405" s="11" t="str">
        <f t="shared" si="4"/>
        <v>H5</v>
      </c>
      <c r="I1405" s="10" t="str">
        <f t="shared" si="5"/>
        <v>BRN77G-H5</v>
      </c>
      <c r="J1405" s="16"/>
      <c r="K1405" s="16" t="str">
        <f t="shared" si="6"/>
        <v>collected</v>
      </c>
      <c r="L1405" s="16" t="str">
        <f t="shared" si="7"/>
        <v>N</v>
      </c>
      <c r="M1405" s="16"/>
      <c r="N1405" s="16"/>
    </row>
    <row r="1406">
      <c r="A1406" s="40" t="s">
        <v>1945</v>
      </c>
      <c r="B1406" s="10" t="str">
        <f t="shared" si="1"/>
        <v>RNA-gill</v>
      </c>
      <c r="C1406" s="10" t="str">
        <f t="shared" si="2"/>
        <v>BRN77G-G5</v>
      </c>
      <c r="D1406" s="11">
        <f t="array" ref="D1406">iferror(index('rna-muscle'!D:D,match(A1406,'rna-muscle'!A:A,0)))</f>
        <v>77</v>
      </c>
      <c r="E1406" s="10" t="str">
        <f t="shared" si="3"/>
        <v>BRN77G</v>
      </c>
      <c r="F1406" s="11" t="str">
        <f t="array" ref="F1406">iferror(index('rna-muscle'!F:F,match($A1406,'rna-muscle'!$A:$A,0)))</f>
        <v>G</v>
      </c>
      <c r="G1406" s="11">
        <f t="array" ref="G1406">iferror(index('rna-muscle'!G:G,match($A1406,'rna-muscle'!$A:$A,0)))</f>
        <v>5</v>
      </c>
      <c r="H1406" s="11" t="str">
        <f t="shared" si="4"/>
        <v>G5</v>
      </c>
      <c r="I1406" s="10" t="str">
        <f t="shared" si="5"/>
        <v>BRN77G-G5</v>
      </c>
      <c r="J1406" s="16"/>
      <c r="K1406" s="16" t="str">
        <f t="shared" si="6"/>
        <v>collected</v>
      </c>
      <c r="L1406" s="16" t="str">
        <f t="shared" si="7"/>
        <v>N</v>
      </c>
      <c r="M1406" s="16"/>
      <c r="N1406" s="16"/>
    </row>
    <row r="1407">
      <c r="A1407" s="40" t="s">
        <v>1946</v>
      </c>
      <c r="B1407" s="10" t="str">
        <f t="shared" si="1"/>
        <v>RNA-gill</v>
      </c>
      <c r="C1407" s="10" t="str">
        <f t="shared" si="2"/>
        <v>BRN77G-F5</v>
      </c>
      <c r="D1407" s="11">
        <f t="array" ref="D1407">iferror(index('rna-muscle'!D:D,match(A1407,'rna-muscle'!A:A,0)))</f>
        <v>77</v>
      </c>
      <c r="E1407" s="10" t="str">
        <f t="shared" si="3"/>
        <v>BRN77G</v>
      </c>
      <c r="F1407" s="11" t="str">
        <f t="array" ref="F1407">iferror(index('rna-muscle'!F:F,match($A1407,'rna-muscle'!$A:$A,0)))</f>
        <v>F</v>
      </c>
      <c r="G1407" s="11">
        <f t="array" ref="G1407">iferror(index('rna-muscle'!G:G,match($A1407,'rna-muscle'!$A:$A,0)))</f>
        <v>5</v>
      </c>
      <c r="H1407" s="11" t="str">
        <f t="shared" si="4"/>
        <v>F5</v>
      </c>
      <c r="I1407" s="10" t="str">
        <f t="shared" si="5"/>
        <v>BRN77G-F5</v>
      </c>
      <c r="J1407" s="16"/>
      <c r="K1407" s="16" t="str">
        <f t="shared" si="6"/>
        <v>collected</v>
      </c>
      <c r="L1407" s="16" t="str">
        <f t="shared" si="7"/>
        <v>N</v>
      </c>
      <c r="M1407" s="16"/>
      <c r="N1407" s="16"/>
    </row>
    <row r="1408">
      <c r="A1408" s="40" t="s">
        <v>1947</v>
      </c>
      <c r="B1408" s="10" t="str">
        <f t="shared" si="1"/>
        <v>RNA-gill</v>
      </c>
      <c r="C1408" s="10" t="str">
        <f t="shared" si="2"/>
        <v>BRN77G-E5</v>
      </c>
      <c r="D1408" s="11">
        <f t="array" ref="D1408">iferror(index('rna-muscle'!D:D,match(A1408,'rna-muscle'!A:A,0)))</f>
        <v>77</v>
      </c>
      <c r="E1408" s="10" t="str">
        <f t="shared" si="3"/>
        <v>BRN77G</v>
      </c>
      <c r="F1408" s="11" t="str">
        <f t="array" ref="F1408">iferror(index('rna-muscle'!F:F,match($A1408,'rna-muscle'!$A:$A,0)))</f>
        <v>E</v>
      </c>
      <c r="G1408" s="11">
        <f t="array" ref="G1408">iferror(index('rna-muscle'!G:G,match($A1408,'rna-muscle'!$A:$A,0)))</f>
        <v>5</v>
      </c>
      <c r="H1408" s="11" t="str">
        <f t="shared" si="4"/>
        <v>E5</v>
      </c>
      <c r="I1408" s="10" t="str">
        <f t="shared" si="5"/>
        <v>BRN77G-E5</v>
      </c>
      <c r="J1408" s="16"/>
      <c r="K1408" s="16" t="str">
        <f t="shared" si="6"/>
        <v>collected</v>
      </c>
      <c r="L1408" s="16" t="str">
        <f t="shared" si="7"/>
        <v>N</v>
      </c>
      <c r="M1408" s="16"/>
      <c r="N1408" s="16"/>
    </row>
    <row r="1409">
      <c r="A1409" s="40" t="s">
        <v>1948</v>
      </c>
      <c r="B1409" s="10" t="str">
        <f t="shared" si="1"/>
        <v>RNA-gill</v>
      </c>
      <c r="C1409" s="10" t="str">
        <f t="shared" si="2"/>
        <v>BRN77G-D5</v>
      </c>
      <c r="D1409" s="11">
        <f t="array" ref="D1409">iferror(index('rna-muscle'!D:D,match(A1409,'rna-muscle'!A:A,0)))</f>
        <v>77</v>
      </c>
      <c r="E1409" s="10" t="str">
        <f t="shared" si="3"/>
        <v>BRN77G</v>
      </c>
      <c r="F1409" s="11" t="str">
        <f t="array" ref="F1409">iferror(index('rna-muscle'!F:F,match($A1409,'rna-muscle'!$A:$A,0)))</f>
        <v>D</v>
      </c>
      <c r="G1409" s="11">
        <f t="array" ref="G1409">iferror(index('rna-muscle'!G:G,match($A1409,'rna-muscle'!$A:$A,0)))</f>
        <v>5</v>
      </c>
      <c r="H1409" s="11" t="str">
        <f t="shared" si="4"/>
        <v>D5</v>
      </c>
      <c r="I1409" s="10" t="str">
        <f t="shared" si="5"/>
        <v>BRN77G-D5</v>
      </c>
      <c r="J1409" s="16"/>
      <c r="K1409" s="16" t="str">
        <f t="shared" si="6"/>
        <v>collected</v>
      </c>
      <c r="L1409" s="16" t="str">
        <f t="shared" si="7"/>
        <v>N</v>
      </c>
      <c r="M1409" s="16"/>
      <c r="N1409" s="16"/>
    </row>
    <row r="1410">
      <c r="A1410" s="40" t="s">
        <v>1949</v>
      </c>
      <c r="B1410" s="10" t="str">
        <f t="shared" si="1"/>
        <v>RNA-gill</v>
      </c>
      <c r="C1410" s="10" t="str">
        <f t="shared" si="2"/>
        <v>BRN77G-C5</v>
      </c>
      <c r="D1410" s="11">
        <f t="array" ref="D1410">iferror(index('rna-muscle'!D:D,match(A1410,'rna-muscle'!A:A,0)))</f>
        <v>77</v>
      </c>
      <c r="E1410" s="10" t="str">
        <f t="shared" si="3"/>
        <v>BRN77G</v>
      </c>
      <c r="F1410" s="11" t="str">
        <f t="array" ref="F1410">iferror(index('rna-muscle'!F:F,match($A1410,'rna-muscle'!$A:$A,0)))</f>
        <v>C</v>
      </c>
      <c r="G1410" s="11">
        <f t="array" ref="G1410">iferror(index('rna-muscle'!G:G,match($A1410,'rna-muscle'!$A:$A,0)))</f>
        <v>5</v>
      </c>
      <c r="H1410" s="11" t="str">
        <f t="shared" si="4"/>
        <v>C5</v>
      </c>
      <c r="I1410" s="10" t="str">
        <f t="shared" si="5"/>
        <v>BRN77G-C5</v>
      </c>
      <c r="J1410" s="16"/>
      <c r="K1410" s="16" t="str">
        <f t="shared" si="6"/>
        <v>collected</v>
      </c>
      <c r="L1410" s="16" t="str">
        <f t="shared" si="7"/>
        <v>N</v>
      </c>
      <c r="M1410" s="16"/>
      <c r="N1410" s="16"/>
    </row>
    <row r="1411">
      <c r="A1411" s="40" t="s">
        <v>1950</v>
      </c>
      <c r="B1411" s="10" t="str">
        <f t="shared" si="1"/>
        <v>RNA-gill</v>
      </c>
      <c r="C1411" s="10" t="str">
        <f t="shared" si="2"/>
        <v>BRN77G-B5</v>
      </c>
      <c r="D1411" s="11">
        <f t="array" ref="D1411">iferror(index('rna-muscle'!D:D,match(A1411,'rna-muscle'!A:A,0)))</f>
        <v>77</v>
      </c>
      <c r="E1411" s="10" t="str">
        <f t="shared" si="3"/>
        <v>BRN77G</v>
      </c>
      <c r="F1411" s="11" t="str">
        <f t="array" ref="F1411">iferror(index('rna-muscle'!F:F,match($A1411,'rna-muscle'!$A:$A,0)))</f>
        <v>B</v>
      </c>
      <c r="G1411" s="11">
        <f t="array" ref="G1411">iferror(index('rna-muscle'!G:G,match($A1411,'rna-muscle'!$A:$A,0)))</f>
        <v>5</v>
      </c>
      <c r="H1411" s="11" t="str">
        <f t="shared" si="4"/>
        <v>B5</v>
      </c>
      <c r="I1411" s="10" t="str">
        <f t="shared" si="5"/>
        <v>BRN77G-B5</v>
      </c>
      <c r="J1411" s="16"/>
      <c r="K1411" s="16" t="str">
        <f t="shared" si="6"/>
        <v>collected</v>
      </c>
      <c r="L1411" s="16" t="str">
        <f t="shared" si="7"/>
        <v>N</v>
      </c>
      <c r="M1411" s="16"/>
      <c r="N1411" s="16"/>
    </row>
    <row r="1412">
      <c r="A1412" s="40" t="s">
        <v>1951</v>
      </c>
      <c r="B1412" s="10" t="str">
        <f t="shared" si="1"/>
        <v>RNA-gill</v>
      </c>
      <c r="C1412" s="10" t="str">
        <f t="shared" si="2"/>
        <v>BRN77G-A5</v>
      </c>
      <c r="D1412" s="11">
        <f t="array" ref="D1412">iferror(index('rna-muscle'!D:D,match(A1412,'rna-muscle'!A:A,0)))</f>
        <v>77</v>
      </c>
      <c r="E1412" s="10" t="str">
        <f t="shared" si="3"/>
        <v>BRN77G</v>
      </c>
      <c r="F1412" s="11" t="str">
        <f t="array" ref="F1412">iferror(index('rna-muscle'!F:F,match($A1412,'rna-muscle'!$A:$A,0)))</f>
        <v>A</v>
      </c>
      <c r="G1412" s="11">
        <f t="array" ref="G1412">iferror(index('rna-muscle'!G:G,match($A1412,'rna-muscle'!$A:$A,0)))</f>
        <v>5</v>
      </c>
      <c r="H1412" s="11" t="str">
        <f t="shared" si="4"/>
        <v>A5</v>
      </c>
      <c r="I1412" s="10" t="str">
        <f t="shared" si="5"/>
        <v>BRN77G-A5</v>
      </c>
      <c r="J1412" s="16"/>
      <c r="K1412" s="16" t="str">
        <f t="shared" si="6"/>
        <v>collected</v>
      </c>
      <c r="L1412" s="16" t="str">
        <f t="shared" si="7"/>
        <v>N</v>
      </c>
      <c r="M1412" s="16"/>
      <c r="N1412" s="16"/>
    </row>
    <row r="1413">
      <c r="A1413" s="40" t="s">
        <v>1952</v>
      </c>
      <c r="B1413" s="10" t="str">
        <f t="shared" si="1"/>
        <v>RNA-gill</v>
      </c>
      <c r="C1413" s="10" t="str">
        <f t="shared" si="2"/>
        <v>BRN77G-G6</v>
      </c>
      <c r="D1413" s="11">
        <f t="array" ref="D1413">iferror(index('rna-muscle'!D:D,match(A1413,'rna-muscle'!A:A,0)))</f>
        <v>77</v>
      </c>
      <c r="E1413" s="10" t="str">
        <f t="shared" si="3"/>
        <v>BRN77G</v>
      </c>
      <c r="F1413" s="11" t="str">
        <f t="array" ref="F1413">iferror(index('rna-muscle'!F:F,match($A1413,'rna-muscle'!$A:$A,0)))</f>
        <v>G</v>
      </c>
      <c r="G1413" s="11">
        <f t="array" ref="G1413">iferror(index('rna-muscle'!G:G,match($A1413,'rna-muscle'!$A:$A,0)))</f>
        <v>6</v>
      </c>
      <c r="H1413" s="11" t="str">
        <f t="shared" si="4"/>
        <v>G6</v>
      </c>
      <c r="I1413" s="10" t="str">
        <f t="shared" si="5"/>
        <v>BRN77G-G6</v>
      </c>
      <c r="J1413" s="16"/>
      <c r="K1413" s="16" t="str">
        <f t="shared" si="6"/>
        <v>collected</v>
      </c>
      <c r="L1413" s="16" t="str">
        <f t="shared" si="7"/>
        <v>N</v>
      </c>
      <c r="M1413" s="16"/>
      <c r="N1413" s="16"/>
    </row>
    <row r="1414">
      <c r="A1414" s="40" t="s">
        <v>1953</v>
      </c>
      <c r="B1414" s="10" t="str">
        <f t="shared" si="1"/>
        <v>RNA-gill</v>
      </c>
      <c r="C1414" s="10" t="str">
        <f t="shared" si="2"/>
        <v>BRN76G-D10</v>
      </c>
      <c r="D1414" s="11">
        <f t="array" ref="D1414">iferror(index('rna-muscle'!D:D,match(A1414,'rna-muscle'!A:A,0)))</f>
        <v>76</v>
      </c>
      <c r="E1414" s="10" t="str">
        <f t="shared" si="3"/>
        <v>BRN76G</v>
      </c>
      <c r="F1414" s="11" t="str">
        <f t="array" ref="F1414">iferror(index('rna-muscle'!F:F,match($A1414,'rna-muscle'!$A:$A,0)))</f>
        <v>D</v>
      </c>
      <c r="G1414" s="11">
        <f t="array" ref="G1414">iferror(index('rna-muscle'!G:G,match($A1414,'rna-muscle'!$A:$A,0)))</f>
        <v>10</v>
      </c>
      <c r="H1414" s="11" t="str">
        <f t="shared" si="4"/>
        <v>D10</v>
      </c>
      <c r="I1414" s="10" t="str">
        <f t="shared" si="5"/>
        <v>BRN76G-D10</v>
      </c>
      <c r="J1414" s="16"/>
      <c r="K1414" s="16" t="str">
        <f t="shared" si="6"/>
        <v>collected</v>
      </c>
      <c r="L1414" s="16" t="str">
        <f t="shared" si="7"/>
        <v>N</v>
      </c>
      <c r="M1414" s="16"/>
      <c r="N1414" s="16"/>
    </row>
    <row r="1415">
      <c r="A1415" s="40" t="s">
        <v>1954</v>
      </c>
      <c r="B1415" s="10" t="str">
        <f t="shared" si="1"/>
        <v>RNA-gill</v>
      </c>
      <c r="C1415" s="10" t="str">
        <f t="shared" si="2"/>
        <v>BRN76G-C10</v>
      </c>
      <c r="D1415" s="11">
        <f t="array" ref="D1415">iferror(index('rna-muscle'!D:D,match(A1415,'rna-muscle'!A:A,0)))</f>
        <v>76</v>
      </c>
      <c r="E1415" s="10" t="str">
        <f t="shared" si="3"/>
        <v>BRN76G</v>
      </c>
      <c r="F1415" s="11" t="str">
        <f t="array" ref="F1415">iferror(index('rna-muscle'!F:F,match($A1415,'rna-muscle'!$A:$A,0)))</f>
        <v>C</v>
      </c>
      <c r="G1415" s="11">
        <f t="array" ref="G1415">iferror(index('rna-muscle'!G:G,match($A1415,'rna-muscle'!$A:$A,0)))</f>
        <v>10</v>
      </c>
      <c r="H1415" s="11" t="str">
        <f t="shared" si="4"/>
        <v>C10</v>
      </c>
      <c r="I1415" s="10" t="str">
        <f t="shared" si="5"/>
        <v>BRN76G-C10</v>
      </c>
      <c r="J1415" s="16"/>
      <c r="K1415" s="16" t="str">
        <f t="shared" si="6"/>
        <v>collected</v>
      </c>
      <c r="L1415" s="16" t="str">
        <f t="shared" si="7"/>
        <v>N</v>
      </c>
      <c r="M1415" s="16"/>
      <c r="N1415" s="16"/>
    </row>
    <row r="1416">
      <c r="A1416" s="40" t="s">
        <v>1955</v>
      </c>
      <c r="B1416" s="10" t="str">
        <f t="shared" si="1"/>
        <v>RNA-gill</v>
      </c>
      <c r="C1416" s="10" t="str">
        <f t="shared" si="2"/>
        <v>BRN76G-B10</v>
      </c>
      <c r="D1416" s="11">
        <f t="array" ref="D1416">iferror(index('rna-muscle'!D:D,match(A1416,'rna-muscle'!A:A,0)))</f>
        <v>76</v>
      </c>
      <c r="E1416" s="10" t="str">
        <f t="shared" si="3"/>
        <v>BRN76G</v>
      </c>
      <c r="F1416" s="11" t="str">
        <f t="array" ref="F1416">iferror(index('rna-muscle'!F:F,match($A1416,'rna-muscle'!$A:$A,0)))</f>
        <v>B</v>
      </c>
      <c r="G1416" s="11">
        <f t="array" ref="G1416">iferror(index('rna-muscle'!G:G,match($A1416,'rna-muscle'!$A:$A,0)))</f>
        <v>10</v>
      </c>
      <c r="H1416" s="11" t="str">
        <f t="shared" si="4"/>
        <v>B10</v>
      </c>
      <c r="I1416" s="10" t="str">
        <f t="shared" si="5"/>
        <v>BRN76G-B10</v>
      </c>
      <c r="J1416" s="16"/>
      <c r="K1416" s="16" t="str">
        <f t="shared" si="6"/>
        <v>collected</v>
      </c>
      <c r="L1416" s="16" t="str">
        <f t="shared" si="7"/>
        <v>N</v>
      </c>
      <c r="M1416" s="16"/>
      <c r="N1416" s="16"/>
    </row>
    <row r="1417">
      <c r="A1417" s="40" t="s">
        <v>1956</v>
      </c>
      <c r="B1417" s="10" t="str">
        <f t="shared" si="1"/>
        <v>RNA-gill</v>
      </c>
      <c r="C1417" s="10" t="str">
        <f t="shared" si="2"/>
        <v>BRN76G-A10</v>
      </c>
      <c r="D1417" s="11">
        <f t="array" ref="D1417">iferror(index('rna-muscle'!D:D,match(A1417,'rna-muscle'!A:A,0)))</f>
        <v>76</v>
      </c>
      <c r="E1417" s="10" t="str">
        <f t="shared" si="3"/>
        <v>BRN76G</v>
      </c>
      <c r="F1417" s="11" t="str">
        <f t="array" ref="F1417">iferror(index('rna-muscle'!F:F,match($A1417,'rna-muscle'!$A:$A,0)))</f>
        <v>A</v>
      </c>
      <c r="G1417" s="11">
        <f t="array" ref="G1417">iferror(index('rna-muscle'!G:G,match($A1417,'rna-muscle'!$A:$A,0)))</f>
        <v>10</v>
      </c>
      <c r="H1417" s="11" t="str">
        <f t="shared" si="4"/>
        <v>A10</v>
      </c>
      <c r="I1417" s="10" t="str">
        <f t="shared" si="5"/>
        <v>BRN76G-A10</v>
      </c>
      <c r="J1417" s="16"/>
      <c r="K1417" s="16" t="str">
        <f t="shared" si="6"/>
        <v>collected</v>
      </c>
      <c r="L1417" s="16" t="str">
        <f t="shared" si="7"/>
        <v>N</v>
      </c>
      <c r="M1417" s="16"/>
      <c r="N1417" s="16"/>
    </row>
    <row r="1418">
      <c r="A1418" s="40" t="s">
        <v>1957</v>
      </c>
      <c r="B1418" s="10" t="str">
        <f t="shared" si="1"/>
        <v>RNA-gill</v>
      </c>
      <c r="C1418" s="10" t="str">
        <f t="shared" si="2"/>
        <v>BRN76G-H11</v>
      </c>
      <c r="D1418" s="11">
        <f t="array" ref="D1418">iferror(index('rna-muscle'!D:D,match(A1418,'rna-muscle'!A:A,0)))</f>
        <v>76</v>
      </c>
      <c r="E1418" s="10" t="str">
        <f t="shared" si="3"/>
        <v>BRN76G</v>
      </c>
      <c r="F1418" s="11" t="str">
        <f t="array" ref="F1418">iferror(index('rna-muscle'!F:F,match($A1418,'rna-muscle'!$A:$A,0)))</f>
        <v>H</v>
      </c>
      <c r="G1418" s="11">
        <f t="array" ref="G1418">iferror(index('rna-muscle'!G:G,match($A1418,'rna-muscle'!$A:$A,0)))</f>
        <v>11</v>
      </c>
      <c r="H1418" s="11" t="str">
        <f t="shared" si="4"/>
        <v>H11</v>
      </c>
      <c r="I1418" s="10" t="str">
        <f t="shared" si="5"/>
        <v>BRN76G-H11</v>
      </c>
      <c r="J1418" s="16"/>
      <c r="K1418" s="16" t="str">
        <f t="shared" si="6"/>
        <v>collected</v>
      </c>
      <c r="L1418" s="16" t="str">
        <f t="shared" si="7"/>
        <v>N</v>
      </c>
      <c r="M1418" s="16"/>
      <c r="N1418" s="16"/>
    </row>
    <row r="1419">
      <c r="A1419" s="40" t="s">
        <v>1958</v>
      </c>
      <c r="B1419" s="10" t="str">
        <f t="shared" si="1"/>
        <v>RNA-gill</v>
      </c>
      <c r="C1419" s="10" t="str">
        <f t="shared" si="2"/>
        <v>BRN76G-G11</v>
      </c>
      <c r="D1419" s="11">
        <f t="array" ref="D1419">iferror(index('rna-muscle'!D:D,match(A1419,'rna-muscle'!A:A,0)))</f>
        <v>76</v>
      </c>
      <c r="E1419" s="10" t="str">
        <f t="shared" si="3"/>
        <v>BRN76G</v>
      </c>
      <c r="F1419" s="11" t="str">
        <f t="array" ref="F1419">iferror(index('rna-muscle'!F:F,match($A1419,'rna-muscle'!$A:$A,0)))</f>
        <v>G</v>
      </c>
      <c r="G1419" s="11">
        <f t="array" ref="G1419">iferror(index('rna-muscle'!G:G,match($A1419,'rna-muscle'!$A:$A,0)))</f>
        <v>11</v>
      </c>
      <c r="H1419" s="11" t="str">
        <f t="shared" si="4"/>
        <v>G11</v>
      </c>
      <c r="I1419" s="10" t="str">
        <f t="shared" si="5"/>
        <v>BRN76G-G11</v>
      </c>
      <c r="J1419" s="16"/>
      <c r="K1419" s="16" t="str">
        <f t="shared" si="6"/>
        <v>collected</v>
      </c>
      <c r="L1419" s="16" t="str">
        <f t="shared" si="7"/>
        <v>N</v>
      </c>
      <c r="M1419" s="16"/>
      <c r="N1419" s="16"/>
    </row>
    <row r="1420">
      <c r="A1420" s="40" t="s">
        <v>1959</v>
      </c>
      <c r="B1420" s="10" t="str">
        <f t="shared" si="1"/>
        <v>RNA-gill</v>
      </c>
      <c r="C1420" s="10" t="str">
        <f t="shared" si="2"/>
        <v>BRN76G-F11</v>
      </c>
      <c r="D1420" s="11">
        <f t="array" ref="D1420">iferror(index('rna-muscle'!D:D,match(A1420,'rna-muscle'!A:A,0)))</f>
        <v>76</v>
      </c>
      <c r="E1420" s="10" t="str">
        <f t="shared" si="3"/>
        <v>BRN76G</v>
      </c>
      <c r="F1420" s="11" t="str">
        <f t="array" ref="F1420">iferror(index('rna-muscle'!F:F,match($A1420,'rna-muscle'!$A:$A,0)))</f>
        <v>F</v>
      </c>
      <c r="G1420" s="11">
        <f t="array" ref="G1420">iferror(index('rna-muscle'!G:G,match($A1420,'rna-muscle'!$A:$A,0)))</f>
        <v>11</v>
      </c>
      <c r="H1420" s="11" t="str">
        <f t="shared" si="4"/>
        <v>F11</v>
      </c>
      <c r="I1420" s="10" t="str">
        <f t="shared" si="5"/>
        <v>BRN76G-F11</v>
      </c>
      <c r="J1420" s="16"/>
      <c r="K1420" s="16" t="str">
        <f t="shared" si="6"/>
        <v>collected</v>
      </c>
      <c r="L1420" s="16" t="str">
        <f t="shared" si="7"/>
        <v>N</v>
      </c>
      <c r="M1420" s="16"/>
      <c r="N1420" s="16"/>
    </row>
    <row r="1421">
      <c r="A1421" s="40" t="s">
        <v>1960</v>
      </c>
      <c r="B1421" s="10" t="str">
        <f t="shared" si="1"/>
        <v>RNA-gill</v>
      </c>
      <c r="C1421" s="10" t="str">
        <f t="shared" si="2"/>
        <v>BRN76G-E11</v>
      </c>
      <c r="D1421" s="11">
        <f t="array" ref="D1421">iferror(index('rna-muscle'!D:D,match(A1421,'rna-muscle'!A:A,0)))</f>
        <v>76</v>
      </c>
      <c r="E1421" s="10" t="str">
        <f t="shared" si="3"/>
        <v>BRN76G</v>
      </c>
      <c r="F1421" s="11" t="str">
        <f t="array" ref="F1421">iferror(index('rna-muscle'!F:F,match($A1421,'rna-muscle'!$A:$A,0)))</f>
        <v>E</v>
      </c>
      <c r="G1421" s="11">
        <f t="array" ref="G1421">iferror(index('rna-muscle'!G:G,match($A1421,'rna-muscle'!$A:$A,0)))</f>
        <v>11</v>
      </c>
      <c r="H1421" s="11" t="str">
        <f t="shared" si="4"/>
        <v>E11</v>
      </c>
      <c r="I1421" s="10" t="str">
        <f t="shared" si="5"/>
        <v>BRN76G-E11</v>
      </c>
      <c r="J1421" s="16"/>
      <c r="K1421" s="16" t="str">
        <f t="shared" si="6"/>
        <v>collected</v>
      </c>
      <c r="L1421" s="16" t="str">
        <f t="shared" si="7"/>
        <v>N</v>
      </c>
      <c r="M1421" s="16"/>
      <c r="N1421" s="16"/>
    </row>
    <row r="1422">
      <c r="A1422" s="40" t="s">
        <v>1961</v>
      </c>
      <c r="B1422" s="10" t="str">
        <f t="shared" si="1"/>
        <v>RNA-gill</v>
      </c>
      <c r="C1422" s="10" t="str">
        <f t="shared" si="2"/>
        <v>BRN76G-D11</v>
      </c>
      <c r="D1422" s="11">
        <f t="array" ref="D1422">iferror(index('rna-muscle'!D:D,match(A1422,'rna-muscle'!A:A,0)))</f>
        <v>76</v>
      </c>
      <c r="E1422" s="10" t="str">
        <f t="shared" si="3"/>
        <v>BRN76G</v>
      </c>
      <c r="F1422" s="11" t="str">
        <f t="array" ref="F1422">iferror(index('rna-muscle'!F:F,match($A1422,'rna-muscle'!$A:$A,0)))</f>
        <v>D</v>
      </c>
      <c r="G1422" s="11">
        <f t="array" ref="G1422">iferror(index('rna-muscle'!G:G,match($A1422,'rna-muscle'!$A:$A,0)))</f>
        <v>11</v>
      </c>
      <c r="H1422" s="11" t="str">
        <f t="shared" si="4"/>
        <v>D11</v>
      </c>
      <c r="I1422" s="10" t="str">
        <f t="shared" si="5"/>
        <v>BRN76G-D11</v>
      </c>
      <c r="J1422" s="16"/>
      <c r="K1422" s="16" t="str">
        <f t="shared" si="6"/>
        <v>collected</v>
      </c>
      <c r="L1422" s="16" t="str">
        <f t="shared" si="7"/>
        <v>N</v>
      </c>
      <c r="M1422" s="16"/>
      <c r="N1422" s="16"/>
    </row>
    <row r="1423">
      <c r="A1423" s="40" t="s">
        <v>1962</v>
      </c>
      <c r="B1423" s="10" t="str">
        <f t="shared" si="1"/>
        <v>RNA-gill</v>
      </c>
      <c r="C1423" s="10" t="str">
        <f t="shared" si="2"/>
        <v>BRN76G-C11</v>
      </c>
      <c r="D1423" s="11">
        <f t="array" ref="D1423">iferror(index('rna-muscle'!D:D,match(A1423,'rna-muscle'!A:A,0)))</f>
        <v>76</v>
      </c>
      <c r="E1423" s="10" t="str">
        <f t="shared" si="3"/>
        <v>BRN76G</v>
      </c>
      <c r="F1423" s="11" t="str">
        <f t="array" ref="F1423">iferror(index('rna-muscle'!F:F,match($A1423,'rna-muscle'!$A:$A,0)))</f>
        <v>C</v>
      </c>
      <c r="G1423" s="11">
        <f t="array" ref="G1423">iferror(index('rna-muscle'!G:G,match($A1423,'rna-muscle'!$A:$A,0)))</f>
        <v>11</v>
      </c>
      <c r="H1423" s="11" t="str">
        <f t="shared" si="4"/>
        <v>C11</v>
      </c>
      <c r="I1423" s="10" t="str">
        <f t="shared" si="5"/>
        <v>BRN76G-C11</v>
      </c>
      <c r="J1423" s="16"/>
      <c r="K1423" s="16" t="str">
        <f t="shared" si="6"/>
        <v>collected</v>
      </c>
      <c r="L1423" s="16" t="str">
        <f t="shared" si="7"/>
        <v>N</v>
      </c>
      <c r="M1423" s="16"/>
      <c r="N1423" s="16"/>
    </row>
    <row r="1424">
      <c r="A1424" s="40" t="s">
        <v>1963</v>
      </c>
      <c r="B1424" s="10" t="str">
        <f t="shared" si="1"/>
        <v>RNA-gill</v>
      </c>
      <c r="C1424" s="10" t="str">
        <f t="shared" si="2"/>
        <v>BRN76G-B11</v>
      </c>
      <c r="D1424" s="11">
        <f t="array" ref="D1424">iferror(index('rna-muscle'!D:D,match(A1424,'rna-muscle'!A:A,0)))</f>
        <v>76</v>
      </c>
      <c r="E1424" s="10" t="str">
        <f t="shared" si="3"/>
        <v>BRN76G</v>
      </c>
      <c r="F1424" s="11" t="str">
        <f t="array" ref="F1424">iferror(index('rna-muscle'!F:F,match($A1424,'rna-muscle'!$A:$A,0)))</f>
        <v>B</v>
      </c>
      <c r="G1424" s="11">
        <f t="array" ref="G1424">iferror(index('rna-muscle'!G:G,match($A1424,'rna-muscle'!$A:$A,0)))</f>
        <v>11</v>
      </c>
      <c r="H1424" s="11" t="str">
        <f t="shared" si="4"/>
        <v>B11</v>
      </c>
      <c r="I1424" s="10" t="str">
        <f t="shared" si="5"/>
        <v>BRN76G-B11</v>
      </c>
      <c r="J1424" s="16"/>
      <c r="K1424" s="16" t="str">
        <f t="shared" si="6"/>
        <v>collected</v>
      </c>
      <c r="L1424" s="16" t="str">
        <f t="shared" si="7"/>
        <v>N</v>
      </c>
      <c r="M1424" s="16"/>
      <c r="N1424" s="16"/>
    </row>
    <row r="1425">
      <c r="A1425" s="40" t="s">
        <v>1964</v>
      </c>
      <c r="B1425" s="10" t="str">
        <f t="shared" si="1"/>
        <v>RNA-gill</v>
      </c>
      <c r="C1425" s="10" t="str">
        <f t="shared" si="2"/>
        <v>BRN76G-A11</v>
      </c>
      <c r="D1425" s="11">
        <f t="array" ref="D1425">iferror(index('rna-muscle'!D:D,match(A1425,'rna-muscle'!A:A,0)))</f>
        <v>76</v>
      </c>
      <c r="E1425" s="10" t="str">
        <f t="shared" si="3"/>
        <v>BRN76G</v>
      </c>
      <c r="F1425" s="11" t="str">
        <f t="array" ref="F1425">iferror(index('rna-muscle'!F:F,match($A1425,'rna-muscle'!$A:$A,0)))</f>
        <v>A</v>
      </c>
      <c r="G1425" s="11">
        <f t="array" ref="G1425">iferror(index('rna-muscle'!G:G,match($A1425,'rna-muscle'!$A:$A,0)))</f>
        <v>11</v>
      </c>
      <c r="H1425" s="11" t="str">
        <f t="shared" si="4"/>
        <v>A11</v>
      </c>
      <c r="I1425" s="10" t="str">
        <f t="shared" si="5"/>
        <v>BRN76G-A11</v>
      </c>
      <c r="J1425" s="16"/>
      <c r="K1425" s="16" t="str">
        <f t="shared" si="6"/>
        <v>collected</v>
      </c>
      <c r="L1425" s="16" t="str">
        <f t="shared" si="7"/>
        <v>N</v>
      </c>
      <c r="M1425" s="16"/>
      <c r="N1425" s="16"/>
    </row>
    <row r="1426">
      <c r="A1426" s="40" t="s">
        <v>1965</v>
      </c>
      <c r="B1426" s="10" t="str">
        <f t="shared" si="1"/>
        <v>RNA-gill</v>
      </c>
      <c r="C1426" s="10" t="str">
        <f t="shared" si="2"/>
        <v>BRN77G-H2</v>
      </c>
      <c r="D1426" s="11">
        <f t="array" ref="D1426">iferror(index('rna-muscle'!D:D,match(A1426,'rna-muscle'!A:A,0)))</f>
        <v>77</v>
      </c>
      <c r="E1426" s="10" t="str">
        <f t="shared" si="3"/>
        <v>BRN77G</v>
      </c>
      <c r="F1426" s="11" t="str">
        <f t="array" ref="F1426">iferror(index('rna-muscle'!F:F,match($A1426,'rna-muscle'!$A:$A,0)))</f>
        <v>H</v>
      </c>
      <c r="G1426" s="11">
        <f t="array" ref="G1426">iferror(index('rna-muscle'!G:G,match($A1426,'rna-muscle'!$A:$A,0)))</f>
        <v>2</v>
      </c>
      <c r="H1426" s="11" t="str">
        <f t="shared" si="4"/>
        <v>H2</v>
      </c>
      <c r="I1426" s="10" t="str">
        <f t="shared" si="5"/>
        <v>BRN77G-H2</v>
      </c>
      <c r="J1426" s="16"/>
      <c r="K1426" s="16" t="str">
        <f t="shared" si="6"/>
        <v>collected</v>
      </c>
      <c r="L1426" s="16" t="str">
        <f t="shared" si="7"/>
        <v>N</v>
      </c>
      <c r="M1426" s="16"/>
      <c r="N1426" s="16"/>
    </row>
    <row r="1427">
      <c r="A1427" s="40" t="s">
        <v>1966</v>
      </c>
      <c r="B1427" s="10" t="str">
        <f t="shared" si="1"/>
        <v>RNA-gill</v>
      </c>
      <c r="C1427" s="10" t="str">
        <f t="shared" si="2"/>
        <v>BRN77G-G2</v>
      </c>
      <c r="D1427" s="11">
        <f t="array" ref="D1427">iferror(index('rna-muscle'!D:D,match(A1427,'rna-muscle'!A:A,0)))</f>
        <v>77</v>
      </c>
      <c r="E1427" s="10" t="str">
        <f t="shared" si="3"/>
        <v>BRN77G</v>
      </c>
      <c r="F1427" s="11" t="str">
        <f t="array" ref="F1427">iferror(index('rna-muscle'!F:F,match($A1427,'rna-muscle'!$A:$A,0)))</f>
        <v>G</v>
      </c>
      <c r="G1427" s="11">
        <f t="array" ref="G1427">iferror(index('rna-muscle'!G:G,match($A1427,'rna-muscle'!$A:$A,0)))</f>
        <v>2</v>
      </c>
      <c r="H1427" s="11" t="str">
        <f t="shared" si="4"/>
        <v>G2</v>
      </c>
      <c r="I1427" s="10" t="str">
        <f t="shared" si="5"/>
        <v>BRN77G-G2</v>
      </c>
      <c r="J1427" s="16"/>
      <c r="K1427" s="16" t="str">
        <f t="shared" si="6"/>
        <v>collected</v>
      </c>
      <c r="L1427" s="16" t="str">
        <f t="shared" si="7"/>
        <v>N</v>
      </c>
      <c r="M1427" s="16"/>
      <c r="N1427" s="16"/>
    </row>
    <row r="1428">
      <c r="A1428" s="40" t="s">
        <v>1967</v>
      </c>
      <c r="B1428" s="10" t="str">
        <f t="shared" si="1"/>
        <v>RNA-gill</v>
      </c>
      <c r="C1428" s="10" t="str">
        <f t="shared" si="2"/>
        <v>BRN77G-F2</v>
      </c>
      <c r="D1428" s="11">
        <f t="array" ref="D1428">iferror(index('rna-muscle'!D:D,match(A1428,'rna-muscle'!A:A,0)))</f>
        <v>77</v>
      </c>
      <c r="E1428" s="10" t="str">
        <f t="shared" si="3"/>
        <v>BRN77G</v>
      </c>
      <c r="F1428" s="11" t="str">
        <f t="array" ref="F1428">iferror(index('rna-muscle'!F:F,match($A1428,'rna-muscle'!$A:$A,0)))</f>
        <v>F</v>
      </c>
      <c r="G1428" s="11">
        <f t="array" ref="G1428">iferror(index('rna-muscle'!G:G,match($A1428,'rna-muscle'!$A:$A,0)))</f>
        <v>2</v>
      </c>
      <c r="H1428" s="11" t="str">
        <f t="shared" si="4"/>
        <v>F2</v>
      </c>
      <c r="I1428" s="10" t="str">
        <f t="shared" si="5"/>
        <v>BRN77G-F2</v>
      </c>
      <c r="J1428" s="16"/>
      <c r="K1428" s="16" t="str">
        <f t="shared" si="6"/>
        <v>collected</v>
      </c>
      <c r="L1428" s="16" t="str">
        <f t="shared" si="7"/>
        <v>N</v>
      </c>
      <c r="M1428" s="16"/>
      <c r="N1428" s="16"/>
    </row>
    <row r="1429">
      <c r="A1429" s="40" t="s">
        <v>1968</v>
      </c>
      <c r="B1429" s="10" t="str">
        <f t="shared" si="1"/>
        <v>RNA-gill</v>
      </c>
      <c r="C1429" s="10" t="str">
        <f t="shared" si="2"/>
        <v>BRN77G-E2</v>
      </c>
      <c r="D1429" s="11">
        <f t="array" ref="D1429">iferror(index('rna-muscle'!D:D,match(A1429,'rna-muscle'!A:A,0)))</f>
        <v>77</v>
      </c>
      <c r="E1429" s="10" t="str">
        <f t="shared" si="3"/>
        <v>BRN77G</v>
      </c>
      <c r="F1429" s="11" t="str">
        <f t="array" ref="F1429">iferror(index('rna-muscle'!F:F,match($A1429,'rna-muscle'!$A:$A,0)))</f>
        <v>E</v>
      </c>
      <c r="G1429" s="11">
        <f t="array" ref="G1429">iferror(index('rna-muscle'!G:G,match($A1429,'rna-muscle'!$A:$A,0)))</f>
        <v>2</v>
      </c>
      <c r="H1429" s="11" t="str">
        <f t="shared" si="4"/>
        <v>E2</v>
      </c>
      <c r="I1429" s="10" t="str">
        <f t="shared" si="5"/>
        <v>BRN77G-E2</v>
      </c>
      <c r="J1429" s="16"/>
      <c r="K1429" s="16" t="str">
        <f t="shared" si="6"/>
        <v>collected</v>
      </c>
      <c r="L1429" s="16" t="str">
        <f t="shared" si="7"/>
        <v>N</v>
      </c>
      <c r="M1429" s="16"/>
      <c r="N1429" s="16"/>
    </row>
    <row r="1430">
      <c r="A1430" s="40" t="s">
        <v>1969</v>
      </c>
      <c r="B1430" s="10" t="str">
        <f t="shared" si="1"/>
        <v>RNA-gill</v>
      </c>
      <c r="C1430" s="10" t="str">
        <f t="shared" si="2"/>
        <v>BRN77G-D2</v>
      </c>
      <c r="D1430" s="11">
        <f t="array" ref="D1430">iferror(index('rna-muscle'!D:D,match(A1430,'rna-muscle'!A:A,0)))</f>
        <v>77</v>
      </c>
      <c r="E1430" s="10" t="str">
        <f t="shared" si="3"/>
        <v>BRN77G</v>
      </c>
      <c r="F1430" s="11" t="str">
        <f t="array" ref="F1430">iferror(index('rna-muscle'!F:F,match($A1430,'rna-muscle'!$A:$A,0)))</f>
        <v>D</v>
      </c>
      <c r="G1430" s="11">
        <f t="array" ref="G1430">iferror(index('rna-muscle'!G:G,match($A1430,'rna-muscle'!$A:$A,0)))</f>
        <v>2</v>
      </c>
      <c r="H1430" s="11" t="str">
        <f t="shared" si="4"/>
        <v>D2</v>
      </c>
      <c r="I1430" s="10" t="str">
        <f t="shared" si="5"/>
        <v>BRN77G-D2</v>
      </c>
      <c r="J1430" s="16"/>
      <c r="K1430" s="16" t="str">
        <f t="shared" si="6"/>
        <v>collected</v>
      </c>
      <c r="L1430" s="16" t="str">
        <f t="shared" si="7"/>
        <v>N</v>
      </c>
      <c r="M1430" s="16"/>
      <c r="N1430" s="16"/>
    </row>
    <row r="1431">
      <c r="A1431" s="40" t="s">
        <v>1970</v>
      </c>
      <c r="B1431" s="10" t="str">
        <f t="shared" si="1"/>
        <v>RNA-gill</v>
      </c>
      <c r="C1431" s="10" t="str">
        <f t="shared" si="2"/>
        <v>BRN77G-C2</v>
      </c>
      <c r="D1431" s="11">
        <f t="array" ref="D1431">iferror(index('rna-muscle'!D:D,match(A1431,'rna-muscle'!A:A,0)))</f>
        <v>77</v>
      </c>
      <c r="E1431" s="10" t="str">
        <f t="shared" si="3"/>
        <v>BRN77G</v>
      </c>
      <c r="F1431" s="11" t="str">
        <f t="array" ref="F1431">iferror(index('rna-muscle'!F:F,match($A1431,'rna-muscle'!$A:$A,0)))</f>
        <v>C</v>
      </c>
      <c r="G1431" s="11">
        <f t="array" ref="G1431">iferror(index('rna-muscle'!G:G,match($A1431,'rna-muscle'!$A:$A,0)))</f>
        <v>2</v>
      </c>
      <c r="H1431" s="11" t="str">
        <f t="shared" si="4"/>
        <v>C2</v>
      </c>
      <c r="I1431" s="10" t="str">
        <f t="shared" si="5"/>
        <v>BRN77G-C2</v>
      </c>
      <c r="J1431" s="16"/>
      <c r="K1431" s="16" t="str">
        <f t="shared" si="6"/>
        <v>collected</v>
      </c>
      <c r="L1431" s="16" t="str">
        <f t="shared" si="7"/>
        <v>N</v>
      </c>
      <c r="M1431" s="16"/>
      <c r="N1431" s="16"/>
    </row>
    <row r="1432">
      <c r="A1432" s="40" t="s">
        <v>1971</v>
      </c>
      <c r="B1432" s="10" t="str">
        <f t="shared" si="1"/>
        <v>RNA-gill</v>
      </c>
      <c r="C1432" s="10" t="str">
        <f t="shared" si="2"/>
        <v>BRN77G-B2</v>
      </c>
      <c r="D1432" s="11">
        <f t="array" ref="D1432">iferror(index('rna-muscle'!D:D,match(A1432,'rna-muscle'!A:A,0)))</f>
        <v>77</v>
      </c>
      <c r="E1432" s="10" t="str">
        <f t="shared" si="3"/>
        <v>BRN77G</v>
      </c>
      <c r="F1432" s="11" t="str">
        <f t="array" ref="F1432">iferror(index('rna-muscle'!F:F,match($A1432,'rna-muscle'!$A:$A,0)))</f>
        <v>B</v>
      </c>
      <c r="G1432" s="11">
        <f t="array" ref="G1432">iferror(index('rna-muscle'!G:G,match($A1432,'rna-muscle'!$A:$A,0)))</f>
        <v>2</v>
      </c>
      <c r="H1432" s="11" t="str">
        <f t="shared" si="4"/>
        <v>B2</v>
      </c>
      <c r="I1432" s="10" t="str">
        <f t="shared" si="5"/>
        <v>BRN77G-B2</v>
      </c>
      <c r="J1432" s="16"/>
      <c r="K1432" s="16" t="str">
        <f t="shared" si="6"/>
        <v>collected</v>
      </c>
      <c r="L1432" s="16" t="str">
        <f t="shared" si="7"/>
        <v>N</v>
      </c>
      <c r="M1432" s="16"/>
      <c r="N1432" s="16"/>
    </row>
    <row r="1433">
      <c r="A1433" s="40" t="s">
        <v>1972</v>
      </c>
      <c r="B1433" s="10" t="str">
        <f t="shared" si="1"/>
        <v>RNA-gill</v>
      </c>
      <c r="C1433" s="10" t="str">
        <f t="shared" si="2"/>
        <v>BRN77G-A2</v>
      </c>
      <c r="D1433" s="11">
        <f t="array" ref="D1433">iferror(index('rna-muscle'!D:D,match(A1433,'rna-muscle'!A:A,0)))</f>
        <v>77</v>
      </c>
      <c r="E1433" s="10" t="str">
        <f t="shared" si="3"/>
        <v>BRN77G</v>
      </c>
      <c r="F1433" s="11" t="str">
        <f t="array" ref="F1433">iferror(index('rna-muscle'!F:F,match($A1433,'rna-muscle'!$A:$A,0)))</f>
        <v>A</v>
      </c>
      <c r="G1433" s="11">
        <f t="array" ref="G1433">iferror(index('rna-muscle'!G:G,match($A1433,'rna-muscle'!$A:$A,0)))</f>
        <v>2</v>
      </c>
      <c r="H1433" s="11" t="str">
        <f t="shared" si="4"/>
        <v>A2</v>
      </c>
      <c r="I1433" s="10" t="str">
        <f t="shared" si="5"/>
        <v>BRN77G-A2</v>
      </c>
      <c r="J1433" s="16"/>
      <c r="K1433" s="16" t="str">
        <f t="shared" si="6"/>
        <v>collected</v>
      </c>
      <c r="L1433" s="16" t="str">
        <f t="shared" si="7"/>
        <v>N</v>
      </c>
      <c r="M1433" s="16"/>
      <c r="N1433" s="16"/>
    </row>
    <row r="1434">
      <c r="A1434" s="40" t="s">
        <v>1973</v>
      </c>
      <c r="B1434" s="10" t="str">
        <f t="shared" si="1"/>
        <v>RNA-gill</v>
      </c>
      <c r="C1434" s="10" t="str">
        <f t="shared" si="2"/>
        <v>BRN77G-H3</v>
      </c>
      <c r="D1434" s="11">
        <f t="array" ref="D1434">iferror(index('rna-muscle'!D:D,match(A1434,'rna-muscle'!A:A,0)))</f>
        <v>77</v>
      </c>
      <c r="E1434" s="10" t="str">
        <f t="shared" si="3"/>
        <v>BRN77G</v>
      </c>
      <c r="F1434" s="11" t="str">
        <f t="array" ref="F1434">iferror(index('rna-muscle'!F:F,match($A1434,'rna-muscle'!$A:$A,0)))</f>
        <v>H</v>
      </c>
      <c r="G1434" s="11">
        <f t="array" ref="G1434">iferror(index('rna-muscle'!G:G,match($A1434,'rna-muscle'!$A:$A,0)))</f>
        <v>3</v>
      </c>
      <c r="H1434" s="11" t="str">
        <f t="shared" si="4"/>
        <v>H3</v>
      </c>
      <c r="I1434" s="10" t="str">
        <f t="shared" si="5"/>
        <v>BRN77G-H3</v>
      </c>
      <c r="J1434" s="16"/>
      <c r="K1434" s="16" t="str">
        <f t="shared" si="6"/>
        <v>collected</v>
      </c>
      <c r="L1434" s="16" t="str">
        <f t="shared" si="7"/>
        <v>N</v>
      </c>
      <c r="M1434" s="16"/>
      <c r="N1434" s="16"/>
    </row>
    <row r="1435">
      <c r="A1435" s="40" t="s">
        <v>1974</v>
      </c>
      <c r="B1435" s="10" t="str">
        <f t="shared" si="1"/>
        <v>RNA-gill</v>
      </c>
      <c r="C1435" s="10" t="str">
        <f t="shared" si="2"/>
        <v>BRN77G-G3</v>
      </c>
      <c r="D1435" s="11">
        <f t="array" ref="D1435">iferror(index('rna-muscle'!D:D,match(A1435,'rna-muscle'!A:A,0)))</f>
        <v>77</v>
      </c>
      <c r="E1435" s="10" t="str">
        <f t="shared" si="3"/>
        <v>BRN77G</v>
      </c>
      <c r="F1435" s="11" t="str">
        <f t="array" ref="F1435">iferror(index('rna-muscle'!F:F,match($A1435,'rna-muscle'!$A:$A,0)))</f>
        <v>G</v>
      </c>
      <c r="G1435" s="11">
        <f t="array" ref="G1435">iferror(index('rna-muscle'!G:G,match($A1435,'rna-muscle'!$A:$A,0)))</f>
        <v>3</v>
      </c>
      <c r="H1435" s="11" t="str">
        <f t="shared" si="4"/>
        <v>G3</v>
      </c>
      <c r="I1435" s="10" t="str">
        <f t="shared" si="5"/>
        <v>BRN77G-G3</v>
      </c>
      <c r="J1435" s="16"/>
      <c r="K1435" s="16" t="str">
        <f t="shared" si="6"/>
        <v>collected</v>
      </c>
      <c r="L1435" s="16" t="str">
        <f t="shared" si="7"/>
        <v>N</v>
      </c>
      <c r="M1435" s="16"/>
      <c r="N1435" s="16"/>
    </row>
    <row r="1436">
      <c r="A1436" s="40" t="s">
        <v>1975</v>
      </c>
      <c r="B1436" s="10" t="str">
        <f t="shared" si="1"/>
        <v>RNA-gill</v>
      </c>
      <c r="C1436" s="10" t="str">
        <f t="shared" si="2"/>
        <v>BRN77G-F3</v>
      </c>
      <c r="D1436" s="11">
        <f t="array" ref="D1436">iferror(index('rna-muscle'!D:D,match(A1436,'rna-muscle'!A:A,0)))</f>
        <v>77</v>
      </c>
      <c r="E1436" s="10" t="str">
        <f t="shared" si="3"/>
        <v>BRN77G</v>
      </c>
      <c r="F1436" s="11" t="str">
        <f t="array" ref="F1436">iferror(index('rna-muscle'!F:F,match($A1436,'rna-muscle'!$A:$A,0)))</f>
        <v>F</v>
      </c>
      <c r="G1436" s="11">
        <f t="array" ref="G1436">iferror(index('rna-muscle'!G:G,match($A1436,'rna-muscle'!$A:$A,0)))</f>
        <v>3</v>
      </c>
      <c r="H1436" s="11" t="str">
        <f t="shared" si="4"/>
        <v>F3</v>
      </c>
      <c r="I1436" s="10" t="str">
        <f t="shared" si="5"/>
        <v>BRN77G-F3</v>
      </c>
      <c r="J1436" s="6" t="s">
        <v>2180</v>
      </c>
      <c r="K1436" s="16" t="str">
        <f t="shared" si="6"/>
        <v>collected</v>
      </c>
      <c r="L1436" s="16" t="str">
        <f t="shared" si="7"/>
        <v>N</v>
      </c>
      <c r="M1436" s="16"/>
      <c r="N1436" s="16"/>
    </row>
    <row r="1437">
      <c r="A1437" s="40" t="s">
        <v>1976</v>
      </c>
      <c r="B1437" s="10" t="str">
        <f t="shared" si="1"/>
        <v>RNA-gill</v>
      </c>
      <c r="C1437" s="10" t="str">
        <f t="shared" si="2"/>
        <v>BRN77G-E3</v>
      </c>
      <c r="D1437" s="11">
        <f t="array" ref="D1437">iferror(index('rna-muscle'!D:D,match(A1437,'rna-muscle'!A:A,0)))</f>
        <v>77</v>
      </c>
      <c r="E1437" s="10" t="str">
        <f t="shared" si="3"/>
        <v>BRN77G</v>
      </c>
      <c r="F1437" s="11" t="str">
        <f t="array" ref="F1437">iferror(index('rna-muscle'!F:F,match($A1437,'rna-muscle'!$A:$A,0)))</f>
        <v>E</v>
      </c>
      <c r="G1437" s="11">
        <f t="array" ref="G1437">iferror(index('rna-muscle'!G:G,match($A1437,'rna-muscle'!$A:$A,0)))</f>
        <v>3</v>
      </c>
      <c r="H1437" s="11" t="str">
        <f t="shared" si="4"/>
        <v>E3</v>
      </c>
      <c r="I1437" s="10" t="str">
        <f t="shared" si="5"/>
        <v>BRN77G-E3</v>
      </c>
      <c r="J1437" s="16"/>
      <c r="K1437" s="16" t="str">
        <f t="shared" si="6"/>
        <v>collected</v>
      </c>
      <c r="L1437" s="16" t="str">
        <f t="shared" si="7"/>
        <v>N</v>
      </c>
      <c r="M1437" s="16"/>
      <c r="N1437" s="16"/>
    </row>
    <row r="1438">
      <c r="A1438" s="40" t="s">
        <v>1977</v>
      </c>
      <c r="B1438" s="10" t="str">
        <f t="shared" si="1"/>
        <v>RNA-gill</v>
      </c>
      <c r="C1438" s="10" t="str">
        <f t="shared" si="2"/>
        <v>BRN77G-D3</v>
      </c>
      <c r="D1438" s="11">
        <f t="array" ref="D1438">iferror(index('rna-muscle'!D:D,match(A1438,'rna-muscle'!A:A,0)))</f>
        <v>77</v>
      </c>
      <c r="E1438" s="10" t="str">
        <f t="shared" si="3"/>
        <v>BRN77G</v>
      </c>
      <c r="F1438" s="11" t="str">
        <f t="array" ref="F1438">iferror(index('rna-muscle'!F:F,match($A1438,'rna-muscle'!$A:$A,0)))</f>
        <v>D</v>
      </c>
      <c r="G1438" s="11">
        <f t="array" ref="G1438">iferror(index('rna-muscle'!G:G,match($A1438,'rna-muscle'!$A:$A,0)))</f>
        <v>3</v>
      </c>
      <c r="H1438" s="11" t="str">
        <f t="shared" si="4"/>
        <v>D3</v>
      </c>
      <c r="I1438" s="10" t="str">
        <f t="shared" si="5"/>
        <v>BRN77G-D3</v>
      </c>
      <c r="J1438" s="16"/>
      <c r="K1438" s="16" t="str">
        <f t="shared" si="6"/>
        <v>collected</v>
      </c>
      <c r="L1438" s="16" t="str">
        <f t="shared" si="7"/>
        <v>N</v>
      </c>
      <c r="M1438" s="16"/>
      <c r="N1438" s="16"/>
    </row>
    <row r="1439">
      <c r="A1439" s="40" t="s">
        <v>1978</v>
      </c>
      <c r="B1439" s="10" t="str">
        <f t="shared" si="1"/>
        <v>RNA-gill</v>
      </c>
      <c r="C1439" s="10" t="str">
        <f t="shared" si="2"/>
        <v>BRN77G-C3</v>
      </c>
      <c r="D1439" s="11">
        <f t="array" ref="D1439">iferror(index('rna-muscle'!D:D,match(A1439,'rna-muscle'!A:A,0)))</f>
        <v>77</v>
      </c>
      <c r="E1439" s="10" t="str">
        <f t="shared" si="3"/>
        <v>BRN77G</v>
      </c>
      <c r="F1439" s="11" t="str">
        <f t="array" ref="F1439">iferror(index('rna-muscle'!F:F,match($A1439,'rna-muscle'!$A:$A,0)))</f>
        <v>C</v>
      </c>
      <c r="G1439" s="11">
        <f t="array" ref="G1439">iferror(index('rna-muscle'!G:G,match($A1439,'rna-muscle'!$A:$A,0)))</f>
        <v>3</v>
      </c>
      <c r="H1439" s="11" t="str">
        <f t="shared" si="4"/>
        <v>C3</v>
      </c>
      <c r="I1439" s="10" t="str">
        <f t="shared" si="5"/>
        <v>BRN77G-C3</v>
      </c>
      <c r="J1439" s="16"/>
      <c r="K1439" s="16" t="str">
        <f t="shared" si="6"/>
        <v>collected</v>
      </c>
      <c r="L1439" s="16" t="str">
        <f t="shared" si="7"/>
        <v>N</v>
      </c>
      <c r="M1439" s="16"/>
      <c r="N1439" s="16"/>
    </row>
    <row r="1440">
      <c r="A1440" s="40" t="s">
        <v>1979</v>
      </c>
      <c r="B1440" s="10" t="str">
        <f t="shared" si="1"/>
        <v>RNA-gill</v>
      </c>
      <c r="C1440" s="10" t="str">
        <f t="shared" si="2"/>
        <v>BRN77G-B3</v>
      </c>
      <c r="D1440" s="11">
        <f t="array" ref="D1440">iferror(index('rna-muscle'!D:D,match(A1440,'rna-muscle'!A:A,0)))</f>
        <v>77</v>
      </c>
      <c r="E1440" s="10" t="str">
        <f t="shared" si="3"/>
        <v>BRN77G</v>
      </c>
      <c r="F1440" s="11" t="str">
        <f t="array" ref="F1440">iferror(index('rna-muscle'!F:F,match($A1440,'rna-muscle'!$A:$A,0)))</f>
        <v>B</v>
      </c>
      <c r="G1440" s="11">
        <f t="array" ref="G1440">iferror(index('rna-muscle'!G:G,match($A1440,'rna-muscle'!$A:$A,0)))</f>
        <v>3</v>
      </c>
      <c r="H1440" s="11" t="str">
        <f t="shared" si="4"/>
        <v>B3</v>
      </c>
      <c r="I1440" s="10" t="str">
        <f t="shared" si="5"/>
        <v>BRN77G-B3</v>
      </c>
      <c r="J1440" s="16"/>
      <c r="K1440" s="16" t="str">
        <f t="shared" si="6"/>
        <v>collected</v>
      </c>
      <c r="L1440" s="16" t="str">
        <f t="shared" si="7"/>
        <v>N</v>
      </c>
      <c r="M1440" s="16"/>
      <c r="N1440" s="16"/>
    </row>
    <row r="1441">
      <c r="A1441" s="40" t="s">
        <v>1980</v>
      </c>
      <c r="B1441" s="10" t="str">
        <f t="shared" si="1"/>
        <v>RNA-gill</v>
      </c>
      <c r="C1441" s="10" t="str">
        <f t="shared" si="2"/>
        <v>BRN77G-A3</v>
      </c>
      <c r="D1441" s="11">
        <f t="array" ref="D1441">iferror(index('rna-muscle'!D:D,match(A1441,'rna-muscle'!A:A,0)))</f>
        <v>77</v>
      </c>
      <c r="E1441" s="10" t="str">
        <f t="shared" si="3"/>
        <v>BRN77G</v>
      </c>
      <c r="F1441" s="11" t="str">
        <f t="array" ref="F1441">iferror(index('rna-muscle'!F:F,match($A1441,'rna-muscle'!$A:$A,0)))</f>
        <v>A</v>
      </c>
      <c r="G1441" s="11">
        <f t="array" ref="G1441">iferror(index('rna-muscle'!G:G,match($A1441,'rna-muscle'!$A:$A,0)))</f>
        <v>3</v>
      </c>
      <c r="H1441" s="11" t="str">
        <f t="shared" si="4"/>
        <v>A3</v>
      </c>
      <c r="I1441" s="10" t="str">
        <f t="shared" si="5"/>
        <v>BRN77G-A3</v>
      </c>
      <c r="J1441" s="16"/>
      <c r="K1441" s="16" t="str">
        <f t="shared" si="6"/>
        <v>collected</v>
      </c>
      <c r="L1441" s="16" t="str">
        <f t="shared" si="7"/>
        <v>N</v>
      </c>
      <c r="M1441" s="16"/>
      <c r="N1441" s="16"/>
    </row>
    <row r="1442">
      <c r="A1442" s="16" t="s">
        <v>1981</v>
      </c>
      <c r="B1442" s="10" t="str">
        <f t="shared" si="1"/>
        <v>RNA-gill</v>
      </c>
      <c r="C1442" s="10" t="str">
        <f t="shared" si="2"/>
        <v>BRN77G-B6</v>
      </c>
      <c r="D1442" s="11">
        <f t="array" ref="D1442">iferror(index('rna-muscle'!D:D,match(A1442,'rna-muscle'!A:A,0)))</f>
        <v>77</v>
      </c>
      <c r="E1442" s="10" t="str">
        <f t="shared" si="3"/>
        <v>BRN77G</v>
      </c>
      <c r="F1442" s="11" t="str">
        <f t="array" ref="F1442">iferror(index('rna-muscle'!F:F,match($A1442,'rna-muscle'!$A:$A,0)))</f>
        <v>B</v>
      </c>
      <c r="G1442" s="11">
        <f t="array" ref="G1442">iferror(index('rna-muscle'!G:G,match($A1442,'rna-muscle'!$A:$A,0)))</f>
        <v>6</v>
      </c>
      <c r="H1442" s="11" t="str">
        <f t="shared" si="4"/>
        <v>B6</v>
      </c>
      <c r="I1442" s="10" t="str">
        <f t="shared" si="5"/>
        <v>BRN77G-B6</v>
      </c>
      <c r="J1442" s="16"/>
      <c r="K1442" s="16" t="str">
        <f t="shared" si="6"/>
        <v>collected</v>
      </c>
      <c r="L1442" s="16" t="str">
        <f t="shared" si="7"/>
        <v>N</v>
      </c>
      <c r="M1442" s="16"/>
      <c r="N1442" s="16"/>
    </row>
    <row r="1443">
      <c r="A1443" s="16" t="s">
        <v>1982</v>
      </c>
      <c r="B1443" s="10" t="str">
        <f t="shared" si="1"/>
        <v>RNA-gill</v>
      </c>
      <c r="C1443" s="10" t="str">
        <f t="shared" si="2"/>
        <v>BRN77G-A6</v>
      </c>
      <c r="D1443" s="11">
        <f t="array" ref="D1443">iferror(index('rna-muscle'!D:D,match(A1443,'rna-muscle'!A:A,0)))</f>
        <v>77</v>
      </c>
      <c r="E1443" s="10" t="str">
        <f t="shared" si="3"/>
        <v>BRN77G</v>
      </c>
      <c r="F1443" s="11" t="str">
        <f t="array" ref="F1443">iferror(index('rna-muscle'!F:F,match($A1443,'rna-muscle'!$A:$A,0)))</f>
        <v>A</v>
      </c>
      <c r="G1443" s="11">
        <f t="array" ref="G1443">iferror(index('rna-muscle'!G:G,match($A1443,'rna-muscle'!$A:$A,0)))</f>
        <v>6</v>
      </c>
      <c r="H1443" s="11" t="str">
        <f t="shared" si="4"/>
        <v>A6</v>
      </c>
      <c r="I1443" s="10" t="str">
        <f t="shared" si="5"/>
        <v>BRN77G-A6</v>
      </c>
      <c r="J1443" s="16"/>
      <c r="K1443" s="16" t="str">
        <f t="shared" si="6"/>
        <v>collected</v>
      </c>
      <c r="L1443" s="16" t="str">
        <f t="shared" si="7"/>
        <v>N</v>
      </c>
      <c r="M1443" s="16"/>
      <c r="N1443" s="16"/>
    </row>
    <row r="1444">
      <c r="A1444" s="16" t="s">
        <v>1983</v>
      </c>
      <c r="B1444" s="10" t="str">
        <f t="shared" si="1"/>
        <v>RNA-gill</v>
      </c>
      <c r="C1444" s="10" t="str">
        <f t="shared" si="2"/>
        <v>BRN77G-H7</v>
      </c>
      <c r="D1444" s="11">
        <f t="array" ref="D1444">iferror(index('rna-muscle'!D:D,match(A1444,'rna-muscle'!A:A,0)))</f>
        <v>77</v>
      </c>
      <c r="E1444" s="10" t="str">
        <f t="shared" si="3"/>
        <v>BRN77G</v>
      </c>
      <c r="F1444" s="11" t="str">
        <f t="array" ref="F1444">iferror(index('rna-muscle'!F:F,match($A1444,'rna-muscle'!$A:$A,0)))</f>
        <v>H</v>
      </c>
      <c r="G1444" s="11">
        <f t="array" ref="G1444">iferror(index('rna-muscle'!G:G,match($A1444,'rna-muscle'!$A:$A,0)))</f>
        <v>7</v>
      </c>
      <c r="H1444" s="11" t="str">
        <f t="shared" si="4"/>
        <v>H7</v>
      </c>
      <c r="I1444" s="10" t="str">
        <f t="shared" si="5"/>
        <v>BRN77G-H7</v>
      </c>
      <c r="J1444" s="36" t="s">
        <v>2181</v>
      </c>
      <c r="K1444" s="16" t="str">
        <f t="shared" si="6"/>
        <v>collected</v>
      </c>
      <c r="L1444" s="16" t="str">
        <f t="shared" si="7"/>
        <v>N</v>
      </c>
      <c r="M1444" s="16"/>
      <c r="N1444" s="16"/>
    </row>
    <row r="1445">
      <c r="A1445" s="16" t="s">
        <v>1984</v>
      </c>
      <c r="B1445" s="10" t="str">
        <f t="shared" si="1"/>
        <v>RNA-gill</v>
      </c>
      <c r="C1445" s="10" t="str">
        <f t="shared" si="2"/>
        <v>BRN77G-G7</v>
      </c>
      <c r="D1445" s="11">
        <f t="array" ref="D1445">iferror(index('rna-muscle'!D:D,match(A1445,'rna-muscle'!A:A,0)))</f>
        <v>77</v>
      </c>
      <c r="E1445" s="10" t="str">
        <f t="shared" si="3"/>
        <v>BRN77G</v>
      </c>
      <c r="F1445" s="11" t="str">
        <f t="array" ref="F1445">iferror(index('rna-muscle'!F:F,match($A1445,'rna-muscle'!$A:$A,0)))</f>
        <v>G</v>
      </c>
      <c r="G1445" s="11">
        <f t="array" ref="G1445">iferror(index('rna-muscle'!G:G,match($A1445,'rna-muscle'!$A:$A,0)))</f>
        <v>7</v>
      </c>
      <c r="H1445" s="11" t="str">
        <f t="shared" si="4"/>
        <v>G7</v>
      </c>
      <c r="I1445" s="10" t="str">
        <f t="shared" si="5"/>
        <v>BRN77G-G7</v>
      </c>
      <c r="J1445" s="16"/>
      <c r="K1445" s="16" t="str">
        <f t="shared" si="6"/>
        <v>collected</v>
      </c>
      <c r="L1445" s="16" t="str">
        <f t="shared" si="7"/>
        <v>N</v>
      </c>
      <c r="M1445" s="16"/>
      <c r="N1445" s="16"/>
    </row>
    <row r="1446">
      <c r="A1446" s="16" t="s">
        <v>1985</v>
      </c>
      <c r="B1446" s="10" t="str">
        <f t="shared" si="1"/>
        <v>RNA-gill</v>
      </c>
      <c r="C1446" s="10" t="str">
        <f t="shared" si="2"/>
        <v>BRN77G-F7</v>
      </c>
      <c r="D1446" s="11">
        <f t="array" ref="D1446">iferror(index('rna-muscle'!D:D,match(A1446,'rna-muscle'!A:A,0)))</f>
        <v>77</v>
      </c>
      <c r="E1446" s="10" t="str">
        <f t="shared" si="3"/>
        <v>BRN77G</v>
      </c>
      <c r="F1446" s="11" t="str">
        <f t="array" ref="F1446">iferror(index('rna-muscle'!F:F,match($A1446,'rna-muscle'!$A:$A,0)))</f>
        <v>F</v>
      </c>
      <c r="G1446" s="11">
        <f t="array" ref="G1446">iferror(index('rna-muscle'!G:G,match($A1446,'rna-muscle'!$A:$A,0)))</f>
        <v>7</v>
      </c>
      <c r="H1446" s="11" t="str">
        <f t="shared" si="4"/>
        <v>F7</v>
      </c>
      <c r="I1446" s="10" t="str">
        <f t="shared" si="5"/>
        <v>BRN77G-F7</v>
      </c>
      <c r="J1446" s="16"/>
      <c r="K1446" s="16" t="str">
        <f t="shared" si="6"/>
        <v>collected</v>
      </c>
      <c r="L1446" s="16" t="str">
        <f t="shared" si="7"/>
        <v>N</v>
      </c>
      <c r="M1446" s="16"/>
      <c r="N1446" s="16"/>
    </row>
    <row r="1447">
      <c r="A1447" s="16" t="s">
        <v>1987</v>
      </c>
      <c r="B1447" s="10" t="str">
        <f t="shared" si="1"/>
        <v>RNA-gill</v>
      </c>
      <c r="C1447" s="10" t="str">
        <f t="shared" si="2"/>
        <v>BRN77G-E7</v>
      </c>
      <c r="D1447" s="11">
        <f t="array" ref="D1447">iferror(index('rna-muscle'!D:D,match(A1447,'rna-muscle'!A:A,0)))</f>
        <v>77</v>
      </c>
      <c r="E1447" s="10" t="str">
        <f t="shared" si="3"/>
        <v>BRN77G</v>
      </c>
      <c r="F1447" s="11" t="str">
        <f t="array" ref="F1447">iferror(index('rna-muscle'!F:F,match($A1447,'rna-muscle'!$A:$A,0)))</f>
        <v>E</v>
      </c>
      <c r="G1447" s="11">
        <f t="array" ref="G1447">iferror(index('rna-muscle'!G:G,match($A1447,'rna-muscle'!$A:$A,0)))</f>
        <v>7</v>
      </c>
      <c r="H1447" s="11" t="str">
        <f t="shared" si="4"/>
        <v>E7</v>
      </c>
      <c r="I1447" s="10" t="str">
        <f t="shared" si="5"/>
        <v>BRN77G-E7</v>
      </c>
      <c r="J1447" s="16"/>
      <c r="K1447" s="16" t="str">
        <f t="shared" si="6"/>
        <v>collected</v>
      </c>
      <c r="L1447" s="16" t="str">
        <f t="shared" si="7"/>
        <v>N</v>
      </c>
      <c r="M1447" s="16"/>
      <c r="N1447" s="16"/>
    </row>
    <row r="1448">
      <c r="A1448" s="16" t="s">
        <v>1988</v>
      </c>
      <c r="B1448" s="10" t="str">
        <f t="shared" si="1"/>
        <v>RNA-gill</v>
      </c>
      <c r="C1448" s="10" t="str">
        <f t="shared" si="2"/>
        <v>BRN77G-D7</v>
      </c>
      <c r="D1448" s="11">
        <f t="array" ref="D1448">iferror(index('rna-muscle'!D:D,match(A1448,'rna-muscle'!A:A,0)))</f>
        <v>77</v>
      </c>
      <c r="E1448" s="10" t="str">
        <f t="shared" si="3"/>
        <v>BRN77G</v>
      </c>
      <c r="F1448" s="11" t="str">
        <f t="array" ref="F1448">iferror(index('rna-muscle'!F:F,match($A1448,'rna-muscle'!$A:$A,0)))</f>
        <v>D</v>
      </c>
      <c r="G1448" s="11">
        <f t="array" ref="G1448">iferror(index('rna-muscle'!G:G,match($A1448,'rna-muscle'!$A:$A,0)))</f>
        <v>7</v>
      </c>
      <c r="H1448" s="11" t="str">
        <f t="shared" si="4"/>
        <v>D7</v>
      </c>
      <c r="I1448" s="10" t="str">
        <f t="shared" si="5"/>
        <v>BRN77G-D7</v>
      </c>
      <c r="J1448" s="16"/>
      <c r="K1448" s="16" t="str">
        <f t="shared" si="6"/>
        <v>collected</v>
      </c>
      <c r="L1448" s="16" t="str">
        <f t="shared" si="7"/>
        <v>N</v>
      </c>
      <c r="M1448" s="16"/>
      <c r="N1448" s="16"/>
    </row>
    <row r="1449">
      <c r="A1449" s="16" t="s">
        <v>1989</v>
      </c>
      <c r="B1449" s="10" t="str">
        <f t="shared" si="1"/>
        <v>RNA-gill</v>
      </c>
      <c r="C1449" s="10" t="str">
        <f t="shared" si="2"/>
        <v>BRN77G-C7</v>
      </c>
      <c r="D1449" s="11">
        <f t="array" ref="D1449">iferror(index('rna-muscle'!D:D,match(A1449,'rna-muscle'!A:A,0)))</f>
        <v>77</v>
      </c>
      <c r="E1449" s="10" t="str">
        <f t="shared" si="3"/>
        <v>BRN77G</v>
      </c>
      <c r="F1449" s="11" t="str">
        <f t="array" ref="F1449">iferror(index('rna-muscle'!F:F,match($A1449,'rna-muscle'!$A:$A,0)))</f>
        <v>C</v>
      </c>
      <c r="G1449" s="11">
        <f t="array" ref="G1449">iferror(index('rna-muscle'!G:G,match($A1449,'rna-muscle'!$A:$A,0)))</f>
        <v>7</v>
      </c>
      <c r="H1449" s="11" t="str">
        <f t="shared" si="4"/>
        <v>C7</v>
      </c>
      <c r="I1449" s="10" t="str">
        <f t="shared" si="5"/>
        <v>BRN77G-C7</v>
      </c>
      <c r="J1449" s="16"/>
      <c r="K1449" s="16" t="str">
        <f t="shared" si="6"/>
        <v>collected</v>
      </c>
      <c r="L1449" s="16" t="str">
        <f t="shared" si="7"/>
        <v>N</v>
      </c>
      <c r="M1449" s="16"/>
      <c r="N1449" s="16"/>
    </row>
    <row r="1450">
      <c r="A1450" s="16" t="s">
        <v>1990</v>
      </c>
      <c r="B1450" s="10" t="str">
        <f t="shared" si="1"/>
        <v>RNA-gill</v>
      </c>
      <c r="C1450" s="10" t="str">
        <f t="shared" si="2"/>
        <v>BRN77G-B7</v>
      </c>
      <c r="D1450" s="11">
        <f t="array" ref="D1450">iferror(index('rna-muscle'!D:D,match(A1450,'rna-muscle'!A:A,0)))</f>
        <v>77</v>
      </c>
      <c r="E1450" s="10" t="str">
        <f t="shared" si="3"/>
        <v>BRN77G</v>
      </c>
      <c r="F1450" s="11" t="str">
        <f t="array" ref="F1450">iferror(index('rna-muscle'!F:F,match($A1450,'rna-muscle'!$A:$A,0)))</f>
        <v>B</v>
      </c>
      <c r="G1450" s="11">
        <f t="array" ref="G1450">iferror(index('rna-muscle'!G:G,match($A1450,'rna-muscle'!$A:$A,0)))</f>
        <v>7</v>
      </c>
      <c r="H1450" s="11" t="str">
        <f t="shared" si="4"/>
        <v>B7</v>
      </c>
      <c r="I1450" s="10" t="str">
        <f t="shared" si="5"/>
        <v>BRN77G-B7</v>
      </c>
      <c r="J1450" s="16"/>
      <c r="K1450" s="16" t="str">
        <f t="shared" si="6"/>
        <v>collected</v>
      </c>
      <c r="L1450" s="16" t="str">
        <f t="shared" si="7"/>
        <v>N</v>
      </c>
      <c r="M1450" s="16"/>
      <c r="N1450" s="16"/>
    </row>
    <row r="1451">
      <c r="A1451" s="16" t="s">
        <v>1991</v>
      </c>
      <c r="B1451" s="10" t="str">
        <f t="shared" si="1"/>
        <v>RNA-gill</v>
      </c>
      <c r="C1451" s="10" t="str">
        <f t="shared" si="2"/>
        <v>BRN77G-A7</v>
      </c>
      <c r="D1451" s="11">
        <f t="array" ref="D1451">iferror(index('rna-muscle'!D:D,match(A1451,'rna-muscle'!A:A,0)))</f>
        <v>77</v>
      </c>
      <c r="E1451" s="10" t="str">
        <f t="shared" si="3"/>
        <v>BRN77G</v>
      </c>
      <c r="F1451" s="11" t="str">
        <f t="array" ref="F1451">iferror(index('rna-muscle'!F:F,match($A1451,'rna-muscle'!$A:$A,0)))</f>
        <v>A</v>
      </c>
      <c r="G1451" s="11">
        <f t="array" ref="G1451">iferror(index('rna-muscle'!G:G,match($A1451,'rna-muscle'!$A:$A,0)))</f>
        <v>7</v>
      </c>
      <c r="H1451" s="11" t="str">
        <f t="shared" si="4"/>
        <v>A7</v>
      </c>
      <c r="I1451" s="10" t="str">
        <f t="shared" si="5"/>
        <v>BRN77G-A7</v>
      </c>
      <c r="J1451" s="36" t="s">
        <v>2182</v>
      </c>
      <c r="K1451" s="16" t="str">
        <f t="shared" si="6"/>
        <v>collected</v>
      </c>
      <c r="L1451" s="16" t="str">
        <f t="shared" si="7"/>
        <v>N</v>
      </c>
      <c r="M1451" s="16"/>
      <c r="N1451" s="16"/>
    </row>
    <row r="1452">
      <c r="A1452" s="16" t="s">
        <v>1992</v>
      </c>
      <c r="B1452" s="10" t="str">
        <f t="shared" si="1"/>
        <v>RNA-gill</v>
      </c>
      <c r="C1452" s="10" t="str">
        <f t="shared" si="2"/>
        <v>BRN77G-H8</v>
      </c>
      <c r="D1452" s="11">
        <f t="array" ref="D1452">iferror(index('rna-muscle'!D:D,match(A1452,'rna-muscle'!A:A,0)))</f>
        <v>77</v>
      </c>
      <c r="E1452" s="10" t="str">
        <f t="shared" si="3"/>
        <v>BRN77G</v>
      </c>
      <c r="F1452" s="11" t="str">
        <f t="array" ref="F1452">iferror(index('rna-muscle'!F:F,match($A1452,'rna-muscle'!$A:$A,0)))</f>
        <v>H</v>
      </c>
      <c r="G1452" s="11">
        <f t="array" ref="G1452">iferror(index('rna-muscle'!G:G,match($A1452,'rna-muscle'!$A:$A,0)))</f>
        <v>8</v>
      </c>
      <c r="H1452" s="11" t="str">
        <f t="shared" si="4"/>
        <v>H8</v>
      </c>
      <c r="I1452" s="10" t="str">
        <f t="shared" si="5"/>
        <v>BRN77G-H8</v>
      </c>
      <c r="J1452" s="52"/>
      <c r="K1452" s="16" t="str">
        <f t="shared" si="6"/>
        <v>collected</v>
      </c>
      <c r="L1452" s="16" t="str">
        <f t="shared" si="7"/>
        <v>N</v>
      </c>
      <c r="M1452" s="16"/>
      <c r="N1452" s="16"/>
    </row>
    <row r="1453">
      <c r="A1453" s="16" t="s">
        <v>1993</v>
      </c>
      <c r="B1453" s="10" t="str">
        <f t="shared" si="1"/>
        <v>RNA-gill</v>
      </c>
      <c r="C1453" s="10" t="str">
        <f t="shared" si="2"/>
        <v>BRN77G-G8</v>
      </c>
      <c r="D1453" s="11">
        <f t="array" ref="D1453">iferror(index('rna-muscle'!D:D,match(A1453,'rna-muscle'!A:A,0)))</f>
        <v>77</v>
      </c>
      <c r="E1453" s="10" t="str">
        <f t="shared" si="3"/>
        <v>BRN77G</v>
      </c>
      <c r="F1453" s="11" t="str">
        <f t="array" ref="F1453">iferror(index('rna-muscle'!F:F,match($A1453,'rna-muscle'!$A:$A,0)))</f>
        <v>G</v>
      </c>
      <c r="G1453" s="11">
        <f t="array" ref="G1453">iferror(index('rna-muscle'!G:G,match($A1453,'rna-muscle'!$A:$A,0)))</f>
        <v>8</v>
      </c>
      <c r="H1453" s="11" t="str">
        <f t="shared" si="4"/>
        <v>G8</v>
      </c>
      <c r="I1453" s="10" t="str">
        <f t="shared" si="5"/>
        <v>BRN77G-G8</v>
      </c>
      <c r="J1453" s="16"/>
      <c r="K1453" s="16" t="str">
        <f t="shared" si="6"/>
        <v>collected</v>
      </c>
      <c r="L1453" s="16" t="str">
        <f t="shared" si="7"/>
        <v>N</v>
      </c>
      <c r="M1453" s="16"/>
      <c r="N1453" s="16"/>
    </row>
    <row r="1454">
      <c r="A1454" s="16" t="s">
        <v>1994</v>
      </c>
      <c r="B1454" s="10" t="str">
        <f t="shared" si="1"/>
        <v>RNA-gill</v>
      </c>
      <c r="C1454" s="10" t="str">
        <f t="shared" si="2"/>
        <v>BRN77G-F8</v>
      </c>
      <c r="D1454" s="11">
        <f t="array" ref="D1454">iferror(index('rna-muscle'!D:D,match(A1454,'rna-muscle'!A:A,0)))</f>
        <v>77</v>
      </c>
      <c r="E1454" s="10" t="str">
        <f t="shared" si="3"/>
        <v>BRN77G</v>
      </c>
      <c r="F1454" s="11" t="str">
        <f t="array" ref="F1454">iferror(index('rna-muscle'!F:F,match($A1454,'rna-muscle'!$A:$A,0)))</f>
        <v>F</v>
      </c>
      <c r="G1454" s="11">
        <f t="array" ref="G1454">iferror(index('rna-muscle'!G:G,match($A1454,'rna-muscle'!$A:$A,0)))</f>
        <v>8</v>
      </c>
      <c r="H1454" s="11" t="str">
        <f t="shared" si="4"/>
        <v>F8</v>
      </c>
      <c r="I1454" s="10" t="str">
        <f t="shared" si="5"/>
        <v>BRN77G-F8</v>
      </c>
      <c r="J1454" s="16"/>
      <c r="K1454" s="16" t="str">
        <f t="shared" si="6"/>
        <v>collected</v>
      </c>
      <c r="L1454" s="16" t="str">
        <f t="shared" si="7"/>
        <v>N</v>
      </c>
      <c r="M1454" s="16"/>
      <c r="N1454" s="16"/>
    </row>
    <row r="1455">
      <c r="A1455" s="40" t="s">
        <v>1995</v>
      </c>
      <c r="B1455" s="10" t="str">
        <f t="shared" si="1"/>
        <v>RNA-gill</v>
      </c>
      <c r="C1455" s="10" t="str">
        <f t="shared" si="2"/>
        <v>BRN77G-F6</v>
      </c>
      <c r="D1455" s="11">
        <f t="array" ref="D1455">iferror(index('rna-muscle'!D:D,match(A1455,'rna-muscle'!A:A,0)))</f>
        <v>77</v>
      </c>
      <c r="E1455" s="10" t="str">
        <f t="shared" si="3"/>
        <v>BRN77G</v>
      </c>
      <c r="F1455" s="11" t="str">
        <f t="array" ref="F1455">iferror(index('rna-muscle'!F:F,match($A1455,'rna-muscle'!$A:$A,0)))</f>
        <v>F</v>
      </c>
      <c r="G1455" s="11">
        <f t="array" ref="G1455">iferror(index('rna-muscle'!G:G,match($A1455,'rna-muscle'!$A:$A,0)))</f>
        <v>6</v>
      </c>
      <c r="H1455" s="11" t="str">
        <f t="shared" si="4"/>
        <v>F6</v>
      </c>
      <c r="I1455" s="10" t="str">
        <f t="shared" si="5"/>
        <v>BRN77G-F6</v>
      </c>
      <c r="J1455" s="16"/>
      <c r="K1455" s="16" t="str">
        <f t="shared" si="6"/>
        <v>collected</v>
      </c>
      <c r="L1455" s="16" t="str">
        <f t="shared" si="7"/>
        <v>N</v>
      </c>
      <c r="M1455" s="16"/>
      <c r="N1455" s="16"/>
    </row>
    <row r="1456">
      <c r="A1456" s="40" t="s">
        <v>1996</v>
      </c>
      <c r="B1456" s="10" t="str">
        <f t="shared" si="1"/>
        <v>RNA-gill</v>
      </c>
      <c r="C1456" s="10" t="str">
        <f t="shared" si="2"/>
        <v>BRN77G-E6</v>
      </c>
      <c r="D1456" s="11">
        <f t="array" ref="D1456">iferror(index('rna-muscle'!D:D,match(A1456,'rna-muscle'!A:A,0)))</f>
        <v>77</v>
      </c>
      <c r="E1456" s="10" t="str">
        <f t="shared" si="3"/>
        <v>BRN77G</v>
      </c>
      <c r="F1456" s="11" t="str">
        <f t="array" ref="F1456">iferror(index('rna-muscle'!F:F,match($A1456,'rna-muscle'!$A:$A,0)))</f>
        <v>E</v>
      </c>
      <c r="G1456" s="11">
        <f t="array" ref="G1456">iferror(index('rna-muscle'!G:G,match($A1456,'rna-muscle'!$A:$A,0)))</f>
        <v>6</v>
      </c>
      <c r="H1456" s="11" t="str">
        <f t="shared" si="4"/>
        <v>E6</v>
      </c>
      <c r="I1456" s="10" t="str">
        <f t="shared" si="5"/>
        <v>BRN77G-E6</v>
      </c>
      <c r="J1456" s="16"/>
      <c r="K1456" s="16" t="str">
        <f t="shared" si="6"/>
        <v>collected</v>
      </c>
      <c r="L1456" s="16" t="str">
        <f t="shared" si="7"/>
        <v>N</v>
      </c>
      <c r="M1456" s="16"/>
      <c r="N1456" s="16"/>
    </row>
    <row r="1457">
      <c r="A1457" s="40" t="s">
        <v>1997</v>
      </c>
      <c r="B1457" s="10" t="str">
        <f t="shared" si="1"/>
        <v>RNA-gill</v>
      </c>
      <c r="C1457" s="10" t="str">
        <f t="shared" si="2"/>
        <v>BRN77G-D6</v>
      </c>
      <c r="D1457" s="11">
        <f t="array" ref="D1457">iferror(index('rna-muscle'!D:D,match(A1457,'rna-muscle'!A:A,0)))</f>
        <v>77</v>
      </c>
      <c r="E1457" s="10" t="str">
        <f t="shared" si="3"/>
        <v>BRN77G</v>
      </c>
      <c r="F1457" s="11" t="str">
        <f t="array" ref="F1457">iferror(index('rna-muscle'!F:F,match($A1457,'rna-muscle'!$A:$A,0)))</f>
        <v>D</v>
      </c>
      <c r="G1457" s="11">
        <f t="array" ref="G1457">iferror(index('rna-muscle'!G:G,match($A1457,'rna-muscle'!$A:$A,0)))</f>
        <v>6</v>
      </c>
      <c r="H1457" s="11" t="str">
        <f t="shared" si="4"/>
        <v>D6</v>
      </c>
      <c r="I1457" s="10" t="str">
        <f t="shared" si="5"/>
        <v>BRN77G-D6</v>
      </c>
      <c r="J1457" s="16"/>
      <c r="K1457" s="16" t="str">
        <f t="shared" si="6"/>
        <v>collected</v>
      </c>
      <c r="L1457" s="16" t="str">
        <f t="shared" si="7"/>
        <v>N</v>
      </c>
      <c r="M1457" s="16"/>
      <c r="N1457" s="16"/>
    </row>
    <row r="1458">
      <c r="A1458" s="40" t="s">
        <v>1998</v>
      </c>
      <c r="B1458" s="10" t="str">
        <f t="shared" si="1"/>
        <v>RNA-gill</v>
      </c>
      <c r="C1458" s="10" t="str">
        <f t="shared" si="2"/>
        <v>BRN77G-C6</v>
      </c>
      <c r="D1458" s="11">
        <f t="array" ref="D1458">iferror(index('rna-muscle'!D:D,match(A1458,'rna-muscle'!A:A,0)))</f>
        <v>77</v>
      </c>
      <c r="E1458" s="10" t="str">
        <f t="shared" si="3"/>
        <v>BRN77G</v>
      </c>
      <c r="F1458" s="11" t="str">
        <f t="array" ref="F1458">iferror(index('rna-muscle'!F:F,match($A1458,'rna-muscle'!$A:$A,0)))</f>
        <v>C</v>
      </c>
      <c r="G1458" s="11">
        <f t="array" ref="G1458">iferror(index('rna-muscle'!G:G,match($A1458,'rna-muscle'!$A:$A,0)))</f>
        <v>6</v>
      </c>
      <c r="H1458" s="11" t="str">
        <f t="shared" si="4"/>
        <v>C6</v>
      </c>
      <c r="I1458" s="10" t="str">
        <f t="shared" si="5"/>
        <v>BRN77G-C6</v>
      </c>
      <c r="J1458" s="16"/>
      <c r="K1458" s="16" t="str">
        <f t="shared" si="6"/>
        <v>collected</v>
      </c>
      <c r="L1458" s="16" t="str">
        <f t="shared" si="7"/>
        <v>N</v>
      </c>
      <c r="M1458" s="16"/>
      <c r="N1458" s="16"/>
    </row>
    <row r="1459">
      <c r="A1459" s="40" t="s">
        <v>1999</v>
      </c>
      <c r="B1459" s="10" t="str">
        <f t="shared" si="1"/>
        <v>RNA-gill</v>
      </c>
      <c r="C1459" s="10" t="str">
        <f t="shared" si="2"/>
        <v>BRN53G-B7</v>
      </c>
      <c r="D1459" s="11">
        <f t="array" ref="D1459">iferror(index('rna-muscle'!D:D,match(A1459,'rna-muscle'!A:A,0)))</f>
        <v>53</v>
      </c>
      <c r="E1459" s="10" t="str">
        <f t="shared" si="3"/>
        <v>BRN53G</v>
      </c>
      <c r="F1459" s="11" t="str">
        <f t="array" ref="F1459">iferror(index('rna-muscle'!F:F,match($A1459,'rna-muscle'!$A:$A,0)))</f>
        <v>B</v>
      </c>
      <c r="G1459" s="11">
        <f t="array" ref="G1459">iferror(index('rna-muscle'!G:G,match($A1459,'rna-muscle'!$A:$A,0)))</f>
        <v>7</v>
      </c>
      <c r="H1459" s="11" t="str">
        <f t="shared" si="4"/>
        <v>B7</v>
      </c>
      <c r="I1459" s="10" t="str">
        <f t="shared" si="5"/>
        <v>BRN53G-B7</v>
      </c>
      <c r="J1459" s="16"/>
      <c r="K1459" s="16" t="str">
        <f t="shared" si="6"/>
        <v>collected</v>
      </c>
      <c r="L1459" s="16" t="str">
        <f t="shared" si="7"/>
        <v>N</v>
      </c>
      <c r="M1459" s="16"/>
      <c r="N1459" s="16"/>
    </row>
    <row r="1460">
      <c r="A1460" s="40" t="s">
        <v>2000</v>
      </c>
      <c r="B1460" s="10" t="str">
        <f t="shared" si="1"/>
        <v>RNA-gill</v>
      </c>
      <c r="C1460" s="10" t="str">
        <f t="shared" si="2"/>
        <v>BRN53G-A7</v>
      </c>
      <c r="D1460" s="11">
        <f t="array" ref="D1460">iferror(index('rna-muscle'!D:D,match(A1460,'rna-muscle'!A:A,0)))</f>
        <v>53</v>
      </c>
      <c r="E1460" s="10" t="str">
        <f t="shared" si="3"/>
        <v>BRN53G</v>
      </c>
      <c r="F1460" s="11" t="str">
        <f t="array" ref="F1460">iferror(index('rna-muscle'!F:F,match($A1460,'rna-muscle'!$A:$A,0)))</f>
        <v>A</v>
      </c>
      <c r="G1460" s="11">
        <f t="array" ref="G1460">iferror(index('rna-muscle'!G:G,match($A1460,'rna-muscle'!$A:$A,0)))</f>
        <v>7</v>
      </c>
      <c r="H1460" s="11" t="str">
        <f t="shared" si="4"/>
        <v>A7</v>
      </c>
      <c r="I1460" s="10" t="str">
        <f t="shared" si="5"/>
        <v>BRN53G-A7</v>
      </c>
      <c r="J1460" s="16"/>
      <c r="K1460" s="16" t="str">
        <f t="shared" si="6"/>
        <v>collected</v>
      </c>
      <c r="L1460" s="16" t="str">
        <f t="shared" si="7"/>
        <v>N</v>
      </c>
      <c r="M1460" s="16"/>
      <c r="N1460" s="16"/>
    </row>
    <row r="1461">
      <c r="A1461" s="40" t="s">
        <v>2001</v>
      </c>
      <c r="B1461" s="10" t="str">
        <f t="shared" si="1"/>
        <v>RNA-gill</v>
      </c>
      <c r="C1461" s="10" t="str">
        <f t="shared" si="2"/>
        <v>BRN53G-G4</v>
      </c>
      <c r="D1461" s="11">
        <f t="array" ref="D1461">iferror(index('rna-muscle'!D:D,match(A1461,'rna-muscle'!A:A,0)))</f>
        <v>53</v>
      </c>
      <c r="E1461" s="10" t="str">
        <f t="shared" si="3"/>
        <v>BRN53G</v>
      </c>
      <c r="F1461" s="11" t="str">
        <f t="array" ref="F1461">iferror(index('rna-muscle'!F:F,match($A1461,'rna-muscle'!$A:$A,0)))</f>
        <v>G</v>
      </c>
      <c r="G1461" s="11">
        <f t="array" ref="G1461">iferror(index('rna-muscle'!G:G,match($A1461,'rna-muscle'!$A:$A,0)))</f>
        <v>4</v>
      </c>
      <c r="H1461" s="11" t="str">
        <f t="shared" si="4"/>
        <v>G4</v>
      </c>
      <c r="I1461" s="10" t="str">
        <f t="shared" si="5"/>
        <v>BRN53G-G4</v>
      </c>
      <c r="J1461" s="16"/>
      <c r="K1461" s="16" t="str">
        <f t="shared" si="6"/>
        <v>collected</v>
      </c>
      <c r="L1461" s="16" t="str">
        <f t="shared" si="7"/>
        <v>N</v>
      </c>
      <c r="M1461" s="16"/>
      <c r="N1461" s="16"/>
    </row>
    <row r="1462">
      <c r="A1462" s="40" t="s">
        <v>2002</v>
      </c>
      <c r="B1462" s="10" t="str">
        <f t="shared" si="1"/>
        <v>RNA-gill</v>
      </c>
      <c r="C1462" s="10" t="str">
        <f t="shared" si="2"/>
        <v>BRN53G-F4</v>
      </c>
      <c r="D1462" s="11">
        <f t="array" ref="D1462">iferror(index('rna-muscle'!D:D,match(A1462,'rna-muscle'!A:A,0)))</f>
        <v>53</v>
      </c>
      <c r="E1462" s="10" t="str">
        <f t="shared" si="3"/>
        <v>BRN53G</v>
      </c>
      <c r="F1462" s="11" t="str">
        <f t="array" ref="F1462">iferror(index('rna-muscle'!F:F,match($A1462,'rna-muscle'!$A:$A,0)))</f>
        <v>F</v>
      </c>
      <c r="G1462" s="11">
        <f t="array" ref="G1462">iferror(index('rna-muscle'!G:G,match($A1462,'rna-muscle'!$A:$A,0)))</f>
        <v>4</v>
      </c>
      <c r="H1462" s="11" t="str">
        <f t="shared" si="4"/>
        <v>F4</v>
      </c>
      <c r="I1462" s="10" t="str">
        <f t="shared" si="5"/>
        <v>BRN53G-F4</v>
      </c>
      <c r="J1462" s="16"/>
      <c r="K1462" s="16" t="str">
        <f t="shared" si="6"/>
        <v>collected</v>
      </c>
      <c r="L1462" s="16" t="str">
        <f t="shared" si="7"/>
        <v>N</v>
      </c>
      <c r="M1462" s="16"/>
      <c r="N1462" s="16"/>
    </row>
    <row r="1463">
      <c r="A1463" s="40" t="s">
        <v>2003</v>
      </c>
      <c r="B1463" s="10" t="str">
        <f t="shared" si="1"/>
        <v>RNA-gill</v>
      </c>
      <c r="C1463" s="10" t="str">
        <f t="shared" si="2"/>
        <v>BRN53G-E4</v>
      </c>
      <c r="D1463" s="11">
        <f t="array" ref="D1463">iferror(index('rna-muscle'!D:D,match(A1463,'rna-muscle'!A:A,0)))</f>
        <v>53</v>
      </c>
      <c r="E1463" s="10" t="str">
        <f t="shared" si="3"/>
        <v>BRN53G</v>
      </c>
      <c r="F1463" s="11" t="str">
        <f t="array" ref="F1463">iferror(index('rna-muscle'!F:F,match($A1463,'rna-muscle'!$A:$A,0)))</f>
        <v>E</v>
      </c>
      <c r="G1463" s="11">
        <f t="array" ref="G1463">iferror(index('rna-muscle'!G:G,match($A1463,'rna-muscle'!$A:$A,0)))</f>
        <v>4</v>
      </c>
      <c r="H1463" s="11" t="str">
        <f t="shared" si="4"/>
        <v>E4</v>
      </c>
      <c r="I1463" s="10" t="str">
        <f t="shared" si="5"/>
        <v>BRN53G-E4</v>
      </c>
      <c r="J1463" s="16"/>
      <c r="K1463" s="16" t="str">
        <f t="shared" si="6"/>
        <v>collected</v>
      </c>
      <c r="L1463" s="16" t="str">
        <f t="shared" si="7"/>
        <v>N</v>
      </c>
      <c r="M1463" s="16"/>
      <c r="N1463" s="16"/>
    </row>
    <row r="1464">
      <c r="A1464" s="40" t="s">
        <v>2005</v>
      </c>
      <c r="B1464" s="10" t="str">
        <f t="shared" si="1"/>
        <v>RNA-gill</v>
      </c>
      <c r="C1464" s="10" t="str">
        <f t="shared" si="2"/>
        <v>BRN53G-D4</v>
      </c>
      <c r="D1464" s="11">
        <f t="array" ref="D1464">iferror(index('rna-muscle'!D:D,match(A1464,'rna-muscle'!A:A,0)))</f>
        <v>53</v>
      </c>
      <c r="E1464" s="10" t="str">
        <f t="shared" si="3"/>
        <v>BRN53G</v>
      </c>
      <c r="F1464" s="11" t="str">
        <f t="array" ref="F1464">iferror(index('rna-muscle'!F:F,match($A1464,'rna-muscle'!$A:$A,0)))</f>
        <v>D</v>
      </c>
      <c r="G1464" s="11">
        <f t="array" ref="G1464">iferror(index('rna-muscle'!G:G,match($A1464,'rna-muscle'!$A:$A,0)))</f>
        <v>4</v>
      </c>
      <c r="H1464" s="11" t="str">
        <f t="shared" si="4"/>
        <v>D4</v>
      </c>
      <c r="I1464" s="10" t="str">
        <f t="shared" si="5"/>
        <v>BRN53G-D4</v>
      </c>
      <c r="J1464" s="16"/>
      <c r="K1464" s="16" t="str">
        <f t="shared" si="6"/>
        <v>collected</v>
      </c>
      <c r="L1464" s="16" t="str">
        <f t="shared" si="7"/>
        <v>N</v>
      </c>
      <c r="M1464" s="16"/>
      <c r="N1464" s="16"/>
    </row>
    <row r="1465">
      <c r="A1465" s="40" t="s">
        <v>2007</v>
      </c>
      <c r="B1465" s="10" t="str">
        <f t="shared" si="1"/>
        <v>RNA-gill</v>
      </c>
      <c r="C1465" s="10" t="str">
        <f t="shared" si="2"/>
        <v>BRN53G-C4</v>
      </c>
      <c r="D1465" s="11">
        <f t="array" ref="D1465">iferror(index('rna-muscle'!D:D,match(A1465,'rna-muscle'!A:A,0)))</f>
        <v>53</v>
      </c>
      <c r="E1465" s="10" t="str">
        <f t="shared" si="3"/>
        <v>BRN53G</v>
      </c>
      <c r="F1465" s="11" t="str">
        <f t="array" ref="F1465">iferror(index('rna-muscle'!F:F,match($A1465,'rna-muscle'!$A:$A,0)))</f>
        <v>C</v>
      </c>
      <c r="G1465" s="11">
        <f t="array" ref="G1465">iferror(index('rna-muscle'!G:G,match($A1465,'rna-muscle'!$A:$A,0)))</f>
        <v>4</v>
      </c>
      <c r="H1465" s="11" t="str">
        <f t="shared" si="4"/>
        <v>C4</v>
      </c>
      <c r="I1465" s="10" t="str">
        <f t="shared" si="5"/>
        <v>BRN53G-C4</v>
      </c>
      <c r="J1465" s="16"/>
      <c r="K1465" s="16" t="str">
        <f t="shared" si="6"/>
        <v>collected</v>
      </c>
      <c r="L1465" s="16" t="str">
        <f t="shared" si="7"/>
        <v>N</v>
      </c>
      <c r="M1465" s="16"/>
      <c r="N1465" s="16"/>
    </row>
    <row r="1466">
      <c r="A1466" s="40" t="s">
        <v>2008</v>
      </c>
      <c r="B1466" s="10" t="str">
        <f t="shared" si="1"/>
        <v>RNA-gill</v>
      </c>
      <c r="C1466" s="10" t="str">
        <f t="shared" si="2"/>
        <v>BRN53G-B4</v>
      </c>
      <c r="D1466" s="11">
        <f t="array" ref="D1466">iferror(index('rna-muscle'!D:D,match(A1466,'rna-muscle'!A:A,0)))</f>
        <v>53</v>
      </c>
      <c r="E1466" s="10" t="str">
        <f t="shared" si="3"/>
        <v>BRN53G</v>
      </c>
      <c r="F1466" s="11" t="str">
        <f t="array" ref="F1466">iferror(index('rna-muscle'!F:F,match($A1466,'rna-muscle'!$A:$A,0)))</f>
        <v>B</v>
      </c>
      <c r="G1466" s="11">
        <f t="array" ref="G1466">iferror(index('rna-muscle'!G:G,match($A1466,'rna-muscle'!$A:$A,0)))</f>
        <v>4</v>
      </c>
      <c r="H1466" s="11" t="str">
        <f t="shared" si="4"/>
        <v>B4</v>
      </c>
      <c r="I1466" s="10" t="str">
        <f t="shared" si="5"/>
        <v>BRN53G-B4</v>
      </c>
      <c r="J1466" s="16"/>
      <c r="K1466" s="16" t="str">
        <f t="shared" si="6"/>
        <v>collected</v>
      </c>
      <c r="L1466" s="16" t="str">
        <f t="shared" si="7"/>
        <v>N</v>
      </c>
      <c r="M1466" s="16"/>
      <c r="N1466" s="16"/>
    </row>
    <row r="1467">
      <c r="A1467" s="40" t="s">
        <v>2009</v>
      </c>
      <c r="B1467" s="10" t="str">
        <f t="shared" si="1"/>
        <v>RNA-gill</v>
      </c>
      <c r="C1467" s="10" t="str">
        <f t="shared" si="2"/>
        <v>BRN53G-A4</v>
      </c>
      <c r="D1467" s="11">
        <f t="array" ref="D1467">iferror(index('rna-muscle'!D:D,match(A1467,'rna-muscle'!A:A,0)))</f>
        <v>53</v>
      </c>
      <c r="E1467" s="10" t="str">
        <f t="shared" si="3"/>
        <v>BRN53G</v>
      </c>
      <c r="F1467" s="11" t="str">
        <f t="array" ref="F1467">iferror(index('rna-muscle'!F:F,match($A1467,'rna-muscle'!$A:$A,0)))</f>
        <v>A</v>
      </c>
      <c r="G1467" s="11">
        <f t="array" ref="G1467">iferror(index('rna-muscle'!G:G,match($A1467,'rna-muscle'!$A:$A,0)))</f>
        <v>4</v>
      </c>
      <c r="H1467" s="11" t="str">
        <f t="shared" si="4"/>
        <v>A4</v>
      </c>
      <c r="I1467" s="10" t="str">
        <f t="shared" si="5"/>
        <v>BRN53G-A4</v>
      </c>
      <c r="J1467" s="16"/>
      <c r="K1467" s="16" t="str">
        <f t="shared" si="6"/>
        <v>collected</v>
      </c>
      <c r="L1467" s="16" t="str">
        <f t="shared" si="7"/>
        <v>N</v>
      </c>
      <c r="M1467" s="16"/>
      <c r="N1467" s="16"/>
    </row>
    <row r="1468">
      <c r="A1468" s="40" t="s">
        <v>2010</v>
      </c>
      <c r="B1468" s="10" t="str">
        <f t="shared" si="1"/>
        <v>RNA-gill</v>
      </c>
      <c r="C1468" s="10" t="str">
        <f t="shared" si="2"/>
        <v>BRN53G-G9</v>
      </c>
      <c r="D1468" s="11">
        <f t="array" ref="D1468">iferror(index('rna-muscle'!D:D,match(A1468,'rna-muscle'!A:A,0)))</f>
        <v>53</v>
      </c>
      <c r="E1468" s="10" t="str">
        <f t="shared" si="3"/>
        <v>BRN53G</v>
      </c>
      <c r="F1468" s="11" t="str">
        <f t="array" ref="F1468">iferror(index('rna-muscle'!F:F,match($A1468,'rna-muscle'!$A:$A,0)))</f>
        <v>G</v>
      </c>
      <c r="G1468" s="11">
        <f t="array" ref="G1468">iferror(index('rna-muscle'!G:G,match($A1468,'rna-muscle'!$A:$A,0)))</f>
        <v>9</v>
      </c>
      <c r="H1468" s="11" t="str">
        <f t="shared" si="4"/>
        <v>G9</v>
      </c>
      <c r="I1468" s="10" t="str">
        <f t="shared" si="5"/>
        <v>BRN53G-G9</v>
      </c>
      <c r="J1468" s="16"/>
      <c r="K1468" s="16" t="str">
        <f t="shared" si="6"/>
        <v>collected</v>
      </c>
      <c r="L1468" s="16" t="str">
        <f t="shared" si="7"/>
        <v>N</v>
      </c>
      <c r="M1468" s="16"/>
      <c r="N1468" s="16"/>
    </row>
    <row r="1469">
      <c r="A1469" s="40" t="s">
        <v>2012</v>
      </c>
      <c r="B1469" s="10" t="str">
        <f t="shared" si="1"/>
        <v>RNA-gill</v>
      </c>
      <c r="C1469" s="10" t="str">
        <f t="shared" si="2"/>
        <v>BRN53G-F9</v>
      </c>
      <c r="D1469" s="11">
        <f t="array" ref="D1469">iferror(index('rna-muscle'!D:D,match(A1469,'rna-muscle'!A:A,0)))</f>
        <v>53</v>
      </c>
      <c r="E1469" s="10" t="str">
        <f t="shared" si="3"/>
        <v>BRN53G</v>
      </c>
      <c r="F1469" s="11" t="str">
        <f t="array" ref="F1469">iferror(index('rna-muscle'!F:F,match($A1469,'rna-muscle'!$A:$A,0)))</f>
        <v>F</v>
      </c>
      <c r="G1469" s="11">
        <f t="array" ref="G1469">iferror(index('rna-muscle'!G:G,match($A1469,'rna-muscle'!$A:$A,0)))</f>
        <v>9</v>
      </c>
      <c r="H1469" s="11" t="str">
        <f t="shared" si="4"/>
        <v>F9</v>
      </c>
      <c r="I1469" s="10" t="str">
        <f t="shared" si="5"/>
        <v>BRN53G-F9</v>
      </c>
      <c r="J1469" s="16"/>
      <c r="K1469" s="16" t="str">
        <f t="shared" si="6"/>
        <v>collected</v>
      </c>
      <c r="L1469" s="16" t="str">
        <f t="shared" si="7"/>
        <v>N</v>
      </c>
      <c r="M1469" s="16"/>
      <c r="N1469" s="16"/>
    </row>
    <row r="1470">
      <c r="A1470" s="40" t="s">
        <v>2013</v>
      </c>
      <c r="B1470" s="10" t="str">
        <f t="shared" si="1"/>
        <v>RNA-gill</v>
      </c>
      <c r="C1470" s="10" t="str">
        <f t="shared" si="2"/>
        <v>BRN53G-E9</v>
      </c>
      <c r="D1470" s="11">
        <f t="array" ref="D1470">iferror(index('rna-muscle'!D:D,match(A1470,'rna-muscle'!A:A,0)))</f>
        <v>53</v>
      </c>
      <c r="E1470" s="10" t="str">
        <f t="shared" si="3"/>
        <v>BRN53G</v>
      </c>
      <c r="F1470" s="11" t="str">
        <f t="array" ref="F1470">iferror(index('rna-muscle'!F:F,match($A1470,'rna-muscle'!$A:$A,0)))</f>
        <v>E</v>
      </c>
      <c r="G1470" s="11">
        <f t="array" ref="G1470">iferror(index('rna-muscle'!G:G,match($A1470,'rna-muscle'!$A:$A,0)))</f>
        <v>9</v>
      </c>
      <c r="H1470" s="11" t="str">
        <f t="shared" si="4"/>
        <v>E9</v>
      </c>
      <c r="I1470" s="10" t="str">
        <f t="shared" si="5"/>
        <v>BRN53G-E9</v>
      </c>
      <c r="J1470" s="16"/>
      <c r="K1470" s="16" t="str">
        <f t="shared" si="6"/>
        <v>collected</v>
      </c>
      <c r="L1470" s="16" t="str">
        <f t="shared" si="7"/>
        <v>N</v>
      </c>
      <c r="M1470" s="16"/>
      <c r="N1470" s="16"/>
    </row>
    <row r="1471">
      <c r="A1471" s="40" t="s">
        <v>2014</v>
      </c>
      <c r="B1471" s="10" t="str">
        <f t="shared" si="1"/>
        <v>RNA-gill</v>
      </c>
      <c r="C1471" s="10" t="str">
        <f t="shared" si="2"/>
        <v>BRN53G-D9</v>
      </c>
      <c r="D1471" s="11">
        <f t="array" ref="D1471">iferror(index('rna-muscle'!D:D,match(A1471,'rna-muscle'!A:A,0)))</f>
        <v>53</v>
      </c>
      <c r="E1471" s="10" t="str">
        <f t="shared" si="3"/>
        <v>BRN53G</v>
      </c>
      <c r="F1471" s="11" t="str">
        <f t="array" ref="F1471">iferror(index('rna-muscle'!F:F,match($A1471,'rna-muscle'!$A:$A,0)))</f>
        <v>D</v>
      </c>
      <c r="G1471" s="11">
        <f t="array" ref="G1471">iferror(index('rna-muscle'!G:G,match($A1471,'rna-muscle'!$A:$A,0)))</f>
        <v>9</v>
      </c>
      <c r="H1471" s="11" t="str">
        <f t="shared" si="4"/>
        <v>D9</v>
      </c>
      <c r="I1471" s="10" t="str">
        <f t="shared" si="5"/>
        <v>BRN53G-D9</v>
      </c>
      <c r="J1471" s="16"/>
      <c r="K1471" s="16" t="str">
        <f t="shared" si="6"/>
        <v>collected</v>
      </c>
      <c r="L1471" s="16" t="str">
        <f t="shared" si="7"/>
        <v>N</v>
      </c>
      <c r="M1471" s="16"/>
      <c r="N1471" s="16"/>
    </row>
    <row r="1472">
      <c r="A1472" s="40" t="s">
        <v>2015</v>
      </c>
      <c r="B1472" s="10" t="str">
        <f t="shared" si="1"/>
        <v>RNA-gill</v>
      </c>
      <c r="C1472" s="10" t="str">
        <f t="shared" si="2"/>
        <v>BRN53G-C9</v>
      </c>
      <c r="D1472" s="11">
        <f t="array" ref="D1472">iferror(index('rna-muscle'!D:D,match(A1472,'rna-muscle'!A:A,0)))</f>
        <v>53</v>
      </c>
      <c r="E1472" s="10" t="str">
        <f t="shared" si="3"/>
        <v>BRN53G</v>
      </c>
      <c r="F1472" s="11" t="str">
        <f t="array" ref="F1472">iferror(index('rna-muscle'!F:F,match($A1472,'rna-muscle'!$A:$A,0)))</f>
        <v>C</v>
      </c>
      <c r="G1472" s="11">
        <f t="array" ref="G1472">iferror(index('rna-muscle'!G:G,match($A1472,'rna-muscle'!$A:$A,0)))</f>
        <v>9</v>
      </c>
      <c r="H1472" s="11" t="str">
        <f t="shared" si="4"/>
        <v>C9</v>
      </c>
      <c r="I1472" s="10" t="str">
        <f t="shared" si="5"/>
        <v>BRN53G-C9</v>
      </c>
      <c r="J1472" s="16"/>
      <c r="K1472" s="16" t="str">
        <f t="shared" si="6"/>
        <v>collected</v>
      </c>
      <c r="L1472" s="16" t="str">
        <f t="shared" si="7"/>
        <v>N</v>
      </c>
      <c r="M1472" s="16"/>
      <c r="N1472" s="16"/>
    </row>
    <row r="1473">
      <c r="A1473" s="40" t="s">
        <v>2016</v>
      </c>
      <c r="B1473" s="10" t="str">
        <f t="shared" si="1"/>
        <v>RNA-gill</v>
      </c>
      <c r="C1473" s="10" t="str">
        <f t="shared" si="2"/>
        <v>BRN53G-B9</v>
      </c>
      <c r="D1473" s="11">
        <f t="array" ref="D1473">iferror(index('rna-muscle'!D:D,match(A1473,'rna-muscle'!A:A,0)))</f>
        <v>53</v>
      </c>
      <c r="E1473" s="10" t="str">
        <f t="shared" si="3"/>
        <v>BRN53G</v>
      </c>
      <c r="F1473" s="11" t="str">
        <f t="array" ref="F1473">iferror(index('rna-muscle'!F:F,match($A1473,'rna-muscle'!$A:$A,0)))</f>
        <v>B</v>
      </c>
      <c r="G1473" s="11">
        <f t="array" ref="G1473">iferror(index('rna-muscle'!G:G,match($A1473,'rna-muscle'!$A:$A,0)))</f>
        <v>9</v>
      </c>
      <c r="H1473" s="11" t="str">
        <f t="shared" si="4"/>
        <v>B9</v>
      </c>
      <c r="I1473" s="10" t="str">
        <f t="shared" si="5"/>
        <v>BRN53G-B9</v>
      </c>
      <c r="J1473" s="16"/>
      <c r="K1473" s="16" t="str">
        <f t="shared" si="6"/>
        <v>collected</v>
      </c>
      <c r="L1473" s="16" t="str">
        <f t="shared" si="7"/>
        <v>N</v>
      </c>
      <c r="M1473" s="16"/>
      <c r="N1473" s="16"/>
    </row>
    <row r="1474">
      <c r="A1474" s="40" t="s">
        <v>2017</v>
      </c>
      <c r="B1474" s="10" t="str">
        <f t="shared" si="1"/>
        <v>RNA-gill</v>
      </c>
      <c r="C1474" s="10" t="str">
        <f t="shared" si="2"/>
        <v>BRN53G-A9</v>
      </c>
      <c r="D1474" s="11">
        <f t="array" ref="D1474">iferror(index('rna-muscle'!D:D,match(A1474,'rna-muscle'!A:A,0)))</f>
        <v>53</v>
      </c>
      <c r="E1474" s="10" t="str">
        <f t="shared" si="3"/>
        <v>BRN53G</v>
      </c>
      <c r="F1474" s="11" t="str">
        <f t="array" ref="F1474">iferror(index('rna-muscle'!F:F,match($A1474,'rna-muscle'!$A:$A,0)))</f>
        <v>A</v>
      </c>
      <c r="G1474" s="11">
        <f t="array" ref="G1474">iferror(index('rna-muscle'!G:G,match($A1474,'rna-muscle'!$A:$A,0)))</f>
        <v>9</v>
      </c>
      <c r="H1474" s="11" t="str">
        <f t="shared" si="4"/>
        <v>A9</v>
      </c>
      <c r="I1474" s="10" t="str">
        <f t="shared" si="5"/>
        <v>BRN53G-A9</v>
      </c>
      <c r="J1474" s="16"/>
      <c r="K1474" s="16" t="str">
        <f t="shared" si="6"/>
        <v>collected</v>
      </c>
      <c r="L1474" s="16" t="str">
        <f t="shared" si="7"/>
        <v>N</v>
      </c>
      <c r="M1474" s="16"/>
      <c r="N1474" s="16"/>
    </row>
    <row r="1475">
      <c r="A1475" s="40" t="s">
        <v>2018</v>
      </c>
      <c r="B1475" s="10" t="str">
        <f t="shared" si="1"/>
        <v>RNA-gill</v>
      </c>
      <c r="C1475" s="10" t="str">
        <f t="shared" si="2"/>
        <v>BRN55G-A5</v>
      </c>
      <c r="D1475" s="11">
        <f t="array" ref="D1475">iferror(index('rna-muscle'!D:D,match(A1475,'rna-muscle'!A:A,0)))</f>
        <v>55</v>
      </c>
      <c r="E1475" s="10" t="str">
        <f t="shared" si="3"/>
        <v>BRN55G</v>
      </c>
      <c r="F1475" s="11" t="str">
        <f t="array" ref="F1475">iferror(index('rna-muscle'!F:F,match($A1475,'rna-muscle'!$A:$A,0)))</f>
        <v>A</v>
      </c>
      <c r="G1475" s="11">
        <f t="array" ref="G1475">iferror(index('rna-muscle'!G:G,match($A1475,'rna-muscle'!$A:$A,0)))</f>
        <v>5</v>
      </c>
      <c r="H1475" s="11" t="str">
        <f t="shared" si="4"/>
        <v>A5</v>
      </c>
      <c r="I1475" s="10" t="str">
        <f t="shared" si="5"/>
        <v>BRN55G-A5</v>
      </c>
      <c r="J1475" s="16"/>
      <c r="K1475" s="16" t="str">
        <f t="shared" si="6"/>
        <v>collected</v>
      </c>
      <c r="L1475" s="16" t="str">
        <f t="shared" si="7"/>
        <v>N</v>
      </c>
      <c r="M1475" s="16"/>
      <c r="N1475" s="16"/>
    </row>
    <row r="1476">
      <c r="A1476" s="40" t="s">
        <v>2019</v>
      </c>
      <c r="B1476" s="10" t="str">
        <f t="shared" si="1"/>
        <v>RNA-gill</v>
      </c>
      <c r="C1476" s="10" t="str">
        <f t="shared" si="2"/>
        <v>BRN55G-H9</v>
      </c>
      <c r="D1476" s="11">
        <f t="array" ref="D1476">iferror(index('rna-muscle'!D:D,match(A1476,'rna-muscle'!A:A,0)))</f>
        <v>55</v>
      </c>
      <c r="E1476" s="10" t="str">
        <f t="shared" si="3"/>
        <v>BRN55G</v>
      </c>
      <c r="F1476" s="11" t="str">
        <f t="array" ref="F1476">iferror(index('rna-muscle'!F:F,match($A1476,'rna-muscle'!$A:$A,0)))</f>
        <v>H</v>
      </c>
      <c r="G1476" s="11">
        <f t="array" ref="G1476">iferror(index('rna-muscle'!G:G,match($A1476,'rna-muscle'!$A:$A,0)))</f>
        <v>9</v>
      </c>
      <c r="H1476" s="11" t="str">
        <f t="shared" si="4"/>
        <v>H9</v>
      </c>
      <c r="I1476" s="10" t="str">
        <f t="shared" si="5"/>
        <v>BRN55G-H9</v>
      </c>
      <c r="J1476" s="16"/>
      <c r="K1476" s="16" t="str">
        <f t="shared" si="6"/>
        <v>collected</v>
      </c>
      <c r="L1476" s="16" t="str">
        <f t="shared" si="7"/>
        <v>N</v>
      </c>
      <c r="M1476" s="16"/>
      <c r="N1476" s="16"/>
    </row>
    <row r="1477">
      <c r="A1477" s="40" t="s">
        <v>2020</v>
      </c>
      <c r="B1477" s="10" t="str">
        <f t="shared" si="1"/>
        <v>RNA-gill</v>
      </c>
      <c r="C1477" s="10" t="str">
        <f t="shared" si="2"/>
        <v>BRN55G-G9</v>
      </c>
      <c r="D1477" s="11">
        <f t="array" ref="D1477">iferror(index('rna-muscle'!D:D,match(A1477,'rna-muscle'!A:A,0)))</f>
        <v>55</v>
      </c>
      <c r="E1477" s="10" t="str">
        <f t="shared" si="3"/>
        <v>BRN55G</v>
      </c>
      <c r="F1477" s="11" t="str">
        <f t="array" ref="F1477">iferror(index('rna-muscle'!F:F,match($A1477,'rna-muscle'!$A:$A,0)))</f>
        <v>G</v>
      </c>
      <c r="G1477" s="11">
        <f t="array" ref="G1477">iferror(index('rna-muscle'!G:G,match($A1477,'rna-muscle'!$A:$A,0)))</f>
        <v>9</v>
      </c>
      <c r="H1477" s="11" t="str">
        <f t="shared" si="4"/>
        <v>G9</v>
      </c>
      <c r="I1477" s="10" t="str">
        <f t="shared" si="5"/>
        <v>BRN55G-G9</v>
      </c>
      <c r="J1477" s="16"/>
      <c r="K1477" s="16" t="str">
        <f t="shared" si="6"/>
        <v>collected</v>
      </c>
      <c r="L1477" s="16" t="str">
        <f t="shared" si="7"/>
        <v>N</v>
      </c>
      <c r="M1477" s="16"/>
      <c r="N1477" s="16"/>
    </row>
    <row r="1478">
      <c r="A1478" s="40" t="s">
        <v>2021</v>
      </c>
      <c r="B1478" s="10" t="str">
        <f t="shared" si="1"/>
        <v>RNA-gill</v>
      </c>
      <c r="C1478" s="10" t="str">
        <f t="shared" si="2"/>
        <v>BRN55G-F9</v>
      </c>
      <c r="D1478" s="11">
        <f t="array" ref="D1478">iferror(index('rna-muscle'!D:D,match(A1478,'rna-muscle'!A:A,0)))</f>
        <v>55</v>
      </c>
      <c r="E1478" s="10" t="str">
        <f t="shared" si="3"/>
        <v>BRN55G</v>
      </c>
      <c r="F1478" s="11" t="str">
        <f t="array" ref="F1478">iferror(index('rna-muscle'!F:F,match($A1478,'rna-muscle'!$A:$A,0)))</f>
        <v>F</v>
      </c>
      <c r="G1478" s="11">
        <f t="array" ref="G1478">iferror(index('rna-muscle'!G:G,match($A1478,'rna-muscle'!$A:$A,0)))</f>
        <v>9</v>
      </c>
      <c r="H1478" s="11" t="str">
        <f t="shared" si="4"/>
        <v>F9</v>
      </c>
      <c r="I1478" s="10" t="str">
        <f t="shared" si="5"/>
        <v>BRN55G-F9</v>
      </c>
      <c r="J1478" s="16"/>
      <c r="K1478" s="16" t="str">
        <f t="shared" si="6"/>
        <v>collected</v>
      </c>
      <c r="L1478" s="16" t="str">
        <f t="shared" si="7"/>
        <v>N</v>
      </c>
      <c r="M1478" s="16"/>
      <c r="N1478" s="16"/>
    </row>
    <row r="1479">
      <c r="A1479" s="40" t="s">
        <v>2022</v>
      </c>
      <c r="B1479" s="10" t="str">
        <f t="shared" si="1"/>
        <v>RNA-gill</v>
      </c>
      <c r="C1479" s="10" t="str">
        <f t="shared" si="2"/>
        <v>BRN55G-E9</v>
      </c>
      <c r="D1479" s="11">
        <f t="array" ref="D1479">iferror(index('rna-muscle'!D:D,match(A1479,'rna-muscle'!A:A,0)))</f>
        <v>55</v>
      </c>
      <c r="E1479" s="10" t="str">
        <f t="shared" si="3"/>
        <v>BRN55G</v>
      </c>
      <c r="F1479" s="11" t="str">
        <f t="array" ref="F1479">iferror(index('rna-muscle'!F:F,match($A1479,'rna-muscle'!$A:$A,0)))</f>
        <v>E</v>
      </c>
      <c r="G1479" s="11">
        <f t="array" ref="G1479">iferror(index('rna-muscle'!G:G,match($A1479,'rna-muscle'!$A:$A,0)))</f>
        <v>9</v>
      </c>
      <c r="H1479" s="11" t="str">
        <f t="shared" si="4"/>
        <v>E9</v>
      </c>
      <c r="I1479" s="10" t="str">
        <f t="shared" si="5"/>
        <v>BRN55G-E9</v>
      </c>
      <c r="J1479" s="16"/>
      <c r="K1479" s="16" t="str">
        <f t="shared" si="6"/>
        <v>collected</v>
      </c>
      <c r="L1479" s="16" t="str">
        <f t="shared" si="7"/>
        <v>N</v>
      </c>
      <c r="M1479" s="16"/>
      <c r="N1479" s="16"/>
    </row>
    <row r="1480">
      <c r="A1480" s="40" t="s">
        <v>2023</v>
      </c>
      <c r="B1480" s="10" t="str">
        <f t="shared" si="1"/>
        <v>RNA-gill</v>
      </c>
      <c r="C1480" s="10" t="str">
        <f t="shared" si="2"/>
        <v>BRN55G-D9</v>
      </c>
      <c r="D1480" s="11">
        <f t="array" ref="D1480">iferror(index('rna-muscle'!D:D,match(A1480,'rna-muscle'!A:A,0)))</f>
        <v>55</v>
      </c>
      <c r="E1480" s="10" t="str">
        <f t="shared" si="3"/>
        <v>BRN55G</v>
      </c>
      <c r="F1480" s="11" t="str">
        <f t="array" ref="F1480">iferror(index('rna-muscle'!F:F,match($A1480,'rna-muscle'!$A:$A,0)))</f>
        <v>D</v>
      </c>
      <c r="G1480" s="11">
        <f t="array" ref="G1480">iferror(index('rna-muscle'!G:G,match($A1480,'rna-muscle'!$A:$A,0)))</f>
        <v>9</v>
      </c>
      <c r="H1480" s="11" t="str">
        <f t="shared" si="4"/>
        <v>D9</v>
      </c>
      <c r="I1480" s="10" t="str">
        <f t="shared" si="5"/>
        <v>BRN55G-D9</v>
      </c>
      <c r="J1480" s="16"/>
      <c r="K1480" s="16" t="str">
        <f t="shared" si="6"/>
        <v>collected</v>
      </c>
      <c r="L1480" s="16" t="str">
        <f t="shared" si="7"/>
        <v>N</v>
      </c>
      <c r="M1480" s="16"/>
      <c r="N1480" s="16"/>
    </row>
    <row r="1481">
      <c r="A1481" s="40" t="s">
        <v>2024</v>
      </c>
      <c r="B1481" s="10" t="str">
        <f t="shared" si="1"/>
        <v>RNA-gill</v>
      </c>
      <c r="C1481" s="10" t="str">
        <f t="shared" si="2"/>
        <v>BRN55G-C9</v>
      </c>
      <c r="D1481" s="11">
        <f t="array" ref="D1481">iferror(index('rna-muscle'!D:D,match(A1481,'rna-muscle'!A:A,0)))</f>
        <v>55</v>
      </c>
      <c r="E1481" s="10" t="str">
        <f t="shared" si="3"/>
        <v>BRN55G</v>
      </c>
      <c r="F1481" s="11" t="str">
        <f t="array" ref="F1481">iferror(index('rna-muscle'!F:F,match($A1481,'rna-muscle'!$A:$A,0)))</f>
        <v>C</v>
      </c>
      <c r="G1481" s="11">
        <f t="array" ref="G1481">iferror(index('rna-muscle'!G:G,match($A1481,'rna-muscle'!$A:$A,0)))</f>
        <v>9</v>
      </c>
      <c r="H1481" s="11" t="str">
        <f t="shared" si="4"/>
        <v>C9</v>
      </c>
      <c r="I1481" s="10" t="str">
        <f t="shared" si="5"/>
        <v>BRN55G-C9</v>
      </c>
      <c r="J1481" s="16"/>
      <c r="K1481" s="16" t="str">
        <f t="shared" si="6"/>
        <v>collected</v>
      </c>
      <c r="L1481" s="16" t="str">
        <f t="shared" si="7"/>
        <v>N</v>
      </c>
      <c r="M1481" s="16"/>
      <c r="N1481" s="16"/>
    </row>
    <row r="1482">
      <c r="A1482" s="40" t="s">
        <v>2025</v>
      </c>
      <c r="B1482" s="10" t="str">
        <f t="shared" si="1"/>
        <v>RNA-gill</v>
      </c>
      <c r="C1482" s="10" t="str">
        <f t="shared" si="2"/>
        <v>BRN55G-B9</v>
      </c>
      <c r="D1482" s="11">
        <f t="array" ref="D1482">iferror(index('rna-muscle'!D:D,match(A1482,'rna-muscle'!A:A,0)))</f>
        <v>55</v>
      </c>
      <c r="E1482" s="10" t="str">
        <f t="shared" si="3"/>
        <v>BRN55G</v>
      </c>
      <c r="F1482" s="11" t="str">
        <f t="array" ref="F1482">iferror(index('rna-muscle'!F:F,match($A1482,'rna-muscle'!$A:$A,0)))</f>
        <v>B</v>
      </c>
      <c r="G1482" s="11">
        <f t="array" ref="G1482">iferror(index('rna-muscle'!G:G,match($A1482,'rna-muscle'!$A:$A,0)))</f>
        <v>9</v>
      </c>
      <c r="H1482" s="11" t="str">
        <f t="shared" si="4"/>
        <v>B9</v>
      </c>
      <c r="I1482" s="10" t="str">
        <f t="shared" si="5"/>
        <v>BRN55G-B9</v>
      </c>
      <c r="J1482" s="16"/>
      <c r="K1482" s="16" t="str">
        <f t="shared" si="6"/>
        <v>collected</v>
      </c>
      <c r="L1482" s="16" t="str">
        <f t="shared" si="7"/>
        <v>N</v>
      </c>
      <c r="M1482" s="16"/>
      <c r="N1482" s="16"/>
    </row>
    <row r="1483">
      <c r="A1483" s="40" t="s">
        <v>2026</v>
      </c>
      <c r="B1483" s="10" t="str">
        <f t="shared" si="1"/>
        <v>RNA-gill</v>
      </c>
      <c r="C1483" s="10" t="str">
        <f t="shared" si="2"/>
        <v>BRN55G-A9</v>
      </c>
      <c r="D1483" s="11">
        <f t="array" ref="D1483">iferror(index('rna-muscle'!D:D,match(A1483,'rna-muscle'!A:A,0)))</f>
        <v>55</v>
      </c>
      <c r="E1483" s="10" t="str">
        <f t="shared" si="3"/>
        <v>BRN55G</v>
      </c>
      <c r="F1483" s="11" t="str">
        <f t="array" ref="F1483">iferror(index('rna-muscle'!F:F,match($A1483,'rna-muscle'!$A:$A,0)))</f>
        <v>A</v>
      </c>
      <c r="G1483" s="11">
        <f t="array" ref="G1483">iferror(index('rna-muscle'!G:G,match($A1483,'rna-muscle'!$A:$A,0)))</f>
        <v>9</v>
      </c>
      <c r="H1483" s="11" t="str">
        <f t="shared" si="4"/>
        <v>A9</v>
      </c>
      <c r="I1483" s="10" t="str">
        <f t="shared" si="5"/>
        <v>BRN55G-A9</v>
      </c>
      <c r="J1483" s="16"/>
      <c r="K1483" s="16" t="str">
        <f t="shared" si="6"/>
        <v>collected</v>
      </c>
      <c r="L1483" s="16" t="str">
        <f t="shared" si="7"/>
        <v>N</v>
      </c>
      <c r="M1483" s="16"/>
      <c r="N1483" s="16"/>
    </row>
    <row r="1484">
      <c r="A1484" s="40" t="s">
        <v>2027</v>
      </c>
      <c r="B1484" s="10" t="str">
        <f t="shared" si="1"/>
        <v>RNA-gill</v>
      </c>
      <c r="C1484" s="10" t="str">
        <f t="shared" si="2"/>
        <v>BRN55G-H10</v>
      </c>
      <c r="D1484" s="11">
        <f t="array" ref="D1484">iferror(index('rna-muscle'!D:D,match(A1484,'rna-muscle'!A:A,0)))</f>
        <v>55</v>
      </c>
      <c r="E1484" s="10" t="str">
        <f t="shared" si="3"/>
        <v>BRN55G</v>
      </c>
      <c r="F1484" s="11" t="str">
        <f t="array" ref="F1484">iferror(index('rna-muscle'!F:F,match($A1484,'rna-muscle'!$A:$A,0)))</f>
        <v>H</v>
      </c>
      <c r="G1484" s="11">
        <f t="array" ref="G1484">iferror(index('rna-muscle'!G:G,match($A1484,'rna-muscle'!$A:$A,0)))</f>
        <v>10</v>
      </c>
      <c r="H1484" s="11" t="str">
        <f t="shared" si="4"/>
        <v>H10</v>
      </c>
      <c r="I1484" s="10" t="str">
        <f t="shared" si="5"/>
        <v>BRN55G-H10</v>
      </c>
      <c r="J1484" s="16"/>
      <c r="K1484" s="16" t="str">
        <f t="shared" si="6"/>
        <v>collected</v>
      </c>
      <c r="L1484" s="16" t="str">
        <f t="shared" si="7"/>
        <v>N</v>
      </c>
      <c r="M1484" s="16"/>
      <c r="N1484" s="16"/>
    </row>
    <row r="1485">
      <c r="A1485" s="40" t="s">
        <v>2028</v>
      </c>
      <c r="B1485" s="10" t="str">
        <f t="shared" si="1"/>
        <v>RNA-gill</v>
      </c>
      <c r="C1485" s="10" t="str">
        <f t="shared" si="2"/>
        <v>BRN55G-G10</v>
      </c>
      <c r="D1485" s="11">
        <f t="array" ref="D1485">iferror(index('rna-muscle'!D:D,match(A1485,'rna-muscle'!A:A,0)))</f>
        <v>55</v>
      </c>
      <c r="E1485" s="10" t="str">
        <f t="shared" si="3"/>
        <v>BRN55G</v>
      </c>
      <c r="F1485" s="11" t="str">
        <f t="array" ref="F1485">iferror(index('rna-muscle'!F:F,match($A1485,'rna-muscle'!$A:$A,0)))</f>
        <v>G</v>
      </c>
      <c r="G1485" s="11">
        <f t="array" ref="G1485">iferror(index('rna-muscle'!G:G,match($A1485,'rna-muscle'!$A:$A,0)))</f>
        <v>10</v>
      </c>
      <c r="H1485" s="11" t="str">
        <f t="shared" si="4"/>
        <v>G10</v>
      </c>
      <c r="I1485" s="10" t="str">
        <f t="shared" si="5"/>
        <v>BRN55G-G10</v>
      </c>
      <c r="J1485" s="16"/>
      <c r="K1485" s="16" t="str">
        <f t="shared" si="6"/>
        <v>collected</v>
      </c>
      <c r="L1485" s="16" t="str">
        <f t="shared" si="7"/>
        <v>N</v>
      </c>
      <c r="M1485" s="16"/>
      <c r="N1485" s="16"/>
    </row>
    <row r="1486">
      <c r="A1486" s="40" t="s">
        <v>2029</v>
      </c>
      <c r="B1486" s="10" t="str">
        <f t="shared" si="1"/>
        <v>RNA-gill</v>
      </c>
      <c r="C1486" s="10" t="str">
        <f t="shared" si="2"/>
        <v>BRN55G-F10</v>
      </c>
      <c r="D1486" s="11">
        <f t="array" ref="D1486">iferror(index('rna-muscle'!D:D,match(A1486,'rna-muscle'!A:A,0)))</f>
        <v>55</v>
      </c>
      <c r="E1486" s="10" t="str">
        <f t="shared" si="3"/>
        <v>BRN55G</v>
      </c>
      <c r="F1486" s="11" t="str">
        <f t="array" ref="F1486">iferror(index('rna-muscle'!F:F,match($A1486,'rna-muscle'!$A:$A,0)))</f>
        <v>F</v>
      </c>
      <c r="G1486" s="11">
        <f t="array" ref="G1486">iferror(index('rna-muscle'!G:G,match($A1486,'rna-muscle'!$A:$A,0)))</f>
        <v>10</v>
      </c>
      <c r="H1486" s="11" t="str">
        <f t="shared" si="4"/>
        <v>F10</v>
      </c>
      <c r="I1486" s="10" t="str">
        <f t="shared" si="5"/>
        <v>BRN55G-F10</v>
      </c>
      <c r="J1486" s="16"/>
      <c r="K1486" s="16" t="str">
        <f t="shared" si="6"/>
        <v>collected</v>
      </c>
      <c r="L1486" s="16" t="str">
        <f t="shared" si="7"/>
        <v>N</v>
      </c>
      <c r="M1486" s="16"/>
      <c r="N1486" s="16"/>
    </row>
    <row r="1487">
      <c r="A1487" s="40" t="s">
        <v>2030</v>
      </c>
      <c r="B1487" s="10" t="str">
        <f t="shared" si="1"/>
        <v>RNA-gill</v>
      </c>
      <c r="C1487" s="10" t="str">
        <f t="shared" si="2"/>
        <v>BRN55G-E10</v>
      </c>
      <c r="D1487" s="11">
        <f t="array" ref="D1487">iferror(index('rna-muscle'!D:D,match(A1487,'rna-muscle'!A:A,0)))</f>
        <v>55</v>
      </c>
      <c r="E1487" s="10" t="str">
        <f t="shared" si="3"/>
        <v>BRN55G</v>
      </c>
      <c r="F1487" s="11" t="str">
        <f t="array" ref="F1487">iferror(index('rna-muscle'!F:F,match($A1487,'rna-muscle'!$A:$A,0)))</f>
        <v>E</v>
      </c>
      <c r="G1487" s="11">
        <f t="array" ref="G1487">iferror(index('rna-muscle'!G:G,match($A1487,'rna-muscle'!$A:$A,0)))</f>
        <v>10</v>
      </c>
      <c r="H1487" s="11" t="str">
        <f t="shared" si="4"/>
        <v>E10</v>
      </c>
      <c r="I1487" s="10" t="str">
        <f t="shared" si="5"/>
        <v>BRN55G-E10</v>
      </c>
      <c r="J1487" s="16"/>
      <c r="K1487" s="16" t="str">
        <f t="shared" si="6"/>
        <v>collected</v>
      </c>
      <c r="L1487" s="16" t="str">
        <f t="shared" si="7"/>
        <v>N</v>
      </c>
      <c r="M1487" s="16"/>
      <c r="N1487" s="16"/>
    </row>
    <row r="1488">
      <c r="A1488" s="40" t="s">
        <v>2031</v>
      </c>
      <c r="B1488" s="10" t="str">
        <f t="shared" si="1"/>
        <v>RNA-gill</v>
      </c>
      <c r="C1488" s="10" t="str">
        <f t="shared" si="2"/>
        <v>BRN55G-D10</v>
      </c>
      <c r="D1488" s="11">
        <f t="array" ref="D1488">iferror(index('rna-muscle'!D:D,match(A1488,'rna-muscle'!A:A,0)))</f>
        <v>55</v>
      </c>
      <c r="E1488" s="10" t="str">
        <f t="shared" si="3"/>
        <v>BRN55G</v>
      </c>
      <c r="F1488" s="11" t="str">
        <f t="array" ref="F1488">iferror(index('rna-muscle'!F:F,match($A1488,'rna-muscle'!$A:$A,0)))</f>
        <v>D</v>
      </c>
      <c r="G1488" s="11">
        <f t="array" ref="G1488">iferror(index('rna-muscle'!G:G,match($A1488,'rna-muscle'!$A:$A,0)))</f>
        <v>10</v>
      </c>
      <c r="H1488" s="11" t="str">
        <f t="shared" si="4"/>
        <v>D10</v>
      </c>
      <c r="I1488" s="10" t="str">
        <f t="shared" si="5"/>
        <v>BRN55G-D10</v>
      </c>
      <c r="J1488" s="16"/>
      <c r="K1488" s="16" t="str">
        <f t="shared" si="6"/>
        <v>collected</v>
      </c>
      <c r="L1488" s="16" t="str">
        <f t="shared" si="7"/>
        <v>N</v>
      </c>
      <c r="M1488" s="16"/>
      <c r="N1488" s="16"/>
    </row>
    <row r="1489">
      <c r="A1489" s="40" t="s">
        <v>2032</v>
      </c>
      <c r="B1489" s="10" t="str">
        <f t="shared" si="1"/>
        <v>RNA-gill</v>
      </c>
      <c r="C1489" s="10" t="str">
        <f t="shared" si="2"/>
        <v>BRN55G-C10</v>
      </c>
      <c r="D1489" s="11">
        <f t="array" ref="D1489">iferror(index('rna-muscle'!D:D,match(A1489,'rna-muscle'!A:A,0)))</f>
        <v>55</v>
      </c>
      <c r="E1489" s="10" t="str">
        <f t="shared" si="3"/>
        <v>BRN55G</v>
      </c>
      <c r="F1489" s="11" t="str">
        <f t="array" ref="F1489">iferror(index('rna-muscle'!F:F,match($A1489,'rna-muscle'!$A:$A,0)))</f>
        <v>C</v>
      </c>
      <c r="G1489" s="11">
        <f t="array" ref="G1489">iferror(index('rna-muscle'!G:G,match($A1489,'rna-muscle'!$A:$A,0)))</f>
        <v>10</v>
      </c>
      <c r="H1489" s="11" t="str">
        <f t="shared" si="4"/>
        <v>C10</v>
      </c>
      <c r="I1489" s="10" t="str">
        <f t="shared" si="5"/>
        <v>BRN55G-C10</v>
      </c>
      <c r="J1489" s="16"/>
      <c r="K1489" s="16" t="str">
        <f t="shared" si="6"/>
        <v>collected</v>
      </c>
      <c r="L1489" s="16" t="str">
        <f t="shared" si="7"/>
        <v>N</v>
      </c>
      <c r="M1489" s="16"/>
      <c r="N1489" s="16"/>
    </row>
    <row r="1490">
      <c r="A1490" s="40" t="s">
        <v>2033</v>
      </c>
      <c r="B1490" s="10" t="str">
        <f t="shared" si="1"/>
        <v>RNA-gill</v>
      </c>
      <c r="C1490" s="10" t="str">
        <f t="shared" si="2"/>
        <v>BRN55G-B10</v>
      </c>
      <c r="D1490" s="11">
        <f t="array" ref="D1490">iferror(index('rna-muscle'!D:D,match(A1490,'rna-muscle'!A:A,0)))</f>
        <v>55</v>
      </c>
      <c r="E1490" s="10" t="str">
        <f t="shared" si="3"/>
        <v>BRN55G</v>
      </c>
      <c r="F1490" s="11" t="str">
        <f t="array" ref="F1490">iferror(index('rna-muscle'!F:F,match($A1490,'rna-muscle'!$A:$A,0)))</f>
        <v>B</v>
      </c>
      <c r="G1490" s="11">
        <f t="array" ref="G1490">iferror(index('rna-muscle'!G:G,match($A1490,'rna-muscle'!$A:$A,0)))</f>
        <v>10</v>
      </c>
      <c r="H1490" s="11" t="str">
        <f t="shared" si="4"/>
        <v>B10</v>
      </c>
      <c r="I1490" s="10" t="str">
        <f t="shared" si="5"/>
        <v>BRN55G-B10</v>
      </c>
      <c r="J1490" s="16"/>
      <c r="K1490" s="16" t="str">
        <f t="shared" si="6"/>
        <v>collected</v>
      </c>
      <c r="L1490" s="16" t="str">
        <f t="shared" si="7"/>
        <v>N</v>
      </c>
      <c r="M1490" s="16"/>
      <c r="N1490" s="16"/>
    </row>
    <row r="1491">
      <c r="A1491" s="40" t="s">
        <v>2034</v>
      </c>
      <c r="B1491" s="10" t="str">
        <f t="shared" si="1"/>
        <v>RNA-gill</v>
      </c>
      <c r="C1491" s="10" t="str">
        <f t="shared" si="2"/>
        <v>BRN55G-A10</v>
      </c>
      <c r="D1491" s="11">
        <f t="array" ref="D1491">iferror(index('rna-muscle'!D:D,match(A1491,'rna-muscle'!A:A,0)))</f>
        <v>55</v>
      </c>
      <c r="E1491" s="10" t="str">
        <f t="shared" si="3"/>
        <v>BRN55G</v>
      </c>
      <c r="F1491" s="11" t="str">
        <f t="array" ref="F1491">iferror(index('rna-muscle'!F:F,match($A1491,'rna-muscle'!$A:$A,0)))</f>
        <v>A</v>
      </c>
      <c r="G1491" s="11">
        <f t="array" ref="G1491">iferror(index('rna-muscle'!G:G,match($A1491,'rna-muscle'!$A:$A,0)))</f>
        <v>10</v>
      </c>
      <c r="H1491" s="11" t="str">
        <f t="shared" si="4"/>
        <v>A10</v>
      </c>
      <c r="I1491" s="10" t="str">
        <f t="shared" si="5"/>
        <v>BRN55G-A10</v>
      </c>
      <c r="J1491" s="16"/>
      <c r="K1491" s="16" t="str">
        <f t="shared" si="6"/>
        <v>collected</v>
      </c>
      <c r="L1491" s="16" t="str">
        <f t="shared" si="7"/>
        <v>N</v>
      </c>
      <c r="M1491" s="16"/>
      <c r="N1491" s="16"/>
    </row>
    <row r="1492">
      <c r="A1492" s="40" t="s">
        <v>2035</v>
      </c>
      <c r="B1492" s="10" t="str">
        <f t="shared" si="1"/>
        <v>RNA-gill</v>
      </c>
      <c r="C1492" s="10" t="str">
        <f t="shared" si="2"/>
        <v>BRN55G-H11</v>
      </c>
      <c r="D1492" s="11">
        <f t="array" ref="D1492">iferror(index('rna-muscle'!D:D,match(A1492,'rna-muscle'!A:A,0)))</f>
        <v>55</v>
      </c>
      <c r="E1492" s="10" t="str">
        <f t="shared" si="3"/>
        <v>BRN55G</v>
      </c>
      <c r="F1492" s="11" t="str">
        <f t="array" ref="F1492">iferror(index('rna-muscle'!F:F,match($A1492,'rna-muscle'!$A:$A,0)))</f>
        <v>H</v>
      </c>
      <c r="G1492" s="11">
        <f t="array" ref="G1492">iferror(index('rna-muscle'!G:G,match($A1492,'rna-muscle'!$A:$A,0)))</f>
        <v>11</v>
      </c>
      <c r="H1492" s="11" t="str">
        <f t="shared" si="4"/>
        <v>H11</v>
      </c>
      <c r="I1492" s="10" t="str">
        <f t="shared" si="5"/>
        <v>BRN55G-H11</v>
      </c>
      <c r="J1492" s="16"/>
      <c r="K1492" s="16" t="str">
        <f t="shared" si="6"/>
        <v>collected</v>
      </c>
      <c r="L1492" s="16" t="str">
        <f t="shared" si="7"/>
        <v>N</v>
      </c>
      <c r="M1492" s="16"/>
      <c r="N1492" s="16"/>
    </row>
    <row r="1493">
      <c r="A1493" s="40" t="s">
        <v>2036</v>
      </c>
      <c r="B1493" s="10" t="str">
        <f t="shared" si="1"/>
        <v>RNA-gill</v>
      </c>
      <c r="C1493" s="10" t="str">
        <f t="shared" si="2"/>
        <v>BRN55G-G11</v>
      </c>
      <c r="D1493" s="11">
        <f t="array" ref="D1493">iferror(index('rna-muscle'!D:D,match(A1493,'rna-muscle'!A:A,0)))</f>
        <v>55</v>
      </c>
      <c r="E1493" s="10" t="str">
        <f t="shared" si="3"/>
        <v>BRN55G</v>
      </c>
      <c r="F1493" s="11" t="str">
        <f t="array" ref="F1493">iferror(index('rna-muscle'!F:F,match($A1493,'rna-muscle'!$A:$A,0)))</f>
        <v>G</v>
      </c>
      <c r="G1493" s="11">
        <f t="array" ref="G1493">iferror(index('rna-muscle'!G:G,match($A1493,'rna-muscle'!$A:$A,0)))</f>
        <v>11</v>
      </c>
      <c r="H1493" s="11" t="str">
        <f t="shared" si="4"/>
        <v>G11</v>
      </c>
      <c r="I1493" s="10" t="str">
        <f t="shared" si="5"/>
        <v>BRN55G-G11</v>
      </c>
      <c r="J1493" s="16"/>
      <c r="K1493" s="16" t="str">
        <f t="shared" si="6"/>
        <v>collected</v>
      </c>
      <c r="L1493" s="16" t="str">
        <f t="shared" si="7"/>
        <v>N</v>
      </c>
      <c r="M1493" s="16"/>
      <c r="N1493" s="16"/>
    </row>
    <row r="1494">
      <c r="A1494" s="40" t="s">
        <v>2037</v>
      </c>
      <c r="B1494" s="10" t="str">
        <f t="shared" si="1"/>
        <v>RNA-gill</v>
      </c>
      <c r="C1494" s="10" t="str">
        <f t="shared" si="2"/>
        <v>BRN55G-F11</v>
      </c>
      <c r="D1494" s="11">
        <f t="array" ref="D1494">iferror(index('rna-muscle'!D:D,match(A1494,'rna-muscle'!A:A,0)))</f>
        <v>55</v>
      </c>
      <c r="E1494" s="10" t="str">
        <f t="shared" si="3"/>
        <v>BRN55G</v>
      </c>
      <c r="F1494" s="11" t="str">
        <f t="array" ref="F1494">iferror(index('rna-muscle'!F:F,match($A1494,'rna-muscle'!$A:$A,0)))</f>
        <v>F</v>
      </c>
      <c r="G1494" s="11">
        <f t="array" ref="G1494">iferror(index('rna-muscle'!G:G,match($A1494,'rna-muscle'!$A:$A,0)))</f>
        <v>11</v>
      </c>
      <c r="H1494" s="11" t="str">
        <f t="shared" si="4"/>
        <v>F11</v>
      </c>
      <c r="I1494" s="10" t="str">
        <f t="shared" si="5"/>
        <v>BRN55G-F11</v>
      </c>
      <c r="J1494" s="16"/>
      <c r="K1494" s="16" t="str">
        <f t="shared" si="6"/>
        <v>collected</v>
      </c>
      <c r="L1494" s="16" t="str">
        <f t="shared" si="7"/>
        <v>N</v>
      </c>
      <c r="M1494" s="16"/>
      <c r="N1494" s="16"/>
    </row>
    <row r="1495">
      <c r="A1495" s="40" t="s">
        <v>2038</v>
      </c>
      <c r="B1495" s="10" t="str">
        <f t="shared" si="1"/>
        <v>RNA-gill</v>
      </c>
      <c r="C1495" s="10" t="str">
        <f t="shared" si="2"/>
        <v>BRN55G-E11</v>
      </c>
      <c r="D1495" s="11">
        <f t="array" ref="D1495">iferror(index('rna-muscle'!D:D,match(A1495,'rna-muscle'!A:A,0)))</f>
        <v>55</v>
      </c>
      <c r="E1495" s="10" t="str">
        <f t="shared" si="3"/>
        <v>BRN55G</v>
      </c>
      <c r="F1495" s="11" t="str">
        <f t="array" ref="F1495">iferror(index('rna-muscle'!F:F,match($A1495,'rna-muscle'!$A:$A,0)))</f>
        <v>E</v>
      </c>
      <c r="G1495" s="11">
        <f t="array" ref="G1495">iferror(index('rna-muscle'!G:G,match($A1495,'rna-muscle'!$A:$A,0)))</f>
        <v>11</v>
      </c>
      <c r="H1495" s="11" t="str">
        <f t="shared" si="4"/>
        <v>E11</v>
      </c>
      <c r="I1495" s="10" t="str">
        <f t="shared" si="5"/>
        <v>BRN55G-E11</v>
      </c>
      <c r="J1495" s="16"/>
      <c r="K1495" s="16" t="str">
        <f t="shared" si="6"/>
        <v>collected</v>
      </c>
      <c r="L1495" s="16" t="str">
        <f t="shared" si="7"/>
        <v>N</v>
      </c>
      <c r="M1495" s="16"/>
      <c r="N1495" s="16"/>
    </row>
    <row r="1496">
      <c r="A1496" s="40" t="s">
        <v>2039</v>
      </c>
      <c r="B1496" s="10" t="str">
        <f t="shared" si="1"/>
        <v>RNA-gill</v>
      </c>
      <c r="C1496" s="10" t="str">
        <f t="shared" si="2"/>
        <v>BRN55G-D11</v>
      </c>
      <c r="D1496" s="11">
        <f t="array" ref="D1496">iferror(index('rna-muscle'!D:D,match(A1496,'rna-muscle'!A:A,0)))</f>
        <v>55</v>
      </c>
      <c r="E1496" s="10" t="str">
        <f t="shared" si="3"/>
        <v>BRN55G</v>
      </c>
      <c r="F1496" s="11" t="str">
        <f t="array" ref="F1496">iferror(index('rna-muscle'!F:F,match($A1496,'rna-muscle'!$A:$A,0)))</f>
        <v>D</v>
      </c>
      <c r="G1496" s="11">
        <f t="array" ref="G1496">iferror(index('rna-muscle'!G:G,match($A1496,'rna-muscle'!$A:$A,0)))</f>
        <v>11</v>
      </c>
      <c r="H1496" s="11" t="str">
        <f t="shared" si="4"/>
        <v>D11</v>
      </c>
      <c r="I1496" s="10" t="str">
        <f t="shared" si="5"/>
        <v>BRN55G-D11</v>
      </c>
      <c r="J1496" s="16"/>
      <c r="K1496" s="16" t="str">
        <f t="shared" si="6"/>
        <v>collected</v>
      </c>
      <c r="L1496" s="16" t="str">
        <f t="shared" si="7"/>
        <v>N</v>
      </c>
      <c r="M1496" s="16"/>
      <c r="N1496" s="16"/>
    </row>
    <row r="1497">
      <c r="A1497" s="40" t="s">
        <v>2040</v>
      </c>
      <c r="B1497" s="10" t="str">
        <f t="shared" si="1"/>
        <v>RNA-gill</v>
      </c>
      <c r="C1497" s="10" t="str">
        <f t="shared" si="2"/>
        <v>BRN53G-H10</v>
      </c>
      <c r="D1497" s="11">
        <f t="array" ref="D1497">iferror(index('rna-muscle'!D:D,match(A1497,'rna-muscle'!A:A,0)))</f>
        <v>53</v>
      </c>
      <c r="E1497" s="10" t="str">
        <f t="shared" si="3"/>
        <v>BRN53G</v>
      </c>
      <c r="F1497" s="11" t="str">
        <f t="array" ref="F1497">iferror(index('rna-muscle'!F:F,match($A1497,'rna-muscle'!$A:$A,0)))</f>
        <v>H</v>
      </c>
      <c r="G1497" s="11">
        <f t="array" ref="G1497">iferror(index('rna-muscle'!G:G,match($A1497,'rna-muscle'!$A:$A,0)))</f>
        <v>10</v>
      </c>
      <c r="H1497" s="11" t="str">
        <f t="shared" si="4"/>
        <v>H10</v>
      </c>
      <c r="I1497" s="10" t="str">
        <f t="shared" si="5"/>
        <v>BRN53G-H10</v>
      </c>
      <c r="J1497" s="16"/>
      <c r="K1497" s="16" t="str">
        <f t="shared" si="6"/>
        <v>collected</v>
      </c>
      <c r="L1497" s="16" t="str">
        <f t="shared" si="7"/>
        <v>N</v>
      </c>
      <c r="M1497" s="16"/>
      <c r="N1497" s="16"/>
    </row>
    <row r="1498">
      <c r="A1498" s="40" t="s">
        <v>2041</v>
      </c>
      <c r="B1498" s="10" t="str">
        <f t="shared" si="1"/>
        <v>RNA-gill</v>
      </c>
      <c r="C1498" s="10" t="str">
        <f t="shared" si="2"/>
        <v>BRN53G-G10</v>
      </c>
      <c r="D1498" s="11">
        <f t="array" ref="D1498">iferror(index('rna-muscle'!D:D,match(A1498,'rna-muscle'!A:A,0)))</f>
        <v>53</v>
      </c>
      <c r="E1498" s="10" t="str">
        <f t="shared" si="3"/>
        <v>BRN53G</v>
      </c>
      <c r="F1498" s="11" t="str">
        <f t="array" ref="F1498">iferror(index('rna-muscle'!F:F,match($A1498,'rna-muscle'!$A:$A,0)))</f>
        <v>G</v>
      </c>
      <c r="G1498" s="11">
        <f t="array" ref="G1498">iferror(index('rna-muscle'!G:G,match($A1498,'rna-muscle'!$A:$A,0)))</f>
        <v>10</v>
      </c>
      <c r="H1498" s="11" t="str">
        <f t="shared" si="4"/>
        <v>G10</v>
      </c>
      <c r="I1498" s="10" t="str">
        <f t="shared" si="5"/>
        <v>BRN53G-G10</v>
      </c>
      <c r="J1498" s="16"/>
      <c r="K1498" s="16" t="str">
        <f t="shared" si="6"/>
        <v>collected</v>
      </c>
      <c r="L1498" s="16" t="str">
        <f t="shared" si="7"/>
        <v>N</v>
      </c>
      <c r="M1498" s="16"/>
      <c r="N1498" s="16"/>
    </row>
    <row r="1499">
      <c r="A1499" s="40" t="s">
        <v>2042</v>
      </c>
      <c r="B1499" s="10" t="str">
        <f t="shared" si="1"/>
        <v>RNA-gill</v>
      </c>
      <c r="C1499" s="10" t="str">
        <f t="shared" si="2"/>
        <v>BRN53G-F10</v>
      </c>
      <c r="D1499" s="11">
        <f t="array" ref="D1499">iferror(index('rna-muscle'!D:D,match(A1499,'rna-muscle'!A:A,0)))</f>
        <v>53</v>
      </c>
      <c r="E1499" s="10" t="str">
        <f t="shared" si="3"/>
        <v>BRN53G</v>
      </c>
      <c r="F1499" s="11" t="str">
        <f t="array" ref="F1499">iferror(index('rna-muscle'!F:F,match($A1499,'rna-muscle'!$A:$A,0)))</f>
        <v>F</v>
      </c>
      <c r="G1499" s="11">
        <f t="array" ref="G1499">iferror(index('rna-muscle'!G:G,match($A1499,'rna-muscle'!$A:$A,0)))</f>
        <v>10</v>
      </c>
      <c r="H1499" s="11" t="str">
        <f t="shared" si="4"/>
        <v>F10</v>
      </c>
      <c r="I1499" s="10" t="str">
        <f t="shared" si="5"/>
        <v>BRN53G-F10</v>
      </c>
      <c r="J1499" s="16"/>
      <c r="K1499" s="16" t="str">
        <f t="shared" si="6"/>
        <v>collected</v>
      </c>
      <c r="L1499" s="16" t="str">
        <f t="shared" si="7"/>
        <v>N</v>
      </c>
      <c r="M1499" s="16"/>
      <c r="N1499" s="16"/>
    </row>
    <row r="1500">
      <c r="A1500" s="40" t="s">
        <v>2043</v>
      </c>
      <c r="B1500" s="10" t="str">
        <f t="shared" si="1"/>
        <v>RNA-gill</v>
      </c>
      <c r="C1500" s="10" t="str">
        <f t="shared" si="2"/>
        <v>BRN53G-E10</v>
      </c>
      <c r="D1500" s="11">
        <f t="array" ref="D1500">iferror(index('rna-muscle'!D:D,match(A1500,'rna-muscle'!A:A,0)))</f>
        <v>53</v>
      </c>
      <c r="E1500" s="10" t="str">
        <f t="shared" si="3"/>
        <v>BRN53G</v>
      </c>
      <c r="F1500" s="11" t="str">
        <f t="array" ref="F1500">iferror(index('rna-muscle'!F:F,match($A1500,'rna-muscle'!$A:$A,0)))</f>
        <v>E</v>
      </c>
      <c r="G1500" s="11">
        <f t="array" ref="G1500">iferror(index('rna-muscle'!G:G,match($A1500,'rna-muscle'!$A:$A,0)))</f>
        <v>10</v>
      </c>
      <c r="H1500" s="11" t="str">
        <f t="shared" si="4"/>
        <v>E10</v>
      </c>
      <c r="I1500" s="10" t="str">
        <f t="shared" si="5"/>
        <v>BRN53G-E10</v>
      </c>
      <c r="J1500" s="16"/>
      <c r="K1500" s="16" t="str">
        <f t="shared" si="6"/>
        <v>collected</v>
      </c>
      <c r="L1500" s="16" t="str">
        <f t="shared" si="7"/>
        <v>N</v>
      </c>
      <c r="M1500" s="16"/>
      <c r="N1500" s="16"/>
    </row>
    <row r="1501">
      <c r="A1501" s="40" t="s">
        <v>2044</v>
      </c>
      <c r="B1501" s="10" t="str">
        <f t="shared" si="1"/>
        <v>RNA-gill</v>
      </c>
      <c r="C1501" s="10" t="str">
        <f t="shared" si="2"/>
        <v>BRN53G-D10</v>
      </c>
      <c r="D1501" s="11">
        <f t="array" ref="D1501">iferror(index('rna-muscle'!D:D,match(A1501,'rna-muscle'!A:A,0)))</f>
        <v>53</v>
      </c>
      <c r="E1501" s="10" t="str">
        <f t="shared" si="3"/>
        <v>BRN53G</v>
      </c>
      <c r="F1501" s="11" t="str">
        <f t="array" ref="F1501">iferror(index('rna-muscle'!F:F,match($A1501,'rna-muscle'!$A:$A,0)))</f>
        <v>D</v>
      </c>
      <c r="G1501" s="11">
        <f t="array" ref="G1501">iferror(index('rna-muscle'!G:G,match($A1501,'rna-muscle'!$A:$A,0)))</f>
        <v>10</v>
      </c>
      <c r="H1501" s="11" t="str">
        <f t="shared" si="4"/>
        <v>D10</v>
      </c>
      <c r="I1501" s="10" t="str">
        <f t="shared" si="5"/>
        <v>BRN53G-D10</v>
      </c>
      <c r="J1501" s="16"/>
      <c r="K1501" s="16" t="str">
        <f t="shared" si="6"/>
        <v>collected</v>
      </c>
      <c r="L1501" s="16" t="str">
        <f t="shared" si="7"/>
        <v>N</v>
      </c>
      <c r="M1501" s="16"/>
      <c r="N1501" s="16"/>
    </row>
    <row r="1502">
      <c r="A1502" s="40" t="s">
        <v>2045</v>
      </c>
      <c r="B1502" s="10" t="str">
        <f t="shared" si="1"/>
        <v>RNA-gill</v>
      </c>
      <c r="C1502" s="10" t="str">
        <f t="shared" si="2"/>
        <v>BRN53G-C10</v>
      </c>
      <c r="D1502" s="11">
        <f t="array" ref="D1502">iferror(index('rna-muscle'!D:D,match(A1502,'rna-muscle'!A:A,0)))</f>
        <v>53</v>
      </c>
      <c r="E1502" s="10" t="str">
        <f t="shared" si="3"/>
        <v>BRN53G</v>
      </c>
      <c r="F1502" s="11" t="str">
        <f t="array" ref="F1502">iferror(index('rna-muscle'!F:F,match($A1502,'rna-muscle'!$A:$A,0)))</f>
        <v>C</v>
      </c>
      <c r="G1502" s="11">
        <f t="array" ref="G1502">iferror(index('rna-muscle'!G:G,match($A1502,'rna-muscle'!$A:$A,0)))</f>
        <v>10</v>
      </c>
      <c r="H1502" s="11" t="str">
        <f t="shared" si="4"/>
        <v>C10</v>
      </c>
      <c r="I1502" s="10" t="str">
        <f t="shared" si="5"/>
        <v>BRN53G-C10</v>
      </c>
      <c r="J1502" s="16"/>
      <c r="K1502" s="16" t="str">
        <f t="shared" si="6"/>
        <v>collected</v>
      </c>
      <c r="L1502" s="16" t="str">
        <f t="shared" si="7"/>
        <v>N</v>
      </c>
      <c r="M1502" s="16"/>
      <c r="N1502" s="16"/>
    </row>
    <row r="1503">
      <c r="A1503" s="40" t="s">
        <v>2046</v>
      </c>
      <c r="B1503" s="10" t="str">
        <f t="shared" si="1"/>
        <v>RNA-gill</v>
      </c>
      <c r="C1503" s="10" t="str">
        <f t="shared" si="2"/>
        <v>BRN53G-B10</v>
      </c>
      <c r="D1503" s="11">
        <f t="array" ref="D1503">iferror(index('rna-muscle'!D:D,match(A1503,'rna-muscle'!A:A,0)))</f>
        <v>53</v>
      </c>
      <c r="E1503" s="10" t="str">
        <f t="shared" si="3"/>
        <v>BRN53G</v>
      </c>
      <c r="F1503" s="11" t="str">
        <f t="array" ref="F1503">iferror(index('rna-muscle'!F:F,match($A1503,'rna-muscle'!$A:$A,0)))</f>
        <v>B</v>
      </c>
      <c r="G1503" s="11">
        <f t="array" ref="G1503">iferror(index('rna-muscle'!G:G,match($A1503,'rna-muscle'!$A:$A,0)))</f>
        <v>10</v>
      </c>
      <c r="H1503" s="11" t="str">
        <f t="shared" si="4"/>
        <v>B10</v>
      </c>
      <c r="I1503" s="10" t="str">
        <f t="shared" si="5"/>
        <v>BRN53G-B10</v>
      </c>
      <c r="J1503" s="16"/>
      <c r="K1503" s="16" t="str">
        <f t="shared" si="6"/>
        <v>collected</v>
      </c>
      <c r="L1503" s="16" t="str">
        <f t="shared" si="7"/>
        <v>N</v>
      </c>
      <c r="M1503" s="16"/>
      <c r="N1503" s="16"/>
    </row>
    <row r="1504">
      <c r="A1504" s="40" t="s">
        <v>2047</v>
      </c>
      <c r="B1504" s="10" t="str">
        <f t="shared" si="1"/>
        <v>RNA-gill</v>
      </c>
      <c r="C1504" s="10" t="str">
        <f t="shared" si="2"/>
        <v>BRN53G-A10</v>
      </c>
      <c r="D1504" s="11">
        <f t="array" ref="D1504">iferror(index('rna-muscle'!D:D,match(A1504,'rna-muscle'!A:A,0)))</f>
        <v>53</v>
      </c>
      <c r="E1504" s="10" t="str">
        <f t="shared" si="3"/>
        <v>BRN53G</v>
      </c>
      <c r="F1504" s="11" t="str">
        <f t="array" ref="F1504">iferror(index('rna-muscle'!F:F,match($A1504,'rna-muscle'!$A:$A,0)))</f>
        <v>A</v>
      </c>
      <c r="G1504" s="11">
        <f t="array" ref="G1504">iferror(index('rna-muscle'!G:G,match($A1504,'rna-muscle'!$A:$A,0)))</f>
        <v>10</v>
      </c>
      <c r="H1504" s="11" t="str">
        <f t="shared" si="4"/>
        <v>A10</v>
      </c>
      <c r="I1504" s="10" t="str">
        <f t="shared" si="5"/>
        <v>BRN53G-A10</v>
      </c>
      <c r="J1504" s="16"/>
      <c r="K1504" s="16" t="str">
        <f t="shared" si="6"/>
        <v>collected</v>
      </c>
      <c r="L1504" s="16" t="str">
        <f t="shared" si="7"/>
        <v>N</v>
      </c>
      <c r="M1504" s="16"/>
      <c r="N1504" s="16"/>
    </row>
    <row r="1505">
      <c r="A1505" s="40" t="s">
        <v>2048</v>
      </c>
      <c r="B1505" s="10" t="str">
        <f t="shared" si="1"/>
        <v>RNA-gill</v>
      </c>
      <c r="C1505" s="10" t="str">
        <f t="shared" si="2"/>
        <v>BRN53G-H11</v>
      </c>
      <c r="D1505" s="11">
        <f t="array" ref="D1505">iferror(index('rna-muscle'!D:D,match(A1505,'rna-muscle'!A:A,0)))</f>
        <v>53</v>
      </c>
      <c r="E1505" s="10" t="str">
        <f t="shared" si="3"/>
        <v>BRN53G</v>
      </c>
      <c r="F1505" s="11" t="str">
        <f t="array" ref="F1505">iferror(index('rna-muscle'!F:F,match($A1505,'rna-muscle'!$A:$A,0)))</f>
        <v>H</v>
      </c>
      <c r="G1505" s="11">
        <f t="array" ref="G1505">iferror(index('rna-muscle'!G:G,match($A1505,'rna-muscle'!$A:$A,0)))</f>
        <v>11</v>
      </c>
      <c r="H1505" s="11" t="str">
        <f t="shared" si="4"/>
        <v>H11</v>
      </c>
      <c r="I1505" s="10" t="str">
        <f t="shared" si="5"/>
        <v>BRN53G-H11</v>
      </c>
      <c r="J1505" s="16"/>
      <c r="K1505" s="16" t="str">
        <f t="shared" si="6"/>
        <v>collected</v>
      </c>
      <c r="L1505" s="16" t="str">
        <f t="shared" si="7"/>
        <v>N</v>
      </c>
      <c r="M1505" s="16"/>
      <c r="N1505" s="16"/>
    </row>
    <row r="1506">
      <c r="A1506" s="40" t="s">
        <v>2049</v>
      </c>
      <c r="B1506" s="10" t="str">
        <f t="shared" si="1"/>
        <v>RNA-gill</v>
      </c>
      <c r="C1506" s="10" t="str">
        <f t="shared" si="2"/>
        <v>BRN53G-G11</v>
      </c>
      <c r="D1506" s="11">
        <f t="array" ref="D1506">iferror(index('rna-muscle'!D:D,match(A1506,'rna-muscle'!A:A,0)))</f>
        <v>53</v>
      </c>
      <c r="E1506" s="10" t="str">
        <f t="shared" si="3"/>
        <v>BRN53G</v>
      </c>
      <c r="F1506" s="11" t="str">
        <f t="array" ref="F1506">iferror(index('rna-muscle'!F:F,match($A1506,'rna-muscle'!$A:$A,0)))</f>
        <v>G</v>
      </c>
      <c r="G1506" s="11">
        <f t="array" ref="G1506">iferror(index('rna-muscle'!G:G,match($A1506,'rna-muscle'!$A:$A,0)))</f>
        <v>11</v>
      </c>
      <c r="H1506" s="11" t="str">
        <f t="shared" si="4"/>
        <v>G11</v>
      </c>
      <c r="I1506" s="10" t="str">
        <f t="shared" si="5"/>
        <v>BRN53G-G11</v>
      </c>
      <c r="J1506" s="16"/>
      <c r="K1506" s="16" t="str">
        <f t="shared" si="6"/>
        <v>collected</v>
      </c>
      <c r="L1506" s="16" t="str">
        <f t="shared" si="7"/>
        <v>N</v>
      </c>
      <c r="M1506" s="16"/>
      <c r="N1506" s="16"/>
    </row>
    <row r="1507">
      <c r="A1507" s="40" t="s">
        <v>2050</v>
      </c>
      <c r="B1507" s="10" t="str">
        <f t="shared" si="1"/>
        <v>RNA-gill</v>
      </c>
      <c r="C1507" s="10" t="str">
        <f t="shared" si="2"/>
        <v>BRN53G-F11</v>
      </c>
      <c r="D1507" s="11">
        <f t="array" ref="D1507">iferror(index('rna-muscle'!D:D,match(A1507,'rna-muscle'!A:A,0)))</f>
        <v>53</v>
      </c>
      <c r="E1507" s="10" t="str">
        <f t="shared" si="3"/>
        <v>BRN53G</v>
      </c>
      <c r="F1507" s="11" t="str">
        <f t="array" ref="F1507">iferror(index('rna-muscle'!F:F,match($A1507,'rna-muscle'!$A:$A,0)))</f>
        <v>F</v>
      </c>
      <c r="G1507" s="11">
        <f t="array" ref="G1507">iferror(index('rna-muscle'!G:G,match($A1507,'rna-muscle'!$A:$A,0)))</f>
        <v>11</v>
      </c>
      <c r="H1507" s="11" t="str">
        <f t="shared" si="4"/>
        <v>F11</v>
      </c>
      <c r="I1507" s="10" t="str">
        <f t="shared" si="5"/>
        <v>BRN53G-F11</v>
      </c>
      <c r="J1507" s="16"/>
      <c r="K1507" s="16" t="str">
        <f t="shared" si="6"/>
        <v>collected</v>
      </c>
      <c r="L1507" s="16" t="str">
        <f t="shared" si="7"/>
        <v>N</v>
      </c>
      <c r="M1507" s="16"/>
      <c r="N1507" s="16"/>
    </row>
    <row r="1508">
      <c r="A1508" s="40" t="s">
        <v>2051</v>
      </c>
      <c r="B1508" s="10" t="str">
        <f t="shared" si="1"/>
        <v>RNA-gill</v>
      </c>
      <c r="C1508" s="10" t="str">
        <f t="shared" si="2"/>
        <v>BRN53G-E11</v>
      </c>
      <c r="D1508" s="11">
        <f t="array" ref="D1508">iferror(index('rna-muscle'!D:D,match(A1508,'rna-muscle'!A:A,0)))</f>
        <v>53</v>
      </c>
      <c r="E1508" s="10" t="str">
        <f t="shared" si="3"/>
        <v>BRN53G</v>
      </c>
      <c r="F1508" s="11" t="str">
        <f t="array" ref="F1508">iferror(index('rna-muscle'!F:F,match($A1508,'rna-muscle'!$A:$A,0)))</f>
        <v>E</v>
      </c>
      <c r="G1508" s="11">
        <f t="array" ref="G1508">iferror(index('rna-muscle'!G:G,match($A1508,'rna-muscle'!$A:$A,0)))</f>
        <v>11</v>
      </c>
      <c r="H1508" s="11" t="str">
        <f t="shared" si="4"/>
        <v>E11</v>
      </c>
      <c r="I1508" s="10" t="str">
        <f t="shared" si="5"/>
        <v>BRN53G-E11</v>
      </c>
      <c r="J1508" s="16"/>
      <c r="K1508" s="16" t="str">
        <f t="shared" si="6"/>
        <v>collected</v>
      </c>
      <c r="L1508" s="16" t="str">
        <f t="shared" si="7"/>
        <v>N</v>
      </c>
      <c r="M1508" s="16"/>
      <c r="N1508" s="16"/>
    </row>
    <row r="1509">
      <c r="A1509" s="40" t="s">
        <v>2052</v>
      </c>
      <c r="B1509" s="10" t="str">
        <f t="shared" si="1"/>
        <v>RNA-gill</v>
      </c>
      <c r="C1509" s="10" t="str">
        <f t="shared" si="2"/>
        <v>BRN53G-D11</v>
      </c>
      <c r="D1509" s="11">
        <f t="array" ref="D1509">iferror(index('rna-muscle'!D:D,match(A1509,'rna-muscle'!A:A,0)))</f>
        <v>53</v>
      </c>
      <c r="E1509" s="10" t="str">
        <f t="shared" si="3"/>
        <v>BRN53G</v>
      </c>
      <c r="F1509" s="11" t="str">
        <f t="array" ref="F1509">iferror(index('rna-muscle'!F:F,match($A1509,'rna-muscle'!$A:$A,0)))</f>
        <v>D</v>
      </c>
      <c r="G1509" s="11">
        <f t="array" ref="G1509">iferror(index('rna-muscle'!G:G,match($A1509,'rna-muscle'!$A:$A,0)))</f>
        <v>11</v>
      </c>
      <c r="H1509" s="11" t="str">
        <f t="shared" si="4"/>
        <v>D11</v>
      </c>
      <c r="I1509" s="10" t="str">
        <f t="shared" si="5"/>
        <v>BRN53G-D11</v>
      </c>
      <c r="J1509" s="16"/>
      <c r="K1509" s="16" t="str">
        <f t="shared" si="6"/>
        <v>collected</v>
      </c>
      <c r="L1509" s="16" t="str">
        <f t="shared" si="7"/>
        <v>N</v>
      </c>
      <c r="M1509" s="16"/>
      <c r="N1509" s="16"/>
    </row>
    <row r="1510">
      <c r="A1510" s="40" t="s">
        <v>2053</v>
      </c>
      <c r="B1510" s="10" t="str">
        <f t="shared" si="1"/>
        <v>RNA-gill</v>
      </c>
      <c r="C1510" s="10" t="str">
        <f t="shared" si="2"/>
        <v>BRN53G-C11</v>
      </c>
      <c r="D1510" s="11">
        <f t="array" ref="D1510">iferror(index('rna-muscle'!D:D,match(A1510,'rna-muscle'!A:A,0)))</f>
        <v>53</v>
      </c>
      <c r="E1510" s="10" t="str">
        <f t="shared" si="3"/>
        <v>BRN53G</v>
      </c>
      <c r="F1510" s="11" t="str">
        <f t="array" ref="F1510">iferror(index('rna-muscle'!F:F,match($A1510,'rna-muscle'!$A:$A,0)))</f>
        <v>C</v>
      </c>
      <c r="G1510" s="11">
        <f t="array" ref="G1510">iferror(index('rna-muscle'!G:G,match($A1510,'rna-muscle'!$A:$A,0)))</f>
        <v>11</v>
      </c>
      <c r="H1510" s="11" t="str">
        <f t="shared" si="4"/>
        <v>C11</v>
      </c>
      <c r="I1510" s="10" t="str">
        <f t="shared" si="5"/>
        <v>BRN53G-C11</v>
      </c>
      <c r="J1510" s="16"/>
      <c r="K1510" s="16" t="str">
        <f t="shared" si="6"/>
        <v>collected</v>
      </c>
      <c r="L1510" s="16" t="str">
        <f t="shared" si="7"/>
        <v>N</v>
      </c>
      <c r="M1510" s="16"/>
      <c r="N1510" s="16"/>
    </row>
    <row r="1511">
      <c r="A1511" s="40" t="s">
        <v>2054</v>
      </c>
      <c r="B1511" s="10" t="str">
        <f t="shared" si="1"/>
        <v>RNA-gill</v>
      </c>
      <c r="C1511" s="10" t="str">
        <f t="shared" si="2"/>
        <v>BRN53G-B11</v>
      </c>
      <c r="D1511" s="11">
        <f t="array" ref="D1511">iferror(index('rna-muscle'!D:D,match(A1511,'rna-muscle'!A:A,0)))</f>
        <v>53</v>
      </c>
      <c r="E1511" s="10" t="str">
        <f t="shared" si="3"/>
        <v>BRN53G</v>
      </c>
      <c r="F1511" s="11" t="str">
        <f t="array" ref="F1511">iferror(index('rna-muscle'!F:F,match($A1511,'rna-muscle'!$A:$A,0)))</f>
        <v>B</v>
      </c>
      <c r="G1511" s="11">
        <f t="array" ref="G1511">iferror(index('rna-muscle'!G:G,match($A1511,'rna-muscle'!$A:$A,0)))</f>
        <v>11</v>
      </c>
      <c r="H1511" s="11" t="str">
        <f t="shared" si="4"/>
        <v>B11</v>
      </c>
      <c r="I1511" s="10" t="str">
        <f t="shared" si="5"/>
        <v>BRN53G-B11</v>
      </c>
      <c r="J1511" s="16"/>
      <c r="K1511" s="16" t="str">
        <f t="shared" si="6"/>
        <v>collected</v>
      </c>
      <c r="L1511" s="16" t="str">
        <f t="shared" si="7"/>
        <v>N</v>
      </c>
      <c r="M1511" s="16"/>
      <c r="N1511" s="16"/>
    </row>
    <row r="1512">
      <c r="A1512" s="40" t="s">
        <v>2055</v>
      </c>
      <c r="B1512" s="10" t="str">
        <f t="shared" si="1"/>
        <v>RNA-gill</v>
      </c>
      <c r="C1512" s="10" t="str">
        <f t="shared" si="2"/>
        <v>BRN53G-A11</v>
      </c>
      <c r="D1512" s="11">
        <f t="array" ref="D1512">iferror(index('rna-muscle'!D:D,match(A1512,'rna-muscle'!A:A,0)))</f>
        <v>53</v>
      </c>
      <c r="E1512" s="10" t="str">
        <f t="shared" si="3"/>
        <v>BRN53G</v>
      </c>
      <c r="F1512" s="11" t="str">
        <f t="array" ref="F1512">iferror(index('rna-muscle'!F:F,match($A1512,'rna-muscle'!$A:$A,0)))</f>
        <v>A</v>
      </c>
      <c r="G1512" s="11">
        <f t="array" ref="G1512">iferror(index('rna-muscle'!G:G,match($A1512,'rna-muscle'!$A:$A,0)))</f>
        <v>11</v>
      </c>
      <c r="H1512" s="11" t="str">
        <f t="shared" si="4"/>
        <v>A11</v>
      </c>
      <c r="I1512" s="10" t="str">
        <f t="shared" si="5"/>
        <v>BRN53G-A11</v>
      </c>
      <c r="J1512" s="16"/>
      <c r="K1512" s="16" t="str">
        <f t="shared" si="6"/>
        <v>collected</v>
      </c>
      <c r="L1512" s="16" t="str">
        <f t="shared" si="7"/>
        <v>N</v>
      </c>
      <c r="M1512" s="16"/>
      <c r="N1512" s="16"/>
    </row>
    <row r="1513">
      <c r="A1513" s="40" t="s">
        <v>2056</v>
      </c>
      <c r="B1513" s="10" t="str">
        <f t="shared" si="1"/>
        <v>RNA-gill</v>
      </c>
      <c r="C1513" s="10" t="str">
        <f t="shared" si="2"/>
        <v>BRN53G-G12</v>
      </c>
      <c r="D1513" s="11">
        <f t="array" ref="D1513">iferror(index('rna-muscle'!D:D,match(A1513,'rna-muscle'!A:A,0)))</f>
        <v>53</v>
      </c>
      <c r="E1513" s="10" t="str">
        <f t="shared" si="3"/>
        <v>BRN53G</v>
      </c>
      <c r="F1513" s="11" t="str">
        <f t="array" ref="F1513">iferror(index('rna-muscle'!F:F,match($A1513,'rna-muscle'!$A:$A,0)))</f>
        <v>G</v>
      </c>
      <c r="G1513" s="11">
        <f t="array" ref="G1513">iferror(index('rna-muscle'!G:G,match($A1513,'rna-muscle'!$A:$A,0)))</f>
        <v>12</v>
      </c>
      <c r="H1513" s="11" t="str">
        <f t="shared" si="4"/>
        <v>G12</v>
      </c>
      <c r="I1513" s="10" t="str">
        <f t="shared" si="5"/>
        <v>BRN53G-G12</v>
      </c>
      <c r="J1513" s="16"/>
      <c r="K1513" s="16" t="str">
        <f t="shared" si="6"/>
        <v>collected</v>
      </c>
      <c r="L1513" s="16" t="str">
        <f t="shared" si="7"/>
        <v>N</v>
      </c>
      <c r="M1513" s="16"/>
      <c r="N1513" s="16"/>
    </row>
    <row r="1514">
      <c r="A1514" s="40" t="s">
        <v>2057</v>
      </c>
      <c r="B1514" s="10" t="str">
        <f t="shared" si="1"/>
        <v>RNA-gill</v>
      </c>
      <c r="C1514" s="10" t="str">
        <f t="shared" si="2"/>
        <v>BRN53G-F12</v>
      </c>
      <c r="D1514" s="11">
        <f t="array" ref="D1514">iferror(index('rna-muscle'!D:D,match(A1514,'rna-muscle'!A:A,0)))</f>
        <v>53</v>
      </c>
      <c r="E1514" s="10" t="str">
        <f t="shared" si="3"/>
        <v>BRN53G</v>
      </c>
      <c r="F1514" s="11" t="str">
        <f t="array" ref="F1514">iferror(index('rna-muscle'!F:F,match($A1514,'rna-muscle'!$A:$A,0)))</f>
        <v>F</v>
      </c>
      <c r="G1514" s="11">
        <f t="array" ref="G1514">iferror(index('rna-muscle'!G:G,match($A1514,'rna-muscle'!$A:$A,0)))</f>
        <v>12</v>
      </c>
      <c r="H1514" s="11" t="str">
        <f t="shared" si="4"/>
        <v>F12</v>
      </c>
      <c r="I1514" s="10" t="str">
        <f t="shared" si="5"/>
        <v>BRN53G-F12</v>
      </c>
      <c r="J1514" s="16"/>
      <c r="K1514" s="16" t="str">
        <f t="shared" si="6"/>
        <v>collected</v>
      </c>
      <c r="L1514" s="16" t="str">
        <f t="shared" si="7"/>
        <v>N</v>
      </c>
      <c r="M1514" s="16"/>
      <c r="N1514" s="16"/>
    </row>
    <row r="1515">
      <c r="A1515" s="40" t="s">
        <v>2058</v>
      </c>
      <c r="B1515" s="10" t="str">
        <f t="shared" si="1"/>
        <v>RNA-gill</v>
      </c>
      <c r="C1515" s="10" t="str">
        <f t="shared" si="2"/>
        <v>BRN53G-E12</v>
      </c>
      <c r="D1515" s="11">
        <f t="array" ref="D1515">iferror(index('rna-muscle'!D:D,match(A1515,'rna-muscle'!A:A,0)))</f>
        <v>53</v>
      </c>
      <c r="E1515" s="10" t="str">
        <f t="shared" si="3"/>
        <v>BRN53G</v>
      </c>
      <c r="F1515" s="11" t="str">
        <f t="array" ref="F1515">iferror(index('rna-muscle'!F:F,match($A1515,'rna-muscle'!$A:$A,0)))</f>
        <v>E</v>
      </c>
      <c r="G1515" s="11">
        <f t="array" ref="G1515">iferror(index('rna-muscle'!G:G,match($A1515,'rna-muscle'!$A:$A,0)))</f>
        <v>12</v>
      </c>
      <c r="H1515" s="11" t="str">
        <f t="shared" si="4"/>
        <v>E12</v>
      </c>
      <c r="I1515" s="10" t="str">
        <f t="shared" si="5"/>
        <v>BRN53G-E12</v>
      </c>
      <c r="J1515" s="16"/>
      <c r="K1515" s="16" t="str">
        <f t="shared" si="6"/>
        <v>collected</v>
      </c>
      <c r="L1515" s="16" t="str">
        <f t="shared" si="7"/>
        <v>N</v>
      </c>
      <c r="M1515" s="16"/>
      <c r="N1515" s="16"/>
    </row>
    <row r="1516">
      <c r="A1516" s="40" t="s">
        <v>2059</v>
      </c>
      <c r="B1516" s="10" t="str">
        <f t="shared" si="1"/>
        <v>RNA-gill</v>
      </c>
      <c r="C1516" s="10" t="str">
        <f t="shared" si="2"/>
        <v>BRN53G-D12</v>
      </c>
      <c r="D1516" s="11">
        <f t="array" ref="D1516">iferror(index('rna-muscle'!D:D,match(A1516,'rna-muscle'!A:A,0)))</f>
        <v>53</v>
      </c>
      <c r="E1516" s="10" t="str">
        <f t="shared" si="3"/>
        <v>BRN53G</v>
      </c>
      <c r="F1516" s="11" t="str">
        <f t="array" ref="F1516">iferror(index('rna-muscle'!F:F,match($A1516,'rna-muscle'!$A:$A,0)))</f>
        <v>D</v>
      </c>
      <c r="G1516" s="11">
        <f t="array" ref="G1516">iferror(index('rna-muscle'!G:G,match($A1516,'rna-muscle'!$A:$A,0)))</f>
        <v>12</v>
      </c>
      <c r="H1516" s="11" t="str">
        <f t="shared" si="4"/>
        <v>D12</v>
      </c>
      <c r="I1516" s="10" t="str">
        <f t="shared" si="5"/>
        <v>BRN53G-D12</v>
      </c>
      <c r="J1516" s="16"/>
      <c r="K1516" s="16" t="str">
        <f t="shared" si="6"/>
        <v>collected</v>
      </c>
      <c r="L1516" s="16" t="str">
        <f t="shared" si="7"/>
        <v>N</v>
      </c>
      <c r="M1516" s="16"/>
      <c r="N1516" s="16"/>
    </row>
    <row r="1517">
      <c r="A1517" s="40" t="s">
        <v>2060</v>
      </c>
      <c r="B1517" s="10" t="str">
        <f t="shared" si="1"/>
        <v>RNA-gill</v>
      </c>
      <c r="C1517" s="10" t="str">
        <f t="shared" si="2"/>
        <v>BRN53G-C12</v>
      </c>
      <c r="D1517" s="11">
        <f t="array" ref="D1517">iferror(index('rna-muscle'!D:D,match(A1517,'rna-muscle'!A:A,0)))</f>
        <v>53</v>
      </c>
      <c r="E1517" s="10" t="str">
        <f t="shared" si="3"/>
        <v>BRN53G</v>
      </c>
      <c r="F1517" s="11" t="str">
        <f t="array" ref="F1517">iferror(index('rna-muscle'!F:F,match($A1517,'rna-muscle'!$A:$A,0)))</f>
        <v>C</v>
      </c>
      <c r="G1517" s="11">
        <f t="array" ref="G1517">iferror(index('rna-muscle'!G:G,match($A1517,'rna-muscle'!$A:$A,0)))</f>
        <v>12</v>
      </c>
      <c r="H1517" s="11" t="str">
        <f t="shared" si="4"/>
        <v>C12</v>
      </c>
      <c r="I1517" s="10" t="str">
        <f t="shared" si="5"/>
        <v>BRN53G-C12</v>
      </c>
      <c r="J1517" s="16"/>
      <c r="K1517" s="16" t="str">
        <f t="shared" si="6"/>
        <v>collected</v>
      </c>
      <c r="L1517" s="16" t="str">
        <f t="shared" si="7"/>
        <v>N</v>
      </c>
      <c r="M1517" s="16"/>
      <c r="N1517" s="16"/>
    </row>
    <row r="1518">
      <c r="A1518" s="40" t="s">
        <v>2061</v>
      </c>
      <c r="B1518" s="10" t="str">
        <f t="shared" si="1"/>
        <v>RNA-gill</v>
      </c>
      <c r="C1518" s="10" t="str">
        <f t="shared" si="2"/>
        <v>BRN53G-B12</v>
      </c>
      <c r="D1518" s="11">
        <f t="array" ref="D1518">iferror(index('rna-muscle'!D:D,match(A1518,'rna-muscle'!A:A,0)))</f>
        <v>53</v>
      </c>
      <c r="E1518" s="10" t="str">
        <f t="shared" si="3"/>
        <v>BRN53G</v>
      </c>
      <c r="F1518" s="11" t="str">
        <f t="array" ref="F1518">iferror(index('rna-muscle'!F:F,match($A1518,'rna-muscle'!$A:$A,0)))</f>
        <v>B</v>
      </c>
      <c r="G1518" s="11">
        <f t="array" ref="G1518">iferror(index('rna-muscle'!G:G,match($A1518,'rna-muscle'!$A:$A,0)))</f>
        <v>12</v>
      </c>
      <c r="H1518" s="11" t="str">
        <f t="shared" si="4"/>
        <v>B12</v>
      </c>
      <c r="I1518" s="10" t="str">
        <f t="shared" si="5"/>
        <v>BRN53G-B12</v>
      </c>
      <c r="J1518" s="16"/>
      <c r="K1518" s="16" t="str">
        <f t="shared" si="6"/>
        <v>collected</v>
      </c>
      <c r="L1518" s="16" t="str">
        <f t="shared" si="7"/>
        <v>N</v>
      </c>
      <c r="M1518" s="16"/>
      <c r="N1518" s="16"/>
    </row>
    <row r="1519">
      <c r="A1519" s="40" t="s">
        <v>2062</v>
      </c>
      <c r="B1519" s="10" t="str">
        <f t="shared" si="1"/>
        <v>RNA-gill</v>
      </c>
      <c r="C1519" s="10" t="str">
        <f t="shared" si="2"/>
        <v>BRN53G-A12</v>
      </c>
      <c r="D1519" s="11">
        <f t="array" ref="D1519">iferror(index('rna-muscle'!D:D,match(A1519,'rna-muscle'!A:A,0)))</f>
        <v>53</v>
      </c>
      <c r="E1519" s="10" t="str">
        <f t="shared" si="3"/>
        <v>BRN53G</v>
      </c>
      <c r="F1519" s="11" t="str">
        <f t="array" ref="F1519">iferror(index('rna-muscle'!F:F,match($A1519,'rna-muscle'!$A:$A,0)))</f>
        <v>A</v>
      </c>
      <c r="G1519" s="11">
        <f t="array" ref="G1519">iferror(index('rna-muscle'!G:G,match($A1519,'rna-muscle'!$A:$A,0)))</f>
        <v>12</v>
      </c>
      <c r="H1519" s="11" t="str">
        <f t="shared" si="4"/>
        <v>A12</v>
      </c>
      <c r="I1519" s="10" t="str">
        <f t="shared" si="5"/>
        <v>BRN53G-A12</v>
      </c>
      <c r="J1519" s="16"/>
      <c r="K1519" s="16" t="str">
        <f t="shared" si="6"/>
        <v>collected</v>
      </c>
      <c r="L1519" s="16" t="str">
        <f t="shared" si="7"/>
        <v>N</v>
      </c>
      <c r="M1519" s="16"/>
      <c r="N1519" s="16"/>
    </row>
    <row r="1520">
      <c r="A1520" s="27" t="s">
        <v>2063</v>
      </c>
      <c r="B1520" s="10" t="str">
        <f t="shared" si="1"/>
        <v>RNA-gill</v>
      </c>
      <c r="C1520" s="10" t="str">
        <f t="shared" si="2"/>
        <v>BRN78G-H1</v>
      </c>
      <c r="D1520" s="11">
        <f t="array" ref="D1520">iferror(index('rna-muscle'!D:D,match(A1520,'rna-muscle'!A:A,0)))</f>
        <v>78</v>
      </c>
      <c r="E1520" s="10" t="str">
        <f t="shared" si="3"/>
        <v>BRN78G</v>
      </c>
      <c r="F1520" s="11" t="str">
        <f t="array" ref="F1520">iferror(index('rna-muscle'!F:F,match($A1520,'rna-muscle'!$A:$A,0)))</f>
        <v>H</v>
      </c>
      <c r="G1520" s="11">
        <f t="array" ref="G1520">iferror(index('rna-muscle'!G:G,match($A1520,'rna-muscle'!$A:$A,0)))</f>
        <v>1</v>
      </c>
      <c r="H1520" s="11" t="str">
        <f t="shared" si="4"/>
        <v>H1</v>
      </c>
      <c r="I1520" s="10" t="str">
        <f t="shared" si="5"/>
        <v>BRN78G-H1</v>
      </c>
      <c r="J1520" s="16"/>
      <c r="K1520" s="16" t="str">
        <f t="shared" si="6"/>
        <v>collected</v>
      </c>
      <c r="L1520" s="16" t="str">
        <f t="shared" si="7"/>
        <v>N</v>
      </c>
      <c r="M1520" s="16"/>
      <c r="N1520" s="16"/>
    </row>
    <row r="1521">
      <c r="A1521" s="27" t="s">
        <v>2064</v>
      </c>
      <c r="B1521" s="10" t="str">
        <f t="shared" si="1"/>
        <v>RNA-gill</v>
      </c>
      <c r="C1521" s="10" t="str">
        <f t="shared" si="2"/>
        <v>BRN78G-G1</v>
      </c>
      <c r="D1521" s="11">
        <f t="array" ref="D1521">iferror(index('rna-muscle'!D:D,match(A1521,'rna-muscle'!A:A,0)))</f>
        <v>78</v>
      </c>
      <c r="E1521" s="10" t="str">
        <f t="shared" si="3"/>
        <v>BRN78G</v>
      </c>
      <c r="F1521" s="11" t="str">
        <f t="array" ref="F1521">iferror(index('rna-muscle'!F:F,match($A1521,'rna-muscle'!$A:$A,0)))</f>
        <v>G</v>
      </c>
      <c r="G1521" s="11">
        <f t="array" ref="G1521">iferror(index('rna-muscle'!G:G,match($A1521,'rna-muscle'!$A:$A,0)))</f>
        <v>1</v>
      </c>
      <c r="H1521" s="11" t="str">
        <f t="shared" si="4"/>
        <v>G1</v>
      </c>
      <c r="I1521" s="10" t="str">
        <f t="shared" si="5"/>
        <v>BRN78G-G1</v>
      </c>
      <c r="J1521" s="16"/>
      <c r="K1521" s="16" t="str">
        <f t="shared" si="6"/>
        <v>collected</v>
      </c>
      <c r="L1521" s="16" t="str">
        <f t="shared" si="7"/>
        <v>N</v>
      </c>
      <c r="M1521" s="16"/>
      <c r="N1521" s="16"/>
    </row>
    <row r="1522">
      <c r="A1522" s="27" t="s">
        <v>2065</v>
      </c>
      <c r="B1522" s="10" t="str">
        <f t="shared" si="1"/>
        <v>RNA-gill</v>
      </c>
      <c r="C1522" s="10" t="str">
        <f t="shared" si="2"/>
        <v>BRN78G-F1</v>
      </c>
      <c r="D1522" s="11">
        <f t="array" ref="D1522">iferror(index('rna-muscle'!D:D,match(A1522,'rna-muscle'!A:A,0)))</f>
        <v>78</v>
      </c>
      <c r="E1522" s="10" t="str">
        <f t="shared" si="3"/>
        <v>BRN78G</v>
      </c>
      <c r="F1522" s="11" t="str">
        <f t="array" ref="F1522">iferror(index('rna-muscle'!F:F,match($A1522,'rna-muscle'!$A:$A,0)))</f>
        <v>F</v>
      </c>
      <c r="G1522" s="11">
        <f t="array" ref="G1522">iferror(index('rna-muscle'!G:G,match($A1522,'rna-muscle'!$A:$A,0)))</f>
        <v>1</v>
      </c>
      <c r="H1522" s="11" t="str">
        <f t="shared" si="4"/>
        <v>F1</v>
      </c>
      <c r="I1522" s="10" t="str">
        <f t="shared" si="5"/>
        <v>BRN78G-F1</v>
      </c>
      <c r="J1522" s="16"/>
      <c r="K1522" s="16" t="str">
        <f t="shared" si="6"/>
        <v>collected</v>
      </c>
      <c r="L1522" s="16" t="str">
        <f t="shared" si="7"/>
        <v>N</v>
      </c>
      <c r="M1522" s="16"/>
      <c r="N1522" s="16"/>
    </row>
    <row r="1523">
      <c r="A1523" s="27" t="s">
        <v>2066</v>
      </c>
      <c r="B1523" s="10" t="str">
        <f t="shared" si="1"/>
        <v>RNA-gill</v>
      </c>
      <c r="C1523" s="10" t="str">
        <f t="shared" si="2"/>
        <v>BRN78G-E1</v>
      </c>
      <c r="D1523" s="11">
        <f t="array" ref="D1523">iferror(index('rna-muscle'!D:D,match(A1523,'rna-muscle'!A:A,0)))</f>
        <v>78</v>
      </c>
      <c r="E1523" s="10" t="str">
        <f t="shared" si="3"/>
        <v>BRN78G</v>
      </c>
      <c r="F1523" s="11" t="str">
        <f t="array" ref="F1523">iferror(index('rna-muscle'!F:F,match($A1523,'rna-muscle'!$A:$A,0)))</f>
        <v>E</v>
      </c>
      <c r="G1523" s="11">
        <f t="array" ref="G1523">iferror(index('rna-muscle'!G:G,match($A1523,'rna-muscle'!$A:$A,0)))</f>
        <v>1</v>
      </c>
      <c r="H1523" s="11" t="str">
        <f t="shared" si="4"/>
        <v>E1</v>
      </c>
      <c r="I1523" s="10" t="str">
        <f t="shared" si="5"/>
        <v>BRN78G-E1</v>
      </c>
      <c r="J1523" s="16"/>
      <c r="K1523" s="16" t="str">
        <f t="shared" si="6"/>
        <v>collected</v>
      </c>
      <c r="L1523" s="16" t="str">
        <f t="shared" si="7"/>
        <v>N</v>
      </c>
      <c r="M1523" s="16"/>
      <c r="N1523" s="16"/>
    </row>
    <row r="1524">
      <c r="A1524" s="27" t="s">
        <v>2067</v>
      </c>
      <c r="B1524" s="10" t="str">
        <f t="shared" si="1"/>
        <v>RNA-gill</v>
      </c>
      <c r="C1524" s="10" t="str">
        <f t="shared" si="2"/>
        <v>BRN78G-D1</v>
      </c>
      <c r="D1524" s="11">
        <f t="array" ref="D1524">iferror(index('rna-muscle'!D:D,match(A1524,'rna-muscle'!A:A,0)))</f>
        <v>78</v>
      </c>
      <c r="E1524" s="10" t="str">
        <f t="shared" si="3"/>
        <v>BRN78G</v>
      </c>
      <c r="F1524" s="11" t="str">
        <f t="array" ref="F1524">iferror(index('rna-muscle'!F:F,match($A1524,'rna-muscle'!$A:$A,0)))</f>
        <v>D</v>
      </c>
      <c r="G1524" s="11">
        <f t="array" ref="G1524">iferror(index('rna-muscle'!G:G,match($A1524,'rna-muscle'!$A:$A,0)))</f>
        <v>1</v>
      </c>
      <c r="H1524" s="11" t="str">
        <f t="shared" si="4"/>
        <v>D1</v>
      </c>
      <c r="I1524" s="10" t="str">
        <f t="shared" si="5"/>
        <v>BRN78G-D1</v>
      </c>
      <c r="J1524" s="16"/>
      <c r="K1524" s="16" t="str">
        <f t="shared" si="6"/>
        <v>collected</v>
      </c>
      <c r="L1524" s="16" t="str">
        <f t="shared" si="7"/>
        <v>N</v>
      </c>
      <c r="M1524" s="16"/>
      <c r="N1524" s="16"/>
    </row>
    <row r="1525">
      <c r="A1525" s="27" t="s">
        <v>2068</v>
      </c>
      <c r="B1525" s="10" t="str">
        <f t="shared" si="1"/>
        <v>RNA-gill</v>
      </c>
      <c r="C1525" s="10" t="str">
        <f t="shared" si="2"/>
        <v>BRN78G-C1</v>
      </c>
      <c r="D1525" s="11">
        <f t="array" ref="D1525">iferror(index('rna-muscle'!D:D,match(A1525,'rna-muscle'!A:A,0)))</f>
        <v>78</v>
      </c>
      <c r="E1525" s="10" t="str">
        <f t="shared" si="3"/>
        <v>BRN78G</v>
      </c>
      <c r="F1525" s="11" t="str">
        <f t="array" ref="F1525">iferror(index('rna-muscle'!F:F,match($A1525,'rna-muscle'!$A:$A,0)))</f>
        <v>C</v>
      </c>
      <c r="G1525" s="11">
        <f t="array" ref="G1525">iferror(index('rna-muscle'!G:G,match($A1525,'rna-muscle'!$A:$A,0)))</f>
        <v>1</v>
      </c>
      <c r="H1525" s="11" t="str">
        <f t="shared" si="4"/>
        <v>C1</v>
      </c>
      <c r="I1525" s="10" t="str">
        <f t="shared" si="5"/>
        <v>BRN78G-C1</v>
      </c>
      <c r="J1525" s="16"/>
      <c r="K1525" s="16" t="str">
        <f t="shared" si="6"/>
        <v>collected</v>
      </c>
      <c r="L1525" s="16" t="str">
        <f t="shared" si="7"/>
        <v>N</v>
      </c>
      <c r="M1525" s="16"/>
      <c r="N1525" s="16"/>
    </row>
    <row r="1526">
      <c r="A1526" s="27" t="s">
        <v>2069</v>
      </c>
      <c r="B1526" s="10" t="str">
        <f t="shared" si="1"/>
        <v>RNA-gill</v>
      </c>
      <c r="C1526" s="10" t="str">
        <f t="shared" si="2"/>
        <v>BRN78G-B1</v>
      </c>
      <c r="D1526" s="11">
        <f t="array" ref="D1526">iferror(index('rna-muscle'!D:D,match(A1526,'rna-muscle'!A:A,0)))</f>
        <v>78</v>
      </c>
      <c r="E1526" s="10" t="str">
        <f t="shared" si="3"/>
        <v>BRN78G</v>
      </c>
      <c r="F1526" s="11" t="str">
        <f t="array" ref="F1526">iferror(index('rna-muscle'!F:F,match($A1526,'rna-muscle'!$A:$A,0)))</f>
        <v>B</v>
      </c>
      <c r="G1526" s="11">
        <f t="array" ref="G1526">iferror(index('rna-muscle'!G:G,match($A1526,'rna-muscle'!$A:$A,0)))</f>
        <v>1</v>
      </c>
      <c r="H1526" s="11" t="str">
        <f t="shared" si="4"/>
        <v>B1</v>
      </c>
      <c r="I1526" s="10" t="str">
        <f t="shared" si="5"/>
        <v>BRN78G-B1</v>
      </c>
      <c r="J1526" s="16"/>
      <c r="K1526" s="16" t="str">
        <f t="shared" si="6"/>
        <v>collected</v>
      </c>
      <c r="L1526" s="16" t="str">
        <f t="shared" si="7"/>
        <v>N</v>
      </c>
      <c r="M1526" s="16"/>
      <c r="N1526" s="16"/>
    </row>
    <row r="1527">
      <c r="A1527" s="27" t="s">
        <v>2070</v>
      </c>
      <c r="B1527" s="10" t="str">
        <f t="shared" si="1"/>
        <v>RNA-gill</v>
      </c>
      <c r="C1527" s="10" t="str">
        <f t="shared" si="2"/>
        <v>BRN78G-A1</v>
      </c>
      <c r="D1527" s="11">
        <f t="array" ref="D1527">iferror(index('rna-muscle'!D:D,match(A1527,'rna-muscle'!A:A,0)))</f>
        <v>78</v>
      </c>
      <c r="E1527" s="10" t="str">
        <f t="shared" si="3"/>
        <v>BRN78G</v>
      </c>
      <c r="F1527" s="11" t="str">
        <f t="array" ref="F1527">iferror(index('rna-muscle'!F:F,match($A1527,'rna-muscle'!$A:$A,0)))</f>
        <v>A</v>
      </c>
      <c r="G1527" s="11">
        <f t="array" ref="G1527">iferror(index('rna-muscle'!G:G,match($A1527,'rna-muscle'!$A:$A,0)))</f>
        <v>1</v>
      </c>
      <c r="H1527" s="11" t="str">
        <f t="shared" si="4"/>
        <v>A1</v>
      </c>
      <c r="I1527" s="10" t="str">
        <f t="shared" si="5"/>
        <v>BRN78G-A1</v>
      </c>
      <c r="J1527" s="16"/>
      <c r="K1527" s="16" t="str">
        <f t="shared" si="6"/>
        <v>collected</v>
      </c>
      <c r="L1527" s="16" t="str">
        <f t="shared" si="7"/>
        <v>N</v>
      </c>
      <c r="M1527" s="16"/>
      <c r="N1527" s="16"/>
    </row>
    <row r="1528">
      <c r="A1528" s="27" t="s">
        <v>2071</v>
      </c>
      <c r="B1528" s="10" t="str">
        <f t="shared" si="1"/>
        <v>RNA-gill</v>
      </c>
      <c r="C1528" s="10" t="str">
        <f t="shared" si="2"/>
        <v>BRN78G-H2</v>
      </c>
      <c r="D1528" s="11">
        <f t="array" ref="D1528">iferror(index('rna-muscle'!D:D,match(A1528,'rna-muscle'!A:A,0)))</f>
        <v>78</v>
      </c>
      <c r="E1528" s="10" t="str">
        <f t="shared" si="3"/>
        <v>BRN78G</v>
      </c>
      <c r="F1528" s="11" t="str">
        <f t="array" ref="F1528">iferror(index('rna-muscle'!F:F,match($A1528,'rna-muscle'!$A:$A,0)))</f>
        <v>H</v>
      </c>
      <c r="G1528" s="11">
        <f t="array" ref="G1528">iferror(index('rna-muscle'!G:G,match($A1528,'rna-muscle'!$A:$A,0)))</f>
        <v>2</v>
      </c>
      <c r="H1528" s="11" t="str">
        <f t="shared" si="4"/>
        <v>H2</v>
      </c>
      <c r="I1528" s="10" t="str">
        <f t="shared" si="5"/>
        <v>BRN78G-H2</v>
      </c>
      <c r="J1528" s="16"/>
      <c r="K1528" s="16" t="str">
        <f t="shared" si="6"/>
        <v>collected</v>
      </c>
      <c r="L1528" s="16" t="str">
        <f t="shared" si="7"/>
        <v>N</v>
      </c>
      <c r="M1528" s="16"/>
      <c r="N1528" s="16"/>
    </row>
    <row r="1529">
      <c r="A1529" s="27" t="s">
        <v>2072</v>
      </c>
      <c r="B1529" s="10" t="str">
        <f t="shared" si="1"/>
        <v>RNA-gill</v>
      </c>
      <c r="C1529" s="10" t="str">
        <f t="shared" si="2"/>
        <v>BRN79G-H1</v>
      </c>
      <c r="D1529" s="11">
        <f t="array" ref="D1529">iferror(index('rna-muscle'!D:D,match(A1529,'rna-muscle'!A:A,0)))</f>
        <v>79</v>
      </c>
      <c r="E1529" s="10" t="str">
        <f t="shared" si="3"/>
        <v>BRN79G</v>
      </c>
      <c r="F1529" s="11" t="str">
        <f t="array" ref="F1529">iferror(index('rna-muscle'!F:F,match($A1529,'rna-muscle'!$A:$A,0)))</f>
        <v>H</v>
      </c>
      <c r="G1529" s="11">
        <f t="array" ref="G1529">iferror(index('rna-muscle'!G:G,match($A1529,'rna-muscle'!$A:$A,0)))</f>
        <v>1</v>
      </c>
      <c r="H1529" s="11" t="str">
        <f t="shared" si="4"/>
        <v>H1</v>
      </c>
      <c r="I1529" s="10" t="str">
        <f t="shared" si="5"/>
        <v>BRN79G-H1</v>
      </c>
      <c r="J1529" s="16"/>
      <c r="K1529" s="16" t="str">
        <f t="shared" si="6"/>
        <v>collected</v>
      </c>
      <c r="L1529" s="16" t="str">
        <f t="shared" si="7"/>
        <v>N</v>
      </c>
      <c r="M1529" s="16"/>
      <c r="N1529" s="16"/>
    </row>
    <row r="1530">
      <c r="A1530" s="27" t="s">
        <v>2073</v>
      </c>
      <c r="B1530" s="10" t="str">
        <f t="shared" si="1"/>
        <v>RNA-gill</v>
      </c>
      <c r="C1530" s="10" t="str">
        <f t="shared" si="2"/>
        <v>BRN79G-G1</v>
      </c>
      <c r="D1530" s="11">
        <f t="array" ref="D1530">iferror(index('rna-muscle'!D:D,match(A1530,'rna-muscle'!A:A,0)))</f>
        <v>79</v>
      </c>
      <c r="E1530" s="10" t="str">
        <f t="shared" si="3"/>
        <v>BRN79G</v>
      </c>
      <c r="F1530" s="11" t="str">
        <f t="array" ref="F1530">iferror(index('rna-muscle'!F:F,match($A1530,'rna-muscle'!$A:$A,0)))</f>
        <v>G</v>
      </c>
      <c r="G1530" s="11">
        <f t="array" ref="G1530">iferror(index('rna-muscle'!G:G,match($A1530,'rna-muscle'!$A:$A,0)))</f>
        <v>1</v>
      </c>
      <c r="H1530" s="11" t="str">
        <f t="shared" si="4"/>
        <v>G1</v>
      </c>
      <c r="I1530" s="10" t="str">
        <f t="shared" si="5"/>
        <v>BRN79G-G1</v>
      </c>
      <c r="J1530" s="16"/>
      <c r="K1530" s="16" t="str">
        <f t="shared" si="6"/>
        <v>collected</v>
      </c>
      <c r="L1530" s="16" t="str">
        <f t="shared" si="7"/>
        <v>N</v>
      </c>
      <c r="M1530" s="16"/>
      <c r="N1530" s="16"/>
    </row>
    <row r="1531">
      <c r="A1531" s="27" t="s">
        <v>2074</v>
      </c>
      <c r="B1531" s="10" t="str">
        <f t="shared" si="1"/>
        <v>RNA-gill</v>
      </c>
      <c r="C1531" s="10" t="str">
        <f t="shared" si="2"/>
        <v>BRN79G-F1</v>
      </c>
      <c r="D1531" s="11">
        <f t="array" ref="D1531">iferror(index('rna-muscle'!D:D,match(A1531,'rna-muscle'!A:A,0)))</f>
        <v>79</v>
      </c>
      <c r="E1531" s="10" t="str">
        <f t="shared" si="3"/>
        <v>BRN79G</v>
      </c>
      <c r="F1531" s="11" t="str">
        <f t="array" ref="F1531">iferror(index('rna-muscle'!F:F,match($A1531,'rna-muscle'!$A:$A,0)))</f>
        <v>F</v>
      </c>
      <c r="G1531" s="11">
        <f t="array" ref="G1531">iferror(index('rna-muscle'!G:G,match($A1531,'rna-muscle'!$A:$A,0)))</f>
        <v>1</v>
      </c>
      <c r="H1531" s="11" t="str">
        <f t="shared" si="4"/>
        <v>F1</v>
      </c>
      <c r="I1531" s="10" t="str">
        <f t="shared" si="5"/>
        <v>BRN79G-F1</v>
      </c>
      <c r="J1531" s="16"/>
      <c r="K1531" s="16" t="str">
        <f t="shared" si="6"/>
        <v>collected</v>
      </c>
      <c r="L1531" s="16" t="str">
        <f t="shared" si="7"/>
        <v>N</v>
      </c>
      <c r="M1531" s="16"/>
      <c r="N1531" s="16"/>
    </row>
    <row r="1532">
      <c r="A1532" s="27" t="s">
        <v>2075</v>
      </c>
      <c r="B1532" s="10" t="str">
        <f t="shared" si="1"/>
        <v>RNA-gill</v>
      </c>
      <c r="C1532" s="10" t="str">
        <f t="shared" si="2"/>
        <v>BRN79G-E1</v>
      </c>
      <c r="D1532" s="11">
        <f t="array" ref="D1532">iferror(index('rna-muscle'!D:D,match(A1532,'rna-muscle'!A:A,0)))</f>
        <v>79</v>
      </c>
      <c r="E1532" s="10" t="str">
        <f t="shared" si="3"/>
        <v>BRN79G</v>
      </c>
      <c r="F1532" s="11" t="str">
        <f t="array" ref="F1532">iferror(index('rna-muscle'!F:F,match($A1532,'rna-muscle'!$A:$A,0)))</f>
        <v>E</v>
      </c>
      <c r="G1532" s="11">
        <f t="array" ref="G1532">iferror(index('rna-muscle'!G:G,match($A1532,'rna-muscle'!$A:$A,0)))</f>
        <v>1</v>
      </c>
      <c r="H1532" s="11" t="str">
        <f t="shared" si="4"/>
        <v>E1</v>
      </c>
      <c r="I1532" s="10" t="str">
        <f t="shared" si="5"/>
        <v>BRN79G-E1</v>
      </c>
      <c r="J1532" s="16"/>
      <c r="K1532" s="16" t="str">
        <f t="shared" si="6"/>
        <v>collected</v>
      </c>
      <c r="L1532" s="16" t="str">
        <f t="shared" si="7"/>
        <v>N</v>
      </c>
      <c r="M1532" s="16"/>
      <c r="N1532" s="16"/>
    </row>
    <row r="1533">
      <c r="A1533" s="27" t="s">
        <v>2076</v>
      </c>
      <c r="B1533" s="10" t="str">
        <f t="shared" si="1"/>
        <v>RNA-gill</v>
      </c>
      <c r="C1533" s="10" t="str">
        <f t="shared" si="2"/>
        <v>BRN79G-D1</v>
      </c>
      <c r="D1533" s="11">
        <f t="array" ref="D1533">iferror(index('rna-muscle'!D:D,match(A1533,'rna-muscle'!A:A,0)))</f>
        <v>79</v>
      </c>
      <c r="E1533" s="10" t="str">
        <f t="shared" si="3"/>
        <v>BRN79G</v>
      </c>
      <c r="F1533" s="11" t="str">
        <f t="array" ref="F1533">iferror(index('rna-muscle'!F:F,match($A1533,'rna-muscle'!$A:$A,0)))</f>
        <v>D</v>
      </c>
      <c r="G1533" s="11">
        <f t="array" ref="G1533">iferror(index('rna-muscle'!G:G,match($A1533,'rna-muscle'!$A:$A,0)))</f>
        <v>1</v>
      </c>
      <c r="H1533" s="11" t="str">
        <f t="shared" si="4"/>
        <v>D1</v>
      </c>
      <c r="I1533" s="10" t="str">
        <f t="shared" si="5"/>
        <v>BRN79G-D1</v>
      </c>
      <c r="J1533" s="16"/>
      <c r="K1533" s="16" t="str">
        <f t="shared" si="6"/>
        <v>collected</v>
      </c>
      <c r="L1533" s="16" t="str">
        <f t="shared" si="7"/>
        <v>N</v>
      </c>
      <c r="M1533" s="16"/>
      <c r="N1533" s="16"/>
    </row>
    <row r="1534">
      <c r="A1534" s="27" t="s">
        <v>2077</v>
      </c>
      <c r="B1534" s="10" t="str">
        <f t="shared" si="1"/>
        <v>RNA-gill</v>
      </c>
      <c r="C1534" s="10" t="str">
        <f t="shared" si="2"/>
        <v>BRN79G-C1</v>
      </c>
      <c r="D1534" s="11">
        <f t="array" ref="D1534">iferror(index('rna-muscle'!D:D,match(A1534,'rna-muscle'!A:A,0)))</f>
        <v>79</v>
      </c>
      <c r="E1534" s="10" t="str">
        <f t="shared" si="3"/>
        <v>BRN79G</v>
      </c>
      <c r="F1534" s="11" t="str">
        <f t="array" ref="F1534">iferror(index('rna-muscle'!F:F,match($A1534,'rna-muscle'!$A:$A,0)))</f>
        <v>C</v>
      </c>
      <c r="G1534" s="11">
        <f t="array" ref="G1534">iferror(index('rna-muscle'!G:G,match($A1534,'rna-muscle'!$A:$A,0)))</f>
        <v>1</v>
      </c>
      <c r="H1534" s="11" t="str">
        <f t="shared" si="4"/>
        <v>C1</v>
      </c>
      <c r="I1534" s="10" t="str">
        <f t="shared" si="5"/>
        <v>BRN79G-C1</v>
      </c>
      <c r="J1534" s="16"/>
      <c r="K1534" s="16" t="str">
        <f t="shared" si="6"/>
        <v>collected</v>
      </c>
      <c r="L1534" s="16" t="str">
        <f t="shared" si="7"/>
        <v>N</v>
      </c>
      <c r="M1534" s="16"/>
      <c r="N1534" s="16"/>
    </row>
    <row r="1535">
      <c r="A1535" s="27" t="s">
        <v>2078</v>
      </c>
      <c r="B1535" s="10" t="str">
        <f t="shared" si="1"/>
        <v>RNA-gill</v>
      </c>
      <c r="C1535" s="10" t="str">
        <f t="shared" si="2"/>
        <v>BRN79G-B1</v>
      </c>
      <c r="D1535" s="11">
        <f t="array" ref="D1535">iferror(index('rna-muscle'!D:D,match(A1535,'rna-muscle'!A:A,0)))</f>
        <v>79</v>
      </c>
      <c r="E1535" s="10" t="str">
        <f t="shared" si="3"/>
        <v>BRN79G</v>
      </c>
      <c r="F1535" s="11" t="str">
        <f t="array" ref="F1535">iferror(index('rna-muscle'!F:F,match($A1535,'rna-muscle'!$A:$A,0)))</f>
        <v>B</v>
      </c>
      <c r="G1535" s="11">
        <f t="array" ref="G1535">iferror(index('rna-muscle'!G:G,match($A1535,'rna-muscle'!$A:$A,0)))</f>
        <v>1</v>
      </c>
      <c r="H1535" s="11" t="str">
        <f t="shared" si="4"/>
        <v>B1</v>
      </c>
      <c r="I1535" s="10" t="str">
        <f t="shared" si="5"/>
        <v>BRN79G-B1</v>
      </c>
      <c r="J1535" s="16"/>
      <c r="K1535" s="16" t="str">
        <f t="shared" si="6"/>
        <v>collected</v>
      </c>
      <c r="L1535" s="16" t="str">
        <f t="shared" si="7"/>
        <v>N</v>
      </c>
      <c r="M1535" s="16"/>
      <c r="N1535" s="16"/>
    </row>
    <row r="1536">
      <c r="A1536" s="27" t="s">
        <v>2079</v>
      </c>
      <c r="B1536" s="10" t="str">
        <f t="shared" si="1"/>
        <v>RNA-gill</v>
      </c>
      <c r="C1536" s="10" t="str">
        <f t="shared" si="2"/>
        <v>BRN79G-A1</v>
      </c>
      <c r="D1536" s="11">
        <f t="array" ref="D1536">iferror(index('rna-muscle'!D:D,match(A1536,'rna-muscle'!A:A,0)))</f>
        <v>79</v>
      </c>
      <c r="E1536" s="10" t="str">
        <f t="shared" si="3"/>
        <v>BRN79G</v>
      </c>
      <c r="F1536" s="11" t="str">
        <f t="array" ref="F1536">iferror(index('rna-muscle'!F:F,match($A1536,'rna-muscle'!$A:$A,0)))</f>
        <v>A</v>
      </c>
      <c r="G1536" s="11">
        <f t="array" ref="G1536">iferror(index('rna-muscle'!G:G,match($A1536,'rna-muscle'!$A:$A,0)))</f>
        <v>1</v>
      </c>
      <c r="H1536" s="11" t="str">
        <f t="shared" si="4"/>
        <v>A1</v>
      </c>
      <c r="I1536" s="10" t="str">
        <f t="shared" si="5"/>
        <v>BRN79G-A1</v>
      </c>
      <c r="J1536" s="16"/>
      <c r="K1536" s="16" t="str">
        <f t="shared" si="6"/>
        <v>collected</v>
      </c>
      <c r="L1536" s="16" t="str">
        <f t="shared" si="7"/>
        <v>N</v>
      </c>
      <c r="M1536" s="16"/>
      <c r="N1536" s="16"/>
    </row>
    <row r="1537">
      <c r="A1537" s="27" t="s">
        <v>2080</v>
      </c>
      <c r="B1537" s="10" t="str">
        <f t="shared" si="1"/>
        <v>RNA-gill</v>
      </c>
      <c r="C1537" s="10" t="str">
        <f t="shared" si="2"/>
        <v>BRN79G-H3</v>
      </c>
      <c r="D1537" s="11">
        <f t="array" ref="D1537">iferror(index('rna-muscle'!D:D,match(A1537,'rna-muscle'!A:A,0)))</f>
        <v>79</v>
      </c>
      <c r="E1537" s="10" t="str">
        <f t="shared" si="3"/>
        <v>BRN79G</v>
      </c>
      <c r="F1537" s="11" t="str">
        <f t="array" ref="F1537">iferror(index('rna-muscle'!F:F,match($A1537,'rna-muscle'!$A:$A,0)))</f>
        <v>H</v>
      </c>
      <c r="G1537" s="11">
        <f t="array" ref="G1537">iferror(index('rna-muscle'!G:G,match($A1537,'rna-muscle'!$A:$A,0)))</f>
        <v>3</v>
      </c>
      <c r="H1537" s="11" t="str">
        <f t="shared" si="4"/>
        <v>H3</v>
      </c>
      <c r="I1537" s="10" t="str">
        <f t="shared" si="5"/>
        <v>BRN79G-H3</v>
      </c>
      <c r="J1537" s="16"/>
      <c r="K1537" s="16" t="str">
        <f t="shared" si="6"/>
        <v>collected</v>
      </c>
      <c r="L1537" s="16" t="str">
        <f t="shared" si="7"/>
        <v>N</v>
      </c>
      <c r="M1537" s="16"/>
      <c r="N1537" s="16"/>
    </row>
    <row r="1538">
      <c r="A1538" s="27" t="s">
        <v>2081</v>
      </c>
      <c r="B1538" s="10" t="str">
        <f t="shared" si="1"/>
        <v>RNA-gill</v>
      </c>
      <c r="C1538" s="10" t="str">
        <f t="shared" si="2"/>
        <v>BRN79G-G3</v>
      </c>
      <c r="D1538" s="11">
        <f t="array" ref="D1538">iferror(index('rna-muscle'!D:D,match(A1538,'rna-muscle'!A:A,0)))</f>
        <v>79</v>
      </c>
      <c r="E1538" s="10" t="str">
        <f t="shared" si="3"/>
        <v>BRN79G</v>
      </c>
      <c r="F1538" s="11" t="str">
        <f t="array" ref="F1538">iferror(index('rna-muscle'!F:F,match($A1538,'rna-muscle'!$A:$A,0)))</f>
        <v>G</v>
      </c>
      <c r="G1538" s="11">
        <f t="array" ref="G1538">iferror(index('rna-muscle'!G:G,match($A1538,'rna-muscle'!$A:$A,0)))</f>
        <v>3</v>
      </c>
      <c r="H1538" s="11" t="str">
        <f t="shared" si="4"/>
        <v>G3</v>
      </c>
      <c r="I1538" s="10" t="str">
        <f t="shared" si="5"/>
        <v>BRN79G-G3</v>
      </c>
      <c r="J1538" s="16"/>
      <c r="K1538" s="16" t="str">
        <f t="shared" si="6"/>
        <v>collected</v>
      </c>
      <c r="L1538" s="16" t="str">
        <f t="shared" si="7"/>
        <v>N</v>
      </c>
      <c r="M1538" s="16"/>
      <c r="N1538" s="16"/>
    </row>
    <row r="1539">
      <c r="A1539" s="27" t="s">
        <v>2082</v>
      </c>
      <c r="B1539" s="10" t="str">
        <f t="shared" si="1"/>
        <v>RNA-gill</v>
      </c>
      <c r="C1539" s="10" t="str">
        <f t="shared" si="2"/>
        <v>BRN79G-F3</v>
      </c>
      <c r="D1539" s="11">
        <f t="array" ref="D1539">iferror(index('rna-muscle'!D:D,match(A1539,'rna-muscle'!A:A,0)))</f>
        <v>79</v>
      </c>
      <c r="E1539" s="10" t="str">
        <f t="shared" si="3"/>
        <v>BRN79G</v>
      </c>
      <c r="F1539" s="11" t="str">
        <f t="array" ref="F1539">iferror(index('rna-muscle'!F:F,match($A1539,'rna-muscle'!$A:$A,0)))</f>
        <v>F</v>
      </c>
      <c r="G1539" s="11">
        <f t="array" ref="G1539">iferror(index('rna-muscle'!G:G,match($A1539,'rna-muscle'!$A:$A,0)))</f>
        <v>3</v>
      </c>
      <c r="H1539" s="11" t="str">
        <f t="shared" si="4"/>
        <v>F3</v>
      </c>
      <c r="I1539" s="10" t="str">
        <f t="shared" si="5"/>
        <v>BRN79G-F3</v>
      </c>
      <c r="J1539" s="16"/>
      <c r="K1539" s="16" t="str">
        <f t="shared" si="6"/>
        <v>collected</v>
      </c>
      <c r="L1539" s="16" t="str">
        <f t="shared" si="7"/>
        <v>N</v>
      </c>
      <c r="M1539" s="16"/>
      <c r="N1539" s="16"/>
    </row>
    <row r="1540">
      <c r="A1540" s="27" t="s">
        <v>2083</v>
      </c>
      <c r="B1540" s="10" t="str">
        <f t="shared" si="1"/>
        <v>RNA-gill</v>
      </c>
      <c r="C1540" s="10" t="str">
        <f t="shared" si="2"/>
        <v>BRN79G-E3</v>
      </c>
      <c r="D1540" s="11">
        <f t="array" ref="D1540">iferror(index('rna-muscle'!D:D,match(A1540,'rna-muscle'!A:A,0)))</f>
        <v>79</v>
      </c>
      <c r="E1540" s="10" t="str">
        <f t="shared" si="3"/>
        <v>BRN79G</v>
      </c>
      <c r="F1540" s="11" t="str">
        <f t="array" ref="F1540">iferror(index('rna-muscle'!F:F,match($A1540,'rna-muscle'!$A:$A,0)))</f>
        <v>E</v>
      </c>
      <c r="G1540" s="11">
        <f t="array" ref="G1540">iferror(index('rna-muscle'!G:G,match($A1540,'rna-muscle'!$A:$A,0)))</f>
        <v>3</v>
      </c>
      <c r="H1540" s="11" t="str">
        <f t="shared" si="4"/>
        <v>E3</v>
      </c>
      <c r="I1540" s="10" t="str">
        <f t="shared" si="5"/>
        <v>BRN79G-E3</v>
      </c>
      <c r="J1540" s="16"/>
      <c r="K1540" s="16" t="str">
        <f t="shared" si="6"/>
        <v>collected</v>
      </c>
      <c r="L1540" s="16" t="str">
        <f t="shared" si="7"/>
        <v>N</v>
      </c>
      <c r="M1540" s="16"/>
      <c r="N1540" s="16"/>
    </row>
    <row r="1541">
      <c r="A1541" s="27" t="s">
        <v>2084</v>
      </c>
      <c r="B1541" s="10" t="str">
        <f t="shared" si="1"/>
        <v>RNA-gill</v>
      </c>
      <c r="C1541" s="10" t="str">
        <f t="shared" si="2"/>
        <v>BRN79G-D3</v>
      </c>
      <c r="D1541" s="11">
        <f t="array" ref="D1541">iferror(index('rna-muscle'!D:D,match(A1541,'rna-muscle'!A:A,0)))</f>
        <v>79</v>
      </c>
      <c r="E1541" s="10" t="str">
        <f t="shared" si="3"/>
        <v>BRN79G</v>
      </c>
      <c r="F1541" s="11" t="str">
        <f t="array" ref="F1541">iferror(index('rna-muscle'!F:F,match($A1541,'rna-muscle'!$A:$A,0)))</f>
        <v>D</v>
      </c>
      <c r="G1541" s="11">
        <f t="array" ref="G1541">iferror(index('rna-muscle'!G:G,match($A1541,'rna-muscle'!$A:$A,0)))</f>
        <v>3</v>
      </c>
      <c r="H1541" s="11" t="str">
        <f t="shared" si="4"/>
        <v>D3</v>
      </c>
      <c r="I1541" s="10" t="str">
        <f t="shared" si="5"/>
        <v>BRN79G-D3</v>
      </c>
      <c r="J1541" s="16"/>
      <c r="K1541" s="16" t="str">
        <f t="shared" si="6"/>
        <v>collected</v>
      </c>
      <c r="L1541" s="16" t="str">
        <f t="shared" si="7"/>
        <v>N</v>
      </c>
      <c r="M1541" s="16"/>
      <c r="N1541" s="16"/>
    </row>
    <row r="1542">
      <c r="A1542" s="27" t="s">
        <v>2085</v>
      </c>
      <c r="B1542" s="10" t="str">
        <f t="shared" si="1"/>
        <v>RNA-gill</v>
      </c>
      <c r="C1542" s="10" t="str">
        <f t="shared" si="2"/>
        <v>BRN55G-C11</v>
      </c>
      <c r="D1542" s="11">
        <f t="array" ref="D1542">iferror(index('rna-muscle'!D:D,match(A1542,'rna-muscle'!A:A,0)))</f>
        <v>55</v>
      </c>
      <c r="E1542" s="10" t="str">
        <f t="shared" si="3"/>
        <v>BRN55G</v>
      </c>
      <c r="F1542" s="11" t="str">
        <f t="array" ref="F1542">iferror(index('rna-muscle'!F:F,match($A1542,'rna-muscle'!$A:$A,0)))</f>
        <v>C</v>
      </c>
      <c r="G1542" s="11">
        <f t="array" ref="G1542">iferror(index('rna-muscle'!G:G,match($A1542,'rna-muscle'!$A:$A,0)))</f>
        <v>11</v>
      </c>
      <c r="H1542" s="11" t="str">
        <f t="shared" si="4"/>
        <v>C11</v>
      </c>
      <c r="I1542" s="10" t="str">
        <f t="shared" si="5"/>
        <v>BRN55G-C11</v>
      </c>
      <c r="J1542" s="16"/>
      <c r="K1542" s="16" t="str">
        <f t="shared" si="6"/>
        <v>collected</v>
      </c>
      <c r="L1542" s="16" t="str">
        <f t="shared" si="7"/>
        <v>N</v>
      </c>
      <c r="M1542" s="16"/>
      <c r="N1542" s="16"/>
    </row>
    <row r="1543">
      <c r="A1543" s="27" t="s">
        <v>2086</v>
      </c>
      <c r="B1543" s="10" t="str">
        <f t="shared" si="1"/>
        <v>RNA-gill</v>
      </c>
      <c r="C1543" s="10" t="str">
        <f t="shared" si="2"/>
        <v>BRN55G-B11</v>
      </c>
      <c r="D1543" s="11">
        <f t="array" ref="D1543">iferror(index('rna-muscle'!D:D,match(A1543,'rna-muscle'!A:A,0)))</f>
        <v>55</v>
      </c>
      <c r="E1543" s="10" t="str">
        <f t="shared" si="3"/>
        <v>BRN55G</v>
      </c>
      <c r="F1543" s="11" t="str">
        <f t="array" ref="F1543">iferror(index('rna-muscle'!F:F,match($A1543,'rna-muscle'!$A:$A,0)))</f>
        <v>B</v>
      </c>
      <c r="G1543" s="11">
        <f t="array" ref="G1543">iferror(index('rna-muscle'!G:G,match($A1543,'rna-muscle'!$A:$A,0)))</f>
        <v>11</v>
      </c>
      <c r="H1543" s="11" t="str">
        <f t="shared" si="4"/>
        <v>B11</v>
      </c>
      <c r="I1543" s="10" t="str">
        <f t="shared" si="5"/>
        <v>BRN55G-B11</v>
      </c>
      <c r="J1543" s="16"/>
      <c r="K1543" s="16" t="str">
        <f t="shared" si="6"/>
        <v>collected</v>
      </c>
      <c r="L1543" s="16" t="str">
        <f t="shared" si="7"/>
        <v>N</v>
      </c>
      <c r="M1543" s="16"/>
      <c r="N1543" s="16"/>
    </row>
    <row r="1544">
      <c r="A1544" s="27" t="s">
        <v>2087</v>
      </c>
      <c r="B1544" s="10" t="str">
        <f t="shared" si="1"/>
        <v>RNA-gill</v>
      </c>
      <c r="C1544" s="10" t="str">
        <f t="shared" si="2"/>
        <v>BRN55G-A11</v>
      </c>
      <c r="D1544" s="11">
        <f t="array" ref="D1544">iferror(index('rna-muscle'!D:D,match(A1544,'rna-muscle'!A:A,0)))</f>
        <v>55</v>
      </c>
      <c r="E1544" s="10" t="str">
        <f t="shared" si="3"/>
        <v>BRN55G</v>
      </c>
      <c r="F1544" s="11" t="str">
        <f t="array" ref="F1544">iferror(index('rna-muscle'!F:F,match($A1544,'rna-muscle'!$A:$A,0)))</f>
        <v>A</v>
      </c>
      <c r="G1544" s="11">
        <f t="array" ref="G1544">iferror(index('rna-muscle'!G:G,match($A1544,'rna-muscle'!$A:$A,0)))</f>
        <v>11</v>
      </c>
      <c r="H1544" s="11" t="str">
        <f t="shared" si="4"/>
        <v>A11</v>
      </c>
      <c r="I1544" s="10" t="str">
        <f t="shared" si="5"/>
        <v>BRN55G-A11</v>
      </c>
      <c r="J1544" s="16"/>
      <c r="K1544" s="16" t="str">
        <f t="shared" si="6"/>
        <v>collected</v>
      </c>
      <c r="L1544" s="16" t="str">
        <f t="shared" si="7"/>
        <v>N</v>
      </c>
      <c r="M1544" s="16"/>
      <c r="N1544" s="16"/>
    </row>
    <row r="1545">
      <c r="A1545" s="27" t="s">
        <v>2088</v>
      </c>
      <c r="B1545" s="10" t="str">
        <f t="shared" si="1"/>
        <v>RNA-gill</v>
      </c>
      <c r="C1545" s="10" t="str">
        <f t="shared" si="2"/>
        <v>BRN55G-G12</v>
      </c>
      <c r="D1545" s="11">
        <f t="array" ref="D1545">iferror(index('rna-muscle'!D:D,match(A1545,'rna-muscle'!A:A,0)))</f>
        <v>55</v>
      </c>
      <c r="E1545" s="10" t="str">
        <f t="shared" si="3"/>
        <v>BRN55G</v>
      </c>
      <c r="F1545" s="11" t="str">
        <f t="array" ref="F1545">iferror(index('rna-muscle'!F:F,match($A1545,'rna-muscle'!$A:$A,0)))</f>
        <v>G</v>
      </c>
      <c r="G1545" s="11">
        <f t="array" ref="G1545">iferror(index('rna-muscle'!G:G,match($A1545,'rna-muscle'!$A:$A,0)))</f>
        <v>12</v>
      </c>
      <c r="H1545" s="11" t="str">
        <f t="shared" si="4"/>
        <v>G12</v>
      </c>
      <c r="I1545" s="10" t="str">
        <f t="shared" si="5"/>
        <v>BRN55G-G12</v>
      </c>
      <c r="J1545" s="16"/>
      <c r="K1545" s="16" t="str">
        <f t="shared" si="6"/>
        <v>collected</v>
      </c>
      <c r="L1545" s="16" t="str">
        <f t="shared" si="7"/>
        <v>N</v>
      </c>
      <c r="M1545" s="16"/>
      <c r="N1545" s="16"/>
    </row>
    <row r="1546">
      <c r="A1546" s="27" t="s">
        <v>2089</v>
      </c>
      <c r="B1546" s="10" t="str">
        <f t="shared" si="1"/>
        <v>RNA-gill</v>
      </c>
      <c r="C1546" s="10" t="str">
        <f t="shared" si="2"/>
        <v>BRN55G-F12</v>
      </c>
      <c r="D1546" s="11">
        <f t="array" ref="D1546">iferror(index('rna-muscle'!D:D,match(A1546,'rna-muscle'!A:A,0)))</f>
        <v>55</v>
      </c>
      <c r="E1546" s="10" t="str">
        <f t="shared" si="3"/>
        <v>BRN55G</v>
      </c>
      <c r="F1546" s="11" t="str">
        <f t="array" ref="F1546">iferror(index('rna-muscle'!F:F,match($A1546,'rna-muscle'!$A:$A,0)))</f>
        <v>F</v>
      </c>
      <c r="G1546" s="11">
        <f t="array" ref="G1546">iferror(index('rna-muscle'!G:G,match($A1546,'rna-muscle'!$A:$A,0)))</f>
        <v>12</v>
      </c>
      <c r="H1546" s="11" t="str">
        <f t="shared" si="4"/>
        <v>F12</v>
      </c>
      <c r="I1546" s="10" t="str">
        <f t="shared" si="5"/>
        <v>BRN55G-F12</v>
      </c>
      <c r="J1546" s="16"/>
      <c r="K1546" s="16" t="str">
        <f t="shared" si="6"/>
        <v>collected</v>
      </c>
      <c r="L1546" s="16" t="str">
        <f t="shared" si="7"/>
        <v>N</v>
      </c>
      <c r="M1546" s="16"/>
      <c r="N1546" s="16"/>
    </row>
    <row r="1547">
      <c r="A1547" s="27" t="s">
        <v>2090</v>
      </c>
      <c r="B1547" s="10" t="str">
        <f t="shared" si="1"/>
        <v>RNA-gill</v>
      </c>
      <c r="C1547" s="10" t="str">
        <f t="shared" si="2"/>
        <v>BRN55G-E12</v>
      </c>
      <c r="D1547" s="11">
        <f t="array" ref="D1547">iferror(index('rna-muscle'!D:D,match(A1547,'rna-muscle'!A:A,0)))</f>
        <v>55</v>
      </c>
      <c r="E1547" s="10" t="str">
        <f t="shared" si="3"/>
        <v>BRN55G</v>
      </c>
      <c r="F1547" s="11" t="str">
        <f t="array" ref="F1547">iferror(index('rna-muscle'!F:F,match($A1547,'rna-muscle'!$A:$A,0)))</f>
        <v>E</v>
      </c>
      <c r="G1547" s="11">
        <f t="array" ref="G1547">iferror(index('rna-muscle'!G:G,match($A1547,'rna-muscle'!$A:$A,0)))</f>
        <v>12</v>
      </c>
      <c r="H1547" s="11" t="str">
        <f t="shared" si="4"/>
        <v>E12</v>
      </c>
      <c r="I1547" s="10" t="str">
        <f t="shared" si="5"/>
        <v>BRN55G-E12</v>
      </c>
      <c r="J1547" s="16"/>
      <c r="K1547" s="16" t="str">
        <f t="shared" si="6"/>
        <v>collected</v>
      </c>
      <c r="L1547" s="16" t="str">
        <f t="shared" si="7"/>
        <v>N</v>
      </c>
      <c r="M1547" s="16"/>
      <c r="N1547" s="16"/>
    </row>
    <row r="1548">
      <c r="A1548" s="27" t="s">
        <v>2091</v>
      </c>
      <c r="B1548" s="10" t="str">
        <f t="shared" si="1"/>
        <v>RNA-gill</v>
      </c>
      <c r="C1548" s="10" t="str">
        <f t="shared" si="2"/>
        <v>BRN55G-D12</v>
      </c>
      <c r="D1548" s="11">
        <f t="array" ref="D1548">iferror(index('rna-muscle'!D:D,match(A1548,'rna-muscle'!A:A,0)))</f>
        <v>55</v>
      </c>
      <c r="E1548" s="10" t="str">
        <f t="shared" si="3"/>
        <v>BRN55G</v>
      </c>
      <c r="F1548" s="11" t="str">
        <f t="array" ref="F1548">iferror(index('rna-muscle'!F:F,match($A1548,'rna-muscle'!$A:$A,0)))</f>
        <v>D</v>
      </c>
      <c r="G1548" s="11">
        <f t="array" ref="G1548">iferror(index('rna-muscle'!G:G,match($A1548,'rna-muscle'!$A:$A,0)))</f>
        <v>12</v>
      </c>
      <c r="H1548" s="11" t="str">
        <f t="shared" si="4"/>
        <v>D12</v>
      </c>
      <c r="I1548" s="10" t="str">
        <f t="shared" si="5"/>
        <v>BRN55G-D12</v>
      </c>
      <c r="J1548" s="16"/>
      <c r="K1548" s="16" t="str">
        <f t="shared" si="6"/>
        <v>collected</v>
      </c>
      <c r="L1548" s="16" t="str">
        <f t="shared" si="7"/>
        <v>N</v>
      </c>
      <c r="M1548" s="16"/>
      <c r="N1548" s="16"/>
    </row>
    <row r="1549">
      <c r="A1549" s="27" t="s">
        <v>2092</v>
      </c>
      <c r="B1549" s="10" t="str">
        <f t="shared" si="1"/>
        <v>RNA-gill</v>
      </c>
      <c r="C1549" s="10" t="str">
        <f t="shared" si="2"/>
        <v>BRN55G-C12</v>
      </c>
      <c r="D1549" s="11">
        <f t="array" ref="D1549">iferror(index('rna-muscle'!D:D,match(A1549,'rna-muscle'!A:A,0)))</f>
        <v>55</v>
      </c>
      <c r="E1549" s="10" t="str">
        <f t="shared" si="3"/>
        <v>BRN55G</v>
      </c>
      <c r="F1549" s="11" t="str">
        <f t="array" ref="F1549">iferror(index('rna-muscle'!F:F,match($A1549,'rna-muscle'!$A:$A,0)))</f>
        <v>C</v>
      </c>
      <c r="G1549" s="11">
        <f t="array" ref="G1549">iferror(index('rna-muscle'!G:G,match($A1549,'rna-muscle'!$A:$A,0)))</f>
        <v>12</v>
      </c>
      <c r="H1549" s="11" t="str">
        <f t="shared" si="4"/>
        <v>C12</v>
      </c>
      <c r="I1549" s="10" t="str">
        <f t="shared" si="5"/>
        <v>BRN55G-C12</v>
      </c>
      <c r="J1549" s="16"/>
      <c r="K1549" s="16" t="str">
        <f t="shared" si="6"/>
        <v>collected</v>
      </c>
      <c r="L1549" s="16" t="str">
        <f t="shared" si="7"/>
        <v>N</v>
      </c>
      <c r="M1549" s="16"/>
      <c r="N1549" s="16"/>
    </row>
    <row r="1550">
      <c r="A1550" s="27" t="s">
        <v>2094</v>
      </c>
      <c r="B1550" s="10" t="str">
        <f t="shared" si="1"/>
        <v>RNA-gill</v>
      </c>
      <c r="C1550" s="10" t="str">
        <f t="shared" si="2"/>
        <v>BRN55G-B12</v>
      </c>
      <c r="D1550" s="11">
        <f t="array" ref="D1550">iferror(index('rna-muscle'!D:D,match(A1550,'rna-muscle'!A:A,0)))</f>
        <v>55</v>
      </c>
      <c r="E1550" s="10" t="str">
        <f t="shared" si="3"/>
        <v>BRN55G</v>
      </c>
      <c r="F1550" s="11" t="str">
        <f t="array" ref="F1550">iferror(index('rna-muscle'!F:F,match($A1550,'rna-muscle'!$A:$A,0)))</f>
        <v>B</v>
      </c>
      <c r="G1550" s="11">
        <f t="array" ref="G1550">iferror(index('rna-muscle'!G:G,match($A1550,'rna-muscle'!$A:$A,0)))</f>
        <v>12</v>
      </c>
      <c r="H1550" s="11" t="str">
        <f t="shared" si="4"/>
        <v>B12</v>
      </c>
      <c r="I1550" s="10" t="str">
        <f t="shared" si="5"/>
        <v>BRN55G-B12</v>
      </c>
      <c r="J1550" s="16"/>
      <c r="K1550" s="16" t="str">
        <f t="shared" si="6"/>
        <v>collected</v>
      </c>
      <c r="L1550" s="16" t="str">
        <f t="shared" si="7"/>
        <v>N</v>
      </c>
      <c r="M1550" s="16"/>
      <c r="N1550" s="16"/>
    </row>
    <row r="1551">
      <c r="A1551" s="27" t="s">
        <v>2095</v>
      </c>
      <c r="B1551" s="10" t="str">
        <f t="shared" si="1"/>
        <v>RNA-gill</v>
      </c>
      <c r="C1551" s="10" t="str">
        <f t="shared" si="2"/>
        <v>BRN55G-A12</v>
      </c>
      <c r="D1551" s="11">
        <f t="array" ref="D1551">iferror(index('rna-muscle'!D:D,match(A1551,'rna-muscle'!A:A,0)))</f>
        <v>55</v>
      </c>
      <c r="E1551" s="10" t="str">
        <f t="shared" si="3"/>
        <v>BRN55G</v>
      </c>
      <c r="F1551" s="11" t="str">
        <f t="array" ref="F1551">iferror(index('rna-muscle'!F:F,match($A1551,'rna-muscle'!$A:$A,0)))</f>
        <v>A</v>
      </c>
      <c r="G1551" s="11">
        <f t="array" ref="G1551">iferror(index('rna-muscle'!G:G,match($A1551,'rna-muscle'!$A:$A,0)))</f>
        <v>12</v>
      </c>
      <c r="H1551" s="11" t="str">
        <f t="shared" si="4"/>
        <v>A12</v>
      </c>
      <c r="I1551" s="10" t="str">
        <f t="shared" si="5"/>
        <v>BRN55G-A12</v>
      </c>
      <c r="J1551" s="16"/>
      <c r="K1551" s="16" t="str">
        <f t="shared" si="6"/>
        <v>collected</v>
      </c>
      <c r="L1551" s="16" t="str">
        <f t="shared" si="7"/>
        <v>N</v>
      </c>
      <c r="M1551" s="16"/>
      <c r="N1551" s="16"/>
    </row>
    <row r="1552">
      <c r="A1552" s="27" t="s">
        <v>2096</v>
      </c>
      <c r="B1552" s="10" t="str">
        <f t="shared" si="1"/>
        <v>RNA-gill</v>
      </c>
      <c r="C1552" s="10" t="str">
        <f t="shared" si="2"/>
        <v>BRN79G-H2</v>
      </c>
      <c r="D1552" s="11">
        <f t="array" ref="D1552">iferror(index('rna-muscle'!D:D,match(A1552,'rna-muscle'!A:A,0)))</f>
        <v>79</v>
      </c>
      <c r="E1552" s="10" t="str">
        <f t="shared" si="3"/>
        <v>BRN79G</v>
      </c>
      <c r="F1552" s="11" t="str">
        <f t="array" ref="F1552">iferror(index('rna-muscle'!F:F,match($A1552,'rna-muscle'!$A:$A,0)))</f>
        <v>H</v>
      </c>
      <c r="G1552" s="11">
        <f t="array" ref="G1552">iferror(index('rna-muscle'!G:G,match($A1552,'rna-muscle'!$A:$A,0)))</f>
        <v>2</v>
      </c>
      <c r="H1552" s="11" t="str">
        <f t="shared" si="4"/>
        <v>H2</v>
      </c>
      <c r="I1552" s="10" t="str">
        <f t="shared" si="5"/>
        <v>BRN79G-H2</v>
      </c>
      <c r="J1552" s="16"/>
      <c r="K1552" s="16" t="str">
        <f t="shared" si="6"/>
        <v>collected</v>
      </c>
      <c r="L1552" s="16" t="str">
        <f t="shared" si="7"/>
        <v>N</v>
      </c>
      <c r="M1552" s="16"/>
      <c r="N1552" s="16"/>
    </row>
    <row r="1553">
      <c r="A1553" s="27" t="s">
        <v>2097</v>
      </c>
      <c r="B1553" s="10" t="str">
        <f t="shared" si="1"/>
        <v>RNA-gill</v>
      </c>
      <c r="C1553" s="10" t="str">
        <f t="shared" si="2"/>
        <v>BRN79G-G2</v>
      </c>
      <c r="D1553" s="11">
        <f t="array" ref="D1553">iferror(index('rna-muscle'!D:D,match(A1553,'rna-muscle'!A:A,0)))</f>
        <v>79</v>
      </c>
      <c r="E1553" s="10" t="str">
        <f t="shared" si="3"/>
        <v>BRN79G</v>
      </c>
      <c r="F1553" s="11" t="str">
        <f t="array" ref="F1553">iferror(index('rna-muscle'!F:F,match($A1553,'rna-muscle'!$A:$A,0)))</f>
        <v>G</v>
      </c>
      <c r="G1553" s="11">
        <f t="array" ref="G1553">iferror(index('rna-muscle'!G:G,match($A1553,'rna-muscle'!$A:$A,0)))</f>
        <v>2</v>
      </c>
      <c r="H1553" s="11" t="str">
        <f t="shared" si="4"/>
        <v>G2</v>
      </c>
      <c r="I1553" s="10" t="str">
        <f t="shared" si="5"/>
        <v>BRN79G-G2</v>
      </c>
      <c r="J1553" s="16"/>
      <c r="K1553" s="16" t="str">
        <f t="shared" si="6"/>
        <v>collected</v>
      </c>
      <c r="L1553" s="16" t="str">
        <f t="shared" si="7"/>
        <v>N</v>
      </c>
      <c r="M1553" s="16"/>
      <c r="N1553" s="16"/>
    </row>
    <row r="1554">
      <c r="A1554" s="27" t="s">
        <v>2098</v>
      </c>
      <c r="B1554" s="10" t="str">
        <f t="shared" si="1"/>
        <v>RNA-gill</v>
      </c>
      <c r="C1554" s="10" t="str">
        <f t="shared" si="2"/>
        <v>BRN79G-F2</v>
      </c>
      <c r="D1554" s="11">
        <f t="array" ref="D1554">iferror(index('rna-muscle'!D:D,match(A1554,'rna-muscle'!A:A,0)))</f>
        <v>79</v>
      </c>
      <c r="E1554" s="10" t="str">
        <f t="shared" si="3"/>
        <v>BRN79G</v>
      </c>
      <c r="F1554" s="11" t="str">
        <f t="array" ref="F1554">iferror(index('rna-muscle'!F:F,match($A1554,'rna-muscle'!$A:$A,0)))</f>
        <v>F</v>
      </c>
      <c r="G1554" s="11">
        <f t="array" ref="G1554">iferror(index('rna-muscle'!G:G,match($A1554,'rna-muscle'!$A:$A,0)))</f>
        <v>2</v>
      </c>
      <c r="H1554" s="11" t="str">
        <f t="shared" si="4"/>
        <v>F2</v>
      </c>
      <c r="I1554" s="10" t="str">
        <f t="shared" si="5"/>
        <v>BRN79G-F2</v>
      </c>
      <c r="J1554" s="16"/>
      <c r="K1554" s="16" t="str">
        <f t="shared" si="6"/>
        <v>collected</v>
      </c>
      <c r="L1554" s="16" t="str">
        <f t="shared" si="7"/>
        <v>N</v>
      </c>
      <c r="M1554" s="16"/>
      <c r="N1554" s="16"/>
    </row>
    <row r="1555">
      <c r="A1555" s="27" t="s">
        <v>2099</v>
      </c>
      <c r="B1555" s="10" t="str">
        <f t="shared" si="1"/>
        <v>RNA-gill</v>
      </c>
      <c r="C1555" s="10" t="str">
        <f t="shared" si="2"/>
        <v>BRN79G-E2</v>
      </c>
      <c r="D1555" s="11">
        <f t="array" ref="D1555">iferror(index('rna-muscle'!D:D,match(A1555,'rna-muscle'!A:A,0)))</f>
        <v>79</v>
      </c>
      <c r="E1555" s="10" t="str">
        <f t="shared" si="3"/>
        <v>BRN79G</v>
      </c>
      <c r="F1555" s="11" t="str">
        <f t="array" ref="F1555">iferror(index('rna-muscle'!F:F,match($A1555,'rna-muscle'!$A:$A,0)))</f>
        <v>E</v>
      </c>
      <c r="G1555" s="11">
        <f t="array" ref="G1555">iferror(index('rna-muscle'!G:G,match($A1555,'rna-muscle'!$A:$A,0)))</f>
        <v>2</v>
      </c>
      <c r="H1555" s="11" t="str">
        <f t="shared" si="4"/>
        <v>E2</v>
      </c>
      <c r="I1555" s="10" t="str">
        <f t="shared" si="5"/>
        <v>BRN79G-E2</v>
      </c>
      <c r="J1555" s="16"/>
      <c r="K1555" s="16" t="str">
        <f t="shared" si="6"/>
        <v>collected</v>
      </c>
      <c r="L1555" s="16" t="str">
        <f t="shared" si="7"/>
        <v>N</v>
      </c>
      <c r="M1555" s="16"/>
      <c r="N1555" s="16"/>
    </row>
    <row r="1556">
      <c r="A1556" s="27" t="s">
        <v>2100</v>
      </c>
      <c r="B1556" s="10" t="str">
        <f t="shared" si="1"/>
        <v>RNA-gill</v>
      </c>
      <c r="C1556" s="10" t="str">
        <f t="shared" si="2"/>
        <v>BRN79G-D2</v>
      </c>
      <c r="D1556" s="11">
        <f t="array" ref="D1556">iferror(index('rna-muscle'!D:D,match(A1556,'rna-muscle'!A:A,0)))</f>
        <v>79</v>
      </c>
      <c r="E1556" s="10" t="str">
        <f t="shared" si="3"/>
        <v>BRN79G</v>
      </c>
      <c r="F1556" s="11" t="str">
        <f t="array" ref="F1556">iferror(index('rna-muscle'!F:F,match($A1556,'rna-muscle'!$A:$A,0)))</f>
        <v>D</v>
      </c>
      <c r="G1556" s="11">
        <f t="array" ref="G1556">iferror(index('rna-muscle'!G:G,match($A1556,'rna-muscle'!$A:$A,0)))</f>
        <v>2</v>
      </c>
      <c r="H1556" s="11" t="str">
        <f t="shared" si="4"/>
        <v>D2</v>
      </c>
      <c r="I1556" s="10" t="str">
        <f t="shared" si="5"/>
        <v>BRN79G-D2</v>
      </c>
      <c r="J1556" s="16"/>
      <c r="K1556" s="16" t="str">
        <f t="shared" si="6"/>
        <v>collected</v>
      </c>
      <c r="L1556" s="16" t="str">
        <f t="shared" si="7"/>
        <v>N</v>
      </c>
      <c r="M1556" s="16"/>
      <c r="N1556" s="16"/>
    </row>
    <row r="1557">
      <c r="A1557" s="27" t="s">
        <v>2101</v>
      </c>
      <c r="B1557" s="10" t="str">
        <f t="shared" si="1"/>
        <v>RNA-gill</v>
      </c>
      <c r="C1557" s="10" t="str">
        <f t="shared" si="2"/>
        <v>BRN79G-C2</v>
      </c>
      <c r="D1557" s="11">
        <f t="array" ref="D1557">iferror(index('rna-muscle'!D:D,match(A1557,'rna-muscle'!A:A,0)))</f>
        <v>79</v>
      </c>
      <c r="E1557" s="10" t="str">
        <f t="shared" si="3"/>
        <v>BRN79G</v>
      </c>
      <c r="F1557" s="11" t="str">
        <f t="array" ref="F1557">iferror(index('rna-muscle'!F:F,match($A1557,'rna-muscle'!$A:$A,0)))</f>
        <v>C</v>
      </c>
      <c r="G1557" s="11">
        <f t="array" ref="G1557">iferror(index('rna-muscle'!G:G,match($A1557,'rna-muscle'!$A:$A,0)))</f>
        <v>2</v>
      </c>
      <c r="H1557" s="11" t="str">
        <f t="shared" si="4"/>
        <v>C2</v>
      </c>
      <c r="I1557" s="10" t="str">
        <f t="shared" si="5"/>
        <v>BRN79G-C2</v>
      </c>
      <c r="J1557" s="16"/>
      <c r="K1557" s="16" t="str">
        <f t="shared" si="6"/>
        <v>collected</v>
      </c>
      <c r="L1557" s="16" t="str">
        <f t="shared" si="7"/>
        <v>N</v>
      </c>
      <c r="M1557" s="16"/>
      <c r="N1557" s="16"/>
    </row>
    <row r="1558">
      <c r="A1558" s="27" t="s">
        <v>2102</v>
      </c>
      <c r="B1558" s="10" t="str">
        <f t="shared" si="1"/>
        <v>RNA-gill</v>
      </c>
      <c r="C1558" s="10" t="str">
        <f t="shared" si="2"/>
        <v>BRN79G-B2</v>
      </c>
      <c r="D1558" s="11">
        <f t="array" ref="D1558">iferror(index('rna-muscle'!D:D,match(A1558,'rna-muscle'!A:A,0)))</f>
        <v>79</v>
      </c>
      <c r="E1558" s="10" t="str">
        <f t="shared" si="3"/>
        <v>BRN79G</v>
      </c>
      <c r="F1558" s="11" t="str">
        <f t="array" ref="F1558">iferror(index('rna-muscle'!F:F,match($A1558,'rna-muscle'!$A:$A,0)))</f>
        <v>B</v>
      </c>
      <c r="G1558" s="11">
        <f t="array" ref="G1558">iferror(index('rna-muscle'!G:G,match($A1558,'rna-muscle'!$A:$A,0)))</f>
        <v>2</v>
      </c>
      <c r="H1558" s="11" t="str">
        <f t="shared" si="4"/>
        <v>B2</v>
      </c>
      <c r="I1558" s="10" t="str">
        <f t="shared" si="5"/>
        <v>BRN79G-B2</v>
      </c>
      <c r="J1558" s="16"/>
      <c r="K1558" s="16" t="str">
        <f t="shared" si="6"/>
        <v>collected</v>
      </c>
      <c r="L1558" s="16" t="str">
        <f t="shared" si="7"/>
        <v>N</v>
      </c>
      <c r="M1558" s="16"/>
      <c r="N1558" s="16"/>
    </row>
  </sheetData>
  <conditionalFormatting sqref="L1:L1558">
    <cfRule type="cellIs" dxfId="0" priority="1" operator="equal">
      <formula>"Y"</formula>
    </cfRule>
  </conditionalFormatting>
  <conditionalFormatting sqref="D1:D1558">
    <cfRule type="notContainsBlanks" dxfId="2" priority="2">
      <formula>LEN(TRIM(D1))&gt;0</formula>
    </cfRule>
  </conditionalFormatting>
  <conditionalFormatting sqref="F1:G1558">
    <cfRule type="notContainsBlanks" dxfId="2" priority="3">
      <formula>LEN(TRIM(F1))&gt;0</formula>
    </cfRule>
  </conditionalFormatting>
  <dataValidations>
    <dataValidation type="list" allowBlank="1" showDropDown="1" showInputMessage="1" showErrorMessage="1" prompt="Ensure there are no duplicate UFNs" sqref="A1:A150 A166:A454 A474:A583 A601:A976 A993:A1558">
      <formula1>fish_lab_data!$C:$C</formula1>
    </dataValidation>
  </dataValidations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93C47D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8" max="8" width="47.71"/>
  </cols>
  <sheetData>
    <row r="1">
      <c r="A1" s="1" t="s">
        <v>0</v>
      </c>
      <c r="B1" s="4" t="s">
        <v>1</v>
      </c>
      <c r="C1" s="48" t="s">
        <v>16</v>
      </c>
      <c r="D1" s="1" t="s">
        <v>2127</v>
      </c>
      <c r="E1" s="4" t="s">
        <v>18</v>
      </c>
      <c r="F1" s="1" t="s">
        <v>21</v>
      </c>
      <c r="G1" s="4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</row>
    <row r="2">
      <c r="A2" s="6" t="s">
        <v>28</v>
      </c>
      <c r="B2" s="10" t="str">
        <f t="shared" ref="B2:B1558" si="1">if(isblank(A2),"","fatty_acid")</f>
        <v>fatty_acid</v>
      </c>
      <c r="C2" s="49" t="str">
        <f t="shared" ref="C2:C1558" si="2">if(isblank(A2),"",concatenate("S",mid(A2,2,5),"FA1"))</f>
        <v>S5471FA1</v>
      </c>
      <c r="D2" s="6">
        <v>20.0</v>
      </c>
      <c r="E2" s="10" t="str">
        <f t="shared" ref="E2:E1558" si="3">if(isblank(D2),"",concatenate("BFA",D2))</f>
        <v>BFA20</v>
      </c>
      <c r="F2" s="13">
        <v>65.0</v>
      </c>
      <c r="G2" s="10" t="str">
        <f t="shared" ref="G2:G1558" si="4">if(isblank(F2),"",concatenate(E2,"-",F2))</f>
        <v>BFA20-65</v>
      </c>
      <c r="H2" s="50"/>
      <c r="I2" s="16" t="str">
        <f t="shared" ref="I2:I1558" si="5">if(G2="","","collected")</f>
        <v>collected</v>
      </c>
      <c r="J2" s="16" t="str">
        <f t="shared" ref="J2:J1558" si="6">if(G2="","",if(or(countif(A:A,A2)&gt;1,countif(G:G,G2)&gt;1),"Y","N"))</f>
        <v>N</v>
      </c>
      <c r="K2" s="6"/>
      <c r="L2" s="16"/>
    </row>
    <row r="3">
      <c r="A3" s="6" t="s">
        <v>55</v>
      </c>
      <c r="B3" s="10" t="str">
        <f t="shared" si="1"/>
        <v>fatty_acid</v>
      </c>
      <c r="C3" s="49" t="str">
        <f t="shared" si="2"/>
        <v>S5472FA1</v>
      </c>
      <c r="D3" s="6">
        <v>20.0</v>
      </c>
      <c r="E3" s="10" t="str">
        <f t="shared" si="3"/>
        <v>BFA20</v>
      </c>
      <c r="F3" s="13">
        <v>64.0</v>
      </c>
      <c r="G3" s="10" t="str">
        <f t="shared" si="4"/>
        <v>BFA20-64</v>
      </c>
      <c r="H3" s="50"/>
      <c r="I3" s="16" t="str">
        <f t="shared" si="5"/>
        <v>collected</v>
      </c>
      <c r="J3" s="16" t="str">
        <f t="shared" si="6"/>
        <v>N</v>
      </c>
      <c r="K3" s="6"/>
      <c r="L3" s="16"/>
    </row>
    <row r="4">
      <c r="A4" s="6" t="s">
        <v>59</v>
      </c>
      <c r="B4" s="10" t="str">
        <f t="shared" si="1"/>
        <v>fatty_acid</v>
      </c>
      <c r="C4" s="49" t="str">
        <f t="shared" si="2"/>
        <v>S5473FA1</v>
      </c>
      <c r="D4" s="6">
        <v>20.0</v>
      </c>
      <c r="E4" s="10" t="str">
        <f t="shared" si="3"/>
        <v>BFA20</v>
      </c>
      <c r="F4" s="13">
        <v>63.0</v>
      </c>
      <c r="G4" s="10" t="str">
        <f t="shared" si="4"/>
        <v>BFA20-63</v>
      </c>
      <c r="I4" s="16" t="str">
        <f t="shared" si="5"/>
        <v>collected</v>
      </c>
      <c r="J4" s="16" t="str">
        <f t="shared" si="6"/>
        <v>N</v>
      </c>
      <c r="K4" s="16"/>
      <c r="L4" s="16"/>
    </row>
    <row r="5">
      <c r="A5" s="6" t="s">
        <v>65</v>
      </c>
      <c r="B5" s="10" t="str">
        <f t="shared" si="1"/>
        <v>fatty_acid</v>
      </c>
      <c r="C5" s="49" t="str">
        <f t="shared" si="2"/>
        <v>S5474FA1</v>
      </c>
      <c r="D5" s="6">
        <v>20.0</v>
      </c>
      <c r="E5" s="10" t="str">
        <f t="shared" si="3"/>
        <v>BFA20</v>
      </c>
      <c r="F5" s="13">
        <v>62.0</v>
      </c>
      <c r="G5" s="10" t="str">
        <f t="shared" si="4"/>
        <v>BFA20-62</v>
      </c>
      <c r="I5" s="16" t="str">
        <f t="shared" si="5"/>
        <v>collected</v>
      </c>
      <c r="J5" s="16" t="str">
        <f t="shared" si="6"/>
        <v>N</v>
      </c>
      <c r="K5" s="16"/>
      <c r="L5" s="16"/>
    </row>
    <row r="6">
      <c r="A6" s="6" t="s">
        <v>67</v>
      </c>
      <c r="B6" s="10" t="str">
        <f t="shared" si="1"/>
        <v>fatty_acid</v>
      </c>
      <c r="C6" s="49" t="str">
        <f t="shared" si="2"/>
        <v>S5475FA1</v>
      </c>
      <c r="D6" s="6">
        <v>20.0</v>
      </c>
      <c r="E6" s="10" t="str">
        <f t="shared" si="3"/>
        <v>BFA20</v>
      </c>
      <c r="F6" s="13">
        <v>61.0</v>
      </c>
      <c r="G6" s="10" t="str">
        <f t="shared" si="4"/>
        <v>BFA20-61</v>
      </c>
      <c r="I6" s="16" t="str">
        <f t="shared" si="5"/>
        <v>collected</v>
      </c>
      <c r="J6" s="16" t="str">
        <f t="shared" si="6"/>
        <v>N</v>
      </c>
      <c r="K6" s="16"/>
      <c r="L6" s="16"/>
    </row>
    <row r="7">
      <c r="A7" s="6" t="s">
        <v>71</v>
      </c>
      <c r="B7" s="10" t="str">
        <f t="shared" si="1"/>
        <v>fatty_acid</v>
      </c>
      <c r="C7" s="49" t="str">
        <f t="shared" si="2"/>
        <v>S5476FA1</v>
      </c>
      <c r="D7" s="6">
        <v>20.0</v>
      </c>
      <c r="E7" s="10" t="str">
        <f t="shared" si="3"/>
        <v>BFA20</v>
      </c>
      <c r="F7" s="13">
        <v>50.0</v>
      </c>
      <c r="G7" s="10" t="str">
        <f t="shared" si="4"/>
        <v>BFA20-50</v>
      </c>
      <c r="H7" s="6"/>
      <c r="I7" s="16" t="str">
        <f t="shared" si="5"/>
        <v>collected</v>
      </c>
      <c r="J7" s="16" t="str">
        <f t="shared" si="6"/>
        <v>N</v>
      </c>
      <c r="K7" s="16"/>
      <c r="L7" s="16"/>
    </row>
    <row r="8">
      <c r="A8" s="6" t="s">
        <v>73</v>
      </c>
      <c r="B8" s="10" t="str">
        <f t="shared" si="1"/>
        <v>fatty_acid</v>
      </c>
      <c r="C8" s="49" t="str">
        <f t="shared" si="2"/>
        <v>S5477FA1</v>
      </c>
      <c r="D8" s="6">
        <v>20.0</v>
      </c>
      <c r="E8" s="10" t="str">
        <f t="shared" si="3"/>
        <v>BFA20</v>
      </c>
      <c r="F8" s="13">
        <v>49.0</v>
      </c>
      <c r="G8" s="10" t="str">
        <f t="shared" si="4"/>
        <v>BFA20-49</v>
      </c>
      <c r="H8" s="6"/>
      <c r="I8" s="16" t="str">
        <f t="shared" si="5"/>
        <v>collected</v>
      </c>
      <c r="J8" s="16" t="str">
        <f t="shared" si="6"/>
        <v>N</v>
      </c>
      <c r="K8" s="16"/>
      <c r="L8" s="16"/>
    </row>
    <row r="9">
      <c r="A9" s="6" t="s">
        <v>75</v>
      </c>
      <c r="B9" s="10" t="str">
        <f t="shared" si="1"/>
        <v>fatty_acid</v>
      </c>
      <c r="C9" s="49" t="str">
        <f t="shared" si="2"/>
        <v>S5478FA1</v>
      </c>
      <c r="D9" s="6">
        <v>20.0</v>
      </c>
      <c r="E9" s="10" t="str">
        <f t="shared" si="3"/>
        <v>BFA20</v>
      </c>
      <c r="F9" s="13">
        <v>48.0</v>
      </c>
      <c r="G9" s="10" t="str">
        <f t="shared" si="4"/>
        <v>BFA20-48</v>
      </c>
      <c r="H9" s="6"/>
      <c r="I9" s="16" t="str">
        <f t="shared" si="5"/>
        <v>collected</v>
      </c>
      <c r="J9" s="16" t="str">
        <f t="shared" si="6"/>
        <v>N</v>
      </c>
      <c r="K9" s="16"/>
      <c r="L9" s="16"/>
    </row>
    <row r="10">
      <c r="A10" s="6" t="s">
        <v>77</v>
      </c>
      <c r="B10" s="10" t="str">
        <f t="shared" si="1"/>
        <v>fatty_acid</v>
      </c>
      <c r="C10" s="49" t="str">
        <f t="shared" si="2"/>
        <v>S5479FA1</v>
      </c>
      <c r="D10" s="6">
        <v>20.0</v>
      </c>
      <c r="E10" s="10" t="str">
        <f t="shared" si="3"/>
        <v>BFA20</v>
      </c>
      <c r="F10" s="13">
        <v>47.0</v>
      </c>
      <c r="G10" s="10" t="str">
        <f t="shared" si="4"/>
        <v>BFA20-47</v>
      </c>
      <c r="H10" s="6"/>
      <c r="I10" s="16" t="str">
        <f t="shared" si="5"/>
        <v>collected</v>
      </c>
      <c r="J10" s="16" t="str">
        <f t="shared" si="6"/>
        <v>N</v>
      </c>
      <c r="K10" s="16"/>
      <c r="L10" s="16"/>
    </row>
    <row r="11">
      <c r="A11" s="6" t="s">
        <v>79</v>
      </c>
      <c r="B11" s="10" t="str">
        <f t="shared" si="1"/>
        <v>fatty_acid</v>
      </c>
      <c r="C11" s="49" t="str">
        <f t="shared" si="2"/>
        <v>S5480FA1</v>
      </c>
      <c r="D11" s="6">
        <v>20.0</v>
      </c>
      <c r="E11" s="10" t="str">
        <f t="shared" si="3"/>
        <v>BFA20</v>
      </c>
      <c r="F11" s="13">
        <v>45.0</v>
      </c>
      <c r="G11" s="10" t="str">
        <f t="shared" si="4"/>
        <v>BFA20-45</v>
      </c>
      <c r="H11" s="6"/>
      <c r="I11" s="16" t="str">
        <f t="shared" si="5"/>
        <v>collected</v>
      </c>
      <c r="J11" s="16" t="str">
        <f t="shared" si="6"/>
        <v>N</v>
      </c>
      <c r="K11" s="16"/>
      <c r="L11" s="16"/>
    </row>
    <row r="12">
      <c r="A12" s="6" t="s">
        <v>82</v>
      </c>
      <c r="B12" s="10" t="str">
        <f t="shared" si="1"/>
        <v>fatty_acid</v>
      </c>
      <c r="C12" s="49" t="str">
        <f t="shared" si="2"/>
        <v>S5481FA1</v>
      </c>
      <c r="D12" s="6">
        <v>20.0</v>
      </c>
      <c r="E12" s="10" t="str">
        <f t="shared" si="3"/>
        <v>BFA20</v>
      </c>
      <c r="F12" s="13">
        <v>44.0</v>
      </c>
      <c r="G12" s="10" t="str">
        <f t="shared" si="4"/>
        <v>BFA20-44</v>
      </c>
      <c r="H12" s="6"/>
      <c r="I12" s="16" t="str">
        <f t="shared" si="5"/>
        <v>collected</v>
      </c>
      <c r="J12" s="16" t="str">
        <f t="shared" si="6"/>
        <v>N</v>
      </c>
      <c r="K12" s="16"/>
      <c r="L12" s="16"/>
    </row>
    <row r="13">
      <c r="A13" s="6" t="s">
        <v>85</v>
      </c>
      <c r="B13" s="10" t="str">
        <f t="shared" si="1"/>
        <v>fatty_acid</v>
      </c>
      <c r="C13" s="49" t="str">
        <f t="shared" si="2"/>
        <v>S5482FA1</v>
      </c>
      <c r="D13" s="6">
        <v>20.0</v>
      </c>
      <c r="E13" s="10" t="str">
        <f t="shared" si="3"/>
        <v>BFA20</v>
      </c>
      <c r="F13" s="13">
        <v>43.0</v>
      </c>
      <c r="G13" s="10" t="str">
        <f t="shared" si="4"/>
        <v>BFA20-43</v>
      </c>
      <c r="H13" s="6"/>
      <c r="I13" s="16" t="str">
        <f t="shared" si="5"/>
        <v>collected</v>
      </c>
      <c r="J13" s="16" t="str">
        <f t="shared" si="6"/>
        <v>N</v>
      </c>
      <c r="K13" s="16"/>
      <c r="L13" s="16"/>
    </row>
    <row r="14">
      <c r="A14" s="6" t="s">
        <v>86</v>
      </c>
      <c r="B14" s="10" t="str">
        <f t="shared" si="1"/>
        <v>fatty_acid</v>
      </c>
      <c r="C14" s="49" t="str">
        <f t="shared" si="2"/>
        <v>S5483FA1</v>
      </c>
      <c r="D14" s="6">
        <v>20.0</v>
      </c>
      <c r="E14" s="10" t="str">
        <f t="shared" si="3"/>
        <v>BFA20</v>
      </c>
      <c r="F14" s="13">
        <v>42.0</v>
      </c>
      <c r="G14" s="10" t="str">
        <f t="shared" si="4"/>
        <v>BFA20-42</v>
      </c>
      <c r="H14" s="6"/>
      <c r="I14" s="16" t="str">
        <f t="shared" si="5"/>
        <v>collected</v>
      </c>
      <c r="J14" s="16" t="str">
        <f t="shared" si="6"/>
        <v>N</v>
      </c>
      <c r="K14" s="16"/>
      <c r="L14" s="16"/>
    </row>
    <row r="15">
      <c r="A15" s="6" t="s">
        <v>87</v>
      </c>
      <c r="B15" s="10" t="str">
        <f t="shared" si="1"/>
        <v>fatty_acid</v>
      </c>
      <c r="C15" s="49" t="str">
        <f t="shared" si="2"/>
        <v>S5484FA1</v>
      </c>
      <c r="D15" s="6">
        <v>20.0</v>
      </c>
      <c r="E15" s="10" t="str">
        <f t="shared" si="3"/>
        <v>BFA20</v>
      </c>
      <c r="F15" s="13">
        <v>41.0</v>
      </c>
      <c r="G15" s="10" t="str">
        <f t="shared" si="4"/>
        <v>BFA20-41</v>
      </c>
      <c r="H15" s="6"/>
      <c r="I15" s="16" t="str">
        <f t="shared" si="5"/>
        <v>collected</v>
      </c>
      <c r="J15" s="16" t="str">
        <f t="shared" si="6"/>
        <v>N</v>
      </c>
      <c r="K15" s="16"/>
      <c r="L15" s="16"/>
    </row>
    <row r="16">
      <c r="A16" s="6" t="s">
        <v>89</v>
      </c>
      <c r="B16" s="10" t="str">
        <f t="shared" si="1"/>
        <v>fatty_acid</v>
      </c>
      <c r="C16" s="49" t="str">
        <f t="shared" si="2"/>
        <v>S5115FA1</v>
      </c>
      <c r="D16" s="6">
        <v>20.0</v>
      </c>
      <c r="E16" s="10" t="str">
        <f t="shared" si="3"/>
        <v>BFA20</v>
      </c>
      <c r="F16" s="13">
        <v>40.0</v>
      </c>
      <c r="G16" s="10" t="str">
        <f t="shared" si="4"/>
        <v>BFA20-40</v>
      </c>
      <c r="H16" s="6"/>
      <c r="I16" s="16" t="str">
        <f t="shared" si="5"/>
        <v>collected</v>
      </c>
      <c r="J16" s="16" t="str">
        <f t="shared" si="6"/>
        <v>N</v>
      </c>
      <c r="K16" s="16"/>
      <c r="L16" s="16"/>
    </row>
    <row r="17">
      <c r="A17" s="6" t="s">
        <v>90</v>
      </c>
      <c r="B17" s="10" t="str">
        <f t="shared" si="1"/>
        <v>fatty_acid</v>
      </c>
      <c r="C17" s="49" t="str">
        <f t="shared" si="2"/>
        <v>S5485FA1</v>
      </c>
      <c r="D17" s="6">
        <v>20.0</v>
      </c>
      <c r="E17" s="10" t="str">
        <f t="shared" si="3"/>
        <v>BFA20</v>
      </c>
      <c r="F17" s="13">
        <v>39.0</v>
      </c>
      <c r="G17" s="10" t="str">
        <f t="shared" si="4"/>
        <v>BFA20-39</v>
      </c>
      <c r="H17" s="6"/>
      <c r="I17" s="16" t="str">
        <f t="shared" si="5"/>
        <v>collected</v>
      </c>
      <c r="J17" s="16" t="str">
        <f t="shared" si="6"/>
        <v>N</v>
      </c>
      <c r="K17" s="16"/>
      <c r="L17" s="16"/>
    </row>
    <row r="18">
      <c r="A18" s="6" t="s">
        <v>92</v>
      </c>
      <c r="B18" s="10" t="str">
        <f t="shared" si="1"/>
        <v>fatty_acid</v>
      </c>
      <c r="C18" s="49" t="str">
        <f t="shared" si="2"/>
        <v>S5486FA1</v>
      </c>
      <c r="D18" s="6">
        <v>20.0</v>
      </c>
      <c r="E18" s="10" t="str">
        <f t="shared" si="3"/>
        <v>BFA20</v>
      </c>
      <c r="F18" s="13">
        <v>38.0</v>
      </c>
      <c r="G18" s="10" t="str">
        <f t="shared" si="4"/>
        <v>BFA20-38</v>
      </c>
      <c r="H18" s="6"/>
      <c r="I18" s="16" t="str">
        <f t="shared" si="5"/>
        <v>collected</v>
      </c>
      <c r="J18" s="16" t="str">
        <f t="shared" si="6"/>
        <v>N</v>
      </c>
      <c r="K18" s="16"/>
      <c r="L18" s="16"/>
    </row>
    <row r="19">
      <c r="A19" s="6" t="s">
        <v>93</v>
      </c>
      <c r="B19" s="10" t="str">
        <f t="shared" si="1"/>
        <v>fatty_acid</v>
      </c>
      <c r="C19" s="49" t="str">
        <f t="shared" si="2"/>
        <v>S5487FA1</v>
      </c>
      <c r="D19" s="6">
        <v>20.0</v>
      </c>
      <c r="E19" s="10" t="str">
        <f t="shared" si="3"/>
        <v>BFA20</v>
      </c>
      <c r="F19" s="13">
        <v>37.0</v>
      </c>
      <c r="G19" s="10" t="str">
        <f t="shared" si="4"/>
        <v>BFA20-37</v>
      </c>
      <c r="H19" s="50"/>
      <c r="I19" s="16" t="str">
        <f t="shared" si="5"/>
        <v>collected</v>
      </c>
      <c r="J19" s="16" t="str">
        <f t="shared" si="6"/>
        <v>N</v>
      </c>
      <c r="K19" s="6"/>
      <c r="L19" s="16"/>
    </row>
    <row r="20">
      <c r="A20" s="6" t="s">
        <v>95</v>
      </c>
      <c r="B20" s="10" t="str">
        <f t="shared" si="1"/>
        <v>fatty_acid</v>
      </c>
      <c r="C20" s="49" t="str">
        <f t="shared" si="2"/>
        <v>S5488FA1</v>
      </c>
      <c r="D20" s="6">
        <v>20.0</v>
      </c>
      <c r="E20" s="10" t="str">
        <f t="shared" si="3"/>
        <v>BFA20</v>
      </c>
      <c r="F20" s="13">
        <v>35.0</v>
      </c>
      <c r="G20" s="10" t="str">
        <f t="shared" si="4"/>
        <v>BFA20-35</v>
      </c>
      <c r="H20" s="50"/>
      <c r="I20" s="16" t="str">
        <f t="shared" si="5"/>
        <v>collected</v>
      </c>
      <c r="J20" s="16" t="str">
        <f t="shared" si="6"/>
        <v>N</v>
      </c>
      <c r="K20" s="6"/>
      <c r="L20" s="16"/>
    </row>
    <row r="21">
      <c r="A21" s="6" t="s">
        <v>96</v>
      </c>
      <c r="B21" s="10" t="str">
        <f t="shared" si="1"/>
        <v>fatty_acid</v>
      </c>
      <c r="C21" s="49" t="str">
        <f t="shared" si="2"/>
        <v>S5489FA1</v>
      </c>
      <c r="D21" s="6">
        <v>20.0</v>
      </c>
      <c r="E21" s="10" t="str">
        <f t="shared" si="3"/>
        <v>BFA20</v>
      </c>
      <c r="F21" s="13">
        <v>34.0</v>
      </c>
      <c r="G21" s="10" t="str">
        <f t="shared" si="4"/>
        <v>BFA20-34</v>
      </c>
      <c r="H21" s="50"/>
      <c r="I21" s="16" t="str">
        <f t="shared" si="5"/>
        <v>collected</v>
      </c>
      <c r="J21" s="16" t="str">
        <f t="shared" si="6"/>
        <v>N</v>
      </c>
      <c r="K21" s="6"/>
      <c r="L21" s="16"/>
    </row>
    <row r="22">
      <c r="A22" s="6" t="s">
        <v>99</v>
      </c>
      <c r="B22" s="10" t="str">
        <f t="shared" si="1"/>
        <v>fatty_acid</v>
      </c>
      <c r="C22" s="49" t="str">
        <f t="shared" si="2"/>
        <v>S5490FA1</v>
      </c>
      <c r="D22" s="6">
        <v>20.0</v>
      </c>
      <c r="E22" s="10" t="str">
        <f t="shared" si="3"/>
        <v>BFA20</v>
      </c>
      <c r="F22" s="13">
        <v>31.0</v>
      </c>
      <c r="G22" s="10" t="str">
        <f t="shared" si="4"/>
        <v>BFA20-31</v>
      </c>
      <c r="H22" s="50"/>
      <c r="I22" s="16" t="str">
        <f t="shared" si="5"/>
        <v>collected</v>
      </c>
      <c r="J22" s="16" t="str">
        <f t="shared" si="6"/>
        <v>N</v>
      </c>
      <c r="K22" s="6"/>
      <c r="L22" s="16"/>
    </row>
    <row r="23">
      <c r="A23" s="6" t="s">
        <v>100</v>
      </c>
      <c r="B23" s="10" t="str">
        <f t="shared" si="1"/>
        <v>fatty_acid</v>
      </c>
      <c r="C23" s="49" t="str">
        <f t="shared" si="2"/>
        <v>S5491FA1</v>
      </c>
      <c r="D23" s="6">
        <v>20.0</v>
      </c>
      <c r="E23" s="10" t="str">
        <f t="shared" si="3"/>
        <v>BFA20</v>
      </c>
      <c r="F23" s="13">
        <v>32.0</v>
      </c>
      <c r="G23" s="10" t="str">
        <f t="shared" si="4"/>
        <v>BFA20-32</v>
      </c>
      <c r="H23" s="50"/>
      <c r="I23" s="16" t="str">
        <f t="shared" si="5"/>
        <v>collected</v>
      </c>
      <c r="J23" s="16" t="str">
        <f t="shared" si="6"/>
        <v>N</v>
      </c>
      <c r="K23" s="6"/>
      <c r="L23" s="16"/>
    </row>
    <row r="24">
      <c r="A24" s="6" t="s">
        <v>102</v>
      </c>
      <c r="B24" s="10" t="str">
        <f t="shared" si="1"/>
        <v>fatty_acid</v>
      </c>
      <c r="C24" s="49" t="str">
        <f t="shared" si="2"/>
        <v>S5492FA1</v>
      </c>
      <c r="D24" s="6">
        <v>20.0</v>
      </c>
      <c r="E24" s="10" t="str">
        <f t="shared" si="3"/>
        <v>BFA20</v>
      </c>
      <c r="F24" s="13">
        <v>33.0</v>
      </c>
      <c r="G24" s="10" t="str">
        <f t="shared" si="4"/>
        <v>BFA20-33</v>
      </c>
      <c r="H24" s="50"/>
      <c r="I24" s="16" t="str">
        <f t="shared" si="5"/>
        <v>collected</v>
      </c>
      <c r="J24" s="16" t="str">
        <f t="shared" si="6"/>
        <v>N</v>
      </c>
      <c r="K24" s="6"/>
      <c r="L24" s="16"/>
    </row>
    <row r="25">
      <c r="A25" s="6" t="s">
        <v>103</v>
      </c>
      <c r="B25" s="10" t="str">
        <f t="shared" si="1"/>
        <v>fatty_acid</v>
      </c>
      <c r="C25" s="49" t="str">
        <f t="shared" si="2"/>
        <v>S5493FA1</v>
      </c>
      <c r="D25" s="6">
        <v>20.0</v>
      </c>
      <c r="E25" s="10" t="str">
        <f t="shared" si="3"/>
        <v>BFA20</v>
      </c>
      <c r="F25" s="13">
        <v>29.0</v>
      </c>
      <c r="G25" s="10" t="str">
        <f t="shared" si="4"/>
        <v>BFA20-29</v>
      </c>
      <c r="H25" s="50"/>
      <c r="I25" s="16" t="str">
        <f t="shared" si="5"/>
        <v>collected</v>
      </c>
      <c r="J25" s="16" t="str">
        <f t="shared" si="6"/>
        <v>N</v>
      </c>
      <c r="K25" s="6"/>
      <c r="L25" s="16"/>
    </row>
    <row r="26">
      <c r="A26" s="6" t="s">
        <v>104</v>
      </c>
      <c r="B26" s="10" t="str">
        <f t="shared" si="1"/>
        <v>fatty_acid</v>
      </c>
      <c r="C26" s="49" t="str">
        <f t="shared" si="2"/>
        <v>S5494FA1</v>
      </c>
      <c r="D26" s="6">
        <v>20.0</v>
      </c>
      <c r="E26" s="10" t="str">
        <f t="shared" si="3"/>
        <v>BFA20</v>
      </c>
      <c r="F26" s="13">
        <v>30.0</v>
      </c>
      <c r="G26" s="10" t="str">
        <f t="shared" si="4"/>
        <v>BFA20-30</v>
      </c>
      <c r="H26" s="6"/>
      <c r="I26" s="16" t="str">
        <f t="shared" si="5"/>
        <v>collected</v>
      </c>
      <c r="J26" s="16" t="str">
        <f t="shared" si="6"/>
        <v>N</v>
      </c>
      <c r="K26" s="16"/>
      <c r="L26" s="16"/>
    </row>
    <row r="27">
      <c r="A27" s="6" t="s">
        <v>106</v>
      </c>
      <c r="B27" s="10" t="str">
        <f t="shared" si="1"/>
        <v>fatty_acid</v>
      </c>
      <c r="C27" s="49" t="str">
        <f t="shared" si="2"/>
        <v>S5495FA1</v>
      </c>
      <c r="D27" s="6">
        <v>9.0</v>
      </c>
      <c r="E27" s="10" t="str">
        <f t="shared" si="3"/>
        <v>BFA9</v>
      </c>
      <c r="F27" s="13">
        <v>33.0</v>
      </c>
      <c r="G27" s="10" t="str">
        <f t="shared" si="4"/>
        <v>BFA9-33</v>
      </c>
      <c r="H27" s="6"/>
      <c r="I27" s="16" t="str">
        <f t="shared" si="5"/>
        <v>collected</v>
      </c>
      <c r="J27" s="16" t="str">
        <f t="shared" si="6"/>
        <v>N</v>
      </c>
      <c r="K27" s="16"/>
      <c r="L27" s="16"/>
    </row>
    <row r="28">
      <c r="A28" s="6" t="s">
        <v>109</v>
      </c>
      <c r="B28" s="10" t="str">
        <f t="shared" si="1"/>
        <v>fatty_acid</v>
      </c>
      <c r="C28" s="49" t="str">
        <f t="shared" si="2"/>
        <v>S5496FA1</v>
      </c>
      <c r="D28" s="6">
        <v>9.0</v>
      </c>
      <c r="E28" s="10" t="str">
        <f t="shared" si="3"/>
        <v>BFA9</v>
      </c>
      <c r="F28" s="13">
        <v>34.0</v>
      </c>
      <c r="G28" s="10" t="str">
        <f t="shared" si="4"/>
        <v>BFA9-34</v>
      </c>
      <c r="H28" s="6"/>
      <c r="I28" s="16" t="str">
        <f t="shared" si="5"/>
        <v>collected</v>
      </c>
      <c r="J28" s="16" t="str">
        <f t="shared" si="6"/>
        <v>N</v>
      </c>
      <c r="K28" s="16"/>
      <c r="L28" s="16"/>
    </row>
    <row r="29">
      <c r="A29" s="6" t="s">
        <v>110</v>
      </c>
      <c r="B29" s="10" t="str">
        <f t="shared" si="1"/>
        <v>fatty_acid</v>
      </c>
      <c r="C29" s="49" t="str">
        <f t="shared" si="2"/>
        <v>S5497FA1</v>
      </c>
      <c r="D29" s="6">
        <v>9.0</v>
      </c>
      <c r="E29" s="10" t="str">
        <f t="shared" si="3"/>
        <v>BFA9</v>
      </c>
      <c r="F29" s="13">
        <v>36.0</v>
      </c>
      <c r="G29" s="10" t="str">
        <f t="shared" si="4"/>
        <v>BFA9-36</v>
      </c>
      <c r="H29" s="6"/>
      <c r="I29" s="16" t="str">
        <f t="shared" si="5"/>
        <v>collected</v>
      </c>
      <c r="J29" s="16" t="str">
        <f t="shared" si="6"/>
        <v>N</v>
      </c>
      <c r="K29" s="16"/>
      <c r="L29" s="16"/>
    </row>
    <row r="30">
      <c r="A30" s="6" t="s">
        <v>111</v>
      </c>
      <c r="B30" s="10" t="str">
        <f t="shared" si="1"/>
        <v>fatty_acid</v>
      </c>
      <c r="C30" s="49" t="str">
        <f t="shared" si="2"/>
        <v>S5498FA1</v>
      </c>
      <c r="D30" s="6">
        <v>9.0</v>
      </c>
      <c r="E30" s="10" t="str">
        <f t="shared" si="3"/>
        <v>BFA9</v>
      </c>
      <c r="F30" s="13">
        <v>37.0</v>
      </c>
      <c r="G30" s="10" t="str">
        <f t="shared" si="4"/>
        <v>BFA9-37</v>
      </c>
      <c r="H30" s="6" t="s">
        <v>2128</v>
      </c>
      <c r="I30" s="16" t="str">
        <f t="shared" si="5"/>
        <v>collected</v>
      </c>
      <c r="J30" s="16" t="str">
        <f t="shared" si="6"/>
        <v>N</v>
      </c>
      <c r="K30" s="16"/>
      <c r="L30" s="16"/>
    </row>
    <row r="31">
      <c r="A31" s="6" t="s">
        <v>112</v>
      </c>
      <c r="B31" s="10" t="str">
        <f t="shared" si="1"/>
        <v>fatty_acid</v>
      </c>
      <c r="C31" s="49" t="str">
        <f t="shared" si="2"/>
        <v>S5499FA1</v>
      </c>
      <c r="D31" s="6">
        <v>9.0</v>
      </c>
      <c r="E31" s="10" t="str">
        <f t="shared" si="3"/>
        <v>BFA9</v>
      </c>
      <c r="F31" s="13">
        <v>38.0</v>
      </c>
      <c r="G31" s="10" t="str">
        <f t="shared" si="4"/>
        <v>BFA9-38</v>
      </c>
      <c r="H31" s="6"/>
      <c r="I31" s="16" t="str">
        <f t="shared" si="5"/>
        <v>collected</v>
      </c>
      <c r="J31" s="16" t="str">
        <f t="shared" si="6"/>
        <v>N</v>
      </c>
      <c r="K31" s="16"/>
      <c r="L31" s="16"/>
    </row>
    <row r="32">
      <c r="A32" s="6" t="s">
        <v>114</v>
      </c>
      <c r="B32" s="10" t="str">
        <f t="shared" si="1"/>
        <v>fatty_acid</v>
      </c>
      <c r="C32" s="49" t="str">
        <f t="shared" si="2"/>
        <v>S5500FA1</v>
      </c>
      <c r="D32" s="6">
        <v>9.0</v>
      </c>
      <c r="E32" s="10" t="str">
        <f t="shared" si="3"/>
        <v>BFA9</v>
      </c>
      <c r="F32" s="13">
        <v>39.0</v>
      </c>
      <c r="G32" s="10" t="str">
        <f t="shared" si="4"/>
        <v>BFA9-39</v>
      </c>
      <c r="H32" s="6"/>
      <c r="I32" s="16" t="str">
        <f t="shared" si="5"/>
        <v>collected</v>
      </c>
      <c r="J32" s="16" t="str">
        <f t="shared" si="6"/>
        <v>N</v>
      </c>
      <c r="K32" s="16"/>
      <c r="L32" s="16"/>
    </row>
    <row r="33">
      <c r="A33" s="6" t="s">
        <v>116</v>
      </c>
      <c r="B33" s="10" t="str">
        <f t="shared" si="1"/>
        <v>fatty_acid</v>
      </c>
      <c r="C33" s="49" t="str">
        <f t="shared" si="2"/>
        <v>S5132FA1</v>
      </c>
      <c r="D33" s="6">
        <v>9.0</v>
      </c>
      <c r="E33" s="10" t="str">
        <f t="shared" si="3"/>
        <v>BFA9</v>
      </c>
      <c r="F33" s="13">
        <v>41.0</v>
      </c>
      <c r="G33" s="10" t="str">
        <f t="shared" si="4"/>
        <v>BFA9-41</v>
      </c>
      <c r="H33" s="6"/>
      <c r="I33" s="16" t="str">
        <f t="shared" si="5"/>
        <v>collected</v>
      </c>
      <c r="J33" s="16" t="str">
        <f t="shared" si="6"/>
        <v>N</v>
      </c>
      <c r="K33" s="16"/>
      <c r="L33" s="16"/>
    </row>
    <row r="34">
      <c r="A34" s="6" t="s">
        <v>117</v>
      </c>
      <c r="B34" s="10" t="str">
        <f t="shared" si="1"/>
        <v>fatty_acid</v>
      </c>
      <c r="C34" s="49" t="str">
        <f t="shared" si="2"/>
        <v>S5133FA1</v>
      </c>
      <c r="D34" s="6">
        <v>9.0</v>
      </c>
      <c r="E34" s="10" t="str">
        <f t="shared" si="3"/>
        <v>BFA9</v>
      </c>
      <c r="F34" s="13">
        <v>42.0</v>
      </c>
      <c r="G34" s="10" t="str">
        <f t="shared" si="4"/>
        <v>BFA9-42</v>
      </c>
      <c r="H34" s="6"/>
      <c r="I34" s="16" t="str">
        <f t="shared" si="5"/>
        <v>collected</v>
      </c>
      <c r="J34" s="16" t="str">
        <f t="shared" si="6"/>
        <v>N</v>
      </c>
      <c r="K34" s="16"/>
      <c r="L34" s="16"/>
    </row>
    <row r="35">
      <c r="A35" s="6" t="s">
        <v>119</v>
      </c>
      <c r="B35" s="10" t="str">
        <f t="shared" si="1"/>
        <v>fatty_acid</v>
      </c>
      <c r="C35" s="49" t="str">
        <f t="shared" si="2"/>
        <v>S5134FA1</v>
      </c>
      <c r="D35" s="6">
        <v>9.0</v>
      </c>
      <c r="E35" s="10" t="str">
        <f t="shared" si="3"/>
        <v>BFA9</v>
      </c>
      <c r="F35" s="13">
        <v>43.0</v>
      </c>
      <c r="G35" s="10" t="str">
        <f t="shared" si="4"/>
        <v>BFA9-43</v>
      </c>
      <c r="H35" s="6"/>
      <c r="I35" s="16" t="str">
        <f t="shared" si="5"/>
        <v>collected</v>
      </c>
      <c r="J35" s="16" t="str">
        <f t="shared" si="6"/>
        <v>N</v>
      </c>
      <c r="K35" s="16"/>
      <c r="L35" s="16"/>
    </row>
    <row r="36">
      <c r="A36" s="6" t="s">
        <v>121</v>
      </c>
      <c r="B36" s="10" t="str">
        <f t="shared" si="1"/>
        <v>fatty_acid</v>
      </c>
      <c r="C36" s="49" t="str">
        <f t="shared" si="2"/>
        <v>S5135FA1</v>
      </c>
      <c r="D36" s="6">
        <v>9.0</v>
      </c>
      <c r="E36" s="10" t="str">
        <f t="shared" si="3"/>
        <v>BFA9</v>
      </c>
      <c r="F36" s="13">
        <v>44.0</v>
      </c>
      <c r="G36" s="10" t="str">
        <f t="shared" si="4"/>
        <v>BFA9-44</v>
      </c>
      <c r="H36" s="6"/>
      <c r="I36" s="16" t="str">
        <f t="shared" si="5"/>
        <v>collected</v>
      </c>
      <c r="J36" s="16" t="str">
        <f t="shared" si="6"/>
        <v>N</v>
      </c>
      <c r="K36" s="16"/>
      <c r="L36" s="16"/>
    </row>
    <row r="37">
      <c r="A37" s="6" t="s">
        <v>124</v>
      </c>
      <c r="B37" s="10" t="str">
        <f t="shared" si="1"/>
        <v>fatty_acid</v>
      </c>
      <c r="C37" s="49" t="str">
        <f t="shared" si="2"/>
        <v>S5136FA1</v>
      </c>
      <c r="D37" s="6">
        <v>9.0</v>
      </c>
      <c r="E37" s="10" t="str">
        <f t="shared" si="3"/>
        <v>BFA9</v>
      </c>
      <c r="F37" s="13">
        <v>46.0</v>
      </c>
      <c r="G37" s="10" t="str">
        <f t="shared" si="4"/>
        <v>BFA9-46</v>
      </c>
      <c r="H37" s="6"/>
      <c r="I37" s="16" t="str">
        <f t="shared" si="5"/>
        <v>collected</v>
      </c>
      <c r="J37" s="16" t="str">
        <f t="shared" si="6"/>
        <v>N</v>
      </c>
      <c r="K37" s="16"/>
      <c r="L37" s="16"/>
    </row>
    <row r="38">
      <c r="A38" s="6" t="s">
        <v>126</v>
      </c>
      <c r="B38" s="10" t="str">
        <f t="shared" si="1"/>
        <v>fatty_acid</v>
      </c>
      <c r="C38" s="49" t="str">
        <f t="shared" si="2"/>
        <v>S5137FA1</v>
      </c>
      <c r="D38" s="6">
        <v>9.0</v>
      </c>
      <c r="E38" s="10" t="str">
        <f t="shared" si="3"/>
        <v>BFA9</v>
      </c>
      <c r="F38" s="13">
        <v>47.0</v>
      </c>
      <c r="G38" s="10" t="str">
        <f t="shared" si="4"/>
        <v>BFA9-47</v>
      </c>
      <c r="H38" s="6"/>
      <c r="I38" s="16" t="str">
        <f t="shared" si="5"/>
        <v>collected</v>
      </c>
      <c r="J38" s="16" t="str">
        <f t="shared" si="6"/>
        <v>N</v>
      </c>
      <c r="K38" s="16"/>
      <c r="L38" s="16"/>
    </row>
    <row r="39">
      <c r="A39" s="6" t="s">
        <v>128</v>
      </c>
      <c r="B39" s="10" t="str">
        <f t="shared" si="1"/>
        <v>fatty_acid</v>
      </c>
      <c r="C39" s="49" t="str">
        <f t="shared" si="2"/>
        <v>S5138FA1</v>
      </c>
      <c r="D39" s="6">
        <v>9.0</v>
      </c>
      <c r="E39" s="10" t="str">
        <f t="shared" si="3"/>
        <v>BFA9</v>
      </c>
      <c r="F39" s="13">
        <v>48.0</v>
      </c>
      <c r="G39" s="10" t="str">
        <f t="shared" si="4"/>
        <v>BFA9-48</v>
      </c>
      <c r="H39" s="50"/>
      <c r="I39" s="16" t="str">
        <f t="shared" si="5"/>
        <v>collected</v>
      </c>
      <c r="J39" s="16" t="str">
        <f t="shared" si="6"/>
        <v>N</v>
      </c>
      <c r="K39" s="6"/>
      <c r="L39" s="16"/>
    </row>
    <row r="40">
      <c r="A40" s="6" t="s">
        <v>129</v>
      </c>
      <c r="B40" s="10" t="str">
        <f t="shared" si="1"/>
        <v>fatty_acid</v>
      </c>
      <c r="C40" s="49" t="str">
        <f t="shared" si="2"/>
        <v>S5139FA1</v>
      </c>
      <c r="D40" s="6">
        <v>9.0</v>
      </c>
      <c r="E40" s="10" t="str">
        <f t="shared" si="3"/>
        <v>BFA9</v>
      </c>
      <c r="F40" s="13">
        <v>49.0</v>
      </c>
      <c r="G40" s="10" t="str">
        <f t="shared" si="4"/>
        <v>BFA9-49</v>
      </c>
      <c r="H40" s="50"/>
      <c r="I40" s="16" t="str">
        <f t="shared" si="5"/>
        <v>collected</v>
      </c>
      <c r="J40" s="16" t="str">
        <f t="shared" si="6"/>
        <v>N</v>
      </c>
      <c r="K40" s="6"/>
      <c r="L40" s="16"/>
    </row>
    <row r="41">
      <c r="A41" s="6" t="s">
        <v>131</v>
      </c>
      <c r="B41" s="10" t="str">
        <f t="shared" si="1"/>
        <v>fatty_acid</v>
      </c>
      <c r="C41" s="49" t="str">
        <f t="shared" si="2"/>
        <v>S5140FA1</v>
      </c>
      <c r="D41" s="6">
        <v>9.0</v>
      </c>
      <c r="E41" s="10" t="str">
        <f t="shared" si="3"/>
        <v>BFA9</v>
      </c>
      <c r="F41" s="13">
        <v>50.0</v>
      </c>
      <c r="G41" s="10" t="str">
        <f t="shared" si="4"/>
        <v>BFA9-50</v>
      </c>
      <c r="H41" s="50"/>
      <c r="I41" s="16" t="str">
        <f t="shared" si="5"/>
        <v>collected</v>
      </c>
      <c r="J41" s="16" t="str">
        <f t="shared" si="6"/>
        <v>N</v>
      </c>
      <c r="K41" s="6"/>
      <c r="L41" s="16"/>
    </row>
    <row r="42">
      <c r="A42" s="6" t="s">
        <v>133</v>
      </c>
      <c r="B42" s="10" t="str">
        <f t="shared" si="1"/>
        <v>fatty_acid</v>
      </c>
      <c r="C42" s="49" t="str">
        <f t="shared" si="2"/>
        <v>S5141FA1</v>
      </c>
      <c r="D42" s="6">
        <v>9.0</v>
      </c>
      <c r="E42" s="10" t="str">
        <f t="shared" si="3"/>
        <v>BFA9</v>
      </c>
      <c r="F42" s="13">
        <v>61.0</v>
      </c>
      <c r="G42" s="10" t="str">
        <f t="shared" si="4"/>
        <v>BFA9-61</v>
      </c>
      <c r="H42" s="50"/>
      <c r="I42" s="16" t="str">
        <f t="shared" si="5"/>
        <v>collected</v>
      </c>
      <c r="J42" s="16" t="str">
        <f t="shared" si="6"/>
        <v>N</v>
      </c>
      <c r="K42" s="6"/>
      <c r="L42" s="16"/>
    </row>
    <row r="43">
      <c r="A43" s="6" t="s">
        <v>135</v>
      </c>
      <c r="B43" s="10" t="str">
        <f t="shared" si="1"/>
        <v>fatty_acid</v>
      </c>
      <c r="C43" s="49" t="str">
        <f t="shared" si="2"/>
        <v>S5142FA1</v>
      </c>
      <c r="D43" s="6">
        <v>9.0</v>
      </c>
      <c r="E43" s="10" t="str">
        <f t="shared" si="3"/>
        <v>BFA9</v>
      </c>
      <c r="F43" s="13">
        <v>62.0</v>
      </c>
      <c r="G43" s="10" t="str">
        <f t="shared" si="4"/>
        <v>BFA9-62</v>
      </c>
      <c r="H43" s="50"/>
      <c r="I43" s="16" t="str">
        <f t="shared" si="5"/>
        <v>collected</v>
      </c>
      <c r="J43" s="16" t="str">
        <f t="shared" si="6"/>
        <v>N</v>
      </c>
      <c r="K43" s="6"/>
      <c r="L43" s="16"/>
    </row>
    <row r="44">
      <c r="A44" s="6" t="s">
        <v>136</v>
      </c>
      <c r="B44" s="10" t="str">
        <f t="shared" si="1"/>
        <v>fatty_acid</v>
      </c>
      <c r="C44" s="49" t="str">
        <f t="shared" si="2"/>
        <v>S5143FA1</v>
      </c>
      <c r="D44" s="6">
        <v>9.0</v>
      </c>
      <c r="E44" s="10" t="str">
        <f t="shared" si="3"/>
        <v>BFA9</v>
      </c>
      <c r="F44" s="13">
        <v>63.0</v>
      </c>
      <c r="G44" s="10" t="str">
        <f t="shared" si="4"/>
        <v>BFA9-63</v>
      </c>
      <c r="H44" s="50"/>
      <c r="I44" s="16" t="str">
        <f t="shared" si="5"/>
        <v>collected</v>
      </c>
      <c r="J44" s="16" t="str">
        <f t="shared" si="6"/>
        <v>N</v>
      </c>
      <c r="K44" s="6"/>
      <c r="L44" s="16"/>
    </row>
    <row r="45">
      <c r="A45" s="6" t="s">
        <v>138</v>
      </c>
      <c r="B45" s="10" t="str">
        <f t="shared" si="1"/>
        <v>fatty_acid</v>
      </c>
      <c r="C45" s="49" t="str">
        <f t="shared" si="2"/>
        <v>S5144FA1</v>
      </c>
      <c r="D45" s="6">
        <v>9.0</v>
      </c>
      <c r="E45" s="10" t="str">
        <f t="shared" si="3"/>
        <v>BFA9</v>
      </c>
      <c r="F45" s="13">
        <v>64.0</v>
      </c>
      <c r="G45" s="10" t="str">
        <f t="shared" si="4"/>
        <v>BFA9-64</v>
      </c>
      <c r="H45" s="50"/>
      <c r="I45" s="16" t="str">
        <f t="shared" si="5"/>
        <v>collected</v>
      </c>
      <c r="J45" s="16" t="str">
        <f t="shared" si="6"/>
        <v>N</v>
      </c>
      <c r="K45" s="6"/>
      <c r="L45" s="16"/>
    </row>
    <row r="46">
      <c r="A46" s="6" t="s">
        <v>139</v>
      </c>
      <c r="B46" s="10" t="str">
        <f t="shared" si="1"/>
        <v>fatty_acid</v>
      </c>
      <c r="C46" s="49" t="str">
        <f t="shared" si="2"/>
        <v>S5145FA1</v>
      </c>
      <c r="D46" s="6">
        <v>9.0</v>
      </c>
      <c r="E46" s="10" t="str">
        <f t="shared" si="3"/>
        <v>BFA9</v>
      </c>
      <c r="F46" s="13">
        <v>66.0</v>
      </c>
      <c r="G46" s="10" t="str">
        <f t="shared" si="4"/>
        <v>BFA9-66</v>
      </c>
      <c r="H46" s="50"/>
      <c r="I46" s="16" t="str">
        <f t="shared" si="5"/>
        <v>collected</v>
      </c>
      <c r="J46" s="16" t="str">
        <f t="shared" si="6"/>
        <v>N</v>
      </c>
      <c r="K46" s="6"/>
      <c r="L46" s="16"/>
    </row>
    <row r="47">
      <c r="A47" s="6" t="s">
        <v>141</v>
      </c>
      <c r="B47" s="10" t="str">
        <f t="shared" si="1"/>
        <v>fatty_acid</v>
      </c>
      <c r="C47" s="49" t="str">
        <f t="shared" si="2"/>
        <v>S5146FA1</v>
      </c>
      <c r="D47" s="6">
        <v>9.0</v>
      </c>
      <c r="E47" s="10" t="str">
        <f t="shared" si="3"/>
        <v>BFA9</v>
      </c>
      <c r="F47" s="13">
        <v>67.0</v>
      </c>
      <c r="G47" s="10" t="str">
        <f t="shared" si="4"/>
        <v>BFA9-67</v>
      </c>
      <c r="I47" s="16" t="str">
        <f t="shared" si="5"/>
        <v>collected</v>
      </c>
      <c r="J47" s="16" t="str">
        <f t="shared" si="6"/>
        <v>N</v>
      </c>
      <c r="K47" s="16"/>
      <c r="L47" s="16"/>
    </row>
    <row r="48">
      <c r="A48" s="6" t="s">
        <v>143</v>
      </c>
      <c r="B48" s="10" t="str">
        <f t="shared" si="1"/>
        <v>fatty_acid</v>
      </c>
      <c r="C48" s="49" t="str">
        <f t="shared" si="2"/>
        <v>S5147FA1</v>
      </c>
      <c r="D48" s="6">
        <v>9.0</v>
      </c>
      <c r="E48" s="10" t="str">
        <f t="shared" si="3"/>
        <v>BFA9</v>
      </c>
      <c r="F48" s="13">
        <v>68.0</v>
      </c>
      <c r="G48" s="10" t="str">
        <f t="shared" si="4"/>
        <v>BFA9-68</v>
      </c>
      <c r="I48" s="16" t="str">
        <f t="shared" si="5"/>
        <v>collected</v>
      </c>
      <c r="J48" s="16" t="str">
        <f t="shared" si="6"/>
        <v>N</v>
      </c>
      <c r="K48" s="16"/>
      <c r="L48" s="16"/>
    </row>
    <row r="49">
      <c r="A49" s="6" t="s">
        <v>144</v>
      </c>
      <c r="B49" s="10" t="str">
        <f t="shared" si="1"/>
        <v>fatty_acid</v>
      </c>
      <c r="C49" s="49" t="str">
        <f t="shared" si="2"/>
        <v>S5148FA1</v>
      </c>
      <c r="D49" s="6">
        <v>9.0</v>
      </c>
      <c r="E49" s="10" t="str">
        <f t="shared" si="3"/>
        <v>BFA9</v>
      </c>
      <c r="F49" s="13">
        <v>69.0</v>
      </c>
      <c r="G49" s="10" t="str">
        <f t="shared" si="4"/>
        <v>BFA9-69</v>
      </c>
      <c r="I49" s="16" t="str">
        <f t="shared" si="5"/>
        <v>collected</v>
      </c>
      <c r="J49" s="16" t="str">
        <f t="shared" si="6"/>
        <v>N</v>
      </c>
      <c r="K49" s="16"/>
      <c r="L49" s="16"/>
    </row>
    <row r="50">
      <c r="A50" s="6" t="s">
        <v>146</v>
      </c>
      <c r="B50" s="10" t="str">
        <f t="shared" si="1"/>
        <v>fatty_acid</v>
      </c>
      <c r="C50" s="49" t="str">
        <f t="shared" si="2"/>
        <v>S5149FA1</v>
      </c>
      <c r="D50" s="6">
        <v>9.0</v>
      </c>
      <c r="E50" s="10" t="str">
        <f t="shared" si="3"/>
        <v>BFA9</v>
      </c>
      <c r="F50" s="13">
        <v>70.0</v>
      </c>
      <c r="G50" s="10" t="str">
        <f t="shared" si="4"/>
        <v>BFA9-70</v>
      </c>
      <c r="I50" s="16" t="str">
        <f t="shared" si="5"/>
        <v>collected</v>
      </c>
      <c r="J50" s="16" t="str">
        <f t="shared" si="6"/>
        <v>N</v>
      </c>
      <c r="K50" s="16"/>
      <c r="L50" s="16"/>
    </row>
    <row r="51">
      <c r="A51" s="6" t="s">
        <v>149</v>
      </c>
      <c r="B51" s="10" t="str">
        <f t="shared" si="1"/>
        <v>fatty_acid</v>
      </c>
      <c r="C51" s="49" t="str">
        <f t="shared" si="2"/>
        <v>S5150FA1</v>
      </c>
      <c r="D51" s="6">
        <v>9.0</v>
      </c>
      <c r="E51" s="10" t="str">
        <f t="shared" si="3"/>
        <v>BFA9</v>
      </c>
      <c r="F51" s="13">
        <v>71.0</v>
      </c>
      <c r="G51" s="10" t="str">
        <f t="shared" si="4"/>
        <v>BFA9-71</v>
      </c>
      <c r="I51" s="16" t="str">
        <f t="shared" si="5"/>
        <v>collected</v>
      </c>
      <c r="J51" s="16" t="str">
        <f t="shared" si="6"/>
        <v>N</v>
      </c>
      <c r="K51" s="16"/>
      <c r="L51" s="16"/>
    </row>
    <row r="52">
      <c r="A52" s="6" t="s">
        <v>151</v>
      </c>
      <c r="B52" s="10" t="str">
        <f t="shared" si="1"/>
        <v>fatty_acid</v>
      </c>
      <c r="C52" s="49" t="str">
        <f t="shared" si="2"/>
        <v>S5161FA1</v>
      </c>
      <c r="D52" s="6">
        <v>9.0</v>
      </c>
      <c r="E52" s="10" t="str">
        <f t="shared" si="3"/>
        <v>BFA9</v>
      </c>
      <c r="F52" s="13">
        <v>72.0</v>
      </c>
      <c r="G52" s="10" t="str">
        <f t="shared" si="4"/>
        <v>BFA9-72</v>
      </c>
      <c r="I52" s="16" t="str">
        <f t="shared" si="5"/>
        <v>collected</v>
      </c>
      <c r="J52" s="16" t="str">
        <f t="shared" si="6"/>
        <v>N</v>
      </c>
      <c r="K52" s="16"/>
      <c r="L52" s="16"/>
    </row>
    <row r="53">
      <c r="A53" s="6" t="s">
        <v>153</v>
      </c>
      <c r="B53" s="10" t="str">
        <f t="shared" si="1"/>
        <v>fatty_acid</v>
      </c>
      <c r="C53" s="49" t="str">
        <f t="shared" si="2"/>
        <v>S5162FA1</v>
      </c>
      <c r="D53" s="6">
        <v>9.0</v>
      </c>
      <c r="E53" s="10" t="str">
        <f t="shared" si="3"/>
        <v>BFA9</v>
      </c>
      <c r="F53" s="13">
        <v>73.0</v>
      </c>
      <c r="G53" s="10" t="str">
        <f t="shared" si="4"/>
        <v>BFA9-73</v>
      </c>
      <c r="I53" s="16" t="str">
        <f t="shared" si="5"/>
        <v>collected</v>
      </c>
      <c r="J53" s="16" t="str">
        <f t="shared" si="6"/>
        <v>N</v>
      </c>
      <c r="K53" s="16"/>
      <c r="L53" s="16"/>
    </row>
    <row r="54">
      <c r="A54" s="6" t="s">
        <v>154</v>
      </c>
      <c r="B54" s="10" t="str">
        <f t="shared" si="1"/>
        <v>fatty_acid</v>
      </c>
      <c r="C54" s="49" t="str">
        <f t="shared" si="2"/>
        <v>S5163FA1</v>
      </c>
      <c r="D54" s="6">
        <v>9.0</v>
      </c>
      <c r="E54" s="10" t="str">
        <f t="shared" si="3"/>
        <v>BFA9</v>
      </c>
      <c r="F54" s="13">
        <v>74.0</v>
      </c>
      <c r="G54" s="10" t="str">
        <f t="shared" si="4"/>
        <v>BFA9-74</v>
      </c>
      <c r="H54" s="6"/>
      <c r="I54" s="16" t="str">
        <f t="shared" si="5"/>
        <v>collected</v>
      </c>
      <c r="J54" s="16" t="str">
        <f t="shared" si="6"/>
        <v>N</v>
      </c>
      <c r="K54" s="16"/>
      <c r="L54" s="16"/>
    </row>
    <row r="55">
      <c r="A55" s="6" t="s">
        <v>156</v>
      </c>
      <c r="B55" s="10" t="str">
        <f t="shared" si="1"/>
        <v>fatty_acid</v>
      </c>
      <c r="C55" s="49" t="str">
        <f t="shared" si="2"/>
        <v>S5164FA1</v>
      </c>
      <c r="D55" s="6">
        <v>9.0</v>
      </c>
      <c r="E55" s="10" t="str">
        <f t="shared" si="3"/>
        <v>BFA9</v>
      </c>
      <c r="F55" s="13">
        <v>76.0</v>
      </c>
      <c r="G55" s="10" t="str">
        <f t="shared" si="4"/>
        <v>BFA9-76</v>
      </c>
      <c r="H55" s="6"/>
      <c r="I55" s="16" t="str">
        <f t="shared" si="5"/>
        <v>collected</v>
      </c>
      <c r="J55" s="16" t="str">
        <f t="shared" si="6"/>
        <v>N</v>
      </c>
      <c r="K55" s="16"/>
      <c r="L55" s="16"/>
    </row>
    <row r="56">
      <c r="A56" s="6" t="s">
        <v>158</v>
      </c>
      <c r="B56" s="10" t="str">
        <f t="shared" si="1"/>
        <v>fatty_acid</v>
      </c>
      <c r="C56" s="49" t="str">
        <f t="shared" si="2"/>
        <v>S5165FA1</v>
      </c>
      <c r="D56" s="6">
        <v>9.0</v>
      </c>
      <c r="E56" s="10" t="str">
        <f t="shared" si="3"/>
        <v>BFA9</v>
      </c>
      <c r="F56" s="13">
        <v>77.0</v>
      </c>
      <c r="G56" s="10" t="str">
        <f t="shared" si="4"/>
        <v>BFA9-77</v>
      </c>
      <c r="H56" s="6"/>
      <c r="I56" s="16" t="str">
        <f t="shared" si="5"/>
        <v>collected</v>
      </c>
      <c r="J56" s="16" t="str">
        <f t="shared" si="6"/>
        <v>N</v>
      </c>
      <c r="K56" s="16"/>
      <c r="L56" s="16"/>
    </row>
    <row r="57">
      <c r="A57" s="6" t="s">
        <v>160</v>
      </c>
      <c r="B57" s="10" t="str">
        <f t="shared" si="1"/>
        <v>fatty_acid</v>
      </c>
      <c r="C57" s="49" t="str">
        <f t="shared" si="2"/>
        <v>S5166FA1</v>
      </c>
      <c r="D57" s="6">
        <v>9.0</v>
      </c>
      <c r="E57" s="10" t="str">
        <f t="shared" si="3"/>
        <v>BFA9</v>
      </c>
      <c r="F57" s="13">
        <v>78.0</v>
      </c>
      <c r="G57" s="10" t="str">
        <f t="shared" si="4"/>
        <v>BFA9-78</v>
      </c>
      <c r="H57" s="6"/>
      <c r="I57" s="16" t="str">
        <f t="shared" si="5"/>
        <v>collected</v>
      </c>
      <c r="J57" s="16" t="str">
        <f t="shared" si="6"/>
        <v>N</v>
      </c>
      <c r="K57" s="16"/>
      <c r="L57" s="16"/>
    </row>
    <row r="58">
      <c r="A58" s="6" t="s">
        <v>161</v>
      </c>
      <c r="B58" s="10" t="str">
        <f t="shared" si="1"/>
        <v>fatty_acid</v>
      </c>
      <c r="C58" s="49" t="str">
        <f t="shared" si="2"/>
        <v>S5167FA1</v>
      </c>
      <c r="D58" s="6">
        <v>9.0</v>
      </c>
      <c r="E58" s="10" t="str">
        <f t="shared" si="3"/>
        <v>BFA9</v>
      </c>
      <c r="F58" s="13">
        <v>79.0</v>
      </c>
      <c r="G58" s="10" t="str">
        <f t="shared" si="4"/>
        <v>BFA9-79</v>
      </c>
      <c r="H58" s="6"/>
      <c r="I58" s="16" t="str">
        <f t="shared" si="5"/>
        <v>collected</v>
      </c>
      <c r="J58" s="16" t="str">
        <f t="shared" si="6"/>
        <v>N</v>
      </c>
      <c r="K58" s="16"/>
      <c r="L58" s="16"/>
    </row>
    <row r="59">
      <c r="A59" s="6" t="s">
        <v>163</v>
      </c>
      <c r="B59" s="10" t="str">
        <f t="shared" si="1"/>
        <v>fatty_acid</v>
      </c>
      <c r="C59" s="49" t="str">
        <f t="shared" si="2"/>
        <v>S5168FA1</v>
      </c>
      <c r="D59" s="6">
        <v>9.0</v>
      </c>
      <c r="E59" s="10" t="str">
        <f t="shared" si="3"/>
        <v>BFA9</v>
      </c>
      <c r="F59" s="13">
        <v>80.0</v>
      </c>
      <c r="G59" s="10" t="str">
        <f t="shared" si="4"/>
        <v>BFA9-80</v>
      </c>
      <c r="H59" s="6"/>
      <c r="I59" s="16" t="str">
        <f t="shared" si="5"/>
        <v>collected</v>
      </c>
      <c r="J59" s="16" t="str">
        <f t="shared" si="6"/>
        <v>N</v>
      </c>
      <c r="K59" s="16"/>
      <c r="L59" s="16"/>
    </row>
    <row r="60">
      <c r="A60" s="6" t="s">
        <v>166</v>
      </c>
      <c r="B60" s="10" t="str">
        <f t="shared" si="1"/>
        <v>fatty_acid</v>
      </c>
      <c r="C60" s="49" t="str">
        <f t="shared" si="2"/>
        <v>S5169FA1</v>
      </c>
      <c r="D60" s="6">
        <v>9.0</v>
      </c>
      <c r="E60" s="10" t="str">
        <f t="shared" si="3"/>
        <v>BFA9</v>
      </c>
      <c r="F60" s="13">
        <v>81.0</v>
      </c>
      <c r="G60" s="10" t="str">
        <f t="shared" si="4"/>
        <v>BFA9-81</v>
      </c>
      <c r="H60" s="6"/>
      <c r="I60" s="16" t="str">
        <f t="shared" si="5"/>
        <v>collected</v>
      </c>
      <c r="J60" s="16" t="str">
        <f t="shared" si="6"/>
        <v>N</v>
      </c>
      <c r="K60" s="16"/>
      <c r="L60" s="16"/>
    </row>
    <row r="61">
      <c r="A61" s="6" t="s">
        <v>167</v>
      </c>
      <c r="B61" s="10" t="str">
        <f t="shared" si="1"/>
        <v>fatty_acid</v>
      </c>
      <c r="C61" s="49" t="str">
        <f t="shared" si="2"/>
        <v>S5170FA1</v>
      </c>
      <c r="D61" s="6">
        <v>9.0</v>
      </c>
      <c r="E61" s="10" t="str">
        <f t="shared" si="3"/>
        <v>BFA9</v>
      </c>
      <c r="F61" s="13">
        <v>82.0</v>
      </c>
      <c r="G61" s="10" t="str">
        <f t="shared" si="4"/>
        <v>BFA9-82</v>
      </c>
      <c r="H61" s="6"/>
      <c r="I61" s="16" t="str">
        <f t="shared" si="5"/>
        <v>collected</v>
      </c>
      <c r="J61" s="16" t="str">
        <f t="shared" si="6"/>
        <v>N</v>
      </c>
      <c r="K61" s="16"/>
      <c r="L61" s="16"/>
    </row>
    <row r="62">
      <c r="A62" s="6" t="s">
        <v>168</v>
      </c>
      <c r="B62" s="10" t="str">
        <f t="shared" si="1"/>
        <v>fatty_acid</v>
      </c>
      <c r="C62" s="49" t="str">
        <f t="shared" si="2"/>
        <v>S5151FA1</v>
      </c>
      <c r="D62" s="6">
        <v>7.0</v>
      </c>
      <c r="E62" s="10" t="str">
        <f t="shared" si="3"/>
        <v>BFA7</v>
      </c>
      <c r="F62" s="13">
        <v>17.0</v>
      </c>
      <c r="G62" s="10" t="str">
        <f t="shared" si="4"/>
        <v>BFA7-17</v>
      </c>
      <c r="H62" s="6"/>
      <c r="I62" s="16" t="str">
        <f t="shared" si="5"/>
        <v>collected</v>
      </c>
      <c r="J62" s="16" t="str">
        <f t="shared" si="6"/>
        <v>N</v>
      </c>
      <c r="K62" s="16"/>
      <c r="L62" s="16"/>
    </row>
    <row r="63">
      <c r="A63" s="6" t="s">
        <v>171</v>
      </c>
      <c r="B63" s="10" t="str">
        <f t="shared" si="1"/>
        <v>fatty_acid</v>
      </c>
      <c r="C63" s="49" t="str">
        <f t="shared" si="2"/>
        <v>S5152FA1</v>
      </c>
      <c r="D63" s="6">
        <v>7.0</v>
      </c>
      <c r="E63" s="10" t="str">
        <f t="shared" si="3"/>
        <v>BFA7</v>
      </c>
      <c r="F63" s="13">
        <v>22.0</v>
      </c>
      <c r="G63" s="10" t="str">
        <f t="shared" si="4"/>
        <v>BFA7-22</v>
      </c>
      <c r="H63" s="6"/>
      <c r="I63" s="16" t="str">
        <f t="shared" si="5"/>
        <v>collected</v>
      </c>
      <c r="J63" s="16" t="str">
        <f t="shared" si="6"/>
        <v>N</v>
      </c>
      <c r="K63" s="16"/>
      <c r="L63" s="16"/>
    </row>
    <row r="64">
      <c r="A64" s="6" t="s">
        <v>173</v>
      </c>
      <c r="B64" s="10" t="str">
        <f t="shared" si="1"/>
        <v>fatty_acid</v>
      </c>
      <c r="C64" s="49" t="str">
        <f t="shared" si="2"/>
        <v>S5153FA1</v>
      </c>
      <c r="D64" s="6">
        <v>7.0</v>
      </c>
      <c r="E64" s="10" t="str">
        <f t="shared" si="3"/>
        <v>BFA7</v>
      </c>
      <c r="F64" s="13">
        <v>24.0</v>
      </c>
      <c r="G64" s="10" t="str">
        <f t="shared" si="4"/>
        <v>BFA7-24</v>
      </c>
      <c r="H64" s="6"/>
      <c r="I64" s="16" t="str">
        <f t="shared" si="5"/>
        <v>collected</v>
      </c>
      <c r="J64" s="16" t="str">
        <f t="shared" si="6"/>
        <v>N</v>
      </c>
      <c r="K64" s="16"/>
      <c r="L64" s="16"/>
    </row>
    <row r="65">
      <c r="A65" s="6" t="s">
        <v>175</v>
      </c>
      <c r="B65" s="10" t="str">
        <f t="shared" si="1"/>
        <v>fatty_acid</v>
      </c>
      <c r="C65" s="49" t="str">
        <f t="shared" si="2"/>
        <v>S5154FA1</v>
      </c>
      <c r="D65" s="6">
        <v>7.0</v>
      </c>
      <c r="E65" s="10" t="str">
        <f t="shared" si="3"/>
        <v>BFA7</v>
      </c>
      <c r="F65" s="13">
        <v>28.0</v>
      </c>
      <c r="G65" s="10" t="str">
        <f t="shared" si="4"/>
        <v>BFA7-28</v>
      </c>
      <c r="H65" s="6"/>
      <c r="I65" s="16" t="str">
        <f t="shared" si="5"/>
        <v>collected</v>
      </c>
      <c r="J65" s="16" t="str">
        <f t="shared" si="6"/>
        <v>N</v>
      </c>
      <c r="K65" s="16"/>
      <c r="L65" s="16"/>
    </row>
    <row r="66">
      <c r="A66" s="6" t="s">
        <v>177</v>
      </c>
      <c r="B66" s="10" t="str">
        <f t="shared" si="1"/>
        <v>fatty_acid</v>
      </c>
      <c r="C66" s="49" t="str">
        <f t="shared" si="2"/>
        <v>S5155FA1</v>
      </c>
      <c r="D66" s="6">
        <v>7.0</v>
      </c>
      <c r="E66" s="10" t="str">
        <f t="shared" si="3"/>
        <v>BFA7</v>
      </c>
      <c r="F66" s="13">
        <v>30.0</v>
      </c>
      <c r="G66" s="10" t="str">
        <f t="shared" si="4"/>
        <v>BFA7-30</v>
      </c>
      <c r="H66" s="6"/>
      <c r="I66" s="16" t="str">
        <f t="shared" si="5"/>
        <v>collected</v>
      </c>
      <c r="J66" s="16" t="str">
        <f t="shared" si="6"/>
        <v>N</v>
      </c>
      <c r="K66" s="16"/>
      <c r="L66" s="16"/>
    </row>
    <row r="67">
      <c r="A67" s="6" t="s">
        <v>179</v>
      </c>
      <c r="B67" s="10" t="str">
        <f t="shared" si="1"/>
        <v>fatty_acid</v>
      </c>
      <c r="C67" s="49" t="str">
        <f t="shared" si="2"/>
        <v>S5156FA1</v>
      </c>
      <c r="D67" s="6">
        <v>7.0</v>
      </c>
      <c r="E67" s="10" t="str">
        <f t="shared" si="3"/>
        <v>BFA7</v>
      </c>
      <c r="F67" s="13">
        <v>31.0</v>
      </c>
      <c r="G67" s="10" t="str">
        <f t="shared" si="4"/>
        <v>BFA7-31</v>
      </c>
      <c r="H67" s="6"/>
      <c r="I67" s="16" t="str">
        <f t="shared" si="5"/>
        <v>collected</v>
      </c>
      <c r="J67" s="16" t="str">
        <f t="shared" si="6"/>
        <v>N</v>
      </c>
      <c r="K67" s="16"/>
      <c r="L67" s="16"/>
    </row>
    <row r="68">
      <c r="A68" s="6" t="s">
        <v>180</v>
      </c>
      <c r="B68" s="10" t="str">
        <f t="shared" si="1"/>
        <v>fatty_acid</v>
      </c>
      <c r="C68" s="49" t="str">
        <f t="shared" si="2"/>
        <v>S5157FA1</v>
      </c>
      <c r="D68" s="6">
        <v>7.0</v>
      </c>
      <c r="E68" s="10" t="str">
        <f t="shared" si="3"/>
        <v>BFA7</v>
      </c>
      <c r="F68" s="13">
        <v>33.0</v>
      </c>
      <c r="G68" s="10" t="str">
        <f t="shared" si="4"/>
        <v>BFA7-33</v>
      </c>
      <c r="H68" s="6"/>
      <c r="I68" s="16" t="str">
        <f t="shared" si="5"/>
        <v>collected</v>
      </c>
      <c r="J68" s="16" t="str">
        <f t="shared" si="6"/>
        <v>N</v>
      </c>
      <c r="K68" s="16"/>
      <c r="L68" s="16"/>
    </row>
    <row r="69">
      <c r="A69" s="6" t="s">
        <v>184</v>
      </c>
      <c r="B69" s="10" t="str">
        <f t="shared" si="1"/>
        <v>fatty_acid</v>
      </c>
      <c r="C69" s="49" t="str">
        <f t="shared" si="2"/>
        <v>S5158FA1</v>
      </c>
      <c r="D69" s="6">
        <v>7.0</v>
      </c>
      <c r="E69" s="10" t="str">
        <f t="shared" si="3"/>
        <v>BFA7</v>
      </c>
      <c r="F69" s="13">
        <v>37.0</v>
      </c>
      <c r="G69" s="10" t="str">
        <f t="shared" si="4"/>
        <v>BFA7-37</v>
      </c>
      <c r="H69" s="6"/>
      <c r="I69" s="16" t="str">
        <f t="shared" si="5"/>
        <v>collected</v>
      </c>
      <c r="J69" s="16" t="str">
        <f t="shared" si="6"/>
        <v>N</v>
      </c>
      <c r="K69" s="16"/>
      <c r="L69" s="16"/>
    </row>
    <row r="70">
      <c r="A70" s="6" t="s">
        <v>185</v>
      </c>
      <c r="B70" s="10" t="str">
        <f t="shared" si="1"/>
        <v>fatty_acid</v>
      </c>
      <c r="C70" s="49" t="str">
        <f t="shared" si="2"/>
        <v>S5159FA1</v>
      </c>
      <c r="D70" s="6">
        <v>7.0</v>
      </c>
      <c r="E70" s="10" t="str">
        <f t="shared" si="3"/>
        <v>BFA7</v>
      </c>
      <c r="F70" s="13">
        <v>39.0</v>
      </c>
      <c r="G70" s="10" t="str">
        <f t="shared" si="4"/>
        <v>BFA7-39</v>
      </c>
      <c r="H70" s="6"/>
      <c r="I70" s="16" t="str">
        <f t="shared" si="5"/>
        <v>collected</v>
      </c>
      <c r="J70" s="16" t="str">
        <f t="shared" si="6"/>
        <v>N</v>
      </c>
      <c r="K70" s="16"/>
      <c r="L70" s="16"/>
    </row>
    <row r="71">
      <c r="A71" s="6" t="s">
        <v>187</v>
      </c>
      <c r="B71" s="10" t="str">
        <f t="shared" si="1"/>
        <v>fatty_acid</v>
      </c>
      <c r="C71" s="49" t="str">
        <f t="shared" si="2"/>
        <v>S5160FA1</v>
      </c>
      <c r="D71" s="6">
        <v>7.0</v>
      </c>
      <c r="E71" s="10" t="str">
        <f t="shared" si="3"/>
        <v>BFA7</v>
      </c>
      <c r="F71" s="13">
        <v>42.0</v>
      </c>
      <c r="G71" s="10" t="str">
        <f t="shared" si="4"/>
        <v>BFA7-42</v>
      </c>
      <c r="H71" s="6"/>
      <c r="I71" s="16" t="str">
        <f t="shared" si="5"/>
        <v>collected</v>
      </c>
      <c r="J71" s="16" t="str">
        <f t="shared" si="6"/>
        <v>N</v>
      </c>
      <c r="K71" s="16"/>
      <c r="L71" s="16"/>
    </row>
    <row r="72">
      <c r="A72" s="6" t="s">
        <v>189</v>
      </c>
      <c r="B72" s="10" t="str">
        <f t="shared" si="1"/>
        <v>fatty_acid</v>
      </c>
      <c r="C72" s="49" t="str">
        <f t="shared" si="2"/>
        <v>S5179FA1</v>
      </c>
      <c r="D72" s="6">
        <v>7.0</v>
      </c>
      <c r="E72" s="10" t="str">
        <f t="shared" si="3"/>
        <v>BFA7</v>
      </c>
      <c r="F72" s="13">
        <v>44.0</v>
      </c>
      <c r="G72" s="10" t="str">
        <f t="shared" si="4"/>
        <v>BFA7-44</v>
      </c>
      <c r="H72" s="6"/>
      <c r="I72" s="16" t="str">
        <f t="shared" si="5"/>
        <v>collected</v>
      </c>
      <c r="J72" s="16" t="str">
        <f t="shared" si="6"/>
        <v>N</v>
      </c>
      <c r="K72" s="16"/>
      <c r="L72" s="16"/>
    </row>
    <row r="73">
      <c r="A73" s="6" t="s">
        <v>191</v>
      </c>
      <c r="B73" s="10" t="str">
        <f t="shared" si="1"/>
        <v>fatty_acid</v>
      </c>
      <c r="C73" s="49" t="str">
        <f t="shared" si="2"/>
        <v>S5180FA1</v>
      </c>
      <c r="D73" s="6">
        <v>7.0</v>
      </c>
      <c r="E73" s="10" t="str">
        <f t="shared" si="3"/>
        <v>BFA7</v>
      </c>
      <c r="F73" s="13">
        <v>48.0</v>
      </c>
      <c r="G73" s="10" t="str">
        <f t="shared" si="4"/>
        <v>BFA7-48</v>
      </c>
      <c r="H73" s="6"/>
      <c r="I73" s="16" t="str">
        <f t="shared" si="5"/>
        <v>collected</v>
      </c>
      <c r="J73" s="16" t="str">
        <f t="shared" si="6"/>
        <v>N</v>
      </c>
      <c r="K73" s="16"/>
      <c r="L73" s="16"/>
    </row>
    <row r="74">
      <c r="A74" s="6" t="s">
        <v>194</v>
      </c>
      <c r="B74" s="10" t="str">
        <f t="shared" si="1"/>
        <v>fatty_acid</v>
      </c>
      <c r="C74" s="49" t="str">
        <f t="shared" si="2"/>
        <v>S5181FA1</v>
      </c>
      <c r="D74" s="6">
        <v>7.0</v>
      </c>
      <c r="E74" s="10" t="str">
        <f t="shared" si="3"/>
        <v>BFA7</v>
      </c>
      <c r="F74" s="13">
        <v>50.0</v>
      </c>
      <c r="G74" s="10" t="str">
        <f t="shared" si="4"/>
        <v>BFA7-50</v>
      </c>
      <c r="H74" s="6"/>
      <c r="I74" s="16" t="str">
        <f t="shared" si="5"/>
        <v>collected</v>
      </c>
      <c r="J74" s="16" t="str">
        <f t="shared" si="6"/>
        <v>N</v>
      </c>
      <c r="K74" s="16"/>
      <c r="L74" s="16"/>
    </row>
    <row r="75">
      <c r="A75" s="6" t="s">
        <v>195</v>
      </c>
      <c r="B75" s="10" t="str">
        <f t="shared" si="1"/>
        <v>fatty_acid</v>
      </c>
      <c r="C75" s="49" t="str">
        <f t="shared" si="2"/>
        <v>S5182FA1</v>
      </c>
      <c r="D75" s="6">
        <v>7.0</v>
      </c>
      <c r="E75" s="10" t="str">
        <f t="shared" si="3"/>
        <v>BFA7</v>
      </c>
      <c r="F75" s="13">
        <v>51.0</v>
      </c>
      <c r="G75" s="10" t="str">
        <f t="shared" si="4"/>
        <v>BFA7-51</v>
      </c>
      <c r="H75" s="6"/>
      <c r="I75" s="16" t="str">
        <f t="shared" si="5"/>
        <v>collected</v>
      </c>
      <c r="J75" s="16" t="str">
        <f t="shared" si="6"/>
        <v>N</v>
      </c>
      <c r="K75" s="16"/>
      <c r="L75" s="16"/>
    </row>
    <row r="76">
      <c r="A76" s="6" t="s">
        <v>196</v>
      </c>
      <c r="B76" s="10" t="str">
        <f t="shared" si="1"/>
        <v>fatty_acid</v>
      </c>
      <c r="C76" s="49" t="str">
        <f t="shared" si="2"/>
        <v>S5183FA1</v>
      </c>
      <c r="D76" s="6">
        <v>7.0</v>
      </c>
      <c r="E76" s="10" t="str">
        <f t="shared" si="3"/>
        <v>BFA7</v>
      </c>
      <c r="F76" s="13">
        <v>53.0</v>
      </c>
      <c r="G76" s="10" t="str">
        <f t="shared" si="4"/>
        <v>BFA7-53</v>
      </c>
      <c r="H76" s="6"/>
      <c r="I76" s="16" t="str">
        <f t="shared" si="5"/>
        <v>collected</v>
      </c>
      <c r="J76" s="16" t="str">
        <f t="shared" si="6"/>
        <v>N</v>
      </c>
      <c r="K76" s="16"/>
      <c r="L76" s="16"/>
    </row>
    <row r="77">
      <c r="A77" s="6" t="s">
        <v>198</v>
      </c>
      <c r="B77" s="10" t="str">
        <f t="shared" si="1"/>
        <v>fatty_acid</v>
      </c>
      <c r="C77" s="49" t="str">
        <f t="shared" si="2"/>
        <v>S5184FA1</v>
      </c>
      <c r="D77" s="6">
        <v>7.0</v>
      </c>
      <c r="E77" s="10" t="str">
        <f t="shared" si="3"/>
        <v>BFA7</v>
      </c>
      <c r="F77" s="13">
        <v>57.0</v>
      </c>
      <c r="G77" s="10" t="str">
        <f t="shared" si="4"/>
        <v>BFA7-57</v>
      </c>
      <c r="H77" s="6"/>
      <c r="I77" s="16" t="str">
        <f t="shared" si="5"/>
        <v>collected</v>
      </c>
      <c r="J77" s="16" t="str">
        <f t="shared" si="6"/>
        <v>N</v>
      </c>
      <c r="K77" s="16"/>
      <c r="L77" s="16"/>
    </row>
    <row r="78">
      <c r="A78" s="6" t="s">
        <v>199</v>
      </c>
      <c r="B78" s="10" t="str">
        <f t="shared" si="1"/>
        <v>fatty_acid</v>
      </c>
      <c r="C78" s="49" t="str">
        <f t="shared" si="2"/>
        <v>S5171FA1</v>
      </c>
      <c r="D78" s="6">
        <v>9.0</v>
      </c>
      <c r="E78" s="10" t="str">
        <f t="shared" si="3"/>
        <v>BFA9</v>
      </c>
      <c r="F78" s="13">
        <v>83.0</v>
      </c>
      <c r="G78" s="10" t="str">
        <f t="shared" si="4"/>
        <v>BFA9-83</v>
      </c>
      <c r="H78" s="16"/>
      <c r="I78" s="16" t="str">
        <f t="shared" si="5"/>
        <v>collected</v>
      </c>
      <c r="J78" s="16" t="str">
        <f t="shared" si="6"/>
        <v>N</v>
      </c>
      <c r="K78" s="16"/>
      <c r="L78" s="16"/>
    </row>
    <row r="79">
      <c r="A79" s="6" t="s">
        <v>202</v>
      </c>
      <c r="B79" s="10" t="str">
        <f t="shared" si="1"/>
        <v>fatty_acid</v>
      </c>
      <c r="C79" s="49" t="str">
        <f t="shared" si="2"/>
        <v>S5172FA1</v>
      </c>
      <c r="D79" s="6">
        <v>9.0</v>
      </c>
      <c r="E79" s="10" t="str">
        <f t="shared" si="3"/>
        <v>BFA9</v>
      </c>
      <c r="F79" s="13">
        <v>84.0</v>
      </c>
      <c r="G79" s="10" t="str">
        <f t="shared" si="4"/>
        <v>BFA9-84</v>
      </c>
      <c r="H79" s="16"/>
      <c r="I79" s="16" t="str">
        <f t="shared" si="5"/>
        <v>collected</v>
      </c>
      <c r="J79" s="16" t="str">
        <f t="shared" si="6"/>
        <v>N</v>
      </c>
      <c r="K79" s="16"/>
      <c r="L79" s="16"/>
    </row>
    <row r="80">
      <c r="A80" s="6" t="s">
        <v>204</v>
      </c>
      <c r="B80" s="10" t="str">
        <f t="shared" si="1"/>
        <v>fatty_acid</v>
      </c>
      <c r="C80" s="49" t="str">
        <f t="shared" si="2"/>
        <v>S5173FA1</v>
      </c>
      <c r="D80" s="6">
        <v>9.0</v>
      </c>
      <c r="E80" s="10" t="str">
        <f t="shared" si="3"/>
        <v>BFA9</v>
      </c>
      <c r="F80" s="13">
        <v>86.0</v>
      </c>
      <c r="G80" s="10" t="str">
        <f t="shared" si="4"/>
        <v>BFA9-86</v>
      </c>
      <c r="H80" s="16"/>
      <c r="I80" s="16" t="str">
        <f t="shared" si="5"/>
        <v>collected</v>
      </c>
      <c r="J80" s="16" t="str">
        <f t="shared" si="6"/>
        <v>N</v>
      </c>
      <c r="K80" s="16"/>
      <c r="L80" s="16"/>
    </row>
    <row r="81">
      <c r="A81" s="6" t="s">
        <v>205</v>
      </c>
      <c r="B81" s="10" t="str">
        <f t="shared" si="1"/>
        <v>fatty_acid</v>
      </c>
      <c r="C81" s="49" t="str">
        <f t="shared" si="2"/>
        <v>S5174FA1</v>
      </c>
      <c r="D81" s="6">
        <v>9.0</v>
      </c>
      <c r="E81" s="10" t="str">
        <f t="shared" si="3"/>
        <v>BFA9</v>
      </c>
      <c r="F81" s="13">
        <v>87.0</v>
      </c>
      <c r="G81" s="10" t="str">
        <f t="shared" si="4"/>
        <v>BFA9-87</v>
      </c>
      <c r="H81" s="16"/>
      <c r="I81" s="16" t="str">
        <f t="shared" si="5"/>
        <v>collected</v>
      </c>
      <c r="J81" s="16" t="str">
        <f t="shared" si="6"/>
        <v>N</v>
      </c>
      <c r="K81" s="16"/>
      <c r="L81" s="16"/>
    </row>
    <row r="82">
      <c r="A82" s="25" t="s">
        <v>209</v>
      </c>
      <c r="B82" s="10" t="str">
        <f t="shared" si="1"/>
        <v>fatty_acid</v>
      </c>
      <c r="C82" s="49" t="str">
        <f t="shared" si="2"/>
        <v>S5175FA1</v>
      </c>
      <c r="D82" s="6">
        <v>9.0</v>
      </c>
      <c r="E82" s="10" t="str">
        <f t="shared" si="3"/>
        <v>BFA9</v>
      </c>
      <c r="F82" s="13">
        <v>88.0</v>
      </c>
      <c r="G82" s="10" t="str">
        <f t="shared" si="4"/>
        <v>BFA9-88</v>
      </c>
      <c r="H82" s="16"/>
      <c r="I82" s="16" t="str">
        <f t="shared" si="5"/>
        <v>collected</v>
      </c>
      <c r="J82" s="16" t="str">
        <f t="shared" si="6"/>
        <v>N</v>
      </c>
      <c r="K82" s="16"/>
      <c r="L82" s="16"/>
    </row>
    <row r="83">
      <c r="A83" s="25" t="s">
        <v>210</v>
      </c>
      <c r="B83" s="10" t="str">
        <f t="shared" si="1"/>
        <v>fatty_acid</v>
      </c>
      <c r="C83" s="49" t="str">
        <f t="shared" si="2"/>
        <v>S5176FA1</v>
      </c>
      <c r="D83" s="6">
        <v>9.0</v>
      </c>
      <c r="E83" s="10" t="str">
        <f t="shared" si="3"/>
        <v>BFA9</v>
      </c>
      <c r="F83" s="13">
        <v>89.0</v>
      </c>
      <c r="G83" s="10" t="str">
        <f t="shared" si="4"/>
        <v>BFA9-89</v>
      </c>
      <c r="H83" s="16"/>
      <c r="I83" s="16" t="str">
        <f t="shared" si="5"/>
        <v>collected</v>
      </c>
      <c r="J83" s="16" t="str">
        <f t="shared" si="6"/>
        <v>N</v>
      </c>
      <c r="K83" s="16"/>
      <c r="L83" s="16"/>
    </row>
    <row r="84">
      <c r="A84" s="25" t="s">
        <v>212</v>
      </c>
      <c r="B84" s="10" t="str">
        <f t="shared" si="1"/>
        <v>fatty_acid</v>
      </c>
      <c r="C84" s="49" t="str">
        <f t="shared" si="2"/>
        <v>S5177FA1</v>
      </c>
      <c r="D84" s="6">
        <v>9.0</v>
      </c>
      <c r="E84" s="10" t="str">
        <f t="shared" si="3"/>
        <v>BFA9</v>
      </c>
      <c r="F84" s="13">
        <v>90.0</v>
      </c>
      <c r="G84" s="10" t="str">
        <f t="shared" si="4"/>
        <v>BFA9-90</v>
      </c>
      <c r="H84" s="16"/>
      <c r="I84" s="16" t="str">
        <f t="shared" si="5"/>
        <v>collected</v>
      </c>
      <c r="J84" s="16" t="str">
        <f t="shared" si="6"/>
        <v>N</v>
      </c>
      <c r="K84" s="16"/>
      <c r="L84" s="16"/>
    </row>
    <row r="85">
      <c r="A85" s="25" t="s">
        <v>215</v>
      </c>
      <c r="B85" s="10" t="str">
        <f t="shared" si="1"/>
        <v>fatty_acid</v>
      </c>
      <c r="C85" s="49" t="str">
        <f t="shared" si="2"/>
        <v>S5178FA1</v>
      </c>
      <c r="D85" s="6">
        <v>9.0</v>
      </c>
      <c r="E85" s="10" t="str">
        <f t="shared" si="3"/>
        <v>BFA9</v>
      </c>
      <c r="F85" s="13">
        <v>91.0</v>
      </c>
      <c r="G85" s="10" t="str">
        <f t="shared" si="4"/>
        <v>BFA9-91</v>
      </c>
      <c r="H85" s="16"/>
      <c r="I85" s="16" t="str">
        <f t="shared" si="5"/>
        <v>collected</v>
      </c>
      <c r="J85" s="16" t="str">
        <f t="shared" si="6"/>
        <v>N</v>
      </c>
      <c r="K85" s="16"/>
      <c r="L85" s="16"/>
    </row>
    <row r="86">
      <c r="A86" s="25" t="s">
        <v>217</v>
      </c>
      <c r="B86" s="10" t="str">
        <f t="shared" si="1"/>
        <v>fatty_acid</v>
      </c>
      <c r="C86" s="49" t="str">
        <f t="shared" si="2"/>
        <v>S5194FA1</v>
      </c>
      <c r="D86" s="6">
        <v>9.0</v>
      </c>
      <c r="E86" s="10" t="str">
        <f t="shared" si="3"/>
        <v>BFA9</v>
      </c>
      <c r="F86" s="13">
        <v>92.0</v>
      </c>
      <c r="G86" s="10" t="str">
        <f t="shared" si="4"/>
        <v>BFA9-92</v>
      </c>
      <c r="H86" s="16"/>
      <c r="I86" s="16" t="str">
        <f t="shared" si="5"/>
        <v>collected</v>
      </c>
      <c r="J86" s="16" t="str">
        <f t="shared" si="6"/>
        <v>N</v>
      </c>
      <c r="K86" s="16"/>
      <c r="L86" s="16"/>
    </row>
    <row r="87">
      <c r="A87" s="25" t="s">
        <v>220</v>
      </c>
      <c r="B87" s="10" t="str">
        <f t="shared" si="1"/>
        <v>fatty_acid</v>
      </c>
      <c r="C87" s="49" t="str">
        <f t="shared" si="2"/>
        <v>S5195FA1</v>
      </c>
      <c r="D87" s="6">
        <v>9.0</v>
      </c>
      <c r="E87" s="10" t="str">
        <f t="shared" si="3"/>
        <v>BFA9</v>
      </c>
      <c r="F87" s="13">
        <v>93.0</v>
      </c>
      <c r="G87" s="10" t="str">
        <f t="shared" si="4"/>
        <v>BFA9-93</v>
      </c>
      <c r="H87" s="16"/>
      <c r="I87" s="16" t="str">
        <f t="shared" si="5"/>
        <v>collected</v>
      </c>
      <c r="J87" s="16" t="str">
        <f t="shared" si="6"/>
        <v>N</v>
      </c>
      <c r="K87" s="16"/>
      <c r="L87" s="16"/>
    </row>
    <row r="88">
      <c r="A88" s="25" t="s">
        <v>222</v>
      </c>
      <c r="B88" s="10" t="str">
        <f t="shared" si="1"/>
        <v>fatty_acid</v>
      </c>
      <c r="C88" s="49" t="str">
        <f t="shared" si="2"/>
        <v>S5196FA1</v>
      </c>
      <c r="D88" s="6">
        <v>9.0</v>
      </c>
      <c r="E88" s="10" t="str">
        <f t="shared" si="3"/>
        <v>BFA9</v>
      </c>
      <c r="F88" s="13">
        <v>94.0</v>
      </c>
      <c r="G88" s="10" t="str">
        <f t="shared" si="4"/>
        <v>BFA9-94</v>
      </c>
      <c r="H88" s="6"/>
      <c r="I88" s="16" t="str">
        <f t="shared" si="5"/>
        <v>collected</v>
      </c>
      <c r="J88" s="16" t="str">
        <f t="shared" si="6"/>
        <v>N</v>
      </c>
      <c r="K88" s="16"/>
      <c r="L88" s="16"/>
    </row>
    <row r="89">
      <c r="A89" s="25" t="s">
        <v>225</v>
      </c>
      <c r="B89" s="10" t="str">
        <f t="shared" si="1"/>
        <v>fatty_acid</v>
      </c>
      <c r="C89" s="49" t="str">
        <f t="shared" si="2"/>
        <v>S5197FA1</v>
      </c>
      <c r="D89" s="6">
        <v>9.0</v>
      </c>
      <c r="E89" s="10" t="str">
        <f t="shared" si="3"/>
        <v>BFA9</v>
      </c>
      <c r="F89" s="13">
        <v>96.0</v>
      </c>
      <c r="G89" s="10" t="str">
        <f t="shared" si="4"/>
        <v>BFA9-96</v>
      </c>
      <c r="H89" s="6"/>
      <c r="I89" s="16" t="str">
        <f t="shared" si="5"/>
        <v>collected</v>
      </c>
      <c r="J89" s="16" t="str">
        <f t="shared" si="6"/>
        <v>N</v>
      </c>
      <c r="K89" s="16"/>
      <c r="L89" s="16"/>
    </row>
    <row r="90">
      <c r="A90" s="25" t="s">
        <v>226</v>
      </c>
      <c r="B90" s="10" t="str">
        <f t="shared" si="1"/>
        <v>fatty_acid</v>
      </c>
      <c r="C90" s="49" t="str">
        <f t="shared" si="2"/>
        <v>S5198FA1</v>
      </c>
      <c r="D90" s="6">
        <v>9.0</v>
      </c>
      <c r="E90" s="10" t="str">
        <f t="shared" si="3"/>
        <v>BFA9</v>
      </c>
      <c r="F90" s="13">
        <v>97.0</v>
      </c>
      <c r="G90" s="10" t="str">
        <f t="shared" si="4"/>
        <v>BFA9-97</v>
      </c>
      <c r="H90" s="6"/>
      <c r="I90" s="16" t="str">
        <f t="shared" si="5"/>
        <v>collected</v>
      </c>
      <c r="J90" s="16" t="str">
        <f t="shared" si="6"/>
        <v>N</v>
      </c>
      <c r="K90" s="16"/>
      <c r="L90" s="16"/>
    </row>
    <row r="91">
      <c r="A91" s="25" t="s">
        <v>228</v>
      </c>
      <c r="B91" s="10" t="str">
        <f t="shared" si="1"/>
        <v>fatty_acid</v>
      </c>
      <c r="C91" s="49" t="str">
        <f t="shared" si="2"/>
        <v>S5199FA1</v>
      </c>
      <c r="D91" s="6">
        <v>9.0</v>
      </c>
      <c r="E91" s="10" t="str">
        <f t="shared" si="3"/>
        <v>BFA9</v>
      </c>
      <c r="F91" s="13">
        <v>98.0</v>
      </c>
      <c r="G91" s="10" t="str">
        <f t="shared" si="4"/>
        <v>BFA9-98</v>
      </c>
      <c r="H91" s="6"/>
      <c r="I91" s="16" t="str">
        <f t="shared" si="5"/>
        <v>collected</v>
      </c>
      <c r="J91" s="16" t="str">
        <f t="shared" si="6"/>
        <v>N</v>
      </c>
      <c r="K91" s="16"/>
      <c r="L91" s="16"/>
    </row>
    <row r="92">
      <c r="A92" s="25" t="s">
        <v>230</v>
      </c>
      <c r="B92" s="10" t="str">
        <f t="shared" si="1"/>
        <v>fatty_acid</v>
      </c>
      <c r="C92" s="49" t="str">
        <f t="shared" si="2"/>
        <v>S5200FA1</v>
      </c>
      <c r="D92" s="6">
        <v>9.0</v>
      </c>
      <c r="E92" s="10" t="str">
        <f t="shared" si="3"/>
        <v>BFA9</v>
      </c>
      <c r="F92" s="13">
        <v>99.0</v>
      </c>
      <c r="G92" s="10" t="str">
        <f t="shared" si="4"/>
        <v>BFA9-99</v>
      </c>
      <c r="H92" s="6"/>
      <c r="I92" s="16" t="str">
        <f t="shared" si="5"/>
        <v>collected</v>
      </c>
      <c r="J92" s="16" t="str">
        <f t="shared" si="6"/>
        <v>N</v>
      </c>
      <c r="K92" s="16"/>
      <c r="L92" s="16"/>
    </row>
    <row r="93">
      <c r="A93" s="25" t="s">
        <v>232</v>
      </c>
      <c r="B93" s="10" t="str">
        <f t="shared" si="1"/>
        <v>fatty_acid</v>
      </c>
      <c r="C93" s="49" t="str">
        <f t="shared" si="2"/>
        <v>S5201FA1</v>
      </c>
      <c r="D93" s="6">
        <v>9.0</v>
      </c>
      <c r="E93" s="10" t="str">
        <f t="shared" si="3"/>
        <v>BFA9</v>
      </c>
      <c r="F93" s="13">
        <v>100.0</v>
      </c>
      <c r="G93" s="10" t="str">
        <f t="shared" si="4"/>
        <v>BFA9-100</v>
      </c>
      <c r="H93" s="50"/>
      <c r="I93" s="16" t="str">
        <f t="shared" si="5"/>
        <v>collected</v>
      </c>
      <c r="J93" s="16" t="str">
        <f t="shared" si="6"/>
        <v>N</v>
      </c>
      <c r="K93" s="6"/>
      <c r="L93" s="16"/>
    </row>
    <row r="94">
      <c r="A94" s="25" t="s">
        <v>234</v>
      </c>
      <c r="B94" s="10" t="str">
        <f t="shared" si="1"/>
        <v>fatty_acid</v>
      </c>
      <c r="C94" s="49" t="str">
        <f t="shared" si="2"/>
        <v>S5202FA1</v>
      </c>
      <c r="D94" s="6">
        <v>21.0</v>
      </c>
      <c r="E94" s="10" t="str">
        <f t="shared" si="3"/>
        <v>BFA21</v>
      </c>
      <c r="F94" s="13">
        <v>1.0</v>
      </c>
      <c r="G94" s="10" t="str">
        <f t="shared" si="4"/>
        <v>BFA21-1</v>
      </c>
      <c r="H94" s="50"/>
      <c r="I94" s="16" t="str">
        <f t="shared" si="5"/>
        <v>collected</v>
      </c>
      <c r="J94" s="16" t="str">
        <f t="shared" si="6"/>
        <v>N</v>
      </c>
      <c r="K94" s="6"/>
      <c r="L94" s="16"/>
    </row>
    <row r="95">
      <c r="A95" s="25" t="s">
        <v>235</v>
      </c>
      <c r="B95" s="10" t="str">
        <f t="shared" si="1"/>
        <v>fatty_acid</v>
      </c>
      <c r="C95" s="49" t="str">
        <f t="shared" si="2"/>
        <v>S5203FA1</v>
      </c>
      <c r="D95" s="6">
        <v>21.0</v>
      </c>
      <c r="E95" s="10" t="str">
        <f t="shared" si="3"/>
        <v>BFA21</v>
      </c>
      <c r="F95" s="13">
        <v>2.0</v>
      </c>
      <c r="G95" s="10" t="str">
        <f t="shared" si="4"/>
        <v>BFA21-2</v>
      </c>
      <c r="H95" s="50"/>
      <c r="I95" s="16" t="str">
        <f t="shared" si="5"/>
        <v>collected</v>
      </c>
      <c r="J95" s="16" t="str">
        <f t="shared" si="6"/>
        <v>N</v>
      </c>
      <c r="K95" s="6"/>
      <c r="L95" s="16"/>
    </row>
    <row r="96">
      <c r="A96" s="25" t="s">
        <v>238</v>
      </c>
      <c r="B96" s="10" t="str">
        <f t="shared" si="1"/>
        <v>fatty_acid</v>
      </c>
      <c r="C96" s="49" t="str">
        <f t="shared" si="2"/>
        <v>S5204FA1</v>
      </c>
      <c r="D96" s="6">
        <v>21.0</v>
      </c>
      <c r="E96" s="10" t="str">
        <f t="shared" si="3"/>
        <v>BFA21</v>
      </c>
      <c r="F96" s="13">
        <v>3.0</v>
      </c>
      <c r="G96" s="10" t="str">
        <f t="shared" si="4"/>
        <v>BFA21-3</v>
      </c>
      <c r="H96" s="50"/>
      <c r="I96" s="16" t="str">
        <f t="shared" si="5"/>
        <v>collected</v>
      </c>
      <c r="J96" s="16" t="str">
        <f t="shared" si="6"/>
        <v>N</v>
      </c>
      <c r="K96" s="6"/>
      <c r="L96" s="16"/>
    </row>
    <row r="97">
      <c r="A97" s="25" t="s">
        <v>239</v>
      </c>
      <c r="B97" s="10" t="str">
        <f t="shared" si="1"/>
        <v>fatty_acid</v>
      </c>
      <c r="C97" s="49" t="str">
        <f t="shared" si="2"/>
        <v>S5205FA1</v>
      </c>
      <c r="D97" s="6">
        <v>21.0</v>
      </c>
      <c r="E97" s="10" t="str">
        <f t="shared" si="3"/>
        <v>BFA21</v>
      </c>
      <c r="F97" s="13">
        <v>4.0</v>
      </c>
      <c r="G97" s="10" t="str">
        <f t="shared" si="4"/>
        <v>BFA21-4</v>
      </c>
      <c r="H97" s="50"/>
      <c r="I97" s="16" t="str">
        <f t="shared" si="5"/>
        <v>collected</v>
      </c>
      <c r="J97" s="16" t="str">
        <f t="shared" si="6"/>
        <v>N</v>
      </c>
      <c r="K97" s="6"/>
      <c r="L97" s="16"/>
    </row>
    <row r="98">
      <c r="A98" s="26" t="s">
        <v>241</v>
      </c>
      <c r="B98" s="10" t="str">
        <f t="shared" si="1"/>
        <v>fatty_acid</v>
      </c>
      <c r="C98" s="49" t="str">
        <f t="shared" si="2"/>
        <v>S5206FA1</v>
      </c>
      <c r="D98" s="6">
        <v>21.0</v>
      </c>
      <c r="E98" s="10" t="str">
        <f t="shared" si="3"/>
        <v>BFA21</v>
      </c>
      <c r="F98" s="13">
        <v>5.0</v>
      </c>
      <c r="G98" s="10" t="str">
        <f t="shared" si="4"/>
        <v>BFA21-5</v>
      </c>
      <c r="H98" s="6"/>
      <c r="I98" s="16" t="str">
        <f t="shared" si="5"/>
        <v>collected</v>
      </c>
      <c r="J98" s="16" t="str">
        <f t="shared" si="6"/>
        <v>N</v>
      </c>
      <c r="K98" s="16"/>
      <c r="L98" s="16"/>
    </row>
    <row r="99">
      <c r="A99" s="26" t="s">
        <v>245</v>
      </c>
      <c r="B99" s="10" t="str">
        <f t="shared" si="1"/>
        <v>fatty_acid</v>
      </c>
      <c r="C99" s="49" t="str">
        <f t="shared" si="2"/>
        <v>S5207FA1</v>
      </c>
      <c r="D99" s="6">
        <v>21.0</v>
      </c>
      <c r="E99" s="10" t="str">
        <f t="shared" si="3"/>
        <v>BFA21</v>
      </c>
      <c r="F99" s="13">
        <v>7.0</v>
      </c>
      <c r="G99" s="10" t="str">
        <f t="shared" si="4"/>
        <v>BFA21-7</v>
      </c>
      <c r="H99" s="6"/>
      <c r="I99" s="16" t="str">
        <f t="shared" si="5"/>
        <v>collected</v>
      </c>
      <c r="J99" s="16" t="str">
        <f t="shared" si="6"/>
        <v>N</v>
      </c>
      <c r="K99" s="16"/>
      <c r="L99" s="16"/>
    </row>
    <row r="100">
      <c r="A100" s="26" t="s">
        <v>247</v>
      </c>
      <c r="B100" s="10" t="str">
        <f t="shared" si="1"/>
        <v>fatty_acid</v>
      </c>
      <c r="C100" s="49" t="str">
        <f t="shared" si="2"/>
        <v>S5208FA1</v>
      </c>
      <c r="D100" s="6">
        <v>21.0</v>
      </c>
      <c r="E100" s="10" t="str">
        <f t="shared" si="3"/>
        <v>BFA21</v>
      </c>
      <c r="F100" s="13">
        <v>8.0</v>
      </c>
      <c r="G100" s="10" t="str">
        <f t="shared" si="4"/>
        <v>BFA21-8</v>
      </c>
      <c r="H100" s="6"/>
      <c r="I100" s="16" t="str">
        <f t="shared" si="5"/>
        <v>collected</v>
      </c>
      <c r="J100" s="16" t="str">
        <f t="shared" si="6"/>
        <v>N</v>
      </c>
      <c r="K100" s="16"/>
      <c r="L100" s="16"/>
    </row>
    <row r="101">
      <c r="A101" s="26" t="s">
        <v>248</v>
      </c>
      <c r="B101" s="10" t="str">
        <f t="shared" si="1"/>
        <v>fatty_acid</v>
      </c>
      <c r="C101" s="49" t="str">
        <f t="shared" si="2"/>
        <v>S5209FA1</v>
      </c>
      <c r="D101" s="6">
        <v>21.0</v>
      </c>
      <c r="E101" s="10" t="str">
        <f t="shared" si="3"/>
        <v>BFA21</v>
      </c>
      <c r="F101" s="13">
        <v>9.0</v>
      </c>
      <c r="G101" s="10" t="str">
        <f t="shared" si="4"/>
        <v>BFA21-9</v>
      </c>
      <c r="H101" s="6"/>
      <c r="I101" s="16" t="str">
        <f t="shared" si="5"/>
        <v>collected</v>
      </c>
      <c r="J101" s="16" t="str">
        <f t="shared" si="6"/>
        <v>N</v>
      </c>
      <c r="K101" s="16"/>
      <c r="L101" s="16"/>
    </row>
    <row r="102">
      <c r="A102" s="26" t="s">
        <v>250</v>
      </c>
      <c r="B102" s="10" t="str">
        <f t="shared" si="1"/>
        <v>fatty_acid</v>
      </c>
      <c r="C102" s="49" t="str">
        <f t="shared" si="2"/>
        <v>S5210FA1</v>
      </c>
      <c r="D102" s="6">
        <v>21.0</v>
      </c>
      <c r="E102" s="10" t="str">
        <f t="shared" si="3"/>
        <v>BFA21</v>
      </c>
      <c r="F102" s="13">
        <v>10.0</v>
      </c>
      <c r="G102" s="10" t="str">
        <f t="shared" si="4"/>
        <v>BFA21-10</v>
      </c>
      <c r="H102" s="6"/>
      <c r="I102" s="16" t="str">
        <f t="shared" si="5"/>
        <v>collected</v>
      </c>
      <c r="J102" s="16" t="str">
        <f t="shared" si="6"/>
        <v>N</v>
      </c>
      <c r="K102" s="16"/>
      <c r="L102" s="16"/>
    </row>
    <row r="103">
      <c r="A103" s="26" t="s">
        <v>252</v>
      </c>
      <c r="B103" s="10" t="str">
        <f t="shared" si="1"/>
        <v>fatty_acid</v>
      </c>
      <c r="C103" s="49" t="str">
        <f t="shared" si="2"/>
        <v>S5211FA1</v>
      </c>
      <c r="D103" s="6">
        <v>21.0</v>
      </c>
      <c r="E103" s="10" t="str">
        <f t="shared" si="3"/>
        <v>BFA21</v>
      </c>
      <c r="F103" s="9">
        <v>11.0</v>
      </c>
      <c r="G103" s="10" t="str">
        <f t="shared" si="4"/>
        <v>BFA21-11</v>
      </c>
      <c r="H103" s="6"/>
      <c r="I103" s="16" t="str">
        <f t="shared" si="5"/>
        <v>collected</v>
      </c>
      <c r="J103" s="16" t="str">
        <f t="shared" si="6"/>
        <v>N</v>
      </c>
      <c r="K103" s="16"/>
      <c r="L103" s="16"/>
    </row>
    <row r="104">
      <c r="A104" s="26" t="s">
        <v>254</v>
      </c>
      <c r="B104" s="10" t="str">
        <f t="shared" si="1"/>
        <v>fatty_acid</v>
      </c>
      <c r="C104" s="49" t="str">
        <f t="shared" si="2"/>
        <v>S5185FA1</v>
      </c>
      <c r="D104" s="6">
        <v>7.0</v>
      </c>
      <c r="E104" s="10" t="str">
        <f t="shared" si="3"/>
        <v>BFA7</v>
      </c>
      <c r="F104" s="13">
        <v>62.0</v>
      </c>
      <c r="G104" s="10" t="str">
        <f t="shared" si="4"/>
        <v>BFA7-62</v>
      </c>
      <c r="H104" s="6"/>
      <c r="I104" s="16" t="str">
        <f t="shared" si="5"/>
        <v>collected</v>
      </c>
      <c r="J104" s="16" t="str">
        <f t="shared" si="6"/>
        <v>N</v>
      </c>
      <c r="K104" s="16"/>
      <c r="L104" s="16"/>
    </row>
    <row r="105">
      <c r="A105" s="26" t="s">
        <v>256</v>
      </c>
      <c r="B105" s="10" t="str">
        <f t="shared" si="1"/>
        <v>fatty_acid</v>
      </c>
      <c r="C105" s="49" t="str">
        <f t="shared" si="2"/>
        <v>S5186FA1</v>
      </c>
      <c r="D105" s="6">
        <v>7.0</v>
      </c>
      <c r="E105" s="10" t="str">
        <f t="shared" si="3"/>
        <v>BFA7</v>
      </c>
      <c r="F105" s="13">
        <v>64.0</v>
      </c>
      <c r="G105" s="10" t="str">
        <f t="shared" si="4"/>
        <v>BFA7-64</v>
      </c>
      <c r="H105" s="6"/>
      <c r="I105" s="16" t="str">
        <f t="shared" si="5"/>
        <v>collected</v>
      </c>
      <c r="J105" s="16" t="str">
        <f t="shared" si="6"/>
        <v>N</v>
      </c>
      <c r="K105" s="16"/>
      <c r="L105" s="16"/>
    </row>
    <row r="106">
      <c r="A106" s="26" t="s">
        <v>258</v>
      </c>
      <c r="B106" s="10" t="str">
        <f t="shared" si="1"/>
        <v>fatty_acid</v>
      </c>
      <c r="C106" s="49" t="str">
        <f t="shared" si="2"/>
        <v>S5187FA1</v>
      </c>
      <c r="D106" s="6">
        <v>7.0</v>
      </c>
      <c r="E106" s="10" t="str">
        <f t="shared" si="3"/>
        <v>BFA7</v>
      </c>
      <c r="F106" s="13">
        <v>68.0</v>
      </c>
      <c r="G106" s="10" t="str">
        <f t="shared" si="4"/>
        <v>BFA7-68</v>
      </c>
      <c r="H106" s="6"/>
      <c r="I106" s="16" t="str">
        <f t="shared" si="5"/>
        <v>collected</v>
      </c>
      <c r="J106" s="16" t="str">
        <f t="shared" si="6"/>
        <v>N</v>
      </c>
      <c r="K106" s="16"/>
      <c r="L106" s="16"/>
    </row>
    <row r="107">
      <c r="A107" s="27" t="s">
        <v>260</v>
      </c>
      <c r="B107" s="10" t="str">
        <f t="shared" si="1"/>
        <v>fatty_acid</v>
      </c>
      <c r="C107" s="49" t="str">
        <f t="shared" si="2"/>
        <v>S5188FA1</v>
      </c>
      <c r="D107" s="6">
        <v>7.0</v>
      </c>
      <c r="E107" s="10" t="str">
        <f t="shared" si="3"/>
        <v>BFA7</v>
      </c>
      <c r="F107" s="13">
        <v>70.0</v>
      </c>
      <c r="G107" s="10" t="str">
        <f t="shared" si="4"/>
        <v>BFA7-70</v>
      </c>
      <c r="H107" s="50"/>
      <c r="I107" s="16" t="str">
        <f t="shared" si="5"/>
        <v>collected</v>
      </c>
      <c r="J107" s="16" t="str">
        <f t="shared" si="6"/>
        <v>N</v>
      </c>
      <c r="K107" s="6"/>
      <c r="L107" s="16"/>
    </row>
    <row r="108">
      <c r="A108" s="27" t="s">
        <v>262</v>
      </c>
      <c r="B108" s="10" t="str">
        <f t="shared" si="1"/>
        <v>fatty_acid</v>
      </c>
      <c r="C108" s="49" t="str">
        <f t="shared" si="2"/>
        <v>S5189FA1</v>
      </c>
      <c r="D108" s="6">
        <v>7.0</v>
      </c>
      <c r="E108" s="10" t="str">
        <f t="shared" si="3"/>
        <v>BFA7</v>
      </c>
      <c r="F108" s="13">
        <v>71.0</v>
      </c>
      <c r="G108" s="10" t="str">
        <f t="shared" si="4"/>
        <v>BFA7-71</v>
      </c>
      <c r="H108" s="50"/>
      <c r="I108" s="16" t="str">
        <f t="shared" si="5"/>
        <v>collected</v>
      </c>
      <c r="J108" s="16" t="str">
        <f t="shared" si="6"/>
        <v>N</v>
      </c>
      <c r="K108" s="6"/>
      <c r="L108" s="16"/>
    </row>
    <row r="109">
      <c r="A109" s="27" t="s">
        <v>264</v>
      </c>
      <c r="B109" s="10" t="str">
        <f t="shared" si="1"/>
        <v>fatty_acid</v>
      </c>
      <c r="C109" s="49" t="str">
        <f t="shared" si="2"/>
        <v>S5190FA1</v>
      </c>
      <c r="D109" s="6">
        <v>7.0</v>
      </c>
      <c r="E109" s="10" t="str">
        <f t="shared" si="3"/>
        <v>BFA7</v>
      </c>
      <c r="F109" s="13">
        <v>73.0</v>
      </c>
      <c r="G109" s="10" t="str">
        <f t="shared" si="4"/>
        <v>BFA7-73</v>
      </c>
      <c r="H109" s="50"/>
      <c r="I109" s="16" t="str">
        <f t="shared" si="5"/>
        <v>collected</v>
      </c>
      <c r="J109" s="16" t="str">
        <f t="shared" si="6"/>
        <v>N</v>
      </c>
      <c r="K109" s="6"/>
      <c r="L109" s="16"/>
    </row>
    <row r="110">
      <c r="A110" s="27" t="s">
        <v>266</v>
      </c>
      <c r="B110" s="10" t="str">
        <f t="shared" si="1"/>
        <v>fatty_acid</v>
      </c>
      <c r="C110" s="49" t="str">
        <f t="shared" si="2"/>
        <v>S5191FA1</v>
      </c>
      <c r="D110" s="6">
        <v>7.0</v>
      </c>
      <c r="E110" s="10" t="str">
        <f t="shared" si="3"/>
        <v>BFA7</v>
      </c>
      <c r="F110" s="13">
        <v>77.0</v>
      </c>
      <c r="G110" s="10" t="str">
        <f t="shared" si="4"/>
        <v>BFA7-77</v>
      </c>
      <c r="H110" s="50"/>
      <c r="I110" s="16" t="str">
        <f t="shared" si="5"/>
        <v>collected</v>
      </c>
      <c r="J110" s="16" t="str">
        <f t="shared" si="6"/>
        <v>N</v>
      </c>
      <c r="K110" s="6"/>
      <c r="L110" s="16"/>
    </row>
    <row r="111">
      <c r="A111" s="27" t="s">
        <v>269</v>
      </c>
      <c r="B111" s="10" t="str">
        <f t="shared" si="1"/>
        <v>fatty_acid</v>
      </c>
      <c r="C111" s="49" t="str">
        <f t="shared" si="2"/>
        <v>S5192FA1</v>
      </c>
      <c r="D111" s="6">
        <v>7.0</v>
      </c>
      <c r="E111" s="10" t="str">
        <f t="shared" si="3"/>
        <v>BFA7</v>
      </c>
      <c r="F111" s="13">
        <v>79.0</v>
      </c>
      <c r="G111" s="10" t="str">
        <f t="shared" si="4"/>
        <v>BFA7-79</v>
      </c>
      <c r="H111" s="50"/>
      <c r="I111" s="16" t="str">
        <f t="shared" si="5"/>
        <v>collected</v>
      </c>
      <c r="J111" s="16" t="str">
        <f t="shared" si="6"/>
        <v>N</v>
      </c>
      <c r="K111" s="6"/>
      <c r="L111" s="16"/>
    </row>
    <row r="112">
      <c r="A112" s="27" t="s">
        <v>271</v>
      </c>
      <c r="B112" s="10" t="str">
        <f t="shared" si="1"/>
        <v>fatty_acid</v>
      </c>
      <c r="C112" s="49" t="str">
        <f t="shared" si="2"/>
        <v>S5193FA1</v>
      </c>
      <c r="D112" s="6">
        <v>7.0</v>
      </c>
      <c r="E112" s="10" t="str">
        <f t="shared" si="3"/>
        <v>BFA7</v>
      </c>
      <c r="F112" s="13">
        <v>93.0</v>
      </c>
      <c r="G112" s="10" t="str">
        <f t="shared" si="4"/>
        <v>BFA7-93</v>
      </c>
      <c r="H112" s="50"/>
      <c r="I112" s="16" t="str">
        <f t="shared" si="5"/>
        <v>collected</v>
      </c>
      <c r="J112" s="16" t="str">
        <f t="shared" si="6"/>
        <v>N</v>
      </c>
      <c r="K112" s="6"/>
      <c r="L112" s="16"/>
    </row>
    <row r="113">
      <c r="A113" s="27" t="s">
        <v>272</v>
      </c>
      <c r="B113" s="10" t="str">
        <f t="shared" si="1"/>
        <v>fatty_acid</v>
      </c>
      <c r="C113" s="49" t="str">
        <f t="shared" si="2"/>
        <v>S5232FA1</v>
      </c>
      <c r="D113" s="6">
        <v>7.0</v>
      </c>
      <c r="E113" s="10" t="str">
        <f t="shared" si="3"/>
        <v>BFA7</v>
      </c>
      <c r="F113" s="13">
        <v>97.0</v>
      </c>
      <c r="G113" s="10" t="str">
        <f t="shared" si="4"/>
        <v>BFA7-97</v>
      </c>
      <c r="H113" s="50"/>
      <c r="I113" s="16" t="str">
        <f t="shared" si="5"/>
        <v>collected</v>
      </c>
      <c r="J113" s="16" t="str">
        <f t="shared" si="6"/>
        <v>N</v>
      </c>
      <c r="K113" s="6"/>
      <c r="L113" s="16"/>
    </row>
    <row r="114">
      <c r="A114" s="27" t="s">
        <v>274</v>
      </c>
      <c r="B114" s="10" t="str">
        <f t="shared" si="1"/>
        <v>fatty_acid</v>
      </c>
      <c r="C114" s="49" t="str">
        <f t="shared" si="2"/>
        <v>S5233FA1</v>
      </c>
      <c r="D114" s="6">
        <v>22.0</v>
      </c>
      <c r="E114" s="10" t="str">
        <f t="shared" si="3"/>
        <v>BFA22</v>
      </c>
      <c r="F114" s="13">
        <v>1.0</v>
      </c>
      <c r="G114" s="10" t="str">
        <f t="shared" si="4"/>
        <v>BFA22-1</v>
      </c>
      <c r="H114" s="50"/>
      <c r="I114" s="16" t="str">
        <f t="shared" si="5"/>
        <v>collected</v>
      </c>
      <c r="J114" s="16" t="str">
        <f t="shared" si="6"/>
        <v>N</v>
      </c>
      <c r="K114" s="6"/>
      <c r="L114" s="16"/>
    </row>
    <row r="115">
      <c r="A115" s="27" t="s">
        <v>276</v>
      </c>
      <c r="B115" s="10" t="str">
        <f t="shared" si="1"/>
        <v>fatty_acid</v>
      </c>
      <c r="C115" s="49" t="str">
        <f t="shared" si="2"/>
        <v>S5234FA1</v>
      </c>
      <c r="D115" s="6">
        <v>22.0</v>
      </c>
      <c r="E115" s="10" t="str">
        <f t="shared" si="3"/>
        <v>BFA22</v>
      </c>
      <c r="F115" s="13">
        <v>2.0</v>
      </c>
      <c r="G115" s="10" t="str">
        <f t="shared" si="4"/>
        <v>BFA22-2</v>
      </c>
      <c r="H115" s="50"/>
      <c r="I115" s="16" t="str">
        <f t="shared" si="5"/>
        <v>collected</v>
      </c>
      <c r="J115" s="16" t="str">
        <f t="shared" si="6"/>
        <v>N</v>
      </c>
      <c r="K115" s="6"/>
      <c r="L115" s="16"/>
    </row>
    <row r="116">
      <c r="A116" s="26" t="s">
        <v>278</v>
      </c>
      <c r="B116" s="10" t="str">
        <f t="shared" si="1"/>
        <v>fatty_acid</v>
      </c>
      <c r="C116" s="49" t="str">
        <f t="shared" si="2"/>
        <v>S5235FA1</v>
      </c>
      <c r="D116" s="6">
        <v>22.0</v>
      </c>
      <c r="E116" s="10" t="str">
        <f t="shared" si="3"/>
        <v>BFA22</v>
      </c>
      <c r="F116" s="13">
        <v>3.0</v>
      </c>
      <c r="G116" s="10" t="str">
        <f t="shared" si="4"/>
        <v>BFA22-3</v>
      </c>
      <c r="H116" s="6"/>
      <c r="I116" s="16" t="str">
        <f t="shared" si="5"/>
        <v>collected</v>
      </c>
      <c r="J116" s="16" t="str">
        <f t="shared" si="6"/>
        <v>N</v>
      </c>
      <c r="K116" s="16"/>
      <c r="L116" s="16"/>
    </row>
    <row r="117">
      <c r="A117" s="26" t="s">
        <v>279</v>
      </c>
      <c r="B117" s="10" t="str">
        <f t="shared" si="1"/>
        <v>fatty_acid</v>
      </c>
      <c r="C117" s="49" t="str">
        <f t="shared" si="2"/>
        <v>S5236FA1</v>
      </c>
      <c r="D117" s="6">
        <v>22.0</v>
      </c>
      <c r="E117" s="10" t="str">
        <f t="shared" si="3"/>
        <v>BFA22</v>
      </c>
      <c r="F117" s="13">
        <v>4.0</v>
      </c>
      <c r="G117" s="10" t="str">
        <f t="shared" si="4"/>
        <v>BFA22-4</v>
      </c>
      <c r="H117" s="6"/>
      <c r="I117" s="16" t="str">
        <f t="shared" si="5"/>
        <v>collected</v>
      </c>
      <c r="J117" s="16" t="str">
        <f t="shared" si="6"/>
        <v>N</v>
      </c>
      <c r="K117" s="16"/>
      <c r="L117" s="16"/>
    </row>
    <row r="118">
      <c r="A118" s="26" t="s">
        <v>280</v>
      </c>
      <c r="B118" s="10" t="str">
        <f t="shared" si="1"/>
        <v>fatty_acid</v>
      </c>
      <c r="C118" s="49" t="str">
        <f t="shared" si="2"/>
        <v>S5212FA1</v>
      </c>
      <c r="D118" s="6">
        <v>21.0</v>
      </c>
      <c r="E118" s="10" t="str">
        <f t="shared" si="3"/>
        <v>BFA21</v>
      </c>
      <c r="F118" s="13">
        <v>12.0</v>
      </c>
      <c r="G118" s="10" t="str">
        <f t="shared" si="4"/>
        <v>BFA21-12</v>
      </c>
      <c r="H118" s="6"/>
      <c r="I118" s="16" t="str">
        <f t="shared" si="5"/>
        <v>collected</v>
      </c>
      <c r="J118" s="16" t="str">
        <f t="shared" si="6"/>
        <v>N</v>
      </c>
      <c r="K118" s="16"/>
      <c r="L118" s="16"/>
    </row>
    <row r="119">
      <c r="A119" s="26" t="s">
        <v>286</v>
      </c>
      <c r="B119" s="10" t="str">
        <f t="shared" si="1"/>
        <v>fatty_acid</v>
      </c>
      <c r="C119" s="49" t="str">
        <f t="shared" si="2"/>
        <v>S5213FA1</v>
      </c>
      <c r="D119" s="6">
        <v>21.0</v>
      </c>
      <c r="E119" s="10" t="str">
        <f t="shared" si="3"/>
        <v>BFA21</v>
      </c>
      <c r="F119" s="13">
        <v>13.0</v>
      </c>
      <c r="G119" s="10" t="str">
        <f t="shared" si="4"/>
        <v>BFA21-13</v>
      </c>
      <c r="H119" s="6"/>
      <c r="I119" s="16" t="str">
        <f t="shared" si="5"/>
        <v>collected</v>
      </c>
      <c r="J119" s="16" t="str">
        <f t="shared" si="6"/>
        <v>N</v>
      </c>
      <c r="K119" s="16"/>
      <c r="L119" s="16"/>
    </row>
    <row r="120">
      <c r="A120" s="26" t="s">
        <v>287</v>
      </c>
      <c r="B120" s="10" t="str">
        <f t="shared" si="1"/>
        <v>fatty_acid</v>
      </c>
      <c r="C120" s="49" t="str">
        <f t="shared" si="2"/>
        <v>S5214FA1</v>
      </c>
      <c r="D120" s="6">
        <v>21.0</v>
      </c>
      <c r="E120" s="10" t="str">
        <f t="shared" si="3"/>
        <v>BFA21</v>
      </c>
      <c r="F120" s="13">
        <v>14.0</v>
      </c>
      <c r="G120" s="10" t="str">
        <f t="shared" si="4"/>
        <v>BFA21-14</v>
      </c>
      <c r="H120" s="6"/>
      <c r="I120" s="16" t="str">
        <f t="shared" si="5"/>
        <v>collected</v>
      </c>
      <c r="J120" s="16" t="str">
        <f t="shared" si="6"/>
        <v>N</v>
      </c>
      <c r="K120" s="16"/>
      <c r="L120" s="16"/>
    </row>
    <row r="121">
      <c r="A121" s="26" t="s">
        <v>289</v>
      </c>
      <c r="B121" s="10" t="str">
        <f t="shared" si="1"/>
        <v>fatty_acid</v>
      </c>
      <c r="C121" s="49" t="str">
        <f t="shared" si="2"/>
        <v>S5215FA1</v>
      </c>
      <c r="D121" s="6">
        <v>21.0</v>
      </c>
      <c r="E121" s="10" t="str">
        <f t="shared" si="3"/>
        <v>BFA21</v>
      </c>
      <c r="F121" s="13">
        <v>15.0</v>
      </c>
      <c r="G121" s="10" t="str">
        <f t="shared" si="4"/>
        <v>BFA21-15</v>
      </c>
      <c r="H121" s="6"/>
      <c r="I121" s="16" t="str">
        <f t="shared" si="5"/>
        <v>collected</v>
      </c>
      <c r="J121" s="16" t="str">
        <f t="shared" si="6"/>
        <v>N</v>
      </c>
      <c r="K121" s="16"/>
      <c r="L121" s="16"/>
    </row>
    <row r="122">
      <c r="A122" s="26" t="s">
        <v>291</v>
      </c>
      <c r="B122" s="10" t="str">
        <f t="shared" si="1"/>
        <v>fatty_acid</v>
      </c>
      <c r="C122" s="49" t="str">
        <f t="shared" si="2"/>
        <v>S5216FA1</v>
      </c>
      <c r="D122" s="6">
        <v>21.0</v>
      </c>
      <c r="E122" s="10" t="str">
        <f t="shared" si="3"/>
        <v>BFA21</v>
      </c>
      <c r="F122" s="13">
        <v>17.0</v>
      </c>
      <c r="G122" s="10" t="str">
        <f t="shared" si="4"/>
        <v>BFA21-17</v>
      </c>
      <c r="H122" s="6"/>
      <c r="I122" s="16" t="str">
        <f t="shared" si="5"/>
        <v>collected</v>
      </c>
      <c r="J122" s="16" t="str">
        <f t="shared" si="6"/>
        <v>N</v>
      </c>
      <c r="K122" s="16"/>
      <c r="L122" s="16"/>
    </row>
    <row r="123">
      <c r="A123" s="26" t="s">
        <v>292</v>
      </c>
      <c r="B123" s="10" t="str">
        <f t="shared" si="1"/>
        <v>fatty_acid</v>
      </c>
      <c r="C123" s="49" t="str">
        <f t="shared" si="2"/>
        <v>S5217FA1</v>
      </c>
      <c r="D123" s="6">
        <v>21.0</v>
      </c>
      <c r="E123" s="10" t="str">
        <f t="shared" si="3"/>
        <v>BFA21</v>
      </c>
      <c r="F123" s="13">
        <v>18.0</v>
      </c>
      <c r="G123" s="10" t="str">
        <f t="shared" si="4"/>
        <v>BFA21-18</v>
      </c>
      <c r="H123" s="6"/>
      <c r="I123" s="16" t="str">
        <f t="shared" si="5"/>
        <v>collected</v>
      </c>
      <c r="J123" s="16" t="str">
        <f t="shared" si="6"/>
        <v>N</v>
      </c>
      <c r="K123" s="16"/>
      <c r="L123" s="16"/>
    </row>
    <row r="124">
      <c r="A124" s="26" t="s">
        <v>294</v>
      </c>
      <c r="B124" s="10" t="str">
        <f t="shared" si="1"/>
        <v>fatty_acid</v>
      </c>
      <c r="C124" s="49" t="str">
        <f t="shared" si="2"/>
        <v>S5218FA1</v>
      </c>
      <c r="D124" s="6">
        <v>21.0</v>
      </c>
      <c r="E124" s="10" t="str">
        <f t="shared" si="3"/>
        <v>BFA21</v>
      </c>
      <c r="F124" s="13">
        <v>19.0</v>
      </c>
      <c r="G124" s="10" t="str">
        <f t="shared" si="4"/>
        <v>BFA21-19</v>
      </c>
      <c r="H124" s="6"/>
      <c r="I124" s="16" t="str">
        <f t="shared" si="5"/>
        <v>collected</v>
      </c>
      <c r="J124" s="16" t="str">
        <f t="shared" si="6"/>
        <v>N</v>
      </c>
      <c r="K124" s="16"/>
      <c r="L124" s="16"/>
    </row>
    <row r="125">
      <c r="A125" s="26" t="s">
        <v>295</v>
      </c>
      <c r="B125" s="10" t="str">
        <f t="shared" si="1"/>
        <v>fatty_acid</v>
      </c>
      <c r="C125" s="49" t="str">
        <f t="shared" si="2"/>
        <v>S5219FA1</v>
      </c>
      <c r="D125" s="6">
        <v>21.0</v>
      </c>
      <c r="E125" s="10" t="str">
        <f t="shared" si="3"/>
        <v>BFA21</v>
      </c>
      <c r="F125" s="13">
        <v>20.0</v>
      </c>
      <c r="G125" s="10" t="str">
        <f t="shared" si="4"/>
        <v>BFA21-20</v>
      </c>
      <c r="H125" s="6"/>
      <c r="I125" s="16" t="str">
        <f t="shared" si="5"/>
        <v>collected</v>
      </c>
      <c r="J125" s="16" t="str">
        <f t="shared" si="6"/>
        <v>N</v>
      </c>
      <c r="K125" s="16"/>
      <c r="L125" s="16"/>
    </row>
    <row r="126">
      <c r="A126" s="6" t="s">
        <v>297</v>
      </c>
      <c r="B126" s="10" t="str">
        <f t="shared" si="1"/>
        <v>fatty_acid</v>
      </c>
      <c r="C126" s="49" t="str">
        <f t="shared" si="2"/>
        <v>S5220FA1</v>
      </c>
      <c r="D126" s="6">
        <v>21.0</v>
      </c>
      <c r="E126" s="10" t="str">
        <f t="shared" si="3"/>
        <v>BFA21</v>
      </c>
      <c r="F126" s="13">
        <v>21.0</v>
      </c>
      <c r="G126" s="10" t="str">
        <f t="shared" si="4"/>
        <v>BFA21-21</v>
      </c>
      <c r="H126" s="6"/>
      <c r="I126" s="16" t="str">
        <f t="shared" si="5"/>
        <v>collected</v>
      </c>
      <c r="J126" s="16" t="str">
        <f t="shared" si="6"/>
        <v>N</v>
      </c>
      <c r="K126" s="16"/>
      <c r="L126" s="16"/>
    </row>
    <row r="127">
      <c r="A127" s="6" t="s">
        <v>298</v>
      </c>
      <c r="B127" s="10" t="str">
        <f t="shared" si="1"/>
        <v>fatty_acid</v>
      </c>
      <c r="C127" s="49" t="str">
        <f t="shared" si="2"/>
        <v>S5221FA1</v>
      </c>
      <c r="D127" s="6">
        <v>21.0</v>
      </c>
      <c r="E127" s="10" t="str">
        <f t="shared" si="3"/>
        <v>BFA21</v>
      </c>
      <c r="F127" s="13">
        <v>22.0</v>
      </c>
      <c r="G127" s="10" t="str">
        <f t="shared" si="4"/>
        <v>BFA21-22</v>
      </c>
      <c r="H127" s="6"/>
      <c r="I127" s="16" t="str">
        <f t="shared" si="5"/>
        <v>collected</v>
      </c>
      <c r="J127" s="16" t="str">
        <f t="shared" si="6"/>
        <v>N</v>
      </c>
      <c r="K127" s="16"/>
      <c r="L127" s="16"/>
    </row>
    <row r="128">
      <c r="A128" s="27" t="s">
        <v>301</v>
      </c>
      <c r="B128" s="10" t="str">
        <f t="shared" si="1"/>
        <v>fatty_acid</v>
      </c>
      <c r="C128" s="49" t="str">
        <f t="shared" si="2"/>
        <v>S5222FA1</v>
      </c>
      <c r="D128" s="6">
        <v>21.0</v>
      </c>
      <c r="E128" s="10" t="str">
        <f t="shared" si="3"/>
        <v>BFA21</v>
      </c>
      <c r="F128" s="13">
        <v>23.0</v>
      </c>
      <c r="G128" s="10" t="str">
        <f t="shared" si="4"/>
        <v>BFA21-23</v>
      </c>
      <c r="H128" s="6"/>
      <c r="I128" s="16" t="str">
        <f t="shared" si="5"/>
        <v>collected</v>
      </c>
      <c r="J128" s="16" t="str">
        <f t="shared" si="6"/>
        <v>N</v>
      </c>
      <c r="K128" s="16"/>
      <c r="L128" s="16"/>
    </row>
    <row r="129">
      <c r="A129" s="27" t="s">
        <v>302</v>
      </c>
      <c r="B129" s="10" t="str">
        <f t="shared" si="1"/>
        <v>fatty_acid</v>
      </c>
      <c r="C129" s="49" t="str">
        <f t="shared" si="2"/>
        <v>S5223FA1</v>
      </c>
      <c r="D129" s="6">
        <v>21.0</v>
      </c>
      <c r="E129" s="10" t="str">
        <f t="shared" si="3"/>
        <v>BFA21</v>
      </c>
      <c r="F129" s="13">
        <v>24.0</v>
      </c>
      <c r="G129" s="10" t="str">
        <f t="shared" si="4"/>
        <v>BFA21-24</v>
      </c>
      <c r="H129" s="6"/>
      <c r="I129" s="16" t="str">
        <f t="shared" si="5"/>
        <v>collected</v>
      </c>
      <c r="J129" s="16" t="str">
        <f t="shared" si="6"/>
        <v>N</v>
      </c>
      <c r="K129" s="16"/>
      <c r="L129" s="16"/>
    </row>
    <row r="130">
      <c r="A130" s="27" t="s">
        <v>304</v>
      </c>
      <c r="B130" s="10" t="str">
        <f t="shared" si="1"/>
        <v>fatty_acid</v>
      </c>
      <c r="C130" s="49" t="str">
        <f t="shared" si="2"/>
        <v>S5224FA1</v>
      </c>
      <c r="D130" s="6">
        <v>21.0</v>
      </c>
      <c r="E130" s="10" t="str">
        <f t="shared" si="3"/>
        <v>BFA21</v>
      </c>
      <c r="F130" s="13">
        <v>25.0</v>
      </c>
      <c r="G130" s="10" t="str">
        <f t="shared" si="4"/>
        <v>BFA21-25</v>
      </c>
      <c r="H130" s="6"/>
      <c r="I130" s="16" t="str">
        <f t="shared" si="5"/>
        <v>collected</v>
      </c>
      <c r="J130" s="16" t="str">
        <f t="shared" si="6"/>
        <v>N</v>
      </c>
      <c r="K130" s="16"/>
      <c r="L130" s="16"/>
    </row>
    <row r="131">
      <c r="A131" s="27" t="s">
        <v>305</v>
      </c>
      <c r="B131" s="10" t="str">
        <f t="shared" si="1"/>
        <v>fatty_acid</v>
      </c>
      <c r="C131" s="49" t="str">
        <f t="shared" si="2"/>
        <v>S5225FA1</v>
      </c>
      <c r="D131" s="6">
        <v>21.0</v>
      </c>
      <c r="E131" s="10" t="str">
        <f t="shared" si="3"/>
        <v>BFA21</v>
      </c>
      <c r="F131" s="13">
        <v>27.0</v>
      </c>
      <c r="G131" s="10" t="str">
        <f t="shared" si="4"/>
        <v>BFA21-27</v>
      </c>
      <c r="H131" s="6"/>
      <c r="I131" s="16" t="str">
        <f t="shared" si="5"/>
        <v>collected</v>
      </c>
      <c r="J131" s="16" t="str">
        <f t="shared" si="6"/>
        <v>N</v>
      </c>
      <c r="K131" s="16"/>
      <c r="L131" s="16"/>
    </row>
    <row r="132">
      <c r="A132" s="27" t="s">
        <v>307</v>
      </c>
      <c r="B132" s="10" t="str">
        <f t="shared" si="1"/>
        <v>fatty_acid</v>
      </c>
      <c r="C132" s="49" t="str">
        <f t="shared" si="2"/>
        <v>S5226FA1</v>
      </c>
      <c r="D132" s="6">
        <v>21.0</v>
      </c>
      <c r="E132" s="10" t="str">
        <f t="shared" si="3"/>
        <v>BFA21</v>
      </c>
      <c r="F132" s="13">
        <v>28.0</v>
      </c>
      <c r="G132" s="10" t="str">
        <f t="shared" si="4"/>
        <v>BFA21-28</v>
      </c>
      <c r="H132" s="6"/>
      <c r="I132" s="16" t="str">
        <f t="shared" si="5"/>
        <v>collected</v>
      </c>
      <c r="J132" s="16" t="str">
        <f t="shared" si="6"/>
        <v>N</v>
      </c>
      <c r="K132" s="16"/>
      <c r="L132" s="16"/>
    </row>
    <row r="133">
      <c r="A133" s="27" t="s">
        <v>309</v>
      </c>
      <c r="B133" s="10" t="str">
        <f t="shared" si="1"/>
        <v>fatty_acid</v>
      </c>
      <c r="C133" s="49" t="str">
        <f t="shared" si="2"/>
        <v>S5227FA1</v>
      </c>
      <c r="D133" s="6">
        <v>21.0</v>
      </c>
      <c r="E133" s="10" t="str">
        <f t="shared" si="3"/>
        <v>BFA21</v>
      </c>
      <c r="F133" s="13">
        <v>29.0</v>
      </c>
      <c r="G133" s="10" t="str">
        <f t="shared" si="4"/>
        <v>BFA21-29</v>
      </c>
      <c r="H133" s="6"/>
      <c r="I133" s="16" t="str">
        <f t="shared" si="5"/>
        <v>collected</v>
      </c>
      <c r="J133" s="16" t="str">
        <f t="shared" si="6"/>
        <v>N</v>
      </c>
      <c r="K133" s="16"/>
      <c r="L133" s="16"/>
    </row>
    <row r="134">
      <c r="A134" s="27" t="s">
        <v>310</v>
      </c>
      <c r="B134" s="10" t="str">
        <f t="shared" si="1"/>
        <v>fatty_acid</v>
      </c>
      <c r="C134" s="49" t="str">
        <f t="shared" si="2"/>
        <v>S5228FA1</v>
      </c>
      <c r="D134" s="6">
        <v>21.0</v>
      </c>
      <c r="E134" s="10" t="str">
        <f t="shared" si="3"/>
        <v>BFA21</v>
      </c>
      <c r="F134" s="13">
        <v>30.0</v>
      </c>
      <c r="G134" s="10" t="str">
        <f t="shared" si="4"/>
        <v>BFA21-30</v>
      </c>
      <c r="H134" s="6"/>
      <c r="I134" s="16" t="str">
        <f t="shared" si="5"/>
        <v>collected</v>
      </c>
      <c r="J134" s="16" t="str">
        <f t="shared" si="6"/>
        <v>N</v>
      </c>
      <c r="K134" s="16"/>
      <c r="L134" s="16"/>
    </row>
    <row r="135">
      <c r="A135" s="26" t="s">
        <v>312</v>
      </c>
      <c r="B135" s="10" t="str">
        <f t="shared" si="1"/>
        <v>fatty_acid</v>
      </c>
      <c r="C135" s="49" t="str">
        <f t="shared" si="2"/>
        <v>S5229FA1</v>
      </c>
      <c r="D135" s="6">
        <v>21.0</v>
      </c>
      <c r="E135" s="10" t="str">
        <f t="shared" si="3"/>
        <v>BFA21</v>
      </c>
      <c r="F135" s="13">
        <v>31.0</v>
      </c>
      <c r="G135" s="10" t="str">
        <f t="shared" si="4"/>
        <v>BFA21-31</v>
      </c>
      <c r="H135" s="6"/>
      <c r="I135" s="16" t="str">
        <f t="shared" si="5"/>
        <v>collected</v>
      </c>
      <c r="J135" s="16" t="str">
        <f t="shared" si="6"/>
        <v>N</v>
      </c>
      <c r="K135" s="16"/>
      <c r="L135" s="16"/>
    </row>
    <row r="136">
      <c r="A136" s="26" t="s">
        <v>314</v>
      </c>
      <c r="B136" s="10" t="str">
        <f t="shared" si="1"/>
        <v>fatty_acid</v>
      </c>
      <c r="C136" s="49" t="str">
        <f t="shared" si="2"/>
        <v>S5230FA1</v>
      </c>
      <c r="D136" s="6">
        <v>21.0</v>
      </c>
      <c r="E136" s="10" t="str">
        <f t="shared" si="3"/>
        <v>BFA21</v>
      </c>
      <c r="F136" s="13">
        <v>32.0</v>
      </c>
      <c r="G136" s="10" t="str">
        <f t="shared" si="4"/>
        <v>BFA21-32</v>
      </c>
      <c r="H136" s="6"/>
      <c r="I136" s="16" t="str">
        <f t="shared" si="5"/>
        <v>collected</v>
      </c>
      <c r="J136" s="16" t="str">
        <f t="shared" si="6"/>
        <v>N</v>
      </c>
      <c r="K136" s="16"/>
      <c r="L136" s="16"/>
    </row>
    <row r="137">
      <c r="A137" s="26" t="s">
        <v>316</v>
      </c>
      <c r="B137" s="10" t="str">
        <f t="shared" si="1"/>
        <v>fatty_acid</v>
      </c>
      <c r="C137" s="49" t="str">
        <f t="shared" si="2"/>
        <v>S5231FA1</v>
      </c>
      <c r="D137" s="6">
        <v>21.0</v>
      </c>
      <c r="E137" s="10" t="str">
        <f t="shared" si="3"/>
        <v>BFA21</v>
      </c>
      <c r="F137" s="13">
        <v>33.0</v>
      </c>
      <c r="G137" s="10" t="str">
        <f t="shared" si="4"/>
        <v>BFA21-33</v>
      </c>
      <c r="H137" s="6"/>
      <c r="I137" s="16" t="str">
        <f t="shared" si="5"/>
        <v>collected</v>
      </c>
      <c r="J137" s="16" t="str">
        <f t="shared" si="6"/>
        <v>N</v>
      </c>
      <c r="K137" s="16"/>
      <c r="L137" s="16"/>
    </row>
    <row r="138">
      <c r="A138" s="26" t="s">
        <v>317</v>
      </c>
      <c r="B138" s="10" t="str">
        <f t="shared" si="1"/>
        <v>fatty_acid</v>
      </c>
      <c r="C138" s="49" t="str">
        <f t="shared" si="2"/>
        <v>S5245FA1</v>
      </c>
      <c r="D138" s="6">
        <v>21.0</v>
      </c>
      <c r="E138" s="10" t="str">
        <f t="shared" si="3"/>
        <v>BFA21</v>
      </c>
      <c r="F138" s="13">
        <v>34.0</v>
      </c>
      <c r="G138" s="10" t="str">
        <f t="shared" si="4"/>
        <v>BFA21-34</v>
      </c>
      <c r="H138" s="6"/>
      <c r="I138" s="16" t="str">
        <f t="shared" si="5"/>
        <v>collected</v>
      </c>
      <c r="J138" s="16" t="str">
        <f t="shared" si="6"/>
        <v>N</v>
      </c>
      <c r="K138" s="16"/>
      <c r="L138" s="16"/>
    </row>
    <row r="139">
      <c r="A139" s="26" t="s">
        <v>318</v>
      </c>
      <c r="B139" s="10" t="str">
        <f t="shared" si="1"/>
        <v>fatty_acid</v>
      </c>
      <c r="C139" s="49" t="str">
        <f t="shared" si="2"/>
        <v>S5246FA1</v>
      </c>
      <c r="D139" s="6">
        <v>21.0</v>
      </c>
      <c r="E139" s="10" t="str">
        <f t="shared" si="3"/>
        <v>BFA21</v>
      </c>
      <c r="F139" s="13">
        <v>35.0</v>
      </c>
      <c r="G139" s="10" t="str">
        <f t="shared" si="4"/>
        <v>BFA21-35</v>
      </c>
      <c r="H139" s="6"/>
      <c r="I139" s="16" t="str">
        <f t="shared" si="5"/>
        <v>collected</v>
      </c>
      <c r="J139" s="16" t="str">
        <f t="shared" si="6"/>
        <v>N</v>
      </c>
      <c r="K139" s="16"/>
      <c r="L139" s="16"/>
    </row>
    <row r="140">
      <c r="A140" s="26" t="s">
        <v>322</v>
      </c>
      <c r="B140" s="10" t="str">
        <f t="shared" si="1"/>
        <v>fatty_acid</v>
      </c>
      <c r="C140" s="49" t="str">
        <f t="shared" si="2"/>
        <v>S5247FA1</v>
      </c>
      <c r="D140" s="6">
        <v>21.0</v>
      </c>
      <c r="E140" s="10" t="str">
        <f t="shared" si="3"/>
        <v>BFA21</v>
      </c>
      <c r="F140" s="13">
        <v>37.0</v>
      </c>
      <c r="G140" s="10" t="str">
        <f t="shared" si="4"/>
        <v>BFA21-37</v>
      </c>
      <c r="H140" s="6"/>
      <c r="I140" s="16" t="str">
        <f t="shared" si="5"/>
        <v>collected</v>
      </c>
      <c r="J140" s="16" t="str">
        <f t="shared" si="6"/>
        <v>N</v>
      </c>
      <c r="K140" s="16"/>
      <c r="L140" s="16"/>
    </row>
    <row r="141">
      <c r="A141" s="26" t="s">
        <v>327</v>
      </c>
      <c r="B141" s="10" t="str">
        <f t="shared" si="1"/>
        <v>fatty_acid</v>
      </c>
      <c r="C141" s="49" t="str">
        <f t="shared" si="2"/>
        <v>S5248FA1</v>
      </c>
      <c r="D141" s="6">
        <v>21.0</v>
      </c>
      <c r="E141" s="10" t="str">
        <f t="shared" si="3"/>
        <v>BFA21</v>
      </c>
      <c r="F141" s="13">
        <v>38.0</v>
      </c>
      <c r="G141" s="10" t="str">
        <f t="shared" si="4"/>
        <v>BFA21-38</v>
      </c>
      <c r="H141" s="6"/>
      <c r="I141" s="16" t="str">
        <f t="shared" si="5"/>
        <v>collected</v>
      </c>
      <c r="J141" s="16" t="str">
        <f t="shared" si="6"/>
        <v>N</v>
      </c>
      <c r="K141" s="16"/>
      <c r="L141" s="16"/>
    </row>
    <row r="142">
      <c r="A142" s="27" t="s">
        <v>328</v>
      </c>
      <c r="B142" s="10" t="str">
        <f t="shared" si="1"/>
        <v>fatty_acid</v>
      </c>
      <c r="C142" s="49" t="str">
        <f t="shared" si="2"/>
        <v>S5249FA1</v>
      </c>
      <c r="D142" s="6">
        <v>21.0</v>
      </c>
      <c r="E142" s="10" t="str">
        <f t="shared" si="3"/>
        <v>BFA21</v>
      </c>
      <c r="F142" s="13">
        <v>39.0</v>
      </c>
      <c r="G142" s="10" t="str">
        <f t="shared" si="4"/>
        <v>BFA21-39</v>
      </c>
      <c r="H142" s="50"/>
      <c r="I142" s="16" t="str">
        <f t="shared" si="5"/>
        <v>collected</v>
      </c>
      <c r="J142" s="16" t="str">
        <f t="shared" si="6"/>
        <v>N</v>
      </c>
      <c r="K142" s="6"/>
      <c r="L142" s="16"/>
    </row>
    <row r="143">
      <c r="A143" s="27" t="s">
        <v>332</v>
      </c>
      <c r="B143" s="10" t="str">
        <f t="shared" si="1"/>
        <v>fatty_acid</v>
      </c>
      <c r="C143" s="49" t="str">
        <f t="shared" si="2"/>
        <v>S5250FA1</v>
      </c>
      <c r="D143" s="6">
        <v>21.0</v>
      </c>
      <c r="E143" s="10" t="str">
        <f t="shared" si="3"/>
        <v>BFA21</v>
      </c>
      <c r="F143" s="13">
        <v>40.0</v>
      </c>
      <c r="G143" s="10" t="str">
        <f t="shared" si="4"/>
        <v>BFA21-40</v>
      </c>
      <c r="H143" s="50"/>
      <c r="I143" s="16" t="str">
        <f t="shared" si="5"/>
        <v>collected</v>
      </c>
      <c r="J143" s="16" t="str">
        <f t="shared" si="6"/>
        <v>N</v>
      </c>
      <c r="K143" s="6"/>
      <c r="L143" s="16"/>
    </row>
    <row r="144">
      <c r="A144" s="27" t="s">
        <v>334</v>
      </c>
      <c r="B144" s="10" t="str">
        <f t="shared" si="1"/>
        <v>fatty_acid</v>
      </c>
      <c r="C144" s="49" t="str">
        <f t="shared" si="2"/>
        <v>S5251FA1</v>
      </c>
      <c r="D144" s="6">
        <v>21.0</v>
      </c>
      <c r="E144" s="10" t="str">
        <f t="shared" si="3"/>
        <v>BFA21</v>
      </c>
      <c r="F144" s="13">
        <v>41.0</v>
      </c>
      <c r="G144" s="10" t="str">
        <f t="shared" si="4"/>
        <v>BFA21-41</v>
      </c>
      <c r="H144" s="50"/>
      <c r="I144" s="16" t="str">
        <f t="shared" si="5"/>
        <v>collected</v>
      </c>
      <c r="J144" s="16" t="str">
        <f t="shared" si="6"/>
        <v>N</v>
      </c>
      <c r="K144" s="6"/>
      <c r="L144" s="16"/>
    </row>
    <row r="145">
      <c r="A145" s="27" t="s">
        <v>335</v>
      </c>
      <c r="B145" s="10" t="str">
        <f t="shared" si="1"/>
        <v>fatty_acid</v>
      </c>
      <c r="C145" s="49" t="str">
        <f t="shared" si="2"/>
        <v>S5252FA1</v>
      </c>
      <c r="D145" s="6">
        <v>21.0</v>
      </c>
      <c r="E145" s="10" t="str">
        <f t="shared" si="3"/>
        <v>BFA21</v>
      </c>
      <c r="F145" s="13">
        <v>42.0</v>
      </c>
      <c r="G145" s="10" t="str">
        <f t="shared" si="4"/>
        <v>BFA21-42</v>
      </c>
      <c r="H145" s="50"/>
      <c r="I145" s="16" t="str">
        <f t="shared" si="5"/>
        <v>collected</v>
      </c>
      <c r="J145" s="16" t="str">
        <f t="shared" si="6"/>
        <v>N</v>
      </c>
      <c r="K145" s="6"/>
      <c r="L145" s="16"/>
    </row>
    <row r="146">
      <c r="A146" s="27" t="s">
        <v>336</v>
      </c>
      <c r="B146" s="10" t="str">
        <f t="shared" si="1"/>
        <v>fatty_acid</v>
      </c>
      <c r="C146" s="49" t="str">
        <f t="shared" si="2"/>
        <v>S5253FA1</v>
      </c>
      <c r="D146" s="6">
        <v>21.0</v>
      </c>
      <c r="E146" s="10" t="str">
        <f t="shared" si="3"/>
        <v>BFA21</v>
      </c>
      <c r="F146" s="13">
        <v>43.0</v>
      </c>
      <c r="G146" s="10" t="str">
        <f t="shared" si="4"/>
        <v>BFA21-43</v>
      </c>
      <c r="H146" s="50"/>
      <c r="I146" s="16" t="str">
        <f t="shared" si="5"/>
        <v>collected</v>
      </c>
      <c r="J146" s="16" t="str">
        <f t="shared" si="6"/>
        <v>N</v>
      </c>
      <c r="K146" s="6"/>
      <c r="L146" s="16"/>
    </row>
    <row r="147">
      <c r="A147" s="27" t="s">
        <v>338</v>
      </c>
      <c r="B147" s="10" t="str">
        <f t="shared" si="1"/>
        <v>fatty_acid</v>
      </c>
      <c r="C147" s="49" t="str">
        <f t="shared" si="2"/>
        <v>S5254FA1</v>
      </c>
      <c r="D147" s="6">
        <v>21.0</v>
      </c>
      <c r="E147" s="10" t="str">
        <f t="shared" si="3"/>
        <v>BFA21</v>
      </c>
      <c r="F147" s="13">
        <v>44.0</v>
      </c>
      <c r="G147" s="10" t="str">
        <f t="shared" si="4"/>
        <v>BFA21-44</v>
      </c>
      <c r="H147" s="50"/>
      <c r="I147" s="16" t="str">
        <f t="shared" si="5"/>
        <v>collected</v>
      </c>
      <c r="J147" s="16" t="str">
        <f t="shared" si="6"/>
        <v>N</v>
      </c>
      <c r="K147" s="6"/>
      <c r="L147" s="16"/>
    </row>
    <row r="148">
      <c r="A148" s="27" t="s">
        <v>339</v>
      </c>
      <c r="B148" s="10" t="str">
        <f t="shared" si="1"/>
        <v>fatty_acid</v>
      </c>
      <c r="C148" s="49" t="str">
        <f t="shared" si="2"/>
        <v>S5255FA1</v>
      </c>
      <c r="D148" s="6">
        <v>21.0</v>
      </c>
      <c r="E148" s="10" t="str">
        <f t="shared" si="3"/>
        <v>BFA21</v>
      </c>
      <c r="F148" s="13">
        <v>45.0</v>
      </c>
      <c r="G148" s="10" t="str">
        <f t="shared" si="4"/>
        <v>BFA21-45</v>
      </c>
      <c r="H148" s="50"/>
      <c r="I148" s="16" t="str">
        <f t="shared" si="5"/>
        <v>collected</v>
      </c>
      <c r="J148" s="16" t="str">
        <f t="shared" si="6"/>
        <v>N</v>
      </c>
      <c r="K148" s="6"/>
      <c r="L148" s="16"/>
    </row>
    <row r="149">
      <c r="A149" s="27" t="s">
        <v>340</v>
      </c>
      <c r="B149" s="10" t="str">
        <f t="shared" si="1"/>
        <v>fatty_acid</v>
      </c>
      <c r="C149" s="49" t="str">
        <f t="shared" si="2"/>
        <v>S5256FA1</v>
      </c>
      <c r="D149" s="6">
        <v>21.0</v>
      </c>
      <c r="E149" s="10" t="str">
        <f t="shared" si="3"/>
        <v>BFA21</v>
      </c>
      <c r="F149" s="13">
        <v>47.0</v>
      </c>
      <c r="G149" s="10" t="str">
        <f t="shared" si="4"/>
        <v>BFA21-47</v>
      </c>
      <c r="H149" s="50"/>
      <c r="I149" s="16" t="str">
        <f t="shared" si="5"/>
        <v>collected</v>
      </c>
      <c r="J149" s="16" t="str">
        <f t="shared" si="6"/>
        <v>N</v>
      </c>
      <c r="K149" s="6"/>
      <c r="L149" s="16"/>
    </row>
    <row r="150">
      <c r="A150" s="27" t="s">
        <v>341</v>
      </c>
      <c r="B150" s="10" t="str">
        <f t="shared" si="1"/>
        <v>fatty_acid</v>
      </c>
      <c r="C150" s="49" t="str">
        <f t="shared" si="2"/>
        <v>S5257FA1</v>
      </c>
      <c r="D150" s="6">
        <v>21.0</v>
      </c>
      <c r="E150" s="10" t="str">
        <f t="shared" si="3"/>
        <v>BFA21</v>
      </c>
      <c r="F150" s="13">
        <v>48.0</v>
      </c>
      <c r="G150" s="10" t="str">
        <f t="shared" si="4"/>
        <v>BFA21-48</v>
      </c>
      <c r="H150" s="50"/>
      <c r="I150" s="16" t="str">
        <f t="shared" si="5"/>
        <v>collected</v>
      </c>
      <c r="J150" s="16" t="str">
        <f t="shared" si="6"/>
        <v>N</v>
      </c>
      <c r="K150" s="6"/>
      <c r="L150" s="16"/>
    </row>
    <row r="151">
      <c r="A151" s="26" t="s">
        <v>342</v>
      </c>
      <c r="B151" s="10" t="str">
        <f t="shared" si="1"/>
        <v>fatty_acid</v>
      </c>
      <c r="C151" s="49" t="str">
        <f t="shared" si="2"/>
        <v>S5262FA1</v>
      </c>
      <c r="D151" s="6">
        <v>23.0</v>
      </c>
      <c r="E151" s="10" t="str">
        <f t="shared" si="3"/>
        <v>BFA23</v>
      </c>
      <c r="F151" s="13">
        <v>1.0</v>
      </c>
      <c r="G151" s="10" t="str">
        <f t="shared" si="4"/>
        <v>BFA23-1</v>
      </c>
      <c r="H151" s="6"/>
      <c r="I151" s="16" t="str">
        <f t="shared" si="5"/>
        <v>collected</v>
      </c>
      <c r="J151" s="16" t="str">
        <f t="shared" si="6"/>
        <v>N</v>
      </c>
      <c r="K151" s="16"/>
      <c r="L151" s="16"/>
    </row>
    <row r="152">
      <c r="A152" s="26" t="s">
        <v>344</v>
      </c>
      <c r="B152" s="10" t="str">
        <f t="shared" si="1"/>
        <v>fatty_acid</v>
      </c>
      <c r="C152" s="49" t="str">
        <f t="shared" si="2"/>
        <v>S5263FA1</v>
      </c>
      <c r="D152" s="6">
        <v>23.0</v>
      </c>
      <c r="E152" s="10" t="str">
        <f t="shared" si="3"/>
        <v>BFA23</v>
      </c>
      <c r="F152" s="13">
        <v>2.0</v>
      </c>
      <c r="G152" s="10" t="str">
        <f t="shared" si="4"/>
        <v>BFA23-2</v>
      </c>
      <c r="H152" s="6"/>
      <c r="I152" s="16" t="str">
        <f t="shared" si="5"/>
        <v>collected</v>
      </c>
      <c r="J152" s="16" t="str">
        <f t="shared" si="6"/>
        <v>N</v>
      </c>
      <c r="K152" s="16"/>
      <c r="L152" s="16"/>
    </row>
    <row r="153">
      <c r="A153" s="26" t="s">
        <v>345</v>
      </c>
      <c r="B153" s="10" t="str">
        <f t="shared" si="1"/>
        <v>fatty_acid</v>
      </c>
      <c r="C153" s="49" t="str">
        <f t="shared" si="2"/>
        <v>S5264FA1</v>
      </c>
      <c r="D153" s="6">
        <v>23.0</v>
      </c>
      <c r="E153" s="10" t="str">
        <f t="shared" si="3"/>
        <v>BFA23</v>
      </c>
      <c r="F153" s="13">
        <v>3.0</v>
      </c>
      <c r="G153" s="10" t="str">
        <f t="shared" si="4"/>
        <v>BFA23-3</v>
      </c>
      <c r="H153" s="6"/>
      <c r="I153" s="16" t="str">
        <f t="shared" si="5"/>
        <v>collected</v>
      </c>
      <c r="J153" s="16" t="str">
        <f t="shared" si="6"/>
        <v>N</v>
      </c>
      <c r="K153" s="16"/>
      <c r="L153" s="16"/>
    </row>
    <row r="154">
      <c r="A154" s="26" t="s">
        <v>347</v>
      </c>
      <c r="B154" s="10" t="str">
        <f t="shared" si="1"/>
        <v>fatty_acid</v>
      </c>
      <c r="C154" s="49" t="str">
        <f t="shared" si="2"/>
        <v>S5265FA1</v>
      </c>
      <c r="D154" s="6">
        <v>23.0</v>
      </c>
      <c r="E154" s="10" t="str">
        <f t="shared" si="3"/>
        <v>BFA23</v>
      </c>
      <c r="F154" s="13">
        <v>4.0</v>
      </c>
      <c r="G154" s="10" t="str">
        <f t="shared" si="4"/>
        <v>BFA23-4</v>
      </c>
      <c r="H154" s="6"/>
      <c r="I154" s="16" t="str">
        <f t="shared" si="5"/>
        <v>collected</v>
      </c>
      <c r="J154" s="16" t="str">
        <f t="shared" si="6"/>
        <v>N</v>
      </c>
      <c r="K154" s="16"/>
      <c r="L154" s="16"/>
    </row>
    <row r="155">
      <c r="A155" s="26" t="s">
        <v>348</v>
      </c>
      <c r="B155" s="10" t="str">
        <f t="shared" si="1"/>
        <v>fatty_acid</v>
      </c>
      <c r="C155" s="49" t="str">
        <f t="shared" si="2"/>
        <v>S5266FA1</v>
      </c>
      <c r="D155" s="6">
        <v>23.0</v>
      </c>
      <c r="E155" s="10" t="str">
        <f t="shared" si="3"/>
        <v>BFA23</v>
      </c>
      <c r="F155" s="13">
        <v>5.0</v>
      </c>
      <c r="G155" s="10" t="str">
        <f t="shared" si="4"/>
        <v>BFA23-5</v>
      </c>
      <c r="H155" s="6"/>
      <c r="I155" s="16" t="str">
        <f t="shared" si="5"/>
        <v>collected</v>
      </c>
      <c r="J155" s="16" t="str">
        <f t="shared" si="6"/>
        <v>N</v>
      </c>
      <c r="K155" s="16"/>
      <c r="L155" s="16"/>
    </row>
    <row r="156">
      <c r="A156" s="26" t="s">
        <v>349</v>
      </c>
      <c r="B156" s="10" t="str">
        <f t="shared" si="1"/>
        <v>fatty_acid</v>
      </c>
      <c r="C156" s="49" t="str">
        <f t="shared" si="2"/>
        <v>S5267FA1</v>
      </c>
      <c r="D156" s="6">
        <v>23.0</v>
      </c>
      <c r="E156" s="10" t="str">
        <f t="shared" si="3"/>
        <v>BFA23</v>
      </c>
      <c r="F156" s="13">
        <v>6.0</v>
      </c>
      <c r="G156" s="10" t="str">
        <f t="shared" si="4"/>
        <v>BFA23-6</v>
      </c>
      <c r="H156" s="6"/>
      <c r="I156" s="16" t="str">
        <f t="shared" si="5"/>
        <v>collected</v>
      </c>
      <c r="J156" s="16" t="str">
        <f t="shared" si="6"/>
        <v>N</v>
      </c>
      <c r="K156" s="16"/>
      <c r="L156" s="16"/>
    </row>
    <row r="157">
      <c r="A157" s="26" t="s">
        <v>351</v>
      </c>
      <c r="B157" s="10" t="str">
        <f t="shared" si="1"/>
        <v>fatty_acid</v>
      </c>
      <c r="C157" s="49" t="str">
        <f t="shared" si="2"/>
        <v>S5268FA1</v>
      </c>
      <c r="D157" s="6">
        <v>23.0</v>
      </c>
      <c r="E157" s="10" t="str">
        <f t="shared" si="3"/>
        <v>BFA23</v>
      </c>
      <c r="F157" s="13">
        <v>7.0</v>
      </c>
      <c r="G157" s="10" t="str">
        <f t="shared" si="4"/>
        <v>BFA23-7</v>
      </c>
      <c r="H157" s="6"/>
      <c r="I157" s="16" t="str">
        <f t="shared" si="5"/>
        <v>collected</v>
      </c>
      <c r="J157" s="16" t="str">
        <f t="shared" si="6"/>
        <v>N</v>
      </c>
      <c r="K157" s="16"/>
      <c r="L157" s="16"/>
    </row>
    <row r="158">
      <c r="A158" s="26" t="s">
        <v>353</v>
      </c>
      <c r="B158" s="10" t="str">
        <f t="shared" si="1"/>
        <v>fatty_acid</v>
      </c>
      <c r="C158" s="49" t="str">
        <f t="shared" si="2"/>
        <v>S5269FA1</v>
      </c>
      <c r="D158" s="6">
        <v>23.0</v>
      </c>
      <c r="E158" s="10" t="str">
        <f t="shared" si="3"/>
        <v>BFA23</v>
      </c>
      <c r="F158" s="13">
        <v>8.0</v>
      </c>
      <c r="G158" s="10" t="str">
        <f t="shared" si="4"/>
        <v>BFA23-8</v>
      </c>
      <c r="H158" s="6"/>
      <c r="I158" s="16" t="str">
        <f t="shared" si="5"/>
        <v>collected</v>
      </c>
      <c r="J158" s="16" t="str">
        <f t="shared" si="6"/>
        <v>N</v>
      </c>
      <c r="K158" s="16"/>
      <c r="L158" s="16"/>
    </row>
    <row r="159">
      <c r="A159" s="26" t="s">
        <v>354</v>
      </c>
      <c r="B159" s="10" t="str">
        <f t="shared" si="1"/>
        <v>fatty_acid</v>
      </c>
      <c r="C159" s="49" t="str">
        <f t="shared" si="2"/>
        <v>S5270FA1</v>
      </c>
      <c r="D159" s="6">
        <v>23.0</v>
      </c>
      <c r="E159" s="10" t="str">
        <f t="shared" si="3"/>
        <v>BFA23</v>
      </c>
      <c r="F159" s="13">
        <v>9.0</v>
      </c>
      <c r="G159" s="10" t="str">
        <f t="shared" si="4"/>
        <v>BFA23-9</v>
      </c>
      <c r="H159" s="6"/>
      <c r="I159" s="16" t="str">
        <f t="shared" si="5"/>
        <v>collected</v>
      </c>
      <c r="J159" s="16" t="str">
        <f t="shared" si="6"/>
        <v>N</v>
      </c>
      <c r="K159" s="16"/>
      <c r="L159" s="16"/>
    </row>
    <row r="160">
      <c r="A160" s="26" t="s">
        <v>355</v>
      </c>
      <c r="B160" s="10" t="str">
        <f t="shared" si="1"/>
        <v>fatty_acid</v>
      </c>
      <c r="C160" s="49" t="str">
        <f t="shared" si="2"/>
        <v>S5271FA1</v>
      </c>
      <c r="D160" s="6">
        <v>23.0</v>
      </c>
      <c r="E160" s="10" t="str">
        <f t="shared" si="3"/>
        <v>BFA23</v>
      </c>
      <c r="F160" s="13">
        <v>10.0</v>
      </c>
      <c r="G160" s="10" t="str">
        <f t="shared" si="4"/>
        <v>BFA23-10</v>
      </c>
      <c r="H160" s="6"/>
      <c r="I160" s="16" t="str">
        <f t="shared" si="5"/>
        <v>collected</v>
      </c>
      <c r="J160" s="16" t="str">
        <f t="shared" si="6"/>
        <v>N</v>
      </c>
      <c r="K160" s="16"/>
      <c r="L160" s="16"/>
    </row>
    <row r="161">
      <c r="A161" s="26" t="s">
        <v>356</v>
      </c>
      <c r="B161" s="10" t="str">
        <f t="shared" si="1"/>
        <v>fatty_acid</v>
      </c>
      <c r="C161" s="49" t="str">
        <f t="shared" si="2"/>
        <v>S5272FA1</v>
      </c>
      <c r="D161" s="6">
        <v>23.0</v>
      </c>
      <c r="E161" s="10" t="str">
        <f t="shared" si="3"/>
        <v>BFA23</v>
      </c>
      <c r="F161" s="13">
        <v>11.0</v>
      </c>
      <c r="G161" s="10" t="str">
        <f t="shared" si="4"/>
        <v>BFA23-11</v>
      </c>
      <c r="H161" s="6"/>
      <c r="I161" s="16" t="str">
        <f t="shared" si="5"/>
        <v>collected</v>
      </c>
      <c r="J161" s="16" t="str">
        <f t="shared" si="6"/>
        <v>N</v>
      </c>
      <c r="K161" s="16"/>
      <c r="L161" s="16"/>
    </row>
    <row r="162">
      <c r="A162" s="26" t="s">
        <v>359</v>
      </c>
      <c r="B162" s="10" t="str">
        <f t="shared" si="1"/>
        <v>fatty_acid</v>
      </c>
      <c r="C162" s="49" t="str">
        <f t="shared" si="2"/>
        <v>S5273FA1</v>
      </c>
      <c r="D162" s="6">
        <v>23.0</v>
      </c>
      <c r="E162" s="10" t="str">
        <f t="shared" si="3"/>
        <v>BFA23</v>
      </c>
      <c r="F162" s="13">
        <v>12.0</v>
      </c>
      <c r="G162" s="10" t="str">
        <f t="shared" si="4"/>
        <v>BFA23-12</v>
      </c>
      <c r="H162" s="6"/>
      <c r="I162" s="16" t="str">
        <f t="shared" si="5"/>
        <v>collected</v>
      </c>
      <c r="J162" s="16" t="str">
        <f t="shared" si="6"/>
        <v>N</v>
      </c>
      <c r="K162" s="16"/>
      <c r="L162" s="16"/>
    </row>
    <row r="163">
      <c r="A163" s="26" t="s">
        <v>360</v>
      </c>
      <c r="B163" s="10" t="str">
        <f t="shared" si="1"/>
        <v>fatty_acid</v>
      </c>
      <c r="C163" s="49" t="str">
        <f t="shared" si="2"/>
        <v>S5237FA1</v>
      </c>
      <c r="D163" s="6">
        <v>23.0</v>
      </c>
      <c r="E163" s="10" t="str">
        <f t="shared" si="3"/>
        <v>BFA23</v>
      </c>
      <c r="F163" s="13">
        <v>13.0</v>
      </c>
      <c r="G163" s="10" t="str">
        <f t="shared" si="4"/>
        <v>BFA23-13</v>
      </c>
      <c r="H163" s="6"/>
      <c r="I163" s="16" t="str">
        <f t="shared" si="5"/>
        <v>collected</v>
      </c>
      <c r="J163" s="16" t="str">
        <f t="shared" si="6"/>
        <v>N</v>
      </c>
      <c r="K163" s="16"/>
      <c r="L163" s="16"/>
    </row>
    <row r="164">
      <c r="A164" s="26" t="s">
        <v>361</v>
      </c>
      <c r="B164" s="10" t="str">
        <f t="shared" si="1"/>
        <v>fatty_acid</v>
      </c>
      <c r="C164" s="49" t="str">
        <f t="shared" si="2"/>
        <v>S5238FA1</v>
      </c>
      <c r="D164" s="6">
        <v>23.0</v>
      </c>
      <c r="E164" s="10" t="str">
        <f t="shared" si="3"/>
        <v>BFA23</v>
      </c>
      <c r="F164" s="13">
        <v>14.0</v>
      </c>
      <c r="G164" s="10" t="str">
        <f t="shared" si="4"/>
        <v>BFA23-14</v>
      </c>
      <c r="H164" s="6"/>
      <c r="I164" s="16" t="str">
        <f t="shared" si="5"/>
        <v>collected</v>
      </c>
      <c r="J164" s="16" t="str">
        <f t="shared" si="6"/>
        <v>N</v>
      </c>
      <c r="K164" s="16"/>
      <c r="L164" s="16"/>
    </row>
    <row r="165">
      <c r="A165" s="26" t="s">
        <v>362</v>
      </c>
      <c r="B165" s="10" t="str">
        <f t="shared" si="1"/>
        <v>fatty_acid</v>
      </c>
      <c r="C165" s="49" t="str">
        <f t="shared" si="2"/>
        <v>S5239FA1</v>
      </c>
      <c r="D165" s="6">
        <v>23.0</v>
      </c>
      <c r="E165" s="10" t="str">
        <f t="shared" si="3"/>
        <v>BFA23</v>
      </c>
      <c r="F165" s="13">
        <v>15.0</v>
      </c>
      <c r="G165" s="10" t="str">
        <f t="shared" si="4"/>
        <v>BFA23-15</v>
      </c>
      <c r="H165" s="6"/>
      <c r="I165" s="16" t="str">
        <f t="shared" si="5"/>
        <v>collected</v>
      </c>
      <c r="J165" s="16" t="str">
        <f t="shared" si="6"/>
        <v>N</v>
      </c>
      <c r="K165" s="16"/>
      <c r="L165" s="16"/>
    </row>
    <row r="166">
      <c r="A166" s="26" t="s">
        <v>365</v>
      </c>
      <c r="B166" s="10" t="str">
        <f t="shared" si="1"/>
        <v>fatty_acid</v>
      </c>
      <c r="C166" s="49" t="str">
        <f t="shared" si="2"/>
        <v>S5240FA1</v>
      </c>
      <c r="D166" s="6">
        <v>23.0</v>
      </c>
      <c r="E166" s="10" t="str">
        <f t="shared" si="3"/>
        <v>BFA23</v>
      </c>
      <c r="F166" s="13">
        <v>16.0</v>
      </c>
      <c r="G166" s="10" t="str">
        <f t="shared" si="4"/>
        <v>BFA23-16</v>
      </c>
      <c r="H166" s="6"/>
      <c r="I166" s="16" t="str">
        <f t="shared" si="5"/>
        <v>collected</v>
      </c>
      <c r="J166" s="16" t="str">
        <f t="shared" si="6"/>
        <v>N</v>
      </c>
      <c r="K166" s="16"/>
      <c r="L166" s="16"/>
    </row>
    <row r="167">
      <c r="A167" s="27" t="s">
        <v>367</v>
      </c>
      <c r="B167" s="10" t="str">
        <f t="shared" si="1"/>
        <v>fatty_acid</v>
      </c>
      <c r="C167" s="49" t="str">
        <f t="shared" si="2"/>
        <v>S5241FA1</v>
      </c>
      <c r="D167" s="6">
        <v>23.0</v>
      </c>
      <c r="E167" s="10" t="str">
        <f t="shared" si="3"/>
        <v>BFA23</v>
      </c>
      <c r="F167" s="13">
        <v>17.0</v>
      </c>
      <c r="G167" s="10" t="str">
        <f t="shared" si="4"/>
        <v>BFA23-17</v>
      </c>
      <c r="H167" s="6"/>
      <c r="I167" s="16" t="str">
        <f t="shared" si="5"/>
        <v>collected</v>
      </c>
      <c r="J167" s="16" t="str">
        <f t="shared" si="6"/>
        <v>N</v>
      </c>
      <c r="L167" s="16"/>
    </row>
    <row r="168">
      <c r="A168" s="27" t="s">
        <v>368</v>
      </c>
      <c r="B168" s="10" t="str">
        <f t="shared" si="1"/>
        <v>fatty_acid</v>
      </c>
      <c r="C168" s="49" t="str">
        <f t="shared" si="2"/>
        <v>S5242FA1</v>
      </c>
      <c r="D168" s="6">
        <v>23.0</v>
      </c>
      <c r="E168" s="10" t="str">
        <f t="shared" si="3"/>
        <v>BFA23</v>
      </c>
      <c r="F168" s="13">
        <v>18.0</v>
      </c>
      <c r="G168" s="10" t="str">
        <f t="shared" si="4"/>
        <v>BFA23-18</v>
      </c>
      <c r="H168" s="6"/>
      <c r="I168" s="16" t="str">
        <f t="shared" si="5"/>
        <v>collected</v>
      </c>
      <c r="J168" s="16" t="str">
        <f t="shared" si="6"/>
        <v>N</v>
      </c>
      <c r="L168" s="16"/>
    </row>
    <row r="169">
      <c r="A169" s="27" t="s">
        <v>369</v>
      </c>
      <c r="B169" s="10" t="str">
        <f t="shared" si="1"/>
        <v>fatty_acid</v>
      </c>
      <c r="C169" s="49" t="str">
        <f t="shared" si="2"/>
        <v>S5243FA1</v>
      </c>
      <c r="D169" s="6">
        <v>23.0</v>
      </c>
      <c r="E169" s="10" t="str">
        <f t="shared" si="3"/>
        <v>BFA23</v>
      </c>
      <c r="F169" s="13">
        <v>19.0</v>
      </c>
      <c r="G169" s="10" t="str">
        <f t="shared" si="4"/>
        <v>BFA23-19</v>
      </c>
      <c r="H169" s="6"/>
      <c r="I169" s="16" t="str">
        <f t="shared" si="5"/>
        <v>collected</v>
      </c>
      <c r="J169" s="16" t="str">
        <f t="shared" si="6"/>
        <v>N</v>
      </c>
      <c r="L169" s="16"/>
    </row>
    <row r="170">
      <c r="A170" s="27" t="s">
        <v>371</v>
      </c>
      <c r="B170" s="10" t="str">
        <f t="shared" si="1"/>
        <v>fatty_acid</v>
      </c>
      <c r="C170" s="49" t="str">
        <f t="shared" si="2"/>
        <v>S5244FA1</v>
      </c>
      <c r="D170" s="6">
        <v>23.0</v>
      </c>
      <c r="E170" s="10" t="str">
        <f t="shared" si="3"/>
        <v>BFA23</v>
      </c>
      <c r="F170" s="13">
        <v>20.0</v>
      </c>
      <c r="G170" s="10" t="str">
        <f t="shared" si="4"/>
        <v>BFA23-20</v>
      </c>
      <c r="H170" s="6"/>
      <c r="I170" s="16" t="str">
        <f t="shared" si="5"/>
        <v>collected</v>
      </c>
      <c r="J170" s="16" t="str">
        <f t="shared" si="6"/>
        <v>N</v>
      </c>
      <c r="L170" s="16"/>
    </row>
    <row r="171">
      <c r="A171" s="27" t="s">
        <v>373</v>
      </c>
      <c r="B171" s="10" t="str">
        <f t="shared" si="1"/>
        <v>fatty_acid</v>
      </c>
      <c r="C171" s="49" t="str">
        <f t="shared" si="2"/>
        <v>S5287FA1</v>
      </c>
      <c r="D171" s="6">
        <v>23.0</v>
      </c>
      <c r="E171" s="10" t="str">
        <f t="shared" si="3"/>
        <v>BFA23</v>
      </c>
      <c r="F171" s="13">
        <v>21.0</v>
      </c>
      <c r="G171" s="10" t="str">
        <f t="shared" si="4"/>
        <v>BFA23-21</v>
      </c>
      <c r="H171" s="6"/>
      <c r="I171" s="16" t="str">
        <f t="shared" si="5"/>
        <v>collected</v>
      </c>
      <c r="J171" s="16" t="str">
        <f t="shared" si="6"/>
        <v>N</v>
      </c>
      <c r="L171" s="16"/>
    </row>
    <row r="172">
      <c r="A172" s="27" t="s">
        <v>374</v>
      </c>
      <c r="B172" s="10" t="str">
        <f t="shared" si="1"/>
        <v>fatty_acid</v>
      </c>
      <c r="C172" s="49" t="str">
        <f t="shared" si="2"/>
        <v>S5288FA1</v>
      </c>
      <c r="D172" s="6">
        <v>23.0</v>
      </c>
      <c r="E172" s="10" t="str">
        <f t="shared" si="3"/>
        <v>BFA23</v>
      </c>
      <c r="F172" s="13">
        <v>22.0</v>
      </c>
      <c r="G172" s="10" t="str">
        <f t="shared" si="4"/>
        <v>BFA23-22</v>
      </c>
      <c r="H172" s="6"/>
      <c r="I172" s="16" t="str">
        <f t="shared" si="5"/>
        <v>collected</v>
      </c>
      <c r="J172" s="16" t="str">
        <f t="shared" si="6"/>
        <v>N</v>
      </c>
      <c r="L172" s="16"/>
    </row>
    <row r="173">
      <c r="A173" s="27" t="s">
        <v>375</v>
      </c>
      <c r="B173" s="10" t="str">
        <f t="shared" si="1"/>
        <v>fatty_acid</v>
      </c>
      <c r="C173" s="49" t="str">
        <f t="shared" si="2"/>
        <v>S5289FA1</v>
      </c>
      <c r="D173" s="6">
        <v>23.0</v>
      </c>
      <c r="E173" s="10" t="str">
        <f t="shared" si="3"/>
        <v>BFA23</v>
      </c>
      <c r="F173" s="13">
        <v>23.0</v>
      </c>
      <c r="G173" s="10" t="str">
        <f t="shared" si="4"/>
        <v>BFA23-23</v>
      </c>
      <c r="H173" s="6"/>
      <c r="I173" s="16" t="str">
        <f t="shared" si="5"/>
        <v>collected</v>
      </c>
      <c r="J173" s="16" t="str">
        <f t="shared" si="6"/>
        <v>N</v>
      </c>
      <c r="L173" s="16"/>
    </row>
    <row r="174">
      <c r="A174" s="27" t="s">
        <v>377</v>
      </c>
      <c r="B174" s="10" t="str">
        <f t="shared" si="1"/>
        <v>fatty_acid</v>
      </c>
      <c r="C174" s="49" t="str">
        <f t="shared" si="2"/>
        <v>S5290FA1</v>
      </c>
      <c r="D174" s="6">
        <v>23.0</v>
      </c>
      <c r="E174" s="10" t="str">
        <f t="shared" si="3"/>
        <v>BFA23</v>
      </c>
      <c r="F174" s="13">
        <v>24.0</v>
      </c>
      <c r="G174" s="10" t="str">
        <f t="shared" si="4"/>
        <v>BFA23-24</v>
      </c>
      <c r="H174" s="6"/>
      <c r="I174" s="16" t="str">
        <f t="shared" si="5"/>
        <v>collected</v>
      </c>
      <c r="J174" s="16" t="str">
        <f t="shared" si="6"/>
        <v>N</v>
      </c>
      <c r="L174" s="16"/>
    </row>
    <row r="175">
      <c r="A175" s="6" t="s">
        <v>382</v>
      </c>
      <c r="B175" s="10" t="str">
        <f t="shared" si="1"/>
        <v>fatty_acid</v>
      </c>
      <c r="C175" s="49" t="str">
        <f t="shared" si="2"/>
        <v>S5291FA1</v>
      </c>
      <c r="D175" s="6">
        <v>23.0</v>
      </c>
      <c r="E175" s="10" t="str">
        <f t="shared" si="3"/>
        <v>BFA23</v>
      </c>
      <c r="F175" s="13">
        <v>25.0</v>
      </c>
      <c r="G175" s="10" t="str">
        <f t="shared" si="4"/>
        <v>BFA23-25</v>
      </c>
      <c r="H175" s="6"/>
      <c r="I175" s="16" t="str">
        <f t="shared" si="5"/>
        <v>collected</v>
      </c>
      <c r="J175" s="16" t="str">
        <f t="shared" si="6"/>
        <v>N</v>
      </c>
      <c r="L175" s="16"/>
    </row>
    <row r="176">
      <c r="A176" s="6" t="s">
        <v>384</v>
      </c>
      <c r="B176" s="10" t="str">
        <f t="shared" si="1"/>
        <v>fatty_acid</v>
      </c>
      <c r="C176" s="49" t="str">
        <f t="shared" si="2"/>
        <v>S5292FA1</v>
      </c>
      <c r="D176" s="6">
        <v>23.0</v>
      </c>
      <c r="E176" s="10" t="str">
        <f t="shared" si="3"/>
        <v>BFA23</v>
      </c>
      <c r="F176" s="13">
        <v>26.0</v>
      </c>
      <c r="G176" s="10" t="str">
        <f t="shared" si="4"/>
        <v>BFA23-26</v>
      </c>
      <c r="H176" s="16"/>
      <c r="I176" s="16" t="str">
        <f t="shared" si="5"/>
        <v>collected</v>
      </c>
      <c r="J176" s="16" t="str">
        <f t="shared" si="6"/>
        <v>N</v>
      </c>
      <c r="L176" s="16"/>
    </row>
    <row r="177">
      <c r="A177" s="6" t="s">
        <v>387</v>
      </c>
      <c r="B177" s="10" t="str">
        <f t="shared" si="1"/>
        <v>fatty_acid</v>
      </c>
      <c r="C177" s="49" t="str">
        <f t="shared" si="2"/>
        <v>S5293FA1</v>
      </c>
      <c r="D177" s="6">
        <v>23.0</v>
      </c>
      <c r="E177" s="10" t="str">
        <f t="shared" si="3"/>
        <v>BFA23</v>
      </c>
      <c r="F177" s="13">
        <v>27.0</v>
      </c>
      <c r="G177" s="10" t="str">
        <f t="shared" si="4"/>
        <v>BFA23-27</v>
      </c>
      <c r="H177" s="16"/>
      <c r="I177" s="16" t="str">
        <f t="shared" si="5"/>
        <v>collected</v>
      </c>
      <c r="J177" s="16" t="str">
        <f t="shared" si="6"/>
        <v>N</v>
      </c>
      <c r="L177" s="16"/>
    </row>
    <row r="178">
      <c r="A178" s="6" t="s">
        <v>389</v>
      </c>
      <c r="B178" s="10" t="str">
        <f t="shared" si="1"/>
        <v>fatty_acid</v>
      </c>
      <c r="C178" s="49" t="str">
        <f t="shared" si="2"/>
        <v>S5294FA1</v>
      </c>
      <c r="D178" s="6">
        <v>23.0</v>
      </c>
      <c r="E178" s="10" t="str">
        <f t="shared" si="3"/>
        <v>BFA23</v>
      </c>
      <c r="F178" s="13">
        <v>28.0</v>
      </c>
      <c r="G178" s="10" t="str">
        <f t="shared" si="4"/>
        <v>BFA23-28</v>
      </c>
      <c r="H178" s="16"/>
      <c r="I178" s="16" t="str">
        <f t="shared" si="5"/>
        <v>collected</v>
      </c>
      <c r="J178" s="16" t="str">
        <f t="shared" si="6"/>
        <v>N</v>
      </c>
      <c r="L178" s="16"/>
    </row>
    <row r="179">
      <c r="A179" s="6" t="s">
        <v>391</v>
      </c>
      <c r="B179" s="10" t="str">
        <f t="shared" si="1"/>
        <v>fatty_acid</v>
      </c>
      <c r="C179" s="49" t="str">
        <f t="shared" si="2"/>
        <v>S5295FA1</v>
      </c>
      <c r="D179" s="6">
        <v>23.0</v>
      </c>
      <c r="E179" s="10" t="str">
        <f t="shared" si="3"/>
        <v>BFA23</v>
      </c>
      <c r="F179" s="13">
        <v>29.0</v>
      </c>
      <c r="G179" s="10" t="str">
        <f t="shared" si="4"/>
        <v>BFA23-29</v>
      </c>
      <c r="H179" s="16"/>
      <c r="I179" s="16" t="str">
        <f t="shared" si="5"/>
        <v>collected</v>
      </c>
      <c r="J179" s="16" t="str">
        <f t="shared" si="6"/>
        <v>N</v>
      </c>
      <c r="L179" s="16"/>
    </row>
    <row r="180">
      <c r="A180" s="6" t="s">
        <v>392</v>
      </c>
      <c r="B180" s="10" t="str">
        <f t="shared" si="1"/>
        <v>fatty_acid</v>
      </c>
      <c r="C180" s="49" t="str">
        <f t="shared" si="2"/>
        <v>S5296FA1</v>
      </c>
      <c r="D180" s="6">
        <v>23.0</v>
      </c>
      <c r="E180" s="10" t="str">
        <f t="shared" si="3"/>
        <v>BFA23</v>
      </c>
      <c r="F180" s="13">
        <v>30.0</v>
      </c>
      <c r="G180" s="10" t="str">
        <f t="shared" si="4"/>
        <v>BFA23-30</v>
      </c>
      <c r="H180" s="16"/>
      <c r="I180" s="16" t="str">
        <f t="shared" si="5"/>
        <v>collected</v>
      </c>
      <c r="J180" s="16" t="str">
        <f t="shared" si="6"/>
        <v>N</v>
      </c>
      <c r="L180" s="16"/>
    </row>
    <row r="181">
      <c r="A181" s="6" t="s">
        <v>394</v>
      </c>
      <c r="B181" s="10" t="str">
        <f t="shared" si="1"/>
        <v>fatty_acid</v>
      </c>
      <c r="C181" s="49" t="str">
        <f t="shared" si="2"/>
        <v>S5258FA1</v>
      </c>
      <c r="D181" s="6">
        <v>21.0</v>
      </c>
      <c r="E181" s="10" t="str">
        <f t="shared" si="3"/>
        <v>BFA21</v>
      </c>
      <c r="F181" s="13">
        <v>49.0</v>
      </c>
      <c r="G181" s="10" t="str">
        <f t="shared" si="4"/>
        <v>BFA21-49</v>
      </c>
      <c r="H181" s="16"/>
      <c r="I181" s="16" t="str">
        <f t="shared" si="5"/>
        <v>collected</v>
      </c>
      <c r="J181" s="16" t="str">
        <f t="shared" si="6"/>
        <v>N</v>
      </c>
      <c r="L181" s="16"/>
    </row>
    <row r="182">
      <c r="A182" s="26" t="s">
        <v>395</v>
      </c>
      <c r="B182" s="10" t="str">
        <f t="shared" si="1"/>
        <v>fatty_acid</v>
      </c>
      <c r="C182" s="49" t="str">
        <f t="shared" si="2"/>
        <v>S5259FA1</v>
      </c>
      <c r="D182" s="6">
        <v>21.0</v>
      </c>
      <c r="E182" s="10" t="str">
        <f t="shared" si="3"/>
        <v>BFA21</v>
      </c>
      <c r="F182" s="13">
        <v>50.0</v>
      </c>
      <c r="G182" s="10" t="str">
        <f t="shared" si="4"/>
        <v>BFA21-50</v>
      </c>
      <c r="H182" s="16"/>
      <c r="I182" s="16" t="str">
        <f t="shared" si="5"/>
        <v>collected</v>
      </c>
      <c r="J182" s="16" t="str">
        <f t="shared" si="6"/>
        <v>N</v>
      </c>
      <c r="L182" s="16"/>
    </row>
    <row r="183">
      <c r="A183" s="26" t="s">
        <v>396</v>
      </c>
      <c r="B183" s="10" t="str">
        <f t="shared" si="1"/>
        <v>fatty_acid</v>
      </c>
      <c r="C183" s="49" t="str">
        <f t="shared" si="2"/>
        <v>S5260FA1</v>
      </c>
      <c r="D183" s="6">
        <v>21.0</v>
      </c>
      <c r="E183" s="10" t="str">
        <f t="shared" si="3"/>
        <v>BFA21</v>
      </c>
      <c r="F183" s="13">
        <v>51.0</v>
      </c>
      <c r="G183" s="10" t="str">
        <f t="shared" si="4"/>
        <v>BFA21-51</v>
      </c>
      <c r="H183" s="16"/>
      <c r="I183" s="16" t="str">
        <f t="shared" si="5"/>
        <v>collected</v>
      </c>
      <c r="J183" s="16" t="str">
        <f t="shared" si="6"/>
        <v>N</v>
      </c>
      <c r="L183" s="16"/>
    </row>
    <row r="184">
      <c r="A184" s="26" t="s">
        <v>397</v>
      </c>
      <c r="B184" s="10" t="str">
        <f t="shared" si="1"/>
        <v>fatty_acid</v>
      </c>
      <c r="C184" s="49" t="str">
        <f t="shared" si="2"/>
        <v>S5261FA1</v>
      </c>
      <c r="D184" s="6">
        <v>21.0</v>
      </c>
      <c r="E184" s="10" t="str">
        <f t="shared" si="3"/>
        <v>BFA21</v>
      </c>
      <c r="F184" s="13">
        <v>52.0</v>
      </c>
      <c r="G184" s="10" t="str">
        <f t="shared" si="4"/>
        <v>BFA21-52</v>
      </c>
      <c r="H184" s="16"/>
      <c r="I184" s="16" t="str">
        <f t="shared" si="5"/>
        <v>collected</v>
      </c>
      <c r="J184" s="16" t="str">
        <f t="shared" si="6"/>
        <v>N</v>
      </c>
      <c r="L184" s="16"/>
    </row>
    <row r="185">
      <c r="A185" s="26" t="s">
        <v>400</v>
      </c>
      <c r="B185" s="10" t="str">
        <f t="shared" si="1"/>
        <v>fatty_acid</v>
      </c>
      <c r="C185" s="49" t="str">
        <f t="shared" si="2"/>
        <v>S5274FA1</v>
      </c>
      <c r="D185" s="6">
        <v>21.0</v>
      </c>
      <c r="E185" s="10" t="str">
        <f t="shared" si="3"/>
        <v>BFA21</v>
      </c>
      <c r="F185" s="13">
        <v>53.0</v>
      </c>
      <c r="G185" s="10" t="str">
        <f t="shared" si="4"/>
        <v>BFA21-53</v>
      </c>
      <c r="H185" s="16"/>
      <c r="I185" s="16" t="str">
        <f t="shared" si="5"/>
        <v>collected</v>
      </c>
      <c r="J185" s="16" t="str">
        <f t="shared" si="6"/>
        <v>N</v>
      </c>
      <c r="L185" s="16"/>
    </row>
    <row r="186">
      <c r="A186" s="26" t="s">
        <v>401</v>
      </c>
      <c r="B186" s="10" t="str">
        <f t="shared" si="1"/>
        <v>fatty_acid</v>
      </c>
      <c r="C186" s="49" t="str">
        <f t="shared" si="2"/>
        <v>S5275FA1</v>
      </c>
      <c r="D186" s="6">
        <v>21.0</v>
      </c>
      <c r="E186" s="10" t="str">
        <f t="shared" si="3"/>
        <v>BFA21</v>
      </c>
      <c r="F186" s="13">
        <v>54.0</v>
      </c>
      <c r="G186" s="10" t="str">
        <f t="shared" si="4"/>
        <v>BFA21-54</v>
      </c>
      <c r="H186" s="16"/>
      <c r="I186" s="16" t="str">
        <f t="shared" si="5"/>
        <v>collected</v>
      </c>
      <c r="J186" s="16" t="str">
        <f t="shared" si="6"/>
        <v>N</v>
      </c>
      <c r="L186" s="16"/>
    </row>
    <row r="187">
      <c r="A187" s="26" t="s">
        <v>402</v>
      </c>
      <c r="B187" s="10" t="str">
        <f t="shared" si="1"/>
        <v>fatty_acid</v>
      </c>
      <c r="C187" s="49" t="str">
        <f t="shared" si="2"/>
        <v>S5276FA1</v>
      </c>
      <c r="D187" s="6">
        <v>21.0</v>
      </c>
      <c r="E187" s="10" t="str">
        <f t="shared" si="3"/>
        <v>BFA21</v>
      </c>
      <c r="F187" s="13">
        <v>55.0</v>
      </c>
      <c r="G187" s="10" t="str">
        <f t="shared" si="4"/>
        <v>BFA21-55</v>
      </c>
      <c r="H187" s="16"/>
      <c r="I187" s="16" t="str">
        <f t="shared" si="5"/>
        <v>collected</v>
      </c>
      <c r="J187" s="16" t="str">
        <f t="shared" si="6"/>
        <v>N</v>
      </c>
      <c r="L187" s="16"/>
    </row>
    <row r="188">
      <c r="A188" s="26" t="s">
        <v>404</v>
      </c>
      <c r="B188" s="10" t="str">
        <f t="shared" si="1"/>
        <v>fatty_acid</v>
      </c>
      <c r="C188" s="49" t="str">
        <f t="shared" si="2"/>
        <v>S5277FA1</v>
      </c>
      <c r="D188" s="6">
        <v>21.0</v>
      </c>
      <c r="E188" s="10" t="str">
        <f t="shared" si="3"/>
        <v>BFA21</v>
      </c>
      <c r="F188" s="13">
        <v>57.0</v>
      </c>
      <c r="G188" s="10" t="str">
        <f t="shared" si="4"/>
        <v>BFA21-57</v>
      </c>
      <c r="H188" s="16"/>
      <c r="I188" s="16" t="str">
        <f t="shared" si="5"/>
        <v>collected</v>
      </c>
      <c r="J188" s="16" t="str">
        <f t="shared" si="6"/>
        <v>N</v>
      </c>
      <c r="L188" s="16"/>
    </row>
    <row r="189">
      <c r="A189" s="26" t="s">
        <v>405</v>
      </c>
      <c r="B189" s="10" t="str">
        <f t="shared" si="1"/>
        <v>fatty_acid</v>
      </c>
      <c r="C189" s="49" t="str">
        <f t="shared" si="2"/>
        <v>S5278FA1</v>
      </c>
      <c r="D189" s="6">
        <v>21.0</v>
      </c>
      <c r="E189" s="10" t="str">
        <f t="shared" si="3"/>
        <v>BFA21</v>
      </c>
      <c r="F189" s="13">
        <v>58.0</v>
      </c>
      <c r="G189" s="10" t="str">
        <f t="shared" si="4"/>
        <v>BFA21-58</v>
      </c>
      <c r="H189" s="16"/>
      <c r="I189" s="16" t="str">
        <f t="shared" si="5"/>
        <v>collected</v>
      </c>
      <c r="J189" s="16" t="str">
        <f t="shared" si="6"/>
        <v>N</v>
      </c>
      <c r="L189" s="16"/>
    </row>
    <row r="190">
      <c r="A190" s="26" t="s">
        <v>408</v>
      </c>
      <c r="B190" s="10" t="str">
        <f t="shared" si="1"/>
        <v>fatty_acid</v>
      </c>
      <c r="C190" s="49" t="str">
        <f t="shared" si="2"/>
        <v>S5279FA1</v>
      </c>
      <c r="D190" s="6">
        <v>21.0</v>
      </c>
      <c r="E190" s="10" t="str">
        <f t="shared" si="3"/>
        <v>BFA21</v>
      </c>
      <c r="F190" s="13">
        <v>59.0</v>
      </c>
      <c r="G190" s="10" t="str">
        <f t="shared" si="4"/>
        <v>BFA21-59</v>
      </c>
      <c r="H190" s="16"/>
      <c r="I190" s="16" t="str">
        <f t="shared" si="5"/>
        <v>collected</v>
      </c>
      <c r="J190" s="16" t="str">
        <f t="shared" si="6"/>
        <v>N</v>
      </c>
      <c r="L190" s="16"/>
    </row>
    <row r="191">
      <c r="A191" s="6" t="s">
        <v>409</v>
      </c>
      <c r="B191" s="10" t="str">
        <f t="shared" si="1"/>
        <v>fatty_acid</v>
      </c>
      <c r="C191" s="49" t="str">
        <f t="shared" si="2"/>
        <v>S5280FA1</v>
      </c>
      <c r="D191" s="6">
        <v>21.0</v>
      </c>
      <c r="E191" s="10" t="str">
        <f t="shared" si="3"/>
        <v>BFA21</v>
      </c>
      <c r="F191" s="13">
        <v>60.0</v>
      </c>
      <c r="G191" s="10" t="str">
        <f t="shared" si="4"/>
        <v>BFA21-60</v>
      </c>
      <c r="H191" s="16"/>
      <c r="I191" s="16" t="str">
        <f t="shared" si="5"/>
        <v>collected</v>
      </c>
      <c r="J191" s="16" t="str">
        <f t="shared" si="6"/>
        <v>N</v>
      </c>
      <c r="L191" s="16"/>
    </row>
    <row r="192">
      <c r="A192" s="6" t="s">
        <v>410</v>
      </c>
      <c r="B192" s="10" t="str">
        <f t="shared" si="1"/>
        <v>fatty_acid</v>
      </c>
      <c r="C192" s="49" t="str">
        <f t="shared" si="2"/>
        <v>S5281FA1</v>
      </c>
      <c r="D192" s="6">
        <v>21.0</v>
      </c>
      <c r="E192" s="10" t="str">
        <f t="shared" si="3"/>
        <v>BFA21</v>
      </c>
      <c r="F192" s="13">
        <v>71.0</v>
      </c>
      <c r="G192" s="10" t="str">
        <f t="shared" si="4"/>
        <v>BFA21-71</v>
      </c>
      <c r="H192" s="16"/>
      <c r="I192" s="16" t="str">
        <f t="shared" si="5"/>
        <v>collected</v>
      </c>
      <c r="J192" s="16" t="str">
        <f t="shared" si="6"/>
        <v>N</v>
      </c>
      <c r="L192" s="16"/>
    </row>
    <row r="193">
      <c r="A193" s="26" t="s">
        <v>412</v>
      </c>
      <c r="B193" s="10" t="str">
        <f t="shared" si="1"/>
        <v>fatty_acid</v>
      </c>
      <c r="C193" s="49" t="str">
        <f t="shared" si="2"/>
        <v>S5282FA1</v>
      </c>
      <c r="D193" s="6">
        <v>21.0</v>
      </c>
      <c r="E193" s="10" t="str">
        <f t="shared" si="3"/>
        <v>BFA21</v>
      </c>
      <c r="F193" s="13">
        <v>72.0</v>
      </c>
      <c r="G193" s="10" t="str">
        <f t="shared" si="4"/>
        <v>BFA21-72</v>
      </c>
      <c r="H193" s="16"/>
      <c r="I193" s="16" t="str">
        <f t="shared" si="5"/>
        <v>collected</v>
      </c>
      <c r="J193" s="16" t="str">
        <f t="shared" si="6"/>
        <v>N</v>
      </c>
      <c r="L193" s="16"/>
    </row>
    <row r="194">
      <c r="A194" s="26" t="s">
        <v>413</v>
      </c>
      <c r="B194" s="10" t="str">
        <f t="shared" si="1"/>
        <v>fatty_acid</v>
      </c>
      <c r="C194" s="49" t="str">
        <f t="shared" si="2"/>
        <v>S5283FA1</v>
      </c>
      <c r="D194" s="6">
        <v>21.0</v>
      </c>
      <c r="E194" s="10" t="str">
        <f t="shared" si="3"/>
        <v>BFA21</v>
      </c>
      <c r="F194" s="13">
        <v>73.0</v>
      </c>
      <c r="G194" s="10" t="str">
        <f t="shared" si="4"/>
        <v>BFA21-73</v>
      </c>
      <c r="H194" s="16"/>
      <c r="I194" s="16" t="str">
        <f t="shared" si="5"/>
        <v>collected</v>
      </c>
      <c r="J194" s="16" t="str">
        <f t="shared" si="6"/>
        <v>N</v>
      </c>
      <c r="L194" s="16"/>
    </row>
    <row r="195">
      <c r="A195" s="26" t="s">
        <v>415</v>
      </c>
      <c r="B195" s="10" t="str">
        <f t="shared" si="1"/>
        <v>fatty_acid</v>
      </c>
      <c r="C195" s="49" t="str">
        <f t="shared" si="2"/>
        <v>S5284FA1</v>
      </c>
      <c r="D195" s="6">
        <v>21.0</v>
      </c>
      <c r="E195" s="10" t="str">
        <f t="shared" si="3"/>
        <v>BFA21</v>
      </c>
      <c r="F195" s="13">
        <v>74.0</v>
      </c>
      <c r="G195" s="10" t="str">
        <f t="shared" si="4"/>
        <v>BFA21-74</v>
      </c>
      <c r="H195" s="16"/>
      <c r="I195" s="16" t="str">
        <f t="shared" si="5"/>
        <v>collected</v>
      </c>
      <c r="J195" s="16" t="str">
        <f t="shared" si="6"/>
        <v>N</v>
      </c>
      <c r="L195" s="16"/>
    </row>
    <row r="196">
      <c r="A196" s="26" t="s">
        <v>417</v>
      </c>
      <c r="B196" s="10" t="str">
        <f t="shared" si="1"/>
        <v>fatty_acid</v>
      </c>
      <c r="C196" s="49" t="str">
        <f t="shared" si="2"/>
        <v>S5285FA1</v>
      </c>
      <c r="D196" s="6">
        <v>21.0</v>
      </c>
      <c r="E196" s="10" t="str">
        <f t="shared" si="3"/>
        <v>BFA21</v>
      </c>
      <c r="F196" s="13">
        <v>75.0</v>
      </c>
      <c r="G196" s="10" t="str">
        <f t="shared" si="4"/>
        <v>BFA21-75</v>
      </c>
      <c r="H196" s="16"/>
      <c r="I196" s="16" t="str">
        <f t="shared" si="5"/>
        <v>collected</v>
      </c>
      <c r="J196" s="16" t="str">
        <f t="shared" si="6"/>
        <v>N</v>
      </c>
      <c r="L196" s="16"/>
    </row>
    <row r="197">
      <c r="A197" s="26" t="s">
        <v>419</v>
      </c>
      <c r="B197" s="10" t="str">
        <f t="shared" si="1"/>
        <v>fatty_acid</v>
      </c>
      <c r="C197" s="49" t="str">
        <f t="shared" si="2"/>
        <v>S5286FA1</v>
      </c>
      <c r="D197" s="6">
        <v>21.0</v>
      </c>
      <c r="E197" s="10" t="str">
        <f t="shared" si="3"/>
        <v>BFA21</v>
      </c>
      <c r="F197" s="13">
        <v>77.0</v>
      </c>
      <c r="G197" s="10" t="str">
        <f t="shared" si="4"/>
        <v>BFA21-77</v>
      </c>
      <c r="H197" s="16"/>
      <c r="I197" s="16" t="str">
        <f t="shared" si="5"/>
        <v>collected</v>
      </c>
      <c r="J197" s="16" t="str">
        <f t="shared" si="6"/>
        <v>N</v>
      </c>
      <c r="L197" s="16"/>
    </row>
    <row r="198">
      <c r="A198" s="26" t="s">
        <v>421</v>
      </c>
      <c r="B198" s="10" t="str">
        <f t="shared" si="1"/>
        <v>fatty_acid</v>
      </c>
      <c r="C198" s="49" t="str">
        <f t="shared" si="2"/>
        <v>S5337FA1</v>
      </c>
      <c r="D198" s="6">
        <v>21.0</v>
      </c>
      <c r="E198" s="10" t="str">
        <f t="shared" si="3"/>
        <v>BFA21</v>
      </c>
      <c r="F198" s="13">
        <v>78.0</v>
      </c>
      <c r="G198" s="10" t="str">
        <f t="shared" si="4"/>
        <v>BFA21-78</v>
      </c>
      <c r="H198" s="16"/>
      <c r="I198" s="16" t="str">
        <f t="shared" si="5"/>
        <v>collected</v>
      </c>
      <c r="J198" s="16" t="str">
        <f t="shared" si="6"/>
        <v>N</v>
      </c>
      <c r="L198" s="16"/>
    </row>
    <row r="199">
      <c r="A199" s="26" t="s">
        <v>422</v>
      </c>
      <c r="B199" s="10" t="str">
        <f t="shared" si="1"/>
        <v>fatty_acid</v>
      </c>
      <c r="C199" s="49" t="str">
        <f t="shared" si="2"/>
        <v>S5338FA1</v>
      </c>
      <c r="D199" s="6">
        <v>21.0</v>
      </c>
      <c r="E199" s="10" t="str">
        <f t="shared" si="3"/>
        <v>BFA21</v>
      </c>
      <c r="F199" s="13">
        <v>79.0</v>
      </c>
      <c r="G199" s="10" t="str">
        <f t="shared" si="4"/>
        <v>BFA21-79</v>
      </c>
      <c r="H199" s="16"/>
      <c r="I199" s="16" t="str">
        <f t="shared" si="5"/>
        <v>collected</v>
      </c>
      <c r="J199" s="16" t="str">
        <f t="shared" si="6"/>
        <v>N</v>
      </c>
      <c r="L199" s="16"/>
    </row>
    <row r="200">
      <c r="A200" s="26" t="s">
        <v>423</v>
      </c>
      <c r="B200" s="10" t="str">
        <f t="shared" si="1"/>
        <v>fatty_acid</v>
      </c>
      <c r="C200" s="49" t="str">
        <f t="shared" si="2"/>
        <v>S5339FA1</v>
      </c>
      <c r="D200" s="6">
        <v>21.0</v>
      </c>
      <c r="E200" s="10" t="str">
        <f t="shared" si="3"/>
        <v>BFA21</v>
      </c>
      <c r="F200" s="13">
        <v>80.0</v>
      </c>
      <c r="G200" s="10" t="str">
        <f t="shared" si="4"/>
        <v>BFA21-80</v>
      </c>
      <c r="H200" s="16"/>
      <c r="I200" s="16" t="str">
        <f t="shared" si="5"/>
        <v>collected</v>
      </c>
      <c r="J200" s="16" t="str">
        <f t="shared" si="6"/>
        <v>N</v>
      </c>
      <c r="L200" s="16"/>
    </row>
    <row r="201">
      <c r="A201" s="26" t="s">
        <v>427</v>
      </c>
      <c r="B201" s="10" t="str">
        <f t="shared" si="1"/>
        <v>fatty_acid</v>
      </c>
      <c r="C201" s="49" t="str">
        <f t="shared" si="2"/>
        <v>S5340FA1</v>
      </c>
      <c r="D201" s="6">
        <v>21.0</v>
      </c>
      <c r="E201" s="10" t="str">
        <f t="shared" si="3"/>
        <v>BFA21</v>
      </c>
      <c r="F201" s="13">
        <v>81.0</v>
      </c>
      <c r="G201" s="10" t="str">
        <f t="shared" si="4"/>
        <v>BFA21-81</v>
      </c>
      <c r="H201" s="16"/>
      <c r="I201" s="16" t="str">
        <f t="shared" si="5"/>
        <v>collected</v>
      </c>
      <c r="J201" s="16" t="str">
        <f t="shared" si="6"/>
        <v>N</v>
      </c>
      <c r="L201" s="16"/>
    </row>
    <row r="202">
      <c r="A202" s="26" t="s">
        <v>428</v>
      </c>
      <c r="B202" s="10" t="str">
        <f t="shared" si="1"/>
        <v>fatty_acid</v>
      </c>
      <c r="C202" s="49" t="str">
        <f t="shared" si="2"/>
        <v>S5297FA1</v>
      </c>
      <c r="D202" s="6">
        <v>23.0</v>
      </c>
      <c r="E202" s="10" t="str">
        <f t="shared" si="3"/>
        <v>BFA23</v>
      </c>
      <c r="F202" s="13">
        <v>31.0</v>
      </c>
      <c r="G202" s="10" t="str">
        <f t="shared" si="4"/>
        <v>BFA23-31</v>
      </c>
      <c r="H202" s="16"/>
      <c r="I202" s="16" t="str">
        <f t="shared" si="5"/>
        <v>collected</v>
      </c>
      <c r="J202" s="16" t="str">
        <f t="shared" si="6"/>
        <v>N</v>
      </c>
      <c r="L202" s="16"/>
    </row>
    <row r="203">
      <c r="A203" s="26" t="s">
        <v>430</v>
      </c>
      <c r="B203" s="10" t="str">
        <f t="shared" si="1"/>
        <v>fatty_acid</v>
      </c>
      <c r="C203" s="49" t="str">
        <f t="shared" si="2"/>
        <v>S5298FA1</v>
      </c>
      <c r="D203" s="6">
        <v>23.0</v>
      </c>
      <c r="E203" s="10" t="str">
        <f t="shared" si="3"/>
        <v>BFA23</v>
      </c>
      <c r="F203" s="13">
        <v>32.0</v>
      </c>
      <c r="G203" s="10" t="str">
        <f t="shared" si="4"/>
        <v>BFA23-32</v>
      </c>
      <c r="H203" s="16"/>
      <c r="I203" s="16" t="str">
        <f t="shared" si="5"/>
        <v>collected</v>
      </c>
      <c r="J203" s="16" t="str">
        <f t="shared" si="6"/>
        <v>N</v>
      </c>
      <c r="L203" s="16"/>
    </row>
    <row r="204">
      <c r="A204" s="26" t="s">
        <v>431</v>
      </c>
      <c r="B204" s="10" t="str">
        <f t="shared" si="1"/>
        <v>fatty_acid</v>
      </c>
      <c r="C204" s="49" t="str">
        <f t="shared" si="2"/>
        <v>S5299FA1</v>
      </c>
      <c r="D204" s="6">
        <v>23.0</v>
      </c>
      <c r="E204" s="10" t="str">
        <f t="shared" si="3"/>
        <v>BFA23</v>
      </c>
      <c r="F204" s="13">
        <v>33.0</v>
      </c>
      <c r="G204" s="10" t="str">
        <f t="shared" si="4"/>
        <v>BFA23-33</v>
      </c>
      <c r="H204" s="16"/>
      <c r="I204" s="16" t="str">
        <f t="shared" si="5"/>
        <v>collected</v>
      </c>
      <c r="J204" s="16" t="str">
        <f t="shared" si="6"/>
        <v>N</v>
      </c>
      <c r="L204" s="16"/>
    </row>
    <row r="205">
      <c r="A205" s="28" t="s">
        <v>432</v>
      </c>
      <c r="B205" s="10" t="str">
        <f t="shared" si="1"/>
        <v>fatty_acid</v>
      </c>
      <c r="C205" s="49" t="str">
        <f t="shared" si="2"/>
        <v>S5300FA1</v>
      </c>
      <c r="D205" s="6">
        <v>23.0</v>
      </c>
      <c r="E205" s="10" t="str">
        <f t="shared" si="3"/>
        <v>BFA23</v>
      </c>
      <c r="F205" s="13">
        <v>34.0</v>
      </c>
      <c r="G205" s="10" t="str">
        <f t="shared" si="4"/>
        <v>BFA23-34</v>
      </c>
      <c r="H205" s="6"/>
      <c r="I205" s="16" t="str">
        <f t="shared" si="5"/>
        <v>collected</v>
      </c>
      <c r="J205" s="16" t="str">
        <f t="shared" si="6"/>
        <v>N</v>
      </c>
      <c r="L205" s="16"/>
    </row>
    <row r="206">
      <c r="A206" s="28" t="s">
        <v>435</v>
      </c>
      <c r="B206" s="10" t="str">
        <f t="shared" si="1"/>
        <v>fatty_acid</v>
      </c>
      <c r="C206" s="49" t="str">
        <f t="shared" si="2"/>
        <v>S5301FA1</v>
      </c>
      <c r="D206" s="6">
        <v>23.0</v>
      </c>
      <c r="E206" s="10" t="str">
        <f t="shared" si="3"/>
        <v>BFA23</v>
      </c>
      <c r="F206" s="13">
        <v>35.0</v>
      </c>
      <c r="G206" s="10" t="str">
        <f t="shared" si="4"/>
        <v>BFA23-35</v>
      </c>
      <c r="H206" s="6"/>
      <c r="I206" s="16" t="str">
        <f t="shared" si="5"/>
        <v>collected</v>
      </c>
      <c r="J206" s="16" t="str">
        <f t="shared" si="6"/>
        <v>N</v>
      </c>
      <c r="L206" s="16"/>
    </row>
    <row r="207">
      <c r="A207" s="28" t="s">
        <v>436</v>
      </c>
      <c r="B207" s="10" t="str">
        <f t="shared" si="1"/>
        <v>fatty_acid</v>
      </c>
      <c r="C207" s="49" t="str">
        <f t="shared" si="2"/>
        <v>S5327FA1</v>
      </c>
      <c r="D207" s="6">
        <v>23.0</v>
      </c>
      <c r="E207" s="10" t="str">
        <f t="shared" si="3"/>
        <v>BFA23</v>
      </c>
      <c r="F207" s="13">
        <v>36.0</v>
      </c>
      <c r="G207" s="10" t="str">
        <f t="shared" si="4"/>
        <v>BFA23-36</v>
      </c>
      <c r="H207" s="6"/>
      <c r="I207" s="16" t="str">
        <f t="shared" si="5"/>
        <v>collected</v>
      </c>
      <c r="J207" s="16" t="str">
        <f t="shared" si="6"/>
        <v>N</v>
      </c>
      <c r="L207" s="16"/>
    </row>
    <row r="208">
      <c r="A208" s="28" t="s">
        <v>438</v>
      </c>
      <c r="B208" s="10" t="str">
        <f t="shared" si="1"/>
        <v>fatty_acid</v>
      </c>
      <c r="C208" s="49" t="str">
        <f t="shared" si="2"/>
        <v>S5328FA1</v>
      </c>
      <c r="D208" s="6">
        <v>23.0</v>
      </c>
      <c r="E208" s="10" t="str">
        <f t="shared" si="3"/>
        <v>BFA23</v>
      </c>
      <c r="F208" s="13">
        <v>37.0</v>
      </c>
      <c r="G208" s="10" t="str">
        <f t="shared" si="4"/>
        <v>BFA23-37</v>
      </c>
      <c r="H208" s="6"/>
      <c r="I208" s="16" t="str">
        <f t="shared" si="5"/>
        <v>collected</v>
      </c>
      <c r="J208" s="16" t="str">
        <f t="shared" si="6"/>
        <v>N</v>
      </c>
      <c r="L208" s="16"/>
    </row>
    <row r="209">
      <c r="A209" s="28" t="s">
        <v>440</v>
      </c>
      <c r="B209" s="10" t="str">
        <f t="shared" si="1"/>
        <v>fatty_acid</v>
      </c>
      <c r="C209" s="49" t="str">
        <f t="shared" si="2"/>
        <v>S5329FA1</v>
      </c>
      <c r="D209" s="6">
        <v>23.0</v>
      </c>
      <c r="E209" s="10" t="str">
        <f t="shared" si="3"/>
        <v>BFA23</v>
      </c>
      <c r="F209" s="13">
        <v>38.0</v>
      </c>
      <c r="G209" s="10" t="str">
        <f t="shared" si="4"/>
        <v>BFA23-38</v>
      </c>
      <c r="H209" s="6"/>
      <c r="I209" s="16" t="str">
        <f t="shared" si="5"/>
        <v>collected</v>
      </c>
      <c r="J209" s="16" t="str">
        <f t="shared" si="6"/>
        <v>N</v>
      </c>
      <c r="L209" s="16"/>
    </row>
    <row r="210">
      <c r="A210" s="28" t="s">
        <v>441</v>
      </c>
      <c r="B210" s="10" t="str">
        <f t="shared" si="1"/>
        <v>fatty_acid</v>
      </c>
      <c r="C210" s="49" t="str">
        <f t="shared" si="2"/>
        <v>S5330FA1</v>
      </c>
      <c r="D210" s="6">
        <v>23.0</v>
      </c>
      <c r="E210" s="10" t="str">
        <f t="shared" si="3"/>
        <v>BFA23</v>
      </c>
      <c r="F210" s="13">
        <v>39.0</v>
      </c>
      <c r="G210" s="10" t="str">
        <f t="shared" si="4"/>
        <v>BFA23-39</v>
      </c>
      <c r="H210" s="6"/>
      <c r="I210" s="16" t="str">
        <f t="shared" si="5"/>
        <v>collected</v>
      </c>
      <c r="J210" s="16" t="str">
        <f t="shared" si="6"/>
        <v>N</v>
      </c>
      <c r="L210" s="16"/>
    </row>
    <row r="211">
      <c r="A211" s="28" t="s">
        <v>444</v>
      </c>
      <c r="B211" s="10" t="str">
        <f t="shared" si="1"/>
        <v>fatty_acid</v>
      </c>
      <c r="C211" s="49" t="str">
        <f t="shared" si="2"/>
        <v>S5331FA1</v>
      </c>
      <c r="D211" s="6">
        <v>23.0</v>
      </c>
      <c r="E211" s="10" t="str">
        <f t="shared" si="3"/>
        <v>BFA23</v>
      </c>
      <c r="F211" s="13">
        <v>40.0</v>
      </c>
      <c r="G211" s="10" t="str">
        <f t="shared" si="4"/>
        <v>BFA23-40</v>
      </c>
      <c r="H211" s="6"/>
      <c r="I211" s="16" t="str">
        <f t="shared" si="5"/>
        <v>collected</v>
      </c>
      <c r="J211" s="16" t="str">
        <f t="shared" si="6"/>
        <v>N</v>
      </c>
      <c r="L211" s="16"/>
    </row>
    <row r="212">
      <c r="A212" s="28" t="s">
        <v>445</v>
      </c>
      <c r="B212" s="10" t="str">
        <f t="shared" si="1"/>
        <v>fatty_acid</v>
      </c>
      <c r="C212" s="49" t="str">
        <f t="shared" si="2"/>
        <v>S5332FA1</v>
      </c>
      <c r="D212" s="6">
        <v>23.0</v>
      </c>
      <c r="E212" s="10" t="str">
        <f t="shared" si="3"/>
        <v>BFA23</v>
      </c>
      <c r="F212" s="13">
        <v>41.0</v>
      </c>
      <c r="G212" s="10" t="str">
        <f t="shared" si="4"/>
        <v>BFA23-41</v>
      </c>
      <c r="H212" s="6"/>
      <c r="I212" s="16" t="str">
        <f t="shared" si="5"/>
        <v>collected</v>
      </c>
      <c r="J212" s="16" t="str">
        <f t="shared" si="6"/>
        <v>N</v>
      </c>
      <c r="L212" s="16"/>
    </row>
    <row r="213">
      <c r="A213" s="28" t="s">
        <v>446</v>
      </c>
      <c r="B213" s="10" t="str">
        <f t="shared" si="1"/>
        <v>fatty_acid</v>
      </c>
      <c r="C213" s="49" t="str">
        <f t="shared" si="2"/>
        <v>S5333FA1</v>
      </c>
      <c r="D213" s="6">
        <v>23.0</v>
      </c>
      <c r="E213" s="10" t="str">
        <f t="shared" si="3"/>
        <v>BFA23</v>
      </c>
      <c r="F213" s="13">
        <v>42.0</v>
      </c>
      <c r="G213" s="10" t="str">
        <f t="shared" si="4"/>
        <v>BFA23-42</v>
      </c>
      <c r="H213" s="6"/>
      <c r="I213" s="16" t="str">
        <f t="shared" si="5"/>
        <v>collected</v>
      </c>
      <c r="J213" s="16" t="str">
        <f t="shared" si="6"/>
        <v>N</v>
      </c>
      <c r="L213" s="16"/>
    </row>
    <row r="214">
      <c r="A214" s="28" t="s">
        <v>448</v>
      </c>
      <c r="B214" s="10" t="str">
        <f t="shared" si="1"/>
        <v>fatty_acid</v>
      </c>
      <c r="C214" s="49" t="str">
        <f t="shared" si="2"/>
        <v>S5334FA1</v>
      </c>
      <c r="D214" s="6">
        <v>23.0</v>
      </c>
      <c r="E214" s="10" t="str">
        <f t="shared" si="3"/>
        <v>BFA23</v>
      </c>
      <c r="F214" s="13">
        <v>43.0</v>
      </c>
      <c r="G214" s="10" t="str">
        <f t="shared" si="4"/>
        <v>BFA23-43</v>
      </c>
      <c r="H214" s="6"/>
      <c r="I214" s="16" t="str">
        <f t="shared" si="5"/>
        <v>collected</v>
      </c>
      <c r="J214" s="16" t="str">
        <f t="shared" si="6"/>
        <v>N</v>
      </c>
      <c r="L214" s="16"/>
    </row>
    <row r="215">
      <c r="A215" s="28" t="s">
        <v>449</v>
      </c>
      <c r="B215" s="10" t="str">
        <f t="shared" si="1"/>
        <v>fatty_acid</v>
      </c>
      <c r="C215" s="49" t="str">
        <f t="shared" si="2"/>
        <v>S5335FA1</v>
      </c>
      <c r="D215" s="6">
        <v>23.0</v>
      </c>
      <c r="E215" s="10" t="str">
        <f t="shared" si="3"/>
        <v>BFA23</v>
      </c>
      <c r="F215" s="13">
        <v>44.0</v>
      </c>
      <c r="G215" s="10" t="str">
        <f t="shared" si="4"/>
        <v>BFA23-44</v>
      </c>
      <c r="H215" s="6"/>
      <c r="I215" s="16" t="str">
        <f t="shared" si="5"/>
        <v>collected</v>
      </c>
      <c r="J215" s="16" t="str">
        <f t="shared" si="6"/>
        <v>N</v>
      </c>
      <c r="L215" s="16"/>
    </row>
    <row r="216">
      <c r="A216" s="27" t="s">
        <v>451</v>
      </c>
      <c r="B216" s="10" t="str">
        <f t="shared" si="1"/>
        <v>fatty_acid</v>
      </c>
      <c r="C216" s="49" t="str">
        <f t="shared" si="2"/>
        <v>S5336FA1</v>
      </c>
      <c r="D216" s="6">
        <v>23.0</v>
      </c>
      <c r="E216" s="10" t="str">
        <f t="shared" si="3"/>
        <v>BFA23</v>
      </c>
      <c r="F216" s="13">
        <v>45.0</v>
      </c>
      <c r="G216" s="10" t="str">
        <f t="shared" si="4"/>
        <v>BFA23-45</v>
      </c>
      <c r="H216" s="16"/>
      <c r="I216" s="16" t="str">
        <f t="shared" si="5"/>
        <v>collected</v>
      </c>
      <c r="J216" s="16" t="str">
        <f t="shared" si="6"/>
        <v>N</v>
      </c>
      <c r="L216" s="16"/>
    </row>
    <row r="217">
      <c r="A217" s="27" t="s">
        <v>452</v>
      </c>
      <c r="B217" s="10" t="str">
        <f t="shared" si="1"/>
        <v>fatty_acid</v>
      </c>
      <c r="C217" s="49" t="str">
        <f t="shared" si="2"/>
        <v>S5362FA1</v>
      </c>
      <c r="D217" s="6">
        <v>23.0</v>
      </c>
      <c r="E217" s="10" t="str">
        <f t="shared" si="3"/>
        <v>BFA23</v>
      </c>
      <c r="F217" s="13">
        <v>46.0</v>
      </c>
      <c r="G217" s="10" t="str">
        <f t="shared" si="4"/>
        <v>BFA23-46</v>
      </c>
      <c r="H217" s="16"/>
      <c r="I217" s="16" t="str">
        <f t="shared" si="5"/>
        <v>collected</v>
      </c>
      <c r="J217" s="16" t="str">
        <f t="shared" si="6"/>
        <v>N</v>
      </c>
      <c r="L217" s="16"/>
    </row>
    <row r="218">
      <c r="A218" s="27" t="s">
        <v>454</v>
      </c>
      <c r="B218" s="10" t="str">
        <f t="shared" si="1"/>
        <v>fatty_acid</v>
      </c>
      <c r="C218" s="49" t="str">
        <f t="shared" si="2"/>
        <v>S5363FA1</v>
      </c>
      <c r="D218" s="6">
        <v>23.0</v>
      </c>
      <c r="E218" s="10" t="str">
        <f t="shared" si="3"/>
        <v>BFA23</v>
      </c>
      <c r="F218" s="13">
        <v>47.0</v>
      </c>
      <c r="G218" s="10" t="str">
        <f t="shared" si="4"/>
        <v>BFA23-47</v>
      </c>
      <c r="H218" s="16"/>
      <c r="I218" s="16" t="str">
        <f t="shared" si="5"/>
        <v>collected</v>
      </c>
      <c r="J218" s="16" t="str">
        <f t="shared" si="6"/>
        <v>N</v>
      </c>
      <c r="L218" s="16"/>
    </row>
    <row r="219">
      <c r="A219" s="27" t="s">
        <v>455</v>
      </c>
      <c r="B219" s="10" t="str">
        <f t="shared" si="1"/>
        <v>fatty_acid</v>
      </c>
      <c r="C219" s="49" t="str">
        <f t="shared" si="2"/>
        <v>S5364FA1</v>
      </c>
      <c r="D219" s="6">
        <v>23.0</v>
      </c>
      <c r="E219" s="10" t="str">
        <f t="shared" si="3"/>
        <v>BFA23</v>
      </c>
      <c r="F219" s="13">
        <v>48.0</v>
      </c>
      <c r="G219" s="10" t="str">
        <f t="shared" si="4"/>
        <v>BFA23-48</v>
      </c>
      <c r="H219" s="16"/>
      <c r="I219" s="16" t="str">
        <f t="shared" si="5"/>
        <v>collected</v>
      </c>
      <c r="J219" s="16" t="str">
        <f t="shared" si="6"/>
        <v>N</v>
      </c>
      <c r="L219" s="16"/>
    </row>
    <row r="220">
      <c r="A220" s="27" t="s">
        <v>456</v>
      </c>
      <c r="B220" s="10" t="str">
        <f t="shared" si="1"/>
        <v>fatty_acid</v>
      </c>
      <c r="C220" s="49" t="str">
        <f t="shared" si="2"/>
        <v>S5365FA1</v>
      </c>
      <c r="D220" s="6">
        <v>23.0</v>
      </c>
      <c r="E220" s="10" t="str">
        <f t="shared" si="3"/>
        <v>BFA23</v>
      </c>
      <c r="F220" s="13">
        <v>49.0</v>
      </c>
      <c r="G220" s="10" t="str">
        <f t="shared" si="4"/>
        <v>BFA23-49</v>
      </c>
      <c r="H220" s="16"/>
      <c r="I220" s="16" t="str">
        <f t="shared" si="5"/>
        <v>collected</v>
      </c>
      <c r="J220" s="16" t="str">
        <f t="shared" si="6"/>
        <v>N</v>
      </c>
      <c r="L220" s="16"/>
    </row>
    <row r="221">
      <c r="A221" s="27" t="s">
        <v>457</v>
      </c>
      <c r="B221" s="10" t="str">
        <f t="shared" si="1"/>
        <v>fatty_acid</v>
      </c>
      <c r="C221" s="49" t="str">
        <f t="shared" si="2"/>
        <v>S5366FA1</v>
      </c>
      <c r="D221" s="6">
        <v>23.0</v>
      </c>
      <c r="E221" s="10" t="str">
        <f t="shared" si="3"/>
        <v>BFA23</v>
      </c>
      <c r="F221" s="13">
        <v>50.0</v>
      </c>
      <c r="G221" s="10" t="str">
        <f t="shared" si="4"/>
        <v>BFA23-50</v>
      </c>
      <c r="H221" s="16"/>
      <c r="I221" s="16" t="str">
        <f t="shared" si="5"/>
        <v>collected</v>
      </c>
      <c r="J221" s="16" t="str">
        <f t="shared" si="6"/>
        <v>N</v>
      </c>
      <c r="L221" s="16"/>
    </row>
    <row r="222">
      <c r="A222" s="27" t="s">
        <v>459</v>
      </c>
      <c r="B222" s="10" t="str">
        <f t="shared" si="1"/>
        <v>fatty_acid</v>
      </c>
      <c r="C222" s="49" t="str">
        <f t="shared" si="2"/>
        <v>S5367FA1</v>
      </c>
      <c r="D222" s="6">
        <v>23.0</v>
      </c>
      <c r="E222" s="10" t="str">
        <f t="shared" si="3"/>
        <v>BFA23</v>
      </c>
      <c r="F222" s="13">
        <v>51.0</v>
      </c>
      <c r="G222" s="10" t="str">
        <f t="shared" si="4"/>
        <v>BFA23-51</v>
      </c>
      <c r="H222" s="16"/>
      <c r="I222" s="16" t="str">
        <f t="shared" si="5"/>
        <v>collected</v>
      </c>
      <c r="J222" s="16" t="str">
        <f t="shared" si="6"/>
        <v>N</v>
      </c>
      <c r="L222" s="16"/>
    </row>
    <row r="223">
      <c r="A223" s="27" t="s">
        <v>461</v>
      </c>
      <c r="B223" s="10" t="str">
        <f t="shared" si="1"/>
        <v>fatty_acid</v>
      </c>
      <c r="C223" s="49" t="str">
        <f t="shared" si="2"/>
        <v>S5368FA1</v>
      </c>
      <c r="D223" s="6">
        <v>23.0</v>
      </c>
      <c r="E223" s="10" t="str">
        <f t="shared" si="3"/>
        <v>BFA23</v>
      </c>
      <c r="F223" s="13">
        <v>52.0</v>
      </c>
      <c r="G223" s="10" t="str">
        <f t="shared" si="4"/>
        <v>BFA23-52</v>
      </c>
      <c r="H223" s="16"/>
      <c r="I223" s="16" t="str">
        <f t="shared" si="5"/>
        <v>collected</v>
      </c>
      <c r="J223" s="16" t="str">
        <f t="shared" si="6"/>
        <v>N</v>
      </c>
      <c r="L223" s="16"/>
    </row>
    <row r="224">
      <c r="A224" s="27" t="s">
        <v>462</v>
      </c>
      <c r="B224" s="10" t="str">
        <f t="shared" si="1"/>
        <v>fatty_acid</v>
      </c>
      <c r="C224" s="49" t="str">
        <f t="shared" si="2"/>
        <v>S5369FA1</v>
      </c>
      <c r="D224" s="6">
        <v>23.0</v>
      </c>
      <c r="E224" s="10" t="str">
        <f t="shared" si="3"/>
        <v>BFA23</v>
      </c>
      <c r="F224" s="13">
        <v>53.0</v>
      </c>
      <c r="G224" s="10" t="str">
        <f t="shared" si="4"/>
        <v>BFA23-53</v>
      </c>
      <c r="H224" s="16"/>
      <c r="I224" s="16" t="str">
        <f t="shared" si="5"/>
        <v>collected</v>
      </c>
      <c r="J224" s="16" t="str">
        <f t="shared" si="6"/>
        <v>N</v>
      </c>
      <c r="L224" s="16"/>
    </row>
    <row r="225">
      <c r="A225" s="27" t="s">
        <v>463</v>
      </c>
      <c r="B225" s="10" t="str">
        <f t="shared" si="1"/>
        <v>fatty_acid</v>
      </c>
      <c r="C225" s="49" t="str">
        <f t="shared" si="2"/>
        <v>S5370FA1</v>
      </c>
      <c r="D225" s="6">
        <v>23.0</v>
      </c>
      <c r="E225" s="10" t="str">
        <f t="shared" si="3"/>
        <v>BFA23</v>
      </c>
      <c r="F225" s="13">
        <v>54.0</v>
      </c>
      <c r="G225" s="10" t="str">
        <f t="shared" si="4"/>
        <v>BFA23-54</v>
      </c>
      <c r="H225" s="16"/>
      <c r="I225" s="16" t="str">
        <f t="shared" si="5"/>
        <v>collected</v>
      </c>
      <c r="J225" s="16" t="str">
        <f t="shared" si="6"/>
        <v>N</v>
      </c>
      <c r="L225" s="16"/>
    </row>
    <row r="226">
      <c r="A226" s="27" t="s">
        <v>466</v>
      </c>
      <c r="B226" s="10" t="str">
        <f t="shared" si="1"/>
        <v>fatty_acid</v>
      </c>
      <c r="C226" s="49" t="str">
        <f t="shared" si="2"/>
        <v>S5371FA1</v>
      </c>
      <c r="D226" s="6">
        <v>23.0</v>
      </c>
      <c r="E226" s="10" t="str">
        <f t="shared" si="3"/>
        <v>BFA23</v>
      </c>
      <c r="F226" s="13">
        <v>55.0</v>
      </c>
      <c r="G226" s="10" t="str">
        <f t="shared" si="4"/>
        <v>BFA23-55</v>
      </c>
      <c r="H226" s="16"/>
      <c r="I226" s="16" t="str">
        <f t="shared" si="5"/>
        <v>collected</v>
      </c>
      <c r="J226" s="16" t="str">
        <f t="shared" si="6"/>
        <v>N</v>
      </c>
      <c r="L226" s="16"/>
    </row>
    <row r="227">
      <c r="A227" s="27" t="s">
        <v>467</v>
      </c>
      <c r="B227" s="10" t="str">
        <f t="shared" si="1"/>
        <v>fatty_acid</v>
      </c>
      <c r="C227" s="49" t="str">
        <f t="shared" si="2"/>
        <v>S5372FA1</v>
      </c>
      <c r="D227" s="6">
        <v>23.0</v>
      </c>
      <c r="E227" s="10" t="str">
        <f t="shared" si="3"/>
        <v>BFA23</v>
      </c>
      <c r="F227" s="13">
        <v>56.0</v>
      </c>
      <c r="G227" s="10" t="str">
        <f t="shared" si="4"/>
        <v>BFA23-56</v>
      </c>
      <c r="H227" s="16"/>
      <c r="I227" s="16" t="str">
        <f t="shared" si="5"/>
        <v>collected</v>
      </c>
      <c r="J227" s="16" t="str">
        <f t="shared" si="6"/>
        <v>N</v>
      </c>
      <c r="L227" s="16"/>
    </row>
    <row r="228">
      <c r="A228" s="27" t="s">
        <v>468</v>
      </c>
      <c r="B228" s="10" t="str">
        <f t="shared" si="1"/>
        <v>fatty_acid</v>
      </c>
      <c r="C228" s="49" t="str">
        <f t="shared" si="2"/>
        <v>S5373FA1</v>
      </c>
      <c r="D228" s="6">
        <v>23.0</v>
      </c>
      <c r="E228" s="10" t="str">
        <f t="shared" si="3"/>
        <v>BFA23</v>
      </c>
      <c r="F228" s="13">
        <v>57.0</v>
      </c>
      <c r="G228" s="10" t="str">
        <f t="shared" si="4"/>
        <v>BFA23-57</v>
      </c>
      <c r="H228" s="16"/>
      <c r="I228" s="16" t="str">
        <f t="shared" si="5"/>
        <v>collected</v>
      </c>
      <c r="J228" s="16" t="str">
        <f t="shared" si="6"/>
        <v>N</v>
      </c>
      <c r="L228" s="16"/>
    </row>
    <row r="229">
      <c r="A229" s="6" t="s">
        <v>470</v>
      </c>
      <c r="B229" s="10" t="str">
        <f t="shared" si="1"/>
        <v>fatty_acid</v>
      </c>
      <c r="C229" s="49" t="str">
        <f t="shared" si="2"/>
        <v>S5374FA1</v>
      </c>
      <c r="D229" s="6">
        <v>23.0</v>
      </c>
      <c r="E229" s="10" t="str">
        <f t="shared" si="3"/>
        <v>BFA23</v>
      </c>
      <c r="F229" s="13">
        <v>58.0</v>
      </c>
      <c r="G229" s="10" t="str">
        <f t="shared" si="4"/>
        <v>BFA23-58</v>
      </c>
      <c r="H229" s="16"/>
      <c r="I229" s="16" t="str">
        <f t="shared" si="5"/>
        <v>collected</v>
      </c>
      <c r="J229" s="16" t="str">
        <f t="shared" si="6"/>
        <v>N</v>
      </c>
      <c r="L229" s="16"/>
    </row>
    <row r="230">
      <c r="A230" s="28" t="s">
        <v>471</v>
      </c>
      <c r="B230" s="10" t="str">
        <f t="shared" si="1"/>
        <v>fatty_acid</v>
      </c>
      <c r="C230" s="49" t="str">
        <f t="shared" si="2"/>
        <v>S5375FA1</v>
      </c>
      <c r="D230" s="6">
        <v>23.0</v>
      </c>
      <c r="E230" s="10" t="str">
        <f t="shared" si="3"/>
        <v>BFA23</v>
      </c>
      <c r="F230" s="13">
        <v>59.0</v>
      </c>
      <c r="G230" s="10" t="str">
        <f t="shared" si="4"/>
        <v>BFA23-59</v>
      </c>
      <c r="H230" s="16"/>
      <c r="I230" s="16" t="str">
        <f t="shared" si="5"/>
        <v>collected</v>
      </c>
      <c r="J230" s="16" t="str">
        <f t="shared" si="6"/>
        <v>N</v>
      </c>
      <c r="L230" s="16"/>
    </row>
    <row r="231">
      <c r="A231" s="28" t="s">
        <v>476</v>
      </c>
      <c r="B231" s="10" t="str">
        <f t="shared" si="1"/>
        <v>fatty_acid</v>
      </c>
      <c r="C231" s="49" t="str">
        <f t="shared" si="2"/>
        <v>S5376FA1</v>
      </c>
      <c r="D231" s="6">
        <v>23.0</v>
      </c>
      <c r="E231" s="10" t="str">
        <f t="shared" si="3"/>
        <v>BFA23</v>
      </c>
      <c r="F231" s="13">
        <v>60.0</v>
      </c>
      <c r="G231" s="10" t="str">
        <f t="shared" si="4"/>
        <v>BFA23-60</v>
      </c>
      <c r="H231" s="16"/>
      <c r="I231" s="16" t="str">
        <f t="shared" si="5"/>
        <v>collected</v>
      </c>
      <c r="J231" s="16" t="str">
        <f t="shared" si="6"/>
        <v>N</v>
      </c>
      <c r="L231" s="16"/>
    </row>
    <row r="232">
      <c r="A232" s="28" t="s">
        <v>478</v>
      </c>
      <c r="B232" s="10" t="str">
        <f t="shared" si="1"/>
        <v>fatty_acid</v>
      </c>
      <c r="C232" s="49" t="str">
        <f t="shared" si="2"/>
        <v>S5377FA1</v>
      </c>
      <c r="D232" s="6">
        <v>23.0</v>
      </c>
      <c r="E232" s="10" t="str">
        <f t="shared" si="3"/>
        <v>BFA23</v>
      </c>
      <c r="F232" s="13">
        <v>61.0</v>
      </c>
      <c r="G232" s="10" t="str">
        <f t="shared" si="4"/>
        <v>BFA23-61</v>
      </c>
      <c r="H232" s="16"/>
      <c r="I232" s="16" t="str">
        <f t="shared" si="5"/>
        <v>collected</v>
      </c>
      <c r="J232" s="16" t="str">
        <f t="shared" si="6"/>
        <v>N</v>
      </c>
      <c r="L232" s="16"/>
    </row>
    <row r="233">
      <c r="A233" s="28" t="s">
        <v>480</v>
      </c>
      <c r="B233" s="10" t="str">
        <f t="shared" si="1"/>
        <v>fatty_acid</v>
      </c>
      <c r="C233" s="49" t="str">
        <f t="shared" si="2"/>
        <v>S5378FA1</v>
      </c>
      <c r="D233" s="6">
        <v>23.0</v>
      </c>
      <c r="E233" s="10" t="str">
        <f t="shared" si="3"/>
        <v>BFA23</v>
      </c>
      <c r="F233" s="13">
        <v>62.0</v>
      </c>
      <c r="G233" s="10" t="str">
        <f t="shared" si="4"/>
        <v>BFA23-62</v>
      </c>
      <c r="H233" s="16"/>
      <c r="I233" s="16" t="str">
        <f t="shared" si="5"/>
        <v>collected</v>
      </c>
      <c r="J233" s="16" t="str">
        <f t="shared" si="6"/>
        <v>N</v>
      </c>
      <c r="L233" s="16"/>
    </row>
    <row r="234">
      <c r="A234" s="27" t="s">
        <v>482</v>
      </c>
      <c r="B234" s="10" t="str">
        <f t="shared" si="1"/>
        <v>fatty_acid</v>
      </c>
      <c r="C234" s="49" t="str">
        <f t="shared" si="2"/>
        <v>S5379FA1</v>
      </c>
      <c r="D234" s="6">
        <v>23.0</v>
      </c>
      <c r="E234" s="10" t="str">
        <f t="shared" si="3"/>
        <v>BFA23</v>
      </c>
      <c r="F234" s="13">
        <v>63.0</v>
      </c>
      <c r="G234" s="10" t="str">
        <f t="shared" si="4"/>
        <v>BFA23-63</v>
      </c>
      <c r="H234" s="16"/>
      <c r="I234" s="16" t="str">
        <f t="shared" si="5"/>
        <v>collected</v>
      </c>
      <c r="J234" s="16" t="str">
        <f t="shared" si="6"/>
        <v>N</v>
      </c>
      <c r="L234" s="16"/>
    </row>
    <row r="235">
      <c r="A235" s="27" t="s">
        <v>483</v>
      </c>
      <c r="B235" s="10" t="str">
        <f t="shared" si="1"/>
        <v>fatty_acid</v>
      </c>
      <c r="C235" s="49" t="str">
        <f t="shared" si="2"/>
        <v>S5380FA1</v>
      </c>
      <c r="D235" s="6">
        <v>23.0</v>
      </c>
      <c r="E235" s="10" t="str">
        <f t="shared" si="3"/>
        <v>BFA23</v>
      </c>
      <c r="F235" s="13">
        <v>64.0</v>
      </c>
      <c r="G235" s="10" t="str">
        <f t="shared" si="4"/>
        <v>BFA23-64</v>
      </c>
      <c r="H235" s="6"/>
      <c r="I235" s="16" t="str">
        <f t="shared" si="5"/>
        <v>collected</v>
      </c>
      <c r="J235" s="16" t="str">
        <f t="shared" si="6"/>
        <v>N</v>
      </c>
      <c r="L235" s="16"/>
    </row>
    <row r="236">
      <c r="A236" s="27" t="s">
        <v>484</v>
      </c>
      <c r="B236" s="10" t="str">
        <f t="shared" si="1"/>
        <v>fatty_acid</v>
      </c>
      <c r="C236" s="49" t="str">
        <f t="shared" si="2"/>
        <v>S5381FA1</v>
      </c>
      <c r="D236" s="6">
        <v>23.0</v>
      </c>
      <c r="E236" s="10" t="str">
        <f t="shared" si="3"/>
        <v>BFA23</v>
      </c>
      <c r="F236" s="13">
        <v>65.0</v>
      </c>
      <c r="G236" s="10" t="str">
        <f t="shared" si="4"/>
        <v>BFA23-65</v>
      </c>
      <c r="H236" s="6"/>
      <c r="I236" s="16" t="str">
        <f t="shared" si="5"/>
        <v>collected</v>
      </c>
      <c r="J236" s="16" t="str">
        <f t="shared" si="6"/>
        <v>N</v>
      </c>
      <c r="L236" s="16"/>
    </row>
    <row r="237">
      <c r="A237" s="27" t="s">
        <v>487</v>
      </c>
      <c r="B237" s="10" t="str">
        <f t="shared" si="1"/>
        <v>fatty_acid</v>
      </c>
      <c r="C237" s="49" t="str">
        <f t="shared" si="2"/>
        <v>S5382FA1</v>
      </c>
      <c r="D237" s="6">
        <v>23.0</v>
      </c>
      <c r="E237" s="10" t="str">
        <f t="shared" si="3"/>
        <v>BFA23</v>
      </c>
      <c r="F237" s="13">
        <v>66.0</v>
      </c>
      <c r="G237" s="10" t="str">
        <f t="shared" si="4"/>
        <v>BFA23-66</v>
      </c>
      <c r="H237" s="6"/>
      <c r="I237" s="16" t="str">
        <f t="shared" si="5"/>
        <v>collected</v>
      </c>
      <c r="J237" s="16" t="str">
        <f t="shared" si="6"/>
        <v>N</v>
      </c>
      <c r="L237" s="16"/>
    </row>
    <row r="238">
      <c r="A238" s="27" t="s">
        <v>488</v>
      </c>
      <c r="B238" s="10" t="str">
        <f t="shared" si="1"/>
        <v>fatty_acid</v>
      </c>
      <c r="C238" s="49" t="str">
        <f t="shared" si="2"/>
        <v>S5383FA1</v>
      </c>
      <c r="D238" s="6">
        <v>23.0</v>
      </c>
      <c r="E238" s="10" t="str">
        <f t="shared" si="3"/>
        <v>BFA23</v>
      </c>
      <c r="F238" s="13">
        <v>67.0</v>
      </c>
      <c r="G238" s="10" t="str">
        <f t="shared" si="4"/>
        <v>BFA23-67</v>
      </c>
      <c r="H238" s="6"/>
      <c r="I238" s="16" t="str">
        <f t="shared" si="5"/>
        <v>collected</v>
      </c>
      <c r="J238" s="16" t="str">
        <f t="shared" si="6"/>
        <v>N</v>
      </c>
      <c r="L238" s="16"/>
    </row>
    <row r="239">
      <c r="A239" s="27" t="s">
        <v>490</v>
      </c>
      <c r="B239" s="10" t="str">
        <f t="shared" si="1"/>
        <v>fatty_acid</v>
      </c>
      <c r="C239" s="49" t="str">
        <f t="shared" si="2"/>
        <v>S5384FA1</v>
      </c>
      <c r="D239" s="6">
        <v>23.0</v>
      </c>
      <c r="E239" s="10" t="str">
        <f t="shared" si="3"/>
        <v>BFA23</v>
      </c>
      <c r="F239" s="13">
        <v>68.0</v>
      </c>
      <c r="G239" s="10" t="str">
        <f t="shared" si="4"/>
        <v>BFA23-68</v>
      </c>
      <c r="H239" s="6"/>
      <c r="I239" s="16" t="str">
        <f t="shared" si="5"/>
        <v>collected</v>
      </c>
      <c r="J239" s="16" t="str">
        <f t="shared" si="6"/>
        <v>N</v>
      </c>
      <c r="L239" s="16"/>
    </row>
    <row r="240">
      <c r="A240" s="27" t="s">
        <v>492</v>
      </c>
      <c r="B240" s="10" t="str">
        <f t="shared" si="1"/>
        <v>fatty_acid</v>
      </c>
      <c r="C240" s="49" t="str">
        <f t="shared" si="2"/>
        <v>S5385FA1</v>
      </c>
      <c r="D240" s="6">
        <v>23.0</v>
      </c>
      <c r="E240" s="10" t="str">
        <f t="shared" si="3"/>
        <v>BFA23</v>
      </c>
      <c r="F240" s="13">
        <v>69.0</v>
      </c>
      <c r="G240" s="10" t="str">
        <f t="shared" si="4"/>
        <v>BFA23-69</v>
      </c>
      <c r="H240" s="6"/>
      <c r="I240" s="16" t="str">
        <f t="shared" si="5"/>
        <v>collected</v>
      </c>
      <c r="J240" s="16" t="str">
        <f t="shared" si="6"/>
        <v>N</v>
      </c>
      <c r="L240" s="16"/>
    </row>
    <row r="241">
      <c r="A241" s="27" t="s">
        <v>493</v>
      </c>
      <c r="B241" s="10" t="str">
        <f t="shared" si="1"/>
        <v>fatty_acid</v>
      </c>
      <c r="C241" s="49" t="str">
        <f t="shared" si="2"/>
        <v>S5386FA1</v>
      </c>
      <c r="D241" s="6">
        <v>23.0</v>
      </c>
      <c r="E241" s="10" t="str">
        <f t="shared" si="3"/>
        <v>BFA23</v>
      </c>
      <c r="F241" s="13">
        <v>70.0</v>
      </c>
      <c r="G241" s="10" t="str">
        <f t="shared" si="4"/>
        <v>BFA23-70</v>
      </c>
      <c r="H241" s="6"/>
      <c r="I241" s="16" t="str">
        <f t="shared" si="5"/>
        <v>collected</v>
      </c>
      <c r="J241" s="16" t="str">
        <f t="shared" si="6"/>
        <v>N</v>
      </c>
      <c r="L241" s="16"/>
    </row>
    <row r="242">
      <c r="A242" s="27" t="s">
        <v>495</v>
      </c>
      <c r="B242" s="10" t="str">
        <f t="shared" si="1"/>
        <v>fatty_acid</v>
      </c>
      <c r="C242" s="49" t="str">
        <f t="shared" si="2"/>
        <v>S5387FA1</v>
      </c>
      <c r="D242" s="6">
        <v>23.0</v>
      </c>
      <c r="E242" s="10" t="str">
        <f t="shared" si="3"/>
        <v>BFA23</v>
      </c>
      <c r="F242" s="13">
        <v>71.0</v>
      </c>
      <c r="G242" s="10" t="str">
        <f t="shared" si="4"/>
        <v>BFA23-71</v>
      </c>
      <c r="H242" s="6"/>
      <c r="I242" s="16" t="str">
        <f t="shared" si="5"/>
        <v>collected</v>
      </c>
      <c r="J242" s="16" t="str">
        <f t="shared" si="6"/>
        <v>N</v>
      </c>
      <c r="L242" s="16"/>
    </row>
    <row r="243">
      <c r="A243" s="27" t="s">
        <v>498</v>
      </c>
      <c r="B243" s="10" t="str">
        <f t="shared" si="1"/>
        <v>fatty_acid</v>
      </c>
      <c r="C243" s="49" t="str">
        <f t="shared" si="2"/>
        <v>S5388FA1</v>
      </c>
      <c r="D243" s="6">
        <v>23.0</v>
      </c>
      <c r="E243" s="10" t="str">
        <f t="shared" si="3"/>
        <v>BFA23</v>
      </c>
      <c r="F243" s="13">
        <v>72.0</v>
      </c>
      <c r="G243" s="10" t="str">
        <f t="shared" si="4"/>
        <v>BFA23-72</v>
      </c>
      <c r="H243" s="6"/>
      <c r="I243" s="16" t="str">
        <f t="shared" si="5"/>
        <v>collected</v>
      </c>
      <c r="J243" s="16" t="str">
        <f t="shared" si="6"/>
        <v>N</v>
      </c>
      <c r="L243" s="16"/>
    </row>
    <row r="244">
      <c r="A244" s="27" t="s">
        <v>500</v>
      </c>
      <c r="B244" s="10" t="str">
        <f t="shared" si="1"/>
        <v>fatty_acid</v>
      </c>
      <c r="C244" s="49" t="str">
        <f t="shared" si="2"/>
        <v>S5341FA1</v>
      </c>
      <c r="D244" s="6">
        <v>21.0</v>
      </c>
      <c r="E244" s="10" t="str">
        <f t="shared" si="3"/>
        <v>BFA21</v>
      </c>
      <c r="F244" s="13">
        <v>82.0</v>
      </c>
      <c r="G244" s="10" t="str">
        <f t="shared" si="4"/>
        <v>BFA21-82</v>
      </c>
      <c r="H244" s="6"/>
      <c r="I244" s="16" t="str">
        <f t="shared" si="5"/>
        <v>collected</v>
      </c>
      <c r="J244" s="16" t="str">
        <f t="shared" si="6"/>
        <v>N</v>
      </c>
      <c r="L244" s="16"/>
    </row>
    <row r="245">
      <c r="A245" s="27" t="s">
        <v>501</v>
      </c>
      <c r="B245" s="10" t="str">
        <f t="shared" si="1"/>
        <v>fatty_acid</v>
      </c>
      <c r="C245" s="49" t="str">
        <f t="shared" si="2"/>
        <v>S5342FA1</v>
      </c>
      <c r="D245" s="6">
        <v>21.0</v>
      </c>
      <c r="E245" s="10" t="str">
        <f t="shared" si="3"/>
        <v>BFA21</v>
      </c>
      <c r="F245" s="13">
        <v>83.0</v>
      </c>
      <c r="G245" s="10" t="str">
        <f t="shared" si="4"/>
        <v>BFA21-83</v>
      </c>
      <c r="H245" s="6"/>
      <c r="I245" s="16" t="str">
        <f t="shared" si="5"/>
        <v>collected</v>
      </c>
      <c r="J245" s="16" t="str">
        <f t="shared" si="6"/>
        <v>N</v>
      </c>
      <c r="L245" s="16"/>
    </row>
    <row r="246">
      <c r="A246" s="29" t="s">
        <v>504</v>
      </c>
      <c r="B246" s="10" t="str">
        <f t="shared" si="1"/>
        <v>fatty_acid</v>
      </c>
      <c r="C246" s="49" t="str">
        <f t="shared" si="2"/>
        <v>S5343FA1</v>
      </c>
      <c r="D246" s="6">
        <v>21.0</v>
      </c>
      <c r="E246" s="10" t="str">
        <f t="shared" si="3"/>
        <v>BFA21</v>
      </c>
      <c r="F246" s="13">
        <v>84.0</v>
      </c>
      <c r="G246" s="10" t="str">
        <f t="shared" si="4"/>
        <v>BFA21-84</v>
      </c>
      <c r="H246" s="16"/>
      <c r="I246" s="16" t="str">
        <f t="shared" si="5"/>
        <v>collected</v>
      </c>
      <c r="J246" s="16" t="str">
        <f t="shared" si="6"/>
        <v>N</v>
      </c>
      <c r="K246" s="16"/>
      <c r="L246" s="16"/>
    </row>
    <row r="247">
      <c r="A247" s="29" t="s">
        <v>506</v>
      </c>
      <c r="B247" s="10" t="str">
        <f t="shared" si="1"/>
        <v>fatty_acid</v>
      </c>
      <c r="C247" s="49" t="str">
        <f t="shared" si="2"/>
        <v>S5344FA1</v>
      </c>
      <c r="D247" s="6">
        <v>21.0</v>
      </c>
      <c r="E247" s="10" t="str">
        <f t="shared" si="3"/>
        <v>BFA21</v>
      </c>
      <c r="F247" s="13">
        <v>85.0</v>
      </c>
      <c r="G247" s="10" t="str">
        <f t="shared" si="4"/>
        <v>BFA21-85</v>
      </c>
      <c r="H247" s="16"/>
      <c r="I247" s="16" t="str">
        <f t="shared" si="5"/>
        <v>collected</v>
      </c>
      <c r="J247" s="16" t="str">
        <f t="shared" si="6"/>
        <v>N</v>
      </c>
      <c r="K247" s="16"/>
      <c r="L247" s="16"/>
    </row>
    <row r="248">
      <c r="A248" s="29" t="s">
        <v>507</v>
      </c>
      <c r="B248" s="10" t="str">
        <f t="shared" si="1"/>
        <v>fatty_acid</v>
      </c>
      <c r="C248" s="49" t="str">
        <f t="shared" si="2"/>
        <v>S5345FA1</v>
      </c>
      <c r="D248" s="6">
        <v>21.0</v>
      </c>
      <c r="E248" s="10" t="str">
        <f t="shared" si="3"/>
        <v>BFA21</v>
      </c>
      <c r="F248" s="13">
        <v>87.0</v>
      </c>
      <c r="G248" s="10" t="str">
        <f t="shared" si="4"/>
        <v>BFA21-87</v>
      </c>
      <c r="H248" s="16"/>
      <c r="I248" s="16" t="str">
        <f t="shared" si="5"/>
        <v>collected</v>
      </c>
      <c r="J248" s="16" t="str">
        <f t="shared" si="6"/>
        <v>N</v>
      </c>
      <c r="K248" s="16"/>
      <c r="L248" s="16"/>
    </row>
    <row r="249">
      <c r="A249" s="29" t="s">
        <v>509</v>
      </c>
      <c r="B249" s="10" t="str">
        <f t="shared" si="1"/>
        <v>fatty_acid</v>
      </c>
      <c r="C249" s="49" t="str">
        <f t="shared" si="2"/>
        <v>S5346FA1</v>
      </c>
      <c r="D249" s="6">
        <v>21.0</v>
      </c>
      <c r="E249" s="10" t="str">
        <f t="shared" si="3"/>
        <v>BFA21</v>
      </c>
      <c r="F249" s="13">
        <v>88.0</v>
      </c>
      <c r="G249" s="10" t="str">
        <f t="shared" si="4"/>
        <v>BFA21-88</v>
      </c>
      <c r="H249" s="16"/>
      <c r="I249" s="16" t="str">
        <f t="shared" si="5"/>
        <v>collected</v>
      </c>
      <c r="J249" s="16" t="str">
        <f t="shared" si="6"/>
        <v>N</v>
      </c>
      <c r="K249" s="16"/>
      <c r="L249" s="16"/>
    </row>
    <row r="250">
      <c r="A250" s="26" t="s">
        <v>511</v>
      </c>
      <c r="B250" s="10" t="str">
        <f t="shared" si="1"/>
        <v>fatty_acid</v>
      </c>
      <c r="C250" s="49" t="str">
        <f t="shared" si="2"/>
        <v>S5347FA1</v>
      </c>
      <c r="D250" s="6">
        <v>21.0</v>
      </c>
      <c r="E250" s="10" t="str">
        <f t="shared" si="3"/>
        <v>BFA21</v>
      </c>
      <c r="F250" s="13">
        <v>89.0</v>
      </c>
      <c r="G250" s="10" t="str">
        <f t="shared" si="4"/>
        <v>BFA21-89</v>
      </c>
      <c r="H250" s="16"/>
      <c r="I250" s="16" t="str">
        <f t="shared" si="5"/>
        <v>collected</v>
      </c>
      <c r="J250" s="16" t="str">
        <f t="shared" si="6"/>
        <v>N</v>
      </c>
      <c r="K250" s="16"/>
      <c r="L250" s="16"/>
    </row>
    <row r="251">
      <c r="A251" s="26" t="s">
        <v>512</v>
      </c>
      <c r="B251" s="10" t="str">
        <f t="shared" si="1"/>
        <v>fatty_acid</v>
      </c>
      <c r="C251" s="49" t="str">
        <f t="shared" si="2"/>
        <v>S5348FA1</v>
      </c>
      <c r="D251" s="6">
        <v>21.0</v>
      </c>
      <c r="E251" s="10" t="str">
        <f t="shared" si="3"/>
        <v>BFA21</v>
      </c>
      <c r="F251" s="13">
        <v>90.0</v>
      </c>
      <c r="G251" s="10" t="str">
        <f t="shared" si="4"/>
        <v>BFA21-90</v>
      </c>
      <c r="H251" s="16"/>
      <c r="I251" s="16" t="str">
        <f t="shared" si="5"/>
        <v>collected</v>
      </c>
      <c r="J251" s="16" t="str">
        <f t="shared" si="6"/>
        <v>N</v>
      </c>
      <c r="K251" s="16"/>
      <c r="L251" s="16"/>
    </row>
    <row r="252">
      <c r="A252" s="26" t="s">
        <v>514</v>
      </c>
      <c r="B252" s="10" t="str">
        <f t="shared" si="1"/>
        <v>fatty_acid</v>
      </c>
      <c r="C252" s="49" t="str">
        <f t="shared" si="2"/>
        <v>S5349FA1</v>
      </c>
      <c r="D252" s="6">
        <v>21.0</v>
      </c>
      <c r="E252" s="10" t="str">
        <f t="shared" si="3"/>
        <v>BFA21</v>
      </c>
      <c r="F252" s="13">
        <v>91.0</v>
      </c>
      <c r="G252" s="10" t="str">
        <f t="shared" si="4"/>
        <v>BFA21-91</v>
      </c>
      <c r="H252" s="16"/>
      <c r="I252" s="16" t="str">
        <f t="shared" si="5"/>
        <v>collected</v>
      </c>
      <c r="J252" s="16" t="str">
        <f t="shared" si="6"/>
        <v>N</v>
      </c>
      <c r="K252" s="16"/>
      <c r="L252" s="16"/>
    </row>
    <row r="253">
      <c r="A253" s="26" t="s">
        <v>515</v>
      </c>
      <c r="B253" s="10" t="str">
        <f t="shared" si="1"/>
        <v>fatty_acid</v>
      </c>
      <c r="C253" s="49" t="str">
        <f t="shared" si="2"/>
        <v>S5350FA1</v>
      </c>
      <c r="D253" s="6">
        <v>21.0</v>
      </c>
      <c r="E253" s="10" t="str">
        <f t="shared" si="3"/>
        <v>BFA21</v>
      </c>
      <c r="F253" s="13">
        <v>92.0</v>
      </c>
      <c r="G253" s="10" t="str">
        <f t="shared" si="4"/>
        <v>BFA21-92</v>
      </c>
      <c r="H253" s="16"/>
      <c r="I253" s="16" t="str">
        <f t="shared" si="5"/>
        <v>collected</v>
      </c>
      <c r="J253" s="16" t="str">
        <f t="shared" si="6"/>
        <v>N</v>
      </c>
      <c r="K253" s="16"/>
      <c r="L253" s="16"/>
    </row>
    <row r="254">
      <c r="A254" s="26" t="s">
        <v>516</v>
      </c>
      <c r="B254" s="10" t="str">
        <f t="shared" si="1"/>
        <v>fatty_acid</v>
      </c>
      <c r="C254" s="49" t="str">
        <f t="shared" si="2"/>
        <v>S5351FA1</v>
      </c>
      <c r="D254" s="6">
        <v>21.0</v>
      </c>
      <c r="E254" s="10" t="str">
        <f t="shared" si="3"/>
        <v>BFA21</v>
      </c>
      <c r="F254" s="13">
        <v>93.0</v>
      </c>
      <c r="G254" s="10" t="str">
        <f t="shared" si="4"/>
        <v>BFA21-93</v>
      </c>
      <c r="H254" s="16"/>
      <c r="I254" s="16" t="str">
        <f t="shared" si="5"/>
        <v>collected</v>
      </c>
      <c r="J254" s="16" t="str">
        <f t="shared" si="6"/>
        <v>N</v>
      </c>
      <c r="K254" s="16"/>
      <c r="L254" s="16"/>
    </row>
    <row r="255">
      <c r="A255" s="26" t="s">
        <v>519</v>
      </c>
      <c r="B255" s="10" t="str">
        <f t="shared" si="1"/>
        <v>fatty_acid</v>
      </c>
      <c r="C255" s="49" t="str">
        <f t="shared" si="2"/>
        <v>S5352FA1</v>
      </c>
      <c r="D255" s="6">
        <v>21.0</v>
      </c>
      <c r="E255" s="10" t="str">
        <f t="shared" si="3"/>
        <v>BFA21</v>
      </c>
      <c r="F255" s="13">
        <v>94.0</v>
      </c>
      <c r="G255" s="10" t="str">
        <f t="shared" si="4"/>
        <v>BFA21-94</v>
      </c>
      <c r="H255" s="16"/>
      <c r="I255" s="16" t="str">
        <f t="shared" si="5"/>
        <v>collected</v>
      </c>
      <c r="J255" s="16" t="str">
        <f t="shared" si="6"/>
        <v>N</v>
      </c>
      <c r="K255" s="16"/>
      <c r="L255" s="16"/>
    </row>
    <row r="256">
      <c r="A256" s="26" t="s">
        <v>520</v>
      </c>
      <c r="B256" s="10" t="str">
        <f t="shared" si="1"/>
        <v>fatty_acid</v>
      </c>
      <c r="C256" s="49" t="str">
        <f t="shared" si="2"/>
        <v>S5353FA1</v>
      </c>
      <c r="D256" s="6">
        <v>21.0</v>
      </c>
      <c r="E256" s="10" t="str">
        <f t="shared" si="3"/>
        <v>BFA21</v>
      </c>
      <c r="F256" s="13">
        <v>95.0</v>
      </c>
      <c r="G256" s="10" t="str">
        <f t="shared" si="4"/>
        <v>BFA21-95</v>
      </c>
      <c r="H256" s="16"/>
      <c r="I256" s="16" t="str">
        <f t="shared" si="5"/>
        <v>collected</v>
      </c>
      <c r="J256" s="16" t="str">
        <f t="shared" si="6"/>
        <v>N</v>
      </c>
      <c r="K256" s="16"/>
      <c r="L256" s="16"/>
    </row>
    <row r="257">
      <c r="A257" s="26" t="s">
        <v>522</v>
      </c>
      <c r="B257" s="10" t="str">
        <f t="shared" si="1"/>
        <v>fatty_acid</v>
      </c>
      <c r="C257" s="49" t="str">
        <f t="shared" si="2"/>
        <v>S5354FA1</v>
      </c>
      <c r="D257" s="6">
        <v>21.0</v>
      </c>
      <c r="E257" s="10" t="str">
        <f t="shared" si="3"/>
        <v>BFA21</v>
      </c>
      <c r="F257" s="13">
        <v>97.0</v>
      </c>
      <c r="G257" s="10" t="str">
        <f t="shared" si="4"/>
        <v>BFA21-97</v>
      </c>
      <c r="H257" s="16"/>
      <c r="I257" s="16" t="str">
        <f t="shared" si="5"/>
        <v>collected</v>
      </c>
      <c r="J257" s="16" t="str">
        <f t="shared" si="6"/>
        <v>N</v>
      </c>
      <c r="K257" s="16"/>
      <c r="L257" s="16"/>
    </row>
    <row r="258">
      <c r="A258" s="26" t="s">
        <v>523</v>
      </c>
      <c r="B258" s="10" t="str">
        <f t="shared" si="1"/>
        <v>fatty_acid</v>
      </c>
      <c r="C258" s="49" t="str">
        <f t="shared" si="2"/>
        <v>S5355FA1</v>
      </c>
      <c r="D258" s="6">
        <v>21.0</v>
      </c>
      <c r="E258" s="10" t="str">
        <f t="shared" si="3"/>
        <v>BFA21</v>
      </c>
      <c r="F258" s="13">
        <v>98.0</v>
      </c>
      <c r="G258" s="10" t="str">
        <f t="shared" si="4"/>
        <v>BFA21-98</v>
      </c>
      <c r="H258" s="16"/>
      <c r="I258" s="16" t="str">
        <f t="shared" si="5"/>
        <v>collected</v>
      </c>
      <c r="J258" s="16" t="str">
        <f t="shared" si="6"/>
        <v>N</v>
      </c>
      <c r="K258" s="16"/>
      <c r="L258" s="16"/>
    </row>
    <row r="259">
      <c r="A259" s="26" t="s">
        <v>524</v>
      </c>
      <c r="B259" s="10" t="str">
        <f t="shared" si="1"/>
        <v>fatty_acid</v>
      </c>
      <c r="C259" s="49" t="str">
        <f t="shared" si="2"/>
        <v>S5356FA1</v>
      </c>
      <c r="D259" s="6">
        <v>21.0</v>
      </c>
      <c r="E259" s="10" t="str">
        <f t="shared" si="3"/>
        <v>BFA21</v>
      </c>
      <c r="F259" s="13">
        <v>99.0</v>
      </c>
      <c r="G259" s="10" t="str">
        <f t="shared" si="4"/>
        <v>BFA21-99</v>
      </c>
      <c r="H259" s="16"/>
      <c r="I259" s="16" t="str">
        <f t="shared" si="5"/>
        <v>collected</v>
      </c>
      <c r="J259" s="16" t="str">
        <f t="shared" si="6"/>
        <v>N</v>
      </c>
      <c r="K259" s="16"/>
      <c r="L259" s="16"/>
    </row>
    <row r="260">
      <c r="A260" s="26" t="s">
        <v>527</v>
      </c>
      <c r="B260" s="10" t="str">
        <f t="shared" si="1"/>
        <v>fatty_acid</v>
      </c>
      <c r="C260" s="49" t="str">
        <f t="shared" si="2"/>
        <v>S5302FA1</v>
      </c>
      <c r="D260" s="6">
        <v>22.0</v>
      </c>
      <c r="E260" s="10" t="str">
        <f t="shared" si="3"/>
        <v>BFA22</v>
      </c>
      <c r="F260" s="13">
        <v>5.0</v>
      </c>
      <c r="G260" s="10" t="str">
        <f t="shared" si="4"/>
        <v>BFA22-5</v>
      </c>
      <c r="H260" s="16"/>
      <c r="I260" s="16" t="str">
        <f t="shared" si="5"/>
        <v>collected</v>
      </c>
      <c r="J260" s="16" t="str">
        <f t="shared" si="6"/>
        <v>N</v>
      </c>
      <c r="K260" s="16"/>
      <c r="L260" s="16"/>
    </row>
    <row r="261">
      <c r="A261" s="26" t="s">
        <v>528</v>
      </c>
      <c r="B261" s="10" t="str">
        <f t="shared" si="1"/>
        <v>fatty_acid</v>
      </c>
      <c r="C261" s="49" t="str">
        <f t="shared" si="2"/>
        <v>S5303FA1</v>
      </c>
      <c r="D261" s="6">
        <v>22.0</v>
      </c>
      <c r="E261" s="10" t="str">
        <f t="shared" si="3"/>
        <v>BFA22</v>
      </c>
      <c r="F261" s="13">
        <v>6.0</v>
      </c>
      <c r="G261" s="10" t="str">
        <f t="shared" si="4"/>
        <v>BFA22-6</v>
      </c>
      <c r="H261" s="16"/>
      <c r="I261" s="16" t="str">
        <f t="shared" si="5"/>
        <v>collected</v>
      </c>
      <c r="J261" s="16" t="str">
        <f t="shared" si="6"/>
        <v>N</v>
      </c>
      <c r="K261" s="16"/>
      <c r="L261" s="16"/>
    </row>
    <row r="262">
      <c r="A262" s="26" t="s">
        <v>529</v>
      </c>
      <c r="B262" s="10" t="str">
        <f t="shared" si="1"/>
        <v>fatty_acid</v>
      </c>
      <c r="C262" s="49" t="str">
        <f t="shared" si="2"/>
        <v>S5304FA1</v>
      </c>
      <c r="D262" s="6">
        <v>22.0</v>
      </c>
      <c r="E262" s="10" t="str">
        <f t="shared" si="3"/>
        <v>BFA22</v>
      </c>
      <c r="F262" s="13">
        <v>7.0</v>
      </c>
      <c r="G262" s="10" t="str">
        <f t="shared" si="4"/>
        <v>BFA22-7</v>
      </c>
      <c r="H262" s="16"/>
      <c r="I262" s="16" t="str">
        <f t="shared" si="5"/>
        <v>collected</v>
      </c>
      <c r="J262" s="16" t="str">
        <f t="shared" si="6"/>
        <v>N</v>
      </c>
      <c r="K262" s="16"/>
      <c r="L262" s="16"/>
    </row>
    <row r="263">
      <c r="A263" s="26" t="s">
        <v>530</v>
      </c>
      <c r="B263" s="10" t="str">
        <f t="shared" si="1"/>
        <v>fatty_acid</v>
      </c>
      <c r="C263" s="49" t="str">
        <f t="shared" si="2"/>
        <v>S5305FA1</v>
      </c>
      <c r="D263" s="6">
        <v>22.0</v>
      </c>
      <c r="E263" s="10" t="str">
        <f t="shared" si="3"/>
        <v>BFA22</v>
      </c>
      <c r="F263" s="13">
        <v>8.0</v>
      </c>
      <c r="G263" s="10" t="str">
        <f t="shared" si="4"/>
        <v>BFA22-8</v>
      </c>
      <c r="H263" s="16"/>
      <c r="I263" s="16" t="str">
        <f t="shared" si="5"/>
        <v>collected</v>
      </c>
      <c r="J263" s="16" t="str">
        <f t="shared" si="6"/>
        <v>N</v>
      </c>
      <c r="K263" s="16"/>
      <c r="L263" s="16"/>
    </row>
    <row r="264">
      <c r="A264" s="26" t="s">
        <v>531</v>
      </c>
      <c r="B264" s="10" t="str">
        <f t="shared" si="1"/>
        <v>fatty_acid</v>
      </c>
      <c r="C264" s="49" t="str">
        <f t="shared" si="2"/>
        <v>S5306FA1</v>
      </c>
      <c r="D264" s="6">
        <v>22.0</v>
      </c>
      <c r="E264" s="10" t="str">
        <f t="shared" si="3"/>
        <v>BFA22</v>
      </c>
      <c r="F264" s="13">
        <v>9.0</v>
      </c>
      <c r="G264" s="10" t="str">
        <f t="shared" si="4"/>
        <v>BFA22-9</v>
      </c>
      <c r="H264" s="16"/>
      <c r="I264" s="16" t="str">
        <f t="shared" si="5"/>
        <v>collected</v>
      </c>
      <c r="J264" s="16" t="str">
        <f t="shared" si="6"/>
        <v>N</v>
      </c>
      <c r="K264" s="16"/>
      <c r="L264" s="16"/>
    </row>
    <row r="265">
      <c r="A265" s="26" t="s">
        <v>534</v>
      </c>
      <c r="B265" s="10" t="str">
        <f t="shared" si="1"/>
        <v>fatty_acid</v>
      </c>
      <c r="C265" s="49" t="str">
        <f t="shared" si="2"/>
        <v>S5307FA1</v>
      </c>
      <c r="D265" s="6">
        <v>22.0</v>
      </c>
      <c r="E265" s="10" t="str">
        <f t="shared" si="3"/>
        <v>BFA22</v>
      </c>
      <c r="F265" s="13">
        <v>10.0</v>
      </c>
      <c r="G265" s="10" t="str">
        <f t="shared" si="4"/>
        <v>BFA22-10</v>
      </c>
      <c r="H265" s="16"/>
      <c r="I265" s="16" t="str">
        <f t="shared" si="5"/>
        <v>collected</v>
      </c>
      <c r="J265" s="16" t="str">
        <f t="shared" si="6"/>
        <v>N</v>
      </c>
      <c r="K265" s="16"/>
      <c r="L265" s="16"/>
    </row>
    <row r="266">
      <c r="A266" s="26" t="s">
        <v>535</v>
      </c>
      <c r="B266" s="10" t="str">
        <f t="shared" si="1"/>
        <v>fatty_acid</v>
      </c>
      <c r="C266" s="49" t="str">
        <f t="shared" si="2"/>
        <v>S5308FA1</v>
      </c>
      <c r="D266" s="6">
        <v>22.0</v>
      </c>
      <c r="E266" s="10" t="str">
        <f t="shared" si="3"/>
        <v>BFA22</v>
      </c>
      <c r="F266" s="13">
        <v>11.0</v>
      </c>
      <c r="G266" s="10" t="str">
        <f t="shared" si="4"/>
        <v>BFA22-11</v>
      </c>
      <c r="H266" s="16"/>
      <c r="I266" s="16" t="str">
        <f t="shared" si="5"/>
        <v>collected</v>
      </c>
      <c r="J266" s="16" t="str">
        <f t="shared" si="6"/>
        <v>N</v>
      </c>
      <c r="K266" s="16"/>
      <c r="L266" s="16"/>
    </row>
    <row r="267">
      <c r="A267" s="26" t="s">
        <v>537</v>
      </c>
      <c r="B267" s="10" t="str">
        <f t="shared" si="1"/>
        <v>fatty_acid</v>
      </c>
      <c r="C267" s="49" t="str">
        <f t="shared" si="2"/>
        <v>S5309FA1</v>
      </c>
      <c r="D267" s="6">
        <v>22.0</v>
      </c>
      <c r="E267" s="10" t="str">
        <f t="shared" si="3"/>
        <v>BFA22</v>
      </c>
      <c r="F267" s="13">
        <v>12.0</v>
      </c>
      <c r="G267" s="10" t="str">
        <f t="shared" si="4"/>
        <v>BFA22-12</v>
      </c>
      <c r="H267" s="16"/>
      <c r="I267" s="16" t="str">
        <f t="shared" si="5"/>
        <v>collected</v>
      </c>
      <c r="J267" s="16" t="str">
        <f t="shared" si="6"/>
        <v>N</v>
      </c>
      <c r="K267" s="16"/>
      <c r="L267" s="16"/>
    </row>
    <row r="268">
      <c r="A268" s="26" t="s">
        <v>539</v>
      </c>
      <c r="B268" s="10" t="str">
        <f t="shared" si="1"/>
        <v>fatty_acid</v>
      </c>
      <c r="C268" s="49" t="str">
        <f t="shared" si="2"/>
        <v>S5310FA1</v>
      </c>
      <c r="D268" s="6">
        <v>22.0</v>
      </c>
      <c r="E268" s="10" t="str">
        <f t="shared" si="3"/>
        <v>BFA22</v>
      </c>
      <c r="F268" s="13">
        <v>13.0</v>
      </c>
      <c r="G268" s="10" t="str">
        <f t="shared" si="4"/>
        <v>BFA22-13</v>
      </c>
      <c r="H268" s="16"/>
      <c r="I268" s="16" t="str">
        <f t="shared" si="5"/>
        <v>collected</v>
      </c>
      <c r="J268" s="16" t="str">
        <f t="shared" si="6"/>
        <v>N</v>
      </c>
      <c r="K268" s="16"/>
      <c r="L268" s="16"/>
    </row>
    <row r="269">
      <c r="A269" s="26" t="s">
        <v>540</v>
      </c>
      <c r="B269" s="10" t="str">
        <f t="shared" si="1"/>
        <v>fatty_acid</v>
      </c>
      <c r="C269" s="49" t="str">
        <f t="shared" si="2"/>
        <v>S5311FA1</v>
      </c>
      <c r="D269" s="6">
        <v>22.0</v>
      </c>
      <c r="E269" s="10" t="str">
        <f t="shared" si="3"/>
        <v>BFA22</v>
      </c>
      <c r="F269" s="13">
        <v>14.0</v>
      </c>
      <c r="G269" s="10" t="str">
        <f t="shared" si="4"/>
        <v>BFA22-14</v>
      </c>
      <c r="H269" s="16"/>
      <c r="I269" s="16" t="str">
        <f t="shared" si="5"/>
        <v>collected</v>
      </c>
      <c r="J269" s="16" t="str">
        <f t="shared" si="6"/>
        <v>N</v>
      </c>
      <c r="K269" s="16"/>
      <c r="L269" s="16"/>
    </row>
    <row r="270">
      <c r="A270" s="26" t="s">
        <v>543</v>
      </c>
      <c r="B270" s="10" t="str">
        <f t="shared" si="1"/>
        <v>fatty_acid</v>
      </c>
      <c r="C270" s="49" t="str">
        <f t="shared" si="2"/>
        <v>S5312FA1</v>
      </c>
      <c r="D270" s="6">
        <v>22.0</v>
      </c>
      <c r="E270" s="10" t="str">
        <f t="shared" si="3"/>
        <v>BFA22</v>
      </c>
      <c r="F270" s="13">
        <v>15.0</v>
      </c>
      <c r="G270" s="10" t="str">
        <f t="shared" si="4"/>
        <v>BFA22-15</v>
      </c>
      <c r="H270" s="16"/>
      <c r="I270" s="16" t="str">
        <f t="shared" si="5"/>
        <v>collected</v>
      </c>
      <c r="J270" s="16" t="str">
        <f t="shared" si="6"/>
        <v>N</v>
      </c>
      <c r="K270" s="16"/>
      <c r="L270" s="16"/>
    </row>
    <row r="271">
      <c r="A271" s="26" t="s">
        <v>544</v>
      </c>
      <c r="B271" s="10" t="str">
        <f t="shared" si="1"/>
        <v>fatty_acid</v>
      </c>
      <c r="C271" s="49" t="str">
        <f t="shared" si="2"/>
        <v>S5313FA1</v>
      </c>
      <c r="D271" s="6">
        <v>22.0</v>
      </c>
      <c r="E271" s="10" t="str">
        <f t="shared" si="3"/>
        <v>BFA22</v>
      </c>
      <c r="F271" s="13">
        <v>16.0</v>
      </c>
      <c r="G271" s="10" t="str">
        <f t="shared" si="4"/>
        <v>BFA22-16</v>
      </c>
      <c r="H271" s="16"/>
      <c r="I271" s="16" t="str">
        <f t="shared" si="5"/>
        <v>collected</v>
      </c>
      <c r="J271" s="16" t="str">
        <f t="shared" si="6"/>
        <v>N</v>
      </c>
      <c r="K271" s="16"/>
      <c r="L271" s="16"/>
    </row>
    <row r="272">
      <c r="A272" s="26" t="s">
        <v>546</v>
      </c>
      <c r="B272" s="10" t="str">
        <f t="shared" si="1"/>
        <v>fatty_acid</v>
      </c>
      <c r="C272" s="49" t="str">
        <f t="shared" si="2"/>
        <v>S5314FA1</v>
      </c>
      <c r="D272" s="6">
        <v>22.0</v>
      </c>
      <c r="E272" s="10" t="str">
        <f t="shared" si="3"/>
        <v>BFA22</v>
      </c>
      <c r="F272" s="13">
        <v>17.0</v>
      </c>
      <c r="G272" s="10" t="str">
        <f t="shared" si="4"/>
        <v>BFA22-17</v>
      </c>
      <c r="H272" s="16"/>
      <c r="I272" s="16" t="str">
        <f t="shared" si="5"/>
        <v>collected</v>
      </c>
      <c r="J272" s="16" t="str">
        <f t="shared" si="6"/>
        <v>N</v>
      </c>
      <c r="K272" s="16"/>
      <c r="L272" s="16"/>
    </row>
    <row r="273">
      <c r="A273" s="44" t="s">
        <v>547</v>
      </c>
      <c r="B273" s="10" t="str">
        <f t="shared" si="1"/>
        <v>fatty_acid</v>
      </c>
      <c r="C273" s="49" t="str">
        <f t="shared" si="2"/>
        <v>S5357FA1</v>
      </c>
      <c r="D273" s="6">
        <v>21.0</v>
      </c>
      <c r="E273" s="10" t="str">
        <f t="shared" si="3"/>
        <v>BFA21</v>
      </c>
      <c r="F273" s="13">
        <v>100.0</v>
      </c>
      <c r="G273" s="10" t="str">
        <f t="shared" si="4"/>
        <v>BFA21-100</v>
      </c>
      <c r="H273" s="16"/>
      <c r="I273" s="16" t="str">
        <f t="shared" si="5"/>
        <v>collected</v>
      </c>
      <c r="J273" s="16" t="str">
        <f t="shared" si="6"/>
        <v>N</v>
      </c>
      <c r="K273" s="16"/>
      <c r="L273" s="16"/>
    </row>
    <row r="274">
      <c r="A274" s="44" t="s">
        <v>548</v>
      </c>
      <c r="B274" s="10" t="str">
        <f t="shared" si="1"/>
        <v>fatty_acid</v>
      </c>
      <c r="C274" s="49" t="str">
        <f t="shared" si="2"/>
        <v>S5358FA1</v>
      </c>
      <c r="D274" s="6">
        <v>24.0</v>
      </c>
      <c r="E274" s="10" t="str">
        <f t="shared" si="3"/>
        <v>BFA24</v>
      </c>
      <c r="F274" s="13">
        <v>1.0</v>
      </c>
      <c r="G274" s="10" t="str">
        <f t="shared" si="4"/>
        <v>BFA24-1</v>
      </c>
      <c r="H274" s="16"/>
      <c r="I274" s="16" t="str">
        <f t="shared" si="5"/>
        <v>collected</v>
      </c>
      <c r="J274" s="16" t="str">
        <f t="shared" si="6"/>
        <v>N</v>
      </c>
      <c r="K274" s="16"/>
      <c r="L274" s="16"/>
    </row>
    <row r="275">
      <c r="A275" s="44" t="s">
        <v>549</v>
      </c>
      <c r="B275" s="10" t="str">
        <f t="shared" si="1"/>
        <v>fatty_acid</v>
      </c>
      <c r="C275" s="49" t="str">
        <f t="shared" si="2"/>
        <v>S5359FA1</v>
      </c>
      <c r="D275" s="6">
        <v>24.0</v>
      </c>
      <c r="E275" s="10" t="str">
        <f t="shared" si="3"/>
        <v>BFA24</v>
      </c>
      <c r="F275" s="13">
        <v>2.0</v>
      </c>
      <c r="G275" s="10" t="str">
        <f t="shared" si="4"/>
        <v>BFA24-2</v>
      </c>
      <c r="H275" s="16"/>
      <c r="I275" s="16" t="str">
        <f t="shared" si="5"/>
        <v>collected</v>
      </c>
      <c r="J275" s="16" t="str">
        <f t="shared" si="6"/>
        <v>N</v>
      </c>
      <c r="K275" s="16"/>
      <c r="L275" s="16"/>
    </row>
    <row r="276">
      <c r="A276" s="44" t="s">
        <v>552</v>
      </c>
      <c r="B276" s="10" t="str">
        <f t="shared" si="1"/>
        <v>fatty_acid</v>
      </c>
      <c r="C276" s="49" t="str">
        <f t="shared" si="2"/>
        <v>S5360FA1</v>
      </c>
      <c r="D276" s="6">
        <v>24.0</v>
      </c>
      <c r="E276" s="10" t="str">
        <f t="shared" si="3"/>
        <v>BFA24</v>
      </c>
      <c r="F276" s="13">
        <v>3.0</v>
      </c>
      <c r="G276" s="10" t="str">
        <f t="shared" si="4"/>
        <v>BFA24-3</v>
      </c>
      <c r="H276" s="16"/>
      <c r="I276" s="16" t="str">
        <f t="shared" si="5"/>
        <v>collected</v>
      </c>
      <c r="J276" s="16" t="str">
        <f t="shared" si="6"/>
        <v>N</v>
      </c>
      <c r="K276" s="16"/>
      <c r="L276" s="16"/>
    </row>
    <row r="277">
      <c r="A277" s="44" t="s">
        <v>553</v>
      </c>
      <c r="B277" s="10" t="str">
        <f t="shared" si="1"/>
        <v>fatty_acid</v>
      </c>
      <c r="C277" s="49" t="str">
        <f t="shared" si="2"/>
        <v>S5361FA1</v>
      </c>
      <c r="D277" s="6">
        <v>24.0</v>
      </c>
      <c r="E277" s="10" t="str">
        <f t="shared" si="3"/>
        <v>BFA24</v>
      </c>
      <c r="F277" s="13">
        <v>4.0</v>
      </c>
      <c r="G277" s="10" t="str">
        <f t="shared" si="4"/>
        <v>BFA24-4</v>
      </c>
      <c r="H277" s="16"/>
      <c r="I277" s="16" t="str">
        <f t="shared" si="5"/>
        <v>collected</v>
      </c>
      <c r="J277" s="16" t="str">
        <f t="shared" si="6"/>
        <v>N</v>
      </c>
      <c r="K277" s="16"/>
      <c r="L277" s="16"/>
    </row>
    <row r="278">
      <c r="A278" s="44" t="s">
        <v>554</v>
      </c>
      <c r="B278" s="10" t="str">
        <f t="shared" si="1"/>
        <v>fatty_acid</v>
      </c>
      <c r="C278" s="49" t="str">
        <f t="shared" si="2"/>
        <v>S5412FA1</v>
      </c>
      <c r="D278" s="6">
        <v>24.0</v>
      </c>
      <c r="E278" s="10" t="str">
        <f t="shared" si="3"/>
        <v>BFA24</v>
      </c>
      <c r="F278" s="13">
        <v>5.0</v>
      </c>
      <c r="G278" s="10" t="str">
        <f t="shared" si="4"/>
        <v>BFA24-5</v>
      </c>
      <c r="H278" s="16"/>
      <c r="I278" s="16" t="str">
        <f t="shared" si="5"/>
        <v>collected</v>
      </c>
      <c r="J278" s="16" t="str">
        <f t="shared" si="6"/>
        <v>N</v>
      </c>
      <c r="K278" s="16"/>
      <c r="L278" s="16"/>
    </row>
    <row r="279">
      <c r="A279" s="44" t="s">
        <v>556</v>
      </c>
      <c r="B279" s="10" t="str">
        <f t="shared" si="1"/>
        <v>fatty_acid</v>
      </c>
      <c r="C279" s="49" t="str">
        <f t="shared" si="2"/>
        <v>S5413FA1</v>
      </c>
      <c r="D279" s="6">
        <v>24.0</v>
      </c>
      <c r="E279" s="10" t="str">
        <f t="shared" si="3"/>
        <v>BFA24</v>
      </c>
      <c r="F279" s="13">
        <v>6.0</v>
      </c>
      <c r="G279" s="10" t="str">
        <f t="shared" si="4"/>
        <v>BFA24-6</v>
      </c>
      <c r="H279" s="16"/>
      <c r="I279" s="16" t="str">
        <f t="shared" si="5"/>
        <v>collected</v>
      </c>
      <c r="J279" s="16" t="str">
        <f t="shared" si="6"/>
        <v>N</v>
      </c>
      <c r="K279" s="16"/>
      <c r="L279" s="16"/>
    </row>
    <row r="280">
      <c r="A280" s="44" t="s">
        <v>558</v>
      </c>
      <c r="B280" s="10" t="str">
        <f t="shared" si="1"/>
        <v>fatty_acid</v>
      </c>
      <c r="C280" s="49" t="str">
        <f t="shared" si="2"/>
        <v>S5414FA1</v>
      </c>
      <c r="D280" s="6">
        <v>24.0</v>
      </c>
      <c r="E280" s="10" t="str">
        <f t="shared" si="3"/>
        <v>BFA24</v>
      </c>
      <c r="F280" s="13">
        <v>7.0</v>
      </c>
      <c r="G280" s="10" t="str">
        <f t="shared" si="4"/>
        <v>BFA24-7</v>
      </c>
      <c r="H280" s="16"/>
      <c r="I280" s="16" t="str">
        <f t="shared" si="5"/>
        <v>collected</v>
      </c>
      <c r="J280" s="16" t="str">
        <f t="shared" si="6"/>
        <v>N</v>
      </c>
      <c r="K280" s="16"/>
      <c r="L280" s="16"/>
    </row>
    <row r="281">
      <c r="A281" s="44" t="s">
        <v>559</v>
      </c>
      <c r="B281" s="10" t="str">
        <f t="shared" si="1"/>
        <v>fatty_acid</v>
      </c>
      <c r="C281" s="49" t="str">
        <f t="shared" si="2"/>
        <v>S5415FA1</v>
      </c>
      <c r="D281" s="6">
        <v>24.0</v>
      </c>
      <c r="E281" s="10" t="str">
        <f t="shared" si="3"/>
        <v>BFA24</v>
      </c>
      <c r="F281" s="13">
        <v>8.0</v>
      </c>
      <c r="G281" s="10" t="str">
        <f t="shared" si="4"/>
        <v>BFA24-8</v>
      </c>
      <c r="H281" s="16"/>
      <c r="I281" s="16" t="str">
        <f t="shared" si="5"/>
        <v>collected</v>
      </c>
      <c r="J281" s="16" t="str">
        <f t="shared" si="6"/>
        <v>N</v>
      </c>
      <c r="K281" s="16"/>
      <c r="L281" s="16"/>
    </row>
    <row r="282">
      <c r="A282" s="44" t="s">
        <v>561</v>
      </c>
      <c r="B282" s="10" t="str">
        <f t="shared" si="1"/>
        <v>fatty_acid</v>
      </c>
      <c r="C282" s="49" t="str">
        <f t="shared" si="2"/>
        <v>S5416FA1</v>
      </c>
      <c r="D282" s="6">
        <v>24.0</v>
      </c>
      <c r="E282" s="10" t="str">
        <f t="shared" si="3"/>
        <v>BFA24</v>
      </c>
      <c r="F282" s="13">
        <v>9.0</v>
      </c>
      <c r="G282" s="10" t="str">
        <f t="shared" si="4"/>
        <v>BFA24-9</v>
      </c>
      <c r="H282" s="16"/>
      <c r="I282" s="16" t="str">
        <f t="shared" si="5"/>
        <v>collected</v>
      </c>
      <c r="J282" s="16" t="str">
        <f t="shared" si="6"/>
        <v>N</v>
      </c>
      <c r="K282" s="16"/>
      <c r="L282" s="16"/>
    </row>
    <row r="283">
      <c r="A283" s="44" t="s">
        <v>562</v>
      </c>
      <c r="B283" s="10" t="str">
        <f t="shared" si="1"/>
        <v>fatty_acid</v>
      </c>
      <c r="C283" s="49" t="str">
        <f t="shared" si="2"/>
        <v>S5417FA1</v>
      </c>
      <c r="D283" s="6">
        <v>24.0</v>
      </c>
      <c r="E283" s="10" t="str">
        <f t="shared" si="3"/>
        <v>BFA24</v>
      </c>
      <c r="F283" s="13">
        <v>10.0</v>
      </c>
      <c r="G283" s="10" t="str">
        <f t="shared" si="4"/>
        <v>BFA24-10</v>
      </c>
      <c r="H283" s="16"/>
      <c r="I283" s="16" t="str">
        <f t="shared" si="5"/>
        <v>collected</v>
      </c>
      <c r="J283" s="16" t="str">
        <f t="shared" si="6"/>
        <v>N</v>
      </c>
      <c r="K283" s="16"/>
      <c r="L283" s="16"/>
    </row>
    <row r="284">
      <c r="A284" s="44" t="s">
        <v>564</v>
      </c>
      <c r="B284" s="10" t="str">
        <f t="shared" si="1"/>
        <v>fatty_acid</v>
      </c>
      <c r="C284" s="49" t="str">
        <f t="shared" si="2"/>
        <v>S5418FA1</v>
      </c>
      <c r="D284" s="6">
        <v>24.0</v>
      </c>
      <c r="E284" s="10" t="str">
        <f t="shared" si="3"/>
        <v>BFA24</v>
      </c>
      <c r="F284" s="13">
        <v>11.0</v>
      </c>
      <c r="G284" s="10" t="str">
        <f t="shared" si="4"/>
        <v>BFA24-11</v>
      </c>
      <c r="H284" s="16"/>
      <c r="I284" s="16" t="str">
        <f t="shared" si="5"/>
        <v>collected</v>
      </c>
      <c r="J284" s="16" t="str">
        <f t="shared" si="6"/>
        <v>N</v>
      </c>
      <c r="K284" s="16"/>
      <c r="L284" s="16"/>
    </row>
    <row r="285">
      <c r="A285" s="44" t="s">
        <v>566</v>
      </c>
      <c r="B285" s="10" t="str">
        <f t="shared" si="1"/>
        <v>fatty_acid</v>
      </c>
      <c r="C285" s="49" t="str">
        <f t="shared" si="2"/>
        <v>S5419FA1</v>
      </c>
      <c r="D285" s="6">
        <v>24.0</v>
      </c>
      <c r="E285" s="10" t="str">
        <f t="shared" si="3"/>
        <v>BFA24</v>
      </c>
      <c r="F285" s="13">
        <v>12.0</v>
      </c>
      <c r="G285" s="10" t="str">
        <f t="shared" si="4"/>
        <v>BFA24-12</v>
      </c>
      <c r="H285" s="16"/>
      <c r="I285" s="16" t="str">
        <f t="shared" si="5"/>
        <v>collected</v>
      </c>
      <c r="J285" s="16" t="str">
        <f t="shared" si="6"/>
        <v>N</v>
      </c>
      <c r="K285" s="16"/>
      <c r="L285" s="16"/>
    </row>
    <row r="286">
      <c r="A286" s="44" t="s">
        <v>567</v>
      </c>
      <c r="B286" s="10" t="str">
        <f t="shared" si="1"/>
        <v>fatty_acid</v>
      </c>
      <c r="C286" s="49" t="str">
        <f t="shared" si="2"/>
        <v>S5420FA1</v>
      </c>
      <c r="D286" s="6">
        <v>24.0</v>
      </c>
      <c r="E286" s="10" t="str">
        <f t="shared" si="3"/>
        <v>BFA24</v>
      </c>
      <c r="F286" s="13">
        <v>13.0</v>
      </c>
      <c r="G286" s="10" t="str">
        <f t="shared" si="4"/>
        <v>BFA24-13</v>
      </c>
      <c r="H286" s="16"/>
      <c r="I286" s="16" t="str">
        <f t="shared" si="5"/>
        <v>collected</v>
      </c>
      <c r="J286" s="16" t="str">
        <f t="shared" si="6"/>
        <v>N</v>
      </c>
      <c r="K286" s="16"/>
      <c r="L286" s="16"/>
    </row>
    <row r="287">
      <c r="A287" s="44" t="s">
        <v>569</v>
      </c>
      <c r="B287" s="10" t="str">
        <f t="shared" si="1"/>
        <v>fatty_acid</v>
      </c>
      <c r="C287" s="49" t="str">
        <f t="shared" si="2"/>
        <v>S5421FA1</v>
      </c>
      <c r="D287" s="6">
        <v>24.0</v>
      </c>
      <c r="E287" s="10" t="str">
        <f t="shared" si="3"/>
        <v>BFA24</v>
      </c>
      <c r="F287" s="13">
        <v>14.0</v>
      </c>
      <c r="G287" s="10" t="str">
        <f t="shared" si="4"/>
        <v>BFA24-14</v>
      </c>
      <c r="H287" s="16"/>
      <c r="I287" s="16" t="str">
        <f t="shared" si="5"/>
        <v>collected</v>
      </c>
      <c r="J287" s="16" t="str">
        <f t="shared" si="6"/>
        <v>N</v>
      </c>
      <c r="K287" s="16"/>
      <c r="L287" s="16"/>
    </row>
    <row r="288">
      <c r="A288" s="26" t="s">
        <v>570</v>
      </c>
      <c r="B288" s="10" t="str">
        <f t="shared" si="1"/>
        <v>fatty_acid</v>
      </c>
      <c r="C288" s="49" t="str">
        <f t="shared" si="2"/>
        <v>S5389FA1</v>
      </c>
      <c r="D288" s="6">
        <v>23.0</v>
      </c>
      <c r="E288" s="10" t="str">
        <f t="shared" si="3"/>
        <v>BFA23</v>
      </c>
      <c r="F288" s="13">
        <v>73.0</v>
      </c>
      <c r="G288" s="10" t="str">
        <f t="shared" si="4"/>
        <v>BFA23-73</v>
      </c>
      <c r="H288" s="16"/>
      <c r="I288" s="16" t="str">
        <f t="shared" si="5"/>
        <v>collected</v>
      </c>
      <c r="J288" s="16" t="str">
        <f t="shared" si="6"/>
        <v>N</v>
      </c>
      <c r="K288" s="16"/>
      <c r="L288" s="16"/>
    </row>
    <row r="289">
      <c r="A289" s="26" t="s">
        <v>571</v>
      </c>
      <c r="B289" s="10" t="str">
        <f t="shared" si="1"/>
        <v>fatty_acid</v>
      </c>
      <c r="C289" s="49" t="str">
        <f t="shared" si="2"/>
        <v>S5390FA1</v>
      </c>
      <c r="D289" s="6">
        <v>23.0</v>
      </c>
      <c r="E289" s="10" t="str">
        <f t="shared" si="3"/>
        <v>BFA23</v>
      </c>
      <c r="F289" s="13">
        <v>74.0</v>
      </c>
      <c r="G289" s="10" t="str">
        <f t="shared" si="4"/>
        <v>BFA23-74</v>
      </c>
      <c r="H289" s="16"/>
      <c r="I289" s="16" t="str">
        <f t="shared" si="5"/>
        <v>collected</v>
      </c>
      <c r="J289" s="16" t="str">
        <f t="shared" si="6"/>
        <v>N</v>
      </c>
      <c r="K289" s="16"/>
      <c r="L289" s="16"/>
    </row>
    <row r="290">
      <c r="A290" s="26" t="s">
        <v>574</v>
      </c>
      <c r="B290" s="10" t="str">
        <f t="shared" si="1"/>
        <v>fatty_acid</v>
      </c>
      <c r="C290" s="49" t="str">
        <f t="shared" si="2"/>
        <v>S5391FA1</v>
      </c>
      <c r="D290" s="6">
        <v>23.0</v>
      </c>
      <c r="E290" s="10" t="str">
        <f t="shared" si="3"/>
        <v>BFA23</v>
      </c>
      <c r="F290" s="13">
        <v>75.0</v>
      </c>
      <c r="G290" s="10" t="str">
        <f t="shared" si="4"/>
        <v>BFA23-75</v>
      </c>
      <c r="H290" s="16"/>
      <c r="I290" s="16" t="str">
        <f t="shared" si="5"/>
        <v>collected</v>
      </c>
      <c r="J290" s="16" t="str">
        <f t="shared" si="6"/>
        <v>N</v>
      </c>
      <c r="K290" s="16"/>
      <c r="L290" s="16"/>
    </row>
    <row r="291">
      <c r="A291" s="26" t="s">
        <v>575</v>
      </c>
      <c r="B291" s="10" t="str">
        <f t="shared" si="1"/>
        <v>fatty_acid</v>
      </c>
      <c r="C291" s="49" t="str">
        <f t="shared" si="2"/>
        <v>S5392FA1</v>
      </c>
      <c r="D291" s="6">
        <v>23.0</v>
      </c>
      <c r="E291" s="10" t="str">
        <f t="shared" si="3"/>
        <v>BFA23</v>
      </c>
      <c r="F291" s="13">
        <v>76.0</v>
      </c>
      <c r="G291" s="10" t="str">
        <f t="shared" si="4"/>
        <v>BFA23-76</v>
      </c>
      <c r="H291" s="16"/>
      <c r="I291" s="16" t="str">
        <f t="shared" si="5"/>
        <v>collected</v>
      </c>
      <c r="J291" s="16" t="str">
        <f t="shared" si="6"/>
        <v>N</v>
      </c>
      <c r="K291" s="16"/>
      <c r="L291" s="16"/>
    </row>
    <row r="292">
      <c r="A292" s="27" t="s">
        <v>577</v>
      </c>
      <c r="B292" s="10" t="str">
        <f t="shared" si="1"/>
        <v>fatty_acid</v>
      </c>
      <c r="C292" s="49" t="str">
        <f t="shared" si="2"/>
        <v>S5393FA1</v>
      </c>
      <c r="D292" s="6">
        <v>23.0</v>
      </c>
      <c r="E292" s="10" t="str">
        <f t="shared" si="3"/>
        <v>BFA23</v>
      </c>
      <c r="F292" s="13">
        <v>77.0</v>
      </c>
      <c r="G292" s="10" t="str">
        <f t="shared" si="4"/>
        <v>BFA23-77</v>
      </c>
      <c r="H292" s="6"/>
      <c r="I292" s="16" t="str">
        <f t="shared" si="5"/>
        <v>collected</v>
      </c>
      <c r="J292" s="16" t="str">
        <f t="shared" si="6"/>
        <v>N</v>
      </c>
      <c r="K292" s="16"/>
      <c r="L292" s="16"/>
    </row>
    <row r="293">
      <c r="A293" s="27" t="s">
        <v>578</v>
      </c>
      <c r="B293" s="10" t="str">
        <f t="shared" si="1"/>
        <v>fatty_acid</v>
      </c>
      <c r="C293" s="49" t="str">
        <f t="shared" si="2"/>
        <v>S5394FA1</v>
      </c>
      <c r="D293" s="6">
        <v>23.0</v>
      </c>
      <c r="E293" s="10" t="str">
        <f t="shared" si="3"/>
        <v>BFA23</v>
      </c>
      <c r="F293" s="13">
        <v>78.0</v>
      </c>
      <c r="G293" s="10" t="str">
        <f t="shared" si="4"/>
        <v>BFA23-78</v>
      </c>
      <c r="H293" s="6"/>
      <c r="I293" s="16" t="str">
        <f t="shared" si="5"/>
        <v>collected</v>
      </c>
      <c r="J293" s="16" t="str">
        <f t="shared" si="6"/>
        <v>N</v>
      </c>
      <c r="K293" s="16"/>
      <c r="L293" s="16"/>
    </row>
    <row r="294">
      <c r="A294" s="27" t="s">
        <v>580</v>
      </c>
      <c r="B294" s="10" t="str">
        <f t="shared" si="1"/>
        <v>fatty_acid</v>
      </c>
      <c r="C294" s="49" t="str">
        <f t="shared" si="2"/>
        <v>S5395FA1</v>
      </c>
      <c r="D294" s="6">
        <v>23.0</v>
      </c>
      <c r="E294" s="10" t="str">
        <f t="shared" si="3"/>
        <v>BFA23</v>
      </c>
      <c r="F294" s="13">
        <v>79.0</v>
      </c>
      <c r="G294" s="10" t="str">
        <f t="shared" si="4"/>
        <v>BFA23-79</v>
      </c>
      <c r="H294" s="6"/>
      <c r="I294" s="16" t="str">
        <f t="shared" si="5"/>
        <v>collected</v>
      </c>
      <c r="J294" s="16" t="str">
        <f t="shared" si="6"/>
        <v>N</v>
      </c>
      <c r="K294" s="16"/>
      <c r="L294" s="16"/>
    </row>
    <row r="295">
      <c r="A295" s="27" t="s">
        <v>581</v>
      </c>
      <c r="B295" s="10" t="str">
        <f t="shared" si="1"/>
        <v>fatty_acid</v>
      </c>
      <c r="C295" s="49" t="str">
        <f t="shared" si="2"/>
        <v>S5396FA1</v>
      </c>
      <c r="D295" s="6">
        <v>23.0</v>
      </c>
      <c r="E295" s="10" t="str">
        <f t="shared" si="3"/>
        <v>BFA23</v>
      </c>
      <c r="F295" s="13">
        <v>80.0</v>
      </c>
      <c r="G295" s="10" t="str">
        <f t="shared" si="4"/>
        <v>BFA23-80</v>
      </c>
      <c r="H295" s="16"/>
      <c r="I295" s="16" t="str">
        <f t="shared" si="5"/>
        <v>collected</v>
      </c>
      <c r="J295" s="16" t="str">
        <f t="shared" si="6"/>
        <v>N</v>
      </c>
      <c r="K295" s="16"/>
      <c r="L295" s="16"/>
    </row>
    <row r="296">
      <c r="A296" s="27" t="s">
        <v>583</v>
      </c>
      <c r="B296" s="10" t="str">
        <f t="shared" si="1"/>
        <v>fatty_acid</v>
      </c>
      <c r="C296" s="49" t="str">
        <f t="shared" si="2"/>
        <v>S5397FA1</v>
      </c>
      <c r="D296" s="6">
        <v>23.0</v>
      </c>
      <c r="E296" s="10" t="str">
        <f t="shared" si="3"/>
        <v>BFA23</v>
      </c>
      <c r="F296" s="13">
        <v>81.0</v>
      </c>
      <c r="G296" s="10" t="str">
        <f t="shared" si="4"/>
        <v>BFA23-81</v>
      </c>
      <c r="H296" s="16"/>
      <c r="I296" s="16" t="str">
        <f t="shared" si="5"/>
        <v>collected</v>
      </c>
      <c r="J296" s="16" t="str">
        <f t="shared" si="6"/>
        <v>N</v>
      </c>
      <c r="K296" s="16"/>
      <c r="L296" s="16"/>
    </row>
    <row r="297">
      <c r="A297" s="27" t="s">
        <v>584</v>
      </c>
      <c r="B297" s="10" t="str">
        <f t="shared" si="1"/>
        <v>fatty_acid</v>
      </c>
      <c r="C297" s="49" t="str">
        <f t="shared" si="2"/>
        <v>S5398FA1</v>
      </c>
      <c r="D297" s="6">
        <v>25.0</v>
      </c>
      <c r="E297" s="10" t="str">
        <f t="shared" si="3"/>
        <v>BFA25</v>
      </c>
      <c r="F297" s="13">
        <v>1.0</v>
      </c>
      <c r="G297" s="10" t="str">
        <f t="shared" si="4"/>
        <v>BFA25-1</v>
      </c>
      <c r="H297" s="16"/>
      <c r="I297" s="16" t="str">
        <f t="shared" si="5"/>
        <v>collected</v>
      </c>
      <c r="J297" s="16" t="str">
        <f t="shared" si="6"/>
        <v>N</v>
      </c>
      <c r="K297" s="16"/>
      <c r="L297" s="16"/>
    </row>
    <row r="298">
      <c r="A298" s="27" t="s">
        <v>585</v>
      </c>
      <c r="B298" s="10" t="str">
        <f t="shared" si="1"/>
        <v>fatty_acid</v>
      </c>
      <c r="C298" s="49" t="str">
        <f t="shared" si="2"/>
        <v>S5399FA1</v>
      </c>
      <c r="D298" s="6">
        <v>25.0</v>
      </c>
      <c r="E298" s="10" t="str">
        <f t="shared" si="3"/>
        <v>BFA25</v>
      </c>
      <c r="F298" s="13">
        <v>2.0</v>
      </c>
      <c r="G298" s="10" t="str">
        <f t="shared" si="4"/>
        <v>BFA25-2</v>
      </c>
      <c r="H298" s="16"/>
      <c r="I298" s="16" t="str">
        <f t="shared" si="5"/>
        <v>collected</v>
      </c>
      <c r="J298" s="16" t="str">
        <f t="shared" si="6"/>
        <v>N</v>
      </c>
      <c r="K298" s="16"/>
      <c r="L298" s="16"/>
    </row>
    <row r="299">
      <c r="A299" s="27" t="s">
        <v>588</v>
      </c>
      <c r="B299" s="10" t="str">
        <f t="shared" si="1"/>
        <v>fatty_acid</v>
      </c>
      <c r="C299" s="49" t="str">
        <f t="shared" si="2"/>
        <v>S5400FA1</v>
      </c>
      <c r="D299" s="6">
        <v>25.0</v>
      </c>
      <c r="E299" s="10" t="str">
        <f t="shared" si="3"/>
        <v>BFA25</v>
      </c>
      <c r="F299" s="13">
        <v>3.0</v>
      </c>
      <c r="G299" s="10" t="str">
        <f t="shared" si="4"/>
        <v>BFA25-3</v>
      </c>
      <c r="H299" s="16"/>
      <c r="I299" s="16" t="str">
        <f t="shared" si="5"/>
        <v>collected</v>
      </c>
      <c r="J299" s="16" t="str">
        <f t="shared" si="6"/>
        <v>N</v>
      </c>
      <c r="K299" s="16"/>
      <c r="L299" s="16"/>
    </row>
    <row r="300">
      <c r="A300" s="27" t="s">
        <v>590</v>
      </c>
      <c r="B300" s="10" t="str">
        <f t="shared" si="1"/>
        <v>fatty_acid</v>
      </c>
      <c r="C300" s="49" t="str">
        <f t="shared" si="2"/>
        <v>S5401FA1</v>
      </c>
      <c r="D300" s="6">
        <v>25.0</v>
      </c>
      <c r="E300" s="10" t="str">
        <f t="shared" si="3"/>
        <v>BFA25</v>
      </c>
      <c r="F300" s="13">
        <v>4.0</v>
      </c>
      <c r="G300" s="10" t="str">
        <f t="shared" si="4"/>
        <v>BFA25-4</v>
      </c>
      <c r="H300" s="16"/>
      <c r="I300" s="16" t="str">
        <f t="shared" si="5"/>
        <v>collected</v>
      </c>
      <c r="J300" s="16" t="str">
        <f t="shared" si="6"/>
        <v>N</v>
      </c>
      <c r="K300" s="16"/>
      <c r="L300" s="16"/>
    </row>
    <row r="301">
      <c r="A301" s="27" t="s">
        <v>591</v>
      </c>
      <c r="B301" s="10" t="str">
        <f t="shared" si="1"/>
        <v>fatty_acid</v>
      </c>
      <c r="C301" s="49" t="str">
        <f t="shared" si="2"/>
        <v>S5402FA1</v>
      </c>
      <c r="D301" s="6">
        <v>25.0</v>
      </c>
      <c r="E301" s="10" t="str">
        <f t="shared" si="3"/>
        <v>BFA25</v>
      </c>
      <c r="F301" s="13">
        <v>5.0</v>
      </c>
      <c r="G301" s="10" t="str">
        <f t="shared" si="4"/>
        <v>BFA25-5</v>
      </c>
      <c r="H301" s="16"/>
      <c r="I301" s="16" t="str">
        <f t="shared" si="5"/>
        <v>collected</v>
      </c>
      <c r="J301" s="16" t="str">
        <f t="shared" si="6"/>
        <v>N</v>
      </c>
      <c r="K301" s="16"/>
      <c r="L301" s="16"/>
    </row>
    <row r="302">
      <c r="A302" s="27" t="s">
        <v>592</v>
      </c>
      <c r="B302" s="10" t="str">
        <f t="shared" si="1"/>
        <v>fatty_acid</v>
      </c>
      <c r="C302" s="49" t="str">
        <f t="shared" si="2"/>
        <v>S5403FA1</v>
      </c>
      <c r="D302" s="6">
        <v>25.0</v>
      </c>
      <c r="E302" s="10" t="str">
        <f t="shared" si="3"/>
        <v>BFA25</v>
      </c>
      <c r="F302" s="13">
        <v>6.0</v>
      </c>
      <c r="G302" s="10" t="str">
        <f t="shared" si="4"/>
        <v>BFA25-6</v>
      </c>
      <c r="H302" s="16"/>
      <c r="I302" s="16" t="str">
        <f t="shared" si="5"/>
        <v>collected</v>
      </c>
      <c r="J302" s="16" t="str">
        <f t="shared" si="6"/>
        <v>N</v>
      </c>
      <c r="K302" s="16"/>
      <c r="L302" s="16"/>
    </row>
    <row r="303">
      <c r="A303" s="27" t="s">
        <v>593</v>
      </c>
      <c r="B303" s="10" t="str">
        <f t="shared" si="1"/>
        <v>fatty_acid</v>
      </c>
      <c r="C303" s="49" t="str">
        <f t="shared" si="2"/>
        <v>S5404FA1</v>
      </c>
      <c r="D303" s="6">
        <v>25.0</v>
      </c>
      <c r="E303" s="10" t="str">
        <f t="shared" si="3"/>
        <v>BFA25</v>
      </c>
      <c r="F303" s="13">
        <v>7.0</v>
      </c>
      <c r="G303" s="10" t="str">
        <f t="shared" si="4"/>
        <v>BFA25-7</v>
      </c>
      <c r="H303" s="16"/>
      <c r="I303" s="16" t="str">
        <f t="shared" si="5"/>
        <v>collected</v>
      </c>
      <c r="J303" s="16" t="str">
        <f t="shared" si="6"/>
        <v>N</v>
      </c>
      <c r="K303" s="16"/>
      <c r="L303" s="16"/>
    </row>
    <row r="304">
      <c r="A304" s="27" t="s">
        <v>595</v>
      </c>
      <c r="B304" s="10" t="str">
        <f t="shared" si="1"/>
        <v>fatty_acid</v>
      </c>
      <c r="C304" s="49" t="str">
        <f t="shared" si="2"/>
        <v>S5405FA1</v>
      </c>
      <c r="D304" s="6">
        <v>25.0</v>
      </c>
      <c r="E304" s="10" t="str">
        <f t="shared" si="3"/>
        <v>BFA25</v>
      </c>
      <c r="F304" s="13">
        <v>8.0</v>
      </c>
      <c r="G304" s="10" t="str">
        <f t="shared" si="4"/>
        <v>BFA25-8</v>
      </c>
      <c r="H304" s="16"/>
      <c r="I304" s="16" t="str">
        <f t="shared" si="5"/>
        <v>collected</v>
      </c>
      <c r="J304" s="16" t="str">
        <f t="shared" si="6"/>
        <v>N</v>
      </c>
      <c r="K304" s="16"/>
      <c r="L304" s="16"/>
    </row>
    <row r="305">
      <c r="A305" s="28" t="s">
        <v>596</v>
      </c>
      <c r="B305" s="10" t="str">
        <f t="shared" si="1"/>
        <v>fatty_acid</v>
      </c>
      <c r="C305" s="49" t="str">
        <f t="shared" si="2"/>
        <v>S5315FA1</v>
      </c>
      <c r="D305" s="6">
        <v>22.0</v>
      </c>
      <c r="E305" s="10" t="str">
        <f t="shared" si="3"/>
        <v>BFA22</v>
      </c>
      <c r="F305" s="13">
        <v>18.0</v>
      </c>
      <c r="G305" s="10" t="str">
        <f t="shared" si="4"/>
        <v>BFA22-18</v>
      </c>
      <c r="H305" s="16"/>
      <c r="I305" s="16" t="str">
        <f t="shared" si="5"/>
        <v>collected</v>
      </c>
      <c r="J305" s="16" t="str">
        <f t="shared" si="6"/>
        <v>N</v>
      </c>
      <c r="K305" s="16"/>
      <c r="L305" s="16"/>
    </row>
    <row r="306">
      <c r="A306" s="28" t="s">
        <v>597</v>
      </c>
      <c r="B306" s="10" t="str">
        <f t="shared" si="1"/>
        <v>fatty_acid</v>
      </c>
      <c r="C306" s="49" t="str">
        <f t="shared" si="2"/>
        <v>S5316FA1</v>
      </c>
      <c r="D306" s="6">
        <v>22.0</v>
      </c>
      <c r="E306" s="10" t="str">
        <f t="shared" si="3"/>
        <v>BFA22</v>
      </c>
      <c r="F306" s="13">
        <v>19.0</v>
      </c>
      <c r="G306" s="10" t="str">
        <f t="shared" si="4"/>
        <v>BFA22-19</v>
      </c>
      <c r="H306" s="16"/>
      <c r="I306" s="16" t="str">
        <f t="shared" si="5"/>
        <v>collected</v>
      </c>
      <c r="J306" s="16" t="str">
        <f t="shared" si="6"/>
        <v>N</v>
      </c>
      <c r="K306" s="16"/>
      <c r="L306" s="16"/>
    </row>
    <row r="307">
      <c r="A307" s="29" t="s">
        <v>598</v>
      </c>
      <c r="B307" s="10" t="str">
        <f t="shared" si="1"/>
        <v>fatty_acid</v>
      </c>
      <c r="C307" s="49" t="str">
        <f t="shared" si="2"/>
        <v>S5317FA1</v>
      </c>
      <c r="D307" s="6">
        <v>22.0</v>
      </c>
      <c r="E307" s="10" t="str">
        <f t="shared" si="3"/>
        <v>BFA22</v>
      </c>
      <c r="F307" s="13">
        <v>20.0</v>
      </c>
      <c r="G307" s="10" t="str">
        <f t="shared" si="4"/>
        <v>BFA22-20</v>
      </c>
      <c r="H307" s="16"/>
      <c r="I307" s="16" t="str">
        <f t="shared" si="5"/>
        <v>collected</v>
      </c>
      <c r="J307" s="16" t="str">
        <f t="shared" si="6"/>
        <v>N</v>
      </c>
      <c r="K307" s="16"/>
      <c r="L307" s="16"/>
    </row>
    <row r="308">
      <c r="A308" s="29" t="s">
        <v>600</v>
      </c>
      <c r="B308" s="10" t="str">
        <f t="shared" si="1"/>
        <v>fatty_acid</v>
      </c>
      <c r="C308" s="49" t="str">
        <f t="shared" si="2"/>
        <v>S5318FA1</v>
      </c>
      <c r="D308" s="6">
        <v>22.0</v>
      </c>
      <c r="E308" s="10" t="str">
        <f t="shared" si="3"/>
        <v>BFA22</v>
      </c>
      <c r="F308" s="13">
        <v>21.0</v>
      </c>
      <c r="G308" s="10" t="str">
        <f t="shared" si="4"/>
        <v>BFA22-21</v>
      </c>
      <c r="H308" s="16"/>
      <c r="I308" s="16" t="str">
        <f t="shared" si="5"/>
        <v>collected</v>
      </c>
      <c r="J308" s="16" t="str">
        <f t="shared" si="6"/>
        <v>N</v>
      </c>
      <c r="K308" s="16"/>
      <c r="L308" s="16"/>
    </row>
    <row r="309">
      <c r="A309" s="29" t="s">
        <v>601</v>
      </c>
      <c r="B309" s="10" t="str">
        <f t="shared" si="1"/>
        <v>fatty_acid</v>
      </c>
      <c r="C309" s="49" t="str">
        <f t="shared" si="2"/>
        <v>S5319FA1</v>
      </c>
      <c r="D309" s="6">
        <v>22.0</v>
      </c>
      <c r="E309" s="10" t="str">
        <f t="shared" si="3"/>
        <v>BFA22</v>
      </c>
      <c r="F309" s="13">
        <v>22.0</v>
      </c>
      <c r="G309" s="10" t="str">
        <f t="shared" si="4"/>
        <v>BFA22-22</v>
      </c>
      <c r="H309" s="16"/>
      <c r="I309" s="16" t="str">
        <f t="shared" si="5"/>
        <v>collected</v>
      </c>
      <c r="J309" s="16" t="str">
        <f t="shared" si="6"/>
        <v>N</v>
      </c>
      <c r="K309" s="16"/>
      <c r="L309" s="16"/>
    </row>
    <row r="310">
      <c r="A310" s="29" t="s">
        <v>603</v>
      </c>
      <c r="B310" s="10" t="str">
        <f t="shared" si="1"/>
        <v>fatty_acid</v>
      </c>
      <c r="C310" s="49" t="str">
        <f t="shared" si="2"/>
        <v>S5320FA1</v>
      </c>
      <c r="D310" s="6">
        <v>22.0</v>
      </c>
      <c r="E310" s="10" t="str">
        <f t="shared" si="3"/>
        <v>BFA22</v>
      </c>
      <c r="F310" s="13">
        <v>23.0</v>
      </c>
      <c r="G310" s="10" t="str">
        <f t="shared" si="4"/>
        <v>BFA22-23</v>
      </c>
      <c r="H310" s="16"/>
      <c r="I310" s="16" t="str">
        <f t="shared" si="5"/>
        <v>collected</v>
      </c>
      <c r="J310" s="16" t="str">
        <f t="shared" si="6"/>
        <v>N</v>
      </c>
      <c r="K310" s="16"/>
      <c r="L310" s="16"/>
    </row>
    <row r="311">
      <c r="A311" s="29" t="s">
        <v>604</v>
      </c>
      <c r="B311" s="10" t="str">
        <f t="shared" si="1"/>
        <v>fatty_acid</v>
      </c>
      <c r="C311" s="49" t="str">
        <f t="shared" si="2"/>
        <v>S5321FA1</v>
      </c>
      <c r="D311" s="6">
        <v>22.0</v>
      </c>
      <c r="E311" s="10" t="str">
        <f t="shared" si="3"/>
        <v>BFA22</v>
      </c>
      <c r="F311" s="13">
        <v>24.0</v>
      </c>
      <c r="G311" s="10" t="str">
        <f t="shared" si="4"/>
        <v>BFA22-24</v>
      </c>
      <c r="H311" s="16"/>
      <c r="I311" s="16" t="str">
        <f t="shared" si="5"/>
        <v>collected</v>
      </c>
      <c r="J311" s="16" t="str">
        <f t="shared" si="6"/>
        <v>N</v>
      </c>
      <c r="K311" s="16"/>
      <c r="L311" s="16"/>
    </row>
    <row r="312">
      <c r="A312" s="27" t="s">
        <v>606</v>
      </c>
      <c r="B312" s="10" t="str">
        <f t="shared" si="1"/>
        <v>fatty_acid</v>
      </c>
      <c r="C312" s="49" t="str">
        <f t="shared" si="2"/>
        <v>S5406FA1</v>
      </c>
      <c r="D312" s="6">
        <v>25.0</v>
      </c>
      <c r="E312" s="10" t="str">
        <f t="shared" si="3"/>
        <v>BFA25</v>
      </c>
      <c r="F312" s="13">
        <v>9.0</v>
      </c>
      <c r="G312" s="10" t="str">
        <f t="shared" si="4"/>
        <v>BFA25-9</v>
      </c>
      <c r="H312" s="16"/>
      <c r="I312" s="16" t="str">
        <f t="shared" si="5"/>
        <v>collected</v>
      </c>
      <c r="J312" s="16" t="str">
        <f t="shared" si="6"/>
        <v>N</v>
      </c>
      <c r="K312" s="16"/>
      <c r="L312" s="16"/>
    </row>
    <row r="313">
      <c r="A313" s="27" t="s">
        <v>607</v>
      </c>
      <c r="B313" s="10" t="str">
        <f t="shared" si="1"/>
        <v>fatty_acid</v>
      </c>
      <c r="C313" s="49" t="str">
        <f t="shared" si="2"/>
        <v>S5407FA1</v>
      </c>
      <c r="D313" s="6">
        <v>25.0</v>
      </c>
      <c r="E313" s="10" t="str">
        <f t="shared" si="3"/>
        <v>BFA25</v>
      </c>
      <c r="F313" s="13">
        <v>10.0</v>
      </c>
      <c r="G313" s="10" t="str">
        <f t="shared" si="4"/>
        <v>BFA25-10</v>
      </c>
      <c r="H313" s="16"/>
      <c r="I313" s="16" t="str">
        <f t="shared" si="5"/>
        <v>collected</v>
      </c>
      <c r="J313" s="16" t="str">
        <f t="shared" si="6"/>
        <v>N</v>
      </c>
      <c r="K313" s="16"/>
      <c r="L313" s="16"/>
    </row>
    <row r="314">
      <c r="A314" s="27" t="s">
        <v>608</v>
      </c>
      <c r="B314" s="10" t="str">
        <f t="shared" si="1"/>
        <v>fatty_acid</v>
      </c>
      <c r="C314" s="49" t="str">
        <f t="shared" si="2"/>
        <v>S5408FA1</v>
      </c>
      <c r="D314" s="6">
        <v>25.0</v>
      </c>
      <c r="E314" s="10" t="str">
        <f t="shared" si="3"/>
        <v>BFA25</v>
      </c>
      <c r="F314" s="13">
        <v>11.0</v>
      </c>
      <c r="G314" s="10" t="str">
        <f t="shared" si="4"/>
        <v>BFA25-11</v>
      </c>
      <c r="H314" s="16"/>
      <c r="I314" s="16" t="str">
        <f t="shared" si="5"/>
        <v>collected</v>
      </c>
      <c r="J314" s="16" t="str">
        <f t="shared" si="6"/>
        <v>N</v>
      </c>
      <c r="K314" s="16"/>
      <c r="L314" s="16"/>
    </row>
    <row r="315">
      <c r="A315" s="27" t="s">
        <v>610</v>
      </c>
      <c r="B315" s="10" t="str">
        <f t="shared" si="1"/>
        <v>fatty_acid</v>
      </c>
      <c r="C315" s="49" t="str">
        <f t="shared" si="2"/>
        <v>S5409FA1</v>
      </c>
      <c r="D315" s="6">
        <v>25.0</v>
      </c>
      <c r="E315" s="10" t="str">
        <f t="shared" si="3"/>
        <v>BFA25</v>
      </c>
      <c r="F315" s="13">
        <v>12.0</v>
      </c>
      <c r="G315" s="10" t="str">
        <f t="shared" si="4"/>
        <v>BFA25-12</v>
      </c>
      <c r="H315" s="16"/>
      <c r="I315" s="16" t="str">
        <f t="shared" si="5"/>
        <v>collected</v>
      </c>
      <c r="J315" s="16" t="str">
        <f t="shared" si="6"/>
        <v>N</v>
      </c>
      <c r="K315" s="16"/>
      <c r="L315" s="16"/>
    </row>
    <row r="316">
      <c r="A316" s="27" t="s">
        <v>611</v>
      </c>
      <c r="B316" s="10" t="str">
        <f t="shared" si="1"/>
        <v>fatty_acid</v>
      </c>
      <c r="C316" s="49" t="str">
        <f t="shared" si="2"/>
        <v>S5410FA1</v>
      </c>
      <c r="D316" s="6">
        <v>25.0</v>
      </c>
      <c r="E316" s="10" t="str">
        <f t="shared" si="3"/>
        <v>BFA25</v>
      </c>
      <c r="F316" s="13">
        <v>13.0</v>
      </c>
      <c r="G316" s="10" t="str">
        <f t="shared" si="4"/>
        <v>BFA25-13</v>
      </c>
      <c r="H316" s="16"/>
      <c r="I316" s="16" t="str">
        <f t="shared" si="5"/>
        <v>collected</v>
      </c>
      <c r="J316" s="16" t="str">
        <f t="shared" si="6"/>
        <v>N</v>
      </c>
      <c r="K316" s="16"/>
      <c r="L316" s="16"/>
    </row>
    <row r="317">
      <c r="A317" s="27" t="s">
        <v>613</v>
      </c>
      <c r="B317" s="10" t="str">
        <f t="shared" si="1"/>
        <v>fatty_acid</v>
      </c>
      <c r="C317" s="49" t="str">
        <f t="shared" si="2"/>
        <v>S5411FA1</v>
      </c>
      <c r="D317" s="6">
        <v>25.0</v>
      </c>
      <c r="E317" s="10" t="str">
        <f t="shared" si="3"/>
        <v>BFA25</v>
      </c>
      <c r="F317" s="13">
        <v>14.0</v>
      </c>
      <c r="G317" s="10" t="str">
        <f t="shared" si="4"/>
        <v>BFA25-14</v>
      </c>
      <c r="H317" s="16"/>
      <c r="I317" s="16" t="str">
        <f t="shared" si="5"/>
        <v>collected</v>
      </c>
      <c r="J317" s="16" t="str">
        <f t="shared" si="6"/>
        <v>N</v>
      </c>
      <c r="K317" s="16"/>
      <c r="L317" s="16"/>
    </row>
    <row r="318">
      <c r="A318" s="27" t="s">
        <v>614</v>
      </c>
      <c r="B318" s="10" t="str">
        <f t="shared" si="1"/>
        <v>fatty_acid</v>
      </c>
      <c r="C318" s="49" t="str">
        <f t="shared" si="2"/>
        <v>S5437FA1</v>
      </c>
      <c r="D318" s="6">
        <v>25.0</v>
      </c>
      <c r="E318" s="10" t="str">
        <f t="shared" si="3"/>
        <v>BFA25</v>
      </c>
      <c r="F318" s="13">
        <v>15.0</v>
      </c>
      <c r="G318" s="10" t="str">
        <f t="shared" si="4"/>
        <v>BFA25-15</v>
      </c>
      <c r="H318" s="16"/>
      <c r="I318" s="16" t="str">
        <f t="shared" si="5"/>
        <v>collected</v>
      </c>
      <c r="J318" s="16" t="str">
        <f t="shared" si="6"/>
        <v>N</v>
      </c>
      <c r="K318" s="16"/>
      <c r="L318" s="16"/>
    </row>
    <row r="319">
      <c r="A319" s="26" t="s">
        <v>615</v>
      </c>
      <c r="B319" s="10" t="str">
        <f t="shared" si="1"/>
        <v>fatty_acid</v>
      </c>
      <c r="C319" s="49" t="str">
        <f t="shared" si="2"/>
        <v>S5438FA1</v>
      </c>
      <c r="D319" s="6">
        <v>25.0</v>
      </c>
      <c r="E319" s="10" t="str">
        <f t="shared" si="3"/>
        <v>BFA25</v>
      </c>
      <c r="F319" s="13">
        <v>16.0</v>
      </c>
      <c r="G319" s="10" t="str">
        <f t="shared" si="4"/>
        <v>BFA25-16</v>
      </c>
      <c r="H319" s="16"/>
      <c r="I319" s="16" t="str">
        <f t="shared" si="5"/>
        <v>collected</v>
      </c>
      <c r="J319" s="16" t="str">
        <f t="shared" si="6"/>
        <v>N</v>
      </c>
      <c r="K319" s="16"/>
      <c r="L319" s="16"/>
    </row>
    <row r="320">
      <c r="A320" s="26" t="s">
        <v>618</v>
      </c>
      <c r="B320" s="10" t="str">
        <f t="shared" si="1"/>
        <v>fatty_acid</v>
      </c>
      <c r="C320" s="49" t="str">
        <f t="shared" si="2"/>
        <v>S5439FA1</v>
      </c>
      <c r="D320" s="6">
        <v>25.0</v>
      </c>
      <c r="E320" s="10" t="str">
        <f t="shared" si="3"/>
        <v>BFA25</v>
      </c>
      <c r="F320" s="13">
        <v>17.0</v>
      </c>
      <c r="G320" s="10" t="str">
        <f t="shared" si="4"/>
        <v>BFA25-17</v>
      </c>
      <c r="H320" s="16"/>
      <c r="I320" s="16" t="str">
        <f t="shared" si="5"/>
        <v>collected</v>
      </c>
      <c r="J320" s="16" t="str">
        <f t="shared" si="6"/>
        <v>N</v>
      </c>
      <c r="K320" s="16"/>
      <c r="L320" s="16"/>
    </row>
    <row r="321">
      <c r="A321" s="26" t="s">
        <v>619</v>
      </c>
      <c r="B321" s="10" t="str">
        <f t="shared" si="1"/>
        <v>fatty_acid</v>
      </c>
      <c r="C321" s="49" t="str">
        <f t="shared" si="2"/>
        <v>S5440FA1</v>
      </c>
      <c r="D321" s="6">
        <v>25.0</v>
      </c>
      <c r="E321" s="10" t="str">
        <f t="shared" si="3"/>
        <v>BFA25</v>
      </c>
      <c r="F321" s="13">
        <v>18.0</v>
      </c>
      <c r="G321" s="10" t="str">
        <f t="shared" si="4"/>
        <v>BFA25-18</v>
      </c>
      <c r="H321" s="16"/>
      <c r="I321" s="16" t="str">
        <f t="shared" si="5"/>
        <v>collected</v>
      </c>
      <c r="J321" s="16" t="str">
        <f t="shared" si="6"/>
        <v>N</v>
      </c>
      <c r="K321" s="16"/>
      <c r="L321" s="16"/>
    </row>
    <row r="322">
      <c r="A322" s="26" t="s">
        <v>621</v>
      </c>
      <c r="B322" s="10" t="str">
        <f t="shared" si="1"/>
        <v>fatty_acid</v>
      </c>
      <c r="C322" s="49" t="str">
        <f t="shared" si="2"/>
        <v>S5441FA1</v>
      </c>
      <c r="D322" s="6">
        <v>25.0</v>
      </c>
      <c r="E322" s="10" t="str">
        <f t="shared" si="3"/>
        <v>BFA25</v>
      </c>
      <c r="F322" s="13">
        <v>19.0</v>
      </c>
      <c r="G322" s="10" t="str">
        <f t="shared" si="4"/>
        <v>BFA25-19</v>
      </c>
      <c r="H322" s="16"/>
      <c r="I322" s="16" t="str">
        <f t="shared" si="5"/>
        <v>collected</v>
      </c>
      <c r="J322" s="16" t="str">
        <f t="shared" si="6"/>
        <v>N</v>
      </c>
      <c r="K322" s="16"/>
      <c r="L322" s="16"/>
    </row>
    <row r="323">
      <c r="A323" s="26" t="s">
        <v>622</v>
      </c>
      <c r="B323" s="10" t="str">
        <f t="shared" si="1"/>
        <v>fatty_acid</v>
      </c>
      <c r="C323" s="49" t="str">
        <f t="shared" si="2"/>
        <v>S5442FA1</v>
      </c>
      <c r="D323" s="6">
        <v>25.0</v>
      </c>
      <c r="E323" s="10" t="str">
        <f t="shared" si="3"/>
        <v>BFA25</v>
      </c>
      <c r="F323" s="13">
        <v>20.0</v>
      </c>
      <c r="G323" s="10" t="str">
        <f t="shared" si="4"/>
        <v>BFA25-20</v>
      </c>
      <c r="H323" s="16"/>
      <c r="I323" s="16" t="str">
        <f t="shared" si="5"/>
        <v>collected</v>
      </c>
      <c r="J323" s="16" t="str">
        <f t="shared" si="6"/>
        <v>N</v>
      </c>
      <c r="K323" s="16"/>
      <c r="L323" s="16"/>
    </row>
    <row r="324">
      <c r="A324" s="26" t="s">
        <v>624</v>
      </c>
      <c r="B324" s="10" t="str">
        <f t="shared" si="1"/>
        <v>fatty_acid</v>
      </c>
      <c r="C324" s="49" t="str">
        <f t="shared" si="2"/>
        <v>S5443FA1</v>
      </c>
      <c r="D324" s="6">
        <v>25.0</v>
      </c>
      <c r="E324" s="10" t="str">
        <f t="shared" si="3"/>
        <v>BFA25</v>
      </c>
      <c r="F324" s="13">
        <v>21.0</v>
      </c>
      <c r="G324" s="10" t="str">
        <f t="shared" si="4"/>
        <v>BFA25-21</v>
      </c>
      <c r="H324" s="16"/>
      <c r="I324" s="16" t="str">
        <f t="shared" si="5"/>
        <v>collected</v>
      </c>
      <c r="J324" s="16" t="str">
        <f t="shared" si="6"/>
        <v>N</v>
      </c>
      <c r="K324" s="16"/>
      <c r="L324" s="16"/>
    </row>
    <row r="325">
      <c r="A325" s="26" t="s">
        <v>626</v>
      </c>
      <c r="B325" s="10" t="str">
        <f t="shared" si="1"/>
        <v>fatty_acid</v>
      </c>
      <c r="C325" s="49" t="str">
        <f t="shared" si="2"/>
        <v>S5444FA1</v>
      </c>
      <c r="D325" s="6">
        <v>25.0</v>
      </c>
      <c r="E325" s="10" t="str">
        <f t="shared" si="3"/>
        <v>BFA25</v>
      </c>
      <c r="F325" s="13">
        <v>22.0</v>
      </c>
      <c r="G325" s="10" t="str">
        <f t="shared" si="4"/>
        <v>BFA25-22</v>
      </c>
      <c r="H325" s="16"/>
      <c r="I325" s="16" t="str">
        <f t="shared" si="5"/>
        <v>collected</v>
      </c>
      <c r="J325" s="16" t="str">
        <f t="shared" si="6"/>
        <v>N</v>
      </c>
      <c r="K325" s="16"/>
      <c r="L325" s="16"/>
    </row>
    <row r="326">
      <c r="A326" s="26" t="s">
        <v>627</v>
      </c>
      <c r="B326" s="10" t="str">
        <f t="shared" si="1"/>
        <v>fatty_acid</v>
      </c>
      <c r="C326" s="49" t="str">
        <f t="shared" si="2"/>
        <v>S5445FA1</v>
      </c>
      <c r="D326" s="6">
        <v>25.0</v>
      </c>
      <c r="E326" s="10" t="str">
        <f t="shared" si="3"/>
        <v>BFA25</v>
      </c>
      <c r="F326" s="13">
        <v>23.0</v>
      </c>
      <c r="G326" s="10" t="str">
        <f t="shared" si="4"/>
        <v>BFA25-23</v>
      </c>
      <c r="H326" s="16"/>
      <c r="I326" s="16" t="str">
        <f t="shared" si="5"/>
        <v>collected</v>
      </c>
      <c r="J326" s="16" t="str">
        <f t="shared" si="6"/>
        <v>N</v>
      </c>
      <c r="K326" s="16"/>
      <c r="L326" s="16"/>
    </row>
    <row r="327">
      <c r="A327" s="26" t="s">
        <v>628</v>
      </c>
      <c r="B327" s="10" t="str">
        <f t="shared" si="1"/>
        <v>fatty_acid</v>
      </c>
      <c r="C327" s="49" t="str">
        <f t="shared" si="2"/>
        <v>S5446FA1</v>
      </c>
      <c r="D327" s="6">
        <v>25.0</v>
      </c>
      <c r="E327" s="10" t="str">
        <f t="shared" si="3"/>
        <v>BFA25</v>
      </c>
      <c r="F327" s="13">
        <v>24.0</v>
      </c>
      <c r="G327" s="10" t="str">
        <f t="shared" si="4"/>
        <v>BFA25-24</v>
      </c>
      <c r="H327" s="16"/>
      <c r="I327" s="16" t="str">
        <f t="shared" si="5"/>
        <v>collected</v>
      </c>
      <c r="J327" s="16" t="str">
        <f t="shared" si="6"/>
        <v>N</v>
      </c>
      <c r="K327" s="16"/>
      <c r="L327" s="16"/>
    </row>
    <row r="328">
      <c r="A328" s="26" t="s">
        <v>632</v>
      </c>
      <c r="B328" s="10" t="str">
        <f t="shared" si="1"/>
        <v>fatty_acid</v>
      </c>
      <c r="C328" s="49" t="str">
        <f t="shared" si="2"/>
        <v>S5447FA1</v>
      </c>
      <c r="D328" s="6">
        <v>25.0</v>
      </c>
      <c r="E328" s="10" t="str">
        <f t="shared" si="3"/>
        <v>BFA25</v>
      </c>
      <c r="F328" s="13">
        <v>25.0</v>
      </c>
      <c r="G328" s="10" t="str">
        <f t="shared" si="4"/>
        <v>BFA25-25</v>
      </c>
      <c r="H328" s="16"/>
      <c r="I328" s="16" t="str">
        <f t="shared" si="5"/>
        <v>collected</v>
      </c>
      <c r="J328" s="16" t="str">
        <f t="shared" si="6"/>
        <v>N</v>
      </c>
      <c r="K328" s="16"/>
      <c r="L328" s="16"/>
    </row>
    <row r="329">
      <c r="A329" s="26" t="s">
        <v>633</v>
      </c>
      <c r="B329" s="10" t="str">
        <f t="shared" si="1"/>
        <v>fatty_acid</v>
      </c>
      <c r="C329" s="49" t="str">
        <f t="shared" si="2"/>
        <v>S5448FA1</v>
      </c>
      <c r="D329" s="6">
        <v>25.0</v>
      </c>
      <c r="E329" s="10" t="str">
        <f t="shared" si="3"/>
        <v>BFA25</v>
      </c>
      <c r="F329" s="13">
        <v>26.0</v>
      </c>
      <c r="G329" s="10" t="str">
        <f t="shared" si="4"/>
        <v>BFA25-26</v>
      </c>
      <c r="H329" s="16"/>
      <c r="I329" s="16" t="str">
        <f t="shared" si="5"/>
        <v>collected</v>
      </c>
      <c r="J329" s="16" t="str">
        <f t="shared" si="6"/>
        <v>N</v>
      </c>
      <c r="K329" s="16"/>
      <c r="L329" s="16"/>
    </row>
    <row r="330">
      <c r="A330" s="26" t="s">
        <v>634</v>
      </c>
      <c r="B330" s="10" t="str">
        <f t="shared" si="1"/>
        <v>fatty_acid</v>
      </c>
      <c r="C330" s="49" t="str">
        <f t="shared" si="2"/>
        <v>S5449FA1</v>
      </c>
      <c r="D330" s="6">
        <v>25.0</v>
      </c>
      <c r="E330" s="10" t="str">
        <f t="shared" si="3"/>
        <v>BFA25</v>
      </c>
      <c r="F330" s="13">
        <v>27.0</v>
      </c>
      <c r="G330" s="10" t="str">
        <f t="shared" si="4"/>
        <v>BFA25-27</v>
      </c>
      <c r="H330" s="16"/>
      <c r="I330" s="16" t="str">
        <f t="shared" si="5"/>
        <v>collected</v>
      </c>
      <c r="J330" s="16" t="str">
        <f t="shared" si="6"/>
        <v>N</v>
      </c>
      <c r="K330" s="16"/>
      <c r="L330" s="16"/>
    </row>
    <row r="331">
      <c r="A331" s="44" t="s">
        <v>635</v>
      </c>
      <c r="B331" s="10" t="str">
        <f t="shared" si="1"/>
        <v>fatty_acid</v>
      </c>
      <c r="C331" s="49" t="str">
        <f t="shared" si="2"/>
        <v>S16798FA1</v>
      </c>
      <c r="D331" s="6">
        <v>25.0</v>
      </c>
      <c r="E331" s="10" t="str">
        <f t="shared" si="3"/>
        <v>BFA25</v>
      </c>
      <c r="F331" s="13">
        <v>28.0</v>
      </c>
      <c r="G331" s="10" t="str">
        <f t="shared" si="4"/>
        <v>BFA25-28</v>
      </c>
      <c r="H331" s="16"/>
      <c r="I331" s="16" t="str">
        <f t="shared" si="5"/>
        <v>collected</v>
      </c>
      <c r="J331" s="16" t="str">
        <f t="shared" si="6"/>
        <v>N</v>
      </c>
      <c r="K331" s="16"/>
      <c r="L331" s="16"/>
    </row>
    <row r="332">
      <c r="A332" s="44" t="s">
        <v>637</v>
      </c>
      <c r="B332" s="10" t="str">
        <f t="shared" si="1"/>
        <v>fatty_acid</v>
      </c>
      <c r="C332" s="49" t="str">
        <f t="shared" si="2"/>
        <v>S16797FA1</v>
      </c>
      <c r="D332" s="6">
        <v>25.0</v>
      </c>
      <c r="E332" s="10" t="str">
        <f t="shared" si="3"/>
        <v>BFA25</v>
      </c>
      <c r="F332" s="13">
        <v>29.0</v>
      </c>
      <c r="G332" s="10" t="str">
        <f t="shared" si="4"/>
        <v>BFA25-29</v>
      </c>
      <c r="H332" s="16"/>
      <c r="I332" s="16" t="str">
        <f t="shared" si="5"/>
        <v>collected</v>
      </c>
      <c r="J332" s="16" t="str">
        <f t="shared" si="6"/>
        <v>N</v>
      </c>
      <c r="K332" s="16"/>
      <c r="L332" s="16"/>
    </row>
    <row r="333">
      <c r="A333" s="40" t="s">
        <v>640</v>
      </c>
      <c r="B333" s="10" t="str">
        <f t="shared" si="1"/>
        <v>fatty_acid</v>
      </c>
      <c r="C333" s="49" t="str">
        <f t="shared" si="2"/>
        <v>S16800FA1</v>
      </c>
      <c r="D333" s="6">
        <v>25.0</v>
      </c>
      <c r="E333" s="10" t="str">
        <f t="shared" si="3"/>
        <v>BFA25</v>
      </c>
      <c r="F333" s="13">
        <v>30.0</v>
      </c>
      <c r="G333" s="10" t="str">
        <f t="shared" si="4"/>
        <v>BFA25-30</v>
      </c>
      <c r="H333" s="16"/>
      <c r="I333" s="16" t="str">
        <f t="shared" si="5"/>
        <v>collected</v>
      </c>
      <c r="J333" s="16" t="str">
        <f t="shared" si="6"/>
        <v>N</v>
      </c>
      <c r="K333" s="16"/>
      <c r="L333" s="16"/>
    </row>
    <row r="334">
      <c r="A334" s="40" t="s">
        <v>642</v>
      </c>
      <c r="B334" s="10" t="str">
        <f t="shared" si="1"/>
        <v>fatty_acid</v>
      </c>
      <c r="C334" s="49" t="str">
        <f t="shared" si="2"/>
        <v>S16795FA1</v>
      </c>
      <c r="D334" s="6">
        <v>25.0</v>
      </c>
      <c r="E334" s="10" t="str">
        <f t="shared" si="3"/>
        <v>BFA25</v>
      </c>
      <c r="F334" s="13">
        <v>31.0</v>
      </c>
      <c r="G334" s="10" t="str">
        <f t="shared" si="4"/>
        <v>BFA25-31</v>
      </c>
      <c r="H334" s="16"/>
      <c r="I334" s="16" t="str">
        <f t="shared" si="5"/>
        <v>collected</v>
      </c>
      <c r="J334" s="16" t="str">
        <f t="shared" si="6"/>
        <v>N</v>
      </c>
      <c r="K334" s="16"/>
      <c r="L334" s="16"/>
    </row>
    <row r="335">
      <c r="A335" s="40" t="s">
        <v>643</v>
      </c>
      <c r="B335" s="10" t="str">
        <f t="shared" si="1"/>
        <v>fatty_acid</v>
      </c>
      <c r="C335" s="49" t="str">
        <f t="shared" si="2"/>
        <v>S16793FA1</v>
      </c>
      <c r="D335" s="6">
        <v>25.0</v>
      </c>
      <c r="E335" s="10" t="str">
        <f t="shared" si="3"/>
        <v>BFA25</v>
      </c>
      <c r="F335" s="13">
        <v>32.0</v>
      </c>
      <c r="G335" s="10" t="str">
        <f t="shared" si="4"/>
        <v>BFA25-32</v>
      </c>
      <c r="H335" s="16"/>
      <c r="I335" s="16" t="str">
        <f t="shared" si="5"/>
        <v>collected</v>
      </c>
      <c r="J335" s="16" t="str">
        <f t="shared" si="6"/>
        <v>N</v>
      </c>
      <c r="K335" s="16"/>
      <c r="L335" s="16"/>
    </row>
    <row r="336">
      <c r="A336" s="40" t="s">
        <v>644</v>
      </c>
      <c r="B336" s="10" t="str">
        <f t="shared" si="1"/>
        <v>fatty_acid</v>
      </c>
      <c r="C336" s="49" t="str">
        <f t="shared" si="2"/>
        <v>S16796FA1</v>
      </c>
      <c r="D336" s="6">
        <v>25.0</v>
      </c>
      <c r="E336" s="10" t="str">
        <f t="shared" si="3"/>
        <v>BFA25</v>
      </c>
      <c r="F336" s="13">
        <v>33.0</v>
      </c>
      <c r="G336" s="10" t="str">
        <f t="shared" si="4"/>
        <v>BFA25-33</v>
      </c>
      <c r="H336" s="16"/>
      <c r="I336" s="16" t="str">
        <f t="shared" si="5"/>
        <v>collected</v>
      </c>
      <c r="J336" s="16" t="str">
        <f t="shared" si="6"/>
        <v>N</v>
      </c>
      <c r="K336" s="16"/>
      <c r="L336" s="16"/>
    </row>
    <row r="337">
      <c r="A337" s="40" t="s">
        <v>647</v>
      </c>
      <c r="B337" s="10" t="str">
        <f t="shared" si="1"/>
        <v>fatty_acid</v>
      </c>
      <c r="C337" s="49" t="str">
        <f t="shared" si="2"/>
        <v>S16799FA1</v>
      </c>
      <c r="D337" s="6">
        <v>25.0</v>
      </c>
      <c r="E337" s="10" t="str">
        <f t="shared" si="3"/>
        <v>BFA25</v>
      </c>
      <c r="F337" s="13">
        <v>34.0</v>
      </c>
      <c r="G337" s="10" t="str">
        <f t="shared" si="4"/>
        <v>BFA25-34</v>
      </c>
      <c r="H337" s="16"/>
      <c r="I337" s="16" t="str">
        <f t="shared" si="5"/>
        <v>collected</v>
      </c>
      <c r="J337" s="16" t="str">
        <f t="shared" si="6"/>
        <v>N</v>
      </c>
      <c r="K337" s="16"/>
      <c r="L337" s="16"/>
    </row>
    <row r="338">
      <c r="A338" s="40" t="s">
        <v>648</v>
      </c>
      <c r="B338" s="10" t="str">
        <f t="shared" si="1"/>
        <v>fatty_acid</v>
      </c>
      <c r="C338" s="49" t="str">
        <f t="shared" si="2"/>
        <v>S16794FA1</v>
      </c>
      <c r="D338" s="6">
        <v>25.0</v>
      </c>
      <c r="E338" s="10" t="str">
        <f t="shared" si="3"/>
        <v>BFA25</v>
      </c>
      <c r="F338" s="13">
        <v>35.0</v>
      </c>
      <c r="G338" s="10" t="str">
        <f t="shared" si="4"/>
        <v>BFA25-35</v>
      </c>
      <c r="H338" s="16"/>
      <c r="I338" s="16" t="str">
        <f t="shared" si="5"/>
        <v>collected</v>
      </c>
      <c r="J338" s="16" t="str">
        <f t="shared" si="6"/>
        <v>N</v>
      </c>
      <c r="K338" s="16"/>
      <c r="L338" s="16"/>
    </row>
    <row r="339">
      <c r="A339" s="40" t="s">
        <v>650</v>
      </c>
      <c r="B339" s="10" t="str">
        <f t="shared" si="1"/>
        <v>fatty_acid</v>
      </c>
      <c r="C339" s="49" t="str">
        <f t="shared" si="2"/>
        <v>S16792FA1</v>
      </c>
      <c r="D339" s="6">
        <v>25.0</v>
      </c>
      <c r="E339" s="10" t="str">
        <f t="shared" si="3"/>
        <v>BFA25</v>
      </c>
      <c r="F339" s="13">
        <v>36.0</v>
      </c>
      <c r="G339" s="10" t="str">
        <f t="shared" si="4"/>
        <v>BFA25-36</v>
      </c>
      <c r="H339" s="16"/>
      <c r="I339" s="16" t="str">
        <f t="shared" si="5"/>
        <v>collected</v>
      </c>
      <c r="J339" s="16" t="str">
        <f t="shared" si="6"/>
        <v>N</v>
      </c>
      <c r="K339" s="16"/>
      <c r="L339" s="16"/>
    </row>
    <row r="340">
      <c r="A340" s="44" t="s">
        <v>651</v>
      </c>
      <c r="B340" s="10" t="str">
        <f t="shared" si="1"/>
        <v>fatty_acid</v>
      </c>
      <c r="C340" s="49" t="str">
        <f t="shared" si="2"/>
        <v>S16791FA1</v>
      </c>
      <c r="D340" s="6">
        <v>25.0</v>
      </c>
      <c r="E340" s="10" t="str">
        <f t="shared" si="3"/>
        <v>BFA25</v>
      </c>
      <c r="F340" s="13">
        <v>37.0</v>
      </c>
      <c r="G340" s="10" t="str">
        <f t="shared" si="4"/>
        <v>BFA25-37</v>
      </c>
      <c r="H340" s="16"/>
      <c r="I340" s="16" t="str">
        <f t="shared" si="5"/>
        <v>collected</v>
      </c>
      <c r="J340" s="16" t="str">
        <f t="shared" si="6"/>
        <v>N</v>
      </c>
      <c r="K340" s="16"/>
      <c r="L340" s="16"/>
    </row>
    <row r="341">
      <c r="A341" s="26" t="s">
        <v>653</v>
      </c>
      <c r="B341" s="10" t="str">
        <f t="shared" si="1"/>
        <v>fatty_acid</v>
      </c>
      <c r="C341" s="49" t="str">
        <f t="shared" si="2"/>
        <v>S5422FA1</v>
      </c>
      <c r="D341" s="6">
        <v>24.0</v>
      </c>
      <c r="E341" s="10" t="str">
        <f t="shared" si="3"/>
        <v>BFA24</v>
      </c>
      <c r="F341" s="13">
        <v>15.0</v>
      </c>
      <c r="G341" s="10" t="str">
        <f t="shared" si="4"/>
        <v>BFA24-15</v>
      </c>
      <c r="H341" s="16"/>
      <c r="I341" s="16" t="str">
        <f t="shared" si="5"/>
        <v>collected</v>
      </c>
      <c r="J341" s="16" t="str">
        <f t="shared" si="6"/>
        <v>N</v>
      </c>
      <c r="K341" s="16"/>
      <c r="L341" s="16"/>
    </row>
    <row r="342">
      <c r="A342" s="26" t="s">
        <v>656</v>
      </c>
      <c r="B342" s="10" t="str">
        <f t="shared" si="1"/>
        <v>fatty_acid</v>
      </c>
      <c r="C342" s="49" t="str">
        <f t="shared" si="2"/>
        <v>S5423FA1</v>
      </c>
      <c r="D342" s="6">
        <v>24.0</v>
      </c>
      <c r="E342" s="10" t="str">
        <f t="shared" si="3"/>
        <v>BFA24</v>
      </c>
      <c r="F342" s="13">
        <v>16.0</v>
      </c>
      <c r="G342" s="10" t="str">
        <f t="shared" si="4"/>
        <v>BFA24-16</v>
      </c>
      <c r="H342" s="16"/>
      <c r="I342" s="16" t="str">
        <f t="shared" si="5"/>
        <v>collected</v>
      </c>
      <c r="J342" s="16" t="str">
        <f t="shared" si="6"/>
        <v>N</v>
      </c>
      <c r="K342" s="16"/>
      <c r="L342" s="16"/>
    </row>
    <row r="343">
      <c r="A343" s="26" t="s">
        <v>657</v>
      </c>
      <c r="B343" s="10" t="str">
        <f t="shared" si="1"/>
        <v>fatty_acid</v>
      </c>
      <c r="C343" s="49" t="str">
        <f t="shared" si="2"/>
        <v>S5424FA1</v>
      </c>
      <c r="D343" s="6">
        <v>24.0</v>
      </c>
      <c r="E343" s="10" t="str">
        <f t="shared" si="3"/>
        <v>BFA24</v>
      </c>
      <c r="F343" s="13">
        <v>17.0</v>
      </c>
      <c r="G343" s="10" t="str">
        <f t="shared" si="4"/>
        <v>BFA24-17</v>
      </c>
      <c r="H343" s="16"/>
      <c r="I343" s="16" t="str">
        <f t="shared" si="5"/>
        <v>collected</v>
      </c>
      <c r="J343" s="16" t="str">
        <f t="shared" si="6"/>
        <v>N</v>
      </c>
      <c r="K343" s="16"/>
      <c r="L343" s="16"/>
    </row>
    <row r="344">
      <c r="A344" s="26" t="s">
        <v>658</v>
      </c>
      <c r="B344" s="10" t="str">
        <f t="shared" si="1"/>
        <v>fatty_acid</v>
      </c>
      <c r="C344" s="49" t="str">
        <f t="shared" si="2"/>
        <v>S5425FA1</v>
      </c>
      <c r="D344" s="6">
        <v>24.0</v>
      </c>
      <c r="E344" s="10" t="str">
        <f t="shared" si="3"/>
        <v>BFA24</v>
      </c>
      <c r="F344" s="13">
        <v>18.0</v>
      </c>
      <c r="G344" s="10" t="str">
        <f t="shared" si="4"/>
        <v>BFA24-18</v>
      </c>
      <c r="H344" s="16"/>
      <c r="I344" s="16" t="str">
        <f t="shared" si="5"/>
        <v>collected</v>
      </c>
      <c r="J344" s="16" t="str">
        <f t="shared" si="6"/>
        <v>N</v>
      </c>
      <c r="K344" s="16"/>
      <c r="L344" s="16"/>
    </row>
    <row r="345">
      <c r="A345" s="26" t="s">
        <v>659</v>
      </c>
      <c r="B345" s="10" t="str">
        <f t="shared" si="1"/>
        <v>fatty_acid</v>
      </c>
      <c r="C345" s="49" t="str">
        <f t="shared" si="2"/>
        <v>S5426FA1</v>
      </c>
      <c r="D345" s="6">
        <v>24.0</v>
      </c>
      <c r="E345" s="10" t="str">
        <f t="shared" si="3"/>
        <v>BFA24</v>
      </c>
      <c r="F345" s="13">
        <v>19.0</v>
      </c>
      <c r="G345" s="10" t="str">
        <f t="shared" si="4"/>
        <v>BFA24-19</v>
      </c>
      <c r="H345" s="16"/>
      <c r="I345" s="16" t="str">
        <f t="shared" si="5"/>
        <v>collected</v>
      </c>
      <c r="J345" s="16" t="str">
        <f t="shared" si="6"/>
        <v>N</v>
      </c>
      <c r="K345" s="16"/>
      <c r="L345" s="16"/>
    </row>
    <row r="346">
      <c r="A346" s="26" t="s">
        <v>661</v>
      </c>
      <c r="B346" s="10" t="str">
        <f t="shared" si="1"/>
        <v>fatty_acid</v>
      </c>
      <c r="C346" s="49" t="str">
        <f t="shared" si="2"/>
        <v>S5427FA1</v>
      </c>
      <c r="D346" s="6">
        <v>24.0</v>
      </c>
      <c r="E346" s="10" t="str">
        <f t="shared" si="3"/>
        <v>BFA24</v>
      </c>
      <c r="F346" s="13">
        <v>20.0</v>
      </c>
      <c r="G346" s="10" t="str">
        <f t="shared" si="4"/>
        <v>BFA24-20</v>
      </c>
      <c r="H346" s="16"/>
      <c r="I346" s="16" t="str">
        <f t="shared" si="5"/>
        <v>collected</v>
      </c>
      <c r="J346" s="16" t="str">
        <f t="shared" si="6"/>
        <v>N</v>
      </c>
      <c r="K346" s="16"/>
      <c r="L346" s="16"/>
    </row>
    <row r="347">
      <c r="A347" s="25" t="s">
        <v>662</v>
      </c>
      <c r="B347" s="10" t="str">
        <f t="shared" si="1"/>
        <v>fatty_acid</v>
      </c>
      <c r="C347" s="49" t="str">
        <f t="shared" si="2"/>
        <v>S5428FA1</v>
      </c>
      <c r="D347" s="6">
        <v>24.0</v>
      </c>
      <c r="E347" s="10" t="str">
        <f t="shared" si="3"/>
        <v>BFA24</v>
      </c>
      <c r="F347" s="13">
        <v>21.0</v>
      </c>
      <c r="G347" s="10" t="str">
        <f t="shared" si="4"/>
        <v>BFA24-21</v>
      </c>
      <c r="H347" s="16"/>
      <c r="I347" s="16" t="str">
        <f t="shared" si="5"/>
        <v>collected</v>
      </c>
      <c r="J347" s="16" t="str">
        <f t="shared" si="6"/>
        <v>N</v>
      </c>
      <c r="K347" s="16"/>
      <c r="L347" s="16"/>
    </row>
    <row r="348">
      <c r="A348" s="27" t="s">
        <v>664</v>
      </c>
      <c r="B348" s="10" t="str">
        <f t="shared" si="1"/>
        <v>fatty_acid</v>
      </c>
      <c r="C348" s="49" t="str">
        <f t="shared" si="2"/>
        <v>S5429FA1</v>
      </c>
      <c r="D348" s="6">
        <v>24.0</v>
      </c>
      <c r="E348" s="10" t="str">
        <f t="shared" si="3"/>
        <v>BFA24</v>
      </c>
      <c r="F348" s="13">
        <v>22.0</v>
      </c>
      <c r="G348" s="10" t="str">
        <f t="shared" si="4"/>
        <v>BFA24-22</v>
      </c>
      <c r="H348" s="16"/>
      <c r="I348" s="16" t="str">
        <f t="shared" si="5"/>
        <v>collected</v>
      </c>
      <c r="J348" s="16" t="str">
        <f t="shared" si="6"/>
        <v>N</v>
      </c>
      <c r="K348" s="16"/>
      <c r="L348" s="16"/>
    </row>
    <row r="349">
      <c r="A349" s="27" t="s">
        <v>665</v>
      </c>
      <c r="B349" s="10" t="str">
        <f t="shared" si="1"/>
        <v>fatty_acid</v>
      </c>
      <c r="C349" s="49" t="str">
        <f t="shared" si="2"/>
        <v>S5430FA1</v>
      </c>
      <c r="D349" s="6">
        <v>24.0</v>
      </c>
      <c r="E349" s="10" t="str">
        <f t="shared" si="3"/>
        <v>BFA24</v>
      </c>
      <c r="F349" s="13">
        <v>23.0</v>
      </c>
      <c r="G349" s="10" t="str">
        <f t="shared" si="4"/>
        <v>BFA24-23</v>
      </c>
      <c r="H349" s="16"/>
      <c r="I349" s="16" t="str">
        <f t="shared" si="5"/>
        <v>collected</v>
      </c>
      <c r="J349" s="16" t="str">
        <f t="shared" si="6"/>
        <v>N</v>
      </c>
      <c r="K349" s="16"/>
      <c r="L349" s="16"/>
    </row>
    <row r="350">
      <c r="A350" s="27" t="s">
        <v>666</v>
      </c>
      <c r="B350" s="10" t="str">
        <f t="shared" si="1"/>
        <v>fatty_acid</v>
      </c>
      <c r="C350" s="49" t="str">
        <f t="shared" si="2"/>
        <v>S5431FA1</v>
      </c>
      <c r="D350" s="6">
        <v>24.0</v>
      </c>
      <c r="E350" s="10" t="str">
        <f t="shared" si="3"/>
        <v>BFA24</v>
      </c>
      <c r="F350" s="13">
        <v>24.0</v>
      </c>
      <c r="G350" s="10" t="str">
        <f t="shared" si="4"/>
        <v>BFA24-24</v>
      </c>
      <c r="H350" s="16"/>
      <c r="I350" s="16" t="str">
        <f t="shared" si="5"/>
        <v>collected</v>
      </c>
      <c r="J350" s="16" t="str">
        <f t="shared" si="6"/>
        <v>N</v>
      </c>
      <c r="K350" s="16"/>
      <c r="L350" s="16"/>
    </row>
    <row r="351">
      <c r="A351" s="27" t="s">
        <v>668</v>
      </c>
      <c r="B351" s="10" t="str">
        <f t="shared" si="1"/>
        <v>fatty_acid</v>
      </c>
      <c r="C351" s="49" t="str">
        <f t="shared" si="2"/>
        <v>S5432FA1</v>
      </c>
      <c r="D351" s="6">
        <v>24.0</v>
      </c>
      <c r="E351" s="10" t="str">
        <f t="shared" si="3"/>
        <v>BFA24</v>
      </c>
      <c r="F351" s="13">
        <v>25.0</v>
      </c>
      <c r="G351" s="10" t="str">
        <f t="shared" si="4"/>
        <v>BFA24-25</v>
      </c>
      <c r="H351" s="16"/>
      <c r="I351" s="16" t="str">
        <f t="shared" si="5"/>
        <v>collected</v>
      </c>
      <c r="J351" s="16" t="str">
        <f t="shared" si="6"/>
        <v>N</v>
      </c>
      <c r="K351" s="16"/>
      <c r="L351" s="16"/>
    </row>
    <row r="352">
      <c r="A352" s="27" t="s">
        <v>670</v>
      </c>
      <c r="B352" s="10" t="str">
        <f t="shared" si="1"/>
        <v>fatty_acid</v>
      </c>
      <c r="C352" s="49" t="str">
        <f t="shared" si="2"/>
        <v>S5433FA1</v>
      </c>
      <c r="D352" s="6">
        <v>24.0</v>
      </c>
      <c r="E352" s="10" t="str">
        <f t="shared" si="3"/>
        <v>BFA24</v>
      </c>
      <c r="F352" s="13">
        <v>26.0</v>
      </c>
      <c r="G352" s="10" t="str">
        <f t="shared" si="4"/>
        <v>BFA24-26</v>
      </c>
      <c r="H352" s="16"/>
      <c r="I352" s="16" t="str">
        <f t="shared" si="5"/>
        <v>collected</v>
      </c>
      <c r="J352" s="16" t="str">
        <f t="shared" si="6"/>
        <v>N</v>
      </c>
      <c r="K352" s="16"/>
      <c r="L352" s="16"/>
    </row>
    <row r="353">
      <c r="A353" s="27" t="s">
        <v>671</v>
      </c>
      <c r="B353" s="10" t="str">
        <f t="shared" si="1"/>
        <v>fatty_acid</v>
      </c>
      <c r="C353" s="49" t="str">
        <f t="shared" si="2"/>
        <v>S5434FA1</v>
      </c>
      <c r="D353" s="6">
        <v>24.0</v>
      </c>
      <c r="E353" s="10" t="str">
        <f t="shared" si="3"/>
        <v>BFA24</v>
      </c>
      <c r="F353" s="13">
        <v>27.0</v>
      </c>
      <c r="G353" s="10" t="str">
        <f t="shared" si="4"/>
        <v>BFA24-27</v>
      </c>
      <c r="H353" s="16"/>
      <c r="I353" s="16" t="str">
        <f t="shared" si="5"/>
        <v>collected</v>
      </c>
      <c r="J353" s="16" t="str">
        <f t="shared" si="6"/>
        <v>N</v>
      </c>
      <c r="K353" s="16"/>
      <c r="L353" s="16"/>
    </row>
    <row r="354">
      <c r="A354" s="27" t="s">
        <v>674</v>
      </c>
      <c r="B354" s="10" t="str">
        <f t="shared" si="1"/>
        <v>fatty_acid</v>
      </c>
      <c r="C354" s="49" t="str">
        <f t="shared" si="2"/>
        <v>S5435FA1</v>
      </c>
      <c r="D354" s="6">
        <v>24.0</v>
      </c>
      <c r="E354" s="10" t="str">
        <f t="shared" si="3"/>
        <v>BFA24</v>
      </c>
      <c r="F354" s="13">
        <v>28.0</v>
      </c>
      <c r="G354" s="10" t="str">
        <f t="shared" si="4"/>
        <v>BFA24-28</v>
      </c>
      <c r="H354" s="16"/>
      <c r="I354" s="16" t="str">
        <f t="shared" si="5"/>
        <v>collected</v>
      </c>
      <c r="J354" s="16" t="str">
        <f t="shared" si="6"/>
        <v>N</v>
      </c>
      <c r="K354" s="16"/>
      <c r="L354" s="16"/>
    </row>
    <row r="355">
      <c r="A355" s="6" t="s">
        <v>676</v>
      </c>
      <c r="B355" s="10" t="str">
        <f t="shared" si="1"/>
        <v>fatty_acid</v>
      </c>
      <c r="C355" s="49" t="str">
        <f t="shared" si="2"/>
        <v>S5436FA1</v>
      </c>
      <c r="D355" s="6">
        <v>24.0</v>
      </c>
      <c r="E355" s="10" t="str">
        <f t="shared" si="3"/>
        <v>BFA24</v>
      </c>
      <c r="F355" s="13">
        <v>29.0</v>
      </c>
      <c r="G355" s="10" t="str">
        <f t="shared" si="4"/>
        <v>BFA24-29</v>
      </c>
      <c r="H355" s="16"/>
      <c r="I355" s="16" t="str">
        <f t="shared" si="5"/>
        <v>collected</v>
      </c>
      <c r="J355" s="16" t="str">
        <f t="shared" si="6"/>
        <v>N</v>
      </c>
      <c r="K355" s="16"/>
      <c r="L355" s="16"/>
    </row>
    <row r="356">
      <c r="A356" s="27" t="s">
        <v>677</v>
      </c>
      <c r="B356" s="10" t="str">
        <f t="shared" si="1"/>
        <v>fatty_acid</v>
      </c>
      <c r="C356" s="49" t="str">
        <f t="shared" si="2"/>
        <v>S5462FA1</v>
      </c>
      <c r="D356" s="6">
        <v>24.0</v>
      </c>
      <c r="E356" s="10" t="str">
        <f t="shared" si="3"/>
        <v>BFA24</v>
      </c>
      <c r="F356" s="13">
        <v>30.0</v>
      </c>
      <c r="G356" s="10" t="str">
        <f t="shared" si="4"/>
        <v>BFA24-30</v>
      </c>
      <c r="H356" s="16"/>
      <c r="I356" s="16" t="str">
        <f t="shared" si="5"/>
        <v>collected</v>
      </c>
      <c r="J356" s="16" t="str">
        <f t="shared" si="6"/>
        <v>N</v>
      </c>
      <c r="K356" s="16"/>
      <c r="L356" s="16"/>
    </row>
    <row r="357">
      <c r="A357" s="27" t="s">
        <v>678</v>
      </c>
      <c r="B357" s="10" t="str">
        <f t="shared" si="1"/>
        <v>fatty_acid</v>
      </c>
      <c r="C357" s="49" t="str">
        <f t="shared" si="2"/>
        <v>S5463FA1</v>
      </c>
      <c r="D357" s="6">
        <v>24.0</v>
      </c>
      <c r="E357" s="10" t="str">
        <f t="shared" si="3"/>
        <v>BFA24</v>
      </c>
      <c r="F357" s="13">
        <v>31.0</v>
      </c>
      <c r="G357" s="10" t="str">
        <f t="shared" si="4"/>
        <v>BFA24-31</v>
      </c>
      <c r="H357" s="16"/>
      <c r="I357" s="16" t="str">
        <f t="shared" si="5"/>
        <v>collected</v>
      </c>
      <c r="J357" s="16" t="str">
        <f t="shared" si="6"/>
        <v>N</v>
      </c>
      <c r="K357" s="16"/>
      <c r="L357" s="16"/>
    </row>
    <row r="358">
      <c r="A358" s="27" t="s">
        <v>681</v>
      </c>
      <c r="B358" s="10" t="str">
        <f t="shared" si="1"/>
        <v>fatty_acid</v>
      </c>
      <c r="C358" s="49" t="str">
        <f t="shared" si="2"/>
        <v>S5464FA1</v>
      </c>
      <c r="D358" s="6">
        <v>24.0</v>
      </c>
      <c r="E358" s="10" t="str">
        <f t="shared" si="3"/>
        <v>BFA24</v>
      </c>
      <c r="F358" s="13">
        <v>32.0</v>
      </c>
      <c r="G358" s="10" t="str">
        <f t="shared" si="4"/>
        <v>BFA24-32</v>
      </c>
      <c r="H358" s="16"/>
      <c r="I358" s="16" t="str">
        <f t="shared" si="5"/>
        <v>collected</v>
      </c>
      <c r="J358" s="16" t="str">
        <f t="shared" si="6"/>
        <v>N</v>
      </c>
      <c r="K358" s="16"/>
      <c r="L358" s="16"/>
    </row>
    <row r="359">
      <c r="A359" s="27" t="s">
        <v>682</v>
      </c>
      <c r="B359" s="10" t="str">
        <f t="shared" si="1"/>
        <v>fatty_acid</v>
      </c>
      <c r="C359" s="49" t="str">
        <f t="shared" si="2"/>
        <v>S5465FA1</v>
      </c>
      <c r="D359" s="6">
        <v>24.0</v>
      </c>
      <c r="E359" s="10" t="str">
        <f t="shared" si="3"/>
        <v>BFA24</v>
      </c>
      <c r="F359" s="13">
        <v>33.0</v>
      </c>
      <c r="G359" s="10" t="str">
        <f t="shared" si="4"/>
        <v>BFA24-33</v>
      </c>
      <c r="H359" s="16"/>
      <c r="I359" s="16" t="str">
        <f t="shared" si="5"/>
        <v>collected</v>
      </c>
      <c r="J359" s="16" t="str">
        <f t="shared" si="6"/>
        <v>N</v>
      </c>
      <c r="K359" s="16"/>
      <c r="L359" s="16"/>
    </row>
    <row r="360">
      <c r="A360" s="27" t="s">
        <v>683</v>
      </c>
      <c r="B360" s="10" t="str">
        <f t="shared" si="1"/>
        <v>fatty_acid</v>
      </c>
      <c r="C360" s="49" t="str">
        <f t="shared" si="2"/>
        <v>S5466FA1</v>
      </c>
      <c r="D360" s="6">
        <v>24.0</v>
      </c>
      <c r="E360" s="10" t="str">
        <f t="shared" si="3"/>
        <v>BFA24</v>
      </c>
      <c r="F360" s="13">
        <v>34.0</v>
      </c>
      <c r="G360" s="10" t="str">
        <f t="shared" si="4"/>
        <v>BFA24-34</v>
      </c>
      <c r="H360" s="16"/>
      <c r="I360" s="16" t="str">
        <f t="shared" si="5"/>
        <v>collected</v>
      </c>
      <c r="J360" s="16" t="str">
        <f t="shared" si="6"/>
        <v>N</v>
      </c>
      <c r="K360" s="16"/>
      <c r="L360" s="16"/>
    </row>
    <row r="361">
      <c r="A361" s="27" t="s">
        <v>685</v>
      </c>
      <c r="B361" s="10" t="str">
        <f t="shared" si="1"/>
        <v>fatty_acid</v>
      </c>
      <c r="C361" s="49" t="str">
        <f t="shared" si="2"/>
        <v>S16753FA1</v>
      </c>
      <c r="D361" s="6">
        <v>24.0</v>
      </c>
      <c r="E361" s="10" t="str">
        <f t="shared" si="3"/>
        <v>BFA24</v>
      </c>
      <c r="F361" s="13">
        <v>35.0</v>
      </c>
      <c r="G361" s="10" t="str">
        <f t="shared" si="4"/>
        <v>BFA24-35</v>
      </c>
      <c r="H361" s="16"/>
      <c r="I361" s="16" t="str">
        <f t="shared" si="5"/>
        <v>collected</v>
      </c>
      <c r="J361" s="16" t="str">
        <f t="shared" si="6"/>
        <v>N</v>
      </c>
      <c r="K361" s="16"/>
      <c r="L361" s="16"/>
    </row>
    <row r="362">
      <c r="A362" s="27" t="s">
        <v>686</v>
      </c>
      <c r="B362" s="10" t="str">
        <f t="shared" si="1"/>
        <v>fatty_acid</v>
      </c>
      <c r="C362" s="49" t="str">
        <f t="shared" si="2"/>
        <v>S16751FA1</v>
      </c>
      <c r="D362" s="6">
        <v>24.0</v>
      </c>
      <c r="E362" s="10" t="str">
        <f t="shared" si="3"/>
        <v>BFA24</v>
      </c>
      <c r="F362" s="13">
        <v>36.0</v>
      </c>
      <c r="G362" s="10" t="str">
        <f t="shared" si="4"/>
        <v>BFA24-36</v>
      </c>
      <c r="H362" s="16"/>
      <c r="I362" s="16" t="str">
        <f t="shared" si="5"/>
        <v>collected</v>
      </c>
      <c r="J362" s="16" t="str">
        <f t="shared" si="6"/>
        <v>N</v>
      </c>
      <c r="K362" s="16"/>
      <c r="L362" s="16"/>
    </row>
    <row r="363">
      <c r="A363" s="27" t="s">
        <v>689</v>
      </c>
      <c r="B363" s="10" t="str">
        <f t="shared" si="1"/>
        <v>fatty_acid</v>
      </c>
      <c r="C363" s="49" t="str">
        <f t="shared" si="2"/>
        <v>S16752FA1</v>
      </c>
      <c r="D363" s="6">
        <v>24.0</v>
      </c>
      <c r="E363" s="10" t="str">
        <f t="shared" si="3"/>
        <v>BFA24</v>
      </c>
      <c r="F363" s="13">
        <v>37.0</v>
      </c>
      <c r="G363" s="10" t="str">
        <f t="shared" si="4"/>
        <v>BFA24-37</v>
      </c>
      <c r="H363" s="16"/>
      <c r="I363" s="16" t="str">
        <f t="shared" si="5"/>
        <v>collected</v>
      </c>
      <c r="J363" s="16" t="str">
        <f t="shared" si="6"/>
        <v>N</v>
      </c>
      <c r="K363" s="16"/>
      <c r="L363" s="16"/>
    </row>
    <row r="364">
      <c r="A364" s="27" t="s">
        <v>690</v>
      </c>
      <c r="B364" s="10" t="str">
        <f t="shared" si="1"/>
        <v>fatty_acid</v>
      </c>
      <c r="C364" s="49" t="str">
        <f t="shared" si="2"/>
        <v>S16756FA1</v>
      </c>
      <c r="D364" s="6">
        <v>24.0</v>
      </c>
      <c r="E364" s="10" t="str">
        <f t="shared" si="3"/>
        <v>BFA24</v>
      </c>
      <c r="F364" s="13">
        <v>38.0</v>
      </c>
      <c r="G364" s="10" t="str">
        <f t="shared" si="4"/>
        <v>BFA24-38</v>
      </c>
      <c r="H364" s="16"/>
      <c r="I364" s="16" t="str">
        <f t="shared" si="5"/>
        <v>collected</v>
      </c>
      <c r="J364" s="16" t="str">
        <f t="shared" si="6"/>
        <v>N</v>
      </c>
      <c r="K364" s="16"/>
      <c r="L364" s="16"/>
    </row>
    <row r="365">
      <c r="A365" s="27" t="s">
        <v>691</v>
      </c>
      <c r="B365" s="10" t="str">
        <f t="shared" si="1"/>
        <v>fatty_acid</v>
      </c>
      <c r="C365" s="49" t="str">
        <f t="shared" si="2"/>
        <v>S16754FA1</v>
      </c>
      <c r="D365" s="6">
        <v>24.0</v>
      </c>
      <c r="E365" s="10" t="str">
        <f t="shared" si="3"/>
        <v>BFA24</v>
      </c>
      <c r="F365" s="13">
        <v>39.0</v>
      </c>
      <c r="G365" s="10" t="str">
        <f t="shared" si="4"/>
        <v>BFA24-39</v>
      </c>
      <c r="H365" s="16"/>
      <c r="I365" s="16" t="str">
        <f t="shared" si="5"/>
        <v>collected</v>
      </c>
      <c r="J365" s="16" t="str">
        <f t="shared" si="6"/>
        <v>N</v>
      </c>
      <c r="K365" s="16"/>
      <c r="L365" s="16"/>
    </row>
    <row r="366">
      <c r="A366" s="27" t="s">
        <v>693</v>
      </c>
      <c r="B366" s="10" t="str">
        <f t="shared" si="1"/>
        <v>fatty_acid</v>
      </c>
      <c r="C366" s="49" t="str">
        <f t="shared" si="2"/>
        <v>S16755FA1</v>
      </c>
      <c r="D366" s="6">
        <v>24.0</v>
      </c>
      <c r="E366" s="10" t="str">
        <f t="shared" si="3"/>
        <v>BFA24</v>
      </c>
      <c r="F366" s="13">
        <v>40.0</v>
      </c>
      <c r="G366" s="10" t="str">
        <f t="shared" si="4"/>
        <v>BFA24-40</v>
      </c>
      <c r="H366" s="16"/>
      <c r="I366" s="16" t="str">
        <f t="shared" si="5"/>
        <v>collected</v>
      </c>
      <c r="J366" s="16" t="str">
        <f t="shared" si="6"/>
        <v>N</v>
      </c>
      <c r="K366" s="16"/>
      <c r="L366" s="16"/>
    </row>
    <row r="367">
      <c r="A367" s="27" t="s">
        <v>694</v>
      </c>
      <c r="B367" s="10" t="str">
        <f t="shared" si="1"/>
        <v>fatty_acid</v>
      </c>
      <c r="C367" s="49" t="str">
        <f t="shared" si="2"/>
        <v>S16757FA1</v>
      </c>
      <c r="D367" s="6">
        <v>24.0</v>
      </c>
      <c r="E367" s="10" t="str">
        <f t="shared" si="3"/>
        <v>BFA24</v>
      </c>
      <c r="F367" s="13">
        <v>41.0</v>
      </c>
      <c r="G367" s="10" t="str">
        <f t="shared" si="4"/>
        <v>BFA24-41</v>
      </c>
      <c r="H367" s="16"/>
      <c r="I367" s="16" t="str">
        <f t="shared" si="5"/>
        <v>collected</v>
      </c>
      <c r="J367" s="16" t="str">
        <f t="shared" si="6"/>
        <v>N</v>
      </c>
      <c r="K367" s="16"/>
      <c r="L367" s="16"/>
    </row>
    <row r="368">
      <c r="A368" s="26" t="s">
        <v>698</v>
      </c>
      <c r="B368" s="10" t="str">
        <f t="shared" si="1"/>
        <v>fatty_acid</v>
      </c>
      <c r="C368" s="49" t="str">
        <f t="shared" si="2"/>
        <v>S16758FA1</v>
      </c>
      <c r="D368" s="6">
        <v>24.0</v>
      </c>
      <c r="E368" s="10" t="str">
        <f t="shared" si="3"/>
        <v>BFA24</v>
      </c>
      <c r="F368" s="13">
        <v>42.0</v>
      </c>
      <c r="G368" s="10" t="str">
        <f t="shared" si="4"/>
        <v>BFA24-42</v>
      </c>
      <c r="H368" s="16"/>
      <c r="I368" s="16" t="str">
        <f t="shared" si="5"/>
        <v>collected</v>
      </c>
      <c r="J368" s="16" t="str">
        <f t="shared" si="6"/>
        <v>N</v>
      </c>
      <c r="K368" s="16"/>
      <c r="L368" s="16"/>
    </row>
    <row r="369">
      <c r="A369" s="26" t="s">
        <v>699</v>
      </c>
      <c r="B369" s="10" t="str">
        <f t="shared" si="1"/>
        <v>fatty_acid</v>
      </c>
      <c r="C369" s="49" t="str">
        <f t="shared" si="2"/>
        <v>S16701FA1</v>
      </c>
      <c r="D369" s="6">
        <v>24.0</v>
      </c>
      <c r="E369" s="10" t="str">
        <f t="shared" si="3"/>
        <v>BFA24</v>
      </c>
      <c r="F369" s="13">
        <v>43.0</v>
      </c>
      <c r="G369" s="10" t="str">
        <f t="shared" si="4"/>
        <v>BFA24-43</v>
      </c>
      <c r="H369" s="16"/>
      <c r="I369" s="16" t="str">
        <f t="shared" si="5"/>
        <v>collected</v>
      </c>
      <c r="J369" s="16" t="str">
        <f t="shared" si="6"/>
        <v>N</v>
      </c>
      <c r="K369" s="16"/>
      <c r="L369" s="16"/>
    </row>
    <row r="370">
      <c r="A370" s="26" t="s">
        <v>700</v>
      </c>
      <c r="B370" s="10" t="str">
        <f t="shared" si="1"/>
        <v>fatty_acid</v>
      </c>
      <c r="C370" s="49" t="str">
        <f t="shared" si="2"/>
        <v>S16702FA1</v>
      </c>
      <c r="D370" s="6">
        <v>24.0</v>
      </c>
      <c r="E370" s="10" t="str">
        <f t="shared" si="3"/>
        <v>BFA24</v>
      </c>
      <c r="F370" s="13">
        <v>44.0</v>
      </c>
      <c r="G370" s="10" t="str">
        <f t="shared" si="4"/>
        <v>BFA24-44</v>
      </c>
      <c r="H370" s="16"/>
      <c r="I370" s="16" t="str">
        <f t="shared" si="5"/>
        <v>collected</v>
      </c>
      <c r="J370" s="16" t="str">
        <f t="shared" si="6"/>
        <v>N</v>
      </c>
      <c r="K370" s="16"/>
      <c r="L370" s="16"/>
    </row>
    <row r="371">
      <c r="A371" s="26" t="s">
        <v>702</v>
      </c>
      <c r="B371" s="10" t="str">
        <f t="shared" si="1"/>
        <v>fatty_acid</v>
      </c>
      <c r="C371" s="49" t="str">
        <f t="shared" si="2"/>
        <v>S16703FA1</v>
      </c>
      <c r="D371" s="6">
        <v>24.0</v>
      </c>
      <c r="E371" s="10" t="str">
        <f t="shared" si="3"/>
        <v>BFA24</v>
      </c>
      <c r="F371" s="13">
        <v>45.0</v>
      </c>
      <c r="G371" s="10" t="str">
        <f t="shared" si="4"/>
        <v>BFA24-45</v>
      </c>
      <c r="H371" s="16"/>
      <c r="I371" s="16" t="str">
        <f t="shared" si="5"/>
        <v>collected</v>
      </c>
      <c r="J371" s="16" t="str">
        <f t="shared" si="6"/>
        <v>N</v>
      </c>
      <c r="K371" s="16"/>
      <c r="L371" s="16"/>
    </row>
    <row r="372">
      <c r="A372" s="26" t="s">
        <v>704</v>
      </c>
      <c r="B372" s="10" t="str">
        <f t="shared" si="1"/>
        <v>fatty_acid</v>
      </c>
      <c r="C372" s="49" t="str">
        <f t="shared" si="2"/>
        <v>S16705FA1</v>
      </c>
      <c r="D372" s="6">
        <v>24.0</v>
      </c>
      <c r="E372" s="10" t="str">
        <f t="shared" si="3"/>
        <v>BFA24</v>
      </c>
      <c r="F372" s="13">
        <v>46.0</v>
      </c>
      <c r="G372" s="10" t="str">
        <f t="shared" si="4"/>
        <v>BFA24-46</v>
      </c>
      <c r="H372" s="16"/>
      <c r="I372" s="16" t="str">
        <f t="shared" si="5"/>
        <v>collected</v>
      </c>
      <c r="J372" s="16" t="str">
        <f t="shared" si="6"/>
        <v>N</v>
      </c>
      <c r="K372" s="16"/>
      <c r="L372" s="16"/>
    </row>
    <row r="373">
      <c r="A373" s="26" t="s">
        <v>706</v>
      </c>
      <c r="B373" s="10" t="str">
        <f t="shared" si="1"/>
        <v>fatty_acid</v>
      </c>
      <c r="C373" s="49" t="str">
        <f t="shared" si="2"/>
        <v>S16704FA1</v>
      </c>
      <c r="D373" s="6">
        <v>24.0</v>
      </c>
      <c r="E373" s="10" t="str">
        <f t="shared" si="3"/>
        <v>BFA24</v>
      </c>
      <c r="F373" s="13">
        <v>47.0</v>
      </c>
      <c r="G373" s="10" t="str">
        <f t="shared" si="4"/>
        <v>BFA24-47</v>
      </c>
      <c r="H373" s="16"/>
      <c r="I373" s="16" t="str">
        <f t="shared" si="5"/>
        <v>collected</v>
      </c>
      <c r="J373" s="16" t="str">
        <f t="shared" si="6"/>
        <v>N</v>
      </c>
      <c r="K373" s="16"/>
      <c r="L373" s="16"/>
    </row>
    <row r="374">
      <c r="A374" s="26" t="s">
        <v>707</v>
      </c>
      <c r="B374" s="10" t="str">
        <f t="shared" si="1"/>
        <v>fatty_acid</v>
      </c>
      <c r="C374" s="49" t="str">
        <f t="shared" si="2"/>
        <v>S16706FA1</v>
      </c>
      <c r="D374" s="6">
        <v>24.0</v>
      </c>
      <c r="E374" s="10" t="str">
        <f t="shared" si="3"/>
        <v>BFA24</v>
      </c>
      <c r="F374" s="13">
        <v>48.0</v>
      </c>
      <c r="G374" s="10" t="str">
        <f t="shared" si="4"/>
        <v>BFA24-48</v>
      </c>
      <c r="H374" s="16"/>
      <c r="I374" s="16" t="str">
        <f t="shared" si="5"/>
        <v>collected</v>
      </c>
      <c r="J374" s="16" t="str">
        <f t="shared" si="6"/>
        <v>N</v>
      </c>
      <c r="K374" s="16"/>
      <c r="L374" s="16"/>
    </row>
    <row r="375">
      <c r="A375" s="44" t="s">
        <v>709</v>
      </c>
      <c r="B375" s="10" t="str">
        <f t="shared" si="1"/>
        <v>fatty_acid</v>
      </c>
      <c r="C375" s="49" t="str">
        <f t="shared" si="2"/>
        <v>S16893FA1</v>
      </c>
      <c r="D375" s="6">
        <v>25.0</v>
      </c>
      <c r="E375" s="10" t="str">
        <f t="shared" si="3"/>
        <v>BFA25</v>
      </c>
      <c r="F375" s="13">
        <v>38.0</v>
      </c>
      <c r="G375" s="10" t="str">
        <f t="shared" si="4"/>
        <v>BFA25-38</v>
      </c>
      <c r="H375" s="16"/>
      <c r="I375" s="16" t="str">
        <f t="shared" si="5"/>
        <v>collected</v>
      </c>
      <c r="J375" s="16" t="str">
        <f t="shared" si="6"/>
        <v>N</v>
      </c>
      <c r="K375" s="16"/>
      <c r="L375" s="16"/>
    </row>
    <row r="376">
      <c r="A376" s="44" t="s">
        <v>711</v>
      </c>
      <c r="B376" s="10" t="str">
        <f t="shared" si="1"/>
        <v>fatty_acid</v>
      </c>
      <c r="C376" s="49" t="str">
        <f t="shared" si="2"/>
        <v>S16897FA1</v>
      </c>
      <c r="D376" s="6">
        <v>25.0</v>
      </c>
      <c r="E376" s="10" t="str">
        <f t="shared" si="3"/>
        <v>BFA25</v>
      </c>
      <c r="F376" s="13">
        <v>39.0</v>
      </c>
      <c r="G376" s="10" t="str">
        <f t="shared" si="4"/>
        <v>BFA25-39</v>
      </c>
      <c r="H376" s="16"/>
      <c r="I376" s="16" t="str">
        <f t="shared" si="5"/>
        <v>collected</v>
      </c>
      <c r="J376" s="16" t="str">
        <f t="shared" si="6"/>
        <v>N</v>
      </c>
      <c r="K376" s="16"/>
      <c r="L376" s="16"/>
    </row>
    <row r="377">
      <c r="A377" s="44" t="s">
        <v>712</v>
      </c>
      <c r="B377" s="10" t="str">
        <f t="shared" si="1"/>
        <v>fatty_acid</v>
      </c>
      <c r="C377" s="49" t="str">
        <f t="shared" si="2"/>
        <v>S16891FA1</v>
      </c>
      <c r="D377" s="6">
        <v>25.0</v>
      </c>
      <c r="E377" s="10" t="str">
        <f t="shared" si="3"/>
        <v>BFA25</v>
      </c>
      <c r="F377" s="13">
        <v>40.0</v>
      </c>
      <c r="G377" s="10" t="str">
        <f t="shared" si="4"/>
        <v>BFA25-40</v>
      </c>
      <c r="H377" s="16"/>
      <c r="I377" s="16" t="str">
        <f t="shared" si="5"/>
        <v>collected</v>
      </c>
      <c r="J377" s="16" t="str">
        <f t="shared" si="6"/>
        <v>N</v>
      </c>
      <c r="K377" s="16"/>
      <c r="L377" s="16"/>
    </row>
    <row r="378">
      <c r="A378" s="44" t="s">
        <v>714</v>
      </c>
      <c r="B378" s="10" t="str">
        <f t="shared" si="1"/>
        <v>fatty_acid</v>
      </c>
      <c r="C378" s="49" t="str">
        <f t="shared" si="2"/>
        <v>S16892FA1</v>
      </c>
      <c r="D378" s="6">
        <v>25.0</v>
      </c>
      <c r="E378" s="10" t="str">
        <f t="shared" si="3"/>
        <v>BFA25</v>
      </c>
      <c r="F378" s="13">
        <v>41.0</v>
      </c>
      <c r="G378" s="10" t="str">
        <f t="shared" si="4"/>
        <v>BFA25-41</v>
      </c>
      <c r="H378" s="16"/>
      <c r="I378" s="16" t="str">
        <f t="shared" si="5"/>
        <v>collected</v>
      </c>
      <c r="J378" s="16" t="str">
        <f t="shared" si="6"/>
        <v>N</v>
      </c>
      <c r="K378" s="16"/>
      <c r="L378" s="16"/>
    </row>
    <row r="379">
      <c r="A379" s="44" t="s">
        <v>715</v>
      </c>
      <c r="B379" s="10" t="str">
        <f t="shared" si="1"/>
        <v>fatty_acid</v>
      </c>
      <c r="C379" s="49" t="str">
        <f t="shared" si="2"/>
        <v>S16899FA1</v>
      </c>
      <c r="D379" s="6">
        <v>25.0</v>
      </c>
      <c r="E379" s="10" t="str">
        <f t="shared" si="3"/>
        <v>BFA25</v>
      </c>
      <c r="F379" s="13">
        <v>42.0</v>
      </c>
      <c r="G379" s="10" t="str">
        <f t="shared" si="4"/>
        <v>BFA25-42</v>
      </c>
      <c r="H379" s="16"/>
      <c r="I379" s="16" t="str">
        <f t="shared" si="5"/>
        <v>collected</v>
      </c>
      <c r="J379" s="16" t="str">
        <f t="shared" si="6"/>
        <v>N</v>
      </c>
      <c r="K379" s="16"/>
      <c r="L379" s="16"/>
    </row>
    <row r="380">
      <c r="A380" s="44" t="s">
        <v>716</v>
      </c>
      <c r="B380" s="10" t="str">
        <f t="shared" si="1"/>
        <v>fatty_acid</v>
      </c>
      <c r="C380" s="49" t="str">
        <f t="shared" si="2"/>
        <v>S16900FA1</v>
      </c>
      <c r="D380" s="6">
        <v>25.0</v>
      </c>
      <c r="E380" s="10" t="str">
        <f t="shared" si="3"/>
        <v>BFA25</v>
      </c>
      <c r="F380" s="13">
        <v>43.0</v>
      </c>
      <c r="G380" s="10" t="str">
        <f t="shared" si="4"/>
        <v>BFA25-43</v>
      </c>
      <c r="H380" s="16"/>
      <c r="I380" s="16" t="str">
        <f t="shared" si="5"/>
        <v>collected</v>
      </c>
      <c r="J380" s="16" t="str">
        <f t="shared" si="6"/>
        <v>N</v>
      </c>
      <c r="K380" s="16"/>
      <c r="L380" s="16"/>
    </row>
    <row r="381">
      <c r="A381" s="44" t="s">
        <v>717</v>
      </c>
      <c r="B381" s="10" t="str">
        <f t="shared" si="1"/>
        <v>fatty_acid</v>
      </c>
      <c r="C381" s="49" t="str">
        <f t="shared" si="2"/>
        <v>S16896FA1</v>
      </c>
      <c r="D381" s="6">
        <v>25.0</v>
      </c>
      <c r="E381" s="10" t="str">
        <f t="shared" si="3"/>
        <v>BFA25</v>
      </c>
      <c r="F381" s="13">
        <v>44.0</v>
      </c>
      <c r="G381" s="10" t="str">
        <f t="shared" si="4"/>
        <v>BFA25-44</v>
      </c>
      <c r="H381" s="16"/>
      <c r="I381" s="16" t="str">
        <f t="shared" si="5"/>
        <v>collected</v>
      </c>
      <c r="J381" s="16" t="str">
        <f t="shared" si="6"/>
        <v>N</v>
      </c>
      <c r="K381" s="16"/>
      <c r="L381" s="16"/>
    </row>
    <row r="382">
      <c r="A382" s="44" t="s">
        <v>720</v>
      </c>
      <c r="B382" s="10" t="str">
        <f t="shared" si="1"/>
        <v>fatty_acid</v>
      </c>
      <c r="C382" s="49" t="str">
        <f t="shared" si="2"/>
        <v>S16894FA1</v>
      </c>
      <c r="D382" s="6">
        <v>25.0</v>
      </c>
      <c r="E382" s="10" t="str">
        <f t="shared" si="3"/>
        <v>BFA25</v>
      </c>
      <c r="F382" s="13">
        <v>45.0</v>
      </c>
      <c r="G382" s="10" t="str">
        <f t="shared" si="4"/>
        <v>BFA25-45</v>
      </c>
      <c r="H382" s="16"/>
      <c r="I382" s="16" t="str">
        <f t="shared" si="5"/>
        <v>collected</v>
      </c>
      <c r="J382" s="16" t="str">
        <f t="shared" si="6"/>
        <v>N</v>
      </c>
      <c r="K382" s="16"/>
      <c r="L382" s="16"/>
    </row>
    <row r="383">
      <c r="A383" s="44" t="s">
        <v>721</v>
      </c>
      <c r="B383" s="10" t="str">
        <f t="shared" si="1"/>
        <v>fatty_acid</v>
      </c>
      <c r="C383" s="49" t="str">
        <f t="shared" si="2"/>
        <v>S16895FA1</v>
      </c>
      <c r="D383" s="6">
        <v>25.0</v>
      </c>
      <c r="E383" s="10" t="str">
        <f t="shared" si="3"/>
        <v>BFA25</v>
      </c>
      <c r="F383" s="13">
        <v>46.0</v>
      </c>
      <c r="G383" s="10" t="str">
        <f t="shared" si="4"/>
        <v>BFA25-46</v>
      </c>
      <c r="H383" s="16"/>
      <c r="I383" s="16" t="str">
        <f t="shared" si="5"/>
        <v>collected</v>
      </c>
      <c r="J383" s="16" t="str">
        <f t="shared" si="6"/>
        <v>N</v>
      </c>
      <c r="K383" s="16"/>
      <c r="L383" s="16"/>
    </row>
    <row r="384">
      <c r="A384" s="44" t="s">
        <v>722</v>
      </c>
      <c r="B384" s="10" t="str">
        <f t="shared" si="1"/>
        <v>fatty_acid</v>
      </c>
      <c r="C384" s="49" t="str">
        <f t="shared" si="2"/>
        <v>S16898FA1</v>
      </c>
      <c r="D384" s="6">
        <v>25.0</v>
      </c>
      <c r="E384" s="10" t="str">
        <f t="shared" si="3"/>
        <v>BFA25</v>
      </c>
      <c r="F384" s="13">
        <v>47.0</v>
      </c>
      <c r="G384" s="10" t="str">
        <f t="shared" si="4"/>
        <v>BFA25-47</v>
      </c>
      <c r="H384" s="16"/>
      <c r="I384" s="16" t="str">
        <f t="shared" si="5"/>
        <v>collected</v>
      </c>
      <c r="J384" s="16" t="str">
        <f t="shared" si="6"/>
        <v>N</v>
      </c>
      <c r="K384" s="16"/>
      <c r="L384" s="16"/>
    </row>
    <row r="385">
      <c r="A385" s="44" t="s">
        <v>723</v>
      </c>
      <c r="B385" s="10" t="str">
        <f t="shared" si="1"/>
        <v>fatty_acid</v>
      </c>
      <c r="C385" s="49" t="str">
        <f t="shared" si="2"/>
        <v>S16761FA1</v>
      </c>
      <c r="D385" s="6">
        <v>25.0</v>
      </c>
      <c r="E385" s="10" t="str">
        <f t="shared" si="3"/>
        <v>BFA25</v>
      </c>
      <c r="F385" s="13">
        <v>48.0</v>
      </c>
      <c r="G385" s="10" t="str">
        <f t="shared" si="4"/>
        <v>BFA25-48</v>
      </c>
      <c r="H385" s="16"/>
      <c r="I385" s="16" t="str">
        <f t="shared" si="5"/>
        <v>collected</v>
      </c>
      <c r="J385" s="16" t="str">
        <f t="shared" si="6"/>
        <v>N</v>
      </c>
      <c r="K385" s="16"/>
      <c r="L385" s="16"/>
    </row>
    <row r="386">
      <c r="A386" s="44" t="s">
        <v>724</v>
      </c>
      <c r="B386" s="10" t="str">
        <f t="shared" si="1"/>
        <v>fatty_acid</v>
      </c>
      <c r="C386" s="49" t="str">
        <f t="shared" si="2"/>
        <v>S16766FA1</v>
      </c>
      <c r="D386" s="6">
        <v>25.0</v>
      </c>
      <c r="E386" s="10" t="str">
        <f t="shared" si="3"/>
        <v>BFA25</v>
      </c>
      <c r="F386" s="13">
        <v>49.0</v>
      </c>
      <c r="G386" s="10" t="str">
        <f t="shared" si="4"/>
        <v>BFA25-49</v>
      </c>
      <c r="H386" s="16"/>
      <c r="I386" s="16" t="str">
        <f t="shared" si="5"/>
        <v>collected</v>
      </c>
      <c r="J386" s="16" t="str">
        <f t="shared" si="6"/>
        <v>N</v>
      </c>
      <c r="K386" s="16"/>
      <c r="L386" s="16"/>
    </row>
    <row r="387">
      <c r="A387" s="44" t="s">
        <v>726</v>
      </c>
      <c r="B387" s="10" t="str">
        <f t="shared" si="1"/>
        <v>fatty_acid</v>
      </c>
      <c r="C387" s="49" t="str">
        <f t="shared" si="2"/>
        <v>S16763FA1</v>
      </c>
      <c r="D387" s="6">
        <v>25.0</v>
      </c>
      <c r="E387" s="10" t="str">
        <f t="shared" si="3"/>
        <v>BFA25</v>
      </c>
      <c r="F387" s="13">
        <v>50.0</v>
      </c>
      <c r="G387" s="10" t="str">
        <f t="shared" si="4"/>
        <v>BFA25-50</v>
      </c>
      <c r="H387" s="16"/>
      <c r="I387" s="16" t="str">
        <f t="shared" si="5"/>
        <v>collected</v>
      </c>
      <c r="J387" s="16" t="str">
        <f t="shared" si="6"/>
        <v>N</v>
      </c>
      <c r="K387" s="16"/>
      <c r="L387" s="16"/>
    </row>
    <row r="388">
      <c r="A388" s="44" t="s">
        <v>728</v>
      </c>
      <c r="B388" s="10" t="str">
        <f t="shared" si="1"/>
        <v>fatty_acid</v>
      </c>
      <c r="C388" s="49" t="str">
        <f t="shared" si="2"/>
        <v>S16765FA1</v>
      </c>
      <c r="D388" s="6">
        <v>25.0</v>
      </c>
      <c r="E388" s="10" t="str">
        <f t="shared" si="3"/>
        <v>BFA25</v>
      </c>
      <c r="F388" s="13">
        <v>51.0</v>
      </c>
      <c r="G388" s="10" t="str">
        <f t="shared" si="4"/>
        <v>BFA25-51</v>
      </c>
      <c r="H388" s="16"/>
      <c r="I388" s="16" t="str">
        <f t="shared" si="5"/>
        <v>collected</v>
      </c>
      <c r="J388" s="16" t="str">
        <f t="shared" si="6"/>
        <v>N</v>
      </c>
      <c r="K388" s="16"/>
      <c r="L388" s="16"/>
    </row>
    <row r="389">
      <c r="A389" s="44" t="s">
        <v>729</v>
      </c>
      <c r="B389" s="10" t="str">
        <f t="shared" si="1"/>
        <v>fatty_acid</v>
      </c>
      <c r="C389" s="49" t="str">
        <f t="shared" si="2"/>
        <v>S16767FA1</v>
      </c>
      <c r="D389" s="6">
        <v>25.0</v>
      </c>
      <c r="E389" s="10" t="str">
        <f t="shared" si="3"/>
        <v>BFA25</v>
      </c>
      <c r="F389" s="13">
        <v>52.0</v>
      </c>
      <c r="G389" s="10" t="str">
        <f t="shared" si="4"/>
        <v>BFA25-52</v>
      </c>
      <c r="H389" s="16"/>
      <c r="I389" s="16" t="str">
        <f t="shared" si="5"/>
        <v>collected</v>
      </c>
      <c r="J389" s="16" t="str">
        <f t="shared" si="6"/>
        <v>N</v>
      </c>
      <c r="K389" s="16"/>
      <c r="L389" s="16"/>
    </row>
    <row r="390">
      <c r="A390" s="44" t="s">
        <v>731</v>
      </c>
      <c r="B390" s="10" t="str">
        <f t="shared" si="1"/>
        <v>fatty_acid</v>
      </c>
      <c r="C390" s="49" t="str">
        <f t="shared" si="2"/>
        <v>S16762FA1</v>
      </c>
      <c r="D390" s="6">
        <v>25.0</v>
      </c>
      <c r="E390" s="10" t="str">
        <f t="shared" si="3"/>
        <v>BFA25</v>
      </c>
      <c r="F390" s="13">
        <v>53.0</v>
      </c>
      <c r="G390" s="10" t="str">
        <f t="shared" si="4"/>
        <v>BFA25-53</v>
      </c>
      <c r="H390" s="16"/>
      <c r="I390" s="16" t="str">
        <f t="shared" si="5"/>
        <v>collected</v>
      </c>
      <c r="J390" s="16" t="str">
        <f t="shared" si="6"/>
        <v>N</v>
      </c>
      <c r="K390" s="16"/>
      <c r="L390" s="16"/>
    </row>
    <row r="391">
      <c r="A391" s="44" t="s">
        <v>734</v>
      </c>
      <c r="B391" s="10" t="str">
        <f t="shared" si="1"/>
        <v>fatty_acid</v>
      </c>
      <c r="C391" s="49" t="str">
        <f t="shared" si="2"/>
        <v>S16764FA1</v>
      </c>
      <c r="D391" s="6">
        <v>25.0</v>
      </c>
      <c r="E391" s="10" t="str">
        <f t="shared" si="3"/>
        <v>BFA25</v>
      </c>
      <c r="F391" s="13">
        <v>54.0</v>
      </c>
      <c r="G391" s="10" t="str">
        <f t="shared" si="4"/>
        <v>BFA25-54</v>
      </c>
      <c r="H391" s="16"/>
      <c r="I391" s="16" t="str">
        <f t="shared" si="5"/>
        <v>collected</v>
      </c>
      <c r="J391" s="16" t="str">
        <f t="shared" si="6"/>
        <v>N</v>
      </c>
      <c r="K391" s="16"/>
      <c r="L391" s="16"/>
    </row>
    <row r="392">
      <c r="A392" s="6" t="s">
        <v>735</v>
      </c>
      <c r="B392" s="10" t="str">
        <f t="shared" si="1"/>
        <v>fatty_acid</v>
      </c>
      <c r="C392" s="49" t="str">
        <f t="shared" si="2"/>
        <v>S16707FA1</v>
      </c>
      <c r="D392" s="6">
        <v>24.0</v>
      </c>
      <c r="E392" s="10" t="str">
        <f t="shared" si="3"/>
        <v>BFA24</v>
      </c>
      <c r="F392" s="13">
        <v>49.0</v>
      </c>
      <c r="G392" s="10" t="str">
        <f t="shared" si="4"/>
        <v>BFA24-49</v>
      </c>
      <c r="H392" s="16"/>
      <c r="I392" s="16" t="str">
        <f t="shared" si="5"/>
        <v>collected</v>
      </c>
      <c r="J392" s="16" t="str">
        <f t="shared" si="6"/>
        <v>N</v>
      </c>
      <c r="K392" s="16"/>
      <c r="L392" s="16"/>
    </row>
    <row r="393">
      <c r="A393" s="6" t="s">
        <v>736</v>
      </c>
      <c r="B393" s="10" t="str">
        <f t="shared" si="1"/>
        <v>fatty_acid</v>
      </c>
      <c r="C393" s="49" t="str">
        <f t="shared" si="2"/>
        <v>S16708FA1</v>
      </c>
      <c r="D393" s="6">
        <v>24.0</v>
      </c>
      <c r="E393" s="10" t="str">
        <f t="shared" si="3"/>
        <v>BFA24</v>
      </c>
      <c r="F393" s="13">
        <v>50.0</v>
      </c>
      <c r="G393" s="10" t="str">
        <f t="shared" si="4"/>
        <v>BFA24-50</v>
      </c>
      <c r="H393" s="16"/>
      <c r="I393" s="16" t="str">
        <f t="shared" si="5"/>
        <v>collected</v>
      </c>
      <c r="J393" s="16" t="str">
        <f t="shared" si="6"/>
        <v>N</v>
      </c>
      <c r="K393" s="16"/>
      <c r="L393" s="16"/>
    </row>
    <row r="394">
      <c r="A394" s="6" t="s">
        <v>738</v>
      </c>
      <c r="B394" s="10" t="str">
        <f t="shared" si="1"/>
        <v>fatty_acid</v>
      </c>
      <c r="C394" s="49" t="str">
        <f t="shared" si="2"/>
        <v>S16709FA1</v>
      </c>
      <c r="D394" s="6">
        <v>24.0</v>
      </c>
      <c r="E394" s="10" t="str">
        <f t="shared" si="3"/>
        <v>BFA24</v>
      </c>
      <c r="F394" s="13">
        <v>51.0</v>
      </c>
      <c r="G394" s="10" t="str">
        <f t="shared" si="4"/>
        <v>BFA24-51</v>
      </c>
      <c r="H394" s="16"/>
      <c r="I394" s="16" t="str">
        <f t="shared" si="5"/>
        <v>collected</v>
      </c>
      <c r="J394" s="16" t="str">
        <f t="shared" si="6"/>
        <v>N</v>
      </c>
      <c r="K394" s="16"/>
      <c r="L394" s="16"/>
    </row>
    <row r="395">
      <c r="A395" s="6" t="s">
        <v>740</v>
      </c>
      <c r="B395" s="10" t="str">
        <f t="shared" si="1"/>
        <v>fatty_acid</v>
      </c>
      <c r="C395" s="49" t="str">
        <f t="shared" si="2"/>
        <v>S16710FA1</v>
      </c>
      <c r="D395" s="6">
        <v>24.0</v>
      </c>
      <c r="E395" s="10" t="str">
        <f t="shared" si="3"/>
        <v>BFA24</v>
      </c>
      <c r="F395" s="13">
        <v>52.0</v>
      </c>
      <c r="G395" s="10" t="str">
        <f t="shared" si="4"/>
        <v>BFA24-52</v>
      </c>
      <c r="H395" s="16"/>
      <c r="I395" s="16" t="str">
        <f t="shared" si="5"/>
        <v>collected</v>
      </c>
      <c r="J395" s="16" t="str">
        <f t="shared" si="6"/>
        <v>N</v>
      </c>
      <c r="K395" s="16"/>
      <c r="L395" s="16"/>
    </row>
    <row r="396">
      <c r="A396" s="6" t="s">
        <v>741</v>
      </c>
      <c r="B396" s="10" t="str">
        <f t="shared" si="1"/>
        <v>fatty_acid</v>
      </c>
      <c r="C396" s="49" t="str">
        <f t="shared" si="2"/>
        <v>S16921FA1</v>
      </c>
      <c r="D396" s="6">
        <v>24.0</v>
      </c>
      <c r="E396" s="10" t="str">
        <f t="shared" si="3"/>
        <v>BFA24</v>
      </c>
      <c r="F396" s="13">
        <v>53.0</v>
      </c>
      <c r="G396" s="10" t="str">
        <f t="shared" si="4"/>
        <v>BFA24-53</v>
      </c>
      <c r="H396" s="16"/>
      <c r="I396" s="16" t="str">
        <f t="shared" si="5"/>
        <v>collected</v>
      </c>
      <c r="J396" s="16" t="str">
        <f t="shared" si="6"/>
        <v>N</v>
      </c>
      <c r="K396" s="16"/>
      <c r="L396" s="16"/>
    </row>
    <row r="397">
      <c r="A397" s="26" t="s">
        <v>743</v>
      </c>
      <c r="B397" s="10" t="str">
        <f t="shared" si="1"/>
        <v>fatty_acid</v>
      </c>
      <c r="C397" s="49" t="str">
        <f t="shared" si="2"/>
        <v>S16922FA1</v>
      </c>
      <c r="D397" s="6">
        <v>24.0</v>
      </c>
      <c r="E397" s="10" t="str">
        <f t="shared" si="3"/>
        <v>BFA24</v>
      </c>
      <c r="F397" s="13">
        <v>54.0</v>
      </c>
      <c r="G397" s="10" t="str">
        <f t="shared" si="4"/>
        <v>BFA24-54</v>
      </c>
      <c r="H397" s="16"/>
      <c r="I397" s="16" t="str">
        <f t="shared" si="5"/>
        <v>collected</v>
      </c>
      <c r="J397" s="16" t="str">
        <f t="shared" si="6"/>
        <v>N</v>
      </c>
      <c r="K397" s="16"/>
      <c r="L397" s="16"/>
    </row>
    <row r="398">
      <c r="A398" s="26" t="s">
        <v>744</v>
      </c>
      <c r="B398" s="10" t="str">
        <f t="shared" si="1"/>
        <v>fatty_acid</v>
      </c>
      <c r="C398" s="49" t="str">
        <f t="shared" si="2"/>
        <v>S16923FA1</v>
      </c>
      <c r="D398" s="6">
        <v>24.0</v>
      </c>
      <c r="E398" s="10" t="str">
        <f t="shared" si="3"/>
        <v>BFA24</v>
      </c>
      <c r="F398" s="13">
        <v>55.0</v>
      </c>
      <c r="G398" s="10" t="str">
        <f t="shared" si="4"/>
        <v>BFA24-55</v>
      </c>
      <c r="H398" s="16"/>
      <c r="I398" s="16" t="str">
        <f t="shared" si="5"/>
        <v>collected</v>
      </c>
      <c r="J398" s="16" t="str">
        <f t="shared" si="6"/>
        <v>N</v>
      </c>
      <c r="K398" s="16"/>
      <c r="L398" s="16"/>
    </row>
    <row r="399">
      <c r="A399" s="26" t="s">
        <v>745</v>
      </c>
      <c r="B399" s="10" t="str">
        <f t="shared" si="1"/>
        <v>fatty_acid</v>
      </c>
      <c r="C399" s="49" t="str">
        <f t="shared" si="2"/>
        <v>S17351FA1</v>
      </c>
      <c r="D399" s="6">
        <v>24.0</v>
      </c>
      <c r="E399" s="10" t="str">
        <f t="shared" si="3"/>
        <v>BFA24</v>
      </c>
      <c r="F399" s="13">
        <v>56.0</v>
      </c>
      <c r="G399" s="10" t="str">
        <f t="shared" si="4"/>
        <v>BFA24-56</v>
      </c>
      <c r="H399" s="16"/>
      <c r="I399" s="16" t="str">
        <f t="shared" si="5"/>
        <v>collected</v>
      </c>
      <c r="J399" s="16" t="str">
        <f t="shared" si="6"/>
        <v>N</v>
      </c>
      <c r="K399" s="16"/>
      <c r="L399" s="16"/>
    </row>
    <row r="400">
      <c r="A400" s="26" t="s">
        <v>747</v>
      </c>
      <c r="B400" s="10" t="str">
        <f t="shared" si="1"/>
        <v>fatty_acid</v>
      </c>
      <c r="C400" s="49" t="str">
        <f t="shared" si="2"/>
        <v>S17352FA1</v>
      </c>
      <c r="D400" s="6">
        <v>24.0</v>
      </c>
      <c r="E400" s="10" t="str">
        <f t="shared" si="3"/>
        <v>BFA24</v>
      </c>
      <c r="F400" s="13">
        <v>57.0</v>
      </c>
      <c r="G400" s="10" t="str">
        <f t="shared" si="4"/>
        <v>BFA24-57</v>
      </c>
      <c r="H400" s="16"/>
      <c r="I400" s="16" t="str">
        <f t="shared" si="5"/>
        <v>collected</v>
      </c>
      <c r="J400" s="16" t="str">
        <f t="shared" si="6"/>
        <v>N</v>
      </c>
      <c r="K400" s="16"/>
      <c r="L400" s="16"/>
    </row>
    <row r="401">
      <c r="A401" s="26" t="s">
        <v>749</v>
      </c>
      <c r="B401" s="10" t="str">
        <f t="shared" si="1"/>
        <v>fatty_acid</v>
      </c>
      <c r="C401" s="49" t="str">
        <f t="shared" si="2"/>
        <v>S17353FA1</v>
      </c>
      <c r="D401" s="6">
        <v>24.0</v>
      </c>
      <c r="E401" s="10" t="str">
        <f t="shared" si="3"/>
        <v>BFA24</v>
      </c>
      <c r="F401" s="13">
        <v>58.0</v>
      </c>
      <c r="G401" s="10" t="str">
        <f t="shared" si="4"/>
        <v>BFA24-58</v>
      </c>
      <c r="H401" s="16"/>
      <c r="I401" s="16" t="str">
        <f t="shared" si="5"/>
        <v>collected</v>
      </c>
      <c r="J401" s="16" t="str">
        <f t="shared" si="6"/>
        <v>N</v>
      </c>
      <c r="K401" s="16"/>
      <c r="L401" s="16"/>
    </row>
    <row r="402">
      <c r="A402" s="26" t="s">
        <v>751</v>
      </c>
      <c r="B402" s="10" t="str">
        <f t="shared" si="1"/>
        <v>fatty_acid</v>
      </c>
      <c r="C402" s="49" t="str">
        <f t="shared" si="2"/>
        <v>S17354FA1</v>
      </c>
      <c r="D402" s="6">
        <v>24.0</v>
      </c>
      <c r="E402" s="10" t="str">
        <f t="shared" si="3"/>
        <v>BFA24</v>
      </c>
      <c r="F402" s="13">
        <v>59.0</v>
      </c>
      <c r="G402" s="10" t="str">
        <f t="shared" si="4"/>
        <v>BFA24-59</v>
      </c>
      <c r="H402" s="16"/>
      <c r="I402" s="16" t="str">
        <f t="shared" si="5"/>
        <v>collected</v>
      </c>
      <c r="J402" s="16" t="str">
        <f t="shared" si="6"/>
        <v>N</v>
      </c>
      <c r="K402" s="16"/>
      <c r="L402" s="16"/>
    </row>
    <row r="403">
      <c r="A403" s="26" t="s">
        <v>753</v>
      </c>
      <c r="B403" s="10" t="str">
        <f t="shared" si="1"/>
        <v>fatty_acid</v>
      </c>
      <c r="C403" s="49" t="str">
        <f t="shared" si="2"/>
        <v>S17355FA1</v>
      </c>
      <c r="D403" s="6">
        <v>24.0</v>
      </c>
      <c r="E403" s="10" t="str">
        <f t="shared" si="3"/>
        <v>BFA24</v>
      </c>
      <c r="F403" s="13">
        <v>60.0</v>
      </c>
      <c r="G403" s="10" t="str">
        <f t="shared" si="4"/>
        <v>BFA24-60</v>
      </c>
      <c r="H403" s="16"/>
      <c r="I403" s="16" t="str">
        <f t="shared" si="5"/>
        <v>collected</v>
      </c>
      <c r="J403" s="16" t="str">
        <f t="shared" si="6"/>
        <v>N</v>
      </c>
      <c r="K403" s="16"/>
      <c r="L403" s="16"/>
    </row>
    <row r="404">
      <c r="A404" s="27" t="s">
        <v>755</v>
      </c>
      <c r="B404" s="10" t="str">
        <f t="shared" si="1"/>
        <v>fatty_acid</v>
      </c>
      <c r="C404" s="49" t="str">
        <f t="shared" si="2"/>
        <v>S17356FA1</v>
      </c>
      <c r="D404" s="6">
        <v>24.0</v>
      </c>
      <c r="E404" s="10" t="str">
        <f t="shared" si="3"/>
        <v>BFA24</v>
      </c>
      <c r="F404" s="13">
        <v>61.0</v>
      </c>
      <c r="G404" s="10" t="str">
        <f t="shared" si="4"/>
        <v>BFA24-61</v>
      </c>
      <c r="H404" s="16"/>
      <c r="I404" s="16" t="str">
        <f t="shared" si="5"/>
        <v>collected</v>
      </c>
      <c r="J404" s="16" t="str">
        <f t="shared" si="6"/>
        <v>N</v>
      </c>
      <c r="K404" s="16"/>
      <c r="L404" s="16"/>
    </row>
    <row r="405">
      <c r="A405" s="27" t="s">
        <v>757</v>
      </c>
      <c r="B405" s="10" t="str">
        <f t="shared" si="1"/>
        <v>fatty_acid</v>
      </c>
      <c r="C405" s="49" t="str">
        <f t="shared" si="2"/>
        <v>S17357FA1</v>
      </c>
      <c r="D405" s="6">
        <v>24.0</v>
      </c>
      <c r="E405" s="10" t="str">
        <f t="shared" si="3"/>
        <v>BFA24</v>
      </c>
      <c r="F405" s="13">
        <v>62.0</v>
      </c>
      <c r="G405" s="10" t="str">
        <f t="shared" si="4"/>
        <v>BFA24-62</v>
      </c>
      <c r="H405" s="16"/>
      <c r="I405" s="16" t="str">
        <f t="shared" si="5"/>
        <v>collected</v>
      </c>
      <c r="J405" s="16" t="str">
        <f t="shared" si="6"/>
        <v>N</v>
      </c>
      <c r="K405" s="16"/>
      <c r="L405" s="16"/>
    </row>
    <row r="406">
      <c r="A406" s="27" t="s">
        <v>758</v>
      </c>
      <c r="B406" s="10" t="str">
        <f t="shared" si="1"/>
        <v>fatty_acid</v>
      </c>
      <c r="C406" s="49" t="str">
        <f t="shared" si="2"/>
        <v>S17358FA1</v>
      </c>
      <c r="D406" s="6">
        <v>24.0</v>
      </c>
      <c r="E406" s="10" t="str">
        <f t="shared" si="3"/>
        <v>BFA24</v>
      </c>
      <c r="F406" s="13">
        <v>63.0</v>
      </c>
      <c r="G406" s="10" t="str">
        <f t="shared" si="4"/>
        <v>BFA24-63</v>
      </c>
      <c r="H406" s="16"/>
      <c r="I406" s="16" t="str">
        <f t="shared" si="5"/>
        <v>collected</v>
      </c>
      <c r="J406" s="16" t="str">
        <f t="shared" si="6"/>
        <v>N</v>
      </c>
      <c r="K406" s="16"/>
      <c r="L406" s="16"/>
    </row>
    <row r="407">
      <c r="A407" s="27" t="s">
        <v>760</v>
      </c>
      <c r="B407" s="10" t="str">
        <f t="shared" si="1"/>
        <v>fatty_acid</v>
      </c>
      <c r="C407" s="49" t="str">
        <f t="shared" si="2"/>
        <v>S17359FA1</v>
      </c>
      <c r="D407" s="6">
        <v>24.0</v>
      </c>
      <c r="E407" s="10" t="str">
        <f t="shared" si="3"/>
        <v>BFA24</v>
      </c>
      <c r="F407" s="13">
        <v>64.0</v>
      </c>
      <c r="G407" s="10" t="str">
        <f t="shared" si="4"/>
        <v>BFA24-64</v>
      </c>
      <c r="H407" s="16"/>
      <c r="I407" s="16" t="str">
        <f t="shared" si="5"/>
        <v>collected</v>
      </c>
      <c r="J407" s="16" t="str">
        <f t="shared" si="6"/>
        <v>N</v>
      </c>
      <c r="K407" s="16"/>
      <c r="L407" s="16"/>
    </row>
    <row r="408">
      <c r="A408" s="27" t="s">
        <v>762</v>
      </c>
      <c r="B408" s="10" t="str">
        <f t="shared" si="1"/>
        <v>fatty_acid</v>
      </c>
      <c r="C408" s="49" t="str">
        <f t="shared" si="2"/>
        <v>S17360FA1</v>
      </c>
      <c r="D408" s="6">
        <v>24.0</v>
      </c>
      <c r="E408" s="10" t="str">
        <f t="shared" si="3"/>
        <v>BFA24</v>
      </c>
      <c r="F408" s="13">
        <v>65.0</v>
      </c>
      <c r="G408" s="10" t="str">
        <f t="shared" si="4"/>
        <v>BFA24-65</v>
      </c>
      <c r="H408" s="16"/>
      <c r="I408" s="16" t="str">
        <f t="shared" si="5"/>
        <v>collected</v>
      </c>
      <c r="J408" s="16" t="str">
        <f t="shared" si="6"/>
        <v>N</v>
      </c>
      <c r="K408" s="16"/>
      <c r="L408" s="16"/>
    </row>
    <row r="409">
      <c r="A409" s="40" t="s">
        <v>763</v>
      </c>
      <c r="B409" s="10" t="str">
        <f t="shared" si="1"/>
        <v>fatty_acid</v>
      </c>
      <c r="C409" s="49" t="str">
        <f t="shared" si="2"/>
        <v>S16954FA1</v>
      </c>
      <c r="D409" s="6">
        <v>25.0</v>
      </c>
      <c r="E409" s="10" t="str">
        <f t="shared" si="3"/>
        <v>BFA25</v>
      </c>
      <c r="F409" s="13">
        <v>55.0</v>
      </c>
      <c r="G409" s="10" t="str">
        <f t="shared" si="4"/>
        <v>BFA25-55</v>
      </c>
      <c r="H409" s="16"/>
      <c r="I409" s="16" t="str">
        <f t="shared" si="5"/>
        <v>collected</v>
      </c>
      <c r="J409" s="16" t="str">
        <f t="shared" si="6"/>
        <v>N</v>
      </c>
      <c r="K409" s="16"/>
      <c r="L409" s="16"/>
    </row>
    <row r="410">
      <c r="A410" s="40" t="s">
        <v>764</v>
      </c>
      <c r="B410" s="10" t="str">
        <f t="shared" si="1"/>
        <v>fatty_acid</v>
      </c>
      <c r="C410" s="49" t="str">
        <f t="shared" si="2"/>
        <v>S16953FA1</v>
      </c>
      <c r="D410" s="6">
        <v>25.0</v>
      </c>
      <c r="E410" s="10" t="str">
        <f t="shared" si="3"/>
        <v>BFA25</v>
      </c>
      <c r="F410" s="13">
        <v>56.0</v>
      </c>
      <c r="G410" s="10" t="str">
        <f t="shared" si="4"/>
        <v>BFA25-56</v>
      </c>
      <c r="H410" s="16"/>
      <c r="I410" s="16" t="str">
        <f t="shared" si="5"/>
        <v>collected</v>
      </c>
      <c r="J410" s="16" t="str">
        <f t="shared" si="6"/>
        <v>N</v>
      </c>
      <c r="K410" s="16"/>
      <c r="L410" s="16"/>
    </row>
    <row r="411">
      <c r="A411" s="43" t="s">
        <v>767</v>
      </c>
      <c r="B411" s="10" t="str">
        <f t="shared" si="1"/>
        <v>fatty_acid</v>
      </c>
      <c r="C411" s="49" t="str">
        <f t="shared" si="2"/>
        <v>S16952FA1</v>
      </c>
      <c r="D411" s="6">
        <v>25.0</v>
      </c>
      <c r="E411" s="10" t="str">
        <f t="shared" si="3"/>
        <v>BFA25</v>
      </c>
      <c r="F411" s="13">
        <v>57.0</v>
      </c>
      <c r="G411" s="10" t="str">
        <f t="shared" si="4"/>
        <v>BFA25-57</v>
      </c>
      <c r="H411" s="16"/>
      <c r="I411" s="16" t="str">
        <f t="shared" si="5"/>
        <v>collected</v>
      </c>
      <c r="J411" s="16" t="str">
        <f t="shared" si="6"/>
        <v>N</v>
      </c>
      <c r="K411" s="16"/>
      <c r="L411" s="16"/>
    </row>
    <row r="412">
      <c r="A412" s="43" t="s">
        <v>768</v>
      </c>
      <c r="B412" s="10" t="str">
        <f t="shared" si="1"/>
        <v>fatty_acid</v>
      </c>
      <c r="C412" s="49" t="str">
        <f t="shared" si="2"/>
        <v>S16951FA1</v>
      </c>
      <c r="D412" s="6">
        <v>25.0</v>
      </c>
      <c r="E412" s="10" t="str">
        <f t="shared" si="3"/>
        <v>BFA25</v>
      </c>
      <c r="F412" s="13">
        <v>58.0</v>
      </c>
      <c r="G412" s="10" t="str">
        <f t="shared" si="4"/>
        <v>BFA25-58</v>
      </c>
      <c r="H412" s="16"/>
      <c r="I412" s="16" t="str">
        <f t="shared" si="5"/>
        <v>collected</v>
      </c>
      <c r="J412" s="16" t="str">
        <f t="shared" si="6"/>
        <v>N</v>
      </c>
      <c r="K412" s="16"/>
      <c r="L412" s="16"/>
    </row>
    <row r="413">
      <c r="A413" s="40" t="s">
        <v>770</v>
      </c>
      <c r="B413" s="10" t="str">
        <f t="shared" si="1"/>
        <v>fatty_acid</v>
      </c>
      <c r="C413" s="49" t="str">
        <f t="shared" si="2"/>
        <v>S16955FA1</v>
      </c>
      <c r="D413" s="6">
        <v>25.0</v>
      </c>
      <c r="E413" s="10" t="str">
        <f t="shared" si="3"/>
        <v>BFA25</v>
      </c>
      <c r="F413" s="13">
        <v>59.0</v>
      </c>
      <c r="G413" s="10" t="str">
        <f t="shared" si="4"/>
        <v>BFA25-59</v>
      </c>
      <c r="H413" s="16"/>
      <c r="I413" s="16" t="str">
        <f t="shared" si="5"/>
        <v>collected</v>
      </c>
      <c r="J413" s="16" t="str">
        <f t="shared" si="6"/>
        <v>N</v>
      </c>
      <c r="K413" s="16"/>
      <c r="L413" s="16"/>
    </row>
    <row r="414">
      <c r="A414" s="43" t="s">
        <v>771</v>
      </c>
      <c r="B414" s="10" t="str">
        <f t="shared" si="1"/>
        <v>fatty_acid</v>
      </c>
      <c r="C414" s="49" t="str">
        <f t="shared" si="2"/>
        <v>S17429FA1</v>
      </c>
      <c r="D414" s="6">
        <v>25.0</v>
      </c>
      <c r="E414" s="10" t="str">
        <f t="shared" si="3"/>
        <v>BFA25</v>
      </c>
      <c r="F414" s="13">
        <v>60.0</v>
      </c>
      <c r="G414" s="10" t="str">
        <f t="shared" si="4"/>
        <v>BFA25-60</v>
      </c>
      <c r="H414" s="16"/>
      <c r="I414" s="16" t="str">
        <f t="shared" si="5"/>
        <v>collected</v>
      </c>
      <c r="J414" s="16" t="str">
        <f t="shared" si="6"/>
        <v>N</v>
      </c>
      <c r="K414" s="16"/>
      <c r="L414" s="16"/>
    </row>
    <row r="415">
      <c r="A415" s="43" t="s">
        <v>773</v>
      </c>
      <c r="B415" s="10" t="str">
        <f t="shared" si="1"/>
        <v>fatty_acid</v>
      </c>
      <c r="C415" s="49" t="str">
        <f t="shared" si="2"/>
        <v>S17425FA1</v>
      </c>
      <c r="D415" s="6">
        <v>25.0</v>
      </c>
      <c r="E415" s="10" t="str">
        <f t="shared" si="3"/>
        <v>BFA25</v>
      </c>
      <c r="F415" s="13">
        <v>61.0</v>
      </c>
      <c r="G415" s="10" t="str">
        <f t="shared" si="4"/>
        <v>BFA25-61</v>
      </c>
      <c r="H415" s="16"/>
      <c r="I415" s="16" t="str">
        <f t="shared" si="5"/>
        <v>collected</v>
      </c>
      <c r="J415" s="16" t="str">
        <f t="shared" si="6"/>
        <v>N</v>
      </c>
      <c r="K415" s="16"/>
      <c r="L415" s="16"/>
    </row>
    <row r="416">
      <c r="A416" s="43" t="s">
        <v>775</v>
      </c>
      <c r="B416" s="10" t="str">
        <f t="shared" si="1"/>
        <v>fatty_acid</v>
      </c>
      <c r="C416" s="49" t="str">
        <f t="shared" si="2"/>
        <v>S17422FA1</v>
      </c>
      <c r="D416" s="6">
        <v>25.0</v>
      </c>
      <c r="E416" s="10" t="str">
        <f t="shared" si="3"/>
        <v>BFA25</v>
      </c>
      <c r="F416" s="13">
        <v>62.0</v>
      </c>
      <c r="G416" s="10" t="str">
        <f t="shared" si="4"/>
        <v>BFA25-62</v>
      </c>
      <c r="H416" s="16"/>
      <c r="I416" s="16" t="str">
        <f t="shared" si="5"/>
        <v>collected</v>
      </c>
      <c r="J416" s="16" t="str">
        <f t="shared" si="6"/>
        <v>N</v>
      </c>
      <c r="K416" s="16"/>
      <c r="L416" s="16"/>
    </row>
    <row r="417">
      <c r="A417" s="43" t="s">
        <v>777</v>
      </c>
      <c r="B417" s="10" t="str">
        <f t="shared" si="1"/>
        <v>fatty_acid</v>
      </c>
      <c r="C417" s="49" t="str">
        <f t="shared" si="2"/>
        <v>S17423FA1</v>
      </c>
      <c r="D417" s="6">
        <v>25.0</v>
      </c>
      <c r="E417" s="10" t="str">
        <f t="shared" si="3"/>
        <v>BFA25</v>
      </c>
      <c r="F417" s="13">
        <v>63.0</v>
      </c>
      <c r="G417" s="10" t="str">
        <f t="shared" si="4"/>
        <v>BFA25-63</v>
      </c>
      <c r="H417" s="16"/>
      <c r="I417" s="16" t="str">
        <f t="shared" si="5"/>
        <v>collected</v>
      </c>
      <c r="J417" s="16" t="str">
        <f t="shared" si="6"/>
        <v>N</v>
      </c>
      <c r="K417" s="16"/>
      <c r="L417" s="16"/>
    </row>
    <row r="418">
      <c r="A418" s="40" t="s">
        <v>778</v>
      </c>
      <c r="B418" s="10" t="str">
        <f t="shared" si="1"/>
        <v>fatty_acid</v>
      </c>
      <c r="C418" s="49" t="str">
        <f t="shared" si="2"/>
        <v>S17426FA1</v>
      </c>
      <c r="D418" s="6">
        <v>25.0</v>
      </c>
      <c r="E418" s="10" t="str">
        <f t="shared" si="3"/>
        <v>BFA25</v>
      </c>
      <c r="F418" s="13">
        <v>64.0</v>
      </c>
      <c r="G418" s="10" t="str">
        <f t="shared" si="4"/>
        <v>BFA25-64</v>
      </c>
      <c r="H418" s="16"/>
      <c r="I418" s="16" t="str">
        <f t="shared" si="5"/>
        <v>collected</v>
      </c>
      <c r="J418" s="16" t="str">
        <f t="shared" si="6"/>
        <v>N</v>
      </c>
      <c r="K418" s="16"/>
      <c r="L418" s="16"/>
    </row>
    <row r="419">
      <c r="A419" s="40" t="s">
        <v>781</v>
      </c>
      <c r="B419" s="10" t="str">
        <f t="shared" si="1"/>
        <v>fatty_acid</v>
      </c>
      <c r="C419" s="49" t="str">
        <f t="shared" si="2"/>
        <v>S17421FA1</v>
      </c>
      <c r="D419" s="6">
        <v>25.0</v>
      </c>
      <c r="E419" s="10" t="str">
        <f t="shared" si="3"/>
        <v>BFA25</v>
      </c>
      <c r="F419" s="13">
        <v>65.0</v>
      </c>
      <c r="G419" s="10" t="str">
        <f t="shared" si="4"/>
        <v>BFA25-65</v>
      </c>
      <c r="H419" s="16"/>
      <c r="I419" s="16" t="str">
        <f t="shared" si="5"/>
        <v>collected</v>
      </c>
      <c r="J419" s="16" t="str">
        <f t="shared" si="6"/>
        <v>N</v>
      </c>
      <c r="K419" s="16"/>
      <c r="L419" s="16"/>
    </row>
    <row r="420">
      <c r="A420" s="40" t="s">
        <v>782</v>
      </c>
      <c r="B420" s="10" t="str">
        <f t="shared" si="1"/>
        <v>fatty_acid</v>
      </c>
      <c r="C420" s="49" t="str">
        <f t="shared" si="2"/>
        <v>S17430FA1</v>
      </c>
      <c r="D420" s="6">
        <v>25.0</v>
      </c>
      <c r="E420" s="10" t="str">
        <f t="shared" si="3"/>
        <v>BFA25</v>
      </c>
      <c r="F420" s="13">
        <v>66.0</v>
      </c>
      <c r="G420" s="10" t="str">
        <f t="shared" si="4"/>
        <v>BFA25-66</v>
      </c>
      <c r="H420" s="16"/>
      <c r="I420" s="16" t="str">
        <f t="shared" si="5"/>
        <v>collected</v>
      </c>
      <c r="J420" s="16" t="str">
        <f t="shared" si="6"/>
        <v>N</v>
      </c>
      <c r="K420" s="16"/>
      <c r="L420" s="16"/>
    </row>
    <row r="421">
      <c r="A421" s="40" t="s">
        <v>783</v>
      </c>
      <c r="B421" s="10" t="str">
        <f t="shared" si="1"/>
        <v>fatty_acid</v>
      </c>
      <c r="C421" s="49" t="str">
        <f t="shared" si="2"/>
        <v>S17424FA1</v>
      </c>
      <c r="D421" s="6">
        <v>25.0</v>
      </c>
      <c r="E421" s="10" t="str">
        <f t="shared" si="3"/>
        <v>BFA25</v>
      </c>
      <c r="F421" s="13">
        <v>67.0</v>
      </c>
      <c r="G421" s="10" t="str">
        <f t="shared" si="4"/>
        <v>BFA25-67</v>
      </c>
      <c r="H421" s="16"/>
      <c r="I421" s="16" t="str">
        <f t="shared" si="5"/>
        <v>collected</v>
      </c>
      <c r="J421" s="16" t="str">
        <f t="shared" si="6"/>
        <v>N</v>
      </c>
      <c r="K421" s="16"/>
      <c r="L421" s="16"/>
    </row>
    <row r="422">
      <c r="A422" s="43" t="s">
        <v>785</v>
      </c>
      <c r="B422" s="10" t="str">
        <f t="shared" si="1"/>
        <v>fatty_acid</v>
      </c>
      <c r="C422" s="49" t="str">
        <f t="shared" si="2"/>
        <v>S17427FA1</v>
      </c>
      <c r="D422" s="6">
        <v>25.0</v>
      </c>
      <c r="E422" s="10" t="str">
        <f t="shared" si="3"/>
        <v>BFA25</v>
      </c>
      <c r="F422" s="13">
        <v>68.0</v>
      </c>
      <c r="G422" s="10" t="str">
        <f t="shared" si="4"/>
        <v>BFA25-68</v>
      </c>
      <c r="H422" s="16"/>
      <c r="I422" s="16" t="str">
        <f t="shared" si="5"/>
        <v>collected</v>
      </c>
      <c r="J422" s="16" t="str">
        <f t="shared" si="6"/>
        <v>N</v>
      </c>
      <c r="K422" s="16"/>
      <c r="L422" s="16"/>
    </row>
    <row r="423">
      <c r="A423" s="43" t="s">
        <v>787</v>
      </c>
      <c r="B423" s="10" t="str">
        <f t="shared" si="1"/>
        <v>fatty_acid</v>
      </c>
      <c r="C423" s="49" t="str">
        <f t="shared" si="2"/>
        <v>S17428FA1</v>
      </c>
      <c r="D423" s="6">
        <v>25.0</v>
      </c>
      <c r="E423" s="10" t="str">
        <f t="shared" si="3"/>
        <v>BFA25</v>
      </c>
      <c r="F423" s="13">
        <v>69.0</v>
      </c>
      <c r="G423" s="10" t="str">
        <f t="shared" si="4"/>
        <v>BFA25-69</v>
      </c>
      <c r="H423" s="16"/>
      <c r="I423" s="16" t="str">
        <f t="shared" si="5"/>
        <v>collected</v>
      </c>
      <c r="J423" s="16" t="str">
        <f t="shared" si="6"/>
        <v>N</v>
      </c>
      <c r="K423" s="16"/>
      <c r="L423" s="16"/>
    </row>
    <row r="424">
      <c r="A424" s="43" t="s">
        <v>789</v>
      </c>
      <c r="B424" s="10" t="str">
        <f t="shared" si="1"/>
        <v>fatty_acid</v>
      </c>
      <c r="C424" s="49" t="str">
        <f t="shared" si="2"/>
        <v>S17197FA1</v>
      </c>
      <c r="D424" s="6">
        <v>25.0</v>
      </c>
      <c r="E424" s="10" t="str">
        <f t="shared" si="3"/>
        <v>BFA25</v>
      </c>
      <c r="F424" s="13">
        <v>70.0</v>
      </c>
      <c r="G424" s="10" t="str">
        <f t="shared" si="4"/>
        <v>BFA25-70</v>
      </c>
      <c r="H424" s="16"/>
      <c r="I424" s="16" t="str">
        <f t="shared" si="5"/>
        <v>collected</v>
      </c>
      <c r="J424" s="16" t="str">
        <f t="shared" si="6"/>
        <v>N</v>
      </c>
      <c r="K424" s="16"/>
      <c r="L424" s="16"/>
    </row>
    <row r="425">
      <c r="A425" s="43" t="s">
        <v>790</v>
      </c>
      <c r="B425" s="10" t="str">
        <f t="shared" si="1"/>
        <v>fatty_acid</v>
      </c>
      <c r="C425" s="49" t="str">
        <f t="shared" si="2"/>
        <v>S17198FA1</v>
      </c>
      <c r="D425" s="6">
        <v>25.0</v>
      </c>
      <c r="E425" s="10" t="str">
        <f t="shared" si="3"/>
        <v>BFA25</v>
      </c>
      <c r="F425" s="13">
        <v>71.0</v>
      </c>
      <c r="G425" s="10" t="str">
        <f t="shared" si="4"/>
        <v>BFA25-71</v>
      </c>
      <c r="H425" s="16"/>
      <c r="I425" s="16" t="str">
        <f t="shared" si="5"/>
        <v>collected</v>
      </c>
      <c r="J425" s="16" t="str">
        <f t="shared" si="6"/>
        <v>N</v>
      </c>
      <c r="K425" s="16"/>
      <c r="L425" s="16"/>
    </row>
    <row r="426">
      <c r="A426" s="43" t="s">
        <v>791</v>
      </c>
      <c r="B426" s="10" t="str">
        <f t="shared" si="1"/>
        <v>fatty_acid</v>
      </c>
      <c r="C426" s="49" t="str">
        <f t="shared" si="2"/>
        <v>S17199FA1</v>
      </c>
      <c r="D426" s="6">
        <v>25.0</v>
      </c>
      <c r="E426" s="10" t="str">
        <f t="shared" si="3"/>
        <v>BFA25</v>
      </c>
      <c r="F426" s="13">
        <v>72.0</v>
      </c>
      <c r="G426" s="10" t="str">
        <f t="shared" si="4"/>
        <v>BFA25-72</v>
      </c>
      <c r="H426" s="16"/>
      <c r="I426" s="16" t="str">
        <f t="shared" si="5"/>
        <v>collected</v>
      </c>
      <c r="J426" s="16" t="str">
        <f t="shared" si="6"/>
        <v>N</v>
      </c>
      <c r="K426" s="16"/>
      <c r="L426" s="16"/>
    </row>
    <row r="427">
      <c r="A427" s="43" t="s">
        <v>794</v>
      </c>
      <c r="B427" s="10" t="str">
        <f t="shared" si="1"/>
        <v>fatty_acid</v>
      </c>
      <c r="C427" s="49" t="str">
        <f t="shared" si="2"/>
        <v>S17192FA1</v>
      </c>
      <c r="D427" s="6">
        <v>25.0</v>
      </c>
      <c r="E427" s="10" t="str">
        <f t="shared" si="3"/>
        <v>BFA25</v>
      </c>
      <c r="F427" s="13">
        <v>73.0</v>
      </c>
      <c r="G427" s="10" t="str">
        <f t="shared" si="4"/>
        <v>BFA25-73</v>
      </c>
      <c r="H427" s="16"/>
      <c r="I427" s="16" t="str">
        <f t="shared" si="5"/>
        <v>collected</v>
      </c>
      <c r="J427" s="16" t="str">
        <f t="shared" si="6"/>
        <v>N</v>
      </c>
      <c r="K427" s="16"/>
      <c r="L427" s="16"/>
    </row>
    <row r="428">
      <c r="A428" s="43" t="s">
        <v>795</v>
      </c>
      <c r="B428" s="10" t="str">
        <f t="shared" si="1"/>
        <v>fatty_acid</v>
      </c>
      <c r="C428" s="49" t="str">
        <f t="shared" si="2"/>
        <v>S17191FA1</v>
      </c>
      <c r="D428" s="6">
        <v>25.0</v>
      </c>
      <c r="E428" s="10" t="str">
        <f t="shared" si="3"/>
        <v>BFA25</v>
      </c>
      <c r="F428" s="13">
        <v>74.0</v>
      </c>
      <c r="G428" s="10" t="str">
        <f t="shared" si="4"/>
        <v>BFA25-74</v>
      </c>
      <c r="H428" s="16"/>
      <c r="I428" s="16" t="str">
        <f t="shared" si="5"/>
        <v>collected</v>
      </c>
      <c r="J428" s="16" t="str">
        <f t="shared" si="6"/>
        <v>N</v>
      </c>
      <c r="K428" s="16"/>
      <c r="L428" s="16"/>
    </row>
    <row r="429">
      <c r="A429" s="43" t="s">
        <v>797</v>
      </c>
      <c r="B429" s="10" t="str">
        <f t="shared" si="1"/>
        <v>fatty_acid</v>
      </c>
      <c r="C429" s="49" t="str">
        <f t="shared" si="2"/>
        <v>S17193FA1</v>
      </c>
      <c r="D429" s="6">
        <v>25.0</v>
      </c>
      <c r="E429" s="10" t="str">
        <f t="shared" si="3"/>
        <v>BFA25</v>
      </c>
      <c r="F429" s="13">
        <v>75.0</v>
      </c>
      <c r="G429" s="10" t="str">
        <f t="shared" si="4"/>
        <v>BFA25-75</v>
      </c>
      <c r="H429" s="16"/>
      <c r="I429" s="16" t="str">
        <f t="shared" si="5"/>
        <v>collected</v>
      </c>
      <c r="J429" s="16" t="str">
        <f t="shared" si="6"/>
        <v>N</v>
      </c>
      <c r="K429" s="16"/>
      <c r="L429" s="16"/>
    </row>
    <row r="430">
      <c r="A430" s="43" t="s">
        <v>798</v>
      </c>
      <c r="B430" s="10" t="str">
        <f t="shared" si="1"/>
        <v>fatty_acid</v>
      </c>
      <c r="C430" s="49" t="str">
        <f t="shared" si="2"/>
        <v>S17196FA1</v>
      </c>
      <c r="D430" s="6">
        <v>25.0</v>
      </c>
      <c r="E430" s="10" t="str">
        <f t="shared" si="3"/>
        <v>BFA25</v>
      </c>
      <c r="F430" s="13">
        <v>76.0</v>
      </c>
      <c r="G430" s="10" t="str">
        <f t="shared" si="4"/>
        <v>BFA25-76</v>
      </c>
      <c r="H430" s="16"/>
      <c r="I430" s="16" t="str">
        <f t="shared" si="5"/>
        <v>collected</v>
      </c>
      <c r="J430" s="16" t="str">
        <f t="shared" si="6"/>
        <v>N</v>
      </c>
      <c r="K430" s="16"/>
      <c r="L430" s="16"/>
    </row>
    <row r="431">
      <c r="A431" s="43" t="s">
        <v>799</v>
      </c>
      <c r="B431" s="10" t="str">
        <f t="shared" si="1"/>
        <v>fatty_acid</v>
      </c>
      <c r="C431" s="49" t="str">
        <f t="shared" si="2"/>
        <v>S17195FA1</v>
      </c>
      <c r="D431" s="6">
        <v>25.0</v>
      </c>
      <c r="E431" s="10" t="str">
        <f t="shared" si="3"/>
        <v>BFA25</v>
      </c>
      <c r="F431" s="13">
        <v>77.0</v>
      </c>
      <c r="G431" s="10" t="str">
        <f t="shared" si="4"/>
        <v>BFA25-77</v>
      </c>
      <c r="H431" s="16"/>
      <c r="I431" s="16" t="str">
        <f t="shared" si="5"/>
        <v>collected</v>
      </c>
      <c r="J431" s="16" t="str">
        <f t="shared" si="6"/>
        <v>N</v>
      </c>
      <c r="K431" s="16"/>
      <c r="L431" s="16"/>
    </row>
    <row r="432">
      <c r="A432" s="43" t="s">
        <v>802</v>
      </c>
      <c r="B432" s="10" t="str">
        <f t="shared" si="1"/>
        <v>fatty_acid</v>
      </c>
      <c r="C432" s="49" t="str">
        <f t="shared" si="2"/>
        <v>S17194FA1</v>
      </c>
      <c r="D432" s="6">
        <v>25.0</v>
      </c>
      <c r="E432" s="10" t="str">
        <f t="shared" si="3"/>
        <v>BFA25</v>
      </c>
      <c r="F432" s="13">
        <v>78.0</v>
      </c>
      <c r="G432" s="10" t="str">
        <f t="shared" si="4"/>
        <v>BFA25-78</v>
      </c>
      <c r="H432" s="16"/>
      <c r="I432" s="16" t="str">
        <f t="shared" si="5"/>
        <v>collected</v>
      </c>
      <c r="J432" s="16" t="str">
        <f t="shared" si="6"/>
        <v>N</v>
      </c>
      <c r="K432" s="16"/>
      <c r="L432" s="16"/>
    </row>
    <row r="433">
      <c r="A433" s="43" t="s">
        <v>803</v>
      </c>
      <c r="B433" s="10" t="str">
        <f t="shared" si="1"/>
        <v>fatty_acid</v>
      </c>
      <c r="C433" s="49" t="str">
        <f t="shared" si="2"/>
        <v>S17200FA1</v>
      </c>
      <c r="D433" s="6">
        <v>25.0</v>
      </c>
      <c r="E433" s="10" t="str">
        <f t="shared" si="3"/>
        <v>BFA25</v>
      </c>
      <c r="F433" s="13">
        <v>79.0</v>
      </c>
      <c r="G433" s="10" t="str">
        <f t="shared" si="4"/>
        <v>BFA25-79</v>
      </c>
      <c r="H433" s="16"/>
      <c r="I433" s="16" t="str">
        <f t="shared" si="5"/>
        <v>collected</v>
      </c>
      <c r="J433" s="16" t="str">
        <f t="shared" si="6"/>
        <v>N</v>
      </c>
      <c r="K433" s="16"/>
      <c r="L433" s="16"/>
    </row>
    <row r="434">
      <c r="A434" s="43" t="s">
        <v>804</v>
      </c>
      <c r="B434" s="10" t="str">
        <f t="shared" si="1"/>
        <v>fatty_acid</v>
      </c>
      <c r="C434" s="49" t="str">
        <f t="shared" si="2"/>
        <v>S16992FA1</v>
      </c>
      <c r="D434" s="6">
        <v>25.0</v>
      </c>
      <c r="E434" s="10" t="str">
        <f t="shared" si="3"/>
        <v>BFA25</v>
      </c>
      <c r="F434" s="13">
        <v>80.0</v>
      </c>
      <c r="G434" s="10" t="str">
        <f t="shared" si="4"/>
        <v>BFA25-80</v>
      </c>
      <c r="H434" s="16"/>
      <c r="I434" s="16" t="str">
        <f t="shared" si="5"/>
        <v>collected</v>
      </c>
      <c r="J434" s="16" t="str">
        <f t="shared" si="6"/>
        <v>N</v>
      </c>
      <c r="K434" s="16"/>
      <c r="L434" s="16"/>
    </row>
    <row r="435">
      <c r="A435" s="40" t="s">
        <v>806</v>
      </c>
      <c r="B435" s="10" t="str">
        <f t="shared" si="1"/>
        <v>fatty_acid</v>
      </c>
      <c r="C435" s="49" t="str">
        <f t="shared" si="2"/>
        <v>S16993FA1</v>
      </c>
      <c r="D435" s="6">
        <v>25.0</v>
      </c>
      <c r="E435" s="10" t="str">
        <f t="shared" si="3"/>
        <v>BFA25</v>
      </c>
      <c r="F435" s="13">
        <v>81.0</v>
      </c>
      <c r="G435" s="10" t="str">
        <f t="shared" si="4"/>
        <v>BFA25-81</v>
      </c>
      <c r="H435" s="16"/>
      <c r="I435" s="16" t="str">
        <f t="shared" si="5"/>
        <v>collected</v>
      </c>
      <c r="J435" s="16" t="str">
        <f t="shared" si="6"/>
        <v>N</v>
      </c>
      <c r="K435" s="16"/>
      <c r="L435" s="16"/>
    </row>
    <row r="436">
      <c r="A436" s="30" t="s">
        <v>839</v>
      </c>
      <c r="B436" s="10" t="str">
        <f t="shared" si="1"/>
        <v>fatty_acid</v>
      </c>
      <c r="C436" s="49" t="str">
        <f t="shared" si="2"/>
        <v>S16931FA1</v>
      </c>
      <c r="D436" s="6">
        <v>24.0</v>
      </c>
      <c r="E436" s="10" t="str">
        <f t="shared" si="3"/>
        <v>BFA24</v>
      </c>
      <c r="F436" s="13">
        <v>66.0</v>
      </c>
      <c r="G436" s="10" t="str">
        <f t="shared" si="4"/>
        <v>BFA24-66</v>
      </c>
      <c r="H436" s="16"/>
      <c r="I436" s="16" t="str">
        <f t="shared" si="5"/>
        <v>collected</v>
      </c>
      <c r="J436" s="16" t="str">
        <f t="shared" si="6"/>
        <v>N</v>
      </c>
      <c r="K436" s="16"/>
      <c r="L436" s="16"/>
    </row>
    <row r="437">
      <c r="A437" s="30" t="s">
        <v>841</v>
      </c>
      <c r="B437" s="10" t="str">
        <f t="shared" si="1"/>
        <v>fatty_acid</v>
      </c>
      <c r="C437" s="49" t="str">
        <f t="shared" si="2"/>
        <v>S16932FA1</v>
      </c>
      <c r="D437" s="6">
        <v>24.0</v>
      </c>
      <c r="E437" s="10" t="str">
        <f t="shared" si="3"/>
        <v>BFA24</v>
      </c>
      <c r="F437" s="13">
        <v>67.0</v>
      </c>
      <c r="G437" s="10" t="str">
        <f t="shared" si="4"/>
        <v>BFA24-67</v>
      </c>
      <c r="H437" s="16"/>
      <c r="I437" s="16" t="str">
        <f t="shared" si="5"/>
        <v>collected</v>
      </c>
      <c r="J437" s="16" t="str">
        <f t="shared" si="6"/>
        <v>N</v>
      </c>
      <c r="K437" s="16"/>
      <c r="L437" s="16"/>
    </row>
    <row r="438">
      <c r="A438" s="30" t="s">
        <v>843</v>
      </c>
      <c r="B438" s="10" t="str">
        <f t="shared" si="1"/>
        <v>fatty_acid</v>
      </c>
      <c r="C438" s="49" t="str">
        <f t="shared" si="2"/>
        <v>S16933FA1</v>
      </c>
      <c r="D438" s="6">
        <v>24.0</v>
      </c>
      <c r="E438" s="10" t="str">
        <f t="shared" si="3"/>
        <v>BFA24</v>
      </c>
      <c r="F438" s="13">
        <v>68.0</v>
      </c>
      <c r="G438" s="10" t="str">
        <f t="shared" si="4"/>
        <v>BFA24-68</v>
      </c>
      <c r="H438" s="16"/>
      <c r="I438" s="16" t="str">
        <f t="shared" si="5"/>
        <v>collected</v>
      </c>
      <c r="J438" s="16" t="str">
        <f t="shared" si="6"/>
        <v>N</v>
      </c>
      <c r="K438" s="16"/>
      <c r="L438" s="16"/>
    </row>
    <row r="439">
      <c r="A439" s="30" t="s">
        <v>846</v>
      </c>
      <c r="B439" s="10" t="str">
        <f t="shared" si="1"/>
        <v>fatty_acid</v>
      </c>
      <c r="C439" s="49" t="str">
        <f t="shared" si="2"/>
        <v>S16934FA1</v>
      </c>
      <c r="D439" s="6">
        <v>24.0</v>
      </c>
      <c r="E439" s="10" t="str">
        <f t="shared" si="3"/>
        <v>BFA24</v>
      </c>
      <c r="F439" s="13">
        <v>69.0</v>
      </c>
      <c r="G439" s="10" t="str">
        <f t="shared" si="4"/>
        <v>BFA24-69</v>
      </c>
      <c r="H439" s="16"/>
      <c r="I439" s="16" t="str">
        <f t="shared" si="5"/>
        <v>collected</v>
      </c>
      <c r="J439" s="16" t="str">
        <f t="shared" si="6"/>
        <v>N</v>
      </c>
      <c r="K439" s="16"/>
      <c r="L439" s="16"/>
    </row>
    <row r="440">
      <c r="A440" s="30" t="s">
        <v>847</v>
      </c>
      <c r="B440" s="10" t="str">
        <f t="shared" si="1"/>
        <v>fatty_acid</v>
      </c>
      <c r="C440" s="49" t="str">
        <f t="shared" si="2"/>
        <v>S16935FA1</v>
      </c>
      <c r="D440" s="6">
        <v>24.0</v>
      </c>
      <c r="E440" s="10" t="str">
        <f t="shared" si="3"/>
        <v>BFA24</v>
      </c>
      <c r="F440" s="13">
        <v>70.0</v>
      </c>
      <c r="G440" s="10" t="str">
        <f t="shared" si="4"/>
        <v>BFA24-70</v>
      </c>
      <c r="H440" s="16"/>
      <c r="I440" s="16" t="str">
        <f t="shared" si="5"/>
        <v>collected</v>
      </c>
      <c r="J440" s="16" t="str">
        <f t="shared" si="6"/>
        <v>N</v>
      </c>
      <c r="K440" s="16"/>
      <c r="L440" s="16"/>
    </row>
    <row r="441">
      <c r="A441" s="30" t="s">
        <v>849</v>
      </c>
      <c r="B441" s="10" t="str">
        <f t="shared" si="1"/>
        <v>fatty_acid</v>
      </c>
      <c r="C441" s="49" t="str">
        <f t="shared" si="2"/>
        <v>S16936FA1</v>
      </c>
      <c r="D441" s="6">
        <v>24.0</v>
      </c>
      <c r="E441" s="10" t="str">
        <f t="shared" si="3"/>
        <v>BFA24</v>
      </c>
      <c r="F441" s="13">
        <v>71.0</v>
      </c>
      <c r="G441" s="10" t="str">
        <f t="shared" si="4"/>
        <v>BFA24-71</v>
      </c>
      <c r="H441" s="16"/>
      <c r="I441" s="16" t="str">
        <f t="shared" si="5"/>
        <v>collected</v>
      </c>
      <c r="J441" s="16" t="str">
        <f t="shared" si="6"/>
        <v>N</v>
      </c>
      <c r="K441" s="16"/>
      <c r="L441" s="16"/>
    </row>
    <row r="442">
      <c r="A442" s="30" t="s">
        <v>851</v>
      </c>
      <c r="B442" s="10" t="str">
        <f t="shared" si="1"/>
        <v>fatty_acid</v>
      </c>
      <c r="C442" s="49" t="str">
        <f t="shared" si="2"/>
        <v>S16937FA1</v>
      </c>
      <c r="D442" s="6">
        <v>24.0</v>
      </c>
      <c r="E442" s="10" t="str">
        <f t="shared" si="3"/>
        <v>BFA24</v>
      </c>
      <c r="F442" s="13">
        <v>72.0</v>
      </c>
      <c r="G442" s="10" t="str">
        <f t="shared" si="4"/>
        <v>BFA24-72</v>
      </c>
      <c r="H442" s="16"/>
      <c r="I442" s="16" t="str">
        <f t="shared" si="5"/>
        <v>collected</v>
      </c>
      <c r="J442" s="16" t="str">
        <f t="shared" si="6"/>
        <v>N</v>
      </c>
      <c r="K442" s="16"/>
      <c r="L442" s="16"/>
    </row>
    <row r="443">
      <c r="A443" s="30" t="s">
        <v>852</v>
      </c>
      <c r="B443" s="10" t="str">
        <f t="shared" si="1"/>
        <v>fatty_acid</v>
      </c>
      <c r="C443" s="49" t="str">
        <f t="shared" si="2"/>
        <v>S17941FA1</v>
      </c>
      <c r="D443" s="6">
        <v>24.0</v>
      </c>
      <c r="E443" s="10" t="str">
        <f t="shared" si="3"/>
        <v>BFA24</v>
      </c>
      <c r="F443" s="13">
        <v>73.0</v>
      </c>
      <c r="G443" s="10" t="str">
        <f t="shared" si="4"/>
        <v>BFA24-73</v>
      </c>
      <c r="H443" s="16"/>
      <c r="I443" s="16" t="str">
        <f t="shared" si="5"/>
        <v>collected</v>
      </c>
      <c r="J443" s="16" t="str">
        <f t="shared" si="6"/>
        <v>N</v>
      </c>
      <c r="K443" s="16"/>
      <c r="L443" s="16"/>
    </row>
    <row r="444">
      <c r="A444" s="30" t="s">
        <v>853</v>
      </c>
      <c r="B444" s="10" t="str">
        <f t="shared" si="1"/>
        <v>fatty_acid</v>
      </c>
      <c r="C444" s="49" t="str">
        <f t="shared" si="2"/>
        <v>S17942FA1</v>
      </c>
      <c r="D444" s="6">
        <v>24.0</v>
      </c>
      <c r="E444" s="10" t="str">
        <f t="shared" si="3"/>
        <v>BFA24</v>
      </c>
      <c r="F444" s="13">
        <v>74.0</v>
      </c>
      <c r="G444" s="10" t="str">
        <f t="shared" si="4"/>
        <v>BFA24-74</v>
      </c>
      <c r="H444" s="16"/>
      <c r="I444" s="16" t="str">
        <f t="shared" si="5"/>
        <v>collected</v>
      </c>
      <c r="J444" s="16" t="str">
        <f t="shared" si="6"/>
        <v>N</v>
      </c>
      <c r="K444" s="16"/>
      <c r="L444" s="16"/>
    </row>
    <row r="445">
      <c r="A445" s="30" t="s">
        <v>854</v>
      </c>
      <c r="B445" s="10" t="str">
        <f t="shared" si="1"/>
        <v>fatty_acid</v>
      </c>
      <c r="C445" s="49" t="str">
        <f t="shared" si="2"/>
        <v>S17943FA1</v>
      </c>
      <c r="D445" s="6">
        <v>24.0</v>
      </c>
      <c r="E445" s="10" t="str">
        <f t="shared" si="3"/>
        <v>BFA24</v>
      </c>
      <c r="F445" s="13">
        <v>75.0</v>
      </c>
      <c r="G445" s="10" t="str">
        <f t="shared" si="4"/>
        <v>BFA24-75</v>
      </c>
      <c r="H445" s="16"/>
      <c r="I445" s="16" t="str">
        <f t="shared" si="5"/>
        <v>collected</v>
      </c>
      <c r="J445" s="16" t="str">
        <f t="shared" si="6"/>
        <v>N</v>
      </c>
      <c r="K445" s="16"/>
      <c r="L445" s="16"/>
    </row>
    <row r="446">
      <c r="A446" s="30" t="s">
        <v>857</v>
      </c>
      <c r="B446" s="10" t="str">
        <f t="shared" si="1"/>
        <v>fatty_acid</v>
      </c>
      <c r="C446" s="49" t="str">
        <f t="shared" si="2"/>
        <v>S17944FA1</v>
      </c>
      <c r="D446" s="6">
        <v>24.0</v>
      </c>
      <c r="E446" s="10" t="str">
        <f t="shared" si="3"/>
        <v>BFA24</v>
      </c>
      <c r="F446" s="13">
        <v>76.0</v>
      </c>
      <c r="G446" s="10" t="str">
        <f t="shared" si="4"/>
        <v>BFA24-76</v>
      </c>
      <c r="H446" s="16"/>
      <c r="I446" s="16" t="str">
        <f t="shared" si="5"/>
        <v>collected</v>
      </c>
      <c r="J446" s="16" t="str">
        <f t="shared" si="6"/>
        <v>N</v>
      </c>
      <c r="K446" s="16"/>
      <c r="L446" s="16"/>
    </row>
    <row r="447">
      <c r="A447" s="30" t="s">
        <v>858</v>
      </c>
      <c r="B447" s="10" t="str">
        <f t="shared" si="1"/>
        <v>fatty_acid</v>
      </c>
      <c r="C447" s="49" t="str">
        <f t="shared" si="2"/>
        <v>S17411FA1</v>
      </c>
      <c r="D447" s="6">
        <v>24.0</v>
      </c>
      <c r="E447" s="10" t="str">
        <f t="shared" si="3"/>
        <v>BFA24</v>
      </c>
      <c r="F447" s="13">
        <v>77.0</v>
      </c>
      <c r="G447" s="10" t="str">
        <f t="shared" si="4"/>
        <v>BFA24-77</v>
      </c>
      <c r="H447" s="16"/>
      <c r="I447" s="16" t="str">
        <f t="shared" si="5"/>
        <v>collected</v>
      </c>
      <c r="J447" s="16" t="str">
        <f t="shared" si="6"/>
        <v>N</v>
      </c>
      <c r="K447" s="16"/>
      <c r="L447" s="16"/>
    </row>
    <row r="448">
      <c r="A448" s="30" t="s">
        <v>859</v>
      </c>
      <c r="B448" s="10" t="str">
        <f t="shared" si="1"/>
        <v>fatty_acid</v>
      </c>
      <c r="C448" s="49" t="str">
        <f t="shared" si="2"/>
        <v>S17412FA1</v>
      </c>
      <c r="D448" s="6">
        <v>24.0</v>
      </c>
      <c r="E448" s="10" t="str">
        <f t="shared" si="3"/>
        <v>BFA24</v>
      </c>
      <c r="F448" s="13">
        <v>78.0</v>
      </c>
      <c r="G448" s="10" t="str">
        <f t="shared" si="4"/>
        <v>BFA24-78</v>
      </c>
      <c r="H448" s="16"/>
      <c r="I448" s="16" t="str">
        <f t="shared" si="5"/>
        <v>collected</v>
      </c>
      <c r="J448" s="16" t="str">
        <f t="shared" si="6"/>
        <v>N</v>
      </c>
      <c r="K448" s="16"/>
      <c r="L448" s="16"/>
    </row>
    <row r="449">
      <c r="A449" s="30" t="s">
        <v>860</v>
      </c>
      <c r="B449" s="10" t="str">
        <f t="shared" si="1"/>
        <v>fatty_acid</v>
      </c>
      <c r="C449" s="49" t="str">
        <f t="shared" si="2"/>
        <v>S17413FA1</v>
      </c>
      <c r="D449" s="6">
        <v>24.0</v>
      </c>
      <c r="E449" s="10" t="str">
        <f t="shared" si="3"/>
        <v>BFA24</v>
      </c>
      <c r="F449" s="13">
        <v>79.0</v>
      </c>
      <c r="G449" s="10" t="str">
        <f t="shared" si="4"/>
        <v>BFA24-79</v>
      </c>
      <c r="H449" s="16"/>
      <c r="I449" s="16" t="str">
        <f t="shared" si="5"/>
        <v>collected</v>
      </c>
      <c r="J449" s="16" t="str">
        <f t="shared" si="6"/>
        <v>N</v>
      </c>
      <c r="K449" s="16"/>
      <c r="L449" s="16"/>
    </row>
    <row r="450">
      <c r="A450" s="30" t="s">
        <v>863</v>
      </c>
      <c r="B450" s="10" t="str">
        <f t="shared" si="1"/>
        <v>fatty_acid</v>
      </c>
      <c r="C450" s="49" t="str">
        <f t="shared" si="2"/>
        <v>S17414FA1</v>
      </c>
      <c r="D450" s="6">
        <v>24.0</v>
      </c>
      <c r="E450" s="10" t="str">
        <f t="shared" si="3"/>
        <v>BFA24</v>
      </c>
      <c r="F450" s="13">
        <v>80.0</v>
      </c>
      <c r="G450" s="10" t="str">
        <f t="shared" si="4"/>
        <v>BFA24-80</v>
      </c>
      <c r="H450" s="16"/>
      <c r="I450" s="16" t="str">
        <f t="shared" si="5"/>
        <v>collected</v>
      </c>
      <c r="J450" s="16" t="str">
        <f t="shared" si="6"/>
        <v>N</v>
      </c>
      <c r="K450" s="16"/>
      <c r="L450" s="16"/>
    </row>
    <row r="451">
      <c r="A451" s="30" t="s">
        <v>864</v>
      </c>
      <c r="B451" s="10" t="str">
        <f t="shared" si="1"/>
        <v>fatty_acid</v>
      </c>
      <c r="C451" s="49" t="str">
        <f t="shared" si="2"/>
        <v>S17415FA1</v>
      </c>
      <c r="D451" s="6">
        <v>24.0</v>
      </c>
      <c r="E451" s="10" t="str">
        <f t="shared" si="3"/>
        <v>BFA24</v>
      </c>
      <c r="F451" s="13">
        <v>81.0</v>
      </c>
      <c r="G451" s="10" t="str">
        <f t="shared" si="4"/>
        <v>BFA24-81</v>
      </c>
      <c r="H451" s="16"/>
      <c r="I451" s="16" t="str">
        <f t="shared" si="5"/>
        <v>collected</v>
      </c>
      <c r="J451" s="16" t="str">
        <f t="shared" si="6"/>
        <v>N</v>
      </c>
      <c r="K451" s="16"/>
      <c r="L451" s="16"/>
    </row>
    <row r="452">
      <c r="A452" s="30" t="s">
        <v>865</v>
      </c>
      <c r="B452" s="10" t="str">
        <f t="shared" si="1"/>
        <v>fatty_acid</v>
      </c>
      <c r="C452" s="49" t="str">
        <f t="shared" si="2"/>
        <v>S17416FA1</v>
      </c>
      <c r="D452" s="6">
        <v>27.0</v>
      </c>
      <c r="E452" s="10" t="str">
        <f t="shared" si="3"/>
        <v>BFA27</v>
      </c>
      <c r="F452" s="13">
        <v>1.0</v>
      </c>
      <c r="G452" s="10" t="str">
        <f t="shared" si="4"/>
        <v>BFA27-1</v>
      </c>
      <c r="H452" s="16"/>
      <c r="I452" s="16" t="str">
        <f t="shared" si="5"/>
        <v>collected</v>
      </c>
      <c r="J452" s="16" t="str">
        <f t="shared" si="6"/>
        <v>N</v>
      </c>
      <c r="K452" s="16"/>
      <c r="L452" s="16"/>
    </row>
    <row r="453">
      <c r="A453" s="30" t="s">
        <v>866</v>
      </c>
      <c r="B453" s="10" t="str">
        <f t="shared" si="1"/>
        <v>fatty_acid</v>
      </c>
      <c r="C453" s="49" t="str">
        <f t="shared" si="2"/>
        <v>S16881FA1</v>
      </c>
      <c r="D453" s="6">
        <v>27.0</v>
      </c>
      <c r="E453" s="10" t="str">
        <f t="shared" si="3"/>
        <v>BFA27</v>
      </c>
      <c r="F453" s="13">
        <v>2.0</v>
      </c>
      <c r="G453" s="10" t="str">
        <f t="shared" si="4"/>
        <v>BFA27-2</v>
      </c>
      <c r="H453" s="16"/>
      <c r="I453" s="16" t="str">
        <f t="shared" si="5"/>
        <v>collected</v>
      </c>
      <c r="J453" s="16" t="str">
        <f t="shared" si="6"/>
        <v>N</v>
      </c>
      <c r="K453" s="16"/>
      <c r="L453" s="16"/>
    </row>
    <row r="454">
      <c r="A454" s="16" t="s">
        <v>870</v>
      </c>
      <c r="B454" s="10" t="str">
        <f t="shared" si="1"/>
        <v>fatty_acid</v>
      </c>
      <c r="C454" s="49" t="str">
        <f t="shared" si="2"/>
        <v>S16882FA1</v>
      </c>
      <c r="D454" s="6">
        <v>27.0</v>
      </c>
      <c r="E454" s="10" t="str">
        <f t="shared" si="3"/>
        <v>BFA27</v>
      </c>
      <c r="F454" s="13">
        <v>3.0</v>
      </c>
      <c r="G454" s="10" t="str">
        <f t="shared" si="4"/>
        <v>BFA27-3</v>
      </c>
      <c r="H454" s="16"/>
      <c r="I454" s="16" t="str">
        <f t="shared" si="5"/>
        <v>collected</v>
      </c>
      <c r="J454" s="16" t="str">
        <f t="shared" si="6"/>
        <v>N</v>
      </c>
      <c r="K454" s="16"/>
      <c r="L454" s="16"/>
    </row>
    <row r="455">
      <c r="A455" s="26" t="s">
        <v>807</v>
      </c>
      <c r="B455" s="10" t="str">
        <f t="shared" si="1"/>
        <v>fatty_acid</v>
      </c>
      <c r="C455" s="49" t="str">
        <f t="shared" si="2"/>
        <v>S16998FA1</v>
      </c>
      <c r="D455" s="6">
        <v>26.0</v>
      </c>
      <c r="E455" s="10" t="str">
        <f t="shared" si="3"/>
        <v>BFA26</v>
      </c>
      <c r="F455" s="13">
        <v>1.0</v>
      </c>
      <c r="G455" s="10" t="str">
        <f t="shared" si="4"/>
        <v>BFA26-1</v>
      </c>
      <c r="H455" s="16"/>
      <c r="I455" s="16" t="str">
        <f t="shared" si="5"/>
        <v>collected</v>
      </c>
      <c r="J455" s="16" t="str">
        <f t="shared" si="6"/>
        <v>N</v>
      </c>
      <c r="K455" s="16"/>
      <c r="L455" s="16"/>
    </row>
    <row r="456">
      <c r="A456" s="26" t="s">
        <v>809</v>
      </c>
      <c r="B456" s="10" t="str">
        <f t="shared" si="1"/>
        <v>fatty_acid</v>
      </c>
      <c r="C456" s="49" t="str">
        <f t="shared" si="2"/>
        <v>S17000FA1</v>
      </c>
      <c r="D456" s="6">
        <v>26.0</v>
      </c>
      <c r="E456" s="10" t="str">
        <f t="shared" si="3"/>
        <v>BFA26</v>
      </c>
      <c r="F456" s="13">
        <v>2.0</v>
      </c>
      <c r="G456" s="10" t="str">
        <f t="shared" si="4"/>
        <v>BFA26-2</v>
      </c>
      <c r="H456" s="16"/>
      <c r="I456" s="16" t="str">
        <f t="shared" si="5"/>
        <v>collected</v>
      </c>
      <c r="J456" s="16" t="str">
        <f t="shared" si="6"/>
        <v>N</v>
      </c>
      <c r="K456" s="16"/>
      <c r="L456" s="16"/>
    </row>
    <row r="457">
      <c r="A457" s="26" t="s">
        <v>810</v>
      </c>
      <c r="B457" s="10" t="str">
        <f t="shared" si="1"/>
        <v>fatty_acid</v>
      </c>
      <c r="C457" s="49" t="str">
        <f t="shared" si="2"/>
        <v>S16996FA1</v>
      </c>
      <c r="D457" s="6">
        <v>26.0</v>
      </c>
      <c r="E457" s="10" t="str">
        <f t="shared" si="3"/>
        <v>BFA26</v>
      </c>
      <c r="F457" s="13">
        <v>3.0</v>
      </c>
      <c r="G457" s="10" t="str">
        <f t="shared" si="4"/>
        <v>BFA26-3</v>
      </c>
      <c r="H457" s="16"/>
      <c r="I457" s="16" t="str">
        <f t="shared" si="5"/>
        <v>collected</v>
      </c>
      <c r="J457" s="16" t="str">
        <f t="shared" si="6"/>
        <v>N</v>
      </c>
      <c r="K457" s="16"/>
      <c r="L457" s="16"/>
    </row>
    <row r="458">
      <c r="A458" s="26" t="s">
        <v>812</v>
      </c>
      <c r="B458" s="10" t="str">
        <f t="shared" si="1"/>
        <v>fatty_acid</v>
      </c>
      <c r="C458" s="49" t="str">
        <f t="shared" si="2"/>
        <v>S16994FA1</v>
      </c>
      <c r="D458" s="6">
        <v>26.0</v>
      </c>
      <c r="E458" s="10" t="str">
        <f t="shared" si="3"/>
        <v>BFA26</v>
      </c>
      <c r="F458" s="13">
        <v>4.0</v>
      </c>
      <c r="G458" s="10" t="str">
        <f t="shared" si="4"/>
        <v>BFA26-4</v>
      </c>
      <c r="H458" s="16"/>
      <c r="I458" s="16" t="str">
        <f t="shared" si="5"/>
        <v>collected</v>
      </c>
      <c r="J458" s="16" t="str">
        <f t="shared" si="6"/>
        <v>N</v>
      </c>
      <c r="K458" s="16"/>
      <c r="L458" s="16"/>
    </row>
    <row r="459">
      <c r="A459" s="26" t="s">
        <v>813</v>
      </c>
      <c r="B459" s="10" t="str">
        <f t="shared" si="1"/>
        <v>fatty_acid</v>
      </c>
      <c r="C459" s="49" t="str">
        <f t="shared" si="2"/>
        <v>S16999FA1</v>
      </c>
      <c r="D459" s="6">
        <v>26.0</v>
      </c>
      <c r="E459" s="10" t="str">
        <f t="shared" si="3"/>
        <v>BFA26</v>
      </c>
      <c r="F459" s="13">
        <v>5.0</v>
      </c>
      <c r="G459" s="10" t="str">
        <f t="shared" si="4"/>
        <v>BFA26-5</v>
      </c>
      <c r="H459" s="16"/>
      <c r="I459" s="16" t="str">
        <f t="shared" si="5"/>
        <v>collected</v>
      </c>
      <c r="J459" s="16" t="str">
        <f t="shared" si="6"/>
        <v>N</v>
      </c>
      <c r="K459" s="16"/>
      <c r="L459" s="16"/>
    </row>
    <row r="460">
      <c r="A460" s="26" t="s">
        <v>815</v>
      </c>
      <c r="B460" s="10" t="str">
        <f t="shared" si="1"/>
        <v>fatty_acid</v>
      </c>
      <c r="C460" s="49" t="str">
        <f t="shared" si="2"/>
        <v>S16997FA1</v>
      </c>
      <c r="D460" s="6">
        <v>26.0</v>
      </c>
      <c r="E460" s="10" t="str">
        <f t="shared" si="3"/>
        <v>BFA26</v>
      </c>
      <c r="F460" s="13">
        <v>6.0</v>
      </c>
      <c r="G460" s="10" t="str">
        <f t="shared" si="4"/>
        <v>BFA26-6</v>
      </c>
      <c r="H460" s="16"/>
      <c r="I460" s="16" t="str">
        <f t="shared" si="5"/>
        <v>collected</v>
      </c>
      <c r="J460" s="16" t="str">
        <f t="shared" si="6"/>
        <v>N</v>
      </c>
      <c r="K460" s="16"/>
      <c r="L460" s="16"/>
    </row>
    <row r="461">
      <c r="A461" s="26" t="s">
        <v>817</v>
      </c>
      <c r="B461" s="10" t="str">
        <f t="shared" si="1"/>
        <v>fatty_acid</v>
      </c>
      <c r="C461" s="49" t="str">
        <f t="shared" si="2"/>
        <v>S16991FA1</v>
      </c>
      <c r="D461" s="6">
        <v>26.0</v>
      </c>
      <c r="E461" s="10" t="str">
        <f t="shared" si="3"/>
        <v>BFA26</v>
      </c>
      <c r="F461" s="13">
        <v>7.0</v>
      </c>
      <c r="G461" s="10" t="str">
        <f t="shared" si="4"/>
        <v>BFA26-7</v>
      </c>
      <c r="H461" s="16"/>
      <c r="I461" s="16" t="str">
        <f t="shared" si="5"/>
        <v>collected</v>
      </c>
      <c r="J461" s="16" t="str">
        <f t="shared" si="6"/>
        <v>N</v>
      </c>
      <c r="K461" s="16"/>
      <c r="L461" s="16"/>
    </row>
    <row r="462">
      <c r="A462" s="26" t="s">
        <v>820</v>
      </c>
      <c r="B462" s="10" t="str">
        <f t="shared" si="1"/>
        <v>fatty_acid</v>
      </c>
      <c r="C462" s="49" t="str">
        <f t="shared" si="2"/>
        <v>S16995FA1</v>
      </c>
      <c r="D462" s="6">
        <v>26.0</v>
      </c>
      <c r="E462" s="10" t="str">
        <f t="shared" si="3"/>
        <v>BFA26</v>
      </c>
      <c r="F462" s="13">
        <v>8.0</v>
      </c>
      <c r="G462" s="10" t="str">
        <f t="shared" si="4"/>
        <v>BFA26-8</v>
      </c>
      <c r="H462" s="16"/>
      <c r="I462" s="16" t="str">
        <f t="shared" si="5"/>
        <v>collected</v>
      </c>
      <c r="J462" s="16" t="str">
        <f t="shared" si="6"/>
        <v>N</v>
      </c>
      <c r="K462" s="16"/>
      <c r="L462" s="16"/>
    </row>
    <row r="463">
      <c r="A463" s="26" t="s">
        <v>821</v>
      </c>
      <c r="B463" s="10" t="str">
        <f t="shared" si="1"/>
        <v>fatty_acid</v>
      </c>
      <c r="C463" s="49" t="str">
        <f t="shared" si="2"/>
        <v>S17265FA1</v>
      </c>
      <c r="D463" s="6">
        <v>26.0</v>
      </c>
      <c r="E463" s="10" t="str">
        <f t="shared" si="3"/>
        <v>BFA26</v>
      </c>
      <c r="F463" s="13">
        <v>9.0</v>
      </c>
      <c r="G463" s="10" t="str">
        <f t="shared" si="4"/>
        <v>BFA26-9</v>
      </c>
      <c r="H463" s="16"/>
      <c r="I463" s="16" t="str">
        <f t="shared" si="5"/>
        <v>collected</v>
      </c>
      <c r="J463" s="16" t="str">
        <f t="shared" si="6"/>
        <v>N</v>
      </c>
      <c r="K463" s="16"/>
      <c r="L463" s="16"/>
    </row>
    <row r="464">
      <c r="A464" s="26" t="s">
        <v>822</v>
      </c>
      <c r="B464" s="10" t="str">
        <f t="shared" si="1"/>
        <v>fatty_acid</v>
      </c>
      <c r="C464" s="49" t="str">
        <f t="shared" si="2"/>
        <v>S17264FA1</v>
      </c>
      <c r="D464" s="6">
        <v>26.0</v>
      </c>
      <c r="E464" s="10" t="str">
        <f t="shared" si="3"/>
        <v>BFA26</v>
      </c>
      <c r="F464" s="13">
        <v>10.0</v>
      </c>
      <c r="G464" s="10" t="str">
        <f t="shared" si="4"/>
        <v>BFA26-10</v>
      </c>
      <c r="H464" s="16"/>
      <c r="I464" s="16" t="str">
        <f t="shared" si="5"/>
        <v>collected</v>
      </c>
      <c r="J464" s="16" t="str">
        <f t="shared" si="6"/>
        <v>N</v>
      </c>
      <c r="K464" s="16"/>
      <c r="L464" s="16"/>
    </row>
    <row r="465">
      <c r="A465" s="26" t="s">
        <v>825</v>
      </c>
      <c r="B465" s="10" t="str">
        <f t="shared" si="1"/>
        <v>fatty_acid</v>
      </c>
      <c r="C465" s="49" t="str">
        <f t="shared" si="2"/>
        <v>S17263FA1</v>
      </c>
      <c r="D465" s="6">
        <v>26.0</v>
      </c>
      <c r="E465" s="10" t="str">
        <f t="shared" si="3"/>
        <v>BFA26</v>
      </c>
      <c r="F465" s="13">
        <v>11.0</v>
      </c>
      <c r="G465" s="10" t="str">
        <f t="shared" si="4"/>
        <v>BFA26-11</v>
      </c>
      <c r="H465" s="16"/>
      <c r="I465" s="16" t="str">
        <f t="shared" si="5"/>
        <v>collected</v>
      </c>
      <c r="J465" s="16" t="str">
        <f t="shared" si="6"/>
        <v>N</v>
      </c>
      <c r="K465" s="16"/>
      <c r="L465" s="16"/>
    </row>
    <row r="466">
      <c r="A466" s="26" t="s">
        <v>826</v>
      </c>
      <c r="B466" s="10" t="str">
        <f t="shared" si="1"/>
        <v>fatty_acid</v>
      </c>
      <c r="C466" s="49" t="str">
        <f t="shared" si="2"/>
        <v>S17270FA1</v>
      </c>
      <c r="D466" s="6">
        <v>26.0</v>
      </c>
      <c r="E466" s="10" t="str">
        <f t="shared" si="3"/>
        <v>BFA26</v>
      </c>
      <c r="F466" s="13">
        <v>12.0</v>
      </c>
      <c r="G466" s="10" t="str">
        <f t="shared" si="4"/>
        <v>BFA26-12</v>
      </c>
      <c r="H466" s="16"/>
      <c r="I466" s="16" t="str">
        <f t="shared" si="5"/>
        <v>collected</v>
      </c>
      <c r="J466" s="16" t="str">
        <f t="shared" si="6"/>
        <v>N</v>
      </c>
      <c r="K466" s="16"/>
      <c r="L466" s="16"/>
    </row>
    <row r="467">
      <c r="A467" s="26" t="s">
        <v>828</v>
      </c>
      <c r="B467" s="10" t="str">
        <f t="shared" si="1"/>
        <v>fatty_acid</v>
      </c>
      <c r="C467" s="49" t="str">
        <f t="shared" si="2"/>
        <v>S17262FA1</v>
      </c>
      <c r="D467" s="6">
        <v>26.0</v>
      </c>
      <c r="E467" s="10" t="str">
        <f t="shared" si="3"/>
        <v>BFA26</v>
      </c>
      <c r="F467" s="13">
        <v>13.0</v>
      </c>
      <c r="G467" s="10" t="str">
        <f t="shared" si="4"/>
        <v>BFA26-13</v>
      </c>
      <c r="H467" s="16"/>
      <c r="I467" s="16" t="str">
        <f t="shared" si="5"/>
        <v>collected</v>
      </c>
      <c r="J467" s="16" t="str">
        <f t="shared" si="6"/>
        <v>N</v>
      </c>
      <c r="K467" s="16"/>
      <c r="L467" s="16"/>
    </row>
    <row r="468">
      <c r="A468" s="26" t="s">
        <v>830</v>
      </c>
      <c r="B468" s="10" t="str">
        <f t="shared" si="1"/>
        <v>fatty_acid</v>
      </c>
      <c r="C468" s="49" t="str">
        <f t="shared" si="2"/>
        <v>S17261FA1</v>
      </c>
      <c r="D468" s="6">
        <v>26.0</v>
      </c>
      <c r="E468" s="10" t="str">
        <f t="shared" si="3"/>
        <v>BFA26</v>
      </c>
      <c r="F468" s="13">
        <v>14.0</v>
      </c>
      <c r="G468" s="10" t="str">
        <f t="shared" si="4"/>
        <v>BFA26-14</v>
      </c>
      <c r="H468" s="16"/>
      <c r="I468" s="16" t="str">
        <f t="shared" si="5"/>
        <v>collected</v>
      </c>
      <c r="J468" s="16" t="str">
        <f t="shared" si="6"/>
        <v>N</v>
      </c>
      <c r="K468" s="16"/>
      <c r="L468" s="16"/>
    </row>
    <row r="469">
      <c r="A469" s="26" t="s">
        <v>832</v>
      </c>
      <c r="B469" s="10" t="str">
        <f t="shared" si="1"/>
        <v>fatty_acid</v>
      </c>
      <c r="C469" s="49" t="str">
        <f t="shared" si="2"/>
        <v>S17266FA1</v>
      </c>
      <c r="D469" s="6">
        <v>26.0</v>
      </c>
      <c r="E469" s="10" t="str">
        <f t="shared" si="3"/>
        <v>BFA26</v>
      </c>
      <c r="F469" s="13">
        <v>15.0</v>
      </c>
      <c r="G469" s="10" t="str">
        <f t="shared" si="4"/>
        <v>BFA26-15</v>
      </c>
      <c r="H469" s="16"/>
      <c r="I469" s="16" t="str">
        <f t="shared" si="5"/>
        <v>collected</v>
      </c>
      <c r="J469" s="16" t="str">
        <f t="shared" si="6"/>
        <v>N</v>
      </c>
      <c r="K469" s="16"/>
      <c r="L469" s="16"/>
    </row>
    <row r="470">
      <c r="A470" s="26" t="s">
        <v>833</v>
      </c>
      <c r="B470" s="10" t="str">
        <f t="shared" si="1"/>
        <v>fatty_acid</v>
      </c>
      <c r="C470" s="49" t="str">
        <f t="shared" si="2"/>
        <v>S17267FA1</v>
      </c>
      <c r="D470" s="6">
        <v>26.0</v>
      </c>
      <c r="E470" s="10" t="str">
        <f t="shared" si="3"/>
        <v>BFA26</v>
      </c>
      <c r="F470" s="13">
        <v>16.0</v>
      </c>
      <c r="G470" s="10" t="str">
        <f t="shared" si="4"/>
        <v>BFA26-16</v>
      </c>
      <c r="H470" s="16"/>
      <c r="I470" s="16" t="str">
        <f t="shared" si="5"/>
        <v>collected</v>
      </c>
      <c r="J470" s="16" t="str">
        <f t="shared" si="6"/>
        <v>N</v>
      </c>
      <c r="K470" s="16"/>
      <c r="L470" s="16"/>
    </row>
    <row r="471">
      <c r="A471" s="26" t="s">
        <v>834</v>
      </c>
      <c r="B471" s="10" t="str">
        <f t="shared" si="1"/>
        <v>fatty_acid</v>
      </c>
      <c r="C471" s="49" t="str">
        <f t="shared" si="2"/>
        <v>S17268FA1</v>
      </c>
      <c r="D471" s="6">
        <v>26.0</v>
      </c>
      <c r="E471" s="10" t="str">
        <f t="shared" si="3"/>
        <v>BFA26</v>
      </c>
      <c r="F471" s="13">
        <v>17.0</v>
      </c>
      <c r="G471" s="10" t="str">
        <f t="shared" si="4"/>
        <v>BFA26-17</v>
      </c>
      <c r="H471" s="16"/>
      <c r="I471" s="16" t="str">
        <f t="shared" si="5"/>
        <v>collected</v>
      </c>
      <c r="J471" s="16" t="str">
        <f t="shared" si="6"/>
        <v>N</v>
      </c>
      <c r="K471" s="16"/>
      <c r="L471" s="16"/>
    </row>
    <row r="472">
      <c r="A472" s="26" t="s">
        <v>837</v>
      </c>
      <c r="B472" s="10" t="str">
        <f t="shared" si="1"/>
        <v>fatty_acid</v>
      </c>
      <c r="C472" s="49" t="str">
        <f t="shared" si="2"/>
        <v>S17269FA1</v>
      </c>
      <c r="D472" s="6">
        <v>26.0</v>
      </c>
      <c r="E472" s="10" t="str">
        <f t="shared" si="3"/>
        <v>BFA26</v>
      </c>
      <c r="F472" s="13">
        <v>18.0</v>
      </c>
      <c r="G472" s="10" t="str">
        <f t="shared" si="4"/>
        <v>BFA26-18</v>
      </c>
      <c r="H472" s="16"/>
      <c r="I472" s="16" t="str">
        <f t="shared" si="5"/>
        <v>collected</v>
      </c>
      <c r="J472" s="16" t="str">
        <f t="shared" si="6"/>
        <v>N</v>
      </c>
      <c r="K472" s="16"/>
      <c r="L472" s="16"/>
    </row>
    <row r="473">
      <c r="A473" s="26" t="s">
        <v>838</v>
      </c>
      <c r="B473" s="10" t="str">
        <f t="shared" si="1"/>
        <v>fatty_acid</v>
      </c>
      <c r="C473" s="49" t="str">
        <f t="shared" si="2"/>
        <v>S17233FA1</v>
      </c>
      <c r="D473" s="6">
        <v>26.0</v>
      </c>
      <c r="E473" s="10" t="str">
        <f t="shared" si="3"/>
        <v>BFA26</v>
      </c>
      <c r="F473" s="13">
        <v>19.0</v>
      </c>
      <c r="G473" s="10" t="str">
        <f t="shared" si="4"/>
        <v>BFA26-19</v>
      </c>
      <c r="H473" s="16"/>
      <c r="I473" s="16" t="str">
        <f t="shared" si="5"/>
        <v>collected</v>
      </c>
      <c r="J473" s="16" t="str">
        <f t="shared" si="6"/>
        <v>N</v>
      </c>
      <c r="K473" s="16"/>
      <c r="L473" s="16"/>
    </row>
    <row r="474">
      <c r="A474" s="27" t="s">
        <v>871</v>
      </c>
      <c r="B474" s="10" t="str">
        <f t="shared" si="1"/>
        <v>fatty_acid</v>
      </c>
      <c r="C474" s="49" t="str">
        <f t="shared" si="2"/>
        <v>S16883FA1</v>
      </c>
      <c r="D474" s="6">
        <v>27.0</v>
      </c>
      <c r="E474" s="10" t="str">
        <f t="shared" si="3"/>
        <v>BFA27</v>
      </c>
      <c r="F474" s="13">
        <v>4.0</v>
      </c>
      <c r="G474" s="10" t="str">
        <f t="shared" si="4"/>
        <v>BFA27-4</v>
      </c>
      <c r="H474" s="16"/>
      <c r="I474" s="16" t="str">
        <f t="shared" si="5"/>
        <v>collected</v>
      </c>
      <c r="J474" s="16" t="str">
        <f t="shared" si="6"/>
        <v>N</v>
      </c>
      <c r="K474" s="16"/>
      <c r="L474" s="16"/>
    </row>
    <row r="475">
      <c r="A475" s="27" t="s">
        <v>872</v>
      </c>
      <c r="B475" s="10" t="str">
        <f t="shared" si="1"/>
        <v>fatty_acid</v>
      </c>
      <c r="C475" s="49" t="str">
        <f t="shared" si="2"/>
        <v>S16884FA1</v>
      </c>
      <c r="D475" s="6">
        <v>27.0</v>
      </c>
      <c r="E475" s="10" t="str">
        <f t="shared" si="3"/>
        <v>BFA27</v>
      </c>
      <c r="F475" s="13">
        <v>5.0</v>
      </c>
      <c r="G475" s="10" t="str">
        <f t="shared" si="4"/>
        <v>BFA27-5</v>
      </c>
      <c r="H475" s="16"/>
      <c r="I475" s="16" t="str">
        <f t="shared" si="5"/>
        <v>collected</v>
      </c>
      <c r="J475" s="16" t="str">
        <f t="shared" si="6"/>
        <v>N</v>
      </c>
      <c r="K475" s="16"/>
      <c r="L475" s="16"/>
    </row>
    <row r="476">
      <c r="A476" s="27" t="s">
        <v>873</v>
      </c>
      <c r="B476" s="10" t="str">
        <f t="shared" si="1"/>
        <v>fatty_acid</v>
      </c>
      <c r="C476" s="49" t="str">
        <f t="shared" si="2"/>
        <v>S16885FA1</v>
      </c>
      <c r="D476" s="6">
        <v>27.0</v>
      </c>
      <c r="E476" s="10" t="str">
        <f t="shared" si="3"/>
        <v>BFA27</v>
      </c>
      <c r="F476" s="13">
        <v>7.0</v>
      </c>
      <c r="G476" s="10" t="str">
        <f t="shared" si="4"/>
        <v>BFA27-7</v>
      </c>
      <c r="H476" s="16"/>
      <c r="I476" s="16" t="str">
        <f t="shared" si="5"/>
        <v>collected</v>
      </c>
      <c r="J476" s="16" t="str">
        <f t="shared" si="6"/>
        <v>N</v>
      </c>
      <c r="K476" s="16"/>
      <c r="L476" s="16"/>
    </row>
    <row r="477">
      <c r="A477" s="27" t="s">
        <v>875</v>
      </c>
      <c r="B477" s="10" t="str">
        <f t="shared" si="1"/>
        <v>fatty_acid</v>
      </c>
      <c r="C477" s="49" t="str">
        <f t="shared" si="2"/>
        <v>S16889FA1</v>
      </c>
      <c r="D477" s="6">
        <v>27.0</v>
      </c>
      <c r="E477" s="10" t="str">
        <f t="shared" si="3"/>
        <v>BFA27</v>
      </c>
      <c r="F477" s="13">
        <v>8.0</v>
      </c>
      <c r="G477" s="10" t="str">
        <f t="shared" si="4"/>
        <v>BFA27-8</v>
      </c>
      <c r="H477" s="16"/>
      <c r="I477" s="16" t="str">
        <f t="shared" si="5"/>
        <v>collected</v>
      </c>
      <c r="J477" s="16" t="str">
        <f t="shared" si="6"/>
        <v>N</v>
      </c>
      <c r="K477" s="16"/>
      <c r="L477" s="16"/>
    </row>
    <row r="478">
      <c r="A478" s="27" t="s">
        <v>877</v>
      </c>
      <c r="B478" s="10" t="str">
        <f t="shared" si="1"/>
        <v>fatty_acid</v>
      </c>
      <c r="C478" s="49" t="str">
        <f t="shared" si="2"/>
        <v>S16886FA1</v>
      </c>
      <c r="D478" s="6">
        <v>27.0</v>
      </c>
      <c r="E478" s="10" t="str">
        <f t="shared" si="3"/>
        <v>BFA27</v>
      </c>
      <c r="F478" s="13">
        <v>9.0</v>
      </c>
      <c r="G478" s="10" t="str">
        <f t="shared" si="4"/>
        <v>BFA27-9</v>
      </c>
      <c r="H478" s="16"/>
      <c r="I478" s="16" t="str">
        <f t="shared" si="5"/>
        <v>collected</v>
      </c>
      <c r="J478" s="16" t="str">
        <f t="shared" si="6"/>
        <v>N</v>
      </c>
      <c r="K478" s="16"/>
      <c r="L478" s="16"/>
    </row>
    <row r="479">
      <c r="A479" s="27" t="s">
        <v>878</v>
      </c>
      <c r="B479" s="10" t="str">
        <f t="shared" si="1"/>
        <v>fatty_acid</v>
      </c>
      <c r="C479" s="49" t="str">
        <f t="shared" si="2"/>
        <v>S16887FA1</v>
      </c>
      <c r="D479" s="6">
        <v>27.0</v>
      </c>
      <c r="E479" s="10" t="str">
        <f t="shared" si="3"/>
        <v>BFA27</v>
      </c>
      <c r="F479" s="13">
        <v>10.0</v>
      </c>
      <c r="G479" s="10" t="str">
        <f t="shared" si="4"/>
        <v>BFA27-10</v>
      </c>
      <c r="H479" s="16"/>
      <c r="I479" s="16" t="str">
        <f t="shared" si="5"/>
        <v>collected</v>
      </c>
      <c r="J479" s="16" t="str">
        <f t="shared" si="6"/>
        <v>N</v>
      </c>
      <c r="K479" s="16"/>
      <c r="L479" s="16"/>
    </row>
    <row r="480">
      <c r="A480" s="27" t="s">
        <v>881</v>
      </c>
      <c r="B480" s="10" t="str">
        <f t="shared" si="1"/>
        <v>fatty_acid</v>
      </c>
      <c r="C480" s="49" t="str">
        <f t="shared" si="2"/>
        <v>S16888FA1</v>
      </c>
      <c r="D480" s="6">
        <v>27.0</v>
      </c>
      <c r="E480" s="10" t="str">
        <f t="shared" si="3"/>
        <v>BFA27</v>
      </c>
      <c r="F480" s="13">
        <v>11.0</v>
      </c>
      <c r="G480" s="10" t="str">
        <f t="shared" si="4"/>
        <v>BFA27-11</v>
      </c>
      <c r="H480" s="16"/>
      <c r="I480" s="16" t="str">
        <f t="shared" si="5"/>
        <v>collected</v>
      </c>
      <c r="J480" s="16" t="str">
        <f t="shared" si="6"/>
        <v>N</v>
      </c>
      <c r="K480" s="16"/>
      <c r="L480" s="16"/>
    </row>
    <row r="481">
      <c r="A481" s="27" t="s">
        <v>882</v>
      </c>
      <c r="B481" s="10" t="str">
        <f t="shared" si="1"/>
        <v>fatty_acid</v>
      </c>
      <c r="C481" s="49" t="str">
        <f t="shared" si="2"/>
        <v>S16890FA1</v>
      </c>
      <c r="D481" s="6">
        <v>27.0</v>
      </c>
      <c r="E481" s="10" t="str">
        <f t="shared" si="3"/>
        <v>BFA27</v>
      </c>
      <c r="F481" s="13">
        <v>12.0</v>
      </c>
      <c r="G481" s="10" t="str">
        <f t="shared" si="4"/>
        <v>BFA27-12</v>
      </c>
      <c r="H481" s="16"/>
      <c r="I481" s="16" t="str">
        <f t="shared" si="5"/>
        <v>collected</v>
      </c>
      <c r="J481" s="16" t="str">
        <f t="shared" si="6"/>
        <v>N</v>
      </c>
      <c r="K481" s="16"/>
      <c r="L481" s="16"/>
    </row>
    <row r="482">
      <c r="A482" s="27" t="s">
        <v>884</v>
      </c>
      <c r="B482" s="10" t="str">
        <f t="shared" si="1"/>
        <v>fatty_acid</v>
      </c>
      <c r="C482" s="49" t="str">
        <f t="shared" si="2"/>
        <v>S16291FA1</v>
      </c>
      <c r="D482" s="6">
        <v>27.0</v>
      </c>
      <c r="E482" s="10" t="str">
        <f t="shared" si="3"/>
        <v>BFA27</v>
      </c>
      <c r="F482" s="13">
        <v>13.0</v>
      </c>
      <c r="G482" s="10" t="str">
        <f t="shared" si="4"/>
        <v>BFA27-13</v>
      </c>
      <c r="H482" s="16"/>
      <c r="I482" s="16" t="str">
        <f t="shared" si="5"/>
        <v>collected</v>
      </c>
      <c r="J482" s="16" t="str">
        <f t="shared" si="6"/>
        <v>N</v>
      </c>
      <c r="K482" s="16"/>
      <c r="L482" s="16"/>
    </row>
    <row r="483">
      <c r="A483" s="27" t="s">
        <v>885</v>
      </c>
      <c r="B483" s="10" t="str">
        <f t="shared" si="1"/>
        <v>fatty_acid</v>
      </c>
      <c r="C483" s="49" t="str">
        <f t="shared" si="2"/>
        <v>S16292FA1</v>
      </c>
      <c r="D483" s="6">
        <v>27.0</v>
      </c>
      <c r="E483" s="10" t="str">
        <f t="shared" si="3"/>
        <v>BFA27</v>
      </c>
      <c r="F483" s="13">
        <v>14.0</v>
      </c>
      <c r="G483" s="10" t="str">
        <f t="shared" si="4"/>
        <v>BFA27-14</v>
      </c>
      <c r="H483" s="16"/>
      <c r="I483" s="16" t="str">
        <f t="shared" si="5"/>
        <v>collected</v>
      </c>
      <c r="J483" s="16" t="str">
        <f t="shared" si="6"/>
        <v>N</v>
      </c>
      <c r="K483" s="16"/>
      <c r="L483" s="16"/>
    </row>
    <row r="484">
      <c r="A484" s="27" t="s">
        <v>886</v>
      </c>
      <c r="B484" s="10" t="str">
        <f t="shared" si="1"/>
        <v>fatty_acid</v>
      </c>
      <c r="C484" s="49" t="str">
        <f t="shared" si="2"/>
        <v>S16293FA1</v>
      </c>
      <c r="D484" s="6">
        <v>27.0</v>
      </c>
      <c r="E484" s="10" t="str">
        <f t="shared" si="3"/>
        <v>BFA27</v>
      </c>
      <c r="F484" s="13">
        <v>15.0</v>
      </c>
      <c r="G484" s="10" t="str">
        <f t="shared" si="4"/>
        <v>BFA27-15</v>
      </c>
      <c r="H484" s="16"/>
      <c r="I484" s="16" t="str">
        <f t="shared" si="5"/>
        <v>collected</v>
      </c>
      <c r="J484" s="16" t="str">
        <f t="shared" si="6"/>
        <v>N</v>
      </c>
      <c r="K484" s="16"/>
      <c r="L484" s="16"/>
    </row>
    <row r="485">
      <c r="A485" s="27" t="s">
        <v>887</v>
      </c>
      <c r="B485" s="10" t="str">
        <f t="shared" si="1"/>
        <v>fatty_acid</v>
      </c>
      <c r="C485" s="49" t="str">
        <f t="shared" si="2"/>
        <v>S16294FA1</v>
      </c>
      <c r="D485" s="6">
        <v>27.0</v>
      </c>
      <c r="E485" s="10" t="str">
        <f t="shared" si="3"/>
        <v>BFA27</v>
      </c>
      <c r="F485" s="13">
        <v>17.0</v>
      </c>
      <c r="G485" s="10" t="str">
        <f t="shared" si="4"/>
        <v>BFA27-17</v>
      </c>
      <c r="H485" s="16"/>
      <c r="I485" s="16" t="str">
        <f t="shared" si="5"/>
        <v>collected</v>
      </c>
      <c r="J485" s="16" t="str">
        <f t="shared" si="6"/>
        <v>N</v>
      </c>
      <c r="K485" s="16"/>
      <c r="L485" s="16"/>
    </row>
    <row r="486">
      <c r="A486" s="27" t="s">
        <v>889</v>
      </c>
      <c r="B486" s="10" t="str">
        <f t="shared" si="1"/>
        <v>fatty_acid</v>
      </c>
      <c r="C486" s="49" t="str">
        <f t="shared" si="2"/>
        <v>S16295FA1</v>
      </c>
      <c r="D486" s="6">
        <v>27.0</v>
      </c>
      <c r="E486" s="10" t="str">
        <f t="shared" si="3"/>
        <v>BFA27</v>
      </c>
      <c r="F486" s="13">
        <v>18.0</v>
      </c>
      <c r="G486" s="10" t="str">
        <f t="shared" si="4"/>
        <v>BFA27-18</v>
      </c>
      <c r="H486" s="16"/>
      <c r="I486" s="16" t="str">
        <f t="shared" si="5"/>
        <v>collected</v>
      </c>
      <c r="J486" s="16" t="str">
        <f t="shared" si="6"/>
        <v>N</v>
      </c>
      <c r="K486" s="16"/>
      <c r="L486" s="16"/>
    </row>
    <row r="487">
      <c r="A487" s="27" t="s">
        <v>891</v>
      </c>
      <c r="B487" s="10" t="str">
        <f t="shared" si="1"/>
        <v>fatty_acid</v>
      </c>
      <c r="C487" s="49" t="str">
        <f t="shared" si="2"/>
        <v>S16296FA1</v>
      </c>
      <c r="D487" s="6">
        <v>27.0</v>
      </c>
      <c r="E487" s="10" t="str">
        <f t="shared" si="3"/>
        <v>BFA27</v>
      </c>
      <c r="F487" s="13">
        <v>19.0</v>
      </c>
      <c r="G487" s="10" t="str">
        <f t="shared" si="4"/>
        <v>BFA27-19</v>
      </c>
      <c r="H487" s="16"/>
      <c r="I487" s="16" t="str">
        <f t="shared" si="5"/>
        <v>collected</v>
      </c>
      <c r="J487" s="16" t="str">
        <f t="shared" si="6"/>
        <v>N</v>
      </c>
      <c r="K487" s="16"/>
      <c r="L487" s="16"/>
    </row>
    <row r="488">
      <c r="A488" s="27" t="s">
        <v>892</v>
      </c>
      <c r="B488" s="10" t="str">
        <f t="shared" si="1"/>
        <v>fatty_acid</v>
      </c>
      <c r="C488" s="49" t="str">
        <f t="shared" si="2"/>
        <v>S16297FA1</v>
      </c>
      <c r="D488" s="6">
        <v>27.0</v>
      </c>
      <c r="E488" s="10" t="str">
        <f t="shared" si="3"/>
        <v>BFA27</v>
      </c>
      <c r="F488" s="13">
        <v>20.0</v>
      </c>
      <c r="G488" s="10" t="str">
        <f t="shared" si="4"/>
        <v>BFA27-20</v>
      </c>
      <c r="H488" s="16"/>
      <c r="I488" s="16" t="str">
        <f t="shared" si="5"/>
        <v>collected</v>
      </c>
      <c r="J488" s="16" t="str">
        <f t="shared" si="6"/>
        <v>N</v>
      </c>
      <c r="K488" s="16"/>
      <c r="L488" s="16"/>
    </row>
    <row r="489">
      <c r="A489" s="27" t="s">
        <v>893</v>
      </c>
      <c r="B489" s="10" t="str">
        <f t="shared" si="1"/>
        <v>fatty_acid</v>
      </c>
      <c r="C489" s="49" t="str">
        <f t="shared" si="2"/>
        <v>S16298FA1</v>
      </c>
      <c r="D489" s="6">
        <v>27.0</v>
      </c>
      <c r="E489" s="10" t="str">
        <f t="shared" si="3"/>
        <v>BFA27</v>
      </c>
      <c r="F489" s="13">
        <v>21.0</v>
      </c>
      <c r="G489" s="10" t="str">
        <f t="shared" si="4"/>
        <v>BFA27-21</v>
      </c>
      <c r="H489" s="16"/>
      <c r="I489" s="16" t="str">
        <f t="shared" si="5"/>
        <v>collected</v>
      </c>
      <c r="J489" s="16" t="str">
        <f t="shared" si="6"/>
        <v>N</v>
      </c>
      <c r="K489" s="16"/>
      <c r="L489" s="16"/>
    </row>
    <row r="490">
      <c r="A490" s="27" t="s">
        <v>894</v>
      </c>
      <c r="B490" s="10" t="str">
        <f t="shared" si="1"/>
        <v>fatty_acid</v>
      </c>
      <c r="C490" s="49" t="str">
        <f t="shared" si="2"/>
        <v>S16511FA1</v>
      </c>
      <c r="D490" s="6">
        <v>27.0</v>
      </c>
      <c r="E490" s="10" t="str">
        <f t="shared" si="3"/>
        <v>BFA27</v>
      </c>
      <c r="F490" s="13">
        <v>22.0</v>
      </c>
      <c r="G490" s="10" t="str">
        <f t="shared" si="4"/>
        <v>BFA27-22</v>
      </c>
      <c r="H490" s="16"/>
      <c r="I490" s="16" t="str">
        <f t="shared" si="5"/>
        <v>collected</v>
      </c>
      <c r="J490" s="16" t="str">
        <f t="shared" si="6"/>
        <v>N</v>
      </c>
      <c r="K490" s="16"/>
      <c r="L490" s="16"/>
    </row>
    <row r="491">
      <c r="A491" s="27" t="s">
        <v>895</v>
      </c>
      <c r="B491" s="10" t="str">
        <f t="shared" si="1"/>
        <v>fatty_acid</v>
      </c>
      <c r="C491" s="49" t="str">
        <f t="shared" si="2"/>
        <v>S16512FA1</v>
      </c>
      <c r="D491" s="6">
        <v>27.0</v>
      </c>
      <c r="E491" s="10" t="str">
        <f t="shared" si="3"/>
        <v>BFA27</v>
      </c>
      <c r="F491" s="13">
        <v>23.0</v>
      </c>
      <c r="G491" s="10" t="str">
        <f t="shared" si="4"/>
        <v>BFA27-23</v>
      </c>
      <c r="H491" s="16"/>
      <c r="I491" s="16" t="str">
        <f t="shared" si="5"/>
        <v>collected</v>
      </c>
      <c r="J491" s="16" t="str">
        <f t="shared" si="6"/>
        <v>N</v>
      </c>
      <c r="K491" s="16"/>
      <c r="L491" s="16"/>
    </row>
    <row r="492">
      <c r="A492" s="40" t="s">
        <v>897</v>
      </c>
      <c r="B492" s="10" t="str">
        <f t="shared" si="1"/>
        <v>fatty_acid</v>
      </c>
      <c r="C492" s="49" t="str">
        <f t="shared" si="2"/>
        <v>S17231FA1</v>
      </c>
      <c r="D492" s="6">
        <v>26.0</v>
      </c>
      <c r="E492" s="10" t="str">
        <f t="shared" si="3"/>
        <v>BFA26</v>
      </c>
      <c r="F492" s="13">
        <v>20.0</v>
      </c>
      <c r="G492" s="10" t="str">
        <f t="shared" si="4"/>
        <v>BFA26-20</v>
      </c>
      <c r="H492" s="16"/>
      <c r="I492" s="16" t="str">
        <f t="shared" si="5"/>
        <v>collected</v>
      </c>
      <c r="J492" s="16" t="str">
        <f t="shared" si="6"/>
        <v>N</v>
      </c>
      <c r="K492" s="16"/>
      <c r="L492" s="16"/>
    </row>
    <row r="493">
      <c r="A493" s="43" t="s">
        <v>898</v>
      </c>
      <c r="B493" s="10" t="str">
        <f t="shared" si="1"/>
        <v>fatty_acid</v>
      </c>
      <c r="C493" s="49" t="str">
        <f t="shared" si="2"/>
        <v>S17235FA1</v>
      </c>
      <c r="D493" s="6">
        <v>26.0</v>
      </c>
      <c r="E493" s="10" t="str">
        <f t="shared" si="3"/>
        <v>BFA26</v>
      </c>
      <c r="F493" s="13">
        <v>21.0</v>
      </c>
      <c r="G493" s="10" t="str">
        <f t="shared" si="4"/>
        <v>BFA26-21</v>
      </c>
      <c r="H493" s="16"/>
      <c r="I493" s="16" t="str">
        <f t="shared" si="5"/>
        <v>collected</v>
      </c>
      <c r="J493" s="16" t="str">
        <f t="shared" si="6"/>
        <v>N</v>
      </c>
      <c r="K493" s="16"/>
      <c r="L493" s="16"/>
    </row>
    <row r="494">
      <c r="A494" s="44" t="s">
        <v>899</v>
      </c>
      <c r="B494" s="10" t="str">
        <f t="shared" si="1"/>
        <v>fatty_acid</v>
      </c>
      <c r="C494" s="49" t="str">
        <f t="shared" si="2"/>
        <v>S17237FA1</v>
      </c>
      <c r="D494" s="6">
        <v>26.0</v>
      </c>
      <c r="E494" s="10" t="str">
        <f t="shared" si="3"/>
        <v>BFA26</v>
      </c>
      <c r="F494" s="13">
        <v>22.0</v>
      </c>
      <c r="G494" s="10" t="str">
        <f t="shared" si="4"/>
        <v>BFA26-22</v>
      </c>
      <c r="H494" s="16"/>
      <c r="I494" s="16" t="str">
        <f t="shared" si="5"/>
        <v>collected</v>
      </c>
      <c r="J494" s="16" t="str">
        <f t="shared" si="6"/>
        <v>N</v>
      </c>
      <c r="K494" s="16"/>
      <c r="L494" s="16"/>
    </row>
    <row r="495">
      <c r="A495" s="44" t="s">
        <v>901</v>
      </c>
      <c r="B495" s="10" t="str">
        <f t="shared" si="1"/>
        <v>fatty_acid</v>
      </c>
      <c r="C495" s="49" t="str">
        <f t="shared" si="2"/>
        <v>S17238FA1</v>
      </c>
      <c r="D495" s="6">
        <v>26.0</v>
      </c>
      <c r="E495" s="10" t="str">
        <f t="shared" si="3"/>
        <v>BFA26</v>
      </c>
      <c r="F495" s="13">
        <v>23.0</v>
      </c>
      <c r="G495" s="10" t="str">
        <f t="shared" si="4"/>
        <v>BFA26-23</v>
      </c>
      <c r="H495" s="16"/>
      <c r="I495" s="16" t="str">
        <f t="shared" si="5"/>
        <v>collected</v>
      </c>
      <c r="J495" s="16" t="str">
        <f t="shared" si="6"/>
        <v>N</v>
      </c>
      <c r="K495" s="16"/>
      <c r="L495" s="16"/>
    </row>
    <row r="496">
      <c r="A496" s="44" t="s">
        <v>903</v>
      </c>
      <c r="B496" s="10" t="str">
        <f t="shared" si="1"/>
        <v>fatty_acid</v>
      </c>
      <c r="C496" s="49" t="str">
        <f t="shared" si="2"/>
        <v>S17234FA1</v>
      </c>
      <c r="D496" s="6">
        <v>26.0</v>
      </c>
      <c r="E496" s="10" t="str">
        <f t="shared" si="3"/>
        <v>BFA26</v>
      </c>
      <c r="F496" s="13">
        <v>24.0</v>
      </c>
      <c r="G496" s="10" t="str">
        <f t="shared" si="4"/>
        <v>BFA26-24</v>
      </c>
      <c r="H496" s="16"/>
      <c r="I496" s="16" t="str">
        <f t="shared" si="5"/>
        <v>collected</v>
      </c>
      <c r="J496" s="16" t="str">
        <f t="shared" si="6"/>
        <v>N</v>
      </c>
      <c r="K496" s="16"/>
      <c r="L496" s="16"/>
    </row>
    <row r="497">
      <c r="A497" s="44" t="s">
        <v>904</v>
      </c>
      <c r="B497" s="10" t="str">
        <f t="shared" si="1"/>
        <v>fatty_acid</v>
      </c>
      <c r="C497" s="49" t="str">
        <f t="shared" si="2"/>
        <v>S17232FA1</v>
      </c>
      <c r="D497" s="6">
        <v>26.0</v>
      </c>
      <c r="E497" s="10" t="str">
        <f t="shared" si="3"/>
        <v>BFA26</v>
      </c>
      <c r="F497" s="13">
        <v>25.0</v>
      </c>
      <c r="G497" s="10" t="str">
        <f t="shared" si="4"/>
        <v>BFA26-25</v>
      </c>
      <c r="H497" s="16"/>
      <c r="I497" s="16" t="str">
        <f t="shared" si="5"/>
        <v>collected</v>
      </c>
      <c r="J497" s="16" t="str">
        <f t="shared" si="6"/>
        <v>N</v>
      </c>
      <c r="K497" s="16"/>
      <c r="L497" s="16"/>
    </row>
    <row r="498">
      <c r="A498" s="44" t="s">
        <v>905</v>
      </c>
      <c r="B498" s="10" t="str">
        <f t="shared" si="1"/>
        <v>fatty_acid</v>
      </c>
      <c r="C498" s="49" t="str">
        <f t="shared" si="2"/>
        <v>S17240FA1</v>
      </c>
      <c r="D498" s="6">
        <v>26.0</v>
      </c>
      <c r="E498" s="10" t="str">
        <f t="shared" si="3"/>
        <v>BFA26</v>
      </c>
      <c r="F498" s="13">
        <v>26.0</v>
      </c>
      <c r="G498" s="10" t="str">
        <f t="shared" si="4"/>
        <v>BFA26-26</v>
      </c>
      <c r="H498" s="16"/>
      <c r="I498" s="16" t="str">
        <f t="shared" si="5"/>
        <v>collected</v>
      </c>
      <c r="J498" s="16" t="str">
        <f t="shared" si="6"/>
        <v>N</v>
      </c>
      <c r="K498" s="16"/>
      <c r="L498" s="16"/>
    </row>
    <row r="499">
      <c r="A499" s="44" t="s">
        <v>906</v>
      </c>
      <c r="B499" s="10" t="str">
        <f t="shared" si="1"/>
        <v>fatty_acid</v>
      </c>
      <c r="C499" s="49" t="str">
        <f t="shared" si="2"/>
        <v>S17239FA1</v>
      </c>
      <c r="D499" s="6">
        <v>26.0</v>
      </c>
      <c r="E499" s="10" t="str">
        <f t="shared" si="3"/>
        <v>BFA26</v>
      </c>
      <c r="F499" s="13">
        <v>27.0</v>
      </c>
      <c r="G499" s="10" t="str">
        <f t="shared" si="4"/>
        <v>BFA26-27</v>
      </c>
      <c r="H499" s="16"/>
      <c r="I499" s="16" t="str">
        <f t="shared" si="5"/>
        <v>collected</v>
      </c>
      <c r="J499" s="16" t="str">
        <f t="shared" si="6"/>
        <v>N</v>
      </c>
      <c r="K499" s="16"/>
      <c r="L499" s="16"/>
    </row>
    <row r="500">
      <c r="A500" s="44" t="s">
        <v>907</v>
      </c>
      <c r="B500" s="10" t="str">
        <f t="shared" si="1"/>
        <v>fatty_acid</v>
      </c>
      <c r="C500" s="49" t="str">
        <f t="shared" si="2"/>
        <v>S17236FA1</v>
      </c>
      <c r="D500" s="6">
        <v>26.0</v>
      </c>
      <c r="E500" s="10" t="str">
        <f t="shared" si="3"/>
        <v>BFA26</v>
      </c>
      <c r="F500" s="13">
        <v>28.0</v>
      </c>
      <c r="G500" s="10" t="str">
        <f t="shared" si="4"/>
        <v>BFA26-28</v>
      </c>
      <c r="H500" s="16"/>
      <c r="I500" s="16" t="str">
        <f t="shared" si="5"/>
        <v>collected</v>
      </c>
      <c r="J500" s="16" t="str">
        <f t="shared" si="6"/>
        <v>N</v>
      </c>
      <c r="K500" s="16"/>
      <c r="L500" s="16"/>
    </row>
    <row r="501">
      <c r="A501" s="44" t="s">
        <v>908</v>
      </c>
      <c r="B501" s="10" t="str">
        <f t="shared" si="1"/>
        <v>fatty_acid</v>
      </c>
      <c r="C501" s="49" t="str">
        <f t="shared" si="2"/>
        <v>S17092FA1</v>
      </c>
      <c r="D501" s="6">
        <v>26.0</v>
      </c>
      <c r="E501" s="10" t="str">
        <f t="shared" si="3"/>
        <v>BFA26</v>
      </c>
      <c r="F501" s="13">
        <v>29.0</v>
      </c>
      <c r="G501" s="10" t="str">
        <f t="shared" si="4"/>
        <v>BFA26-29</v>
      </c>
      <c r="H501" s="16"/>
      <c r="I501" s="16" t="str">
        <f t="shared" si="5"/>
        <v>collected</v>
      </c>
      <c r="J501" s="16" t="str">
        <f t="shared" si="6"/>
        <v>N</v>
      </c>
      <c r="K501" s="16"/>
      <c r="L501" s="16"/>
    </row>
    <row r="502">
      <c r="A502" s="44" t="s">
        <v>910</v>
      </c>
      <c r="B502" s="10" t="str">
        <f t="shared" si="1"/>
        <v>fatty_acid</v>
      </c>
      <c r="C502" s="49" t="str">
        <f t="shared" si="2"/>
        <v>S17099FA1</v>
      </c>
      <c r="D502" s="6">
        <v>26.0</v>
      </c>
      <c r="E502" s="10" t="str">
        <f t="shared" si="3"/>
        <v>BFA26</v>
      </c>
      <c r="F502" s="13">
        <v>30.0</v>
      </c>
      <c r="G502" s="10" t="str">
        <f t="shared" si="4"/>
        <v>BFA26-30</v>
      </c>
      <c r="H502" s="16"/>
      <c r="I502" s="16" t="str">
        <f t="shared" si="5"/>
        <v>collected</v>
      </c>
      <c r="J502" s="16" t="str">
        <f t="shared" si="6"/>
        <v>N</v>
      </c>
      <c r="K502" s="16"/>
      <c r="L502" s="16"/>
    </row>
    <row r="503">
      <c r="A503" s="46" t="s">
        <v>911</v>
      </c>
      <c r="B503" s="10" t="str">
        <f t="shared" si="1"/>
        <v>fatty_acid</v>
      </c>
      <c r="C503" s="49" t="str">
        <f t="shared" si="2"/>
        <v>S17100FA1</v>
      </c>
      <c r="D503" s="6">
        <v>26.0</v>
      </c>
      <c r="E503" s="10" t="str">
        <f t="shared" si="3"/>
        <v>BFA26</v>
      </c>
      <c r="F503" s="13">
        <v>31.0</v>
      </c>
      <c r="G503" s="10" t="str">
        <f t="shared" si="4"/>
        <v>BFA26-31</v>
      </c>
      <c r="H503" s="16"/>
      <c r="I503" s="16" t="str">
        <f t="shared" si="5"/>
        <v>collected</v>
      </c>
      <c r="J503" s="16" t="str">
        <f t="shared" si="6"/>
        <v>N</v>
      </c>
      <c r="K503" s="16"/>
      <c r="L503" s="16"/>
    </row>
    <row r="504">
      <c r="A504" s="40" t="s">
        <v>913</v>
      </c>
      <c r="B504" s="10" t="str">
        <f t="shared" si="1"/>
        <v>fatty_acid</v>
      </c>
      <c r="C504" s="49" t="str">
        <f t="shared" si="2"/>
        <v>S17097FA1</v>
      </c>
      <c r="D504" s="6">
        <v>26.0</v>
      </c>
      <c r="E504" s="10" t="str">
        <f t="shared" si="3"/>
        <v>BFA26</v>
      </c>
      <c r="F504" s="13">
        <v>32.0</v>
      </c>
      <c r="G504" s="10" t="str">
        <f t="shared" si="4"/>
        <v>BFA26-32</v>
      </c>
      <c r="H504" s="16"/>
      <c r="I504" s="16" t="str">
        <f t="shared" si="5"/>
        <v>collected</v>
      </c>
      <c r="J504" s="16" t="str">
        <f t="shared" si="6"/>
        <v>N</v>
      </c>
      <c r="K504" s="16"/>
      <c r="L504" s="16"/>
    </row>
    <row r="505">
      <c r="A505" s="40" t="s">
        <v>914</v>
      </c>
      <c r="B505" s="10" t="str">
        <f t="shared" si="1"/>
        <v>fatty_acid</v>
      </c>
      <c r="C505" s="49" t="str">
        <f t="shared" si="2"/>
        <v>S17098FA1</v>
      </c>
      <c r="D505" s="6">
        <v>26.0</v>
      </c>
      <c r="E505" s="10" t="str">
        <f t="shared" si="3"/>
        <v>BFA26</v>
      </c>
      <c r="F505" s="13">
        <v>33.0</v>
      </c>
      <c r="G505" s="10" t="str">
        <f t="shared" si="4"/>
        <v>BFA26-33</v>
      </c>
      <c r="H505" s="16"/>
      <c r="I505" s="16" t="str">
        <f t="shared" si="5"/>
        <v>collected</v>
      </c>
      <c r="J505" s="16" t="str">
        <f t="shared" si="6"/>
        <v>N</v>
      </c>
      <c r="K505" s="16"/>
      <c r="L505" s="16"/>
    </row>
    <row r="506">
      <c r="A506" s="40" t="s">
        <v>916</v>
      </c>
      <c r="B506" s="10" t="str">
        <f t="shared" si="1"/>
        <v>fatty_acid</v>
      </c>
      <c r="C506" s="49" t="str">
        <f t="shared" si="2"/>
        <v>S17091FA1</v>
      </c>
      <c r="D506" s="6">
        <v>26.0</v>
      </c>
      <c r="E506" s="10" t="str">
        <f t="shared" si="3"/>
        <v>BFA26</v>
      </c>
      <c r="F506" s="13">
        <v>34.0</v>
      </c>
      <c r="G506" s="10" t="str">
        <f t="shared" si="4"/>
        <v>BFA26-34</v>
      </c>
      <c r="H506" s="16"/>
      <c r="I506" s="16" t="str">
        <f t="shared" si="5"/>
        <v>collected</v>
      </c>
      <c r="J506" s="16" t="str">
        <f t="shared" si="6"/>
        <v>N</v>
      </c>
      <c r="K506" s="16"/>
      <c r="L506" s="16"/>
    </row>
    <row r="507">
      <c r="A507" s="6" t="s">
        <v>917</v>
      </c>
      <c r="B507" s="10" t="str">
        <f t="shared" si="1"/>
        <v>fatty_acid</v>
      </c>
      <c r="C507" s="49" t="str">
        <f t="shared" si="2"/>
        <v>S16513FA1</v>
      </c>
      <c r="D507" s="6">
        <v>27.0</v>
      </c>
      <c r="E507" s="10" t="str">
        <f t="shared" si="3"/>
        <v>BFA27</v>
      </c>
      <c r="F507" s="13">
        <v>24.0</v>
      </c>
      <c r="G507" s="10" t="str">
        <f t="shared" si="4"/>
        <v>BFA27-24</v>
      </c>
      <c r="H507" s="16"/>
      <c r="I507" s="16" t="str">
        <f t="shared" si="5"/>
        <v>collected</v>
      </c>
      <c r="J507" s="16" t="str">
        <f t="shared" si="6"/>
        <v>N</v>
      </c>
      <c r="K507" s="16"/>
      <c r="L507" s="16"/>
    </row>
    <row r="508">
      <c r="A508" s="27" t="s">
        <v>918</v>
      </c>
      <c r="B508" s="10" t="str">
        <f t="shared" si="1"/>
        <v>fatty_acid</v>
      </c>
      <c r="C508" s="49" t="str">
        <f t="shared" si="2"/>
        <v>S16514FA1</v>
      </c>
      <c r="D508" s="6">
        <v>27.0</v>
      </c>
      <c r="E508" s="10" t="str">
        <f t="shared" si="3"/>
        <v>BFA27</v>
      </c>
      <c r="F508" s="13">
        <v>25.0</v>
      </c>
      <c r="G508" s="10" t="str">
        <f t="shared" si="4"/>
        <v>BFA27-25</v>
      </c>
      <c r="H508" s="16"/>
      <c r="I508" s="16" t="str">
        <f t="shared" si="5"/>
        <v>collected</v>
      </c>
      <c r="J508" s="16" t="str">
        <f t="shared" si="6"/>
        <v>N</v>
      </c>
      <c r="K508" s="16"/>
      <c r="L508" s="16"/>
    </row>
    <row r="509">
      <c r="A509" s="27" t="s">
        <v>921</v>
      </c>
      <c r="B509" s="10" t="str">
        <f t="shared" si="1"/>
        <v>fatty_acid</v>
      </c>
      <c r="C509" s="49" t="str">
        <f t="shared" si="2"/>
        <v>S16515FA1</v>
      </c>
      <c r="D509" s="6">
        <v>27.0</v>
      </c>
      <c r="E509" s="10" t="str">
        <f t="shared" si="3"/>
        <v>BFA27</v>
      </c>
      <c r="F509" s="13">
        <v>27.0</v>
      </c>
      <c r="G509" s="10" t="str">
        <f t="shared" si="4"/>
        <v>BFA27-27</v>
      </c>
      <c r="H509" s="16"/>
      <c r="I509" s="16" t="str">
        <f t="shared" si="5"/>
        <v>collected</v>
      </c>
      <c r="J509" s="16" t="str">
        <f t="shared" si="6"/>
        <v>N</v>
      </c>
      <c r="K509" s="16"/>
      <c r="L509" s="16"/>
    </row>
    <row r="510">
      <c r="A510" s="27" t="s">
        <v>922</v>
      </c>
      <c r="B510" s="10" t="str">
        <f t="shared" si="1"/>
        <v>fatty_acid</v>
      </c>
      <c r="C510" s="49" t="str">
        <f t="shared" si="2"/>
        <v>S16516FA1</v>
      </c>
      <c r="D510" s="6">
        <v>27.0</v>
      </c>
      <c r="E510" s="10" t="str">
        <f t="shared" si="3"/>
        <v>BFA27</v>
      </c>
      <c r="F510" s="13">
        <v>28.0</v>
      </c>
      <c r="G510" s="10" t="str">
        <f t="shared" si="4"/>
        <v>BFA27-28</v>
      </c>
      <c r="H510" s="16"/>
      <c r="I510" s="16" t="str">
        <f t="shared" si="5"/>
        <v>collected</v>
      </c>
      <c r="J510" s="16" t="str">
        <f t="shared" si="6"/>
        <v>N</v>
      </c>
      <c r="K510" s="16"/>
      <c r="L510" s="16"/>
    </row>
    <row r="511">
      <c r="A511" s="27" t="s">
        <v>923</v>
      </c>
      <c r="B511" s="10" t="str">
        <f t="shared" si="1"/>
        <v>fatty_acid</v>
      </c>
      <c r="C511" s="49" t="str">
        <f t="shared" si="2"/>
        <v>S16517FA1</v>
      </c>
      <c r="D511" s="6">
        <v>27.0</v>
      </c>
      <c r="E511" s="10" t="str">
        <f t="shared" si="3"/>
        <v>BFA27</v>
      </c>
      <c r="F511" s="13">
        <v>29.0</v>
      </c>
      <c r="G511" s="10" t="str">
        <f t="shared" si="4"/>
        <v>BFA27-29</v>
      </c>
      <c r="H511" s="6"/>
      <c r="I511" s="16" t="str">
        <f t="shared" si="5"/>
        <v>collected</v>
      </c>
      <c r="J511" s="16" t="str">
        <f t="shared" si="6"/>
        <v>N</v>
      </c>
      <c r="K511" s="16"/>
      <c r="L511" s="16"/>
    </row>
    <row r="512">
      <c r="A512" s="27" t="s">
        <v>924</v>
      </c>
      <c r="B512" s="10" t="str">
        <f t="shared" si="1"/>
        <v>fatty_acid</v>
      </c>
      <c r="C512" s="49" t="str">
        <f t="shared" si="2"/>
        <v>S16518FA1</v>
      </c>
      <c r="D512" s="6">
        <v>27.0</v>
      </c>
      <c r="E512" s="10" t="str">
        <f t="shared" si="3"/>
        <v>BFA27</v>
      </c>
      <c r="F512" s="13">
        <v>30.0</v>
      </c>
      <c r="G512" s="10" t="str">
        <f t="shared" si="4"/>
        <v>BFA27-30</v>
      </c>
      <c r="H512" s="16"/>
      <c r="I512" s="16" t="str">
        <f t="shared" si="5"/>
        <v>collected</v>
      </c>
      <c r="J512" s="16" t="str">
        <f t="shared" si="6"/>
        <v>N</v>
      </c>
      <c r="K512" s="16"/>
      <c r="L512" s="16"/>
    </row>
    <row r="513">
      <c r="A513" s="27" t="s">
        <v>927</v>
      </c>
      <c r="B513" s="10" t="str">
        <f t="shared" si="1"/>
        <v>fatty_acid</v>
      </c>
      <c r="C513" s="49" t="str">
        <f t="shared" si="2"/>
        <v>S16519FA1</v>
      </c>
      <c r="D513" s="6">
        <v>27.0</v>
      </c>
      <c r="E513" s="10" t="str">
        <f t="shared" si="3"/>
        <v>BFA27</v>
      </c>
      <c r="F513" s="13">
        <v>31.0</v>
      </c>
      <c r="G513" s="10" t="str">
        <f t="shared" si="4"/>
        <v>BFA27-31</v>
      </c>
      <c r="H513" s="16"/>
      <c r="I513" s="16" t="str">
        <f t="shared" si="5"/>
        <v>collected</v>
      </c>
      <c r="J513" s="16" t="str">
        <f t="shared" si="6"/>
        <v>N</v>
      </c>
      <c r="K513" s="16"/>
      <c r="L513" s="16"/>
    </row>
    <row r="514">
      <c r="A514" s="27" t="s">
        <v>929</v>
      </c>
      <c r="B514" s="10" t="str">
        <f t="shared" si="1"/>
        <v>fatty_acid</v>
      </c>
      <c r="C514" s="49" t="str">
        <f t="shared" si="2"/>
        <v>S16520FA1</v>
      </c>
      <c r="D514" s="6">
        <v>27.0</v>
      </c>
      <c r="E514" s="10" t="str">
        <f t="shared" si="3"/>
        <v>BFA27</v>
      </c>
      <c r="F514" s="13">
        <v>32.0</v>
      </c>
      <c r="G514" s="10" t="str">
        <f t="shared" si="4"/>
        <v>BFA27-32</v>
      </c>
      <c r="H514" s="16"/>
      <c r="I514" s="16" t="str">
        <f t="shared" si="5"/>
        <v>collected</v>
      </c>
      <c r="J514" s="16" t="str">
        <f t="shared" si="6"/>
        <v>N</v>
      </c>
      <c r="K514" s="16"/>
      <c r="L514" s="16"/>
    </row>
    <row r="515">
      <c r="A515" s="27" t="s">
        <v>930</v>
      </c>
      <c r="B515" s="10" t="str">
        <f t="shared" si="1"/>
        <v>fatty_acid</v>
      </c>
      <c r="C515" s="49" t="str">
        <f t="shared" si="2"/>
        <v>S16011FA1</v>
      </c>
      <c r="D515" s="6">
        <v>27.0</v>
      </c>
      <c r="E515" s="10" t="str">
        <f t="shared" si="3"/>
        <v>BFA27</v>
      </c>
      <c r="F515" s="13">
        <v>33.0</v>
      </c>
      <c r="G515" s="10" t="str">
        <f t="shared" si="4"/>
        <v>BFA27-33</v>
      </c>
      <c r="H515" s="16"/>
      <c r="I515" s="16" t="str">
        <f t="shared" si="5"/>
        <v>collected</v>
      </c>
      <c r="J515" s="16" t="str">
        <f t="shared" si="6"/>
        <v>N</v>
      </c>
      <c r="K515" s="16"/>
      <c r="L515" s="16"/>
    </row>
    <row r="516">
      <c r="A516" s="27" t="s">
        <v>931</v>
      </c>
      <c r="B516" s="10" t="str">
        <f t="shared" si="1"/>
        <v>fatty_acid</v>
      </c>
      <c r="C516" s="49" t="str">
        <f t="shared" si="2"/>
        <v>S16012FA1</v>
      </c>
      <c r="D516" s="6">
        <v>27.0</v>
      </c>
      <c r="E516" s="10" t="str">
        <f t="shared" si="3"/>
        <v>BFA27</v>
      </c>
      <c r="F516" s="13">
        <v>34.0</v>
      </c>
      <c r="G516" s="10" t="str">
        <f t="shared" si="4"/>
        <v>BFA27-34</v>
      </c>
      <c r="H516" s="16"/>
      <c r="I516" s="16" t="str">
        <f t="shared" si="5"/>
        <v>collected</v>
      </c>
      <c r="J516" s="16" t="str">
        <f t="shared" si="6"/>
        <v>N</v>
      </c>
      <c r="K516" s="16"/>
      <c r="L516" s="16"/>
    </row>
    <row r="517">
      <c r="A517" s="27" t="s">
        <v>933</v>
      </c>
      <c r="B517" s="10" t="str">
        <f t="shared" si="1"/>
        <v>fatty_acid</v>
      </c>
      <c r="C517" s="49" t="str">
        <f t="shared" si="2"/>
        <v>S16013FA1</v>
      </c>
      <c r="D517" s="6">
        <v>27.0</v>
      </c>
      <c r="E517" s="10" t="str">
        <f t="shared" si="3"/>
        <v>BFA27</v>
      </c>
      <c r="F517" s="13">
        <v>35.0</v>
      </c>
      <c r="G517" s="10" t="str">
        <f t="shared" si="4"/>
        <v>BFA27-35</v>
      </c>
      <c r="H517" s="16"/>
      <c r="I517" s="16" t="str">
        <f t="shared" si="5"/>
        <v>collected</v>
      </c>
      <c r="J517" s="16" t="str">
        <f t="shared" si="6"/>
        <v>N</v>
      </c>
      <c r="K517" s="16"/>
      <c r="L517" s="16"/>
    </row>
    <row r="518">
      <c r="A518" s="27" t="s">
        <v>934</v>
      </c>
      <c r="B518" s="10" t="str">
        <f t="shared" si="1"/>
        <v>fatty_acid</v>
      </c>
      <c r="C518" s="49" t="str">
        <f t="shared" si="2"/>
        <v>S16014FA1</v>
      </c>
      <c r="D518" s="6">
        <v>27.0</v>
      </c>
      <c r="E518" s="10" t="str">
        <f t="shared" si="3"/>
        <v>BFA27</v>
      </c>
      <c r="F518" s="13">
        <v>37.0</v>
      </c>
      <c r="G518" s="10" t="str">
        <f t="shared" si="4"/>
        <v>BFA27-37</v>
      </c>
      <c r="H518" s="16"/>
      <c r="I518" s="16" t="str">
        <f t="shared" si="5"/>
        <v>collected</v>
      </c>
      <c r="J518" s="16" t="str">
        <f t="shared" si="6"/>
        <v>N</v>
      </c>
      <c r="K518" s="16"/>
      <c r="L518" s="16"/>
    </row>
    <row r="519">
      <c r="A519" s="27" t="s">
        <v>935</v>
      </c>
      <c r="B519" s="10" t="str">
        <f t="shared" si="1"/>
        <v>fatty_acid</v>
      </c>
      <c r="C519" s="49" t="str">
        <f t="shared" si="2"/>
        <v>S16015FA1</v>
      </c>
      <c r="D519" s="6">
        <v>27.0</v>
      </c>
      <c r="E519" s="10" t="str">
        <f t="shared" si="3"/>
        <v>BFA27</v>
      </c>
      <c r="F519" s="13">
        <v>38.0</v>
      </c>
      <c r="G519" s="10" t="str">
        <f t="shared" si="4"/>
        <v>BFA27-38</v>
      </c>
      <c r="H519" s="16"/>
      <c r="I519" s="16" t="str">
        <f t="shared" si="5"/>
        <v>collected</v>
      </c>
      <c r="J519" s="16" t="str">
        <f t="shared" si="6"/>
        <v>N</v>
      </c>
      <c r="K519" s="16"/>
      <c r="L519" s="16"/>
    </row>
    <row r="520">
      <c r="A520" s="27" t="s">
        <v>937</v>
      </c>
      <c r="B520" s="10" t="str">
        <f t="shared" si="1"/>
        <v>fatty_acid</v>
      </c>
      <c r="C520" s="49" t="str">
        <f t="shared" si="2"/>
        <v>S16016FA1</v>
      </c>
      <c r="D520" s="6">
        <v>27.0</v>
      </c>
      <c r="E520" s="10" t="str">
        <f t="shared" si="3"/>
        <v>BFA27</v>
      </c>
      <c r="F520" s="13">
        <v>39.0</v>
      </c>
      <c r="G520" s="10" t="str">
        <f t="shared" si="4"/>
        <v>BFA27-39</v>
      </c>
      <c r="H520" s="16"/>
      <c r="I520" s="16" t="str">
        <f t="shared" si="5"/>
        <v>collected</v>
      </c>
      <c r="J520" s="16" t="str">
        <f t="shared" si="6"/>
        <v>N</v>
      </c>
      <c r="K520" s="16"/>
      <c r="L520" s="16"/>
    </row>
    <row r="521">
      <c r="A521" s="27" t="s">
        <v>938</v>
      </c>
      <c r="B521" s="10" t="str">
        <f t="shared" si="1"/>
        <v>fatty_acid</v>
      </c>
      <c r="C521" s="49" t="str">
        <f t="shared" si="2"/>
        <v>S16017FA1</v>
      </c>
      <c r="D521" s="6">
        <v>27.0</v>
      </c>
      <c r="E521" s="10" t="str">
        <f t="shared" si="3"/>
        <v>BFA27</v>
      </c>
      <c r="F521" s="13">
        <v>40.0</v>
      </c>
      <c r="G521" s="10" t="str">
        <f t="shared" si="4"/>
        <v>BFA27-40</v>
      </c>
      <c r="H521" s="16"/>
      <c r="I521" s="16" t="str">
        <f t="shared" si="5"/>
        <v>collected</v>
      </c>
      <c r="J521" s="16" t="str">
        <f t="shared" si="6"/>
        <v>N</v>
      </c>
      <c r="K521" s="16"/>
      <c r="L521" s="16"/>
    </row>
    <row r="522">
      <c r="A522" s="27" t="s">
        <v>940</v>
      </c>
      <c r="B522" s="10" t="str">
        <f t="shared" si="1"/>
        <v>fatty_acid</v>
      </c>
      <c r="C522" s="49" t="str">
        <f t="shared" si="2"/>
        <v>S16018FA1</v>
      </c>
      <c r="D522" s="6">
        <v>27.0</v>
      </c>
      <c r="E522" s="10" t="str">
        <f t="shared" si="3"/>
        <v>BFA27</v>
      </c>
      <c r="F522" s="13">
        <v>41.0</v>
      </c>
      <c r="G522" s="10" t="str">
        <f t="shared" si="4"/>
        <v>BFA27-41</v>
      </c>
      <c r="H522" s="16"/>
      <c r="I522" s="16" t="str">
        <f t="shared" si="5"/>
        <v>collected</v>
      </c>
      <c r="J522" s="16" t="str">
        <f t="shared" si="6"/>
        <v>N</v>
      </c>
      <c r="K522" s="16"/>
      <c r="L522" s="16"/>
    </row>
    <row r="523">
      <c r="A523" s="27" t="s">
        <v>941</v>
      </c>
      <c r="B523" s="10" t="str">
        <f t="shared" si="1"/>
        <v>fatty_acid</v>
      </c>
      <c r="C523" s="49" t="str">
        <f t="shared" si="2"/>
        <v>S16019FA1</v>
      </c>
      <c r="D523" s="6">
        <v>27.0</v>
      </c>
      <c r="E523" s="10" t="str">
        <f t="shared" si="3"/>
        <v>BFA27</v>
      </c>
      <c r="F523" s="13">
        <v>42.0</v>
      </c>
      <c r="G523" s="10" t="str">
        <f t="shared" si="4"/>
        <v>BFA27-42</v>
      </c>
      <c r="H523" s="16"/>
      <c r="I523" s="16" t="str">
        <f t="shared" si="5"/>
        <v>collected</v>
      </c>
      <c r="J523" s="16" t="str">
        <f t="shared" si="6"/>
        <v>N</v>
      </c>
      <c r="K523" s="16"/>
      <c r="L523" s="16"/>
    </row>
    <row r="524">
      <c r="A524" s="27" t="s">
        <v>942</v>
      </c>
      <c r="B524" s="10" t="str">
        <f t="shared" si="1"/>
        <v>fatty_acid</v>
      </c>
      <c r="C524" s="49" t="str">
        <f t="shared" si="2"/>
        <v>S16020FA1</v>
      </c>
      <c r="D524" s="6">
        <v>27.0</v>
      </c>
      <c r="E524" s="10" t="str">
        <f t="shared" si="3"/>
        <v>BFA27</v>
      </c>
      <c r="F524" s="13">
        <v>43.0</v>
      </c>
      <c r="G524" s="10" t="str">
        <f t="shared" si="4"/>
        <v>BFA27-43</v>
      </c>
      <c r="H524" s="16"/>
      <c r="I524" s="16" t="str">
        <f t="shared" si="5"/>
        <v>collected</v>
      </c>
      <c r="J524" s="16" t="str">
        <f t="shared" si="6"/>
        <v>N</v>
      </c>
      <c r="K524" s="16"/>
      <c r="L524" s="16"/>
    </row>
    <row r="525">
      <c r="A525" s="40" t="s">
        <v>943</v>
      </c>
      <c r="B525" s="10" t="str">
        <f t="shared" si="1"/>
        <v>fatty_acid</v>
      </c>
      <c r="C525" s="49" t="str">
        <f t="shared" si="2"/>
        <v>S17095FA1</v>
      </c>
      <c r="D525" s="6">
        <v>26.0</v>
      </c>
      <c r="E525" s="10" t="str">
        <f t="shared" si="3"/>
        <v>BFA26</v>
      </c>
      <c r="F525" s="13">
        <v>35.0</v>
      </c>
      <c r="G525" s="10" t="str">
        <f t="shared" si="4"/>
        <v>BFA26-35</v>
      </c>
      <c r="H525" s="16"/>
      <c r="I525" s="16" t="str">
        <f t="shared" si="5"/>
        <v>collected</v>
      </c>
      <c r="J525" s="16" t="str">
        <f t="shared" si="6"/>
        <v>N</v>
      </c>
      <c r="K525" s="16"/>
      <c r="L525" s="16"/>
    </row>
    <row r="526">
      <c r="A526" s="40" t="s">
        <v>946</v>
      </c>
      <c r="B526" s="10" t="str">
        <f t="shared" si="1"/>
        <v>fatty_acid</v>
      </c>
      <c r="C526" s="49" t="str">
        <f t="shared" si="2"/>
        <v>S17096FA1</v>
      </c>
      <c r="D526" s="6">
        <v>26.0</v>
      </c>
      <c r="E526" s="10" t="str">
        <f t="shared" si="3"/>
        <v>BFA26</v>
      </c>
      <c r="F526" s="13">
        <v>36.0</v>
      </c>
      <c r="G526" s="10" t="str">
        <f t="shared" si="4"/>
        <v>BFA26-36</v>
      </c>
      <c r="H526" s="16"/>
      <c r="I526" s="16" t="str">
        <f t="shared" si="5"/>
        <v>collected</v>
      </c>
      <c r="J526" s="16" t="str">
        <f t="shared" si="6"/>
        <v>N</v>
      </c>
      <c r="K526" s="16"/>
      <c r="L526" s="16"/>
    </row>
    <row r="527">
      <c r="A527" s="40" t="s">
        <v>947</v>
      </c>
      <c r="B527" s="10" t="str">
        <f t="shared" si="1"/>
        <v>fatty_acid</v>
      </c>
      <c r="C527" s="49" t="str">
        <f t="shared" si="2"/>
        <v>S17094FA1</v>
      </c>
      <c r="D527" s="6">
        <v>26.0</v>
      </c>
      <c r="E527" s="10" t="str">
        <f t="shared" si="3"/>
        <v>BFA26</v>
      </c>
      <c r="F527" s="13">
        <v>37.0</v>
      </c>
      <c r="G527" s="10" t="str">
        <f t="shared" si="4"/>
        <v>BFA26-37</v>
      </c>
      <c r="H527" s="16"/>
      <c r="I527" s="16" t="str">
        <f t="shared" si="5"/>
        <v>collected</v>
      </c>
      <c r="J527" s="16" t="str">
        <f t="shared" si="6"/>
        <v>N</v>
      </c>
      <c r="K527" s="16"/>
      <c r="L527" s="16"/>
    </row>
    <row r="528">
      <c r="A528" s="40" t="s">
        <v>948</v>
      </c>
      <c r="B528" s="10" t="str">
        <f t="shared" si="1"/>
        <v>fatty_acid</v>
      </c>
      <c r="C528" s="49" t="str">
        <f t="shared" si="2"/>
        <v>S17093FA1</v>
      </c>
      <c r="D528" s="6">
        <v>26.0</v>
      </c>
      <c r="E528" s="10" t="str">
        <f t="shared" si="3"/>
        <v>BFA26</v>
      </c>
      <c r="F528" s="13">
        <v>38.0</v>
      </c>
      <c r="G528" s="10" t="str">
        <f t="shared" si="4"/>
        <v>BFA26-38</v>
      </c>
      <c r="H528" s="16"/>
      <c r="I528" s="16" t="str">
        <f t="shared" si="5"/>
        <v>collected</v>
      </c>
      <c r="J528" s="16" t="str">
        <f t="shared" si="6"/>
        <v>N</v>
      </c>
      <c r="K528" s="16"/>
      <c r="L528" s="16"/>
    </row>
    <row r="529">
      <c r="A529" s="43" t="s">
        <v>949</v>
      </c>
      <c r="B529" s="10" t="str">
        <f t="shared" si="1"/>
        <v>fatty_acid</v>
      </c>
      <c r="C529" s="49" t="str">
        <f t="shared" si="2"/>
        <v>S16151FA1</v>
      </c>
      <c r="D529" s="6">
        <v>26.0</v>
      </c>
      <c r="E529" s="10" t="str">
        <f t="shared" si="3"/>
        <v>BFA26</v>
      </c>
      <c r="F529" s="13">
        <v>39.0</v>
      </c>
      <c r="G529" s="10" t="str">
        <f t="shared" si="4"/>
        <v>BFA26-39</v>
      </c>
      <c r="H529" s="16"/>
      <c r="I529" s="16" t="str">
        <f t="shared" si="5"/>
        <v>collected</v>
      </c>
      <c r="J529" s="16" t="str">
        <f t="shared" si="6"/>
        <v>N</v>
      </c>
      <c r="K529" s="16"/>
      <c r="L529" s="16"/>
    </row>
    <row r="530">
      <c r="A530" s="44" t="s">
        <v>950</v>
      </c>
      <c r="B530" s="10" t="str">
        <f t="shared" si="1"/>
        <v>fatty_acid</v>
      </c>
      <c r="C530" s="49" t="str">
        <f t="shared" si="2"/>
        <v>S16157FA1</v>
      </c>
      <c r="D530" s="6">
        <v>26.0</v>
      </c>
      <c r="E530" s="10" t="str">
        <f t="shared" si="3"/>
        <v>BFA26</v>
      </c>
      <c r="F530" s="13">
        <v>40.0</v>
      </c>
      <c r="G530" s="10" t="str">
        <f t="shared" si="4"/>
        <v>BFA26-40</v>
      </c>
      <c r="H530" s="16"/>
      <c r="I530" s="16" t="str">
        <f t="shared" si="5"/>
        <v>collected</v>
      </c>
      <c r="J530" s="16" t="str">
        <f t="shared" si="6"/>
        <v>N</v>
      </c>
      <c r="K530" s="16"/>
      <c r="L530" s="16"/>
    </row>
    <row r="531">
      <c r="A531" s="44" t="s">
        <v>952</v>
      </c>
      <c r="B531" s="10" t="str">
        <f t="shared" si="1"/>
        <v>fatty_acid</v>
      </c>
      <c r="C531" s="49" t="str">
        <f t="shared" si="2"/>
        <v>S16158FA1</v>
      </c>
      <c r="D531" s="6">
        <v>26.0</v>
      </c>
      <c r="E531" s="10" t="str">
        <f t="shared" si="3"/>
        <v>BFA26</v>
      </c>
      <c r="F531" s="13">
        <v>41.0</v>
      </c>
      <c r="G531" s="10" t="str">
        <f t="shared" si="4"/>
        <v>BFA26-41</v>
      </c>
      <c r="H531" s="16"/>
      <c r="I531" s="16" t="str">
        <f t="shared" si="5"/>
        <v>collected</v>
      </c>
      <c r="J531" s="16" t="str">
        <f t="shared" si="6"/>
        <v>N</v>
      </c>
      <c r="K531" s="16"/>
      <c r="L531" s="16"/>
    </row>
    <row r="532">
      <c r="A532" s="44" t="s">
        <v>954</v>
      </c>
      <c r="B532" s="10" t="str">
        <f t="shared" si="1"/>
        <v>fatty_acid</v>
      </c>
      <c r="C532" s="49" t="str">
        <f t="shared" si="2"/>
        <v>S16159FA1</v>
      </c>
      <c r="D532" s="6">
        <v>26.0</v>
      </c>
      <c r="E532" s="10" t="str">
        <f t="shared" si="3"/>
        <v>BFA26</v>
      </c>
      <c r="F532" s="13">
        <v>42.0</v>
      </c>
      <c r="G532" s="10" t="str">
        <f t="shared" si="4"/>
        <v>BFA26-42</v>
      </c>
      <c r="H532" s="16"/>
      <c r="I532" s="16" t="str">
        <f t="shared" si="5"/>
        <v>collected</v>
      </c>
      <c r="J532" s="16" t="str">
        <f t="shared" si="6"/>
        <v>N</v>
      </c>
      <c r="K532" s="16"/>
      <c r="L532" s="16"/>
    </row>
    <row r="533">
      <c r="A533" s="44" t="s">
        <v>955</v>
      </c>
      <c r="B533" s="10" t="str">
        <f t="shared" si="1"/>
        <v>fatty_acid</v>
      </c>
      <c r="C533" s="49" t="str">
        <f t="shared" si="2"/>
        <v>S16152FA1</v>
      </c>
      <c r="D533" s="6">
        <v>26.0</v>
      </c>
      <c r="E533" s="10" t="str">
        <f t="shared" si="3"/>
        <v>BFA26</v>
      </c>
      <c r="F533" s="13">
        <v>43.0</v>
      </c>
      <c r="G533" s="10" t="str">
        <f t="shared" si="4"/>
        <v>BFA26-43</v>
      </c>
      <c r="H533" s="16"/>
      <c r="I533" s="16" t="str">
        <f t="shared" si="5"/>
        <v>collected</v>
      </c>
      <c r="J533" s="16" t="str">
        <f t="shared" si="6"/>
        <v>N</v>
      </c>
      <c r="K533" s="16"/>
      <c r="L533" s="16"/>
    </row>
    <row r="534">
      <c r="A534" s="44" t="s">
        <v>956</v>
      </c>
      <c r="B534" s="10" t="str">
        <f t="shared" si="1"/>
        <v>fatty_acid</v>
      </c>
      <c r="C534" s="49" t="str">
        <f t="shared" si="2"/>
        <v>S16160FA1</v>
      </c>
      <c r="D534" s="6">
        <v>26.0</v>
      </c>
      <c r="E534" s="10" t="str">
        <f t="shared" si="3"/>
        <v>BFA26</v>
      </c>
      <c r="F534" s="13">
        <v>44.0</v>
      </c>
      <c r="G534" s="10" t="str">
        <f t="shared" si="4"/>
        <v>BFA26-44</v>
      </c>
      <c r="H534" s="16"/>
      <c r="I534" s="16" t="str">
        <f t="shared" si="5"/>
        <v>collected</v>
      </c>
      <c r="J534" s="16" t="str">
        <f t="shared" si="6"/>
        <v>N</v>
      </c>
      <c r="K534" s="16"/>
      <c r="L534" s="16"/>
    </row>
    <row r="535">
      <c r="A535" s="44" t="s">
        <v>958</v>
      </c>
      <c r="B535" s="10" t="str">
        <f t="shared" si="1"/>
        <v>fatty_acid</v>
      </c>
      <c r="C535" s="49" t="str">
        <f t="shared" si="2"/>
        <v>S16153FA1</v>
      </c>
      <c r="D535" s="6">
        <v>26.0</v>
      </c>
      <c r="E535" s="10" t="str">
        <f t="shared" si="3"/>
        <v>BFA26</v>
      </c>
      <c r="F535" s="13">
        <v>45.0</v>
      </c>
      <c r="G535" s="10" t="str">
        <f t="shared" si="4"/>
        <v>BFA26-45</v>
      </c>
      <c r="H535" s="16"/>
      <c r="I535" s="16" t="str">
        <f t="shared" si="5"/>
        <v>collected</v>
      </c>
      <c r="J535" s="16" t="str">
        <f t="shared" si="6"/>
        <v>N</v>
      </c>
      <c r="K535" s="16"/>
      <c r="L535" s="16"/>
    </row>
    <row r="536">
      <c r="A536" s="44" t="s">
        <v>959</v>
      </c>
      <c r="B536" s="10" t="str">
        <f t="shared" si="1"/>
        <v>fatty_acid</v>
      </c>
      <c r="C536" s="49" t="str">
        <f t="shared" si="2"/>
        <v>S16156FA1</v>
      </c>
      <c r="D536" s="6">
        <v>26.0</v>
      </c>
      <c r="E536" s="10" t="str">
        <f t="shared" si="3"/>
        <v>BFA26</v>
      </c>
      <c r="F536" s="13">
        <v>46.0</v>
      </c>
      <c r="G536" s="10" t="str">
        <f t="shared" si="4"/>
        <v>BFA26-46</v>
      </c>
      <c r="H536" s="16"/>
      <c r="I536" s="16" t="str">
        <f t="shared" si="5"/>
        <v>collected</v>
      </c>
      <c r="J536" s="16" t="str">
        <f t="shared" si="6"/>
        <v>N</v>
      </c>
      <c r="K536" s="16"/>
      <c r="L536" s="16"/>
    </row>
    <row r="537">
      <c r="A537" s="44" t="s">
        <v>960</v>
      </c>
      <c r="B537" s="10" t="str">
        <f t="shared" si="1"/>
        <v>fatty_acid</v>
      </c>
      <c r="C537" s="49" t="str">
        <f t="shared" si="2"/>
        <v>S16155FA1</v>
      </c>
      <c r="D537" s="6">
        <v>26.0</v>
      </c>
      <c r="E537" s="10" t="str">
        <f t="shared" si="3"/>
        <v>BFA26</v>
      </c>
      <c r="F537" s="13">
        <v>47.0</v>
      </c>
      <c r="G537" s="10" t="str">
        <f t="shared" si="4"/>
        <v>BFA26-47</v>
      </c>
      <c r="H537" s="16"/>
      <c r="I537" s="16" t="str">
        <f t="shared" si="5"/>
        <v>collected</v>
      </c>
      <c r="J537" s="16" t="str">
        <f t="shared" si="6"/>
        <v>N</v>
      </c>
      <c r="K537" s="16"/>
      <c r="L537" s="16"/>
    </row>
    <row r="538">
      <c r="A538" s="46" t="s">
        <v>963</v>
      </c>
      <c r="B538" s="10" t="str">
        <f t="shared" si="1"/>
        <v>fatty_acid</v>
      </c>
      <c r="C538" s="49" t="str">
        <f t="shared" si="2"/>
        <v>S16154FA1</v>
      </c>
      <c r="D538" s="6">
        <v>26.0</v>
      </c>
      <c r="E538" s="10" t="str">
        <f t="shared" si="3"/>
        <v>BFA26</v>
      </c>
      <c r="F538" s="13">
        <v>48.0</v>
      </c>
      <c r="G538" s="10" t="str">
        <f t="shared" si="4"/>
        <v>BFA26-48</v>
      </c>
      <c r="H538" s="16"/>
      <c r="I538" s="16" t="str">
        <f t="shared" si="5"/>
        <v>collected</v>
      </c>
      <c r="J538" s="16" t="str">
        <f t="shared" si="6"/>
        <v>N</v>
      </c>
      <c r="K538" s="16"/>
      <c r="L538" s="16"/>
    </row>
    <row r="539">
      <c r="A539" s="40" t="s">
        <v>966</v>
      </c>
      <c r="B539" s="10" t="str">
        <f t="shared" si="1"/>
        <v>fatty_acid</v>
      </c>
      <c r="C539" s="49" t="str">
        <f t="shared" si="2"/>
        <v>S16342FA1</v>
      </c>
      <c r="D539" s="6">
        <v>26.0</v>
      </c>
      <c r="E539" s="10" t="str">
        <f t="shared" si="3"/>
        <v>BFA26</v>
      </c>
      <c r="F539" s="13">
        <v>49.0</v>
      </c>
      <c r="G539" s="10" t="str">
        <f t="shared" si="4"/>
        <v>BFA26-49</v>
      </c>
      <c r="H539" s="16"/>
      <c r="I539" s="16" t="str">
        <f t="shared" si="5"/>
        <v>collected</v>
      </c>
      <c r="J539" s="16" t="str">
        <f t="shared" si="6"/>
        <v>N</v>
      </c>
      <c r="K539" s="16"/>
      <c r="L539" s="16"/>
    </row>
    <row r="540">
      <c r="A540" s="40" t="s">
        <v>967</v>
      </c>
      <c r="B540" s="10" t="str">
        <f t="shared" si="1"/>
        <v>fatty_acid</v>
      </c>
      <c r="C540" s="49" t="str">
        <f t="shared" si="2"/>
        <v>S16350FA1</v>
      </c>
      <c r="D540" s="6">
        <v>26.0</v>
      </c>
      <c r="E540" s="10" t="str">
        <f t="shared" si="3"/>
        <v>BFA26</v>
      </c>
      <c r="F540" s="13">
        <v>50.0</v>
      </c>
      <c r="G540" s="10" t="str">
        <f t="shared" si="4"/>
        <v>BFA26-50</v>
      </c>
      <c r="H540" s="16"/>
      <c r="I540" s="16" t="str">
        <f t="shared" si="5"/>
        <v>collected</v>
      </c>
      <c r="J540" s="16" t="str">
        <f t="shared" si="6"/>
        <v>N</v>
      </c>
      <c r="K540" s="16"/>
      <c r="L540" s="16"/>
    </row>
    <row r="541">
      <c r="A541" s="40" t="s">
        <v>969</v>
      </c>
      <c r="B541" s="10" t="str">
        <f t="shared" si="1"/>
        <v>fatty_acid</v>
      </c>
      <c r="C541" s="49" t="str">
        <f t="shared" si="2"/>
        <v>S16344FA1</v>
      </c>
      <c r="D541" s="6">
        <v>26.0</v>
      </c>
      <c r="E541" s="10" t="str">
        <f t="shared" si="3"/>
        <v>BFA26</v>
      </c>
      <c r="F541" s="13">
        <v>51.0</v>
      </c>
      <c r="G541" s="10" t="str">
        <f t="shared" si="4"/>
        <v>BFA26-51</v>
      </c>
      <c r="H541" s="16"/>
      <c r="I541" s="16" t="str">
        <f t="shared" si="5"/>
        <v>collected</v>
      </c>
      <c r="J541" s="16" t="str">
        <f t="shared" si="6"/>
        <v>N</v>
      </c>
      <c r="K541" s="16"/>
      <c r="L541" s="16"/>
    </row>
    <row r="542">
      <c r="A542" s="40" t="s">
        <v>971</v>
      </c>
      <c r="B542" s="10" t="str">
        <f t="shared" si="1"/>
        <v>fatty_acid</v>
      </c>
      <c r="C542" s="49" t="str">
        <f t="shared" si="2"/>
        <v>S16341FA1</v>
      </c>
      <c r="D542" s="6">
        <v>26.0</v>
      </c>
      <c r="E542" s="10" t="str">
        <f t="shared" si="3"/>
        <v>BFA26</v>
      </c>
      <c r="F542" s="13">
        <v>52.0</v>
      </c>
      <c r="G542" s="10" t="str">
        <f t="shared" si="4"/>
        <v>BFA26-52</v>
      </c>
      <c r="H542" s="16"/>
      <c r="I542" s="16" t="str">
        <f t="shared" si="5"/>
        <v>collected</v>
      </c>
      <c r="J542" s="16" t="str">
        <f t="shared" si="6"/>
        <v>N</v>
      </c>
      <c r="K542" s="16"/>
      <c r="L542" s="16"/>
    </row>
    <row r="543">
      <c r="A543" s="40" t="s">
        <v>972</v>
      </c>
      <c r="B543" s="10" t="str">
        <f t="shared" si="1"/>
        <v>fatty_acid</v>
      </c>
      <c r="C543" s="49" t="str">
        <f t="shared" si="2"/>
        <v>S16343FA1</v>
      </c>
      <c r="D543" s="6">
        <v>26.0</v>
      </c>
      <c r="E543" s="10" t="str">
        <f t="shared" si="3"/>
        <v>BFA26</v>
      </c>
      <c r="F543" s="13">
        <v>53.0</v>
      </c>
      <c r="G543" s="10" t="str">
        <f t="shared" si="4"/>
        <v>BFA26-53</v>
      </c>
      <c r="H543" s="16"/>
      <c r="I543" s="16" t="str">
        <f t="shared" si="5"/>
        <v>collected</v>
      </c>
      <c r="J543" s="16" t="str">
        <f t="shared" si="6"/>
        <v>N</v>
      </c>
      <c r="K543" s="16"/>
      <c r="L543" s="16"/>
    </row>
    <row r="544">
      <c r="A544" s="27" t="s">
        <v>974</v>
      </c>
      <c r="B544" s="10" t="str">
        <f t="shared" si="1"/>
        <v>fatty_acid</v>
      </c>
      <c r="C544" s="49" t="str">
        <f t="shared" si="2"/>
        <v>S16971FA1</v>
      </c>
      <c r="D544" s="6">
        <v>27.0</v>
      </c>
      <c r="E544" s="10" t="str">
        <f t="shared" si="3"/>
        <v>BFA27</v>
      </c>
      <c r="F544" s="13">
        <v>44.0</v>
      </c>
      <c r="G544" s="10" t="str">
        <f t="shared" si="4"/>
        <v>BFA27-44</v>
      </c>
      <c r="H544" s="16"/>
      <c r="I544" s="16" t="str">
        <f t="shared" si="5"/>
        <v>collected</v>
      </c>
      <c r="J544" s="16" t="str">
        <f t="shared" si="6"/>
        <v>N</v>
      </c>
      <c r="K544" s="16"/>
      <c r="L544" s="16"/>
    </row>
    <row r="545">
      <c r="A545" s="27" t="s">
        <v>975</v>
      </c>
      <c r="B545" s="10" t="str">
        <f t="shared" si="1"/>
        <v>fatty_acid</v>
      </c>
      <c r="C545" s="49" t="str">
        <f t="shared" si="2"/>
        <v>S16972FA1</v>
      </c>
      <c r="D545" s="6">
        <v>27.0</v>
      </c>
      <c r="E545" s="10" t="str">
        <f t="shared" si="3"/>
        <v>BFA27</v>
      </c>
      <c r="F545" s="13">
        <v>45.0</v>
      </c>
      <c r="G545" s="10" t="str">
        <f t="shared" si="4"/>
        <v>BFA27-45</v>
      </c>
      <c r="H545" s="16"/>
      <c r="I545" s="16" t="str">
        <f t="shared" si="5"/>
        <v>collected</v>
      </c>
      <c r="J545" s="16" t="str">
        <f t="shared" si="6"/>
        <v>N</v>
      </c>
      <c r="K545" s="16"/>
      <c r="L545" s="16"/>
    </row>
    <row r="546">
      <c r="A546" s="27" t="s">
        <v>976</v>
      </c>
      <c r="B546" s="10" t="str">
        <f t="shared" si="1"/>
        <v>fatty_acid</v>
      </c>
      <c r="C546" s="49" t="str">
        <f t="shared" si="2"/>
        <v>S16973FA1</v>
      </c>
      <c r="D546" s="6">
        <v>27.0</v>
      </c>
      <c r="E546" s="10" t="str">
        <f t="shared" si="3"/>
        <v>BFA27</v>
      </c>
      <c r="F546" s="13">
        <v>47.0</v>
      </c>
      <c r="G546" s="10" t="str">
        <f t="shared" si="4"/>
        <v>BFA27-47</v>
      </c>
      <c r="H546" s="16"/>
      <c r="I546" s="16" t="str">
        <f t="shared" si="5"/>
        <v>collected</v>
      </c>
      <c r="J546" s="16" t="str">
        <f t="shared" si="6"/>
        <v>N</v>
      </c>
      <c r="K546" s="16"/>
      <c r="L546" s="16"/>
    </row>
    <row r="547">
      <c r="A547" s="27" t="s">
        <v>978</v>
      </c>
      <c r="B547" s="10" t="str">
        <f t="shared" si="1"/>
        <v>fatty_acid</v>
      </c>
      <c r="C547" s="49" t="str">
        <f t="shared" si="2"/>
        <v>S16974FA1</v>
      </c>
      <c r="D547" s="6">
        <v>27.0</v>
      </c>
      <c r="E547" s="10" t="str">
        <f t="shared" si="3"/>
        <v>BFA27</v>
      </c>
      <c r="F547" s="13">
        <v>48.0</v>
      </c>
      <c r="G547" s="10" t="str">
        <f t="shared" si="4"/>
        <v>BFA27-48</v>
      </c>
      <c r="H547" s="16"/>
      <c r="I547" s="16" t="str">
        <f t="shared" si="5"/>
        <v>collected</v>
      </c>
      <c r="J547" s="16" t="str">
        <f t="shared" si="6"/>
        <v>N</v>
      </c>
      <c r="K547" s="16"/>
      <c r="L547" s="16"/>
    </row>
    <row r="548">
      <c r="A548" s="27" t="s">
        <v>979</v>
      </c>
      <c r="B548" s="10" t="str">
        <f t="shared" si="1"/>
        <v>fatty_acid</v>
      </c>
      <c r="C548" s="49" t="str">
        <f t="shared" si="2"/>
        <v>S16979FA1</v>
      </c>
      <c r="D548" s="6">
        <v>27.0</v>
      </c>
      <c r="E548" s="10" t="str">
        <f t="shared" si="3"/>
        <v>BFA27</v>
      </c>
      <c r="F548" s="13">
        <v>49.0</v>
      </c>
      <c r="G548" s="10" t="str">
        <f t="shared" si="4"/>
        <v>BFA27-49</v>
      </c>
      <c r="H548" s="6"/>
      <c r="I548" s="16" t="str">
        <f t="shared" si="5"/>
        <v>collected</v>
      </c>
      <c r="J548" s="16" t="str">
        <f t="shared" si="6"/>
        <v>N</v>
      </c>
      <c r="K548" s="16"/>
      <c r="L548" s="16"/>
    </row>
    <row r="549">
      <c r="A549" s="27" t="s">
        <v>981</v>
      </c>
      <c r="B549" s="10" t="str">
        <f t="shared" si="1"/>
        <v>fatty_acid</v>
      </c>
      <c r="C549" s="49" t="str">
        <f t="shared" si="2"/>
        <v>S16975FA1</v>
      </c>
      <c r="D549" s="6">
        <v>27.0</v>
      </c>
      <c r="E549" s="10" t="str">
        <f t="shared" si="3"/>
        <v>BFA27</v>
      </c>
      <c r="F549" s="13">
        <v>50.0</v>
      </c>
      <c r="G549" s="10" t="str">
        <f t="shared" si="4"/>
        <v>BFA27-50</v>
      </c>
      <c r="H549" s="16"/>
      <c r="I549" s="16" t="str">
        <f t="shared" si="5"/>
        <v>collected</v>
      </c>
      <c r="J549" s="16" t="str">
        <f t="shared" si="6"/>
        <v>N</v>
      </c>
      <c r="K549" s="16"/>
      <c r="L549" s="16"/>
    </row>
    <row r="550">
      <c r="A550" s="27" t="s">
        <v>982</v>
      </c>
      <c r="B550" s="10" t="str">
        <f t="shared" si="1"/>
        <v>fatty_acid</v>
      </c>
      <c r="C550" s="49" t="str">
        <f t="shared" si="2"/>
        <v>S16976FA1</v>
      </c>
      <c r="D550" s="6">
        <v>27.0</v>
      </c>
      <c r="E550" s="10" t="str">
        <f t="shared" si="3"/>
        <v>BFA27</v>
      </c>
      <c r="F550" s="13">
        <v>61.0</v>
      </c>
      <c r="G550" s="10" t="str">
        <f t="shared" si="4"/>
        <v>BFA27-61</v>
      </c>
      <c r="H550" s="16"/>
      <c r="I550" s="16" t="str">
        <f t="shared" si="5"/>
        <v>collected</v>
      </c>
      <c r="J550" s="16" t="str">
        <f t="shared" si="6"/>
        <v>N</v>
      </c>
      <c r="K550" s="16"/>
      <c r="L550" s="16"/>
    </row>
    <row r="551">
      <c r="A551" s="27" t="s">
        <v>983</v>
      </c>
      <c r="B551" s="10" t="str">
        <f t="shared" si="1"/>
        <v>fatty_acid</v>
      </c>
      <c r="C551" s="49" t="str">
        <f t="shared" si="2"/>
        <v>S16977FA1</v>
      </c>
      <c r="D551" s="6">
        <v>27.0</v>
      </c>
      <c r="E551" s="10" t="str">
        <f t="shared" si="3"/>
        <v>BFA27</v>
      </c>
      <c r="F551" s="13">
        <v>62.0</v>
      </c>
      <c r="G551" s="10" t="str">
        <f t="shared" si="4"/>
        <v>BFA27-62</v>
      </c>
      <c r="H551" s="16"/>
      <c r="I551" s="16" t="str">
        <f t="shared" si="5"/>
        <v>collected</v>
      </c>
      <c r="J551" s="16" t="str">
        <f t="shared" si="6"/>
        <v>N</v>
      </c>
      <c r="K551" s="16"/>
      <c r="L551" s="16"/>
    </row>
    <row r="552">
      <c r="A552" s="27" t="s">
        <v>985</v>
      </c>
      <c r="B552" s="10" t="str">
        <f t="shared" si="1"/>
        <v>fatty_acid</v>
      </c>
      <c r="C552" s="49" t="str">
        <f t="shared" si="2"/>
        <v>S16980FA1</v>
      </c>
      <c r="D552" s="6">
        <v>27.0</v>
      </c>
      <c r="E552" s="10" t="str">
        <f t="shared" si="3"/>
        <v>BFA27</v>
      </c>
      <c r="F552" s="13">
        <v>63.0</v>
      </c>
      <c r="G552" s="10" t="str">
        <f t="shared" si="4"/>
        <v>BFA27-63</v>
      </c>
      <c r="H552" s="16"/>
      <c r="I552" s="16" t="str">
        <f t="shared" si="5"/>
        <v>collected</v>
      </c>
      <c r="J552" s="16" t="str">
        <f t="shared" si="6"/>
        <v>N</v>
      </c>
      <c r="K552" s="16"/>
      <c r="L552" s="16"/>
    </row>
    <row r="553">
      <c r="A553" s="27" t="s">
        <v>986</v>
      </c>
      <c r="B553" s="10" t="str">
        <f t="shared" si="1"/>
        <v>fatty_acid</v>
      </c>
      <c r="C553" s="49" t="str">
        <f t="shared" si="2"/>
        <v>S16978FA1</v>
      </c>
      <c r="D553" s="6">
        <v>27.0</v>
      </c>
      <c r="E553" s="10" t="str">
        <f t="shared" si="3"/>
        <v>BFA27</v>
      </c>
      <c r="F553" s="13">
        <v>64.0</v>
      </c>
      <c r="G553" s="10" t="str">
        <f t="shared" si="4"/>
        <v>BFA27-64</v>
      </c>
      <c r="H553" s="16"/>
      <c r="I553" s="16" t="str">
        <f t="shared" si="5"/>
        <v>collected</v>
      </c>
      <c r="J553" s="16" t="str">
        <f t="shared" si="6"/>
        <v>N</v>
      </c>
      <c r="K553" s="16"/>
      <c r="L553" s="16"/>
    </row>
    <row r="554">
      <c r="A554" s="27" t="s">
        <v>988</v>
      </c>
      <c r="B554" s="10" t="str">
        <f t="shared" si="1"/>
        <v>fatty_acid</v>
      </c>
      <c r="C554" s="49" t="str">
        <f t="shared" si="2"/>
        <v>S16661FA1</v>
      </c>
      <c r="D554" s="6">
        <v>27.0</v>
      </c>
      <c r="E554" s="10" t="str">
        <f t="shared" si="3"/>
        <v>BFA27</v>
      </c>
      <c r="F554" s="13">
        <v>65.0</v>
      </c>
      <c r="G554" s="10" t="str">
        <f t="shared" si="4"/>
        <v>BFA27-65</v>
      </c>
      <c r="H554" s="16"/>
      <c r="I554" s="16" t="str">
        <f t="shared" si="5"/>
        <v>collected</v>
      </c>
      <c r="J554" s="16" t="str">
        <f t="shared" si="6"/>
        <v>N</v>
      </c>
      <c r="K554" s="16"/>
      <c r="L554" s="16"/>
    </row>
    <row r="555">
      <c r="A555" s="27" t="s">
        <v>990</v>
      </c>
      <c r="B555" s="10" t="str">
        <f t="shared" si="1"/>
        <v>fatty_acid</v>
      </c>
      <c r="C555" s="49" t="str">
        <f t="shared" si="2"/>
        <v>S16662FA1</v>
      </c>
      <c r="D555" s="6">
        <v>27.0</v>
      </c>
      <c r="E555" s="10" t="str">
        <f t="shared" si="3"/>
        <v>BFA27</v>
      </c>
      <c r="F555" s="13">
        <v>67.0</v>
      </c>
      <c r="G555" s="10" t="str">
        <f t="shared" si="4"/>
        <v>BFA27-67</v>
      </c>
      <c r="H555" s="16"/>
      <c r="I555" s="16" t="str">
        <f t="shared" si="5"/>
        <v>collected</v>
      </c>
      <c r="J555" s="16" t="str">
        <f t="shared" si="6"/>
        <v>N</v>
      </c>
      <c r="K555" s="16"/>
      <c r="L555" s="16"/>
    </row>
    <row r="556">
      <c r="A556" s="27" t="s">
        <v>991</v>
      </c>
      <c r="B556" s="10" t="str">
        <f t="shared" si="1"/>
        <v>fatty_acid</v>
      </c>
      <c r="C556" s="49" t="str">
        <f t="shared" si="2"/>
        <v>S16663FA1</v>
      </c>
      <c r="D556" s="6">
        <v>27.0</v>
      </c>
      <c r="E556" s="10" t="str">
        <f t="shared" si="3"/>
        <v>BFA27</v>
      </c>
      <c r="F556" s="13">
        <v>68.0</v>
      </c>
      <c r="G556" s="10" t="str">
        <f t="shared" si="4"/>
        <v>BFA27-68</v>
      </c>
      <c r="H556" s="16"/>
      <c r="I556" s="16" t="str">
        <f t="shared" si="5"/>
        <v>collected</v>
      </c>
      <c r="J556" s="16" t="str">
        <f t="shared" si="6"/>
        <v>N</v>
      </c>
      <c r="K556" s="16"/>
      <c r="L556" s="16"/>
    </row>
    <row r="557">
      <c r="A557" s="27" t="s">
        <v>993</v>
      </c>
      <c r="B557" s="10" t="str">
        <f t="shared" si="1"/>
        <v>fatty_acid</v>
      </c>
      <c r="C557" s="49" t="str">
        <f t="shared" si="2"/>
        <v>S16667FA1</v>
      </c>
      <c r="D557" s="6">
        <v>27.0</v>
      </c>
      <c r="E557" s="10" t="str">
        <f t="shared" si="3"/>
        <v>BFA27</v>
      </c>
      <c r="F557" s="13">
        <v>69.0</v>
      </c>
      <c r="G557" s="10" t="str">
        <f t="shared" si="4"/>
        <v>BFA27-69</v>
      </c>
      <c r="H557" s="16"/>
      <c r="I557" s="16" t="str">
        <f t="shared" si="5"/>
        <v>collected</v>
      </c>
      <c r="J557" s="16" t="str">
        <f t="shared" si="6"/>
        <v>N</v>
      </c>
      <c r="K557" s="16"/>
      <c r="L557" s="16"/>
    </row>
    <row r="558">
      <c r="A558" s="27" t="s">
        <v>995</v>
      </c>
      <c r="B558" s="10" t="str">
        <f t="shared" si="1"/>
        <v>fatty_acid</v>
      </c>
      <c r="C558" s="49" t="str">
        <f t="shared" si="2"/>
        <v>S16664FA1</v>
      </c>
      <c r="D558" s="6">
        <v>27.0</v>
      </c>
      <c r="E558" s="10" t="str">
        <f t="shared" si="3"/>
        <v>BFA27</v>
      </c>
      <c r="F558" s="13">
        <v>70.0</v>
      </c>
      <c r="G558" s="10" t="str">
        <f t="shared" si="4"/>
        <v>BFA27-70</v>
      </c>
      <c r="H558" s="16"/>
      <c r="I558" s="16" t="str">
        <f t="shared" si="5"/>
        <v>collected</v>
      </c>
      <c r="J558" s="16" t="str">
        <f t="shared" si="6"/>
        <v>N</v>
      </c>
      <c r="K558" s="16"/>
      <c r="L558" s="16"/>
    </row>
    <row r="559">
      <c r="A559" s="27" t="s">
        <v>996</v>
      </c>
      <c r="B559" s="10" t="str">
        <f t="shared" si="1"/>
        <v>fatty_acid</v>
      </c>
      <c r="C559" s="49" t="str">
        <f t="shared" si="2"/>
        <v>S16665FA1</v>
      </c>
      <c r="D559" s="6">
        <v>27.0</v>
      </c>
      <c r="E559" s="10" t="str">
        <f t="shared" si="3"/>
        <v>BFA27</v>
      </c>
      <c r="F559" s="13">
        <v>71.0</v>
      </c>
      <c r="G559" s="10" t="str">
        <f t="shared" si="4"/>
        <v>BFA27-71</v>
      </c>
      <c r="H559" s="16"/>
      <c r="I559" s="16" t="str">
        <f t="shared" si="5"/>
        <v>collected</v>
      </c>
      <c r="J559" s="16" t="str">
        <f t="shared" si="6"/>
        <v>N</v>
      </c>
      <c r="K559" s="16"/>
      <c r="L559" s="16"/>
    </row>
    <row r="560">
      <c r="A560" s="27" t="s">
        <v>997</v>
      </c>
      <c r="B560" s="10" t="str">
        <f t="shared" si="1"/>
        <v>fatty_acid</v>
      </c>
      <c r="C560" s="49" t="str">
        <f t="shared" si="2"/>
        <v>S16666FA1</v>
      </c>
      <c r="D560" s="6">
        <v>27.0</v>
      </c>
      <c r="E560" s="10" t="str">
        <f t="shared" si="3"/>
        <v>BFA27</v>
      </c>
      <c r="F560" s="13">
        <v>72.0</v>
      </c>
      <c r="G560" s="10" t="str">
        <f t="shared" si="4"/>
        <v>BFA27-72</v>
      </c>
      <c r="H560" s="16"/>
      <c r="I560" s="16" t="str">
        <f t="shared" si="5"/>
        <v>collected</v>
      </c>
      <c r="J560" s="16" t="str">
        <f t="shared" si="6"/>
        <v>N</v>
      </c>
      <c r="K560" s="16"/>
      <c r="L560" s="16"/>
    </row>
    <row r="561">
      <c r="A561" s="27" t="s">
        <v>998</v>
      </c>
      <c r="B561" s="10" t="str">
        <f t="shared" si="1"/>
        <v>fatty_acid</v>
      </c>
      <c r="C561" s="49" t="str">
        <f t="shared" si="2"/>
        <v>S16669FA1</v>
      </c>
      <c r="D561" s="6">
        <v>27.0</v>
      </c>
      <c r="E561" s="10" t="str">
        <f t="shared" si="3"/>
        <v>BFA27</v>
      </c>
      <c r="F561" s="13">
        <v>73.0</v>
      </c>
      <c r="G561" s="10" t="str">
        <f t="shared" si="4"/>
        <v>BFA27-73</v>
      </c>
      <c r="H561" s="16"/>
      <c r="I561" s="16" t="str">
        <f t="shared" si="5"/>
        <v>collected</v>
      </c>
      <c r="J561" s="16" t="str">
        <f t="shared" si="6"/>
        <v>N</v>
      </c>
      <c r="K561" s="16"/>
      <c r="L561" s="16"/>
    </row>
    <row r="562">
      <c r="A562" s="27" t="s">
        <v>1001</v>
      </c>
      <c r="B562" s="10" t="str">
        <f t="shared" si="1"/>
        <v>fatty_acid</v>
      </c>
      <c r="C562" s="49" t="str">
        <f t="shared" si="2"/>
        <v>S16668FA1</v>
      </c>
      <c r="D562" s="6">
        <v>27.0</v>
      </c>
      <c r="E562" s="10" t="str">
        <f t="shared" si="3"/>
        <v>BFA27</v>
      </c>
      <c r="F562" s="13">
        <v>74.0</v>
      </c>
      <c r="G562" s="10" t="str">
        <f t="shared" si="4"/>
        <v>BFA27-74</v>
      </c>
      <c r="H562" s="16"/>
      <c r="I562" s="16" t="str">
        <f t="shared" si="5"/>
        <v>collected</v>
      </c>
      <c r="J562" s="16" t="str">
        <f t="shared" si="6"/>
        <v>N</v>
      </c>
      <c r="K562" s="16"/>
      <c r="L562" s="16"/>
    </row>
    <row r="563">
      <c r="A563" s="27" t="s">
        <v>1002</v>
      </c>
      <c r="B563" s="10" t="str">
        <f t="shared" si="1"/>
        <v>fatty_acid</v>
      </c>
      <c r="C563" s="49" t="str">
        <f t="shared" si="2"/>
        <v>S16670FA1</v>
      </c>
      <c r="D563" s="6">
        <v>27.0</v>
      </c>
      <c r="E563" s="10" t="str">
        <f t="shared" si="3"/>
        <v>BFA27</v>
      </c>
      <c r="F563" s="13">
        <v>75.0</v>
      </c>
      <c r="G563" s="10" t="str">
        <f t="shared" si="4"/>
        <v>BFA27-75</v>
      </c>
      <c r="H563" s="16"/>
      <c r="I563" s="16" t="str">
        <f t="shared" si="5"/>
        <v>collected</v>
      </c>
      <c r="J563" s="16" t="str">
        <f t="shared" si="6"/>
        <v>N</v>
      </c>
      <c r="K563" s="16"/>
      <c r="L563" s="16"/>
    </row>
    <row r="564">
      <c r="A564" s="40" t="s">
        <v>1003</v>
      </c>
      <c r="B564" s="10" t="str">
        <f t="shared" si="1"/>
        <v>fatty_acid</v>
      </c>
      <c r="C564" s="49" t="str">
        <f t="shared" si="2"/>
        <v>S16345FA1</v>
      </c>
      <c r="D564" s="6">
        <v>26.0</v>
      </c>
      <c r="E564" s="10" t="str">
        <f t="shared" si="3"/>
        <v>BFA26</v>
      </c>
      <c r="F564" s="13">
        <v>54.0</v>
      </c>
      <c r="G564" s="10" t="str">
        <f t="shared" si="4"/>
        <v>BFA26-54</v>
      </c>
      <c r="H564" s="16"/>
      <c r="I564" s="16" t="str">
        <f t="shared" si="5"/>
        <v>collected</v>
      </c>
      <c r="J564" s="16" t="str">
        <f t="shared" si="6"/>
        <v>N</v>
      </c>
      <c r="K564" s="16"/>
      <c r="L564" s="16"/>
    </row>
    <row r="565">
      <c r="A565" s="43" t="s">
        <v>1005</v>
      </c>
      <c r="B565" s="10" t="str">
        <f t="shared" si="1"/>
        <v>fatty_acid</v>
      </c>
      <c r="C565" s="49" t="str">
        <f t="shared" si="2"/>
        <v>S16346FA1</v>
      </c>
      <c r="D565" s="6">
        <v>26.0</v>
      </c>
      <c r="E565" s="10" t="str">
        <f t="shared" si="3"/>
        <v>BFA26</v>
      </c>
      <c r="F565" s="13">
        <v>55.0</v>
      </c>
      <c r="G565" s="10" t="str">
        <f t="shared" si="4"/>
        <v>BFA26-55</v>
      </c>
      <c r="H565" s="16"/>
      <c r="I565" s="16" t="str">
        <f t="shared" si="5"/>
        <v>collected</v>
      </c>
      <c r="J565" s="16" t="str">
        <f t="shared" si="6"/>
        <v>N</v>
      </c>
      <c r="K565" s="16"/>
      <c r="L565" s="16"/>
    </row>
    <row r="566">
      <c r="A566" s="44" t="s">
        <v>1006</v>
      </c>
      <c r="B566" s="10" t="str">
        <f t="shared" si="1"/>
        <v>fatty_acid</v>
      </c>
      <c r="C566" s="49" t="str">
        <f t="shared" si="2"/>
        <v>S16349FA1</v>
      </c>
      <c r="D566" s="6">
        <v>26.0</v>
      </c>
      <c r="E566" s="10" t="str">
        <f t="shared" si="3"/>
        <v>BFA26</v>
      </c>
      <c r="F566" s="13">
        <v>56.0</v>
      </c>
      <c r="G566" s="10" t="str">
        <f t="shared" si="4"/>
        <v>BFA26-56</v>
      </c>
      <c r="H566" s="16"/>
      <c r="I566" s="16" t="str">
        <f t="shared" si="5"/>
        <v>collected</v>
      </c>
      <c r="J566" s="16" t="str">
        <f t="shared" si="6"/>
        <v>N</v>
      </c>
      <c r="K566" s="16"/>
      <c r="L566" s="16"/>
    </row>
    <row r="567">
      <c r="A567" s="44" t="s">
        <v>1008</v>
      </c>
      <c r="B567" s="10" t="str">
        <f t="shared" si="1"/>
        <v>fatty_acid</v>
      </c>
      <c r="C567" s="49" t="str">
        <f t="shared" si="2"/>
        <v>S16348FA1</v>
      </c>
      <c r="D567" s="6">
        <v>26.0</v>
      </c>
      <c r="E567" s="10" t="str">
        <f t="shared" si="3"/>
        <v>BFA26</v>
      </c>
      <c r="F567" s="13">
        <v>57.0</v>
      </c>
      <c r="G567" s="10" t="str">
        <f t="shared" si="4"/>
        <v>BFA26-57</v>
      </c>
      <c r="H567" s="16"/>
      <c r="I567" s="16" t="str">
        <f t="shared" si="5"/>
        <v>collected</v>
      </c>
      <c r="J567" s="16" t="str">
        <f t="shared" si="6"/>
        <v>N</v>
      </c>
      <c r="K567" s="16"/>
      <c r="L567" s="16"/>
    </row>
    <row r="568">
      <c r="A568" s="44" t="s">
        <v>1009</v>
      </c>
      <c r="B568" s="10" t="str">
        <f t="shared" si="1"/>
        <v>fatty_acid</v>
      </c>
      <c r="C568" s="49" t="str">
        <f t="shared" si="2"/>
        <v>S16347FA1</v>
      </c>
      <c r="D568" s="6">
        <v>26.0</v>
      </c>
      <c r="E568" s="10" t="str">
        <f t="shared" si="3"/>
        <v>BFA26</v>
      </c>
      <c r="F568" s="13">
        <v>58.0</v>
      </c>
      <c r="G568" s="10" t="str">
        <f t="shared" si="4"/>
        <v>BFA26-58</v>
      </c>
      <c r="H568" s="16"/>
      <c r="I568" s="16" t="str">
        <f t="shared" si="5"/>
        <v>collected</v>
      </c>
      <c r="J568" s="16" t="str">
        <f t="shared" si="6"/>
        <v>N</v>
      </c>
      <c r="K568" s="16"/>
      <c r="L568" s="16"/>
    </row>
    <row r="569">
      <c r="A569" s="44" t="s">
        <v>1011</v>
      </c>
      <c r="B569" s="10" t="str">
        <f t="shared" si="1"/>
        <v>fatty_acid</v>
      </c>
      <c r="C569" s="49" t="str">
        <f t="shared" si="2"/>
        <v>S16717FA1</v>
      </c>
      <c r="D569" s="6">
        <v>26.0</v>
      </c>
      <c r="E569" s="10" t="str">
        <f t="shared" si="3"/>
        <v>BFA26</v>
      </c>
      <c r="F569" s="13">
        <v>59.0</v>
      </c>
      <c r="G569" s="10" t="str">
        <f t="shared" si="4"/>
        <v>BFA26-59</v>
      </c>
      <c r="H569" s="16"/>
      <c r="I569" s="16" t="str">
        <f t="shared" si="5"/>
        <v>collected</v>
      </c>
      <c r="J569" s="16" t="str">
        <f t="shared" si="6"/>
        <v>N</v>
      </c>
      <c r="K569" s="16"/>
      <c r="L569" s="16"/>
    </row>
    <row r="570">
      <c r="A570" s="44" t="s">
        <v>1012</v>
      </c>
      <c r="B570" s="10" t="str">
        <f t="shared" si="1"/>
        <v>fatty_acid</v>
      </c>
      <c r="C570" s="49" t="str">
        <f t="shared" si="2"/>
        <v>S16718FA1</v>
      </c>
      <c r="D570" s="6">
        <v>26.0</v>
      </c>
      <c r="E570" s="10" t="str">
        <f t="shared" si="3"/>
        <v>BFA26</v>
      </c>
      <c r="F570" s="13">
        <v>60.0</v>
      </c>
      <c r="G570" s="10" t="str">
        <f t="shared" si="4"/>
        <v>BFA26-60</v>
      </c>
      <c r="H570" s="16"/>
      <c r="I570" s="16" t="str">
        <f t="shared" si="5"/>
        <v>collected</v>
      </c>
      <c r="J570" s="16" t="str">
        <f t="shared" si="6"/>
        <v>N</v>
      </c>
      <c r="K570" s="16"/>
      <c r="L570" s="16"/>
    </row>
    <row r="571">
      <c r="A571" s="44" t="s">
        <v>1013</v>
      </c>
      <c r="B571" s="10" t="str">
        <f t="shared" si="1"/>
        <v>fatty_acid</v>
      </c>
      <c r="C571" s="49" t="str">
        <f t="shared" si="2"/>
        <v>S16716FA1</v>
      </c>
      <c r="D571" s="6">
        <v>26.0</v>
      </c>
      <c r="E571" s="10" t="str">
        <f t="shared" si="3"/>
        <v>BFA26</v>
      </c>
      <c r="F571" s="13">
        <v>61.0</v>
      </c>
      <c r="G571" s="10" t="str">
        <f t="shared" si="4"/>
        <v>BFA26-61</v>
      </c>
      <c r="H571" s="16"/>
      <c r="I571" s="16" t="str">
        <f t="shared" si="5"/>
        <v>collected</v>
      </c>
      <c r="J571" s="16" t="str">
        <f t="shared" si="6"/>
        <v>N</v>
      </c>
      <c r="K571" s="16"/>
      <c r="L571" s="16"/>
    </row>
    <row r="572">
      <c r="A572" s="44" t="s">
        <v>1016</v>
      </c>
      <c r="B572" s="10" t="str">
        <f t="shared" si="1"/>
        <v>fatty_acid</v>
      </c>
      <c r="C572" s="49" t="str">
        <f t="shared" si="2"/>
        <v>S16719FA1</v>
      </c>
      <c r="D572" s="6">
        <v>26.0</v>
      </c>
      <c r="E572" s="10" t="str">
        <f t="shared" si="3"/>
        <v>BFA26</v>
      </c>
      <c r="F572" s="13">
        <v>62.0</v>
      </c>
      <c r="G572" s="10" t="str">
        <f t="shared" si="4"/>
        <v>BFA26-62</v>
      </c>
      <c r="H572" s="16"/>
      <c r="I572" s="16" t="str">
        <f t="shared" si="5"/>
        <v>collected</v>
      </c>
      <c r="J572" s="16" t="str">
        <f t="shared" si="6"/>
        <v>N</v>
      </c>
      <c r="K572" s="16"/>
      <c r="L572" s="16"/>
    </row>
    <row r="573">
      <c r="A573" s="44" t="s">
        <v>1017</v>
      </c>
      <c r="B573" s="10" t="str">
        <f t="shared" si="1"/>
        <v>fatty_acid</v>
      </c>
      <c r="C573" s="49" t="str">
        <f t="shared" si="2"/>
        <v>S16720FA1</v>
      </c>
      <c r="D573" s="6">
        <v>26.0</v>
      </c>
      <c r="E573" s="10" t="str">
        <f t="shared" si="3"/>
        <v>BFA26</v>
      </c>
      <c r="F573" s="13">
        <v>63.0</v>
      </c>
      <c r="G573" s="10" t="str">
        <f t="shared" si="4"/>
        <v>BFA26-63</v>
      </c>
      <c r="H573" s="16"/>
      <c r="I573" s="16" t="str">
        <f t="shared" si="5"/>
        <v>collected</v>
      </c>
      <c r="J573" s="16" t="str">
        <f t="shared" si="6"/>
        <v>N</v>
      </c>
      <c r="K573" s="16"/>
      <c r="L573" s="16"/>
    </row>
    <row r="574">
      <c r="A574" s="44" t="s">
        <v>1018</v>
      </c>
      <c r="B574" s="10" t="str">
        <f t="shared" si="1"/>
        <v>fatty_acid</v>
      </c>
      <c r="C574" s="49" t="str">
        <f t="shared" si="2"/>
        <v>S16711FA1</v>
      </c>
      <c r="D574" s="6">
        <v>26.0</v>
      </c>
      <c r="E574" s="10" t="str">
        <f t="shared" si="3"/>
        <v>BFA26</v>
      </c>
      <c r="F574" s="13">
        <v>64.0</v>
      </c>
      <c r="G574" s="10" t="str">
        <f t="shared" si="4"/>
        <v>BFA26-64</v>
      </c>
      <c r="H574" s="16"/>
      <c r="I574" s="16" t="str">
        <f t="shared" si="5"/>
        <v>collected</v>
      </c>
      <c r="J574" s="16" t="str">
        <f t="shared" si="6"/>
        <v>N</v>
      </c>
      <c r="K574" s="16"/>
      <c r="L574" s="16"/>
    </row>
    <row r="575">
      <c r="A575" s="44" t="s">
        <v>1019</v>
      </c>
      <c r="B575" s="10" t="str">
        <f t="shared" si="1"/>
        <v>fatty_acid</v>
      </c>
      <c r="C575" s="49" t="str">
        <f t="shared" si="2"/>
        <v>S16714FA1</v>
      </c>
      <c r="D575" s="6">
        <v>26.0</v>
      </c>
      <c r="E575" s="10" t="str">
        <f t="shared" si="3"/>
        <v>BFA26</v>
      </c>
      <c r="F575" s="13">
        <v>65.0</v>
      </c>
      <c r="G575" s="10" t="str">
        <f t="shared" si="4"/>
        <v>BFA26-65</v>
      </c>
      <c r="H575" s="16"/>
      <c r="I575" s="16" t="str">
        <f t="shared" si="5"/>
        <v>collected</v>
      </c>
      <c r="J575" s="16" t="str">
        <f t="shared" si="6"/>
        <v>N</v>
      </c>
      <c r="K575" s="16"/>
      <c r="L575" s="16"/>
    </row>
    <row r="576">
      <c r="A576" s="44" t="s">
        <v>1021</v>
      </c>
      <c r="B576" s="10" t="str">
        <f t="shared" si="1"/>
        <v>fatty_acid</v>
      </c>
      <c r="C576" s="49" t="str">
        <f t="shared" si="2"/>
        <v>S16712FA1</v>
      </c>
      <c r="D576" s="6">
        <v>26.0</v>
      </c>
      <c r="E576" s="10" t="str">
        <f t="shared" si="3"/>
        <v>BFA26</v>
      </c>
      <c r="F576" s="13">
        <v>66.0</v>
      </c>
      <c r="G576" s="10" t="str">
        <f t="shared" si="4"/>
        <v>BFA26-66</v>
      </c>
      <c r="H576" s="16"/>
      <c r="I576" s="16" t="str">
        <f t="shared" si="5"/>
        <v>collected</v>
      </c>
      <c r="J576" s="16" t="str">
        <f t="shared" si="6"/>
        <v>N</v>
      </c>
      <c r="K576" s="16"/>
      <c r="L576" s="16"/>
    </row>
    <row r="577">
      <c r="A577" s="44" t="s">
        <v>1023</v>
      </c>
      <c r="B577" s="10" t="str">
        <f t="shared" si="1"/>
        <v>fatty_acid</v>
      </c>
      <c r="C577" s="49" t="str">
        <f t="shared" si="2"/>
        <v>S16713FA1</v>
      </c>
      <c r="D577" s="6">
        <v>26.0</v>
      </c>
      <c r="E577" s="10" t="str">
        <f t="shared" si="3"/>
        <v>BFA26</v>
      </c>
      <c r="F577" s="13">
        <v>67.0</v>
      </c>
      <c r="G577" s="10" t="str">
        <f t="shared" si="4"/>
        <v>BFA26-67</v>
      </c>
      <c r="H577" s="16"/>
      <c r="I577" s="16" t="str">
        <f t="shared" si="5"/>
        <v>collected</v>
      </c>
      <c r="J577" s="16" t="str">
        <f t="shared" si="6"/>
        <v>N</v>
      </c>
      <c r="K577" s="16"/>
      <c r="L577" s="16"/>
    </row>
    <row r="578">
      <c r="A578" s="44" t="s">
        <v>1024</v>
      </c>
      <c r="B578" s="10" t="str">
        <f t="shared" si="1"/>
        <v>fatty_acid</v>
      </c>
      <c r="C578" s="49" t="str">
        <f t="shared" si="2"/>
        <v>S16715FA1</v>
      </c>
      <c r="D578" s="6">
        <v>26.0</v>
      </c>
      <c r="E578" s="10" t="str">
        <f t="shared" si="3"/>
        <v>BFA26</v>
      </c>
      <c r="F578" s="13">
        <v>68.0</v>
      </c>
      <c r="G578" s="10" t="str">
        <f t="shared" si="4"/>
        <v>BFA26-68</v>
      </c>
      <c r="H578" s="16"/>
      <c r="I578" s="16" t="str">
        <f t="shared" si="5"/>
        <v>collected</v>
      </c>
      <c r="J578" s="16" t="str">
        <f t="shared" si="6"/>
        <v>N</v>
      </c>
      <c r="K578" s="16"/>
      <c r="L578" s="16"/>
    </row>
    <row r="579">
      <c r="A579" s="44" t="s">
        <v>1025</v>
      </c>
      <c r="B579" s="10" t="str">
        <f t="shared" si="1"/>
        <v>fatty_acid</v>
      </c>
      <c r="C579" s="49" t="str">
        <f t="shared" si="2"/>
        <v>S16502FA1</v>
      </c>
      <c r="D579" s="6">
        <v>26.0</v>
      </c>
      <c r="E579" s="10" t="str">
        <f t="shared" si="3"/>
        <v>BFA26</v>
      </c>
      <c r="F579" s="13">
        <v>69.0</v>
      </c>
      <c r="G579" s="10" t="str">
        <f t="shared" si="4"/>
        <v>BFA26-69</v>
      </c>
      <c r="H579" s="16"/>
      <c r="I579" s="16" t="str">
        <f t="shared" si="5"/>
        <v>collected</v>
      </c>
      <c r="J579" s="16" t="str">
        <f t="shared" si="6"/>
        <v>N</v>
      </c>
      <c r="K579" s="16"/>
      <c r="L579" s="16"/>
    </row>
    <row r="580">
      <c r="A580" s="44" t="s">
        <v>1028</v>
      </c>
      <c r="B580" s="10" t="str">
        <f t="shared" si="1"/>
        <v>fatty_acid</v>
      </c>
      <c r="C580" s="49" t="str">
        <f t="shared" si="2"/>
        <v>S16501FA1</v>
      </c>
      <c r="D580" s="6">
        <v>26.0</v>
      </c>
      <c r="E580" s="10" t="str">
        <f t="shared" si="3"/>
        <v>BFA26</v>
      </c>
      <c r="F580" s="13">
        <v>70.0</v>
      </c>
      <c r="G580" s="10" t="str">
        <f t="shared" si="4"/>
        <v>BFA26-70</v>
      </c>
      <c r="H580" s="16"/>
      <c r="I580" s="16" t="str">
        <f t="shared" si="5"/>
        <v>collected</v>
      </c>
      <c r="J580" s="16" t="str">
        <f t="shared" si="6"/>
        <v>N</v>
      </c>
      <c r="K580" s="16"/>
      <c r="L580" s="16"/>
    </row>
    <row r="581">
      <c r="A581" s="44" t="s">
        <v>1029</v>
      </c>
      <c r="B581" s="10" t="str">
        <f t="shared" si="1"/>
        <v>fatty_acid</v>
      </c>
      <c r="C581" s="49" t="str">
        <f t="shared" si="2"/>
        <v>S16504FA1</v>
      </c>
      <c r="D581" s="6">
        <v>26.0</v>
      </c>
      <c r="E581" s="10" t="str">
        <f t="shared" si="3"/>
        <v>BFA26</v>
      </c>
      <c r="F581" s="13">
        <v>71.0</v>
      </c>
      <c r="G581" s="10" t="str">
        <f t="shared" si="4"/>
        <v>BFA26-71</v>
      </c>
      <c r="H581" s="16"/>
      <c r="I581" s="16" t="str">
        <f t="shared" si="5"/>
        <v>collected</v>
      </c>
      <c r="J581" s="16" t="str">
        <f t="shared" si="6"/>
        <v>N</v>
      </c>
      <c r="K581" s="16"/>
      <c r="L581" s="16"/>
    </row>
    <row r="582">
      <c r="A582" s="44" t="s">
        <v>1031</v>
      </c>
      <c r="B582" s="10" t="str">
        <f t="shared" si="1"/>
        <v>fatty_acid</v>
      </c>
      <c r="C582" s="49" t="str">
        <f t="shared" si="2"/>
        <v>S16508FA1</v>
      </c>
      <c r="D582" s="6">
        <v>26.0</v>
      </c>
      <c r="E582" s="10" t="str">
        <f t="shared" si="3"/>
        <v>BFA26</v>
      </c>
      <c r="F582" s="13">
        <v>72.0</v>
      </c>
      <c r="G582" s="10" t="str">
        <f t="shared" si="4"/>
        <v>BFA26-72</v>
      </c>
      <c r="H582" s="16"/>
      <c r="I582" s="16" t="str">
        <f t="shared" si="5"/>
        <v>collected</v>
      </c>
      <c r="J582" s="16" t="str">
        <f t="shared" si="6"/>
        <v>N</v>
      </c>
      <c r="K582" s="16"/>
      <c r="L582" s="16"/>
    </row>
    <row r="583">
      <c r="A583" s="44" t="s">
        <v>1032</v>
      </c>
      <c r="B583" s="10" t="str">
        <f t="shared" si="1"/>
        <v>fatty_acid</v>
      </c>
      <c r="C583" s="49" t="str">
        <f t="shared" si="2"/>
        <v>S16509FA1</v>
      </c>
      <c r="D583" s="6">
        <v>26.0</v>
      </c>
      <c r="E583" s="10" t="str">
        <f t="shared" si="3"/>
        <v>BFA26</v>
      </c>
      <c r="F583" s="13">
        <v>73.0</v>
      </c>
      <c r="G583" s="10" t="str">
        <f t="shared" si="4"/>
        <v>BFA26-73</v>
      </c>
      <c r="H583" s="16"/>
      <c r="I583" s="16" t="str">
        <f t="shared" si="5"/>
        <v>collected</v>
      </c>
      <c r="J583" s="16" t="str">
        <f t="shared" si="6"/>
        <v>N</v>
      </c>
      <c r="K583" s="16"/>
      <c r="L583" s="16"/>
    </row>
    <row r="584">
      <c r="A584" s="26" t="s">
        <v>1033</v>
      </c>
      <c r="B584" s="10" t="str">
        <f t="shared" si="1"/>
        <v>fatty_acid</v>
      </c>
      <c r="C584" s="49" t="str">
        <f t="shared" si="2"/>
        <v>S16167FA1</v>
      </c>
      <c r="D584" s="6">
        <v>27.0</v>
      </c>
      <c r="E584" s="10" t="str">
        <f t="shared" si="3"/>
        <v>BFA27</v>
      </c>
      <c r="F584" s="13">
        <v>77.0</v>
      </c>
      <c r="G584" s="10" t="str">
        <f t="shared" si="4"/>
        <v>BFA27-77</v>
      </c>
      <c r="H584" s="16"/>
      <c r="I584" s="16" t="str">
        <f t="shared" si="5"/>
        <v>collected</v>
      </c>
      <c r="J584" s="16" t="str">
        <f t="shared" si="6"/>
        <v>N</v>
      </c>
      <c r="K584" s="16"/>
      <c r="L584" s="16"/>
    </row>
    <row r="585">
      <c r="A585" s="26" t="s">
        <v>1035</v>
      </c>
      <c r="B585" s="10" t="str">
        <f t="shared" si="1"/>
        <v>fatty_acid</v>
      </c>
      <c r="C585" s="49" t="str">
        <f t="shared" si="2"/>
        <v>S16169FA1</v>
      </c>
      <c r="D585" s="6">
        <v>27.0</v>
      </c>
      <c r="E585" s="10" t="str">
        <f t="shared" si="3"/>
        <v>BFA27</v>
      </c>
      <c r="F585" s="13">
        <v>78.0</v>
      </c>
      <c r="G585" s="10" t="str">
        <f t="shared" si="4"/>
        <v>BFA27-78</v>
      </c>
      <c r="H585" s="16"/>
      <c r="I585" s="16" t="str">
        <f t="shared" si="5"/>
        <v>collected</v>
      </c>
      <c r="J585" s="16" t="str">
        <f t="shared" si="6"/>
        <v>N</v>
      </c>
      <c r="K585" s="16"/>
      <c r="L585" s="16"/>
    </row>
    <row r="586">
      <c r="A586" s="26" t="s">
        <v>1037</v>
      </c>
      <c r="B586" s="10" t="str">
        <f t="shared" si="1"/>
        <v>fatty_acid</v>
      </c>
      <c r="C586" s="49" t="str">
        <f t="shared" si="2"/>
        <v>S16170FA1</v>
      </c>
      <c r="D586" s="6">
        <v>27.0</v>
      </c>
      <c r="E586" s="10" t="str">
        <f t="shared" si="3"/>
        <v>BFA27</v>
      </c>
      <c r="F586" s="13">
        <v>79.0</v>
      </c>
      <c r="G586" s="10" t="str">
        <f t="shared" si="4"/>
        <v>BFA27-79</v>
      </c>
      <c r="H586" s="16"/>
      <c r="I586" s="16" t="str">
        <f t="shared" si="5"/>
        <v>collected</v>
      </c>
      <c r="J586" s="16" t="str">
        <f t="shared" si="6"/>
        <v>N</v>
      </c>
      <c r="K586" s="16"/>
      <c r="L586" s="16"/>
    </row>
    <row r="587">
      <c r="A587" s="26" t="s">
        <v>1038</v>
      </c>
      <c r="B587" s="10" t="str">
        <f t="shared" si="1"/>
        <v>fatty_acid</v>
      </c>
      <c r="C587" s="49" t="str">
        <f t="shared" si="2"/>
        <v>S16166FA1</v>
      </c>
      <c r="D587" s="6">
        <v>27.0</v>
      </c>
      <c r="E587" s="10" t="str">
        <f t="shared" si="3"/>
        <v>BFA27</v>
      </c>
      <c r="F587" s="13">
        <v>80.0</v>
      </c>
      <c r="G587" s="10" t="str">
        <f t="shared" si="4"/>
        <v>BFA27-80</v>
      </c>
      <c r="H587" s="16"/>
      <c r="I587" s="16" t="str">
        <f t="shared" si="5"/>
        <v>collected</v>
      </c>
      <c r="J587" s="16" t="str">
        <f t="shared" si="6"/>
        <v>N</v>
      </c>
      <c r="K587" s="16"/>
      <c r="L587" s="16"/>
    </row>
    <row r="588">
      <c r="A588" s="26" t="s">
        <v>1039</v>
      </c>
      <c r="B588" s="10" t="str">
        <f t="shared" si="1"/>
        <v>fatty_acid</v>
      </c>
      <c r="C588" s="49" t="str">
        <f t="shared" si="2"/>
        <v>S16164FA1</v>
      </c>
      <c r="D588" s="6">
        <v>27.0</v>
      </c>
      <c r="E588" s="10" t="str">
        <f t="shared" si="3"/>
        <v>BFA27</v>
      </c>
      <c r="F588" s="13">
        <v>81.0</v>
      </c>
      <c r="G588" s="10" t="str">
        <f t="shared" si="4"/>
        <v>BFA27-81</v>
      </c>
      <c r="H588" s="16"/>
      <c r="I588" s="16" t="str">
        <f t="shared" si="5"/>
        <v>collected</v>
      </c>
      <c r="J588" s="16" t="str">
        <f t="shared" si="6"/>
        <v>N</v>
      </c>
      <c r="K588" s="16"/>
      <c r="L588" s="16"/>
    </row>
    <row r="589">
      <c r="A589" s="26" t="s">
        <v>1040</v>
      </c>
      <c r="B589" s="10" t="str">
        <f t="shared" si="1"/>
        <v>fatty_acid</v>
      </c>
      <c r="C589" s="49" t="str">
        <f t="shared" si="2"/>
        <v>S16162FA1</v>
      </c>
      <c r="D589" s="6">
        <v>27.0</v>
      </c>
      <c r="E589" s="10" t="str">
        <f t="shared" si="3"/>
        <v>BFA27</v>
      </c>
      <c r="F589" s="13">
        <v>82.0</v>
      </c>
      <c r="G589" s="10" t="str">
        <f t="shared" si="4"/>
        <v>BFA27-82</v>
      </c>
      <c r="H589" s="16"/>
      <c r="I589" s="16" t="str">
        <f t="shared" si="5"/>
        <v>collected</v>
      </c>
      <c r="J589" s="16" t="str">
        <f t="shared" si="6"/>
        <v>N</v>
      </c>
      <c r="K589" s="16"/>
      <c r="L589" s="16"/>
    </row>
    <row r="590">
      <c r="A590" s="26" t="s">
        <v>1041</v>
      </c>
      <c r="B590" s="10" t="str">
        <f t="shared" si="1"/>
        <v>fatty_acid</v>
      </c>
      <c r="C590" s="49" t="str">
        <f t="shared" si="2"/>
        <v>S16168FA1</v>
      </c>
      <c r="D590" s="6">
        <v>27.0</v>
      </c>
      <c r="E590" s="10" t="str">
        <f t="shared" si="3"/>
        <v>BFA27</v>
      </c>
      <c r="F590" s="13">
        <v>83.0</v>
      </c>
      <c r="G590" s="10" t="str">
        <f t="shared" si="4"/>
        <v>BFA27-83</v>
      </c>
      <c r="H590" s="16"/>
      <c r="I590" s="16" t="str">
        <f t="shared" si="5"/>
        <v>collected</v>
      </c>
      <c r="J590" s="16" t="str">
        <f t="shared" si="6"/>
        <v>N</v>
      </c>
      <c r="K590" s="16"/>
      <c r="L590" s="16"/>
    </row>
    <row r="591">
      <c r="A591" s="26" t="s">
        <v>1044</v>
      </c>
      <c r="B591" s="10" t="str">
        <f t="shared" si="1"/>
        <v>fatty_acid</v>
      </c>
      <c r="C591" s="49" t="str">
        <f t="shared" si="2"/>
        <v>S16163FA1</v>
      </c>
      <c r="D591" s="6">
        <v>27.0</v>
      </c>
      <c r="E591" s="10" t="str">
        <f t="shared" si="3"/>
        <v>BFA27</v>
      </c>
      <c r="F591" s="13">
        <v>84.0</v>
      </c>
      <c r="G591" s="10" t="str">
        <f t="shared" si="4"/>
        <v>BFA27-84</v>
      </c>
      <c r="H591" s="16"/>
      <c r="I591" s="16" t="str">
        <f t="shared" si="5"/>
        <v>collected</v>
      </c>
      <c r="J591" s="16" t="str">
        <f t="shared" si="6"/>
        <v>N</v>
      </c>
      <c r="K591" s="16"/>
      <c r="L591" s="16"/>
    </row>
    <row r="592">
      <c r="A592" s="26" t="s">
        <v>1046</v>
      </c>
      <c r="B592" s="10" t="str">
        <f t="shared" si="1"/>
        <v>fatty_acid</v>
      </c>
      <c r="C592" s="49" t="str">
        <f t="shared" si="2"/>
        <v>S16161FA1</v>
      </c>
      <c r="D592" s="6">
        <v>27.0</v>
      </c>
      <c r="E592" s="10" t="str">
        <f t="shared" si="3"/>
        <v>BFA27</v>
      </c>
      <c r="F592" s="13">
        <v>85.0</v>
      </c>
      <c r="G592" s="10" t="str">
        <f t="shared" si="4"/>
        <v>BFA27-85</v>
      </c>
      <c r="H592" s="16"/>
      <c r="I592" s="16" t="str">
        <f t="shared" si="5"/>
        <v>collected</v>
      </c>
      <c r="J592" s="16" t="str">
        <f t="shared" si="6"/>
        <v>N</v>
      </c>
      <c r="K592" s="16"/>
      <c r="L592" s="16"/>
    </row>
    <row r="593">
      <c r="A593" s="26" t="s">
        <v>1047</v>
      </c>
      <c r="B593" s="10" t="str">
        <f t="shared" si="1"/>
        <v>fatty_acid</v>
      </c>
      <c r="C593" s="49" t="str">
        <f t="shared" si="2"/>
        <v>S16165FA1</v>
      </c>
      <c r="D593" s="6">
        <v>27.0</v>
      </c>
      <c r="E593" s="10" t="str">
        <f t="shared" si="3"/>
        <v>BFA27</v>
      </c>
      <c r="F593" s="13">
        <v>87.0</v>
      </c>
      <c r="G593" s="10" t="str">
        <f t="shared" si="4"/>
        <v>BFA27-87</v>
      </c>
      <c r="H593" s="16"/>
      <c r="I593" s="16" t="str">
        <f t="shared" si="5"/>
        <v>collected</v>
      </c>
      <c r="J593" s="16" t="str">
        <f t="shared" si="6"/>
        <v>N</v>
      </c>
      <c r="K593" s="16"/>
      <c r="L593" s="16"/>
    </row>
    <row r="594">
      <c r="A594" s="26" t="s">
        <v>1048</v>
      </c>
      <c r="B594" s="10" t="str">
        <f t="shared" si="1"/>
        <v>fatty_acid</v>
      </c>
      <c r="C594" s="49" t="str">
        <f t="shared" si="2"/>
        <v>S16194FA1</v>
      </c>
      <c r="D594" s="6">
        <v>27.0</v>
      </c>
      <c r="E594" s="10" t="str">
        <f t="shared" si="3"/>
        <v>BFA27</v>
      </c>
      <c r="F594" s="13">
        <v>88.0</v>
      </c>
      <c r="G594" s="10" t="str">
        <f t="shared" si="4"/>
        <v>BFA27-88</v>
      </c>
      <c r="H594" s="16"/>
      <c r="I594" s="16" t="str">
        <f t="shared" si="5"/>
        <v>collected</v>
      </c>
      <c r="J594" s="16" t="str">
        <f t="shared" si="6"/>
        <v>N</v>
      </c>
      <c r="K594" s="16"/>
      <c r="L594" s="16"/>
    </row>
    <row r="595">
      <c r="A595" s="26" t="s">
        <v>1049</v>
      </c>
      <c r="B595" s="10" t="str">
        <f t="shared" si="1"/>
        <v>fatty_acid</v>
      </c>
      <c r="C595" s="49" t="str">
        <f t="shared" si="2"/>
        <v>S16191FA1</v>
      </c>
      <c r="D595" s="6">
        <v>27.0</v>
      </c>
      <c r="E595" s="10" t="str">
        <f t="shared" si="3"/>
        <v>BFA27</v>
      </c>
      <c r="F595" s="13">
        <v>89.0</v>
      </c>
      <c r="G595" s="10" t="str">
        <f t="shared" si="4"/>
        <v>BFA27-89</v>
      </c>
      <c r="H595" s="16"/>
      <c r="I595" s="16" t="str">
        <f t="shared" si="5"/>
        <v>collected</v>
      </c>
      <c r="J595" s="16" t="str">
        <f t="shared" si="6"/>
        <v>N</v>
      </c>
      <c r="K595" s="16"/>
      <c r="L595" s="16"/>
    </row>
    <row r="596">
      <c r="A596" s="26" t="s">
        <v>1050</v>
      </c>
      <c r="B596" s="10" t="str">
        <f t="shared" si="1"/>
        <v>fatty_acid</v>
      </c>
      <c r="C596" s="49" t="str">
        <f t="shared" si="2"/>
        <v>S16192FA1</v>
      </c>
      <c r="D596" s="6">
        <v>27.0</v>
      </c>
      <c r="E596" s="10" t="str">
        <f t="shared" si="3"/>
        <v>BFA27</v>
      </c>
      <c r="F596" s="13">
        <v>90.0</v>
      </c>
      <c r="G596" s="10" t="str">
        <f t="shared" si="4"/>
        <v>BFA27-90</v>
      </c>
      <c r="H596" s="16"/>
      <c r="I596" s="16" t="str">
        <f t="shared" si="5"/>
        <v>collected</v>
      </c>
      <c r="J596" s="16" t="str">
        <f t="shared" si="6"/>
        <v>N</v>
      </c>
      <c r="K596" s="16"/>
      <c r="L596" s="16"/>
    </row>
    <row r="597">
      <c r="A597" s="26" t="s">
        <v>1051</v>
      </c>
      <c r="B597" s="10" t="str">
        <f t="shared" si="1"/>
        <v>fatty_acid</v>
      </c>
      <c r="C597" s="49" t="str">
        <f t="shared" si="2"/>
        <v>S16193FA1</v>
      </c>
      <c r="D597" s="6">
        <v>27.0</v>
      </c>
      <c r="E597" s="10" t="str">
        <f t="shared" si="3"/>
        <v>BFA27</v>
      </c>
      <c r="F597" s="13">
        <v>91.0</v>
      </c>
      <c r="G597" s="10" t="str">
        <f t="shared" si="4"/>
        <v>BFA27-91</v>
      </c>
      <c r="H597" s="16"/>
      <c r="I597" s="16" t="str">
        <f t="shared" si="5"/>
        <v>collected</v>
      </c>
      <c r="J597" s="16" t="str">
        <f t="shared" si="6"/>
        <v>N</v>
      </c>
      <c r="K597" s="16"/>
      <c r="L597" s="16"/>
    </row>
    <row r="598">
      <c r="A598" s="26" t="s">
        <v>1053</v>
      </c>
      <c r="B598" s="10" t="str">
        <f t="shared" si="1"/>
        <v>fatty_acid</v>
      </c>
      <c r="C598" s="49" t="str">
        <f t="shared" si="2"/>
        <v>S16195FA1</v>
      </c>
      <c r="D598" s="6">
        <v>27.0</v>
      </c>
      <c r="E598" s="10" t="str">
        <f t="shared" si="3"/>
        <v>BFA27</v>
      </c>
      <c r="F598" s="13">
        <v>92.0</v>
      </c>
      <c r="G598" s="10" t="str">
        <f t="shared" si="4"/>
        <v>BFA27-92</v>
      </c>
      <c r="H598" s="16"/>
      <c r="I598" s="16" t="str">
        <f t="shared" si="5"/>
        <v>collected</v>
      </c>
      <c r="J598" s="16" t="str">
        <f t="shared" si="6"/>
        <v>N</v>
      </c>
      <c r="K598" s="16"/>
      <c r="L598" s="16"/>
    </row>
    <row r="599">
      <c r="A599" s="26" t="s">
        <v>1055</v>
      </c>
      <c r="B599" s="10" t="str">
        <f t="shared" si="1"/>
        <v>fatty_acid</v>
      </c>
      <c r="C599" s="49" t="str">
        <f t="shared" si="2"/>
        <v>S16196FA1</v>
      </c>
      <c r="D599" s="6">
        <v>27.0</v>
      </c>
      <c r="E599" s="10" t="str">
        <f t="shared" si="3"/>
        <v>BFA27</v>
      </c>
      <c r="F599" s="13">
        <v>93.0</v>
      </c>
      <c r="G599" s="10" t="str">
        <f t="shared" si="4"/>
        <v>BFA27-93</v>
      </c>
      <c r="H599" s="16"/>
      <c r="I599" s="16" t="str">
        <f t="shared" si="5"/>
        <v>collected</v>
      </c>
      <c r="J599" s="16" t="str">
        <f t="shared" si="6"/>
        <v>N</v>
      </c>
      <c r="K599" s="16"/>
      <c r="L599" s="16"/>
    </row>
    <row r="600">
      <c r="A600" s="26" t="s">
        <v>1056</v>
      </c>
      <c r="B600" s="10" t="str">
        <f t="shared" si="1"/>
        <v>fatty_acid</v>
      </c>
      <c r="C600" s="49" t="str">
        <f t="shared" si="2"/>
        <v>S16197FA1</v>
      </c>
      <c r="D600" s="6">
        <v>27.0</v>
      </c>
      <c r="E600" s="10" t="str">
        <f t="shared" si="3"/>
        <v>BFA27</v>
      </c>
      <c r="F600" s="13">
        <v>94.0</v>
      </c>
      <c r="G600" s="10" t="str">
        <f t="shared" si="4"/>
        <v>BFA27-94</v>
      </c>
      <c r="H600" s="16"/>
      <c r="I600" s="16" t="str">
        <f t="shared" si="5"/>
        <v>collected</v>
      </c>
      <c r="J600" s="16" t="str">
        <f t="shared" si="6"/>
        <v>N</v>
      </c>
      <c r="K600" s="16"/>
      <c r="L600" s="16"/>
    </row>
    <row r="601">
      <c r="A601" s="26" t="s">
        <v>1057</v>
      </c>
      <c r="B601" s="10" t="str">
        <f t="shared" si="1"/>
        <v>fatty_acid</v>
      </c>
      <c r="C601" s="49" t="str">
        <f t="shared" si="2"/>
        <v>S16506FA1</v>
      </c>
      <c r="D601" s="6">
        <v>26.0</v>
      </c>
      <c r="E601" s="10" t="str">
        <f t="shared" si="3"/>
        <v>BFA26</v>
      </c>
      <c r="F601" s="13">
        <v>74.0</v>
      </c>
      <c r="G601" s="10" t="str">
        <f t="shared" si="4"/>
        <v>BFA26-74</v>
      </c>
      <c r="H601" s="16"/>
      <c r="I601" s="16" t="str">
        <f t="shared" si="5"/>
        <v>collected</v>
      </c>
      <c r="J601" s="16" t="str">
        <f t="shared" si="6"/>
        <v>N</v>
      </c>
      <c r="K601" s="16"/>
      <c r="L601" s="16"/>
    </row>
    <row r="602">
      <c r="A602" s="26" t="s">
        <v>1059</v>
      </c>
      <c r="B602" s="10" t="str">
        <f t="shared" si="1"/>
        <v>fatty_acid</v>
      </c>
      <c r="C602" s="49" t="str">
        <f t="shared" si="2"/>
        <v>S16510FA1</v>
      </c>
      <c r="D602" s="6">
        <v>26.0</v>
      </c>
      <c r="E602" s="10" t="str">
        <f t="shared" si="3"/>
        <v>BFA26</v>
      </c>
      <c r="F602" s="13">
        <v>75.0</v>
      </c>
      <c r="G602" s="10" t="str">
        <f t="shared" si="4"/>
        <v>BFA26-75</v>
      </c>
      <c r="H602" s="16"/>
      <c r="I602" s="16" t="str">
        <f t="shared" si="5"/>
        <v>collected</v>
      </c>
      <c r="J602" s="16" t="str">
        <f t="shared" si="6"/>
        <v>N</v>
      </c>
      <c r="K602" s="16"/>
      <c r="L602" s="16"/>
    </row>
    <row r="603">
      <c r="A603" s="26" t="s">
        <v>1060</v>
      </c>
      <c r="B603" s="10" t="str">
        <f t="shared" si="1"/>
        <v>fatty_acid</v>
      </c>
      <c r="C603" s="49" t="str">
        <f t="shared" si="2"/>
        <v>S16507FA1</v>
      </c>
      <c r="D603" s="6">
        <v>26.0</v>
      </c>
      <c r="E603" s="10" t="str">
        <f t="shared" si="3"/>
        <v>BFA26</v>
      </c>
      <c r="F603" s="13">
        <v>76.0</v>
      </c>
      <c r="G603" s="10" t="str">
        <f t="shared" si="4"/>
        <v>BFA26-76</v>
      </c>
      <c r="H603" s="16"/>
      <c r="I603" s="16" t="str">
        <f t="shared" si="5"/>
        <v>collected</v>
      </c>
      <c r="J603" s="16" t="str">
        <f t="shared" si="6"/>
        <v>N</v>
      </c>
      <c r="K603" s="16"/>
      <c r="L603" s="16"/>
    </row>
    <row r="604">
      <c r="A604" s="26" t="s">
        <v>1061</v>
      </c>
      <c r="B604" s="10" t="str">
        <f t="shared" si="1"/>
        <v>fatty_acid</v>
      </c>
      <c r="C604" s="49" t="str">
        <f t="shared" si="2"/>
        <v>S16503FA1</v>
      </c>
      <c r="D604" s="6">
        <v>26.0</v>
      </c>
      <c r="E604" s="10" t="str">
        <f t="shared" si="3"/>
        <v>BFA26</v>
      </c>
      <c r="F604" s="13">
        <v>77.0</v>
      </c>
      <c r="G604" s="10" t="str">
        <f t="shared" si="4"/>
        <v>BFA26-77</v>
      </c>
      <c r="H604" s="16"/>
      <c r="I604" s="16" t="str">
        <f t="shared" si="5"/>
        <v>collected</v>
      </c>
      <c r="J604" s="16" t="str">
        <f t="shared" si="6"/>
        <v>N</v>
      </c>
      <c r="K604" s="16"/>
      <c r="L604" s="16"/>
    </row>
    <row r="605">
      <c r="A605" s="26" t="s">
        <v>1062</v>
      </c>
      <c r="B605" s="10" t="str">
        <f t="shared" si="1"/>
        <v>fatty_acid</v>
      </c>
      <c r="C605" s="49" t="str">
        <f t="shared" si="2"/>
        <v>S16505FA1</v>
      </c>
      <c r="D605" s="6">
        <v>26.0</v>
      </c>
      <c r="E605" s="10" t="str">
        <f t="shared" si="3"/>
        <v>BFA26</v>
      </c>
      <c r="F605" s="13">
        <v>78.0</v>
      </c>
      <c r="G605" s="10" t="str">
        <f t="shared" si="4"/>
        <v>BFA26-78</v>
      </c>
      <c r="H605" s="16"/>
      <c r="I605" s="16" t="str">
        <f t="shared" si="5"/>
        <v>collected</v>
      </c>
      <c r="J605" s="16" t="str">
        <f t="shared" si="6"/>
        <v>N</v>
      </c>
      <c r="K605" s="16"/>
      <c r="L605" s="16"/>
    </row>
    <row r="606">
      <c r="A606" s="27" t="s">
        <v>1064</v>
      </c>
      <c r="B606" s="10" t="str">
        <f t="shared" si="1"/>
        <v>fatty_acid</v>
      </c>
      <c r="C606" s="49" t="str">
        <f t="shared" si="2"/>
        <v>S16806FA1</v>
      </c>
      <c r="D606" s="6">
        <v>26.0</v>
      </c>
      <c r="E606" s="10" t="str">
        <f t="shared" si="3"/>
        <v>BFA26</v>
      </c>
      <c r="F606" s="13">
        <v>79.0</v>
      </c>
      <c r="G606" s="10" t="str">
        <f t="shared" si="4"/>
        <v>BFA26-79</v>
      </c>
      <c r="H606" s="16"/>
      <c r="I606" s="16" t="str">
        <f t="shared" si="5"/>
        <v>collected</v>
      </c>
      <c r="J606" s="16" t="str">
        <f t="shared" si="6"/>
        <v>N</v>
      </c>
      <c r="K606" s="16"/>
      <c r="L606" s="16"/>
    </row>
    <row r="607">
      <c r="A607" s="27" t="s">
        <v>1066</v>
      </c>
      <c r="B607" s="10" t="str">
        <f t="shared" si="1"/>
        <v>fatty_acid</v>
      </c>
      <c r="C607" s="49" t="str">
        <f t="shared" si="2"/>
        <v>S16810FA1</v>
      </c>
      <c r="D607" s="6">
        <v>26.0</v>
      </c>
      <c r="E607" s="10" t="str">
        <f t="shared" si="3"/>
        <v>BFA26</v>
      </c>
      <c r="F607" s="13">
        <v>80.0</v>
      </c>
      <c r="G607" s="10" t="str">
        <f t="shared" si="4"/>
        <v>BFA26-80</v>
      </c>
      <c r="H607" s="16"/>
      <c r="I607" s="16" t="str">
        <f t="shared" si="5"/>
        <v>collected</v>
      </c>
      <c r="J607" s="16" t="str">
        <f t="shared" si="6"/>
        <v>N</v>
      </c>
      <c r="K607" s="16"/>
      <c r="L607" s="16"/>
    </row>
    <row r="608">
      <c r="A608" s="27" t="s">
        <v>1067</v>
      </c>
      <c r="B608" s="10" t="str">
        <f t="shared" si="1"/>
        <v>fatty_acid</v>
      </c>
      <c r="C608" s="49" t="str">
        <f t="shared" si="2"/>
        <v>S16808FA1</v>
      </c>
      <c r="D608" s="6">
        <v>26.0</v>
      </c>
      <c r="E608" s="10" t="str">
        <f t="shared" si="3"/>
        <v>BFA26</v>
      </c>
      <c r="F608" s="13">
        <v>81.0</v>
      </c>
      <c r="G608" s="10" t="str">
        <f t="shared" si="4"/>
        <v>BFA26-81</v>
      </c>
      <c r="H608" s="16"/>
      <c r="I608" s="16" t="str">
        <f t="shared" si="5"/>
        <v>collected</v>
      </c>
      <c r="J608" s="16" t="str">
        <f t="shared" si="6"/>
        <v>N</v>
      </c>
      <c r="K608" s="16"/>
      <c r="L608" s="16"/>
    </row>
    <row r="609">
      <c r="A609" s="27" t="s">
        <v>1068</v>
      </c>
      <c r="B609" s="10" t="str">
        <f t="shared" si="1"/>
        <v>fatty_acid</v>
      </c>
      <c r="C609" s="49" t="str">
        <f t="shared" si="2"/>
        <v>S16809FA1</v>
      </c>
      <c r="D609" s="6">
        <v>28.0</v>
      </c>
      <c r="E609" s="10" t="str">
        <f t="shared" si="3"/>
        <v>BFA28</v>
      </c>
      <c r="F609" s="13">
        <v>1.0</v>
      </c>
      <c r="G609" s="10" t="str">
        <f t="shared" si="4"/>
        <v>BFA28-1</v>
      </c>
      <c r="H609" s="16"/>
      <c r="I609" s="16" t="str">
        <f t="shared" si="5"/>
        <v>collected</v>
      </c>
      <c r="J609" s="16" t="str">
        <f t="shared" si="6"/>
        <v>N</v>
      </c>
      <c r="K609" s="16"/>
      <c r="L609" s="16"/>
    </row>
    <row r="610">
      <c r="A610" s="27" t="s">
        <v>1069</v>
      </c>
      <c r="B610" s="10" t="str">
        <f t="shared" si="1"/>
        <v>fatty_acid</v>
      </c>
      <c r="C610" s="49" t="str">
        <f t="shared" si="2"/>
        <v>S16803FA1</v>
      </c>
      <c r="D610" s="6">
        <v>28.0</v>
      </c>
      <c r="E610" s="10" t="str">
        <f t="shared" si="3"/>
        <v>BFA28</v>
      </c>
      <c r="F610" s="13">
        <v>2.0</v>
      </c>
      <c r="G610" s="10" t="str">
        <f t="shared" si="4"/>
        <v>BFA28-2</v>
      </c>
      <c r="H610" s="16"/>
      <c r="I610" s="16" t="str">
        <f t="shared" si="5"/>
        <v>collected</v>
      </c>
      <c r="J610" s="16" t="str">
        <f t="shared" si="6"/>
        <v>N</v>
      </c>
      <c r="K610" s="16"/>
      <c r="L610" s="16"/>
    </row>
    <row r="611">
      <c r="A611" s="27" t="s">
        <v>1070</v>
      </c>
      <c r="B611" s="10" t="str">
        <f t="shared" si="1"/>
        <v>fatty_acid</v>
      </c>
      <c r="C611" s="49" t="str">
        <f t="shared" si="2"/>
        <v>S16805FA1</v>
      </c>
      <c r="D611" s="6">
        <v>28.0</v>
      </c>
      <c r="E611" s="10" t="str">
        <f t="shared" si="3"/>
        <v>BFA28</v>
      </c>
      <c r="F611" s="13">
        <v>3.0</v>
      </c>
      <c r="G611" s="10" t="str">
        <f t="shared" si="4"/>
        <v>BFA28-3</v>
      </c>
      <c r="H611" s="16"/>
      <c r="I611" s="16" t="str">
        <f t="shared" si="5"/>
        <v>collected</v>
      </c>
      <c r="J611" s="16" t="str">
        <f t="shared" si="6"/>
        <v>N</v>
      </c>
      <c r="K611" s="16"/>
      <c r="L611" s="16"/>
    </row>
    <row r="612">
      <c r="A612" s="27" t="s">
        <v>1071</v>
      </c>
      <c r="B612" s="10" t="str">
        <f t="shared" si="1"/>
        <v>fatty_acid</v>
      </c>
      <c r="C612" s="49" t="str">
        <f t="shared" si="2"/>
        <v>S16801FA1</v>
      </c>
      <c r="D612" s="6">
        <v>28.0</v>
      </c>
      <c r="E612" s="10" t="str">
        <f t="shared" si="3"/>
        <v>BFA28</v>
      </c>
      <c r="F612" s="13">
        <v>4.0</v>
      </c>
      <c r="G612" s="10" t="str">
        <f t="shared" si="4"/>
        <v>BFA28-4</v>
      </c>
      <c r="H612" s="16"/>
      <c r="I612" s="16" t="str">
        <f t="shared" si="5"/>
        <v>collected</v>
      </c>
      <c r="J612" s="16" t="str">
        <f t="shared" si="6"/>
        <v>N</v>
      </c>
      <c r="K612" s="16"/>
      <c r="L612" s="16"/>
    </row>
    <row r="613">
      <c r="A613" s="27" t="s">
        <v>1074</v>
      </c>
      <c r="B613" s="10" t="str">
        <f t="shared" si="1"/>
        <v>fatty_acid</v>
      </c>
      <c r="C613" s="49" t="str">
        <f t="shared" si="2"/>
        <v>S16807FA1</v>
      </c>
      <c r="D613" s="6">
        <v>28.0</v>
      </c>
      <c r="E613" s="10" t="str">
        <f t="shared" si="3"/>
        <v>BFA28</v>
      </c>
      <c r="F613" s="13">
        <v>5.0</v>
      </c>
      <c r="G613" s="10" t="str">
        <f t="shared" si="4"/>
        <v>BFA28-5</v>
      </c>
      <c r="H613" s="16"/>
      <c r="I613" s="16" t="str">
        <f t="shared" si="5"/>
        <v>collected</v>
      </c>
      <c r="J613" s="16" t="str">
        <f t="shared" si="6"/>
        <v>N</v>
      </c>
      <c r="K613" s="16"/>
      <c r="L613" s="16"/>
    </row>
    <row r="614">
      <c r="A614" s="27" t="s">
        <v>1075</v>
      </c>
      <c r="B614" s="10" t="str">
        <f t="shared" si="1"/>
        <v>fatty_acid</v>
      </c>
      <c r="C614" s="49" t="str">
        <f t="shared" si="2"/>
        <v>S16804FA1</v>
      </c>
      <c r="D614" s="6">
        <v>28.0</v>
      </c>
      <c r="E614" s="10" t="str">
        <f t="shared" si="3"/>
        <v>BFA28</v>
      </c>
      <c r="F614" s="13">
        <v>6.0</v>
      </c>
      <c r="G614" s="10" t="str">
        <f t="shared" si="4"/>
        <v>BFA28-6</v>
      </c>
      <c r="H614" s="16"/>
      <c r="I614" s="16" t="str">
        <f t="shared" si="5"/>
        <v>collected</v>
      </c>
      <c r="J614" s="16" t="str">
        <f t="shared" si="6"/>
        <v>N</v>
      </c>
      <c r="K614" s="16"/>
      <c r="L614" s="16"/>
    </row>
    <row r="615">
      <c r="A615" s="26" t="s">
        <v>1076</v>
      </c>
      <c r="B615" s="10" t="str">
        <f t="shared" si="1"/>
        <v>fatty_acid</v>
      </c>
      <c r="C615" s="49" t="str">
        <f t="shared" si="2"/>
        <v>S16802FA1</v>
      </c>
      <c r="D615" s="6">
        <v>28.0</v>
      </c>
      <c r="E615" s="10" t="str">
        <f t="shared" si="3"/>
        <v>BFA28</v>
      </c>
      <c r="F615" s="13">
        <v>7.0</v>
      </c>
      <c r="G615" s="10" t="str">
        <f t="shared" si="4"/>
        <v>BFA28-7</v>
      </c>
      <c r="H615" s="16"/>
      <c r="I615" s="16" t="str">
        <f t="shared" si="5"/>
        <v>collected</v>
      </c>
      <c r="J615" s="16" t="str">
        <f t="shared" si="6"/>
        <v>N</v>
      </c>
      <c r="K615" s="16"/>
      <c r="L615" s="16"/>
    </row>
    <row r="616">
      <c r="A616" s="26" t="s">
        <v>1077</v>
      </c>
      <c r="B616" s="10" t="str">
        <f t="shared" si="1"/>
        <v>fatty_acid</v>
      </c>
      <c r="C616" s="49" t="str">
        <f t="shared" si="2"/>
        <v>S16198FA1</v>
      </c>
      <c r="D616" s="6">
        <v>27.0</v>
      </c>
      <c r="E616" s="10" t="str">
        <f t="shared" si="3"/>
        <v>BFA27</v>
      </c>
      <c r="F616" s="13">
        <v>95.0</v>
      </c>
      <c r="G616" s="10" t="str">
        <f t="shared" si="4"/>
        <v>BFA27-95</v>
      </c>
      <c r="H616" s="16"/>
      <c r="I616" s="16" t="str">
        <f t="shared" si="5"/>
        <v>collected</v>
      </c>
      <c r="J616" s="16" t="str">
        <f t="shared" si="6"/>
        <v>N</v>
      </c>
      <c r="K616" s="16"/>
      <c r="L616" s="16"/>
    </row>
    <row r="617">
      <c r="A617" s="26" t="s">
        <v>1078</v>
      </c>
      <c r="B617" s="10" t="str">
        <f t="shared" si="1"/>
        <v>fatty_acid</v>
      </c>
      <c r="C617" s="49" t="str">
        <f t="shared" si="2"/>
        <v>S16199FA1</v>
      </c>
      <c r="D617" s="6">
        <v>27.0</v>
      </c>
      <c r="E617" s="10" t="str">
        <f t="shared" si="3"/>
        <v>BFA27</v>
      </c>
      <c r="F617" s="13">
        <v>97.0</v>
      </c>
      <c r="G617" s="10" t="str">
        <f t="shared" si="4"/>
        <v>BFA27-97</v>
      </c>
      <c r="H617" s="16"/>
      <c r="I617" s="16" t="str">
        <f t="shared" si="5"/>
        <v>collected</v>
      </c>
      <c r="J617" s="16" t="str">
        <f t="shared" si="6"/>
        <v>N</v>
      </c>
      <c r="K617" s="16"/>
      <c r="L617" s="16"/>
    </row>
    <row r="618">
      <c r="A618" s="26" t="s">
        <v>1079</v>
      </c>
      <c r="B618" s="10" t="str">
        <f t="shared" si="1"/>
        <v>fatty_acid</v>
      </c>
      <c r="C618" s="49" t="str">
        <f t="shared" si="2"/>
        <v>S16200FA1</v>
      </c>
      <c r="D618" s="6">
        <v>27.0</v>
      </c>
      <c r="E618" s="10" t="str">
        <f t="shared" si="3"/>
        <v>BFA27</v>
      </c>
      <c r="F618" s="13">
        <v>98.0</v>
      </c>
      <c r="G618" s="10" t="str">
        <f t="shared" si="4"/>
        <v>BFA27-98</v>
      </c>
      <c r="H618" s="16"/>
      <c r="I618" s="16" t="str">
        <f t="shared" si="5"/>
        <v>collected</v>
      </c>
      <c r="J618" s="16" t="str">
        <f t="shared" si="6"/>
        <v>N</v>
      </c>
      <c r="K618" s="16"/>
      <c r="L618" s="16"/>
    </row>
    <row r="619">
      <c r="A619" s="26" t="s">
        <v>1081</v>
      </c>
      <c r="B619" s="10" t="str">
        <f t="shared" si="1"/>
        <v>fatty_acid</v>
      </c>
      <c r="C619" s="49" t="str">
        <f t="shared" si="2"/>
        <v>S16141FA1</v>
      </c>
      <c r="D619" s="6">
        <v>27.0</v>
      </c>
      <c r="E619" s="10" t="str">
        <f t="shared" si="3"/>
        <v>BFA27</v>
      </c>
      <c r="F619" s="13">
        <v>99.0</v>
      </c>
      <c r="G619" s="10" t="str">
        <f t="shared" si="4"/>
        <v>BFA27-99</v>
      </c>
      <c r="H619" s="16"/>
      <c r="I619" s="16" t="str">
        <f t="shared" si="5"/>
        <v>collected</v>
      </c>
      <c r="J619" s="16" t="str">
        <f t="shared" si="6"/>
        <v>N</v>
      </c>
      <c r="K619" s="16"/>
      <c r="L619" s="16"/>
    </row>
    <row r="620">
      <c r="A620" s="26" t="s">
        <v>1082</v>
      </c>
      <c r="B620" s="10" t="str">
        <f t="shared" si="1"/>
        <v>fatty_acid</v>
      </c>
      <c r="C620" s="49" t="str">
        <f t="shared" si="2"/>
        <v>S16142FA1</v>
      </c>
      <c r="D620" s="6">
        <v>27.0</v>
      </c>
      <c r="E620" s="10" t="str">
        <f t="shared" si="3"/>
        <v>BFA27</v>
      </c>
      <c r="F620" s="13">
        <v>100.0</v>
      </c>
      <c r="G620" s="10" t="str">
        <f t="shared" si="4"/>
        <v>BFA27-100</v>
      </c>
      <c r="H620" s="16"/>
      <c r="I620" s="16" t="str">
        <f t="shared" si="5"/>
        <v>collected</v>
      </c>
      <c r="J620" s="16" t="str">
        <f t="shared" si="6"/>
        <v>N</v>
      </c>
      <c r="K620" s="16"/>
      <c r="L620" s="16"/>
    </row>
    <row r="621">
      <c r="A621" s="26" t="s">
        <v>1084</v>
      </c>
      <c r="B621" s="10" t="str">
        <f t="shared" si="1"/>
        <v>fatty_acid</v>
      </c>
      <c r="C621" s="49" t="str">
        <f t="shared" si="2"/>
        <v>S16143FA1</v>
      </c>
      <c r="D621" s="6">
        <v>29.0</v>
      </c>
      <c r="E621" s="10" t="str">
        <f t="shared" si="3"/>
        <v>BFA29</v>
      </c>
      <c r="F621" s="13">
        <v>1.0</v>
      </c>
      <c r="G621" s="10" t="str">
        <f t="shared" si="4"/>
        <v>BFA29-1</v>
      </c>
      <c r="H621" s="16"/>
      <c r="I621" s="16" t="str">
        <f t="shared" si="5"/>
        <v>collected</v>
      </c>
      <c r="J621" s="16" t="str">
        <f t="shared" si="6"/>
        <v>N</v>
      </c>
      <c r="K621" s="16"/>
      <c r="L621" s="16"/>
    </row>
    <row r="622">
      <c r="A622" s="26" t="s">
        <v>1085</v>
      </c>
      <c r="B622" s="10" t="str">
        <f t="shared" si="1"/>
        <v>fatty_acid</v>
      </c>
      <c r="C622" s="49" t="str">
        <f t="shared" si="2"/>
        <v>S16144FA1</v>
      </c>
      <c r="D622" s="6">
        <v>29.0</v>
      </c>
      <c r="E622" s="10" t="str">
        <f t="shared" si="3"/>
        <v>BFA29</v>
      </c>
      <c r="F622" s="13">
        <v>2.0</v>
      </c>
      <c r="G622" s="10" t="str">
        <f t="shared" si="4"/>
        <v>BFA29-2</v>
      </c>
      <c r="H622" s="16"/>
      <c r="I622" s="16" t="str">
        <f t="shared" si="5"/>
        <v>collected</v>
      </c>
      <c r="J622" s="16" t="str">
        <f t="shared" si="6"/>
        <v>N</v>
      </c>
      <c r="K622" s="16"/>
      <c r="L622" s="16"/>
    </row>
    <row r="623">
      <c r="A623" s="6" t="s">
        <v>1086</v>
      </c>
      <c r="B623" s="10" t="str">
        <f t="shared" si="1"/>
        <v>fatty_acid</v>
      </c>
      <c r="C623" s="49" t="str">
        <f t="shared" si="2"/>
        <v>S16145FA1</v>
      </c>
      <c r="D623" s="6">
        <v>29.0</v>
      </c>
      <c r="E623" s="10" t="str">
        <f t="shared" si="3"/>
        <v>BFA29</v>
      </c>
      <c r="F623" s="13">
        <v>3.0</v>
      </c>
      <c r="G623" s="10" t="str">
        <f t="shared" si="4"/>
        <v>BFA29-3</v>
      </c>
      <c r="H623" s="16"/>
      <c r="I623" s="16" t="str">
        <f t="shared" si="5"/>
        <v>collected</v>
      </c>
      <c r="J623" s="16" t="str">
        <f t="shared" si="6"/>
        <v>N</v>
      </c>
      <c r="K623" s="16"/>
      <c r="L623" s="16"/>
    </row>
    <row r="624">
      <c r="A624" s="26" t="s">
        <v>1087</v>
      </c>
      <c r="B624" s="10" t="str">
        <f t="shared" si="1"/>
        <v>fatty_acid</v>
      </c>
      <c r="C624" s="49" t="str">
        <f t="shared" si="2"/>
        <v>S16146FA1</v>
      </c>
      <c r="D624" s="6">
        <v>29.0</v>
      </c>
      <c r="E624" s="10" t="str">
        <f t="shared" si="3"/>
        <v>BFA29</v>
      </c>
      <c r="F624" s="13">
        <v>4.0</v>
      </c>
      <c r="G624" s="10" t="str">
        <f t="shared" si="4"/>
        <v>BFA29-4</v>
      </c>
      <c r="H624" s="16"/>
      <c r="I624" s="16" t="str">
        <f t="shared" si="5"/>
        <v>collected</v>
      </c>
      <c r="J624" s="16" t="str">
        <f t="shared" si="6"/>
        <v>N</v>
      </c>
      <c r="K624" s="16"/>
      <c r="L624" s="16"/>
    </row>
    <row r="625">
      <c r="A625" s="26" t="s">
        <v>1089</v>
      </c>
      <c r="B625" s="10" t="str">
        <f t="shared" si="1"/>
        <v>fatty_acid</v>
      </c>
      <c r="C625" s="49" t="str">
        <f t="shared" si="2"/>
        <v>S16147FA1</v>
      </c>
      <c r="D625" s="6">
        <v>29.0</v>
      </c>
      <c r="E625" s="10" t="str">
        <f t="shared" si="3"/>
        <v>BFA29</v>
      </c>
      <c r="F625" s="13">
        <v>5.0</v>
      </c>
      <c r="G625" s="10" t="str">
        <f t="shared" si="4"/>
        <v>BFA29-5</v>
      </c>
      <c r="H625" s="16"/>
      <c r="I625" s="16" t="str">
        <f t="shared" si="5"/>
        <v>collected</v>
      </c>
      <c r="J625" s="16" t="str">
        <f t="shared" si="6"/>
        <v>N</v>
      </c>
      <c r="K625" s="16"/>
      <c r="L625" s="16"/>
    </row>
    <row r="626">
      <c r="A626" s="26" t="s">
        <v>1090</v>
      </c>
      <c r="B626" s="10" t="str">
        <f t="shared" si="1"/>
        <v>fatty_acid</v>
      </c>
      <c r="C626" s="49" t="str">
        <f t="shared" si="2"/>
        <v>S16148FA1</v>
      </c>
      <c r="D626" s="6">
        <v>29.0</v>
      </c>
      <c r="E626" s="10" t="str">
        <f t="shared" si="3"/>
        <v>BFA29</v>
      </c>
      <c r="F626" s="13">
        <v>6.0</v>
      </c>
      <c r="G626" s="10" t="str">
        <f t="shared" si="4"/>
        <v>BFA29-6</v>
      </c>
      <c r="H626" s="16"/>
      <c r="I626" s="16" t="str">
        <f t="shared" si="5"/>
        <v>collected</v>
      </c>
      <c r="J626" s="16" t="str">
        <f t="shared" si="6"/>
        <v>N</v>
      </c>
      <c r="K626" s="16"/>
      <c r="L626" s="16"/>
    </row>
    <row r="627">
      <c r="A627" s="26" t="s">
        <v>1091</v>
      </c>
      <c r="B627" s="10" t="str">
        <f t="shared" si="1"/>
        <v>fatty_acid</v>
      </c>
      <c r="C627" s="49" t="str">
        <f t="shared" si="2"/>
        <v>S16149FA1</v>
      </c>
      <c r="D627" s="6">
        <v>29.0</v>
      </c>
      <c r="E627" s="10" t="str">
        <f t="shared" si="3"/>
        <v>BFA29</v>
      </c>
      <c r="F627" s="13">
        <v>7.0</v>
      </c>
      <c r="G627" s="10" t="str">
        <f t="shared" si="4"/>
        <v>BFA29-7</v>
      </c>
      <c r="H627" s="16"/>
      <c r="I627" s="16" t="str">
        <f t="shared" si="5"/>
        <v>collected</v>
      </c>
      <c r="J627" s="16" t="str">
        <f t="shared" si="6"/>
        <v>N</v>
      </c>
      <c r="K627" s="16"/>
      <c r="L627" s="16"/>
    </row>
    <row r="628">
      <c r="A628" s="26" t="s">
        <v>1092</v>
      </c>
      <c r="B628" s="10" t="str">
        <f t="shared" si="1"/>
        <v>fatty_acid</v>
      </c>
      <c r="C628" s="49" t="str">
        <f t="shared" si="2"/>
        <v>S16150FA1</v>
      </c>
      <c r="D628" s="6">
        <v>29.0</v>
      </c>
      <c r="E628" s="10" t="str">
        <f t="shared" si="3"/>
        <v>BFA29</v>
      </c>
      <c r="F628" s="13">
        <v>8.0</v>
      </c>
      <c r="G628" s="10" t="str">
        <f t="shared" si="4"/>
        <v>BFA29-8</v>
      </c>
      <c r="H628" s="16"/>
      <c r="I628" s="16" t="str">
        <f t="shared" si="5"/>
        <v>collected</v>
      </c>
      <c r="J628" s="16" t="str">
        <f t="shared" si="6"/>
        <v>N</v>
      </c>
      <c r="K628" s="16"/>
      <c r="L628" s="16"/>
    </row>
    <row r="629">
      <c r="A629" s="26" t="s">
        <v>1093</v>
      </c>
      <c r="B629" s="10" t="str">
        <f t="shared" si="1"/>
        <v>fatty_acid</v>
      </c>
      <c r="C629" s="49" t="str">
        <f t="shared" si="2"/>
        <v>S16351FA1</v>
      </c>
      <c r="D629" s="6">
        <v>29.0</v>
      </c>
      <c r="E629" s="10" t="str">
        <f t="shared" si="3"/>
        <v>BFA29</v>
      </c>
      <c r="F629" s="13">
        <v>9.0</v>
      </c>
      <c r="G629" s="10" t="str">
        <f t="shared" si="4"/>
        <v>BFA29-9</v>
      </c>
      <c r="H629" s="16"/>
      <c r="I629" s="16" t="str">
        <f t="shared" si="5"/>
        <v>collected</v>
      </c>
      <c r="J629" s="16" t="str">
        <f t="shared" si="6"/>
        <v>N</v>
      </c>
      <c r="K629" s="16"/>
      <c r="L629" s="16"/>
    </row>
    <row r="630">
      <c r="A630" s="26" t="s">
        <v>1094</v>
      </c>
      <c r="B630" s="10" t="str">
        <f t="shared" si="1"/>
        <v>fatty_acid</v>
      </c>
      <c r="C630" s="49" t="str">
        <f t="shared" si="2"/>
        <v>S16352FA1</v>
      </c>
      <c r="D630" s="6">
        <v>29.0</v>
      </c>
      <c r="E630" s="10" t="str">
        <f t="shared" si="3"/>
        <v>BFA29</v>
      </c>
      <c r="F630" s="13">
        <v>10.0</v>
      </c>
      <c r="G630" s="10" t="str">
        <f t="shared" si="4"/>
        <v>BFA29-10</v>
      </c>
      <c r="H630" s="16"/>
      <c r="I630" s="16" t="str">
        <f t="shared" si="5"/>
        <v>collected</v>
      </c>
      <c r="J630" s="16" t="str">
        <f t="shared" si="6"/>
        <v>N</v>
      </c>
      <c r="K630" s="16"/>
      <c r="L630" s="16"/>
    </row>
    <row r="631">
      <c r="A631" s="26" t="s">
        <v>1096</v>
      </c>
      <c r="B631" s="10" t="str">
        <f t="shared" si="1"/>
        <v>fatty_acid</v>
      </c>
      <c r="C631" s="49" t="str">
        <f t="shared" si="2"/>
        <v>S16353FA1</v>
      </c>
      <c r="D631" s="6">
        <v>29.0</v>
      </c>
      <c r="E631" s="10" t="str">
        <f t="shared" si="3"/>
        <v>BFA29</v>
      </c>
      <c r="F631" s="13">
        <v>11.0</v>
      </c>
      <c r="G631" s="10" t="str">
        <f t="shared" si="4"/>
        <v>BFA29-11</v>
      </c>
      <c r="H631" s="16"/>
      <c r="I631" s="16" t="str">
        <f t="shared" si="5"/>
        <v>collected</v>
      </c>
      <c r="J631" s="16" t="str">
        <f t="shared" si="6"/>
        <v>N</v>
      </c>
      <c r="K631" s="16"/>
      <c r="L631" s="16"/>
    </row>
    <row r="632">
      <c r="A632" s="26" t="s">
        <v>1097</v>
      </c>
      <c r="B632" s="10" t="str">
        <f t="shared" si="1"/>
        <v>fatty_acid</v>
      </c>
      <c r="C632" s="49" t="str">
        <f t="shared" si="2"/>
        <v>S16354FA1</v>
      </c>
      <c r="D632" s="6">
        <v>29.0</v>
      </c>
      <c r="E632" s="10" t="str">
        <f t="shared" si="3"/>
        <v>BFA29</v>
      </c>
      <c r="F632" s="13">
        <v>12.0</v>
      </c>
      <c r="G632" s="10" t="str">
        <f t="shared" si="4"/>
        <v>BFA29-12</v>
      </c>
      <c r="H632" s="16"/>
      <c r="I632" s="16" t="str">
        <f t="shared" si="5"/>
        <v>collected</v>
      </c>
      <c r="J632" s="16" t="str">
        <f t="shared" si="6"/>
        <v>N</v>
      </c>
      <c r="K632" s="16"/>
      <c r="L632" s="16"/>
    </row>
    <row r="633">
      <c r="A633" s="26" t="s">
        <v>1100</v>
      </c>
      <c r="B633" s="10" t="str">
        <f t="shared" si="1"/>
        <v>fatty_acid</v>
      </c>
      <c r="C633" s="49" t="str">
        <f t="shared" si="2"/>
        <v>S16355FA1</v>
      </c>
      <c r="D633" s="6">
        <v>29.0</v>
      </c>
      <c r="E633" s="10" t="str">
        <f t="shared" si="3"/>
        <v>BFA29</v>
      </c>
      <c r="F633" s="13">
        <v>13.0</v>
      </c>
      <c r="G633" s="10" t="str">
        <f t="shared" si="4"/>
        <v>BFA29-13</v>
      </c>
      <c r="H633" s="16"/>
      <c r="I633" s="16" t="str">
        <f t="shared" si="5"/>
        <v>collected</v>
      </c>
      <c r="J633" s="16" t="str">
        <f t="shared" si="6"/>
        <v>N</v>
      </c>
      <c r="K633" s="16"/>
      <c r="L633" s="16"/>
    </row>
    <row r="634">
      <c r="A634" s="27" t="s">
        <v>1101</v>
      </c>
      <c r="B634" s="10" t="str">
        <f t="shared" si="1"/>
        <v>fatty_acid</v>
      </c>
      <c r="C634" s="49" t="str">
        <f t="shared" si="2"/>
        <v>S16356FA1</v>
      </c>
      <c r="D634" s="6">
        <v>29.0</v>
      </c>
      <c r="E634" s="10" t="str">
        <f t="shared" si="3"/>
        <v>BFA29</v>
      </c>
      <c r="F634" s="13">
        <v>14.0</v>
      </c>
      <c r="G634" s="10" t="str">
        <f t="shared" si="4"/>
        <v>BFA29-14</v>
      </c>
      <c r="H634" s="16"/>
      <c r="I634" s="16" t="str">
        <f t="shared" si="5"/>
        <v>collected</v>
      </c>
      <c r="J634" s="16" t="str">
        <f t="shared" si="6"/>
        <v>N</v>
      </c>
      <c r="K634" s="16"/>
      <c r="L634" s="16"/>
    </row>
    <row r="635">
      <c r="A635" s="40" t="s">
        <v>1102</v>
      </c>
      <c r="B635" s="10" t="str">
        <f t="shared" si="1"/>
        <v>fatty_acid</v>
      </c>
      <c r="C635" s="49" t="str">
        <f t="shared" si="2"/>
        <v>S16183FA1</v>
      </c>
      <c r="D635" s="6">
        <v>28.0</v>
      </c>
      <c r="E635" s="10" t="str">
        <f t="shared" si="3"/>
        <v>BFA28</v>
      </c>
      <c r="F635" s="13">
        <v>8.0</v>
      </c>
      <c r="G635" s="10" t="str">
        <f t="shared" si="4"/>
        <v>BFA28-8</v>
      </c>
      <c r="H635" s="16"/>
      <c r="I635" s="16" t="str">
        <f t="shared" si="5"/>
        <v>collected</v>
      </c>
      <c r="J635" s="16" t="str">
        <f t="shared" si="6"/>
        <v>N</v>
      </c>
      <c r="K635" s="16"/>
      <c r="L635" s="16"/>
    </row>
    <row r="636">
      <c r="A636" s="40" t="s">
        <v>1103</v>
      </c>
      <c r="B636" s="10" t="str">
        <f t="shared" si="1"/>
        <v>fatty_acid</v>
      </c>
      <c r="C636" s="49" t="str">
        <f t="shared" si="2"/>
        <v>S16190FA1</v>
      </c>
      <c r="D636" s="6">
        <v>28.0</v>
      </c>
      <c r="E636" s="10" t="str">
        <f t="shared" si="3"/>
        <v>BFA28</v>
      </c>
      <c r="F636" s="13">
        <v>9.0</v>
      </c>
      <c r="G636" s="10" t="str">
        <f t="shared" si="4"/>
        <v>BFA28-9</v>
      </c>
      <c r="H636" s="16"/>
      <c r="I636" s="16" t="str">
        <f t="shared" si="5"/>
        <v>collected</v>
      </c>
      <c r="J636" s="16" t="str">
        <f t="shared" si="6"/>
        <v>N</v>
      </c>
      <c r="K636" s="16"/>
      <c r="L636" s="16"/>
    </row>
    <row r="637">
      <c r="A637" s="43" t="s">
        <v>1104</v>
      </c>
      <c r="B637" s="10" t="str">
        <f t="shared" si="1"/>
        <v>fatty_acid</v>
      </c>
      <c r="C637" s="49" t="str">
        <f t="shared" si="2"/>
        <v>S16187FA1</v>
      </c>
      <c r="D637" s="6">
        <v>28.0</v>
      </c>
      <c r="E637" s="10" t="str">
        <f t="shared" si="3"/>
        <v>BFA28</v>
      </c>
      <c r="F637" s="13">
        <v>10.0</v>
      </c>
      <c r="G637" s="10" t="str">
        <f t="shared" si="4"/>
        <v>BFA28-10</v>
      </c>
      <c r="H637" s="16"/>
      <c r="I637" s="16" t="str">
        <f t="shared" si="5"/>
        <v>collected</v>
      </c>
      <c r="J637" s="16" t="str">
        <f t="shared" si="6"/>
        <v>N</v>
      </c>
      <c r="K637" s="16"/>
      <c r="L637" s="16"/>
    </row>
    <row r="638">
      <c r="A638" s="44" t="s">
        <v>1105</v>
      </c>
      <c r="B638" s="10" t="str">
        <f t="shared" si="1"/>
        <v>fatty_acid</v>
      </c>
      <c r="C638" s="49" t="str">
        <f t="shared" si="2"/>
        <v>S16189FA1</v>
      </c>
      <c r="D638" s="6">
        <v>28.0</v>
      </c>
      <c r="E638" s="10" t="str">
        <f t="shared" si="3"/>
        <v>BFA28</v>
      </c>
      <c r="F638" s="13">
        <v>11.0</v>
      </c>
      <c r="G638" s="10" t="str">
        <f t="shared" si="4"/>
        <v>BFA28-11</v>
      </c>
      <c r="H638" s="16"/>
      <c r="I638" s="16" t="str">
        <f t="shared" si="5"/>
        <v>collected</v>
      </c>
      <c r="J638" s="16" t="str">
        <f t="shared" si="6"/>
        <v>N</v>
      </c>
      <c r="K638" s="16"/>
      <c r="L638" s="16"/>
    </row>
    <row r="639">
      <c r="A639" s="44" t="s">
        <v>1108</v>
      </c>
      <c r="B639" s="10" t="str">
        <f t="shared" si="1"/>
        <v>fatty_acid</v>
      </c>
      <c r="C639" s="49" t="str">
        <f t="shared" si="2"/>
        <v>S16188FA1</v>
      </c>
      <c r="D639" s="6">
        <v>28.0</v>
      </c>
      <c r="E639" s="10" t="str">
        <f t="shared" si="3"/>
        <v>BFA28</v>
      </c>
      <c r="F639" s="13">
        <v>12.0</v>
      </c>
      <c r="G639" s="10" t="str">
        <f t="shared" si="4"/>
        <v>BFA28-12</v>
      </c>
      <c r="H639" s="16"/>
      <c r="I639" s="16" t="str">
        <f t="shared" si="5"/>
        <v>collected</v>
      </c>
      <c r="J639" s="16" t="str">
        <f t="shared" si="6"/>
        <v>N</v>
      </c>
      <c r="K639" s="16"/>
      <c r="L639" s="16"/>
    </row>
    <row r="640">
      <c r="A640" s="44" t="s">
        <v>1109</v>
      </c>
      <c r="B640" s="10" t="str">
        <f t="shared" si="1"/>
        <v>fatty_acid</v>
      </c>
      <c r="C640" s="49" t="str">
        <f t="shared" si="2"/>
        <v>S16186FA1</v>
      </c>
      <c r="D640" s="6">
        <v>28.0</v>
      </c>
      <c r="E640" s="10" t="str">
        <f t="shared" si="3"/>
        <v>BFA28</v>
      </c>
      <c r="F640" s="13">
        <v>13.0</v>
      </c>
      <c r="G640" s="10" t="str">
        <f t="shared" si="4"/>
        <v>BFA28-13</v>
      </c>
      <c r="H640" s="16"/>
      <c r="I640" s="16" t="str">
        <f t="shared" si="5"/>
        <v>collected</v>
      </c>
      <c r="J640" s="16" t="str">
        <f t="shared" si="6"/>
        <v>N</v>
      </c>
      <c r="K640" s="16"/>
      <c r="L640" s="16"/>
    </row>
    <row r="641">
      <c r="A641" s="44" t="s">
        <v>1110</v>
      </c>
      <c r="B641" s="10" t="str">
        <f t="shared" si="1"/>
        <v>fatty_acid</v>
      </c>
      <c r="C641" s="49" t="str">
        <f t="shared" si="2"/>
        <v>S16185FA1</v>
      </c>
      <c r="D641" s="6">
        <v>28.0</v>
      </c>
      <c r="E641" s="10" t="str">
        <f t="shared" si="3"/>
        <v>BFA28</v>
      </c>
      <c r="F641" s="13">
        <v>14.0</v>
      </c>
      <c r="G641" s="10" t="str">
        <f t="shared" si="4"/>
        <v>BFA28-14</v>
      </c>
      <c r="H641" s="16"/>
      <c r="I641" s="16" t="str">
        <f t="shared" si="5"/>
        <v>collected</v>
      </c>
      <c r="J641" s="16" t="str">
        <f t="shared" si="6"/>
        <v>N</v>
      </c>
      <c r="K641" s="16"/>
      <c r="L641" s="16"/>
    </row>
    <row r="642">
      <c r="A642" s="44" t="s">
        <v>1111</v>
      </c>
      <c r="B642" s="10" t="str">
        <f t="shared" si="1"/>
        <v>fatty_acid</v>
      </c>
      <c r="C642" s="49" t="str">
        <f t="shared" si="2"/>
        <v>S16184FA1</v>
      </c>
      <c r="D642" s="6">
        <v>28.0</v>
      </c>
      <c r="E642" s="10" t="str">
        <f t="shared" si="3"/>
        <v>BFA28</v>
      </c>
      <c r="F642" s="13">
        <v>15.0</v>
      </c>
      <c r="G642" s="10" t="str">
        <f t="shared" si="4"/>
        <v>BFA28-15</v>
      </c>
      <c r="H642" s="16"/>
      <c r="I642" s="16" t="str">
        <f t="shared" si="5"/>
        <v>collected</v>
      </c>
      <c r="J642" s="16" t="str">
        <f t="shared" si="6"/>
        <v>N</v>
      </c>
      <c r="K642" s="16"/>
      <c r="L642" s="16"/>
    </row>
    <row r="643">
      <c r="A643" s="44" t="s">
        <v>1112</v>
      </c>
      <c r="B643" s="10" t="str">
        <f t="shared" si="1"/>
        <v>fatty_acid</v>
      </c>
      <c r="C643" s="49" t="str">
        <f t="shared" si="2"/>
        <v>S16181FA1</v>
      </c>
      <c r="D643" s="6">
        <v>28.0</v>
      </c>
      <c r="E643" s="10" t="str">
        <f t="shared" si="3"/>
        <v>BFA28</v>
      </c>
      <c r="F643" s="13">
        <v>16.0</v>
      </c>
      <c r="G643" s="10" t="str">
        <f t="shared" si="4"/>
        <v>BFA28-16</v>
      </c>
      <c r="H643" s="16"/>
      <c r="I643" s="16" t="str">
        <f t="shared" si="5"/>
        <v>collected</v>
      </c>
      <c r="J643" s="16" t="str">
        <f t="shared" si="6"/>
        <v>N</v>
      </c>
      <c r="K643" s="16"/>
      <c r="L643" s="16"/>
    </row>
    <row r="644">
      <c r="A644" s="44" t="s">
        <v>1113</v>
      </c>
      <c r="B644" s="10" t="str">
        <f t="shared" si="1"/>
        <v>fatty_acid</v>
      </c>
      <c r="C644" s="49" t="str">
        <f t="shared" si="2"/>
        <v>S16182FA1</v>
      </c>
      <c r="D644" s="6">
        <v>28.0</v>
      </c>
      <c r="E644" s="10" t="str">
        <f t="shared" si="3"/>
        <v>BFA28</v>
      </c>
      <c r="F644" s="13">
        <v>17.0</v>
      </c>
      <c r="G644" s="10" t="str">
        <f t="shared" si="4"/>
        <v>BFA28-17</v>
      </c>
      <c r="H644" s="16"/>
      <c r="I644" s="16" t="str">
        <f t="shared" si="5"/>
        <v>collected</v>
      </c>
      <c r="J644" s="16" t="str">
        <f t="shared" si="6"/>
        <v>N</v>
      </c>
      <c r="K644" s="16"/>
      <c r="L644" s="16"/>
    </row>
    <row r="645">
      <c r="A645" s="44" t="s">
        <v>1115</v>
      </c>
      <c r="B645" s="10" t="str">
        <f t="shared" si="1"/>
        <v>fatty_acid</v>
      </c>
      <c r="C645" s="49" t="str">
        <f t="shared" si="2"/>
        <v>S16257FA1</v>
      </c>
      <c r="D645" s="6">
        <v>28.0</v>
      </c>
      <c r="E645" s="10" t="str">
        <f t="shared" si="3"/>
        <v>BFA28</v>
      </c>
      <c r="F645" s="13">
        <v>18.0</v>
      </c>
      <c r="G645" s="10" t="str">
        <f t="shared" si="4"/>
        <v>BFA28-18</v>
      </c>
      <c r="H645" s="16"/>
      <c r="I645" s="16" t="str">
        <f t="shared" si="5"/>
        <v>collected</v>
      </c>
      <c r="J645" s="16" t="str">
        <f t="shared" si="6"/>
        <v>N</v>
      </c>
      <c r="K645" s="16"/>
      <c r="L645" s="16"/>
    </row>
    <row r="646">
      <c r="A646" s="44" t="s">
        <v>1117</v>
      </c>
      <c r="B646" s="10" t="str">
        <f t="shared" si="1"/>
        <v>fatty_acid</v>
      </c>
      <c r="C646" s="49" t="str">
        <f t="shared" si="2"/>
        <v>S16256FA1</v>
      </c>
      <c r="D646" s="6">
        <v>28.0</v>
      </c>
      <c r="E646" s="10" t="str">
        <f t="shared" si="3"/>
        <v>BFA28</v>
      </c>
      <c r="F646" s="13">
        <v>19.0</v>
      </c>
      <c r="G646" s="10" t="str">
        <f t="shared" si="4"/>
        <v>BFA28-19</v>
      </c>
      <c r="H646" s="16"/>
      <c r="I646" s="16" t="str">
        <f t="shared" si="5"/>
        <v>collected</v>
      </c>
      <c r="J646" s="16" t="str">
        <f t="shared" si="6"/>
        <v>N</v>
      </c>
      <c r="K646" s="16"/>
      <c r="L646" s="16"/>
    </row>
    <row r="647">
      <c r="A647" s="44" t="s">
        <v>1118</v>
      </c>
      <c r="B647" s="10" t="str">
        <f t="shared" si="1"/>
        <v>fatty_acid</v>
      </c>
      <c r="C647" s="49" t="str">
        <f t="shared" si="2"/>
        <v>S16258FA1</v>
      </c>
      <c r="D647" s="6">
        <v>28.0</v>
      </c>
      <c r="E647" s="10" t="str">
        <f t="shared" si="3"/>
        <v>BFA28</v>
      </c>
      <c r="F647" s="13">
        <v>20.0</v>
      </c>
      <c r="G647" s="10" t="str">
        <f t="shared" si="4"/>
        <v>BFA28-20</v>
      </c>
      <c r="H647" s="16"/>
      <c r="I647" s="16" t="str">
        <f t="shared" si="5"/>
        <v>collected</v>
      </c>
      <c r="J647" s="16" t="str">
        <f t="shared" si="6"/>
        <v>N</v>
      </c>
      <c r="K647" s="16"/>
      <c r="L647" s="16"/>
    </row>
    <row r="648">
      <c r="A648" s="44" t="s">
        <v>1119</v>
      </c>
      <c r="B648" s="10" t="str">
        <f t="shared" si="1"/>
        <v>fatty_acid</v>
      </c>
      <c r="C648" s="49" t="str">
        <f t="shared" si="2"/>
        <v>S16252FA1</v>
      </c>
      <c r="D648" s="6">
        <v>28.0</v>
      </c>
      <c r="E648" s="10" t="str">
        <f t="shared" si="3"/>
        <v>BFA28</v>
      </c>
      <c r="F648" s="13">
        <v>21.0</v>
      </c>
      <c r="G648" s="10" t="str">
        <f t="shared" si="4"/>
        <v>BFA28-21</v>
      </c>
      <c r="H648" s="16"/>
      <c r="I648" s="16" t="str">
        <f t="shared" si="5"/>
        <v>collected</v>
      </c>
      <c r="J648" s="16" t="str">
        <f t="shared" si="6"/>
        <v>N</v>
      </c>
      <c r="K648" s="16"/>
      <c r="L648" s="16"/>
    </row>
    <row r="649">
      <c r="A649" s="44" t="s">
        <v>1120</v>
      </c>
      <c r="B649" s="10" t="str">
        <f t="shared" si="1"/>
        <v>fatty_acid</v>
      </c>
      <c r="C649" s="49" t="str">
        <f t="shared" si="2"/>
        <v>S16251FA1</v>
      </c>
      <c r="D649" s="6">
        <v>28.0</v>
      </c>
      <c r="E649" s="10" t="str">
        <f t="shared" si="3"/>
        <v>BFA28</v>
      </c>
      <c r="F649" s="13">
        <v>22.0</v>
      </c>
      <c r="G649" s="10" t="str">
        <f t="shared" si="4"/>
        <v>BFA28-22</v>
      </c>
      <c r="H649" s="16"/>
      <c r="I649" s="16" t="str">
        <f t="shared" si="5"/>
        <v>collected</v>
      </c>
      <c r="J649" s="16" t="str">
        <f t="shared" si="6"/>
        <v>N</v>
      </c>
      <c r="K649" s="16"/>
      <c r="L649" s="16"/>
    </row>
    <row r="650">
      <c r="A650" s="44" t="s">
        <v>1121</v>
      </c>
      <c r="B650" s="10" t="str">
        <f t="shared" si="1"/>
        <v>fatty_acid</v>
      </c>
      <c r="C650" s="49" t="str">
        <f t="shared" si="2"/>
        <v>S16254FA1</v>
      </c>
      <c r="D650" s="6">
        <v>28.0</v>
      </c>
      <c r="E650" s="10" t="str">
        <f t="shared" si="3"/>
        <v>BFA28</v>
      </c>
      <c r="F650" s="13">
        <v>23.0</v>
      </c>
      <c r="G650" s="10" t="str">
        <f t="shared" si="4"/>
        <v>BFA28-23</v>
      </c>
      <c r="H650" s="16"/>
      <c r="I650" s="16" t="str">
        <f t="shared" si="5"/>
        <v>collected</v>
      </c>
      <c r="J650" s="16" t="str">
        <f t="shared" si="6"/>
        <v>N</v>
      </c>
      <c r="K650" s="16"/>
      <c r="L650" s="16"/>
    </row>
    <row r="651">
      <c r="A651" s="44" t="s">
        <v>1123</v>
      </c>
      <c r="B651" s="10" t="str">
        <f t="shared" si="1"/>
        <v>fatty_acid</v>
      </c>
      <c r="C651" s="49" t="str">
        <f t="shared" si="2"/>
        <v>S16253FA1</v>
      </c>
      <c r="D651" s="6">
        <v>28.0</v>
      </c>
      <c r="E651" s="10" t="str">
        <f t="shared" si="3"/>
        <v>BFA28</v>
      </c>
      <c r="F651" s="13">
        <v>24.0</v>
      </c>
      <c r="G651" s="10" t="str">
        <f t="shared" si="4"/>
        <v>BFA28-24</v>
      </c>
      <c r="H651" s="16"/>
      <c r="I651" s="16" t="str">
        <f t="shared" si="5"/>
        <v>collected</v>
      </c>
      <c r="J651" s="16" t="str">
        <f t="shared" si="6"/>
        <v>N</v>
      </c>
      <c r="K651" s="16"/>
      <c r="L651" s="16"/>
    </row>
    <row r="652">
      <c r="A652" s="44" t="s">
        <v>1124</v>
      </c>
      <c r="B652" s="10" t="str">
        <f t="shared" si="1"/>
        <v>fatty_acid</v>
      </c>
      <c r="C652" s="49" t="str">
        <f t="shared" si="2"/>
        <v>S16255FA1</v>
      </c>
      <c r="D652" s="6">
        <v>28.0</v>
      </c>
      <c r="E652" s="10" t="str">
        <f t="shared" si="3"/>
        <v>BFA28</v>
      </c>
      <c r="F652" s="13">
        <v>25.0</v>
      </c>
      <c r="G652" s="10" t="str">
        <f t="shared" si="4"/>
        <v>BFA28-25</v>
      </c>
      <c r="H652" s="16"/>
      <c r="I652" s="16" t="str">
        <f t="shared" si="5"/>
        <v>collected</v>
      </c>
      <c r="J652" s="16" t="str">
        <f t="shared" si="6"/>
        <v>N</v>
      </c>
      <c r="K652" s="16"/>
      <c r="L652" s="16"/>
    </row>
    <row r="653">
      <c r="A653" s="44" t="s">
        <v>1125</v>
      </c>
      <c r="B653" s="10" t="str">
        <f t="shared" si="1"/>
        <v>fatty_acid</v>
      </c>
      <c r="C653" s="49" t="str">
        <f t="shared" si="2"/>
        <v>S16259FA1</v>
      </c>
      <c r="D653" s="6">
        <v>28.0</v>
      </c>
      <c r="E653" s="10" t="str">
        <f t="shared" si="3"/>
        <v>BFA28</v>
      </c>
      <c r="F653" s="13">
        <v>26.0</v>
      </c>
      <c r="G653" s="10" t="str">
        <f t="shared" si="4"/>
        <v>BFA28-26</v>
      </c>
      <c r="H653" s="16"/>
      <c r="I653" s="16" t="str">
        <f t="shared" si="5"/>
        <v>collected</v>
      </c>
      <c r="J653" s="16" t="str">
        <f t="shared" si="6"/>
        <v>N</v>
      </c>
      <c r="K653" s="16"/>
      <c r="L653" s="16"/>
    </row>
    <row r="654">
      <c r="A654" s="26" t="s">
        <v>1127</v>
      </c>
      <c r="B654" s="10" t="str">
        <f t="shared" si="1"/>
        <v>fatty_acid</v>
      </c>
      <c r="C654" s="49" t="str">
        <f t="shared" si="2"/>
        <v>S16357FA1</v>
      </c>
      <c r="D654" s="6">
        <v>29.0</v>
      </c>
      <c r="E654" s="10" t="str">
        <f t="shared" si="3"/>
        <v>BFA29</v>
      </c>
      <c r="F654" s="13">
        <v>15.0</v>
      </c>
      <c r="G654" s="10" t="str">
        <f t="shared" si="4"/>
        <v>BFA29-15</v>
      </c>
      <c r="H654" s="16"/>
      <c r="I654" s="16" t="str">
        <f t="shared" si="5"/>
        <v>collected</v>
      </c>
      <c r="J654" s="16" t="str">
        <f t="shared" si="6"/>
        <v>N</v>
      </c>
      <c r="K654" s="16"/>
      <c r="L654" s="16"/>
    </row>
    <row r="655">
      <c r="A655" s="26" t="s">
        <v>1128</v>
      </c>
      <c r="B655" s="10" t="str">
        <f t="shared" si="1"/>
        <v>fatty_acid</v>
      </c>
      <c r="C655" s="49" t="str">
        <f t="shared" si="2"/>
        <v>S16358FA1</v>
      </c>
      <c r="D655" s="6">
        <v>29.0</v>
      </c>
      <c r="E655" s="10" t="str">
        <f t="shared" si="3"/>
        <v>BFA29</v>
      </c>
      <c r="F655" s="13">
        <v>16.0</v>
      </c>
      <c r="G655" s="10" t="str">
        <f t="shared" si="4"/>
        <v>BFA29-16</v>
      </c>
      <c r="H655" s="16"/>
      <c r="I655" s="16" t="str">
        <f t="shared" si="5"/>
        <v>collected</v>
      </c>
      <c r="J655" s="16" t="str">
        <f t="shared" si="6"/>
        <v>N</v>
      </c>
      <c r="K655" s="16"/>
      <c r="L655" s="16"/>
    </row>
    <row r="656">
      <c r="A656" s="26" t="s">
        <v>1130</v>
      </c>
      <c r="B656" s="10" t="str">
        <f t="shared" si="1"/>
        <v>fatty_acid</v>
      </c>
      <c r="C656" s="49" t="str">
        <f t="shared" si="2"/>
        <v>S16359FA1</v>
      </c>
      <c r="D656" s="6">
        <v>29.0</v>
      </c>
      <c r="E656" s="10" t="str">
        <f t="shared" si="3"/>
        <v>BFA29</v>
      </c>
      <c r="F656" s="13">
        <v>17.0</v>
      </c>
      <c r="G656" s="10" t="str">
        <f t="shared" si="4"/>
        <v>BFA29-17</v>
      </c>
      <c r="H656" s="16"/>
      <c r="I656" s="16" t="str">
        <f t="shared" si="5"/>
        <v>collected</v>
      </c>
      <c r="J656" s="16" t="str">
        <f t="shared" si="6"/>
        <v>N</v>
      </c>
      <c r="K656" s="16"/>
      <c r="L656" s="16"/>
    </row>
    <row r="657">
      <c r="A657" s="26" t="s">
        <v>1131</v>
      </c>
      <c r="B657" s="10" t="str">
        <f t="shared" si="1"/>
        <v>fatty_acid</v>
      </c>
      <c r="C657" s="49" t="str">
        <f t="shared" si="2"/>
        <v>S16360FA1</v>
      </c>
      <c r="D657" s="6">
        <v>29.0</v>
      </c>
      <c r="E657" s="10" t="str">
        <f t="shared" si="3"/>
        <v>BFA29</v>
      </c>
      <c r="F657" s="13">
        <v>18.0</v>
      </c>
      <c r="G657" s="10" t="str">
        <f t="shared" si="4"/>
        <v>BFA29-18</v>
      </c>
      <c r="H657" s="16"/>
      <c r="I657" s="16" t="str">
        <f t="shared" si="5"/>
        <v>collected</v>
      </c>
      <c r="J657" s="16" t="str">
        <f t="shared" si="6"/>
        <v>N</v>
      </c>
      <c r="K657" s="16"/>
      <c r="L657" s="16"/>
    </row>
    <row r="658">
      <c r="A658" s="26" t="s">
        <v>1132</v>
      </c>
      <c r="B658" s="10" t="str">
        <f t="shared" si="1"/>
        <v>fatty_acid</v>
      </c>
      <c r="C658" s="49" t="str">
        <f t="shared" si="2"/>
        <v>S16021FA1</v>
      </c>
      <c r="D658" s="6">
        <v>29.0</v>
      </c>
      <c r="E658" s="10" t="str">
        <f t="shared" si="3"/>
        <v>BFA29</v>
      </c>
      <c r="F658" s="13">
        <v>19.0</v>
      </c>
      <c r="G658" s="10" t="str">
        <f t="shared" si="4"/>
        <v>BFA29-19</v>
      </c>
      <c r="H658" s="16"/>
      <c r="I658" s="16" t="str">
        <f t="shared" si="5"/>
        <v>collected</v>
      </c>
      <c r="J658" s="16" t="str">
        <f t="shared" si="6"/>
        <v>N</v>
      </c>
      <c r="K658" s="16"/>
      <c r="L658" s="16"/>
    </row>
    <row r="659">
      <c r="A659" s="26" t="s">
        <v>1133</v>
      </c>
      <c r="B659" s="10" t="str">
        <f t="shared" si="1"/>
        <v>fatty_acid</v>
      </c>
      <c r="C659" s="49" t="str">
        <f t="shared" si="2"/>
        <v>S16022FA1</v>
      </c>
      <c r="D659" s="6">
        <v>29.0</v>
      </c>
      <c r="E659" s="10" t="str">
        <f t="shared" si="3"/>
        <v>BFA29</v>
      </c>
      <c r="F659" s="13">
        <v>20.0</v>
      </c>
      <c r="G659" s="10" t="str">
        <f t="shared" si="4"/>
        <v>BFA29-20</v>
      </c>
      <c r="H659" s="16"/>
      <c r="I659" s="16" t="str">
        <f t="shared" si="5"/>
        <v>collected</v>
      </c>
      <c r="J659" s="16" t="str">
        <f t="shared" si="6"/>
        <v>N</v>
      </c>
      <c r="K659" s="16"/>
      <c r="L659" s="16"/>
    </row>
    <row r="660">
      <c r="A660" s="26" t="s">
        <v>1134</v>
      </c>
      <c r="B660" s="10" t="str">
        <f t="shared" si="1"/>
        <v>fatty_acid</v>
      </c>
      <c r="C660" s="49" t="str">
        <f t="shared" si="2"/>
        <v>S16023FA1</v>
      </c>
      <c r="D660" s="6">
        <v>29.0</v>
      </c>
      <c r="E660" s="10" t="str">
        <f t="shared" si="3"/>
        <v>BFA29</v>
      </c>
      <c r="F660" s="13">
        <v>21.0</v>
      </c>
      <c r="G660" s="10" t="str">
        <f t="shared" si="4"/>
        <v>BFA29-21</v>
      </c>
      <c r="H660" s="16"/>
      <c r="I660" s="16" t="str">
        <f t="shared" si="5"/>
        <v>collected</v>
      </c>
      <c r="J660" s="16" t="str">
        <f t="shared" si="6"/>
        <v>N</v>
      </c>
      <c r="K660" s="16"/>
      <c r="L660" s="16"/>
    </row>
    <row r="661">
      <c r="A661" s="26" t="s">
        <v>1135</v>
      </c>
      <c r="B661" s="10" t="str">
        <f t="shared" si="1"/>
        <v>fatty_acid</v>
      </c>
      <c r="C661" s="49" t="str">
        <f t="shared" si="2"/>
        <v>S16024FA1</v>
      </c>
      <c r="D661" s="6">
        <v>29.0</v>
      </c>
      <c r="E661" s="10" t="str">
        <f t="shared" si="3"/>
        <v>BFA29</v>
      </c>
      <c r="F661" s="13">
        <v>22.0</v>
      </c>
      <c r="G661" s="10" t="str">
        <f t="shared" si="4"/>
        <v>BFA29-22</v>
      </c>
      <c r="H661" s="16"/>
      <c r="I661" s="16" t="str">
        <f t="shared" si="5"/>
        <v>collected</v>
      </c>
      <c r="J661" s="16" t="str">
        <f t="shared" si="6"/>
        <v>N</v>
      </c>
      <c r="K661" s="16"/>
      <c r="L661" s="16"/>
    </row>
    <row r="662">
      <c r="A662" s="26" t="s">
        <v>1137</v>
      </c>
      <c r="B662" s="10" t="str">
        <f t="shared" si="1"/>
        <v>fatty_acid</v>
      </c>
      <c r="C662" s="49" t="str">
        <f t="shared" si="2"/>
        <v>S16781FA1</v>
      </c>
      <c r="D662" s="6">
        <v>29.0</v>
      </c>
      <c r="E662" s="10" t="str">
        <f t="shared" si="3"/>
        <v>BFA29</v>
      </c>
      <c r="F662" s="13">
        <v>23.0</v>
      </c>
      <c r="G662" s="10" t="str">
        <f t="shared" si="4"/>
        <v>BFA29-23</v>
      </c>
      <c r="H662" s="16"/>
      <c r="I662" s="16" t="str">
        <f t="shared" si="5"/>
        <v>collected</v>
      </c>
      <c r="J662" s="16" t="str">
        <f t="shared" si="6"/>
        <v>N</v>
      </c>
      <c r="K662" s="16"/>
      <c r="L662" s="16"/>
    </row>
    <row r="663">
      <c r="A663" s="26" t="s">
        <v>1139</v>
      </c>
      <c r="B663" s="10" t="str">
        <f t="shared" si="1"/>
        <v>fatty_acid</v>
      </c>
      <c r="C663" s="49" t="str">
        <f t="shared" si="2"/>
        <v>S16782FA1</v>
      </c>
      <c r="D663" s="6">
        <v>29.0</v>
      </c>
      <c r="E663" s="10" t="str">
        <f t="shared" si="3"/>
        <v>BFA29</v>
      </c>
      <c r="F663" s="13">
        <v>24.0</v>
      </c>
      <c r="G663" s="10" t="str">
        <f t="shared" si="4"/>
        <v>BFA29-24</v>
      </c>
      <c r="H663" s="16"/>
      <c r="I663" s="16" t="str">
        <f t="shared" si="5"/>
        <v>collected</v>
      </c>
      <c r="J663" s="16" t="str">
        <f t="shared" si="6"/>
        <v>N</v>
      </c>
      <c r="K663" s="16"/>
      <c r="L663" s="16"/>
    </row>
    <row r="664">
      <c r="A664" s="26" t="s">
        <v>1140</v>
      </c>
      <c r="B664" s="10" t="str">
        <f t="shared" si="1"/>
        <v>fatty_acid</v>
      </c>
      <c r="C664" s="49" t="str">
        <f t="shared" si="2"/>
        <v>S16783FA1</v>
      </c>
      <c r="D664" s="6">
        <v>29.0</v>
      </c>
      <c r="E664" s="10" t="str">
        <f t="shared" si="3"/>
        <v>BFA29</v>
      </c>
      <c r="F664" s="13">
        <v>25.0</v>
      </c>
      <c r="G664" s="10" t="str">
        <f t="shared" si="4"/>
        <v>BFA29-25</v>
      </c>
      <c r="H664" s="16"/>
      <c r="I664" s="16" t="str">
        <f t="shared" si="5"/>
        <v>collected</v>
      </c>
      <c r="J664" s="16" t="str">
        <f t="shared" si="6"/>
        <v>N</v>
      </c>
      <c r="K664" s="16"/>
      <c r="L664" s="16"/>
    </row>
    <row r="665">
      <c r="A665" s="26" t="s">
        <v>1141</v>
      </c>
      <c r="B665" s="10" t="str">
        <f t="shared" si="1"/>
        <v>fatty_acid</v>
      </c>
      <c r="C665" s="49" t="str">
        <f t="shared" si="2"/>
        <v>S17891FA1</v>
      </c>
      <c r="D665" s="6">
        <v>29.0</v>
      </c>
      <c r="E665" s="10" t="str">
        <f t="shared" si="3"/>
        <v>BFA29</v>
      </c>
      <c r="F665" s="13">
        <v>26.0</v>
      </c>
      <c r="G665" s="10" t="str">
        <f t="shared" si="4"/>
        <v>BFA29-26</v>
      </c>
      <c r="H665" s="16"/>
      <c r="I665" s="16" t="str">
        <f t="shared" si="5"/>
        <v>collected</v>
      </c>
      <c r="J665" s="16" t="str">
        <f t="shared" si="6"/>
        <v>N</v>
      </c>
      <c r="K665" s="16"/>
      <c r="L665" s="16"/>
    </row>
    <row r="666">
      <c r="A666" s="26" t="s">
        <v>1142</v>
      </c>
      <c r="B666" s="10" t="str">
        <f t="shared" si="1"/>
        <v>fatty_acid</v>
      </c>
      <c r="C666" s="49" t="str">
        <f t="shared" si="2"/>
        <v>S17291FA1</v>
      </c>
      <c r="D666" s="6">
        <v>29.0</v>
      </c>
      <c r="E666" s="10" t="str">
        <f t="shared" si="3"/>
        <v>BFA29</v>
      </c>
      <c r="F666" s="13">
        <v>27.0</v>
      </c>
      <c r="G666" s="10" t="str">
        <f t="shared" si="4"/>
        <v>BFA29-27</v>
      </c>
      <c r="H666" s="16"/>
      <c r="I666" s="16" t="str">
        <f t="shared" si="5"/>
        <v>collected</v>
      </c>
      <c r="J666" s="16" t="str">
        <f t="shared" si="6"/>
        <v>N</v>
      </c>
      <c r="K666" s="16"/>
      <c r="L666" s="16"/>
    </row>
    <row r="667">
      <c r="A667" s="26" t="s">
        <v>1143</v>
      </c>
      <c r="B667" s="10" t="str">
        <f t="shared" si="1"/>
        <v>fatty_acid</v>
      </c>
      <c r="C667" s="49" t="str">
        <f t="shared" si="2"/>
        <v>S16541FA1</v>
      </c>
      <c r="D667" s="6">
        <v>29.0</v>
      </c>
      <c r="E667" s="10" t="str">
        <f t="shared" si="3"/>
        <v>BFA29</v>
      </c>
      <c r="F667" s="13">
        <v>28.0</v>
      </c>
      <c r="G667" s="10" t="str">
        <f t="shared" si="4"/>
        <v>BFA29-28</v>
      </c>
      <c r="H667" s="16"/>
      <c r="I667" s="16" t="str">
        <f t="shared" si="5"/>
        <v>collected</v>
      </c>
      <c r="J667" s="16" t="str">
        <f t="shared" si="6"/>
        <v>N</v>
      </c>
      <c r="K667" s="16"/>
      <c r="L667" s="16"/>
    </row>
    <row r="668">
      <c r="A668" s="26" t="s">
        <v>1145</v>
      </c>
      <c r="B668" s="10" t="str">
        <f t="shared" si="1"/>
        <v>fatty_acid</v>
      </c>
      <c r="C668" s="49" t="str">
        <f t="shared" si="2"/>
        <v>S16542FA1</v>
      </c>
      <c r="D668" s="6">
        <v>29.0</v>
      </c>
      <c r="E668" s="10" t="str">
        <f t="shared" si="3"/>
        <v>BFA29</v>
      </c>
      <c r="F668" s="13">
        <v>29.0</v>
      </c>
      <c r="G668" s="10" t="str">
        <f t="shared" si="4"/>
        <v>BFA29-29</v>
      </c>
      <c r="H668" s="16"/>
      <c r="I668" s="16" t="str">
        <f t="shared" si="5"/>
        <v>collected</v>
      </c>
      <c r="J668" s="16" t="str">
        <f t="shared" si="6"/>
        <v>N</v>
      </c>
      <c r="K668" s="16"/>
      <c r="L668" s="16"/>
    </row>
    <row r="669">
      <c r="A669" s="26" t="s">
        <v>1146</v>
      </c>
      <c r="B669" s="10" t="str">
        <f t="shared" si="1"/>
        <v>fatty_acid</v>
      </c>
      <c r="C669" s="49" t="str">
        <f t="shared" si="2"/>
        <v>S16543FA1</v>
      </c>
      <c r="D669" s="6">
        <v>29.0</v>
      </c>
      <c r="E669" s="10" t="str">
        <f t="shared" si="3"/>
        <v>BFA29</v>
      </c>
      <c r="F669" s="13">
        <v>30.0</v>
      </c>
      <c r="G669" s="10" t="str">
        <f t="shared" si="4"/>
        <v>BFA29-30</v>
      </c>
      <c r="H669" s="16"/>
      <c r="I669" s="16" t="str">
        <f t="shared" si="5"/>
        <v>collected</v>
      </c>
      <c r="J669" s="16" t="str">
        <f t="shared" si="6"/>
        <v>N</v>
      </c>
      <c r="K669" s="16"/>
      <c r="L669" s="16"/>
    </row>
    <row r="670">
      <c r="A670" s="44" t="s">
        <v>1147</v>
      </c>
      <c r="B670" s="10" t="str">
        <f t="shared" si="1"/>
        <v>fatty_acid</v>
      </c>
      <c r="C670" s="49" t="str">
        <f t="shared" si="2"/>
        <v>S17277FA1</v>
      </c>
      <c r="D670" s="6">
        <v>28.0</v>
      </c>
      <c r="E670" s="10" t="str">
        <f t="shared" si="3"/>
        <v>BFA28</v>
      </c>
      <c r="F670" s="13">
        <v>27.0</v>
      </c>
      <c r="G670" s="10" t="str">
        <f t="shared" si="4"/>
        <v>BFA28-27</v>
      </c>
      <c r="H670" s="16"/>
      <c r="I670" s="16" t="str">
        <f t="shared" si="5"/>
        <v>collected</v>
      </c>
      <c r="J670" s="16" t="str">
        <f t="shared" si="6"/>
        <v>N</v>
      </c>
      <c r="K670" s="16"/>
      <c r="L670" s="16"/>
    </row>
    <row r="671">
      <c r="A671" s="44" t="s">
        <v>1148</v>
      </c>
      <c r="B671" s="10" t="str">
        <f t="shared" si="1"/>
        <v>fatty_acid</v>
      </c>
      <c r="C671" s="49" t="str">
        <f t="shared" si="2"/>
        <v>S17271FA1</v>
      </c>
      <c r="D671" s="6">
        <v>28.0</v>
      </c>
      <c r="E671" s="10" t="str">
        <f t="shared" si="3"/>
        <v>BFA28</v>
      </c>
      <c r="F671" s="13">
        <v>28.0</v>
      </c>
      <c r="G671" s="10" t="str">
        <f t="shared" si="4"/>
        <v>BFA28-28</v>
      </c>
      <c r="H671" s="16"/>
      <c r="I671" s="16" t="str">
        <f t="shared" si="5"/>
        <v>collected</v>
      </c>
      <c r="J671" s="16" t="str">
        <f t="shared" si="6"/>
        <v>N</v>
      </c>
      <c r="K671" s="16"/>
      <c r="L671" s="16"/>
    </row>
    <row r="672">
      <c r="A672" s="44" t="s">
        <v>1149</v>
      </c>
      <c r="B672" s="10" t="str">
        <f t="shared" si="1"/>
        <v>fatty_acid</v>
      </c>
      <c r="C672" s="49" t="str">
        <f t="shared" si="2"/>
        <v>S17276FA1</v>
      </c>
      <c r="D672" s="6">
        <v>28.0</v>
      </c>
      <c r="E672" s="10" t="str">
        <f t="shared" si="3"/>
        <v>BFA28</v>
      </c>
      <c r="F672" s="13">
        <v>29.0</v>
      </c>
      <c r="G672" s="10" t="str">
        <f t="shared" si="4"/>
        <v>BFA28-29</v>
      </c>
      <c r="H672" s="16"/>
      <c r="I672" s="16" t="str">
        <f t="shared" si="5"/>
        <v>collected</v>
      </c>
      <c r="J672" s="16" t="str">
        <f t="shared" si="6"/>
        <v>N</v>
      </c>
      <c r="K672" s="16"/>
      <c r="L672" s="16"/>
    </row>
    <row r="673">
      <c r="A673" s="44" t="s">
        <v>1151</v>
      </c>
      <c r="B673" s="10" t="str">
        <f t="shared" si="1"/>
        <v>fatty_acid</v>
      </c>
      <c r="C673" s="49" t="str">
        <f t="shared" si="2"/>
        <v>S17280FA1</v>
      </c>
      <c r="D673" s="6">
        <v>28.0</v>
      </c>
      <c r="E673" s="10" t="str">
        <f t="shared" si="3"/>
        <v>BFA28</v>
      </c>
      <c r="F673" s="13">
        <v>30.0</v>
      </c>
      <c r="G673" s="10" t="str">
        <f t="shared" si="4"/>
        <v>BFA28-30</v>
      </c>
      <c r="H673" s="16"/>
      <c r="I673" s="16" t="str">
        <f t="shared" si="5"/>
        <v>collected</v>
      </c>
      <c r="J673" s="16" t="str">
        <f t="shared" si="6"/>
        <v>N</v>
      </c>
      <c r="K673" s="16"/>
      <c r="L673" s="16"/>
    </row>
    <row r="674">
      <c r="A674" s="44" t="s">
        <v>1153</v>
      </c>
      <c r="B674" s="10" t="str">
        <f t="shared" si="1"/>
        <v>fatty_acid</v>
      </c>
      <c r="C674" s="49" t="str">
        <f t="shared" si="2"/>
        <v>S17273FA1</v>
      </c>
      <c r="D674" s="6">
        <v>28.0</v>
      </c>
      <c r="E674" s="10" t="str">
        <f t="shared" si="3"/>
        <v>BFA28</v>
      </c>
      <c r="F674" s="13">
        <v>31.0</v>
      </c>
      <c r="G674" s="10" t="str">
        <f t="shared" si="4"/>
        <v>BFA28-31</v>
      </c>
      <c r="H674" s="16"/>
      <c r="I674" s="16" t="str">
        <f t="shared" si="5"/>
        <v>collected</v>
      </c>
      <c r="J674" s="16" t="str">
        <f t="shared" si="6"/>
        <v>N</v>
      </c>
      <c r="K674" s="16"/>
      <c r="L674" s="16"/>
    </row>
    <row r="675">
      <c r="A675" s="44" t="s">
        <v>1154</v>
      </c>
      <c r="B675" s="10" t="str">
        <f t="shared" si="1"/>
        <v>fatty_acid</v>
      </c>
      <c r="C675" s="49" t="str">
        <f t="shared" si="2"/>
        <v>S17274FA1</v>
      </c>
      <c r="D675" s="6">
        <v>28.0</v>
      </c>
      <c r="E675" s="10" t="str">
        <f t="shared" si="3"/>
        <v>BFA28</v>
      </c>
      <c r="F675" s="13">
        <v>32.0</v>
      </c>
      <c r="G675" s="10" t="str">
        <f t="shared" si="4"/>
        <v>BFA28-32</v>
      </c>
      <c r="H675" s="16"/>
      <c r="I675" s="16" t="str">
        <f t="shared" si="5"/>
        <v>collected</v>
      </c>
      <c r="J675" s="16" t="str">
        <f t="shared" si="6"/>
        <v>N</v>
      </c>
      <c r="K675" s="16"/>
      <c r="L675" s="16"/>
    </row>
    <row r="676">
      <c r="A676" s="44" t="s">
        <v>1155</v>
      </c>
      <c r="B676" s="10" t="str">
        <f t="shared" si="1"/>
        <v>fatty_acid</v>
      </c>
      <c r="C676" s="49" t="str">
        <f t="shared" si="2"/>
        <v>S17275FA1</v>
      </c>
      <c r="D676" s="6">
        <v>28.0</v>
      </c>
      <c r="E676" s="10" t="str">
        <f t="shared" si="3"/>
        <v>BFA28</v>
      </c>
      <c r="F676" s="13">
        <v>33.0</v>
      </c>
      <c r="G676" s="10" t="str">
        <f t="shared" si="4"/>
        <v>BFA28-33</v>
      </c>
      <c r="H676" s="16"/>
      <c r="I676" s="16" t="str">
        <f t="shared" si="5"/>
        <v>collected</v>
      </c>
      <c r="J676" s="16" t="str">
        <f t="shared" si="6"/>
        <v>N</v>
      </c>
      <c r="K676" s="16"/>
      <c r="L676" s="16"/>
    </row>
    <row r="677">
      <c r="A677" s="44" t="s">
        <v>1156</v>
      </c>
      <c r="B677" s="10" t="str">
        <f t="shared" si="1"/>
        <v>fatty_acid</v>
      </c>
      <c r="C677" s="49" t="str">
        <f t="shared" si="2"/>
        <v>S17272FA1</v>
      </c>
      <c r="D677" s="6">
        <v>28.0</v>
      </c>
      <c r="E677" s="10" t="str">
        <f t="shared" si="3"/>
        <v>BFA28</v>
      </c>
      <c r="F677" s="13">
        <v>34.0</v>
      </c>
      <c r="G677" s="10" t="str">
        <f t="shared" si="4"/>
        <v>BFA28-34</v>
      </c>
      <c r="H677" s="16"/>
      <c r="I677" s="16" t="str">
        <f t="shared" si="5"/>
        <v>collected</v>
      </c>
      <c r="J677" s="16" t="str">
        <f t="shared" si="6"/>
        <v>N</v>
      </c>
      <c r="K677" s="16"/>
      <c r="L677" s="16"/>
    </row>
    <row r="678">
      <c r="A678" s="44" t="s">
        <v>1157</v>
      </c>
      <c r="B678" s="10" t="str">
        <f t="shared" si="1"/>
        <v>fatty_acid</v>
      </c>
      <c r="C678" s="49" t="str">
        <f t="shared" si="2"/>
        <v>S17279FA1</v>
      </c>
      <c r="D678" s="6">
        <v>28.0</v>
      </c>
      <c r="E678" s="10" t="str">
        <f t="shared" si="3"/>
        <v>BFA28</v>
      </c>
      <c r="F678" s="13">
        <v>35.0</v>
      </c>
      <c r="G678" s="10" t="str">
        <f t="shared" si="4"/>
        <v>BFA28-35</v>
      </c>
      <c r="H678" s="16"/>
      <c r="I678" s="16" t="str">
        <f t="shared" si="5"/>
        <v>collected</v>
      </c>
      <c r="J678" s="16" t="str">
        <f t="shared" si="6"/>
        <v>N</v>
      </c>
      <c r="K678" s="16"/>
      <c r="L678" s="16"/>
    </row>
    <row r="679">
      <c r="A679" s="44" t="s">
        <v>1159</v>
      </c>
      <c r="B679" s="10" t="str">
        <f t="shared" si="1"/>
        <v>fatty_acid</v>
      </c>
      <c r="C679" s="49" t="str">
        <f t="shared" si="2"/>
        <v>S17278FA1</v>
      </c>
      <c r="D679" s="6">
        <v>28.0</v>
      </c>
      <c r="E679" s="10" t="str">
        <f t="shared" si="3"/>
        <v>BFA28</v>
      </c>
      <c r="F679" s="13">
        <v>36.0</v>
      </c>
      <c r="G679" s="10" t="str">
        <f t="shared" si="4"/>
        <v>BFA28-36</v>
      </c>
      <c r="H679" s="16"/>
      <c r="I679" s="16" t="str">
        <f t="shared" si="5"/>
        <v>collected</v>
      </c>
      <c r="J679" s="16" t="str">
        <f t="shared" si="6"/>
        <v>N</v>
      </c>
      <c r="K679" s="16"/>
      <c r="L679" s="16"/>
    </row>
    <row r="680">
      <c r="A680" s="44" t="s">
        <v>83</v>
      </c>
      <c r="B680" s="10" t="str">
        <f t="shared" si="1"/>
        <v>fatty_acid</v>
      </c>
      <c r="C680" s="49" t="str">
        <f t="shared" si="2"/>
        <v>S17041FA1</v>
      </c>
      <c r="D680" s="6">
        <v>28.0</v>
      </c>
      <c r="E680" s="10" t="str">
        <f t="shared" si="3"/>
        <v>BFA28</v>
      </c>
      <c r="F680" s="13">
        <v>37.0</v>
      </c>
      <c r="G680" s="10" t="str">
        <f t="shared" si="4"/>
        <v>BFA28-37</v>
      </c>
      <c r="H680" s="16"/>
      <c r="I680" s="16" t="str">
        <f t="shared" si="5"/>
        <v>collected</v>
      </c>
      <c r="J680" s="16" t="str">
        <f t="shared" si="6"/>
        <v>N</v>
      </c>
      <c r="K680" s="16"/>
      <c r="L680" s="16"/>
    </row>
    <row r="681">
      <c r="A681" s="44" t="s">
        <v>1161</v>
      </c>
      <c r="B681" s="10" t="str">
        <f t="shared" si="1"/>
        <v>fatty_acid</v>
      </c>
      <c r="C681" s="49" t="str">
        <f t="shared" si="2"/>
        <v>S17072FA1</v>
      </c>
      <c r="D681" s="6">
        <v>28.0</v>
      </c>
      <c r="E681" s="10" t="str">
        <f t="shared" si="3"/>
        <v>BFA28</v>
      </c>
      <c r="F681" s="13">
        <v>38.0</v>
      </c>
      <c r="G681" s="10" t="str">
        <f t="shared" si="4"/>
        <v>BFA28-38</v>
      </c>
      <c r="H681" s="16"/>
      <c r="I681" s="16" t="str">
        <f t="shared" si="5"/>
        <v>collected</v>
      </c>
      <c r="J681" s="16" t="str">
        <f t="shared" si="6"/>
        <v>N</v>
      </c>
      <c r="K681" s="16"/>
      <c r="L681" s="16"/>
    </row>
    <row r="682">
      <c r="A682" s="44" t="s">
        <v>1162</v>
      </c>
      <c r="B682" s="10" t="str">
        <f t="shared" si="1"/>
        <v>fatty_acid</v>
      </c>
      <c r="C682" s="49" t="str">
        <f t="shared" si="2"/>
        <v>S17071FA1</v>
      </c>
      <c r="D682" s="6">
        <v>28.0</v>
      </c>
      <c r="E682" s="10" t="str">
        <f t="shared" si="3"/>
        <v>BFA28</v>
      </c>
      <c r="F682" s="13">
        <v>39.0</v>
      </c>
      <c r="G682" s="10" t="str">
        <f t="shared" si="4"/>
        <v>BFA28-39</v>
      </c>
      <c r="H682" s="16"/>
      <c r="I682" s="16" t="str">
        <f t="shared" si="5"/>
        <v>collected</v>
      </c>
      <c r="J682" s="16" t="str">
        <f t="shared" si="6"/>
        <v>N</v>
      </c>
      <c r="K682" s="16"/>
      <c r="L682" s="16"/>
    </row>
    <row r="683">
      <c r="A683" s="44" t="s">
        <v>1164</v>
      </c>
      <c r="B683" s="10" t="str">
        <f t="shared" si="1"/>
        <v>fatty_acid</v>
      </c>
      <c r="C683" s="49" t="str">
        <f t="shared" si="2"/>
        <v>S16123FA1</v>
      </c>
      <c r="D683" s="6">
        <v>28.0</v>
      </c>
      <c r="E683" s="10" t="str">
        <f t="shared" si="3"/>
        <v>BFA28</v>
      </c>
      <c r="F683" s="13">
        <v>40.0</v>
      </c>
      <c r="G683" s="10" t="str">
        <f t="shared" si="4"/>
        <v>BFA28-40</v>
      </c>
      <c r="H683" s="16"/>
      <c r="I683" s="16" t="str">
        <f t="shared" si="5"/>
        <v>collected</v>
      </c>
      <c r="J683" s="16" t="str">
        <f t="shared" si="6"/>
        <v>N</v>
      </c>
      <c r="K683" s="16"/>
      <c r="L683" s="16"/>
    </row>
    <row r="684">
      <c r="A684" s="44" t="s">
        <v>1165</v>
      </c>
      <c r="B684" s="10" t="str">
        <f t="shared" si="1"/>
        <v>fatty_acid</v>
      </c>
      <c r="C684" s="49" t="str">
        <f t="shared" si="2"/>
        <v>S16122FA1</v>
      </c>
      <c r="D684" s="6">
        <v>28.0</v>
      </c>
      <c r="E684" s="10" t="str">
        <f t="shared" si="3"/>
        <v>BFA28</v>
      </c>
      <c r="F684" s="13">
        <v>41.0</v>
      </c>
      <c r="G684" s="10" t="str">
        <f t="shared" si="4"/>
        <v>BFA28-41</v>
      </c>
      <c r="H684" s="16"/>
      <c r="I684" s="16" t="str">
        <f t="shared" si="5"/>
        <v>collected</v>
      </c>
      <c r="J684" s="16" t="str">
        <f t="shared" si="6"/>
        <v>N</v>
      </c>
      <c r="K684" s="16"/>
      <c r="L684" s="16"/>
    </row>
    <row r="685">
      <c r="A685" s="44" t="s">
        <v>1166</v>
      </c>
      <c r="B685" s="10" t="str">
        <f t="shared" si="1"/>
        <v>fatty_acid</v>
      </c>
      <c r="C685" s="49" t="str">
        <f t="shared" si="2"/>
        <v>S16121FA1</v>
      </c>
      <c r="D685" s="6">
        <v>28.0</v>
      </c>
      <c r="E685" s="10" t="str">
        <f t="shared" si="3"/>
        <v>BFA28</v>
      </c>
      <c r="F685" s="13">
        <v>42.0</v>
      </c>
      <c r="G685" s="10" t="str">
        <f t="shared" si="4"/>
        <v>BFA28-42</v>
      </c>
      <c r="H685" s="16"/>
      <c r="I685" s="16" t="str">
        <f t="shared" si="5"/>
        <v>collected</v>
      </c>
      <c r="J685" s="16" t="str">
        <f t="shared" si="6"/>
        <v>N</v>
      </c>
      <c r="K685" s="16"/>
      <c r="L685" s="16"/>
    </row>
    <row r="686">
      <c r="A686" s="44" t="s">
        <v>1167</v>
      </c>
      <c r="B686" s="10" t="str">
        <f t="shared" si="1"/>
        <v>fatty_acid</v>
      </c>
      <c r="C686" s="49" t="str">
        <f t="shared" si="2"/>
        <v>S16453FA1</v>
      </c>
      <c r="D686" s="6">
        <v>28.0</v>
      </c>
      <c r="E686" s="10" t="str">
        <f t="shared" si="3"/>
        <v>BFA28</v>
      </c>
      <c r="F686" s="13">
        <v>43.0</v>
      </c>
      <c r="G686" s="10" t="str">
        <f t="shared" si="4"/>
        <v>BFA28-43</v>
      </c>
      <c r="H686" s="16"/>
      <c r="I686" s="16" t="str">
        <f t="shared" si="5"/>
        <v>collected</v>
      </c>
      <c r="J686" s="16" t="str">
        <f t="shared" si="6"/>
        <v>N</v>
      </c>
      <c r="K686" s="16"/>
      <c r="L686" s="16"/>
    </row>
    <row r="687">
      <c r="A687" s="44" t="s">
        <v>1168</v>
      </c>
      <c r="B687" s="10" t="str">
        <f t="shared" si="1"/>
        <v>fatty_acid</v>
      </c>
      <c r="C687" s="49" t="str">
        <f t="shared" si="2"/>
        <v>S16454FA1</v>
      </c>
      <c r="D687" s="6">
        <v>28.0</v>
      </c>
      <c r="E687" s="10" t="str">
        <f t="shared" si="3"/>
        <v>BFA28</v>
      </c>
      <c r="F687" s="13">
        <v>44.0</v>
      </c>
      <c r="G687" s="10" t="str">
        <f t="shared" si="4"/>
        <v>BFA28-44</v>
      </c>
      <c r="I687" s="16" t="str">
        <f t="shared" si="5"/>
        <v>collected</v>
      </c>
      <c r="J687" s="16" t="str">
        <f t="shared" si="6"/>
        <v>N</v>
      </c>
      <c r="K687" s="16"/>
      <c r="L687" s="16"/>
    </row>
    <row r="688">
      <c r="A688" s="43" t="s">
        <v>1171</v>
      </c>
      <c r="B688" s="10" t="str">
        <f t="shared" si="1"/>
        <v>fatty_acid</v>
      </c>
      <c r="C688" s="49" t="str">
        <f t="shared" si="2"/>
        <v>S16451FA1</v>
      </c>
      <c r="D688" s="6">
        <v>28.0</v>
      </c>
      <c r="E688" s="10" t="str">
        <f t="shared" si="3"/>
        <v>BFA28</v>
      </c>
      <c r="F688" s="13">
        <v>45.0</v>
      </c>
      <c r="G688" s="10" t="str">
        <f t="shared" si="4"/>
        <v>BFA28-45</v>
      </c>
      <c r="I688" s="16" t="str">
        <f t="shared" si="5"/>
        <v>collected</v>
      </c>
      <c r="J688" s="16" t="str">
        <f t="shared" si="6"/>
        <v>N</v>
      </c>
      <c r="K688" s="16"/>
      <c r="L688" s="16"/>
    </row>
    <row r="689">
      <c r="A689" s="43" t="s">
        <v>1173</v>
      </c>
      <c r="B689" s="10" t="str">
        <f t="shared" si="1"/>
        <v>fatty_acid</v>
      </c>
      <c r="C689" s="49" t="str">
        <f t="shared" si="2"/>
        <v>S16452FA1</v>
      </c>
      <c r="D689" s="6">
        <v>28.0</v>
      </c>
      <c r="E689" s="10" t="str">
        <f t="shared" si="3"/>
        <v>BFA28</v>
      </c>
      <c r="F689" s="13">
        <v>46.0</v>
      </c>
      <c r="G689" s="10" t="str">
        <f t="shared" si="4"/>
        <v>BFA28-46</v>
      </c>
      <c r="I689" s="16" t="str">
        <f t="shared" si="5"/>
        <v>collected</v>
      </c>
      <c r="J689" s="16" t="str">
        <f t="shared" si="6"/>
        <v>N</v>
      </c>
      <c r="K689" s="16"/>
      <c r="L689" s="16"/>
    </row>
    <row r="690">
      <c r="A690" s="43" t="s">
        <v>1174</v>
      </c>
      <c r="B690" s="10" t="str">
        <f t="shared" si="1"/>
        <v>fatty_acid</v>
      </c>
      <c r="C690" s="49" t="str">
        <f t="shared" si="2"/>
        <v>S16581FA1</v>
      </c>
      <c r="D690" s="6">
        <v>28.0</v>
      </c>
      <c r="E690" s="10" t="str">
        <f t="shared" si="3"/>
        <v>BFA28</v>
      </c>
      <c r="F690" s="13">
        <v>47.0</v>
      </c>
      <c r="G690" s="10" t="str">
        <f t="shared" si="4"/>
        <v>BFA28-47</v>
      </c>
      <c r="I690" s="16" t="str">
        <f t="shared" si="5"/>
        <v>collected</v>
      </c>
      <c r="J690" s="16" t="str">
        <f t="shared" si="6"/>
        <v>N</v>
      </c>
      <c r="K690" s="16"/>
      <c r="L690" s="16"/>
    </row>
    <row r="691">
      <c r="A691" s="43" t="s">
        <v>1175</v>
      </c>
      <c r="B691" s="10" t="str">
        <f t="shared" si="1"/>
        <v>fatty_acid</v>
      </c>
      <c r="C691" s="49" t="str">
        <f t="shared" si="2"/>
        <v>S16585FA1</v>
      </c>
      <c r="D691" s="6">
        <v>28.0</v>
      </c>
      <c r="E691" s="10" t="str">
        <f t="shared" si="3"/>
        <v>BFA28</v>
      </c>
      <c r="F691" s="13">
        <v>48.0</v>
      </c>
      <c r="G691" s="10" t="str">
        <f t="shared" si="4"/>
        <v>BFA28-48</v>
      </c>
      <c r="I691" s="16" t="str">
        <f t="shared" si="5"/>
        <v>collected</v>
      </c>
      <c r="J691" s="16" t="str">
        <f t="shared" si="6"/>
        <v>N</v>
      </c>
      <c r="K691" s="16"/>
      <c r="L691" s="16"/>
    </row>
    <row r="692">
      <c r="A692" s="43" t="s">
        <v>1176</v>
      </c>
      <c r="B692" s="10" t="str">
        <f t="shared" si="1"/>
        <v>fatty_acid</v>
      </c>
      <c r="C692" s="49" t="str">
        <f t="shared" si="2"/>
        <v>S16584FA1</v>
      </c>
      <c r="D692" s="6">
        <v>28.0</v>
      </c>
      <c r="E692" s="10" t="str">
        <f t="shared" si="3"/>
        <v>BFA28</v>
      </c>
      <c r="F692" s="13">
        <v>49.0</v>
      </c>
      <c r="G692" s="10" t="str">
        <f t="shared" si="4"/>
        <v>BFA28-49</v>
      </c>
      <c r="I692" s="16" t="str">
        <f t="shared" si="5"/>
        <v>collected</v>
      </c>
      <c r="J692" s="16" t="str">
        <f t="shared" si="6"/>
        <v>N</v>
      </c>
      <c r="K692" s="16"/>
      <c r="L692" s="16"/>
    </row>
    <row r="693">
      <c r="A693" s="43" t="s">
        <v>97</v>
      </c>
      <c r="B693" s="10" t="str">
        <f t="shared" si="1"/>
        <v>fatty_acid</v>
      </c>
      <c r="C693" s="49" t="str">
        <f t="shared" si="2"/>
        <v>S16583FA1</v>
      </c>
      <c r="D693" s="6">
        <v>28.0</v>
      </c>
      <c r="E693" s="10" t="str">
        <f t="shared" si="3"/>
        <v>BFA28</v>
      </c>
      <c r="F693" s="13">
        <v>50.0</v>
      </c>
      <c r="G693" s="10" t="str">
        <f t="shared" si="4"/>
        <v>BFA28-50</v>
      </c>
      <c r="I693" s="16" t="str">
        <f t="shared" si="5"/>
        <v>collected</v>
      </c>
      <c r="J693" s="16" t="str">
        <f t="shared" si="6"/>
        <v>N</v>
      </c>
      <c r="K693" s="16"/>
      <c r="L693" s="16"/>
    </row>
    <row r="694">
      <c r="A694" s="43" t="s">
        <v>107</v>
      </c>
      <c r="B694" s="10" t="str">
        <f t="shared" si="1"/>
        <v>fatty_acid</v>
      </c>
      <c r="C694" s="49" t="str">
        <f t="shared" si="2"/>
        <v>S16582FA1</v>
      </c>
      <c r="D694" s="6">
        <v>28.0</v>
      </c>
      <c r="E694" s="10" t="str">
        <f t="shared" si="3"/>
        <v>BFA28</v>
      </c>
      <c r="F694" s="13">
        <v>51.0</v>
      </c>
      <c r="G694" s="10" t="str">
        <f t="shared" si="4"/>
        <v>BFA28-51</v>
      </c>
      <c r="I694" s="16" t="str">
        <f t="shared" si="5"/>
        <v>collected</v>
      </c>
      <c r="J694" s="16" t="str">
        <f t="shared" si="6"/>
        <v>N</v>
      </c>
      <c r="K694" s="16"/>
      <c r="L694" s="16"/>
    </row>
    <row r="695">
      <c r="A695" s="43" t="s">
        <v>115</v>
      </c>
      <c r="B695" s="10" t="str">
        <f t="shared" si="1"/>
        <v>fatty_acid</v>
      </c>
      <c r="C695" s="49" t="str">
        <f t="shared" si="2"/>
        <v>S16901FA1</v>
      </c>
      <c r="D695" s="6">
        <v>28.0</v>
      </c>
      <c r="E695" s="10" t="str">
        <f t="shared" si="3"/>
        <v>BFA28</v>
      </c>
      <c r="F695" s="13">
        <v>52.0</v>
      </c>
      <c r="G695" s="10" t="str">
        <f t="shared" si="4"/>
        <v>BFA28-52</v>
      </c>
      <c r="I695" s="16" t="str">
        <f t="shared" si="5"/>
        <v>collected</v>
      </c>
      <c r="J695" s="16" t="str">
        <f t="shared" si="6"/>
        <v>N</v>
      </c>
      <c r="K695" s="16"/>
      <c r="L695" s="16"/>
    </row>
    <row r="696">
      <c r="A696" s="43" t="s">
        <v>122</v>
      </c>
      <c r="B696" s="10" t="str">
        <f t="shared" si="1"/>
        <v>fatty_acid</v>
      </c>
      <c r="C696" s="49" t="str">
        <f t="shared" si="2"/>
        <v>S17871FA1</v>
      </c>
      <c r="D696" s="6">
        <v>28.0</v>
      </c>
      <c r="E696" s="10" t="str">
        <f t="shared" si="3"/>
        <v>BFA28</v>
      </c>
      <c r="F696" s="13">
        <v>53.0</v>
      </c>
      <c r="G696" s="10" t="str">
        <f t="shared" si="4"/>
        <v>BFA28-53</v>
      </c>
      <c r="I696" s="16" t="str">
        <f t="shared" si="5"/>
        <v>collected</v>
      </c>
      <c r="J696" s="16" t="str">
        <f t="shared" si="6"/>
        <v>N</v>
      </c>
      <c r="K696" s="16"/>
      <c r="L696" s="16"/>
    </row>
    <row r="697">
      <c r="A697" s="43" t="s">
        <v>132</v>
      </c>
      <c r="B697" s="10" t="str">
        <f t="shared" si="1"/>
        <v>fatty_acid</v>
      </c>
      <c r="C697" s="49" t="str">
        <f t="shared" si="2"/>
        <v>S17661FA1</v>
      </c>
      <c r="D697" s="6">
        <v>28.0</v>
      </c>
      <c r="E697" s="10" t="str">
        <f t="shared" si="3"/>
        <v>BFA28</v>
      </c>
      <c r="F697" s="13">
        <v>54.0</v>
      </c>
      <c r="G697" s="10" t="str">
        <f t="shared" si="4"/>
        <v>BFA28-54</v>
      </c>
      <c r="I697" s="16" t="str">
        <f t="shared" si="5"/>
        <v>collected</v>
      </c>
      <c r="J697" s="16" t="str">
        <f t="shared" si="6"/>
        <v>N</v>
      </c>
      <c r="K697" s="16"/>
      <c r="L697" s="16"/>
    </row>
    <row r="698">
      <c r="A698" s="43" t="s">
        <v>140</v>
      </c>
      <c r="B698" s="10" t="str">
        <f t="shared" si="1"/>
        <v>fatty_acid</v>
      </c>
      <c r="C698" s="49" t="str">
        <f t="shared" si="2"/>
        <v>S17125FA1</v>
      </c>
      <c r="D698" s="6">
        <v>28.0</v>
      </c>
      <c r="E698" s="10" t="str">
        <f t="shared" si="3"/>
        <v>BFA28</v>
      </c>
      <c r="F698" s="13">
        <v>55.0</v>
      </c>
      <c r="G698" s="10" t="str">
        <f t="shared" si="4"/>
        <v>BFA28-55</v>
      </c>
      <c r="I698" s="16" t="str">
        <f t="shared" si="5"/>
        <v>collected</v>
      </c>
      <c r="J698" s="16" t="str">
        <f t="shared" si="6"/>
        <v>N</v>
      </c>
      <c r="K698" s="16"/>
      <c r="L698" s="16"/>
    </row>
    <row r="699">
      <c r="A699" s="43" t="s">
        <v>147</v>
      </c>
      <c r="B699" s="10" t="str">
        <f t="shared" si="1"/>
        <v>fatty_acid</v>
      </c>
      <c r="C699" s="49" t="str">
        <f t="shared" si="2"/>
        <v>S17123FA1</v>
      </c>
      <c r="D699" s="6">
        <v>28.0</v>
      </c>
      <c r="E699" s="10" t="str">
        <f t="shared" si="3"/>
        <v>BFA28</v>
      </c>
      <c r="F699" s="13">
        <v>56.0</v>
      </c>
      <c r="G699" s="10" t="str">
        <f t="shared" si="4"/>
        <v>BFA28-56</v>
      </c>
      <c r="I699" s="16" t="str">
        <f t="shared" si="5"/>
        <v>collected</v>
      </c>
      <c r="J699" s="16" t="str">
        <f t="shared" si="6"/>
        <v>N</v>
      </c>
      <c r="K699" s="16"/>
      <c r="L699" s="16"/>
    </row>
    <row r="700">
      <c r="A700" s="43" t="s">
        <v>157</v>
      </c>
      <c r="B700" s="10" t="str">
        <f t="shared" si="1"/>
        <v>fatty_acid</v>
      </c>
      <c r="C700" s="49" t="str">
        <f t="shared" si="2"/>
        <v>S17122FA1</v>
      </c>
      <c r="D700" s="6">
        <v>28.0</v>
      </c>
      <c r="E700" s="10" t="str">
        <f t="shared" si="3"/>
        <v>BFA28</v>
      </c>
      <c r="F700" s="13">
        <v>57.0</v>
      </c>
      <c r="G700" s="10" t="str">
        <f t="shared" si="4"/>
        <v>BFA28-57</v>
      </c>
      <c r="I700" s="16" t="str">
        <f t="shared" si="5"/>
        <v>collected</v>
      </c>
      <c r="J700" s="16" t="str">
        <f t="shared" si="6"/>
        <v>N</v>
      </c>
      <c r="K700" s="16"/>
      <c r="L700" s="16"/>
    </row>
    <row r="701">
      <c r="A701" s="43" t="s">
        <v>165</v>
      </c>
      <c r="B701" s="10" t="str">
        <f t="shared" si="1"/>
        <v>fatty_acid</v>
      </c>
      <c r="C701" s="49" t="str">
        <f t="shared" si="2"/>
        <v>S17124FA1</v>
      </c>
      <c r="D701" s="6">
        <v>28.0</v>
      </c>
      <c r="E701" s="10" t="str">
        <f t="shared" si="3"/>
        <v>BFA28</v>
      </c>
      <c r="F701" s="13">
        <v>58.0</v>
      </c>
      <c r="G701" s="10" t="str">
        <f t="shared" si="4"/>
        <v>BFA28-58</v>
      </c>
      <c r="I701" s="16" t="str">
        <f t="shared" si="5"/>
        <v>collected</v>
      </c>
      <c r="J701" s="16" t="str">
        <f t="shared" si="6"/>
        <v>N</v>
      </c>
      <c r="K701" s="16"/>
      <c r="L701" s="16"/>
    </row>
    <row r="702">
      <c r="A702" s="6" t="s">
        <v>170</v>
      </c>
      <c r="B702" s="10" t="str">
        <f t="shared" si="1"/>
        <v>fatty_acid</v>
      </c>
      <c r="C702" s="49" t="str">
        <f t="shared" si="2"/>
        <v>S16544FA1</v>
      </c>
      <c r="D702" s="6">
        <v>29.0</v>
      </c>
      <c r="E702" s="10" t="str">
        <f t="shared" si="3"/>
        <v>BFA29</v>
      </c>
      <c r="F702" s="13">
        <v>31.0</v>
      </c>
      <c r="G702" s="10" t="str">
        <f t="shared" si="4"/>
        <v>BFA29-31</v>
      </c>
      <c r="I702" s="16" t="str">
        <f t="shared" si="5"/>
        <v>collected</v>
      </c>
      <c r="J702" s="16" t="str">
        <f t="shared" si="6"/>
        <v>N</v>
      </c>
      <c r="K702" s="16"/>
      <c r="L702" s="16"/>
    </row>
    <row r="703">
      <c r="A703" s="6" t="s">
        <v>178</v>
      </c>
      <c r="B703" s="10" t="str">
        <f t="shared" si="1"/>
        <v>fatty_acid</v>
      </c>
      <c r="C703" s="49" t="str">
        <f t="shared" si="2"/>
        <v>S16545FA1</v>
      </c>
      <c r="D703" s="6">
        <v>29.0</v>
      </c>
      <c r="E703" s="10" t="str">
        <f t="shared" si="3"/>
        <v>BFA29</v>
      </c>
      <c r="F703" s="13">
        <v>32.0</v>
      </c>
      <c r="G703" s="10" t="str">
        <f t="shared" si="4"/>
        <v>BFA29-32</v>
      </c>
      <c r="I703" s="16" t="str">
        <f t="shared" si="5"/>
        <v>collected</v>
      </c>
      <c r="J703" s="16" t="str">
        <f t="shared" si="6"/>
        <v>N</v>
      </c>
      <c r="K703" s="16"/>
      <c r="L703" s="16"/>
    </row>
    <row r="704">
      <c r="A704" s="6" t="s">
        <v>1183</v>
      </c>
      <c r="B704" s="10" t="str">
        <f t="shared" si="1"/>
        <v>fatty_acid</v>
      </c>
      <c r="C704" s="49" t="str">
        <f t="shared" si="2"/>
        <v>S16546FA1</v>
      </c>
      <c r="D704" s="6">
        <v>29.0</v>
      </c>
      <c r="E704" s="10" t="str">
        <f t="shared" si="3"/>
        <v>BFA29</v>
      </c>
      <c r="F704" s="13">
        <v>33.0</v>
      </c>
      <c r="G704" s="10" t="str">
        <f t="shared" si="4"/>
        <v>BFA29-33</v>
      </c>
      <c r="I704" s="16" t="str">
        <f t="shared" si="5"/>
        <v>collected</v>
      </c>
      <c r="J704" s="16" t="str">
        <f t="shared" si="6"/>
        <v>N</v>
      </c>
      <c r="K704" s="16"/>
      <c r="L704" s="16"/>
    </row>
    <row r="705">
      <c r="A705" s="6" t="s">
        <v>186</v>
      </c>
      <c r="B705" s="10" t="str">
        <f t="shared" si="1"/>
        <v>fatty_acid</v>
      </c>
      <c r="C705" s="49" t="str">
        <f t="shared" si="2"/>
        <v>S16547FA1</v>
      </c>
      <c r="D705" s="6">
        <v>29.0</v>
      </c>
      <c r="E705" s="10" t="str">
        <f t="shared" si="3"/>
        <v>BFA29</v>
      </c>
      <c r="F705" s="13">
        <v>34.0</v>
      </c>
      <c r="G705" s="10" t="str">
        <f t="shared" si="4"/>
        <v>BFA29-34</v>
      </c>
      <c r="I705" s="16" t="str">
        <f t="shared" si="5"/>
        <v>collected</v>
      </c>
      <c r="J705" s="16" t="str">
        <f t="shared" si="6"/>
        <v>N</v>
      </c>
      <c r="K705" s="16"/>
      <c r="L705" s="16"/>
    </row>
    <row r="706">
      <c r="A706" s="6" t="s">
        <v>192</v>
      </c>
      <c r="B706" s="10" t="str">
        <f t="shared" si="1"/>
        <v>fatty_acid</v>
      </c>
      <c r="C706" s="49" t="str">
        <f t="shared" si="2"/>
        <v>S16548FA1</v>
      </c>
      <c r="D706" s="6">
        <v>29.0</v>
      </c>
      <c r="E706" s="10" t="str">
        <f t="shared" si="3"/>
        <v>BFA29</v>
      </c>
      <c r="F706" s="13">
        <v>35.0</v>
      </c>
      <c r="G706" s="10" t="str">
        <f t="shared" si="4"/>
        <v>BFA29-35</v>
      </c>
      <c r="H706" s="31"/>
      <c r="I706" s="16" t="str">
        <f t="shared" si="5"/>
        <v>collected</v>
      </c>
      <c r="J706" s="16" t="str">
        <f t="shared" si="6"/>
        <v>N</v>
      </c>
      <c r="K706" s="16"/>
      <c r="L706" s="16"/>
    </row>
    <row r="707">
      <c r="A707" s="6" t="s">
        <v>200</v>
      </c>
      <c r="B707" s="10" t="str">
        <f t="shared" si="1"/>
        <v>fatty_acid</v>
      </c>
      <c r="C707" s="49" t="str">
        <f t="shared" si="2"/>
        <v>S16549FA1</v>
      </c>
      <c r="D707" s="6">
        <v>29.0</v>
      </c>
      <c r="E707" s="10" t="str">
        <f t="shared" si="3"/>
        <v>BFA29</v>
      </c>
      <c r="F707" s="13">
        <v>36.0</v>
      </c>
      <c r="G707" s="10" t="str">
        <f t="shared" si="4"/>
        <v>BFA29-36</v>
      </c>
      <c r="H707" s="43"/>
      <c r="I707" s="16" t="str">
        <f t="shared" si="5"/>
        <v>collected</v>
      </c>
      <c r="J707" s="16" t="str">
        <f t="shared" si="6"/>
        <v>N</v>
      </c>
      <c r="K707" s="16"/>
      <c r="L707" s="16"/>
    </row>
    <row r="708">
      <c r="A708" s="26" t="s">
        <v>208</v>
      </c>
      <c r="B708" s="10" t="str">
        <f t="shared" si="1"/>
        <v>fatty_acid</v>
      </c>
      <c r="C708" s="49" t="str">
        <f t="shared" si="2"/>
        <v>S16550FA1</v>
      </c>
      <c r="D708" s="6">
        <v>29.0</v>
      </c>
      <c r="E708" s="10" t="str">
        <f t="shared" si="3"/>
        <v>BFA29</v>
      </c>
      <c r="F708" s="13">
        <v>37.0</v>
      </c>
      <c r="G708" s="10" t="str">
        <f t="shared" si="4"/>
        <v>BFA29-37</v>
      </c>
      <c r="H708" s="43"/>
      <c r="I708" s="16" t="str">
        <f t="shared" si="5"/>
        <v>collected</v>
      </c>
      <c r="J708" s="16" t="str">
        <f t="shared" si="6"/>
        <v>N</v>
      </c>
      <c r="K708" s="16"/>
      <c r="L708" s="16"/>
    </row>
    <row r="709">
      <c r="A709" s="26" t="s">
        <v>216</v>
      </c>
      <c r="B709" s="10" t="str">
        <f t="shared" si="1"/>
        <v>fatty_acid</v>
      </c>
      <c r="C709" s="49" t="str">
        <f t="shared" si="2"/>
        <v>S16621FA1</v>
      </c>
      <c r="D709" s="6">
        <v>29.0</v>
      </c>
      <c r="E709" s="10" t="str">
        <f t="shared" si="3"/>
        <v>BFA29</v>
      </c>
      <c r="F709" s="13">
        <v>38.0</v>
      </c>
      <c r="G709" s="10" t="str">
        <f t="shared" si="4"/>
        <v>BFA29-38</v>
      </c>
      <c r="H709" s="43"/>
      <c r="I709" s="16" t="str">
        <f t="shared" si="5"/>
        <v>collected</v>
      </c>
      <c r="J709" s="16" t="str">
        <f t="shared" si="6"/>
        <v>N</v>
      </c>
      <c r="K709" s="16"/>
      <c r="L709" s="16"/>
    </row>
    <row r="710">
      <c r="A710" s="26" t="s">
        <v>224</v>
      </c>
      <c r="B710" s="10" t="str">
        <f t="shared" si="1"/>
        <v>fatty_acid</v>
      </c>
      <c r="C710" s="49" t="str">
        <f t="shared" si="2"/>
        <v>S16622FA1</v>
      </c>
      <c r="D710" s="6">
        <v>29.0</v>
      </c>
      <c r="E710" s="10" t="str">
        <f t="shared" si="3"/>
        <v>BFA29</v>
      </c>
      <c r="F710" s="13">
        <v>39.0</v>
      </c>
      <c r="G710" s="10" t="str">
        <f t="shared" si="4"/>
        <v>BFA29-39</v>
      </c>
      <c r="H710" s="43"/>
      <c r="I710" s="16" t="str">
        <f t="shared" si="5"/>
        <v>collected</v>
      </c>
      <c r="J710" s="16" t="str">
        <f t="shared" si="6"/>
        <v>N</v>
      </c>
      <c r="K710" s="16"/>
      <c r="L710" s="16"/>
    </row>
    <row r="711">
      <c r="A711" s="26" t="s">
        <v>1188</v>
      </c>
      <c r="B711" s="10" t="str">
        <f t="shared" si="1"/>
        <v>fatty_acid</v>
      </c>
      <c r="C711" s="49" t="str">
        <f t="shared" si="2"/>
        <v>S16623FA1</v>
      </c>
      <c r="D711" s="6">
        <v>29.0</v>
      </c>
      <c r="E711" s="10" t="str">
        <f t="shared" si="3"/>
        <v>BFA29</v>
      </c>
      <c r="F711" s="13">
        <v>40.0</v>
      </c>
      <c r="G711" s="10" t="str">
        <f t="shared" si="4"/>
        <v>BFA29-40</v>
      </c>
      <c r="H711" s="43"/>
      <c r="I711" s="16" t="str">
        <f t="shared" si="5"/>
        <v>collected</v>
      </c>
      <c r="J711" s="16" t="str">
        <f t="shared" si="6"/>
        <v>N</v>
      </c>
      <c r="K711" s="16"/>
      <c r="L711" s="16"/>
    </row>
    <row r="712">
      <c r="A712" s="26" t="s">
        <v>1189</v>
      </c>
      <c r="B712" s="10" t="str">
        <f t="shared" si="1"/>
        <v>fatty_acid</v>
      </c>
      <c r="C712" s="49" t="str">
        <f t="shared" si="2"/>
        <v>S16624FA1</v>
      </c>
      <c r="D712" s="6">
        <v>29.0</v>
      </c>
      <c r="E712" s="10" t="str">
        <f t="shared" si="3"/>
        <v>BFA29</v>
      </c>
      <c r="F712" s="13">
        <v>41.0</v>
      </c>
      <c r="G712" s="10" t="str">
        <f t="shared" si="4"/>
        <v>BFA29-41</v>
      </c>
      <c r="H712" s="40"/>
      <c r="I712" s="16" t="str">
        <f t="shared" si="5"/>
        <v>collected</v>
      </c>
      <c r="J712" s="16" t="str">
        <f t="shared" si="6"/>
        <v>N</v>
      </c>
      <c r="K712" s="16"/>
      <c r="L712" s="16"/>
    </row>
    <row r="713">
      <c r="A713" s="26" t="s">
        <v>231</v>
      </c>
      <c r="B713" s="10" t="str">
        <f t="shared" si="1"/>
        <v>fatty_acid</v>
      </c>
      <c r="C713" s="49" t="str">
        <f t="shared" si="2"/>
        <v>S16625FA1</v>
      </c>
      <c r="D713" s="6">
        <v>29.0</v>
      </c>
      <c r="E713" s="10" t="str">
        <f t="shared" si="3"/>
        <v>BFA29</v>
      </c>
      <c r="F713" s="13">
        <v>42.0</v>
      </c>
      <c r="G713" s="10" t="str">
        <f t="shared" si="4"/>
        <v>BFA29-42</v>
      </c>
      <c r="H713" s="40"/>
      <c r="I713" s="16" t="str">
        <f t="shared" si="5"/>
        <v>collected</v>
      </c>
      <c r="J713" s="16" t="str">
        <f t="shared" si="6"/>
        <v>N</v>
      </c>
      <c r="K713" s="16"/>
      <c r="L713" s="16"/>
    </row>
    <row r="714">
      <c r="A714" s="26" t="s">
        <v>236</v>
      </c>
      <c r="B714" s="10" t="str">
        <f t="shared" si="1"/>
        <v>fatty_acid</v>
      </c>
      <c r="C714" s="49" t="str">
        <f t="shared" si="2"/>
        <v>S16626FA1</v>
      </c>
      <c r="D714" s="6">
        <v>29.0</v>
      </c>
      <c r="E714" s="10" t="str">
        <f t="shared" si="3"/>
        <v>BFA29</v>
      </c>
      <c r="F714" s="13">
        <v>43.0</v>
      </c>
      <c r="G714" s="10" t="str">
        <f t="shared" si="4"/>
        <v>BFA29-43</v>
      </c>
      <c r="H714" s="40"/>
      <c r="I714" s="16" t="str">
        <f t="shared" si="5"/>
        <v>collected</v>
      </c>
      <c r="J714" s="16" t="str">
        <f t="shared" si="6"/>
        <v>N</v>
      </c>
      <c r="K714" s="16"/>
      <c r="L714" s="16"/>
    </row>
    <row r="715">
      <c r="A715" s="26" t="s">
        <v>243</v>
      </c>
      <c r="B715" s="10" t="str">
        <f t="shared" si="1"/>
        <v>fatty_acid</v>
      </c>
      <c r="C715" s="49" t="str">
        <f t="shared" si="2"/>
        <v>S16911FA1</v>
      </c>
      <c r="D715" s="6">
        <v>29.0</v>
      </c>
      <c r="E715" s="10" t="str">
        <f t="shared" si="3"/>
        <v>BFA29</v>
      </c>
      <c r="F715" s="13">
        <v>44.0</v>
      </c>
      <c r="G715" s="10" t="str">
        <f t="shared" si="4"/>
        <v>BFA29-44</v>
      </c>
      <c r="H715" s="43"/>
      <c r="I715" s="16" t="str">
        <f t="shared" si="5"/>
        <v>collected</v>
      </c>
      <c r="J715" s="16" t="str">
        <f t="shared" si="6"/>
        <v>N</v>
      </c>
      <c r="K715" s="16"/>
      <c r="L715" s="16"/>
    </row>
    <row r="716">
      <c r="A716" s="26" t="s">
        <v>251</v>
      </c>
      <c r="B716" s="10" t="str">
        <f t="shared" si="1"/>
        <v>fatty_acid</v>
      </c>
      <c r="C716" s="49" t="str">
        <f t="shared" si="2"/>
        <v>S16912FA1</v>
      </c>
      <c r="D716" s="6">
        <v>29.0</v>
      </c>
      <c r="E716" s="10" t="str">
        <f t="shared" si="3"/>
        <v>BFA29</v>
      </c>
      <c r="F716" s="13">
        <v>45.0</v>
      </c>
      <c r="G716" s="10" t="str">
        <f t="shared" si="4"/>
        <v>BFA29-45</v>
      </c>
      <c r="H716" s="43"/>
      <c r="I716" s="16" t="str">
        <f t="shared" si="5"/>
        <v>collected</v>
      </c>
      <c r="J716" s="16" t="str">
        <f t="shared" si="6"/>
        <v>N</v>
      </c>
      <c r="K716" s="16"/>
      <c r="L716" s="16"/>
    </row>
    <row r="717">
      <c r="A717" s="26" t="s">
        <v>259</v>
      </c>
      <c r="B717" s="10" t="str">
        <f t="shared" si="1"/>
        <v>fatty_acid</v>
      </c>
      <c r="C717" s="49" t="str">
        <f t="shared" si="2"/>
        <v>S16913FA1</v>
      </c>
      <c r="D717" s="6">
        <v>29.0</v>
      </c>
      <c r="E717" s="10" t="str">
        <f t="shared" si="3"/>
        <v>BFA29</v>
      </c>
      <c r="F717" s="13">
        <v>46.0</v>
      </c>
      <c r="G717" s="10" t="str">
        <f t="shared" si="4"/>
        <v>BFA29-46</v>
      </c>
      <c r="H717" s="40"/>
      <c r="I717" s="16" t="str">
        <f t="shared" si="5"/>
        <v>collected</v>
      </c>
      <c r="J717" s="16" t="str">
        <f t="shared" si="6"/>
        <v>N</v>
      </c>
      <c r="K717" s="16"/>
      <c r="L717" s="16"/>
    </row>
    <row r="718">
      <c r="A718" s="26" t="s">
        <v>265</v>
      </c>
      <c r="B718" s="10" t="str">
        <f t="shared" si="1"/>
        <v>fatty_acid</v>
      </c>
      <c r="C718" s="49" t="str">
        <f t="shared" si="2"/>
        <v>S16914FA1</v>
      </c>
      <c r="D718" s="6">
        <v>29.0</v>
      </c>
      <c r="E718" s="10" t="str">
        <f t="shared" si="3"/>
        <v>BFA29</v>
      </c>
      <c r="F718" s="13">
        <v>47.0</v>
      </c>
      <c r="G718" s="10" t="str">
        <f t="shared" si="4"/>
        <v>BFA29-47</v>
      </c>
      <c r="H718" s="43"/>
      <c r="I718" s="16" t="str">
        <f t="shared" si="5"/>
        <v>collected</v>
      </c>
      <c r="J718" s="16" t="str">
        <f t="shared" si="6"/>
        <v>N</v>
      </c>
      <c r="K718" s="16"/>
      <c r="L718" s="16"/>
    </row>
    <row r="719">
      <c r="A719" s="26" t="s">
        <v>275</v>
      </c>
      <c r="B719" s="10" t="str">
        <f t="shared" si="1"/>
        <v>fatty_acid</v>
      </c>
      <c r="C719" s="49" t="str">
        <f t="shared" si="2"/>
        <v>S16915FA1</v>
      </c>
      <c r="D719" s="6">
        <v>29.0</v>
      </c>
      <c r="E719" s="10" t="str">
        <f t="shared" si="3"/>
        <v>BFA29</v>
      </c>
      <c r="F719" s="13">
        <v>48.0</v>
      </c>
      <c r="G719" s="10" t="str">
        <f t="shared" si="4"/>
        <v>BFA29-48</v>
      </c>
      <c r="H719" s="43"/>
      <c r="I719" s="16" t="str">
        <f t="shared" si="5"/>
        <v>collected</v>
      </c>
      <c r="J719" s="16" t="str">
        <f t="shared" si="6"/>
        <v>N</v>
      </c>
      <c r="K719" s="16"/>
      <c r="L719" s="16"/>
    </row>
    <row r="720">
      <c r="A720" s="26" t="s">
        <v>283</v>
      </c>
      <c r="B720" s="10" t="str">
        <f t="shared" si="1"/>
        <v>fatty_acid</v>
      </c>
      <c r="C720" s="49" t="str">
        <f t="shared" si="2"/>
        <v>S16916FA1</v>
      </c>
      <c r="D720" s="6">
        <v>29.0</v>
      </c>
      <c r="E720" s="10" t="str">
        <f t="shared" si="3"/>
        <v>BFA29</v>
      </c>
      <c r="F720" s="13">
        <v>49.0</v>
      </c>
      <c r="G720" s="10" t="str">
        <f t="shared" si="4"/>
        <v>BFA29-49</v>
      </c>
      <c r="H720" s="40"/>
      <c r="I720" s="16" t="str">
        <f t="shared" si="5"/>
        <v>collected</v>
      </c>
      <c r="J720" s="16" t="str">
        <f t="shared" si="6"/>
        <v>N</v>
      </c>
      <c r="K720" s="16"/>
      <c r="L720" s="16"/>
    </row>
    <row r="721">
      <c r="A721" s="26" t="s">
        <v>290</v>
      </c>
      <c r="B721" s="10" t="str">
        <f t="shared" si="1"/>
        <v>fatty_acid</v>
      </c>
      <c r="C721" s="49" t="str">
        <f t="shared" si="2"/>
        <v>S16917FA1</v>
      </c>
      <c r="D721" s="6">
        <v>29.0</v>
      </c>
      <c r="E721" s="10" t="str">
        <f t="shared" si="3"/>
        <v>BFA29</v>
      </c>
      <c r="F721" s="13">
        <v>50.0</v>
      </c>
      <c r="G721" s="10" t="str">
        <f t="shared" si="4"/>
        <v>BFA29-50</v>
      </c>
      <c r="H721" s="40"/>
      <c r="I721" s="16" t="str">
        <f t="shared" si="5"/>
        <v>collected</v>
      </c>
      <c r="J721" s="16" t="str">
        <f t="shared" si="6"/>
        <v>N</v>
      </c>
      <c r="K721" s="16"/>
      <c r="L721" s="16"/>
    </row>
    <row r="722">
      <c r="A722" s="26" t="s">
        <v>299</v>
      </c>
      <c r="B722" s="10" t="str">
        <f t="shared" si="1"/>
        <v>fatty_acid</v>
      </c>
      <c r="C722" s="49" t="str">
        <f t="shared" si="2"/>
        <v>S16918FA1</v>
      </c>
      <c r="D722" s="6">
        <v>29.0</v>
      </c>
      <c r="E722" s="10" t="str">
        <f t="shared" si="3"/>
        <v>BFA29</v>
      </c>
      <c r="F722" s="13">
        <v>51.0</v>
      </c>
      <c r="G722" s="10" t="str">
        <f t="shared" si="4"/>
        <v>BFA29-51</v>
      </c>
      <c r="H722" s="40"/>
      <c r="I722" s="16" t="str">
        <f t="shared" si="5"/>
        <v>collected</v>
      </c>
      <c r="J722" s="16" t="str">
        <f t="shared" si="6"/>
        <v>N</v>
      </c>
      <c r="K722" s="16"/>
      <c r="L722" s="16"/>
    </row>
    <row r="723">
      <c r="A723" s="26" t="s">
        <v>306</v>
      </c>
      <c r="B723" s="10" t="str">
        <f t="shared" si="1"/>
        <v>fatty_acid</v>
      </c>
      <c r="C723" s="49" t="str">
        <f t="shared" si="2"/>
        <v>S16919FA1</v>
      </c>
      <c r="D723" s="6">
        <v>29.0</v>
      </c>
      <c r="E723" s="10" t="str">
        <f t="shared" si="3"/>
        <v>BFA29</v>
      </c>
      <c r="F723" s="13">
        <v>52.0</v>
      </c>
      <c r="G723" s="10" t="str">
        <f t="shared" si="4"/>
        <v>BFA29-52</v>
      </c>
      <c r="H723" s="40"/>
      <c r="I723" s="16" t="str">
        <f t="shared" si="5"/>
        <v>collected</v>
      </c>
      <c r="J723" s="16" t="str">
        <f t="shared" si="6"/>
        <v>N</v>
      </c>
      <c r="K723" s="16"/>
      <c r="L723" s="16"/>
    </row>
    <row r="724">
      <c r="A724" s="26" t="s">
        <v>313</v>
      </c>
      <c r="B724" s="10" t="str">
        <f t="shared" si="1"/>
        <v>fatty_acid</v>
      </c>
      <c r="C724" s="49" t="str">
        <f t="shared" si="2"/>
        <v>S16920FA1</v>
      </c>
      <c r="D724" s="6">
        <v>29.0</v>
      </c>
      <c r="E724" s="10" t="str">
        <f t="shared" si="3"/>
        <v>BFA29</v>
      </c>
      <c r="F724" s="13">
        <v>53.0</v>
      </c>
      <c r="G724" s="10" t="str">
        <f t="shared" si="4"/>
        <v>BFA29-53</v>
      </c>
      <c r="H724" s="43"/>
      <c r="I724" s="16" t="str">
        <f t="shared" si="5"/>
        <v>collected</v>
      </c>
      <c r="J724" s="16" t="str">
        <f t="shared" si="6"/>
        <v>N</v>
      </c>
      <c r="K724" s="16"/>
      <c r="L724" s="16"/>
    </row>
    <row r="725">
      <c r="A725" s="26" t="s">
        <v>320</v>
      </c>
      <c r="B725" s="10" t="str">
        <f t="shared" si="1"/>
        <v>fatty_acid</v>
      </c>
      <c r="C725" s="49" t="str">
        <f t="shared" si="2"/>
        <v>S17441FA1</v>
      </c>
      <c r="D725" s="6">
        <v>29.0</v>
      </c>
      <c r="E725" s="10" t="str">
        <f t="shared" si="3"/>
        <v>BFA29</v>
      </c>
      <c r="F725" s="13">
        <v>54.0</v>
      </c>
      <c r="G725" s="10" t="str">
        <f t="shared" si="4"/>
        <v>BFA29-54</v>
      </c>
      <c r="H725" s="43"/>
      <c r="I725" s="16" t="str">
        <f t="shared" si="5"/>
        <v>collected</v>
      </c>
      <c r="J725" s="16" t="str">
        <f t="shared" si="6"/>
        <v>N</v>
      </c>
      <c r="K725" s="16"/>
      <c r="L725" s="16"/>
    </row>
    <row r="726">
      <c r="A726" s="26" t="s">
        <v>325</v>
      </c>
      <c r="B726" s="10" t="str">
        <f t="shared" si="1"/>
        <v>fatty_acid</v>
      </c>
      <c r="C726" s="49" t="str">
        <f t="shared" si="2"/>
        <v>S17442FA1</v>
      </c>
      <c r="D726" s="6">
        <v>29.0</v>
      </c>
      <c r="E726" s="10" t="str">
        <f t="shared" si="3"/>
        <v>BFA29</v>
      </c>
      <c r="F726" s="13">
        <v>55.0</v>
      </c>
      <c r="G726" s="10" t="str">
        <f t="shared" si="4"/>
        <v>BFA29-55</v>
      </c>
      <c r="H726" s="43"/>
      <c r="I726" s="16" t="str">
        <f t="shared" si="5"/>
        <v>collected</v>
      </c>
      <c r="J726" s="16" t="str">
        <f t="shared" si="6"/>
        <v>N</v>
      </c>
      <c r="K726" s="16"/>
      <c r="L726" s="16"/>
    </row>
    <row r="727">
      <c r="A727" s="26" t="s">
        <v>331</v>
      </c>
      <c r="B727" s="10" t="str">
        <f t="shared" si="1"/>
        <v>fatty_acid</v>
      </c>
      <c r="C727" s="49" t="str">
        <f t="shared" si="2"/>
        <v>S17443FA1</v>
      </c>
      <c r="D727" s="6">
        <v>29.0</v>
      </c>
      <c r="E727" s="10" t="str">
        <f t="shared" si="3"/>
        <v>BFA29</v>
      </c>
      <c r="F727" s="13">
        <v>56.0</v>
      </c>
      <c r="G727" s="10" t="str">
        <f t="shared" si="4"/>
        <v>BFA29-56</v>
      </c>
      <c r="H727" s="16"/>
      <c r="I727" s="16" t="str">
        <f t="shared" si="5"/>
        <v>collected</v>
      </c>
      <c r="J727" s="16" t="str">
        <f t="shared" si="6"/>
        <v>N</v>
      </c>
      <c r="K727" s="16"/>
      <c r="L727" s="16"/>
    </row>
    <row r="728">
      <c r="A728" s="6" t="s">
        <v>337</v>
      </c>
      <c r="B728" s="10" t="str">
        <f t="shared" si="1"/>
        <v>fatty_acid</v>
      </c>
      <c r="C728" s="49" t="str">
        <f t="shared" si="2"/>
        <v>S17444FA1</v>
      </c>
      <c r="D728" s="6">
        <v>29.0</v>
      </c>
      <c r="E728" s="10" t="str">
        <f t="shared" si="3"/>
        <v>BFA29</v>
      </c>
      <c r="F728" s="13">
        <v>57.0</v>
      </c>
      <c r="G728" s="10" t="str">
        <f t="shared" si="4"/>
        <v>BFA29-57</v>
      </c>
      <c r="H728" s="6"/>
      <c r="I728" s="16" t="str">
        <f t="shared" si="5"/>
        <v>collected</v>
      </c>
      <c r="J728" s="16" t="str">
        <f t="shared" si="6"/>
        <v>N</v>
      </c>
      <c r="K728" s="16"/>
      <c r="L728" s="16"/>
    </row>
    <row r="729">
      <c r="A729" s="6" t="s">
        <v>343</v>
      </c>
      <c r="B729" s="10" t="str">
        <f t="shared" si="1"/>
        <v>fatty_acid</v>
      </c>
      <c r="C729" s="49" t="str">
        <f t="shared" si="2"/>
        <v>S17445FA1</v>
      </c>
      <c r="D729" s="6">
        <v>29.0</v>
      </c>
      <c r="E729" s="10" t="str">
        <f t="shared" si="3"/>
        <v>BFA29</v>
      </c>
      <c r="F729" s="13">
        <v>58.0</v>
      </c>
      <c r="G729" s="10" t="str">
        <f t="shared" si="4"/>
        <v>BFA29-58</v>
      </c>
      <c r="H729" s="16"/>
      <c r="I729" s="16" t="str">
        <f t="shared" si="5"/>
        <v>collected</v>
      </c>
      <c r="J729" s="16" t="str">
        <f t="shared" si="6"/>
        <v>N</v>
      </c>
      <c r="K729" s="6" t="s">
        <v>2152</v>
      </c>
      <c r="L729" s="16"/>
    </row>
    <row r="730">
      <c r="A730" s="6" t="s">
        <v>350</v>
      </c>
      <c r="B730" s="10" t="str">
        <f t="shared" si="1"/>
        <v>fatty_acid</v>
      </c>
      <c r="C730" s="49" t="str">
        <f t="shared" si="2"/>
        <v>S17446FA1</v>
      </c>
      <c r="D730" s="6">
        <v>29.0</v>
      </c>
      <c r="E730" s="10" t="str">
        <f t="shared" si="3"/>
        <v>BFA29</v>
      </c>
      <c r="F730" s="13">
        <v>59.0</v>
      </c>
      <c r="G730" s="10" t="str">
        <f t="shared" si="4"/>
        <v>BFA29-59</v>
      </c>
      <c r="H730" s="16"/>
      <c r="I730" s="16" t="str">
        <f t="shared" si="5"/>
        <v>collected</v>
      </c>
      <c r="J730" s="16" t="str">
        <f t="shared" si="6"/>
        <v>N</v>
      </c>
      <c r="K730" s="16"/>
      <c r="L730" s="16"/>
    </row>
    <row r="731">
      <c r="A731" s="6" t="s">
        <v>357</v>
      </c>
      <c r="B731" s="10" t="str">
        <f t="shared" si="1"/>
        <v>fatty_acid</v>
      </c>
      <c r="C731" s="49" t="str">
        <f t="shared" si="2"/>
        <v>S17447FA1</v>
      </c>
      <c r="D731" s="6">
        <v>29.0</v>
      </c>
      <c r="E731" s="10" t="str">
        <f t="shared" si="3"/>
        <v>BFA29</v>
      </c>
      <c r="F731" s="13">
        <v>60.0</v>
      </c>
      <c r="G731" s="10" t="str">
        <f t="shared" si="4"/>
        <v>BFA29-60</v>
      </c>
      <c r="H731" s="16"/>
      <c r="I731" s="16" t="str">
        <f t="shared" si="5"/>
        <v>collected</v>
      </c>
      <c r="J731" s="16" t="str">
        <f t="shared" si="6"/>
        <v>N</v>
      </c>
      <c r="K731" s="16"/>
      <c r="L731" s="16"/>
    </row>
    <row r="732">
      <c r="A732" s="43" t="s">
        <v>364</v>
      </c>
      <c r="B732" s="10" t="str">
        <f t="shared" si="1"/>
        <v>fatty_acid</v>
      </c>
      <c r="C732" s="49" t="str">
        <f t="shared" si="2"/>
        <v>S17121FA1</v>
      </c>
      <c r="D732" s="6">
        <v>28.0</v>
      </c>
      <c r="E732" s="10" t="str">
        <f t="shared" si="3"/>
        <v>BFA28</v>
      </c>
      <c r="F732" s="13">
        <v>59.0</v>
      </c>
      <c r="G732" s="10" t="str">
        <f t="shared" si="4"/>
        <v>BFA28-59</v>
      </c>
      <c r="H732" s="16"/>
      <c r="I732" s="16" t="str">
        <f t="shared" si="5"/>
        <v>collected</v>
      </c>
      <c r="J732" s="16" t="str">
        <f t="shared" si="6"/>
        <v>N</v>
      </c>
      <c r="K732" s="16"/>
      <c r="L732" s="16"/>
    </row>
    <row r="733">
      <c r="A733" s="43" t="s">
        <v>372</v>
      </c>
      <c r="B733" s="10" t="str">
        <f t="shared" si="1"/>
        <v>fatty_acid</v>
      </c>
      <c r="C733" s="49" t="str">
        <f t="shared" si="2"/>
        <v>S17126FA1</v>
      </c>
      <c r="D733" s="6">
        <v>28.0</v>
      </c>
      <c r="E733" s="10" t="str">
        <f t="shared" si="3"/>
        <v>BFA28</v>
      </c>
      <c r="F733" s="13">
        <v>60.0</v>
      </c>
      <c r="G733" s="10" t="str">
        <f t="shared" si="4"/>
        <v>BFA28-60</v>
      </c>
      <c r="H733" s="16"/>
      <c r="I733" s="16" t="str">
        <f t="shared" si="5"/>
        <v>collected</v>
      </c>
      <c r="J733" s="16" t="str">
        <f t="shared" si="6"/>
        <v>N</v>
      </c>
      <c r="K733" s="16"/>
      <c r="L733" s="16"/>
    </row>
    <row r="734">
      <c r="A734" s="43" t="s">
        <v>379</v>
      </c>
      <c r="B734" s="10" t="str">
        <f t="shared" si="1"/>
        <v>fatty_acid</v>
      </c>
      <c r="C734" s="49" t="str">
        <f t="shared" si="2"/>
        <v>S16832FA1</v>
      </c>
      <c r="D734" s="6">
        <v>28.0</v>
      </c>
      <c r="E734" s="10" t="str">
        <f t="shared" si="3"/>
        <v>BFA28</v>
      </c>
      <c r="F734" s="13">
        <v>61.0</v>
      </c>
      <c r="G734" s="10" t="str">
        <f t="shared" si="4"/>
        <v>BFA28-61</v>
      </c>
      <c r="H734" s="16"/>
      <c r="I734" s="16" t="str">
        <f t="shared" si="5"/>
        <v>collected</v>
      </c>
      <c r="J734" s="16" t="str">
        <f t="shared" si="6"/>
        <v>N</v>
      </c>
      <c r="K734" s="16"/>
      <c r="L734" s="16"/>
    </row>
    <row r="735">
      <c r="A735" s="43" t="s">
        <v>385</v>
      </c>
      <c r="B735" s="10" t="str">
        <f t="shared" si="1"/>
        <v>fatty_acid</v>
      </c>
      <c r="C735" s="49" t="str">
        <f t="shared" si="2"/>
        <v>S16835FA1</v>
      </c>
      <c r="D735" s="6">
        <v>28.0</v>
      </c>
      <c r="E735" s="10" t="str">
        <f t="shared" si="3"/>
        <v>BFA28</v>
      </c>
      <c r="F735" s="13">
        <v>62.0</v>
      </c>
      <c r="G735" s="10" t="str">
        <f t="shared" si="4"/>
        <v>BFA28-62</v>
      </c>
      <c r="H735" s="16"/>
      <c r="I735" s="16" t="str">
        <f t="shared" si="5"/>
        <v>collected</v>
      </c>
      <c r="J735" s="16" t="str">
        <f t="shared" si="6"/>
        <v>N</v>
      </c>
      <c r="K735" s="16"/>
      <c r="L735" s="16"/>
    </row>
    <row r="736">
      <c r="A736" s="43" t="s">
        <v>390</v>
      </c>
      <c r="B736" s="10" t="str">
        <f t="shared" si="1"/>
        <v>fatty_acid</v>
      </c>
      <c r="C736" s="49" t="str">
        <f t="shared" si="2"/>
        <v>S16837FA1</v>
      </c>
      <c r="D736" s="6">
        <v>28.0</v>
      </c>
      <c r="E736" s="10" t="str">
        <f t="shared" si="3"/>
        <v>BFA28</v>
      </c>
      <c r="F736" s="13">
        <v>63.0</v>
      </c>
      <c r="G736" s="10" t="str">
        <f t="shared" si="4"/>
        <v>BFA28-63</v>
      </c>
      <c r="H736" s="16"/>
      <c r="I736" s="16" t="str">
        <f t="shared" si="5"/>
        <v>collected</v>
      </c>
      <c r="J736" s="16" t="str">
        <f t="shared" si="6"/>
        <v>N</v>
      </c>
      <c r="K736" s="16"/>
      <c r="L736" s="16"/>
    </row>
    <row r="737">
      <c r="A737" s="43" t="s">
        <v>399</v>
      </c>
      <c r="B737" s="10" t="str">
        <f t="shared" si="1"/>
        <v>fatty_acid</v>
      </c>
      <c r="C737" s="49" t="str">
        <f t="shared" si="2"/>
        <v>S16838FA1</v>
      </c>
      <c r="D737" s="6">
        <v>28.0</v>
      </c>
      <c r="E737" s="10" t="str">
        <f t="shared" si="3"/>
        <v>BFA28</v>
      </c>
      <c r="F737" s="13">
        <v>64.0</v>
      </c>
      <c r="G737" s="10" t="str">
        <f t="shared" si="4"/>
        <v>BFA28-64</v>
      </c>
      <c r="H737" s="16"/>
      <c r="I737" s="16" t="str">
        <f t="shared" si="5"/>
        <v>collected</v>
      </c>
      <c r="J737" s="16" t="str">
        <f t="shared" si="6"/>
        <v>N</v>
      </c>
      <c r="K737" s="16"/>
      <c r="L737" s="16"/>
    </row>
    <row r="738">
      <c r="A738" s="44" t="s">
        <v>406</v>
      </c>
      <c r="B738" s="10" t="str">
        <f t="shared" si="1"/>
        <v>fatty_acid</v>
      </c>
      <c r="C738" s="49" t="str">
        <f t="shared" si="2"/>
        <v>S16836FA1</v>
      </c>
      <c r="D738" s="6">
        <v>28.0</v>
      </c>
      <c r="E738" s="10" t="str">
        <f t="shared" si="3"/>
        <v>BFA28</v>
      </c>
      <c r="F738" s="13">
        <v>65.0</v>
      </c>
      <c r="G738" s="10" t="str">
        <f t="shared" si="4"/>
        <v>BFA28-65</v>
      </c>
      <c r="H738" s="16"/>
      <c r="I738" s="16" t="str">
        <f t="shared" si="5"/>
        <v>collected</v>
      </c>
      <c r="J738" s="16" t="str">
        <f t="shared" si="6"/>
        <v>N</v>
      </c>
      <c r="K738" s="16"/>
      <c r="L738" s="16"/>
    </row>
    <row r="739">
      <c r="A739" s="44" t="s">
        <v>416</v>
      </c>
      <c r="B739" s="10" t="str">
        <f t="shared" si="1"/>
        <v>fatty_acid</v>
      </c>
      <c r="C739" s="49" t="str">
        <f t="shared" si="2"/>
        <v>S16839FA1</v>
      </c>
      <c r="D739" s="6">
        <v>28.0</v>
      </c>
      <c r="E739" s="10" t="str">
        <f t="shared" si="3"/>
        <v>BFA28</v>
      </c>
      <c r="F739" s="13">
        <v>66.0</v>
      </c>
      <c r="G739" s="10" t="str">
        <f t="shared" si="4"/>
        <v>BFA28-66</v>
      </c>
      <c r="H739" s="16"/>
      <c r="I739" s="16" t="str">
        <f t="shared" si="5"/>
        <v>collected</v>
      </c>
      <c r="J739" s="16" t="str">
        <f t="shared" si="6"/>
        <v>N</v>
      </c>
      <c r="K739" s="16"/>
      <c r="L739" s="16"/>
    </row>
    <row r="740">
      <c r="A740" s="44" t="s">
        <v>426</v>
      </c>
      <c r="B740" s="10" t="str">
        <f t="shared" si="1"/>
        <v>fatty_acid</v>
      </c>
      <c r="C740" s="49" t="str">
        <f t="shared" si="2"/>
        <v>S16840FA1</v>
      </c>
      <c r="D740" s="6">
        <v>28.0</v>
      </c>
      <c r="E740" s="10" t="str">
        <f t="shared" si="3"/>
        <v>BFA28</v>
      </c>
      <c r="F740" s="13">
        <v>67.0</v>
      </c>
      <c r="G740" s="10" t="str">
        <f t="shared" si="4"/>
        <v>BFA28-67</v>
      </c>
      <c r="H740" s="16"/>
      <c r="I740" s="16" t="str">
        <f t="shared" si="5"/>
        <v>collected</v>
      </c>
      <c r="J740" s="16" t="str">
        <f t="shared" si="6"/>
        <v>N</v>
      </c>
      <c r="K740" s="16"/>
      <c r="L740" s="16"/>
    </row>
    <row r="741">
      <c r="A741" s="44" t="s">
        <v>434</v>
      </c>
      <c r="B741" s="10" t="str">
        <f t="shared" si="1"/>
        <v>fatty_acid</v>
      </c>
      <c r="C741" s="49" t="str">
        <f t="shared" si="2"/>
        <v>S16833FA1</v>
      </c>
      <c r="D741" s="6">
        <v>28.0</v>
      </c>
      <c r="E741" s="10" t="str">
        <f t="shared" si="3"/>
        <v>BFA28</v>
      </c>
      <c r="F741" s="13">
        <v>68.0</v>
      </c>
      <c r="G741" s="10" t="str">
        <f t="shared" si="4"/>
        <v>BFA28-68</v>
      </c>
      <c r="H741" s="16"/>
      <c r="I741" s="16" t="str">
        <f t="shared" si="5"/>
        <v>collected</v>
      </c>
      <c r="J741" s="16" t="str">
        <f t="shared" si="6"/>
        <v>N</v>
      </c>
      <c r="K741" s="16"/>
      <c r="L741" s="16"/>
    </row>
    <row r="742">
      <c r="A742" s="44" t="s">
        <v>442</v>
      </c>
      <c r="B742" s="10" t="str">
        <f t="shared" si="1"/>
        <v>fatty_acid</v>
      </c>
      <c r="C742" s="49" t="str">
        <f t="shared" si="2"/>
        <v>S16834FA1</v>
      </c>
      <c r="D742" s="6">
        <v>28.0</v>
      </c>
      <c r="E742" s="10" t="str">
        <f t="shared" si="3"/>
        <v>BFA28</v>
      </c>
      <c r="F742" s="13">
        <v>69.0</v>
      </c>
      <c r="G742" s="10" t="str">
        <f t="shared" si="4"/>
        <v>BFA28-69</v>
      </c>
      <c r="H742" s="16"/>
      <c r="I742" s="16" t="str">
        <f t="shared" si="5"/>
        <v>collected</v>
      </c>
      <c r="J742" s="16" t="str">
        <f t="shared" si="6"/>
        <v>N</v>
      </c>
      <c r="K742" s="16"/>
      <c r="L742" s="16"/>
    </row>
    <row r="743">
      <c r="A743" s="44" t="s">
        <v>450</v>
      </c>
      <c r="B743" s="10" t="str">
        <f t="shared" si="1"/>
        <v>fatty_acid</v>
      </c>
      <c r="C743" s="49" t="str">
        <f t="shared" si="2"/>
        <v>S16831FA1</v>
      </c>
      <c r="D743" s="6">
        <v>28.0</v>
      </c>
      <c r="E743" s="10" t="str">
        <f t="shared" si="3"/>
        <v>BFA28</v>
      </c>
      <c r="F743" s="13">
        <v>70.0</v>
      </c>
      <c r="G743" s="10" t="str">
        <f t="shared" si="4"/>
        <v>BFA28-70</v>
      </c>
      <c r="H743" s="16"/>
      <c r="I743" s="16" t="str">
        <f t="shared" si="5"/>
        <v>collected</v>
      </c>
      <c r="J743" s="16" t="str">
        <f t="shared" si="6"/>
        <v>N</v>
      </c>
      <c r="K743" s="16"/>
      <c r="L743" s="16"/>
    </row>
    <row r="744">
      <c r="A744" s="44" t="s">
        <v>458</v>
      </c>
      <c r="B744" s="10" t="str">
        <f t="shared" si="1"/>
        <v>fatty_acid</v>
      </c>
      <c r="C744" s="49" t="str">
        <f t="shared" si="2"/>
        <v>S16948FA1</v>
      </c>
      <c r="D744" s="6">
        <v>28.0</v>
      </c>
      <c r="E744" s="10" t="str">
        <f t="shared" si="3"/>
        <v>BFA28</v>
      </c>
      <c r="F744" s="13">
        <v>71.0</v>
      </c>
      <c r="G744" s="10" t="str">
        <f t="shared" si="4"/>
        <v>BFA28-71</v>
      </c>
      <c r="H744" s="16"/>
      <c r="I744" s="16" t="str">
        <f t="shared" si="5"/>
        <v>collected</v>
      </c>
      <c r="J744" s="16" t="str">
        <f t="shared" si="6"/>
        <v>N</v>
      </c>
      <c r="K744" s="16"/>
      <c r="L744" s="16"/>
    </row>
    <row r="745">
      <c r="A745" s="44" t="s">
        <v>465</v>
      </c>
      <c r="B745" s="10" t="str">
        <f t="shared" si="1"/>
        <v>fatty_acid</v>
      </c>
      <c r="C745" s="49" t="str">
        <f t="shared" si="2"/>
        <v>S16942FA1</v>
      </c>
      <c r="D745" s="6">
        <v>28.0</v>
      </c>
      <c r="E745" s="10" t="str">
        <f t="shared" si="3"/>
        <v>BFA28</v>
      </c>
      <c r="F745" s="13">
        <v>72.0</v>
      </c>
      <c r="G745" s="10" t="str">
        <f t="shared" si="4"/>
        <v>BFA28-72</v>
      </c>
      <c r="H745" s="16"/>
      <c r="I745" s="16" t="str">
        <f t="shared" si="5"/>
        <v>collected</v>
      </c>
      <c r="J745" s="16" t="str">
        <f t="shared" si="6"/>
        <v>N</v>
      </c>
      <c r="K745" s="16"/>
      <c r="L745" s="16"/>
    </row>
    <row r="746">
      <c r="A746" s="44" t="s">
        <v>472</v>
      </c>
      <c r="B746" s="10" t="str">
        <f t="shared" si="1"/>
        <v>fatty_acid</v>
      </c>
      <c r="C746" s="49" t="str">
        <f t="shared" si="2"/>
        <v>S16950FA1</v>
      </c>
      <c r="D746" s="6">
        <v>28.0</v>
      </c>
      <c r="E746" s="10" t="str">
        <f t="shared" si="3"/>
        <v>BFA28</v>
      </c>
      <c r="F746" s="13">
        <v>73.0</v>
      </c>
      <c r="G746" s="10" t="str">
        <f t="shared" si="4"/>
        <v>BFA28-73</v>
      </c>
      <c r="H746" s="16"/>
      <c r="I746" s="16" t="str">
        <f t="shared" si="5"/>
        <v>collected</v>
      </c>
      <c r="J746" s="16" t="str">
        <f t="shared" si="6"/>
        <v>N</v>
      </c>
      <c r="K746" s="16"/>
      <c r="L746" s="16"/>
    </row>
    <row r="747">
      <c r="A747" s="44" t="s">
        <v>479</v>
      </c>
      <c r="B747" s="10" t="str">
        <f t="shared" si="1"/>
        <v>fatty_acid</v>
      </c>
      <c r="C747" s="49" t="str">
        <f t="shared" si="2"/>
        <v>S16944FA1</v>
      </c>
      <c r="D747" s="6">
        <v>28.0</v>
      </c>
      <c r="E747" s="10" t="str">
        <f t="shared" si="3"/>
        <v>BFA28</v>
      </c>
      <c r="F747" s="13">
        <v>74.0</v>
      </c>
      <c r="G747" s="10" t="str">
        <f t="shared" si="4"/>
        <v>BFA28-74</v>
      </c>
      <c r="H747" s="16"/>
      <c r="I747" s="16" t="str">
        <f t="shared" si="5"/>
        <v>collected</v>
      </c>
      <c r="J747" s="16" t="str">
        <f t="shared" si="6"/>
        <v>N</v>
      </c>
      <c r="K747" s="16"/>
      <c r="L747" s="16"/>
    </row>
    <row r="748">
      <c r="A748" s="44" t="s">
        <v>486</v>
      </c>
      <c r="B748" s="10" t="str">
        <f t="shared" si="1"/>
        <v>fatty_acid</v>
      </c>
      <c r="C748" s="49" t="str">
        <f t="shared" si="2"/>
        <v>S16945FA1</v>
      </c>
      <c r="D748" s="6">
        <v>28.0</v>
      </c>
      <c r="E748" s="10" t="str">
        <f t="shared" si="3"/>
        <v>BFA28</v>
      </c>
      <c r="F748" s="13">
        <v>75.0</v>
      </c>
      <c r="G748" s="10" t="str">
        <f t="shared" si="4"/>
        <v>BFA28-75</v>
      </c>
      <c r="H748" s="16"/>
      <c r="I748" s="16" t="str">
        <f t="shared" si="5"/>
        <v>collected</v>
      </c>
      <c r="J748" s="16" t="str">
        <f t="shared" si="6"/>
        <v>N</v>
      </c>
      <c r="K748" s="6"/>
      <c r="L748" s="16"/>
    </row>
    <row r="749">
      <c r="A749" s="44" t="s">
        <v>494</v>
      </c>
      <c r="B749" s="10" t="str">
        <f t="shared" si="1"/>
        <v>fatty_acid</v>
      </c>
      <c r="C749" s="49" t="str">
        <f t="shared" si="2"/>
        <v>S16947FA1</v>
      </c>
      <c r="D749" s="6">
        <v>28.0</v>
      </c>
      <c r="E749" s="10" t="str">
        <f t="shared" si="3"/>
        <v>BFA28</v>
      </c>
      <c r="F749" s="13">
        <v>76.0</v>
      </c>
      <c r="G749" s="10" t="str">
        <f t="shared" si="4"/>
        <v>BFA28-76</v>
      </c>
      <c r="H749" s="16"/>
      <c r="I749" s="16" t="str">
        <f t="shared" si="5"/>
        <v>collected</v>
      </c>
      <c r="J749" s="16" t="str">
        <f t="shared" si="6"/>
        <v>N</v>
      </c>
      <c r="K749" s="16"/>
      <c r="L749" s="16"/>
    </row>
    <row r="750">
      <c r="A750" s="44" t="s">
        <v>502</v>
      </c>
      <c r="B750" s="10" t="str">
        <f t="shared" si="1"/>
        <v>fatty_acid</v>
      </c>
      <c r="C750" s="49" t="str">
        <f t="shared" si="2"/>
        <v>S16946FA1</v>
      </c>
      <c r="D750" s="6">
        <v>28.0</v>
      </c>
      <c r="E750" s="10" t="str">
        <f t="shared" si="3"/>
        <v>BFA28</v>
      </c>
      <c r="F750" s="13">
        <v>77.0</v>
      </c>
      <c r="G750" s="10" t="str">
        <f t="shared" si="4"/>
        <v>BFA28-77</v>
      </c>
      <c r="H750" s="16"/>
      <c r="I750" s="16" t="str">
        <f t="shared" si="5"/>
        <v>collected</v>
      </c>
      <c r="J750" s="16" t="str">
        <f t="shared" si="6"/>
        <v>N</v>
      </c>
      <c r="K750" s="16"/>
      <c r="L750" s="16"/>
    </row>
    <row r="751">
      <c r="A751" s="44" t="s">
        <v>508</v>
      </c>
      <c r="B751" s="10" t="str">
        <f t="shared" si="1"/>
        <v>fatty_acid</v>
      </c>
      <c r="C751" s="49" t="str">
        <f t="shared" si="2"/>
        <v>S16949FA1</v>
      </c>
      <c r="D751" s="6">
        <v>28.0</v>
      </c>
      <c r="E751" s="10" t="str">
        <f t="shared" si="3"/>
        <v>BFA28</v>
      </c>
      <c r="F751" s="13">
        <v>78.0</v>
      </c>
      <c r="G751" s="10" t="str">
        <f t="shared" si="4"/>
        <v>BFA28-78</v>
      </c>
      <c r="H751" s="16"/>
      <c r="I751" s="16" t="str">
        <f t="shared" si="5"/>
        <v>collected</v>
      </c>
      <c r="J751" s="16" t="str">
        <f t="shared" si="6"/>
        <v>N</v>
      </c>
      <c r="K751" s="16"/>
      <c r="L751" s="16"/>
    </row>
    <row r="752">
      <c r="A752" s="44" t="s">
        <v>517</v>
      </c>
      <c r="B752" s="10" t="str">
        <f t="shared" si="1"/>
        <v>fatty_acid</v>
      </c>
      <c r="C752" s="49" t="str">
        <f t="shared" si="2"/>
        <v>S16943FA1</v>
      </c>
      <c r="D752" s="6">
        <v>28.0</v>
      </c>
      <c r="E752" s="10" t="str">
        <f t="shared" si="3"/>
        <v>BFA28</v>
      </c>
      <c r="F752" s="13">
        <v>79.0</v>
      </c>
      <c r="G752" s="10" t="str">
        <f t="shared" si="4"/>
        <v>BFA28-79</v>
      </c>
      <c r="H752" s="16"/>
      <c r="I752" s="16" t="str">
        <f t="shared" si="5"/>
        <v>collected</v>
      </c>
      <c r="J752" s="16" t="str">
        <f t="shared" si="6"/>
        <v>N</v>
      </c>
      <c r="K752" s="16"/>
      <c r="L752" s="16"/>
    </row>
    <row r="753">
      <c r="A753" s="44" t="s">
        <v>525</v>
      </c>
      <c r="B753" s="10" t="str">
        <f t="shared" si="1"/>
        <v>fatty_acid</v>
      </c>
      <c r="C753" s="49" t="str">
        <f t="shared" si="2"/>
        <v>S16941FA1</v>
      </c>
      <c r="D753" s="6">
        <v>28.0</v>
      </c>
      <c r="E753" s="10" t="str">
        <f t="shared" si="3"/>
        <v>BFA28</v>
      </c>
      <c r="F753" s="13">
        <v>80.0</v>
      </c>
      <c r="G753" s="10" t="str">
        <f t="shared" si="4"/>
        <v>BFA28-80</v>
      </c>
      <c r="H753" s="16"/>
      <c r="I753" s="16" t="str">
        <f t="shared" si="5"/>
        <v>collected</v>
      </c>
      <c r="J753" s="16" t="str">
        <f t="shared" si="6"/>
        <v>N</v>
      </c>
      <c r="K753" s="16"/>
      <c r="L753" s="16"/>
    </row>
    <row r="754">
      <c r="A754" s="26" t="s">
        <v>533</v>
      </c>
      <c r="B754" s="10" t="str">
        <f t="shared" si="1"/>
        <v>fatty_acid</v>
      </c>
      <c r="C754" s="49" t="str">
        <f t="shared" si="2"/>
        <v>S17448FA1</v>
      </c>
      <c r="D754" s="6">
        <v>29.0</v>
      </c>
      <c r="E754" s="10" t="str">
        <f t="shared" si="3"/>
        <v>BFA29</v>
      </c>
      <c r="F754" s="13">
        <v>61.0</v>
      </c>
      <c r="G754" s="10" t="str">
        <f t="shared" si="4"/>
        <v>BFA29-61</v>
      </c>
      <c r="H754" s="16"/>
      <c r="I754" s="16" t="str">
        <f t="shared" si="5"/>
        <v>collected</v>
      </c>
      <c r="J754" s="16" t="str">
        <f t="shared" si="6"/>
        <v>N</v>
      </c>
      <c r="K754" s="16"/>
      <c r="L754" s="16"/>
    </row>
    <row r="755">
      <c r="A755" s="26" t="s">
        <v>542</v>
      </c>
      <c r="B755" s="10" t="str">
        <f t="shared" si="1"/>
        <v>fatty_acid</v>
      </c>
      <c r="C755" s="49" t="str">
        <f t="shared" si="2"/>
        <v>S17449FA1</v>
      </c>
      <c r="D755" s="6">
        <v>29.0</v>
      </c>
      <c r="E755" s="10" t="str">
        <f t="shared" si="3"/>
        <v>BFA29</v>
      </c>
      <c r="F755" s="13">
        <v>62.0</v>
      </c>
      <c r="G755" s="10" t="str">
        <f t="shared" si="4"/>
        <v>BFA29-62</v>
      </c>
      <c r="H755" s="16"/>
      <c r="I755" s="16" t="str">
        <f t="shared" si="5"/>
        <v>collected</v>
      </c>
      <c r="J755" s="16" t="str">
        <f t="shared" si="6"/>
        <v>N</v>
      </c>
      <c r="K755" s="16"/>
      <c r="L755" s="16"/>
    </row>
    <row r="756">
      <c r="A756" s="26" t="s">
        <v>551</v>
      </c>
      <c r="B756" s="10" t="str">
        <f t="shared" si="1"/>
        <v>fatty_acid</v>
      </c>
      <c r="C756" s="49" t="str">
        <f t="shared" si="2"/>
        <v>S17450FA1</v>
      </c>
      <c r="D756" s="6">
        <v>29.0</v>
      </c>
      <c r="E756" s="10" t="str">
        <f t="shared" si="3"/>
        <v>BFA29</v>
      </c>
      <c r="F756" s="13">
        <v>63.0</v>
      </c>
      <c r="G756" s="10" t="str">
        <f t="shared" si="4"/>
        <v>BFA29-63</v>
      </c>
      <c r="H756" s="16"/>
      <c r="I756" s="16" t="str">
        <f t="shared" si="5"/>
        <v>collected</v>
      </c>
      <c r="J756" s="16" t="str">
        <f t="shared" si="6"/>
        <v>N</v>
      </c>
      <c r="K756" s="16"/>
      <c r="L756" s="16"/>
    </row>
    <row r="757">
      <c r="A757" s="26" t="s">
        <v>557</v>
      </c>
      <c r="B757" s="10" t="str">
        <f t="shared" si="1"/>
        <v>fatty_acid</v>
      </c>
      <c r="C757" s="49" t="str">
        <f t="shared" si="2"/>
        <v>S16821FA1</v>
      </c>
      <c r="D757" s="6">
        <v>29.0</v>
      </c>
      <c r="E757" s="10" t="str">
        <f t="shared" si="3"/>
        <v>BFA29</v>
      </c>
      <c r="F757" s="13">
        <v>64.0</v>
      </c>
      <c r="G757" s="10" t="str">
        <f t="shared" si="4"/>
        <v>BFA29-64</v>
      </c>
      <c r="H757" s="16"/>
      <c r="I757" s="16" t="str">
        <f t="shared" si="5"/>
        <v>collected</v>
      </c>
      <c r="J757" s="16" t="str">
        <f t="shared" si="6"/>
        <v>N</v>
      </c>
      <c r="K757" s="16"/>
      <c r="L757" s="16"/>
    </row>
    <row r="758">
      <c r="A758" s="26" t="s">
        <v>565</v>
      </c>
      <c r="B758" s="10" t="str">
        <f t="shared" si="1"/>
        <v>fatty_acid</v>
      </c>
      <c r="C758" s="49" t="str">
        <f t="shared" si="2"/>
        <v>S16822FA1</v>
      </c>
      <c r="D758" s="6">
        <v>29.0</v>
      </c>
      <c r="E758" s="10" t="str">
        <f t="shared" si="3"/>
        <v>BFA29</v>
      </c>
      <c r="F758" s="13">
        <v>65.0</v>
      </c>
      <c r="G758" s="10" t="str">
        <f t="shared" si="4"/>
        <v>BFA29-65</v>
      </c>
      <c r="H758" s="16"/>
      <c r="I758" s="16" t="str">
        <f t="shared" si="5"/>
        <v>collected</v>
      </c>
      <c r="J758" s="16" t="str">
        <f t="shared" si="6"/>
        <v>N</v>
      </c>
      <c r="K758" s="16"/>
      <c r="L758" s="16"/>
    </row>
    <row r="759">
      <c r="A759" s="26" t="s">
        <v>573</v>
      </c>
      <c r="B759" s="10" t="str">
        <f t="shared" si="1"/>
        <v>fatty_acid</v>
      </c>
      <c r="C759" s="49" t="str">
        <f t="shared" si="2"/>
        <v>S16823FA1</v>
      </c>
      <c r="D759" s="6">
        <v>29.0</v>
      </c>
      <c r="E759" s="10" t="str">
        <f t="shared" si="3"/>
        <v>BFA29</v>
      </c>
      <c r="F759" s="13">
        <v>66.0</v>
      </c>
      <c r="G759" s="10" t="str">
        <f t="shared" si="4"/>
        <v>BFA29-66</v>
      </c>
      <c r="H759" s="16"/>
      <c r="I759" s="16" t="str">
        <f t="shared" si="5"/>
        <v>collected</v>
      </c>
      <c r="J759" s="16" t="str">
        <f t="shared" si="6"/>
        <v>N</v>
      </c>
      <c r="K759" s="16"/>
      <c r="L759" s="16"/>
    </row>
    <row r="760">
      <c r="A760" s="26" t="s">
        <v>579</v>
      </c>
      <c r="B760" s="10" t="str">
        <f t="shared" si="1"/>
        <v>fatty_acid</v>
      </c>
      <c r="C760" s="49" t="str">
        <f t="shared" si="2"/>
        <v>S16824FA1</v>
      </c>
      <c r="D760" s="6">
        <v>29.0</v>
      </c>
      <c r="E760" s="10" t="str">
        <f t="shared" si="3"/>
        <v>BFA29</v>
      </c>
      <c r="F760" s="13">
        <v>67.0</v>
      </c>
      <c r="G760" s="10" t="str">
        <f t="shared" si="4"/>
        <v>BFA29-67</v>
      </c>
      <c r="H760" s="16"/>
      <c r="I760" s="16" t="str">
        <f t="shared" si="5"/>
        <v>collected</v>
      </c>
      <c r="J760" s="16" t="str">
        <f t="shared" si="6"/>
        <v>N</v>
      </c>
      <c r="K760" s="16"/>
      <c r="L760" s="16"/>
    </row>
    <row r="761">
      <c r="A761" s="26" t="s">
        <v>589</v>
      </c>
      <c r="B761" s="10" t="str">
        <f t="shared" si="1"/>
        <v>fatty_acid</v>
      </c>
      <c r="C761" s="49" t="str">
        <f t="shared" si="2"/>
        <v>S16825FA1</v>
      </c>
      <c r="D761" s="6">
        <v>29.0</v>
      </c>
      <c r="E761" s="10" t="str">
        <f t="shared" si="3"/>
        <v>BFA29</v>
      </c>
      <c r="F761" s="13">
        <v>68.0</v>
      </c>
      <c r="G761" s="10" t="str">
        <f t="shared" si="4"/>
        <v>BFA29-68</v>
      </c>
      <c r="H761" s="16"/>
      <c r="I761" s="16" t="str">
        <f t="shared" si="5"/>
        <v>collected</v>
      </c>
      <c r="J761" s="16" t="str">
        <f t="shared" si="6"/>
        <v>N</v>
      </c>
      <c r="K761" s="16"/>
      <c r="L761" s="16"/>
    </row>
    <row r="762">
      <c r="A762" s="26" t="s">
        <v>594</v>
      </c>
      <c r="B762" s="10" t="str">
        <f t="shared" si="1"/>
        <v>fatty_acid</v>
      </c>
      <c r="C762" s="49" t="str">
        <f t="shared" si="2"/>
        <v>S16826FA1</v>
      </c>
      <c r="D762" s="6">
        <v>29.0</v>
      </c>
      <c r="E762" s="10" t="str">
        <f t="shared" si="3"/>
        <v>BFA29</v>
      </c>
      <c r="F762" s="13">
        <v>69.0</v>
      </c>
      <c r="G762" s="10" t="str">
        <f t="shared" si="4"/>
        <v>BFA29-69</v>
      </c>
      <c r="H762" s="16"/>
      <c r="I762" s="16" t="str">
        <f t="shared" si="5"/>
        <v>collected</v>
      </c>
      <c r="J762" s="16" t="str">
        <f t="shared" si="6"/>
        <v>N</v>
      </c>
      <c r="K762" s="16"/>
      <c r="L762" s="16"/>
    </row>
    <row r="763">
      <c r="A763" s="26" t="s">
        <v>599</v>
      </c>
      <c r="B763" s="10" t="str">
        <f t="shared" si="1"/>
        <v>fatty_acid</v>
      </c>
      <c r="C763" s="49" t="str">
        <f t="shared" si="2"/>
        <v>S16827FA1</v>
      </c>
      <c r="D763" s="6">
        <v>29.0</v>
      </c>
      <c r="E763" s="10" t="str">
        <f t="shared" si="3"/>
        <v>BFA29</v>
      </c>
      <c r="F763" s="13">
        <v>70.0</v>
      </c>
      <c r="G763" s="10" t="str">
        <f t="shared" si="4"/>
        <v>BFA29-70</v>
      </c>
      <c r="H763" s="16"/>
      <c r="I763" s="16" t="str">
        <f t="shared" si="5"/>
        <v>collected</v>
      </c>
      <c r="J763" s="16" t="str">
        <f t="shared" si="6"/>
        <v>N</v>
      </c>
      <c r="K763" s="16"/>
      <c r="L763" s="16"/>
    </row>
    <row r="764">
      <c r="A764" s="26" t="s">
        <v>605</v>
      </c>
      <c r="B764" s="10" t="str">
        <f t="shared" si="1"/>
        <v>fatty_acid</v>
      </c>
      <c r="C764" s="49" t="str">
        <f t="shared" si="2"/>
        <v>S16828FA1</v>
      </c>
      <c r="D764" s="6">
        <v>29.0</v>
      </c>
      <c r="E764" s="10" t="str">
        <f t="shared" si="3"/>
        <v>BFA29</v>
      </c>
      <c r="F764" s="13">
        <v>71.0</v>
      </c>
      <c r="G764" s="10" t="str">
        <f t="shared" si="4"/>
        <v>BFA29-71</v>
      </c>
      <c r="H764" s="16"/>
      <c r="I764" s="16" t="str">
        <f t="shared" si="5"/>
        <v>collected</v>
      </c>
      <c r="J764" s="16" t="str">
        <f t="shared" si="6"/>
        <v>N</v>
      </c>
      <c r="K764" s="16"/>
      <c r="L764" s="16"/>
    </row>
    <row r="765">
      <c r="A765" s="26" t="s">
        <v>609</v>
      </c>
      <c r="B765" s="10" t="str">
        <f t="shared" si="1"/>
        <v>fatty_acid</v>
      </c>
      <c r="C765" s="49" t="str">
        <f t="shared" si="2"/>
        <v>S16829FA1</v>
      </c>
      <c r="D765" s="6">
        <v>29.0</v>
      </c>
      <c r="E765" s="10" t="str">
        <f t="shared" si="3"/>
        <v>BFA29</v>
      </c>
      <c r="F765" s="13">
        <v>72.0</v>
      </c>
      <c r="G765" s="10" t="str">
        <f t="shared" si="4"/>
        <v>BFA29-72</v>
      </c>
      <c r="H765" s="16"/>
      <c r="I765" s="16" t="str">
        <f t="shared" si="5"/>
        <v>collected</v>
      </c>
      <c r="J765" s="16" t="str">
        <f t="shared" si="6"/>
        <v>N</v>
      </c>
      <c r="K765" s="16"/>
      <c r="L765" s="16"/>
    </row>
    <row r="766">
      <c r="A766" s="26" t="s">
        <v>617</v>
      </c>
      <c r="B766" s="10" t="str">
        <f t="shared" si="1"/>
        <v>fatty_acid</v>
      </c>
      <c r="C766" s="49" t="str">
        <f t="shared" si="2"/>
        <v>S16830FA1</v>
      </c>
      <c r="D766" s="6">
        <v>29.0</v>
      </c>
      <c r="E766" s="10" t="str">
        <f t="shared" si="3"/>
        <v>BFA29</v>
      </c>
      <c r="F766" s="13">
        <v>73.0</v>
      </c>
      <c r="G766" s="10" t="str">
        <f t="shared" si="4"/>
        <v>BFA29-73</v>
      </c>
      <c r="H766" s="16"/>
      <c r="I766" s="16" t="str">
        <f t="shared" si="5"/>
        <v>collected</v>
      </c>
      <c r="J766" s="16" t="str">
        <f t="shared" si="6"/>
        <v>N</v>
      </c>
      <c r="K766" s="16"/>
      <c r="L766" s="16"/>
    </row>
    <row r="767">
      <c r="A767" s="26" t="s">
        <v>623</v>
      </c>
      <c r="B767" s="10" t="str">
        <f t="shared" si="1"/>
        <v>fatty_acid</v>
      </c>
      <c r="C767" s="49" t="str">
        <f t="shared" si="2"/>
        <v>S17051FA1</v>
      </c>
      <c r="D767" s="6">
        <v>29.0</v>
      </c>
      <c r="E767" s="10" t="str">
        <f t="shared" si="3"/>
        <v>BFA29</v>
      </c>
      <c r="F767" s="13">
        <v>74.0</v>
      </c>
      <c r="G767" s="10" t="str">
        <f t="shared" si="4"/>
        <v>BFA29-74</v>
      </c>
      <c r="H767" s="16"/>
      <c r="I767" s="16" t="str">
        <f t="shared" si="5"/>
        <v>collected</v>
      </c>
      <c r="J767" s="16" t="str">
        <f t="shared" si="6"/>
        <v>N</v>
      </c>
      <c r="K767" s="16"/>
      <c r="L767" s="16"/>
    </row>
    <row r="768">
      <c r="A768" s="26" t="s">
        <v>631</v>
      </c>
      <c r="B768" s="10" t="str">
        <f t="shared" si="1"/>
        <v>fatty_acid</v>
      </c>
      <c r="C768" s="49" t="str">
        <f t="shared" si="2"/>
        <v>S17052FA1</v>
      </c>
      <c r="D768" s="6">
        <v>29.0</v>
      </c>
      <c r="E768" s="10" t="str">
        <f t="shared" si="3"/>
        <v>BFA29</v>
      </c>
      <c r="F768" s="13">
        <v>75.0</v>
      </c>
      <c r="G768" s="10" t="str">
        <f t="shared" si="4"/>
        <v>BFA29-75</v>
      </c>
      <c r="H768" s="16"/>
      <c r="I768" s="16" t="str">
        <f t="shared" si="5"/>
        <v>collected</v>
      </c>
      <c r="J768" s="16" t="str">
        <f t="shared" si="6"/>
        <v>N</v>
      </c>
      <c r="K768" s="16"/>
      <c r="L768" s="16"/>
    </row>
    <row r="769">
      <c r="A769" s="26" t="s">
        <v>639</v>
      </c>
      <c r="B769" s="10" t="str">
        <f t="shared" si="1"/>
        <v>fatty_acid</v>
      </c>
      <c r="C769" s="49" t="str">
        <f t="shared" si="2"/>
        <v>S17053FA1</v>
      </c>
      <c r="D769" s="6">
        <v>29.0</v>
      </c>
      <c r="E769" s="10" t="str">
        <f t="shared" si="3"/>
        <v>BFA29</v>
      </c>
      <c r="F769" s="13">
        <v>76.0</v>
      </c>
      <c r="G769" s="10" t="str">
        <f t="shared" si="4"/>
        <v>BFA29-76</v>
      </c>
      <c r="H769" s="16"/>
      <c r="I769" s="16" t="str">
        <f t="shared" si="5"/>
        <v>collected</v>
      </c>
      <c r="J769" s="16" t="str">
        <f t="shared" si="6"/>
        <v>N</v>
      </c>
      <c r="K769" s="16"/>
      <c r="L769" s="16"/>
    </row>
    <row r="770">
      <c r="A770" s="26" t="s">
        <v>646</v>
      </c>
      <c r="B770" s="10" t="str">
        <f t="shared" si="1"/>
        <v>fatty_acid</v>
      </c>
      <c r="C770" s="49" t="str">
        <f t="shared" si="2"/>
        <v>S17054FA1</v>
      </c>
      <c r="D770" s="6">
        <v>29.0</v>
      </c>
      <c r="E770" s="10" t="str">
        <f t="shared" si="3"/>
        <v>BFA29</v>
      </c>
      <c r="F770" s="13">
        <v>77.0</v>
      </c>
      <c r="G770" s="10" t="str">
        <f t="shared" si="4"/>
        <v>BFA29-77</v>
      </c>
      <c r="H770" s="16"/>
      <c r="I770" s="16" t="str">
        <f t="shared" si="5"/>
        <v>collected</v>
      </c>
      <c r="J770" s="16" t="str">
        <f t="shared" si="6"/>
        <v>N</v>
      </c>
      <c r="K770" s="16"/>
      <c r="L770" s="16"/>
    </row>
    <row r="771">
      <c r="A771" s="26" t="s">
        <v>652</v>
      </c>
      <c r="B771" s="10" t="str">
        <f t="shared" si="1"/>
        <v>fatty_acid</v>
      </c>
      <c r="C771" s="49" t="str">
        <f t="shared" si="2"/>
        <v>S17055FA1</v>
      </c>
      <c r="D771" s="6">
        <v>29.0</v>
      </c>
      <c r="E771" s="10" t="str">
        <f t="shared" si="3"/>
        <v>BFA29</v>
      </c>
      <c r="F771" s="13">
        <v>78.0</v>
      </c>
      <c r="G771" s="10" t="str">
        <f t="shared" si="4"/>
        <v>BFA29-78</v>
      </c>
      <c r="H771" s="16"/>
      <c r="I771" s="16" t="str">
        <f t="shared" si="5"/>
        <v>collected</v>
      </c>
      <c r="J771" s="16" t="str">
        <f t="shared" si="6"/>
        <v>N</v>
      </c>
      <c r="K771" s="16"/>
      <c r="L771" s="16"/>
    </row>
    <row r="772">
      <c r="A772" s="26" t="s">
        <v>660</v>
      </c>
      <c r="B772" s="10" t="str">
        <f t="shared" si="1"/>
        <v>fatty_acid</v>
      </c>
      <c r="C772" s="49" t="str">
        <f t="shared" si="2"/>
        <v>S17056FA1</v>
      </c>
      <c r="D772" s="6">
        <v>29.0</v>
      </c>
      <c r="E772" s="10" t="str">
        <f t="shared" si="3"/>
        <v>BFA29</v>
      </c>
      <c r="F772" s="13">
        <v>79.0</v>
      </c>
      <c r="G772" s="10" t="str">
        <f t="shared" si="4"/>
        <v>BFA29-79</v>
      </c>
      <c r="H772" s="16"/>
      <c r="I772" s="16" t="str">
        <f t="shared" si="5"/>
        <v>collected</v>
      </c>
      <c r="J772" s="16" t="str">
        <f t="shared" si="6"/>
        <v>N</v>
      </c>
      <c r="K772" s="16"/>
      <c r="L772" s="16"/>
    </row>
    <row r="773">
      <c r="A773" s="26" t="s">
        <v>667</v>
      </c>
      <c r="B773" s="10" t="str">
        <f t="shared" si="1"/>
        <v>fatty_acid</v>
      </c>
      <c r="C773" s="49" t="str">
        <f t="shared" si="2"/>
        <v>S17057FA1</v>
      </c>
      <c r="D773" s="6">
        <v>29.0</v>
      </c>
      <c r="E773" s="10" t="str">
        <f t="shared" si="3"/>
        <v>BFA29</v>
      </c>
      <c r="F773" s="13">
        <v>80.0</v>
      </c>
      <c r="G773" s="10" t="str">
        <f t="shared" si="4"/>
        <v>BFA29-80</v>
      </c>
      <c r="H773" s="16"/>
      <c r="I773" s="16" t="str">
        <f t="shared" si="5"/>
        <v>collected</v>
      </c>
      <c r="J773" s="16" t="str">
        <f t="shared" si="6"/>
        <v>N</v>
      </c>
      <c r="K773" s="16"/>
      <c r="L773" s="16"/>
    </row>
    <row r="774">
      <c r="A774" s="44" t="s">
        <v>673</v>
      </c>
      <c r="B774" s="10" t="str">
        <f t="shared" si="1"/>
        <v>fatty_acid</v>
      </c>
      <c r="C774" s="49" t="str">
        <f t="shared" si="2"/>
        <v>S17736FA1</v>
      </c>
      <c r="D774" s="6">
        <v>28.0</v>
      </c>
      <c r="E774" s="10" t="str">
        <f t="shared" si="3"/>
        <v>BFA28</v>
      </c>
      <c r="F774" s="13">
        <v>81.0</v>
      </c>
      <c r="G774" s="10" t="str">
        <f t="shared" si="4"/>
        <v>BFA28-81</v>
      </c>
      <c r="H774" s="16"/>
      <c r="I774" s="16" t="str">
        <f t="shared" si="5"/>
        <v>collected</v>
      </c>
      <c r="J774" s="16" t="str">
        <f t="shared" si="6"/>
        <v>N</v>
      </c>
      <c r="K774" s="16"/>
      <c r="L774" s="16"/>
    </row>
    <row r="775">
      <c r="A775" s="44" t="s">
        <v>679</v>
      </c>
      <c r="B775" s="10" t="str">
        <f t="shared" si="1"/>
        <v>fatty_acid</v>
      </c>
      <c r="C775" s="49" t="str">
        <f t="shared" si="2"/>
        <v>S17740FA1</v>
      </c>
      <c r="D775" s="6">
        <v>30.0</v>
      </c>
      <c r="E775" s="10" t="str">
        <f t="shared" si="3"/>
        <v>BFA30</v>
      </c>
      <c r="F775" s="13">
        <v>1.0</v>
      </c>
      <c r="G775" s="10" t="str">
        <f t="shared" si="4"/>
        <v>BFA30-1</v>
      </c>
      <c r="H775" s="16"/>
      <c r="I775" s="16" t="str">
        <f t="shared" si="5"/>
        <v>collected</v>
      </c>
      <c r="J775" s="16" t="str">
        <f t="shared" si="6"/>
        <v>N</v>
      </c>
      <c r="K775" s="16"/>
      <c r="L775" s="16"/>
    </row>
    <row r="776">
      <c r="A776" s="44" t="s">
        <v>687</v>
      </c>
      <c r="B776" s="10" t="str">
        <f t="shared" si="1"/>
        <v>fatty_acid</v>
      </c>
      <c r="C776" s="49" t="str">
        <f t="shared" si="2"/>
        <v>S17734FA1</v>
      </c>
      <c r="D776" s="6">
        <v>30.0</v>
      </c>
      <c r="E776" s="10" t="str">
        <f t="shared" si="3"/>
        <v>BFA30</v>
      </c>
      <c r="F776" s="13">
        <v>2.0</v>
      </c>
      <c r="G776" s="10" t="str">
        <f t="shared" si="4"/>
        <v>BFA30-2</v>
      </c>
      <c r="H776" s="16"/>
      <c r="I776" s="16" t="str">
        <f t="shared" si="5"/>
        <v>collected</v>
      </c>
      <c r="J776" s="16" t="str">
        <f t="shared" si="6"/>
        <v>N</v>
      </c>
      <c r="K776" s="16"/>
      <c r="L776" s="16"/>
    </row>
    <row r="777">
      <c r="A777" s="44" t="s">
        <v>695</v>
      </c>
      <c r="B777" s="10" t="str">
        <f t="shared" si="1"/>
        <v>fatty_acid</v>
      </c>
      <c r="C777" s="49" t="str">
        <f t="shared" si="2"/>
        <v>S17735FA1</v>
      </c>
      <c r="D777" s="6">
        <v>30.0</v>
      </c>
      <c r="E777" s="10" t="str">
        <f t="shared" si="3"/>
        <v>BFA30</v>
      </c>
      <c r="F777" s="13">
        <v>3.0</v>
      </c>
      <c r="G777" s="10" t="str">
        <f t="shared" si="4"/>
        <v>BFA30-3</v>
      </c>
      <c r="H777" s="16"/>
      <c r="I777" s="16" t="str">
        <f t="shared" si="5"/>
        <v>collected</v>
      </c>
      <c r="J777" s="16" t="str">
        <f t="shared" si="6"/>
        <v>N</v>
      </c>
      <c r="K777" s="16"/>
      <c r="L777" s="16"/>
    </row>
    <row r="778">
      <c r="A778" s="46" t="s">
        <v>703</v>
      </c>
      <c r="B778" s="10" t="str">
        <f t="shared" si="1"/>
        <v>fatty_acid</v>
      </c>
      <c r="C778" s="49" t="str">
        <f t="shared" si="2"/>
        <v>S17737FA1</v>
      </c>
      <c r="D778" s="6">
        <v>30.0</v>
      </c>
      <c r="E778" s="10" t="str">
        <f t="shared" si="3"/>
        <v>BFA30</v>
      </c>
      <c r="F778" s="13">
        <v>4.0</v>
      </c>
      <c r="G778" s="10" t="str">
        <f t="shared" si="4"/>
        <v>BFA30-4</v>
      </c>
      <c r="H778" s="16"/>
      <c r="I778" s="16" t="str">
        <f t="shared" si="5"/>
        <v>collected</v>
      </c>
      <c r="J778" s="16" t="str">
        <f t="shared" si="6"/>
        <v>N</v>
      </c>
      <c r="K778" s="16"/>
      <c r="L778" s="16"/>
    </row>
    <row r="779">
      <c r="A779" s="40" t="s">
        <v>710</v>
      </c>
      <c r="B779" s="10" t="str">
        <f t="shared" si="1"/>
        <v>fatty_acid</v>
      </c>
      <c r="C779" s="49" t="str">
        <f t="shared" si="2"/>
        <v>S17733FA1</v>
      </c>
      <c r="D779" s="6">
        <v>30.0</v>
      </c>
      <c r="E779" s="10" t="str">
        <f t="shared" si="3"/>
        <v>BFA30</v>
      </c>
      <c r="F779" s="13">
        <v>5.0</v>
      </c>
      <c r="G779" s="10" t="str">
        <f t="shared" si="4"/>
        <v>BFA30-5</v>
      </c>
      <c r="H779" s="16"/>
      <c r="I779" s="16" t="str">
        <f t="shared" si="5"/>
        <v>collected</v>
      </c>
      <c r="J779" s="16" t="str">
        <f t="shared" si="6"/>
        <v>N</v>
      </c>
      <c r="K779" s="16"/>
      <c r="L779" s="16"/>
    </row>
    <row r="780">
      <c r="A780" s="40" t="s">
        <v>718</v>
      </c>
      <c r="B780" s="10" t="str">
        <f t="shared" si="1"/>
        <v>fatty_acid</v>
      </c>
      <c r="C780" s="49" t="str">
        <f t="shared" si="2"/>
        <v>S17731FA1</v>
      </c>
      <c r="D780" s="6">
        <v>30.0</v>
      </c>
      <c r="E780" s="10" t="str">
        <f t="shared" si="3"/>
        <v>BFA30</v>
      </c>
      <c r="F780" s="13">
        <v>6.0</v>
      </c>
      <c r="G780" s="10" t="str">
        <f t="shared" si="4"/>
        <v>BFA30-6</v>
      </c>
      <c r="H780" s="16"/>
      <c r="I780" s="16" t="str">
        <f t="shared" si="5"/>
        <v>collected</v>
      </c>
      <c r="J780" s="16" t="str">
        <f t="shared" si="6"/>
        <v>N</v>
      </c>
      <c r="K780" s="16"/>
      <c r="L780" s="16"/>
    </row>
    <row r="781">
      <c r="A781" s="40" t="s">
        <v>725</v>
      </c>
      <c r="B781" s="10" t="str">
        <f t="shared" si="1"/>
        <v>fatty_acid</v>
      </c>
      <c r="C781" s="49" t="str">
        <f t="shared" si="2"/>
        <v>S17739FA1</v>
      </c>
      <c r="D781" s="6">
        <v>30.0</v>
      </c>
      <c r="E781" s="10" t="str">
        <f t="shared" si="3"/>
        <v>BFA30</v>
      </c>
      <c r="F781" s="13">
        <v>7.0</v>
      </c>
      <c r="G781" s="10" t="str">
        <f t="shared" si="4"/>
        <v>BFA30-7</v>
      </c>
      <c r="H781" s="16"/>
      <c r="I781" s="16" t="str">
        <f t="shared" si="5"/>
        <v>collected</v>
      </c>
      <c r="J781" s="16" t="str">
        <f t="shared" si="6"/>
        <v>N</v>
      </c>
      <c r="K781" s="16"/>
      <c r="L781" s="16"/>
    </row>
    <row r="782">
      <c r="A782" s="40" t="s">
        <v>733</v>
      </c>
      <c r="B782" s="10" t="str">
        <f t="shared" si="1"/>
        <v>fatty_acid</v>
      </c>
      <c r="C782" s="49" t="str">
        <f t="shared" si="2"/>
        <v>S17732FA1</v>
      </c>
      <c r="D782" s="6">
        <v>30.0</v>
      </c>
      <c r="E782" s="10" t="str">
        <f t="shared" si="3"/>
        <v>BFA30</v>
      </c>
      <c r="F782" s="13">
        <v>8.0</v>
      </c>
      <c r="G782" s="10" t="str">
        <f t="shared" si="4"/>
        <v>BFA30-8</v>
      </c>
      <c r="H782" s="16"/>
      <c r="I782" s="16" t="str">
        <f t="shared" si="5"/>
        <v>collected</v>
      </c>
      <c r="J782" s="16" t="str">
        <f t="shared" si="6"/>
        <v>N</v>
      </c>
      <c r="K782" s="16"/>
      <c r="L782" s="16"/>
    </row>
    <row r="783">
      <c r="A783" s="40" t="s">
        <v>739</v>
      </c>
      <c r="B783" s="10" t="str">
        <f t="shared" si="1"/>
        <v>fatty_acid</v>
      </c>
      <c r="C783" s="49" t="str">
        <f t="shared" si="2"/>
        <v>S17738FA1</v>
      </c>
      <c r="D783" s="6">
        <v>30.0</v>
      </c>
      <c r="E783" s="10" t="str">
        <f t="shared" si="3"/>
        <v>BFA30</v>
      </c>
      <c r="F783" s="13">
        <v>9.0</v>
      </c>
      <c r="G783" s="10" t="str">
        <f t="shared" si="4"/>
        <v>BFA30-9</v>
      </c>
      <c r="H783" s="16"/>
      <c r="I783" s="16" t="str">
        <f t="shared" si="5"/>
        <v>collected</v>
      </c>
      <c r="J783" s="16" t="str">
        <f t="shared" si="6"/>
        <v>N</v>
      </c>
      <c r="K783" s="16"/>
      <c r="L783" s="16"/>
    </row>
    <row r="784">
      <c r="A784" s="40" t="s">
        <v>746</v>
      </c>
      <c r="B784" s="10" t="str">
        <f t="shared" si="1"/>
        <v>fatty_acid</v>
      </c>
      <c r="C784" s="49" t="str">
        <f t="shared" si="2"/>
        <v>S16647FA1</v>
      </c>
      <c r="D784" s="6">
        <v>30.0</v>
      </c>
      <c r="E784" s="10" t="str">
        <f t="shared" si="3"/>
        <v>BFA30</v>
      </c>
      <c r="F784" s="13">
        <v>10.0</v>
      </c>
      <c r="G784" s="10" t="str">
        <f t="shared" si="4"/>
        <v>BFA30-10</v>
      </c>
      <c r="H784" s="16"/>
      <c r="I784" s="16" t="str">
        <f t="shared" si="5"/>
        <v>collected</v>
      </c>
      <c r="J784" s="16" t="str">
        <f t="shared" si="6"/>
        <v>N</v>
      </c>
      <c r="K784" s="16"/>
      <c r="L784" s="16"/>
    </row>
    <row r="785">
      <c r="A785" s="40" t="s">
        <v>754</v>
      </c>
      <c r="B785" s="10" t="str">
        <f t="shared" si="1"/>
        <v>fatty_acid</v>
      </c>
      <c r="C785" s="49" t="str">
        <f t="shared" si="2"/>
        <v>S16646FA1</v>
      </c>
      <c r="D785" s="6">
        <v>30.0</v>
      </c>
      <c r="E785" s="10" t="str">
        <f t="shared" si="3"/>
        <v>BFA30</v>
      </c>
      <c r="F785" s="13">
        <v>11.0</v>
      </c>
      <c r="G785" s="10" t="str">
        <f t="shared" si="4"/>
        <v>BFA30-11</v>
      </c>
      <c r="H785" s="16"/>
      <c r="I785" s="16" t="str">
        <f t="shared" si="5"/>
        <v>collected</v>
      </c>
      <c r="J785" s="16" t="str">
        <f t="shared" si="6"/>
        <v>N</v>
      </c>
      <c r="K785" s="16"/>
      <c r="L785" s="16"/>
    </row>
    <row r="786">
      <c r="A786" s="40" t="s">
        <v>761</v>
      </c>
      <c r="B786" s="10" t="str">
        <f t="shared" si="1"/>
        <v>fatty_acid</v>
      </c>
      <c r="C786" s="49" t="str">
        <f t="shared" si="2"/>
        <v>S16642FA1</v>
      </c>
      <c r="D786" s="6">
        <v>30.0</v>
      </c>
      <c r="E786" s="10" t="str">
        <f t="shared" si="3"/>
        <v>BFA30</v>
      </c>
      <c r="F786" s="13">
        <v>12.0</v>
      </c>
      <c r="G786" s="10" t="str">
        <f t="shared" si="4"/>
        <v>BFA30-12</v>
      </c>
      <c r="H786" s="16"/>
      <c r="I786" s="16" t="str">
        <f t="shared" si="5"/>
        <v>collected</v>
      </c>
      <c r="J786" s="16" t="str">
        <f t="shared" si="6"/>
        <v>N</v>
      </c>
      <c r="K786" s="16"/>
      <c r="L786" s="16"/>
    </row>
    <row r="787">
      <c r="A787" s="40" t="s">
        <v>766</v>
      </c>
      <c r="B787" s="10" t="str">
        <f t="shared" si="1"/>
        <v>fatty_acid</v>
      </c>
      <c r="C787" s="49" t="str">
        <f t="shared" si="2"/>
        <v>S16643FA1</v>
      </c>
      <c r="D787" s="6">
        <v>30.0</v>
      </c>
      <c r="E787" s="10" t="str">
        <f t="shared" si="3"/>
        <v>BFA30</v>
      </c>
      <c r="F787" s="13">
        <v>13.0</v>
      </c>
      <c r="G787" s="10" t="str">
        <f t="shared" si="4"/>
        <v>BFA30-13</v>
      </c>
      <c r="H787" s="16"/>
      <c r="I787" s="16" t="str">
        <f t="shared" si="5"/>
        <v>collected</v>
      </c>
      <c r="J787" s="16" t="str">
        <f t="shared" si="6"/>
        <v>N</v>
      </c>
      <c r="K787" s="16"/>
      <c r="L787" s="16"/>
    </row>
    <row r="788">
      <c r="A788" s="40" t="s">
        <v>769</v>
      </c>
      <c r="B788" s="10" t="str">
        <f t="shared" si="1"/>
        <v>fatty_acid</v>
      </c>
      <c r="C788" s="49" t="str">
        <f t="shared" si="2"/>
        <v>S16641FA1</v>
      </c>
      <c r="D788" s="6">
        <v>30.0</v>
      </c>
      <c r="E788" s="10" t="str">
        <f t="shared" si="3"/>
        <v>BFA30</v>
      </c>
      <c r="F788" s="13">
        <v>14.0</v>
      </c>
      <c r="G788" s="10" t="str">
        <f t="shared" si="4"/>
        <v>BFA30-14</v>
      </c>
      <c r="H788" s="16"/>
      <c r="I788" s="16" t="str">
        <f t="shared" si="5"/>
        <v>collected</v>
      </c>
      <c r="J788" s="16" t="str">
        <f t="shared" si="6"/>
        <v>N</v>
      </c>
      <c r="K788" s="16"/>
      <c r="L788" s="16"/>
    </row>
    <row r="789">
      <c r="A789" s="40" t="s">
        <v>772</v>
      </c>
      <c r="B789" s="10" t="str">
        <f t="shared" si="1"/>
        <v>fatty_acid</v>
      </c>
      <c r="C789" s="49" t="str">
        <f t="shared" si="2"/>
        <v>S16648FA1</v>
      </c>
      <c r="D789" s="6">
        <v>30.0</v>
      </c>
      <c r="E789" s="10" t="str">
        <f t="shared" si="3"/>
        <v>BFA30</v>
      </c>
      <c r="F789" s="13">
        <v>15.0</v>
      </c>
      <c r="G789" s="10" t="str">
        <f t="shared" si="4"/>
        <v>BFA30-15</v>
      </c>
      <c r="H789" s="16"/>
      <c r="I789" s="16" t="str">
        <f t="shared" si="5"/>
        <v>collected</v>
      </c>
      <c r="J789" s="16" t="str">
        <f t="shared" si="6"/>
        <v>N</v>
      </c>
      <c r="K789" s="16"/>
      <c r="L789" s="16"/>
    </row>
    <row r="790">
      <c r="A790" s="40" t="s">
        <v>779</v>
      </c>
      <c r="B790" s="10" t="str">
        <f t="shared" si="1"/>
        <v>fatty_acid</v>
      </c>
      <c r="C790" s="49" t="str">
        <f t="shared" si="2"/>
        <v>S16645FA1</v>
      </c>
      <c r="D790" s="6">
        <v>30.0</v>
      </c>
      <c r="E790" s="10" t="str">
        <f t="shared" si="3"/>
        <v>BFA30</v>
      </c>
      <c r="F790" s="13">
        <v>16.0</v>
      </c>
      <c r="G790" s="10" t="str">
        <f t="shared" si="4"/>
        <v>BFA30-16</v>
      </c>
      <c r="H790" s="51"/>
      <c r="I790" s="16" t="str">
        <f t="shared" si="5"/>
        <v>collected</v>
      </c>
      <c r="J790" s="16" t="str">
        <f t="shared" si="6"/>
        <v>N</v>
      </c>
      <c r="K790" s="16"/>
      <c r="L790" s="16"/>
    </row>
    <row r="791">
      <c r="A791" s="40" t="s">
        <v>786</v>
      </c>
      <c r="B791" s="10" t="str">
        <f t="shared" si="1"/>
        <v>fatty_acid</v>
      </c>
      <c r="C791" s="49" t="str">
        <f t="shared" si="2"/>
        <v>S16644FA1</v>
      </c>
      <c r="D791" s="6">
        <v>30.0</v>
      </c>
      <c r="E791" s="10" t="str">
        <f t="shared" si="3"/>
        <v>BFA30</v>
      </c>
      <c r="F791" s="13">
        <v>17.0</v>
      </c>
      <c r="G791" s="10" t="str">
        <f t="shared" si="4"/>
        <v>BFA30-17</v>
      </c>
      <c r="H791" s="51"/>
      <c r="I791" s="16" t="str">
        <f t="shared" si="5"/>
        <v>collected</v>
      </c>
      <c r="J791" s="16" t="str">
        <f t="shared" si="6"/>
        <v>N</v>
      </c>
      <c r="K791" s="16"/>
      <c r="L791" s="16"/>
    </row>
    <row r="792">
      <c r="A792" s="40" t="s">
        <v>793</v>
      </c>
      <c r="B792" s="10" t="str">
        <f t="shared" si="1"/>
        <v>fatty_acid</v>
      </c>
      <c r="C792" s="49" t="str">
        <f t="shared" si="2"/>
        <v>S16649FA1</v>
      </c>
      <c r="D792" s="6">
        <v>30.0</v>
      </c>
      <c r="E792" s="10" t="str">
        <f t="shared" si="3"/>
        <v>BFA30</v>
      </c>
      <c r="F792" s="13">
        <v>18.0</v>
      </c>
      <c r="G792" s="10" t="str">
        <f t="shared" si="4"/>
        <v>BFA30-18</v>
      </c>
      <c r="H792" s="51"/>
      <c r="I792" s="16" t="str">
        <f t="shared" si="5"/>
        <v>collected</v>
      </c>
      <c r="J792" s="16" t="str">
        <f t="shared" si="6"/>
        <v>N</v>
      </c>
      <c r="K792" s="16"/>
      <c r="L792" s="16"/>
    </row>
    <row r="793">
      <c r="A793" s="40" t="s">
        <v>800</v>
      </c>
      <c r="B793" s="10" t="str">
        <f t="shared" si="1"/>
        <v>fatty_acid</v>
      </c>
      <c r="C793" s="49" t="str">
        <f t="shared" si="2"/>
        <v>S16650FA1</v>
      </c>
      <c r="D793" s="6">
        <v>30.0</v>
      </c>
      <c r="E793" s="10" t="str">
        <f t="shared" si="3"/>
        <v>BFA30</v>
      </c>
      <c r="F793" s="13">
        <v>19.0</v>
      </c>
      <c r="G793" s="10" t="str">
        <f t="shared" si="4"/>
        <v>BFA30-19</v>
      </c>
      <c r="H793" s="51"/>
      <c r="I793" s="16" t="str">
        <f t="shared" si="5"/>
        <v>collected</v>
      </c>
      <c r="J793" s="16" t="str">
        <f t="shared" si="6"/>
        <v>N</v>
      </c>
      <c r="K793" s="16"/>
      <c r="L793" s="16"/>
    </row>
    <row r="794">
      <c r="A794" s="27" t="s">
        <v>808</v>
      </c>
      <c r="B794" s="10" t="str">
        <f t="shared" si="1"/>
        <v>fatty_acid</v>
      </c>
      <c r="C794" s="49" t="str">
        <f t="shared" si="2"/>
        <v>S17089FA1</v>
      </c>
      <c r="D794" s="6">
        <v>30.0</v>
      </c>
      <c r="E794" s="10" t="str">
        <f t="shared" si="3"/>
        <v>BFA30</v>
      </c>
      <c r="F794" s="13">
        <v>20.0</v>
      </c>
      <c r="G794" s="10" t="str">
        <f t="shared" si="4"/>
        <v>BFA30-20</v>
      </c>
      <c r="H794" s="51"/>
      <c r="I794" s="16" t="str">
        <f t="shared" si="5"/>
        <v>collected</v>
      </c>
      <c r="J794" s="16" t="str">
        <f t="shared" si="6"/>
        <v>N</v>
      </c>
      <c r="K794" s="16"/>
      <c r="L794" s="16"/>
    </row>
    <row r="795">
      <c r="A795" s="27" t="s">
        <v>816</v>
      </c>
      <c r="B795" s="10" t="str">
        <f t="shared" si="1"/>
        <v>fatty_acid</v>
      </c>
      <c r="C795" s="49" t="str">
        <f t="shared" si="2"/>
        <v>S17090FA1</v>
      </c>
      <c r="D795" s="6">
        <v>30.0</v>
      </c>
      <c r="E795" s="10" t="str">
        <f t="shared" si="3"/>
        <v>BFA30</v>
      </c>
      <c r="F795" s="13">
        <v>21.0</v>
      </c>
      <c r="G795" s="10" t="str">
        <f t="shared" si="4"/>
        <v>BFA30-21</v>
      </c>
      <c r="H795" s="51"/>
      <c r="I795" s="16" t="str">
        <f t="shared" si="5"/>
        <v>collected</v>
      </c>
      <c r="J795" s="16" t="str">
        <f t="shared" si="6"/>
        <v>N</v>
      </c>
      <c r="K795" s="16"/>
      <c r="L795" s="16"/>
    </row>
    <row r="796">
      <c r="A796" s="27" t="s">
        <v>824</v>
      </c>
      <c r="B796" s="10" t="str">
        <f t="shared" si="1"/>
        <v>fatty_acid</v>
      </c>
      <c r="C796" s="49" t="str">
        <f t="shared" si="2"/>
        <v>S17088FA1</v>
      </c>
      <c r="D796" s="6">
        <v>30.0</v>
      </c>
      <c r="E796" s="10" t="str">
        <f t="shared" si="3"/>
        <v>BFA30</v>
      </c>
      <c r="F796" s="13">
        <v>22.0</v>
      </c>
      <c r="G796" s="10" t="str">
        <f t="shared" si="4"/>
        <v>BFA30-22</v>
      </c>
      <c r="H796" s="51"/>
      <c r="I796" s="16" t="str">
        <f t="shared" si="5"/>
        <v>collected</v>
      </c>
      <c r="J796" s="16" t="str">
        <f t="shared" si="6"/>
        <v>N</v>
      </c>
      <c r="K796" s="16"/>
      <c r="L796" s="16"/>
    </row>
    <row r="797">
      <c r="A797" s="27" t="s">
        <v>829</v>
      </c>
      <c r="B797" s="10" t="str">
        <f t="shared" si="1"/>
        <v>fatty_acid</v>
      </c>
      <c r="C797" s="49" t="str">
        <f t="shared" si="2"/>
        <v>S17087FA1</v>
      </c>
      <c r="D797" s="6">
        <v>30.0</v>
      </c>
      <c r="E797" s="10" t="str">
        <f t="shared" si="3"/>
        <v>BFA30</v>
      </c>
      <c r="F797" s="13">
        <v>23.0</v>
      </c>
      <c r="G797" s="10" t="str">
        <f t="shared" si="4"/>
        <v>BFA30-23</v>
      </c>
      <c r="H797" s="51"/>
      <c r="I797" s="16" t="str">
        <f t="shared" si="5"/>
        <v>collected</v>
      </c>
      <c r="J797" s="16" t="str">
        <f t="shared" si="6"/>
        <v>N</v>
      </c>
      <c r="K797" s="16"/>
      <c r="L797" s="16"/>
    </row>
    <row r="798">
      <c r="A798" s="27" t="s">
        <v>835</v>
      </c>
      <c r="B798" s="10" t="str">
        <f t="shared" si="1"/>
        <v>fatty_acid</v>
      </c>
      <c r="C798" s="49" t="str">
        <f t="shared" si="2"/>
        <v>S17086FA1</v>
      </c>
      <c r="D798" s="6">
        <v>30.0</v>
      </c>
      <c r="E798" s="10" t="str">
        <f t="shared" si="3"/>
        <v>BFA30</v>
      </c>
      <c r="F798" s="13">
        <v>24.0</v>
      </c>
      <c r="G798" s="10" t="str">
        <f t="shared" si="4"/>
        <v>BFA30-24</v>
      </c>
      <c r="H798" s="51"/>
      <c r="I798" s="16" t="str">
        <f t="shared" si="5"/>
        <v>collected</v>
      </c>
      <c r="J798" s="16" t="str">
        <f t="shared" si="6"/>
        <v>N</v>
      </c>
      <c r="K798" s="16"/>
      <c r="L798" s="16"/>
    </row>
    <row r="799">
      <c r="A799" s="27" t="s">
        <v>840</v>
      </c>
      <c r="B799" s="10" t="str">
        <f t="shared" si="1"/>
        <v>fatty_acid</v>
      </c>
      <c r="C799" s="49" t="str">
        <f t="shared" si="2"/>
        <v>S17085FA1</v>
      </c>
      <c r="D799" s="6">
        <v>30.0</v>
      </c>
      <c r="E799" s="10" t="str">
        <f t="shared" si="3"/>
        <v>BFA30</v>
      </c>
      <c r="F799" s="13">
        <v>25.0</v>
      </c>
      <c r="G799" s="10" t="str">
        <f t="shared" si="4"/>
        <v>BFA30-25</v>
      </c>
      <c r="H799" s="51"/>
      <c r="I799" s="16" t="str">
        <f t="shared" si="5"/>
        <v>collected</v>
      </c>
      <c r="J799" s="16" t="str">
        <f t="shared" si="6"/>
        <v>N</v>
      </c>
      <c r="K799" s="16"/>
      <c r="L799" s="16"/>
    </row>
    <row r="800">
      <c r="A800" s="27" t="s">
        <v>845</v>
      </c>
      <c r="B800" s="10" t="str">
        <f t="shared" si="1"/>
        <v>fatty_acid</v>
      </c>
      <c r="C800" s="49" t="str">
        <f t="shared" si="2"/>
        <v>S17084FA1</v>
      </c>
      <c r="D800" s="6">
        <v>30.0</v>
      </c>
      <c r="E800" s="10" t="str">
        <f t="shared" si="3"/>
        <v>BFA30</v>
      </c>
      <c r="F800" s="13">
        <v>26.0</v>
      </c>
      <c r="G800" s="10" t="str">
        <f t="shared" si="4"/>
        <v>BFA30-26</v>
      </c>
      <c r="H800" s="51"/>
      <c r="I800" s="16" t="str">
        <f t="shared" si="5"/>
        <v>collected</v>
      </c>
      <c r="J800" s="16" t="str">
        <f t="shared" si="6"/>
        <v>N</v>
      </c>
      <c r="K800" s="16"/>
      <c r="L800" s="16"/>
    </row>
    <row r="801">
      <c r="A801" s="26" t="s">
        <v>850</v>
      </c>
      <c r="B801" s="10" t="str">
        <f t="shared" si="1"/>
        <v>fatty_acid</v>
      </c>
      <c r="C801" s="49" t="str">
        <f t="shared" si="2"/>
        <v>S17081FA1</v>
      </c>
      <c r="D801" s="6">
        <v>30.0</v>
      </c>
      <c r="E801" s="10" t="str">
        <f t="shared" si="3"/>
        <v>BFA30</v>
      </c>
      <c r="F801" s="13">
        <v>27.0</v>
      </c>
      <c r="G801" s="10" t="str">
        <f t="shared" si="4"/>
        <v>BFA30-27</v>
      </c>
      <c r="H801" s="51"/>
      <c r="I801" s="16" t="str">
        <f t="shared" si="5"/>
        <v>collected</v>
      </c>
      <c r="J801" s="16" t="str">
        <f t="shared" si="6"/>
        <v>N</v>
      </c>
      <c r="K801" s="16"/>
      <c r="L801" s="16"/>
    </row>
    <row r="802">
      <c r="A802" s="26" t="s">
        <v>856</v>
      </c>
      <c r="B802" s="10" t="str">
        <f t="shared" si="1"/>
        <v>fatty_acid</v>
      </c>
      <c r="C802" s="49" t="str">
        <f t="shared" si="2"/>
        <v>S17082FA1</v>
      </c>
      <c r="D802" s="6">
        <v>30.0</v>
      </c>
      <c r="E802" s="10" t="str">
        <f t="shared" si="3"/>
        <v>BFA30</v>
      </c>
      <c r="F802" s="13">
        <v>28.0</v>
      </c>
      <c r="G802" s="10" t="str">
        <f t="shared" si="4"/>
        <v>BFA30-28</v>
      </c>
      <c r="H802" s="51"/>
      <c r="I802" s="16" t="str">
        <f t="shared" si="5"/>
        <v>collected</v>
      </c>
      <c r="J802" s="16" t="str">
        <f t="shared" si="6"/>
        <v>N</v>
      </c>
      <c r="K802" s="16"/>
      <c r="L802" s="16"/>
    </row>
    <row r="803">
      <c r="A803" s="26" t="s">
        <v>861</v>
      </c>
      <c r="B803" s="10" t="str">
        <f t="shared" si="1"/>
        <v>fatty_acid</v>
      </c>
      <c r="C803" s="49" t="str">
        <f t="shared" si="2"/>
        <v>S17083FA1</v>
      </c>
      <c r="D803" s="6">
        <v>30.0</v>
      </c>
      <c r="E803" s="10" t="str">
        <f t="shared" si="3"/>
        <v>BFA30</v>
      </c>
      <c r="F803" s="13">
        <v>29.0</v>
      </c>
      <c r="G803" s="10" t="str">
        <f t="shared" si="4"/>
        <v>BFA30-29</v>
      </c>
      <c r="H803" s="51"/>
      <c r="I803" s="16" t="str">
        <f t="shared" si="5"/>
        <v>collected</v>
      </c>
      <c r="J803" s="16" t="str">
        <f t="shared" si="6"/>
        <v>N</v>
      </c>
      <c r="K803" s="16"/>
      <c r="L803" s="16"/>
    </row>
    <row r="804">
      <c r="A804" s="26" t="s">
        <v>869</v>
      </c>
      <c r="B804" s="10" t="str">
        <f t="shared" si="1"/>
        <v>fatty_acid</v>
      </c>
      <c r="C804" s="49" t="str">
        <f t="shared" si="2"/>
        <v>S17341FA1</v>
      </c>
      <c r="D804" s="6">
        <v>30.0</v>
      </c>
      <c r="E804" s="10" t="str">
        <f t="shared" si="3"/>
        <v>BFA30</v>
      </c>
      <c r="F804" s="13">
        <v>30.0</v>
      </c>
      <c r="G804" s="10" t="str">
        <f t="shared" si="4"/>
        <v>BFA30-30</v>
      </c>
      <c r="H804" s="51"/>
      <c r="I804" s="16" t="str">
        <f t="shared" si="5"/>
        <v>collected</v>
      </c>
      <c r="J804" s="16" t="str">
        <f t="shared" si="6"/>
        <v>N</v>
      </c>
      <c r="K804" s="16"/>
      <c r="L804" s="16"/>
    </row>
    <row r="805">
      <c r="A805" s="26" t="s">
        <v>876</v>
      </c>
      <c r="B805" s="10" t="str">
        <f t="shared" si="1"/>
        <v>fatty_acid</v>
      </c>
      <c r="C805" s="49" t="str">
        <f t="shared" si="2"/>
        <v>S17350FA1</v>
      </c>
      <c r="D805" s="6">
        <v>30.0</v>
      </c>
      <c r="E805" s="10" t="str">
        <f t="shared" si="3"/>
        <v>BFA30</v>
      </c>
      <c r="F805" s="13">
        <v>31.0</v>
      </c>
      <c r="G805" s="10" t="str">
        <f t="shared" si="4"/>
        <v>BFA30-31</v>
      </c>
      <c r="H805" s="51"/>
      <c r="I805" s="16" t="str">
        <f t="shared" si="5"/>
        <v>collected</v>
      </c>
      <c r="J805" s="16" t="str">
        <f t="shared" si="6"/>
        <v>N</v>
      </c>
      <c r="K805" s="16"/>
      <c r="L805" s="16"/>
    </row>
    <row r="806">
      <c r="A806" s="26" t="s">
        <v>880</v>
      </c>
      <c r="B806" s="10" t="str">
        <f t="shared" si="1"/>
        <v>fatty_acid</v>
      </c>
      <c r="C806" s="49" t="str">
        <f t="shared" si="2"/>
        <v>S17348FA1</v>
      </c>
      <c r="D806" s="6">
        <v>30.0</v>
      </c>
      <c r="E806" s="10" t="str">
        <f t="shared" si="3"/>
        <v>BFA30</v>
      </c>
      <c r="F806" s="13">
        <v>32.0</v>
      </c>
      <c r="G806" s="10" t="str">
        <f t="shared" si="4"/>
        <v>BFA30-32</v>
      </c>
      <c r="H806" s="51"/>
      <c r="I806" s="16" t="str">
        <f t="shared" si="5"/>
        <v>collected</v>
      </c>
      <c r="J806" s="16" t="str">
        <f t="shared" si="6"/>
        <v>N</v>
      </c>
      <c r="K806" s="16"/>
      <c r="L806" s="16"/>
    </row>
    <row r="807">
      <c r="A807" s="26" t="s">
        <v>890</v>
      </c>
      <c r="B807" s="10" t="str">
        <f t="shared" si="1"/>
        <v>fatty_acid</v>
      </c>
      <c r="C807" s="49" t="str">
        <f t="shared" si="2"/>
        <v>S17347FA1</v>
      </c>
      <c r="D807" s="6">
        <v>30.0</v>
      </c>
      <c r="E807" s="10" t="str">
        <f t="shared" si="3"/>
        <v>BFA30</v>
      </c>
      <c r="F807" s="13">
        <v>33.0</v>
      </c>
      <c r="G807" s="10" t="str">
        <f t="shared" si="4"/>
        <v>BFA30-33</v>
      </c>
      <c r="H807" s="51"/>
      <c r="I807" s="16" t="str">
        <f t="shared" si="5"/>
        <v>collected</v>
      </c>
      <c r="J807" s="16" t="str">
        <f t="shared" si="6"/>
        <v>N</v>
      </c>
      <c r="K807" s="16"/>
      <c r="L807" s="16"/>
    </row>
    <row r="808">
      <c r="A808" s="26" t="s">
        <v>900</v>
      </c>
      <c r="B808" s="10" t="str">
        <f t="shared" si="1"/>
        <v>fatty_acid</v>
      </c>
      <c r="C808" s="49" t="str">
        <f t="shared" si="2"/>
        <v>S17349FA1</v>
      </c>
      <c r="D808" s="6">
        <v>30.0</v>
      </c>
      <c r="E808" s="10" t="str">
        <f t="shared" si="3"/>
        <v>BFA30</v>
      </c>
      <c r="F808" s="13">
        <v>34.0</v>
      </c>
      <c r="G808" s="10" t="str">
        <f t="shared" si="4"/>
        <v>BFA30-34</v>
      </c>
      <c r="H808" s="51"/>
      <c r="I808" s="16" t="str">
        <f t="shared" si="5"/>
        <v>collected</v>
      </c>
      <c r="J808" s="16" t="str">
        <f t="shared" si="6"/>
        <v>N</v>
      </c>
      <c r="K808" s="16"/>
      <c r="L808" s="16"/>
    </row>
    <row r="809">
      <c r="A809" s="26" t="s">
        <v>912</v>
      </c>
      <c r="B809" s="10" t="str">
        <f t="shared" si="1"/>
        <v>fatty_acid</v>
      </c>
      <c r="C809" s="49" t="str">
        <f t="shared" si="2"/>
        <v>S17343FA1</v>
      </c>
      <c r="D809" s="6">
        <v>30.0</v>
      </c>
      <c r="E809" s="10" t="str">
        <f t="shared" si="3"/>
        <v>BFA30</v>
      </c>
      <c r="F809" s="13">
        <v>35.0</v>
      </c>
      <c r="G809" s="10" t="str">
        <f t="shared" si="4"/>
        <v>BFA30-35</v>
      </c>
      <c r="H809" s="51"/>
      <c r="I809" s="16" t="str">
        <f t="shared" si="5"/>
        <v>collected</v>
      </c>
      <c r="J809" s="16" t="str">
        <f t="shared" si="6"/>
        <v>N</v>
      </c>
      <c r="K809" s="16"/>
      <c r="L809" s="16"/>
    </row>
    <row r="810">
      <c r="A810" s="26" t="s">
        <v>919</v>
      </c>
      <c r="B810" s="10" t="str">
        <f t="shared" si="1"/>
        <v>fatty_acid</v>
      </c>
      <c r="C810" s="49" t="str">
        <f t="shared" si="2"/>
        <v>S17342FA1</v>
      </c>
      <c r="D810" s="6">
        <v>30.0</v>
      </c>
      <c r="E810" s="10" t="str">
        <f t="shared" si="3"/>
        <v>BFA30</v>
      </c>
      <c r="F810" s="13">
        <v>36.0</v>
      </c>
      <c r="G810" s="10" t="str">
        <f t="shared" si="4"/>
        <v>BFA30-36</v>
      </c>
      <c r="H810" s="51"/>
      <c r="I810" s="16" t="str">
        <f t="shared" si="5"/>
        <v>collected</v>
      </c>
      <c r="J810" s="16" t="str">
        <f t="shared" si="6"/>
        <v>N</v>
      </c>
      <c r="K810" s="16"/>
      <c r="L810" s="16"/>
    </row>
    <row r="811">
      <c r="A811" s="26" t="s">
        <v>928</v>
      </c>
      <c r="B811" s="10" t="str">
        <f t="shared" si="1"/>
        <v>fatty_acid</v>
      </c>
      <c r="C811" s="49" t="str">
        <f t="shared" si="2"/>
        <v>S17345FA1</v>
      </c>
      <c r="D811" s="6">
        <v>30.0</v>
      </c>
      <c r="E811" s="10" t="str">
        <f t="shared" si="3"/>
        <v>BFA30</v>
      </c>
      <c r="F811" s="13">
        <v>37.0</v>
      </c>
      <c r="G811" s="10" t="str">
        <f t="shared" si="4"/>
        <v>BFA30-37</v>
      </c>
      <c r="H811" s="51"/>
      <c r="I811" s="16" t="str">
        <f t="shared" si="5"/>
        <v>collected</v>
      </c>
      <c r="J811" s="16" t="str">
        <f t="shared" si="6"/>
        <v>N</v>
      </c>
      <c r="K811" s="16"/>
      <c r="L811" s="16"/>
    </row>
    <row r="812">
      <c r="A812" s="26" t="s">
        <v>936</v>
      </c>
      <c r="B812" s="10" t="str">
        <f t="shared" si="1"/>
        <v>fatty_acid</v>
      </c>
      <c r="C812" s="49" t="str">
        <f t="shared" si="2"/>
        <v>S17058FA1</v>
      </c>
      <c r="D812" s="6">
        <v>29.0</v>
      </c>
      <c r="E812" s="10" t="str">
        <f t="shared" si="3"/>
        <v>BFA29</v>
      </c>
      <c r="F812" s="13">
        <v>81.0</v>
      </c>
      <c r="G812" s="10" t="str">
        <f t="shared" si="4"/>
        <v>BFA29-81</v>
      </c>
      <c r="H812" s="51"/>
      <c r="I812" s="16" t="str">
        <f t="shared" si="5"/>
        <v>collected</v>
      </c>
      <c r="J812" s="16" t="str">
        <f t="shared" si="6"/>
        <v>N</v>
      </c>
      <c r="K812" s="16"/>
      <c r="L812" s="16"/>
    </row>
    <row r="813">
      <c r="A813" s="27" t="s">
        <v>944</v>
      </c>
      <c r="B813" s="10" t="str">
        <f t="shared" si="1"/>
        <v>fatty_acid</v>
      </c>
      <c r="C813" s="49" t="str">
        <f t="shared" si="2"/>
        <v>S17059FA1</v>
      </c>
      <c r="D813" s="6">
        <v>31.0</v>
      </c>
      <c r="E813" s="10" t="str">
        <f t="shared" si="3"/>
        <v>BFA31</v>
      </c>
      <c r="F813" s="13">
        <v>1.0</v>
      </c>
      <c r="G813" s="10" t="str">
        <f t="shared" si="4"/>
        <v>BFA31-1</v>
      </c>
      <c r="H813" s="51"/>
      <c r="I813" s="16" t="str">
        <f t="shared" si="5"/>
        <v>collected</v>
      </c>
      <c r="J813" s="16" t="str">
        <f t="shared" si="6"/>
        <v>N</v>
      </c>
      <c r="K813" s="16"/>
      <c r="L813" s="16"/>
    </row>
    <row r="814">
      <c r="A814" s="27" t="s">
        <v>953</v>
      </c>
      <c r="B814" s="10" t="str">
        <f t="shared" si="1"/>
        <v>fatty_acid</v>
      </c>
      <c r="C814" s="49" t="str">
        <f t="shared" si="2"/>
        <v>S17060FA1</v>
      </c>
      <c r="D814" s="6">
        <v>31.0</v>
      </c>
      <c r="E814" s="10" t="str">
        <f t="shared" si="3"/>
        <v>BFA31</v>
      </c>
      <c r="F814" s="13">
        <v>2.0</v>
      </c>
      <c r="G814" s="10" t="str">
        <f t="shared" si="4"/>
        <v>BFA31-2</v>
      </c>
      <c r="H814" s="51"/>
      <c r="I814" s="16" t="str">
        <f t="shared" si="5"/>
        <v>collected</v>
      </c>
      <c r="J814" s="16" t="str">
        <f t="shared" si="6"/>
        <v>N</v>
      </c>
      <c r="K814" s="16"/>
      <c r="L814" s="16"/>
    </row>
    <row r="815">
      <c r="A815" s="27" t="s">
        <v>961</v>
      </c>
      <c r="B815" s="10" t="str">
        <f t="shared" si="1"/>
        <v>fatty_acid</v>
      </c>
      <c r="C815" s="49" t="str">
        <f t="shared" si="2"/>
        <v>S16081FA1</v>
      </c>
      <c r="D815" s="6">
        <v>31.0</v>
      </c>
      <c r="E815" s="10" t="str">
        <f t="shared" si="3"/>
        <v>BFA31</v>
      </c>
      <c r="F815" s="13">
        <v>3.0</v>
      </c>
      <c r="G815" s="10" t="str">
        <f t="shared" si="4"/>
        <v>BFA31-3</v>
      </c>
      <c r="H815" s="51"/>
      <c r="I815" s="16" t="str">
        <f t="shared" si="5"/>
        <v>collected</v>
      </c>
      <c r="J815" s="16" t="str">
        <f t="shared" si="6"/>
        <v>N</v>
      </c>
      <c r="K815" s="16"/>
      <c r="L815" s="16"/>
    </row>
    <row r="816">
      <c r="A816" s="27" t="s">
        <v>970</v>
      </c>
      <c r="B816" s="10" t="str">
        <f t="shared" si="1"/>
        <v>fatty_acid</v>
      </c>
      <c r="C816" s="49" t="str">
        <f t="shared" si="2"/>
        <v>S16082FA1</v>
      </c>
      <c r="D816" s="6">
        <v>31.0</v>
      </c>
      <c r="E816" s="10" t="str">
        <f t="shared" si="3"/>
        <v>BFA31</v>
      </c>
      <c r="F816" s="13">
        <v>4.0</v>
      </c>
      <c r="G816" s="10" t="str">
        <f t="shared" si="4"/>
        <v>BFA31-4</v>
      </c>
      <c r="H816" s="51"/>
      <c r="I816" s="16" t="str">
        <f t="shared" si="5"/>
        <v>collected</v>
      </c>
      <c r="J816" s="16" t="str">
        <f t="shared" si="6"/>
        <v>N</v>
      </c>
      <c r="K816" s="16"/>
      <c r="L816" s="16"/>
    </row>
    <row r="817">
      <c r="A817" s="27" t="s">
        <v>977</v>
      </c>
      <c r="B817" s="10" t="str">
        <f t="shared" si="1"/>
        <v>fatty_acid</v>
      </c>
      <c r="C817" s="49" t="str">
        <f t="shared" si="2"/>
        <v>S16083FA1</v>
      </c>
      <c r="D817" s="6">
        <v>31.0</v>
      </c>
      <c r="E817" s="10" t="str">
        <f t="shared" si="3"/>
        <v>BFA31</v>
      </c>
      <c r="F817" s="13">
        <v>5.0</v>
      </c>
      <c r="G817" s="10" t="str">
        <f t="shared" si="4"/>
        <v>BFA31-5</v>
      </c>
      <c r="H817" s="51"/>
      <c r="I817" s="16" t="str">
        <f t="shared" si="5"/>
        <v>collected</v>
      </c>
      <c r="J817" s="16" t="str">
        <f t="shared" si="6"/>
        <v>N</v>
      </c>
      <c r="K817" s="16"/>
      <c r="L817" s="16"/>
    </row>
    <row r="818">
      <c r="A818" s="27" t="s">
        <v>984</v>
      </c>
      <c r="B818" s="10" t="str">
        <f t="shared" si="1"/>
        <v>fatty_acid</v>
      </c>
      <c r="C818" s="49" t="str">
        <f t="shared" si="2"/>
        <v>S16084FA1</v>
      </c>
      <c r="D818" s="6">
        <v>31.0</v>
      </c>
      <c r="E818" s="10" t="str">
        <f t="shared" si="3"/>
        <v>BFA31</v>
      </c>
      <c r="F818" s="13">
        <v>6.0</v>
      </c>
      <c r="G818" s="10" t="str">
        <f t="shared" si="4"/>
        <v>BFA31-6</v>
      </c>
      <c r="H818" s="51"/>
      <c r="I818" s="16" t="str">
        <f t="shared" si="5"/>
        <v>collected</v>
      </c>
      <c r="J818" s="16" t="str">
        <f t="shared" si="6"/>
        <v>N</v>
      </c>
      <c r="K818" s="16"/>
      <c r="L818" s="16"/>
    </row>
    <row r="819">
      <c r="A819" s="27" t="s">
        <v>992</v>
      </c>
      <c r="B819" s="10" t="str">
        <f t="shared" si="1"/>
        <v>fatty_acid</v>
      </c>
      <c r="C819" s="49" t="str">
        <f t="shared" si="2"/>
        <v>S16085FA1</v>
      </c>
      <c r="D819" s="6">
        <v>31.0</v>
      </c>
      <c r="E819" s="10" t="str">
        <f t="shared" si="3"/>
        <v>BFA31</v>
      </c>
      <c r="F819" s="13">
        <v>7.0</v>
      </c>
      <c r="G819" s="10" t="str">
        <f t="shared" si="4"/>
        <v>BFA31-7</v>
      </c>
      <c r="H819" s="32"/>
      <c r="I819" s="16" t="str">
        <f t="shared" si="5"/>
        <v>collected</v>
      </c>
      <c r="J819" s="16" t="str">
        <f t="shared" si="6"/>
        <v>N</v>
      </c>
      <c r="K819" s="16"/>
      <c r="L819" s="16"/>
    </row>
    <row r="820">
      <c r="A820" s="27" t="s">
        <v>1000</v>
      </c>
      <c r="B820" s="10" t="str">
        <f t="shared" si="1"/>
        <v>fatty_acid</v>
      </c>
      <c r="C820" s="49" t="str">
        <f t="shared" si="2"/>
        <v>S16086FA1</v>
      </c>
      <c r="D820" s="6">
        <v>31.0</v>
      </c>
      <c r="E820" s="10" t="str">
        <f t="shared" si="3"/>
        <v>BFA31</v>
      </c>
      <c r="F820" s="13">
        <v>8.0</v>
      </c>
      <c r="G820" s="10" t="str">
        <f t="shared" si="4"/>
        <v>BFA31-8</v>
      </c>
      <c r="H820" s="32"/>
      <c r="I820" s="16" t="str">
        <f t="shared" si="5"/>
        <v>collected</v>
      </c>
      <c r="J820" s="16" t="str">
        <f t="shared" si="6"/>
        <v>N</v>
      </c>
      <c r="K820" s="16"/>
      <c r="L820" s="16"/>
    </row>
    <row r="821">
      <c r="A821" s="27" t="s">
        <v>1007</v>
      </c>
      <c r="B821" s="10" t="str">
        <f t="shared" si="1"/>
        <v>fatty_acid</v>
      </c>
      <c r="C821" s="49" t="str">
        <f t="shared" si="2"/>
        <v>S16087FA1</v>
      </c>
      <c r="D821" s="6">
        <v>31.0</v>
      </c>
      <c r="E821" s="10" t="str">
        <f t="shared" si="3"/>
        <v>BFA31</v>
      </c>
      <c r="F821" s="13">
        <v>9.0</v>
      </c>
      <c r="G821" s="10" t="str">
        <f t="shared" si="4"/>
        <v>BFA31-9</v>
      </c>
      <c r="H821" s="6"/>
      <c r="I821" s="16" t="str">
        <f t="shared" si="5"/>
        <v>collected</v>
      </c>
      <c r="J821" s="16" t="str">
        <f t="shared" si="6"/>
        <v>N</v>
      </c>
      <c r="K821" s="16"/>
      <c r="L821" s="16"/>
    </row>
    <row r="822">
      <c r="A822" s="26" t="s">
        <v>1014</v>
      </c>
      <c r="B822" s="10" t="str">
        <f t="shared" si="1"/>
        <v>fatty_acid</v>
      </c>
      <c r="C822" s="49" t="str">
        <f t="shared" si="2"/>
        <v>S16088FA1</v>
      </c>
      <c r="D822" s="6">
        <v>31.0</v>
      </c>
      <c r="E822" s="10" t="str">
        <f t="shared" si="3"/>
        <v>BFA31</v>
      </c>
      <c r="F822" s="13">
        <v>10.0</v>
      </c>
      <c r="G822" s="10" t="str">
        <f t="shared" si="4"/>
        <v>BFA31-10</v>
      </c>
      <c r="H822" s="6"/>
      <c r="I822" s="16" t="str">
        <f t="shared" si="5"/>
        <v>collected</v>
      </c>
      <c r="J822" s="16" t="str">
        <f t="shared" si="6"/>
        <v>N</v>
      </c>
      <c r="K822" s="16"/>
      <c r="L822" s="16"/>
    </row>
    <row r="823">
      <c r="A823" s="26" t="s">
        <v>1022</v>
      </c>
      <c r="B823" s="10" t="str">
        <f t="shared" si="1"/>
        <v>fatty_acid</v>
      </c>
      <c r="C823" s="49" t="str">
        <f t="shared" si="2"/>
        <v>S16089FA1</v>
      </c>
      <c r="D823" s="6">
        <v>31.0</v>
      </c>
      <c r="E823" s="10" t="str">
        <f t="shared" si="3"/>
        <v>BFA31</v>
      </c>
      <c r="F823" s="13">
        <v>11.0</v>
      </c>
      <c r="G823" s="10" t="str">
        <f t="shared" si="4"/>
        <v>BFA31-11</v>
      </c>
      <c r="H823" s="6"/>
      <c r="I823" s="16" t="str">
        <f t="shared" si="5"/>
        <v>collected</v>
      </c>
      <c r="J823" s="16" t="str">
        <f t="shared" si="6"/>
        <v>N</v>
      </c>
      <c r="K823" s="16"/>
      <c r="L823" s="16"/>
    </row>
    <row r="824">
      <c r="A824" s="26" t="s">
        <v>1027</v>
      </c>
      <c r="B824" s="10" t="str">
        <f t="shared" si="1"/>
        <v>fatty_acid</v>
      </c>
      <c r="C824" s="49" t="str">
        <f t="shared" si="2"/>
        <v>S16090FA1</v>
      </c>
      <c r="D824" s="6">
        <v>31.0</v>
      </c>
      <c r="E824" s="10" t="str">
        <f t="shared" si="3"/>
        <v>BFA31</v>
      </c>
      <c r="F824" s="13">
        <v>12.0</v>
      </c>
      <c r="G824" s="10" t="str">
        <f t="shared" si="4"/>
        <v>BFA31-12</v>
      </c>
      <c r="H824" s="16"/>
      <c r="I824" s="16" t="str">
        <f t="shared" si="5"/>
        <v>collected</v>
      </c>
      <c r="J824" s="16" t="str">
        <f t="shared" si="6"/>
        <v>N</v>
      </c>
      <c r="K824" s="16"/>
      <c r="L824" s="16"/>
    </row>
    <row r="825">
      <c r="A825" s="26" t="s">
        <v>1034</v>
      </c>
      <c r="B825" s="10" t="str">
        <f t="shared" si="1"/>
        <v>fatty_acid</v>
      </c>
      <c r="C825" s="49" t="str">
        <f t="shared" si="2"/>
        <v>S17141FA1</v>
      </c>
      <c r="D825" s="6">
        <v>31.0</v>
      </c>
      <c r="E825" s="10" t="str">
        <f t="shared" si="3"/>
        <v>BFA31</v>
      </c>
      <c r="F825" s="13">
        <v>13.0</v>
      </c>
      <c r="G825" s="10" t="str">
        <f t="shared" si="4"/>
        <v>BFA31-13</v>
      </c>
      <c r="H825" s="16"/>
      <c r="I825" s="16" t="str">
        <f t="shared" si="5"/>
        <v>collected</v>
      </c>
      <c r="J825" s="16" t="str">
        <f t="shared" si="6"/>
        <v>N</v>
      </c>
      <c r="K825" s="16"/>
      <c r="L825" s="16"/>
    </row>
    <row r="826">
      <c r="A826" s="26" t="s">
        <v>1043</v>
      </c>
      <c r="B826" s="10" t="str">
        <f t="shared" si="1"/>
        <v>fatty_acid</v>
      </c>
      <c r="C826" s="49" t="str">
        <f t="shared" si="2"/>
        <v>S17142FA1</v>
      </c>
      <c r="D826" s="6">
        <v>31.0</v>
      </c>
      <c r="E826" s="10" t="str">
        <f t="shared" si="3"/>
        <v>BFA31</v>
      </c>
      <c r="F826" s="13">
        <v>14.0</v>
      </c>
      <c r="G826" s="10" t="str">
        <f t="shared" si="4"/>
        <v>BFA31-14</v>
      </c>
      <c r="H826" s="16"/>
      <c r="I826" s="16" t="str">
        <f t="shared" si="5"/>
        <v>collected</v>
      </c>
      <c r="J826" s="16" t="str">
        <f t="shared" si="6"/>
        <v>N</v>
      </c>
      <c r="K826" s="16"/>
      <c r="L826" s="16"/>
    </row>
    <row r="827">
      <c r="A827" s="26" t="s">
        <v>1054</v>
      </c>
      <c r="B827" s="10" t="str">
        <f t="shared" si="1"/>
        <v>fatty_acid</v>
      </c>
      <c r="C827" s="49" t="str">
        <f t="shared" si="2"/>
        <v>S17143FA1</v>
      </c>
      <c r="D827" s="6">
        <v>31.0</v>
      </c>
      <c r="E827" s="10" t="str">
        <f t="shared" si="3"/>
        <v>BFA31</v>
      </c>
      <c r="F827" s="13">
        <v>15.0</v>
      </c>
      <c r="G827" s="10" t="str">
        <f t="shared" si="4"/>
        <v>BFA31-15</v>
      </c>
      <c r="H827" s="16"/>
      <c r="I827" s="16" t="str">
        <f t="shared" si="5"/>
        <v>collected</v>
      </c>
      <c r="J827" s="16" t="str">
        <f t="shared" si="6"/>
        <v>N</v>
      </c>
      <c r="K827" s="16"/>
      <c r="L827" s="16"/>
    </row>
    <row r="828">
      <c r="A828" s="26" t="s">
        <v>1063</v>
      </c>
      <c r="B828" s="10" t="str">
        <f t="shared" si="1"/>
        <v>fatty_acid</v>
      </c>
      <c r="C828" s="49" t="str">
        <f t="shared" si="2"/>
        <v>S17144FA1</v>
      </c>
      <c r="D828" s="6">
        <v>31.0</v>
      </c>
      <c r="E828" s="10" t="str">
        <f t="shared" si="3"/>
        <v>BFA31</v>
      </c>
      <c r="F828" s="13">
        <v>16.0</v>
      </c>
      <c r="G828" s="10" t="str">
        <f t="shared" si="4"/>
        <v>BFA31-16</v>
      </c>
      <c r="H828" s="16"/>
      <c r="I828" s="16" t="str">
        <f t="shared" si="5"/>
        <v>collected</v>
      </c>
      <c r="J828" s="16" t="str">
        <f t="shared" si="6"/>
        <v>N</v>
      </c>
      <c r="K828" s="16"/>
      <c r="L828" s="16"/>
    </row>
    <row r="829">
      <c r="A829" s="26" t="s">
        <v>1073</v>
      </c>
      <c r="B829" s="10" t="str">
        <f t="shared" si="1"/>
        <v>fatty_acid</v>
      </c>
      <c r="C829" s="49" t="str">
        <f t="shared" si="2"/>
        <v>S17145FA1</v>
      </c>
      <c r="D829" s="6">
        <v>31.0</v>
      </c>
      <c r="E829" s="10" t="str">
        <f t="shared" si="3"/>
        <v>BFA31</v>
      </c>
      <c r="F829" s="13">
        <v>17.0</v>
      </c>
      <c r="G829" s="10" t="str">
        <f t="shared" si="4"/>
        <v>BFA31-17</v>
      </c>
      <c r="H829" s="16"/>
      <c r="I829" s="16" t="str">
        <f t="shared" si="5"/>
        <v>collected</v>
      </c>
      <c r="J829" s="16" t="str">
        <f t="shared" si="6"/>
        <v>N</v>
      </c>
      <c r="K829" s="16"/>
      <c r="L829" s="16"/>
    </row>
    <row r="830">
      <c r="A830" s="26" t="s">
        <v>1083</v>
      </c>
      <c r="B830" s="10" t="str">
        <f t="shared" si="1"/>
        <v>fatty_acid</v>
      </c>
      <c r="C830" s="49" t="str">
        <f t="shared" si="2"/>
        <v>S17146FA1</v>
      </c>
      <c r="D830" s="6">
        <v>31.0</v>
      </c>
      <c r="E830" s="10" t="str">
        <f t="shared" si="3"/>
        <v>BFA31</v>
      </c>
      <c r="F830" s="13">
        <v>18.0</v>
      </c>
      <c r="G830" s="10" t="str">
        <f t="shared" si="4"/>
        <v>BFA31-18</v>
      </c>
      <c r="H830" s="16"/>
      <c r="I830" s="16" t="str">
        <f t="shared" si="5"/>
        <v>collected</v>
      </c>
      <c r="J830" s="16" t="str">
        <f t="shared" si="6"/>
        <v>N</v>
      </c>
      <c r="K830" s="16"/>
      <c r="L830" s="16"/>
    </row>
    <row r="831">
      <c r="A831" s="26" t="s">
        <v>1095</v>
      </c>
      <c r="B831" s="10" t="str">
        <f t="shared" si="1"/>
        <v>fatty_acid</v>
      </c>
      <c r="C831" s="49" t="str">
        <f t="shared" si="2"/>
        <v>S17147FA1</v>
      </c>
      <c r="D831" s="6">
        <v>31.0</v>
      </c>
      <c r="E831" s="10" t="str">
        <f t="shared" si="3"/>
        <v>BFA31</v>
      </c>
      <c r="F831" s="13">
        <v>19.0</v>
      </c>
      <c r="G831" s="10" t="str">
        <f t="shared" si="4"/>
        <v>BFA31-19</v>
      </c>
      <c r="H831" s="16"/>
      <c r="I831" s="16" t="str">
        <f t="shared" si="5"/>
        <v>collected</v>
      </c>
      <c r="J831" s="16" t="str">
        <f t="shared" si="6"/>
        <v>N</v>
      </c>
      <c r="K831" s="16"/>
      <c r="L831" s="16"/>
    </row>
    <row r="832">
      <c r="A832" s="26" t="s">
        <v>1106</v>
      </c>
      <c r="B832" s="10" t="str">
        <f t="shared" si="1"/>
        <v>fatty_acid</v>
      </c>
      <c r="C832" s="49" t="str">
        <f t="shared" si="2"/>
        <v>S17148FA1</v>
      </c>
      <c r="D832" s="6">
        <v>31.0</v>
      </c>
      <c r="E832" s="10" t="str">
        <f t="shared" si="3"/>
        <v>BFA31</v>
      </c>
      <c r="F832" s="13">
        <v>20.0</v>
      </c>
      <c r="G832" s="10" t="str">
        <f t="shared" si="4"/>
        <v>BFA31-20</v>
      </c>
      <c r="H832" s="16"/>
      <c r="I832" s="16" t="str">
        <f t="shared" si="5"/>
        <v>collected</v>
      </c>
      <c r="J832" s="16" t="str">
        <f t="shared" si="6"/>
        <v>N</v>
      </c>
      <c r="K832" s="16"/>
      <c r="L832" s="16"/>
    </row>
    <row r="833">
      <c r="A833" s="26" t="s">
        <v>1116</v>
      </c>
      <c r="B833" s="10" t="str">
        <f t="shared" si="1"/>
        <v>fatty_acid</v>
      </c>
      <c r="C833" s="49" t="str">
        <f t="shared" si="2"/>
        <v>S17149FA1</v>
      </c>
      <c r="D833" s="6">
        <v>31.0</v>
      </c>
      <c r="E833" s="10" t="str">
        <f t="shared" si="3"/>
        <v>BFA31</v>
      </c>
      <c r="F833" s="13">
        <v>21.0</v>
      </c>
      <c r="G833" s="10" t="str">
        <f t="shared" si="4"/>
        <v>BFA31-21</v>
      </c>
      <c r="H833" s="16"/>
      <c r="I833" s="16" t="str">
        <f t="shared" si="5"/>
        <v>collected</v>
      </c>
      <c r="J833" s="16" t="str">
        <f t="shared" si="6"/>
        <v>N</v>
      </c>
      <c r="K833" s="16"/>
      <c r="L833" s="16"/>
    </row>
    <row r="834">
      <c r="A834" s="26" t="s">
        <v>1126</v>
      </c>
      <c r="B834" s="10" t="str">
        <f t="shared" si="1"/>
        <v>fatty_acid</v>
      </c>
      <c r="C834" s="49" t="str">
        <f t="shared" si="2"/>
        <v>S17150FA1</v>
      </c>
      <c r="D834" s="6">
        <v>31.0</v>
      </c>
      <c r="E834" s="10" t="str">
        <f t="shared" si="3"/>
        <v>BFA31</v>
      </c>
      <c r="F834" s="13">
        <v>22.0</v>
      </c>
      <c r="G834" s="10" t="str">
        <f t="shared" si="4"/>
        <v>BFA31-22</v>
      </c>
      <c r="H834" s="16"/>
      <c r="I834" s="16" t="str">
        <f t="shared" si="5"/>
        <v>collected</v>
      </c>
      <c r="J834" s="16" t="str">
        <f t="shared" si="6"/>
        <v>N</v>
      </c>
      <c r="K834" s="16"/>
      <c r="L834" s="16"/>
    </row>
    <row r="835">
      <c r="A835" s="26" t="s">
        <v>1138</v>
      </c>
      <c r="B835" s="10" t="str">
        <f t="shared" si="1"/>
        <v>fatty_acid</v>
      </c>
      <c r="C835" s="49" t="str">
        <f t="shared" si="2"/>
        <v>S17321FA1</v>
      </c>
      <c r="D835" s="6">
        <v>31.0</v>
      </c>
      <c r="E835" s="10" t="str">
        <f t="shared" si="3"/>
        <v>BFA31</v>
      </c>
      <c r="F835" s="13">
        <v>23.0</v>
      </c>
      <c r="G835" s="10" t="str">
        <f t="shared" si="4"/>
        <v>BFA31-23</v>
      </c>
      <c r="H835" s="16"/>
      <c r="I835" s="16" t="str">
        <f t="shared" si="5"/>
        <v>collected</v>
      </c>
      <c r="J835" s="16" t="str">
        <f t="shared" si="6"/>
        <v>N</v>
      </c>
      <c r="K835" s="16"/>
      <c r="L835" s="16"/>
    </row>
    <row r="836">
      <c r="A836" s="26" t="s">
        <v>1150</v>
      </c>
      <c r="B836" s="10" t="str">
        <f t="shared" si="1"/>
        <v>fatty_acid</v>
      </c>
      <c r="C836" s="49" t="str">
        <f t="shared" si="2"/>
        <v>S17322FA1</v>
      </c>
      <c r="D836" s="6">
        <v>31.0</v>
      </c>
      <c r="E836" s="10" t="str">
        <f t="shared" si="3"/>
        <v>BFA31</v>
      </c>
      <c r="F836" s="13">
        <v>24.0</v>
      </c>
      <c r="G836" s="10" t="str">
        <f t="shared" si="4"/>
        <v>BFA31-24</v>
      </c>
      <c r="H836" s="16"/>
      <c r="I836" s="16" t="str">
        <f t="shared" si="5"/>
        <v>collected</v>
      </c>
      <c r="J836" s="16" t="str">
        <f t="shared" si="6"/>
        <v>N</v>
      </c>
      <c r="K836" s="16"/>
      <c r="L836" s="16"/>
    </row>
    <row r="837">
      <c r="A837" s="26" t="s">
        <v>1160</v>
      </c>
      <c r="B837" s="10" t="str">
        <f t="shared" si="1"/>
        <v>fatty_acid</v>
      </c>
      <c r="C837" s="49" t="str">
        <f t="shared" si="2"/>
        <v>S17323FA1</v>
      </c>
      <c r="D837" s="6">
        <v>31.0</v>
      </c>
      <c r="E837" s="10" t="str">
        <f t="shared" si="3"/>
        <v>BFA31</v>
      </c>
      <c r="F837" s="13">
        <v>25.0</v>
      </c>
      <c r="G837" s="10" t="str">
        <f t="shared" si="4"/>
        <v>BFA31-25</v>
      </c>
      <c r="H837" s="16"/>
      <c r="I837" s="16" t="str">
        <f t="shared" si="5"/>
        <v>collected</v>
      </c>
      <c r="J837" s="16" t="str">
        <f t="shared" si="6"/>
        <v>N</v>
      </c>
      <c r="K837" s="16"/>
      <c r="L837" s="16"/>
    </row>
    <row r="838">
      <c r="A838" s="26" t="s">
        <v>1169</v>
      </c>
      <c r="B838" s="10" t="str">
        <f t="shared" si="1"/>
        <v>fatty_acid</v>
      </c>
      <c r="C838" s="49" t="str">
        <f t="shared" si="2"/>
        <v>S17324FA1</v>
      </c>
      <c r="D838" s="6">
        <v>31.0</v>
      </c>
      <c r="E838" s="10" t="str">
        <f t="shared" si="3"/>
        <v>BFA31</v>
      </c>
      <c r="F838" s="13">
        <v>26.0</v>
      </c>
      <c r="G838" s="10" t="str">
        <f t="shared" si="4"/>
        <v>BFA31-26</v>
      </c>
      <c r="H838" s="16"/>
      <c r="I838" s="16" t="str">
        <f t="shared" si="5"/>
        <v>collected</v>
      </c>
      <c r="J838" s="16" t="str">
        <f t="shared" si="6"/>
        <v>N</v>
      </c>
      <c r="K838" s="16"/>
      <c r="L838" s="16"/>
    </row>
    <row r="839">
      <c r="A839" s="26" t="s">
        <v>1178</v>
      </c>
      <c r="B839" s="10" t="str">
        <f t="shared" si="1"/>
        <v>fatty_acid</v>
      </c>
      <c r="C839" s="49" t="str">
        <f t="shared" si="2"/>
        <v>S17325FA1</v>
      </c>
      <c r="D839" s="6">
        <v>31.0</v>
      </c>
      <c r="E839" s="10" t="str">
        <f t="shared" si="3"/>
        <v>BFA31</v>
      </c>
      <c r="F839" s="13">
        <v>27.0</v>
      </c>
      <c r="G839" s="10" t="str">
        <f t="shared" si="4"/>
        <v>BFA31-27</v>
      </c>
      <c r="H839" s="16"/>
      <c r="I839" s="16" t="str">
        <f t="shared" si="5"/>
        <v>collected</v>
      </c>
      <c r="J839" s="16" t="str">
        <f t="shared" si="6"/>
        <v>N</v>
      </c>
      <c r="K839" s="16"/>
      <c r="L839" s="16"/>
    </row>
    <row r="840">
      <c r="A840" s="44" t="s">
        <v>1180</v>
      </c>
      <c r="B840" s="10" t="str">
        <f t="shared" si="1"/>
        <v>fatty_acid</v>
      </c>
      <c r="C840" s="49" t="str">
        <f t="shared" si="2"/>
        <v>S17346FA1</v>
      </c>
      <c r="D840" s="6">
        <v>30.0</v>
      </c>
      <c r="E840" s="10" t="str">
        <f t="shared" si="3"/>
        <v>BFA30</v>
      </c>
      <c r="F840" s="13">
        <v>38.0</v>
      </c>
      <c r="G840" s="10" t="str">
        <f t="shared" si="4"/>
        <v>BFA30-38</v>
      </c>
      <c r="H840" s="16"/>
      <c r="I840" s="16" t="str">
        <f t="shared" si="5"/>
        <v>collected</v>
      </c>
      <c r="J840" s="16" t="str">
        <f t="shared" si="6"/>
        <v>N</v>
      </c>
      <c r="K840" s="16"/>
      <c r="L840" s="16"/>
    </row>
    <row r="841">
      <c r="A841" s="46" t="s">
        <v>1182</v>
      </c>
      <c r="B841" s="10" t="str">
        <f t="shared" si="1"/>
        <v>fatty_acid</v>
      </c>
      <c r="C841" s="49" t="str">
        <f t="shared" si="2"/>
        <v>S17344FA1</v>
      </c>
      <c r="D841" s="6">
        <v>30.0</v>
      </c>
      <c r="E841" s="10" t="str">
        <f t="shared" si="3"/>
        <v>BFA30</v>
      </c>
      <c r="F841" s="13">
        <v>39.0</v>
      </c>
      <c r="G841" s="10" t="str">
        <f t="shared" si="4"/>
        <v>BFA30-39</v>
      </c>
      <c r="H841" s="16"/>
      <c r="I841" s="16" t="str">
        <f t="shared" si="5"/>
        <v>collected</v>
      </c>
      <c r="J841" s="16" t="str">
        <f t="shared" si="6"/>
        <v>N</v>
      </c>
      <c r="K841" s="16"/>
      <c r="L841" s="16"/>
    </row>
    <row r="842">
      <c r="A842" s="43" t="s">
        <v>1186</v>
      </c>
      <c r="B842" s="10" t="str">
        <f t="shared" si="1"/>
        <v>fatty_acid</v>
      </c>
      <c r="C842" s="49" t="str">
        <f t="shared" si="2"/>
        <v>S17218FA1</v>
      </c>
      <c r="D842" s="6">
        <v>30.0</v>
      </c>
      <c r="E842" s="10" t="str">
        <f t="shared" si="3"/>
        <v>BFA30</v>
      </c>
      <c r="F842" s="13">
        <v>40.0</v>
      </c>
      <c r="G842" s="10" t="str">
        <f t="shared" si="4"/>
        <v>BFA30-40</v>
      </c>
      <c r="H842" s="16"/>
      <c r="I842" s="16" t="str">
        <f t="shared" si="5"/>
        <v>collected</v>
      </c>
      <c r="J842" s="16" t="str">
        <f t="shared" si="6"/>
        <v>N</v>
      </c>
      <c r="K842" s="16"/>
      <c r="L842" s="16"/>
    </row>
    <row r="843">
      <c r="A843" s="44" t="s">
        <v>1190</v>
      </c>
      <c r="B843" s="10" t="str">
        <f t="shared" si="1"/>
        <v>fatty_acid</v>
      </c>
      <c r="C843" s="49" t="str">
        <f t="shared" si="2"/>
        <v>S17215FA1</v>
      </c>
      <c r="D843" s="6">
        <v>30.0</v>
      </c>
      <c r="E843" s="10" t="str">
        <f t="shared" si="3"/>
        <v>BFA30</v>
      </c>
      <c r="F843" s="13">
        <v>41.0</v>
      </c>
      <c r="G843" s="10" t="str">
        <f t="shared" si="4"/>
        <v>BFA30-41</v>
      </c>
      <c r="H843" s="16"/>
      <c r="I843" s="16" t="str">
        <f t="shared" si="5"/>
        <v>collected</v>
      </c>
      <c r="J843" s="16" t="str">
        <f t="shared" si="6"/>
        <v>N</v>
      </c>
      <c r="K843" s="16"/>
      <c r="L843" s="16"/>
    </row>
    <row r="844">
      <c r="A844" s="44" t="s">
        <v>1192</v>
      </c>
      <c r="B844" s="10" t="str">
        <f t="shared" si="1"/>
        <v>fatty_acid</v>
      </c>
      <c r="C844" s="49" t="str">
        <f t="shared" si="2"/>
        <v>S17219FA1</v>
      </c>
      <c r="D844" s="6">
        <v>30.0</v>
      </c>
      <c r="E844" s="10" t="str">
        <f t="shared" si="3"/>
        <v>BFA30</v>
      </c>
      <c r="F844" s="13">
        <v>42.0</v>
      </c>
      <c r="G844" s="10" t="str">
        <f t="shared" si="4"/>
        <v>BFA30-42</v>
      </c>
      <c r="H844" s="16"/>
      <c r="I844" s="16" t="str">
        <f t="shared" si="5"/>
        <v>collected</v>
      </c>
      <c r="J844" s="16" t="str">
        <f t="shared" si="6"/>
        <v>N</v>
      </c>
      <c r="K844" s="16"/>
      <c r="L844" s="16"/>
    </row>
    <row r="845">
      <c r="A845" s="44" t="s">
        <v>1195</v>
      </c>
      <c r="B845" s="10" t="str">
        <f t="shared" si="1"/>
        <v>fatty_acid</v>
      </c>
      <c r="C845" s="49" t="str">
        <f t="shared" si="2"/>
        <v>S17220FA1</v>
      </c>
      <c r="D845" s="6">
        <v>30.0</v>
      </c>
      <c r="E845" s="10" t="str">
        <f t="shared" si="3"/>
        <v>BFA30</v>
      </c>
      <c r="F845" s="13">
        <v>43.0</v>
      </c>
      <c r="G845" s="10" t="str">
        <f t="shared" si="4"/>
        <v>BFA30-43</v>
      </c>
      <c r="H845" s="31"/>
      <c r="I845" s="16" t="str">
        <f t="shared" si="5"/>
        <v>collected</v>
      </c>
      <c r="J845" s="16" t="str">
        <f t="shared" si="6"/>
        <v>N</v>
      </c>
      <c r="K845" s="16"/>
      <c r="L845" s="16"/>
    </row>
    <row r="846">
      <c r="A846" s="44" t="s">
        <v>1197</v>
      </c>
      <c r="B846" s="10" t="str">
        <f t="shared" si="1"/>
        <v>fatty_acid</v>
      </c>
      <c r="C846" s="49" t="str">
        <f t="shared" si="2"/>
        <v>S17211FA1</v>
      </c>
      <c r="D846" s="6">
        <v>30.0</v>
      </c>
      <c r="E846" s="10" t="str">
        <f t="shared" si="3"/>
        <v>BFA30</v>
      </c>
      <c r="F846" s="13">
        <v>44.0</v>
      </c>
      <c r="G846" s="10" t="str">
        <f t="shared" si="4"/>
        <v>BFA30-44</v>
      </c>
      <c r="H846" s="31"/>
      <c r="I846" s="16" t="str">
        <f t="shared" si="5"/>
        <v>collected</v>
      </c>
      <c r="J846" s="16" t="str">
        <f t="shared" si="6"/>
        <v>N</v>
      </c>
      <c r="K846" s="16"/>
      <c r="L846" s="16"/>
    </row>
    <row r="847">
      <c r="A847" s="44" t="s">
        <v>1200</v>
      </c>
      <c r="B847" s="10" t="str">
        <f t="shared" si="1"/>
        <v>fatty_acid</v>
      </c>
      <c r="C847" s="49" t="str">
        <f t="shared" si="2"/>
        <v>S17217FA1</v>
      </c>
      <c r="D847" s="6">
        <v>30.0</v>
      </c>
      <c r="E847" s="10" t="str">
        <f t="shared" si="3"/>
        <v>BFA30</v>
      </c>
      <c r="F847" s="13">
        <v>45.0</v>
      </c>
      <c r="G847" s="10" t="str">
        <f t="shared" si="4"/>
        <v>BFA30-45</v>
      </c>
      <c r="H847" s="31"/>
      <c r="I847" s="16" t="str">
        <f t="shared" si="5"/>
        <v>collected</v>
      </c>
      <c r="J847" s="16" t="str">
        <f t="shared" si="6"/>
        <v>N</v>
      </c>
      <c r="K847" s="16"/>
      <c r="L847" s="16"/>
    </row>
    <row r="848">
      <c r="A848" s="44" t="s">
        <v>1202</v>
      </c>
      <c r="B848" s="10" t="str">
        <f t="shared" si="1"/>
        <v>fatty_acid</v>
      </c>
      <c r="C848" s="49" t="str">
        <f t="shared" si="2"/>
        <v>S17213FA1</v>
      </c>
      <c r="D848" s="6">
        <v>30.0</v>
      </c>
      <c r="E848" s="10" t="str">
        <f t="shared" si="3"/>
        <v>BFA30</v>
      </c>
      <c r="F848" s="13">
        <v>46.0</v>
      </c>
      <c r="G848" s="10" t="str">
        <f t="shared" si="4"/>
        <v>BFA30-46</v>
      </c>
      <c r="H848" s="31"/>
      <c r="I848" s="16" t="str">
        <f t="shared" si="5"/>
        <v>collected</v>
      </c>
      <c r="J848" s="16" t="str">
        <f t="shared" si="6"/>
        <v>N</v>
      </c>
      <c r="K848" s="16"/>
      <c r="L848" s="16"/>
    </row>
    <row r="849">
      <c r="A849" s="44" t="s">
        <v>1204</v>
      </c>
      <c r="B849" s="10" t="str">
        <f t="shared" si="1"/>
        <v>fatty_acid</v>
      </c>
      <c r="C849" s="49" t="str">
        <f t="shared" si="2"/>
        <v>S17212FA1</v>
      </c>
      <c r="D849" s="6">
        <v>30.0</v>
      </c>
      <c r="E849" s="10" t="str">
        <f t="shared" si="3"/>
        <v>BFA30</v>
      </c>
      <c r="F849" s="13">
        <v>47.0</v>
      </c>
      <c r="G849" s="10" t="str">
        <f t="shared" si="4"/>
        <v>BFA30-47</v>
      </c>
      <c r="H849" s="16"/>
      <c r="I849" s="16" t="str">
        <f t="shared" si="5"/>
        <v>collected</v>
      </c>
      <c r="J849" s="16" t="str">
        <f t="shared" si="6"/>
        <v>N</v>
      </c>
      <c r="K849" s="16"/>
      <c r="L849" s="16"/>
    </row>
    <row r="850">
      <c r="A850" s="44" t="s">
        <v>1208</v>
      </c>
      <c r="B850" s="10" t="str">
        <f t="shared" si="1"/>
        <v>fatty_acid</v>
      </c>
      <c r="C850" s="49" t="str">
        <f t="shared" si="2"/>
        <v>S17216FA1</v>
      </c>
      <c r="D850" s="6">
        <v>30.0</v>
      </c>
      <c r="E850" s="10" t="str">
        <f t="shared" si="3"/>
        <v>BFA30</v>
      </c>
      <c r="F850" s="13">
        <v>48.0</v>
      </c>
      <c r="G850" s="10" t="str">
        <f t="shared" si="4"/>
        <v>BFA30-48</v>
      </c>
      <c r="H850" s="16"/>
      <c r="I850" s="16" t="str">
        <f t="shared" si="5"/>
        <v>collected</v>
      </c>
      <c r="J850" s="16" t="str">
        <f t="shared" si="6"/>
        <v>N</v>
      </c>
      <c r="K850" s="16"/>
      <c r="L850" s="16"/>
    </row>
    <row r="851">
      <c r="A851" s="44" t="s">
        <v>1209</v>
      </c>
      <c r="B851" s="10" t="str">
        <f t="shared" si="1"/>
        <v>fatty_acid</v>
      </c>
      <c r="C851" s="49" t="str">
        <f t="shared" si="2"/>
        <v>S17214FA1</v>
      </c>
      <c r="D851" s="6">
        <v>30.0</v>
      </c>
      <c r="E851" s="10" t="str">
        <f t="shared" si="3"/>
        <v>BFA30</v>
      </c>
      <c r="F851" s="13">
        <v>49.0</v>
      </c>
      <c r="G851" s="10" t="str">
        <f t="shared" si="4"/>
        <v>BFA30-49</v>
      </c>
      <c r="H851" s="16"/>
      <c r="I851" s="16" t="str">
        <f t="shared" si="5"/>
        <v>collected</v>
      </c>
      <c r="J851" s="16" t="str">
        <f t="shared" si="6"/>
        <v>N</v>
      </c>
      <c r="K851" s="16"/>
      <c r="L851" s="16"/>
    </row>
    <row r="852">
      <c r="A852" s="44" t="s">
        <v>1211</v>
      </c>
      <c r="B852" s="10" t="str">
        <f t="shared" si="1"/>
        <v>fatty_acid</v>
      </c>
      <c r="C852" s="49" t="str">
        <f t="shared" si="2"/>
        <v>S17170FA1</v>
      </c>
      <c r="D852" s="6">
        <v>30.0</v>
      </c>
      <c r="E852" s="10" t="str">
        <f t="shared" si="3"/>
        <v>BFA30</v>
      </c>
      <c r="F852" s="13">
        <v>50.0</v>
      </c>
      <c r="G852" s="10" t="str">
        <f t="shared" si="4"/>
        <v>BFA30-50</v>
      </c>
      <c r="H852" s="16"/>
      <c r="I852" s="16" t="str">
        <f t="shared" si="5"/>
        <v>collected</v>
      </c>
      <c r="J852" s="16" t="str">
        <f t="shared" si="6"/>
        <v>N</v>
      </c>
      <c r="K852" s="16"/>
      <c r="L852" s="16"/>
    </row>
    <row r="853">
      <c r="A853" s="44" t="s">
        <v>1230</v>
      </c>
      <c r="B853" s="10" t="str">
        <f t="shared" si="1"/>
        <v>fatty_acid</v>
      </c>
      <c r="C853" s="49" t="str">
        <f t="shared" si="2"/>
        <v>S17161FA1</v>
      </c>
      <c r="D853" s="6">
        <v>30.0</v>
      </c>
      <c r="E853" s="10" t="str">
        <f t="shared" si="3"/>
        <v>BFA30</v>
      </c>
      <c r="F853" s="13">
        <v>51.0</v>
      </c>
      <c r="G853" s="10" t="str">
        <f t="shared" si="4"/>
        <v>BFA30-51</v>
      </c>
      <c r="H853" s="16"/>
      <c r="I853" s="16" t="str">
        <f t="shared" si="5"/>
        <v>collected</v>
      </c>
      <c r="J853" s="16" t="str">
        <f t="shared" si="6"/>
        <v>N</v>
      </c>
      <c r="K853" s="16"/>
      <c r="L853" s="16"/>
    </row>
    <row r="854">
      <c r="A854" s="44" t="s">
        <v>1232</v>
      </c>
      <c r="B854" s="10" t="str">
        <f t="shared" si="1"/>
        <v>fatty_acid</v>
      </c>
      <c r="C854" s="49" t="str">
        <f t="shared" si="2"/>
        <v>S17165FA1</v>
      </c>
      <c r="D854" s="6">
        <v>30.0</v>
      </c>
      <c r="E854" s="10" t="str">
        <f t="shared" si="3"/>
        <v>BFA30</v>
      </c>
      <c r="F854" s="13">
        <v>52.0</v>
      </c>
      <c r="G854" s="10" t="str">
        <f t="shared" si="4"/>
        <v>BFA30-52</v>
      </c>
      <c r="H854" s="16"/>
      <c r="I854" s="16" t="str">
        <f t="shared" si="5"/>
        <v>collected</v>
      </c>
      <c r="J854" s="16" t="str">
        <f t="shared" si="6"/>
        <v>N</v>
      </c>
      <c r="K854" s="16"/>
      <c r="L854" s="16"/>
    </row>
    <row r="855">
      <c r="A855" s="46" t="s">
        <v>1236</v>
      </c>
      <c r="B855" s="10" t="str">
        <f t="shared" si="1"/>
        <v>fatty_acid</v>
      </c>
      <c r="C855" s="49" t="str">
        <f t="shared" si="2"/>
        <v>S17166FA1</v>
      </c>
      <c r="D855" s="6">
        <v>30.0</v>
      </c>
      <c r="E855" s="10" t="str">
        <f t="shared" si="3"/>
        <v>BFA30</v>
      </c>
      <c r="F855" s="13">
        <v>53.0</v>
      </c>
      <c r="G855" s="10" t="str">
        <f t="shared" si="4"/>
        <v>BFA30-53</v>
      </c>
      <c r="H855" s="16"/>
      <c r="I855" s="16" t="str">
        <f t="shared" si="5"/>
        <v>collected</v>
      </c>
      <c r="J855" s="16" t="str">
        <f t="shared" si="6"/>
        <v>N</v>
      </c>
      <c r="K855" s="16"/>
      <c r="L855" s="16"/>
    </row>
    <row r="856">
      <c r="A856" s="40" t="s">
        <v>1238</v>
      </c>
      <c r="B856" s="10" t="str">
        <f t="shared" si="1"/>
        <v>fatty_acid</v>
      </c>
      <c r="C856" s="49" t="str">
        <f t="shared" si="2"/>
        <v>S17167FA1</v>
      </c>
      <c r="D856" s="6">
        <v>30.0</v>
      </c>
      <c r="E856" s="10" t="str">
        <f t="shared" si="3"/>
        <v>BFA30</v>
      </c>
      <c r="F856" s="13">
        <v>54.0</v>
      </c>
      <c r="G856" s="10" t="str">
        <f t="shared" si="4"/>
        <v>BFA30-54</v>
      </c>
      <c r="H856" s="16"/>
      <c r="I856" s="16" t="str">
        <f t="shared" si="5"/>
        <v>collected</v>
      </c>
      <c r="J856" s="16" t="str">
        <f t="shared" si="6"/>
        <v>N</v>
      </c>
      <c r="K856" s="16"/>
      <c r="L856" s="16"/>
    </row>
    <row r="857">
      <c r="A857" s="40" t="s">
        <v>1240</v>
      </c>
      <c r="B857" s="10" t="str">
        <f t="shared" si="1"/>
        <v>fatty_acid</v>
      </c>
      <c r="C857" s="49" t="str">
        <f t="shared" si="2"/>
        <v>S17169FA1</v>
      </c>
      <c r="D857" s="6">
        <v>30.0</v>
      </c>
      <c r="E857" s="10" t="str">
        <f t="shared" si="3"/>
        <v>BFA30</v>
      </c>
      <c r="F857" s="13">
        <v>55.0</v>
      </c>
      <c r="G857" s="10" t="str">
        <f t="shared" si="4"/>
        <v>BFA30-55</v>
      </c>
      <c r="H857" s="16"/>
      <c r="I857" s="16" t="str">
        <f t="shared" si="5"/>
        <v>collected</v>
      </c>
      <c r="J857" s="16" t="str">
        <f t="shared" si="6"/>
        <v>N</v>
      </c>
      <c r="K857" s="16"/>
      <c r="L857" s="16"/>
    </row>
    <row r="858">
      <c r="A858" s="40" t="s">
        <v>1244</v>
      </c>
      <c r="B858" s="10" t="str">
        <f t="shared" si="1"/>
        <v>fatty_acid</v>
      </c>
      <c r="C858" s="49" t="str">
        <f t="shared" si="2"/>
        <v>S17168FA1</v>
      </c>
      <c r="D858" s="6">
        <v>30.0</v>
      </c>
      <c r="E858" s="10" t="str">
        <f t="shared" si="3"/>
        <v>BFA30</v>
      </c>
      <c r="F858" s="13">
        <v>56.0</v>
      </c>
      <c r="G858" s="10" t="str">
        <f t="shared" si="4"/>
        <v>BFA30-56</v>
      </c>
      <c r="H858" s="16"/>
      <c r="I858" s="16" t="str">
        <f t="shared" si="5"/>
        <v>collected</v>
      </c>
      <c r="J858" s="16" t="str">
        <f t="shared" si="6"/>
        <v>N</v>
      </c>
      <c r="K858" s="16"/>
      <c r="L858" s="16"/>
    </row>
    <row r="859">
      <c r="A859" s="40" t="s">
        <v>1246</v>
      </c>
      <c r="B859" s="10" t="str">
        <f t="shared" si="1"/>
        <v>fatty_acid</v>
      </c>
      <c r="C859" s="49" t="str">
        <f t="shared" si="2"/>
        <v>S17164FA1</v>
      </c>
      <c r="D859" s="6">
        <v>30.0</v>
      </c>
      <c r="E859" s="10" t="str">
        <f t="shared" si="3"/>
        <v>BFA30</v>
      </c>
      <c r="F859" s="13">
        <v>57.0</v>
      </c>
      <c r="G859" s="10" t="str">
        <f t="shared" si="4"/>
        <v>BFA30-57</v>
      </c>
      <c r="H859" s="16"/>
      <c r="I859" s="16" t="str">
        <f t="shared" si="5"/>
        <v>collected</v>
      </c>
      <c r="J859" s="16" t="str">
        <f t="shared" si="6"/>
        <v>N</v>
      </c>
      <c r="K859" s="16"/>
      <c r="L859" s="16"/>
    </row>
    <row r="860">
      <c r="A860" s="27" t="s">
        <v>1249</v>
      </c>
      <c r="B860" s="10" t="str">
        <f t="shared" si="1"/>
        <v>fatty_acid</v>
      </c>
      <c r="C860" s="49" t="str">
        <f t="shared" si="2"/>
        <v>S17326FA1</v>
      </c>
      <c r="D860" s="6">
        <v>31.0</v>
      </c>
      <c r="E860" s="10" t="str">
        <f t="shared" si="3"/>
        <v>BFA31</v>
      </c>
      <c r="F860" s="13">
        <v>28.0</v>
      </c>
      <c r="G860" s="10" t="str">
        <f t="shared" si="4"/>
        <v>BFA31-28</v>
      </c>
      <c r="H860" s="16"/>
      <c r="I860" s="16" t="str">
        <f t="shared" si="5"/>
        <v>collected</v>
      </c>
      <c r="J860" s="16" t="str">
        <f t="shared" si="6"/>
        <v>N</v>
      </c>
      <c r="K860" s="16"/>
      <c r="L860" s="16"/>
    </row>
    <row r="861">
      <c r="A861" s="27" t="s">
        <v>1251</v>
      </c>
      <c r="B861" s="10" t="str">
        <f t="shared" si="1"/>
        <v>fatty_acid</v>
      </c>
      <c r="C861" s="49" t="str">
        <f t="shared" si="2"/>
        <v>S17327FA1</v>
      </c>
      <c r="D861" s="6">
        <v>31.0</v>
      </c>
      <c r="E861" s="10" t="str">
        <f t="shared" si="3"/>
        <v>BFA31</v>
      </c>
      <c r="F861" s="13">
        <v>29.0</v>
      </c>
      <c r="G861" s="10" t="str">
        <f t="shared" si="4"/>
        <v>BFA31-29</v>
      </c>
      <c r="H861" s="16"/>
      <c r="I861" s="16" t="str">
        <f t="shared" si="5"/>
        <v>collected</v>
      </c>
      <c r="J861" s="16" t="str">
        <f t="shared" si="6"/>
        <v>N</v>
      </c>
      <c r="K861" s="16"/>
      <c r="L861" s="16"/>
    </row>
    <row r="862">
      <c r="A862" s="27" t="s">
        <v>1254</v>
      </c>
      <c r="B862" s="10" t="str">
        <f t="shared" si="1"/>
        <v>fatty_acid</v>
      </c>
      <c r="C862" s="49" t="str">
        <f t="shared" si="2"/>
        <v>S17328FA1</v>
      </c>
      <c r="D862" s="6">
        <v>31.0</v>
      </c>
      <c r="E862" s="10" t="str">
        <f t="shared" si="3"/>
        <v>BFA31</v>
      </c>
      <c r="F862" s="13">
        <v>30.0</v>
      </c>
      <c r="G862" s="10" t="str">
        <f t="shared" si="4"/>
        <v>BFA31-30</v>
      </c>
      <c r="H862" s="16"/>
      <c r="I862" s="16" t="str">
        <f t="shared" si="5"/>
        <v>collected</v>
      </c>
      <c r="J862" s="16" t="str">
        <f t="shared" si="6"/>
        <v>N</v>
      </c>
      <c r="K862" s="16"/>
      <c r="L862" s="16"/>
    </row>
    <row r="863">
      <c r="A863" s="27" t="s">
        <v>1256</v>
      </c>
      <c r="B863" s="10" t="str">
        <f t="shared" si="1"/>
        <v>fatty_acid</v>
      </c>
      <c r="C863" s="49" t="str">
        <f t="shared" si="2"/>
        <v>S17329FA1</v>
      </c>
      <c r="D863" s="6">
        <v>31.0</v>
      </c>
      <c r="E863" s="10" t="str">
        <f t="shared" si="3"/>
        <v>BFA31</v>
      </c>
      <c r="F863" s="13">
        <v>31.0</v>
      </c>
      <c r="G863" s="10" t="str">
        <f t="shared" si="4"/>
        <v>BFA31-31</v>
      </c>
      <c r="H863" s="16"/>
      <c r="I863" s="16" t="str">
        <f t="shared" si="5"/>
        <v>collected</v>
      </c>
      <c r="J863" s="16" t="str">
        <f t="shared" si="6"/>
        <v>N</v>
      </c>
      <c r="K863" s="16"/>
      <c r="L863" s="16"/>
    </row>
    <row r="864">
      <c r="A864" s="27" t="s">
        <v>1259</v>
      </c>
      <c r="B864" s="10" t="str">
        <f t="shared" si="1"/>
        <v>fatty_acid</v>
      </c>
      <c r="C864" s="49" t="str">
        <f t="shared" si="2"/>
        <v>S17330FA1</v>
      </c>
      <c r="D864" s="6">
        <v>31.0</v>
      </c>
      <c r="E864" s="10" t="str">
        <f t="shared" si="3"/>
        <v>BFA31</v>
      </c>
      <c r="F864" s="13">
        <v>32.0</v>
      </c>
      <c r="G864" s="10" t="str">
        <f t="shared" si="4"/>
        <v>BFA31-32</v>
      </c>
      <c r="H864" s="16"/>
      <c r="I864" s="16" t="str">
        <f t="shared" si="5"/>
        <v>collected</v>
      </c>
      <c r="J864" s="16" t="str">
        <f t="shared" si="6"/>
        <v>N</v>
      </c>
      <c r="K864" s="16"/>
      <c r="L864" s="16"/>
    </row>
    <row r="865">
      <c r="A865" s="27" t="s">
        <v>1262</v>
      </c>
      <c r="B865" s="10" t="str">
        <f t="shared" si="1"/>
        <v>fatty_acid</v>
      </c>
      <c r="C865" s="49" t="str">
        <f t="shared" si="2"/>
        <v>S17021FA1</v>
      </c>
      <c r="D865" s="6">
        <v>31.0</v>
      </c>
      <c r="E865" s="10" t="str">
        <f t="shared" si="3"/>
        <v>BFA31</v>
      </c>
      <c r="F865" s="13">
        <v>33.0</v>
      </c>
      <c r="G865" s="10" t="str">
        <f t="shared" si="4"/>
        <v>BFA31-33</v>
      </c>
      <c r="H865" s="16"/>
      <c r="I865" s="16" t="str">
        <f t="shared" si="5"/>
        <v>collected</v>
      </c>
      <c r="J865" s="16" t="str">
        <f t="shared" si="6"/>
        <v>N</v>
      </c>
      <c r="K865" s="16"/>
      <c r="L865" s="16"/>
    </row>
    <row r="866">
      <c r="A866" s="27" t="s">
        <v>1264</v>
      </c>
      <c r="B866" s="10" t="str">
        <f t="shared" si="1"/>
        <v>fatty_acid</v>
      </c>
      <c r="C866" s="49" t="str">
        <f t="shared" si="2"/>
        <v>S17022FA1</v>
      </c>
      <c r="D866" s="6">
        <v>31.0</v>
      </c>
      <c r="E866" s="10" t="str">
        <f t="shared" si="3"/>
        <v>BFA31</v>
      </c>
      <c r="F866" s="13">
        <v>34.0</v>
      </c>
      <c r="G866" s="10" t="str">
        <f t="shared" si="4"/>
        <v>BFA31-34</v>
      </c>
      <c r="H866" s="16"/>
      <c r="I866" s="16" t="str">
        <f t="shared" si="5"/>
        <v>collected</v>
      </c>
      <c r="J866" s="16" t="str">
        <f t="shared" si="6"/>
        <v>N</v>
      </c>
      <c r="K866" s="16"/>
      <c r="L866" s="16"/>
    </row>
    <row r="867">
      <c r="A867" s="27" t="s">
        <v>1266</v>
      </c>
      <c r="B867" s="10" t="str">
        <f t="shared" si="1"/>
        <v>fatty_acid</v>
      </c>
      <c r="C867" s="49" t="str">
        <f t="shared" si="2"/>
        <v>S17023FA1</v>
      </c>
      <c r="D867" s="6">
        <v>31.0</v>
      </c>
      <c r="E867" s="10" t="str">
        <f t="shared" si="3"/>
        <v>BFA31</v>
      </c>
      <c r="F867" s="13">
        <v>35.0</v>
      </c>
      <c r="G867" s="10" t="str">
        <f t="shared" si="4"/>
        <v>BFA31-35</v>
      </c>
      <c r="H867" s="16"/>
      <c r="I867" s="16" t="str">
        <f t="shared" si="5"/>
        <v>collected</v>
      </c>
      <c r="J867" s="16" t="str">
        <f t="shared" si="6"/>
        <v>N</v>
      </c>
      <c r="K867" s="16"/>
      <c r="L867" s="16"/>
    </row>
    <row r="868">
      <c r="A868" s="27" t="s">
        <v>1269</v>
      </c>
      <c r="B868" s="10" t="str">
        <f t="shared" si="1"/>
        <v>fatty_acid</v>
      </c>
      <c r="C868" s="49" t="str">
        <f t="shared" si="2"/>
        <v>S17024FA1</v>
      </c>
      <c r="D868" s="6">
        <v>31.0</v>
      </c>
      <c r="E868" s="10" t="str">
        <f t="shared" si="3"/>
        <v>BFA31</v>
      </c>
      <c r="F868" s="13">
        <v>36.0</v>
      </c>
      <c r="G868" s="10" t="str">
        <f t="shared" si="4"/>
        <v>BFA31-36</v>
      </c>
      <c r="H868" s="16"/>
      <c r="I868" s="16" t="str">
        <f t="shared" si="5"/>
        <v>collected</v>
      </c>
      <c r="J868" s="16" t="str">
        <f t="shared" si="6"/>
        <v>N</v>
      </c>
      <c r="K868" s="16"/>
      <c r="L868" s="16"/>
    </row>
    <row r="869">
      <c r="A869" s="27" t="s">
        <v>1273</v>
      </c>
      <c r="B869" s="10" t="str">
        <f t="shared" si="1"/>
        <v>fatty_acid</v>
      </c>
      <c r="C869" s="49" t="str">
        <f t="shared" si="2"/>
        <v>S17026FA1</v>
      </c>
      <c r="D869" s="6">
        <v>31.0</v>
      </c>
      <c r="E869" s="10" t="str">
        <f t="shared" si="3"/>
        <v>BFA31</v>
      </c>
      <c r="F869" s="13">
        <v>37.0</v>
      </c>
      <c r="G869" s="10" t="str">
        <f t="shared" si="4"/>
        <v>BFA31-37</v>
      </c>
      <c r="H869" s="16"/>
      <c r="I869" s="16" t="str">
        <f t="shared" si="5"/>
        <v>collected</v>
      </c>
      <c r="J869" s="16" t="str">
        <f t="shared" si="6"/>
        <v>N</v>
      </c>
      <c r="K869" s="16"/>
      <c r="L869" s="16"/>
    </row>
    <row r="870">
      <c r="A870" s="27" t="s">
        <v>1275</v>
      </c>
      <c r="B870" s="10" t="str">
        <f t="shared" si="1"/>
        <v>fatty_acid</v>
      </c>
      <c r="C870" s="49" t="str">
        <f t="shared" si="2"/>
        <v>S17025FA1</v>
      </c>
      <c r="D870" s="6">
        <v>31.0</v>
      </c>
      <c r="E870" s="10" t="str">
        <f t="shared" si="3"/>
        <v>BFA31</v>
      </c>
      <c r="F870" s="13">
        <v>38.0</v>
      </c>
      <c r="G870" s="10" t="str">
        <f t="shared" si="4"/>
        <v>BFA31-38</v>
      </c>
      <c r="H870" s="16"/>
      <c r="I870" s="16" t="str">
        <f t="shared" si="5"/>
        <v>collected</v>
      </c>
      <c r="J870" s="16" t="str">
        <f t="shared" si="6"/>
        <v>N</v>
      </c>
      <c r="K870" s="16"/>
      <c r="L870" s="16"/>
    </row>
    <row r="871">
      <c r="A871" s="27" t="s">
        <v>1276</v>
      </c>
      <c r="B871" s="10" t="str">
        <f t="shared" si="1"/>
        <v>fatty_acid</v>
      </c>
      <c r="C871" s="49" t="str">
        <f t="shared" si="2"/>
        <v>S17027FA1</v>
      </c>
      <c r="D871" s="6">
        <v>31.0</v>
      </c>
      <c r="E871" s="10" t="str">
        <f t="shared" si="3"/>
        <v>BFA31</v>
      </c>
      <c r="F871" s="13">
        <v>39.0</v>
      </c>
      <c r="G871" s="10" t="str">
        <f t="shared" si="4"/>
        <v>BFA31-39</v>
      </c>
      <c r="H871" s="16"/>
      <c r="I871" s="16" t="str">
        <f t="shared" si="5"/>
        <v>collected</v>
      </c>
      <c r="J871" s="16" t="str">
        <f t="shared" si="6"/>
        <v>N</v>
      </c>
      <c r="K871" s="16"/>
      <c r="L871" s="16"/>
    </row>
    <row r="872">
      <c r="A872" s="27" t="s">
        <v>1278</v>
      </c>
      <c r="B872" s="10" t="str">
        <f t="shared" si="1"/>
        <v>fatty_acid</v>
      </c>
      <c r="C872" s="49" t="str">
        <f t="shared" si="2"/>
        <v>S17028FA1</v>
      </c>
      <c r="D872" s="6">
        <v>31.0</v>
      </c>
      <c r="E872" s="10" t="str">
        <f t="shared" si="3"/>
        <v>BFA31</v>
      </c>
      <c r="F872" s="13">
        <v>40.0</v>
      </c>
      <c r="G872" s="10" t="str">
        <f t="shared" si="4"/>
        <v>BFA31-40</v>
      </c>
      <c r="H872" s="16"/>
      <c r="I872" s="16" t="str">
        <f t="shared" si="5"/>
        <v>collected</v>
      </c>
      <c r="J872" s="16" t="str">
        <f t="shared" si="6"/>
        <v>N</v>
      </c>
      <c r="K872" s="16"/>
      <c r="L872" s="16"/>
    </row>
    <row r="873">
      <c r="A873" s="27" t="s">
        <v>1279</v>
      </c>
      <c r="B873" s="10" t="str">
        <f t="shared" si="1"/>
        <v>fatty_acid</v>
      </c>
      <c r="C873" s="49" t="str">
        <f t="shared" si="2"/>
        <v>S17029FA1</v>
      </c>
      <c r="D873" s="6">
        <v>31.0</v>
      </c>
      <c r="E873" s="10" t="str">
        <f t="shared" si="3"/>
        <v>BFA31</v>
      </c>
      <c r="F873" s="13">
        <v>41.0</v>
      </c>
      <c r="G873" s="10" t="str">
        <f t="shared" si="4"/>
        <v>BFA31-41</v>
      </c>
      <c r="H873" s="16"/>
      <c r="I873" s="16" t="str">
        <f t="shared" si="5"/>
        <v>collected</v>
      </c>
      <c r="J873" s="16" t="str">
        <f t="shared" si="6"/>
        <v>N</v>
      </c>
      <c r="K873" s="16"/>
      <c r="L873" s="16"/>
    </row>
    <row r="874">
      <c r="A874" s="27" t="s">
        <v>1280</v>
      </c>
      <c r="B874" s="10" t="str">
        <f t="shared" si="1"/>
        <v>fatty_acid</v>
      </c>
      <c r="C874" s="49" t="str">
        <f t="shared" si="2"/>
        <v>S17030FA1</v>
      </c>
      <c r="D874" s="6">
        <v>31.0</v>
      </c>
      <c r="E874" s="10" t="str">
        <f t="shared" si="3"/>
        <v>BFA31</v>
      </c>
      <c r="F874" s="13">
        <v>42.0</v>
      </c>
      <c r="G874" s="10" t="str">
        <f t="shared" si="4"/>
        <v>BFA31-42</v>
      </c>
      <c r="H874" s="16"/>
      <c r="I874" s="16" t="str">
        <f t="shared" si="5"/>
        <v>collected</v>
      </c>
      <c r="J874" s="16" t="str">
        <f t="shared" si="6"/>
        <v>N</v>
      </c>
      <c r="K874" s="16"/>
      <c r="L874" s="16"/>
    </row>
    <row r="875">
      <c r="A875" s="27" t="s">
        <v>1282</v>
      </c>
      <c r="B875" s="10" t="str">
        <f t="shared" si="1"/>
        <v>fatty_acid</v>
      </c>
      <c r="C875" s="49" t="str">
        <f t="shared" si="2"/>
        <v>S16461FA1</v>
      </c>
      <c r="D875" s="6">
        <v>31.0</v>
      </c>
      <c r="E875" s="10" t="str">
        <f t="shared" si="3"/>
        <v>BFA31</v>
      </c>
      <c r="F875" s="13">
        <v>43.0</v>
      </c>
      <c r="G875" s="10" t="str">
        <f t="shared" si="4"/>
        <v>BFA31-43</v>
      </c>
      <c r="H875" s="16"/>
      <c r="I875" s="16" t="str">
        <f t="shared" si="5"/>
        <v>collected</v>
      </c>
      <c r="J875" s="16" t="str">
        <f t="shared" si="6"/>
        <v>N</v>
      </c>
      <c r="K875" s="16"/>
      <c r="L875" s="16"/>
    </row>
    <row r="876">
      <c r="A876" s="27" t="s">
        <v>1283</v>
      </c>
      <c r="B876" s="10" t="str">
        <f t="shared" si="1"/>
        <v>fatty_acid</v>
      </c>
      <c r="C876" s="49" t="str">
        <f t="shared" si="2"/>
        <v>S16462FA1</v>
      </c>
      <c r="D876" s="6">
        <v>31.0</v>
      </c>
      <c r="E876" s="10" t="str">
        <f t="shared" si="3"/>
        <v>BFA31</v>
      </c>
      <c r="F876" s="13">
        <v>44.0</v>
      </c>
      <c r="G876" s="10" t="str">
        <f t="shared" si="4"/>
        <v>BFA31-44</v>
      </c>
      <c r="H876" s="16"/>
      <c r="I876" s="16" t="str">
        <f t="shared" si="5"/>
        <v>collected</v>
      </c>
      <c r="J876" s="16" t="str">
        <f t="shared" si="6"/>
        <v>N</v>
      </c>
      <c r="K876" s="16"/>
      <c r="L876" s="16"/>
    </row>
    <row r="877">
      <c r="A877" s="27" t="s">
        <v>1284</v>
      </c>
      <c r="B877" s="10" t="str">
        <f t="shared" si="1"/>
        <v>fatty_acid</v>
      </c>
      <c r="C877" s="49" t="str">
        <f t="shared" si="2"/>
        <v>S16463FA1</v>
      </c>
      <c r="D877" s="6">
        <v>31.0</v>
      </c>
      <c r="E877" s="10" t="str">
        <f t="shared" si="3"/>
        <v>BFA31</v>
      </c>
      <c r="F877" s="13">
        <v>45.0</v>
      </c>
      <c r="G877" s="10" t="str">
        <f t="shared" si="4"/>
        <v>BFA31-45</v>
      </c>
      <c r="H877" s="16"/>
      <c r="I877" s="16" t="str">
        <f t="shared" si="5"/>
        <v>collected</v>
      </c>
      <c r="J877" s="16" t="str">
        <f t="shared" si="6"/>
        <v>N</v>
      </c>
      <c r="K877" s="16"/>
      <c r="L877" s="16"/>
    </row>
    <row r="878">
      <c r="A878" s="27" t="s">
        <v>1286</v>
      </c>
      <c r="B878" s="10" t="str">
        <f t="shared" si="1"/>
        <v>fatty_acid</v>
      </c>
      <c r="C878" s="49" t="str">
        <f t="shared" si="2"/>
        <v>S16464FA1</v>
      </c>
      <c r="D878" s="6">
        <v>31.0</v>
      </c>
      <c r="E878" s="10" t="str">
        <f t="shared" si="3"/>
        <v>BFA31</v>
      </c>
      <c r="F878" s="13">
        <v>46.0</v>
      </c>
      <c r="G878" s="10" t="str">
        <f t="shared" si="4"/>
        <v>BFA31-46</v>
      </c>
      <c r="H878" s="16"/>
      <c r="I878" s="16" t="str">
        <f t="shared" si="5"/>
        <v>collected</v>
      </c>
      <c r="J878" s="16" t="str">
        <f t="shared" si="6"/>
        <v>N</v>
      </c>
      <c r="K878" s="16"/>
      <c r="L878" s="16"/>
    </row>
    <row r="879">
      <c r="A879" s="27" t="s">
        <v>1287</v>
      </c>
      <c r="B879" s="10" t="str">
        <f t="shared" si="1"/>
        <v>fatty_acid</v>
      </c>
      <c r="C879" s="49" t="str">
        <f t="shared" si="2"/>
        <v>S16465FA1</v>
      </c>
      <c r="D879" s="6">
        <v>31.0</v>
      </c>
      <c r="E879" s="10" t="str">
        <f t="shared" si="3"/>
        <v>BFA31</v>
      </c>
      <c r="F879" s="13">
        <v>47.0</v>
      </c>
      <c r="G879" s="10" t="str">
        <f t="shared" si="4"/>
        <v>BFA31-47</v>
      </c>
      <c r="H879" s="16"/>
      <c r="I879" s="16" t="str">
        <f t="shared" si="5"/>
        <v>collected</v>
      </c>
      <c r="J879" s="16" t="str">
        <f t="shared" si="6"/>
        <v>N</v>
      </c>
      <c r="K879" s="16"/>
      <c r="L879" s="16"/>
    </row>
    <row r="880">
      <c r="A880" s="40" t="s">
        <v>1289</v>
      </c>
      <c r="B880" s="10" t="str">
        <f t="shared" si="1"/>
        <v>fatty_acid</v>
      </c>
      <c r="C880" s="49" t="str">
        <f t="shared" si="2"/>
        <v>S17163FA1</v>
      </c>
      <c r="D880" s="6">
        <v>30.0</v>
      </c>
      <c r="E880" s="10" t="str">
        <f t="shared" si="3"/>
        <v>BFA30</v>
      </c>
      <c r="F880" s="13">
        <v>58.0</v>
      </c>
      <c r="G880" s="10" t="str">
        <f t="shared" si="4"/>
        <v>BFA30-58</v>
      </c>
      <c r="H880" s="16"/>
      <c r="I880" s="16" t="str">
        <f t="shared" si="5"/>
        <v>collected</v>
      </c>
      <c r="J880" s="16" t="str">
        <f t="shared" si="6"/>
        <v>N</v>
      </c>
      <c r="K880" s="16"/>
      <c r="L880" s="16"/>
    </row>
    <row r="881">
      <c r="A881" s="40" t="s">
        <v>1290</v>
      </c>
      <c r="B881" s="10" t="str">
        <f t="shared" si="1"/>
        <v>fatty_acid</v>
      </c>
      <c r="C881" s="49" t="str">
        <f t="shared" si="2"/>
        <v>S17162FA1</v>
      </c>
      <c r="D881" s="6">
        <v>30.0</v>
      </c>
      <c r="E881" s="10" t="str">
        <f t="shared" si="3"/>
        <v>BFA30</v>
      </c>
      <c r="F881" s="13">
        <v>59.0</v>
      </c>
      <c r="G881" s="10" t="str">
        <f t="shared" si="4"/>
        <v>BFA30-59</v>
      </c>
      <c r="H881" s="16"/>
      <c r="I881" s="16" t="str">
        <f t="shared" si="5"/>
        <v>collected</v>
      </c>
      <c r="J881" s="16" t="str">
        <f t="shared" si="6"/>
        <v>N</v>
      </c>
      <c r="K881" s="16"/>
      <c r="L881" s="16"/>
    </row>
    <row r="882">
      <c r="A882" s="40" t="s">
        <v>1291</v>
      </c>
      <c r="B882" s="10" t="str">
        <f t="shared" si="1"/>
        <v>fatty_acid</v>
      </c>
      <c r="C882" s="49" t="str">
        <f t="shared" si="2"/>
        <v>S16261FA1</v>
      </c>
      <c r="D882" s="6">
        <v>30.0</v>
      </c>
      <c r="E882" s="10" t="str">
        <f t="shared" si="3"/>
        <v>BFA30</v>
      </c>
      <c r="F882" s="13">
        <v>60.0</v>
      </c>
      <c r="G882" s="10" t="str">
        <f t="shared" si="4"/>
        <v>BFA30-60</v>
      </c>
      <c r="H882" s="16"/>
      <c r="I882" s="16" t="str">
        <f t="shared" si="5"/>
        <v>collected</v>
      </c>
      <c r="J882" s="16" t="str">
        <f t="shared" si="6"/>
        <v>N</v>
      </c>
      <c r="K882" s="16"/>
      <c r="L882" s="16"/>
    </row>
    <row r="883">
      <c r="A883" s="40" t="s">
        <v>1292</v>
      </c>
      <c r="B883" s="10" t="str">
        <f t="shared" si="1"/>
        <v>fatty_acid</v>
      </c>
      <c r="C883" s="49" t="str">
        <f t="shared" si="2"/>
        <v>S16262FA1</v>
      </c>
      <c r="D883" s="6">
        <v>30.0</v>
      </c>
      <c r="E883" s="10" t="str">
        <f t="shared" si="3"/>
        <v>BFA30</v>
      </c>
      <c r="F883" s="13">
        <v>61.0</v>
      </c>
      <c r="G883" s="10" t="str">
        <f t="shared" si="4"/>
        <v>BFA30-61</v>
      </c>
      <c r="H883" s="16"/>
      <c r="I883" s="16" t="str">
        <f t="shared" si="5"/>
        <v>collected</v>
      </c>
      <c r="J883" s="16" t="str">
        <f t="shared" si="6"/>
        <v>N</v>
      </c>
      <c r="K883" s="16"/>
      <c r="L883" s="16"/>
    </row>
    <row r="884">
      <c r="A884" s="40" t="s">
        <v>1294</v>
      </c>
      <c r="B884" s="10" t="str">
        <f t="shared" si="1"/>
        <v>fatty_acid</v>
      </c>
      <c r="C884" s="49" t="str">
        <f t="shared" si="2"/>
        <v>S16263FA1</v>
      </c>
      <c r="D884" s="6">
        <v>30.0</v>
      </c>
      <c r="E884" s="10" t="str">
        <f t="shared" si="3"/>
        <v>BFA30</v>
      </c>
      <c r="F884" s="13">
        <v>62.0</v>
      </c>
      <c r="G884" s="10" t="str">
        <f t="shared" si="4"/>
        <v>BFA30-62</v>
      </c>
      <c r="H884" s="16"/>
      <c r="I884" s="16" t="str">
        <f t="shared" si="5"/>
        <v>collected</v>
      </c>
      <c r="J884" s="16" t="str">
        <f t="shared" si="6"/>
        <v>N</v>
      </c>
      <c r="K884" s="16"/>
      <c r="L884" s="16"/>
    </row>
    <row r="885">
      <c r="A885" s="27" t="s">
        <v>1295</v>
      </c>
      <c r="B885" s="10" t="str">
        <f t="shared" si="1"/>
        <v>fatty_acid</v>
      </c>
      <c r="C885" s="49" t="str">
        <f t="shared" si="2"/>
        <v>S16466FA1</v>
      </c>
      <c r="D885" s="6">
        <v>31.0</v>
      </c>
      <c r="E885" s="10" t="str">
        <f t="shared" si="3"/>
        <v>BFA31</v>
      </c>
      <c r="F885" s="13">
        <v>48.0</v>
      </c>
      <c r="G885" s="10" t="str">
        <f t="shared" si="4"/>
        <v>BFA31-48</v>
      </c>
      <c r="H885" s="16"/>
      <c r="I885" s="16" t="str">
        <f t="shared" si="5"/>
        <v>collected</v>
      </c>
      <c r="J885" s="16" t="str">
        <f t="shared" si="6"/>
        <v>N</v>
      </c>
      <c r="K885" s="16"/>
      <c r="L885" s="16"/>
    </row>
    <row r="886">
      <c r="A886" s="27" t="s">
        <v>1296</v>
      </c>
      <c r="B886" s="10" t="str">
        <f t="shared" si="1"/>
        <v>fatty_acid</v>
      </c>
      <c r="C886" s="49" t="str">
        <f t="shared" si="2"/>
        <v>S16467FA1</v>
      </c>
      <c r="D886" s="6">
        <v>31.0</v>
      </c>
      <c r="E886" s="10" t="str">
        <f t="shared" si="3"/>
        <v>BFA31</v>
      </c>
      <c r="F886" s="13">
        <v>49.0</v>
      </c>
      <c r="G886" s="10" t="str">
        <f t="shared" si="4"/>
        <v>BFA31-49</v>
      </c>
      <c r="H886" s="16"/>
      <c r="I886" s="16" t="str">
        <f t="shared" si="5"/>
        <v>collected</v>
      </c>
      <c r="J886" s="16" t="str">
        <f t="shared" si="6"/>
        <v>N</v>
      </c>
      <c r="K886" s="16"/>
      <c r="L886" s="16"/>
    </row>
    <row r="887">
      <c r="A887" s="27" t="s">
        <v>1297</v>
      </c>
      <c r="B887" s="10" t="str">
        <f t="shared" si="1"/>
        <v>fatty_acid</v>
      </c>
      <c r="C887" s="49" t="str">
        <f t="shared" si="2"/>
        <v>S16468FA1</v>
      </c>
      <c r="D887" s="6">
        <v>31.0</v>
      </c>
      <c r="E887" s="10" t="str">
        <f t="shared" si="3"/>
        <v>BFA31</v>
      </c>
      <c r="F887" s="13">
        <v>50.0</v>
      </c>
      <c r="G887" s="10" t="str">
        <f t="shared" si="4"/>
        <v>BFA31-50</v>
      </c>
      <c r="H887" s="16"/>
      <c r="I887" s="16" t="str">
        <f t="shared" si="5"/>
        <v>collected</v>
      </c>
      <c r="J887" s="16" t="str">
        <f t="shared" si="6"/>
        <v>N</v>
      </c>
      <c r="K887" s="16"/>
      <c r="L887" s="16"/>
    </row>
    <row r="888">
      <c r="A888" s="27" t="s">
        <v>1299</v>
      </c>
      <c r="B888" s="10" t="str">
        <f t="shared" si="1"/>
        <v>fatty_acid</v>
      </c>
      <c r="C888" s="49" t="str">
        <f t="shared" si="2"/>
        <v>S16469FA1</v>
      </c>
      <c r="D888" s="6">
        <v>31.0</v>
      </c>
      <c r="E888" s="10" t="str">
        <f t="shared" si="3"/>
        <v>BFA31</v>
      </c>
      <c r="F888" s="13">
        <v>51.0</v>
      </c>
      <c r="G888" s="10" t="str">
        <f t="shared" si="4"/>
        <v>BFA31-51</v>
      </c>
      <c r="H888" s="16"/>
      <c r="I888" s="16" t="str">
        <f t="shared" si="5"/>
        <v>collected</v>
      </c>
      <c r="J888" s="16" t="str">
        <f t="shared" si="6"/>
        <v>N</v>
      </c>
      <c r="K888" s="16"/>
      <c r="L888" s="16"/>
    </row>
    <row r="889">
      <c r="A889" s="27" t="s">
        <v>1300</v>
      </c>
      <c r="B889" s="10" t="str">
        <f t="shared" si="1"/>
        <v>fatty_acid</v>
      </c>
      <c r="C889" s="49" t="str">
        <f t="shared" si="2"/>
        <v>S16470FA1</v>
      </c>
      <c r="D889" s="6">
        <v>31.0</v>
      </c>
      <c r="E889" s="10" t="str">
        <f t="shared" si="3"/>
        <v>BFA31</v>
      </c>
      <c r="F889" s="13">
        <v>52.0</v>
      </c>
      <c r="G889" s="10" t="str">
        <f t="shared" si="4"/>
        <v>BFA31-52</v>
      </c>
      <c r="H889" s="16"/>
      <c r="I889" s="16" t="str">
        <f t="shared" si="5"/>
        <v>collected</v>
      </c>
      <c r="J889" s="16" t="str">
        <f t="shared" si="6"/>
        <v>N</v>
      </c>
      <c r="K889" s="16"/>
      <c r="L889" s="16"/>
    </row>
    <row r="890">
      <c r="A890" s="27" t="s">
        <v>1301</v>
      </c>
      <c r="B890" s="10" t="str">
        <f t="shared" si="1"/>
        <v>fatty_acid</v>
      </c>
      <c r="C890" s="49" t="str">
        <f t="shared" si="2"/>
        <v>S16437FA1</v>
      </c>
      <c r="D890" s="6">
        <v>31.0</v>
      </c>
      <c r="E890" s="10" t="str">
        <f t="shared" si="3"/>
        <v>BFA31</v>
      </c>
      <c r="F890" s="13">
        <v>53.0</v>
      </c>
      <c r="G890" s="10" t="str">
        <f t="shared" si="4"/>
        <v>BFA31-53</v>
      </c>
      <c r="H890" s="16"/>
      <c r="I890" s="16" t="str">
        <f t="shared" si="5"/>
        <v>collected</v>
      </c>
      <c r="J890" s="16" t="str">
        <f t="shared" si="6"/>
        <v>N</v>
      </c>
      <c r="K890" s="16"/>
      <c r="L890" s="16"/>
    </row>
    <row r="891">
      <c r="A891" s="27" t="s">
        <v>1302</v>
      </c>
      <c r="B891" s="10" t="str">
        <f t="shared" si="1"/>
        <v>fatty_acid</v>
      </c>
      <c r="C891" s="49" t="str">
        <f t="shared" si="2"/>
        <v>S16440FA1</v>
      </c>
      <c r="D891" s="6">
        <v>31.0</v>
      </c>
      <c r="E891" s="10" t="str">
        <f t="shared" si="3"/>
        <v>BFA31</v>
      </c>
      <c r="F891" s="13">
        <v>54.0</v>
      </c>
      <c r="G891" s="10" t="str">
        <f t="shared" si="4"/>
        <v>BFA31-54</v>
      </c>
      <c r="H891" s="16"/>
      <c r="I891" s="16" t="str">
        <f t="shared" si="5"/>
        <v>collected</v>
      </c>
      <c r="J891" s="16" t="str">
        <f t="shared" si="6"/>
        <v>N</v>
      </c>
      <c r="K891" s="16"/>
      <c r="L891" s="16"/>
    </row>
    <row r="892">
      <c r="A892" s="27" t="s">
        <v>1304</v>
      </c>
      <c r="B892" s="10" t="str">
        <f t="shared" si="1"/>
        <v>fatty_acid</v>
      </c>
      <c r="C892" s="49" t="str">
        <f t="shared" si="2"/>
        <v>S16438FA1</v>
      </c>
      <c r="D892" s="6">
        <v>31.0</v>
      </c>
      <c r="E892" s="10" t="str">
        <f t="shared" si="3"/>
        <v>BFA31</v>
      </c>
      <c r="F892" s="13">
        <v>55.0</v>
      </c>
      <c r="G892" s="10" t="str">
        <f t="shared" si="4"/>
        <v>BFA31-55</v>
      </c>
      <c r="H892" s="16"/>
      <c r="I892" s="16" t="str">
        <f t="shared" si="5"/>
        <v>collected</v>
      </c>
      <c r="J892" s="16" t="str">
        <f t="shared" si="6"/>
        <v>N</v>
      </c>
      <c r="K892" s="16"/>
      <c r="L892" s="16"/>
    </row>
    <row r="893">
      <c r="A893" s="27" t="s">
        <v>1305</v>
      </c>
      <c r="B893" s="10" t="str">
        <f t="shared" si="1"/>
        <v>fatty_acid</v>
      </c>
      <c r="C893" s="49" t="str">
        <f t="shared" si="2"/>
        <v>S16436FA1</v>
      </c>
      <c r="D893" s="6">
        <v>31.0</v>
      </c>
      <c r="E893" s="10" t="str">
        <f t="shared" si="3"/>
        <v>BFA31</v>
      </c>
      <c r="F893" s="13">
        <v>56.0</v>
      </c>
      <c r="G893" s="10" t="str">
        <f t="shared" si="4"/>
        <v>BFA31-56</v>
      </c>
      <c r="H893" s="16"/>
      <c r="I893" s="16" t="str">
        <f t="shared" si="5"/>
        <v>collected</v>
      </c>
      <c r="J893" s="16" t="str">
        <f t="shared" si="6"/>
        <v>N</v>
      </c>
      <c r="K893" s="16"/>
      <c r="L893" s="16"/>
    </row>
    <row r="894">
      <c r="A894" s="27" t="s">
        <v>1306</v>
      </c>
      <c r="B894" s="10" t="str">
        <f t="shared" si="1"/>
        <v>fatty_acid</v>
      </c>
      <c r="C894" s="49" t="str">
        <f t="shared" si="2"/>
        <v>S16435FA1</v>
      </c>
      <c r="D894" s="6">
        <v>31.0</v>
      </c>
      <c r="E894" s="10" t="str">
        <f t="shared" si="3"/>
        <v>BFA31</v>
      </c>
      <c r="F894" s="13">
        <v>57.0</v>
      </c>
      <c r="G894" s="10" t="str">
        <f t="shared" si="4"/>
        <v>BFA31-57</v>
      </c>
      <c r="H894" s="16"/>
      <c r="I894" s="16" t="str">
        <f t="shared" si="5"/>
        <v>collected</v>
      </c>
      <c r="J894" s="16" t="str">
        <f t="shared" si="6"/>
        <v>N</v>
      </c>
      <c r="K894" s="16"/>
      <c r="L894" s="16"/>
    </row>
    <row r="895">
      <c r="A895" s="27" t="s">
        <v>1307</v>
      </c>
      <c r="B895" s="10" t="str">
        <f t="shared" si="1"/>
        <v>fatty_acid</v>
      </c>
      <c r="C895" s="49" t="str">
        <f t="shared" si="2"/>
        <v>S16439FA1</v>
      </c>
      <c r="D895" s="6">
        <v>31.0</v>
      </c>
      <c r="E895" s="10" t="str">
        <f t="shared" si="3"/>
        <v>BFA31</v>
      </c>
      <c r="F895" s="13">
        <v>58.0</v>
      </c>
      <c r="G895" s="10" t="str">
        <f t="shared" si="4"/>
        <v>BFA31-58</v>
      </c>
      <c r="H895" s="16"/>
      <c r="I895" s="16" t="str">
        <f t="shared" si="5"/>
        <v>collected</v>
      </c>
      <c r="J895" s="16" t="str">
        <f t="shared" si="6"/>
        <v>N</v>
      </c>
      <c r="K895" s="16"/>
      <c r="L895" s="16"/>
    </row>
    <row r="896">
      <c r="A896" s="27" t="s">
        <v>1309</v>
      </c>
      <c r="B896" s="10" t="str">
        <f t="shared" si="1"/>
        <v>fatty_acid</v>
      </c>
      <c r="C896" s="49" t="str">
        <f t="shared" si="2"/>
        <v>S16433FA1</v>
      </c>
      <c r="D896" s="6">
        <v>31.0</v>
      </c>
      <c r="E896" s="10" t="str">
        <f t="shared" si="3"/>
        <v>BFA31</v>
      </c>
      <c r="F896" s="13">
        <v>59.0</v>
      </c>
      <c r="G896" s="10" t="str">
        <f t="shared" si="4"/>
        <v>BFA31-59</v>
      </c>
      <c r="H896" s="16"/>
      <c r="I896" s="16" t="str">
        <f t="shared" si="5"/>
        <v>collected</v>
      </c>
      <c r="J896" s="16" t="str">
        <f t="shared" si="6"/>
        <v>N</v>
      </c>
      <c r="K896" s="16"/>
      <c r="L896" s="16"/>
    </row>
    <row r="897">
      <c r="A897" s="40" t="s">
        <v>1310</v>
      </c>
      <c r="B897" s="10" t="str">
        <f t="shared" si="1"/>
        <v>fatty_acid</v>
      </c>
      <c r="C897" s="49" t="str">
        <f t="shared" si="2"/>
        <v>S16264FA1</v>
      </c>
      <c r="D897" s="6">
        <v>30.0</v>
      </c>
      <c r="E897" s="10" t="str">
        <f t="shared" si="3"/>
        <v>BFA30</v>
      </c>
      <c r="F897" s="13">
        <v>63.0</v>
      </c>
      <c r="G897" s="10" t="str">
        <f t="shared" si="4"/>
        <v>BFA30-63</v>
      </c>
      <c r="H897" s="16"/>
      <c r="I897" s="16" t="str">
        <f t="shared" si="5"/>
        <v>collected</v>
      </c>
      <c r="J897" s="16" t="str">
        <f t="shared" si="6"/>
        <v>N</v>
      </c>
      <c r="K897" s="16"/>
      <c r="L897" s="16"/>
    </row>
    <row r="898">
      <c r="A898" s="40" t="s">
        <v>1311</v>
      </c>
      <c r="B898" s="10" t="str">
        <f t="shared" si="1"/>
        <v>fatty_acid</v>
      </c>
      <c r="C898" s="49" t="str">
        <f t="shared" si="2"/>
        <v>S16265FA1</v>
      </c>
      <c r="D898" s="6">
        <v>30.0</v>
      </c>
      <c r="E898" s="10" t="str">
        <f t="shared" si="3"/>
        <v>BFA30</v>
      </c>
      <c r="F898" s="13">
        <v>64.0</v>
      </c>
      <c r="G898" s="10" t="str">
        <f t="shared" si="4"/>
        <v>BFA30-64</v>
      </c>
      <c r="H898" s="16"/>
      <c r="I898" s="16" t="str">
        <f t="shared" si="5"/>
        <v>collected</v>
      </c>
      <c r="J898" s="16" t="str">
        <f t="shared" si="6"/>
        <v>N</v>
      </c>
      <c r="K898" s="16"/>
      <c r="L898" s="16"/>
    </row>
    <row r="899">
      <c r="A899" s="40" t="s">
        <v>1312</v>
      </c>
      <c r="B899" s="10" t="str">
        <f t="shared" si="1"/>
        <v>fatty_acid</v>
      </c>
      <c r="C899" s="49" t="str">
        <f t="shared" si="2"/>
        <v>S16268FA1</v>
      </c>
      <c r="D899" s="6">
        <v>30.0</v>
      </c>
      <c r="E899" s="10" t="str">
        <f t="shared" si="3"/>
        <v>BFA30</v>
      </c>
      <c r="F899" s="13">
        <v>65.0</v>
      </c>
      <c r="G899" s="10" t="str">
        <f t="shared" si="4"/>
        <v>BFA30-65</v>
      </c>
      <c r="H899" s="16"/>
      <c r="I899" s="16" t="str">
        <f t="shared" si="5"/>
        <v>collected</v>
      </c>
      <c r="J899" s="16" t="str">
        <f t="shared" si="6"/>
        <v>N</v>
      </c>
      <c r="K899" s="16"/>
      <c r="L899" s="16"/>
    </row>
    <row r="900">
      <c r="A900" s="40" t="s">
        <v>1313</v>
      </c>
      <c r="B900" s="10" t="str">
        <f t="shared" si="1"/>
        <v>fatty_acid</v>
      </c>
      <c r="C900" s="49" t="str">
        <f t="shared" si="2"/>
        <v>S16269FA1</v>
      </c>
      <c r="D900" s="6">
        <v>30.0</v>
      </c>
      <c r="E900" s="10" t="str">
        <f t="shared" si="3"/>
        <v>BFA30</v>
      </c>
      <c r="F900" s="13">
        <v>66.0</v>
      </c>
      <c r="G900" s="10" t="str">
        <f t="shared" si="4"/>
        <v>BFA30-66</v>
      </c>
      <c r="H900" s="16"/>
      <c r="I900" s="16" t="str">
        <f t="shared" si="5"/>
        <v>collected</v>
      </c>
      <c r="J900" s="16" t="str">
        <f t="shared" si="6"/>
        <v>N</v>
      </c>
      <c r="K900" s="16"/>
      <c r="L900" s="16"/>
    </row>
    <row r="901">
      <c r="A901" s="40" t="s">
        <v>1315</v>
      </c>
      <c r="B901" s="10" t="str">
        <f t="shared" si="1"/>
        <v>fatty_acid</v>
      </c>
      <c r="C901" s="49" t="str">
        <f t="shared" si="2"/>
        <v>S16266FA1</v>
      </c>
      <c r="D901" s="6">
        <v>30.0</v>
      </c>
      <c r="E901" s="10" t="str">
        <f t="shared" si="3"/>
        <v>BFA30</v>
      </c>
      <c r="F901" s="13">
        <v>67.0</v>
      </c>
      <c r="G901" s="10" t="str">
        <f t="shared" si="4"/>
        <v>BFA30-67</v>
      </c>
      <c r="H901" s="16"/>
      <c r="I901" s="16" t="str">
        <f t="shared" si="5"/>
        <v>collected</v>
      </c>
      <c r="J901" s="16" t="str">
        <f t="shared" si="6"/>
        <v>N</v>
      </c>
      <c r="K901" s="16"/>
      <c r="L901" s="16"/>
    </row>
    <row r="902">
      <c r="A902" s="40" t="s">
        <v>1317</v>
      </c>
      <c r="B902" s="10" t="str">
        <f t="shared" si="1"/>
        <v>fatty_acid</v>
      </c>
      <c r="C902" s="49" t="str">
        <f t="shared" si="2"/>
        <v>S16270FA1</v>
      </c>
      <c r="D902" s="6">
        <v>30.0</v>
      </c>
      <c r="E902" s="10" t="str">
        <f t="shared" si="3"/>
        <v>BFA30</v>
      </c>
      <c r="F902" s="13">
        <v>68.0</v>
      </c>
      <c r="G902" s="10" t="str">
        <f t="shared" si="4"/>
        <v>BFA30-68</v>
      </c>
      <c r="H902" s="16"/>
      <c r="I902" s="16" t="str">
        <f t="shared" si="5"/>
        <v>collected</v>
      </c>
      <c r="J902" s="16" t="str">
        <f t="shared" si="6"/>
        <v>N</v>
      </c>
      <c r="K902" s="16"/>
      <c r="L902" s="16"/>
    </row>
    <row r="903">
      <c r="A903" s="40" t="s">
        <v>1318</v>
      </c>
      <c r="B903" s="10" t="str">
        <f t="shared" si="1"/>
        <v>fatty_acid</v>
      </c>
      <c r="C903" s="49" t="str">
        <f t="shared" si="2"/>
        <v>S16267FA1</v>
      </c>
      <c r="D903" s="6">
        <v>30.0</v>
      </c>
      <c r="E903" s="10" t="str">
        <f t="shared" si="3"/>
        <v>BFA30</v>
      </c>
      <c r="F903" s="13">
        <v>69.0</v>
      </c>
      <c r="G903" s="10" t="str">
        <f t="shared" si="4"/>
        <v>BFA30-69</v>
      </c>
      <c r="H903" s="16"/>
      <c r="I903" s="16" t="str">
        <f t="shared" si="5"/>
        <v>collected</v>
      </c>
      <c r="J903" s="16" t="str">
        <f t="shared" si="6"/>
        <v>N</v>
      </c>
      <c r="K903" s="16"/>
      <c r="L903" s="16"/>
    </row>
    <row r="904">
      <c r="A904" s="40" t="s">
        <v>1320</v>
      </c>
      <c r="B904" s="10" t="str">
        <f t="shared" si="1"/>
        <v>fatty_acid</v>
      </c>
      <c r="C904" s="49" t="str">
        <f t="shared" si="2"/>
        <v>S17382FA1</v>
      </c>
      <c r="D904" s="6">
        <v>30.0</v>
      </c>
      <c r="E904" s="10" t="str">
        <f t="shared" si="3"/>
        <v>BFA30</v>
      </c>
      <c r="F904" s="13">
        <v>70.0</v>
      </c>
      <c r="G904" s="10" t="str">
        <f t="shared" si="4"/>
        <v>BFA30-70</v>
      </c>
      <c r="H904" s="16"/>
      <c r="I904" s="16" t="str">
        <f t="shared" si="5"/>
        <v>collected</v>
      </c>
      <c r="J904" s="16" t="str">
        <f t="shared" si="6"/>
        <v>N</v>
      </c>
      <c r="K904" s="16"/>
      <c r="L904" s="16"/>
    </row>
    <row r="905">
      <c r="A905" s="40" t="s">
        <v>1322</v>
      </c>
      <c r="B905" s="10" t="str">
        <f t="shared" si="1"/>
        <v>fatty_acid</v>
      </c>
      <c r="C905" s="49" t="str">
        <f t="shared" si="2"/>
        <v>S17381FA1</v>
      </c>
      <c r="D905" s="6">
        <v>30.0</v>
      </c>
      <c r="E905" s="10" t="str">
        <f t="shared" si="3"/>
        <v>BFA30</v>
      </c>
      <c r="F905" s="13">
        <v>71.0</v>
      </c>
      <c r="G905" s="10" t="str">
        <f t="shared" si="4"/>
        <v>BFA30-71</v>
      </c>
      <c r="H905" s="16"/>
      <c r="I905" s="16" t="str">
        <f t="shared" si="5"/>
        <v>collected</v>
      </c>
      <c r="J905" s="16" t="str">
        <f t="shared" si="6"/>
        <v>N</v>
      </c>
      <c r="K905" s="16"/>
      <c r="L905" s="16"/>
    </row>
    <row r="906">
      <c r="A906" s="40" t="s">
        <v>1324</v>
      </c>
      <c r="B906" s="10" t="str">
        <f t="shared" si="1"/>
        <v>fatty_acid</v>
      </c>
      <c r="C906" s="49" t="str">
        <f t="shared" si="2"/>
        <v>S17383FA1</v>
      </c>
      <c r="D906" s="6">
        <v>30.0</v>
      </c>
      <c r="E906" s="10" t="str">
        <f t="shared" si="3"/>
        <v>BFA30</v>
      </c>
      <c r="F906" s="13">
        <v>72.0</v>
      </c>
      <c r="G906" s="10" t="str">
        <f t="shared" si="4"/>
        <v>BFA30-72</v>
      </c>
      <c r="H906" s="16"/>
      <c r="I906" s="16" t="str">
        <f t="shared" si="5"/>
        <v>collected</v>
      </c>
      <c r="J906" s="16" t="str">
        <f t="shared" si="6"/>
        <v>N</v>
      </c>
      <c r="K906" s="16"/>
      <c r="L906" s="16"/>
    </row>
    <row r="907">
      <c r="A907" s="40" t="s">
        <v>1325</v>
      </c>
      <c r="B907" s="10" t="str">
        <f t="shared" si="1"/>
        <v>fatty_acid</v>
      </c>
      <c r="C907" s="49" t="str">
        <f t="shared" si="2"/>
        <v>S17384FA1</v>
      </c>
      <c r="D907" s="6">
        <v>30.0</v>
      </c>
      <c r="E907" s="10" t="str">
        <f t="shared" si="3"/>
        <v>BFA30</v>
      </c>
      <c r="F907" s="13">
        <v>73.0</v>
      </c>
      <c r="G907" s="10" t="str">
        <f t="shared" si="4"/>
        <v>BFA30-73</v>
      </c>
      <c r="H907" s="16"/>
      <c r="I907" s="16" t="str">
        <f t="shared" si="5"/>
        <v>collected</v>
      </c>
      <c r="J907" s="16" t="str">
        <f t="shared" si="6"/>
        <v>N</v>
      </c>
      <c r="K907" s="16"/>
      <c r="L907" s="16"/>
    </row>
    <row r="908">
      <c r="A908" s="40" t="s">
        <v>1326</v>
      </c>
      <c r="B908" s="10" t="str">
        <f t="shared" si="1"/>
        <v>fatty_acid</v>
      </c>
      <c r="C908" s="49" t="str">
        <f t="shared" si="2"/>
        <v>S17385FA1</v>
      </c>
      <c r="D908" s="6">
        <v>30.0</v>
      </c>
      <c r="E908" s="10" t="str">
        <f t="shared" si="3"/>
        <v>BFA30</v>
      </c>
      <c r="F908" s="13">
        <v>74.0</v>
      </c>
      <c r="G908" s="10" t="str">
        <f t="shared" si="4"/>
        <v>BFA30-74</v>
      </c>
      <c r="H908" s="16"/>
      <c r="I908" s="16" t="str">
        <f t="shared" si="5"/>
        <v>collected</v>
      </c>
      <c r="J908" s="16" t="str">
        <f t="shared" si="6"/>
        <v>N</v>
      </c>
      <c r="K908" s="16"/>
      <c r="L908" s="16"/>
    </row>
    <row r="909">
      <c r="A909" s="33" t="s">
        <v>1327</v>
      </c>
      <c r="B909" s="10" t="str">
        <f t="shared" si="1"/>
        <v>fatty_acid</v>
      </c>
      <c r="C909" s="49" t="str">
        <f t="shared" si="2"/>
        <v>S17386FA1</v>
      </c>
      <c r="D909" s="6">
        <v>30.0</v>
      </c>
      <c r="E909" s="10" t="str">
        <f t="shared" si="3"/>
        <v>BFA30</v>
      </c>
      <c r="F909" s="13">
        <v>75.0</v>
      </c>
      <c r="G909" s="10" t="str">
        <f t="shared" si="4"/>
        <v>BFA30-75</v>
      </c>
      <c r="H909" s="6" t="s">
        <v>2159</v>
      </c>
      <c r="I909" s="16" t="str">
        <f t="shared" si="5"/>
        <v>collected</v>
      </c>
      <c r="J909" s="16" t="str">
        <f t="shared" si="6"/>
        <v>N</v>
      </c>
      <c r="K909" s="16"/>
      <c r="L909" s="16"/>
    </row>
    <row r="910">
      <c r="A910" s="40" t="s">
        <v>1328</v>
      </c>
      <c r="B910" s="10" t="str">
        <f t="shared" si="1"/>
        <v>fatty_acid</v>
      </c>
      <c r="C910" s="49" t="str">
        <f t="shared" si="2"/>
        <v>S17388FA1</v>
      </c>
      <c r="D910" s="6">
        <v>30.0</v>
      </c>
      <c r="E910" s="10" t="str">
        <f t="shared" si="3"/>
        <v>BFA30</v>
      </c>
      <c r="F910" s="13">
        <v>76.0</v>
      </c>
      <c r="G910" s="10" t="str">
        <f t="shared" si="4"/>
        <v>BFA30-76</v>
      </c>
      <c r="H910" s="16"/>
      <c r="I910" s="16" t="str">
        <f t="shared" si="5"/>
        <v>collected</v>
      </c>
      <c r="J910" s="16" t="str">
        <f t="shared" si="6"/>
        <v>N</v>
      </c>
      <c r="K910" s="16"/>
      <c r="L910" s="16"/>
    </row>
    <row r="911">
      <c r="A911" s="40" t="s">
        <v>1329</v>
      </c>
      <c r="B911" s="10" t="str">
        <f t="shared" si="1"/>
        <v>fatty_acid</v>
      </c>
      <c r="C911" s="49" t="str">
        <f t="shared" si="2"/>
        <v>S17389FA1</v>
      </c>
      <c r="D911" s="6">
        <v>30.0</v>
      </c>
      <c r="E911" s="10" t="str">
        <f t="shared" si="3"/>
        <v>BFA30</v>
      </c>
      <c r="F911" s="13">
        <v>77.0</v>
      </c>
      <c r="G911" s="10" t="str">
        <f t="shared" si="4"/>
        <v>BFA30-77</v>
      </c>
      <c r="H911" s="16"/>
      <c r="I911" s="16" t="str">
        <f t="shared" si="5"/>
        <v>collected</v>
      </c>
      <c r="J911" s="16" t="str">
        <f t="shared" si="6"/>
        <v>N</v>
      </c>
      <c r="K911" s="16"/>
      <c r="L911" s="16"/>
    </row>
    <row r="912">
      <c r="A912" s="40" t="s">
        <v>1330</v>
      </c>
      <c r="B912" s="10" t="str">
        <f t="shared" si="1"/>
        <v>fatty_acid</v>
      </c>
      <c r="C912" s="49" t="str">
        <f t="shared" si="2"/>
        <v>S17387FA1</v>
      </c>
      <c r="D912" s="6">
        <v>30.0</v>
      </c>
      <c r="E912" s="10" t="str">
        <f t="shared" si="3"/>
        <v>BFA30</v>
      </c>
      <c r="F912" s="13">
        <v>78.0</v>
      </c>
      <c r="G912" s="10" t="str">
        <f t="shared" si="4"/>
        <v>BFA30-78</v>
      </c>
      <c r="H912" s="16"/>
      <c r="I912" s="16" t="str">
        <f t="shared" si="5"/>
        <v>collected</v>
      </c>
      <c r="J912" s="16" t="str">
        <f t="shared" si="6"/>
        <v>N</v>
      </c>
      <c r="K912" s="16"/>
      <c r="L912" s="16"/>
    </row>
    <row r="913">
      <c r="A913" s="40" t="s">
        <v>1331</v>
      </c>
      <c r="B913" s="10" t="str">
        <f t="shared" si="1"/>
        <v>fatty_acid</v>
      </c>
      <c r="C913" s="49" t="str">
        <f t="shared" si="2"/>
        <v>S17390FA1</v>
      </c>
      <c r="D913" s="6">
        <v>30.0</v>
      </c>
      <c r="E913" s="10" t="str">
        <f t="shared" si="3"/>
        <v>BFA30</v>
      </c>
      <c r="F913" s="13">
        <v>79.0</v>
      </c>
      <c r="G913" s="10" t="str">
        <f t="shared" si="4"/>
        <v>BFA30-79</v>
      </c>
      <c r="H913" s="16"/>
      <c r="I913" s="16" t="str">
        <f t="shared" si="5"/>
        <v>collected</v>
      </c>
      <c r="J913" s="16" t="str">
        <f t="shared" si="6"/>
        <v>N</v>
      </c>
      <c r="K913" s="16"/>
      <c r="L913" s="16"/>
    </row>
    <row r="914">
      <c r="A914" s="40" t="s">
        <v>1332</v>
      </c>
      <c r="B914" s="10" t="str">
        <f t="shared" si="1"/>
        <v>fatty_acid</v>
      </c>
      <c r="C914" s="49" t="str">
        <f t="shared" si="2"/>
        <v>S17711FA1</v>
      </c>
      <c r="D914" s="6">
        <v>30.0</v>
      </c>
      <c r="E914" s="10" t="str">
        <f t="shared" si="3"/>
        <v>BFA30</v>
      </c>
      <c r="F914" s="13">
        <v>80.0</v>
      </c>
      <c r="G914" s="10" t="str">
        <f t="shared" si="4"/>
        <v>BFA30-80</v>
      </c>
      <c r="H914" s="16"/>
      <c r="I914" s="16" t="str">
        <f t="shared" si="5"/>
        <v>collected</v>
      </c>
      <c r="J914" s="16" t="str">
        <f t="shared" si="6"/>
        <v>N</v>
      </c>
      <c r="K914" s="16"/>
      <c r="L914" s="16"/>
    </row>
    <row r="915">
      <c r="A915" s="40" t="s">
        <v>1333</v>
      </c>
      <c r="B915" s="10" t="str">
        <f t="shared" si="1"/>
        <v>fatty_acid</v>
      </c>
      <c r="C915" s="49" t="str">
        <f t="shared" si="2"/>
        <v>S17715FA1</v>
      </c>
      <c r="D915" s="6">
        <v>30.0</v>
      </c>
      <c r="E915" s="10" t="str">
        <f t="shared" si="3"/>
        <v>BFA30</v>
      </c>
      <c r="F915" s="13">
        <v>81.0</v>
      </c>
      <c r="G915" s="10" t="str">
        <f t="shared" si="4"/>
        <v>BFA30-81</v>
      </c>
      <c r="H915" s="16"/>
      <c r="I915" s="16" t="str">
        <f t="shared" si="5"/>
        <v>collected</v>
      </c>
      <c r="J915" s="16" t="str">
        <f t="shared" si="6"/>
        <v>N</v>
      </c>
      <c r="K915" s="16"/>
      <c r="L915" s="16"/>
    </row>
    <row r="916">
      <c r="A916" s="40" t="s">
        <v>1334</v>
      </c>
      <c r="B916" s="10" t="str">
        <f t="shared" si="1"/>
        <v>fatty_acid</v>
      </c>
      <c r="C916" s="49" t="str">
        <f t="shared" si="2"/>
        <v>S17717FA1</v>
      </c>
      <c r="D916" s="6">
        <v>32.0</v>
      </c>
      <c r="E916" s="10" t="str">
        <f t="shared" si="3"/>
        <v>BFA32</v>
      </c>
      <c r="F916" s="13">
        <v>1.0</v>
      </c>
      <c r="G916" s="10" t="str">
        <f t="shared" si="4"/>
        <v>BFA32-1</v>
      </c>
      <c r="H916" s="16"/>
      <c r="I916" s="16" t="str">
        <f t="shared" si="5"/>
        <v>collected</v>
      </c>
      <c r="J916" s="16" t="str">
        <f t="shared" si="6"/>
        <v>N</v>
      </c>
      <c r="K916" s="16"/>
      <c r="L916" s="16"/>
    </row>
    <row r="917">
      <c r="A917" s="40" t="s">
        <v>1335</v>
      </c>
      <c r="B917" s="10" t="str">
        <f t="shared" si="1"/>
        <v>fatty_acid</v>
      </c>
      <c r="C917" s="49" t="str">
        <f t="shared" si="2"/>
        <v>S17719FA1</v>
      </c>
      <c r="D917" s="6">
        <v>32.0</v>
      </c>
      <c r="E917" s="10" t="str">
        <f t="shared" si="3"/>
        <v>BFA32</v>
      </c>
      <c r="F917" s="13">
        <v>2.0</v>
      </c>
      <c r="G917" s="10" t="str">
        <f t="shared" si="4"/>
        <v>BFA32-2</v>
      </c>
      <c r="H917" s="16"/>
      <c r="I917" s="16" t="str">
        <f t="shared" si="5"/>
        <v>collected</v>
      </c>
      <c r="J917" s="16" t="str">
        <f t="shared" si="6"/>
        <v>N</v>
      </c>
      <c r="K917" s="16"/>
      <c r="L917" s="16"/>
    </row>
    <row r="918">
      <c r="A918" s="40" t="s">
        <v>1336</v>
      </c>
      <c r="B918" s="10" t="str">
        <f t="shared" si="1"/>
        <v>fatty_acid</v>
      </c>
      <c r="C918" s="49" t="str">
        <f t="shared" si="2"/>
        <v>S17713FA1</v>
      </c>
      <c r="D918" s="6">
        <v>32.0</v>
      </c>
      <c r="E918" s="10" t="str">
        <f t="shared" si="3"/>
        <v>BFA32</v>
      </c>
      <c r="F918" s="13">
        <v>3.0</v>
      </c>
      <c r="G918" s="10" t="str">
        <f t="shared" si="4"/>
        <v>BFA32-3</v>
      </c>
      <c r="H918" s="16"/>
      <c r="I918" s="16" t="str">
        <f t="shared" si="5"/>
        <v>collected</v>
      </c>
      <c r="J918" s="16" t="str">
        <f t="shared" si="6"/>
        <v>N</v>
      </c>
      <c r="K918" s="16"/>
      <c r="L918" s="16"/>
    </row>
    <row r="919">
      <c r="A919" s="40" t="s">
        <v>1337</v>
      </c>
      <c r="B919" s="10" t="str">
        <f t="shared" si="1"/>
        <v>fatty_acid</v>
      </c>
      <c r="C919" s="49" t="str">
        <f t="shared" si="2"/>
        <v>S17720FA1</v>
      </c>
      <c r="D919" s="6">
        <v>32.0</v>
      </c>
      <c r="E919" s="10" t="str">
        <f t="shared" si="3"/>
        <v>BFA32</v>
      </c>
      <c r="F919" s="13">
        <v>4.0</v>
      </c>
      <c r="G919" s="10" t="str">
        <f t="shared" si="4"/>
        <v>BFA32-4</v>
      </c>
      <c r="H919" s="16"/>
      <c r="I919" s="16" t="str">
        <f t="shared" si="5"/>
        <v>collected</v>
      </c>
      <c r="J919" s="16" t="str">
        <f t="shared" si="6"/>
        <v>N</v>
      </c>
      <c r="K919" s="16"/>
      <c r="L919" s="16"/>
    </row>
    <row r="920">
      <c r="A920" s="40" t="s">
        <v>1338</v>
      </c>
      <c r="B920" s="10" t="str">
        <f t="shared" si="1"/>
        <v>fatty_acid</v>
      </c>
      <c r="C920" s="49" t="str">
        <f t="shared" si="2"/>
        <v>S17716FA1</v>
      </c>
      <c r="D920" s="6">
        <v>32.0</v>
      </c>
      <c r="E920" s="10" t="str">
        <f t="shared" si="3"/>
        <v>BFA32</v>
      </c>
      <c r="F920" s="13">
        <v>5.0</v>
      </c>
      <c r="G920" s="10" t="str">
        <f t="shared" si="4"/>
        <v>BFA32-5</v>
      </c>
      <c r="H920" s="16"/>
      <c r="I920" s="16" t="str">
        <f t="shared" si="5"/>
        <v>collected</v>
      </c>
      <c r="J920" s="16" t="str">
        <f t="shared" si="6"/>
        <v>N</v>
      </c>
      <c r="K920" s="16"/>
      <c r="L920" s="16"/>
    </row>
    <row r="921">
      <c r="A921" s="40" t="s">
        <v>1339</v>
      </c>
      <c r="B921" s="10" t="str">
        <f t="shared" si="1"/>
        <v>fatty_acid</v>
      </c>
      <c r="C921" s="49" t="str">
        <f t="shared" si="2"/>
        <v>S17718FA1</v>
      </c>
      <c r="D921" s="6">
        <v>32.0</v>
      </c>
      <c r="E921" s="10" t="str">
        <f t="shared" si="3"/>
        <v>BFA32</v>
      </c>
      <c r="F921" s="13">
        <v>6.0</v>
      </c>
      <c r="G921" s="10" t="str">
        <f t="shared" si="4"/>
        <v>BFA32-6</v>
      </c>
      <c r="H921" s="16"/>
      <c r="I921" s="16" t="str">
        <f t="shared" si="5"/>
        <v>collected</v>
      </c>
      <c r="J921" s="16" t="str">
        <f t="shared" si="6"/>
        <v>N</v>
      </c>
      <c r="K921" s="16"/>
      <c r="L921" s="16"/>
    </row>
    <row r="922">
      <c r="A922" s="40" t="s">
        <v>1340</v>
      </c>
      <c r="B922" s="10" t="str">
        <f t="shared" si="1"/>
        <v>fatty_acid</v>
      </c>
      <c r="C922" s="49" t="str">
        <f t="shared" si="2"/>
        <v>S17712FA1</v>
      </c>
      <c r="D922" s="6">
        <v>32.0</v>
      </c>
      <c r="E922" s="10" t="str">
        <f t="shared" si="3"/>
        <v>BFA32</v>
      </c>
      <c r="F922" s="13">
        <v>7.0</v>
      </c>
      <c r="G922" s="10" t="str">
        <f t="shared" si="4"/>
        <v>BFA32-7</v>
      </c>
      <c r="H922" s="16"/>
      <c r="I922" s="16" t="str">
        <f t="shared" si="5"/>
        <v>collected</v>
      </c>
      <c r="J922" s="16" t="str">
        <f t="shared" si="6"/>
        <v>N</v>
      </c>
      <c r="K922" s="16"/>
      <c r="L922" s="16"/>
    </row>
    <row r="923">
      <c r="A923" s="27" t="s">
        <v>1341</v>
      </c>
      <c r="B923" s="10" t="str">
        <f t="shared" si="1"/>
        <v>fatty_acid</v>
      </c>
      <c r="C923" s="49" t="str">
        <f t="shared" si="2"/>
        <v>S16432FA1</v>
      </c>
      <c r="D923" s="6">
        <v>31.0</v>
      </c>
      <c r="E923" s="10" t="str">
        <f t="shared" si="3"/>
        <v>BFA31</v>
      </c>
      <c r="F923" s="13">
        <v>60.0</v>
      </c>
      <c r="G923" s="10" t="str">
        <f t="shared" si="4"/>
        <v>BFA31-60</v>
      </c>
      <c r="H923" s="16"/>
      <c r="I923" s="16" t="str">
        <f t="shared" si="5"/>
        <v>collected</v>
      </c>
      <c r="J923" s="16" t="str">
        <f t="shared" si="6"/>
        <v>N</v>
      </c>
      <c r="K923" s="16"/>
      <c r="L923" s="16"/>
    </row>
    <row r="924">
      <c r="A924" s="27" t="s">
        <v>1342</v>
      </c>
      <c r="B924" s="10" t="str">
        <f t="shared" si="1"/>
        <v>fatty_acid</v>
      </c>
      <c r="C924" s="49" t="str">
        <f t="shared" si="2"/>
        <v>S16434FA1</v>
      </c>
      <c r="D924" s="6">
        <v>31.0</v>
      </c>
      <c r="E924" s="10" t="str">
        <f t="shared" si="3"/>
        <v>BFA31</v>
      </c>
      <c r="F924" s="13">
        <v>61.0</v>
      </c>
      <c r="G924" s="10" t="str">
        <f t="shared" si="4"/>
        <v>BFA31-61</v>
      </c>
      <c r="H924" s="16"/>
      <c r="I924" s="16" t="str">
        <f t="shared" si="5"/>
        <v>collected</v>
      </c>
      <c r="J924" s="16" t="str">
        <f t="shared" si="6"/>
        <v>N</v>
      </c>
      <c r="K924" s="16"/>
      <c r="L924" s="16"/>
    </row>
    <row r="925">
      <c r="A925" s="27" t="s">
        <v>1343</v>
      </c>
      <c r="B925" s="10" t="str">
        <f t="shared" si="1"/>
        <v>fatty_acid</v>
      </c>
      <c r="C925" s="49" t="str">
        <f t="shared" si="2"/>
        <v>S16431FA1</v>
      </c>
      <c r="D925" s="6">
        <v>31.0</v>
      </c>
      <c r="E925" s="10" t="str">
        <f t="shared" si="3"/>
        <v>BFA31</v>
      </c>
      <c r="F925" s="13">
        <v>62.0</v>
      </c>
      <c r="G925" s="10" t="str">
        <f t="shared" si="4"/>
        <v>BFA31-62</v>
      </c>
      <c r="H925" s="16"/>
      <c r="I925" s="16" t="str">
        <f t="shared" si="5"/>
        <v>collected</v>
      </c>
      <c r="J925" s="16" t="str">
        <f t="shared" si="6"/>
        <v>N</v>
      </c>
      <c r="K925" s="16"/>
      <c r="L925" s="16"/>
    </row>
    <row r="926">
      <c r="A926" s="27" t="s">
        <v>1344</v>
      </c>
      <c r="B926" s="10" t="str">
        <f t="shared" si="1"/>
        <v>fatty_acid</v>
      </c>
      <c r="C926" s="49" t="str">
        <f t="shared" si="2"/>
        <v>S17971FA1</v>
      </c>
      <c r="D926" s="6">
        <v>31.0</v>
      </c>
      <c r="E926" s="10" t="str">
        <f t="shared" si="3"/>
        <v>BFA31</v>
      </c>
      <c r="F926" s="13">
        <v>63.0</v>
      </c>
      <c r="G926" s="10" t="str">
        <f t="shared" si="4"/>
        <v>BFA31-63</v>
      </c>
      <c r="H926" s="16"/>
      <c r="I926" s="16" t="str">
        <f t="shared" si="5"/>
        <v>collected</v>
      </c>
      <c r="J926" s="16" t="str">
        <f t="shared" si="6"/>
        <v>N</v>
      </c>
      <c r="K926" s="16"/>
      <c r="L926" s="16"/>
    </row>
    <row r="927">
      <c r="A927" s="27" t="s">
        <v>1345</v>
      </c>
      <c r="B927" s="10" t="str">
        <f t="shared" si="1"/>
        <v>fatty_acid</v>
      </c>
      <c r="C927" s="49" t="str">
        <f t="shared" si="2"/>
        <v>S17972FA1</v>
      </c>
      <c r="D927" s="6">
        <v>31.0</v>
      </c>
      <c r="E927" s="10" t="str">
        <f t="shared" si="3"/>
        <v>BFA31</v>
      </c>
      <c r="F927" s="13">
        <v>64.0</v>
      </c>
      <c r="G927" s="10" t="str">
        <f t="shared" si="4"/>
        <v>BFA31-64</v>
      </c>
      <c r="H927" s="16"/>
      <c r="I927" s="16" t="str">
        <f t="shared" si="5"/>
        <v>collected</v>
      </c>
      <c r="J927" s="16" t="str">
        <f t="shared" si="6"/>
        <v>N</v>
      </c>
      <c r="K927" s="16"/>
      <c r="L927" s="16"/>
    </row>
    <row r="928">
      <c r="A928" s="27" t="s">
        <v>1346</v>
      </c>
      <c r="B928" s="10" t="str">
        <f t="shared" si="1"/>
        <v>fatty_acid</v>
      </c>
      <c r="C928" s="49" t="str">
        <f t="shared" si="2"/>
        <v>S17973FA1</v>
      </c>
      <c r="D928" s="6">
        <v>31.0</v>
      </c>
      <c r="E928" s="10" t="str">
        <f t="shared" si="3"/>
        <v>BFA31</v>
      </c>
      <c r="F928" s="13">
        <v>65.0</v>
      </c>
      <c r="G928" s="10" t="str">
        <f t="shared" si="4"/>
        <v>BFA31-65</v>
      </c>
      <c r="H928" s="16"/>
      <c r="I928" s="16" t="str">
        <f t="shared" si="5"/>
        <v>collected</v>
      </c>
      <c r="J928" s="16" t="str">
        <f t="shared" si="6"/>
        <v>N</v>
      </c>
      <c r="K928" s="16"/>
      <c r="L928" s="16"/>
    </row>
    <row r="929">
      <c r="A929" s="27" t="s">
        <v>1347</v>
      </c>
      <c r="B929" s="10" t="str">
        <f t="shared" si="1"/>
        <v>fatty_acid</v>
      </c>
      <c r="C929" s="49" t="str">
        <f t="shared" si="2"/>
        <v>S17974FA1</v>
      </c>
      <c r="D929" s="6">
        <v>31.0</v>
      </c>
      <c r="E929" s="10" t="str">
        <f t="shared" si="3"/>
        <v>BFA31</v>
      </c>
      <c r="F929" s="13">
        <v>66.0</v>
      </c>
      <c r="G929" s="10" t="str">
        <f t="shared" si="4"/>
        <v>BFA31-66</v>
      </c>
      <c r="H929" s="16"/>
      <c r="I929" s="16" t="str">
        <f t="shared" si="5"/>
        <v>collected</v>
      </c>
      <c r="J929" s="16" t="str">
        <f t="shared" si="6"/>
        <v>N</v>
      </c>
      <c r="K929" s="16"/>
      <c r="L929" s="16"/>
    </row>
    <row r="930">
      <c r="A930" s="27" t="s">
        <v>1348</v>
      </c>
      <c r="B930" s="10" t="str">
        <f t="shared" si="1"/>
        <v>fatty_acid</v>
      </c>
      <c r="C930" s="49" t="str">
        <f t="shared" si="2"/>
        <v>S17975FA1</v>
      </c>
      <c r="D930" s="6">
        <v>31.0</v>
      </c>
      <c r="E930" s="10" t="str">
        <f t="shared" si="3"/>
        <v>BFA31</v>
      </c>
      <c r="F930" s="13">
        <v>67.0</v>
      </c>
      <c r="G930" s="10" t="str">
        <f t="shared" si="4"/>
        <v>BFA31-67</v>
      </c>
      <c r="H930" s="16"/>
      <c r="I930" s="16" t="str">
        <f t="shared" si="5"/>
        <v>collected</v>
      </c>
      <c r="J930" s="16" t="str">
        <f t="shared" si="6"/>
        <v>N</v>
      </c>
      <c r="K930" s="16"/>
      <c r="L930" s="16"/>
    </row>
    <row r="931">
      <c r="A931" s="27" t="s">
        <v>1350</v>
      </c>
      <c r="B931" s="10" t="str">
        <f t="shared" si="1"/>
        <v>fatty_acid</v>
      </c>
      <c r="C931" s="49" t="str">
        <f t="shared" si="2"/>
        <v>S17976FA1</v>
      </c>
      <c r="D931" s="6">
        <v>31.0</v>
      </c>
      <c r="E931" s="10" t="str">
        <f t="shared" si="3"/>
        <v>BFA31</v>
      </c>
      <c r="F931" s="13">
        <v>68.0</v>
      </c>
      <c r="G931" s="10" t="str">
        <f t="shared" si="4"/>
        <v>BFA31-68</v>
      </c>
      <c r="H931" s="16"/>
      <c r="I931" s="16" t="str">
        <f t="shared" si="5"/>
        <v>collected</v>
      </c>
      <c r="J931" s="16" t="str">
        <f t="shared" si="6"/>
        <v>N</v>
      </c>
      <c r="K931" s="16"/>
      <c r="L931" s="16"/>
    </row>
    <row r="932">
      <c r="A932" s="27" t="s">
        <v>1351</v>
      </c>
      <c r="B932" s="10" t="str">
        <f t="shared" si="1"/>
        <v>fatty_acid</v>
      </c>
      <c r="C932" s="49" t="str">
        <f t="shared" si="2"/>
        <v>S17977FA1</v>
      </c>
      <c r="D932" s="6">
        <v>31.0</v>
      </c>
      <c r="E932" s="10" t="str">
        <f t="shared" si="3"/>
        <v>BFA31</v>
      </c>
      <c r="F932" s="13">
        <v>69.0</v>
      </c>
      <c r="G932" s="10" t="str">
        <f t="shared" si="4"/>
        <v>BFA31-69</v>
      </c>
      <c r="H932" s="16"/>
      <c r="I932" s="16" t="str">
        <f t="shared" si="5"/>
        <v>collected</v>
      </c>
      <c r="J932" s="16" t="str">
        <f t="shared" si="6"/>
        <v>N</v>
      </c>
      <c r="K932" s="16"/>
      <c r="L932" s="16"/>
    </row>
    <row r="933">
      <c r="A933" s="27" t="s">
        <v>1352</v>
      </c>
      <c r="B933" s="10" t="str">
        <f t="shared" si="1"/>
        <v>fatty_acid</v>
      </c>
      <c r="C933" s="49" t="str">
        <f t="shared" si="2"/>
        <v>S17978FA1</v>
      </c>
      <c r="D933" s="6">
        <v>31.0</v>
      </c>
      <c r="E933" s="10" t="str">
        <f t="shared" si="3"/>
        <v>BFA31</v>
      </c>
      <c r="F933" s="13">
        <v>70.0</v>
      </c>
      <c r="G933" s="10" t="str">
        <f t="shared" si="4"/>
        <v>BFA31-70</v>
      </c>
      <c r="H933" s="16"/>
      <c r="I933" s="16" t="str">
        <f t="shared" si="5"/>
        <v>collected</v>
      </c>
      <c r="J933" s="16" t="str">
        <f t="shared" si="6"/>
        <v>N</v>
      </c>
      <c r="K933" s="16"/>
      <c r="L933" s="16"/>
    </row>
    <row r="934">
      <c r="A934" s="27" t="s">
        <v>1353</v>
      </c>
      <c r="B934" s="10" t="str">
        <f t="shared" si="1"/>
        <v>fatty_acid</v>
      </c>
      <c r="C934" s="49" t="str">
        <f t="shared" si="2"/>
        <v>S17979FA1</v>
      </c>
      <c r="D934" s="6">
        <v>31.0</v>
      </c>
      <c r="E934" s="10" t="str">
        <f t="shared" si="3"/>
        <v>BFA31</v>
      </c>
      <c r="F934" s="13">
        <v>71.0</v>
      </c>
      <c r="G934" s="10" t="str">
        <f t="shared" si="4"/>
        <v>BFA31-71</v>
      </c>
      <c r="H934" s="16"/>
      <c r="I934" s="16" t="str">
        <f t="shared" si="5"/>
        <v>collected</v>
      </c>
      <c r="J934" s="16" t="str">
        <f t="shared" si="6"/>
        <v>N</v>
      </c>
      <c r="K934" s="16"/>
      <c r="L934" s="16"/>
    </row>
    <row r="935">
      <c r="A935" s="27" t="s">
        <v>1355</v>
      </c>
      <c r="B935" s="10" t="str">
        <f t="shared" si="1"/>
        <v>fatty_acid</v>
      </c>
      <c r="C935" s="49" t="str">
        <f t="shared" si="2"/>
        <v>S17980FA1</v>
      </c>
      <c r="D935" s="6">
        <v>31.0</v>
      </c>
      <c r="E935" s="10" t="str">
        <f t="shared" si="3"/>
        <v>BFA31</v>
      </c>
      <c r="F935" s="13">
        <v>72.0</v>
      </c>
      <c r="G935" s="10" t="str">
        <f t="shared" si="4"/>
        <v>BFA31-72</v>
      </c>
      <c r="H935" s="16"/>
      <c r="I935" s="16" t="str">
        <f t="shared" si="5"/>
        <v>collected</v>
      </c>
      <c r="J935" s="16" t="str">
        <f t="shared" si="6"/>
        <v>N</v>
      </c>
      <c r="K935" s="16"/>
      <c r="L935" s="16"/>
    </row>
    <row r="936">
      <c r="A936" s="27" t="s">
        <v>1356</v>
      </c>
      <c r="B936" s="10" t="str">
        <f t="shared" si="1"/>
        <v>fatty_acid</v>
      </c>
      <c r="C936" s="49" t="str">
        <f t="shared" si="2"/>
        <v>S17561FA1</v>
      </c>
      <c r="D936" s="6">
        <v>31.0</v>
      </c>
      <c r="E936" s="10" t="str">
        <f t="shared" si="3"/>
        <v>BFA31</v>
      </c>
      <c r="F936" s="13">
        <v>73.0</v>
      </c>
      <c r="G936" s="10" t="str">
        <f t="shared" si="4"/>
        <v>BFA31-73</v>
      </c>
      <c r="H936" s="16"/>
      <c r="I936" s="16" t="str">
        <f t="shared" si="5"/>
        <v>collected</v>
      </c>
      <c r="J936" s="16" t="str">
        <f t="shared" si="6"/>
        <v>N</v>
      </c>
      <c r="K936" s="16"/>
      <c r="L936" s="16"/>
    </row>
    <row r="937">
      <c r="A937" s="27" t="s">
        <v>1357</v>
      </c>
      <c r="B937" s="10" t="str">
        <f t="shared" si="1"/>
        <v>fatty_acid</v>
      </c>
      <c r="C937" s="49" t="str">
        <f t="shared" si="2"/>
        <v>S17562FA1</v>
      </c>
      <c r="D937" s="6">
        <v>31.0</v>
      </c>
      <c r="E937" s="10" t="str">
        <f t="shared" si="3"/>
        <v>BFA31</v>
      </c>
      <c r="F937" s="13">
        <v>74.0</v>
      </c>
      <c r="G937" s="10" t="str">
        <f t="shared" si="4"/>
        <v>BFA31-74</v>
      </c>
      <c r="H937" s="16"/>
      <c r="I937" s="16" t="str">
        <f t="shared" si="5"/>
        <v>collected</v>
      </c>
      <c r="J937" s="16" t="str">
        <f t="shared" si="6"/>
        <v>N</v>
      </c>
      <c r="K937" s="16"/>
      <c r="L937" s="16"/>
    </row>
    <row r="938">
      <c r="A938" s="27" t="s">
        <v>1358</v>
      </c>
      <c r="B938" s="10" t="str">
        <f t="shared" si="1"/>
        <v>fatty_acid</v>
      </c>
      <c r="C938" s="49" t="str">
        <f t="shared" si="2"/>
        <v>S17563FA1</v>
      </c>
      <c r="D938" s="6">
        <v>31.0</v>
      </c>
      <c r="E938" s="10" t="str">
        <f t="shared" si="3"/>
        <v>BFA31</v>
      </c>
      <c r="F938" s="13">
        <v>75.0</v>
      </c>
      <c r="G938" s="10" t="str">
        <f t="shared" si="4"/>
        <v>BFA31-75</v>
      </c>
      <c r="H938" s="16"/>
      <c r="I938" s="16" t="str">
        <f t="shared" si="5"/>
        <v>collected</v>
      </c>
      <c r="J938" s="16" t="str">
        <f t="shared" si="6"/>
        <v>N</v>
      </c>
      <c r="K938" s="16"/>
      <c r="L938" s="16"/>
    </row>
    <row r="939">
      <c r="A939" s="27" t="s">
        <v>1359</v>
      </c>
      <c r="B939" s="10" t="str">
        <f t="shared" si="1"/>
        <v>fatty_acid</v>
      </c>
      <c r="C939" s="49" t="str">
        <f t="shared" si="2"/>
        <v>S17564FA1</v>
      </c>
      <c r="D939" s="6">
        <v>31.0</v>
      </c>
      <c r="E939" s="10" t="str">
        <f t="shared" si="3"/>
        <v>BFA31</v>
      </c>
      <c r="F939" s="13">
        <v>76.0</v>
      </c>
      <c r="G939" s="10" t="str">
        <f t="shared" si="4"/>
        <v>BFA31-76</v>
      </c>
      <c r="H939" s="16"/>
      <c r="I939" s="16" t="str">
        <f t="shared" si="5"/>
        <v>collected</v>
      </c>
      <c r="J939" s="16" t="str">
        <f t="shared" si="6"/>
        <v>N</v>
      </c>
      <c r="K939" s="16"/>
      <c r="L939" s="16"/>
    </row>
    <row r="940">
      <c r="A940" s="27" t="s">
        <v>1360</v>
      </c>
      <c r="B940" s="10" t="str">
        <f t="shared" si="1"/>
        <v>fatty_acid</v>
      </c>
      <c r="C940" s="49" t="str">
        <f t="shared" si="2"/>
        <v>S17565FA1</v>
      </c>
      <c r="D940" s="6">
        <v>31.0</v>
      </c>
      <c r="E940" s="10" t="str">
        <f t="shared" si="3"/>
        <v>BFA31</v>
      </c>
      <c r="F940" s="13">
        <v>77.0</v>
      </c>
      <c r="G940" s="10" t="str">
        <f t="shared" si="4"/>
        <v>BFA31-77</v>
      </c>
      <c r="H940" s="16"/>
      <c r="I940" s="16" t="str">
        <f t="shared" si="5"/>
        <v>collected</v>
      </c>
      <c r="J940" s="16" t="str">
        <f t="shared" si="6"/>
        <v>N</v>
      </c>
      <c r="K940" s="16"/>
      <c r="L940" s="16"/>
    </row>
    <row r="941">
      <c r="A941" s="27" t="s">
        <v>1361</v>
      </c>
      <c r="B941" s="10" t="str">
        <f t="shared" si="1"/>
        <v>fatty_acid</v>
      </c>
      <c r="C941" s="49" t="str">
        <f t="shared" si="2"/>
        <v>S17566FA1</v>
      </c>
      <c r="D941" s="6">
        <v>31.0</v>
      </c>
      <c r="E941" s="10" t="str">
        <f t="shared" si="3"/>
        <v>BFA31</v>
      </c>
      <c r="F941" s="13">
        <v>78.0</v>
      </c>
      <c r="G941" s="10" t="str">
        <f t="shared" si="4"/>
        <v>BFA31-78</v>
      </c>
      <c r="H941" s="16"/>
      <c r="I941" s="16" t="str">
        <f t="shared" si="5"/>
        <v>collected</v>
      </c>
      <c r="J941" s="16" t="str">
        <f t="shared" si="6"/>
        <v>N</v>
      </c>
      <c r="K941" s="16"/>
      <c r="L941" s="16"/>
    </row>
    <row r="942">
      <c r="A942" s="27" t="s">
        <v>1362</v>
      </c>
      <c r="B942" s="10" t="str">
        <f t="shared" si="1"/>
        <v>fatty_acid</v>
      </c>
      <c r="C942" s="49" t="str">
        <f t="shared" si="2"/>
        <v>S17568FA1</v>
      </c>
      <c r="D942" s="6">
        <v>31.0</v>
      </c>
      <c r="E942" s="10" t="str">
        <f t="shared" si="3"/>
        <v>BFA31</v>
      </c>
      <c r="F942" s="13">
        <v>79.0</v>
      </c>
      <c r="G942" s="10" t="str">
        <f t="shared" si="4"/>
        <v>BFA31-79</v>
      </c>
      <c r="H942" s="16"/>
      <c r="I942" s="16" t="str">
        <f t="shared" si="5"/>
        <v>collected</v>
      </c>
      <c r="J942" s="16" t="str">
        <f t="shared" si="6"/>
        <v>N</v>
      </c>
      <c r="K942" s="16"/>
      <c r="L942" s="16"/>
    </row>
    <row r="943">
      <c r="A943" s="27" t="s">
        <v>1363</v>
      </c>
      <c r="B943" s="10" t="str">
        <f t="shared" si="1"/>
        <v>fatty_acid</v>
      </c>
      <c r="C943" s="49" t="str">
        <f t="shared" si="2"/>
        <v>S17567FA1</v>
      </c>
      <c r="D943" s="6">
        <v>31.0</v>
      </c>
      <c r="E943" s="10" t="str">
        <f t="shared" si="3"/>
        <v>BFA31</v>
      </c>
      <c r="F943" s="13">
        <v>80.0</v>
      </c>
      <c r="G943" s="10" t="str">
        <f t="shared" si="4"/>
        <v>BFA31-80</v>
      </c>
      <c r="H943" s="16"/>
      <c r="I943" s="16" t="str">
        <f t="shared" si="5"/>
        <v>collected</v>
      </c>
      <c r="J943" s="16" t="str">
        <f t="shared" si="6"/>
        <v>N</v>
      </c>
      <c r="K943" s="16"/>
      <c r="L943" s="16"/>
    </row>
    <row r="944">
      <c r="A944" s="27" t="s">
        <v>1364</v>
      </c>
      <c r="B944" s="10" t="str">
        <f t="shared" si="1"/>
        <v>fatty_acid</v>
      </c>
      <c r="C944" s="49" t="str">
        <f t="shared" si="2"/>
        <v>S17569FA1</v>
      </c>
      <c r="D944" s="6">
        <v>31.0</v>
      </c>
      <c r="E944" s="10" t="str">
        <f t="shared" si="3"/>
        <v>BFA31</v>
      </c>
      <c r="F944" s="13">
        <v>81.0</v>
      </c>
      <c r="G944" s="10" t="str">
        <f t="shared" si="4"/>
        <v>BFA31-81</v>
      </c>
      <c r="H944" s="16"/>
      <c r="I944" s="16" t="str">
        <f t="shared" si="5"/>
        <v>collected</v>
      </c>
      <c r="J944" s="16" t="str">
        <f t="shared" si="6"/>
        <v>N</v>
      </c>
      <c r="K944" s="16"/>
      <c r="L944" s="16"/>
    </row>
    <row r="945">
      <c r="A945" s="27" t="s">
        <v>1365</v>
      </c>
      <c r="B945" s="10" t="str">
        <f t="shared" si="1"/>
        <v>fatty_acid</v>
      </c>
      <c r="C945" s="49" t="str">
        <f t="shared" si="2"/>
        <v>S16065FA1</v>
      </c>
      <c r="D945" s="6">
        <v>22.0</v>
      </c>
      <c r="E945" s="10" t="str">
        <f t="shared" si="3"/>
        <v>BFA22</v>
      </c>
      <c r="F945" s="13">
        <v>25.0</v>
      </c>
      <c r="G945" s="10" t="str">
        <f t="shared" si="4"/>
        <v>BFA22-25</v>
      </c>
      <c r="H945" s="16"/>
      <c r="I945" s="16" t="str">
        <f t="shared" si="5"/>
        <v>collected</v>
      </c>
      <c r="J945" s="16" t="str">
        <f t="shared" si="6"/>
        <v>N</v>
      </c>
      <c r="K945" s="16"/>
      <c r="L945" s="16"/>
    </row>
    <row r="946">
      <c r="A946" s="27" t="s">
        <v>1366</v>
      </c>
      <c r="B946" s="10" t="str">
        <f t="shared" si="1"/>
        <v>fatty_acid</v>
      </c>
      <c r="C946" s="49" t="str">
        <f t="shared" si="2"/>
        <v>S16069FA1</v>
      </c>
      <c r="D946" s="6">
        <v>22.0</v>
      </c>
      <c r="E946" s="10" t="str">
        <f t="shared" si="3"/>
        <v>BFA22</v>
      </c>
      <c r="F946" s="13">
        <v>26.0</v>
      </c>
      <c r="G946" s="10" t="str">
        <f t="shared" si="4"/>
        <v>BFA22-26</v>
      </c>
      <c r="H946" s="16"/>
      <c r="I946" s="16" t="str">
        <f t="shared" si="5"/>
        <v>collected</v>
      </c>
      <c r="J946" s="16" t="str">
        <f t="shared" si="6"/>
        <v>N</v>
      </c>
      <c r="K946" s="16"/>
      <c r="L946" s="16"/>
    </row>
    <row r="947">
      <c r="A947" s="27" t="s">
        <v>1367</v>
      </c>
      <c r="B947" s="10" t="str">
        <f t="shared" si="1"/>
        <v>fatty_acid</v>
      </c>
      <c r="C947" s="49" t="str">
        <f t="shared" si="2"/>
        <v>S16064FA1</v>
      </c>
      <c r="D947" s="6">
        <v>22.0</v>
      </c>
      <c r="E947" s="10" t="str">
        <f t="shared" si="3"/>
        <v>BFA22</v>
      </c>
      <c r="F947" s="13">
        <v>27.0</v>
      </c>
      <c r="G947" s="10" t="str">
        <f t="shared" si="4"/>
        <v>BFA22-27</v>
      </c>
      <c r="H947" s="16"/>
      <c r="I947" s="16" t="str">
        <f t="shared" si="5"/>
        <v>collected</v>
      </c>
      <c r="J947" s="16" t="str">
        <f t="shared" si="6"/>
        <v>N</v>
      </c>
      <c r="K947" s="16"/>
      <c r="L947" s="16"/>
    </row>
    <row r="948">
      <c r="A948" s="27" t="s">
        <v>1368</v>
      </c>
      <c r="B948" s="10" t="str">
        <f t="shared" si="1"/>
        <v>fatty_acid</v>
      </c>
      <c r="C948" s="49" t="str">
        <f t="shared" si="2"/>
        <v>S16068FA1</v>
      </c>
      <c r="D948" s="6">
        <v>22.0</v>
      </c>
      <c r="E948" s="10" t="str">
        <f t="shared" si="3"/>
        <v>BFA22</v>
      </c>
      <c r="F948" s="13">
        <v>28.0</v>
      </c>
      <c r="G948" s="10" t="str">
        <f t="shared" si="4"/>
        <v>BFA22-28</v>
      </c>
      <c r="H948" s="16"/>
      <c r="I948" s="16" t="str">
        <f t="shared" si="5"/>
        <v>collected</v>
      </c>
      <c r="J948" s="16" t="str">
        <f t="shared" si="6"/>
        <v>N</v>
      </c>
      <c r="K948" s="16"/>
      <c r="L948" s="16"/>
    </row>
    <row r="949">
      <c r="A949" s="27" t="s">
        <v>1369</v>
      </c>
      <c r="B949" s="10" t="str">
        <f t="shared" si="1"/>
        <v>fatty_acid</v>
      </c>
      <c r="C949" s="49" t="str">
        <f t="shared" si="2"/>
        <v>S16062FA1</v>
      </c>
      <c r="D949" s="6">
        <v>22.0</v>
      </c>
      <c r="E949" s="10" t="str">
        <f t="shared" si="3"/>
        <v>BFA22</v>
      </c>
      <c r="F949" s="13">
        <v>29.0</v>
      </c>
      <c r="G949" s="10" t="str">
        <f t="shared" si="4"/>
        <v>BFA22-29</v>
      </c>
      <c r="H949" s="16"/>
      <c r="I949" s="16" t="str">
        <f t="shared" si="5"/>
        <v>collected</v>
      </c>
      <c r="J949" s="16" t="str">
        <f t="shared" si="6"/>
        <v>N</v>
      </c>
      <c r="K949" s="16"/>
      <c r="L949" s="16"/>
    </row>
    <row r="950">
      <c r="A950" s="27" t="s">
        <v>1370</v>
      </c>
      <c r="B950" s="10" t="str">
        <f t="shared" si="1"/>
        <v>fatty_acid</v>
      </c>
      <c r="C950" s="49" t="str">
        <f t="shared" si="2"/>
        <v>S16070FA1</v>
      </c>
      <c r="D950" s="6">
        <v>22.0</v>
      </c>
      <c r="E950" s="10" t="str">
        <f t="shared" si="3"/>
        <v>BFA22</v>
      </c>
      <c r="F950" s="13">
        <v>30.0</v>
      </c>
      <c r="G950" s="10" t="str">
        <f t="shared" si="4"/>
        <v>BFA22-30</v>
      </c>
      <c r="H950" s="16"/>
      <c r="I950" s="16" t="str">
        <f t="shared" si="5"/>
        <v>collected</v>
      </c>
      <c r="J950" s="16" t="str">
        <f t="shared" si="6"/>
        <v>N</v>
      </c>
      <c r="K950" s="16"/>
      <c r="L950" s="16"/>
    </row>
    <row r="951">
      <c r="A951" s="27" t="s">
        <v>1371</v>
      </c>
      <c r="B951" s="10" t="str">
        <f t="shared" si="1"/>
        <v>fatty_acid</v>
      </c>
      <c r="C951" s="49" t="str">
        <f t="shared" si="2"/>
        <v>S16066FA1</v>
      </c>
      <c r="D951" s="6">
        <v>22.0</v>
      </c>
      <c r="E951" s="10" t="str">
        <f t="shared" si="3"/>
        <v>BFA22</v>
      </c>
      <c r="F951" s="13">
        <v>31.0</v>
      </c>
      <c r="G951" s="10" t="str">
        <f t="shared" si="4"/>
        <v>BFA22-31</v>
      </c>
      <c r="H951" s="16"/>
      <c r="I951" s="16" t="str">
        <f t="shared" si="5"/>
        <v>collected</v>
      </c>
      <c r="J951" s="16" t="str">
        <f t="shared" si="6"/>
        <v>N</v>
      </c>
      <c r="K951" s="16"/>
      <c r="L951" s="16"/>
    </row>
    <row r="952">
      <c r="A952" s="27" t="s">
        <v>1372</v>
      </c>
      <c r="B952" s="10" t="str">
        <f t="shared" si="1"/>
        <v>fatty_acid</v>
      </c>
      <c r="C952" s="49" t="str">
        <f t="shared" si="2"/>
        <v>S16063FA1</v>
      </c>
      <c r="D952" s="6">
        <v>22.0</v>
      </c>
      <c r="E952" s="10" t="str">
        <f t="shared" si="3"/>
        <v>BFA22</v>
      </c>
      <c r="F952" s="13">
        <v>32.0</v>
      </c>
      <c r="G952" s="10" t="str">
        <f t="shared" si="4"/>
        <v>BFA22-32</v>
      </c>
      <c r="H952" s="16"/>
      <c r="I952" s="16" t="str">
        <f t="shared" si="5"/>
        <v>collected</v>
      </c>
      <c r="J952" s="16" t="str">
        <f t="shared" si="6"/>
        <v>N</v>
      </c>
      <c r="K952" s="16"/>
      <c r="L952" s="16"/>
    </row>
    <row r="953">
      <c r="A953" s="27" t="s">
        <v>1374</v>
      </c>
      <c r="B953" s="10" t="str">
        <f t="shared" si="1"/>
        <v>fatty_acid</v>
      </c>
      <c r="C953" s="49" t="str">
        <f t="shared" si="2"/>
        <v>S16067FA1</v>
      </c>
      <c r="D953" s="6">
        <v>22.0</v>
      </c>
      <c r="E953" s="10" t="str">
        <f t="shared" si="3"/>
        <v>BFA22</v>
      </c>
      <c r="F953" s="13">
        <v>33.0</v>
      </c>
      <c r="G953" s="10" t="str">
        <f t="shared" si="4"/>
        <v>BFA22-33</v>
      </c>
      <c r="H953" s="16"/>
      <c r="I953" s="16" t="str">
        <f t="shared" si="5"/>
        <v>collected</v>
      </c>
      <c r="J953" s="16" t="str">
        <f t="shared" si="6"/>
        <v>N</v>
      </c>
      <c r="K953" s="16"/>
      <c r="L953" s="16"/>
    </row>
    <row r="954">
      <c r="A954" s="27" t="s">
        <v>1375</v>
      </c>
      <c r="B954" s="10" t="str">
        <f t="shared" si="1"/>
        <v>fatty_acid</v>
      </c>
      <c r="C954" s="49" t="str">
        <f t="shared" si="2"/>
        <v>S16061FA1</v>
      </c>
      <c r="D954" s="6">
        <v>22.0</v>
      </c>
      <c r="E954" s="10" t="str">
        <f t="shared" si="3"/>
        <v>BFA22</v>
      </c>
      <c r="F954" s="13">
        <v>34.0</v>
      </c>
      <c r="G954" s="10" t="str">
        <f t="shared" si="4"/>
        <v>BFA22-34</v>
      </c>
      <c r="H954" s="16"/>
      <c r="I954" s="16" t="str">
        <f t="shared" si="5"/>
        <v>collected</v>
      </c>
      <c r="J954" s="16" t="str">
        <f t="shared" si="6"/>
        <v>N</v>
      </c>
      <c r="K954" s="16"/>
      <c r="L954" s="16"/>
    </row>
    <row r="955">
      <c r="A955" s="40" t="s">
        <v>1376</v>
      </c>
      <c r="B955" s="10" t="str">
        <f t="shared" si="1"/>
        <v>fatty_acid</v>
      </c>
      <c r="C955" s="49" t="str">
        <f t="shared" si="2"/>
        <v>S17714FA1</v>
      </c>
      <c r="D955" s="6">
        <v>32.0</v>
      </c>
      <c r="E955" s="10" t="str">
        <f t="shared" si="3"/>
        <v>BFA32</v>
      </c>
      <c r="F955" s="13">
        <v>8.0</v>
      </c>
      <c r="G955" s="10" t="str">
        <f t="shared" si="4"/>
        <v>BFA32-8</v>
      </c>
      <c r="H955" s="16"/>
      <c r="I955" s="16" t="str">
        <f t="shared" si="5"/>
        <v>collected</v>
      </c>
      <c r="J955" s="16" t="str">
        <f t="shared" si="6"/>
        <v>N</v>
      </c>
      <c r="K955" s="16"/>
      <c r="L955" s="16"/>
    </row>
    <row r="956">
      <c r="A956" s="40" t="s">
        <v>1377</v>
      </c>
      <c r="B956" s="10" t="str">
        <f t="shared" si="1"/>
        <v>fatty_acid</v>
      </c>
      <c r="C956" s="49" t="str">
        <f t="shared" si="2"/>
        <v>S17116FA1</v>
      </c>
      <c r="D956" s="6">
        <v>32.0</v>
      </c>
      <c r="E956" s="10" t="str">
        <f t="shared" si="3"/>
        <v>BFA32</v>
      </c>
      <c r="F956" s="13">
        <v>9.0</v>
      </c>
      <c r="G956" s="10" t="str">
        <f t="shared" si="4"/>
        <v>BFA32-9</v>
      </c>
      <c r="H956" s="16"/>
      <c r="I956" s="16" t="str">
        <f t="shared" si="5"/>
        <v>collected</v>
      </c>
      <c r="J956" s="16" t="str">
        <f t="shared" si="6"/>
        <v>N</v>
      </c>
      <c r="K956" s="16"/>
      <c r="L956" s="16"/>
    </row>
    <row r="957">
      <c r="A957" s="40" t="s">
        <v>1379</v>
      </c>
      <c r="B957" s="10" t="str">
        <f t="shared" si="1"/>
        <v>fatty_acid</v>
      </c>
      <c r="C957" s="49" t="str">
        <f t="shared" si="2"/>
        <v>S17115FA1</v>
      </c>
      <c r="D957" s="6">
        <v>32.0</v>
      </c>
      <c r="E957" s="10" t="str">
        <f t="shared" si="3"/>
        <v>BFA32</v>
      </c>
      <c r="F957" s="13">
        <v>10.0</v>
      </c>
      <c r="G957" s="10" t="str">
        <f t="shared" si="4"/>
        <v>BFA32-10</v>
      </c>
      <c r="H957" s="16"/>
      <c r="I957" s="16" t="str">
        <f t="shared" si="5"/>
        <v>collected</v>
      </c>
      <c r="J957" s="16" t="str">
        <f t="shared" si="6"/>
        <v>N</v>
      </c>
      <c r="K957" s="16"/>
      <c r="L957" s="16"/>
    </row>
    <row r="958">
      <c r="A958" s="40" t="s">
        <v>1380</v>
      </c>
      <c r="B958" s="10" t="str">
        <f t="shared" si="1"/>
        <v>fatty_acid</v>
      </c>
      <c r="C958" s="49" t="str">
        <f t="shared" si="2"/>
        <v>S17119FA1</v>
      </c>
      <c r="D958" s="6">
        <v>32.0</v>
      </c>
      <c r="E958" s="10" t="str">
        <f t="shared" si="3"/>
        <v>BFA32</v>
      </c>
      <c r="F958" s="13">
        <v>11.0</v>
      </c>
      <c r="G958" s="10" t="str">
        <f t="shared" si="4"/>
        <v>BFA32-11</v>
      </c>
      <c r="H958" s="16"/>
      <c r="I958" s="16" t="str">
        <f t="shared" si="5"/>
        <v>collected</v>
      </c>
      <c r="J958" s="16" t="str">
        <f t="shared" si="6"/>
        <v>N</v>
      </c>
      <c r="K958" s="16"/>
      <c r="L958" s="16"/>
    </row>
    <row r="959">
      <c r="A959" s="40" t="s">
        <v>1381</v>
      </c>
      <c r="B959" s="10" t="str">
        <f t="shared" si="1"/>
        <v>fatty_acid</v>
      </c>
      <c r="C959" s="49" t="str">
        <f t="shared" si="2"/>
        <v>S17117FA1</v>
      </c>
      <c r="D959" s="6">
        <v>32.0</v>
      </c>
      <c r="E959" s="10" t="str">
        <f t="shared" si="3"/>
        <v>BFA32</v>
      </c>
      <c r="F959" s="13">
        <v>12.0</v>
      </c>
      <c r="G959" s="10" t="str">
        <f t="shared" si="4"/>
        <v>BFA32-12</v>
      </c>
      <c r="H959" s="16"/>
      <c r="I959" s="16" t="str">
        <f t="shared" si="5"/>
        <v>collected</v>
      </c>
      <c r="J959" s="16" t="str">
        <f t="shared" si="6"/>
        <v>N</v>
      </c>
      <c r="K959" s="16"/>
      <c r="L959" s="16"/>
    </row>
    <row r="960">
      <c r="A960" s="40" t="s">
        <v>1382</v>
      </c>
      <c r="B960" s="10" t="str">
        <f t="shared" si="1"/>
        <v>fatty_acid</v>
      </c>
      <c r="C960" s="49" t="str">
        <f t="shared" si="2"/>
        <v>S17111FA1</v>
      </c>
      <c r="D960" s="6">
        <v>32.0</v>
      </c>
      <c r="E960" s="10" t="str">
        <f t="shared" si="3"/>
        <v>BFA32</v>
      </c>
      <c r="F960" s="13">
        <v>13.0</v>
      </c>
      <c r="G960" s="10" t="str">
        <f t="shared" si="4"/>
        <v>BFA32-13</v>
      </c>
      <c r="H960" s="16"/>
      <c r="I960" s="16" t="str">
        <f t="shared" si="5"/>
        <v>collected</v>
      </c>
      <c r="J960" s="16" t="str">
        <f t="shared" si="6"/>
        <v>N</v>
      </c>
      <c r="K960" s="16"/>
      <c r="L960" s="16"/>
    </row>
    <row r="961">
      <c r="A961" s="40" t="s">
        <v>1383</v>
      </c>
      <c r="B961" s="10" t="str">
        <f t="shared" si="1"/>
        <v>fatty_acid</v>
      </c>
      <c r="C961" s="49" t="str">
        <f t="shared" si="2"/>
        <v>S17113FA1</v>
      </c>
      <c r="D961" s="6">
        <v>32.0</v>
      </c>
      <c r="E961" s="10" t="str">
        <f t="shared" si="3"/>
        <v>BFA32</v>
      </c>
      <c r="F961" s="13">
        <v>14.0</v>
      </c>
      <c r="G961" s="10" t="str">
        <f t="shared" si="4"/>
        <v>BFA32-14</v>
      </c>
      <c r="H961" s="16"/>
      <c r="I961" s="16" t="str">
        <f t="shared" si="5"/>
        <v>collected</v>
      </c>
      <c r="J961" s="16" t="str">
        <f t="shared" si="6"/>
        <v>N</v>
      </c>
      <c r="K961" s="16"/>
      <c r="L961" s="16"/>
    </row>
    <row r="962">
      <c r="A962" s="40" t="s">
        <v>1385</v>
      </c>
      <c r="B962" s="10" t="str">
        <f t="shared" si="1"/>
        <v>fatty_acid</v>
      </c>
      <c r="C962" s="49" t="str">
        <f t="shared" si="2"/>
        <v>S17114FA1</v>
      </c>
      <c r="D962" s="6">
        <v>32.0</v>
      </c>
      <c r="E962" s="10" t="str">
        <f t="shared" si="3"/>
        <v>BFA32</v>
      </c>
      <c r="F962" s="13">
        <v>15.0</v>
      </c>
      <c r="G962" s="10" t="str">
        <f t="shared" si="4"/>
        <v>BFA32-15</v>
      </c>
      <c r="H962" s="16"/>
      <c r="I962" s="16" t="str">
        <f t="shared" si="5"/>
        <v>collected</v>
      </c>
      <c r="J962" s="16" t="str">
        <f t="shared" si="6"/>
        <v>N</v>
      </c>
      <c r="K962" s="16"/>
      <c r="L962" s="16"/>
    </row>
    <row r="963">
      <c r="A963" s="40" t="s">
        <v>1386</v>
      </c>
      <c r="B963" s="10" t="str">
        <f t="shared" si="1"/>
        <v>fatty_acid</v>
      </c>
      <c r="C963" s="49" t="str">
        <f t="shared" si="2"/>
        <v>S17120FA1</v>
      </c>
      <c r="D963" s="6">
        <v>32.0</v>
      </c>
      <c r="E963" s="10" t="str">
        <f t="shared" si="3"/>
        <v>BFA32</v>
      </c>
      <c r="F963" s="13">
        <v>16.0</v>
      </c>
      <c r="G963" s="10" t="str">
        <f t="shared" si="4"/>
        <v>BFA32-16</v>
      </c>
      <c r="H963" s="16"/>
      <c r="I963" s="16" t="str">
        <f t="shared" si="5"/>
        <v>collected</v>
      </c>
      <c r="J963" s="16" t="str">
        <f t="shared" si="6"/>
        <v>N</v>
      </c>
      <c r="K963" s="16"/>
      <c r="L963" s="16"/>
    </row>
    <row r="964">
      <c r="A964" s="40" t="s">
        <v>1387</v>
      </c>
      <c r="B964" s="10" t="str">
        <f t="shared" si="1"/>
        <v>fatty_acid</v>
      </c>
      <c r="C964" s="49" t="str">
        <f t="shared" si="2"/>
        <v>S17118FA1</v>
      </c>
      <c r="D964" s="6">
        <v>32.0</v>
      </c>
      <c r="E964" s="10" t="str">
        <f t="shared" si="3"/>
        <v>BFA32</v>
      </c>
      <c r="F964" s="13">
        <v>17.0</v>
      </c>
      <c r="G964" s="10" t="str">
        <f t="shared" si="4"/>
        <v>BFA32-17</v>
      </c>
      <c r="H964" s="16"/>
      <c r="I964" s="16" t="str">
        <f t="shared" si="5"/>
        <v>collected</v>
      </c>
      <c r="J964" s="16" t="str">
        <f t="shared" si="6"/>
        <v>N</v>
      </c>
      <c r="K964" s="16"/>
      <c r="L964" s="16"/>
    </row>
    <row r="965">
      <c r="A965" s="40" t="s">
        <v>1389</v>
      </c>
      <c r="B965" s="10" t="str">
        <f t="shared" si="1"/>
        <v>fatty_acid</v>
      </c>
      <c r="C965" s="49" t="str">
        <f t="shared" si="2"/>
        <v>S17112FA1</v>
      </c>
      <c r="D965" s="6">
        <v>32.0</v>
      </c>
      <c r="E965" s="10" t="str">
        <f t="shared" si="3"/>
        <v>BFA32</v>
      </c>
      <c r="F965" s="13">
        <v>18.0</v>
      </c>
      <c r="G965" s="10" t="str">
        <f t="shared" si="4"/>
        <v>BFA32-18</v>
      </c>
      <c r="H965" s="16"/>
      <c r="I965" s="16" t="str">
        <f t="shared" si="5"/>
        <v>collected</v>
      </c>
      <c r="J965" s="16" t="str">
        <f t="shared" si="6"/>
        <v>N</v>
      </c>
      <c r="K965" s="16"/>
      <c r="L965" s="16"/>
    </row>
    <row r="966">
      <c r="A966" s="27" t="s">
        <v>1390</v>
      </c>
      <c r="B966" s="10" t="str">
        <f t="shared" si="1"/>
        <v>fatty_acid</v>
      </c>
      <c r="C966" s="49" t="str">
        <f t="shared" si="2"/>
        <v>S17570FA1</v>
      </c>
      <c r="D966" s="6">
        <v>33.0</v>
      </c>
      <c r="E966" s="10" t="str">
        <f t="shared" si="3"/>
        <v>BFA33</v>
      </c>
      <c r="F966" s="13">
        <v>1.0</v>
      </c>
      <c r="G966" s="10" t="str">
        <f t="shared" si="4"/>
        <v>BFA33-1</v>
      </c>
      <c r="H966" s="16"/>
      <c r="I966" s="16" t="str">
        <f t="shared" si="5"/>
        <v>collected</v>
      </c>
      <c r="J966" s="16" t="str">
        <f t="shared" si="6"/>
        <v>N</v>
      </c>
      <c r="K966" s="16"/>
      <c r="L966" s="16"/>
    </row>
    <row r="967">
      <c r="A967" s="27" t="s">
        <v>1391</v>
      </c>
      <c r="B967" s="10" t="str">
        <f t="shared" si="1"/>
        <v>fatty_acid</v>
      </c>
      <c r="C967" s="49" t="str">
        <f t="shared" si="2"/>
        <v>S17631FA1</v>
      </c>
      <c r="D967" s="6">
        <v>33.0</v>
      </c>
      <c r="E967" s="10" t="str">
        <f t="shared" si="3"/>
        <v>BFA33</v>
      </c>
      <c r="F967" s="13">
        <v>2.0</v>
      </c>
      <c r="G967" s="10" t="str">
        <f t="shared" si="4"/>
        <v>BFA33-2</v>
      </c>
      <c r="H967" s="16"/>
      <c r="I967" s="16" t="str">
        <f t="shared" si="5"/>
        <v>collected</v>
      </c>
      <c r="J967" s="16" t="str">
        <f t="shared" si="6"/>
        <v>N</v>
      </c>
      <c r="K967" s="16"/>
      <c r="L967" s="16"/>
    </row>
    <row r="968">
      <c r="A968" s="27" t="s">
        <v>1392</v>
      </c>
      <c r="B968" s="10" t="str">
        <f t="shared" si="1"/>
        <v>fatty_acid</v>
      </c>
      <c r="C968" s="49" t="str">
        <f t="shared" si="2"/>
        <v>S17632FA1</v>
      </c>
      <c r="D968" s="6">
        <v>33.0</v>
      </c>
      <c r="E968" s="10" t="str">
        <f t="shared" si="3"/>
        <v>BFA33</v>
      </c>
      <c r="F968" s="13">
        <v>3.0</v>
      </c>
      <c r="G968" s="10" t="str">
        <f t="shared" si="4"/>
        <v>BFA33-3</v>
      </c>
      <c r="H968" s="16"/>
      <c r="I968" s="16" t="str">
        <f t="shared" si="5"/>
        <v>collected</v>
      </c>
      <c r="J968" s="16" t="str">
        <f t="shared" si="6"/>
        <v>N</v>
      </c>
      <c r="K968" s="16"/>
      <c r="L968" s="16"/>
    </row>
    <row r="969">
      <c r="A969" s="27" t="s">
        <v>1395</v>
      </c>
      <c r="B969" s="10" t="str">
        <f t="shared" si="1"/>
        <v>fatty_acid</v>
      </c>
      <c r="C969" s="49" t="str">
        <f t="shared" si="2"/>
        <v>S17633FA1</v>
      </c>
      <c r="D969" s="6">
        <v>33.0</v>
      </c>
      <c r="E969" s="10" t="str">
        <f t="shared" si="3"/>
        <v>BFA33</v>
      </c>
      <c r="F969" s="13">
        <v>4.0</v>
      </c>
      <c r="G969" s="10" t="str">
        <f t="shared" si="4"/>
        <v>BFA33-4</v>
      </c>
      <c r="H969" s="16"/>
      <c r="I969" s="16" t="str">
        <f t="shared" si="5"/>
        <v>collected</v>
      </c>
      <c r="J969" s="16" t="str">
        <f t="shared" si="6"/>
        <v>N</v>
      </c>
      <c r="K969" s="16"/>
      <c r="L969" s="16"/>
    </row>
    <row r="970">
      <c r="A970" s="27" t="s">
        <v>1396</v>
      </c>
      <c r="B970" s="10" t="str">
        <f t="shared" si="1"/>
        <v>fatty_acid</v>
      </c>
      <c r="C970" s="49" t="str">
        <f t="shared" si="2"/>
        <v>S17634FA1</v>
      </c>
      <c r="D970" s="6">
        <v>33.0</v>
      </c>
      <c r="E970" s="10" t="str">
        <f t="shared" si="3"/>
        <v>BFA33</v>
      </c>
      <c r="F970" s="13">
        <v>5.0</v>
      </c>
      <c r="G970" s="10" t="str">
        <f t="shared" si="4"/>
        <v>BFA33-5</v>
      </c>
      <c r="H970" s="16"/>
      <c r="I970" s="16" t="str">
        <f t="shared" si="5"/>
        <v>collected</v>
      </c>
      <c r="J970" s="16" t="str">
        <f t="shared" si="6"/>
        <v>N</v>
      </c>
      <c r="K970" s="16"/>
      <c r="L970" s="16"/>
    </row>
    <row r="971">
      <c r="A971" s="27" t="s">
        <v>1397</v>
      </c>
      <c r="B971" s="10" t="str">
        <f t="shared" si="1"/>
        <v>fatty_acid</v>
      </c>
      <c r="C971" s="49" t="str">
        <f t="shared" si="2"/>
        <v>S17635FA1</v>
      </c>
      <c r="D971" s="6">
        <v>33.0</v>
      </c>
      <c r="E971" s="10" t="str">
        <f t="shared" si="3"/>
        <v>BFA33</v>
      </c>
      <c r="F971" s="13">
        <v>6.0</v>
      </c>
      <c r="G971" s="10" t="str">
        <f t="shared" si="4"/>
        <v>BFA33-6</v>
      </c>
      <c r="H971" s="16"/>
      <c r="I971" s="16" t="str">
        <f t="shared" si="5"/>
        <v>collected</v>
      </c>
      <c r="J971" s="16" t="str">
        <f t="shared" si="6"/>
        <v>N</v>
      </c>
      <c r="K971" s="16"/>
      <c r="L971" s="16"/>
    </row>
    <row r="972">
      <c r="A972" s="27" t="s">
        <v>1398</v>
      </c>
      <c r="B972" s="10" t="str">
        <f t="shared" si="1"/>
        <v>fatty_acid</v>
      </c>
      <c r="C972" s="49" t="str">
        <f t="shared" si="2"/>
        <v>S17636FA1</v>
      </c>
      <c r="D972" s="6">
        <v>33.0</v>
      </c>
      <c r="E972" s="10" t="str">
        <f t="shared" si="3"/>
        <v>BFA33</v>
      </c>
      <c r="F972" s="13">
        <v>7.0</v>
      </c>
      <c r="G972" s="10" t="str">
        <f t="shared" si="4"/>
        <v>BFA33-7</v>
      </c>
      <c r="H972" s="16"/>
      <c r="I972" s="16" t="str">
        <f t="shared" si="5"/>
        <v>collected</v>
      </c>
      <c r="J972" s="16" t="str">
        <f t="shared" si="6"/>
        <v>N</v>
      </c>
      <c r="K972" s="16"/>
      <c r="L972" s="16"/>
    </row>
    <row r="973">
      <c r="A973" s="27" t="s">
        <v>1399</v>
      </c>
      <c r="B973" s="10" t="str">
        <f t="shared" si="1"/>
        <v>fatty_acid</v>
      </c>
      <c r="C973" s="49" t="str">
        <f t="shared" si="2"/>
        <v>S17637FA1</v>
      </c>
      <c r="D973" s="6">
        <v>33.0</v>
      </c>
      <c r="E973" s="10" t="str">
        <f t="shared" si="3"/>
        <v>BFA33</v>
      </c>
      <c r="F973" s="13">
        <v>8.0</v>
      </c>
      <c r="G973" s="10" t="str">
        <f t="shared" si="4"/>
        <v>BFA33-8</v>
      </c>
      <c r="H973" s="16"/>
      <c r="I973" s="16" t="str">
        <f t="shared" si="5"/>
        <v>collected</v>
      </c>
      <c r="J973" s="16" t="str">
        <f t="shared" si="6"/>
        <v>N</v>
      </c>
      <c r="K973" s="16"/>
      <c r="L973" s="16"/>
    </row>
    <row r="974">
      <c r="A974" s="27" t="s">
        <v>1400</v>
      </c>
      <c r="B974" s="10" t="str">
        <f t="shared" si="1"/>
        <v>fatty_acid</v>
      </c>
      <c r="C974" s="49" t="str">
        <f t="shared" si="2"/>
        <v>S17638FA1</v>
      </c>
      <c r="D974" s="6">
        <v>33.0</v>
      </c>
      <c r="E974" s="10" t="str">
        <f t="shared" si="3"/>
        <v>BFA33</v>
      </c>
      <c r="F974" s="13">
        <v>9.0</v>
      </c>
      <c r="G974" s="10" t="str">
        <f t="shared" si="4"/>
        <v>BFA33-9</v>
      </c>
      <c r="H974" s="16"/>
      <c r="I974" s="16" t="str">
        <f t="shared" si="5"/>
        <v>collected</v>
      </c>
      <c r="J974" s="16" t="str">
        <f t="shared" si="6"/>
        <v>N</v>
      </c>
      <c r="K974" s="16"/>
      <c r="L974" s="16"/>
    </row>
    <row r="975">
      <c r="A975" s="27" t="s">
        <v>1401</v>
      </c>
      <c r="B975" s="10" t="str">
        <f t="shared" si="1"/>
        <v>fatty_acid</v>
      </c>
      <c r="C975" s="49" t="str">
        <f t="shared" si="2"/>
        <v>S17639FA1</v>
      </c>
      <c r="D975" s="6">
        <v>33.0</v>
      </c>
      <c r="E975" s="10" t="str">
        <f t="shared" si="3"/>
        <v>BFA33</v>
      </c>
      <c r="F975" s="13">
        <v>10.0</v>
      </c>
      <c r="G975" s="10" t="str">
        <f t="shared" si="4"/>
        <v>BFA33-10</v>
      </c>
      <c r="H975" s="16"/>
      <c r="I975" s="16" t="str">
        <f t="shared" si="5"/>
        <v>collected</v>
      </c>
      <c r="J975" s="16" t="str">
        <f t="shared" si="6"/>
        <v>N</v>
      </c>
      <c r="K975" s="16"/>
      <c r="L975" s="16"/>
    </row>
    <row r="976">
      <c r="A976" s="27" t="s">
        <v>1402</v>
      </c>
      <c r="B976" s="10" t="str">
        <f t="shared" si="1"/>
        <v>fatty_acid</v>
      </c>
      <c r="C976" s="49" t="str">
        <f t="shared" si="2"/>
        <v>S17640FA1</v>
      </c>
      <c r="D976" s="6">
        <v>33.0</v>
      </c>
      <c r="E976" s="10" t="str">
        <f t="shared" si="3"/>
        <v>BFA33</v>
      </c>
      <c r="F976" s="13">
        <v>11.0</v>
      </c>
      <c r="G976" s="10" t="str">
        <f t="shared" si="4"/>
        <v>BFA33-11</v>
      </c>
      <c r="H976" s="16"/>
      <c r="I976" s="16" t="str">
        <f t="shared" si="5"/>
        <v>collected</v>
      </c>
      <c r="J976" s="16" t="str">
        <f t="shared" si="6"/>
        <v>N</v>
      </c>
      <c r="K976" s="16"/>
      <c r="L976" s="16"/>
    </row>
    <row r="977">
      <c r="A977" s="26" t="s">
        <v>1403</v>
      </c>
      <c r="B977" s="10" t="str">
        <f t="shared" si="1"/>
        <v>fatty_acid</v>
      </c>
      <c r="C977" s="49" t="str">
        <f t="shared" si="2"/>
        <v>S17317FA1</v>
      </c>
      <c r="D977" s="6">
        <v>32.0</v>
      </c>
      <c r="E977" s="10" t="str">
        <f t="shared" si="3"/>
        <v>BFA32</v>
      </c>
      <c r="F977" s="13">
        <v>19.0</v>
      </c>
      <c r="G977" s="10" t="str">
        <f t="shared" si="4"/>
        <v>BFA32-19</v>
      </c>
      <c r="H977" s="16"/>
      <c r="I977" s="16" t="str">
        <f t="shared" si="5"/>
        <v>collected</v>
      </c>
      <c r="J977" s="16" t="str">
        <f t="shared" si="6"/>
        <v>N</v>
      </c>
      <c r="K977" s="16"/>
      <c r="L977" s="16"/>
    </row>
    <row r="978">
      <c r="A978" s="26" t="s">
        <v>1404</v>
      </c>
      <c r="B978" s="10" t="str">
        <f t="shared" si="1"/>
        <v>fatty_acid</v>
      </c>
      <c r="C978" s="49" t="str">
        <f t="shared" si="2"/>
        <v>S17315FA1</v>
      </c>
      <c r="D978" s="6">
        <v>32.0</v>
      </c>
      <c r="E978" s="10" t="str">
        <f t="shared" si="3"/>
        <v>BFA32</v>
      </c>
      <c r="F978" s="13">
        <v>20.0</v>
      </c>
      <c r="G978" s="10" t="str">
        <f t="shared" si="4"/>
        <v>BFA32-20</v>
      </c>
      <c r="H978" s="16"/>
      <c r="I978" s="16" t="str">
        <f t="shared" si="5"/>
        <v>collected</v>
      </c>
      <c r="J978" s="16" t="str">
        <f t="shared" si="6"/>
        <v>N</v>
      </c>
      <c r="K978" s="16"/>
      <c r="L978" s="16"/>
    </row>
    <row r="979">
      <c r="A979" s="26" t="s">
        <v>1405</v>
      </c>
      <c r="B979" s="10" t="str">
        <f t="shared" si="1"/>
        <v>fatty_acid</v>
      </c>
      <c r="C979" s="49" t="str">
        <f t="shared" si="2"/>
        <v>S17316FA1</v>
      </c>
      <c r="D979" s="6">
        <v>32.0</v>
      </c>
      <c r="E979" s="10" t="str">
        <f t="shared" si="3"/>
        <v>BFA32</v>
      </c>
      <c r="F979" s="13">
        <v>21.0</v>
      </c>
      <c r="G979" s="10" t="str">
        <f t="shared" si="4"/>
        <v>BFA32-21</v>
      </c>
      <c r="H979" s="16"/>
      <c r="I979" s="16" t="str">
        <f t="shared" si="5"/>
        <v>collected</v>
      </c>
      <c r="J979" s="16" t="str">
        <f t="shared" si="6"/>
        <v>N</v>
      </c>
      <c r="K979" s="16"/>
      <c r="L979" s="16"/>
    </row>
    <row r="980">
      <c r="A980" s="26" t="s">
        <v>1406</v>
      </c>
      <c r="B980" s="10" t="str">
        <f t="shared" si="1"/>
        <v>fatty_acid</v>
      </c>
      <c r="C980" s="49" t="str">
        <f t="shared" si="2"/>
        <v>S17319FA1</v>
      </c>
      <c r="D980" s="6">
        <v>32.0</v>
      </c>
      <c r="E980" s="10" t="str">
        <f t="shared" si="3"/>
        <v>BFA32</v>
      </c>
      <c r="F980" s="13">
        <v>22.0</v>
      </c>
      <c r="G980" s="10" t="str">
        <f t="shared" si="4"/>
        <v>BFA32-22</v>
      </c>
      <c r="H980" s="16"/>
      <c r="I980" s="16" t="str">
        <f t="shared" si="5"/>
        <v>collected</v>
      </c>
      <c r="J980" s="16" t="str">
        <f t="shared" si="6"/>
        <v>N</v>
      </c>
      <c r="K980" s="16"/>
      <c r="L980" s="16"/>
    </row>
    <row r="981">
      <c r="A981" s="26" t="s">
        <v>1407</v>
      </c>
      <c r="B981" s="10" t="str">
        <f t="shared" si="1"/>
        <v>fatty_acid</v>
      </c>
      <c r="C981" s="49" t="str">
        <f t="shared" si="2"/>
        <v>S17318FA1</v>
      </c>
      <c r="D981" s="6">
        <v>32.0</v>
      </c>
      <c r="E981" s="10" t="str">
        <f t="shared" si="3"/>
        <v>BFA32</v>
      </c>
      <c r="F981" s="13">
        <v>23.0</v>
      </c>
      <c r="G981" s="10" t="str">
        <f t="shared" si="4"/>
        <v>BFA32-23</v>
      </c>
      <c r="H981" s="16"/>
      <c r="I981" s="16" t="str">
        <f t="shared" si="5"/>
        <v>collected</v>
      </c>
      <c r="J981" s="16" t="str">
        <f t="shared" si="6"/>
        <v>N</v>
      </c>
      <c r="K981" s="16"/>
      <c r="L981" s="16"/>
    </row>
    <row r="982">
      <c r="A982" s="26" t="s">
        <v>1408</v>
      </c>
      <c r="B982" s="10" t="str">
        <f t="shared" si="1"/>
        <v>fatty_acid</v>
      </c>
      <c r="C982" s="49" t="str">
        <f t="shared" si="2"/>
        <v>S17311FA1</v>
      </c>
      <c r="D982" s="6">
        <v>32.0</v>
      </c>
      <c r="E982" s="10" t="str">
        <f t="shared" si="3"/>
        <v>BFA32</v>
      </c>
      <c r="F982" s="13">
        <v>24.0</v>
      </c>
      <c r="G982" s="10" t="str">
        <f t="shared" si="4"/>
        <v>BFA32-24</v>
      </c>
      <c r="H982" s="16"/>
      <c r="I982" s="16" t="str">
        <f t="shared" si="5"/>
        <v>collected</v>
      </c>
      <c r="J982" s="16" t="str">
        <f t="shared" si="6"/>
        <v>N</v>
      </c>
      <c r="K982" s="16"/>
      <c r="L982" s="16"/>
    </row>
    <row r="983">
      <c r="A983" s="26" t="s">
        <v>1409</v>
      </c>
      <c r="B983" s="10" t="str">
        <f t="shared" si="1"/>
        <v>fatty_acid</v>
      </c>
      <c r="C983" s="49" t="str">
        <f t="shared" si="2"/>
        <v>S17312FA1</v>
      </c>
      <c r="D983" s="6">
        <v>32.0</v>
      </c>
      <c r="E983" s="10" t="str">
        <f t="shared" si="3"/>
        <v>BFA32</v>
      </c>
      <c r="F983" s="13">
        <v>25.0</v>
      </c>
      <c r="G983" s="10" t="str">
        <f t="shared" si="4"/>
        <v>BFA32-25</v>
      </c>
      <c r="H983" s="16"/>
      <c r="I983" s="16" t="str">
        <f t="shared" si="5"/>
        <v>collected</v>
      </c>
      <c r="J983" s="16" t="str">
        <f t="shared" si="6"/>
        <v>N</v>
      </c>
      <c r="K983" s="16"/>
      <c r="L983" s="16"/>
    </row>
    <row r="984">
      <c r="A984" s="26" t="s">
        <v>1411</v>
      </c>
      <c r="B984" s="10" t="str">
        <f t="shared" si="1"/>
        <v>fatty_acid</v>
      </c>
      <c r="C984" s="49" t="str">
        <f t="shared" si="2"/>
        <v>S17313FA1</v>
      </c>
      <c r="D984" s="6">
        <v>32.0</v>
      </c>
      <c r="E984" s="10" t="str">
        <f t="shared" si="3"/>
        <v>BFA32</v>
      </c>
      <c r="F984" s="13">
        <v>26.0</v>
      </c>
      <c r="G984" s="10" t="str">
        <f t="shared" si="4"/>
        <v>BFA32-26</v>
      </c>
      <c r="H984" s="16"/>
      <c r="I984" s="16" t="str">
        <f t="shared" si="5"/>
        <v>collected</v>
      </c>
      <c r="J984" s="16" t="str">
        <f t="shared" si="6"/>
        <v>N</v>
      </c>
      <c r="K984" s="16"/>
      <c r="L984" s="16"/>
    </row>
    <row r="985">
      <c r="A985" s="26" t="s">
        <v>1412</v>
      </c>
      <c r="B985" s="10" t="str">
        <f t="shared" si="1"/>
        <v>fatty_acid</v>
      </c>
      <c r="C985" s="49" t="str">
        <f t="shared" si="2"/>
        <v>S17320FA1</v>
      </c>
      <c r="D985" s="6">
        <v>32.0</v>
      </c>
      <c r="E985" s="10" t="str">
        <f t="shared" si="3"/>
        <v>BFA32</v>
      </c>
      <c r="F985" s="13">
        <v>27.0</v>
      </c>
      <c r="G985" s="10" t="str">
        <f t="shared" si="4"/>
        <v>BFA32-27</v>
      </c>
      <c r="H985" s="16"/>
      <c r="I985" s="16" t="str">
        <f t="shared" si="5"/>
        <v>collected</v>
      </c>
      <c r="J985" s="16" t="str">
        <f t="shared" si="6"/>
        <v>N</v>
      </c>
      <c r="K985" s="16"/>
      <c r="L985" s="16"/>
    </row>
    <row r="986">
      <c r="A986" s="26" t="s">
        <v>1413</v>
      </c>
      <c r="B986" s="10" t="str">
        <f t="shared" si="1"/>
        <v>fatty_acid</v>
      </c>
      <c r="C986" s="49" t="str">
        <f t="shared" si="2"/>
        <v>S17314FA1</v>
      </c>
      <c r="D986" s="6">
        <v>32.0</v>
      </c>
      <c r="E986" s="10" t="str">
        <f t="shared" si="3"/>
        <v>BFA32</v>
      </c>
      <c r="F986" s="13">
        <v>28.0</v>
      </c>
      <c r="G986" s="10" t="str">
        <f t="shared" si="4"/>
        <v>BFA32-28</v>
      </c>
      <c r="H986" s="16"/>
      <c r="I986" s="16" t="str">
        <f t="shared" si="5"/>
        <v>collected</v>
      </c>
      <c r="J986" s="16" t="str">
        <f t="shared" si="6"/>
        <v>N</v>
      </c>
      <c r="K986" s="16"/>
      <c r="L986" s="16"/>
    </row>
    <row r="987">
      <c r="A987" s="26" t="s">
        <v>1414</v>
      </c>
      <c r="B987" s="10" t="str">
        <f t="shared" si="1"/>
        <v>fatty_acid</v>
      </c>
      <c r="C987" s="49" t="str">
        <f t="shared" si="2"/>
        <v>S16117FA1</v>
      </c>
      <c r="D987" s="6">
        <v>32.0</v>
      </c>
      <c r="E987" s="10" t="str">
        <f t="shared" si="3"/>
        <v>BFA32</v>
      </c>
      <c r="F987" s="13">
        <v>29.0</v>
      </c>
      <c r="G987" s="10" t="str">
        <f t="shared" si="4"/>
        <v>BFA32-29</v>
      </c>
      <c r="H987" s="16"/>
      <c r="I987" s="16" t="str">
        <f t="shared" si="5"/>
        <v>collected</v>
      </c>
      <c r="J987" s="16" t="str">
        <f t="shared" si="6"/>
        <v>N</v>
      </c>
      <c r="K987" s="16"/>
      <c r="L987" s="16"/>
    </row>
    <row r="988">
      <c r="A988" s="26" t="s">
        <v>1415</v>
      </c>
      <c r="B988" s="10" t="str">
        <f t="shared" si="1"/>
        <v>fatty_acid</v>
      </c>
      <c r="C988" s="49" t="str">
        <f t="shared" si="2"/>
        <v>S16114FA1</v>
      </c>
      <c r="D988" s="6">
        <v>32.0</v>
      </c>
      <c r="E988" s="10" t="str">
        <f t="shared" si="3"/>
        <v>BFA32</v>
      </c>
      <c r="F988" s="13">
        <v>30.0</v>
      </c>
      <c r="G988" s="10" t="str">
        <f t="shared" si="4"/>
        <v>BFA32-30</v>
      </c>
      <c r="H988" s="16"/>
      <c r="I988" s="16" t="str">
        <f t="shared" si="5"/>
        <v>collected</v>
      </c>
      <c r="J988" s="16" t="str">
        <f t="shared" si="6"/>
        <v>N</v>
      </c>
      <c r="K988" s="16"/>
      <c r="L988" s="16"/>
    </row>
    <row r="989">
      <c r="A989" s="26" t="s">
        <v>1416</v>
      </c>
      <c r="B989" s="10" t="str">
        <f t="shared" si="1"/>
        <v>fatty_acid</v>
      </c>
      <c r="C989" s="49" t="str">
        <f t="shared" si="2"/>
        <v>S16115FA1</v>
      </c>
      <c r="D989" s="6">
        <v>32.0</v>
      </c>
      <c r="E989" s="10" t="str">
        <f t="shared" si="3"/>
        <v>BFA32</v>
      </c>
      <c r="F989" s="13">
        <v>31.0</v>
      </c>
      <c r="G989" s="10" t="str">
        <f t="shared" si="4"/>
        <v>BFA32-31</v>
      </c>
      <c r="H989" s="16"/>
      <c r="I989" s="16" t="str">
        <f t="shared" si="5"/>
        <v>collected</v>
      </c>
      <c r="J989" s="16" t="str">
        <f t="shared" si="6"/>
        <v>N</v>
      </c>
      <c r="K989" s="16"/>
      <c r="L989" s="16"/>
    </row>
    <row r="990">
      <c r="A990" s="26" t="s">
        <v>1417</v>
      </c>
      <c r="B990" s="10" t="str">
        <f t="shared" si="1"/>
        <v>fatty_acid</v>
      </c>
      <c r="C990" s="49" t="str">
        <f t="shared" si="2"/>
        <v>S16116FA1</v>
      </c>
      <c r="D990" s="6">
        <v>32.0</v>
      </c>
      <c r="E990" s="10" t="str">
        <f t="shared" si="3"/>
        <v>BFA32</v>
      </c>
      <c r="F990" s="13">
        <v>32.0</v>
      </c>
      <c r="G990" s="10" t="str">
        <f t="shared" si="4"/>
        <v>BFA32-32</v>
      </c>
      <c r="H990" s="16"/>
      <c r="I990" s="16" t="str">
        <f t="shared" si="5"/>
        <v>collected</v>
      </c>
      <c r="J990" s="16" t="str">
        <f t="shared" si="6"/>
        <v>N</v>
      </c>
      <c r="K990" s="16"/>
      <c r="L990" s="16"/>
    </row>
    <row r="991">
      <c r="A991" s="26" t="s">
        <v>1418</v>
      </c>
      <c r="B991" s="10" t="str">
        <f t="shared" si="1"/>
        <v>fatty_acid</v>
      </c>
      <c r="C991" s="49" t="str">
        <f t="shared" si="2"/>
        <v>S16118FA1</v>
      </c>
      <c r="D991" s="6">
        <v>32.0</v>
      </c>
      <c r="E991" s="10" t="str">
        <f t="shared" si="3"/>
        <v>BFA32</v>
      </c>
      <c r="F991" s="13">
        <v>33.0</v>
      </c>
      <c r="G991" s="10" t="str">
        <f t="shared" si="4"/>
        <v>BFA32-33</v>
      </c>
      <c r="H991" s="16"/>
      <c r="I991" s="16" t="str">
        <f t="shared" si="5"/>
        <v>collected</v>
      </c>
      <c r="J991" s="16" t="str">
        <f t="shared" si="6"/>
        <v>N</v>
      </c>
      <c r="K991" s="16"/>
      <c r="L991" s="16"/>
    </row>
    <row r="992">
      <c r="A992" s="26" t="s">
        <v>1420</v>
      </c>
      <c r="B992" s="10" t="str">
        <f t="shared" si="1"/>
        <v>fatty_acid</v>
      </c>
      <c r="C992" s="49" t="str">
        <f t="shared" si="2"/>
        <v>S16112FA1</v>
      </c>
      <c r="D992" s="6">
        <v>32.0</v>
      </c>
      <c r="E992" s="10" t="str">
        <f t="shared" si="3"/>
        <v>BFA32</v>
      </c>
      <c r="F992" s="13">
        <v>34.0</v>
      </c>
      <c r="G992" s="10" t="str">
        <f t="shared" si="4"/>
        <v>BFA32-34</v>
      </c>
      <c r="H992" s="16"/>
      <c r="I992" s="16" t="str">
        <f t="shared" si="5"/>
        <v>collected</v>
      </c>
      <c r="J992" s="16" t="str">
        <f t="shared" si="6"/>
        <v>N</v>
      </c>
      <c r="K992" s="16"/>
      <c r="L992" s="16"/>
    </row>
    <row r="993">
      <c r="A993" s="40" t="s">
        <v>1421</v>
      </c>
      <c r="B993" s="10" t="str">
        <f t="shared" si="1"/>
        <v>fatty_acid</v>
      </c>
      <c r="C993" s="49" t="str">
        <f t="shared" si="2"/>
        <v>S16113FA1</v>
      </c>
      <c r="D993" s="6">
        <v>32.0</v>
      </c>
      <c r="E993" s="10" t="str">
        <f t="shared" si="3"/>
        <v>BFA32</v>
      </c>
      <c r="F993" s="13">
        <v>35.0</v>
      </c>
      <c r="G993" s="10" t="str">
        <f t="shared" si="4"/>
        <v>BFA32-35</v>
      </c>
      <c r="H993" s="16"/>
      <c r="I993" s="16" t="str">
        <f t="shared" si="5"/>
        <v>collected</v>
      </c>
      <c r="J993" s="16" t="str">
        <f t="shared" si="6"/>
        <v>N</v>
      </c>
      <c r="K993" s="16"/>
      <c r="L993" s="16"/>
    </row>
    <row r="994">
      <c r="A994" s="40" t="s">
        <v>1422</v>
      </c>
      <c r="B994" s="10" t="str">
        <f t="shared" si="1"/>
        <v>fatty_acid</v>
      </c>
      <c r="C994" s="49" t="str">
        <f t="shared" si="2"/>
        <v>S16111FA1</v>
      </c>
      <c r="D994" s="6">
        <v>32.0</v>
      </c>
      <c r="E994" s="10" t="str">
        <f t="shared" si="3"/>
        <v>BFA32</v>
      </c>
      <c r="F994" s="13">
        <v>36.0</v>
      </c>
      <c r="G994" s="10" t="str">
        <f t="shared" si="4"/>
        <v>BFA32-36</v>
      </c>
      <c r="H994" s="16"/>
      <c r="I994" s="16" t="str">
        <f t="shared" si="5"/>
        <v>collected</v>
      </c>
      <c r="J994" s="16" t="str">
        <f t="shared" si="6"/>
        <v>N</v>
      </c>
      <c r="K994" s="16"/>
      <c r="L994" s="16"/>
    </row>
    <row r="995">
      <c r="A995" s="40" t="s">
        <v>1423</v>
      </c>
      <c r="B995" s="10" t="str">
        <f t="shared" si="1"/>
        <v>fatty_acid</v>
      </c>
      <c r="C995" s="49" t="str">
        <f t="shared" si="2"/>
        <v>S16602FA1</v>
      </c>
      <c r="D995" s="6">
        <v>32.0</v>
      </c>
      <c r="E995" s="10" t="str">
        <f t="shared" si="3"/>
        <v>BFA32</v>
      </c>
      <c r="F995" s="13">
        <v>37.0</v>
      </c>
      <c r="G995" s="10" t="str">
        <f t="shared" si="4"/>
        <v>BFA32-37</v>
      </c>
      <c r="H995" s="16"/>
      <c r="I995" s="16" t="str">
        <f t="shared" si="5"/>
        <v>collected</v>
      </c>
      <c r="J995" s="16" t="str">
        <f t="shared" si="6"/>
        <v>N</v>
      </c>
      <c r="K995" s="16"/>
      <c r="L995" s="16"/>
    </row>
    <row r="996">
      <c r="A996" s="40" t="s">
        <v>1424</v>
      </c>
      <c r="B996" s="10" t="str">
        <f t="shared" si="1"/>
        <v>fatty_acid</v>
      </c>
      <c r="C996" s="49" t="str">
        <f t="shared" si="2"/>
        <v>S16610FA1</v>
      </c>
      <c r="D996" s="6">
        <v>32.0</v>
      </c>
      <c r="E996" s="10" t="str">
        <f t="shared" si="3"/>
        <v>BFA32</v>
      </c>
      <c r="F996" s="13">
        <v>38.0</v>
      </c>
      <c r="G996" s="10" t="str">
        <f t="shared" si="4"/>
        <v>BFA32-38</v>
      </c>
      <c r="H996" s="16"/>
      <c r="I996" s="16" t="str">
        <f t="shared" si="5"/>
        <v>collected</v>
      </c>
      <c r="J996" s="16" t="str">
        <f t="shared" si="6"/>
        <v>N</v>
      </c>
      <c r="K996" s="16"/>
      <c r="L996" s="16"/>
    </row>
    <row r="997">
      <c r="A997" s="40" t="s">
        <v>1425</v>
      </c>
      <c r="B997" s="10" t="str">
        <f t="shared" si="1"/>
        <v>fatty_acid</v>
      </c>
      <c r="C997" s="49" t="str">
        <f t="shared" si="2"/>
        <v>S16608FA1</v>
      </c>
      <c r="D997" s="6">
        <v>32.0</v>
      </c>
      <c r="E997" s="10" t="str">
        <f t="shared" si="3"/>
        <v>BFA32</v>
      </c>
      <c r="F997" s="13">
        <v>39.0</v>
      </c>
      <c r="G997" s="10" t="str">
        <f t="shared" si="4"/>
        <v>BFA32-39</v>
      </c>
      <c r="H997" s="16"/>
      <c r="I997" s="16" t="str">
        <f t="shared" si="5"/>
        <v>collected</v>
      </c>
      <c r="J997" s="16" t="str">
        <f t="shared" si="6"/>
        <v>N</v>
      </c>
      <c r="K997" s="16"/>
      <c r="L997" s="16"/>
    </row>
    <row r="998">
      <c r="A998" s="40" t="s">
        <v>1426</v>
      </c>
      <c r="B998" s="10" t="str">
        <f t="shared" si="1"/>
        <v>fatty_acid</v>
      </c>
      <c r="C998" s="49" t="str">
        <f t="shared" si="2"/>
        <v>S16601FA1</v>
      </c>
      <c r="D998" s="6">
        <v>32.0</v>
      </c>
      <c r="E998" s="10" t="str">
        <f t="shared" si="3"/>
        <v>BFA32</v>
      </c>
      <c r="F998" s="13">
        <v>40.0</v>
      </c>
      <c r="G998" s="10" t="str">
        <f t="shared" si="4"/>
        <v>BFA32-40</v>
      </c>
      <c r="H998" s="16"/>
      <c r="I998" s="16" t="str">
        <f t="shared" si="5"/>
        <v>collected</v>
      </c>
      <c r="J998" s="16" t="str">
        <f t="shared" si="6"/>
        <v>N</v>
      </c>
      <c r="K998" s="16"/>
      <c r="L998" s="16"/>
    </row>
    <row r="999">
      <c r="A999" s="40" t="s">
        <v>1429</v>
      </c>
      <c r="B999" s="10" t="str">
        <f t="shared" si="1"/>
        <v>fatty_acid</v>
      </c>
      <c r="C999" s="49" t="str">
        <f t="shared" si="2"/>
        <v>S16605FA1</v>
      </c>
      <c r="D999" s="6">
        <v>32.0</v>
      </c>
      <c r="E999" s="10" t="str">
        <f t="shared" si="3"/>
        <v>BFA32</v>
      </c>
      <c r="F999" s="13">
        <v>41.0</v>
      </c>
      <c r="G999" s="10" t="str">
        <f t="shared" si="4"/>
        <v>BFA32-41</v>
      </c>
      <c r="H999" s="16"/>
      <c r="I999" s="16" t="str">
        <f t="shared" si="5"/>
        <v>collected</v>
      </c>
      <c r="J999" s="16" t="str">
        <f t="shared" si="6"/>
        <v>N</v>
      </c>
      <c r="K999" s="16"/>
      <c r="L999" s="16"/>
    </row>
    <row r="1000">
      <c r="A1000" s="40" t="s">
        <v>1430</v>
      </c>
      <c r="B1000" s="10" t="str">
        <f t="shared" si="1"/>
        <v>fatty_acid</v>
      </c>
      <c r="C1000" s="49" t="str">
        <f t="shared" si="2"/>
        <v>S16604FA1</v>
      </c>
      <c r="D1000" s="6">
        <v>32.0</v>
      </c>
      <c r="E1000" s="10" t="str">
        <f t="shared" si="3"/>
        <v>BFA32</v>
      </c>
      <c r="F1000" s="13">
        <v>42.0</v>
      </c>
      <c r="G1000" s="10" t="str">
        <f t="shared" si="4"/>
        <v>BFA32-42</v>
      </c>
      <c r="H1000" s="16"/>
      <c r="I1000" s="16" t="str">
        <f t="shared" si="5"/>
        <v>collected</v>
      </c>
      <c r="J1000" s="16" t="str">
        <f t="shared" si="6"/>
        <v>N</v>
      </c>
      <c r="K1000" s="16"/>
      <c r="L1000" s="16"/>
    </row>
    <row r="1001">
      <c r="A1001" s="40" t="s">
        <v>1431</v>
      </c>
      <c r="B1001" s="10" t="str">
        <f t="shared" si="1"/>
        <v>fatty_acid</v>
      </c>
      <c r="C1001" s="49" t="str">
        <f t="shared" si="2"/>
        <v>S16606FA1</v>
      </c>
      <c r="D1001" s="6">
        <v>32.0</v>
      </c>
      <c r="E1001" s="10" t="str">
        <f t="shared" si="3"/>
        <v>BFA32</v>
      </c>
      <c r="F1001" s="13">
        <v>43.0</v>
      </c>
      <c r="G1001" s="10" t="str">
        <f t="shared" si="4"/>
        <v>BFA32-43</v>
      </c>
      <c r="H1001" s="16"/>
      <c r="I1001" s="16" t="str">
        <f t="shared" si="5"/>
        <v>collected</v>
      </c>
      <c r="J1001" s="16" t="str">
        <f t="shared" si="6"/>
        <v>N</v>
      </c>
      <c r="K1001" s="16"/>
      <c r="L1001" s="16"/>
    </row>
    <row r="1002">
      <c r="A1002" s="40" t="s">
        <v>1432</v>
      </c>
      <c r="B1002" s="10" t="str">
        <f t="shared" si="1"/>
        <v>fatty_acid</v>
      </c>
      <c r="C1002" s="49" t="str">
        <f t="shared" si="2"/>
        <v>S16603FA1</v>
      </c>
      <c r="D1002" s="6">
        <v>32.0</v>
      </c>
      <c r="E1002" s="10" t="str">
        <f t="shared" si="3"/>
        <v>BFA32</v>
      </c>
      <c r="F1002" s="13">
        <v>44.0</v>
      </c>
      <c r="G1002" s="10" t="str">
        <f t="shared" si="4"/>
        <v>BFA32-44</v>
      </c>
      <c r="H1002" s="16"/>
      <c r="I1002" s="16" t="str">
        <f t="shared" si="5"/>
        <v>collected</v>
      </c>
      <c r="J1002" s="16" t="str">
        <f t="shared" si="6"/>
        <v>N</v>
      </c>
      <c r="K1002" s="16"/>
      <c r="L1002" s="16"/>
    </row>
    <row r="1003">
      <c r="A1003" s="40" t="s">
        <v>1433</v>
      </c>
      <c r="B1003" s="10" t="str">
        <f t="shared" si="1"/>
        <v>fatty_acid</v>
      </c>
      <c r="C1003" s="49" t="str">
        <f t="shared" si="2"/>
        <v>S16609FA1</v>
      </c>
      <c r="D1003" s="6">
        <v>32.0</v>
      </c>
      <c r="E1003" s="10" t="str">
        <f t="shared" si="3"/>
        <v>BFA32</v>
      </c>
      <c r="F1003" s="13">
        <v>45.0</v>
      </c>
      <c r="G1003" s="10" t="str">
        <f t="shared" si="4"/>
        <v>BFA32-45</v>
      </c>
      <c r="H1003" s="16"/>
      <c r="I1003" s="16" t="str">
        <f t="shared" si="5"/>
        <v>collected</v>
      </c>
      <c r="J1003" s="16" t="str">
        <f t="shared" si="6"/>
        <v>N</v>
      </c>
      <c r="K1003" s="16"/>
      <c r="L1003" s="16"/>
    </row>
    <row r="1004">
      <c r="A1004" s="40" t="s">
        <v>1435</v>
      </c>
      <c r="B1004" s="10" t="str">
        <f t="shared" si="1"/>
        <v>fatty_acid</v>
      </c>
      <c r="C1004" s="49" t="str">
        <f t="shared" si="2"/>
        <v>S16607FA1</v>
      </c>
      <c r="D1004" s="6">
        <v>32.0</v>
      </c>
      <c r="E1004" s="10" t="str">
        <f t="shared" si="3"/>
        <v>BFA32</v>
      </c>
      <c r="F1004" s="13">
        <v>46.0</v>
      </c>
      <c r="G1004" s="10" t="str">
        <f t="shared" si="4"/>
        <v>BFA32-46</v>
      </c>
      <c r="H1004" s="16"/>
      <c r="I1004" s="16" t="str">
        <f t="shared" si="5"/>
        <v>collected</v>
      </c>
      <c r="J1004" s="16" t="str">
        <f t="shared" si="6"/>
        <v>N</v>
      </c>
      <c r="K1004" s="16"/>
      <c r="L1004" s="16"/>
    </row>
    <row r="1005">
      <c r="A1005" s="40" t="s">
        <v>1436</v>
      </c>
      <c r="B1005" s="10" t="str">
        <f t="shared" si="1"/>
        <v>fatty_acid</v>
      </c>
      <c r="C1005" s="49" t="str">
        <f t="shared" si="2"/>
        <v>S16981FA1</v>
      </c>
      <c r="D1005" s="6">
        <v>32.0</v>
      </c>
      <c r="E1005" s="10" t="str">
        <f t="shared" si="3"/>
        <v>BFA32</v>
      </c>
      <c r="F1005" s="13">
        <v>47.0</v>
      </c>
      <c r="G1005" s="10" t="str">
        <f t="shared" si="4"/>
        <v>BFA32-47</v>
      </c>
      <c r="H1005" s="16"/>
      <c r="I1005" s="16" t="str">
        <f t="shared" si="5"/>
        <v>collected</v>
      </c>
      <c r="J1005" s="16" t="str">
        <f t="shared" si="6"/>
        <v>N</v>
      </c>
      <c r="K1005" s="16"/>
      <c r="L1005" s="16"/>
    </row>
    <row r="1006">
      <c r="A1006" s="40" t="s">
        <v>1438</v>
      </c>
      <c r="B1006" s="10" t="str">
        <f t="shared" si="1"/>
        <v>fatty_acid</v>
      </c>
      <c r="C1006" s="49" t="str">
        <f t="shared" si="2"/>
        <v>S16982FA1</v>
      </c>
      <c r="D1006" s="6">
        <v>32.0</v>
      </c>
      <c r="E1006" s="10" t="str">
        <f t="shared" si="3"/>
        <v>BFA32</v>
      </c>
      <c r="F1006" s="13">
        <v>48.0</v>
      </c>
      <c r="G1006" s="10" t="str">
        <f t="shared" si="4"/>
        <v>BFA32-48</v>
      </c>
      <c r="H1006" s="16"/>
      <c r="I1006" s="16" t="str">
        <f t="shared" si="5"/>
        <v>collected</v>
      </c>
      <c r="J1006" s="16" t="str">
        <f t="shared" si="6"/>
        <v>N</v>
      </c>
      <c r="K1006" s="16"/>
      <c r="L1006" s="16"/>
    </row>
    <row r="1007">
      <c r="A1007" s="40" t="s">
        <v>1439</v>
      </c>
      <c r="B1007" s="10" t="str">
        <f t="shared" si="1"/>
        <v>fatty_acid</v>
      </c>
      <c r="C1007" s="49" t="str">
        <f t="shared" si="2"/>
        <v>S16983FA1</v>
      </c>
      <c r="D1007" s="6">
        <v>32.0</v>
      </c>
      <c r="E1007" s="10" t="str">
        <f t="shared" si="3"/>
        <v>BFA32</v>
      </c>
      <c r="F1007" s="13">
        <v>49.0</v>
      </c>
      <c r="G1007" s="10" t="str">
        <f t="shared" si="4"/>
        <v>BFA32-49</v>
      </c>
      <c r="H1007" s="16"/>
      <c r="I1007" s="16" t="str">
        <f t="shared" si="5"/>
        <v>collected</v>
      </c>
      <c r="J1007" s="16" t="str">
        <f t="shared" si="6"/>
        <v>N</v>
      </c>
      <c r="K1007" s="16"/>
      <c r="L1007" s="16"/>
    </row>
    <row r="1008">
      <c r="A1008" s="40" t="s">
        <v>1440</v>
      </c>
      <c r="B1008" s="10" t="str">
        <f t="shared" si="1"/>
        <v>fatty_acid</v>
      </c>
      <c r="C1008" s="49" t="str">
        <f t="shared" si="2"/>
        <v>S16984FA1</v>
      </c>
      <c r="D1008" s="6">
        <v>32.0</v>
      </c>
      <c r="E1008" s="10" t="str">
        <f t="shared" si="3"/>
        <v>BFA32</v>
      </c>
      <c r="F1008" s="13">
        <v>50.0</v>
      </c>
      <c r="G1008" s="10" t="str">
        <f t="shared" si="4"/>
        <v>BFA32-50</v>
      </c>
      <c r="H1008" s="16"/>
      <c r="I1008" s="16" t="str">
        <f t="shared" si="5"/>
        <v>collected</v>
      </c>
      <c r="J1008" s="16" t="str">
        <f t="shared" si="6"/>
        <v>N</v>
      </c>
      <c r="K1008" s="16"/>
      <c r="L1008" s="16"/>
    </row>
    <row r="1009">
      <c r="A1009" s="40" t="s">
        <v>1441</v>
      </c>
      <c r="B1009" s="10" t="str">
        <f t="shared" si="1"/>
        <v>fatty_acid</v>
      </c>
      <c r="C1009" s="49" t="str">
        <f t="shared" si="2"/>
        <v>S16989FA1</v>
      </c>
      <c r="D1009" s="6">
        <v>32.0</v>
      </c>
      <c r="E1009" s="10" t="str">
        <f t="shared" si="3"/>
        <v>BFA32</v>
      </c>
      <c r="F1009" s="13">
        <v>51.0</v>
      </c>
      <c r="G1009" s="10" t="str">
        <f t="shared" si="4"/>
        <v>BFA32-51</v>
      </c>
      <c r="H1009" s="16"/>
      <c r="I1009" s="16" t="str">
        <f t="shared" si="5"/>
        <v>collected</v>
      </c>
      <c r="J1009" s="16" t="str">
        <f t="shared" si="6"/>
        <v>N</v>
      </c>
      <c r="K1009" s="16"/>
      <c r="L1009" s="16"/>
    </row>
    <row r="1010">
      <c r="A1010" s="40" t="s">
        <v>1443</v>
      </c>
      <c r="B1010" s="10" t="str">
        <f t="shared" si="1"/>
        <v>fatty_acid</v>
      </c>
      <c r="C1010" s="49" t="str">
        <f t="shared" si="2"/>
        <v>S16987FA1</v>
      </c>
      <c r="D1010" s="6">
        <v>32.0</v>
      </c>
      <c r="E1010" s="10" t="str">
        <f t="shared" si="3"/>
        <v>BFA32</v>
      </c>
      <c r="F1010" s="13">
        <v>52.0</v>
      </c>
      <c r="G1010" s="10" t="str">
        <f t="shared" si="4"/>
        <v>BFA32-52</v>
      </c>
      <c r="H1010" s="16"/>
      <c r="I1010" s="16" t="str">
        <f t="shared" si="5"/>
        <v>collected</v>
      </c>
      <c r="J1010" s="16" t="str">
        <f t="shared" si="6"/>
        <v>N</v>
      </c>
      <c r="K1010" s="16"/>
      <c r="L1010" s="16"/>
    </row>
    <row r="1011">
      <c r="A1011" s="40" t="s">
        <v>1444</v>
      </c>
      <c r="B1011" s="10" t="str">
        <f t="shared" si="1"/>
        <v>fatty_acid</v>
      </c>
      <c r="C1011" s="49" t="str">
        <f t="shared" si="2"/>
        <v>S16986FA1</v>
      </c>
      <c r="D1011" s="6">
        <v>32.0</v>
      </c>
      <c r="E1011" s="10" t="str">
        <f t="shared" si="3"/>
        <v>BFA32</v>
      </c>
      <c r="F1011" s="13">
        <v>53.0</v>
      </c>
      <c r="G1011" s="10" t="str">
        <f t="shared" si="4"/>
        <v>BFA32-53</v>
      </c>
      <c r="H1011" s="16"/>
      <c r="I1011" s="16" t="str">
        <f t="shared" si="5"/>
        <v>collected</v>
      </c>
      <c r="J1011" s="16" t="str">
        <f t="shared" si="6"/>
        <v>N</v>
      </c>
      <c r="K1011" s="16"/>
      <c r="L1011" s="16"/>
    </row>
    <row r="1012">
      <c r="A1012" s="40" t="s">
        <v>1446</v>
      </c>
      <c r="B1012" s="10" t="str">
        <f t="shared" si="1"/>
        <v>fatty_acid</v>
      </c>
      <c r="C1012" s="49" t="str">
        <f t="shared" si="2"/>
        <v>S16990FA1</v>
      </c>
      <c r="D1012" s="6">
        <v>32.0</v>
      </c>
      <c r="E1012" s="10" t="str">
        <f t="shared" si="3"/>
        <v>BFA32</v>
      </c>
      <c r="F1012" s="13">
        <v>54.0</v>
      </c>
      <c r="G1012" s="10" t="str">
        <f t="shared" si="4"/>
        <v>BFA32-54</v>
      </c>
      <c r="H1012" s="16"/>
      <c r="I1012" s="16" t="str">
        <f t="shared" si="5"/>
        <v>collected</v>
      </c>
      <c r="J1012" s="16" t="str">
        <f t="shared" si="6"/>
        <v>N</v>
      </c>
      <c r="K1012" s="16"/>
      <c r="L1012" s="16"/>
    </row>
    <row r="1013">
      <c r="A1013" s="40" t="s">
        <v>1447</v>
      </c>
      <c r="B1013" s="10" t="str">
        <f t="shared" si="1"/>
        <v>fatty_acid</v>
      </c>
      <c r="C1013" s="49" t="str">
        <f t="shared" si="2"/>
        <v>S16988FA1</v>
      </c>
      <c r="D1013" s="6">
        <v>32.0</v>
      </c>
      <c r="E1013" s="10" t="str">
        <f t="shared" si="3"/>
        <v>BFA32</v>
      </c>
      <c r="F1013" s="13">
        <v>55.0</v>
      </c>
      <c r="G1013" s="10" t="str">
        <f t="shared" si="4"/>
        <v>BFA32-55</v>
      </c>
      <c r="H1013" s="16"/>
      <c r="I1013" s="16" t="str">
        <f t="shared" si="5"/>
        <v>collected</v>
      </c>
      <c r="J1013" s="16" t="str">
        <f t="shared" si="6"/>
        <v>N</v>
      </c>
      <c r="K1013" s="16"/>
      <c r="L1013" s="16"/>
    </row>
    <row r="1014">
      <c r="A1014" s="40" t="s">
        <v>1448</v>
      </c>
      <c r="B1014" s="10" t="str">
        <f t="shared" si="1"/>
        <v>fatty_acid</v>
      </c>
      <c r="C1014" s="49" t="str">
        <f t="shared" si="2"/>
        <v>S16985FA1</v>
      </c>
      <c r="D1014" s="6">
        <v>32.0</v>
      </c>
      <c r="E1014" s="10" t="str">
        <f t="shared" si="3"/>
        <v>BFA32</v>
      </c>
      <c r="F1014" s="13">
        <v>56.0</v>
      </c>
      <c r="G1014" s="10" t="str">
        <f t="shared" si="4"/>
        <v>BFA32-56</v>
      </c>
      <c r="H1014" s="16"/>
      <c r="I1014" s="16" t="str">
        <f t="shared" si="5"/>
        <v>collected</v>
      </c>
      <c r="J1014" s="16" t="str">
        <f t="shared" si="6"/>
        <v>N</v>
      </c>
      <c r="K1014" s="16"/>
      <c r="L1014" s="16"/>
    </row>
    <row r="1015">
      <c r="A1015" s="40" t="s">
        <v>1449</v>
      </c>
      <c r="B1015" s="10" t="str">
        <f t="shared" si="1"/>
        <v>fatty_acid</v>
      </c>
      <c r="C1015" s="49" t="str">
        <f t="shared" si="2"/>
        <v>S16231FA1</v>
      </c>
      <c r="D1015" s="6">
        <v>32.0</v>
      </c>
      <c r="E1015" s="10" t="str">
        <f t="shared" si="3"/>
        <v>BFA32</v>
      </c>
      <c r="F1015" s="13">
        <v>57.0</v>
      </c>
      <c r="G1015" s="10" t="str">
        <f t="shared" si="4"/>
        <v>BFA32-57</v>
      </c>
      <c r="H1015" s="16"/>
      <c r="I1015" s="16" t="str">
        <f t="shared" si="5"/>
        <v>collected</v>
      </c>
      <c r="J1015" s="16" t="str">
        <f t="shared" si="6"/>
        <v>N</v>
      </c>
      <c r="K1015" s="16"/>
      <c r="L1015" s="16"/>
    </row>
    <row r="1016">
      <c r="A1016" s="40" t="s">
        <v>1451</v>
      </c>
      <c r="B1016" s="10" t="str">
        <f t="shared" si="1"/>
        <v>fatty_acid</v>
      </c>
      <c r="C1016" s="49" t="str">
        <f t="shared" si="2"/>
        <v>S16232FA1</v>
      </c>
      <c r="D1016" s="6">
        <v>32.0</v>
      </c>
      <c r="E1016" s="10" t="str">
        <f t="shared" si="3"/>
        <v>BFA32</v>
      </c>
      <c r="F1016" s="13">
        <v>58.0</v>
      </c>
      <c r="G1016" s="10" t="str">
        <f t="shared" si="4"/>
        <v>BFA32-58</v>
      </c>
      <c r="H1016" s="16"/>
      <c r="I1016" s="16" t="str">
        <f t="shared" si="5"/>
        <v>collected</v>
      </c>
      <c r="J1016" s="16" t="str">
        <f t="shared" si="6"/>
        <v>N</v>
      </c>
      <c r="K1016" s="16"/>
      <c r="L1016" s="16"/>
    </row>
    <row r="1017">
      <c r="A1017" s="40" t="s">
        <v>1452</v>
      </c>
      <c r="B1017" s="10" t="str">
        <f t="shared" si="1"/>
        <v>fatty_acid</v>
      </c>
      <c r="C1017" s="49" t="str">
        <f t="shared" si="2"/>
        <v>S16234FA1</v>
      </c>
      <c r="D1017" s="6">
        <v>32.0</v>
      </c>
      <c r="E1017" s="10" t="str">
        <f t="shared" si="3"/>
        <v>BFA32</v>
      </c>
      <c r="F1017" s="13">
        <v>59.0</v>
      </c>
      <c r="G1017" s="10" t="str">
        <f t="shared" si="4"/>
        <v>BFA32-59</v>
      </c>
      <c r="H1017" s="16"/>
      <c r="I1017" s="16" t="str">
        <f t="shared" si="5"/>
        <v>collected</v>
      </c>
      <c r="J1017" s="16" t="str">
        <f t="shared" si="6"/>
        <v>N</v>
      </c>
      <c r="K1017" s="16"/>
      <c r="L1017" s="16"/>
    </row>
    <row r="1018">
      <c r="A1018" s="40" t="s">
        <v>1453</v>
      </c>
      <c r="B1018" s="10" t="str">
        <f t="shared" si="1"/>
        <v>fatty_acid</v>
      </c>
      <c r="C1018" s="49" t="str">
        <f t="shared" si="2"/>
        <v>S16233FA1</v>
      </c>
      <c r="D1018" s="6">
        <v>32.0</v>
      </c>
      <c r="E1018" s="10" t="str">
        <f t="shared" si="3"/>
        <v>BFA32</v>
      </c>
      <c r="F1018" s="13">
        <v>60.0</v>
      </c>
      <c r="G1018" s="10" t="str">
        <f t="shared" si="4"/>
        <v>BFA32-60</v>
      </c>
      <c r="H1018" s="16"/>
      <c r="I1018" s="16" t="str">
        <f t="shared" si="5"/>
        <v>collected</v>
      </c>
      <c r="J1018" s="16" t="str">
        <f t="shared" si="6"/>
        <v>N</v>
      </c>
      <c r="K1018" s="16"/>
      <c r="L1018" s="16"/>
    </row>
    <row r="1019">
      <c r="A1019" s="40" t="s">
        <v>1455</v>
      </c>
      <c r="B1019" s="10" t="str">
        <f t="shared" si="1"/>
        <v>fatty_acid</v>
      </c>
      <c r="C1019" s="49" t="str">
        <f t="shared" si="2"/>
        <v>S16235FA1</v>
      </c>
      <c r="D1019" s="6">
        <v>32.0</v>
      </c>
      <c r="E1019" s="10" t="str">
        <f t="shared" si="3"/>
        <v>BFA32</v>
      </c>
      <c r="F1019" s="13">
        <v>61.0</v>
      </c>
      <c r="G1019" s="10" t="str">
        <f t="shared" si="4"/>
        <v>BFA32-61</v>
      </c>
      <c r="H1019" s="16"/>
      <c r="I1019" s="16" t="str">
        <f t="shared" si="5"/>
        <v>collected</v>
      </c>
      <c r="J1019" s="16" t="str">
        <f t="shared" si="6"/>
        <v>N</v>
      </c>
      <c r="K1019" s="16"/>
      <c r="L1019" s="16"/>
    </row>
    <row r="1020">
      <c r="A1020" s="40" t="s">
        <v>1458</v>
      </c>
      <c r="B1020" s="10" t="str">
        <f t="shared" si="1"/>
        <v>fatty_acid</v>
      </c>
      <c r="C1020" s="49" t="str">
        <f t="shared" si="2"/>
        <v>S16236FA1</v>
      </c>
      <c r="D1020" s="6">
        <v>32.0</v>
      </c>
      <c r="E1020" s="10" t="str">
        <f t="shared" si="3"/>
        <v>BFA32</v>
      </c>
      <c r="F1020" s="13">
        <v>62.0</v>
      </c>
      <c r="G1020" s="10" t="str">
        <f t="shared" si="4"/>
        <v>BFA32-62</v>
      </c>
      <c r="H1020" s="16"/>
      <c r="I1020" s="16" t="str">
        <f t="shared" si="5"/>
        <v>collected</v>
      </c>
      <c r="J1020" s="16" t="str">
        <f t="shared" si="6"/>
        <v>N</v>
      </c>
      <c r="K1020" s="16"/>
      <c r="L1020" s="16"/>
    </row>
    <row r="1021">
      <c r="A1021" s="40" t="s">
        <v>1459</v>
      </c>
      <c r="B1021" s="10" t="str">
        <f t="shared" si="1"/>
        <v>fatty_acid</v>
      </c>
      <c r="C1021" s="49" t="str">
        <f t="shared" si="2"/>
        <v>S16240FA1</v>
      </c>
      <c r="D1021" s="6">
        <v>32.0</v>
      </c>
      <c r="E1021" s="10" t="str">
        <f t="shared" si="3"/>
        <v>BFA32</v>
      </c>
      <c r="F1021" s="13">
        <v>63.0</v>
      </c>
      <c r="G1021" s="10" t="str">
        <f t="shared" si="4"/>
        <v>BFA32-63</v>
      </c>
      <c r="H1021" s="16"/>
      <c r="I1021" s="16" t="str">
        <f t="shared" si="5"/>
        <v>collected</v>
      </c>
      <c r="J1021" s="16" t="str">
        <f t="shared" si="6"/>
        <v>N</v>
      </c>
      <c r="K1021" s="16"/>
      <c r="L1021" s="16"/>
    </row>
    <row r="1022">
      <c r="A1022" s="40" t="s">
        <v>1461</v>
      </c>
      <c r="B1022" s="10" t="str">
        <f t="shared" si="1"/>
        <v>fatty_acid</v>
      </c>
      <c r="C1022" s="49" t="str">
        <f t="shared" si="2"/>
        <v>S16238FA1</v>
      </c>
      <c r="D1022" s="6">
        <v>32.0</v>
      </c>
      <c r="E1022" s="10" t="str">
        <f t="shared" si="3"/>
        <v>BFA32</v>
      </c>
      <c r="F1022" s="13">
        <v>64.0</v>
      </c>
      <c r="G1022" s="10" t="str">
        <f t="shared" si="4"/>
        <v>BFA32-64</v>
      </c>
      <c r="H1022" s="16"/>
      <c r="I1022" s="16" t="str">
        <f t="shared" si="5"/>
        <v>collected</v>
      </c>
      <c r="J1022" s="16" t="str">
        <f t="shared" si="6"/>
        <v>N</v>
      </c>
      <c r="K1022" s="16"/>
      <c r="L1022" s="16"/>
    </row>
    <row r="1023">
      <c r="A1023" s="40" t="s">
        <v>1462</v>
      </c>
      <c r="B1023" s="10" t="str">
        <f t="shared" si="1"/>
        <v>fatty_acid</v>
      </c>
      <c r="C1023" s="49" t="str">
        <f t="shared" si="2"/>
        <v>S16239FA1</v>
      </c>
      <c r="D1023" s="6">
        <v>32.0</v>
      </c>
      <c r="E1023" s="10" t="str">
        <f t="shared" si="3"/>
        <v>BFA32</v>
      </c>
      <c r="F1023" s="13">
        <v>65.0</v>
      </c>
      <c r="G1023" s="10" t="str">
        <f t="shared" si="4"/>
        <v>BFA32-65</v>
      </c>
      <c r="H1023" s="16"/>
      <c r="I1023" s="16" t="str">
        <f t="shared" si="5"/>
        <v>collected</v>
      </c>
      <c r="J1023" s="16" t="str">
        <f t="shared" si="6"/>
        <v>N</v>
      </c>
      <c r="K1023" s="16"/>
      <c r="L1023" s="16"/>
    </row>
    <row r="1024">
      <c r="A1024" s="40" t="s">
        <v>1464</v>
      </c>
      <c r="B1024" s="10" t="str">
        <f t="shared" si="1"/>
        <v>fatty_acid</v>
      </c>
      <c r="C1024" s="49" t="str">
        <f t="shared" si="2"/>
        <v>S16237FA1</v>
      </c>
      <c r="D1024" s="6">
        <v>32.0</v>
      </c>
      <c r="E1024" s="10" t="str">
        <f t="shared" si="3"/>
        <v>BFA32</v>
      </c>
      <c r="F1024" s="13">
        <v>66.0</v>
      </c>
      <c r="G1024" s="10" t="str">
        <f t="shared" si="4"/>
        <v>BFA32-66</v>
      </c>
      <c r="H1024" s="16"/>
      <c r="I1024" s="16" t="str">
        <f t="shared" si="5"/>
        <v>collected</v>
      </c>
      <c r="J1024" s="16" t="str">
        <f t="shared" si="6"/>
        <v>N</v>
      </c>
      <c r="K1024" s="16"/>
      <c r="L1024" s="16"/>
    </row>
    <row r="1025">
      <c r="A1025" s="40" t="s">
        <v>1465</v>
      </c>
      <c r="B1025" s="10" t="str">
        <f t="shared" si="1"/>
        <v>fatty_acid</v>
      </c>
      <c r="C1025" s="49" t="str">
        <f t="shared" si="2"/>
        <v>S16529FA1</v>
      </c>
      <c r="D1025" s="6">
        <v>32.0</v>
      </c>
      <c r="E1025" s="10" t="str">
        <f t="shared" si="3"/>
        <v>BFA32</v>
      </c>
      <c r="F1025" s="13">
        <v>67.0</v>
      </c>
      <c r="G1025" s="10" t="str">
        <f t="shared" si="4"/>
        <v>BFA32-67</v>
      </c>
      <c r="H1025" s="16"/>
      <c r="I1025" s="16" t="str">
        <f t="shared" si="5"/>
        <v>collected</v>
      </c>
      <c r="J1025" s="16" t="str">
        <f t="shared" si="6"/>
        <v>N</v>
      </c>
      <c r="K1025" s="16"/>
      <c r="L1025" s="16"/>
    </row>
    <row r="1026">
      <c r="A1026" s="40" t="s">
        <v>1468</v>
      </c>
      <c r="B1026" s="10" t="str">
        <f t="shared" si="1"/>
        <v>fatty_acid</v>
      </c>
      <c r="C1026" s="49" t="str">
        <f t="shared" si="2"/>
        <v>S16525FA1</v>
      </c>
      <c r="D1026" s="6">
        <v>32.0</v>
      </c>
      <c r="E1026" s="10" t="str">
        <f t="shared" si="3"/>
        <v>BFA32</v>
      </c>
      <c r="F1026" s="13">
        <v>68.0</v>
      </c>
      <c r="G1026" s="10" t="str">
        <f t="shared" si="4"/>
        <v>BFA32-68</v>
      </c>
      <c r="H1026" s="16"/>
      <c r="I1026" s="16" t="str">
        <f t="shared" si="5"/>
        <v>collected</v>
      </c>
      <c r="J1026" s="16" t="str">
        <f t="shared" si="6"/>
        <v>N</v>
      </c>
      <c r="K1026" s="16"/>
      <c r="L1026" s="16"/>
    </row>
    <row r="1027">
      <c r="A1027" s="40" t="s">
        <v>1469</v>
      </c>
      <c r="B1027" s="10" t="str">
        <f t="shared" si="1"/>
        <v>fatty_acid</v>
      </c>
      <c r="C1027" s="49" t="str">
        <f t="shared" si="2"/>
        <v>S16528FA1</v>
      </c>
      <c r="D1027" s="6">
        <v>32.0</v>
      </c>
      <c r="E1027" s="10" t="str">
        <f t="shared" si="3"/>
        <v>BFA32</v>
      </c>
      <c r="F1027" s="13">
        <v>69.0</v>
      </c>
      <c r="G1027" s="10" t="str">
        <f t="shared" si="4"/>
        <v>BFA32-69</v>
      </c>
      <c r="H1027" s="16"/>
      <c r="I1027" s="16" t="str">
        <f t="shared" si="5"/>
        <v>collected</v>
      </c>
      <c r="J1027" s="16" t="str">
        <f t="shared" si="6"/>
        <v>N</v>
      </c>
      <c r="K1027" s="16"/>
      <c r="L1027" s="16"/>
    </row>
    <row r="1028">
      <c r="A1028" s="40" t="s">
        <v>1471</v>
      </c>
      <c r="B1028" s="10" t="str">
        <f t="shared" si="1"/>
        <v>fatty_acid</v>
      </c>
      <c r="C1028" s="49" t="str">
        <f t="shared" si="2"/>
        <v>S16527FA1</v>
      </c>
      <c r="D1028" s="6">
        <v>32.0</v>
      </c>
      <c r="E1028" s="10" t="str">
        <f t="shared" si="3"/>
        <v>BFA32</v>
      </c>
      <c r="F1028" s="13">
        <v>70.0</v>
      </c>
      <c r="G1028" s="10" t="str">
        <f t="shared" si="4"/>
        <v>BFA32-70</v>
      </c>
      <c r="H1028" s="16"/>
      <c r="I1028" s="16" t="str">
        <f t="shared" si="5"/>
        <v>collected</v>
      </c>
      <c r="J1028" s="16" t="str">
        <f t="shared" si="6"/>
        <v>N</v>
      </c>
      <c r="K1028" s="16"/>
      <c r="L1028" s="16"/>
    </row>
    <row r="1029">
      <c r="A1029" s="40" t="s">
        <v>1472</v>
      </c>
      <c r="B1029" s="10" t="str">
        <f t="shared" si="1"/>
        <v>fatty_acid</v>
      </c>
      <c r="C1029" s="49" t="str">
        <f t="shared" si="2"/>
        <v>S16526FA1</v>
      </c>
      <c r="D1029" s="6">
        <v>32.0</v>
      </c>
      <c r="E1029" s="10" t="str">
        <f t="shared" si="3"/>
        <v>BFA32</v>
      </c>
      <c r="F1029" s="13">
        <v>71.0</v>
      </c>
      <c r="G1029" s="10" t="str">
        <f t="shared" si="4"/>
        <v>BFA32-71</v>
      </c>
      <c r="H1029" s="16"/>
      <c r="I1029" s="16" t="str">
        <f t="shared" si="5"/>
        <v>collected</v>
      </c>
      <c r="J1029" s="16" t="str">
        <f t="shared" si="6"/>
        <v>N</v>
      </c>
      <c r="K1029" s="16"/>
      <c r="L1029" s="16"/>
    </row>
    <row r="1030">
      <c r="A1030" s="40" t="s">
        <v>1473</v>
      </c>
      <c r="B1030" s="10" t="str">
        <f t="shared" si="1"/>
        <v>fatty_acid</v>
      </c>
      <c r="C1030" s="49" t="str">
        <f t="shared" si="2"/>
        <v>S16523FA1</v>
      </c>
      <c r="D1030" s="6">
        <v>32.0</v>
      </c>
      <c r="E1030" s="10" t="str">
        <f t="shared" si="3"/>
        <v>BFA32</v>
      </c>
      <c r="F1030" s="13">
        <v>72.0</v>
      </c>
      <c r="G1030" s="10" t="str">
        <f t="shared" si="4"/>
        <v>BFA32-72</v>
      </c>
      <c r="H1030" s="16"/>
      <c r="I1030" s="16" t="str">
        <f t="shared" si="5"/>
        <v>collected</v>
      </c>
      <c r="J1030" s="16" t="str">
        <f t="shared" si="6"/>
        <v>N</v>
      </c>
      <c r="K1030" s="16"/>
      <c r="L1030" s="16"/>
    </row>
    <row r="1031">
      <c r="A1031" s="40" t="s">
        <v>1475</v>
      </c>
      <c r="B1031" s="10" t="str">
        <f t="shared" si="1"/>
        <v>fatty_acid</v>
      </c>
      <c r="C1031" s="49" t="str">
        <f t="shared" si="2"/>
        <v>S16522FA1</v>
      </c>
      <c r="D1031" s="6">
        <v>32.0</v>
      </c>
      <c r="E1031" s="10" t="str">
        <f t="shared" si="3"/>
        <v>BFA32</v>
      </c>
      <c r="F1031" s="13">
        <v>73.0</v>
      </c>
      <c r="G1031" s="10" t="str">
        <f t="shared" si="4"/>
        <v>BFA32-73</v>
      </c>
      <c r="H1031" s="16"/>
      <c r="I1031" s="16" t="str">
        <f t="shared" si="5"/>
        <v>collected</v>
      </c>
      <c r="J1031" s="16" t="str">
        <f t="shared" si="6"/>
        <v>N</v>
      </c>
      <c r="K1031" s="16"/>
      <c r="L1031" s="16"/>
    </row>
    <row r="1032">
      <c r="A1032" s="40" t="s">
        <v>1476</v>
      </c>
      <c r="B1032" s="10" t="str">
        <f t="shared" si="1"/>
        <v>fatty_acid</v>
      </c>
      <c r="C1032" s="49" t="str">
        <f t="shared" si="2"/>
        <v>S16524FA1</v>
      </c>
      <c r="D1032" s="6">
        <v>32.0</v>
      </c>
      <c r="E1032" s="10" t="str">
        <f t="shared" si="3"/>
        <v>BFA32</v>
      </c>
      <c r="F1032" s="13">
        <v>74.0</v>
      </c>
      <c r="G1032" s="10" t="str">
        <f t="shared" si="4"/>
        <v>BFA32-74</v>
      </c>
      <c r="H1032" s="16"/>
      <c r="I1032" s="16" t="str">
        <f t="shared" si="5"/>
        <v>collected</v>
      </c>
      <c r="J1032" s="16" t="str">
        <f t="shared" si="6"/>
        <v>N</v>
      </c>
      <c r="K1032" s="16"/>
      <c r="L1032" s="16"/>
    </row>
    <row r="1033">
      <c r="A1033" s="40" t="s">
        <v>1477</v>
      </c>
      <c r="B1033" s="10" t="str">
        <f t="shared" si="1"/>
        <v>fatty_acid</v>
      </c>
      <c r="C1033" s="49" t="str">
        <f t="shared" si="2"/>
        <v>S16530FA1</v>
      </c>
      <c r="D1033" s="6">
        <v>32.0</v>
      </c>
      <c r="E1033" s="10" t="str">
        <f t="shared" si="3"/>
        <v>BFA32</v>
      </c>
      <c r="F1033" s="13">
        <v>75.0</v>
      </c>
      <c r="G1033" s="10" t="str">
        <f t="shared" si="4"/>
        <v>BFA32-75</v>
      </c>
      <c r="H1033" s="16"/>
      <c r="I1033" s="16" t="str">
        <f t="shared" si="5"/>
        <v>collected</v>
      </c>
      <c r="J1033" s="16" t="str">
        <f t="shared" si="6"/>
        <v>N</v>
      </c>
      <c r="K1033" s="16"/>
      <c r="L1033" s="16"/>
    </row>
    <row r="1034">
      <c r="A1034" s="40" t="s">
        <v>1478</v>
      </c>
      <c r="B1034" s="10" t="str">
        <f t="shared" si="1"/>
        <v>fatty_acid</v>
      </c>
      <c r="C1034" s="49" t="str">
        <f t="shared" si="2"/>
        <v>S16521FA1</v>
      </c>
      <c r="D1034" s="6">
        <v>32.0</v>
      </c>
      <c r="E1034" s="10" t="str">
        <f t="shared" si="3"/>
        <v>BFA32</v>
      </c>
      <c r="F1034" s="13">
        <v>76.0</v>
      </c>
      <c r="G1034" s="10" t="str">
        <f t="shared" si="4"/>
        <v>BFA32-76</v>
      </c>
      <c r="H1034" s="16"/>
      <c r="I1034" s="16" t="str">
        <f t="shared" si="5"/>
        <v>collected</v>
      </c>
      <c r="J1034" s="16" t="str">
        <f t="shared" si="6"/>
        <v>N</v>
      </c>
      <c r="K1034" s="16"/>
      <c r="L1034" s="16"/>
    </row>
    <row r="1035">
      <c r="A1035" s="40" t="s">
        <v>1479</v>
      </c>
      <c r="B1035" s="10" t="str">
        <f t="shared" si="1"/>
        <v>fatty_acid</v>
      </c>
      <c r="C1035" s="49" t="str">
        <f t="shared" si="2"/>
        <v>S16491FA1</v>
      </c>
      <c r="D1035" s="6">
        <v>32.0</v>
      </c>
      <c r="E1035" s="10" t="str">
        <f t="shared" si="3"/>
        <v>BFA32</v>
      </c>
      <c r="F1035" s="13">
        <v>77.0</v>
      </c>
      <c r="G1035" s="10" t="str">
        <f t="shared" si="4"/>
        <v>BFA32-77</v>
      </c>
      <c r="H1035" s="16"/>
      <c r="I1035" s="16" t="str">
        <f t="shared" si="5"/>
        <v>collected</v>
      </c>
      <c r="J1035" s="16" t="str">
        <f t="shared" si="6"/>
        <v>N</v>
      </c>
      <c r="K1035" s="16"/>
      <c r="L1035" s="16"/>
    </row>
    <row r="1036">
      <c r="A1036" s="40" t="s">
        <v>1481</v>
      </c>
      <c r="B1036" s="10" t="str">
        <f t="shared" si="1"/>
        <v>fatty_acid</v>
      </c>
      <c r="C1036" s="49" t="str">
        <f t="shared" si="2"/>
        <v>S16500FA1</v>
      </c>
      <c r="D1036" s="6">
        <v>32.0</v>
      </c>
      <c r="E1036" s="10" t="str">
        <f t="shared" si="3"/>
        <v>BFA32</v>
      </c>
      <c r="F1036" s="13">
        <v>78.0</v>
      </c>
      <c r="G1036" s="10" t="str">
        <f t="shared" si="4"/>
        <v>BFA32-78</v>
      </c>
      <c r="H1036" s="16"/>
      <c r="I1036" s="16" t="str">
        <f t="shared" si="5"/>
        <v>collected</v>
      </c>
      <c r="J1036" s="16" t="str">
        <f t="shared" si="6"/>
        <v>N</v>
      </c>
      <c r="K1036" s="16"/>
      <c r="L1036" s="16"/>
    </row>
    <row r="1037">
      <c r="A1037" s="40" t="s">
        <v>1482</v>
      </c>
      <c r="B1037" s="10" t="str">
        <f t="shared" si="1"/>
        <v>fatty_acid</v>
      </c>
      <c r="C1037" s="49" t="str">
        <f t="shared" si="2"/>
        <v>S16498FA1</v>
      </c>
      <c r="D1037" s="6">
        <v>32.0</v>
      </c>
      <c r="E1037" s="10" t="str">
        <f t="shared" si="3"/>
        <v>BFA32</v>
      </c>
      <c r="F1037" s="13">
        <v>79.0</v>
      </c>
      <c r="G1037" s="10" t="str">
        <f t="shared" si="4"/>
        <v>BFA32-79</v>
      </c>
      <c r="H1037" s="16"/>
      <c r="I1037" s="16" t="str">
        <f t="shared" si="5"/>
        <v>collected</v>
      </c>
      <c r="J1037" s="16" t="str">
        <f t="shared" si="6"/>
        <v>N</v>
      </c>
      <c r="K1037" s="16"/>
      <c r="L1037" s="16"/>
    </row>
    <row r="1038">
      <c r="A1038" s="40" t="s">
        <v>1483</v>
      </c>
      <c r="B1038" s="10" t="str">
        <f t="shared" si="1"/>
        <v>fatty_acid</v>
      </c>
      <c r="C1038" s="49" t="str">
        <f t="shared" si="2"/>
        <v>S16499FA1</v>
      </c>
      <c r="D1038" s="6">
        <v>32.0</v>
      </c>
      <c r="E1038" s="10" t="str">
        <f t="shared" si="3"/>
        <v>BFA32</v>
      </c>
      <c r="F1038" s="13">
        <v>80.0</v>
      </c>
      <c r="G1038" s="10" t="str">
        <f t="shared" si="4"/>
        <v>BFA32-80</v>
      </c>
      <c r="H1038" s="16"/>
      <c r="I1038" s="16" t="str">
        <f t="shared" si="5"/>
        <v>collected</v>
      </c>
      <c r="J1038" s="16" t="str">
        <f t="shared" si="6"/>
        <v>N</v>
      </c>
      <c r="K1038" s="16"/>
      <c r="L1038" s="16"/>
    </row>
    <row r="1039">
      <c r="A1039" s="40" t="s">
        <v>1485</v>
      </c>
      <c r="B1039" s="10" t="str">
        <f t="shared" si="1"/>
        <v>fatty_acid</v>
      </c>
      <c r="C1039" s="49" t="str">
        <f t="shared" si="2"/>
        <v>S16496FA1</v>
      </c>
      <c r="D1039" s="6">
        <v>32.0</v>
      </c>
      <c r="E1039" s="10" t="str">
        <f t="shared" si="3"/>
        <v>BFA32</v>
      </c>
      <c r="F1039" s="13">
        <v>81.0</v>
      </c>
      <c r="G1039" s="10" t="str">
        <f t="shared" si="4"/>
        <v>BFA32-81</v>
      </c>
      <c r="H1039" s="16"/>
      <c r="I1039" s="16" t="str">
        <f t="shared" si="5"/>
        <v>collected</v>
      </c>
      <c r="J1039" s="16" t="str">
        <f t="shared" si="6"/>
        <v>N</v>
      </c>
      <c r="K1039" s="16"/>
      <c r="L1039" s="16"/>
    </row>
    <row r="1040">
      <c r="A1040" s="27" t="s">
        <v>1486</v>
      </c>
      <c r="B1040" s="10" t="str">
        <f t="shared" si="1"/>
        <v>fatty_acid</v>
      </c>
      <c r="C1040" s="49" t="str">
        <f t="shared" si="2"/>
        <v>S5450FA1</v>
      </c>
      <c r="D1040" s="6">
        <v>22.0</v>
      </c>
      <c r="E1040" s="10" t="str">
        <f t="shared" si="3"/>
        <v>BFA22</v>
      </c>
      <c r="F1040" s="13">
        <v>35.0</v>
      </c>
      <c r="G1040" s="10" t="str">
        <f t="shared" si="4"/>
        <v>BFA22-35</v>
      </c>
      <c r="H1040" s="16"/>
      <c r="I1040" s="16" t="str">
        <f t="shared" si="5"/>
        <v>collected</v>
      </c>
      <c r="J1040" s="16" t="str">
        <f t="shared" si="6"/>
        <v>N</v>
      </c>
      <c r="K1040" s="16"/>
      <c r="L1040" s="16"/>
    </row>
    <row r="1041">
      <c r="A1041" s="27" t="s">
        <v>1487</v>
      </c>
      <c r="B1041" s="10" t="str">
        <f t="shared" si="1"/>
        <v>fatty_acid</v>
      </c>
      <c r="C1041" s="49" t="str">
        <f t="shared" si="2"/>
        <v>S5451FA1</v>
      </c>
      <c r="D1041" s="6">
        <v>22.0</v>
      </c>
      <c r="E1041" s="10" t="str">
        <f t="shared" si="3"/>
        <v>BFA22</v>
      </c>
      <c r="F1041" s="13">
        <v>36.0</v>
      </c>
      <c r="G1041" s="10" t="str">
        <f t="shared" si="4"/>
        <v>BFA22-36</v>
      </c>
      <c r="H1041" s="16"/>
      <c r="I1041" s="16" t="str">
        <f t="shared" si="5"/>
        <v>collected</v>
      </c>
      <c r="J1041" s="16" t="str">
        <f t="shared" si="6"/>
        <v>N</v>
      </c>
      <c r="K1041" s="16"/>
      <c r="L1041" s="16"/>
    </row>
    <row r="1042">
      <c r="A1042" s="27" t="s">
        <v>1489</v>
      </c>
      <c r="B1042" s="10" t="str">
        <f t="shared" si="1"/>
        <v>fatty_acid</v>
      </c>
      <c r="C1042" s="49" t="str">
        <f t="shared" si="2"/>
        <v>S5452FA1</v>
      </c>
      <c r="D1042" s="6">
        <v>22.0</v>
      </c>
      <c r="E1042" s="10" t="str">
        <f t="shared" si="3"/>
        <v>BFA22</v>
      </c>
      <c r="F1042" s="13">
        <v>37.0</v>
      </c>
      <c r="G1042" s="10" t="str">
        <f t="shared" si="4"/>
        <v>BFA22-37</v>
      </c>
      <c r="H1042" s="16"/>
      <c r="I1042" s="16" t="str">
        <f t="shared" si="5"/>
        <v>collected</v>
      </c>
      <c r="J1042" s="16" t="str">
        <f t="shared" si="6"/>
        <v>N</v>
      </c>
      <c r="K1042" s="16"/>
      <c r="L1042" s="16"/>
    </row>
    <row r="1043">
      <c r="A1043" s="27" t="s">
        <v>1491</v>
      </c>
      <c r="B1043" s="10" t="str">
        <f t="shared" si="1"/>
        <v>fatty_acid</v>
      </c>
      <c r="C1043" s="49" t="str">
        <f t="shared" si="2"/>
        <v>S5453FA1</v>
      </c>
      <c r="D1043" s="6">
        <v>22.0</v>
      </c>
      <c r="E1043" s="10" t="str">
        <f t="shared" si="3"/>
        <v>BFA22</v>
      </c>
      <c r="F1043" s="13">
        <v>38.0</v>
      </c>
      <c r="G1043" s="10" t="str">
        <f t="shared" si="4"/>
        <v>BFA22-38</v>
      </c>
      <c r="H1043" s="16"/>
      <c r="I1043" s="16" t="str">
        <f t="shared" si="5"/>
        <v>collected</v>
      </c>
      <c r="J1043" s="16" t="str">
        <f t="shared" si="6"/>
        <v>N</v>
      </c>
      <c r="K1043" s="16"/>
      <c r="L1043" s="16"/>
    </row>
    <row r="1044">
      <c r="A1044" s="27" t="s">
        <v>1492</v>
      </c>
      <c r="B1044" s="10" t="str">
        <f t="shared" si="1"/>
        <v>fatty_acid</v>
      </c>
      <c r="C1044" s="49" t="str">
        <f t="shared" si="2"/>
        <v>S5454FA1</v>
      </c>
      <c r="D1044" s="6">
        <v>22.0</v>
      </c>
      <c r="E1044" s="10" t="str">
        <f t="shared" si="3"/>
        <v>BFA22</v>
      </c>
      <c r="F1044" s="13">
        <v>39.0</v>
      </c>
      <c r="G1044" s="10" t="str">
        <f t="shared" si="4"/>
        <v>BFA22-39</v>
      </c>
      <c r="H1044" s="16"/>
      <c r="I1044" s="16" t="str">
        <f t="shared" si="5"/>
        <v>collected</v>
      </c>
      <c r="J1044" s="16" t="str">
        <f t="shared" si="6"/>
        <v>N</v>
      </c>
      <c r="K1044" s="16"/>
      <c r="L1044" s="16"/>
    </row>
    <row r="1045">
      <c r="A1045" s="27" t="s">
        <v>1493</v>
      </c>
      <c r="B1045" s="10" t="str">
        <f t="shared" si="1"/>
        <v>fatty_acid</v>
      </c>
      <c r="C1045" s="49" t="str">
        <f t="shared" si="2"/>
        <v>S5455FA1</v>
      </c>
      <c r="D1045" s="6">
        <v>22.0</v>
      </c>
      <c r="E1045" s="10" t="str">
        <f t="shared" si="3"/>
        <v>BFA22</v>
      </c>
      <c r="F1045" s="13">
        <v>40.0</v>
      </c>
      <c r="G1045" s="10" t="str">
        <f t="shared" si="4"/>
        <v>BFA22-40</v>
      </c>
      <c r="H1045" s="16"/>
      <c r="I1045" s="16" t="str">
        <f t="shared" si="5"/>
        <v>collected</v>
      </c>
      <c r="J1045" s="16" t="str">
        <f t="shared" si="6"/>
        <v>N</v>
      </c>
      <c r="K1045" s="16"/>
      <c r="L1045" s="16"/>
    </row>
    <row r="1046">
      <c r="A1046" s="27" t="s">
        <v>1494</v>
      </c>
      <c r="B1046" s="10" t="str">
        <f t="shared" si="1"/>
        <v>fatty_acid</v>
      </c>
      <c r="C1046" s="49" t="str">
        <f t="shared" si="2"/>
        <v>S5456FA1</v>
      </c>
      <c r="D1046" s="6">
        <v>22.0</v>
      </c>
      <c r="E1046" s="10" t="str">
        <f t="shared" si="3"/>
        <v>BFA22</v>
      </c>
      <c r="F1046" s="13">
        <v>41.0</v>
      </c>
      <c r="G1046" s="10" t="str">
        <f t="shared" si="4"/>
        <v>BFA22-41</v>
      </c>
      <c r="H1046" s="16"/>
      <c r="I1046" s="16" t="str">
        <f t="shared" si="5"/>
        <v>collected</v>
      </c>
      <c r="J1046" s="16" t="str">
        <f t="shared" si="6"/>
        <v>N</v>
      </c>
      <c r="K1046" s="16"/>
      <c r="L1046" s="16"/>
    </row>
    <row r="1047">
      <c r="A1047" s="27" t="s">
        <v>1497</v>
      </c>
      <c r="B1047" s="10" t="str">
        <f t="shared" si="1"/>
        <v>fatty_acid</v>
      </c>
      <c r="C1047" s="49" t="str">
        <f t="shared" si="2"/>
        <v>S5457FA1</v>
      </c>
      <c r="D1047" s="6">
        <v>22.0</v>
      </c>
      <c r="E1047" s="10" t="str">
        <f t="shared" si="3"/>
        <v>BFA22</v>
      </c>
      <c r="F1047" s="13">
        <v>42.0</v>
      </c>
      <c r="G1047" s="10" t="str">
        <f t="shared" si="4"/>
        <v>BFA22-42</v>
      </c>
      <c r="H1047" s="16"/>
      <c r="I1047" s="16" t="str">
        <f t="shared" si="5"/>
        <v>collected</v>
      </c>
      <c r="J1047" s="16" t="str">
        <f t="shared" si="6"/>
        <v>N</v>
      </c>
      <c r="K1047" s="16"/>
      <c r="L1047" s="16"/>
    </row>
    <row r="1048">
      <c r="A1048" s="27" t="s">
        <v>1498</v>
      </c>
      <c r="B1048" s="10" t="str">
        <f t="shared" si="1"/>
        <v>fatty_acid</v>
      </c>
      <c r="C1048" s="49" t="str">
        <f t="shared" si="2"/>
        <v>S5458FA1</v>
      </c>
      <c r="D1048" s="6">
        <v>22.0</v>
      </c>
      <c r="E1048" s="10" t="str">
        <f t="shared" si="3"/>
        <v>BFA22</v>
      </c>
      <c r="F1048" s="13">
        <v>43.0</v>
      </c>
      <c r="G1048" s="10" t="str">
        <f t="shared" si="4"/>
        <v>BFA22-43</v>
      </c>
      <c r="H1048" s="16"/>
      <c r="I1048" s="16" t="str">
        <f t="shared" si="5"/>
        <v>collected</v>
      </c>
      <c r="J1048" s="16" t="str">
        <f t="shared" si="6"/>
        <v>N</v>
      </c>
      <c r="K1048" s="16"/>
      <c r="L1048" s="16"/>
    </row>
    <row r="1049">
      <c r="A1049" s="27" t="s">
        <v>1499</v>
      </c>
      <c r="B1049" s="10" t="str">
        <f t="shared" si="1"/>
        <v>fatty_acid</v>
      </c>
      <c r="C1049" s="49" t="str">
        <f t="shared" si="2"/>
        <v>S5459FA1</v>
      </c>
      <c r="D1049" s="6">
        <v>22.0</v>
      </c>
      <c r="E1049" s="10" t="str">
        <f t="shared" si="3"/>
        <v>BFA22</v>
      </c>
      <c r="F1049" s="13">
        <v>44.0</v>
      </c>
      <c r="G1049" s="10" t="str">
        <f t="shared" si="4"/>
        <v>BFA22-44</v>
      </c>
      <c r="H1049" s="16"/>
      <c r="I1049" s="16" t="str">
        <f t="shared" si="5"/>
        <v>collected</v>
      </c>
      <c r="J1049" s="16" t="str">
        <f t="shared" si="6"/>
        <v>N</v>
      </c>
      <c r="K1049" s="16"/>
      <c r="L1049" s="16"/>
    </row>
    <row r="1050">
      <c r="A1050" s="27" t="s">
        <v>1501</v>
      </c>
      <c r="B1050" s="10" t="str">
        <f t="shared" si="1"/>
        <v>fatty_acid</v>
      </c>
      <c r="C1050" s="49" t="str">
        <f t="shared" si="2"/>
        <v>S5460FA1</v>
      </c>
      <c r="D1050" s="6">
        <v>22.0</v>
      </c>
      <c r="E1050" s="10" t="str">
        <f t="shared" si="3"/>
        <v>BFA22</v>
      </c>
      <c r="F1050" s="13">
        <v>45.0</v>
      </c>
      <c r="G1050" s="10" t="str">
        <f t="shared" si="4"/>
        <v>BFA22-45</v>
      </c>
      <c r="H1050" s="16"/>
      <c r="I1050" s="16" t="str">
        <f t="shared" si="5"/>
        <v>collected</v>
      </c>
      <c r="J1050" s="16" t="str">
        <f t="shared" si="6"/>
        <v>N</v>
      </c>
      <c r="K1050" s="16"/>
      <c r="L1050" s="16"/>
    </row>
    <row r="1051">
      <c r="A1051" s="27" t="s">
        <v>1503</v>
      </c>
      <c r="B1051" s="10" t="str">
        <f t="shared" si="1"/>
        <v>fatty_acid</v>
      </c>
      <c r="C1051" s="49" t="str">
        <f t="shared" si="2"/>
        <v>S5461FA1</v>
      </c>
      <c r="D1051" s="6">
        <v>22.0</v>
      </c>
      <c r="E1051" s="10" t="str">
        <f t="shared" si="3"/>
        <v>BFA22</v>
      </c>
      <c r="F1051" s="13">
        <v>46.0</v>
      </c>
      <c r="G1051" s="10" t="str">
        <f t="shared" si="4"/>
        <v>BFA22-46</v>
      </c>
      <c r="H1051" s="16"/>
      <c r="I1051" s="16" t="str">
        <f t="shared" si="5"/>
        <v>collected</v>
      </c>
      <c r="J1051" s="16" t="str">
        <f t="shared" si="6"/>
        <v>N</v>
      </c>
      <c r="K1051" s="16"/>
      <c r="L1051" s="16"/>
    </row>
    <row r="1052">
      <c r="A1052" s="40" t="s">
        <v>1504</v>
      </c>
      <c r="B1052" s="10" t="str">
        <f t="shared" si="1"/>
        <v>fatty_acid</v>
      </c>
      <c r="C1052" s="49" t="str">
        <f t="shared" si="2"/>
        <v>S16495FA1</v>
      </c>
      <c r="D1052" s="6">
        <v>34.0</v>
      </c>
      <c r="E1052" s="10" t="str">
        <f t="shared" si="3"/>
        <v>BFA34</v>
      </c>
      <c r="F1052" s="13">
        <v>1.0</v>
      </c>
      <c r="G1052" s="10" t="str">
        <f t="shared" si="4"/>
        <v>BFA34-1</v>
      </c>
      <c r="H1052" s="16"/>
      <c r="I1052" s="16" t="str">
        <f t="shared" si="5"/>
        <v>collected</v>
      </c>
      <c r="J1052" s="16" t="str">
        <f t="shared" si="6"/>
        <v>N</v>
      </c>
      <c r="K1052" s="16"/>
      <c r="L1052" s="16"/>
    </row>
    <row r="1053">
      <c r="A1053" s="40" t="s">
        <v>1505</v>
      </c>
      <c r="B1053" s="10" t="str">
        <f t="shared" si="1"/>
        <v>fatty_acid</v>
      </c>
      <c r="C1053" s="49" t="str">
        <f t="shared" si="2"/>
        <v>S16497FA1</v>
      </c>
      <c r="D1053" s="6">
        <v>34.0</v>
      </c>
      <c r="E1053" s="10" t="str">
        <f t="shared" si="3"/>
        <v>BFA34</v>
      </c>
      <c r="F1053" s="13">
        <v>2.0</v>
      </c>
      <c r="G1053" s="10" t="str">
        <f t="shared" si="4"/>
        <v>BFA34-2</v>
      </c>
      <c r="H1053" s="16"/>
      <c r="I1053" s="16" t="str">
        <f t="shared" si="5"/>
        <v>collected</v>
      </c>
      <c r="J1053" s="16" t="str">
        <f t="shared" si="6"/>
        <v>N</v>
      </c>
      <c r="K1053" s="16"/>
      <c r="L1053" s="16"/>
    </row>
    <row r="1054">
      <c r="A1054" s="40" t="s">
        <v>1508</v>
      </c>
      <c r="B1054" s="10" t="str">
        <f t="shared" si="1"/>
        <v>fatty_acid</v>
      </c>
      <c r="C1054" s="49" t="str">
        <f t="shared" si="2"/>
        <v>S16493FA1</v>
      </c>
      <c r="D1054" s="6">
        <v>34.0</v>
      </c>
      <c r="E1054" s="10" t="str">
        <f t="shared" si="3"/>
        <v>BFA34</v>
      </c>
      <c r="F1054" s="13">
        <v>3.0</v>
      </c>
      <c r="G1054" s="10" t="str">
        <f t="shared" si="4"/>
        <v>BFA34-3</v>
      </c>
      <c r="H1054" s="16"/>
      <c r="I1054" s="16" t="str">
        <f t="shared" si="5"/>
        <v>collected</v>
      </c>
      <c r="J1054" s="16" t="str">
        <f t="shared" si="6"/>
        <v>N</v>
      </c>
      <c r="K1054" s="16"/>
      <c r="L1054" s="16"/>
    </row>
    <row r="1055">
      <c r="A1055" s="40" t="s">
        <v>1509</v>
      </c>
      <c r="B1055" s="10" t="str">
        <f t="shared" si="1"/>
        <v>fatty_acid</v>
      </c>
      <c r="C1055" s="49" t="str">
        <f t="shared" si="2"/>
        <v>S16492FA1</v>
      </c>
      <c r="D1055" s="6">
        <v>34.0</v>
      </c>
      <c r="E1055" s="10" t="str">
        <f t="shared" si="3"/>
        <v>BFA34</v>
      </c>
      <c r="F1055" s="13">
        <v>4.0</v>
      </c>
      <c r="G1055" s="10" t="str">
        <f t="shared" si="4"/>
        <v>BFA34-4</v>
      </c>
      <c r="H1055" s="16"/>
      <c r="I1055" s="16" t="str">
        <f t="shared" si="5"/>
        <v>collected</v>
      </c>
      <c r="J1055" s="16" t="str">
        <f t="shared" si="6"/>
        <v>N</v>
      </c>
      <c r="K1055" s="16"/>
      <c r="L1055" s="16"/>
    </row>
    <row r="1056">
      <c r="A1056" s="40" t="s">
        <v>1510</v>
      </c>
      <c r="B1056" s="10" t="str">
        <f t="shared" si="1"/>
        <v>fatty_acid</v>
      </c>
      <c r="C1056" s="49" t="str">
        <f t="shared" si="2"/>
        <v>S16494FA1</v>
      </c>
      <c r="D1056" s="6">
        <v>34.0</v>
      </c>
      <c r="E1056" s="10" t="str">
        <f t="shared" si="3"/>
        <v>BFA34</v>
      </c>
      <c r="F1056" s="13">
        <v>5.0</v>
      </c>
      <c r="G1056" s="10" t="str">
        <f t="shared" si="4"/>
        <v>BFA34-5</v>
      </c>
      <c r="H1056" s="16"/>
      <c r="I1056" s="16" t="str">
        <f t="shared" si="5"/>
        <v>collected</v>
      </c>
      <c r="J1056" s="16" t="str">
        <f t="shared" si="6"/>
        <v>N</v>
      </c>
      <c r="K1056" s="16"/>
      <c r="L1056" s="16"/>
    </row>
    <row r="1057">
      <c r="A1057" s="40" t="s">
        <v>1513</v>
      </c>
      <c r="B1057" s="10" t="str">
        <f t="shared" si="1"/>
        <v>fatty_acid</v>
      </c>
      <c r="C1057" s="49" t="str">
        <f t="shared" si="2"/>
        <v>S16242FA1</v>
      </c>
      <c r="D1057" s="6">
        <v>34.0</v>
      </c>
      <c r="E1057" s="10" t="str">
        <f t="shared" si="3"/>
        <v>BFA34</v>
      </c>
      <c r="F1057" s="13">
        <v>6.0</v>
      </c>
      <c r="G1057" s="10" t="str">
        <f t="shared" si="4"/>
        <v>BFA34-6</v>
      </c>
      <c r="H1057" s="16"/>
      <c r="I1057" s="16" t="str">
        <f t="shared" si="5"/>
        <v>collected</v>
      </c>
      <c r="J1057" s="16" t="str">
        <f t="shared" si="6"/>
        <v>N</v>
      </c>
      <c r="K1057" s="16"/>
      <c r="L1057" s="16"/>
    </row>
    <row r="1058">
      <c r="A1058" s="40" t="s">
        <v>1514</v>
      </c>
      <c r="B1058" s="10" t="str">
        <f t="shared" si="1"/>
        <v>fatty_acid</v>
      </c>
      <c r="C1058" s="49" t="str">
        <f t="shared" si="2"/>
        <v>S16246FA1</v>
      </c>
      <c r="D1058" s="6">
        <v>34.0</v>
      </c>
      <c r="E1058" s="10" t="str">
        <f t="shared" si="3"/>
        <v>BFA34</v>
      </c>
      <c r="F1058" s="13">
        <v>7.0</v>
      </c>
      <c r="G1058" s="10" t="str">
        <f t="shared" si="4"/>
        <v>BFA34-7</v>
      </c>
      <c r="H1058" s="16"/>
      <c r="I1058" s="16" t="str">
        <f t="shared" si="5"/>
        <v>collected</v>
      </c>
      <c r="J1058" s="16" t="str">
        <f t="shared" si="6"/>
        <v>N</v>
      </c>
      <c r="K1058" s="16"/>
      <c r="L1058" s="16"/>
    </row>
    <row r="1059">
      <c r="A1059" s="40" t="s">
        <v>1515</v>
      </c>
      <c r="B1059" s="10" t="str">
        <f t="shared" si="1"/>
        <v>fatty_acid</v>
      </c>
      <c r="C1059" s="49" t="str">
        <f t="shared" si="2"/>
        <v>S16248FA1</v>
      </c>
      <c r="D1059" s="6">
        <v>34.0</v>
      </c>
      <c r="E1059" s="10" t="str">
        <f t="shared" si="3"/>
        <v>BFA34</v>
      </c>
      <c r="F1059" s="13">
        <v>8.0</v>
      </c>
      <c r="G1059" s="10" t="str">
        <f t="shared" si="4"/>
        <v>BFA34-8</v>
      </c>
      <c r="H1059" s="16"/>
      <c r="I1059" s="16" t="str">
        <f t="shared" si="5"/>
        <v>collected</v>
      </c>
      <c r="J1059" s="16" t="str">
        <f t="shared" si="6"/>
        <v>N</v>
      </c>
      <c r="K1059" s="16"/>
      <c r="L1059" s="16"/>
    </row>
    <row r="1060">
      <c r="A1060" s="40" t="s">
        <v>1516</v>
      </c>
      <c r="B1060" s="10" t="str">
        <f t="shared" si="1"/>
        <v>fatty_acid</v>
      </c>
      <c r="C1060" s="49" t="str">
        <f t="shared" si="2"/>
        <v>S16249FA1</v>
      </c>
      <c r="D1060" s="6">
        <v>34.0</v>
      </c>
      <c r="E1060" s="10" t="str">
        <f t="shared" si="3"/>
        <v>BFA34</v>
      </c>
      <c r="F1060" s="13">
        <v>9.0</v>
      </c>
      <c r="G1060" s="10" t="str">
        <f t="shared" si="4"/>
        <v>BFA34-9</v>
      </c>
      <c r="H1060" s="16"/>
      <c r="I1060" s="16" t="str">
        <f t="shared" si="5"/>
        <v>collected</v>
      </c>
      <c r="J1060" s="16" t="str">
        <f t="shared" si="6"/>
        <v>N</v>
      </c>
      <c r="K1060" s="16"/>
      <c r="L1060" s="16"/>
    </row>
    <row r="1061">
      <c r="A1061" s="40" t="s">
        <v>1519</v>
      </c>
      <c r="B1061" s="10" t="str">
        <f t="shared" si="1"/>
        <v>fatty_acid</v>
      </c>
      <c r="C1061" s="49" t="str">
        <f t="shared" si="2"/>
        <v>S16241FA1</v>
      </c>
      <c r="D1061" s="6">
        <v>34.0</v>
      </c>
      <c r="E1061" s="10" t="str">
        <f t="shared" si="3"/>
        <v>BFA34</v>
      </c>
      <c r="F1061" s="13">
        <v>10.0</v>
      </c>
      <c r="G1061" s="10" t="str">
        <f t="shared" si="4"/>
        <v>BFA34-10</v>
      </c>
      <c r="H1061" s="16"/>
      <c r="I1061" s="16" t="str">
        <f t="shared" si="5"/>
        <v>collected</v>
      </c>
      <c r="J1061" s="16" t="str">
        <f t="shared" si="6"/>
        <v>N</v>
      </c>
      <c r="K1061" s="16"/>
      <c r="L1061" s="16"/>
    </row>
    <row r="1062">
      <c r="A1062" s="40" t="s">
        <v>1520</v>
      </c>
      <c r="B1062" s="10" t="str">
        <f t="shared" si="1"/>
        <v>fatty_acid</v>
      </c>
      <c r="C1062" s="49" t="str">
        <f t="shared" si="2"/>
        <v>S16244FA1</v>
      </c>
      <c r="D1062" s="6">
        <v>34.0</v>
      </c>
      <c r="E1062" s="10" t="str">
        <f t="shared" si="3"/>
        <v>BFA34</v>
      </c>
      <c r="F1062" s="13">
        <v>11.0</v>
      </c>
      <c r="G1062" s="10" t="str">
        <f t="shared" si="4"/>
        <v>BFA34-11</v>
      </c>
      <c r="H1062" s="16"/>
      <c r="I1062" s="16" t="str">
        <f t="shared" si="5"/>
        <v>collected</v>
      </c>
      <c r="J1062" s="16" t="str">
        <f t="shared" si="6"/>
        <v>N</v>
      </c>
      <c r="K1062" s="16"/>
      <c r="L1062" s="16"/>
    </row>
    <row r="1063">
      <c r="A1063" s="40" t="s">
        <v>1521</v>
      </c>
      <c r="B1063" s="10" t="str">
        <f t="shared" si="1"/>
        <v>fatty_acid</v>
      </c>
      <c r="C1063" s="49" t="str">
        <f t="shared" si="2"/>
        <v>S16243FA1</v>
      </c>
      <c r="D1063" s="6">
        <v>34.0</v>
      </c>
      <c r="E1063" s="10" t="str">
        <f t="shared" si="3"/>
        <v>BFA34</v>
      </c>
      <c r="F1063" s="13">
        <v>12.0</v>
      </c>
      <c r="G1063" s="10" t="str">
        <f t="shared" si="4"/>
        <v>BFA34-12</v>
      </c>
      <c r="H1063" s="16"/>
      <c r="I1063" s="16" t="str">
        <f t="shared" si="5"/>
        <v>collected</v>
      </c>
      <c r="J1063" s="16" t="str">
        <f t="shared" si="6"/>
        <v>N</v>
      </c>
      <c r="K1063" s="16"/>
      <c r="L1063" s="16"/>
    </row>
    <row r="1064">
      <c r="A1064" s="40" t="s">
        <v>1524</v>
      </c>
      <c r="B1064" s="10" t="str">
        <f t="shared" si="1"/>
        <v>fatty_acid</v>
      </c>
      <c r="C1064" s="49" t="str">
        <f t="shared" si="2"/>
        <v>S16247FA1</v>
      </c>
      <c r="D1064" s="6">
        <v>34.0</v>
      </c>
      <c r="E1064" s="10" t="str">
        <f t="shared" si="3"/>
        <v>BFA34</v>
      </c>
      <c r="F1064" s="13">
        <v>13.0</v>
      </c>
      <c r="G1064" s="10" t="str">
        <f t="shared" si="4"/>
        <v>BFA34-13</v>
      </c>
      <c r="H1064" s="16"/>
      <c r="I1064" s="16" t="str">
        <f t="shared" si="5"/>
        <v>collected</v>
      </c>
      <c r="J1064" s="16" t="str">
        <f t="shared" si="6"/>
        <v>N</v>
      </c>
      <c r="K1064" s="16"/>
      <c r="L1064" s="16"/>
    </row>
    <row r="1065">
      <c r="A1065" s="40" t="s">
        <v>1525</v>
      </c>
      <c r="B1065" s="10" t="str">
        <f t="shared" si="1"/>
        <v>fatty_acid</v>
      </c>
      <c r="C1065" s="49" t="str">
        <f t="shared" si="2"/>
        <v>S16245FA1</v>
      </c>
      <c r="D1065" s="6">
        <v>34.0</v>
      </c>
      <c r="E1065" s="10" t="str">
        <f t="shared" si="3"/>
        <v>BFA34</v>
      </c>
      <c r="F1065" s="13">
        <v>14.0</v>
      </c>
      <c r="G1065" s="10" t="str">
        <f t="shared" si="4"/>
        <v>BFA34-14</v>
      </c>
      <c r="H1065" s="16"/>
      <c r="I1065" s="16" t="str">
        <f t="shared" si="5"/>
        <v>collected</v>
      </c>
      <c r="J1065" s="16" t="str">
        <f t="shared" si="6"/>
        <v>N</v>
      </c>
      <c r="K1065" s="16"/>
      <c r="L1065" s="16"/>
    </row>
    <row r="1066">
      <c r="A1066" s="40" t="s">
        <v>1526</v>
      </c>
      <c r="B1066" s="10" t="str">
        <f t="shared" si="1"/>
        <v>fatty_acid</v>
      </c>
      <c r="C1066" s="49" t="str">
        <f t="shared" si="2"/>
        <v>S16102FA1</v>
      </c>
      <c r="D1066" s="6">
        <v>34.0</v>
      </c>
      <c r="E1066" s="10" t="str">
        <f t="shared" si="3"/>
        <v>BFA34</v>
      </c>
      <c r="F1066" s="13">
        <v>15.0</v>
      </c>
      <c r="G1066" s="10" t="str">
        <f t="shared" si="4"/>
        <v>BFA34-15</v>
      </c>
      <c r="H1066" s="16"/>
      <c r="I1066" s="16" t="str">
        <f t="shared" si="5"/>
        <v>collected</v>
      </c>
      <c r="J1066" s="16" t="str">
        <f t="shared" si="6"/>
        <v>N</v>
      </c>
      <c r="K1066" s="16"/>
      <c r="L1066" s="16"/>
    </row>
    <row r="1067">
      <c r="A1067" s="40" t="s">
        <v>1529</v>
      </c>
      <c r="B1067" s="10" t="str">
        <f t="shared" si="1"/>
        <v>fatty_acid</v>
      </c>
      <c r="C1067" s="49" t="str">
        <f t="shared" si="2"/>
        <v>S16107FA1</v>
      </c>
      <c r="D1067" s="6">
        <v>34.0</v>
      </c>
      <c r="E1067" s="10" t="str">
        <f t="shared" si="3"/>
        <v>BFA34</v>
      </c>
      <c r="F1067" s="13">
        <v>16.0</v>
      </c>
      <c r="G1067" s="10" t="str">
        <f t="shared" si="4"/>
        <v>BFA34-16</v>
      </c>
      <c r="H1067" s="16"/>
      <c r="I1067" s="16" t="str">
        <f t="shared" si="5"/>
        <v>collected</v>
      </c>
      <c r="J1067" s="16" t="str">
        <f t="shared" si="6"/>
        <v>N</v>
      </c>
      <c r="K1067" s="16"/>
      <c r="L1067" s="16"/>
    </row>
    <row r="1068">
      <c r="A1068" s="40" t="s">
        <v>1530</v>
      </c>
      <c r="B1068" s="10" t="str">
        <f t="shared" si="1"/>
        <v>fatty_acid</v>
      </c>
      <c r="C1068" s="49" t="str">
        <f t="shared" si="2"/>
        <v>S16106FA1</v>
      </c>
      <c r="D1068" s="6">
        <v>34.0</v>
      </c>
      <c r="E1068" s="10" t="str">
        <f t="shared" si="3"/>
        <v>BFA34</v>
      </c>
      <c r="F1068" s="13">
        <v>17.0</v>
      </c>
      <c r="G1068" s="10" t="str">
        <f t="shared" si="4"/>
        <v>BFA34-17</v>
      </c>
      <c r="H1068" s="16"/>
      <c r="I1068" s="16" t="str">
        <f t="shared" si="5"/>
        <v>collected</v>
      </c>
      <c r="J1068" s="16" t="str">
        <f t="shared" si="6"/>
        <v>N</v>
      </c>
      <c r="K1068" s="16"/>
      <c r="L1068" s="16"/>
    </row>
    <row r="1069">
      <c r="A1069" s="40" t="s">
        <v>1531</v>
      </c>
      <c r="B1069" s="10" t="str">
        <f t="shared" si="1"/>
        <v>fatty_acid</v>
      </c>
      <c r="C1069" s="49" t="str">
        <f t="shared" si="2"/>
        <v>S16105FA1</v>
      </c>
      <c r="D1069" s="6">
        <v>34.0</v>
      </c>
      <c r="E1069" s="10" t="str">
        <f t="shared" si="3"/>
        <v>BFA34</v>
      </c>
      <c r="F1069" s="13">
        <v>18.0</v>
      </c>
      <c r="G1069" s="10" t="str">
        <f t="shared" si="4"/>
        <v>BFA34-18</v>
      </c>
      <c r="H1069" s="16"/>
      <c r="I1069" s="16" t="str">
        <f t="shared" si="5"/>
        <v>collected</v>
      </c>
      <c r="J1069" s="16" t="str">
        <f t="shared" si="6"/>
        <v>N</v>
      </c>
      <c r="K1069" s="16"/>
      <c r="L1069" s="16"/>
    </row>
    <row r="1070">
      <c r="A1070" s="40" t="s">
        <v>1532</v>
      </c>
      <c r="B1070" s="10" t="str">
        <f t="shared" si="1"/>
        <v>fatty_acid</v>
      </c>
      <c r="C1070" s="49" t="str">
        <f t="shared" si="2"/>
        <v>S16101FA1</v>
      </c>
      <c r="D1070" s="6">
        <v>34.0</v>
      </c>
      <c r="E1070" s="10" t="str">
        <f t="shared" si="3"/>
        <v>BFA34</v>
      </c>
      <c r="F1070" s="13">
        <v>19.0</v>
      </c>
      <c r="G1070" s="10" t="str">
        <f t="shared" si="4"/>
        <v>BFA34-19</v>
      </c>
      <c r="H1070" s="16"/>
      <c r="I1070" s="16" t="str">
        <f t="shared" si="5"/>
        <v>collected</v>
      </c>
      <c r="J1070" s="16" t="str">
        <f t="shared" si="6"/>
        <v>N</v>
      </c>
      <c r="K1070" s="16"/>
      <c r="L1070" s="16"/>
    </row>
    <row r="1071">
      <c r="A1071" s="40" t="s">
        <v>1534</v>
      </c>
      <c r="B1071" s="10" t="str">
        <f t="shared" si="1"/>
        <v>fatty_acid</v>
      </c>
      <c r="C1071" s="49" t="str">
        <f t="shared" si="2"/>
        <v>S16103FA1</v>
      </c>
      <c r="D1071" s="6">
        <v>34.0</v>
      </c>
      <c r="E1071" s="10" t="str">
        <f t="shared" si="3"/>
        <v>BFA34</v>
      </c>
      <c r="F1071" s="13">
        <v>20.0</v>
      </c>
      <c r="G1071" s="10" t="str">
        <f t="shared" si="4"/>
        <v>BFA34-20</v>
      </c>
      <c r="H1071" s="16"/>
      <c r="I1071" s="16" t="str">
        <f t="shared" si="5"/>
        <v>collected</v>
      </c>
      <c r="J1071" s="16" t="str">
        <f t="shared" si="6"/>
        <v>N</v>
      </c>
      <c r="K1071" s="16"/>
      <c r="L1071" s="16"/>
    </row>
    <row r="1072">
      <c r="A1072" s="40" t="s">
        <v>1536</v>
      </c>
      <c r="B1072" s="10" t="str">
        <f t="shared" si="1"/>
        <v>fatty_acid</v>
      </c>
      <c r="C1072" s="49" t="str">
        <f t="shared" si="2"/>
        <v>S16104FA1</v>
      </c>
      <c r="D1072" s="6">
        <v>34.0</v>
      </c>
      <c r="E1072" s="10" t="str">
        <f t="shared" si="3"/>
        <v>BFA34</v>
      </c>
      <c r="F1072" s="13">
        <v>21.0</v>
      </c>
      <c r="G1072" s="10" t="str">
        <f t="shared" si="4"/>
        <v>BFA34-21</v>
      </c>
      <c r="H1072" s="16"/>
      <c r="I1072" s="16" t="str">
        <f t="shared" si="5"/>
        <v>collected</v>
      </c>
      <c r="J1072" s="16" t="str">
        <f t="shared" si="6"/>
        <v>N</v>
      </c>
      <c r="K1072" s="16"/>
      <c r="L1072" s="16"/>
    </row>
    <row r="1073">
      <c r="A1073" s="40" t="s">
        <v>1537</v>
      </c>
      <c r="B1073" s="10" t="str">
        <f t="shared" si="1"/>
        <v>fatty_acid</v>
      </c>
      <c r="C1073" s="49" t="str">
        <f t="shared" si="2"/>
        <v>S16363FA1</v>
      </c>
      <c r="D1073" s="6">
        <v>34.0</v>
      </c>
      <c r="E1073" s="10" t="str">
        <f t="shared" si="3"/>
        <v>BFA34</v>
      </c>
      <c r="F1073" s="13">
        <v>22.0</v>
      </c>
      <c r="G1073" s="10" t="str">
        <f t="shared" si="4"/>
        <v>BFA34-22</v>
      </c>
      <c r="H1073" s="16"/>
      <c r="I1073" s="16" t="str">
        <f t="shared" si="5"/>
        <v>collected</v>
      </c>
      <c r="J1073" s="16" t="str">
        <f t="shared" si="6"/>
        <v>N</v>
      </c>
      <c r="K1073" s="16"/>
      <c r="L1073" s="16"/>
    </row>
    <row r="1074">
      <c r="A1074" s="40" t="s">
        <v>1538</v>
      </c>
      <c r="B1074" s="10" t="str">
        <f t="shared" si="1"/>
        <v>fatty_acid</v>
      </c>
      <c r="C1074" s="49" t="str">
        <f t="shared" si="2"/>
        <v>S16362FA1</v>
      </c>
      <c r="D1074" s="6">
        <v>34.0</v>
      </c>
      <c r="E1074" s="10" t="str">
        <f t="shared" si="3"/>
        <v>BFA34</v>
      </c>
      <c r="F1074" s="13">
        <v>23.0</v>
      </c>
      <c r="G1074" s="10" t="str">
        <f t="shared" si="4"/>
        <v>BFA34-23</v>
      </c>
      <c r="H1074" s="16"/>
      <c r="I1074" s="16" t="str">
        <f t="shared" si="5"/>
        <v>collected</v>
      </c>
      <c r="J1074" s="16" t="str">
        <f t="shared" si="6"/>
        <v>N</v>
      </c>
      <c r="K1074" s="16"/>
      <c r="L1074" s="16"/>
    </row>
    <row r="1075">
      <c r="A1075" s="40" t="s">
        <v>1539</v>
      </c>
      <c r="B1075" s="10" t="str">
        <f t="shared" si="1"/>
        <v>fatty_acid</v>
      </c>
      <c r="C1075" s="49" t="str">
        <f t="shared" si="2"/>
        <v>S16364FA1</v>
      </c>
      <c r="D1075" s="6">
        <v>34.0</v>
      </c>
      <c r="E1075" s="10" t="str">
        <f t="shared" si="3"/>
        <v>BFA34</v>
      </c>
      <c r="F1075" s="13">
        <v>24.0</v>
      </c>
      <c r="G1075" s="10" t="str">
        <f t="shared" si="4"/>
        <v>BFA34-24</v>
      </c>
      <c r="H1075" s="16"/>
      <c r="I1075" s="16" t="str">
        <f t="shared" si="5"/>
        <v>collected</v>
      </c>
      <c r="J1075" s="16" t="str">
        <f t="shared" si="6"/>
        <v>N</v>
      </c>
      <c r="K1075" s="16"/>
      <c r="L1075" s="16"/>
    </row>
    <row r="1076">
      <c r="A1076" s="40" t="s">
        <v>1540</v>
      </c>
      <c r="B1076" s="10" t="str">
        <f t="shared" si="1"/>
        <v>fatty_acid</v>
      </c>
      <c r="C1076" s="49" t="str">
        <f t="shared" si="2"/>
        <v>S16361FA1</v>
      </c>
      <c r="D1076" s="6">
        <v>34.0</v>
      </c>
      <c r="E1076" s="10" t="str">
        <f t="shared" si="3"/>
        <v>BFA34</v>
      </c>
      <c r="F1076" s="13">
        <v>25.0</v>
      </c>
      <c r="G1076" s="10" t="str">
        <f t="shared" si="4"/>
        <v>BFA34-25</v>
      </c>
      <c r="H1076" s="16"/>
      <c r="I1076" s="16" t="str">
        <f t="shared" si="5"/>
        <v>collected</v>
      </c>
      <c r="J1076" s="16" t="str">
        <f t="shared" si="6"/>
        <v>N</v>
      </c>
      <c r="K1076" s="16"/>
      <c r="L1076" s="16"/>
    </row>
    <row r="1077">
      <c r="A1077" s="40" t="s">
        <v>1542</v>
      </c>
      <c r="B1077" s="10" t="str">
        <f t="shared" si="1"/>
        <v>fatty_acid</v>
      </c>
      <c r="C1077" s="49" t="str">
        <f t="shared" si="2"/>
        <v>S17391FA1</v>
      </c>
      <c r="D1077" s="6">
        <v>34.0</v>
      </c>
      <c r="E1077" s="10" t="str">
        <f t="shared" si="3"/>
        <v>BFA34</v>
      </c>
      <c r="F1077" s="13">
        <v>26.0</v>
      </c>
      <c r="G1077" s="10" t="str">
        <f t="shared" si="4"/>
        <v>BFA34-26</v>
      </c>
      <c r="H1077" s="16"/>
      <c r="I1077" s="16" t="str">
        <f t="shared" si="5"/>
        <v>collected</v>
      </c>
      <c r="J1077" s="16" t="str">
        <f t="shared" si="6"/>
        <v>N</v>
      </c>
      <c r="K1077" s="16"/>
      <c r="L1077" s="16"/>
    </row>
    <row r="1078">
      <c r="A1078" s="40" t="s">
        <v>1544</v>
      </c>
      <c r="B1078" s="10" t="str">
        <f t="shared" si="1"/>
        <v>fatty_acid</v>
      </c>
      <c r="C1078" s="49" t="str">
        <f t="shared" si="2"/>
        <v>S16391FA1</v>
      </c>
      <c r="D1078" s="6">
        <v>34.0</v>
      </c>
      <c r="E1078" s="10" t="str">
        <f t="shared" si="3"/>
        <v>BFA34</v>
      </c>
      <c r="F1078" s="13">
        <v>27.0</v>
      </c>
      <c r="G1078" s="10" t="str">
        <f t="shared" si="4"/>
        <v>BFA34-27</v>
      </c>
      <c r="H1078" s="16"/>
      <c r="I1078" s="16" t="str">
        <f t="shared" si="5"/>
        <v>collected</v>
      </c>
      <c r="J1078" s="16" t="str">
        <f t="shared" si="6"/>
        <v>N</v>
      </c>
      <c r="K1078" s="16"/>
      <c r="L1078" s="16"/>
    </row>
    <row r="1079">
      <c r="A1079" s="40" t="s">
        <v>1545</v>
      </c>
      <c r="B1079" s="10" t="str">
        <f t="shared" si="1"/>
        <v>fatty_acid</v>
      </c>
      <c r="C1079" s="49" t="str">
        <f t="shared" si="2"/>
        <v>S17011FA1</v>
      </c>
      <c r="D1079" s="6">
        <v>34.0</v>
      </c>
      <c r="E1079" s="10" t="str">
        <f t="shared" si="3"/>
        <v>BFA34</v>
      </c>
      <c r="F1079" s="13">
        <v>28.0</v>
      </c>
      <c r="G1079" s="10" t="str">
        <f t="shared" si="4"/>
        <v>BFA34-28</v>
      </c>
      <c r="H1079" s="16"/>
      <c r="I1079" s="16" t="str">
        <f t="shared" si="5"/>
        <v>collected</v>
      </c>
      <c r="J1079" s="16" t="str">
        <f t="shared" si="6"/>
        <v>N</v>
      </c>
      <c r="K1079" s="16"/>
      <c r="L1079" s="16"/>
    </row>
    <row r="1080">
      <c r="A1080" s="40" t="s">
        <v>1547</v>
      </c>
      <c r="B1080" s="10" t="str">
        <f t="shared" si="1"/>
        <v>fatty_acid</v>
      </c>
      <c r="C1080" s="49" t="str">
        <f t="shared" si="2"/>
        <v>S16811FA1</v>
      </c>
      <c r="D1080" s="6">
        <v>34.0</v>
      </c>
      <c r="E1080" s="10" t="str">
        <f t="shared" si="3"/>
        <v>BFA34</v>
      </c>
      <c r="F1080" s="13">
        <v>29.0</v>
      </c>
      <c r="G1080" s="10" t="str">
        <f t="shared" si="4"/>
        <v>BFA34-29</v>
      </c>
      <c r="H1080" s="16"/>
      <c r="I1080" s="16" t="str">
        <f t="shared" si="5"/>
        <v>collected</v>
      </c>
      <c r="J1080" s="16" t="str">
        <f t="shared" si="6"/>
        <v>N</v>
      </c>
      <c r="K1080" s="16"/>
      <c r="L1080" s="16"/>
    </row>
    <row r="1081">
      <c r="A1081" s="40" t="s">
        <v>1549</v>
      </c>
      <c r="B1081" s="10" t="str">
        <f t="shared" si="1"/>
        <v>fatty_acid</v>
      </c>
      <c r="C1081" s="49" t="str">
        <f t="shared" si="2"/>
        <v>S16815FA1</v>
      </c>
      <c r="D1081" s="6">
        <v>34.0</v>
      </c>
      <c r="E1081" s="10" t="str">
        <f t="shared" si="3"/>
        <v>BFA34</v>
      </c>
      <c r="F1081" s="13">
        <v>30.0</v>
      </c>
      <c r="G1081" s="10" t="str">
        <f t="shared" si="4"/>
        <v>BFA34-30</v>
      </c>
      <c r="H1081" s="16"/>
      <c r="I1081" s="16" t="str">
        <f t="shared" si="5"/>
        <v>collected</v>
      </c>
      <c r="J1081" s="16" t="str">
        <f t="shared" si="6"/>
        <v>N</v>
      </c>
      <c r="K1081" s="16"/>
      <c r="L1081" s="16"/>
    </row>
    <row r="1082">
      <c r="A1082" s="40" t="s">
        <v>1550</v>
      </c>
      <c r="B1082" s="10" t="str">
        <f t="shared" si="1"/>
        <v>fatty_acid</v>
      </c>
      <c r="C1082" s="49" t="str">
        <f t="shared" si="2"/>
        <v>S16818FA1</v>
      </c>
      <c r="D1082" s="6">
        <v>34.0</v>
      </c>
      <c r="E1082" s="10" t="str">
        <f t="shared" si="3"/>
        <v>BFA34</v>
      </c>
      <c r="F1082" s="13">
        <v>31.0</v>
      </c>
      <c r="G1082" s="10" t="str">
        <f t="shared" si="4"/>
        <v>BFA34-31</v>
      </c>
      <c r="H1082" s="16"/>
      <c r="I1082" s="16" t="str">
        <f t="shared" si="5"/>
        <v>collected</v>
      </c>
      <c r="J1082" s="16" t="str">
        <f t="shared" si="6"/>
        <v>N</v>
      </c>
      <c r="K1082" s="16"/>
      <c r="L1082" s="16"/>
    </row>
    <row r="1083">
      <c r="A1083" s="40" t="s">
        <v>1552</v>
      </c>
      <c r="B1083" s="10" t="str">
        <f t="shared" si="1"/>
        <v>fatty_acid</v>
      </c>
      <c r="C1083" s="49" t="str">
        <f t="shared" si="2"/>
        <v>S16816FA1</v>
      </c>
      <c r="D1083" s="6">
        <v>34.0</v>
      </c>
      <c r="E1083" s="10" t="str">
        <f t="shared" si="3"/>
        <v>BFA34</v>
      </c>
      <c r="F1083" s="13">
        <v>32.0</v>
      </c>
      <c r="G1083" s="10" t="str">
        <f t="shared" si="4"/>
        <v>BFA34-32</v>
      </c>
      <c r="H1083" s="16"/>
      <c r="I1083" s="16" t="str">
        <f t="shared" si="5"/>
        <v>collected</v>
      </c>
      <c r="J1083" s="16" t="str">
        <f t="shared" si="6"/>
        <v>N</v>
      </c>
      <c r="K1083" s="16"/>
      <c r="L1083" s="16"/>
    </row>
    <row r="1084">
      <c r="A1084" s="40" t="s">
        <v>1554</v>
      </c>
      <c r="B1084" s="10" t="str">
        <f t="shared" si="1"/>
        <v>fatty_acid</v>
      </c>
      <c r="C1084" s="49" t="str">
        <f t="shared" si="2"/>
        <v>S16820FA1</v>
      </c>
      <c r="D1084" s="6">
        <v>34.0</v>
      </c>
      <c r="E1084" s="10" t="str">
        <f t="shared" si="3"/>
        <v>BFA34</v>
      </c>
      <c r="F1084" s="13">
        <v>33.0</v>
      </c>
      <c r="G1084" s="10" t="str">
        <f t="shared" si="4"/>
        <v>BFA34-33</v>
      </c>
      <c r="H1084" s="16"/>
      <c r="I1084" s="16" t="str">
        <f t="shared" si="5"/>
        <v>collected</v>
      </c>
      <c r="J1084" s="16" t="str">
        <f t="shared" si="6"/>
        <v>N</v>
      </c>
      <c r="K1084" s="16"/>
      <c r="L1084" s="16"/>
    </row>
    <row r="1085">
      <c r="A1085" s="40" t="s">
        <v>1555</v>
      </c>
      <c r="B1085" s="10" t="str">
        <f t="shared" si="1"/>
        <v>fatty_acid</v>
      </c>
      <c r="C1085" s="49" t="str">
        <f t="shared" si="2"/>
        <v>S16819FA1</v>
      </c>
      <c r="D1085" s="6">
        <v>34.0</v>
      </c>
      <c r="E1085" s="10" t="str">
        <f t="shared" si="3"/>
        <v>BFA34</v>
      </c>
      <c r="F1085" s="13">
        <v>34.0</v>
      </c>
      <c r="G1085" s="10" t="str">
        <f t="shared" si="4"/>
        <v>BFA34-34</v>
      </c>
      <c r="H1085" s="16"/>
      <c r="I1085" s="16" t="str">
        <f t="shared" si="5"/>
        <v>collected</v>
      </c>
      <c r="J1085" s="16" t="str">
        <f t="shared" si="6"/>
        <v>N</v>
      </c>
      <c r="K1085" s="16"/>
      <c r="L1085" s="16"/>
    </row>
    <row r="1086">
      <c r="A1086" s="40" t="s">
        <v>1556</v>
      </c>
      <c r="B1086" s="10" t="str">
        <f t="shared" si="1"/>
        <v>fatty_acid</v>
      </c>
      <c r="C1086" s="49" t="str">
        <f t="shared" si="2"/>
        <v>S16813FA1</v>
      </c>
      <c r="D1086" s="6">
        <v>34.0</v>
      </c>
      <c r="E1086" s="10" t="str">
        <f t="shared" si="3"/>
        <v>BFA34</v>
      </c>
      <c r="F1086" s="13">
        <v>35.0</v>
      </c>
      <c r="G1086" s="10" t="str">
        <f t="shared" si="4"/>
        <v>BFA34-35</v>
      </c>
      <c r="H1086" s="16"/>
      <c r="I1086" s="16" t="str">
        <f t="shared" si="5"/>
        <v>collected</v>
      </c>
      <c r="J1086" s="16" t="str">
        <f t="shared" si="6"/>
        <v>N</v>
      </c>
      <c r="K1086" s="16"/>
      <c r="L1086" s="16"/>
    </row>
    <row r="1087">
      <c r="A1087" s="40" t="s">
        <v>1558</v>
      </c>
      <c r="B1087" s="10" t="str">
        <f t="shared" si="1"/>
        <v>fatty_acid</v>
      </c>
      <c r="C1087" s="49" t="str">
        <f t="shared" si="2"/>
        <v>S16812FA1</v>
      </c>
      <c r="D1087" s="6">
        <v>34.0</v>
      </c>
      <c r="E1087" s="10" t="str">
        <f t="shared" si="3"/>
        <v>BFA34</v>
      </c>
      <c r="F1087" s="13">
        <v>36.0</v>
      </c>
      <c r="G1087" s="10" t="str">
        <f t="shared" si="4"/>
        <v>BFA34-36</v>
      </c>
      <c r="H1087" s="16"/>
      <c r="I1087" s="16" t="str">
        <f t="shared" si="5"/>
        <v>collected</v>
      </c>
      <c r="J1087" s="16" t="str">
        <f t="shared" si="6"/>
        <v>N</v>
      </c>
      <c r="K1087" s="16"/>
      <c r="L1087" s="16"/>
    </row>
    <row r="1088">
      <c r="A1088" s="40" t="s">
        <v>1560</v>
      </c>
      <c r="B1088" s="10" t="str">
        <f t="shared" si="1"/>
        <v>fatty_acid</v>
      </c>
      <c r="C1088" s="49" t="str">
        <f t="shared" si="2"/>
        <v>S16817FA1</v>
      </c>
      <c r="D1088" s="6">
        <v>34.0</v>
      </c>
      <c r="E1088" s="10" t="str">
        <f t="shared" si="3"/>
        <v>BFA34</v>
      </c>
      <c r="F1088" s="13">
        <v>37.0</v>
      </c>
      <c r="G1088" s="10" t="str">
        <f t="shared" si="4"/>
        <v>BFA34-37</v>
      </c>
      <c r="H1088" s="16"/>
      <c r="I1088" s="16" t="str">
        <f t="shared" si="5"/>
        <v>collected</v>
      </c>
      <c r="J1088" s="16" t="str">
        <f t="shared" si="6"/>
        <v>N</v>
      </c>
      <c r="K1088" s="16"/>
      <c r="L1088" s="16"/>
    </row>
    <row r="1089">
      <c r="A1089" s="40" t="s">
        <v>1561</v>
      </c>
      <c r="B1089" s="10" t="str">
        <f t="shared" si="1"/>
        <v>fatty_acid</v>
      </c>
      <c r="C1089" s="49" t="str">
        <f t="shared" si="2"/>
        <v>S16814FA1</v>
      </c>
      <c r="D1089" s="6">
        <v>34.0</v>
      </c>
      <c r="E1089" s="10" t="str">
        <f t="shared" si="3"/>
        <v>BFA34</v>
      </c>
      <c r="F1089" s="13">
        <v>38.0</v>
      </c>
      <c r="G1089" s="10" t="str">
        <f t="shared" si="4"/>
        <v>BFA34-38</v>
      </c>
      <c r="H1089" s="16"/>
      <c r="I1089" s="16" t="str">
        <f t="shared" si="5"/>
        <v>collected</v>
      </c>
      <c r="J1089" s="16" t="str">
        <f t="shared" si="6"/>
        <v>N</v>
      </c>
      <c r="K1089" s="16"/>
      <c r="L1089" s="16"/>
    </row>
    <row r="1090">
      <c r="A1090" s="40" t="s">
        <v>1563</v>
      </c>
      <c r="B1090" s="10" t="str">
        <f t="shared" si="1"/>
        <v>fatty_acid</v>
      </c>
      <c r="C1090" s="49" t="str">
        <f t="shared" si="2"/>
        <v>S17138FA1</v>
      </c>
      <c r="D1090" s="6">
        <v>34.0</v>
      </c>
      <c r="E1090" s="10" t="str">
        <f t="shared" si="3"/>
        <v>BFA34</v>
      </c>
      <c r="F1090" s="13">
        <v>39.0</v>
      </c>
      <c r="G1090" s="10" t="str">
        <f t="shared" si="4"/>
        <v>BFA34-39</v>
      </c>
      <c r="H1090" s="16"/>
      <c r="I1090" s="16" t="str">
        <f t="shared" si="5"/>
        <v>collected</v>
      </c>
      <c r="J1090" s="16" t="str">
        <f t="shared" si="6"/>
        <v>N</v>
      </c>
      <c r="K1090" s="16"/>
      <c r="L1090" s="16"/>
    </row>
    <row r="1091">
      <c r="A1091" s="40" t="s">
        <v>1564</v>
      </c>
      <c r="B1091" s="10" t="str">
        <f t="shared" si="1"/>
        <v>fatty_acid</v>
      </c>
      <c r="C1091" s="49" t="str">
        <f t="shared" si="2"/>
        <v>S17131FA1</v>
      </c>
      <c r="D1091" s="6">
        <v>34.0</v>
      </c>
      <c r="E1091" s="10" t="str">
        <f t="shared" si="3"/>
        <v>BFA34</v>
      </c>
      <c r="F1091" s="13">
        <v>40.0</v>
      </c>
      <c r="G1091" s="10" t="str">
        <f t="shared" si="4"/>
        <v>BFA34-40</v>
      </c>
      <c r="H1091" s="16"/>
      <c r="I1091" s="16" t="str">
        <f t="shared" si="5"/>
        <v>collected</v>
      </c>
      <c r="J1091" s="16" t="str">
        <f t="shared" si="6"/>
        <v>N</v>
      </c>
      <c r="K1091" s="16"/>
      <c r="L1091" s="16"/>
    </row>
    <row r="1092">
      <c r="A1092" s="40" t="s">
        <v>1565</v>
      </c>
      <c r="B1092" s="10" t="str">
        <f t="shared" si="1"/>
        <v>fatty_acid</v>
      </c>
      <c r="C1092" s="49" t="str">
        <f t="shared" si="2"/>
        <v>S17133FA1</v>
      </c>
      <c r="D1092" s="6">
        <v>34.0</v>
      </c>
      <c r="E1092" s="10" t="str">
        <f t="shared" si="3"/>
        <v>BFA34</v>
      </c>
      <c r="F1092" s="13">
        <v>41.0</v>
      </c>
      <c r="G1092" s="10" t="str">
        <f t="shared" si="4"/>
        <v>BFA34-41</v>
      </c>
      <c r="H1092" s="16"/>
      <c r="I1092" s="16" t="str">
        <f t="shared" si="5"/>
        <v>collected</v>
      </c>
      <c r="J1092" s="16" t="str">
        <f t="shared" si="6"/>
        <v>N</v>
      </c>
      <c r="K1092" s="16"/>
      <c r="L1092" s="16"/>
    </row>
    <row r="1093">
      <c r="A1093" s="40" t="s">
        <v>1566</v>
      </c>
      <c r="B1093" s="10" t="str">
        <f t="shared" si="1"/>
        <v>fatty_acid</v>
      </c>
      <c r="C1093" s="49" t="str">
        <f t="shared" si="2"/>
        <v>S17135FA1</v>
      </c>
      <c r="D1093" s="6">
        <v>34.0</v>
      </c>
      <c r="E1093" s="10" t="str">
        <f t="shared" si="3"/>
        <v>BFA34</v>
      </c>
      <c r="F1093" s="13">
        <v>42.0</v>
      </c>
      <c r="G1093" s="10" t="str">
        <f t="shared" si="4"/>
        <v>BFA34-42</v>
      </c>
      <c r="H1093" s="16"/>
      <c r="I1093" s="16" t="str">
        <f t="shared" si="5"/>
        <v>collected</v>
      </c>
      <c r="J1093" s="16" t="str">
        <f t="shared" si="6"/>
        <v>N</v>
      </c>
      <c r="K1093" s="16"/>
      <c r="L1093" s="16"/>
    </row>
    <row r="1094">
      <c r="A1094" s="40" t="s">
        <v>1567</v>
      </c>
      <c r="B1094" s="10" t="str">
        <f t="shared" si="1"/>
        <v>fatty_acid</v>
      </c>
      <c r="C1094" s="49" t="str">
        <f t="shared" si="2"/>
        <v>S17136FA1</v>
      </c>
      <c r="D1094" s="6">
        <v>34.0</v>
      </c>
      <c r="E1094" s="10" t="str">
        <f t="shared" si="3"/>
        <v>BFA34</v>
      </c>
      <c r="F1094" s="13">
        <v>43.0</v>
      </c>
      <c r="G1094" s="10" t="str">
        <f t="shared" si="4"/>
        <v>BFA34-43</v>
      </c>
      <c r="H1094" s="16"/>
      <c r="I1094" s="16" t="str">
        <f t="shared" si="5"/>
        <v>collected</v>
      </c>
      <c r="J1094" s="16" t="str">
        <f t="shared" si="6"/>
        <v>N</v>
      </c>
      <c r="K1094" s="16"/>
      <c r="L1094" s="16"/>
    </row>
    <row r="1095">
      <c r="A1095" s="40" t="s">
        <v>1568</v>
      </c>
      <c r="B1095" s="10" t="str">
        <f t="shared" si="1"/>
        <v>fatty_acid</v>
      </c>
      <c r="C1095" s="49" t="str">
        <f t="shared" si="2"/>
        <v>S17139FA1</v>
      </c>
      <c r="D1095" s="6">
        <v>34.0</v>
      </c>
      <c r="E1095" s="10" t="str">
        <f t="shared" si="3"/>
        <v>BFA34</v>
      </c>
      <c r="F1095" s="13">
        <v>44.0</v>
      </c>
      <c r="G1095" s="10" t="str">
        <f t="shared" si="4"/>
        <v>BFA34-44</v>
      </c>
      <c r="H1095" s="16"/>
      <c r="I1095" s="16" t="str">
        <f t="shared" si="5"/>
        <v>collected</v>
      </c>
      <c r="J1095" s="16" t="str">
        <f t="shared" si="6"/>
        <v>N</v>
      </c>
      <c r="K1095" s="16"/>
      <c r="L1095" s="16"/>
    </row>
    <row r="1096">
      <c r="A1096" s="40" t="s">
        <v>1571</v>
      </c>
      <c r="B1096" s="10" t="str">
        <f t="shared" si="1"/>
        <v>fatty_acid</v>
      </c>
      <c r="C1096" s="49" t="str">
        <f t="shared" si="2"/>
        <v>S17140FA1</v>
      </c>
      <c r="D1096" s="6">
        <v>34.0</v>
      </c>
      <c r="E1096" s="10" t="str">
        <f t="shared" si="3"/>
        <v>BFA34</v>
      </c>
      <c r="F1096" s="13">
        <v>45.0</v>
      </c>
      <c r="G1096" s="10" t="str">
        <f t="shared" si="4"/>
        <v>BFA34-45</v>
      </c>
      <c r="H1096" s="16"/>
      <c r="I1096" s="16" t="str">
        <f t="shared" si="5"/>
        <v>collected</v>
      </c>
      <c r="J1096" s="16" t="str">
        <f t="shared" si="6"/>
        <v>N</v>
      </c>
      <c r="K1096" s="16"/>
      <c r="L1096" s="16"/>
    </row>
    <row r="1097">
      <c r="A1097" s="40" t="s">
        <v>1572</v>
      </c>
      <c r="B1097" s="10" t="str">
        <f t="shared" si="1"/>
        <v>fatty_acid</v>
      </c>
      <c r="C1097" s="49" t="str">
        <f t="shared" si="2"/>
        <v>S17137FA1</v>
      </c>
      <c r="D1097" s="6">
        <v>34.0</v>
      </c>
      <c r="E1097" s="10" t="str">
        <f t="shared" si="3"/>
        <v>BFA34</v>
      </c>
      <c r="F1097" s="13">
        <v>46.0</v>
      </c>
      <c r="G1097" s="10" t="str">
        <f t="shared" si="4"/>
        <v>BFA34-46</v>
      </c>
      <c r="H1097" s="16"/>
      <c r="I1097" s="16" t="str">
        <f t="shared" si="5"/>
        <v>collected</v>
      </c>
      <c r="J1097" s="16" t="str">
        <f t="shared" si="6"/>
        <v>N</v>
      </c>
      <c r="K1097" s="16"/>
      <c r="L1097" s="16"/>
    </row>
    <row r="1098">
      <c r="A1098" s="40" t="s">
        <v>1574</v>
      </c>
      <c r="B1098" s="10" t="str">
        <f t="shared" si="1"/>
        <v>fatty_acid</v>
      </c>
      <c r="C1098" s="49" t="str">
        <f t="shared" si="2"/>
        <v>S17134FA1</v>
      </c>
      <c r="D1098" s="6">
        <v>34.0</v>
      </c>
      <c r="E1098" s="10" t="str">
        <f t="shared" si="3"/>
        <v>BFA34</v>
      </c>
      <c r="F1098" s="13">
        <v>47.0</v>
      </c>
      <c r="G1098" s="10" t="str">
        <f t="shared" si="4"/>
        <v>BFA34-47</v>
      </c>
      <c r="H1098" s="16"/>
      <c r="I1098" s="16" t="str">
        <f t="shared" si="5"/>
        <v>collected</v>
      </c>
      <c r="J1098" s="16" t="str">
        <f t="shared" si="6"/>
        <v>N</v>
      </c>
      <c r="K1098" s="16"/>
      <c r="L1098" s="16"/>
    </row>
    <row r="1099">
      <c r="A1099" s="40" t="s">
        <v>1576</v>
      </c>
      <c r="B1099" s="10" t="str">
        <f t="shared" si="1"/>
        <v>fatty_acid</v>
      </c>
      <c r="C1099" s="49" t="str">
        <f t="shared" si="2"/>
        <v>S17132FA1</v>
      </c>
      <c r="D1099" s="6">
        <v>34.0</v>
      </c>
      <c r="E1099" s="10" t="str">
        <f t="shared" si="3"/>
        <v>BFA34</v>
      </c>
      <c r="F1099" s="13">
        <v>48.0</v>
      </c>
      <c r="G1099" s="10" t="str">
        <f t="shared" si="4"/>
        <v>BFA34-48</v>
      </c>
      <c r="H1099" s="16"/>
      <c r="I1099" s="16" t="str">
        <f t="shared" si="5"/>
        <v>collected</v>
      </c>
      <c r="J1099" s="16" t="str">
        <f t="shared" si="6"/>
        <v>N</v>
      </c>
      <c r="K1099" s="16"/>
      <c r="L1099" s="16"/>
    </row>
    <row r="1100">
      <c r="A1100" s="40" t="s">
        <v>1578</v>
      </c>
      <c r="B1100" s="10" t="str">
        <f t="shared" si="1"/>
        <v>fatty_acid</v>
      </c>
      <c r="C1100" s="49" t="str">
        <f t="shared" si="2"/>
        <v>S17227FA1</v>
      </c>
      <c r="D1100" s="6">
        <v>22.0</v>
      </c>
      <c r="E1100" s="10" t="str">
        <f t="shared" si="3"/>
        <v>BFA22</v>
      </c>
      <c r="F1100" s="13">
        <v>47.0</v>
      </c>
      <c r="G1100" s="10" t="str">
        <f t="shared" si="4"/>
        <v>BFA22-47</v>
      </c>
      <c r="H1100" s="16"/>
      <c r="I1100" s="16" t="str">
        <f t="shared" si="5"/>
        <v>collected</v>
      </c>
      <c r="J1100" s="16" t="str">
        <f t="shared" si="6"/>
        <v>N</v>
      </c>
      <c r="K1100" s="16"/>
      <c r="L1100" s="16"/>
    </row>
    <row r="1101">
      <c r="A1101" s="40" t="s">
        <v>1579</v>
      </c>
      <c r="B1101" s="10" t="str">
        <f t="shared" si="1"/>
        <v>fatty_acid</v>
      </c>
      <c r="C1101" s="49" t="str">
        <f t="shared" si="2"/>
        <v>S17222FA1</v>
      </c>
      <c r="D1101" s="6">
        <v>22.0</v>
      </c>
      <c r="E1101" s="10" t="str">
        <f t="shared" si="3"/>
        <v>BFA22</v>
      </c>
      <c r="F1101" s="13">
        <v>48.0</v>
      </c>
      <c r="G1101" s="10" t="str">
        <f t="shared" si="4"/>
        <v>BFA22-48</v>
      </c>
      <c r="H1101" s="16"/>
      <c r="I1101" s="16" t="str">
        <f t="shared" si="5"/>
        <v>collected</v>
      </c>
      <c r="J1101" s="16" t="str">
        <f t="shared" si="6"/>
        <v>N</v>
      </c>
      <c r="K1101" s="16"/>
      <c r="L1101" s="16"/>
    </row>
    <row r="1102">
      <c r="A1102" s="40" t="s">
        <v>1580</v>
      </c>
      <c r="B1102" s="10" t="str">
        <f t="shared" si="1"/>
        <v>fatty_acid</v>
      </c>
      <c r="C1102" s="49" t="str">
        <f t="shared" si="2"/>
        <v>S17221FA1</v>
      </c>
      <c r="D1102" s="6">
        <v>22.0</v>
      </c>
      <c r="E1102" s="10" t="str">
        <f t="shared" si="3"/>
        <v>BFA22</v>
      </c>
      <c r="F1102" s="13">
        <v>49.0</v>
      </c>
      <c r="G1102" s="10" t="str">
        <f t="shared" si="4"/>
        <v>BFA22-49</v>
      </c>
      <c r="H1102" s="16"/>
      <c r="I1102" s="16" t="str">
        <f t="shared" si="5"/>
        <v>collected</v>
      </c>
      <c r="J1102" s="16" t="str">
        <f t="shared" si="6"/>
        <v>N</v>
      </c>
      <c r="K1102" s="16"/>
      <c r="L1102" s="16"/>
    </row>
    <row r="1103">
      <c r="A1103" s="40" t="s">
        <v>1583</v>
      </c>
      <c r="B1103" s="10" t="str">
        <f t="shared" si="1"/>
        <v>fatty_acid</v>
      </c>
      <c r="C1103" s="49" t="str">
        <f t="shared" si="2"/>
        <v>S17223FA1</v>
      </c>
      <c r="D1103" s="6">
        <v>22.0</v>
      </c>
      <c r="E1103" s="10" t="str">
        <f t="shared" si="3"/>
        <v>BFA22</v>
      </c>
      <c r="F1103" s="13">
        <v>50.0</v>
      </c>
      <c r="G1103" s="10" t="str">
        <f t="shared" si="4"/>
        <v>BFA22-50</v>
      </c>
      <c r="H1103" s="16"/>
      <c r="I1103" s="16" t="str">
        <f t="shared" si="5"/>
        <v>collected</v>
      </c>
      <c r="J1103" s="16" t="str">
        <f t="shared" si="6"/>
        <v>N</v>
      </c>
      <c r="K1103" s="16"/>
      <c r="L1103" s="16"/>
    </row>
    <row r="1104">
      <c r="A1104" s="40" t="s">
        <v>1585</v>
      </c>
      <c r="B1104" s="10" t="str">
        <f t="shared" si="1"/>
        <v>fatty_acid</v>
      </c>
      <c r="C1104" s="49" t="str">
        <f t="shared" si="2"/>
        <v>S17224FA1</v>
      </c>
      <c r="D1104" s="6">
        <v>22.0</v>
      </c>
      <c r="E1104" s="10" t="str">
        <f t="shared" si="3"/>
        <v>BFA22</v>
      </c>
      <c r="F1104" s="13">
        <v>51.0</v>
      </c>
      <c r="G1104" s="10" t="str">
        <f t="shared" si="4"/>
        <v>BFA22-51</v>
      </c>
      <c r="H1104" s="16"/>
      <c r="I1104" s="16" t="str">
        <f t="shared" si="5"/>
        <v>collected</v>
      </c>
      <c r="J1104" s="16" t="str">
        <f t="shared" si="6"/>
        <v>N</v>
      </c>
      <c r="K1104" s="16"/>
      <c r="L1104" s="16"/>
    </row>
    <row r="1105">
      <c r="A1105" s="40" t="s">
        <v>1586</v>
      </c>
      <c r="B1105" s="10" t="str">
        <f t="shared" si="1"/>
        <v>fatty_acid</v>
      </c>
      <c r="C1105" s="49" t="str">
        <f t="shared" si="2"/>
        <v>S17230FA1</v>
      </c>
      <c r="D1105" s="6">
        <v>22.0</v>
      </c>
      <c r="E1105" s="10" t="str">
        <f t="shared" si="3"/>
        <v>BFA22</v>
      </c>
      <c r="F1105" s="13">
        <v>52.0</v>
      </c>
      <c r="G1105" s="10" t="str">
        <f t="shared" si="4"/>
        <v>BFA22-52</v>
      </c>
      <c r="H1105" s="16"/>
      <c r="I1105" s="16" t="str">
        <f t="shared" si="5"/>
        <v>collected</v>
      </c>
      <c r="J1105" s="16" t="str">
        <f t="shared" si="6"/>
        <v>N</v>
      </c>
      <c r="K1105" s="16"/>
      <c r="L1105" s="16"/>
    </row>
    <row r="1106">
      <c r="A1106" s="40" t="s">
        <v>1587</v>
      </c>
      <c r="B1106" s="10" t="str">
        <f t="shared" si="1"/>
        <v>fatty_acid</v>
      </c>
      <c r="C1106" s="49" t="str">
        <f t="shared" si="2"/>
        <v>S17225FA1</v>
      </c>
      <c r="D1106" s="6">
        <v>22.0</v>
      </c>
      <c r="E1106" s="10" t="str">
        <f t="shared" si="3"/>
        <v>BFA22</v>
      </c>
      <c r="F1106" s="13">
        <v>53.0</v>
      </c>
      <c r="G1106" s="10" t="str">
        <f t="shared" si="4"/>
        <v>BFA22-53</v>
      </c>
      <c r="H1106" s="16"/>
      <c r="I1106" s="16" t="str">
        <f t="shared" si="5"/>
        <v>collected</v>
      </c>
      <c r="J1106" s="16" t="str">
        <f t="shared" si="6"/>
        <v>N</v>
      </c>
      <c r="K1106" s="16"/>
      <c r="L1106" s="16"/>
    </row>
    <row r="1107">
      <c r="A1107" s="40" t="s">
        <v>1588</v>
      </c>
      <c r="B1107" s="10" t="str">
        <f t="shared" si="1"/>
        <v>fatty_acid</v>
      </c>
      <c r="C1107" s="49" t="str">
        <f t="shared" si="2"/>
        <v>S17226FA1</v>
      </c>
      <c r="D1107" s="6">
        <v>22.0</v>
      </c>
      <c r="E1107" s="10" t="str">
        <f t="shared" si="3"/>
        <v>BFA22</v>
      </c>
      <c r="F1107" s="13">
        <v>54.0</v>
      </c>
      <c r="G1107" s="10" t="str">
        <f t="shared" si="4"/>
        <v>BFA22-54</v>
      </c>
      <c r="H1107" s="16"/>
      <c r="I1107" s="16" t="str">
        <f t="shared" si="5"/>
        <v>collected</v>
      </c>
      <c r="J1107" s="16" t="str">
        <f t="shared" si="6"/>
        <v>N</v>
      </c>
      <c r="K1107" s="16"/>
      <c r="L1107" s="16"/>
    </row>
    <row r="1108">
      <c r="A1108" s="40" t="s">
        <v>1589</v>
      </c>
      <c r="B1108" s="10" t="str">
        <f t="shared" si="1"/>
        <v>fatty_acid</v>
      </c>
      <c r="C1108" s="49" t="str">
        <f t="shared" si="2"/>
        <v>S17228FA1</v>
      </c>
      <c r="D1108" s="6">
        <v>22.0</v>
      </c>
      <c r="E1108" s="10" t="str">
        <f t="shared" si="3"/>
        <v>BFA22</v>
      </c>
      <c r="F1108" s="13">
        <v>55.0</v>
      </c>
      <c r="G1108" s="10" t="str">
        <f t="shared" si="4"/>
        <v>BFA22-55</v>
      </c>
      <c r="H1108" s="16"/>
      <c r="I1108" s="16" t="str">
        <f t="shared" si="5"/>
        <v>collected</v>
      </c>
      <c r="J1108" s="16" t="str">
        <f t="shared" si="6"/>
        <v>N</v>
      </c>
      <c r="K1108" s="16"/>
      <c r="L1108" s="16"/>
    </row>
    <row r="1109">
      <c r="A1109" s="40" t="s">
        <v>1591</v>
      </c>
      <c r="B1109" s="10" t="str">
        <f t="shared" si="1"/>
        <v>fatty_acid</v>
      </c>
      <c r="C1109" s="49" t="str">
        <f t="shared" si="2"/>
        <v>S16407FA1</v>
      </c>
      <c r="D1109" s="6">
        <v>34.0</v>
      </c>
      <c r="E1109" s="10" t="str">
        <f t="shared" si="3"/>
        <v>BFA34</v>
      </c>
      <c r="F1109" s="13">
        <v>49.0</v>
      </c>
      <c r="G1109" s="10" t="str">
        <f t="shared" si="4"/>
        <v>BFA34-49</v>
      </c>
      <c r="H1109" s="16"/>
      <c r="I1109" s="16" t="str">
        <f t="shared" si="5"/>
        <v>collected</v>
      </c>
      <c r="J1109" s="16" t="str">
        <f t="shared" si="6"/>
        <v>N</v>
      </c>
      <c r="K1109" s="16"/>
      <c r="L1109" s="16"/>
    </row>
    <row r="1110">
      <c r="A1110" s="40" t="s">
        <v>1592</v>
      </c>
      <c r="B1110" s="10" t="str">
        <f t="shared" si="1"/>
        <v>fatty_acid</v>
      </c>
      <c r="C1110" s="49" t="str">
        <f t="shared" si="2"/>
        <v>S16410FA1</v>
      </c>
      <c r="D1110" s="6">
        <v>34.0</v>
      </c>
      <c r="E1110" s="10" t="str">
        <f t="shared" si="3"/>
        <v>BFA34</v>
      </c>
      <c r="F1110" s="13">
        <v>50.0</v>
      </c>
      <c r="G1110" s="10" t="str">
        <f t="shared" si="4"/>
        <v>BFA34-50</v>
      </c>
      <c r="H1110" s="16"/>
      <c r="I1110" s="16" t="str">
        <f t="shared" si="5"/>
        <v>collected</v>
      </c>
      <c r="J1110" s="16" t="str">
        <f t="shared" si="6"/>
        <v>N</v>
      </c>
      <c r="K1110" s="16"/>
      <c r="L1110" s="16"/>
    </row>
    <row r="1111">
      <c r="A1111" s="40" t="s">
        <v>1593</v>
      </c>
      <c r="B1111" s="10" t="str">
        <f t="shared" si="1"/>
        <v>fatty_acid</v>
      </c>
      <c r="C1111" s="49" t="str">
        <f t="shared" si="2"/>
        <v>S16403FA1</v>
      </c>
      <c r="D1111" s="6">
        <v>34.0</v>
      </c>
      <c r="E1111" s="10" t="str">
        <f t="shared" si="3"/>
        <v>BFA34</v>
      </c>
      <c r="F1111" s="13">
        <v>51.0</v>
      </c>
      <c r="G1111" s="10" t="str">
        <f t="shared" si="4"/>
        <v>BFA34-51</v>
      </c>
      <c r="H1111" s="16"/>
      <c r="I1111" s="16" t="str">
        <f t="shared" si="5"/>
        <v>collected</v>
      </c>
      <c r="J1111" s="16" t="str">
        <f t="shared" si="6"/>
        <v>N</v>
      </c>
      <c r="K1111" s="16"/>
      <c r="L1111" s="16"/>
    </row>
    <row r="1112">
      <c r="A1112" s="40" t="s">
        <v>1594</v>
      </c>
      <c r="B1112" s="10" t="str">
        <f t="shared" si="1"/>
        <v>fatty_acid</v>
      </c>
      <c r="C1112" s="49" t="str">
        <f t="shared" si="2"/>
        <v>S16402FA1</v>
      </c>
      <c r="D1112" s="6">
        <v>34.0</v>
      </c>
      <c r="E1112" s="10" t="str">
        <f t="shared" si="3"/>
        <v>BFA34</v>
      </c>
      <c r="F1112" s="13">
        <v>52.0</v>
      </c>
      <c r="G1112" s="10" t="str">
        <f t="shared" si="4"/>
        <v>BFA34-52</v>
      </c>
      <c r="H1112" s="16"/>
      <c r="I1112" s="16" t="str">
        <f t="shared" si="5"/>
        <v>collected</v>
      </c>
      <c r="J1112" s="16" t="str">
        <f t="shared" si="6"/>
        <v>N</v>
      </c>
      <c r="K1112" s="16"/>
      <c r="L1112" s="16"/>
    </row>
    <row r="1113">
      <c r="A1113" s="40" t="s">
        <v>1596</v>
      </c>
      <c r="B1113" s="10" t="str">
        <f t="shared" si="1"/>
        <v>fatty_acid</v>
      </c>
      <c r="C1113" s="49" t="str">
        <f t="shared" si="2"/>
        <v>S16409FA1</v>
      </c>
      <c r="D1113" s="6">
        <v>34.0</v>
      </c>
      <c r="E1113" s="10" t="str">
        <f t="shared" si="3"/>
        <v>BFA34</v>
      </c>
      <c r="F1113" s="13">
        <v>53.0</v>
      </c>
      <c r="G1113" s="10" t="str">
        <f t="shared" si="4"/>
        <v>BFA34-53</v>
      </c>
      <c r="H1113" s="6" t="s">
        <v>1597</v>
      </c>
      <c r="I1113" s="16" t="str">
        <f t="shared" si="5"/>
        <v>collected</v>
      </c>
      <c r="J1113" s="16" t="str">
        <f t="shared" si="6"/>
        <v>N</v>
      </c>
      <c r="K1113" s="16"/>
      <c r="L1113" s="16"/>
    </row>
    <row r="1114">
      <c r="A1114" s="40" t="s">
        <v>1598</v>
      </c>
      <c r="B1114" s="10" t="str">
        <f t="shared" si="1"/>
        <v>fatty_acid</v>
      </c>
      <c r="C1114" s="49" t="str">
        <f t="shared" si="2"/>
        <v>S16404FA1</v>
      </c>
      <c r="D1114" s="6">
        <v>34.0</v>
      </c>
      <c r="E1114" s="10" t="str">
        <f t="shared" si="3"/>
        <v>BFA34</v>
      </c>
      <c r="F1114" s="13">
        <v>54.0</v>
      </c>
      <c r="G1114" s="10" t="str">
        <f t="shared" si="4"/>
        <v>BFA34-54</v>
      </c>
      <c r="H1114" s="16"/>
      <c r="I1114" s="16" t="str">
        <f t="shared" si="5"/>
        <v>collected</v>
      </c>
      <c r="J1114" s="16" t="str">
        <f t="shared" si="6"/>
        <v>N</v>
      </c>
      <c r="K1114" s="16"/>
      <c r="L1114" s="16"/>
    </row>
    <row r="1115">
      <c r="A1115" s="40" t="s">
        <v>1599</v>
      </c>
      <c r="B1115" s="10" t="str">
        <f t="shared" si="1"/>
        <v>fatty_acid</v>
      </c>
      <c r="C1115" s="49" t="str">
        <f t="shared" si="2"/>
        <v>S16401FA1</v>
      </c>
      <c r="D1115" s="6">
        <v>34.0</v>
      </c>
      <c r="E1115" s="10" t="str">
        <f t="shared" si="3"/>
        <v>BFA34</v>
      </c>
      <c r="F1115" s="13">
        <v>55.0</v>
      </c>
      <c r="G1115" s="10" t="str">
        <f t="shared" si="4"/>
        <v>BFA34-55</v>
      </c>
      <c r="H1115" s="16"/>
      <c r="I1115" s="16" t="str">
        <f t="shared" si="5"/>
        <v>collected</v>
      </c>
      <c r="J1115" s="16" t="str">
        <f t="shared" si="6"/>
        <v>N</v>
      </c>
      <c r="K1115" s="16"/>
      <c r="L1115" s="16"/>
    </row>
    <row r="1116">
      <c r="A1116" s="40" t="s">
        <v>1600</v>
      </c>
      <c r="B1116" s="10" t="str">
        <f t="shared" si="1"/>
        <v>fatty_acid</v>
      </c>
      <c r="C1116" s="49" t="str">
        <f t="shared" si="2"/>
        <v>S16405FA1</v>
      </c>
      <c r="D1116" s="6">
        <v>34.0</v>
      </c>
      <c r="E1116" s="10" t="str">
        <f t="shared" si="3"/>
        <v>BFA34</v>
      </c>
      <c r="F1116" s="13">
        <v>56.0</v>
      </c>
      <c r="G1116" s="10" t="str">
        <f t="shared" si="4"/>
        <v>BFA34-56</v>
      </c>
      <c r="H1116" s="16"/>
      <c r="I1116" s="16" t="str">
        <f t="shared" si="5"/>
        <v>collected</v>
      </c>
      <c r="J1116" s="16" t="str">
        <f t="shared" si="6"/>
        <v>N</v>
      </c>
      <c r="K1116" s="16"/>
      <c r="L1116" s="16"/>
    </row>
    <row r="1117">
      <c r="A1117" s="40" t="s">
        <v>1602</v>
      </c>
      <c r="B1117" s="10" t="str">
        <f t="shared" si="1"/>
        <v>fatty_acid</v>
      </c>
      <c r="C1117" s="49" t="str">
        <f t="shared" si="2"/>
        <v>S16408FA1</v>
      </c>
      <c r="D1117" s="6">
        <v>34.0</v>
      </c>
      <c r="E1117" s="10" t="str">
        <f t="shared" si="3"/>
        <v>BFA34</v>
      </c>
      <c r="F1117" s="13">
        <v>57.0</v>
      </c>
      <c r="G1117" s="10" t="str">
        <f t="shared" si="4"/>
        <v>BFA34-57</v>
      </c>
      <c r="H1117" s="16"/>
      <c r="I1117" s="16" t="str">
        <f t="shared" si="5"/>
        <v>collected</v>
      </c>
      <c r="J1117" s="16" t="str">
        <f t="shared" si="6"/>
        <v>N</v>
      </c>
      <c r="K1117" s="16"/>
      <c r="L1117" s="16"/>
    </row>
    <row r="1118">
      <c r="A1118" s="40" t="s">
        <v>1604</v>
      </c>
      <c r="B1118" s="10" t="str">
        <f t="shared" si="1"/>
        <v>fatty_acid</v>
      </c>
      <c r="C1118" s="49" t="str">
        <f t="shared" si="2"/>
        <v>S16406FA1</v>
      </c>
      <c r="D1118" s="6">
        <v>34.0</v>
      </c>
      <c r="E1118" s="10" t="str">
        <f t="shared" si="3"/>
        <v>BFA34</v>
      </c>
      <c r="F1118" s="13">
        <v>58.0</v>
      </c>
      <c r="G1118" s="10" t="str">
        <f t="shared" si="4"/>
        <v>BFA34-58</v>
      </c>
      <c r="H1118" s="16"/>
      <c r="I1118" s="16" t="str">
        <f t="shared" si="5"/>
        <v>collected</v>
      </c>
      <c r="J1118" s="16" t="str">
        <f t="shared" si="6"/>
        <v>N</v>
      </c>
      <c r="K1118" s="16"/>
      <c r="L1118" s="16"/>
    </row>
    <row r="1119">
      <c r="A1119" s="40" t="s">
        <v>1606</v>
      </c>
      <c r="B1119" s="10" t="str">
        <f t="shared" si="1"/>
        <v>fatty_acid</v>
      </c>
      <c r="C1119" s="49" t="str">
        <f t="shared" si="2"/>
        <v>S17610FA1</v>
      </c>
      <c r="D1119" s="6">
        <v>34.0</v>
      </c>
      <c r="E1119" s="10" t="str">
        <f t="shared" si="3"/>
        <v>BFA34</v>
      </c>
      <c r="F1119" s="13">
        <v>59.0</v>
      </c>
      <c r="G1119" s="10" t="str">
        <f t="shared" si="4"/>
        <v>BFA34-59</v>
      </c>
      <c r="H1119" s="16"/>
      <c r="I1119" s="16" t="str">
        <f t="shared" si="5"/>
        <v>collected</v>
      </c>
      <c r="J1119" s="16" t="str">
        <f t="shared" si="6"/>
        <v>N</v>
      </c>
      <c r="K1119" s="16"/>
      <c r="L1119" s="16"/>
    </row>
    <row r="1120">
      <c r="A1120" s="40" t="s">
        <v>1607</v>
      </c>
      <c r="B1120" s="10" t="str">
        <f t="shared" si="1"/>
        <v>fatty_acid</v>
      </c>
      <c r="C1120" s="49" t="str">
        <f t="shared" si="2"/>
        <v>S17608FA1</v>
      </c>
      <c r="D1120" s="6">
        <v>34.0</v>
      </c>
      <c r="E1120" s="10" t="str">
        <f t="shared" si="3"/>
        <v>BFA34</v>
      </c>
      <c r="F1120" s="13">
        <v>60.0</v>
      </c>
      <c r="G1120" s="10" t="str">
        <f t="shared" si="4"/>
        <v>BFA34-60</v>
      </c>
      <c r="H1120" s="16"/>
      <c r="I1120" s="16" t="str">
        <f t="shared" si="5"/>
        <v>collected</v>
      </c>
      <c r="J1120" s="16" t="str">
        <f t="shared" si="6"/>
        <v>N</v>
      </c>
      <c r="K1120" s="16"/>
      <c r="L1120" s="16"/>
    </row>
    <row r="1121">
      <c r="A1121" s="40" t="s">
        <v>1608</v>
      </c>
      <c r="B1121" s="10" t="str">
        <f t="shared" si="1"/>
        <v>fatty_acid</v>
      </c>
      <c r="C1121" s="49" t="str">
        <f t="shared" si="2"/>
        <v>S17604FA1</v>
      </c>
      <c r="D1121" s="6">
        <v>34.0</v>
      </c>
      <c r="E1121" s="10" t="str">
        <f t="shared" si="3"/>
        <v>BFA34</v>
      </c>
      <c r="F1121" s="13">
        <v>61.0</v>
      </c>
      <c r="G1121" s="10" t="str">
        <f t="shared" si="4"/>
        <v>BFA34-61</v>
      </c>
      <c r="H1121" s="16"/>
      <c r="I1121" s="16" t="str">
        <f t="shared" si="5"/>
        <v>collected</v>
      </c>
      <c r="J1121" s="16" t="str">
        <f t="shared" si="6"/>
        <v>N</v>
      </c>
      <c r="K1121" s="16"/>
      <c r="L1121" s="16"/>
    </row>
    <row r="1122">
      <c r="A1122" s="40" t="s">
        <v>1609</v>
      </c>
      <c r="B1122" s="10" t="str">
        <f t="shared" si="1"/>
        <v>fatty_acid</v>
      </c>
      <c r="C1122" s="49" t="str">
        <f t="shared" si="2"/>
        <v>S17609FA1</v>
      </c>
      <c r="D1122" s="6">
        <v>34.0</v>
      </c>
      <c r="E1122" s="10" t="str">
        <f t="shared" si="3"/>
        <v>BFA34</v>
      </c>
      <c r="F1122" s="13">
        <v>62.0</v>
      </c>
      <c r="G1122" s="10" t="str">
        <f t="shared" si="4"/>
        <v>BFA34-62</v>
      </c>
      <c r="H1122" s="16"/>
      <c r="I1122" s="16" t="str">
        <f t="shared" si="5"/>
        <v>collected</v>
      </c>
      <c r="J1122" s="16" t="str">
        <f t="shared" si="6"/>
        <v>N</v>
      </c>
      <c r="K1122" s="16"/>
      <c r="L1122" s="16"/>
    </row>
    <row r="1123">
      <c r="A1123" s="40" t="s">
        <v>1610</v>
      </c>
      <c r="B1123" s="10" t="str">
        <f t="shared" si="1"/>
        <v>fatty_acid</v>
      </c>
      <c r="C1123" s="49" t="str">
        <f t="shared" si="2"/>
        <v>S17605FA1</v>
      </c>
      <c r="D1123" s="6">
        <v>34.0</v>
      </c>
      <c r="E1123" s="10" t="str">
        <f t="shared" si="3"/>
        <v>BFA34</v>
      </c>
      <c r="F1123" s="13">
        <v>63.0</v>
      </c>
      <c r="G1123" s="10" t="str">
        <f t="shared" si="4"/>
        <v>BFA34-63</v>
      </c>
      <c r="H1123" s="16"/>
      <c r="I1123" s="16" t="str">
        <f t="shared" si="5"/>
        <v>collected</v>
      </c>
      <c r="J1123" s="16" t="str">
        <f t="shared" si="6"/>
        <v>N</v>
      </c>
      <c r="K1123" s="16"/>
      <c r="L1123" s="16"/>
    </row>
    <row r="1124">
      <c r="A1124" s="40" t="s">
        <v>1612</v>
      </c>
      <c r="B1124" s="10" t="str">
        <f t="shared" si="1"/>
        <v>fatty_acid</v>
      </c>
      <c r="C1124" s="49" t="str">
        <f t="shared" si="2"/>
        <v>S17603FA1</v>
      </c>
      <c r="D1124" s="6">
        <v>34.0</v>
      </c>
      <c r="E1124" s="10" t="str">
        <f t="shared" si="3"/>
        <v>BFA34</v>
      </c>
      <c r="F1124" s="13">
        <v>64.0</v>
      </c>
      <c r="G1124" s="10" t="str">
        <f t="shared" si="4"/>
        <v>BFA34-64</v>
      </c>
      <c r="H1124" s="16"/>
      <c r="I1124" s="16" t="str">
        <f t="shared" si="5"/>
        <v>collected</v>
      </c>
      <c r="J1124" s="16" t="str">
        <f t="shared" si="6"/>
        <v>N</v>
      </c>
      <c r="K1124" s="16"/>
      <c r="L1124" s="16"/>
    </row>
    <row r="1125">
      <c r="A1125" s="40" t="s">
        <v>1613</v>
      </c>
      <c r="B1125" s="10" t="str">
        <f t="shared" si="1"/>
        <v>fatty_acid</v>
      </c>
      <c r="C1125" s="49" t="str">
        <f t="shared" si="2"/>
        <v>S17606FA1</v>
      </c>
      <c r="D1125" s="6">
        <v>34.0</v>
      </c>
      <c r="E1125" s="10" t="str">
        <f t="shared" si="3"/>
        <v>BFA34</v>
      </c>
      <c r="F1125" s="13">
        <v>65.0</v>
      </c>
      <c r="G1125" s="10" t="str">
        <f t="shared" si="4"/>
        <v>BFA34-65</v>
      </c>
      <c r="H1125" s="16"/>
      <c r="I1125" s="16" t="str">
        <f t="shared" si="5"/>
        <v>collected</v>
      </c>
      <c r="J1125" s="16" t="str">
        <f t="shared" si="6"/>
        <v>N</v>
      </c>
      <c r="K1125" s="16"/>
      <c r="L1125" s="16"/>
    </row>
    <row r="1126">
      <c r="A1126" s="16" t="s">
        <v>1614</v>
      </c>
      <c r="B1126" s="10" t="str">
        <f t="shared" si="1"/>
        <v>fatty_acid</v>
      </c>
      <c r="C1126" s="49" t="str">
        <f t="shared" si="2"/>
        <v>S17229FA1</v>
      </c>
      <c r="D1126" s="6">
        <v>22.0</v>
      </c>
      <c r="E1126" s="10" t="str">
        <f t="shared" si="3"/>
        <v>BFA22</v>
      </c>
      <c r="F1126" s="13">
        <v>56.0</v>
      </c>
      <c r="G1126" s="10" t="str">
        <f t="shared" si="4"/>
        <v>BFA22-56</v>
      </c>
      <c r="H1126" s="16"/>
      <c r="I1126" s="16" t="str">
        <f t="shared" si="5"/>
        <v>collected</v>
      </c>
      <c r="J1126" s="16" t="str">
        <f t="shared" si="6"/>
        <v>N</v>
      </c>
      <c r="K1126" s="16"/>
      <c r="L1126" s="16"/>
    </row>
    <row r="1127">
      <c r="A1127" s="16" t="s">
        <v>1615</v>
      </c>
      <c r="B1127" s="10" t="str">
        <f t="shared" si="1"/>
        <v>fatty_acid</v>
      </c>
      <c r="C1127" s="49" t="str">
        <f t="shared" si="2"/>
        <v>S16880FA1</v>
      </c>
      <c r="D1127" s="6">
        <v>22.0</v>
      </c>
      <c r="E1127" s="10" t="str">
        <f t="shared" si="3"/>
        <v>BFA22</v>
      </c>
      <c r="F1127" s="13">
        <v>57.0</v>
      </c>
      <c r="G1127" s="10" t="str">
        <f t="shared" si="4"/>
        <v>BFA22-57</v>
      </c>
      <c r="H1127" s="16"/>
      <c r="I1127" s="16" t="str">
        <f t="shared" si="5"/>
        <v>collected</v>
      </c>
      <c r="J1127" s="16" t="str">
        <f t="shared" si="6"/>
        <v>N</v>
      </c>
      <c r="K1127" s="16"/>
      <c r="L1127" s="16"/>
    </row>
    <row r="1128">
      <c r="A1128" s="16" t="s">
        <v>1618</v>
      </c>
      <c r="B1128" s="10" t="str">
        <f t="shared" si="1"/>
        <v>fatty_acid</v>
      </c>
      <c r="C1128" s="49" t="str">
        <f t="shared" si="2"/>
        <v>S16876FA1</v>
      </c>
      <c r="D1128" s="6">
        <v>22.0</v>
      </c>
      <c r="E1128" s="10" t="str">
        <f t="shared" si="3"/>
        <v>BFA22</v>
      </c>
      <c r="F1128" s="13">
        <v>58.0</v>
      </c>
      <c r="G1128" s="10" t="str">
        <f t="shared" si="4"/>
        <v>BFA22-58</v>
      </c>
      <c r="H1128" s="16"/>
      <c r="I1128" s="16" t="str">
        <f t="shared" si="5"/>
        <v>collected</v>
      </c>
      <c r="J1128" s="16" t="str">
        <f t="shared" si="6"/>
        <v>N</v>
      </c>
      <c r="K1128" s="16"/>
      <c r="L1128" s="16"/>
    </row>
    <row r="1129">
      <c r="A1129" s="16" t="s">
        <v>1619</v>
      </c>
      <c r="B1129" s="10" t="str">
        <f t="shared" si="1"/>
        <v>fatty_acid</v>
      </c>
      <c r="C1129" s="49" t="str">
        <f t="shared" si="2"/>
        <v>S16877FA1</v>
      </c>
      <c r="D1129" s="6">
        <v>22.0</v>
      </c>
      <c r="E1129" s="10" t="str">
        <f t="shared" si="3"/>
        <v>BFA22</v>
      </c>
      <c r="F1129" s="13">
        <v>59.0</v>
      </c>
      <c r="G1129" s="10" t="str">
        <f t="shared" si="4"/>
        <v>BFA22-59</v>
      </c>
      <c r="H1129" s="16"/>
      <c r="I1129" s="16" t="str">
        <f t="shared" si="5"/>
        <v>collected</v>
      </c>
      <c r="J1129" s="16" t="str">
        <f t="shared" si="6"/>
        <v>N</v>
      </c>
      <c r="K1129" s="16"/>
      <c r="L1129" s="16"/>
    </row>
    <row r="1130">
      <c r="A1130" s="16" t="s">
        <v>1620</v>
      </c>
      <c r="B1130" s="10" t="str">
        <f t="shared" si="1"/>
        <v>fatty_acid</v>
      </c>
      <c r="C1130" s="49" t="str">
        <f t="shared" si="2"/>
        <v>S16879FA1</v>
      </c>
      <c r="D1130" s="6">
        <v>22.0</v>
      </c>
      <c r="E1130" s="10" t="str">
        <f t="shared" si="3"/>
        <v>BFA22</v>
      </c>
      <c r="F1130" s="13">
        <v>60.0</v>
      </c>
      <c r="G1130" s="10" t="str">
        <f t="shared" si="4"/>
        <v>BFA22-60</v>
      </c>
      <c r="H1130" s="16"/>
      <c r="I1130" s="16" t="str">
        <f t="shared" si="5"/>
        <v>collected</v>
      </c>
      <c r="J1130" s="16" t="str">
        <f t="shared" si="6"/>
        <v>N</v>
      </c>
      <c r="K1130" s="16"/>
      <c r="L1130" s="16"/>
    </row>
    <row r="1131">
      <c r="A1131" s="16" t="s">
        <v>1621</v>
      </c>
      <c r="B1131" s="10" t="str">
        <f t="shared" si="1"/>
        <v>fatty_acid</v>
      </c>
      <c r="C1131" s="49" t="str">
        <f t="shared" si="2"/>
        <v>S16875FA1</v>
      </c>
      <c r="D1131" s="6">
        <v>22.0</v>
      </c>
      <c r="E1131" s="10" t="str">
        <f t="shared" si="3"/>
        <v>BFA22</v>
      </c>
      <c r="F1131" s="13">
        <v>61.0</v>
      </c>
      <c r="G1131" s="10" t="str">
        <f t="shared" si="4"/>
        <v>BFA22-61</v>
      </c>
      <c r="H1131" s="16"/>
      <c r="I1131" s="16" t="str">
        <f t="shared" si="5"/>
        <v>collected</v>
      </c>
      <c r="J1131" s="16" t="str">
        <f t="shared" si="6"/>
        <v>N</v>
      </c>
      <c r="K1131" s="16"/>
      <c r="L1131" s="16"/>
    </row>
    <row r="1132">
      <c r="A1132" s="16" t="s">
        <v>1623</v>
      </c>
      <c r="B1132" s="10" t="str">
        <f t="shared" si="1"/>
        <v>fatty_acid</v>
      </c>
      <c r="C1132" s="49" t="str">
        <f t="shared" si="2"/>
        <v>S16874FA1</v>
      </c>
      <c r="D1132" s="6">
        <v>22.0</v>
      </c>
      <c r="E1132" s="10" t="str">
        <f t="shared" si="3"/>
        <v>BFA22</v>
      </c>
      <c r="F1132" s="13">
        <v>62.0</v>
      </c>
      <c r="G1132" s="10" t="str">
        <f t="shared" si="4"/>
        <v>BFA22-62</v>
      </c>
      <c r="H1132" s="16"/>
      <c r="I1132" s="16" t="str">
        <f t="shared" si="5"/>
        <v>collected</v>
      </c>
      <c r="J1132" s="16" t="str">
        <f t="shared" si="6"/>
        <v>N</v>
      </c>
      <c r="K1132" s="16"/>
      <c r="L1132" s="16"/>
    </row>
    <row r="1133">
      <c r="A1133" s="16" t="s">
        <v>1624</v>
      </c>
      <c r="B1133" s="10" t="str">
        <f t="shared" si="1"/>
        <v>fatty_acid</v>
      </c>
      <c r="C1133" s="49" t="str">
        <f t="shared" si="2"/>
        <v>S16878FA1</v>
      </c>
      <c r="D1133" s="6">
        <v>22.0</v>
      </c>
      <c r="E1133" s="10" t="str">
        <f t="shared" si="3"/>
        <v>BFA22</v>
      </c>
      <c r="F1133" s="13">
        <v>63.0</v>
      </c>
      <c r="G1133" s="10" t="str">
        <f t="shared" si="4"/>
        <v>BFA22-63</v>
      </c>
      <c r="H1133" s="16"/>
      <c r="I1133" s="16" t="str">
        <f t="shared" si="5"/>
        <v>collected</v>
      </c>
      <c r="J1133" s="16" t="str">
        <f t="shared" si="6"/>
        <v>N</v>
      </c>
      <c r="K1133" s="16"/>
      <c r="L1133" s="16"/>
    </row>
    <row r="1134">
      <c r="A1134" s="16" t="s">
        <v>1625</v>
      </c>
      <c r="B1134" s="10" t="str">
        <f t="shared" si="1"/>
        <v>fatty_acid</v>
      </c>
      <c r="C1134" s="49" t="str">
        <f t="shared" si="2"/>
        <v>S16872FA1</v>
      </c>
      <c r="D1134" s="6">
        <v>22.0</v>
      </c>
      <c r="E1134" s="10" t="str">
        <f t="shared" si="3"/>
        <v>BFA22</v>
      </c>
      <c r="F1134" s="13">
        <v>64.0</v>
      </c>
      <c r="G1134" s="10" t="str">
        <f t="shared" si="4"/>
        <v>BFA22-64</v>
      </c>
      <c r="H1134" s="16"/>
      <c r="I1134" s="16" t="str">
        <f t="shared" si="5"/>
        <v>collected</v>
      </c>
      <c r="J1134" s="16" t="str">
        <f t="shared" si="6"/>
        <v>N</v>
      </c>
      <c r="K1134" s="16"/>
      <c r="L1134" s="16"/>
    </row>
    <row r="1135">
      <c r="A1135" s="16" t="s">
        <v>1626</v>
      </c>
      <c r="B1135" s="10" t="str">
        <f t="shared" si="1"/>
        <v>fatty_acid</v>
      </c>
      <c r="C1135" s="49" t="str">
        <f t="shared" si="2"/>
        <v>S16873FA1</v>
      </c>
      <c r="D1135" s="6">
        <v>22.0</v>
      </c>
      <c r="E1135" s="10" t="str">
        <f t="shared" si="3"/>
        <v>BFA22</v>
      </c>
      <c r="F1135" s="13">
        <v>65.0</v>
      </c>
      <c r="G1135" s="10" t="str">
        <f t="shared" si="4"/>
        <v>BFA22-65</v>
      </c>
      <c r="H1135" s="16"/>
      <c r="I1135" s="16" t="str">
        <f t="shared" si="5"/>
        <v>collected</v>
      </c>
      <c r="J1135" s="16" t="str">
        <f t="shared" si="6"/>
        <v>N</v>
      </c>
      <c r="K1135" s="16"/>
      <c r="L1135" s="16"/>
    </row>
    <row r="1136">
      <c r="A1136" s="16" t="s">
        <v>1627</v>
      </c>
      <c r="B1136" s="10" t="str">
        <f t="shared" si="1"/>
        <v>fatty_acid</v>
      </c>
      <c r="C1136" s="49" t="str">
        <f t="shared" si="2"/>
        <v>S16871FA1</v>
      </c>
      <c r="D1136" s="6">
        <v>22.0</v>
      </c>
      <c r="E1136" s="10" t="str">
        <f t="shared" si="3"/>
        <v>BFA22</v>
      </c>
      <c r="F1136" s="13">
        <v>66.0</v>
      </c>
      <c r="G1136" s="10" t="str">
        <f t="shared" si="4"/>
        <v>BFA22-66</v>
      </c>
      <c r="H1136" s="16"/>
      <c r="I1136" s="16" t="str">
        <f t="shared" si="5"/>
        <v>collected</v>
      </c>
      <c r="J1136" s="16" t="str">
        <f t="shared" si="6"/>
        <v>N</v>
      </c>
      <c r="K1136" s="16"/>
      <c r="L1136" s="16"/>
    </row>
    <row r="1137">
      <c r="A1137" s="16" t="s">
        <v>1629</v>
      </c>
      <c r="B1137" s="10" t="str">
        <f t="shared" si="1"/>
        <v>fatty_acid</v>
      </c>
      <c r="C1137" s="49" t="str">
        <f t="shared" si="2"/>
        <v>S17560FA1</v>
      </c>
      <c r="D1137" s="6">
        <v>22.0</v>
      </c>
      <c r="E1137" s="10" t="str">
        <f t="shared" si="3"/>
        <v>BFA22</v>
      </c>
      <c r="F1137" s="13">
        <v>67.0</v>
      </c>
      <c r="G1137" s="10" t="str">
        <f t="shared" si="4"/>
        <v>BFA22-67</v>
      </c>
      <c r="H1137" s="16"/>
      <c r="I1137" s="16" t="str">
        <f t="shared" si="5"/>
        <v>collected</v>
      </c>
      <c r="J1137" s="16" t="str">
        <f t="shared" si="6"/>
        <v>N</v>
      </c>
      <c r="K1137" s="16"/>
      <c r="L1137" s="16"/>
    </row>
    <row r="1138">
      <c r="A1138" s="16" t="s">
        <v>1630</v>
      </c>
      <c r="B1138" s="10" t="str">
        <f t="shared" si="1"/>
        <v>fatty_acid</v>
      </c>
      <c r="C1138" s="49" t="str">
        <f t="shared" si="2"/>
        <v>S17552FA1</v>
      </c>
      <c r="D1138" s="6">
        <v>22.0</v>
      </c>
      <c r="E1138" s="10" t="str">
        <f t="shared" si="3"/>
        <v>BFA22</v>
      </c>
      <c r="F1138" s="13">
        <v>68.0</v>
      </c>
      <c r="G1138" s="10" t="str">
        <f t="shared" si="4"/>
        <v>BFA22-68</v>
      </c>
      <c r="H1138" s="16"/>
      <c r="I1138" s="16" t="str">
        <f t="shared" si="5"/>
        <v>collected</v>
      </c>
      <c r="J1138" s="16" t="str">
        <f t="shared" si="6"/>
        <v>N</v>
      </c>
      <c r="K1138" s="16"/>
      <c r="L1138" s="16"/>
    </row>
    <row r="1139">
      <c r="A1139" s="16" t="s">
        <v>1632</v>
      </c>
      <c r="B1139" s="10" t="str">
        <f t="shared" si="1"/>
        <v>fatty_acid</v>
      </c>
      <c r="C1139" s="49" t="str">
        <f t="shared" si="2"/>
        <v>S17551FA1</v>
      </c>
      <c r="D1139" s="6">
        <v>22.0</v>
      </c>
      <c r="E1139" s="10" t="str">
        <f t="shared" si="3"/>
        <v>BFA22</v>
      </c>
      <c r="F1139" s="13">
        <v>69.0</v>
      </c>
      <c r="G1139" s="10" t="str">
        <f t="shared" si="4"/>
        <v>BFA22-69</v>
      </c>
      <c r="H1139" s="16"/>
      <c r="I1139" s="16" t="str">
        <f t="shared" si="5"/>
        <v>collected</v>
      </c>
      <c r="J1139" s="16" t="str">
        <f t="shared" si="6"/>
        <v>N</v>
      </c>
      <c r="K1139" s="16"/>
      <c r="L1139" s="16"/>
    </row>
    <row r="1140">
      <c r="A1140" s="16" t="s">
        <v>1633</v>
      </c>
      <c r="B1140" s="10" t="str">
        <f t="shared" si="1"/>
        <v>fatty_acid</v>
      </c>
      <c r="C1140" s="49" t="str">
        <f t="shared" si="2"/>
        <v>S17553FA1</v>
      </c>
      <c r="D1140" s="6">
        <v>22.0</v>
      </c>
      <c r="E1140" s="10" t="str">
        <f t="shared" si="3"/>
        <v>BFA22</v>
      </c>
      <c r="F1140" s="13">
        <v>70.0</v>
      </c>
      <c r="G1140" s="10" t="str">
        <f t="shared" si="4"/>
        <v>BFA22-70</v>
      </c>
      <c r="H1140" s="16"/>
      <c r="I1140" s="16" t="str">
        <f t="shared" si="5"/>
        <v>collected</v>
      </c>
      <c r="J1140" s="16" t="str">
        <f t="shared" si="6"/>
        <v>N</v>
      </c>
      <c r="K1140" s="16"/>
      <c r="L1140" s="16"/>
    </row>
    <row r="1141">
      <c r="A1141" s="16" t="s">
        <v>1635</v>
      </c>
      <c r="B1141" s="10" t="str">
        <f t="shared" si="1"/>
        <v>fatty_acid</v>
      </c>
      <c r="C1141" s="49" t="str">
        <f t="shared" si="2"/>
        <v>S17556FA1</v>
      </c>
      <c r="D1141" s="6">
        <v>22.0</v>
      </c>
      <c r="E1141" s="10" t="str">
        <f t="shared" si="3"/>
        <v>BFA22</v>
      </c>
      <c r="F1141" s="13">
        <v>71.0</v>
      </c>
      <c r="G1141" s="10" t="str">
        <f t="shared" si="4"/>
        <v>BFA22-71</v>
      </c>
      <c r="H1141" s="16"/>
      <c r="I1141" s="16" t="str">
        <f t="shared" si="5"/>
        <v>collected</v>
      </c>
      <c r="J1141" s="16" t="str">
        <f t="shared" si="6"/>
        <v>N</v>
      </c>
      <c r="K1141" s="16"/>
      <c r="L1141" s="16"/>
    </row>
    <row r="1142">
      <c r="A1142" s="16" t="s">
        <v>1636</v>
      </c>
      <c r="B1142" s="10" t="str">
        <f t="shared" si="1"/>
        <v>fatty_acid</v>
      </c>
      <c r="C1142" s="49" t="str">
        <f t="shared" si="2"/>
        <v>S17554FA1</v>
      </c>
      <c r="D1142" s="6">
        <v>22.0</v>
      </c>
      <c r="E1142" s="10" t="str">
        <f t="shared" si="3"/>
        <v>BFA22</v>
      </c>
      <c r="F1142" s="13">
        <v>72.0</v>
      </c>
      <c r="G1142" s="10" t="str">
        <f t="shared" si="4"/>
        <v>BFA22-72</v>
      </c>
      <c r="H1142" s="16"/>
      <c r="I1142" s="16" t="str">
        <f t="shared" si="5"/>
        <v>collected</v>
      </c>
      <c r="J1142" s="16" t="str">
        <f t="shared" si="6"/>
        <v>N</v>
      </c>
      <c r="K1142" s="16"/>
      <c r="L1142" s="16"/>
    </row>
    <row r="1143">
      <c r="A1143" s="40" t="s">
        <v>1638</v>
      </c>
      <c r="B1143" s="10" t="str">
        <f t="shared" si="1"/>
        <v>fatty_acid</v>
      </c>
      <c r="C1143" s="49" t="str">
        <f t="shared" si="2"/>
        <v>S17601FA1</v>
      </c>
      <c r="D1143" s="6">
        <v>34.0</v>
      </c>
      <c r="E1143" s="10" t="str">
        <f t="shared" si="3"/>
        <v>BFA34</v>
      </c>
      <c r="F1143" s="13">
        <v>66.0</v>
      </c>
      <c r="G1143" s="10" t="str">
        <f t="shared" si="4"/>
        <v>BFA34-66</v>
      </c>
      <c r="H1143" s="16"/>
      <c r="I1143" s="16" t="str">
        <f t="shared" si="5"/>
        <v>collected</v>
      </c>
      <c r="J1143" s="16" t="str">
        <f t="shared" si="6"/>
        <v>N</v>
      </c>
      <c r="K1143" s="16"/>
      <c r="L1143" s="16"/>
    </row>
    <row r="1144">
      <c r="A1144" s="40" t="s">
        <v>1639</v>
      </c>
      <c r="B1144" s="10" t="str">
        <f t="shared" si="1"/>
        <v>fatty_acid</v>
      </c>
      <c r="C1144" s="49" t="str">
        <f t="shared" si="2"/>
        <v>S17607FA1</v>
      </c>
      <c r="D1144" s="6">
        <v>34.0</v>
      </c>
      <c r="E1144" s="10" t="str">
        <f t="shared" si="3"/>
        <v>BFA34</v>
      </c>
      <c r="F1144" s="13">
        <v>67.0</v>
      </c>
      <c r="G1144" s="10" t="str">
        <f t="shared" si="4"/>
        <v>BFA34-67</v>
      </c>
      <c r="H1144" s="16"/>
      <c r="I1144" s="16" t="str">
        <f t="shared" si="5"/>
        <v>collected</v>
      </c>
      <c r="J1144" s="16" t="str">
        <f t="shared" si="6"/>
        <v>N</v>
      </c>
      <c r="K1144" s="16"/>
      <c r="L1144" s="16"/>
    </row>
    <row r="1145">
      <c r="A1145" s="40" t="s">
        <v>1641</v>
      </c>
      <c r="B1145" s="10" t="str">
        <f t="shared" si="1"/>
        <v>fatty_acid</v>
      </c>
      <c r="C1145" s="49" t="str">
        <f t="shared" si="2"/>
        <v>S17602FA1</v>
      </c>
      <c r="D1145" s="6">
        <v>34.0</v>
      </c>
      <c r="E1145" s="10" t="str">
        <f t="shared" si="3"/>
        <v>BFA34</v>
      </c>
      <c r="F1145" s="13">
        <v>68.0</v>
      </c>
      <c r="G1145" s="10" t="str">
        <f t="shared" si="4"/>
        <v>BFA34-68</v>
      </c>
      <c r="H1145" s="16"/>
      <c r="I1145" s="16" t="str">
        <f t="shared" si="5"/>
        <v>collected</v>
      </c>
      <c r="J1145" s="16" t="str">
        <f t="shared" si="6"/>
        <v>N</v>
      </c>
      <c r="K1145" s="16"/>
      <c r="L1145" s="16"/>
    </row>
    <row r="1146">
      <c r="A1146" s="40" t="s">
        <v>1642</v>
      </c>
      <c r="B1146" s="10" t="str">
        <f t="shared" si="1"/>
        <v>fatty_acid</v>
      </c>
      <c r="C1146" s="49" t="str">
        <f t="shared" si="2"/>
        <v>S16748FA1</v>
      </c>
      <c r="D1146" s="6">
        <v>34.0</v>
      </c>
      <c r="E1146" s="10" t="str">
        <f t="shared" si="3"/>
        <v>BFA34</v>
      </c>
      <c r="F1146" s="13">
        <v>69.0</v>
      </c>
      <c r="G1146" s="10" t="str">
        <f t="shared" si="4"/>
        <v>BFA34-69</v>
      </c>
      <c r="H1146" s="16"/>
      <c r="I1146" s="16" t="str">
        <f t="shared" si="5"/>
        <v>collected</v>
      </c>
      <c r="J1146" s="16" t="str">
        <f t="shared" si="6"/>
        <v>N</v>
      </c>
      <c r="K1146" s="16"/>
      <c r="L1146" s="16"/>
    </row>
    <row r="1147">
      <c r="A1147" s="40" t="s">
        <v>1643</v>
      </c>
      <c r="B1147" s="10" t="str">
        <f t="shared" si="1"/>
        <v>fatty_acid</v>
      </c>
      <c r="C1147" s="49" t="str">
        <f t="shared" si="2"/>
        <v>S16750FA1</v>
      </c>
      <c r="D1147" s="6">
        <v>34.0</v>
      </c>
      <c r="E1147" s="10" t="str">
        <f t="shared" si="3"/>
        <v>BFA34</v>
      </c>
      <c r="F1147" s="13">
        <v>70.0</v>
      </c>
      <c r="G1147" s="10" t="str">
        <f t="shared" si="4"/>
        <v>BFA34-70</v>
      </c>
      <c r="H1147" s="16"/>
      <c r="I1147" s="16" t="str">
        <f t="shared" si="5"/>
        <v>collected</v>
      </c>
      <c r="J1147" s="16" t="str">
        <f t="shared" si="6"/>
        <v>N</v>
      </c>
      <c r="K1147" s="16"/>
      <c r="L1147" s="16"/>
    </row>
    <row r="1148">
      <c r="A1148" s="40" t="s">
        <v>1644</v>
      </c>
      <c r="B1148" s="10" t="str">
        <f t="shared" si="1"/>
        <v>fatty_acid</v>
      </c>
      <c r="C1148" s="49" t="str">
        <f t="shared" si="2"/>
        <v>S16742FA1</v>
      </c>
      <c r="D1148" s="6">
        <v>34.0</v>
      </c>
      <c r="E1148" s="10" t="str">
        <f t="shared" si="3"/>
        <v>BFA34</v>
      </c>
      <c r="F1148" s="13">
        <v>71.0</v>
      </c>
      <c r="G1148" s="10" t="str">
        <f t="shared" si="4"/>
        <v>BFA34-71</v>
      </c>
      <c r="H1148" s="16"/>
      <c r="I1148" s="16" t="str">
        <f t="shared" si="5"/>
        <v>collected</v>
      </c>
      <c r="J1148" s="16" t="str">
        <f t="shared" si="6"/>
        <v>N</v>
      </c>
      <c r="K1148" s="16"/>
      <c r="L1148" s="16"/>
    </row>
    <row r="1149">
      <c r="A1149" s="40" t="s">
        <v>1646</v>
      </c>
      <c r="B1149" s="10" t="str">
        <f t="shared" si="1"/>
        <v>fatty_acid</v>
      </c>
      <c r="C1149" s="49" t="str">
        <f t="shared" si="2"/>
        <v>S16745FA1</v>
      </c>
      <c r="D1149" s="6">
        <v>34.0</v>
      </c>
      <c r="E1149" s="10" t="str">
        <f t="shared" si="3"/>
        <v>BFA34</v>
      </c>
      <c r="F1149" s="13">
        <v>72.0</v>
      </c>
      <c r="G1149" s="10" t="str">
        <f t="shared" si="4"/>
        <v>BFA34-72</v>
      </c>
      <c r="H1149" s="16"/>
      <c r="I1149" s="16" t="str">
        <f t="shared" si="5"/>
        <v>collected</v>
      </c>
      <c r="J1149" s="16" t="str">
        <f t="shared" si="6"/>
        <v>N</v>
      </c>
      <c r="K1149" s="16"/>
      <c r="L1149" s="16"/>
    </row>
    <row r="1150">
      <c r="A1150" s="40" t="s">
        <v>1647</v>
      </c>
      <c r="B1150" s="10" t="str">
        <f t="shared" si="1"/>
        <v>fatty_acid</v>
      </c>
      <c r="C1150" s="49" t="str">
        <f t="shared" si="2"/>
        <v>S16741FA1</v>
      </c>
      <c r="D1150" s="6">
        <v>34.0</v>
      </c>
      <c r="E1150" s="10" t="str">
        <f t="shared" si="3"/>
        <v>BFA34</v>
      </c>
      <c r="F1150" s="13">
        <v>73.0</v>
      </c>
      <c r="G1150" s="10" t="str">
        <f t="shared" si="4"/>
        <v>BFA34-73</v>
      </c>
      <c r="H1150" s="16"/>
      <c r="I1150" s="16" t="str">
        <f t="shared" si="5"/>
        <v>collected</v>
      </c>
      <c r="J1150" s="16" t="str">
        <f t="shared" si="6"/>
        <v>N</v>
      </c>
      <c r="K1150" s="16"/>
      <c r="L1150" s="16"/>
    </row>
    <row r="1151">
      <c r="A1151" s="40" t="s">
        <v>1648</v>
      </c>
      <c r="B1151" s="10" t="str">
        <f t="shared" si="1"/>
        <v>fatty_acid</v>
      </c>
      <c r="C1151" s="49" t="str">
        <f t="shared" si="2"/>
        <v>S16744FA1</v>
      </c>
      <c r="D1151" s="6">
        <v>34.0</v>
      </c>
      <c r="E1151" s="10" t="str">
        <f t="shared" si="3"/>
        <v>BFA34</v>
      </c>
      <c r="F1151" s="13">
        <v>74.0</v>
      </c>
      <c r="G1151" s="10" t="str">
        <f t="shared" si="4"/>
        <v>BFA34-74</v>
      </c>
      <c r="H1151" s="16"/>
      <c r="I1151" s="16" t="str">
        <f t="shared" si="5"/>
        <v>collected</v>
      </c>
      <c r="J1151" s="16" t="str">
        <f t="shared" si="6"/>
        <v>N</v>
      </c>
      <c r="K1151" s="16"/>
      <c r="L1151" s="16"/>
    </row>
    <row r="1152">
      <c r="A1152" s="40" t="s">
        <v>1649</v>
      </c>
      <c r="B1152" s="10" t="str">
        <f t="shared" si="1"/>
        <v>fatty_acid</v>
      </c>
      <c r="C1152" s="49" t="str">
        <f t="shared" si="2"/>
        <v>S16743FA1</v>
      </c>
      <c r="D1152" s="6">
        <v>34.0</v>
      </c>
      <c r="E1152" s="10" t="str">
        <f t="shared" si="3"/>
        <v>BFA34</v>
      </c>
      <c r="F1152" s="13">
        <v>75.0</v>
      </c>
      <c r="G1152" s="10" t="str">
        <f t="shared" si="4"/>
        <v>BFA34-75</v>
      </c>
      <c r="H1152" s="16"/>
      <c r="I1152" s="16" t="str">
        <f t="shared" si="5"/>
        <v>collected</v>
      </c>
      <c r="J1152" s="16" t="str">
        <f t="shared" si="6"/>
        <v>N</v>
      </c>
      <c r="K1152" s="16"/>
      <c r="L1152" s="16"/>
    </row>
    <row r="1153">
      <c r="A1153" s="40" t="s">
        <v>1650</v>
      </c>
      <c r="B1153" s="10" t="str">
        <f t="shared" si="1"/>
        <v>fatty_acid</v>
      </c>
      <c r="C1153" s="49" t="str">
        <f t="shared" si="2"/>
        <v>S16747FA1</v>
      </c>
      <c r="D1153" s="6">
        <v>34.0</v>
      </c>
      <c r="E1153" s="10" t="str">
        <f t="shared" si="3"/>
        <v>BFA34</v>
      </c>
      <c r="F1153" s="13">
        <v>76.0</v>
      </c>
      <c r="G1153" s="10" t="str">
        <f t="shared" si="4"/>
        <v>BFA34-76</v>
      </c>
      <c r="H1153" s="16"/>
      <c r="I1153" s="16" t="str">
        <f t="shared" si="5"/>
        <v>collected</v>
      </c>
      <c r="J1153" s="16" t="str">
        <f t="shared" si="6"/>
        <v>N</v>
      </c>
      <c r="K1153" s="16"/>
      <c r="L1153" s="16"/>
    </row>
    <row r="1154">
      <c r="A1154" s="40" t="s">
        <v>1652</v>
      </c>
      <c r="B1154" s="10" t="str">
        <f t="shared" si="1"/>
        <v>fatty_acid</v>
      </c>
      <c r="C1154" s="49" t="str">
        <f t="shared" si="2"/>
        <v>S16749FA1</v>
      </c>
      <c r="D1154" s="6">
        <v>34.0</v>
      </c>
      <c r="E1154" s="10" t="str">
        <f t="shared" si="3"/>
        <v>BFA34</v>
      </c>
      <c r="F1154" s="13">
        <v>77.0</v>
      </c>
      <c r="G1154" s="10" t="str">
        <f t="shared" si="4"/>
        <v>BFA34-77</v>
      </c>
      <c r="H1154" s="16"/>
      <c r="I1154" s="16" t="str">
        <f t="shared" si="5"/>
        <v>collected</v>
      </c>
      <c r="J1154" s="16" t="str">
        <f t="shared" si="6"/>
        <v>N</v>
      </c>
      <c r="K1154" s="16"/>
      <c r="L1154" s="16"/>
    </row>
    <row r="1155">
      <c r="A1155" s="40" t="s">
        <v>1653</v>
      </c>
      <c r="B1155" s="10" t="str">
        <f t="shared" si="1"/>
        <v>fatty_acid</v>
      </c>
      <c r="C1155" s="49" t="str">
        <f t="shared" si="2"/>
        <v>S16746FA1</v>
      </c>
      <c r="D1155" s="6">
        <v>34.0</v>
      </c>
      <c r="E1155" s="10" t="str">
        <f t="shared" si="3"/>
        <v>BFA34</v>
      </c>
      <c r="F1155" s="13">
        <v>78.0</v>
      </c>
      <c r="G1155" s="10" t="str">
        <f t="shared" si="4"/>
        <v>BFA34-78</v>
      </c>
      <c r="H1155" s="16"/>
      <c r="I1155" s="16" t="str">
        <f t="shared" si="5"/>
        <v>collected</v>
      </c>
      <c r="J1155" s="16" t="str">
        <f t="shared" si="6"/>
        <v>N</v>
      </c>
      <c r="K1155" s="16"/>
      <c r="L1155" s="16"/>
    </row>
    <row r="1156">
      <c r="A1156" s="40" t="s">
        <v>1654</v>
      </c>
      <c r="B1156" s="10" t="str">
        <f t="shared" si="1"/>
        <v>fatty_acid</v>
      </c>
      <c r="C1156" s="49" t="str">
        <f t="shared" si="2"/>
        <v>S16287FA1</v>
      </c>
      <c r="D1156" s="6">
        <v>34.0</v>
      </c>
      <c r="E1156" s="10" t="str">
        <f t="shared" si="3"/>
        <v>BFA34</v>
      </c>
      <c r="F1156" s="13">
        <v>79.0</v>
      </c>
      <c r="G1156" s="10" t="str">
        <f t="shared" si="4"/>
        <v>BFA34-79</v>
      </c>
      <c r="H1156" s="16"/>
      <c r="I1156" s="16" t="str">
        <f t="shared" si="5"/>
        <v>collected</v>
      </c>
      <c r="J1156" s="16" t="str">
        <f t="shared" si="6"/>
        <v>N</v>
      </c>
      <c r="K1156" s="16"/>
      <c r="L1156" s="16"/>
    </row>
    <row r="1157">
      <c r="A1157" s="40" t="s">
        <v>1655</v>
      </c>
      <c r="B1157" s="10" t="str">
        <f t="shared" si="1"/>
        <v>fatty_acid</v>
      </c>
      <c r="C1157" s="49" t="str">
        <f t="shared" si="2"/>
        <v>S16286FA1</v>
      </c>
      <c r="D1157" s="6">
        <v>34.0</v>
      </c>
      <c r="E1157" s="10" t="str">
        <f t="shared" si="3"/>
        <v>BFA34</v>
      </c>
      <c r="F1157" s="13">
        <v>80.0</v>
      </c>
      <c r="G1157" s="10" t="str">
        <f t="shared" si="4"/>
        <v>BFA34-80</v>
      </c>
      <c r="H1157" s="16"/>
      <c r="I1157" s="16" t="str">
        <f t="shared" si="5"/>
        <v>collected</v>
      </c>
      <c r="J1157" s="16" t="str">
        <f t="shared" si="6"/>
        <v>N</v>
      </c>
      <c r="K1157" s="16"/>
      <c r="L1157" s="16"/>
    </row>
    <row r="1158">
      <c r="A1158" s="40" t="s">
        <v>1656</v>
      </c>
      <c r="B1158" s="10" t="str">
        <f t="shared" si="1"/>
        <v>fatty_acid</v>
      </c>
      <c r="C1158" s="49" t="str">
        <f t="shared" si="2"/>
        <v>S16285FA1</v>
      </c>
      <c r="D1158" s="6">
        <v>34.0</v>
      </c>
      <c r="E1158" s="10" t="str">
        <f t="shared" si="3"/>
        <v>BFA34</v>
      </c>
      <c r="F1158" s="13">
        <v>81.0</v>
      </c>
      <c r="G1158" s="10" t="str">
        <f t="shared" si="4"/>
        <v>BFA34-81</v>
      </c>
      <c r="H1158" s="16"/>
      <c r="I1158" s="16" t="str">
        <f t="shared" si="5"/>
        <v>collected</v>
      </c>
      <c r="J1158" s="16" t="str">
        <f t="shared" si="6"/>
        <v>N</v>
      </c>
      <c r="K1158" s="16"/>
      <c r="L1158" s="16"/>
    </row>
    <row r="1159">
      <c r="A1159" s="40" t="s">
        <v>1658</v>
      </c>
      <c r="B1159" s="10" t="str">
        <f t="shared" si="1"/>
        <v>fatty_acid</v>
      </c>
      <c r="C1159" s="49" t="str">
        <f t="shared" si="2"/>
        <v>S16288FA1</v>
      </c>
      <c r="D1159" s="6">
        <v>35.0</v>
      </c>
      <c r="E1159" s="10" t="str">
        <f t="shared" si="3"/>
        <v>BFA35</v>
      </c>
      <c r="F1159" s="13">
        <v>1.0</v>
      </c>
      <c r="G1159" s="10" t="str">
        <f t="shared" si="4"/>
        <v>BFA35-1</v>
      </c>
      <c r="H1159" s="16"/>
      <c r="I1159" s="16" t="str">
        <f t="shared" si="5"/>
        <v>collected</v>
      </c>
      <c r="J1159" s="16" t="str">
        <f t="shared" si="6"/>
        <v>N</v>
      </c>
      <c r="K1159" s="16"/>
      <c r="L1159" s="16"/>
    </row>
    <row r="1160">
      <c r="A1160" s="40" t="s">
        <v>1659</v>
      </c>
      <c r="B1160" s="10" t="str">
        <f t="shared" si="1"/>
        <v>fatty_acid</v>
      </c>
      <c r="C1160" s="49" t="str">
        <f t="shared" si="2"/>
        <v>S16290FA1</v>
      </c>
      <c r="D1160" s="6">
        <v>35.0</v>
      </c>
      <c r="E1160" s="10" t="str">
        <f t="shared" si="3"/>
        <v>BFA35</v>
      </c>
      <c r="F1160" s="13">
        <v>2.0</v>
      </c>
      <c r="G1160" s="10" t="str">
        <f t="shared" si="4"/>
        <v>BFA35-2</v>
      </c>
      <c r="H1160" s="16"/>
      <c r="I1160" s="16" t="str">
        <f t="shared" si="5"/>
        <v>collected</v>
      </c>
      <c r="J1160" s="16" t="str">
        <f t="shared" si="6"/>
        <v>N</v>
      </c>
      <c r="K1160" s="16"/>
      <c r="L1160" s="16"/>
    </row>
    <row r="1161">
      <c r="A1161" s="40" t="s">
        <v>1660</v>
      </c>
      <c r="B1161" s="10" t="str">
        <f t="shared" si="1"/>
        <v>fatty_acid</v>
      </c>
      <c r="C1161" s="49" t="str">
        <f t="shared" si="2"/>
        <v>S16281FA1</v>
      </c>
      <c r="D1161" s="6">
        <v>35.0</v>
      </c>
      <c r="E1161" s="10" t="str">
        <f t="shared" si="3"/>
        <v>BFA35</v>
      </c>
      <c r="F1161" s="13">
        <v>3.0</v>
      </c>
      <c r="G1161" s="10" t="str">
        <f t="shared" si="4"/>
        <v>BFA35-3</v>
      </c>
      <c r="H1161" s="16"/>
      <c r="I1161" s="16" t="str">
        <f t="shared" si="5"/>
        <v>collected</v>
      </c>
      <c r="J1161" s="16" t="str">
        <f t="shared" si="6"/>
        <v>N</v>
      </c>
      <c r="K1161" s="16"/>
      <c r="L1161" s="16"/>
    </row>
    <row r="1162">
      <c r="A1162" s="40" t="s">
        <v>1661</v>
      </c>
      <c r="B1162" s="10" t="str">
        <f t="shared" si="1"/>
        <v>fatty_acid</v>
      </c>
      <c r="C1162" s="49" t="str">
        <f t="shared" si="2"/>
        <v>S16284FA1</v>
      </c>
      <c r="D1162" s="6">
        <v>35.0</v>
      </c>
      <c r="E1162" s="10" t="str">
        <f t="shared" si="3"/>
        <v>BFA35</v>
      </c>
      <c r="F1162" s="13">
        <v>4.0</v>
      </c>
      <c r="G1162" s="10" t="str">
        <f t="shared" si="4"/>
        <v>BFA35-4</v>
      </c>
      <c r="H1162" s="16"/>
      <c r="I1162" s="16" t="str">
        <f t="shared" si="5"/>
        <v>collected</v>
      </c>
      <c r="J1162" s="16" t="str">
        <f t="shared" si="6"/>
        <v>N</v>
      </c>
      <c r="K1162" s="16"/>
      <c r="L1162" s="16"/>
    </row>
    <row r="1163">
      <c r="A1163" s="40" t="s">
        <v>1663</v>
      </c>
      <c r="B1163" s="10" t="str">
        <f t="shared" si="1"/>
        <v>fatty_acid</v>
      </c>
      <c r="C1163" s="49" t="str">
        <f t="shared" si="2"/>
        <v>S16282FA1</v>
      </c>
      <c r="D1163" s="6">
        <v>35.0</v>
      </c>
      <c r="E1163" s="10" t="str">
        <f t="shared" si="3"/>
        <v>BFA35</v>
      </c>
      <c r="F1163" s="13">
        <v>5.0</v>
      </c>
      <c r="G1163" s="10" t="str">
        <f t="shared" si="4"/>
        <v>BFA35-5</v>
      </c>
      <c r="H1163" s="16"/>
      <c r="I1163" s="16" t="str">
        <f t="shared" si="5"/>
        <v>collected</v>
      </c>
      <c r="J1163" s="16" t="str">
        <f t="shared" si="6"/>
        <v>N</v>
      </c>
      <c r="K1163" s="16"/>
      <c r="L1163" s="16"/>
    </row>
    <row r="1164">
      <c r="A1164" s="40" t="s">
        <v>1664</v>
      </c>
      <c r="B1164" s="10" t="str">
        <f t="shared" si="1"/>
        <v>fatty_acid</v>
      </c>
      <c r="C1164" s="49" t="str">
        <f t="shared" si="2"/>
        <v>S16283FA1</v>
      </c>
      <c r="D1164" s="6">
        <v>35.0</v>
      </c>
      <c r="E1164" s="10" t="str">
        <f t="shared" si="3"/>
        <v>BFA35</v>
      </c>
      <c r="F1164" s="13">
        <v>6.0</v>
      </c>
      <c r="G1164" s="10" t="str">
        <f t="shared" si="4"/>
        <v>BFA35-6</v>
      </c>
      <c r="H1164" s="16"/>
      <c r="I1164" s="16" t="str">
        <f t="shared" si="5"/>
        <v>collected</v>
      </c>
      <c r="J1164" s="16" t="str">
        <f t="shared" si="6"/>
        <v>N</v>
      </c>
      <c r="K1164" s="16"/>
      <c r="L1164" s="16"/>
    </row>
    <row r="1165">
      <c r="A1165" s="40" t="s">
        <v>1665</v>
      </c>
      <c r="B1165" s="10" t="str">
        <f t="shared" si="1"/>
        <v>fatty_acid</v>
      </c>
      <c r="C1165" s="49" t="str">
        <f t="shared" si="2"/>
        <v>S16289FA1</v>
      </c>
      <c r="D1165" s="6">
        <v>35.0</v>
      </c>
      <c r="E1165" s="10" t="str">
        <f t="shared" si="3"/>
        <v>BFA35</v>
      </c>
      <c r="F1165" s="13">
        <v>7.0</v>
      </c>
      <c r="G1165" s="10" t="str">
        <f t="shared" si="4"/>
        <v>BFA35-7</v>
      </c>
      <c r="H1165" s="16"/>
      <c r="I1165" s="16" t="str">
        <f t="shared" si="5"/>
        <v>collected</v>
      </c>
      <c r="J1165" s="16" t="str">
        <f t="shared" si="6"/>
        <v>N</v>
      </c>
      <c r="K1165" s="16"/>
      <c r="L1165" s="16"/>
    </row>
    <row r="1166">
      <c r="A1166" s="40" t="s">
        <v>1666</v>
      </c>
      <c r="B1166" s="10" t="str">
        <f t="shared" si="1"/>
        <v>fatty_acid</v>
      </c>
      <c r="C1166" s="49" t="str">
        <f t="shared" si="2"/>
        <v>S16615FA1</v>
      </c>
      <c r="D1166" s="6">
        <v>35.0</v>
      </c>
      <c r="E1166" s="10" t="str">
        <f t="shared" si="3"/>
        <v>BFA35</v>
      </c>
      <c r="F1166" s="13">
        <v>8.0</v>
      </c>
      <c r="G1166" s="10" t="str">
        <f t="shared" si="4"/>
        <v>BFA35-8</v>
      </c>
      <c r="H1166" s="16"/>
      <c r="I1166" s="16" t="str">
        <f t="shared" si="5"/>
        <v>collected</v>
      </c>
      <c r="J1166" s="16" t="str">
        <f t="shared" si="6"/>
        <v>N</v>
      </c>
      <c r="K1166" s="16"/>
      <c r="L1166" s="16"/>
    </row>
    <row r="1167">
      <c r="A1167" s="40" t="s">
        <v>1667</v>
      </c>
      <c r="B1167" s="10" t="str">
        <f t="shared" si="1"/>
        <v>fatty_acid</v>
      </c>
      <c r="C1167" s="49" t="str">
        <f t="shared" si="2"/>
        <v>S16620FA1</v>
      </c>
      <c r="D1167" s="6">
        <v>35.0</v>
      </c>
      <c r="E1167" s="10" t="str">
        <f t="shared" si="3"/>
        <v>BFA35</v>
      </c>
      <c r="F1167" s="13">
        <v>9.0</v>
      </c>
      <c r="G1167" s="10" t="str">
        <f t="shared" si="4"/>
        <v>BFA35-9</v>
      </c>
      <c r="H1167" s="16"/>
      <c r="I1167" s="16" t="str">
        <f t="shared" si="5"/>
        <v>collected</v>
      </c>
      <c r="J1167" s="16" t="str">
        <f t="shared" si="6"/>
        <v>N</v>
      </c>
      <c r="K1167" s="16"/>
      <c r="L1167" s="16"/>
    </row>
    <row r="1168">
      <c r="A1168" s="40" t="s">
        <v>1669</v>
      </c>
      <c r="B1168" s="10" t="str">
        <f t="shared" si="1"/>
        <v>fatty_acid</v>
      </c>
      <c r="C1168" s="49" t="str">
        <f t="shared" si="2"/>
        <v>S16614FA1</v>
      </c>
      <c r="D1168" s="6">
        <v>35.0</v>
      </c>
      <c r="E1168" s="10" t="str">
        <f t="shared" si="3"/>
        <v>BFA35</v>
      </c>
      <c r="F1168" s="13">
        <v>10.0</v>
      </c>
      <c r="G1168" s="10" t="str">
        <f t="shared" si="4"/>
        <v>BFA35-10</v>
      </c>
      <c r="H1168" s="16"/>
      <c r="I1168" s="16" t="str">
        <f t="shared" si="5"/>
        <v>collected</v>
      </c>
      <c r="J1168" s="16" t="str">
        <f t="shared" si="6"/>
        <v>N</v>
      </c>
      <c r="K1168" s="16"/>
      <c r="L1168" s="16"/>
    </row>
    <row r="1169">
      <c r="A1169" s="40" t="s">
        <v>1670</v>
      </c>
      <c r="B1169" s="10" t="str">
        <f t="shared" si="1"/>
        <v>fatty_acid</v>
      </c>
      <c r="C1169" s="49" t="str">
        <f t="shared" si="2"/>
        <v>S16613FA1</v>
      </c>
      <c r="D1169" s="6">
        <v>35.0</v>
      </c>
      <c r="E1169" s="10" t="str">
        <f t="shared" si="3"/>
        <v>BFA35</v>
      </c>
      <c r="F1169" s="13">
        <v>11.0</v>
      </c>
      <c r="G1169" s="10" t="str">
        <f t="shared" si="4"/>
        <v>BFA35-11</v>
      </c>
      <c r="H1169" s="16"/>
      <c r="I1169" s="16" t="str">
        <f t="shared" si="5"/>
        <v>collected</v>
      </c>
      <c r="J1169" s="16" t="str">
        <f t="shared" si="6"/>
        <v>N</v>
      </c>
      <c r="K1169" s="16"/>
      <c r="L1169" s="16"/>
    </row>
    <row r="1170">
      <c r="A1170" s="40" t="s">
        <v>1671</v>
      </c>
      <c r="B1170" s="10" t="str">
        <f t="shared" si="1"/>
        <v>fatty_acid</v>
      </c>
      <c r="C1170" s="49" t="str">
        <f t="shared" si="2"/>
        <v>S16616FA1</v>
      </c>
      <c r="D1170" s="6">
        <v>35.0</v>
      </c>
      <c r="E1170" s="10" t="str">
        <f t="shared" si="3"/>
        <v>BFA35</v>
      </c>
      <c r="F1170" s="13">
        <v>12.0</v>
      </c>
      <c r="G1170" s="10" t="str">
        <f t="shared" si="4"/>
        <v>BFA35-12</v>
      </c>
      <c r="H1170" s="16"/>
      <c r="I1170" s="16" t="str">
        <f t="shared" si="5"/>
        <v>collected</v>
      </c>
      <c r="J1170" s="16" t="str">
        <f t="shared" si="6"/>
        <v>N</v>
      </c>
      <c r="K1170" s="16"/>
      <c r="L1170" s="16"/>
    </row>
    <row r="1171">
      <c r="A1171" s="40" t="s">
        <v>1672</v>
      </c>
      <c r="B1171" s="10" t="str">
        <f t="shared" si="1"/>
        <v>fatty_acid</v>
      </c>
      <c r="C1171" s="49" t="str">
        <f t="shared" si="2"/>
        <v>S16618FA1</v>
      </c>
      <c r="D1171" s="6">
        <v>35.0</v>
      </c>
      <c r="E1171" s="10" t="str">
        <f t="shared" si="3"/>
        <v>BFA35</v>
      </c>
      <c r="F1171" s="13">
        <v>13.0</v>
      </c>
      <c r="G1171" s="10" t="str">
        <f t="shared" si="4"/>
        <v>BFA35-13</v>
      </c>
      <c r="H1171" s="16"/>
      <c r="I1171" s="16" t="str">
        <f t="shared" si="5"/>
        <v>collected</v>
      </c>
      <c r="J1171" s="16" t="str">
        <f t="shared" si="6"/>
        <v>N</v>
      </c>
      <c r="K1171" s="16"/>
      <c r="L1171" s="16"/>
    </row>
    <row r="1172">
      <c r="A1172" s="40" t="s">
        <v>1674</v>
      </c>
      <c r="B1172" s="10" t="str">
        <f t="shared" si="1"/>
        <v>fatty_acid</v>
      </c>
      <c r="C1172" s="49" t="str">
        <f t="shared" si="2"/>
        <v>S16612FA1</v>
      </c>
      <c r="D1172" s="6">
        <v>35.0</v>
      </c>
      <c r="E1172" s="10" t="str">
        <f t="shared" si="3"/>
        <v>BFA35</v>
      </c>
      <c r="F1172" s="13">
        <v>14.0</v>
      </c>
      <c r="G1172" s="10" t="str">
        <f t="shared" si="4"/>
        <v>BFA35-14</v>
      </c>
      <c r="H1172" s="16"/>
      <c r="I1172" s="16" t="str">
        <f t="shared" si="5"/>
        <v>collected</v>
      </c>
      <c r="J1172" s="16" t="str">
        <f t="shared" si="6"/>
        <v>N</v>
      </c>
      <c r="K1172" s="16"/>
      <c r="L1172" s="16"/>
    </row>
    <row r="1173">
      <c r="A1173" s="40" t="s">
        <v>1675</v>
      </c>
      <c r="B1173" s="10" t="str">
        <f t="shared" si="1"/>
        <v>fatty_acid</v>
      </c>
      <c r="C1173" s="49" t="str">
        <f t="shared" si="2"/>
        <v>S16617FA1</v>
      </c>
      <c r="D1173" s="6">
        <v>35.0</v>
      </c>
      <c r="E1173" s="10" t="str">
        <f t="shared" si="3"/>
        <v>BFA35</v>
      </c>
      <c r="F1173" s="13">
        <v>15.0</v>
      </c>
      <c r="G1173" s="10" t="str">
        <f t="shared" si="4"/>
        <v>BFA35-15</v>
      </c>
      <c r="H1173" s="16"/>
      <c r="I1173" s="16" t="str">
        <f t="shared" si="5"/>
        <v>collected</v>
      </c>
      <c r="J1173" s="16" t="str">
        <f t="shared" si="6"/>
        <v>N</v>
      </c>
      <c r="K1173" s="16"/>
      <c r="L1173" s="16"/>
    </row>
    <row r="1174">
      <c r="A1174" s="40" t="s">
        <v>1676</v>
      </c>
      <c r="B1174" s="10" t="str">
        <f t="shared" si="1"/>
        <v>fatty_acid</v>
      </c>
      <c r="C1174" s="49" t="str">
        <f t="shared" si="2"/>
        <v>S16611FA1</v>
      </c>
      <c r="D1174" s="6">
        <v>35.0</v>
      </c>
      <c r="E1174" s="10" t="str">
        <f t="shared" si="3"/>
        <v>BFA35</v>
      </c>
      <c r="F1174" s="13">
        <v>16.0</v>
      </c>
      <c r="G1174" s="10" t="str">
        <f t="shared" si="4"/>
        <v>BFA35-16</v>
      </c>
      <c r="H1174" s="16"/>
      <c r="I1174" s="16" t="str">
        <f t="shared" si="5"/>
        <v>collected</v>
      </c>
      <c r="J1174" s="16" t="str">
        <f t="shared" si="6"/>
        <v>N</v>
      </c>
      <c r="K1174" s="16"/>
      <c r="L1174" s="16"/>
    </row>
    <row r="1175">
      <c r="A1175" s="40" t="s">
        <v>1677</v>
      </c>
      <c r="B1175" s="10" t="str">
        <f t="shared" si="1"/>
        <v>fatty_acid</v>
      </c>
      <c r="C1175" s="49" t="str">
        <f t="shared" si="2"/>
        <v>S16619FA1</v>
      </c>
      <c r="D1175" s="6">
        <v>35.0</v>
      </c>
      <c r="E1175" s="10" t="str">
        <f t="shared" si="3"/>
        <v>BFA35</v>
      </c>
      <c r="F1175" s="13">
        <v>17.0</v>
      </c>
      <c r="G1175" s="10" t="str">
        <f t="shared" si="4"/>
        <v>BFA35-17</v>
      </c>
      <c r="H1175" s="16"/>
      <c r="I1175" s="16" t="str">
        <f t="shared" si="5"/>
        <v>collected</v>
      </c>
      <c r="J1175" s="16" t="str">
        <f t="shared" si="6"/>
        <v>N</v>
      </c>
      <c r="K1175" s="16"/>
      <c r="L1175" s="16"/>
    </row>
    <row r="1176">
      <c r="A1176" s="40" t="s">
        <v>1678</v>
      </c>
      <c r="B1176" s="10" t="str">
        <f t="shared" si="1"/>
        <v>fatty_acid</v>
      </c>
      <c r="C1176" s="49" t="str">
        <f t="shared" si="2"/>
        <v>S16059FA1</v>
      </c>
      <c r="D1176" s="6">
        <v>35.0</v>
      </c>
      <c r="E1176" s="10" t="str">
        <f t="shared" si="3"/>
        <v>BFA35</v>
      </c>
      <c r="F1176" s="13">
        <v>18.0</v>
      </c>
      <c r="G1176" s="10" t="str">
        <f t="shared" si="4"/>
        <v>BFA35-18</v>
      </c>
      <c r="H1176" s="16"/>
      <c r="I1176" s="16" t="str">
        <f t="shared" si="5"/>
        <v>collected</v>
      </c>
      <c r="J1176" s="16" t="str">
        <f t="shared" si="6"/>
        <v>N</v>
      </c>
      <c r="K1176" s="16"/>
      <c r="L1176" s="16"/>
    </row>
    <row r="1177">
      <c r="A1177" s="40" t="s">
        <v>1680</v>
      </c>
      <c r="B1177" s="10" t="str">
        <f t="shared" si="1"/>
        <v>fatty_acid</v>
      </c>
      <c r="C1177" s="49" t="str">
        <f t="shared" si="2"/>
        <v>S16057FA1</v>
      </c>
      <c r="D1177" s="6">
        <v>35.0</v>
      </c>
      <c r="E1177" s="10" t="str">
        <f t="shared" si="3"/>
        <v>BFA35</v>
      </c>
      <c r="F1177" s="13">
        <v>19.0</v>
      </c>
      <c r="G1177" s="10" t="str">
        <f t="shared" si="4"/>
        <v>BFA35-19</v>
      </c>
      <c r="H1177" s="16"/>
      <c r="I1177" s="16" t="str">
        <f t="shared" si="5"/>
        <v>collected</v>
      </c>
      <c r="J1177" s="16" t="str">
        <f t="shared" si="6"/>
        <v>N</v>
      </c>
      <c r="K1177" s="16"/>
      <c r="L1177" s="16"/>
    </row>
    <row r="1178">
      <c r="A1178" s="40" t="s">
        <v>1681</v>
      </c>
      <c r="B1178" s="10" t="str">
        <f t="shared" si="1"/>
        <v>fatty_acid</v>
      </c>
      <c r="C1178" s="49" t="str">
        <f t="shared" si="2"/>
        <v>S16058FA1</v>
      </c>
      <c r="D1178" s="6">
        <v>35.0</v>
      </c>
      <c r="E1178" s="10" t="str">
        <f t="shared" si="3"/>
        <v>BFA35</v>
      </c>
      <c r="F1178" s="13">
        <v>20.0</v>
      </c>
      <c r="G1178" s="10" t="str">
        <f t="shared" si="4"/>
        <v>BFA35-20</v>
      </c>
      <c r="H1178" s="16"/>
      <c r="I1178" s="16" t="str">
        <f t="shared" si="5"/>
        <v>collected</v>
      </c>
      <c r="J1178" s="16" t="str">
        <f t="shared" si="6"/>
        <v>N</v>
      </c>
      <c r="K1178" s="16"/>
      <c r="L1178" s="16"/>
    </row>
    <row r="1179">
      <c r="A1179" s="40" t="s">
        <v>1682</v>
      </c>
      <c r="B1179" s="10" t="str">
        <f t="shared" si="1"/>
        <v>fatty_acid</v>
      </c>
      <c r="C1179" s="49" t="str">
        <f t="shared" si="2"/>
        <v>S16052FA1</v>
      </c>
      <c r="D1179" s="6">
        <v>35.0</v>
      </c>
      <c r="E1179" s="10" t="str">
        <f t="shared" si="3"/>
        <v>BFA35</v>
      </c>
      <c r="F1179" s="13">
        <v>21.0</v>
      </c>
      <c r="G1179" s="10" t="str">
        <f t="shared" si="4"/>
        <v>BFA35-21</v>
      </c>
      <c r="H1179" s="16"/>
      <c r="I1179" s="16" t="str">
        <f t="shared" si="5"/>
        <v>collected</v>
      </c>
      <c r="J1179" s="16" t="str">
        <f t="shared" si="6"/>
        <v>N</v>
      </c>
      <c r="K1179" s="16"/>
      <c r="L1179" s="16"/>
    </row>
    <row r="1180">
      <c r="A1180" s="40" t="s">
        <v>1683</v>
      </c>
      <c r="B1180" s="10" t="str">
        <f t="shared" si="1"/>
        <v>fatty_acid</v>
      </c>
      <c r="C1180" s="49" t="str">
        <f t="shared" si="2"/>
        <v>S16060FA1</v>
      </c>
      <c r="D1180" s="6">
        <v>35.0</v>
      </c>
      <c r="E1180" s="10" t="str">
        <f t="shared" si="3"/>
        <v>BFA35</v>
      </c>
      <c r="F1180" s="13">
        <v>22.0</v>
      </c>
      <c r="G1180" s="10" t="str">
        <f t="shared" si="4"/>
        <v>BFA35-22</v>
      </c>
      <c r="H1180" s="16"/>
      <c r="I1180" s="16" t="str">
        <f t="shared" si="5"/>
        <v>collected</v>
      </c>
      <c r="J1180" s="16" t="str">
        <f t="shared" si="6"/>
        <v>N</v>
      </c>
      <c r="K1180" s="16"/>
      <c r="L1180" s="16"/>
    </row>
    <row r="1181">
      <c r="A1181" s="40" t="s">
        <v>1684</v>
      </c>
      <c r="B1181" s="10" t="str">
        <f t="shared" si="1"/>
        <v>fatty_acid</v>
      </c>
      <c r="C1181" s="49" t="str">
        <f t="shared" si="2"/>
        <v>S16055FA1</v>
      </c>
      <c r="D1181" s="6">
        <v>35.0</v>
      </c>
      <c r="E1181" s="10" t="str">
        <f t="shared" si="3"/>
        <v>BFA35</v>
      </c>
      <c r="F1181" s="13">
        <v>23.0</v>
      </c>
      <c r="G1181" s="10" t="str">
        <f t="shared" si="4"/>
        <v>BFA35-23</v>
      </c>
      <c r="H1181" s="16"/>
      <c r="I1181" s="16" t="str">
        <f t="shared" si="5"/>
        <v>collected</v>
      </c>
      <c r="J1181" s="16" t="str">
        <f t="shared" si="6"/>
        <v>N</v>
      </c>
      <c r="K1181" s="16"/>
      <c r="L1181" s="16"/>
    </row>
    <row r="1182">
      <c r="A1182" s="40" t="s">
        <v>1686</v>
      </c>
      <c r="B1182" s="10" t="str">
        <f t="shared" si="1"/>
        <v>fatty_acid</v>
      </c>
      <c r="C1182" s="49" t="str">
        <f t="shared" si="2"/>
        <v>S16056FA1</v>
      </c>
      <c r="D1182" s="6">
        <v>35.0</v>
      </c>
      <c r="E1182" s="10" t="str">
        <f t="shared" si="3"/>
        <v>BFA35</v>
      </c>
      <c r="F1182" s="13">
        <v>24.0</v>
      </c>
      <c r="G1182" s="10" t="str">
        <f t="shared" si="4"/>
        <v>BFA35-24</v>
      </c>
      <c r="H1182" s="16"/>
      <c r="I1182" s="16" t="str">
        <f t="shared" si="5"/>
        <v>collected</v>
      </c>
      <c r="J1182" s="16" t="str">
        <f t="shared" si="6"/>
        <v>N</v>
      </c>
      <c r="K1182" s="16"/>
      <c r="L1182" s="16"/>
    </row>
    <row r="1183">
      <c r="A1183" s="40" t="s">
        <v>1687</v>
      </c>
      <c r="B1183" s="10" t="str">
        <f t="shared" si="1"/>
        <v>fatty_acid</v>
      </c>
      <c r="C1183" s="49" t="str">
        <f t="shared" si="2"/>
        <v>S16053FA1</v>
      </c>
      <c r="D1183" s="6">
        <v>35.0</v>
      </c>
      <c r="E1183" s="10" t="str">
        <f t="shared" si="3"/>
        <v>BFA35</v>
      </c>
      <c r="F1183" s="13">
        <v>25.0</v>
      </c>
      <c r="G1183" s="10" t="str">
        <f t="shared" si="4"/>
        <v>BFA35-25</v>
      </c>
      <c r="H1183" s="16"/>
      <c r="I1183" s="16" t="str">
        <f t="shared" si="5"/>
        <v>collected</v>
      </c>
      <c r="J1183" s="16" t="str">
        <f t="shared" si="6"/>
        <v>N</v>
      </c>
      <c r="K1183" s="16"/>
      <c r="L1183" s="16"/>
    </row>
    <row r="1184">
      <c r="A1184" s="40" t="s">
        <v>1688</v>
      </c>
      <c r="B1184" s="10" t="str">
        <f t="shared" si="1"/>
        <v>fatty_acid</v>
      </c>
      <c r="C1184" s="49" t="str">
        <f t="shared" si="2"/>
        <v>S16054FA1</v>
      </c>
      <c r="D1184" s="6">
        <v>35.0</v>
      </c>
      <c r="E1184" s="10" t="str">
        <f t="shared" si="3"/>
        <v>BFA35</v>
      </c>
      <c r="F1184" s="13">
        <v>26.0</v>
      </c>
      <c r="G1184" s="10" t="str">
        <f t="shared" si="4"/>
        <v>BFA35-26</v>
      </c>
      <c r="H1184" s="16"/>
      <c r="I1184" s="16" t="str">
        <f t="shared" si="5"/>
        <v>collected</v>
      </c>
      <c r="J1184" s="16" t="str">
        <f t="shared" si="6"/>
        <v>N</v>
      </c>
      <c r="K1184" s="16"/>
      <c r="L1184" s="16"/>
    </row>
    <row r="1185">
      <c r="A1185" s="40" t="s">
        <v>1690</v>
      </c>
      <c r="B1185" s="10" t="str">
        <f t="shared" si="1"/>
        <v>fatty_acid</v>
      </c>
      <c r="C1185" s="49" t="str">
        <f t="shared" si="2"/>
        <v>S16051FA1</v>
      </c>
      <c r="D1185" s="6">
        <v>35.0</v>
      </c>
      <c r="E1185" s="10" t="str">
        <f t="shared" si="3"/>
        <v>BFA35</v>
      </c>
      <c r="F1185" s="13">
        <v>27.0</v>
      </c>
      <c r="G1185" s="10" t="str">
        <f t="shared" si="4"/>
        <v>BFA35-27</v>
      </c>
      <c r="H1185" s="16"/>
      <c r="I1185" s="16" t="str">
        <f t="shared" si="5"/>
        <v>collected</v>
      </c>
      <c r="J1185" s="16" t="str">
        <f t="shared" si="6"/>
        <v>N</v>
      </c>
      <c r="K1185" s="16"/>
      <c r="L1185" s="16"/>
    </row>
    <row r="1186">
      <c r="A1186" s="40" t="s">
        <v>1691</v>
      </c>
      <c r="B1186" s="10" t="str">
        <f t="shared" si="1"/>
        <v>fatty_acid</v>
      </c>
      <c r="C1186" s="49" t="str">
        <f t="shared" si="2"/>
        <v>S16205FA1</v>
      </c>
      <c r="D1186" s="6">
        <v>35.0</v>
      </c>
      <c r="E1186" s="10" t="str">
        <f t="shared" si="3"/>
        <v>BFA35</v>
      </c>
      <c r="F1186" s="13">
        <v>28.0</v>
      </c>
      <c r="G1186" s="10" t="str">
        <f t="shared" si="4"/>
        <v>BFA35-28</v>
      </c>
      <c r="H1186" s="16"/>
      <c r="I1186" s="16" t="str">
        <f t="shared" si="5"/>
        <v>collected</v>
      </c>
      <c r="J1186" s="16" t="str">
        <f t="shared" si="6"/>
        <v>N</v>
      </c>
      <c r="K1186" s="16"/>
      <c r="L1186" s="16"/>
    </row>
    <row r="1187">
      <c r="A1187" s="40" t="s">
        <v>1692</v>
      </c>
      <c r="B1187" s="10" t="str">
        <f t="shared" si="1"/>
        <v>fatty_acid</v>
      </c>
      <c r="C1187" s="49" t="str">
        <f t="shared" si="2"/>
        <v>S16201FA1</v>
      </c>
      <c r="D1187" s="6">
        <v>35.0</v>
      </c>
      <c r="E1187" s="10" t="str">
        <f t="shared" si="3"/>
        <v>BFA35</v>
      </c>
      <c r="F1187" s="13">
        <v>29.0</v>
      </c>
      <c r="G1187" s="10" t="str">
        <f t="shared" si="4"/>
        <v>BFA35-29</v>
      </c>
      <c r="H1187" s="16"/>
      <c r="I1187" s="16" t="str">
        <f t="shared" si="5"/>
        <v>collected</v>
      </c>
      <c r="J1187" s="16" t="str">
        <f t="shared" si="6"/>
        <v>N</v>
      </c>
      <c r="K1187" s="16"/>
      <c r="L1187" s="16"/>
    </row>
    <row r="1188">
      <c r="A1188" s="40" t="s">
        <v>1693</v>
      </c>
      <c r="B1188" s="10" t="str">
        <f t="shared" si="1"/>
        <v>fatty_acid</v>
      </c>
      <c r="C1188" s="49" t="str">
        <f t="shared" si="2"/>
        <v>S16209FA1</v>
      </c>
      <c r="D1188" s="6">
        <v>35.0</v>
      </c>
      <c r="E1188" s="10" t="str">
        <f t="shared" si="3"/>
        <v>BFA35</v>
      </c>
      <c r="F1188" s="13">
        <v>30.0</v>
      </c>
      <c r="G1188" s="10" t="str">
        <f t="shared" si="4"/>
        <v>BFA35-30</v>
      </c>
      <c r="H1188" s="16"/>
      <c r="I1188" s="16" t="str">
        <f t="shared" si="5"/>
        <v>collected</v>
      </c>
      <c r="J1188" s="16" t="str">
        <f t="shared" si="6"/>
        <v>N</v>
      </c>
      <c r="K1188" s="16"/>
      <c r="L1188" s="16"/>
    </row>
    <row r="1189">
      <c r="A1189" s="40" t="s">
        <v>1695</v>
      </c>
      <c r="B1189" s="10" t="str">
        <f t="shared" si="1"/>
        <v>fatty_acid</v>
      </c>
      <c r="C1189" s="49" t="str">
        <f t="shared" si="2"/>
        <v>S16203FA1</v>
      </c>
      <c r="D1189" s="6">
        <v>35.0</v>
      </c>
      <c r="E1189" s="10" t="str">
        <f t="shared" si="3"/>
        <v>BFA35</v>
      </c>
      <c r="F1189" s="13">
        <v>31.0</v>
      </c>
      <c r="G1189" s="10" t="str">
        <f t="shared" si="4"/>
        <v>BFA35-31</v>
      </c>
      <c r="H1189" s="16"/>
      <c r="I1189" s="16" t="str">
        <f t="shared" si="5"/>
        <v>collected</v>
      </c>
      <c r="J1189" s="16" t="str">
        <f t="shared" si="6"/>
        <v>N</v>
      </c>
      <c r="K1189" s="16"/>
      <c r="L1189" s="16"/>
    </row>
    <row r="1190">
      <c r="A1190" s="40" t="s">
        <v>1696</v>
      </c>
      <c r="B1190" s="10" t="str">
        <f t="shared" si="1"/>
        <v>fatty_acid</v>
      </c>
      <c r="C1190" s="49" t="str">
        <f t="shared" si="2"/>
        <v>S17558FA1</v>
      </c>
      <c r="D1190" s="6">
        <v>22.0</v>
      </c>
      <c r="E1190" s="10" t="str">
        <f t="shared" si="3"/>
        <v>BFA22</v>
      </c>
      <c r="F1190" s="13">
        <v>73.0</v>
      </c>
      <c r="G1190" s="10" t="str">
        <f t="shared" si="4"/>
        <v>BFA22-73</v>
      </c>
      <c r="H1190" s="16"/>
      <c r="I1190" s="16" t="str">
        <f t="shared" si="5"/>
        <v>collected</v>
      </c>
      <c r="J1190" s="16" t="str">
        <f t="shared" si="6"/>
        <v>N</v>
      </c>
      <c r="K1190" s="16"/>
      <c r="L1190" s="16"/>
    </row>
    <row r="1191">
      <c r="A1191" s="40" t="s">
        <v>1697</v>
      </c>
      <c r="B1191" s="10" t="str">
        <f t="shared" si="1"/>
        <v>fatty_acid</v>
      </c>
      <c r="C1191" s="49" t="str">
        <f t="shared" si="2"/>
        <v>S17557FA1</v>
      </c>
      <c r="D1191" s="6">
        <v>22.0</v>
      </c>
      <c r="E1191" s="10" t="str">
        <f t="shared" si="3"/>
        <v>BFA22</v>
      </c>
      <c r="F1191" s="13">
        <v>74.0</v>
      </c>
      <c r="G1191" s="10" t="str">
        <f t="shared" si="4"/>
        <v>BFA22-74</v>
      </c>
      <c r="H1191" s="16"/>
      <c r="I1191" s="16" t="str">
        <f t="shared" si="5"/>
        <v>collected</v>
      </c>
      <c r="J1191" s="16" t="str">
        <f t="shared" si="6"/>
        <v>N</v>
      </c>
      <c r="K1191" s="16"/>
      <c r="L1191" s="16"/>
    </row>
    <row r="1192">
      <c r="A1192" s="40" t="s">
        <v>1698</v>
      </c>
      <c r="B1192" s="10" t="str">
        <f t="shared" si="1"/>
        <v>fatty_acid</v>
      </c>
      <c r="C1192" s="49" t="str">
        <f t="shared" si="2"/>
        <v>S17555FA1</v>
      </c>
      <c r="D1192" s="6">
        <v>22.0</v>
      </c>
      <c r="E1192" s="10" t="str">
        <f t="shared" si="3"/>
        <v>BFA22</v>
      </c>
      <c r="F1192" s="13">
        <v>75.0</v>
      </c>
      <c r="G1192" s="10" t="str">
        <f t="shared" si="4"/>
        <v>BFA22-75</v>
      </c>
      <c r="H1192" s="16"/>
      <c r="I1192" s="16" t="str">
        <f t="shared" si="5"/>
        <v>collected</v>
      </c>
      <c r="J1192" s="16" t="str">
        <f t="shared" si="6"/>
        <v>N</v>
      </c>
      <c r="K1192" s="16"/>
      <c r="L1192" s="16"/>
    </row>
    <row r="1193">
      <c r="A1193" s="40" t="s">
        <v>1699</v>
      </c>
      <c r="B1193" s="10" t="str">
        <f t="shared" si="1"/>
        <v>fatty_acid</v>
      </c>
      <c r="C1193" s="49" t="str">
        <f t="shared" si="2"/>
        <v>S17559FA1</v>
      </c>
      <c r="D1193" s="6">
        <v>22.0</v>
      </c>
      <c r="E1193" s="10" t="str">
        <f t="shared" si="3"/>
        <v>BFA22</v>
      </c>
      <c r="F1193" s="13">
        <v>76.0</v>
      </c>
      <c r="G1193" s="10" t="str">
        <f t="shared" si="4"/>
        <v>BFA22-76</v>
      </c>
      <c r="H1193" s="16"/>
      <c r="I1193" s="16" t="str">
        <f t="shared" si="5"/>
        <v>collected</v>
      </c>
      <c r="J1193" s="16" t="str">
        <f t="shared" si="6"/>
        <v>N</v>
      </c>
      <c r="K1193" s="16"/>
      <c r="L1193" s="16"/>
    </row>
    <row r="1194">
      <c r="A1194" s="40" t="s">
        <v>1701</v>
      </c>
      <c r="B1194" s="10" t="str">
        <f t="shared" si="1"/>
        <v>fatty_acid</v>
      </c>
      <c r="C1194" s="49" t="str">
        <f t="shared" si="2"/>
        <v>S17288FA1</v>
      </c>
      <c r="D1194" s="6">
        <v>22.0</v>
      </c>
      <c r="E1194" s="10" t="str">
        <f t="shared" si="3"/>
        <v>BFA22</v>
      </c>
      <c r="F1194" s="13">
        <v>77.0</v>
      </c>
      <c r="G1194" s="10" t="str">
        <f t="shared" si="4"/>
        <v>BFA22-77</v>
      </c>
      <c r="H1194" s="16"/>
      <c r="I1194" s="16" t="str">
        <f t="shared" si="5"/>
        <v>collected</v>
      </c>
      <c r="J1194" s="16" t="str">
        <f t="shared" si="6"/>
        <v>N</v>
      </c>
      <c r="K1194" s="16"/>
      <c r="L1194" s="16"/>
    </row>
    <row r="1195">
      <c r="A1195" s="40" t="s">
        <v>1702</v>
      </c>
      <c r="B1195" s="10" t="str">
        <f t="shared" si="1"/>
        <v>fatty_acid</v>
      </c>
      <c r="C1195" s="49" t="str">
        <f t="shared" si="2"/>
        <v>S17285FA1</v>
      </c>
      <c r="D1195" s="6">
        <v>22.0</v>
      </c>
      <c r="E1195" s="10" t="str">
        <f t="shared" si="3"/>
        <v>BFA22</v>
      </c>
      <c r="F1195" s="13">
        <v>78.0</v>
      </c>
      <c r="G1195" s="10" t="str">
        <f t="shared" si="4"/>
        <v>BFA22-78</v>
      </c>
      <c r="H1195" s="16"/>
      <c r="I1195" s="16" t="str">
        <f t="shared" si="5"/>
        <v>collected</v>
      </c>
      <c r="J1195" s="16" t="str">
        <f t="shared" si="6"/>
        <v>N</v>
      </c>
      <c r="K1195" s="16"/>
      <c r="L1195" s="16"/>
    </row>
    <row r="1196">
      <c r="A1196" s="40" t="s">
        <v>1703</v>
      </c>
      <c r="B1196" s="10" t="str">
        <f t="shared" si="1"/>
        <v>fatty_acid</v>
      </c>
      <c r="C1196" s="49" t="str">
        <f t="shared" si="2"/>
        <v>S17281FA1</v>
      </c>
      <c r="D1196" s="6">
        <v>22.0</v>
      </c>
      <c r="E1196" s="10" t="str">
        <f t="shared" si="3"/>
        <v>BFA22</v>
      </c>
      <c r="F1196" s="13">
        <v>79.0</v>
      </c>
      <c r="G1196" s="10" t="str">
        <f t="shared" si="4"/>
        <v>BFA22-79</v>
      </c>
      <c r="H1196" s="16"/>
      <c r="I1196" s="16" t="str">
        <f t="shared" si="5"/>
        <v>collected</v>
      </c>
      <c r="J1196" s="16" t="str">
        <f t="shared" si="6"/>
        <v>N</v>
      </c>
      <c r="K1196" s="16"/>
      <c r="L1196" s="16"/>
    </row>
    <row r="1197">
      <c r="A1197" s="40" t="s">
        <v>1704</v>
      </c>
      <c r="B1197" s="10" t="str">
        <f t="shared" si="1"/>
        <v>fatty_acid</v>
      </c>
      <c r="C1197" s="49" t="str">
        <f t="shared" si="2"/>
        <v>S17287FA1</v>
      </c>
      <c r="D1197" s="6">
        <v>22.0</v>
      </c>
      <c r="E1197" s="10" t="str">
        <f t="shared" si="3"/>
        <v>BFA22</v>
      </c>
      <c r="F1197" s="13">
        <v>80.0</v>
      </c>
      <c r="G1197" s="10" t="str">
        <f t="shared" si="4"/>
        <v>BFA22-80</v>
      </c>
      <c r="H1197" s="16"/>
      <c r="I1197" s="16" t="str">
        <f t="shared" si="5"/>
        <v>collected</v>
      </c>
      <c r="J1197" s="16" t="str">
        <f t="shared" si="6"/>
        <v>N</v>
      </c>
      <c r="K1197" s="16"/>
      <c r="L1197" s="16"/>
    </row>
    <row r="1198">
      <c r="A1198" s="40" t="s">
        <v>1706</v>
      </c>
      <c r="B1198" s="10" t="str">
        <f t="shared" si="1"/>
        <v>fatty_acid</v>
      </c>
      <c r="C1198" s="49" t="str">
        <f t="shared" si="2"/>
        <v>S17283FA1</v>
      </c>
      <c r="D1198" s="6">
        <v>22.0</v>
      </c>
      <c r="E1198" s="10" t="str">
        <f t="shared" si="3"/>
        <v>BFA22</v>
      </c>
      <c r="F1198" s="13">
        <v>81.0</v>
      </c>
      <c r="G1198" s="10" t="str">
        <f t="shared" si="4"/>
        <v>BFA22-81</v>
      </c>
      <c r="H1198" s="16"/>
      <c r="I1198" s="16" t="str">
        <f t="shared" si="5"/>
        <v>collected</v>
      </c>
      <c r="J1198" s="16" t="str">
        <f t="shared" si="6"/>
        <v>N</v>
      </c>
      <c r="K1198" s="16"/>
      <c r="L1198" s="16"/>
    </row>
    <row r="1199">
      <c r="A1199" s="40" t="s">
        <v>1707</v>
      </c>
      <c r="B1199" s="10" t="str">
        <f t="shared" si="1"/>
        <v>fatty_acid</v>
      </c>
      <c r="C1199" s="49" t="str">
        <f t="shared" si="2"/>
        <v>S17290FA1</v>
      </c>
      <c r="D1199" s="6">
        <v>33.0</v>
      </c>
      <c r="E1199" s="10" t="str">
        <f t="shared" si="3"/>
        <v>BFA33</v>
      </c>
      <c r="F1199" s="13">
        <v>12.0</v>
      </c>
      <c r="G1199" s="10" t="str">
        <f t="shared" si="4"/>
        <v>BFA33-12</v>
      </c>
      <c r="H1199" s="16"/>
      <c r="I1199" s="16" t="str">
        <f t="shared" si="5"/>
        <v>collected</v>
      </c>
      <c r="J1199" s="16" t="str">
        <f t="shared" si="6"/>
        <v>N</v>
      </c>
      <c r="K1199" s="16"/>
      <c r="L1199" s="16"/>
    </row>
    <row r="1200">
      <c r="A1200" s="40" t="s">
        <v>1708</v>
      </c>
      <c r="B1200" s="10" t="str">
        <f t="shared" si="1"/>
        <v>fatty_acid</v>
      </c>
      <c r="C1200" s="49" t="str">
        <f t="shared" si="2"/>
        <v>S17289FA1</v>
      </c>
      <c r="D1200" s="6">
        <v>33.0</v>
      </c>
      <c r="E1200" s="10" t="str">
        <f t="shared" si="3"/>
        <v>BFA33</v>
      </c>
      <c r="F1200" s="13">
        <v>13.0</v>
      </c>
      <c r="G1200" s="10" t="str">
        <f t="shared" si="4"/>
        <v>BFA33-13</v>
      </c>
      <c r="H1200" s="16"/>
      <c r="I1200" s="16" t="str">
        <f t="shared" si="5"/>
        <v>collected</v>
      </c>
      <c r="J1200" s="16" t="str">
        <f t="shared" si="6"/>
        <v>N</v>
      </c>
      <c r="K1200" s="16"/>
      <c r="L1200" s="16"/>
    </row>
    <row r="1201">
      <c r="A1201" s="40" t="s">
        <v>1709</v>
      </c>
      <c r="B1201" s="10" t="str">
        <f t="shared" si="1"/>
        <v>fatty_acid</v>
      </c>
      <c r="C1201" s="49" t="str">
        <f t="shared" si="2"/>
        <v>S17286FA1</v>
      </c>
      <c r="D1201" s="6">
        <v>33.0</v>
      </c>
      <c r="E1201" s="10" t="str">
        <f t="shared" si="3"/>
        <v>BFA33</v>
      </c>
      <c r="F1201" s="13">
        <v>14.0</v>
      </c>
      <c r="G1201" s="10" t="str">
        <f t="shared" si="4"/>
        <v>BFA33-14</v>
      </c>
      <c r="H1201" s="16"/>
      <c r="I1201" s="16" t="str">
        <f t="shared" si="5"/>
        <v>collected</v>
      </c>
      <c r="J1201" s="16" t="str">
        <f t="shared" si="6"/>
        <v>N</v>
      </c>
      <c r="K1201" s="16"/>
      <c r="L1201" s="16"/>
    </row>
    <row r="1202">
      <c r="A1202" s="40" t="s">
        <v>1711</v>
      </c>
      <c r="B1202" s="10" t="str">
        <f t="shared" si="1"/>
        <v>fatty_acid</v>
      </c>
      <c r="C1202" s="49" t="str">
        <f t="shared" si="2"/>
        <v>S17282FA1</v>
      </c>
      <c r="D1202" s="6">
        <v>33.0</v>
      </c>
      <c r="E1202" s="10" t="str">
        <f t="shared" si="3"/>
        <v>BFA33</v>
      </c>
      <c r="F1202" s="13">
        <v>15.0</v>
      </c>
      <c r="G1202" s="10" t="str">
        <f t="shared" si="4"/>
        <v>BFA33-15</v>
      </c>
      <c r="H1202" s="16"/>
      <c r="I1202" s="16" t="str">
        <f t="shared" si="5"/>
        <v>collected</v>
      </c>
      <c r="J1202" s="16" t="str">
        <f t="shared" si="6"/>
        <v>N</v>
      </c>
      <c r="K1202" s="16"/>
      <c r="L1202" s="16"/>
    </row>
    <row r="1203">
      <c r="A1203" s="40" t="s">
        <v>1712</v>
      </c>
      <c r="B1203" s="10" t="str">
        <f t="shared" si="1"/>
        <v>fatty_acid</v>
      </c>
      <c r="C1203" s="49" t="str">
        <f t="shared" si="2"/>
        <v>S17284FA1</v>
      </c>
      <c r="D1203" s="6">
        <v>33.0</v>
      </c>
      <c r="E1203" s="10" t="str">
        <f t="shared" si="3"/>
        <v>BFA33</v>
      </c>
      <c r="F1203" s="13">
        <v>16.0</v>
      </c>
      <c r="G1203" s="10" t="str">
        <f t="shared" si="4"/>
        <v>BFA33-16</v>
      </c>
      <c r="H1203" s="16"/>
      <c r="I1203" s="16" t="str">
        <f t="shared" si="5"/>
        <v>collected</v>
      </c>
      <c r="J1203" s="16" t="str">
        <f t="shared" si="6"/>
        <v>N</v>
      </c>
      <c r="K1203" s="16"/>
      <c r="L1203" s="16"/>
    </row>
    <row r="1204">
      <c r="A1204" s="40" t="s">
        <v>1713</v>
      </c>
      <c r="B1204" s="10" t="str">
        <f t="shared" si="1"/>
        <v>fatty_acid</v>
      </c>
      <c r="C1204" s="49" t="str">
        <f t="shared" si="2"/>
        <v>S17682FA1</v>
      </c>
      <c r="D1204" s="6">
        <v>33.0</v>
      </c>
      <c r="E1204" s="10" t="str">
        <f t="shared" si="3"/>
        <v>BFA33</v>
      </c>
      <c r="F1204" s="13">
        <v>17.0</v>
      </c>
      <c r="G1204" s="10" t="str">
        <f t="shared" si="4"/>
        <v>BFA33-17</v>
      </c>
      <c r="H1204" s="16"/>
      <c r="I1204" s="16" t="str">
        <f t="shared" si="5"/>
        <v>collected</v>
      </c>
      <c r="J1204" s="16" t="str">
        <f t="shared" si="6"/>
        <v>N</v>
      </c>
      <c r="K1204" s="16"/>
      <c r="L1204" s="16"/>
    </row>
    <row r="1205">
      <c r="A1205" s="40" t="s">
        <v>1714</v>
      </c>
      <c r="B1205" s="10" t="str">
        <f t="shared" si="1"/>
        <v>fatty_acid</v>
      </c>
      <c r="C1205" s="49" t="str">
        <f t="shared" si="2"/>
        <v>S17686FA1</v>
      </c>
      <c r="D1205" s="6">
        <v>33.0</v>
      </c>
      <c r="E1205" s="10" t="str">
        <f t="shared" si="3"/>
        <v>BFA33</v>
      </c>
      <c r="F1205" s="13">
        <v>18.0</v>
      </c>
      <c r="G1205" s="10" t="str">
        <f t="shared" si="4"/>
        <v>BFA33-18</v>
      </c>
      <c r="H1205" s="16"/>
      <c r="I1205" s="16" t="str">
        <f t="shared" si="5"/>
        <v>collected</v>
      </c>
      <c r="J1205" s="16" t="str">
        <f t="shared" si="6"/>
        <v>N</v>
      </c>
      <c r="K1205" s="16"/>
      <c r="L1205" s="16"/>
    </row>
    <row r="1206">
      <c r="A1206" s="40" t="s">
        <v>1715</v>
      </c>
      <c r="B1206" s="10" t="str">
        <f t="shared" si="1"/>
        <v>fatty_acid</v>
      </c>
      <c r="C1206" s="49" t="str">
        <f t="shared" si="2"/>
        <v>S17685FA1</v>
      </c>
      <c r="D1206" s="6">
        <v>33.0</v>
      </c>
      <c r="E1206" s="10" t="str">
        <f t="shared" si="3"/>
        <v>BFA33</v>
      </c>
      <c r="F1206" s="13">
        <v>19.0</v>
      </c>
      <c r="G1206" s="10" t="str">
        <f t="shared" si="4"/>
        <v>BFA33-19</v>
      </c>
      <c r="H1206" s="16"/>
      <c r="I1206" s="16" t="str">
        <f t="shared" si="5"/>
        <v>collected</v>
      </c>
      <c r="J1206" s="16" t="str">
        <f t="shared" si="6"/>
        <v>N</v>
      </c>
      <c r="K1206" s="16"/>
      <c r="L1206" s="16"/>
    </row>
    <row r="1207">
      <c r="A1207" s="40" t="s">
        <v>1717</v>
      </c>
      <c r="B1207" s="10" t="str">
        <f t="shared" si="1"/>
        <v>fatty_acid</v>
      </c>
      <c r="C1207" s="49" t="str">
        <f t="shared" si="2"/>
        <v>S17688FA1</v>
      </c>
      <c r="D1207" s="6">
        <v>33.0</v>
      </c>
      <c r="E1207" s="10" t="str">
        <f t="shared" si="3"/>
        <v>BFA33</v>
      </c>
      <c r="F1207" s="13">
        <v>20.0</v>
      </c>
      <c r="G1207" s="10" t="str">
        <f t="shared" si="4"/>
        <v>BFA33-20</v>
      </c>
      <c r="H1207" s="16"/>
      <c r="I1207" s="16" t="str">
        <f t="shared" si="5"/>
        <v>collected</v>
      </c>
      <c r="J1207" s="16" t="str">
        <f t="shared" si="6"/>
        <v>N</v>
      </c>
      <c r="K1207" s="16"/>
      <c r="L1207" s="16"/>
    </row>
    <row r="1208">
      <c r="A1208" s="40" t="s">
        <v>1718</v>
      </c>
      <c r="B1208" s="10" t="str">
        <f t="shared" si="1"/>
        <v>fatty_acid</v>
      </c>
      <c r="C1208" s="49" t="str">
        <f t="shared" si="2"/>
        <v>S17681FA1</v>
      </c>
      <c r="D1208" s="6">
        <v>33.0</v>
      </c>
      <c r="E1208" s="10" t="str">
        <f t="shared" si="3"/>
        <v>BFA33</v>
      </c>
      <c r="F1208" s="13">
        <v>21.0</v>
      </c>
      <c r="G1208" s="10" t="str">
        <f t="shared" si="4"/>
        <v>BFA33-21</v>
      </c>
      <c r="H1208" s="16"/>
      <c r="I1208" s="16" t="str">
        <f t="shared" si="5"/>
        <v>collected</v>
      </c>
      <c r="J1208" s="16" t="str">
        <f t="shared" si="6"/>
        <v>N</v>
      </c>
      <c r="K1208" s="16"/>
      <c r="L1208" s="16"/>
    </row>
    <row r="1209">
      <c r="A1209" s="40" t="s">
        <v>1719</v>
      </c>
      <c r="B1209" s="10" t="str">
        <f t="shared" si="1"/>
        <v>fatty_acid</v>
      </c>
      <c r="C1209" s="49" t="str">
        <f t="shared" si="2"/>
        <v>S17687FA1</v>
      </c>
      <c r="D1209" s="6">
        <v>33.0</v>
      </c>
      <c r="E1209" s="10" t="str">
        <f t="shared" si="3"/>
        <v>BFA33</v>
      </c>
      <c r="F1209" s="13">
        <v>22.0</v>
      </c>
      <c r="G1209" s="10" t="str">
        <f t="shared" si="4"/>
        <v>BFA33-22</v>
      </c>
      <c r="H1209" s="16"/>
      <c r="I1209" s="16" t="str">
        <f t="shared" si="5"/>
        <v>collected</v>
      </c>
      <c r="J1209" s="16" t="str">
        <f t="shared" si="6"/>
        <v>N</v>
      </c>
      <c r="K1209" s="16"/>
      <c r="L1209" s="16"/>
    </row>
    <row r="1210">
      <c r="A1210" s="40" t="s">
        <v>1721</v>
      </c>
      <c r="B1210" s="10" t="str">
        <f t="shared" si="1"/>
        <v>fatty_acid</v>
      </c>
      <c r="C1210" s="49" t="str">
        <f t="shared" si="2"/>
        <v>S17689FA1</v>
      </c>
      <c r="D1210" s="6">
        <v>33.0</v>
      </c>
      <c r="E1210" s="10" t="str">
        <f t="shared" si="3"/>
        <v>BFA33</v>
      </c>
      <c r="F1210" s="13">
        <v>23.0</v>
      </c>
      <c r="G1210" s="10" t="str">
        <f t="shared" si="4"/>
        <v>BFA33-23</v>
      </c>
      <c r="H1210" s="16"/>
      <c r="I1210" s="16" t="str">
        <f t="shared" si="5"/>
        <v>collected</v>
      </c>
      <c r="J1210" s="16" t="str">
        <f t="shared" si="6"/>
        <v>N</v>
      </c>
      <c r="K1210" s="16"/>
      <c r="L1210" s="16"/>
    </row>
    <row r="1211">
      <c r="A1211" s="40" t="s">
        <v>1722</v>
      </c>
      <c r="B1211" s="10" t="str">
        <f t="shared" si="1"/>
        <v>fatty_acid</v>
      </c>
      <c r="C1211" s="49" t="str">
        <f t="shared" si="2"/>
        <v>S17684FA1</v>
      </c>
      <c r="D1211" s="6">
        <v>33.0</v>
      </c>
      <c r="E1211" s="10" t="str">
        <f t="shared" si="3"/>
        <v>BFA33</v>
      </c>
      <c r="F1211" s="13">
        <v>24.0</v>
      </c>
      <c r="G1211" s="10" t="str">
        <f t="shared" si="4"/>
        <v>BFA33-24</v>
      </c>
      <c r="H1211" s="16"/>
      <c r="I1211" s="16" t="str">
        <f t="shared" si="5"/>
        <v>collected</v>
      </c>
      <c r="J1211" s="16" t="str">
        <f t="shared" si="6"/>
        <v>N</v>
      </c>
      <c r="K1211" s="16"/>
      <c r="L1211" s="16"/>
    </row>
    <row r="1212">
      <c r="A1212" s="40" t="s">
        <v>1723</v>
      </c>
      <c r="B1212" s="10" t="str">
        <f t="shared" si="1"/>
        <v>fatty_acid</v>
      </c>
      <c r="C1212" s="49" t="str">
        <f t="shared" si="2"/>
        <v>S17683FA1</v>
      </c>
      <c r="D1212" s="6">
        <v>33.0</v>
      </c>
      <c r="E1212" s="10" t="str">
        <f t="shared" si="3"/>
        <v>BFA33</v>
      </c>
      <c r="F1212" s="13">
        <v>25.0</v>
      </c>
      <c r="G1212" s="10" t="str">
        <f t="shared" si="4"/>
        <v>BFA33-25</v>
      </c>
      <c r="H1212" s="16"/>
      <c r="I1212" s="16" t="str">
        <f t="shared" si="5"/>
        <v>collected</v>
      </c>
      <c r="J1212" s="16" t="str">
        <f t="shared" si="6"/>
        <v>N</v>
      </c>
      <c r="K1212" s="16"/>
      <c r="L1212" s="16"/>
    </row>
    <row r="1213">
      <c r="A1213" s="40" t="s">
        <v>1724</v>
      </c>
      <c r="B1213" s="10" t="str">
        <f t="shared" si="1"/>
        <v>fatty_acid</v>
      </c>
      <c r="C1213" s="49" t="str">
        <f t="shared" si="2"/>
        <v>S17690FA1</v>
      </c>
      <c r="D1213" s="6">
        <v>33.0</v>
      </c>
      <c r="E1213" s="10" t="str">
        <f t="shared" si="3"/>
        <v>BFA33</v>
      </c>
      <c r="F1213" s="13">
        <v>26.0</v>
      </c>
      <c r="G1213" s="10" t="str">
        <f t="shared" si="4"/>
        <v>BFA33-26</v>
      </c>
      <c r="H1213" s="16"/>
      <c r="I1213" s="16" t="str">
        <f t="shared" si="5"/>
        <v>collected</v>
      </c>
      <c r="J1213" s="16" t="str">
        <f t="shared" si="6"/>
        <v>N</v>
      </c>
      <c r="K1213" s="16"/>
      <c r="L1213" s="16"/>
    </row>
    <row r="1214">
      <c r="A1214" s="40" t="s">
        <v>1725</v>
      </c>
      <c r="B1214" s="10" t="str">
        <f t="shared" si="1"/>
        <v>fatty_acid</v>
      </c>
      <c r="C1214" s="49" t="str">
        <f t="shared" si="2"/>
        <v>S16204FA1</v>
      </c>
      <c r="D1214" s="6">
        <v>35.0</v>
      </c>
      <c r="E1214" s="10" t="str">
        <f t="shared" si="3"/>
        <v>BFA35</v>
      </c>
      <c r="F1214" s="13">
        <v>32.0</v>
      </c>
      <c r="G1214" s="10" t="str">
        <f t="shared" si="4"/>
        <v>BFA35-32</v>
      </c>
      <c r="H1214" s="16"/>
      <c r="I1214" s="16" t="str">
        <f t="shared" si="5"/>
        <v>collected</v>
      </c>
      <c r="J1214" s="16" t="str">
        <f t="shared" si="6"/>
        <v>N</v>
      </c>
      <c r="K1214" s="16"/>
      <c r="L1214" s="16"/>
    </row>
    <row r="1215">
      <c r="A1215" s="40" t="s">
        <v>1726</v>
      </c>
      <c r="B1215" s="10" t="str">
        <f t="shared" si="1"/>
        <v>fatty_acid</v>
      </c>
      <c r="C1215" s="49" t="str">
        <f t="shared" si="2"/>
        <v>S16202FA1</v>
      </c>
      <c r="D1215" s="6">
        <v>35.0</v>
      </c>
      <c r="E1215" s="10" t="str">
        <f t="shared" si="3"/>
        <v>BFA35</v>
      </c>
      <c r="F1215" s="13">
        <v>33.0</v>
      </c>
      <c r="G1215" s="10" t="str">
        <f t="shared" si="4"/>
        <v>BFA35-33</v>
      </c>
      <c r="H1215" s="16"/>
      <c r="I1215" s="16" t="str">
        <f t="shared" si="5"/>
        <v>collected</v>
      </c>
      <c r="J1215" s="16" t="str">
        <f t="shared" si="6"/>
        <v>N</v>
      </c>
      <c r="K1215" s="16"/>
      <c r="L1215" s="16"/>
    </row>
    <row r="1216">
      <c r="A1216" s="40" t="s">
        <v>1727</v>
      </c>
      <c r="B1216" s="10" t="str">
        <f t="shared" si="1"/>
        <v>fatty_acid</v>
      </c>
      <c r="C1216" s="49" t="str">
        <f t="shared" si="2"/>
        <v>S16206FA1</v>
      </c>
      <c r="D1216" s="6">
        <v>35.0</v>
      </c>
      <c r="E1216" s="10" t="str">
        <f t="shared" si="3"/>
        <v>BFA35</v>
      </c>
      <c r="F1216" s="13">
        <v>34.0</v>
      </c>
      <c r="G1216" s="10" t="str">
        <f t="shared" si="4"/>
        <v>BFA35-34</v>
      </c>
      <c r="H1216" s="16"/>
      <c r="I1216" s="16" t="str">
        <f t="shared" si="5"/>
        <v>collected</v>
      </c>
      <c r="J1216" s="16" t="str">
        <f t="shared" si="6"/>
        <v>N</v>
      </c>
      <c r="K1216" s="16"/>
      <c r="L1216" s="16"/>
    </row>
    <row r="1217">
      <c r="A1217" s="40" t="s">
        <v>1728</v>
      </c>
      <c r="B1217" s="10" t="str">
        <f t="shared" si="1"/>
        <v>fatty_acid</v>
      </c>
      <c r="C1217" s="49" t="str">
        <f t="shared" si="2"/>
        <v>S16207FA1</v>
      </c>
      <c r="D1217" s="6">
        <v>35.0</v>
      </c>
      <c r="E1217" s="10" t="str">
        <f t="shared" si="3"/>
        <v>BFA35</v>
      </c>
      <c r="F1217" s="13">
        <v>35.0</v>
      </c>
      <c r="G1217" s="10" t="str">
        <f t="shared" si="4"/>
        <v>BFA35-35</v>
      </c>
      <c r="H1217" s="16"/>
      <c r="I1217" s="16" t="str">
        <f t="shared" si="5"/>
        <v>collected</v>
      </c>
      <c r="J1217" s="16" t="str">
        <f t="shared" si="6"/>
        <v>N</v>
      </c>
      <c r="K1217" s="16"/>
      <c r="L1217" s="16"/>
    </row>
    <row r="1218">
      <c r="A1218" s="40" t="s">
        <v>1730</v>
      </c>
      <c r="B1218" s="10" t="str">
        <f t="shared" si="1"/>
        <v>fatty_acid</v>
      </c>
      <c r="C1218" s="49" t="str">
        <f t="shared" si="2"/>
        <v>S16210FA1</v>
      </c>
      <c r="D1218" s="6">
        <v>35.0</v>
      </c>
      <c r="E1218" s="10" t="str">
        <f t="shared" si="3"/>
        <v>BFA35</v>
      </c>
      <c r="F1218" s="13">
        <v>36.0</v>
      </c>
      <c r="G1218" s="10" t="str">
        <f t="shared" si="4"/>
        <v>BFA35-36</v>
      </c>
      <c r="H1218" s="16"/>
      <c r="I1218" s="16" t="str">
        <f t="shared" si="5"/>
        <v>collected</v>
      </c>
      <c r="J1218" s="16" t="str">
        <f t="shared" si="6"/>
        <v>N</v>
      </c>
      <c r="K1218" s="16"/>
      <c r="L1218" s="16"/>
    </row>
    <row r="1219">
      <c r="A1219" s="40" t="s">
        <v>1731</v>
      </c>
      <c r="B1219" s="10" t="str">
        <f t="shared" si="1"/>
        <v>fatty_acid</v>
      </c>
      <c r="C1219" s="49" t="str">
        <f t="shared" si="2"/>
        <v>S16208FA1</v>
      </c>
      <c r="D1219" s="6">
        <v>35.0</v>
      </c>
      <c r="E1219" s="10" t="str">
        <f t="shared" si="3"/>
        <v>BFA35</v>
      </c>
      <c r="F1219" s="13">
        <v>37.0</v>
      </c>
      <c r="G1219" s="10" t="str">
        <f t="shared" si="4"/>
        <v>BFA35-37</v>
      </c>
      <c r="H1219" s="16"/>
      <c r="I1219" s="16" t="str">
        <f t="shared" si="5"/>
        <v>collected</v>
      </c>
      <c r="J1219" s="16" t="str">
        <f t="shared" si="6"/>
        <v>N</v>
      </c>
      <c r="K1219" s="16"/>
      <c r="L1219" s="16"/>
    </row>
    <row r="1220">
      <c r="A1220" s="40" t="s">
        <v>1732</v>
      </c>
      <c r="B1220" s="10" t="str">
        <f t="shared" si="1"/>
        <v>fatty_acid</v>
      </c>
      <c r="C1220" s="49" t="str">
        <f t="shared" si="2"/>
        <v>S17504FA1</v>
      </c>
      <c r="D1220" s="6">
        <v>35.0</v>
      </c>
      <c r="E1220" s="10" t="str">
        <f t="shared" si="3"/>
        <v>BFA35</v>
      </c>
      <c r="F1220" s="13">
        <v>38.0</v>
      </c>
      <c r="G1220" s="10" t="str">
        <f t="shared" si="4"/>
        <v>BFA35-38</v>
      </c>
      <c r="H1220" s="16"/>
      <c r="I1220" s="16" t="str">
        <f t="shared" si="5"/>
        <v>collected</v>
      </c>
      <c r="J1220" s="16" t="str">
        <f t="shared" si="6"/>
        <v>N</v>
      </c>
      <c r="K1220" s="16"/>
      <c r="L1220" s="16"/>
    </row>
    <row r="1221">
      <c r="A1221" s="40" t="s">
        <v>1733</v>
      </c>
      <c r="B1221" s="10" t="str">
        <f t="shared" si="1"/>
        <v>fatty_acid</v>
      </c>
      <c r="C1221" s="49" t="str">
        <f t="shared" si="2"/>
        <v>S17509FA1</v>
      </c>
      <c r="D1221" s="6">
        <v>35.0</v>
      </c>
      <c r="E1221" s="10" t="str">
        <f t="shared" si="3"/>
        <v>BFA35</v>
      </c>
      <c r="F1221" s="13">
        <v>39.0</v>
      </c>
      <c r="G1221" s="10" t="str">
        <f t="shared" si="4"/>
        <v>BFA35-39</v>
      </c>
      <c r="H1221" s="16"/>
      <c r="I1221" s="16" t="str">
        <f t="shared" si="5"/>
        <v>collected</v>
      </c>
      <c r="J1221" s="16" t="str">
        <f t="shared" si="6"/>
        <v>N</v>
      </c>
      <c r="K1221" s="16"/>
      <c r="L1221" s="16"/>
    </row>
    <row r="1222">
      <c r="A1222" s="40" t="s">
        <v>1734</v>
      </c>
      <c r="B1222" s="10" t="str">
        <f t="shared" si="1"/>
        <v>fatty_acid</v>
      </c>
      <c r="C1222" s="49" t="str">
        <f t="shared" si="2"/>
        <v>S17502FA1</v>
      </c>
      <c r="D1222" s="6">
        <v>35.0</v>
      </c>
      <c r="E1222" s="10" t="str">
        <f t="shared" si="3"/>
        <v>BFA35</v>
      </c>
      <c r="F1222" s="13">
        <v>40.0</v>
      </c>
      <c r="G1222" s="10" t="str">
        <f t="shared" si="4"/>
        <v>BFA35-40</v>
      </c>
      <c r="H1222" s="16"/>
      <c r="I1222" s="16" t="str">
        <f t="shared" si="5"/>
        <v>collected</v>
      </c>
      <c r="J1222" s="16" t="str">
        <f t="shared" si="6"/>
        <v>N</v>
      </c>
      <c r="K1222" s="16"/>
      <c r="L1222" s="16"/>
    </row>
    <row r="1223">
      <c r="A1223" s="40" t="s">
        <v>1735</v>
      </c>
      <c r="B1223" s="10" t="str">
        <f t="shared" si="1"/>
        <v>fatty_acid</v>
      </c>
      <c r="C1223" s="49" t="str">
        <f t="shared" si="2"/>
        <v>S17507FA1</v>
      </c>
      <c r="D1223" s="6">
        <v>35.0</v>
      </c>
      <c r="E1223" s="10" t="str">
        <f t="shared" si="3"/>
        <v>BFA35</v>
      </c>
      <c r="F1223" s="13">
        <v>41.0</v>
      </c>
      <c r="G1223" s="10" t="str">
        <f t="shared" si="4"/>
        <v>BFA35-41</v>
      </c>
      <c r="H1223" s="16"/>
      <c r="I1223" s="16" t="str">
        <f t="shared" si="5"/>
        <v>collected</v>
      </c>
      <c r="J1223" s="16" t="str">
        <f t="shared" si="6"/>
        <v>N</v>
      </c>
      <c r="K1223" s="16"/>
      <c r="L1223" s="16"/>
    </row>
    <row r="1224">
      <c r="A1224" s="40" t="s">
        <v>1736</v>
      </c>
      <c r="B1224" s="10" t="str">
        <f t="shared" si="1"/>
        <v>fatty_acid</v>
      </c>
      <c r="C1224" s="49" t="str">
        <f t="shared" si="2"/>
        <v>S17508FA1</v>
      </c>
      <c r="D1224" s="6">
        <v>35.0</v>
      </c>
      <c r="E1224" s="10" t="str">
        <f t="shared" si="3"/>
        <v>BFA35</v>
      </c>
      <c r="F1224" s="13">
        <v>42.0</v>
      </c>
      <c r="G1224" s="10" t="str">
        <f t="shared" si="4"/>
        <v>BFA35-42</v>
      </c>
      <c r="H1224" s="16"/>
      <c r="I1224" s="16" t="str">
        <f t="shared" si="5"/>
        <v>collected</v>
      </c>
      <c r="J1224" s="16" t="str">
        <f t="shared" si="6"/>
        <v>N</v>
      </c>
      <c r="K1224" s="16"/>
      <c r="L1224" s="16"/>
    </row>
    <row r="1225">
      <c r="A1225" s="40" t="s">
        <v>1737</v>
      </c>
      <c r="B1225" s="10" t="str">
        <f t="shared" si="1"/>
        <v>fatty_acid</v>
      </c>
      <c r="C1225" s="49" t="str">
        <f t="shared" si="2"/>
        <v>S17505FA1</v>
      </c>
      <c r="D1225" s="6">
        <v>35.0</v>
      </c>
      <c r="E1225" s="10" t="str">
        <f t="shared" si="3"/>
        <v>BFA35</v>
      </c>
      <c r="F1225" s="13">
        <v>43.0</v>
      </c>
      <c r="G1225" s="10" t="str">
        <f t="shared" si="4"/>
        <v>BFA35-43</v>
      </c>
      <c r="H1225" s="16"/>
      <c r="I1225" s="16" t="str">
        <f t="shared" si="5"/>
        <v>collected</v>
      </c>
      <c r="J1225" s="16" t="str">
        <f t="shared" si="6"/>
        <v>N</v>
      </c>
      <c r="K1225" s="16"/>
      <c r="L1225" s="16"/>
    </row>
    <row r="1226">
      <c r="A1226" s="40" t="s">
        <v>1738</v>
      </c>
      <c r="B1226" s="10" t="str">
        <f t="shared" si="1"/>
        <v>fatty_acid</v>
      </c>
      <c r="C1226" s="49" t="str">
        <f t="shared" si="2"/>
        <v>S17510FA1</v>
      </c>
      <c r="D1226" s="6">
        <v>35.0</v>
      </c>
      <c r="E1226" s="10" t="str">
        <f t="shared" si="3"/>
        <v>BFA35</v>
      </c>
      <c r="F1226" s="13">
        <v>44.0</v>
      </c>
      <c r="G1226" s="10" t="str">
        <f t="shared" si="4"/>
        <v>BFA35-44</v>
      </c>
      <c r="H1226" s="16"/>
      <c r="I1226" s="16" t="str">
        <f t="shared" si="5"/>
        <v>collected</v>
      </c>
      <c r="J1226" s="16" t="str">
        <f t="shared" si="6"/>
        <v>N</v>
      </c>
      <c r="K1226" s="16"/>
      <c r="L1226" s="16"/>
    </row>
    <row r="1227">
      <c r="A1227" s="40" t="s">
        <v>1739</v>
      </c>
      <c r="B1227" s="10" t="str">
        <f t="shared" si="1"/>
        <v>fatty_acid</v>
      </c>
      <c r="C1227" s="49" t="str">
        <f t="shared" si="2"/>
        <v>S17506FA1</v>
      </c>
      <c r="D1227" s="6">
        <v>35.0</v>
      </c>
      <c r="E1227" s="10" t="str">
        <f t="shared" si="3"/>
        <v>BFA35</v>
      </c>
      <c r="F1227" s="13">
        <v>45.0</v>
      </c>
      <c r="G1227" s="10" t="str">
        <f t="shared" si="4"/>
        <v>BFA35-45</v>
      </c>
      <c r="H1227" s="16"/>
      <c r="I1227" s="16" t="str">
        <f t="shared" si="5"/>
        <v>collected</v>
      </c>
      <c r="J1227" s="16" t="str">
        <f t="shared" si="6"/>
        <v>N</v>
      </c>
      <c r="K1227" s="16"/>
      <c r="L1227" s="16"/>
    </row>
    <row r="1228">
      <c r="A1228" s="40" t="s">
        <v>1740</v>
      </c>
      <c r="B1228" s="10" t="str">
        <f t="shared" si="1"/>
        <v>fatty_acid</v>
      </c>
      <c r="C1228" s="49" t="str">
        <f t="shared" si="2"/>
        <v>S17501FA1</v>
      </c>
      <c r="D1228" s="6">
        <v>35.0</v>
      </c>
      <c r="E1228" s="10" t="str">
        <f t="shared" si="3"/>
        <v>BFA35</v>
      </c>
      <c r="F1228" s="13">
        <v>46.0</v>
      </c>
      <c r="G1228" s="10" t="str">
        <f t="shared" si="4"/>
        <v>BFA35-46</v>
      </c>
      <c r="H1228" s="16"/>
      <c r="I1228" s="16" t="str">
        <f t="shared" si="5"/>
        <v>collected</v>
      </c>
      <c r="J1228" s="16" t="str">
        <f t="shared" si="6"/>
        <v>N</v>
      </c>
      <c r="K1228" s="16"/>
      <c r="L1228" s="16"/>
    </row>
    <row r="1229">
      <c r="A1229" s="40" t="s">
        <v>1741</v>
      </c>
      <c r="B1229" s="10" t="str">
        <f t="shared" si="1"/>
        <v>fatty_acid</v>
      </c>
      <c r="C1229" s="49" t="str">
        <f t="shared" si="2"/>
        <v>S17503FA1</v>
      </c>
      <c r="D1229" s="6">
        <v>35.0</v>
      </c>
      <c r="E1229" s="10" t="str">
        <f t="shared" si="3"/>
        <v>BFA35</v>
      </c>
      <c r="F1229" s="13">
        <v>47.0</v>
      </c>
      <c r="G1229" s="10" t="str">
        <f t="shared" si="4"/>
        <v>BFA35-47</v>
      </c>
      <c r="H1229" s="16"/>
      <c r="I1229" s="16" t="str">
        <f t="shared" si="5"/>
        <v>collected</v>
      </c>
      <c r="J1229" s="16" t="str">
        <f t="shared" si="6"/>
        <v>N</v>
      </c>
      <c r="K1229" s="16"/>
      <c r="L1229" s="16"/>
    </row>
    <row r="1230">
      <c r="A1230" s="40" t="s">
        <v>1742</v>
      </c>
      <c r="B1230" s="10" t="str">
        <f t="shared" si="1"/>
        <v>fatty_acid</v>
      </c>
      <c r="C1230" s="49" t="str">
        <f t="shared" si="2"/>
        <v>S17102FA1</v>
      </c>
      <c r="D1230" s="6">
        <v>35.0</v>
      </c>
      <c r="E1230" s="10" t="str">
        <f t="shared" si="3"/>
        <v>BFA35</v>
      </c>
      <c r="F1230" s="13">
        <v>48.0</v>
      </c>
      <c r="G1230" s="10" t="str">
        <f t="shared" si="4"/>
        <v>BFA35-48</v>
      </c>
      <c r="H1230" s="16"/>
      <c r="I1230" s="16" t="str">
        <f t="shared" si="5"/>
        <v>collected</v>
      </c>
      <c r="J1230" s="16" t="str">
        <f t="shared" si="6"/>
        <v>N</v>
      </c>
      <c r="K1230" s="16"/>
      <c r="L1230" s="16"/>
    </row>
    <row r="1231">
      <c r="A1231" s="40" t="s">
        <v>1743</v>
      </c>
      <c r="B1231" s="10" t="str">
        <f t="shared" si="1"/>
        <v>fatty_acid</v>
      </c>
      <c r="C1231" s="49" t="str">
        <f t="shared" si="2"/>
        <v>S17107FA1</v>
      </c>
      <c r="D1231" s="6">
        <v>35.0</v>
      </c>
      <c r="E1231" s="10" t="str">
        <f t="shared" si="3"/>
        <v>BFA35</v>
      </c>
      <c r="F1231" s="13">
        <v>49.0</v>
      </c>
      <c r="G1231" s="10" t="str">
        <f t="shared" si="4"/>
        <v>BFA35-49</v>
      </c>
      <c r="H1231" s="16"/>
      <c r="I1231" s="16" t="str">
        <f t="shared" si="5"/>
        <v>collected</v>
      </c>
      <c r="J1231" s="16" t="str">
        <f t="shared" si="6"/>
        <v>N</v>
      </c>
      <c r="K1231" s="16"/>
      <c r="L1231" s="16"/>
    </row>
    <row r="1232">
      <c r="A1232" s="40" t="s">
        <v>1744</v>
      </c>
      <c r="B1232" s="10" t="str">
        <f t="shared" si="1"/>
        <v>fatty_acid</v>
      </c>
      <c r="C1232" s="49" t="str">
        <f t="shared" si="2"/>
        <v>S17259FA1</v>
      </c>
      <c r="D1232" s="6">
        <v>33.0</v>
      </c>
      <c r="E1232" s="10" t="str">
        <f t="shared" si="3"/>
        <v>BFA33</v>
      </c>
      <c r="F1232" s="13">
        <v>27.0</v>
      </c>
      <c r="G1232" s="10" t="str">
        <f t="shared" si="4"/>
        <v>BFA33-27</v>
      </c>
      <c r="H1232" s="16"/>
      <c r="I1232" s="16" t="str">
        <f t="shared" si="5"/>
        <v>collected</v>
      </c>
      <c r="J1232" s="16" t="str">
        <f t="shared" si="6"/>
        <v>N</v>
      </c>
      <c r="K1232" s="16"/>
      <c r="L1232" s="16"/>
    </row>
    <row r="1233">
      <c r="A1233" s="40" t="s">
        <v>1745</v>
      </c>
      <c r="B1233" s="10" t="str">
        <f t="shared" si="1"/>
        <v>fatty_acid</v>
      </c>
      <c r="C1233" s="49" t="str">
        <f t="shared" si="2"/>
        <v>S17260FA1</v>
      </c>
      <c r="D1233" s="6">
        <v>33.0</v>
      </c>
      <c r="E1233" s="10" t="str">
        <f t="shared" si="3"/>
        <v>BFA33</v>
      </c>
      <c r="F1233" s="13">
        <v>28.0</v>
      </c>
      <c r="G1233" s="10" t="str">
        <f t="shared" si="4"/>
        <v>BFA33-28</v>
      </c>
      <c r="H1233" s="16"/>
      <c r="I1233" s="16" t="str">
        <f t="shared" si="5"/>
        <v>collected</v>
      </c>
      <c r="J1233" s="16" t="str">
        <f t="shared" si="6"/>
        <v>N</v>
      </c>
      <c r="K1233" s="16"/>
      <c r="L1233" s="16"/>
    </row>
    <row r="1234">
      <c r="A1234" s="40" t="s">
        <v>1746</v>
      </c>
      <c r="B1234" s="10" t="str">
        <f t="shared" si="1"/>
        <v>fatty_acid</v>
      </c>
      <c r="C1234" s="49" t="str">
        <f t="shared" si="2"/>
        <v>S17258FA1</v>
      </c>
      <c r="D1234" s="6">
        <v>33.0</v>
      </c>
      <c r="E1234" s="10" t="str">
        <f t="shared" si="3"/>
        <v>BFA33</v>
      </c>
      <c r="F1234" s="13">
        <v>29.0</v>
      </c>
      <c r="G1234" s="10" t="str">
        <f t="shared" si="4"/>
        <v>BFA33-29</v>
      </c>
      <c r="H1234" s="16"/>
      <c r="I1234" s="16" t="str">
        <f t="shared" si="5"/>
        <v>collected</v>
      </c>
      <c r="J1234" s="16" t="str">
        <f t="shared" si="6"/>
        <v>N</v>
      </c>
      <c r="K1234" s="16"/>
      <c r="L1234" s="16"/>
    </row>
    <row r="1235">
      <c r="A1235" s="40" t="s">
        <v>1747</v>
      </c>
      <c r="B1235" s="10" t="str">
        <f t="shared" si="1"/>
        <v>fatty_acid</v>
      </c>
      <c r="C1235" s="49" t="str">
        <f t="shared" si="2"/>
        <v>S17256FA1</v>
      </c>
      <c r="D1235" s="6">
        <v>33.0</v>
      </c>
      <c r="E1235" s="10" t="str">
        <f t="shared" si="3"/>
        <v>BFA33</v>
      </c>
      <c r="F1235" s="13">
        <v>30.0</v>
      </c>
      <c r="G1235" s="10" t="str">
        <f t="shared" si="4"/>
        <v>BFA33-30</v>
      </c>
      <c r="H1235" s="16"/>
      <c r="I1235" s="16" t="str">
        <f t="shared" si="5"/>
        <v>collected</v>
      </c>
      <c r="J1235" s="16" t="str">
        <f t="shared" si="6"/>
        <v>N</v>
      </c>
      <c r="K1235" s="16"/>
      <c r="L1235" s="16"/>
    </row>
    <row r="1236">
      <c r="A1236" s="40" t="s">
        <v>1748</v>
      </c>
      <c r="B1236" s="10" t="str">
        <f t="shared" si="1"/>
        <v>fatty_acid</v>
      </c>
      <c r="C1236" s="49" t="str">
        <f t="shared" si="2"/>
        <v>S17253FA1</v>
      </c>
      <c r="D1236" s="6">
        <v>33.0</v>
      </c>
      <c r="E1236" s="10" t="str">
        <f t="shared" si="3"/>
        <v>BFA33</v>
      </c>
      <c r="F1236" s="13">
        <v>31.0</v>
      </c>
      <c r="G1236" s="10" t="str">
        <f t="shared" si="4"/>
        <v>BFA33-31</v>
      </c>
      <c r="H1236" s="16"/>
      <c r="I1236" s="16" t="str">
        <f t="shared" si="5"/>
        <v>collected</v>
      </c>
      <c r="J1236" s="16" t="str">
        <f t="shared" si="6"/>
        <v>N</v>
      </c>
      <c r="K1236" s="16"/>
      <c r="L1236" s="16"/>
    </row>
    <row r="1237">
      <c r="A1237" s="40" t="s">
        <v>1749</v>
      </c>
      <c r="B1237" s="10" t="str">
        <f t="shared" si="1"/>
        <v>fatty_acid</v>
      </c>
      <c r="C1237" s="49" t="str">
        <f t="shared" si="2"/>
        <v>S17257FA1</v>
      </c>
      <c r="D1237" s="6">
        <v>33.0</v>
      </c>
      <c r="E1237" s="10" t="str">
        <f t="shared" si="3"/>
        <v>BFA33</v>
      </c>
      <c r="F1237" s="13">
        <v>32.0</v>
      </c>
      <c r="G1237" s="10" t="str">
        <f t="shared" si="4"/>
        <v>BFA33-32</v>
      </c>
      <c r="H1237" s="16"/>
      <c r="I1237" s="16" t="str">
        <f t="shared" si="5"/>
        <v>collected</v>
      </c>
      <c r="J1237" s="16" t="str">
        <f t="shared" si="6"/>
        <v>N</v>
      </c>
      <c r="K1237" s="16"/>
      <c r="L1237" s="16"/>
    </row>
    <row r="1238">
      <c r="A1238" s="40" t="s">
        <v>1750</v>
      </c>
      <c r="B1238" s="10" t="str">
        <f t="shared" si="1"/>
        <v>fatty_acid</v>
      </c>
      <c r="C1238" s="49" t="str">
        <f t="shared" si="2"/>
        <v>S17252FA1</v>
      </c>
      <c r="D1238" s="6">
        <v>33.0</v>
      </c>
      <c r="E1238" s="10" t="str">
        <f t="shared" si="3"/>
        <v>BFA33</v>
      </c>
      <c r="F1238" s="13">
        <v>33.0</v>
      </c>
      <c r="G1238" s="10" t="str">
        <f t="shared" si="4"/>
        <v>BFA33-33</v>
      </c>
      <c r="H1238" s="16"/>
      <c r="I1238" s="16" t="str">
        <f t="shared" si="5"/>
        <v>collected</v>
      </c>
      <c r="J1238" s="16" t="str">
        <f t="shared" si="6"/>
        <v>N</v>
      </c>
      <c r="K1238" s="16"/>
      <c r="L1238" s="16"/>
    </row>
    <row r="1239">
      <c r="A1239" s="40" t="s">
        <v>1751</v>
      </c>
      <c r="B1239" s="10" t="str">
        <f t="shared" si="1"/>
        <v>fatty_acid</v>
      </c>
      <c r="C1239" s="49" t="str">
        <f t="shared" si="2"/>
        <v>S17255FA1</v>
      </c>
      <c r="D1239" s="6">
        <v>33.0</v>
      </c>
      <c r="E1239" s="10" t="str">
        <f t="shared" si="3"/>
        <v>BFA33</v>
      </c>
      <c r="F1239" s="13">
        <v>34.0</v>
      </c>
      <c r="G1239" s="10" t="str">
        <f t="shared" si="4"/>
        <v>BFA33-34</v>
      </c>
      <c r="H1239" s="16"/>
      <c r="I1239" s="16" t="str">
        <f t="shared" si="5"/>
        <v>collected</v>
      </c>
      <c r="J1239" s="16" t="str">
        <f t="shared" si="6"/>
        <v>N</v>
      </c>
      <c r="K1239" s="16"/>
      <c r="L1239" s="16"/>
    </row>
    <row r="1240">
      <c r="A1240" s="40" t="s">
        <v>1752</v>
      </c>
      <c r="B1240" s="10" t="str">
        <f t="shared" si="1"/>
        <v>fatty_acid</v>
      </c>
      <c r="C1240" s="49" t="str">
        <f t="shared" si="2"/>
        <v>S17251FA1</v>
      </c>
      <c r="D1240" s="6">
        <v>33.0</v>
      </c>
      <c r="E1240" s="10" t="str">
        <f t="shared" si="3"/>
        <v>BFA33</v>
      </c>
      <c r="F1240" s="13">
        <v>35.0</v>
      </c>
      <c r="G1240" s="10" t="str">
        <f t="shared" si="4"/>
        <v>BFA33-35</v>
      </c>
      <c r="H1240" s="16"/>
      <c r="I1240" s="16" t="str">
        <f t="shared" si="5"/>
        <v>collected</v>
      </c>
      <c r="J1240" s="16" t="str">
        <f t="shared" si="6"/>
        <v>N</v>
      </c>
      <c r="K1240" s="16"/>
      <c r="L1240" s="16"/>
    </row>
    <row r="1241">
      <c r="A1241" s="40" t="s">
        <v>1753</v>
      </c>
      <c r="B1241" s="10" t="str">
        <f t="shared" si="1"/>
        <v>fatty_acid</v>
      </c>
      <c r="C1241" s="49" t="str">
        <f t="shared" si="2"/>
        <v>S16675FA1</v>
      </c>
      <c r="D1241" s="6">
        <v>33.0</v>
      </c>
      <c r="E1241" s="10" t="str">
        <f t="shared" si="3"/>
        <v>BFA33</v>
      </c>
      <c r="F1241" s="13">
        <v>36.0</v>
      </c>
      <c r="G1241" s="10" t="str">
        <f t="shared" si="4"/>
        <v>BFA33-36</v>
      </c>
      <c r="H1241" s="16"/>
      <c r="I1241" s="16" t="str">
        <f t="shared" si="5"/>
        <v>collected</v>
      </c>
      <c r="J1241" s="16" t="str">
        <f t="shared" si="6"/>
        <v>N</v>
      </c>
      <c r="K1241" s="16"/>
      <c r="L1241" s="16"/>
    </row>
    <row r="1242">
      <c r="A1242" s="40" t="s">
        <v>1754</v>
      </c>
      <c r="B1242" s="10" t="str">
        <f t="shared" si="1"/>
        <v>fatty_acid</v>
      </c>
      <c r="C1242" s="49" t="str">
        <f t="shared" si="2"/>
        <v>S16677FA1</v>
      </c>
      <c r="D1242" s="6">
        <v>33.0</v>
      </c>
      <c r="E1242" s="10" t="str">
        <f t="shared" si="3"/>
        <v>BFA33</v>
      </c>
      <c r="F1242" s="13">
        <v>37.0</v>
      </c>
      <c r="G1242" s="10" t="str">
        <f t="shared" si="4"/>
        <v>BFA33-37</v>
      </c>
      <c r="H1242" s="16"/>
      <c r="I1242" s="16" t="str">
        <f t="shared" si="5"/>
        <v>collected</v>
      </c>
      <c r="J1242" s="16" t="str">
        <f t="shared" si="6"/>
        <v>N</v>
      </c>
      <c r="K1242" s="16"/>
      <c r="L1242" s="16"/>
    </row>
    <row r="1243">
      <c r="A1243" s="40" t="s">
        <v>1755</v>
      </c>
      <c r="B1243" s="10" t="str">
        <f t="shared" si="1"/>
        <v>fatty_acid</v>
      </c>
      <c r="C1243" s="49" t="str">
        <f t="shared" si="2"/>
        <v>S16673FA1</v>
      </c>
      <c r="D1243" s="6">
        <v>33.0</v>
      </c>
      <c r="E1243" s="10" t="str">
        <f t="shared" si="3"/>
        <v>BFA33</v>
      </c>
      <c r="F1243" s="13">
        <v>38.0</v>
      </c>
      <c r="G1243" s="10" t="str">
        <f t="shared" si="4"/>
        <v>BFA33-38</v>
      </c>
      <c r="H1243" s="16"/>
      <c r="I1243" s="16" t="str">
        <f t="shared" si="5"/>
        <v>collected</v>
      </c>
      <c r="J1243" s="16" t="str">
        <f t="shared" si="6"/>
        <v>N</v>
      </c>
      <c r="K1243" s="16"/>
      <c r="L1243" s="16"/>
    </row>
    <row r="1244">
      <c r="A1244" s="40" t="s">
        <v>1756</v>
      </c>
      <c r="B1244" s="10" t="str">
        <f t="shared" si="1"/>
        <v>fatty_acid</v>
      </c>
      <c r="C1244" s="49" t="str">
        <f t="shared" si="2"/>
        <v>S16671FA1</v>
      </c>
      <c r="D1244" s="6">
        <v>33.0</v>
      </c>
      <c r="E1244" s="10" t="str">
        <f t="shared" si="3"/>
        <v>BFA33</v>
      </c>
      <c r="F1244" s="13">
        <v>39.0</v>
      </c>
      <c r="G1244" s="10" t="str">
        <f t="shared" si="4"/>
        <v>BFA33-39</v>
      </c>
      <c r="H1244" s="16"/>
      <c r="I1244" s="16" t="str">
        <f t="shared" si="5"/>
        <v>collected</v>
      </c>
      <c r="J1244" s="16" t="str">
        <f t="shared" si="6"/>
        <v>N</v>
      </c>
      <c r="K1244" s="16"/>
      <c r="L1244" s="16"/>
    </row>
    <row r="1245">
      <c r="A1245" s="40" t="s">
        <v>1757</v>
      </c>
      <c r="B1245" s="10" t="str">
        <f t="shared" si="1"/>
        <v>fatty_acid</v>
      </c>
      <c r="C1245" s="49" t="str">
        <f t="shared" si="2"/>
        <v>S16679FA1</v>
      </c>
      <c r="D1245" s="6">
        <v>33.0</v>
      </c>
      <c r="E1245" s="10" t="str">
        <f t="shared" si="3"/>
        <v>BFA33</v>
      </c>
      <c r="F1245" s="13">
        <v>40.0</v>
      </c>
      <c r="G1245" s="10" t="str">
        <f t="shared" si="4"/>
        <v>BFA33-40</v>
      </c>
      <c r="H1245" s="16"/>
      <c r="I1245" s="16" t="str">
        <f t="shared" si="5"/>
        <v>collected</v>
      </c>
      <c r="J1245" s="16" t="str">
        <f t="shared" si="6"/>
        <v>N</v>
      </c>
      <c r="K1245" s="16"/>
      <c r="L1245" s="16"/>
    </row>
    <row r="1246">
      <c r="A1246" s="40" t="s">
        <v>1758</v>
      </c>
      <c r="B1246" s="10" t="str">
        <f t="shared" si="1"/>
        <v>fatty_acid</v>
      </c>
      <c r="C1246" s="49" t="str">
        <f t="shared" si="2"/>
        <v>S16680FA1</v>
      </c>
      <c r="D1246" s="6">
        <v>33.0</v>
      </c>
      <c r="E1246" s="10" t="str">
        <f t="shared" si="3"/>
        <v>BFA33</v>
      </c>
      <c r="F1246" s="13">
        <v>41.0</v>
      </c>
      <c r="G1246" s="10" t="str">
        <f t="shared" si="4"/>
        <v>BFA33-41</v>
      </c>
      <c r="H1246" s="16"/>
      <c r="I1246" s="16" t="str">
        <f t="shared" si="5"/>
        <v>collected</v>
      </c>
      <c r="J1246" s="16" t="str">
        <f t="shared" si="6"/>
        <v>N</v>
      </c>
      <c r="K1246" s="16"/>
      <c r="L1246" s="16"/>
    </row>
    <row r="1247">
      <c r="A1247" s="40" t="s">
        <v>1759</v>
      </c>
      <c r="B1247" s="10" t="str">
        <f t="shared" si="1"/>
        <v>fatty_acid</v>
      </c>
      <c r="C1247" s="49" t="str">
        <f t="shared" si="2"/>
        <v>S16674FA1</v>
      </c>
      <c r="D1247" s="6">
        <v>33.0</v>
      </c>
      <c r="E1247" s="10" t="str">
        <f t="shared" si="3"/>
        <v>BFA33</v>
      </c>
      <c r="F1247" s="13">
        <v>42.0</v>
      </c>
      <c r="G1247" s="10" t="str">
        <f t="shared" si="4"/>
        <v>BFA33-42</v>
      </c>
      <c r="H1247" s="16"/>
      <c r="I1247" s="16" t="str">
        <f t="shared" si="5"/>
        <v>collected</v>
      </c>
      <c r="J1247" s="16" t="str">
        <f t="shared" si="6"/>
        <v>N</v>
      </c>
      <c r="K1247" s="16"/>
      <c r="L1247" s="16"/>
    </row>
    <row r="1248">
      <c r="A1248" s="40" t="s">
        <v>1760</v>
      </c>
      <c r="B1248" s="10" t="str">
        <f t="shared" si="1"/>
        <v>fatty_acid</v>
      </c>
      <c r="C1248" s="49" t="str">
        <f t="shared" si="2"/>
        <v>S16676FA1</v>
      </c>
      <c r="D1248" s="6">
        <v>33.0</v>
      </c>
      <c r="E1248" s="10" t="str">
        <f t="shared" si="3"/>
        <v>BFA33</v>
      </c>
      <c r="F1248" s="13">
        <v>43.0</v>
      </c>
      <c r="G1248" s="10" t="str">
        <f t="shared" si="4"/>
        <v>BFA33-43</v>
      </c>
      <c r="H1248" s="16"/>
      <c r="I1248" s="16" t="str">
        <f t="shared" si="5"/>
        <v>collected</v>
      </c>
      <c r="J1248" s="16" t="str">
        <f t="shared" si="6"/>
        <v>N</v>
      </c>
      <c r="K1248" s="16"/>
      <c r="L1248" s="16"/>
    </row>
    <row r="1249">
      <c r="A1249" s="40" t="s">
        <v>1761</v>
      </c>
      <c r="B1249" s="10" t="str">
        <f t="shared" si="1"/>
        <v>fatty_acid</v>
      </c>
      <c r="C1249" s="49" t="str">
        <f t="shared" si="2"/>
        <v>S16678FA1</v>
      </c>
      <c r="D1249" s="6">
        <v>33.0</v>
      </c>
      <c r="E1249" s="10" t="str">
        <f t="shared" si="3"/>
        <v>BFA33</v>
      </c>
      <c r="F1249" s="13">
        <v>44.0</v>
      </c>
      <c r="G1249" s="10" t="str">
        <f t="shared" si="4"/>
        <v>BFA33-44</v>
      </c>
      <c r="H1249" s="16"/>
      <c r="I1249" s="16" t="str">
        <f t="shared" si="5"/>
        <v>collected</v>
      </c>
      <c r="J1249" s="16" t="str">
        <f t="shared" si="6"/>
        <v>N</v>
      </c>
      <c r="K1249" s="16"/>
      <c r="L1249" s="16"/>
    </row>
    <row r="1250">
      <c r="A1250" s="40" t="s">
        <v>1762</v>
      </c>
      <c r="B1250" s="10" t="str">
        <f t="shared" si="1"/>
        <v>fatty_acid</v>
      </c>
      <c r="C1250" s="49" t="str">
        <f t="shared" si="2"/>
        <v>S16672FA1</v>
      </c>
      <c r="D1250" s="6">
        <v>33.0</v>
      </c>
      <c r="E1250" s="10" t="str">
        <f t="shared" si="3"/>
        <v>BFA33</v>
      </c>
      <c r="F1250" s="13">
        <v>45.0</v>
      </c>
      <c r="G1250" s="10" t="str">
        <f t="shared" si="4"/>
        <v>BFA33-45</v>
      </c>
      <c r="H1250" s="16"/>
      <c r="I1250" s="16" t="str">
        <f t="shared" si="5"/>
        <v>collected</v>
      </c>
      <c r="J1250" s="16" t="str">
        <f t="shared" si="6"/>
        <v>N</v>
      </c>
      <c r="K1250" s="16"/>
      <c r="L1250" s="16"/>
    </row>
    <row r="1251">
      <c r="A1251" s="40" t="s">
        <v>1763</v>
      </c>
      <c r="B1251" s="10" t="str">
        <f t="shared" si="1"/>
        <v>fatty_acid</v>
      </c>
      <c r="C1251" s="49" t="str">
        <f t="shared" si="2"/>
        <v>S17254FA1</v>
      </c>
      <c r="D1251" s="6">
        <v>33.0</v>
      </c>
      <c r="E1251" s="10" t="str">
        <f t="shared" si="3"/>
        <v>BFA33</v>
      </c>
      <c r="F1251" s="13">
        <v>46.0</v>
      </c>
      <c r="G1251" s="10" t="str">
        <f t="shared" si="4"/>
        <v>BFA33-46</v>
      </c>
      <c r="H1251" s="16"/>
      <c r="I1251" s="16" t="str">
        <f t="shared" si="5"/>
        <v>collected</v>
      </c>
      <c r="J1251" s="16" t="str">
        <f t="shared" si="6"/>
        <v>N</v>
      </c>
      <c r="K1251" s="16"/>
      <c r="L1251" s="16"/>
    </row>
    <row r="1252">
      <c r="A1252" s="40" t="s">
        <v>1765</v>
      </c>
      <c r="B1252" s="10" t="str">
        <f t="shared" si="1"/>
        <v>fatty_acid</v>
      </c>
      <c r="C1252" s="49" t="str">
        <f t="shared" si="2"/>
        <v>S17103FA1</v>
      </c>
      <c r="D1252" s="6">
        <v>35.0</v>
      </c>
      <c r="E1252" s="10" t="str">
        <f t="shared" si="3"/>
        <v>BFA35</v>
      </c>
      <c r="F1252" s="13">
        <v>50.0</v>
      </c>
      <c r="G1252" s="10" t="str">
        <f t="shared" si="4"/>
        <v>BFA35-50</v>
      </c>
      <c r="H1252" s="16"/>
      <c r="I1252" s="16" t="str">
        <f t="shared" si="5"/>
        <v>collected</v>
      </c>
      <c r="J1252" s="16" t="str">
        <f t="shared" si="6"/>
        <v>N</v>
      </c>
      <c r="K1252" s="16"/>
      <c r="L1252" s="16"/>
    </row>
    <row r="1253">
      <c r="A1253" s="40" t="s">
        <v>1766</v>
      </c>
      <c r="B1253" s="10" t="str">
        <f t="shared" si="1"/>
        <v>fatty_acid</v>
      </c>
      <c r="C1253" s="49" t="str">
        <f t="shared" si="2"/>
        <v>S17101FA1</v>
      </c>
      <c r="D1253" s="6">
        <v>35.0</v>
      </c>
      <c r="E1253" s="10" t="str">
        <f t="shared" si="3"/>
        <v>BFA35</v>
      </c>
      <c r="F1253" s="13">
        <v>51.0</v>
      </c>
      <c r="G1253" s="10" t="str">
        <f t="shared" si="4"/>
        <v>BFA35-51</v>
      </c>
      <c r="H1253" s="16"/>
      <c r="I1253" s="16" t="str">
        <f t="shared" si="5"/>
        <v>collected</v>
      </c>
      <c r="J1253" s="16" t="str">
        <f t="shared" si="6"/>
        <v>N</v>
      </c>
      <c r="K1253" s="16"/>
      <c r="L1253" s="16"/>
    </row>
    <row r="1254">
      <c r="A1254" s="40" t="s">
        <v>1767</v>
      </c>
      <c r="B1254" s="10" t="str">
        <f t="shared" si="1"/>
        <v>fatty_acid</v>
      </c>
      <c r="C1254" s="49" t="str">
        <f t="shared" si="2"/>
        <v>S17106FA1</v>
      </c>
      <c r="D1254" s="6">
        <v>35.0</v>
      </c>
      <c r="E1254" s="10" t="str">
        <f t="shared" si="3"/>
        <v>BFA35</v>
      </c>
      <c r="F1254" s="13">
        <v>52.0</v>
      </c>
      <c r="G1254" s="10" t="str">
        <f t="shared" si="4"/>
        <v>BFA35-52</v>
      </c>
      <c r="H1254" s="16"/>
      <c r="I1254" s="16" t="str">
        <f t="shared" si="5"/>
        <v>collected</v>
      </c>
      <c r="J1254" s="16" t="str">
        <f t="shared" si="6"/>
        <v>N</v>
      </c>
      <c r="K1254" s="16"/>
      <c r="L1254" s="16"/>
    </row>
    <row r="1255">
      <c r="A1255" s="40" t="s">
        <v>1768</v>
      </c>
      <c r="B1255" s="10" t="str">
        <f t="shared" si="1"/>
        <v>fatty_acid</v>
      </c>
      <c r="C1255" s="49" t="str">
        <f t="shared" si="2"/>
        <v>S17104FA1</v>
      </c>
      <c r="D1255" s="6">
        <v>35.0</v>
      </c>
      <c r="E1255" s="10" t="str">
        <f t="shared" si="3"/>
        <v>BFA35</v>
      </c>
      <c r="F1255" s="13">
        <v>53.0</v>
      </c>
      <c r="G1255" s="10" t="str">
        <f t="shared" si="4"/>
        <v>BFA35-53</v>
      </c>
      <c r="H1255" s="16"/>
      <c r="I1255" s="16" t="str">
        <f t="shared" si="5"/>
        <v>collected</v>
      </c>
      <c r="J1255" s="16" t="str">
        <f t="shared" si="6"/>
        <v>N</v>
      </c>
      <c r="K1255" s="16"/>
      <c r="L1255" s="16"/>
    </row>
    <row r="1256">
      <c r="A1256" s="40" t="s">
        <v>1769</v>
      </c>
      <c r="B1256" s="10" t="str">
        <f t="shared" si="1"/>
        <v>fatty_acid</v>
      </c>
      <c r="C1256" s="49" t="str">
        <f t="shared" si="2"/>
        <v>S17105FA1</v>
      </c>
      <c r="D1256" s="6">
        <v>35.0</v>
      </c>
      <c r="E1256" s="10" t="str">
        <f t="shared" si="3"/>
        <v>BFA35</v>
      </c>
      <c r="F1256" s="13">
        <v>54.0</v>
      </c>
      <c r="G1256" s="10" t="str">
        <f t="shared" si="4"/>
        <v>BFA35-54</v>
      </c>
      <c r="H1256" s="16"/>
      <c r="I1256" s="16" t="str">
        <f t="shared" si="5"/>
        <v>collected</v>
      </c>
      <c r="J1256" s="16" t="str">
        <f t="shared" si="6"/>
        <v>N</v>
      </c>
      <c r="K1256" s="16"/>
      <c r="L1256" s="16"/>
    </row>
    <row r="1257">
      <c r="A1257" s="40" t="s">
        <v>1770</v>
      </c>
      <c r="B1257" s="10" t="str">
        <f t="shared" si="1"/>
        <v>fatty_acid</v>
      </c>
      <c r="C1257" s="49" t="str">
        <f t="shared" si="2"/>
        <v>S17109FA1</v>
      </c>
      <c r="D1257" s="6">
        <v>35.0</v>
      </c>
      <c r="E1257" s="10" t="str">
        <f t="shared" si="3"/>
        <v>BFA35</v>
      </c>
      <c r="F1257" s="13">
        <v>55.0</v>
      </c>
      <c r="G1257" s="10" t="str">
        <f t="shared" si="4"/>
        <v>BFA35-55</v>
      </c>
      <c r="H1257" s="16"/>
      <c r="I1257" s="16" t="str">
        <f t="shared" si="5"/>
        <v>collected</v>
      </c>
      <c r="J1257" s="16" t="str">
        <f t="shared" si="6"/>
        <v>N</v>
      </c>
      <c r="K1257" s="16"/>
      <c r="L1257" s="16"/>
    </row>
    <row r="1258">
      <c r="A1258" s="40" t="s">
        <v>1771</v>
      </c>
      <c r="B1258" s="10" t="str">
        <f t="shared" si="1"/>
        <v>fatty_acid</v>
      </c>
      <c r="C1258" s="49" t="str">
        <f t="shared" si="2"/>
        <v>S17110FA1</v>
      </c>
      <c r="D1258" s="6">
        <v>35.0</v>
      </c>
      <c r="E1258" s="10" t="str">
        <f t="shared" si="3"/>
        <v>BFA35</v>
      </c>
      <c r="F1258" s="13">
        <v>56.0</v>
      </c>
      <c r="G1258" s="10" t="str">
        <f t="shared" si="4"/>
        <v>BFA35-56</v>
      </c>
      <c r="H1258" s="16"/>
      <c r="I1258" s="16" t="str">
        <f t="shared" si="5"/>
        <v>collected</v>
      </c>
      <c r="J1258" s="16" t="str">
        <f t="shared" si="6"/>
        <v>N</v>
      </c>
      <c r="K1258" s="16"/>
      <c r="L1258" s="16"/>
    </row>
    <row r="1259">
      <c r="A1259" s="40" t="s">
        <v>1772</v>
      </c>
      <c r="B1259" s="10" t="str">
        <f t="shared" si="1"/>
        <v>fatty_acid</v>
      </c>
      <c r="C1259" s="49" t="str">
        <f t="shared" si="2"/>
        <v>S17108FA1</v>
      </c>
      <c r="D1259" s="6">
        <v>35.0</v>
      </c>
      <c r="E1259" s="10" t="str">
        <f t="shared" si="3"/>
        <v>BFA35</v>
      </c>
      <c r="F1259" s="13">
        <v>57.0</v>
      </c>
      <c r="G1259" s="10" t="str">
        <f t="shared" si="4"/>
        <v>BFA35-57</v>
      </c>
      <c r="H1259" s="16"/>
      <c r="I1259" s="16" t="str">
        <f t="shared" si="5"/>
        <v>collected</v>
      </c>
      <c r="J1259" s="16" t="str">
        <f t="shared" si="6"/>
        <v>N</v>
      </c>
      <c r="K1259" s="16"/>
      <c r="L1259" s="16"/>
    </row>
    <row r="1260">
      <c r="A1260" s="40" t="s">
        <v>1773</v>
      </c>
      <c r="B1260" s="10" t="str">
        <f t="shared" si="1"/>
        <v>fatty_acid</v>
      </c>
      <c r="C1260" s="49" t="str">
        <f t="shared" si="2"/>
        <v>S16415FA1</v>
      </c>
      <c r="D1260" s="6">
        <v>35.0</v>
      </c>
      <c r="E1260" s="10" t="str">
        <f t="shared" si="3"/>
        <v>BFA35</v>
      </c>
      <c r="F1260" s="13">
        <v>58.0</v>
      </c>
      <c r="G1260" s="10" t="str">
        <f t="shared" si="4"/>
        <v>BFA35-58</v>
      </c>
      <c r="H1260" s="16"/>
      <c r="I1260" s="16" t="str">
        <f t="shared" si="5"/>
        <v>collected</v>
      </c>
      <c r="J1260" s="16" t="str">
        <f t="shared" si="6"/>
        <v>N</v>
      </c>
      <c r="K1260" s="16"/>
      <c r="L1260" s="16"/>
    </row>
    <row r="1261">
      <c r="A1261" s="40" t="s">
        <v>1774</v>
      </c>
      <c r="B1261" s="10" t="str">
        <f t="shared" si="1"/>
        <v>fatty_acid</v>
      </c>
      <c r="C1261" s="49" t="str">
        <f t="shared" si="2"/>
        <v>S16418FA1</v>
      </c>
      <c r="D1261" s="6">
        <v>35.0</v>
      </c>
      <c r="E1261" s="10" t="str">
        <f t="shared" si="3"/>
        <v>BFA35</v>
      </c>
      <c r="F1261" s="13">
        <v>59.0</v>
      </c>
      <c r="G1261" s="10" t="str">
        <f t="shared" si="4"/>
        <v>BFA35-59</v>
      </c>
      <c r="H1261" s="16"/>
      <c r="I1261" s="16" t="str">
        <f t="shared" si="5"/>
        <v>collected</v>
      </c>
      <c r="J1261" s="16" t="str">
        <f t="shared" si="6"/>
        <v>N</v>
      </c>
      <c r="K1261" s="16"/>
      <c r="L1261" s="16"/>
    </row>
    <row r="1262">
      <c r="A1262" s="40" t="s">
        <v>1775</v>
      </c>
      <c r="B1262" s="10" t="str">
        <f t="shared" si="1"/>
        <v>fatty_acid</v>
      </c>
      <c r="C1262" s="49" t="str">
        <f t="shared" si="2"/>
        <v>S16414FA1</v>
      </c>
      <c r="D1262" s="6">
        <v>35.0</v>
      </c>
      <c r="E1262" s="10" t="str">
        <f t="shared" si="3"/>
        <v>BFA35</v>
      </c>
      <c r="F1262" s="13">
        <v>60.0</v>
      </c>
      <c r="G1262" s="10" t="str">
        <f t="shared" si="4"/>
        <v>BFA35-60</v>
      </c>
      <c r="H1262" s="16"/>
      <c r="I1262" s="16" t="str">
        <f t="shared" si="5"/>
        <v>collected</v>
      </c>
      <c r="J1262" s="16" t="str">
        <f t="shared" si="6"/>
        <v>N</v>
      </c>
      <c r="K1262" s="16"/>
      <c r="L1262" s="16"/>
    </row>
    <row r="1263">
      <c r="A1263" s="40" t="s">
        <v>1776</v>
      </c>
      <c r="B1263" s="10" t="str">
        <f t="shared" si="1"/>
        <v>fatty_acid</v>
      </c>
      <c r="C1263" s="49" t="str">
        <f t="shared" si="2"/>
        <v>S16412FA1</v>
      </c>
      <c r="D1263" s="6">
        <v>35.0</v>
      </c>
      <c r="E1263" s="10" t="str">
        <f t="shared" si="3"/>
        <v>BFA35</v>
      </c>
      <c r="F1263" s="13">
        <v>61.0</v>
      </c>
      <c r="G1263" s="10" t="str">
        <f t="shared" si="4"/>
        <v>BFA35-61</v>
      </c>
      <c r="H1263" s="16"/>
      <c r="I1263" s="16" t="str">
        <f t="shared" si="5"/>
        <v>collected</v>
      </c>
      <c r="J1263" s="16" t="str">
        <f t="shared" si="6"/>
        <v>N</v>
      </c>
      <c r="K1263" s="16"/>
      <c r="L1263" s="16"/>
    </row>
    <row r="1264">
      <c r="A1264" s="40" t="s">
        <v>1777</v>
      </c>
      <c r="B1264" s="10" t="str">
        <f t="shared" si="1"/>
        <v>fatty_acid</v>
      </c>
      <c r="C1264" s="49" t="str">
        <f t="shared" si="2"/>
        <v>S16413FA1</v>
      </c>
      <c r="D1264" s="6">
        <v>35.0</v>
      </c>
      <c r="E1264" s="10" t="str">
        <f t="shared" si="3"/>
        <v>BFA35</v>
      </c>
      <c r="F1264" s="13">
        <v>62.0</v>
      </c>
      <c r="G1264" s="10" t="str">
        <f t="shared" si="4"/>
        <v>BFA35-62</v>
      </c>
      <c r="H1264" s="16"/>
      <c r="I1264" s="16" t="str">
        <f t="shared" si="5"/>
        <v>collected</v>
      </c>
      <c r="J1264" s="16" t="str">
        <f t="shared" si="6"/>
        <v>N</v>
      </c>
      <c r="K1264" s="16"/>
      <c r="L1264" s="16"/>
    </row>
    <row r="1265">
      <c r="A1265" s="40" t="s">
        <v>1778</v>
      </c>
      <c r="B1265" s="10" t="str">
        <f t="shared" si="1"/>
        <v>fatty_acid</v>
      </c>
      <c r="C1265" s="49" t="str">
        <f t="shared" si="2"/>
        <v>S16411FA1</v>
      </c>
      <c r="D1265" s="6">
        <v>35.0</v>
      </c>
      <c r="E1265" s="10" t="str">
        <f t="shared" si="3"/>
        <v>BFA35</v>
      </c>
      <c r="F1265" s="13">
        <v>63.0</v>
      </c>
      <c r="G1265" s="10" t="str">
        <f t="shared" si="4"/>
        <v>BFA35-63</v>
      </c>
      <c r="H1265" s="16"/>
      <c r="I1265" s="16" t="str">
        <f t="shared" si="5"/>
        <v>collected</v>
      </c>
      <c r="J1265" s="16" t="str">
        <f t="shared" si="6"/>
        <v>N</v>
      </c>
      <c r="K1265" s="16"/>
      <c r="L1265" s="16"/>
    </row>
    <row r="1266">
      <c r="A1266" s="40" t="s">
        <v>1779</v>
      </c>
      <c r="B1266" s="10" t="str">
        <f t="shared" si="1"/>
        <v>fatty_acid</v>
      </c>
      <c r="C1266" s="49" t="str">
        <f t="shared" si="2"/>
        <v>S16417FA1</v>
      </c>
      <c r="D1266" s="6">
        <v>35.0</v>
      </c>
      <c r="E1266" s="10" t="str">
        <f t="shared" si="3"/>
        <v>BFA35</v>
      </c>
      <c r="F1266" s="13">
        <v>64.0</v>
      </c>
      <c r="G1266" s="10" t="str">
        <f t="shared" si="4"/>
        <v>BFA35-64</v>
      </c>
      <c r="H1266" s="16"/>
      <c r="I1266" s="16" t="str">
        <f t="shared" si="5"/>
        <v>collected</v>
      </c>
      <c r="J1266" s="16" t="str">
        <f t="shared" si="6"/>
        <v>N</v>
      </c>
      <c r="K1266" s="16"/>
      <c r="L1266" s="16"/>
    </row>
    <row r="1267">
      <c r="A1267" s="40" t="s">
        <v>1781</v>
      </c>
      <c r="B1267" s="10" t="str">
        <f t="shared" si="1"/>
        <v>fatty_acid</v>
      </c>
      <c r="C1267" s="49" t="str">
        <f t="shared" si="2"/>
        <v>S16419FA1</v>
      </c>
      <c r="D1267" s="6">
        <v>35.0</v>
      </c>
      <c r="E1267" s="10" t="str">
        <f t="shared" si="3"/>
        <v>BFA35</v>
      </c>
      <c r="F1267" s="13">
        <v>65.0</v>
      </c>
      <c r="G1267" s="10" t="str">
        <f t="shared" si="4"/>
        <v>BFA35-65</v>
      </c>
      <c r="H1267" s="16"/>
      <c r="I1267" s="16" t="str">
        <f t="shared" si="5"/>
        <v>collected</v>
      </c>
      <c r="J1267" s="16" t="str">
        <f t="shared" si="6"/>
        <v>N</v>
      </c>
      <c r="K1267" s="16"/>
      <c r="L1267" s="16"/>
    </row>
    <row r="1268">
      <c r="A1268" s="40" t="s">
        <v>1782</v>
      </c>
      <c r="B1268" s="10" t="str">
        <f t="shared" si="1"/>
        <v>fatty_acid</v>
      </c>
      <c r="C1268" s="49" t="str">
        <f t="shared" si="2"/>
        <v>S16416FA1</v>
      </c>
      <c r="D1268" s="6">
        <v>35.0</v>
      </c>
      <c r="E1268" s="10" t="str">
        <f t="shared" si="3"/>
        <v>BFA35</v>
      </c>
      <c r="F1268" s="13">
        <v>66.0</v>
      </c>
      <c r="G1268" s="10" t="str">
        <f t="shared" si="4"/>
        <v>BFA35-66</v>
      </c>
      <c r="H1268" s="16"/>
      <c r="I1268" s="16" t="str">
        <f t="shared" si="5"/>
        <v>collected</v>
      </c>
      <c r="J1268" s="16" t="str">
        <f t="shared" si="6"/>
        <v>N</v>
      </c>
      <c r="K1268" s="16"/>
      <c r="L1268" s="16"/>
    </row>
    <row r="1269">
      <c r="A1269" s="40" t="s">
        <v>1784</v>
      </c>
      <c r="B1269" s="10" t="str">
        <f t="shared" si="1"/>
        <v>fatty_acid</v>
      </c>
      <c r="C1269" s="49" t="str">
        <f t="shared" si="2"/>
        <v>S16420FA1</v>
      </c>
      <c r="D1269" s="6">
        <v>35.0</v>
      </c>
      <c r="E1269" s="10" t="str">
        <f t="shared" si="3"/>
        <v>BFA35</v>
      </c>
      <c r="F1269" s="13">
        <v>67.0</v>
      </c>
      <c r="G1269" s="10" t="str">
        <f t="shared" si="4"/>
        <v>BFA35-67</v>
      </c>
      <c r="H1269" s="16"/>
      <c r="I1269" s="16" t="str">
        <f t="shared" si="5"/>
        <v>collected</v>
      </c>
      <c r="J1269" s="16" t="str">
        <f t="shared" si="6"/>
        <v>N</v>
      </c>
      <c r="K1269" s="16"/>
      <c r="L1269" s="16"/>
    </row>
    <row r="1270">
      <c r="A1270" s="40" t="s">
        <v>1785</v>
      </c>
      <c r="B1270" s="10" t="str">
        <f t="shared" si="1"/>
        <v>fatty_acid</v>
      </c>
      <c r="C1270" s="49" t="str">
        <f t="shared" si="2"/>
        <v>S17380FA1</v>
      </c>
      <c r="D1270" s="6">
        <v>35.0</v>
      </c>
      <c r="E1270" s="10" t="str">
        <f t="shared" si="3"/>
        <v>BFA35</v>
      </c>
      <c r="F1270" s="13">
        <v>68.0</v>
      </c>
      <c r="G1270" s="10" t="str">
        <f t="shared" si="4"/>
        <v>BFA35-68</v>
      </c>
      <c r="H1270" s="16"/>
      <c r="I1270" s="16" t="str">
        <f t="shared" si="5"/>
        <v>collected</v>
      </c>
      <c r="J1270" s="16" t="str">
        <f t="shared" si="6"/>
        <v>N</v>
      </c>
      <c r="K1270" s="16"/>
      <c r="L1270" s="16"/>
    </row>
    <row r="1271">
      <c r="A1271" s="40" t="s">
        <v>1786</v>
      </c>
      <c r="B1271" s="10" t="str">
        <f t="shared" si="1"/>
        <v>fatty_acid</v>
      </c>
      <c r="C1271" s="49" t="str">
        <f t="shared" si="2"/>
        <v>S17375FA1</v>
      </c>
      <c r="D1271" s="6">
        <v>35.0</v>
      </c>
      <c r="E1271" s="10" t="str">
        <f t="shared" si="3"/>
        <v>BFA35</v>
      </c>
      <c r="F1271" s="13">
        <v>69.0</v>
      </c>
      <c r="G1271" s="10" t="str">
        <f t="shared" si="4"/>
        <v>BFA35-69</v>
      </c>
      <c r="H1271" s="16"/>
      <c r="I1271" s="16" t="str">
        <f t="shared" si="5"/>
        <v>collected</v>
      </c>
      <c r="J1271" s="16" t="str">
        <f t="shared" si="6"/>
        <v>N</v>
      </c>
      <c r="K1271" s="16"/>
      <c r="L1271" s="16"/>
    </row>
    <row r="1272">
      <c r="A1272" s="40" t="s">
        <v>1787</v>
      </c>
      <c r="B1272" s="10" t="str">
        <f t="shared" si="1"/>
        <v>fatty_acid</v>
      </c>
      <c r="C1272" s="49" t="str">
        <f t="shared" si="2"/>
        <v>S17376FA1</v>
      </c>
      <c r="D1272" s="6">
        <v>35.0</v>
      </c>
      <c r="E1272" s="10" t="str">
        <f t="shared" si="3"/>
        <v>BFA35</v>
      </c>
      <c r="F1272" s="13">
        <v>70.0</v>
      </c>
      <c r="G1272" s="10" t="str">
        <f t="shared" si="4"/>
        <v>BFA35-70</v>
      </c>
      <c r="H1272" s="16"/>
      <c r="I1272" s="16" t="str">
        <f t="shared" si="5"/>
        <v>collected</v>
      </c>
      <c r="J1272" s="16" t="str">
        <f t="shared" si="6"/>
        <v>N</v>
      </c>
      <c r="K1272" s="16"/>
      <c r="L1272" s="16"/>
    </row>
    <row r="1273">
      <c r="A1273" s="40" t="s">
        <v>1788</v>
      </c>
      <c r="B1273" s="10" t="str">
        <f t="shared" si="1"/>
        <v>fatty_acid</v>
      </c>
      <c r="C1273" s="49" t="str">
        <f t="shared" si="2"/>
        <v>S17377FA1</v>
      </c>
      <c r="D1273" s="6">
        <v>35.0</v>
      </c>
      <c r="E1273" s="10" t="str">
        <f t="shared" si="3"/>
        <v>BFA35</v>
      </c>
      <c r="F1273" s="13">
        <v>71.0</v>
      </c>
      <c r="G1273" s="10" t="str">
        <f t="shared" si="4"/>
        <v>BFA35-71</v>
      </c>
      <c r="H1273" s="16"/>
      <c r="I1273" s="16" t="str">
        <f t="shared" si="5"/>
        <v>collected</v>
      </c>
      <c r="J1273" s="16" t="str">
        <f t="shared" si="6"/>
        <v>N</v>
      </c>
      <c r="K1273" s="16"/>
      <c r="L1273" s="16"/>
    </row>
    <row r="1274">
      <c r="A1274" s="40" t="s">
        <v>1790</v>
      </c>
      <c r="B1274" s="10" t="str">
        <f t="shared" si="1"/>
        <v>fatty_acid</v>
      </c>
      <c r="C1274" s="49" t="str">
        <f t="shared" si="2"/>
        <v>S17374FA1</v>
      </c>
      <c r="D1274" s="6">
        <v>35.0</v>
      </c>
      <c r="E1274" s="10" t="str">
        <f t="shared" si="3"/>
        <v>BFA35</v>
      </c>
      <c r="F1274" s="13">
        <v>72.0</v>
      </c>
      <c r="G1274" s="10" t="str">
        <f t="shared" si="4"/>
        <v>BFA35-72</v>
      </c>
      <c r="H1274" s="16"/>
      <c r="I1274" s="16" t="str">
        <f t="shared" si="5"/>
        <v>collected</v>
      </c>
      <c r="J1274" s="16" t="str">
        <f t="shared" si="6"/>
        <v>N</v>
      </c>
      <c r="K1274" s="16"/>
      <c r="L1274" s="16"/>
    </row>
    <row r="1275">
      <c r="A1275" s="40" t="s">
        <v>1791</v>
      </c>
      <c r="B1275" s="10" t="str">
        <f t="shared" si="1"/>
        <v>fatty_acid</v>
      </c>
      <c r="C1275" s="49" t="str">
        <f t="shared" si="2"/>
        <v>S17378FA1</v>
      </c>
      <c r="D1275" s="6">
        <v>35.0</v>
      </c>
      <c r="E1275" s="10" t="str">
        <f t="shared" si="3"/>
        <v>BFA35</v>
      </c>
      <c r="F1275" s="13">
        <v>73.0</v>
      </c>
      <c r="G1275" s="10" t="str">
        <f t="shared" si="4"/>
        <v>BFA35-73</v>
      </c>
      <c r="H1275" s="16"/>
      <c r="I1275" s="16" t="str">
        <f t="shared" si="5"/>
        <v>collected</v>
      </c>
      <c r="J1275" s="16" t="str">
        <f t="shared" si="6"/>
        <v>N</v>
      </c>
      <c r="K1275" s="16"/>
      <c r="L1275" s="16"/>
    </row>
    <row r="1276">
      <c r="A1276" s="40" t="s">
        <v>1792</v>
      </c>
      <c r="B1276" s="10" t="str">
        <f t="shared" si="1"/>
        <v>fatty_acid</v>
      </c>
      <c r="C1276" s="49" t="str">
        <f t="shared" si="2"/>
        <v>S17379FA1</v>
      </c>
      <c r="D1276" s="6">
        <v>35.0</v>
      </c>
      <c r="E1276" s="10" t="str">
        <f t="shared" si="3"/>
        <v>BFA35</v>
      </c>
      <c r="F1276" s="13">
        <v>74.0</v>
      </c>
      <c r="G1276" s="10" t="str">
        <f t="shared" si="4"/>
        <v>BFA35-74</v>
      </c>
      <c r="H1276" s="16"/>
      <c r="I1276" s="16" t="str">
        <f t="shared" si="5"/>
        <v>collected</v>
      </c>
      <c r="J1276" s="16" t="str">
        <f t="shared" si="6"/>
        <v>N</v>
      </c>
      <c r="K1276" s="16"/>
      <c r="L1276" s="16"/>
    </row>
    <row r="1277">
      <c r="A1277" s="40" t="s">
        <v>1793</v>
      </c>
      <c r="B1277" s="10" t="str">
        <f t="shared" si="1"/>
        <v>fatty_acid</v>
      </c>
      <c r="C1277" s="49" t="str">
        <f t="shared" si="2"/>
        <v>S17371FA1</v>
      </c>
      <c r="D1277" s="6">
        <v>35.0</v>
      </c>
      <c r="E1277" s="10" t="str">
        <f t="shared" si="3"/>
        <v>BFA35</v>
      </c>
      <c r="F1277" s="13">
        <v>75.0</v>
      </c>
      <c r="G1277" s="10" t="str">
        <f t="shared" si="4"/>
        <v>BFA35-75</v>
      </c>
      <c r="H1277" s="16"/>
      <c r="I1277" s="16" t="str">
        <f t="shared" si="5"/>
        <v>collected</v>
      </c>
      <c r="J1277" s="16" t="str">
        <f t="shared" si="6"/>
        <v>N</v>
      </c>
      <c r="K1277" s="16"/>
      <c r="L1277" s="16"/>
    </row>
    <row r="1278">
      <c r="A1278" s="40" t="s">
        <v>1795</v>
      </c>
      <c r="B1278" s="10" t="str">
        <f t="shared" si="1"/>
        <v>fatty_acid</v>
      </c>
      <c r="C1278" s="49" t="str">
        <f t="shared" si="2"/>
        <v>S17372FA1</v>
      </c>
      <c r="D1278" s="6">
        <v>35.0</v>
      </c>
      <c r="E1278" s="10" t="str">
        <f t="shared" si="3"/>
        <v>BFA35</v>
      </c>
      <c r="F1278" s="13">
        <v>76.0</v>
      </c>
      <c r="G1278" s="10" t="str">
        <f t="shared" si="4"/>
        <v>BFA35-76</v>
      </c>
      <c r="H1278" s="16"/>
      <c r="I1278" s="16" t="str">
        <f t="shared" si="5"/>
        <v>collected</v>
      </c>
      <c r="J1278" s="16" t="str">
        <f t="shared" si="6"/>
        <v>N</v>
      </c>
      <c r="K1278" s="16"/>
      <c r="L1278" s="16"/>
    </row>
    <row r="1279">
      <c r="A1279" s="40" t="s">
        <v>1796</v>
      </c>
      <c r="B1279" s="10" t="str">
        <f t="shared" si="1"/>
        <v>fatty_acid</v>
      </c>
      <c r="C1279" s="49" t="str">
        <f t="shared" si="2"/>
        <v>S17373FA1</v>
      </c>
      <c r="D1279" s="6">
        <v>35.0</v>
      </c>
      <c r="E1279" s="10" t="str">
        <f t="shared" si="3"/>
        <v>BFA35</v>
      </c>
      <c r="F1279" s="13">
        <v>77.0</v>
      </c>
      <c r="G1279" s="10" t="str">
        <f t="shared" si="4"/>
        <v>BFA35-77</v>
      </c>
      <c r="H1279" s="16"/>
      <c r="I1279" s="16" t="str">
        <f t="shared" si="5"/>
        <v>collected</v>
      </c>
      <c r="J1279" s="16" t="str">
        <f t="shared" si="6"/>
        <v>N</v>
      </c>
      <c r="K1279" s="16"/>
      <c r="L1279" s="16"/>
    </row>
    <row r="1280">
      <c r="A1280" s="40" t="s">
        <v>1797</v>
      </c>
      <c r="B1280" s="10" t="str">
        <f t="shared" si="1"/>
        <v>fatty_acid</v>
      </c>
      <c r="C1280" s="49" t="str">
        <f t="shared" si="2"/>
        <v>S17157FA1</v>
      </c>
      <c r="D1280" s="6">
        <v>33.0</v>
      </c>
      <c r="E1280" s="10" t="str">
        <f t="shared" si="3"/>
        <v>BFA33</v>
      </c>
      <c r="F1280" s="13">
        <v>47.0</v>
      </c>
      <c r="G1280" s="10" t="str">
        <f t="shared" si="4"/>
        <v>BFA33-47</v>
      </c>
      <c r="H1280" s="16"/>
      <c r="I1280" s="16" t="str">
        <f t="shared" si="5"/>
        <v>collected</v>
      </c>
      <c r="J1280" s="16" t="str">
        <f t="shared" si="6"/>
        <v>N</v>
      </c>
      <c r="K1280" s="16"/>
      <c r="L1280" s="16"/>
    </row>
    <row r="1281">
      <c r="A1281" s="40" t="s">
        <v>1798</v>
      </c>
      <c r="B1281" s="10" t="str">
        <f t="shared" si="1"/>
        <v>fatty_acid</v>
      </c>
      <c r="C1281" s="49" t="str">
        <f t="shared" si="2"/>
        <v>S17160FA1</v>
      </c>
      <c r="D1281" s="6">
        <v>33.0</v>
      </c>
      <c r="E1281" s="10" t="str">
        <f t="shared" si="3"/>
        <v>BFA33</v>
      </c>
      <c r="F1281" s="13">
        <v>48.0</v>
      </c>
      <c r="G1281" s="10" t="str">
        <f t="shared" si="4"/>
        <v>BFA33-48</v>
      </c>
      <c r="H1281" s="16"/>
      <c r="I1281" s="16" t="str">
        <f t="shared" si="5"/>
        <v>collected</v>
      </c>
      <c r="J1281" s="16" t="str">
        <f t="shared" si="6"/>
        <v>N</v>
      </c>
      <c r="K1281" s="16"/>
      <c r="L1281" s="16"/>
    </row>
    <row r="1282">
      <c r="A1282" s="40" t="s">
        <v>1799</v>
      </c>
      <c r="B1282" s="10" t="str">
        <f t="shared" si="1"/>
        <v>fatty_acid</v>
      </c>
      <c r="C1282" s="49" t="str">
        <f t="shared" si="2"/>
        <v>S17159FA1</v>
      </c>
      <c r="D1282" s="6">
        <v>33.0</v>
      </c>
      <c r="E1282" s="10" t="str">
        <f t="shared" si="3"/>
        <v>BFA33</v>
      </c>
      <c r="F1282" s="13">
        <v>49.0</v>
      </c>
      <c r="G1282" s="10" t="str">
        <f t="shared" si="4"/>
        <v>BFA33-49</v>
      </c>
      <c r="H1282" s="16"/>
      <c r="I1282" s="16" t="str">
        <f t="shared" si="5"/>
        <v>collected</v>
      </c>
      <c r="J1282" s="16" t="str">
        <f t="shared" si="6"/>
        <v>N</v>
      </c>
      <c r="K1282" s="16"/>
      <c r="L1282" s="16"/>
    </row>
    <row r="1283">
      <c r="A1283" s="40" t="s">
        <v>1801</v>
      </c>
      <c r="B1283" s="10" t="str">
        <f t="shared" si="1"/>
        <v>fatty_acid</v>
      </c>
      <c r="C1283" s="49" t="str">
        <f t="shared" si="2"/>
        <v>S17155FA1</v>
      </c>
      <c r="D1283" s="6">
        <v>33.0</v>
      </c>
      <c r="E1283" s="10" t="str">
        <f t="shared" si="3"/>
        <v>BFA33</v>
      </c>
      <c r="F1283" s="13">
        <v>50.0</v>
      </c>
      <c r="G1283" s="10" t="str">
        <f t="shared" si="4"/>
        <v>BFA33-50</v>
      </c>
      <c r="H1283" s="16"/>
      <c r="I1283" s="16" t="str">
        <f t="shared" si="5"/>
        <v>collected</v>
      </c>
      <c r="J1283" s="16" t="str">
        <f t="shared" si="6"/>
        <v>N</v>
      </c>
      <c r="K1283" s="16"/>
      <c r="L1283" s="16"/>
    </row>
    <row r="1284">
      <c r="A1284" s="40" t="s">
        <v>1802</v>
      </c>
      <c r="B1284" s="10" t="str">
        <f t="shared" si="1"/>
        <v>fatty_acid</v>
      </c>
      <c r="C1284" s="49" t="str">
        <f t="shared" si="2"/>
        <v>S17156FA1</v>
      </c>
      <c r="D1284" s="6">
        <v>33.0</v>
      </c>
      <c r="E1284" s="10" t="str">
        <f t="shared" si="3"/>
        <v>BFA33</v>
      </c>
      <c r="F1284" s="13">
        <v>51.0</v>
      </c>
      <c r="G1284" s="10" t="str">
        <f t="shared" si="4"/>
        <v>BFA33-51</v>
      </c>
      <c r="H1284" s="16"/>
      <c r="I1284" s="16" t="str">
        <f t="shared" si="5"/>
        <v>collected</v>
      </c>
      <c r="J1284" s="16" t="str">
        <f t="shared" si="6"/>
        <v>N</v>
      </c>
      <c r="K1284" s="16"/>
      <c r="L1284" s="16"/>
    </row>
    <row r="1285">
      <c r="A1285" s="40" t="s">
        <v>1803</v>
      </c>
      <c r="B1285" s="10" t="str">
        <f t="shared" si="1"/>
        <v>fatty_acid</v>
      </c>
      <c r="C1285" s="49" t="str">
        <f t="shared" si="2"/>
        <v>S17154FA1</v>
      </c>
      <c r="D1285" s="6">
        <v>33.0</v>
      </c>
      <c r="E1285" s="10" t="str">
        <f t="shared" si="3"/>
        <v>BFA33</v>
      </c>
      <c r="F1285" s="13">
        <v>52.0</v>
      </c>
      <c r="G1285" s="10" t="str">
        <f t="shared" si="4"/>
        <v>BFA33-52</v>
      </c>
      <c r="H1285" s="16"/>
      <c r="I1285" s="16" t="str">
        <f t="shared" si="5"/>
        <v>collected</v>
      </c>
      <c r="J1285" s="16" t="str">
        <f t="shared" si="6"/>
        <v>N</v>
      </c>
      <c r="K1285" s="16"/>
      <c r="L1285" s="16"/>
    </row>
    <row r="1286">
      <c r="A1286" s="40" t="s">
        <v>1804</v>
      </c>
      <c r="B1286" s="10" t="str">
        <f t="shared" si="1"/>
        <v>fatty_acid</v>
      </c>
      <c r="C1286" s="49" t="str">
        <f t="shared" si="2"/>
        <v>S17152FA1</v>
      </c>
      <c r="D1286" s="6">
        <v>33.0</v>
      </c>
      <c r="E1286" s="10" t="str">
        <f t="shared" si="3"/>
        <v>BFA33</v>
      </c>
      <c r="F1286" s="13">
        <v>53.0</v>
      </c>
      <c r="G1286" s="10" t="str">
        <f t="shared" si="4"/>
        <v>BFA33-53</v>
      </c>
      <c r="H1286" s="16"/>
      <c r="I1286" s="16" t="str">
        <f t="shared" si="5"/>
        <v>collected</v>
      </c>
      <c r="J1286" s="16" t="str">
        <f t="shared" si="6"/>
        <v>N</v>
      </c>
      <c r="K1286" s="16"/>
      <c r="L1286" s="16"/>
    </row>
    <row r="1287">
      <c r="A1287" s="40" t="s">
        <v>1805</v>
      </c>
      <c r="B1287" s="10" t="str">
        <f t="shared" si="1"/>
        <v>fatty_acid</v>
      </c>
      <c r="C1287" s="49" t="str">
        <f t="shared" si="2"/>
        <v>S17158FA1</v>
      </c>
      <c r="D1287" s="6">
        <v>33.0</v>
      </c>
      <c r="E1287" s="10" t="str">
        <f t="shared" si="3"/>
        <v>BFA33</v>
      </c>
      <c r="F1287" s="13">
        <v>54.0</v>
      </c>
      <c r="G1287" s="10" t="str">
        <f t="shared" si="4"/>
        <v>BFA33-54</v>
      </c>
      <c r="H1287" s="16"/>
      <c r="I1287" s="16" t="str">
        <f t="shared" si="5"/>
        <v>collected</v>
      </c>
      <c r="J1287" s="16" t="str">
        <f t="shared" si="6"/>
        <v>N</v>
      </c>
      <c r="K1287" s="16"/>
      <c r="L1287" s="16"/>
    </row>
    <row r="1288">
      <c r="A1288" s="40" t="s">
        <v>1806</v>
      </c>
      <c r="B1288" s="10" t="str">
        <f t="shared" si="1"/>
        <v>fatty_acid</v>
      </c>
      <c r="C1288" s="49" t="str">
        <f t="shared" si="2"/>
        <v>S17151FA1</v>
      </c>
      <c r="D1288" s="6">
        <v>33.0</v>
      </c>
      <c r="E1288" s="10" t="str">
        <f t="shared" si="3"/>
        <v>BFA33</v>
      </c>
      <c r="F1288" s="13">
        <v>55.0</v>
      </c>
      <c r="G1288" s="10" t="str">
        <f t="shared" si="4"/>
        <v>BFA33-55</v>
      </c>
      <c r="H1288" s="16"/>
      <c r="I1288" s="16" t="str">
        <f t="shared" si="5"/>
        <v>collected</v>
      </c>
      <c r="J1288" s="16" t="str">
        <f t="shared" si="6"/>
        <v>N</v>
      </c>
      <c r="K1288" s="16"/>
      <c r="L1288" s="16"/>
    </row>
    <row r="1289">
      <c r="A1289" s="40" t="s">
        <v>1808</v>
      </c>
      <c r="B1289" s="10" t="str">
        <f t="shared" si="1"/>
        <v>fatty_acid</v>
      </c>
      <c r="C1289" s="49" t="str">
        <f t="shared" si="2"/>
        <v>S17153FA1</v>
      </c>
      <c r="D1289" s="6">
        <v>33.0</v>
      </c>
      <c r="E1289" s="10" t="str">
        <f t="shared" si="3"/>
        <v>BFA33</v>
      </c>
      <c r="F1289" s="13">
        <v>56.0</v>
      </c>
      <c r="G1289" s="10" t="str">
        <f t="shared" si="4"/>
        <v>BFA33-56</v>
      </c>
      <c r="H1289" s="16"/>
      <c r="I1289" s="16" t="str">
        <f t="shared" si="5"/>
        <v>collected</v>
      </c>
      <c r="J1289" s="16" t="str">
        <f t="shared" si="6"/>
        <v>N</v>
      </c>
      <c r="K1289" s="16"/>
      <c r="L1289" s="16"/>
    </row>
    <row r="1290">
      <c r="A1290" s="40" t="s">
        <v>1810</v>
      </c>
      <c r="B1290" s="10" t="str">
        <f t="shared" si="1"/>
        <v>fatty_acid</v>
      </c>
      <c r="C1290" s="49" t="str">
        <f t="shared" si="2"/>
        <v>S16575FA1</v>
      </c>
      <c r="D1290" s="6">
        <v>33.0</v>
      </c>
      <c r="E1290" s="10" t="str">
        <f t="shared" si="3"/>
        <v>BFA33</v>
      </c>
      <c r="F1290" s="13">
        <v>57.0</v>
      </c>
      <c r="G1290" s="10" t="str">
        <f t="shared" si="4"/>
        <v>BFA33-57</v>
      </c>
      <c r="H1290" s="16"/>
      <c r="I1290" s="16" t="str">
        <f t="shared" si="5"/>
        <v>collected</v>
      </c>
      <c r="J1290" s="16" t="str">
        <f t="shared" si="6"/>
        <v>N</v>
      </c>
      <c r="K1290" s="16"/>
      <c r="L1290" s="16"/>
    </row>
    <row r="1291">
      <c r="A1291" s="40" t="s">
        <v>1811</v>
      </c>
      <c r="B1291" s="10" t="str">
        <f t="shared" si="1"/>
        <v>fatty_acid</v>
      </c>
      <c r="C1291" s="49" t="str">
        <f t="shared" si="2"/>
        <v>S16573FA1</v>
      </c>
      <c r="D1291" s="6">
        <v>33.0</v>
      </c>
      <c r="E1291" s="10" t="str">
        <f t="shared" si="3"/>
        <v>BFA33</v>
      </c>
      <c r="F1291" s="13">
        <v>58.0</v>
      </c>
      <c r="G1291" s="10" t="str">
        <f t="shared" si="4"/>
        <v>BFA33-58</v>
      </c>
      <c r="H1291" s="16"/>
      <c r="I1291" s="16" t="str">
        <f t="shared" si="5"/>
        <v>collected</v>
      </c>
      <c r="J1291" s="16" t="str">
        <f t="shared" si="6"/>
        <v>N</v>
      </c>
      <c r="K1291" s="16"/>
      <c r="L1291" s="16"/>
    </row>
    <row r="1292">
      <c r="A1292" s="40" t="s">
        <v>1812</v>
      </c>
      <c r="B1292" s="10" t="str">
        <f t="shared" si="1"/>
        <v>fatty_acid</v>
      </c>
      <c r="C1292" s="49" t="str">
        <f t="shared" si="2"/>
        <v>S16571FA1</v>
      </c>
      <c r="D1292" s="6">
        <v>33.0</v>
      </c>
      <c r="E1292" s="10" t="str">
        <f t="shared" si="3"/>
        <v>BFA33</v>
      </c>
      <c r="F1292" s="13">
        <v>59.0</v>
      </c>
      <c r="G1292" s="10" t="str">
        <f t="shared" si="4"/>
        <v>BFA33-59</v>
      </c>
      <c r="H1292" s="16"/>
      <c r="I1292" s="16" t="str">
        <f t="shared" si="5"/>
        <v>collected</v>
      </c>
      <c r="J1292" s="16" t="str">
        <f t="shared" si="6"/>
        <v>N</v>
      </c>
      <c r="K1292" s="16"/>
      <c r="L1292" s="16"/>
    </row>
    <row r="1293">
      <c r="A1293" s="40" t="s">
        <v>1814</v>
      </c>
      <c r="B1293" s="10" t="str">
        <f t="shared" si="1"/>
        <v>fatty_acid</v>
      </c>
      <c r="C1293" s="49" t="str">
        <f t="shared" si="2"/>
        <v>S16580FA1</v>
      </c>
      <c r="D1293" s="6">
        <v>33.0</v>
      </c>
      <c r="E1293" s="10" t="str">
        <f t="shared" si="3"/>
        <v>BFA33</v>
      </c>
      <c r="F1293" s="13">
        <v>60.0</v>
      </c>
      <c r="G1293" s="10" t="str">
        <f t="shared" si="4"/>
        <v>BFA33-60</v>
      </c>
      <c r="H1293" s="16"/>
      <c r="I1293" s="16" t="str">
        <f t="shared" si="5"/>
        <v>collected</v>
      </c>
      <c r="J1293" s="16" t="str">
        <f t="shared" si="6"/>
        <v>N</v>
      </c>
      <c r="K1293" s="16"/>
      <c r="L1293" s="16"/>
    </row>
    <row r="1294">
      <c r="A1294" s="40" t="s">
        <v>1815</v>
      </c>
      <c r="B1294" s="10" t="str">
        <f t="shared" si="1"/>
        <v>fatty_acid</v>
      </c>
      <c r="C1294" s="49" t="str">
        <f t="shared" si="2"/>
        <v>S16574FA1</v>
      </c>
      <c r="D1294" s="6">
        <v>33.0</v>
      </c>
      <c r="E1294" s="10" t="str">
        <f t="shared" si="3"/>
        <v>BFA33</v>
      </c>
      <c r="F1294" s="13">
        <v>61.0</v>
      </c>
      <c r="G1294" s="10" t="str">
        <f t="shared" si="4"/>
        <v>BFA33-61</v>
      </c>
      <c r="H1294" s="16"/>
      <c r="I1294" s="16" t="str">
        <f t="shared" si="5"/>
        <v>collected</v>
      </c>
      <c r="J1294" s="16" t="str">
        <f t="shared" si="6"/>
        <v>N</v>
      </c>
      <c r="K1294" s="16"/>
      <c r="L1294" s="16"/>
    </row>
    <row r="1295">
      <c r="A1295" s="40" t="s">
        <v>1816</v>
      </c>
      <c r="B1295" s="10" t="str">
        <f t="shared" si="1"/>
        <v>fatty_acid</v>
      </c>
      <c r="C1295" s="49" t="str">
        <f t="shared" si="2"/>
        <v>S16577FA1</v>
      </c>
      <c r="D1295" s="6">
        <v>33.0</v>
      </c>
      <c r="E1295" s="10" t="str">
        <f t="shared" si="3"/>
        <v>BFA33</v>
      </c>
      <c r="F1295" s="13">
        <v>62.0</v>
      </c>
      <c r="G1295" s="10" t="str">
        <f t="shared" si="4"/>
        <v>BFA33-62</v>
      </c>
      <c r="H1295" s="16"/>
      <c r="I1295" s="16" t="str">
        <f t="shared" si="5"/>
        <v>collected</v>
      </c>
      <c r="J1295" s="16" t="str">
        <f t="shared" si="6"/>
        <v>N</v>
      </c>
      <c r="K1295" s="16"/>
      <c r="L1295" s="16"/>
    </row>
    <row r="1296">
      <c r="A1296" s="40" t="s">
        <v>1817</v>
      </c>
      <c r="B1296" s="10" t="str">
        <f t="shared" si="1"/>
        <v>fatty_acid</v>
      </c>
      <c r="C1296" s="49" t="str">
        <f t="shared" si="2"/>
        <v>S16579FA1</v>
      </c>
      <c r="D1296" s="6">
        <v>33.0</v>
      </c>
      <c r="E1296" s="10" t="str">
        <f t="shared" si="3"/>
        <v>BFA33</v>
      </c>
      <c r="F1296" s="13">
        <v>63.0</v>
      </c>
      <c r="G1296" s="10" t="str">
        <f t="shared" si="4"/>
        <v>BFA33-63</v>
      </c>
      <c r="H1296" s="16"/>
      <c r="I1296" s="16" t="str">
        <f t="shared" si="5"/>
        <v>collected</v>
      </c>
      <c r="J1296" s="16" t="str">
        <f t="shared" si="6"/>
        <v>N</v>
      </c>
      <c r="K1296" s="16"/>
      <c r="L1296" s="16"/>
    </row>
    <row r="1297">
      <c r="A1297" s="40" t="s">
        <v>1818</v>
      </c>
      <c r="B1297" s="10" t="str">
        <f t="shared" si="1"/>
        <v>fatty_acid</v>
      </c>
      <c r="C1297" s="49" t="str">
        <f t="shared" si="2"/>
        <v>S16576FA1</v>
      </c>
      <c r="D1297" s="6">
        <v>33.0</v>
      </c>
      <c r="E1297" s="10" t="str">
        <f t="shared" si="3"/>
        <v>BFA33</v>
      </c>
      <c r="F1297" s="13">
        <v>64.0</v>
      </c>
      <c r="G1297" s="10" t="str">
        <f t="shared" si="4"/>
        <v>BFA33-64</v>
      </c>
      <c r="H1297" s="16"/>
      <c r="I1297" s="16" t="str">
        <f t="shared" si="5"/>
        <v>collected</v>
      </c>
      <c r="J1297" s="16" t="str">
        <f t="shared" si="6"/>
        <v>N</v>
      </c>
      <c r="K1297" s="16"/>
      <c r="L1297" s="16"/>
    </row>
    <row r="1298">
      <c r="A1298" s="40" t="s">
        <v>1819</v>
      </c>
      <c r="B1298" s="10" t="str">
        <f t="shared" si="1"/>
        <v>fatty_acid</v>
      </c>
      <c r="C1298" s="49" t="str">
        <f t="shared" si="2"/>
        <v>S16578FA1</v>
      </c>
      <c r="D1298" s="6">
        <v>33.0</v>
      </c>
      <c r="E1298" s="10" t="str">
        <f t="shared" si="3"/>
        <v>BFA33</v>
      </c>
      <c r="F1298" s="13">
        <v>65.0</v>
      </c>
      <c r="G1298" s="10" t="str">
        <f t="shared" si="4"/>
        <v>BFA33-65</v>
      </c>
      <c r="H1298" s="16"/>
      <c r="I1298" s="16" t="str">
        <f t="shared" si="5"/>
        <v>collected</v>
      </c>
      <c r="J1298" s="16" t="str">
        <f t="shared" si="6"/>
        <v>N</v>
      </c>
      <c r="K1298" s="16"/>
      <c r="L1298" s="16"/>
    </row>
    <row r="1299">
      <c r="A1299" s="40" t="s">
        <v>1821</v>
      </c>
      <c r="B1299" s="10" t="str">
        <f t="shared" si="1"/>
        <v>fatty_acid</v>
      </c>
      <c r="C1299" s="49" t="str">
        <f t="shared" si="2"/>
        <v>S16572FA1</v>
      </c>
      <c r="D1299" s="6">
        <v>33.0</v>
      </c>
      <c r="E1299" s="10" t="str">
        <f t="shared" si="3"/>
        <v>BFA33</v>
      </c>
      <c r="F1299" s="13">
        <v>66.0</v>
      </c>
      <c r="G1299" s="10" t="str">
        <f t="shared" si="4"/>
        <v>BFA33-66</v>
      </c>
      <c r="H1299" s="16"/>
      <c r="I1299" s="16" t="str">
        <f t="shared" si="5"/>
        <v>collected</v>
      </c>
      <c r="J1299" s="16" t="str">
        <f t="shared" si="6"/>
        <v>N</v>
      </c>
      <c r="K1299" s="16"/>
      <c r="L1299" s="16"/>
    </row>
    <row r="1300">
      <c r="A1300" s="40" t="s">
        <v>1822</v>
      </c>
      <c r="B1300" s="10" t="str">
        <f t="shared" si="1"/>
        <v>fatty_acid</v>
      </c>
      <c r="C1300" s="49" t="str">
        <f t="shared" si="2"/>
        <v>S16486FA1</v>
      </c>
      <c r="D1300" s="6">
        <v>35.0</v>
      </c>
      <c r="E1300" s="10" t="str">
        <f t="shared" si="3"/>
        <v>BFA35</v>
      </c>
      <c r="F1300" s="13">
        <v>78.0</v>
      </c>
      <c r="G1300" s="10" t="str">
        <f t="shared" si="4"/>
        <v>BFA35-78</v>
      </c>
      <c r="H1300" s="16"/>
      <c r="I1300" s="16" t="str">
        <f t="shared" si="5"/>
        <v>collected</v>
      </c>
      <c r="J1300" s="16" t="str">
        <f t="shared" si="6"/>
        <v>N</v>
      </c>
      <c r="K1300" s="16"/>
      <c r="L1300" s="16"/>
    </row>
    <row r="1301">
      <c r="A1301" s="40" t="s">
        <v>1823</v>
      </c>
      <c r="B1301" s="10" t="str">
        <f t="shared" si="1"/>
        <v>fatty_acid</v>
      </c>
      <c r="C1301" s="49" t="str">
        <f t="shared" si="2"/>
        <v>S16490FA1</v>
      </c>
      <c r="D1301" s="6">
        <v>35.0</v>
      </c>
      <c r="E1301" s="10" t="str">
        <f t="shared" si="3"/>
        <v>BFA35</v>
      </c>
      <c r="F1301" s="13">
        <v>79.0</v>
      </c>
      <c r="G1301" s="10" t="str">
        <f t="shared" si="4"/>
        <v>BFA35-79</v>
      </c>
      <c r="H1301" s="16"/>
      <c r="I1301" s="16" t="str">
        <f t="shared" si="5"/>
        <v>collected</v>
      </c>
      <c r="J1301" s="16" t="str">
        <f t="shared" si="6"/>
        <v>N</v>
      </c>
      <c r="K1301" s="16"/>
      <c r="L1301" s="16"/>
    </row>
    <row r="1302">
      <c r="A1302" s="40" t="s">
        <v>1824</v>
      </c>
      <c r="B1302" s="10" t="str">
        <f t="shared" si="1"/>
        <v>fatty_acid</v>
      </c>
      <c r="C1302" s="49" t="str">
        <f t="shared" si="2"/>
        <v>S16487FA1</v>
      </c>
      <c r="D1302" s="6">
        <v>35.0</v>
      </c>
      <c r="E1302" s="10" t="str">
        <f t="shared" si="3"/>
        <v>BFA35</v>
      </c>
      <c r="F1302" s="13">
        <v>80.0</v>
      </c>
      <c r="G1302" s="10" t="str">
        <f t="shared" si="4"/>
        <v>BFA35-80</v>
      </c>
      <c r="H1302" s="16"/>
      <c r="I1302" s="16" t="str">
        <f t="shared" si="5"/>
        <v>collected</v>
      </c>
      <c r="J1302" s="16" t="str">
        <f t="shared" si="6"/>
        <v>N</v>
      </c>
      <c r="K1302" s="16"/>
      <c r="L1302" s="16"/>
    </row>
    <row r="1303">
      <c r="A1303" s="40" t="s">
        <v>1825</v>
      </c>
      <c r="B1303" s="10" t="str">
        <f t="shared" si="1"/>
        <v>fatty_acid</v>
      </c>
      <c r="C1303" s="49" t="str">
        <f t="shared" si="2"/>
        <v>S16488FA1</v>
      </c>
      <c r="D1303" s="6">
        <v>35.0</v>
      </c>
      <c r="E1303" s="10" t="str">
        <f t="shared" si="3"/>
        <v>BFA35</v>
      </c>
      <c r="F1303" s="13">
        <v>81.0</v>
      </c>
      <c r="G1303" s="10" t="str">
        <f t="shared" si="4"/>
        <v>BFA35-81</v>
      </c>
      <c r="H1303" s="16"/>
      <c r="I1303" s="16" t="str">
        <f t="shared" si="5"/>
        <v>collected</v>
      </c>
      <c r="J1303" s="16" t="str">
        <f t="shared" si="6"/>
        <v>N</v>
      </c>
      <c r="K1303" s="16"/>
      <c r="L1303" s="16"/>
    </row>
    <row r="1304">
      <c r="A1304" s="40" t="s">
        <v>1827</v>
      </c>
      <c r="B1304" s="10" t="str">
        <f t="shared" si="1"/>
        <v>fatty_acid</v>
      </c>
      <c r="C1304" s="49" t="str">
        <f t="shared" si="2"/>
        <v>S16489FA1</v>
      </c>
      <c r="D1304" s="6">
        <v>36.0</v>
      </c>
      <c r="E1304" s="10" t="str">
        <f t="shared" si="3"/>
        <v>BFA36</v>
      </c>
      <c r="F1304" s="13">
        <v>1.0</v>
      </c>
      <c r="G1304" s="10" t="str">
        <f t="shared" si="4"/>
        <v>BFA36-1</v>
      </c>
      <c r="H1304" s="16"/>
      <c r="I1304" s="16" t="str">
        <f t="shared" si="5"/>
        <v>collected</v>
      </c>
      <c r="J1304" s="16" t="str">
        <f t="shared" si="6"/>
        <v>N</v>
      </c>
      <c r="K1304" s="16"/>
      <c r="L1304" s="16"/>
    </row>
    <row r="1305">
      <c r="A1305" s="40" t="s">
        <v>1828</v>
      </c>
      <c r="B1305" s="10" t="str">
        <f t="shared" si="1"/>
        <v>fatty_acid</v>
      </c>
      <c r="C1305" s="49" t="str">
        <f t="shared" si="2"/>
        <v>S16484FA1</v>
      </c>
      <c r="D1305" s="6">
        <v>36.0</v>
      </c>
      <c r="E1305" s="10" t="str">
        <f t="shared" si="3"/>
        <v>BFA36</v>
      </c>
      <c r="F1305" s="13">
        <v>2.0</v>
      </c>
      <c r="G1305" s="10" t="str">
        <f t="shared" si="4"/>
        <v>BFA36-2</v>
      </c>
      <c r="H1305" s="16"/>
      <c r="I1305" s="16" t="str">
        <f t="shared" si="5"/>
        <v>collected</v>
      </c>
      <c r="J1305" s="16" t="str">
        <f t="shared" si="6"/>
        <v>N</v>
      </c>
      <c r="K1305" s="16"/>
      <c r="L1305" s="16"/>
    </row>
    <row r="1306">
      <c r="A1306" s="40" t="s">
        <v>1829</v>
      </c>
      <c r="B1306" s="10" t="str">
        <f t="shared" si="1"/>
        <v>fatty_acid</v>
      </c>
      <c r="C1306" s="49" t="str">
        <f t="shared" si="2"/>
        <v>S16483FA1</v>
      </c>
      <c r="D1306" s="6">
        <v>36.0</v>
      </c>
      <c r="E1306" s="10" t="str">
        <f t="shared" si="3"/>
        <v>BFA36</v>
      </c>
      <c r="F1306" s="13">
        <v>3.0</v>
      </c>
      <c r="G1306" s="10" t="str">
        <f t="shared" si="4"/>
        <v>BFA36-3</v>
      </c>
      <c r="H1306" s="16"/>
      <c r="I1306" s="16" t="str">
        <f t="shared" si="5"/>
        <v>collected</v>
      </c>
      <c r="J1306" s="16" t="str">
        <f t="shared" si="6"/>
        <v>N</v>
      </c>
      <c r="K1306" s="16"/>
      <c r="L1306" s="16"/>
    </row>
    <row r="1307">
      <c r="A1307" s="40" t="s">
        <v>1830</v>
      </c>
      <c r="B1307" s="10" t="str">
        <f t="shared" si="1"/>
        <v>fatty_acid</v>
      </c>
      <c r="C1307" s="49" t="str">
        <f t="shared" si="2"/>
        <v>S16482FA1</v>
      </c>
      <c r="D1307" s="6">
        <v>36.0</v>
      </c>
      <c r="E1307" s="10" t="str">
        <f t="shared" si="3"/>
        <v>BFA36</v>
      </c>
      <c r="F1307" s="13">
        <v>4.0</v>
      </c>
      <c r="G1307" s="10" t="str">
        <f t="shared" si="4"/>
        <v>BFA36-4</v>
      </c>
      <c r="H1307" s="16"/>
      <c r="I1307" s="16" t="str">
        <f t="shared" si="5"/>
        <v>collected</v>
      </c>
      <c r="J1307" s="16" t="str">
        <f t="shared" si="6"/>
        <v>N</v>
      </c>
      <c r="K1307" s="16"/>
      <c r="L1307" s="16"/>
    </row>
    <row r="1308">
      <c r="A1308" s="40" t="s">
        <v>1832</v>
      </c>
      <c r="B1308" s="10" t="str">
        <f t="shared" si="1"/>
        <v>fatty_acid</v>
      </c>
      <c r="C1308" s="49" t="str">
        <f t="shared" si="2"/>
        <v>S16485FA1</v>
      </c>
      <c r="D1308" s="6">
        <v>36.0</v>
      </c>
      <c r="E1308" s="10" t="str">
        <f t="shared" si="3"/>
        <v>BFA36</v>
      </c>
      <c r="F1308" s="13">
        <v>5.0</v>
      </c>
      <c r="G1308" s="10" t="str">
        <f t="shared" si="4"/>
        <v>BFA36-5</v>
      </c>
      <c r="H1308" s="16"/>
      <c r="I1308" s="16" t="str">
        <f t="shared" si="5"/>
        <v>collected</v>
      </c>
      <c r="J1308" s="16" t="str">
        <f t="shared" si="6"/>
        <v>N</v>
      </c>
      <c r="K1308" s="16"/>
      <c r="L1308" s="16"/>
    </row>
    <row r="1309">
      <c r="A1309" s="40" t="s">
        <v>1833</v>
      </c>
      <c r="B1309" s="10" t="str">
        <f t="shared" si="1"/>
        <v>fatty_acid</v>
      </c>
      <c r="C1309" s="49" t="str">
        <f t="shared" si="2"/>
        <v>S16481FA1</v>
      </c>
      <c r="D1309" s="6">
        <v>36.0</v>
      </c>
      <c r="E1309" s="10" t="str">
        <f t="shared" si="3"/>
        <v>BFA36</v>
      </c>
      <c r="F1309" s="13">
        <v>6.0</v>
      </c>
      <c r="G1309" s="10" t="str">
        <f t="shared" si="4"/>
        <v>BFA36-6</v>
      </c>
      <c r="H1309" s="16"/>
      <c r="I1309" s="16" t="str">
        <f t="shared" si="5"/>
        <v>collected</v>
      </c>
      <c r="J1309" s="16" t="str">
        <f t="shared" si="6"/>
        <v>N</v>
      </c>
      <c r="K1309" s="16"/>
      <c r="L1309" s="16"/>
    </row>
    <row r="1310">
      <c r="A1310" s="40" t="s">
        <v>1835</v>
      </c>
      <c r="B1310" s="10" t="str">
        <f t="shared" si="1"/>
        <v>fatty_acid</v>
      </c>
      <c r="C1310" s="49" t="str">
        <f t="shared" si="2"/>
        <v>S17190FA1</v>
      </c>
      <c r="D1310" s="6">
        <v>36.0</v>
      </c>
      <c r="E1310" s="10" t="str">
        <f t="shared" si="3"/>
        <v>BFA36</v>
      </c>
      <c r="F1310" s="13">
        <v>7.0</v>
      </c>
      <c r="G1310" s="10" t="str">
        <f t="shared" si="4"/>
        <v>BFA36-7</v>
      </c>
      <c r="H1310" s="16"/>
      <c r="I1310" s="16" t="str">
        <f t="shared" si="5"/>
        <v>collected</v>
      </c>
      <c r="J1310" s="16" t="str">
        <f t="shared" si="6"/>
        <v>N</v>
      </c>
      <c r="K1310" s="16"/>
      <c r="L1310" s="16"/>
    </row>
    <row r="1311">
      <c r="A1311" s="40" t="s">
        <v>1836</v>
      </c>
      <c r="B1311" s="10" t="str">
        <f t="shared" si="1"/>
        <v>fatty_acid</v>
      </c>
      <c r="C1311" s="49" t="str">
        <f t="shared" si="2"/>
        <v>S17189FA1</v>
      </c>
      <c r="D1311" s="6">
        <v>36.0</v>
      </c>
      <c r="E1311" s="10" t="str">
        <f t="shared" si="3"/>
        <v>BFA36</v>
      </c>
      <c r="F1311" s="13">
        <v>8.0</v>
      </c>
      <c r="G1311" s="10" t="str">
        <f t="shared" si="4"/>
        <v>BFA36-8</v>
      </c>
      <c r="H1311" s="16"/>
      <c r="I1311" s="16" t="str">
        <f t="shared" si="5"/>
        <v>collected</v>
      </c>
      <c r="J1311" s="16" t="str">
        <f t="shared" si="6"/>
        <v>N</v>
      </c>
      <c r="K1311" s="16"/>
      <c r="L1311" s="16"/>
    </row>
    <row r="1312">
      <c r="A1312" s="40" t="s">
        <v>1838</v>
      </c>
      <c r="B1312" s="10" t="str">
        <f t="shared" si="1"/>
        <v>fatty_acid</v>
      </c>
      <c r="C1312" s="49" t="str">
        <f t="shared" si="2"/>
        <v>S17188FA1</v>
      </c>
      <c r="D1312" s="6">
        <v>36.0</v>
      </c>
      <c r="E1312" s="10" t="str">
        <f t="shared" si="3"/>
        <v>BFA36</v>
      </c>
      <c r="F1312" s="13">
        <v>9.0</v>
      </c>
      <c r="G1312" s="10" t="str">
        <f t="shared" si="4"/>
        <v>BFA36-9</v>
      </c>
      <c r="H1312" s="16"/>
      <c r="I1312" s="16" t="str">
        <f t="shared" si="5"/>
        <v>collected</v>
      </c>
      <c r="J1312" s="16" t="str">
        <f t="shared" si="6"/>
        <v>N</v>
      </c>
      <c r="K1312" s="16"/>
      <c r="L1312" s="16"/>
    </row>
    <row r="1313">
      <c r="A1313" s="40" t="s">
        <v>1840</v>
      </c>
      <c r="B1313" s="10" t="str">
        <f t="shared" si="1"/>
        <v>fatty_acid</v>
      </c>
      <c r="C1313" s="49" t="str">
        <f t="shared" si="2"/>
        <v>S17187FA1</v>
      </c>
      <c r="D1313" s="6">
        <v>36.0</v>
      </c>
      <c r="E1313" s="10" t="str">
        <f t="shared" si="3"/>
        <v>BFA36</v>
      </c>
      <c r="F1313" s="13">
        <v>10.0</v>
      </c>
      <c r="G1313" s="10" t="str">
        <f t="shared" si="4"/>
        <v>BFA36-10</v>
      </c>
      <c r="H1313" s="16"/>
      <c r="I1313" s="16" t="str">
        <f t="shared" si="5"/>
        <v>collected</v>
      </c>
      <c r="J1313" s="16" t="str">
        <f t="shared" si="6"/>
        <v>N</v>
      </c>
      <c r="K1313" s="16"/>
      <c r="L1313" s="16"/>
    </row>
    <row r="1314">
      <c r="A1314" s="40" t="s">
        <v>1841</v>
      </c>
      <c r="B1314" s="10" t="str">
        <f t="shared" si="1"/>
        <v>fatty_acid</v>
      </c>
      <c r="C1314" s="49" t="str">
        <f t="shared" si="2"/>
        <v>S17186FA1</v>
      </c>
      <c r="D1314" s="6">
        <v>36.0</v>
      </c>
      <c r="E1314" s="10" t="str">
        <f t="shared" si="3"/>
        <v>BFA36</v>
      </c>
      <c r="F1314" s="13">
        <v>11.0</v>
      </c>
      <c r="G1314" s="10" t="str">
        <f t="shared" si="4"/>
        <v>BFA36-11</v>
      </c>
      <c r="H1314" s="16"/>
      <c r="I1314" s="16" t="str">
        <f t="shared" si="5"/>
        <v>collected</v>
      </c>
      <c r="J1314" s="16" t="str">
        <f t="shared" si="6"/>
        <v>N</v>
      </c>
      <c r="K1314" s="16"/>
      <c r="L1314" s="16"/>
    </row>
    <row r="1315">
      <c r="A1315" s="40" t="s">
        <v>1843</v>
      </c>
      <c r="B1315" s="10" t="str">
        <f t="shared" si="1"/>
        <v>fatty_acid</v>
      </c>
      <c r="C1315" s="49" t="str">
        <f t="shared" si="2"/>
        <v>S17185FA1</v>
      </c>
      <c r="D1315" s="6">
        <v>36.0</v>
      </c>
      <c r="E1315" s="10" t="str">
        <f t="shared" si="3"/>
        <v>BFA36</v>
      </c>
      <c r="F1315" s="13">
        <v>12.0</v>
      </c>
      <c r="G1315" s="10" t="str">
        <f t="shared" si="4"/>
        <v>BFA36-12</v>
      </c>
      <c r="H1315" s="16"/>
      <c r="I1315" s="16" t="str">
        <f t="shared" si="5"/>
        <v>collected</v>
      </c>
      <c r="J1315" s="16" t="str">
        <f t="shared" si="6"/>
        <v>N</v>
      </c>
      <c r="K1315" s="16"/>
      <c r="L1315" s="16"/>
    </row>
    <row r="1316">
      <c r="A1316" s="40" t="s">
        <v>1844</v>
      </c>
      <c r="B1316" s="10" t="str">
        <f t="shared" si="1"/>
        <v>fatty_acid</v>
      </c>
      <c r="C1316" s="49" t="str">
        <f t="shared" si="2"/>
        <v>S17184FA1</v>
      </c>
      <c r="D1316" s="6">
        <v>36.0</v>
      </c>
      <c r="E1316" s="10" t="str">
        <f t="shared" si="3"/>
        <v>BFA36</v>
      </c>
      <c r="F1316" s="13">
        <v>13.0</v>
      </c>
      <c r="G1316" s="10" t="str">
        <f t="shared" si="4"/>
        <v>BFA36-13</v>
      </c>
      <c r="H1316" s="16"/>
      <c r="I1316" s="16" t="str">
        <f t="shared" si="5"/>
        <v>collected</v>
      </c>
      <c r="J1316" s="16" t="str">
        <f t="shared" si="6"/>
        <v>N</v>
      </c>
      <c r="K1316" s="16"/>
      <c r="L1316" s="16"/>
    </row>
    <row r="1317">
      <c r="A1317" s="40" t="s">
        <v>1845</v>
      </c>
      <c r="B1317" s="10" t="str">
        <f t="shared" si="1"/>
        <v>fatty_acid</v>
      </c>
      <c r="C1317" s="49" t="str">
        <f t="shared" si="2"/>
        <v>S17181FA1</v>
      </c>
      <c r="D1317" s="6">
        <v>36.0</v>
      </c>
      <c r="E1317" s="10" t="str">
        <f t="shared" si="3"/>
        <v>BFA36</v>
      </c>
      <c r="F1317" s="13">
        <v>14.0</v>
      </c>
      <c r="G1317" s="10" t="str">
        <f t="shared" si="4"/>
        <v>BFA36-14</v>
      </c>
      <c r="H1317" s="16"/>
      <c r="I1317" s="16" t="str">
        <f t="shared" si="5"/>
        <v>collected</v>
      </c>
      <c r="J1317" s="16" t="str">
        <f t="shared" si="6"/>
        <v>N</v>
      </c>
      <c r="K1317" s="16"/>
      <c r="L1317" s="16"/>
    </row>
    <row r="1318">
      <c r="A1318" s="40" t="s">
        <v>1846</v>
      </c>
      <c r="B1318" s="10" t="str">
        <f t="shared" si="1"/>
        <v>fatty_acid</v>
      </c>
      <c r="C1318" s="49" t="str">
        <f t="shared" si="2"/>
        <v>S17182FA1</v>
      </c>
      <c r="D1318" s="6">
        <v>36.0</v>
      </c>
      <c r="E1318" s="10" t="str">
        <f t="shared" si="3"/>
        <v>BFA36</v>
      </c>
      <c r="F1318" s="13">
        <v>15.0</v>
      </c>
      <c r="G1318" s="10" t="str">
        <f t="shared" si="4"/>
        <v>BFA36-15</v>
      </c>
      <c r="H1318" s="16"/>
      <c r="I1318" s="16" t="str">
        <f t="shared" si="5"/>
        <v>collected</v>
      </c>
      <c r="J1318" s="16" t="str">
        <f t="shared" si="6"/>
        <v>N</v>
      </c>
      <c r="K1318" s="16"/>
      <c r="L1318" s="16"/>
    </row>
    <row r="1319">
      <c r="A1319" s="40" t="s">
        <v>1847</v>
      </c>
      <c r="B1319" s="10" t="str">
        <f t="shared" si="1"/>
        <v>fatty_acid</v>
      </c>
      <c r="C1319" s="49" t="str">
        <f t="shared" si="2"/>
        <v>S17183FA1</v>
      </c>
      <c r="D1319" s="6">
        <v>36.0</v>
      </c>
      <c r="E1319" s="10" t="str">
        <f t="shared" si="3"/>
        <v>BFA36</v>
      </c>
      <c r="F1319" s="13">
        <v>16.0</v>
      </c>
      <c r="G1319" s="10" t="str">
        <f t="shared" si="4"/>
        <v>BFA36-16</v>
      </c>
      <c r="H1319" s="16"/>
      <c r="I1319" s="16" t="str">
        <f t="shared" si="5"/>
        <v>collected</v>
      </c>
      <c r="J1319" s="16" t="str">
        <f t="shared" si="6"/>
        <v>N</v>
      </c>
      <c r="K1319" s="16"/>
      <c r="L1319" s="16"/>
    </row>
    <row r="1320">
      <c r="A1320" s="40" t="s">
        <v>1848</v>
      </c>
      <c r="B1320" s="10" t="str">
        <f t="shared" si="1"/>
        <v>fatty_acid</v>
      </c>
      <c r="C1320" s="49" t="str">
        <f t="shared" si="2"/>
        <v>S16655FA1</v>
      </c>
      <c r="D1320" s="6">
        <v>33.0</v>
      </c>
      <c r="E1320" s="10" t="str">
        <f t="shared" si="3"/>
        <v>BFA33</v>
      </c>
      <c r="F1320" s="13">
        <v>67.0</v>
      </c>
      <c r="G1320" s="10" t="str">
        <f t="shared" si="4"/>
        <v>BFA33-67</v>
      </c>
      <c r="H1320" s="16"/>
      <c r="I1320" s="16" t="str">
        <f t="shared" si="5"/>
        <v>collected</v>
      </c>
      <c r="J1320" s="16" t="str">
        <f t="shared" si="6"/>
        <v>N</v>
      </c>
      <c r="K1320" s="16"/>
      <c r="L1320" s="16"/>
    </row>
    <row r="1321">
      <c r="A1321" s="40" t="s">
        <v>1849</v>
      </c>
      <c r="B1321" s="10" t="str">
        <f t="shared" si="1"/>
        <v>fatty_acid</v>
      </c>
      <c r="C1321" s="49" t="str">
        <f t="shared" si="2"/>
        <v>S16652FA1</v>
      </c>
      <c r="D1321" s="6">
        <v>33.0</v>
      </c>
      <c r="E1321" s="10" t="str">
        <f t="shared" si="3"/>
        <v>BFA33</v>
      </c>
      <c r="F1321" s="13">
        <v>68.0</v>
      </c>
      <c r="G1321" s="10" t="str">
        <f t="shared" si="4"/>
        <v>BFA33-68</v>
      </c>
      <c r="H1321" s="16"/>
      <c r="I1321" s="16" t="str">
        <f t="shared" si="5"/>
        <v>collected</v>
      </c>
      <c r="J1321" s="16" t="str">
        <f t="shared" si="6"/>
        <v>N</v>
      </c>
      <c r="K1321" s="16"/>
      <c r="L1321" s="16"/>
    </row>
    <row r="1322">
      <c r="A1322" s="40" t="s">
        <v>1850</v>
      </c>
      <c r="B1322" s="10" t="str">
        <f t="shared" si="1"/>
        <v>fatty_acid</v>
      </c>
      <c r="C1322" s="49" t="str">
        <f t="shared" si="2"/>
        <v>S16653FA1</v>
      </c>
      <c r="D1322" s="6">
        <v>33.0</v>
      </c>
      <c r="E1322" s="10" t="str">
        <f t="shared" si="3"/>
        <v>BFA33</v>
      </c>
      <c r="F1322" s="13">
        <v>69.0</v>
      </c>
      <c r="G1322" s="10" t="str">
        <f t="shared" si="4"/>
        <v>BFA33-69</v>
      </c>
      <c r="H1322" s="16"/>
      <c r="I1322" s="16" t="str">
        <f t="shared" si="5"/>
        <v>collected</v>
      </c>
      <c r="J1322" s="16" t="str">
        <f t="shared" si="6"/>
        <v>N</v>
      </c>
      <c r="K1322" s="16"/>
      <c r="L1322" s="16"/>
    </row>
    <row r="1323">
      <c r="A1323" s="40" t="s">
        <v>1852</v>
      </c>
      <c r="B1323" s="10" t="str">
        <f t="shared" si="1"/>
        <v>fatty_acid</v>
      </c>
      <c r="C1323" s="49" t="str">
        <f t="shared" si="2"/>
        <v>S16658FA1</v>
      </c>
      <c r="D1323" s="6">
        <v>33.0</v>
      </c>
      <c r="E1323" s="10" t="str">
        <f t="shared" si="3"/>
        <v>BFA33</v>
      </c>
      <c r="F1323" s="13">
        <v>70.0</v>
      </c>
      <c r="G1323" s="10" t="str">
        <f t="shared" si="4"/>
        <v>BFA33-70</v>
      </c>
      <c r="H1323" s="16"/>
      <c r="I1323" s="16" t="str">
        <f t="shared" si="5"/>
        <v>collected</v>
      </c>
      <c r="J1323" s="16" t="str">
        <f t="shared" si="6"/>
        <v>N</v>
      </c>
      <c r="K1323" s="16"/>
      <c r="L1323" s="16"/>
    </row>
    <row r="1324">
      <c r="A1324" s="40" t="s">
        <v>1853</v>
      </c>
      <c r="B1324" s="10" t="str">
        <f t="shared" si="1"/>
        <v>fatty_acid</v>
      </c>
      <c r="C1324" s="49" t="str">
        <f t="shared" si="2"/>
        <v>S16659FA1</v>
      </c>
      <c r="D1324" s="6">
        <v>33.0</v>
      </c>
      <c r="E1324" s="10" t="str">
        <f t="shared" si="3"/>
        <v>BFA33</v>
      </c>
      <c r="F1324" s="13">
        <v>71.0</v>
      </c>
      <c r="G1324" s="10" t="str">
        <f t="shared" si="4"/>
        <v>BFA33-71</v>
      </c>
      <c r="H1324" s="16"/>
      <c r="I1324" s="16" t="str">
        <f t="shared" si="5"/>
        <v>collected</v>
      </c>
      <c r="J1324" s="16" t="str">
        <f t="shared" si="6"/>
        <v>N</v>
      </c>
      <c r="K1324" s="16"/>
      <c r="L1324" s="16"/>
    </row>
    <row r="1325">
      <c r="A1325" s="40" t="s">
        <v>1854</v>
      </c>
      <c r="B1325" s="10" t="str">
        <f t="shared" si="1"/>
        <v>fatty_acid</v>
      </c>
      <c r="C1325" s="49" t="str">
        <f t="shared" si="2"/>
        <v>S16656FA1</v>
      </c>
      <c r="D1325" s="6">
        <v>33.0</v>
      </c>
      <c r="E1325" s="10" t="str">
        <f t="shared" si="3"/>
        <v>BFA33</v>
      </c>
      <c r="F1325" s="13">
        <v>72.0</v>
      </c>
      <c r="G1325" s="10" t="str">
        <f t="shared" si="4"/>
        <v>BFA33-72</v>
      </c>
      <c r="H1325" s="16"/>
      <c r="I1325" s="16" t="str">
        <f t="shared" si="5"/>
        <v>collected</v>
      </c>
      <c r="J1325" s="16" t="str">
        <f t="shared" si="6"/>
        <v>N</v>
      </c>
      <c r="K1325" s="16"/>
      <c r="L1325" s="16"/>
    </row>
    <row r="1326">
      <c r="A1326" s="40" t="s">
        <v>1855</v>
      </c>
      <c r="B1326" s="10" t="str">
        <f t="shared" si="1"/>
        <v>fatty_acid</v>
      </c>
      <c r="C1326" s="49" t="str">
        <f t="shared" si="2"/>
        <v>S16660FA1</v>
      </c>
      <c r="D1326" s="6">
        <v>33.0</v>
      </c>
      <c r="E1326" s="10" t="str">
        <f t="shared" si="3"/>
        <v>BFA33</v>
      </c>
      <c r="F1326" s="13">
        <v>73.0</v>
      </c>
      <c r="G1326" s="10" t="str">
        <f t="shared" si="4"/>
        <v>BFA33-73</v>
      </c>
      <c r="H1326" s="16"/>
      <c r="I1326" s="16" t="str">
        <f t="shared" si="5"/>
        <v>collected</v>
      </c>
      <c r="J1326" s="16" t="str">
        <f t="shared" si="6"/>
        <v>N</v>
      </c>
      <c r="K1326" s="16"/>
      <c r="L1326" s="16"/>
    </row>
    <row r="1327">
      <c r="A1327" s="40" t="s">
        <v>1857</v>
      </c>
      <c r="B1327" s="10" t="str">
        <f t="shared" si="1"/>
        <v>fatty_acid</v>
      </c>
      <c r="C1327" s="49" t="str">
        <f t="shared" si="2"/>
        <v>S16657FA1</v>
      </c>
      <c r="D1327" s="6">
        <v>33.0</v>
      </c>
      <c r="E1327" s="10" t="str">
        <f t="shared" si="3"/>
        <v>BFA33</v>
      </c>
      <c r="F1327" s="13">
        <v>74.0</v>
      </c>
      <c r="G1327" s="10" t="str">
        <f t="shared" si="4"/>
        <v>BFA33-74</v>
      </c>
      <c r="H1327" s="16"/>
      <c r="I1327" s="16" t="str">
        <f t="shared" si="5"/>
        <v>collected</v>
      </c>
      <c r="J1327" s="16" t="str">
        <f t="shared" si="6"/>
        <v>N</v>
      </c>
      <c r="K1327" s="16"/>
      <c r="L1327" s="16"/>
    </row>
    <row r="1328">
      <c r="A1328" s="40" t="s">
        <v>1858</v>
      </c>
      <c r="B1328" s="10" t="str">
        <f t="shared" si="1"/>
        <v>fatty_acid</v>
      </c>
      <c r="C1328" s="49" t="str">
        <f t="shared" si="2"/>
        <v>S16654FA1</v>
      </c>
      <c r="D1328" s="6">
        <v>33.0</v>
      </c>
      <c r="E1328" s="10" t="str">
        <f t="shared" si="3"/>
        <v>BFA33</v>
      </c>
      <c r="F1328" s="13">
        <v>75.0</v>
      </c>
      <c r="G1328" s="10" t="str">
        <f t="shared" si="4"/>
        <v>BFA33-75</v>
      </c>
      <c r="H1328" s="16"/>
      <c r="I1328" s="16" t="str">
        <f t="shared" si="5"/>
        <v>collected</v>
      </c>
      <c r="J1328" s="16" t="str">
        <f t="shared" si="6"/>
        <v>N</v>
      </c>
      <c r="K1328" s="16"/>
      <c r="L1328" s="16"/>
    </row>
    <row r="1329">
      <c r="A1329" s="40" t="s">
        <v>1859</v>
      </c>
      <c r="B1329" s="10" t="str">
        <f t="shared" si="1"/>
        <v>fatty_acid</v>
      </c>
      <c r="C1329" s="49" t="str">
        <f t="shared" si="2"/>
        <v>S16651FA1</v>
      </c>
      <c r="D1329" s="6">
        <v>33.0</v>
      </c>
      <c r="E1329" s="10" t="str">
        <f t="shared" si="3"/>
        <v>BFA33</v>
      </c>
      <c r="F1329" s="13">
        <v>76.0</v>
      </c>
      <c r="G1329" s="10" t="str">
        <f t="shared" si="4"/>
        <v>BFA33-76</v>
      </c>
      <c r="H1329" s="16"/>
      <c r="I1329" s="16" t="str">
        <f t="shared" si="5"/>
        <v>collected</v>
      </c>
      <c r="J1329" s="16" t="str">
        <f t="shared" si="6"/>
        <v>N</v>
      </c>
      <c r="K1329" s="16"/>
      <c r="L1329" s="16"/>
    </row>
    <row r="1330">
      <c r="A1330" s="40" t="s">
        <v>1860</v>
      </c>
      <c r="B1330" s="10" t="str">
        <f t="shared" si="1"/>
        <v>fatty_acid</v>
      </c>
      <c r="C1330" s="49" t="str">
        <f t="shared" si="2"/>
        <v>S17470FA1</v>
      </c>
      <c r="D1330" s="6">
        <v>33.0</v>
      </c>
      <c r="E1330" s="10" t="str">
        <f t="shared" si="3"/>
        <v>BFA33</v>
      </c>
      <c r="F1330" s="13">
        <v>77.0</v>
      </c>
      <c r="G1330" s="10" t="str">
        <f t="shared" si="4"/>
        <v>BFA33-77</v>
      </c>
      <c r="H1330" s="16"/>
      <c r="I1330" s="16" t="str">
        <f t="shared" si="5"/>
        <v>collected</v>
      </c>
      <c r="J1330" s="16" t="str">
        <f t="shared" si="6"/>
        <v>N</v>
      </c>
      <c r="K1330" s="16"/>
      <c r="L1330" s="16"/>
    </row>
    <row r="1331">
      <c r="A1331" s="40" t="s">
        <v>1861</v>
      </c>
      <c r="B1331" s="10" t="str">
        <f t="shared" si="1"/>
        <v>fatty_acid</v>
      </c>
      <c r="C1331" s="49" t="str">
        <f t="shared" si="2"/>
        <v>S17469FA1</v>
      </c>
      <c r="D1331" s="6">
        <v>33.0</v>
      </c>
      <c r="E1331" s="10" t="str">
        <f t="shared" si="3"/>
        <v>BFA33</v>
      </c>
      <c r="F1331" s="13">
        <v>78.0</v>
      </c>
      <c r="G1331" s="10" t="str">
        <f t="shared" si="4"/>
        <v>BFA33-78</v>
      </c>
      <c r="H1331" s="16"/>
      <c r="I1331" s="16" t="str">
        <f t="shared" si="5"/>
        <v>collected</v>
      </c>
      <c r="J1331" s="16" t="str">
        <f t="shared" si="6"/>
        <v>N</v>
      </c>
      <c r="K1331" s="16"/>
      <c r="L1331" s="16"/>
    </row>
    <row r="1332">
      <c r="A1332" s="40" t="s">
        <v>1863</v>
      </c>
      <c r="B1332" s="10" t="str">
        <f t="shared" si="1"/>
        <v>fatty_acid</v>
      </c>
      <c r="C1332" s="49" t="str">
        <f t="shared" si="2"/>
        <v>S17468FA1</v>
      </c>
      <c r="D1332" s="6">
        <v>33.0</v>
      </c>
      <c r="E1332" s="10" t="str">
        <f t="shared" si="3"/>
        <v>BFA33</v>
      </c>
      <c r="F1332" s="13">
        <v>79.0</v>
      </c>
      <c r="G1332" s="10" t="str">
        <f t="shared" si="4"/>
        <v>BFA33-79</v>
      </c>
      <c r="H1332" s="16"/>
      <c r="I1332" s="16" t="str">
        <f t="shared" si="5"/>
        <v>collected</v>
      </c>
      <c r="J1332" s="16" t="str">
        <f t="shared" si="6"/>
        <v>N</v>
      </c>
      <c r="K1332" s="16"/>
      <c r="L1332" s="16"/>
    </row>
    <row r="1333">
      <c r="A1333" s="40" t="s">
        <v>1864</v>
      </c>
      <c r="B1333" s="10" t="str">
        <f t="shared" si="1"/>
        <v>fatty_acid</v>
      </c>
      <c r="C1333" s="49" t="str">
        <f t="shared" si="2"/>
        <v>S17467FA1</v>
      </c>
      <c r="D1333" s="6">
        <v>33.0</v>
      </c>
      <c r="E1333" s="10" t="str">
        <f t="shared" si="3"/>
        <v>BFA33</v>
      </c>
      <c r="F1333" s="13">
        <v>80.0</v>
      </c>
      <c r="G1333" s="10" t="str">
        <f t="shared" si="4"/>
        <v>BFA33-80</v>
      </c>
      <c r="H1333" s="16"/>
      <c r="I1333" s="16" t="str">
        <f t="shared" si="5"/>
        <v>collected</v>
      </c>
      <c r="J1333" s="16" t="str">
        <f t="shared" si="6"/>
        <v>N</v>
      </c>
      <c r="K1333" s="16"/>
      <c r="L1333" s="16"/>
    </row>
    <row r="1334">
      <c r="A1334" s="40" t="s">
        <v>1865</v>
      </c>
      <c r="B1334" s="10" t="str">
        <f t="shared" si="1"/>
        <v>fatty_acid</v>
      </c>
      <c r="C1334" s="49" t="str">
        <f t="shared" si="2"/>
        <v>S17454FA1</v>
      </c>
      <c r="D1334" s="6">
        <v>36.0</v>
      </c>
      <c r="E1334" s="10" t="str">
        <f t="shared" si="3"/>
        <v>BFA36</v>
      </c>
      <c r="F1334" s="13">
        <v>17.0</v>
      </c>
      <c r="G1334" s="10" t="str">
        <f t="shared" si="4"/>
        <v>BFA36-17</v>
      </c>
      <c r="H1334" s="16"/>
      <c r="I1334" s="16" t="str">
        <f t="shared" si="5"/>
        <v>collected</v>
      </c>
      <c r="J1334" s="16" t="str">
        <f t="shared" si="6"/>
        <v>N</v>
      </c>
      <c r="K1334" s="16"/>
      <c r="L1334" s="16"/>
    </row>
    <row r="1335">
      <c r="A1335" s="40" t="s">
        <v>1866</v>
      </c>
      <c r="B1335" s="10" t="str">
        <f t="shared" si="1"/>
        <v>fatty_acid</v>
      </c>
      <c r="C1335" s="49" t="str">
        <f t="shared" si="2"/>
        <v>S17458FA1</v>
      </c>
      <c r="D1335" s="6">
        <v>36.0</v>
      </c>
      <c r="E1335" s="10" t="str">
        <f t="shared" si="3"/>
        <v>BFA36</v>
      </c>
      <c r="F1335" s="13">
        <v>18.0</v>
      </c>
      <c r="G1335" s="10" t="str">
        <f t="shared" si="4"/>
        <v>BFA36-18</v>
      </c>
      <c r="H1335" s="16"/>
      <c r="I1335" s="16" t="str">
        <f t="shared" si="5"/>
        <v>collected</v>
      </c>
      <c r="J1335" s="16" t="str">
        <f t="shared" si="6"/>
        <v>N</v>
      </c>
      <c r="K1335" s="16"/>
      <c r="L1335" s="16"/>
    </row>
    <row r="1336">
      <c r="A1336" s="40" t="s">
        <v>1867</v>
      </c>
      <c r="B1336" s="10" t="str">
        <f t="shared" si="1"/>
        <v>fatty_acid</v>
      </c>
      <c r="C1336" s="49" t="str">
        <f t="shared" si="2"/>
        <v>S17459FA1</v>
      </c>
      <c r="D1336" s="6">
        <v>36.0</v>
      </c>
      <c r="E1336" s="10" t="str">
        <f t="shared" si="3"/>
        <v>BFA36</v>
      </c>
      <c r="F1336" s="13">
        <v>19.0</v>
      </c>
      <c r="G1336" s="10" t="str">
        <f t="shared" si="4"/>
        <v>BFA36-19</v>
      </c>
      <c r="H1336" s="16"/>
      <c r="I1336" s="16" t="str">
        <f t="shared" si="5"/>
        <v>collected</v>
      </c>
      <c r="J1336" s="16" t="str">
        <f t="shared" si="6"/>
        <v>N</v>
      </c>
      <c r="K1336" s="16"/>
      <c r="L1336" s="16"/>
    </row>
    <row r="1337">
      <c r="A1337" s="40" t="s">
        <v>1869</v>
      </c>
      <c r="B1337" s="10" t="str">
        <f t="shared" si="1"/>
        <v>fatty_acid</v>
      </c>
      <c r="C1337" s="49" t="str">
        <f t="shared" si="2"/>
        <v>S17456FA1</v>
      </c>
      <c r="D1337" s="6">
        <v>36.0</v>
      </c>
      <c r="E1337" s="10" t="str">
        <f t="shared" si="3"/>
        <v>BFA36</v>
      </c>
      <c r="F1337" s="13">
        <v>20.0</v>
      </c>
      <c r="G1337" s="10" t="str">
        <f t="shared" si="4"/>
        <v>BFA36-20</v>
      </c>
      <c r="H1337" s="16"/>
      <c r="I1337" s="16" t="str">
        <f t="shared" si="5"/>
        <v>collected</v>
      </c>
      <c r="J1337" s="16" t="str">
        <f t="shared" si="6"/>
        <v>N</v>
      </c>
      <c r="K1337" s="16"/>
      <c r="L1337" s="16"/>
    </row>
    <row r="1338">
      <c r="A1338" s="40" t="s">
        <v>1870</v>
      </c>
      <c r="B1338" s="10" t="str">
        <f t="shared" si="1"/>
        <v>fatty_acid</v>
      </c>
      <c r="C1338" s="49" t="str">
        <f t="shared" si="2"/>
        <v>S17460FA1</v>
      </c>
      <c r="D1338" s="6">
        <v>36.0</v>
      </c>
      <c r="E1338" s="10" t="str">
        <f t="shared" si="3"/>
        <v>BFA36</v>
      </c>
      <c r="F1338" s="13">
        <v>21.0</v>
      </c>
      <c r="G1338" s="10" t="str">
        <f t="shared" si="4"/>
        <v>BFA36-21</v>
      </c>
      <c r="H1338" s="16"/>
      <c r="I1338" s="16" t="str">
        <f t="shared" si="5"/>
        <v>collected</v>
      </c>
      <c r="J1338" s="16" t="str">
        <f t="shared" si="6"/>
        <v>N</v>
      </c>
      <c r="K1338" s="16"/>
      <c r="L1338" s="16"/>
    </row>
    <row r="1339">
      <c r="A1339" s="40" t="s">
        <v>1871</v>
      </c>
      <c r="B1339" s="10" t="str">
        <f t="shared" si="1"/>
        <v>fatty_acid</v>
      </c>
      <c r="C1339" s="49" t="str">
        <f t="shared" si="2"/>
        <v>S17455FA1</v>
      </c>
      <c r="D1339" s="6">
        <v>36.0</v>
      </c>
      <c r="E1339" s="10" t="str">
        <f t="shared" si="3"/>
        <v>BFA36</v>
      </c>
      <c r="F1339" s="13">
        <v>22.0</v>
      </c>
      <c r="G1339" s="10" t="str">
        <f t="shared" si="4"/>
        <v>BFA36-22</v>
      </c>
      <c r="H1339" s="16"/>
      <c r="I1339" s="16" t="str">
        <f t="shared" si="5"/>
        <v>collected</v>
      </c>
      <c r="J1339" s="16" t="str">
        <f t="shared" si="6"/>
        <v>N</v>
      </c>
      <c r="K1339" s="16"/>
      <c r="L1339" s="16"/>
    </row>
    <row r="1340">
      <c r="A1340" s="40" t="s">
        <v>1872</v>
      </c>
      <c r="B1340" s="10" t="str">
        <f t="shared" si="1"/>
        <v>fatty_acid</v>
      </c>
      <c r="C1340" s="49" t="str">
        <f t="shared" si="2"/>
        <v>S17451FA1</v>
      </c>
      <c r="D1340" s="6">
        <v>36.0</v>
      </c>
      <c r="E1340" s="10" t="str">
        <f t="shared" si="3"/>
        <v>BFA36</v>
      </c>
      <c r="F1340" s="13">
        <v>23.0</v>
      </c>
      <c r="G1340" s="10" t="str">
        <f t="shared" si="4"/>
        <v>BFA36-23</v>
      </c>
      <c r="H1340" s="16"/>
      <c r="I1340" s="16" t="str">
        <f t="shared" si="5"/>
        <v>collected</v>
      </c>
      <c r="J1340" s="16" t="str">
        <f t="shared" si="6"/>
        <v>N</v>
      </c>
      <c r="K1340" s="16"/>
      <c r="L1340" s="16"/>
    </row>
    <row r="1341">
      <c r="A1341" s="40" t="s">
        <v>1874</v>
      </c>
      <c r="B1341" s="10" t="str">
        <f t="shared" si="1"/>
        <v>fatty_acid</v>
      </c>
      <c r="C1341" s="49" t="str">
        <f t="shared" si="2"/>
        <v>S17452FA1</v>
      </c>
      <c r="D1341" s="6">
        <v>36.0</v>
      </c>
      <c r="E1341" s="10" t="str">
        <f t="shared" si="3"/>
        <v>BFA36</v>
      </c>
      <c r="F1341" s="13">
        <v>24.0</v>
      </c>
      <c r="G1341" s="10" t="str">
        <f t="shared" si="4"/>
        <v>BFA36-24</v>
      </c>
      <c r="H1341" s="16"/>
      <c r="I1341" s="16" t="str">
        <f t="shared" si="5"/>
        <v>collected</v>
      </c>
      <c r="J1341" s="16" t="str">
        <f t="shared" si="6"/>
        <v>N</v>
      </c>
      <c r="K1341" s="16"/>
      <c r="L1341" s="16"/>
    </row>
    <row r="1342">
      <c r="A1342" s="40" t="s">
        <v>1875</v>
      </c>
      <c r="B1342" s="10" t="str">
        <f t="shared" si="1"/>
        <v>fatty_acid</v>
      </c>
      <c r="C1342" s="49" t="str">
        <f t="shared" si="2"/>
        <v>S17457FA1</v>
      </c>
      <c r="D1342" s="6">
        <v>36.0</v>
      </c>
      <c r="E1342" s="10" t="str">
        <f t="shared" si="3"/>
        <v>BFA36</v>
      </c>
      <c r="F1342" s="13">
        <v>25.0</v>
      </c>
      <c r="G1342" s="10" t="str">
        <f t="shared" si="4"/>
        <v>BFA36-25</v>
      </c>
      <c r="H1342" s="16"/>
      <c r="I1342" s="16" t="str">
        <f t="shared" si="5"/>
        <v>collected</v>
      </c>
      <c r="J1342" s="16" t="str">
        <f t="shared" si="6"/>
        <v>N</v>
      </c>
      <c r="K1342" s="16"/>
      <c r="L1342" s="16"/>
    </row>
    <row r="1343">
      <c r="A1343" s="40" t="s">
        <v>1876</v>
      </c>
      <c r="B1343" s="10" t="str">
        <f t="shared" si="1"/>
        <v>fatty_acid</v>
      </c>
      <c r="C1343" s="49" t="str">
        <f t="shared" si="2"/>
        <v>S17453FA1</v>
      </c>
      <c r="D1343" s="6">
        <v>36.0</v>
      </c>
      <c r="E1343" s="10" t="str">
        <f t="shared" si="3"/>
        <v>BFA36</v>
      </c>
      <c r="F1343" s="13">
        <v>26.0</v>
      </c>
      <c r="G1343" s="10" t="str">
        <f t="shared" si="4"/>
        <v>BFA36-26</v>
      </c>
      <c r="H1343" s="16"/>
      <c r="I1343" s="16" t="str">
        <f t="shared" si="5"/>
        <v>collected</v>
      </c>
      <c r="J1343" s="16" t="str">
        <f t="shared" si="6"/>
        <v>N</v>
      </c>
      <c r="K1343" s="16"/>
      <c r="L1343" s="16"/>
    </row>
    <row r="1344">
      <c r="A1344" s="40" t="s">
        <v>1877</v>
      </c>
      <c r="B1344" s="10" t="str">
        <f t="shared" si="1"/>
        <v>fatty_acid</v>
      </c>
      <c r="C1344" s="49" t="str">
        <f t="shared" si="2"/>
        <v>S16031FA1</v>
      </c>
      <c r="D1344" s="6">
        <v>36.0</v>
      </c>
      <c r="E1344" s="10" t="str">
        <f t="shared" si="3"/>
        <v>BFA36</v>
      </c>
      <c r="F1344" s="13">
        <v>27.0</v>
      </c>
      <c r="G1344" s="10" t="str">
        <f t="shared" si="4"/>
        <v>BFA36-27</v>
      </c>
      <c r="H1344" s="16"/>
      <c r="I1344" s="16" t="str">
        <f t="shared" si="5"/>
        <v>collected</v>
      </c>
      <c r="J1344" s="16" t="str">
        <f t="shared" si="6"/>
        <v>N</v>
      </c>
      <c r="K1344" s="16"/>
      <c r="L1344" s="16"/>
    </row>
    <row r="1345">
      <c r="A1345" s="40" t="s">
        <v>1878</v>
      </c>
      <c r="B1345" s="10" t="str">
        <f t="shared" si="1"/>
        <v>fatty_acid</v>
      </c>
      <c r="C1345" s="49" t="str">
        <f t="shared" si="2"/>
        <v>S16037FA1</v>
      </c>
      <c r="D1345" s="6">
        <v>36.0</v>
      </c>
      <c r="E1345" s="10" t="str">
        <f t="shared" si="3"/>
        <v>BFA36</v>
      </c>
      <c r="F1345" s="13">
        <v>28.0</v>
      </c>
      <c r="G1345" s="10" t="str">
        <f t="shared" si="4"/>
        <v>BFA36-28</v>
      </c>
      <c r="H1345" s="16"/>
      <c r="I1345" s="16" t="str">
        <f t="shared" si="5"/>
        <v>collected</v>
      </c>
      <c r="J1345" s="16" t="str">
        <f t="shared" si="6"/>
        <v>N</v>
      </c>
      <c r="K1345" s="16"/>
      <c r="L1345" s="16"/>
    </row>
    <row r="1346">
      <c r="A1346" s="40" t="s">
        <v>1880</v>
      </c>
      <c r="B1346" s="10" t="str">
        <f t="shared" si="1"/>
        <v>fatty_acid</v>
      </c>
      <c r="C1346" s="49" t="str">
        <f t="shared" si="2"/>
        <v>S16038FA1</v>
      </c>
      <c r="D1346" s="6">
        <v>36.0</v>
      </c>
      <c r="E1346" s="10" t="str">
        <f t="shared" si="3"/>
        <v>BFA36</v>
      </c>
      <c r="F1346" s="13">
        <v>29.0</v>
      </c>
      <c r="G1346" s="10" t="str">
        <f t="shared" si="4"/>
        <v>BFA36-29</v>
      </c>
      <c r="H1346" s="16"/>
      <c r="I1346" s="16" t="str">
        <f t="shared" si="5"/>
        <v>collected</v>
      </c>
      <c r="J1346" s="16" t="str">
        <f t="shared" si="6"/>
        <v>N</v>
      </c>
      <c r="K1346" s="16"/>
      <c r="L1346" s="16"/>
    </row>
    <row r="1347">
      <c r="A1347" s="40" t="s">
        <v>1881</v>
      </c>
      <c r="B1347" s="10" t="str">
        <f t="shared" si="1"/>
        <v>fatty_acid</v>
      </c>
      <c r="C1347" s="49" t="str">
        <f t="shared" si="2"/>
        <v>S16034FA1</v>
      </c>
      <c r="D1347" s="6">
        <v>36.0</v>
      </c>
      <c r="E1347" s="10" t="str">
        <f t="shared" si="3"/>
        <v>BFA36</v>
      </c>
      <c r="F1347" s="13">
        <v>30.0</v>
      </c>
      <c r="G1347" s="10" t="str">
        <f t="shared" si="4"/>
        <v>BFA36-30</v>
      </c>
      <c r="H1347" s="16"/>
      <c r="I1347" s="16" t="str">
        <f t="shared" si="5"/>
        <v>collected</v>
      </c>
      <c r="J1347" s="16" t="str">
        <f t="shared" si="6"/>
        <v>N</v>
      </c>
      <c r="K1347" s="16"/>
      <c r="L1347" s="16"/>
    </row>
    <row r="1348">
      <c r="A1348" s="40" t="s">
        <v>1882</v>
      </c>
      <c r="B1348" s="10" t="str">
        <f t="shared" si="1"/>
        <v>fatty_acid</v>
      </c>
      <c r="C1348" s="49" t="str">
        <f t="shared" si="2"/>
        <v>S16039FA1</v>
      </c>
      <c r="D1348" s="6">
        <v>36.0</v>
      </c>
      <c r="E1348" s="10" t="str">
        <f t="shared" si="3"/>
        <v>BFA36</v>
      </c>
      <c r="F1348" s="13">
        <v>31.0</v>
      </c>
      <c r="G1348" s="10" t="str">
        <f t="shared" si="4"/>
        <v>BFA36-31</v>
      </c>
      <c r="H1348" s="16"/>
      <c r="I1348" s="16" t="str">
        <f t="shared" si="5"/>
        <v>collected</v>
      </c>
      <c r="J1348" s="16" t="str">
        <f t="shared" si="6"/>
        <v>N</v>
      </c>
      <c r="K1348" s="16"/>
      <c r="L1348" s="16"/>
    </row>
    <row r="1349">
      <c r="A1349" s="40" t="s">
        <v>1883</v>
      </c>
      <c r="B1349" s="10" t="str">
        <f t="shared" si="1"/>
        <v>fatty_acid</v>
      </c>
      <c r="C1349" s="49" t="str">
        <f t="shared" si="2"/>
        <v>S16035FA1</v>
      </c>
      <c r="D1349" s="6">
        <v>36.0</v>
      </c>
      <c r="E1349" s="10" t="str">
        <f t="shared" si="3"/>
        <v>BFA36</v>
      </c>
      <c r="F1349" s="13">
        <v>32.0</v>
      </c>
      <c r="G1349" s="10" t="str">
        <f t="shared" si="4"/>
        <v>BFA36-32</v>
      </c>
      <c r="H1349" s="16"/>
      <c r="I1349" s="16" t="str">
        <f t="shared" si="5"/>
        <v>collected</v>
      </c>
      <c r="J1349" s="16" t="str">
        <f t="shared" si="6"/>
        <v>N</v>
      </c>
      <c r="K1349" s="16"/>
      <c r="L1349" s="16"/>
    </row>
    <row r="1350">
      <c r="A1350" s="40" t="s">
        <v>1885</v>
      </c>
      <c r="B1350" s="10" t="str">
        <f t="shared" si="1"/>
        <v>fatty_acid</v>
      </c>
      <c r="C1350" s="49" t="str">
        <f t="shared" si="2"/>
        <v>S16032FA1</v>
      </c>
      <c r="D1350" s="6">
        <v>36.0</v>
      </c>
      <c r="E1350" s="10" t="str">
        <f t="shared" si="3"/>
        <v>BFA36</v>
      </c>
      <c r="F1350" s="13">
        <v>33.0</v>
      </c>
      <c r="G1350" s="10" t="str">
        <f t="shared" si="4"/>
        <v>BFA36-33</v>
      </c>
      <c r="H1350" s="16"/>
      <c r="I1350" s="16" t="str">
        <f t="shared" si="5"/>
        <v>collected</v>
      </c>
      <c r="J1350" s="16" t="str">
        <f t="shared" si="6"/>
        <v>N</v>
      </c>
      <c r="K1350" s="16"/>
      <c r="L1350" s="16"/>
    </row>
    <row r="1351">
      <c r="A1351" s="40" t="s">
        <v>1886</v>
      </c>
      <c r="B1351" s="10" t="str">
        <f t="shared" si="1"/>
        <v>fatty_acid</v>
      </c>
      <c r="C1351" s="49" t="str">
        <f t="shared" si="2"/>
        <v>S16040FA1</v>
      </c>
      <c r="D1351" s="6">
        <v>36.0</v>
      </c>
      <c r="E1351" s="10" t="str">
        <f t="shared" si="3"/>
        <v>BFA36</v>
      </c>
      <c r="F1351" s="13">
        <v>34.0</v>
      </c>
      <c r="G1351" s="10" t="str">
        <f t="shared" si="4"/>
        <v>BFA36-34</v>
      </c>
      <c r="H1351" s="16"/>
      <c r="I1351" s="16" t="str">
        <f t="shared" si="5"/>
        <v>collected</v>
      </c>
      <c r="J1351" s="16" t="str">
        <f t="shared" si="6"/>
        <v>N</v>
      </c>
      <c r="K1351" s="16"/>
      <c r="L1351" s="16"/>
    </row>
    <row r="1352">
      <c r="A1352" s="40" t="s">
        <v>1887</v>
      </c>
      <c r="B1352" s="10" t="str">
        <f t="shared" si="1"/>
        <v>fatty_acid</v>
      </c>
      <c r="C1352" s="49" t="str">
        <f t="shared" si="2"/>
        <v>S16033FA1</v>
      </c>
      <c r="D1352" s="6">
        <v>36.0</v>
      </c>
      <c r="E1352" s="10" t="str">
        <f t="shared" si="3"/>
        <v>BFA36</v>
      </c>
      <c r="F1352" s="13">
        <v>35.0</v>
      </c>
      <c r="G1352" s="10" t="str">
        <f t="shared" si="4"/>
        <v>BFA36-35</v>
      </c>
      <c r="H1352" s="16"/>
      <c r="I1352" s="16" t="str">
        <f t="shared" si="5"/>
        <v>collected</v>
      </c>
      <c r="J1352" s="16" t="str">
        <f t="shared" si="6"/>
        <v>N</v>
      </c>
      <c r="K1352" s="16"/>
      <c r="L1352" s="16"/>
    </row>
    <row r="1353">
      <c r="A1353" s="40" t="s">
        <v>1888</v>
      </c>
      <c r="B1353" s="10" t="str">
        <f t="shared" si="1"/>
        <v>fatty_acid</v>
      </c>
      <c r="C1353" s="49" t="str">
        <f t="shared" si="2"/>
        <v>S16036FA1</v>
      </c>
      <c r="D1353" s="6">
        <v>36.0</v>
      </c>
      <c r="E1353" s="10" t="str">
        <f t="shared" si="3"/>
        <v>BFA36</v>
      </c>
      <c r="F1353" s="13">
        <v>36.0</v>
      </c>
      <c r="G1353" s="10" t="str">
        <f t="shared" si="4"/>
        <v>BFA36-36</v>
      </c>
      <c r="H1353" s="16"/>
      <c r="I1353" s="16" t="str">
        <f t="shared" si="5"/>
        <v>collected</v>
      </c>
      <c r="J1353" s="16" t="str">
        <f t="shared" si="6"/>
        <v>N</v>
      </c>
      <c r="K1353" s="16"/>
      <c r="L1353" s="16"/>
    </row>
    <row r="1354">
      <c r="A1354" s="40" t="s">
        <v>1889</v>
      </c>
      <c r="B1354" s="10" t="str">
        <f t="shared" si="1"/>
        <v>fatty_acid</v>
      </c>
      <c r="C1354" s="49" t="str">
        <f t="shared" si="2"/>
        <v>S17466FA1</v>
      </c>
      <c r="D1354" s="6">
        <v>33.0</v>
      </c>
      <c r="E1354" s="10" t="str">
        <f t="shared" si="3"/>
        <v>BFA33</v>
      </c>
      <c r="F1354" s="13">
        <v>81.0</v>
      </c>
      <c r="G1354" s="10" t="str">
        <f t="shared" si="4"/>
        <v>BFA33-81</v>
      </c>
      <c r="H1354" s="16"/>
      <c r="I1354" s="16" t="str">
        <f t="shared" si="5"/>
        <v>collected</v>
      </c>
      <c r="J1354" s="16" t="str">
        <f t="shared" si="6"/>
        <v>N</v>
      </c>
      <c r="K1354" s="16"/>
      <c r="L1354" s="16"/>
    </row>
    <row r="1355">
      <c r="A1355" s="40" t="s">
        <v>1891</v>
      </c>
      <c r="B1355" s="10" t="str">
        <f t="shared" si="1"/>
        <v>fatty_acid</v>
      </c>
      <c r="C1355" s="49" t="str">
        <f t="shared" si="2"/>
        <v>S17465FA1</v>
      </c>
      <c r="D1355" s="6">
        <v>37.0</v>
      </c>
      <c r="E1355" s="10" t="str">
        <f t="shared" si="3"/>
        <v>BFA37</v>
      </c>
      <c r="F1355" s="13">
        <v>1.0</v>
      </c>
      <c r="G1355" s="10" t="str">
        <f t="shared" si="4"/>
        <v>BFA37-1</v>
      </c>
      <c r="H1355" s="16"/>
      <c r="I1355" s="16" t="str">
        <f t="shared" si="5"/>
        <v>collected</v>
      </c>
      <c r="J1355" s="16" t="str">
        <f t="shared" si="6"/>
        <v>N</v>
      </c>
      <c r="K1355" s="16"/>
      <c r="L1355" s="16"/>
    </row>
    <row r="1356">
      <c r="A1356" s="40" t="s">
        <v>1892</v>
      </c>
      <c r="B1356" s="10" t="str">
        <f t="shared" si="1"/>
        <v>fatty_acid</v>
      </c>
      <c r="C1356" s="49" t="str">
        <f t="shared" si="2"/>
        <v>S17464FA1</v>
      </c>
      <c r="D1356" s="6">
        <v>37.0</v>
      </c>
      <c r="E1356" s="10" t="str">
        <f t="shared" si="3"/>
        <v>BFA37</v>
      </c>
      <c r="F1356" s="13">
        <v>2.0</v>
      </c>
      <c r="G1356" s="10" t="str">
        <f t="shared" si="4"/>
        <v>BFA37-2</v>
      </c>
      <c r="H1356" s="16"/>
      <c r="I1356" s="16" t="str">
        <f t="shared" si="5"/>
        <v>collected</v>
      </c>
      <c r="J1356" s="16" t="str">
        <f t="shared" si="6"/>
        <v>N</v>
      </c>
      <c r="K1356" s="16"/>
      <c r="L1356" s="16"/>
    </row>
    <row r="1357">
      <c r="A1357" s="40" t="s">
        <v>1893</v>
      </c>
      <c r="B1357" s="10" t="str">
        <f t="shared" si="1"/>
        <v>fatty_acid</v>
      </c>
      <c r="C1357" s="49" t="str">
        <f t="shared" si="2"/>
        <v>S17463FA1</v>
      </c>
      <c r="D1357" s="6">
        <v>37.0</v>
      </c>
      <c r="E1357" s="10" t="str">
        <f t="shared" si="3"/>
        <v>BFA37</v>
      </c>
      <c r="F1357" s="13">
        <v>3.0</v>
      </c>
      <c r="G1357" s="10" t="str">
        <f t="shared" si="4"/>
        <v>BFA37-3</v>
      </c>
      <c r="H1357" s="16"/>
      <c r="I1357" s="16" t="str">
        <f t="shared" si="5"/>
        <v>collected</v>
      </c>
      <c r="J1357" s="16" t="str">
        <f t="shared" si="6"/>
        <v>N</v>
      </c>
      <c r="K1357" s="16"/>
      <c r="L1357" s="16"/>
    </row>
    <row r="1358">
      <c r="A1358" s="40" t="s">
        <v>1894</v>
      </c>
      <c r="B1358" s="10" t="str">
        <f t="shared" si="1"/>
        <v>fatty_acid</v>
      </c>
      <c r="C1358" s="49" t="str">
        <f t="shared" si="2"/>
        <v>S17462FA1</v>
      </c>
      <c r="D1358" s="6">
        <v>37.0</v>
      </c>
      <c r="E1358" s="10" t="str">
        <f t="shared" si="3"/>
        <v>BFA37</v>
      </c>
      <c r="F1358" s="13">
        <v>4.0</v>
      </c>
      <c r="G1358" s="10" t="str">
        <f t="shared" si="4"/>
        <v>BFA37-4</v>
      </c>
      <c r="H1358" s="16"/>
      <c r="I1358" s="16" t="str">
        <f t="shared" si="5"/>
        <v>collected</v>
      </c>
      <c r="J1358" s="16" t="str">
        <f t="shared" si="6"/>
        <v>N</v>
      </c>
      <c r="K1358" s="16"/>
      <c r="L1358" s="16"/>
    </row>
    <row r="1359">
      <c r="A1359" s="40" t="s">
        <v>1895</v>
      </c>
      <c r="B1359" s="10" t="str">
        <f t="shared" si="1"/>
        <v>fatty_acid</v>
      </c>
      <c r="C1359" s="49" t="str">
        <f t="shared" si="2"/>
        <v>S17461FA1</v>
      </c>
      <c r="D1359" s="6">
        <v>37.0</v>
      </c>
      <c r="E1359" s="10" t="str">
        <f t="shared" si="3"/>
        <v>BFA37</v>
      </c>
      <c r="F1359" s="13">
        <v>5.0</v>
      </c>
      <c r="G1359" s="10" t="str">
        <f t="shared" si="4"/>
        <v>BFA37-5</v>
      </c>
      <c r="H1359" s="16"/>
      <c r="I1359" s="16" t="str">
        <f t="shared" si="5"/>
        <v>collected</v>
      </c>
      <c r="J1359" s="16" t="str">
        <f t="shared" si="6"/>
        <v>N</v>
      </c>
      <c r="K1359" s="16"/>
      <c r="L1359" s="16"/>
    </row>
    <row r="1360">
      <c r="A1360" s="40" t="s">
        <v>1896</v>
      </c>
      <c r="B1360" s="10" t="str">
        <f t="shared" si="1"/>
        <v>fatty_acid</v>
      </c>
      <c r="C1360" s="49" t="str">
        <f t="shared" si="2"/>
        <v>S16736FA1</v>
      </c>
      <c r="D1360" s="6">
        <v>37.0</v>
      </c>
      <c r="E1360" s="10" t="str">
        <f t="shared" si="3"/>
        <v>BFA37</v>
      </c>
      <c r="F1360" s="13">
        <v>6.0</v>
      </c>
      <c r="G1360" s="10" t="str">
        <f t="shared" si="4"/>
        <v>BFA37-6</v>
      </c>
      <c r="H1360" s="16"/>
      <c r="I1360" s="16" t="str">
        <f t="shared" si="5"/>
        <v>collected</v>
      </c>
      <c r="J1360" s="16" t="str">
        <f t="shared" si="6"/>
        <v>N</v>
      </c>
      <c r="K1360" s="16"/>
      <c r="L1360" s="16"/>
    </row>
    <row r="1361">
      <c r="A1361" s="40" t="s">
        <v>1897</v>
      </c>
      <c r="B1361" s="10" t="str">
        <f t="shared" si="1"/>
        <v>fatty_acid</v>
      </c>
      <c r="C1361" s="49" t="str">
        <f t="shared" si="2"/>
        <v>S16738FA1</v>
      </c>
      <c r="D1361" s="6">
        <v>37.0</v>
      </c>
      <c r="E1361" s="10" t="str">
        <f t="shared" si="3"/>
        <v>BFA37</v>
      </c>
      <c r="F1361" s="13">
        <v>7.0</v>
      </c>
      <c r="G1361" s="10" t="str">
        <f t="shared" si="4"/>
        <v>BFA37-7</v>
      </c>
      <c r="H1361" s="16"/>
      <c r="I1361" s="16" t="str">
        <f t="shared" si="5"/>
        <v>collected</v>
      </c>
      <c r="J1361" s="16" t="str">
        <f t="shared" si="6"/>
        <v>N</v>
      </c>
      <c r="K1361" s="16"/>
      <c r="L1361" s="16"/>
    </row>
    <row r="1362">
      <c r="A1362" s="40" t="s">
        <v>1898</v>
      </c>
      <c r="B1362" s="10" t="str">
        <f t="shared" si="1"/>
        <v>fatty_acid</v>
      </c>
      <c r="C1362" s="49" t="str">
        <f t="shared" si="2"/>
        <v>S16740FA1</v>
      </c>
      <c r="D1362" s="6">
        <v>37.0</v>
      </c>
      <c r="E1362" s="10" t="str">
        <f t="shared" si="3"/>
        <v>BFA37</v>
      </c>
      <c r="F1362" s="13">
        <v>8.0</v>
      </c>
      <c r="G1362" s="10" t="str">
        <f t="shared" si="4"/>
        <v>BFA37-8</v>
      </c>
      <c r="H1362" s="16"/>
      <c r="I1362" s="16" t="str">
        <f t="shared" si="5"/>
        <v>collected</v>
      </c>
      <c r="J1362" s="16" t="str">
        <f t="shared" si="6"/>
        <v>N</v>
      </c>
      <c r="K1362" s="16"/>
      <c r="L1362" s="16"/>
    </row>
    <row r="1363">
      <c r="A1363" s="40" t="s">
        <v>1900</v>
      </c>
      <c r="B1363" s="10" t="str">
        <f t="shared" si="1"/>
        <v>fatty_acid</v>
      </c>
      <c r="C1363" s="49" t="str">
        <f t="shared" si="2"/>
        <v>S16735FA1</v>
      </c>
      <c r="D1363" s="6">
        <v>37.0</v>
      </c>
      <c r="E1363" s="10" t="str">
        <f t="shared" si="3"/>
        <v>BFA37</v>
      </c>
      <c r="F1363" s="13">
        <v>9.0</v>
      </c>
      <c r="G1363" s="10" t="str">
        <f t="shared" si="4"/>
        <v>BFA37-9</v>
      </c>
      <c r="H1363" s="16"/>
      <c r="I1363" s="16" t="str">
        <f t="shared" si="5"/>
        <v>collected</v>
      </c>
      <c r="J1363" s="16" t="str">
        <f t="shared" si="6"/>
        <v>N</v>
      </c>
      <c r="K1363" s="16"/>
      <c r="L1363" s="16"/>
    </row>
    <row r="1364">
      <c r="A1364" s="40" t="s">
        <v>1901</v>
      </c>
      <c r="B1364" s="10" t="str">
        <f t="shared" si="1"/>
        <v>fatty_acid</v>
      </c>
      <c r="C1364" s="49" t="str">
        <f t="shared" si="2"/>
        <v>S16737FA1</v>
      </c>
      <c r="D1364" s="6">
        <v>37.0</v>
      </c>
      <c r="E1364" s="10" t="str">
        <f t="shared" si="3"/>
        <v>BFA37</v>
      </c>
      <c r="F1364" s="13">
        <v>10.0</v>
      </c>
      <c r="G1364" s="10" t="str">
        <f t="shared" si="4"/>
        <v>BFA37-10</v>
      </c>
      <c r="H1364" s="16"/>
      <c r="I1364" s="16" t="str">
        <f t="shared" si="5"/>
        <v>collected</v>
      </c>
      <c r="J1364" s="16" t="str">
        <f t="shared" si="6"/>
        <v>N</v>
      </c>
      <c r="K1364" s="16"/>
      <c r="L1364" s="16"/>
    </row>
    <row r="1365">
      <c r="A1365" s="40" t="s">
        <v>1902</v>
      </c>
      <c r="B1365" s="10" t="str">
        <f t="shared" si="1"/>
        <v>fatty_acid</v>
      </c>
      <c r="C1365" s="49" t="str">
        <f t="shared" si="2"/>
        <v>S16733FA1</v>
      </c>
      <c r="D1365" s="6">
        <v>37.0</v>
      </c>
      <c r="E1365" s="10" t="str">
        <f t="shared" si="3"/>
        <v>BFA37</v>
      </c>
      <c r="F1365" s="13">
        <v>11.0</v>
      </c>
      <c r="G1365" s="10" t="str">
        <f t="shared" si="4"/>
        <v>BFA37-11</v>
      </c>
      <c r="H1365" s="16"/>
      <c r="I1365" s="16" t="str">
        <f t="shared" si="5"/>
        <v>collected</v>
      </c>
      <c r="J1365" s="16" t="str">
        <f t="shared" si="6"/>
        <v>N</v>
      </c>
      <c r="K1365" s="16"/>
      <c r="L1365" s="16"/>
    </row>
    <row r="1366">
      <c r="A1366" s="40" t="s">
        <v>1903</v>
      </c>
      <c r="B1366" s="10" t="str">
        <f t="shared" si="1"/>
        <v>fatty_acid</v>
      </c>
      <c r="C1366" s="49" t="str">
        <f t="shared" si="2"/>
        <v>S16734FA1</v>
      </c>
      <c r="D1366" s="6">
        <v>37.0</v>
      </c>
      <c r="E1366" s="10" t="str">
        <f t="shared" si="3"/>
        <v>BFA37</v>
      </c>
      <c r="F1366" s="13">
        <v>12.0</v>
      </c>
      <c r="G1366" s="10" t="str">
        <f t="shared" si="4"/>
        <v>BFA37-12</v>
      </c>
      <c r="H1366" s="16"/>
      <c r="I1366" s="16" t="str">
        <f t="shared" si="5"/>
        <v>collected</v>
      </c>
      <c r="J1366" s="16" t="str">
        <f t="shared" si="6"/>
        <v>N</v>
      </c>
      <c r="K1366" s="16"/>
      <c r="L1366" s="16"/>
    </row>
    <row r="1367">
      <c r="A1367" s="40" t="s">
        <v>1904</v>
      </c>
      <c r="B1367" s="10" t="str">
        <f t="shared" si="1"/>
        <v>fatty_acid</v>
      </c>
      <c r="C1367" s="49" t="str">
        <f t="shared" si="2"/>
        <v>S16731FA1</v>
      </c>
      <c r="D1367" s="6">
        <v>37.0</v>
      </c>
      <c r="E1367" s="10" t="str">
        <f t="shared" si="3"/>
        <v>BFA37</v>
      </c>
      <c r="F1367" s="13">
        <v>13.0</v>
      </c>
      <c r="G1367" s="10" t="str">
        <f t="shared" si="4"/>
        <v>BFA37-13</v>
      </c>
      <c r="H1367" s="16"/>
      <c r="I1367" s="16" t="str">
        <f t="shared" si="5"/>
        <v>collected</v>
      </c>
      <c r="J1367" s="16" t="str">
        <f t="shared" si="6"/>
        <v>N</v>
      </c>
      <c r="K1367" s="16"/>
      <c r="L1367" s="16"/>
    </row>
    <row r="1368">
      <c r="A1368" s="40" t="s">
        <v>1905</v>
      </c>
      <c r="B1368" s="10" t="str">
        <f t="shared" si="1"/>
        <v>fatty_acid</v>
      </c>
      <c r="C1368" s="49" t="str">
        <f t="shared" si="2"/>
        <v>S16739FA1</v>
      </c>
      <c r="D1368" s="6">
        <v>37.0</v>
      </c>
      <c r="E1368" s="10" t="str">
        <f t="shared" si="3"/>
        <v>BFA37</v>
      </c>
      <c r="F1368" s="13">
        <v>14.0</v>
      </c>
      <c r="G1368" s="10" t="str">
        <f t="shared" si="4"/>
        <v>BFA37-14</v>
      </c>
      <c r="H1368" s="16"/>
      <c r="I1368" s="16" t="str">
        <f t="shared" si="5"/>
        <v>collected</v>
      </c>
      <c r="J1368" s="16" t="str">
        <f t="shared" si="6"/>
        <v>N</v>
      </c>
      <c r="K1368" s="16"/>
      <c r="L1368" s="16"/>
    </row>
    <row r="1369">
      <c r="A1369" s="40" t="s">
        <v>1906</v>
      </c>
      <c r="B1369" s="10" t="str">
        <f t="shared" si="1"/>
        <v>fatty_acid</v>
      </c>
      <c r="C1369" s="49" t="str">
        <f t="shared" si="2"/>
        <v>S16732FA1</v>
      </c>
      <c r="D1369" s="6">
        <v>37.0</v>
      </c>
      <c r="E1369" s="10" t="str">
        <f t="shared" si="3"/>
        <v>BFA37</v>
      </c>
      <c r="F1369" s="13">
        <v>15.0</v>
      </c>
      <c r="G1369" s="10" t="str">
        <f t="shared" si="4"/>
        <v>BFA37-15</v>
      </c>
      <c r="H1369" s="16"/>
      <c r="I1369" s="16" t="str">
        <f t="shared" si="5"/>
        <v>collected</v>
      </c>
      <c r="J1369" s="16" t="str">
        <f t="shared" si="6"/>
        <v>N</v>
      </c>
      <c r="K1369" s="16"/>
      <c r="L1369" s="16"/>
    </row>
    <row r="1370">
      <c r="A1370" s="40" t="s">
        <v>1907</v>
      </c>
      <c r="B1370" s="10" t="str">
        <f t="shared" si="1"/>
        <v>fatty_acid</v>
      </c>
      <c r="C1370" s="49" t="str">
        <f t="shared" si="2"/>
        <v>S17939FA1</v>
      </c>
      <c r="D1370" s="6">
        <v>37.0</v>
      </c>
      <c r="E1370" s="10" t="str">
        <f t="shared" si="3"/>
        <v>BFA37</v>
      </c>
      <c r="F1370" s="13">
        <v>16.0</v>
      </c>
      <c r="G1370" s="10" t="str">
        <f t="shared" si="4"/>
        <v>BFA37-16</v>
      </c>
      <c r="H1370" s="16"/>
      <c r="I1370" s="16" t="str">
        <f t="shared" si="5"/>
        <v>collected</v>
      </c>
      <c r="J1370" s="16" t="str">
        <f t="shared" si="6"/>
        <v>N</v>
      </c>
      <c r="K1370" s="16"/>
      <c r="L1370" s="16"/>
    </row>
    <row r="1371">
      <c r="A1371" s="40" t="s">
        <v>1908</v>
      </c>
      <c r="B1371" s="10" t="str">
        <f t="shared" si="1"/>
        <v>fatty_acid</v>
      </c>
      <c r="C1371" s="49" t="str">
        <f t="shared" si="2"/>
        <v>S17936FA1</v>
      </c>
      <c r="D1371" s="6">
        <v>37.0</v>
      </c>
      <c r="E1371" s="10" t="str">
        <f t="shared" si="3"/>
        <v>BFA37</v>
      </c>
      <c r="F1371" s="13">
        <v>17.0</v>
      </c>
      <c r="G1371" s="10" t="str">
        <f t="shared" si="4"/>
        <v>BFA37-17</v>
      </c>
      <c r="H1371" s="16"/>
      <c r="I1371" s="16" t="str">
        <f t="shared" si="5"/>
        <v>collected</v>
      </c>
      <c r="J1371" s="16" t="str">
        <f t="shared" si="6"/>
        <v>N</v>
      </c>
      <c r="K1371" s="16"/>
      <c r="L1371" s="16"/>
    </row>
    <row r="1372">
      <c r="A1372" s="40" t="s">
        <v>1909</v>
      </c>
      <c r="B1372" s="10" t="str">
        <f t="shared" si="1"/>
        <v>fatty_acid</v>
      </c>
      <c r="C1372" s="49" t="str">
        <f t="shared" si="2"/>
        <v>S17940FA1</v>
      </c>
      <c r="D1372" s="6">
        <v>37.0</v>
      </c>
      <c r="E1372" s="10" t="str">
        <f t="shared" si="3"/>
        <v>BFA37</v>
      </c>
      <c r="F1372" s="13">
        <v>18.0</v>
      </c>
      <c r="G1372" s="10" t="str">
        <f t="shared" si="4"/>
        <v>BFA37-18</v>
      </c>
      <c r="H1372" s="16"/>
      <c r="I1372" s="16" t="str">
        <f t="shared" si="5"/>
        <v>collected</v>
      </c>
      <c r="J1372" s="16" t="str">
        <f t="shared" si="6"/>
        <v>N</v>
      </c>
      <c r="K1372" s="16"/>
      <c r="L1372" s="16"/>
    </row>
    <row r="1373">
      <c r="A1373" s="27" t="s">
        <v>1910</v>
      </c>
      <c r="B1373" s="10" t="str">
        <f t="shared" si="1"/>
        <v>fatty_acid</v>
      </c>
      <c r="C1373" s="49" t="str">
        <f t="shared" si="2"/>
        <v>S17932FA1</v>
      </c>
      <c r="D1373" s="6">
        <v>37.0</v>
      </c>
      <c r="E1373" s="10" t="str">
        <f t="shared" si="3"/>
        <v>BFA37</v>
      </c>
      <c r="F1373" s="13">
        <v>19.0</v>
      </c>
      <c r="G1373" s="10" t="str">
        <f t="shared" si="4"/>
        <v>BFA37-19</v>
      </c>
      <c r="H1373" s="16"/>
      <c r="I1373" s="16" t="str">
        <f t="shared" si="5"/>
        <v>collected</v>
      </c>
      <c r="J1373" s="16" t="str">
        <f t="shared" si="6"/>
        <v>N</v>
      </c>
      <c r="K1373" s="16"/>
      <c r="L1373" s="16"/>
    </row>
    <row r="1374">
      <c r="A1374" s="27" t="s">
        <v>1911</v>
      </c>
      <c r="B1374" s="10" t="str">
        <f t="shared" si="1"/>
        <v>fatty_acid</v>
      </c>
      <c r="C1374" s="49" t="str">
        <f t="shared" si="2"/>
        <v>S17931FA1</v>
      </c>
      <c r="D1374" s="6">
        <v>37.0</v>
      </c>
      <c r="E1374" s="10" t="str">
        <f t="shared" si="3"/>
        <v>BFA37</v>
      </c>
      <c r="F1374" s="13">
        <v>20.0</v>
      </c>
      <c r="G1374" s="10" t="str">
        <f t="shared" si="4"/>
        <v>BFA37-20</v>
      </c>
      <c r="H1374" s="16"/>
      <c r="I1374" s="16" t="str">
        <f t="shared" si="5"/>
        <v>collected</v>
      </c>
      <c r="J1374" s="16" t="str">
        <f t="shared" si="6"/>
        <v>N</v>
      </c>
      <c r="K1374" s="16"/>
      <c r="L1374" s="16"/>
    </row>
    <row r="1375">
      <c r="A1375" s="6" t="s">
        <v>1912</v>
      </c>
      <c r="B1375" s="10" t="str">
        <f t="shared" si="1"/>
        <v>fatty_acid</v>
      </c>
      <c r="C1375" s="49" t="str">
        <f t="shared" si="2"/>
        <v>S17934FA1</v>
      </c>
      <c r="D1375" s="6">
        <v>37.0</v>
      </c>
      <c r="E1375" s="10" t="str">
        <f t="shared" si="3"/>
        <v>BFA37</v>
      </c>
      <c r="F1375" s="13">
        <v>21.0</v>
      </c>
      <c r="G1375" s="10" t="str">
        <f t="shared" si="4"/>
        <v>BFA37-21</v>
      </c>
      <c r="H1375" s="16"/>
      <c r="I1375" s="16" t="str">
        <f t="shared" si="5"/>
        <v>collected</v>
      </c>
      <c r="J1375" s="16" t="str">
        <f t="shared" si="6"/>
        <v>N</v>
      </c>
      <c r="K1375" s="16"/>
      <c r="L1375" s="16"/>
    </row>
    <row r="1376">
      <c r="A1376" s="27" t="s">
        <v>1913</v>
      </c>
      <c r="B1376" s="10" t="str">
        <f t="shared" si="1"/>
        <v>fatty_acid</v>
      </c>
      <c r="C1376" s="49" t="str">
        <f t="shared" si="2"/>
        <v>S17935FA1</v>
      </c>
      <c r="D1376" s="6">
        <v>37.0</v>
      </c>
      <c r="E1376" s="10" t="str">
        <f t="shared" si="3"/>
        <v>BFA37</v>
      </c>
      <c r="F1376" s="13">
        <v>22.0</v>
      </c>
      <c r="G1376" s="10" t="str">
        <f t="shared" si="4"/>
        <v>BFA37-22</v>
      </c>
      <c r="H1376" s="16"/>
      <c r="I1376" s="16" t="str">
        <f t="shared" si="5"/>
        <v>collected</v>
      </c>
      <c r="J1376" s="16" t="str">
        <f t="shared" si="6"/>
        <v>N</v>
      </c>
      <c r="K1376" s="16"/>
      <c r="L1376" s="16"/>
    </row>
    <row r="1377">
      <c r="A1377" s="27" t="s">
        <v>1915</v>
      </c>
      <c r="B1377" s="10" t="str">
        <f t="shared" si="1"/>
        <v>fatty_acid</v>
      </c>
      <c r="C1377" s="49" t="str">
        <f t="shared" si="2"/>
        <v>S17937FA1</v>
      </c>
      <c r="D1377" s="6">
        <v>37.0</v>
      </c>
      <c r="E1377" s="10" t="str">
        <f t="shared" si="3"/>
        <v>BFA37</v>
      </c>
      <c r="F1377" s="13">
        <v>23.0</v>
      </c>
      <c r="G1377" s="10" t="str">
        <f t="shared" si="4"/>
        <v>BFA37-23</v>
      </c>
      <c r="H1377" s="16"/>
      <c r="I1377" s="16" t="str">
        <f t="shared" si="5"/>
        <v>collected</v>
      </c>
      <c r="J1377" s="16" t="str">
        <f t="shared" si="6"/>
        <v>N</v>
      </c>
      <c r="K1377" s="16"/>
      <c r="L1377" s="16"/>
    </row>
    <row r="1378">
      <c r="A1378" s="27" t="s">
        <v>1916</v>
      </c>
      <c r="B1378" s="10" t="str">
        <f t="shared" si="1"/>
        <v>fatty_acid</v>
      </c>
      <c r="C1378" s="49" t="str">
        <f t="shared" si="2"/>
        <v>S17933FA1</v>
      </c>
      <c r="D1378" s="6">
        <v>37.0</v>
      </c>
      <c r="E1378" s="10" t="str">
        <f t="shared" si="3"/>
        <v>BFA37</v>
      </c>
      <c r="F1378" s="13">
        <v>24.0</v>
      </c>
      <c r="G1378" s="10" t="str">
        <f t="shared" si="4"/>
        <v>BFA37-24</v>
      </c>
      <c r="H1378" s="16"/>
      <c r="I1378" s="16" t="str">
        <f t="shared" si="5"/>
        <v>collected</v>
      </c>
      <c r="J1378" s="16" t="str">
        <f t="shared" si="6"/>
        <v>N</v>
      </c>
      <c r="K1378" s="16"/>
      <c r="L1378" s="16"/>
    </row>
    <row r="1379">
      <c r="A1379" s="27" t="s">
        <v>1918</v>
      </c>
      <c r="B1379" s="10" t="str">
        <f t="shared" si="1"/>
        <v>fatty_acid</v>
      </c>
      <c r="C1379" s="49" t="str">
        <f t="shared" si="2"/>
        <v>S17938FA1</v>
      </c>
      <c r="D1379" s="6">
        <v>37.0</v>
      </c>
      <c r="E1379" s="10" t="str">
        <f t="shared" si="3"/>
        <v>BFA37</v>
      </c>
      <c r="F1379" s="13">
        <v>25.0</v>
      </c>
      <c r="G1379" s="10" t="str">
        <f t="shared" si="4"/>
        <v>BFA37-25</v>
      </c>
      <c r="H1379" s="16"/>
      <c r="I1379" s="16" t="str">
        <f t="shared" si="5"/>
        <v>collected</v>
      </c>
      <c r="J1379" s="16" t="str">
        <f t="shared" si="6"/>
        <v>N</v>
      </c>
      <c r="K1379" s="16"/>
      <c r="L1379" s="16"/>
    </row>
    <row r="1380">
      <c r="A1380" s="40" t="s">
        <v>1919</v>
      </c>
      <c r="B1380" s="10" t="str">
        <f t="shared" si="1"/>
        <v>fatty_acid</v>
      </c>
      <c r="C1380" s="49" t="str">
        <f t="shared" si="2"/>
        <v>S16047FA1</v>
      </c>
      <c r="D1380" s="6">
        <v>36.0</v>
      </c>
      <c r="E1380" s="10" t="str">
        <f t="shared" si="3"/>
        <v>BFA36</v>
      </c>
      <c r="F1380" s="13">
        <v>37.0</v>
      </c>
      <c r="G1380" s="10" t="str">
        <f t="shared" si="4"/>
        <v>BFA36-37</v>
      </c>
      <c r="H1380" s="16"/>
      <c r="I1380" s="16" t="str">
        <f t="shared" si="5"/>
        <v>collected</v>
      </c>
      <c r="J1380" s="16" t="str">
        <f t="shared" si="6"/>
        <v>N</v>
      </c>
      <c r="K1380" s="16"/>
      <c r="L1380" s="16"/>
    </row>
    <row r="1381">
      <c r="A1381" s="40" t="s">
        <v>1920</v>
      </c>
      <c r="B1381" s="10" t="str">
        <f t="shared" si="1"/>
        <v>fatty_acid</v>
      </c>
      <c r="C1381" s="49" t="str">
        <f t="shared" si="2"/>
        <v>S16043FA1</v>
      </c>
      <c r="D1381" s="6">
        <v>36.0</v>
      </c>
      <c r="E1381" s="10" t="str">
        <f t="shared" si="3"/>
        <v>BFA36</v>
      </c>
      <c r="F1381" s="13">
        <v>38.0</v>
      </c>
      <c r="G1381" s="10" t="str">
        <f t="shared" si="4"/>
        <v>BFA36-38</v>
      </c>
      <c r="H1381" s="16"/>
      <c r="I1381" s="16" t="str">
        <f t="shared" si="5"/>
        <v>collected</v>
      </c>
      <c r="J1381" s="16" t="str">
        <f t="shared" si="6"/>
        <v>N</v>
      </c>
      <c r="K1381" s="16"/>
      <c r="L1381" s="16"/>
    </row>
    <row r="1382">
      <c r="A1382" s="40" t="s">
        <v>1921</v>
      </c>
      <c r="B1382" s="10" t="str">
        <f t="shared" si="1"/>
        <v>fatty_acid</v>
      </c>
      <c r="C1382" s="49" t="str">
        <f t="shared" si="2"/>
        <v>S16049FA1</v>
      </c>
      <c r="D1382" s="6">
        <v>36.0</v>
      </c>
      <c r="E1382" s="10" t="str">
        <f t="shared" si="3"/>
        <v>BFA36</v>
      </c>
      <c r="F1382" s="13">
        <v>39.0</v>
      </c>
      <c r="G1382" s="10" t="str">
        <f t="shared" si="4"/>
        <v>BFA36-39</v>
      </c>
      <c r="H1382" s="16"/>
      <c r="I1382" s="16" t="str">
        <f t="shared" si="5"/>
        <v>collected</v>
      </c>
      <c r="J1382" s="16" t="str">
        <f t="shared" si="6"/>
        <v>N</v>
      </c>
      <c r="K1382" s="16"/>
      <c r="L1382" s="16"/>
    </row>
    <row r="1383">
      <c r="A1383" s="40" t="s">
        <v>1922</v>
      </c>
      <c r="B1383" s="10" t="str">
        <f t="shared" si="1"/>
        <v>fatty_acid</v>
      </c>
      <c r="C1383" s="49" t="str">
        <f t="shared" si="2"/>
        <v>S16050FA1</v>
      </c>
      <c r="D1383" s="6">
        <v>36.0</v>
      </c>
      <c r="E1383" s="10" t="str">
        <f t="shared" si="3"/>
        <v>BFA36</v>
      </c>
      <c r="F1383" s="13">
        <v>40.0</v>
      </c>
      <c r="G1383" s="10" t="str">
        <f t="shared" si="4"/>
        <v>BFA36-40</v>
      </c>
      <c r="H1383" s="16"/>
      <c r="I1383" s="16" t="str">
        <f t="shared" si="5"/>
        <v>collected</v>
      </c>
      <c r="J1383" s="16" t="str">
        <f t="shared" si="6"/>
        <v>N</v>
      </c>
      <c r="K1383" s="16"/>
      <c r="L1383" s="16"/>
    </row>
    <row r="1384">
      <c r="A1384" s="40" t="s">
        <v>1923</v>
      </c>
      <c r="B1384" s="10" t="str">
        <f t="shared" si="1"/>
        <v>fatty_acid</v>
      </c>
      <c r="C1384" s="49" t="str">
        <f t="shared" si="2"/>
        <v>S16044FA1</v>
      </c>
      <c r="D1384" s="6">
        <v>36.0</v>
      </c>
      <c r="E1384" s="10" t="str">
        <f t="shared" si="3"/>
        <v>BFA36</v>
      </c>
      <c r="F1384" s="13">
        <v>41.0</v>
      </c>
      <c r="G1384" s="10" t="str">
        <f t="shared" si="4"/>
        <v>BFA36-41</v>
      </c>
      <c r="H1384" s="16"/>
      <c r="I1384" s="16" t="str">
        <f t="shared" si="5"/>
        <v>collected</v>
      </c>
      <c r="J1384" s="16" t="str">
        <f t="shared" si="6"/>
        <v>N</v>
      </c>
      <c r="K1384" s="16"/>
      <c r="L1384" s="16"/>
    </row>
    <row r="1385">
      <c r="A1385" s="40" t="s">
        <v>1924</v>
      </c>
      <c r="B1385" s="10" t="str">
        <f t="shared" si="1"/>
        <v>fatty_acid</v>
      </c>
      <c r="C1385" s="49" t="str">
        <f t="shared" si="2"/>
        <v>S16045FA1</v>
      </c>
      <c r="D1385" s="6">
        <v>36.0</v>
      </c>
      <c r="E1385" s="10" t="str">
        <f t="shared" si="3"/>
        <v>BFA36</v>
      </c>
      <c r="F1385" s="13">
        <v>42.0</v>
      </c>
      <c r="G1385" s="10" t="str">
        <f t="shared" si="4"/>
        <v>BFA36-42</v>
      </c>
      <c r="H1385" s="16"/>
      <c r="I1385" s="16" t="str">
        <f t="shared" si="5"/>
        <v>collected</v>
      </c>
      <c r="J1385" s="16" t="str">
        <f t="shared" si="6"/>
        <v>N</v>
      </c>
      <c r="K1385" s="16"/>
      <c r="L1385" s="16"/>
    </row>
    <row r="1386">
      <c r="A1386" s="40" t="s">
        <v>1925</v>
      </c>
      <c r="B1386" s="10" t="str">
        <f t="shared" si="1"/>
        <v>fatty_acid</v>
      </c>
      <c r="C1386" s="49" t="str">
        <f t="shared" si="2"/>
        <v>S16046FA1</v>
      </c>
      <c r="D1386" s="6">
        <v>36.0</v>
      </c>
      <c r="E1386" s="10" t="str">
        <f t="shared" si="3"/>
        <v>BFA36</v>
      </c>
      <c r="F1386" s="13">
        <v>43.0</v>
      </c>
      <c r="G1386" s="10" t="str">
        <f t="shared" si="4"/>
        <v>BFA36-43</v>
      </c>
      <c r="H1386" s="16"/>
      <c r="I1386" s="16" t="str">
        <f t="shared" si="5"/>
        <v>collected</v>
      </c>
      <c r="J1386" s="16" t="str">
        <f t="shared" si="6"/>
        <v>N</v>
      </c>
      <c r="K1386" s="16"/>
      <c r="L1386" s="16"/>
    </row>
    <row r="1387">
      <c r="A1387" s="40" t="s">
        <v>1926</v>
      </c>
      <c r="B1387" s="10" t="str">
        <f t="shared" si="1"/>
        <v>fatty_acid</v>
      </c>
      <c r="C1387" s="49" t="str">
        <f t="shared" si="2"/>
        <v>S16048FA1</v>
      </c>
      <c r="D1387" s="6">
        <v>36.0</v>
      </c>
      <c r="E1387" s="10" t="str">
        <f t="shared" si="3"/>
        <v>BFA36</v>
      </c>
      <c r="F1387" s="13">
        <v>44.0</v>
      </c>
      <c r="G1387" s="10" t="str">
        <f t="shared" si="4"/>
        <v>BFA36-44</v>
      </c>
      <c r="H1387" s="16"/>
      <c r="I1387" s="16" t="str">
        <f t="shared" si="5"/>
        <v>collected</v>
      </c>
      <c r="J1387" s="16" t="str">
        <f t="shared" si="6"/>
        <v>N</v>
      </c>
      <c r="K1387" s="16"/>
      <c r="L1387" s="16"/>
    </row>
    <row r="1388">
      <c r="A1388" s="40" t="s">
        <v>1927</v>
      </c>
      <c r="B1388" s="10" t="str">
        <f t="shared" si="1"/>
        <v>fatty_acid</v>
      </c>
      <c r="C1388" s="49" t="str">
        <f t="shared" si="2"/>
        <v>S16041FA1</v>
      </c>
      <c r="D1388" s="6">
        <v>36.0</v>
      </c>
      <c r="E1388" s="10" t="str">
        <f t="shared" si="3"/>
        <v>BFA36</v>
      </c>
      <c r="F1388" s="13">
        <v>45.0</v>
      </c>
      <c r="G1388" s="10" t="str">
        <f t="shared" si="4"/>
        <v>BFA36-45</v>
      </c>
      <c r="H1388" s="16"/>
      <c r="I1388" s="16" t="str">
        <f t="shared" si="5"/>
        <v>collected</v>
      </c>
      <c r="J1388" s="16" t="str">
        <f t="shared" si="6"/>
        <v>N</v>
      </c>
      <c r="K1388" s="16"/>
      <c r="L1388" s="16"/>
    </row>
    <row r="1389">
      <c r="A1389" s="40" t="s">
        <v>1928</v>
      </c>
      <c r="B1389" s="10" t="str">
        <f t="shared" si="1"/>
        <v>fatty_acid</v>
      </c>
      <c r="C1389" s="49" t="str">
        <f t="shared" si="2"/>
        <v>S16042FA1</v>
      </c>
      <c r="D1389" s="6">
        <v>36.0</v>
      </c>
      <c r="E1389" s="10" t="str">
        <f t="shared" si="3"/>
        <v>BFA36</v>
      </c>
      <c r="F1389" s="13">
        <v>46.0</v>
      </c>
      <c r="G1389" s="10" t="str">
        <f t="shared" si="4"/>
        <v>BFA36-46</v>
      </c>
      <c r="H1389" s="16"/>
      <c r="I1389" s="16" t="str">
        <f t="shared" si="5"/>
        <v>collected</v>
      </c>
      <c r="J1389" s="16" t="str">
        <f t="shared" si="6"/>
        <v>N</v>
      </c>
      <c r="K1389" s="16"/>
      <c r="L1389" s="16"/>
    </row>
    <row r="1390">
      <c r="A1390" s="40" t="s">
        <v>1929</v>
      </c>
      <c r="B1390" s="10" t="str">
        <f t="shared" si="1"/>
        <v>fatty_acid</v>
      </c>
      <c r="C1390" s="49" t="str">
        <f t="shared" si="2"/>
        <v>S16004FA1</v>
      </c>
      <c r="D1390" s="6">
        <v>36.0</v>
      </c>
      <c r="E1390" s="10" t="str">
        <f t="shared" si="3"/>
        <v>BFA36</v>
      </c>
      <c r="F1390" s="13">
        <v>47.0</v>
      </c>
      <c r="G1390" s="10" t="str">
        <f t="shared" si="4"/>
        <v>BFA36-47</v>
      </c>
      <c r="H1390" s="16"/>
      <c r="I1390" s="16" t="str">
        <f t="shared" si="5"/>
        <v>collected</v>
      </c>
      <c r="J1390" s="16" t="str">
        <f t="shared" si="6"/>
        <v>N</v>
      </c>
      <c r="K1390" s="16"/>
      <c r="L1390" s="16"/>
    </row>
    <row r="1391">
      <c r="A1391" s="40" t="s">
        <v>1930</v>
      </c>
      <c r="B1391" s="10" t="str">
        <f t="shared" si="1"/>
        <v>fatty_acid</v>
      </c>
      <c r="C1391" s="49" t="str">
        <f t="shared" si="2"/>
        <v>S16002FA1</v>
      </c>
      <c r="D1391" s="6">
        <v>36.0</v>
      </c>
      <c r="E1391" s="10" t="str">
        <f t="shared" si="3"/>
        <v>BFA36</v>
      </c>
      <c r="F1391" s="13">
        <v>48.0</v>
      </c>
      <c r="G1391" s="10" t="str">
        <f t="shared" si="4"/>
        <v>BFA36-48</v>
      </c>
      <c r="H1391" s="16"/>
      <c r="I1391" s="16" t="str">
        <f t="shared" si="5"/>
        <v>collected</v>
      </c>
      <c r="J1391" s="16" t="str">
        <f t="shared" si="6"/>
        <v>N</v>
      </c>
      <c r="K1391" s="16"/>
      <c r="L1391" s="16"/>
    </row>
    <row r="1392">
      <c r="A1392" s="40" t="s">
        <v>1931</v>
      </c>
      <c r="B1392" s="10" t="str">
        <f t="shared" si="1"/>
        <v>fatty_acid</v>
      </c>
      <c r="C1392" s="49" t="str">
        <f t="shared" si="2"/>
        <v>S16001FA1</v>
      </c>
      <c r="D1392" s="6">
        <v>36.0</v>
      </c>
      <c r="E1392" s="10" t="str">
        <f t="shared" si="3"/>
        <v>BFA36</v>
      </c>
      <c r="F1392" s="13">
        <v>49.0</v>
      </c>
      <c r="G1392" s="10" t="str">
        <f t="shared" si="4"/>
        <v>BFA36-49</v>
      </c>
      <c r="H1392" s="16"/>
      <c r="I1392" s="16" t="str">
        <f t="shared" si="5"/>
        <v>collected</v>
      </c>
      <c r="J1392" s="16" t="str">
        <f t="shared" si="6"/>
        <v>N</v>
      </c>
      <c r="K1392" s="16"/>
      <c r="L1392" s="16"/>
    </row>
    <row r="1393">
      <c r="A1393" s="40" t="s">
        <v>1932</v>
      </c>
      <c r="B1393" s="10" t="str">
        <f t="shared" si="1"/>
        <v>fatty_acid</v>
      </c>
      <c r="C1393" s="49" t="str">
        <f t="shared" si="2"/>
        <v>S16005FA1</v>
      </c>
      <c r="D1393" s="6">
        <v>36.0</v>
      </c>
      <c r="E1393" s="10" t="str">
        <f t="shared" si="3"/>
        <v>BFA36</v>
      </c>
      <c r="F1393" s="13">
        <v>50.0</v>
      </c>
      <c r="G1393" s="10" t="str">
        <f t="shared" si="4"/>
        <v>BFA36-50</v>
      </c>
      <c r="H1393" s="16"/>
      <c r="I1393" s="16" t="str">
        <f t="shared" si="5"/>
        <v>collected</v>
      </c>
      <c r="J1393" s="16" t="str">
        <f t="shared" si="6"/>
        <v>N</v>
      </c>
      <c r="K1393" s="16"/>
      <c r="L1393" s="16"/>
    </row>
    <row r="1394">
      <c r="A1394" s="40" t="s">
        <v>1933</v>
      </c>
      <c r="B1394" s="10" t="str">
        <f t="shared" si="1"/>
        <v>fatty_acid</v>
      </c>
      <c r="C1394" s="49" t="str">
        <f t="shared" si="2"/>
        <v>S16010FA1</v>
      </c>
      <c r="D1394" s="6">
        <v>36.0</v>
      </c>
      <c r="E1394" s="10" t="str">
        <f t="shared" si="3"/>
        <v>BFA36</v>
      </c>
      <c r="F1394" s="13">
        <v>51.0</v>
      </c>
      <c r="G1394" s="10" t="str">
        <f t="shared" si="4"/>
        <v>BFA36-51</v>
      </c>
      <c r="H1394" s="16"/>
      <c r="I1394" s="16" t="str">
        <f t="shared" si="5"/>
        <v>collected</v>
      </c>
      <c r="J1394" s="16" t="str">
        <f t="shared" si="6"/>
        <v>N</v>
      </c>
      <c r="K1394" s="16"/>
      <c r="L1394" s="16"/>
    </row>
    <row r="1395">
      <c r="A1395" s="40" t="s">
        <v>1934</v>
      </c>
      <c r="B1395" s="10" t="str">
        <f t="shared" si="1"/>
        <v>fatty_acid</v>
      </c>
      <c r="C1395" s="49" t="str">
        <f t="shared" si="2"/>
        <v>S16006FA1</v>
      </c>
      <c r="D1395" s="6">
        <v>36.0</v>
      </c>
      <c r="E1395" s="10" t="str">
        <f t="shared" si="3"/>
        <v>BFA36</v>
      </c>
      <c r="F1395" s="13">
        <v>52.0</v>
      </c>
      <c r="G1395" s="10" t="str">
        <f t="shared" si="4"/>
        <v>BFA36-52</v>
      </c>
      <c r="H1395" s="16"/>
      <c r="I1395" s="16" t="str">
        <f t="shared" si="5"/>
        <v>collected</v>
      </c>
      <c r="J1395" s="16" t="str">
        <f t="shared" si="6"/>
        <v>N</v>
      </c>
      <c r="K1395" s="16"/>
      <c r="L1395" s="16"/>
    </row>
    <row r="1396">
      <c r="A1396" s="40" t="s">
        <v>1935</v>
      </c>
      <c r="B1396" s="10" t="str">
        <f t="shared" si="1"/>
        <v>fatty_acid</v>
      </c>
      <c r="C1396" s="49" t="str">
        <f t="shared" si="2"/>
        <v>S16009FA1</v>
      </c>
      <c r="D1396" s="6">
        <v>36.0</v>
      </c>
      <c r="E1396" s="10" t="str">
        <f t="shared" si="3"/>
        <v>BFA36</v>
      </c>
      <c r="F1396" s="13">
        <v>53.0</v>
      </c>
      <c r="G1396" s="10" t="str">
        <f t="shared" si="4"/>
        <v>BFA36-53</v>
      </c>
      <c r="H1396" s="16"/>
      <c r="I1396" s="16" t="str">
        <f t="shared" si="5"/>
        <v>collected</v>
      </c>
      <c r="J1396" s="16" t="str">
        <f t="shared" si="6"/>
        <v>N</v>
      </c>
      <c r="K1396" s="16"/>
      <c r="L1396" s="16"/>
    </row>
    <row r="1397">
      <c r="A1397" s="40" t="s">
        <v>1936</v>
      </c>
      <c r="B1397" s="10" t="str">
        <f t="shared" si="1"/>
        <v>fatty_acid</v>
      </c>
      <c r="C1397" s="49" t="str">
        <f t="shared" si="2"/>
        <v>S16008FA1</v>
      </c>
      <c r="D1397" s="6">
        <v>36.0</v>
      </c>
      <c r="E1397" s="10" t="str">
        <f t="shared" si="3"/>
        <v>BFA36</v>
      </c>
      <c r="F1397" s="13">
        <v>54.0</v>
      </c>
      <c r="G1397" s="10" t="str">
        <f t="shared" si="4"/>
        <v>BFA36-54</v>
      </c>
      <c r="H1397" s="16"/>
      <c r="I1397" s="16" t="str">
        <f t="shared" si="5"/>
        <v>collected</v>
      </c>
      <c r="J1397" s="16" t="str">
        <f t="shared" si="6"/>
        <v>N</v>
      </c>
      <c r="K1397" s="16"/>
      <c r="L1397" s="16"/>
    </row>
    <row r="1398">
      <c r="A1398" s="40" t="s">
        <v>1937</v>
      </c>
      <c r="B1398" s="10" t="str">
        <f t="shared" si="1"/>
        <v>fatty_acid</v>
      </c>
      <c r="C1398" s="49" t="str">
        <f t="shared" si="2"/>
        <v>S16007FA1</v>
      </c>
      <c r="D1398" s="6">
        <v>36.0</v>
      </c>
      <c r="E1398" s="10" t="str">
        <f t="shared" si="3"/>
        <v>BFA36</v>
      </c>
      <c r="F1398" s="13">
        <v>55.0</v>
      </c>
      <c r="G1398" s="10" t="str">
        <f t="shared" si="4"/>
        <v>BFA36-55</v>
      </c>
      <c r="H1398" s="16"/>
      <c r="I1398" s="16" t="str">
        <f t="shared" si="5"/>
        <v>collected</v>
      </c>
      <c r="J1398" s="16" t="str">
        <f t="shared" si="6"/>
        <v>N</v>
      </c>
      <c r="K1398" s="16"/>
      <c r="L1398" s="16"/>
    </row>
    <row r="1399">
      <c r="A1399" s="40" t="s">
        <v>1938</v>
      </c>
      <c r="B1399" s="10" t="str">
        <f t="shared" si="1"/>
        <v>fatty_acid</v>
      </c>
      <c r="C1399" s="49" t="str">
        <f t="shared" si="2"/>
        <v>S16003FA1</v>
      </c>
      <c r="D1399" s="6">
        <v>36.0</v>
      </c>
      <c r="E1399" s="10" t="str">
        <f t="shared" si="3"/>
        <v>BFA36</v>
      </c>
      <c r="F1399" s="13">
        <v>56.0</v>
      </c>
      <c r="G1399" s="10" t="str">
        <f t="shared" si="4"/>
        <v>BFA36-56</v>
      </c>
      <c r="H1399" s="16"/>
      <c r="I1399" s="16" t="str">
        <f t="shared" si="5"/>
        <v>collected</v>
      </c>
      <c r="J1399" s="16" t="str">
        <f t="shared" si="6"/>
        <v>N</v>
      </c>
      <c r="K1399" s="16"/>
      <c r="L1399" s="16"/>
    </row>
    <row r="1400">
      <c r="A1400" s="40" t="s">
        <v>1939</v>
      </c>
      <c r="B1400" s="10" t="str">
        <f t="shared" si="1"/>
        <v>fatty_acid</v>
      </c>
      <c r="C1400" s="49" t="str">
        <f t="shared" si="2"/>
        <v>S16441FA1</v>
      </c>
      <c r="D1400" s="6">
        <v>36.0</v>
      </c>
      <c r="E1400" s="10" t="str">
        <f t="shared" si="3"/>
        <v>BFA36</v>
      </c>
      <c r="F1400" s="13">
        <v>57.0</v>
      </c>
      <c r="G1400" s="10" t="str">
        <f t="shared" si="4"/>
        <v>BFA36-57</v>
      </c>
      <c r="H1400" s="16"/>
      <c r="I1400" s="16" t="str">
        <f t="shared" si="5"/>
        <v>collected</v>
      </c>
      <c r="J1400" s="16" t="str">
        <f t="shared" si="6"/>
        <v>N</v>
      </c>
      <c r="K1400" s="16"/>
      <c r="L1400" s="16"/>
    </row>
    <row r="1401">
      <c r="A1401" s="40" t="s">
        <v>1940</v>
      </c>
      <c r="B1401" s="10" t="str">
        <f t="shared" si="1"/>
        <v>fatty_acid</v>
      </c>
      <c r="C1401" s="49" t="str">
        <f t="shared" si="2"/>
        <v>S16442FA1</v>
      </c>
      <c r="D1401" s="6">
        <v>36.0</v>
      </c>
      <c r="E1401" s="10" t="str">
        <f t="shared" si="3"/>
        <v>BFA36</v>
      </c>
      <c r="F1401" s="13">
        <v>58.0</v>
      </c>
      <c r="G1401" s="10" t="str">
        <f t="shared" si="4"/>
        <v>BFA36-58</v>
      </c>
      <c r="H1401" s="16"/>
      <c r="I1401" s="16" t="str">
        <f t="shared" si="5"/>
        <v>collected</v>
      </c>
      <c r="J1401" s="16" t="str">
        <f t="shared" si="6"/>
        <v>N</v>
      </c>
      <c r="K1401" s="16"/>
      <c r="L1401" s="16"/>
    </row>
    <row r="1402">
      <c r="A1402" s="40" t="s">
        <v>1941</v>
      </c>
      <c r="B1402" s="10" t="str">
        <f t="shared" si="1"/>
        <v>fatty_acid</v>
      </c>
      <c r="C1402" s="49" t="str">
        <f t="shared" si="2"/>
        <v>S16444FA1</v>
      </c>
      <c r="D1402" s="6">
        <v>36.0</v>
      </c>
      <c r="E1402" s="10" t="str">
        <f t="shared" si="3"/>
        <v>BFA36</v>
      </c>
      <c r="F1402" s="13">
        <v>59.0</v>
      </c>
      <c r="G1402" s="10" t="str">
        <f t="shared" si="4"/>
        <v>BFA36-59</v>
      </c>
      <c r="H1402" s="16"/>
      <c r="I1402" s="16" t="str">
        <f t="shared" si="5"/>
        <v>collected</v>
      </c>
      <c r="J1402" s="16" t="str">
        <f t="shared" si="6"/>
        <v>N</v>
      </c>
      <c r="K1402" s="16"/>
      <c r="L1402" s="16"/>
    </row>
    <row r="1403">
      <c r="A1403" s="40" t="s">
        <v>1942</v>
      </c>
      <c r="B1403" s="10" t="str">
        <f t="shared" si="1"/>
        <v>fatty_acid</v>
      </c>
      <c r="C1403" s="49" t="str">
        <f t="shared" si="2"/>
        <v>S16443FA1</v>
      </c>
      <c r="D1403" s="6">
        <v>36.0</v>
      </c>
      <c r="E1403" s="10" t="str">
        <f t="shared" si="3"/>
        <v>BFA36</v>
      </c>
      <c r="F1403" s="13">
        <v>60.0</v>
      </c>
      <c r="G1403" s="10" t="str">
        <f t="shared" si="4"/>
        <v>BFA36-60</v>
      </c>
      <c r="H1403" s="16"/>
      <c r="I1403" s="16" t="str">
        <f t="shared" si="5"/>
        <v>collected</v>
      </c>
      <c r="J1403" s="16" t="str">
        <f t="shared" si="6"/>
        <v>N</v>
      </c>
      <c r="K1403" s="16"/>
      <c r="L1403" s="16"/>
    </row>
    <row r="1404">
      <c r="A1404" s="40" t="s">
        <v>1943</v>
      </c>
      <c r="B1404" s="10" t="str">
        <f t="shared" si="1"/>
        <v>fatty_acid</v>
      </c>
      <c r="C1404" s="49" t="str">
        <f t="shared" si="2"/>
        <v>S16445FA1</v>
      </c>
      <c r="D1404" s="6">
        <v>36.0</v>
      </c>
      <c r="E1404" s="10" t="str">
        <f t="shared" si="3"/>
        <v>BFA36</v>
      </c>
      <c r="F1404" s="13">
        <v>61.0</v>
      </c>
      <c r="G1404" s="10" t="str">
        <f t="shared" si="4"/>
        <v>BFA36-61</v>
      </c>
      <c r="H1404" s="16"/>
      <c r="I1404" s="16" t="str">
        <f t="shared" si="5"/>
        <v>collected</v>
      </c>
      <c r="J1404" s="16" t="str">
        <f t="shared" si="6"/>
        <v>N</v>
      </c>
      <c r="K1404" s="16"/>
      <c r="L1404" s="16"/>
    </row>
    <row r="1405">
      <c r="A1405" s="40" t="s">
        <v>1944</v>
      </c>
      <c r="B1405" s="10" t="str">
        <f t="shared" si="1"/>
        <v>fatty_acid</v>
      </c>
      <c r="C1405" s="49" t="str">
        <f t="shared" si="2"/>
        <v>S16450FA1</v>
      </c>
      <c r="D1405" s="6">
        <v>36.0</v>
      </c>
      <c r="E1405" s="10" t="str">
        <f t="shared" si="3"/>
        <v>BFA36</v>
      </c>
      <c r="F1405" s="13">
        <v>62.0</v>
      </c>
      <c r="G1405" s="10" t="str">
        <f t="shared" si="4"/>
        <v>BFA36-62</v>
      </c>
      <c r="H1405" s="16"/>
      <c r="I1405" s="16" t="str">
        <f t="shared" si="5"/>
        <v>collected</v>
      </c>
      <c r="J1405" s="16" t="str">
        <f t="shared" si="6"/>
        <v>N</v>
      </c>
      <c r="K1405" s="16"/>
      <c r="L1405" s="16"/>
    </row>
    <row r="1406">
      <c r="A1406" s="40" t="s">
        <v>1945</v>
      </c>
      <c r="B1406" s="10" t="str">
        <f t="shared" si="1"/>
        <v>fatty_acid</v>
      </c>
      <c r="C1406" s="49" t="str">
        <f t="shared" si="2"/>
        <v>S16446FA1</v>
      </c>
      <c r="D1406" s="6">
        <v>36.0</v>
      </c>
      <c r="E1406" s="10" t="str">
        <f t="shared" si="3"/>
        <v>BFA36</v>
      </c>
      <c r="F1406" s="13">
        <v>63.0</v>
      </c>
      <c r="G1406" s="10" t="str">
        <f t="shared" si="4"/>
        <v>BFA36-63</v>
      </c>
      <c r="H1406" s="16"/>
      <c r="I1406" s="16" t="str">
        <f t="shared" si="5"/>
        <v>collected</v>
      </c>
      <c r="J1406" s="16" t="str">
        <f t="shared" si="6"/>
        <v>N</v>
      </c>
      <c r="K1406" s="16"/>
      <c r="L1406" s="16"/>
    </row>
    <row r="1407">
      <c r="A1407" s="40" t="s">
        <v>1946</v>
      </c>
      <c r="B1407" s="10" t="str">
        <f t="shared" si="1"/>
        <v>fatty_acid</v>
      </c>
      <c r="C1407" s="49" t="str">
        <f t="shared" si="2"/>
        <v>S16447FA1</v>
      </c>
      <c r="D1407" s="6">
        <v>36.0</v>
      </c>
      <c r="E1407" s="10" t="str">
        <f t="shared" si="3"/>
        <v>BFA36</v>
      </c>
      <c r="F1407" s="13">
        <v>64.0</v>
      </c>
      <c r="G1407" s="10" t="str">
        <f t="shared" si="4"/>
        <v>BFA36-64</v>
      </c>
      <c r="H1407" s="16"/>
      <c r="I1407" s="16" t="str">
        <f t="shared" si="5"/>
        <v>collected</v>
      </c>
      <c r="J1407" s="16" t="str">
        <f t="shared" si="6"/>
        <v>N</v>
      </c>
      <c r="K1407" s="16"/>
      <c r="L1407" s="16"/>
    </row>
    <row r="1408">
      <c r="A1408" s="40" t="s">
        <v>1947</v>
      </c>
      <c r="B1408" s="10" t="str">
        <f t="shared" si="1"/>
        <v>fatty_acid</v>
      </c>
      <c r="C1408" s="49" t="str">
        <f t="shared" si="2"/>
        <v>S16448FA1</v>
      </c>
      <c r="D1408" s="6">
        <v>36.0</v>
      </c>
      <c r="E1408" s="10" t="str">
        <f t="shared" si="3"/>
        <v>BFA36</v>
      </c>
      <c r="F1408" s="13">
        <v>65.0</v>
      </c>
      <c r="G1408" s="10" t="str">
        <f t="shared" si="4"/>
        <v>BFA36-65</v>
      </c>
      <c r="H1408" s="16"/>
      <c r="I1408" s="16" t="str">
        <f t="shared" si="5"/>
        <v>collected</v>
      </c>
      <c r="J1408" s="16" t="str">
        <f t="shared" si="6"/>
        <v>N</v>
      </c>
      <c r="K1408" s="16"/>
      <c r="L1408" s="16"/>
    </row>
    <row r="1409">
      <c r="A1409" s="40" t="s">
        <v>1948</v>
      </c>
      <c r="B1409" s="10" t="str">
        <f t="shared" si="1"/>
        <v>fatty_acid</v>
      </c>
      <c r="C1409" s="49" t="str">
        <f t="shared" si="2"/>
        <v>S16449FA1</v>
      </c>
      <c r="D1409" s="6">
        <v>36.0</v>
      </c>
      <c r="E1409" s="10" t="str">
        <f t="shared" si="3"/>
        <v>BFA36</v>
      </c>
      <c r="F1409" s="13">
        <v>66.0</v>
      </c>
      <c r="G1409" s="10" t="str">
        <f t="shared" si="4"/>
        <v>BFA36-66</v>
      </c>
      <c r="H1409" s="16"/>
      <c r="I1409" s="16" t="str">
        <f t="shared" si="5"/>
        <v>collected</v>
      </c>
      <c r="J1409" s="16" t="str">
        <f t="shared" si="6"/>
        <v>N</v>
      </c>
      <c r="K1409" s="16"/>
      <c r="L1409" s="16"/>
    </row>
    <row r="1410">
      <c r="A1410" s="40" t="s">
        <v>1949</v>
      </c>
      <c r="B1410" s="10" t="str">
        <f t="shared" si="1"/>
        <v>fatty_acid</v>
      </c>
      <c r="C1410" s="49" t="str">
        <f t="shared" si="2"/>
        <v>S16478FA1</v>
      </c>
      <c r="D1410" s="6">
        <v>36.0</v>
      </c>
      <c r="E1410" s="10" t="str">
        <f t="shared" si="3"/>
        <v>BFA36</v>
      </c>
      <c r="F1410" s="13">
        <v>67.0</v>
      </c>
      <c r="G1410" s="10" t="str">
        <f t="shared" si="4"/>
        <v>BFA36-67</v>
      </c>
      <c r="H1410" s="16"/>
      <c r="I1410" s="16" t="str">
        <f t="shared" si="5"/>
        <v>collected</v>
      </c>
      <c r="J1410" s="16" t="str">
        <f t="shared" si="6"/>
        <v>N</v>
      </c>
      <c r="K1410" s="16"/>
      <c r="L1410" s="16"/>
    </row>
    <row r="1411">
      <c r="A1411" s="40" t="s">
        <v>1950</v>
      </c>
      <c r="B1411" s="10" t="str">
        <f t="shared" si="1"/>
        <v>fatty_acid</v>
      </c>
      <c r="C1411" s="49" t="str">
        <f t="shared" si="2"/>
        <v>S16477FA1</v>
      </c>
      <c r="D1411" s="6">
        <v>36.0</v>
      </c>
      <c r="E1411" s="10" t="str">
        <f t="shared" si="3"/>
        <v>BFA36</v>
      </c>
      <c r="F1411" s="13">
        <v>68.0</v>
      </c>
      <c r="G1411" s="10" t="str">
        <f t="shared" si="4"/>
        <v>BFA36-68</v>
      </c>
      <c r="H1411" s="16"/>
      <c r="I1411" s="16" t="str">
        <f t="shared" si="5"/>
        <v>collected</v>
      </c>
      <c r="J1411" s="16" t="str">
        <f t="shared" si="6"/>
        <v>N</v>
      </c>
      <c r="K1411" s="16"/>
      <c r="L1411" s="16"/>
    </row>
    <row r="1412">
      <c r="A1412" s="40" t="s">
        <v>1951</v>
      </c>
      <c r="B1412" s="10" t="str">
        <f t="shared" si="1"/>
        <v>fatty_acid</v>
      </c>
      <c r="C1412" s="49" t="str">
        <f t="shared" si="2"/>
        <v>S16476FA1</v>
      </c>
      <c r="D1412" s="6">
        <v>36.0</v>
      </c>
      <c r="E1412" s="10" t="str">
        <f t="shared" si="3"/>
        <v>BFA36</v>
      </c>
      <c r="F1412" s="13">
        <v>69.0</v>
      </c>
      <c r="G1412" s="10" t="str">
        <f t="shared" si="4"/>
        <v>BFA36-69</v>
      </c>
      <c r="H1412" s="16"/>
      <c r="I1412" s="16" t="str">
        <f t="shared" si="5"/>
        <v>collected</v>
      </c>
      <c r="J1412" s="16" t="str">
        <f t="shared" si="6"/>
        <v>N</v>
      </c>
      <c r="K1412" s="16"/>
      <c r="L1412" s="16"/>
    </row>
    <row r="1413">
      <c r="A1413" s="40" t="s">
        <v>1952</v>
      </c>
      <c r="B1413" s="10" t="str">
        <f t="shared" si="1"/>
        <v>fatty_acid</v>
      </c>
      <c r="C1413" s="49" t="str">
        <f t="shared" si="2"/>
        <v>S16475FA1</v>
      </c>
      <c r="D1413" s="6">
        <v>36.0</v>
      </c>
      <c r="E1413" s="10" t="str">
        <f t="shared" si="3"/>
        <v>BFA36</v>
      </c>
      <c r="F1413" s="13">
        <v>70.0</v>
      </c>
      <c r="G1413" s="10" t="str">
        <f t="shared" si="4"/>
        <v>BFA36-70</v>
      </c>
      <c r="H1413" s="16"/>
      <c r="I1413" s="16" t="str">
        <f t="shared" si="5"/>
        <v>collected</v>
      </c>
      <c r="J1413" s="16" t="str">
        <f t="shared" si="6"/>
        <v>N</v>
      </c>
      <c r="K1413" s="16"/>
      <c r="L1413" s="16"/>
    </row>
    <row r="1414">
      <c r="A1414" s="40" t="s">
        <v>1953</v>
      </c>
      <c r="B1414" s="10" t="str">
        <f t="shared" si="1"/>
        <v>fatty_acid</v>
      </c>
      <c r="C1414" s="49" t="str">
        <f t="shared" si="2"/>
        <v>S17305FA1</v>
      </c>
      <c r="D1414" s="6">
        <v>37.0</v>
      </c>
      <c r="E1414" s="10" t="str">
        <f t="shared" si="3"/>
        <v>BFA37</v>
      </c>
      <c r="F1414" s="13">
        <v>26.0</v>
      </c>
      <c r="G1414" s="10" t="str">
        <f t="shared" si="4"/>
        <v>BFA37-26</v>
      </c>
      <c r="H1414" s="16"/>
      <c r="I1414" s="16" t="str">
        <f t="shared" si="5"/>
        <v>collected</v>
      </c>
      <c r="J1414" s="16" t="str">
        <f t="shared" si="6"/>
        <v>N</v>
      </c>
      <c r="K1414" s="16"/>
      <c r="L1414" s="16"/>
    </row>
    <row r="1415">
      <c r="A1415" s="40" t="s">
        <v>1954</v>
      </c>
      <c r="B1415" s="10" t="str">
        <f t="shared" si="1"/>
        <v>fatty_acid</v>
      </c>
      <c r="C1415" s="49" t="str">
        <f t="shared" si="2"/>
        <v>S17308FA1</v>
      </c>
      <c r="D1415" s="6">
        <v>37.0</v>
      </c>
      <c r="E1415" s="10" t="str">
        <f t="shared" si="3"/>
        <v>BFA37</v>
      </c>
      <c r="F1415" s="13">
        <v>27.0</v>
      </c>
      <c r="G1415" s="10" t="str">
        <f t="shared" si="4"/>
        <v>BFA37-27</v>
      </c>
      <c r="H1415" s="16"/>
      <c r="I1415" s="16" t="str">
        <f t="shared" si="5"/>
        <v>collected</v>
      </c>
      <c r="J1415" s="16" t="str">
        <f t="shared" si="6"/>
        <v>N</v>
      </c>
      <c r="K1415" s="16"/>
      <c r="L1415" s="16"/>
    </row>
    <row r="1416">
      <c r="A1416" s="40" t="s">
        <v>1955</v>
      </c>
      <c r="B1416" s="10" t="str">
        <f t="shared" si="1"/>
        <v>fatty_acid</v>
      </c>
      <c r="C1416" s="49" t="str">
        <f t="shared" si="2"/>
        <v>S17309FA1</v>
      </c>
      <c r="D1416" s="6">
        <v>37.0</v>
      </c>
      <c r="E1416" s="10" t="str">
        <f t="shared" si="3"/>
        <v>BFA37</v>
      </c>
      <c r="F1416" s="13">
        <v>28.0</v>
      </c>
      <c r="G1416" s="10" t="str">
        <f t="shared" si="4"/>
        <v>BFA37-28</v>
      </c>
      <c r="H1416" s="16"/>
      <c r="I1416" s="16" t="str">
        <f t="shared" si="5"/>
        <v>collected</v>
      </c>
      <c r="J1416" s="16" t="str">
        <f t="shared" si="6"/>
        <v>N</v>
      </c>
      <c r="K1416" s="16"/>
      <c r="L1416" s="16"/>
    </row>
    <row r="1417">
      <c r="A1417" s="40" t="s">
        <v>1956</v>
      </c>
      <c r="B1417" s="10" t="str">
        <f t="shared" si="1"/>
        <v>fatty_acid</v>
      </c>
      <c r="C1417" s="49" t="str">
        <f t="shared" si="2"/>
        <v>S17310FA1</v>
      </c>
      <c r="D1417" s="6">
        <v>37.0</v>
      </c>
      <c r="E1417" s="10" t="str">
        <f t="shared" si="3"/>
        <v>BFA37</v>
      </c>
      <c r="F1417" s="13">
        <v>29.0</v>
      </c>
      <c r="G1417" s="10" t="str">
        <f t="shared" si="4"/>
        <v>BFA37-29</v>
      </c>
      <c r="H1417" s="16"/>
      <c r="I1417" s="16" t="str">
        <f t="shared" si="5"/>
        <v>collected</v>
      </c>
      <c r="J1417" s="16" t="str">
        <f t="shared" si="6"/>
        <v>N</v>
      </c>
      <c r="K1417" s="16"/>
      <c r="L1417" s="16"/>
    </row>
    <row r="1418">
      <c r="A1418" s="40" t="s">
        <v>1957</v>
      </c>
      <c r="B1418" s="10" t="str">
        <f t="shared" si="1"/>
        <v>fatty_acid</v>
      </c>
      <c r="C1418" s="49" t="str">
        <f t="shared" si="2"/>
        <v>S17302FA1</v>
      </c>
      <c r="D1418" s="6">
        <v>37.0</v>
      </c>
      <c r="E1418" s="10" t="str">
        <f t="shared" si="3"/>
        <v>BFA37</v>
      </c>
      <c r="F1418" s="13">
        <v>30.0</v>
      </c>
      <c r="G1418" s="10" t="str">
        <f t="shared" si="4"/>
        <v>BFA37-30</v>
      </c>
      <c r="H1418" s="16"/>
      <c r="I1418" s="16" t="str">
        <f t="shared" si="5"/>
        <v>collected</v>
      </c>
      <c r="J1418" s="16" t="str">
        <f t="shared" si="6"/>
        <v>N</v>
      </c>
      <c r="K1418" s="16"/>
      <c r="L1418" s="16"/>
    </row>
    <row r="1419">
      <c r="A1419" s="40" t="s">
        <v>1958</v>
      </c>
      <c r="B1419" s="10" t="str">
        <f t="shared" si="1"/>
        <v>fatty_acid</v>
      </c>
      <c r="C1419" s="49" t="str">
        <f t="shared" si="2"/>
        <v>S17301FA1</v>
      </c>
      <c r="D1419" s="6">
        <v>37.0</v>
      </c>
      <c r="E1419" s="10" t="str">
        <f t="shared" si="3"/>
        <v>BFA37</v>
      </c>
      <c r="F1419" s="13">
        <v>31.0</v>
      </c>
      <c r="G1419" s="10" t="str">
        <f t="shared" si="4"/>
        <v>BFA37-31</v>
      </c>
      <c r="H1419" s="16"/>
      <c r="I1419" s="16" t="str">
        <f t="shared" si="5"/>
        <v>collected</v>
      </c>
      <c r="J1419" s="16" t="str">
        <f t="shared" si="6"/>
        <v>N</v>
      </c>
      <c r="K1419" s="16"/>
      <c r="L1419" s="16"/>
    </row>
    <row r="1420">
      <c r="A1420" s="40" t="s">
        <v>1959</v>
      </c>
      <c r="B1420" s="10" t="str">
        <f t="shared" si="1"/>
        <v>fatty_acid</v>
      </c>
      <c r="C1420" s="49" t="str">
        <f t="shared" si="2"/>
        <v>S17307FA1</v>
      </c>
      <c r="D1420" s="6">
        <v>37.0</v>
      </c>
      <c r="E1420" s="10" t="str">
        <f t="shared" si="3"/>
        <v>BFA37</v>
      </c>
      <c r="F1420" s="13">
        <v>32.0</v>
      </c>
      <c r="G1420" s="10" t="str">
        <f t="shared" si="4"/>
        <v>BFA37-32</v>
      </c>
      <c r="H1420" s="16"/>
      <c r="I1420" s="16" t="str">
        <f t="shared" si="5"/>
        <v>collected</v>
      </c>
      <c r="J1420" s="16" t="str">
        <f t="shared" si="6"/>
        <v>N</v>
      </c>
      <c r="K1420" s="16"/>
      <c r="L1420" s="16"/>
    </row>
    <row r="1421">
      <c r="A1421" s="40" t="s">
        <v>1960</v>
      </c>
      <c r="B1421" s="10" t="str">
        <f t="shared" si="1"/>
        <v>fatty_acid</v>
      </c>
      <c r="C1421" s="49" t="str">
        <f t="shared" si="2"/>
        <v>S17303FA1</v>
      </c>
      <c r="D1421" s="6">
        <v>37.0</v>
      </c>
      <c r="E1421" s="10" t="str">
        <f t="shared" si="3"/>
        <v>BFA37</v>
      </c>
      <c r="F1421" s="13">
        <v>33.0</v>
      </c>
      <c r="G1421" s="10" t="str">
        <f t="shared" si="4"/>
        <v>BFA37-33</v>
      </c>
      <c r="H1421" s="16"/>
      <c r="I1421" s="16" t="str">
        <f t="shared" si="5"/>
        <v>collected</v>
      </c>
      <c r="J1421" s="16" t="str">
        <f t="shared" si="6"/>
        <v>N</v>
      </c>
      <c r="K1421" s="16"/>
      <c r="L1421" s="16"/>
    </row>
    <row r="1422">
      <c r="A1422" s="40" t="s">
        <v>1961</v>
      </c>
      <c r="B1422" s="10" t="str">
        <f t="shared" si="1"/>
        <v>fatty_acid</v>
      </c>
      <c r="C1422" s="49" t="str">
        <f t="shared" si="2"/>
        <v>S17306FA1</v>
      </c>
      <c r="D1422" s="6">
        <v>37.0</v>
      </c>
      <c r="E1422" s="10" t="str">
        <f t="shared" si="3"/>
        <v>BFA37</v>
      </c>
      <c r="F1422" s="13">
        <v>34.0</v>
      </c>
      <c r="G1422" s="10" t="str">
        <f t="shared" si="4"/>
        <v>BFA37-34</v>
      </c>
      <c r="H1422" s="16"/>
      <c r="I1422" s="16" t="str">
        <f t="shared" si="5"/>
        <v>collected</v>
      </c>
      <c r="J1422" s="16" t="str">
        <f t="shared" si="6"/>
        <v>N</v>
      </c>
      <c r="K1422" s="16"/>
      <c r="L1422" s="16"/>
    </row>
    <row r="1423">
      <c r="A1423" s="40" t="s">
        <v>1962</v>
      </c>
      <c r="B1423" s="10" t="str">
        <f t="shared" si="1"/>
        <v>fatty_acid</v>
      </c>
      <c r="C1423" s="49" t="str">
        <f t="shared" si="2"/>
        <v>S17304FA1</v>
      </c>
      <c r="D1423" s="6">
        <v>37.0</v>
      </c>
      <c r="E1423" s="10" t="str">
        <f t="shared" si="3"/>
        <v>BFA37</v>
      </c>
      <c r="F1423" s="13">
        <v>35.0</v>
      </c>
      <c r="G1423" s="10" t="str">
        <f t="shared" si="4"/>
        <v>BFA37-35</v>
      </c>
      <c r="H1423" s="16"/>
      <c r="I1423" s="16" t="str">
        <f t="shared" si="5"/>
        <v>collected</v>
      </c>
      <c r="J1423" s="16" t="str">
        <f t="shared" si="6"/>
        <v>N</v>
      </c>
      <c r="K1423" s="16"/>
      <c r="L1423" s="16"/>
    </row>
    <row r="1424">
      <c r="A1424" s="40" t="s">
        <v>1963</v>
      </c>
      <c r="B1424" s="10" t="str">
        <f t="shared" si="1"/>
        <v>fatty_acid</v>
      </c>
      <c r="C1424" s="49" t="str">
        <f t="shared" si="2"/>
        <v>S17471FA1</v>
      </c>
      <c r="D1424" s="6">
        <v>37.0</v>
      </c>
      <c r="E1424" s="10" t="str">
        <f t="shared" si="3"/>
        <v>BFA37</v>
      </c>
      <c r="F1424" s="13">
        <v>36.0</v>
      </c>
      <c r="G1424" s="10" t="str">
        <f t="shared" si="4"/>
        <v>BFA37-36</v>
      </c>
      <c r="H1424" s="16"/>
      <c r="I1424" s="16" t="str">
        <f t="shared" si="5"/>
        <v>collected</v>
      </c>
      <c r="J1424" s="16" t="str">
        <f t="shared" si="6"/>
        <v>N</v>
      </c>
      <c r="K1424" s="16"/>
      <c r="L1424" s="16"/>
    </row>
    <row r="1425">
      <c r="A1425" s="40" t="s">
        <v>1964</v>
      </c>
      <c r="B1425" s="10" t="str">
        <f t="shared" si="1"/>
        <v>fatty_acid</v>
      </c>
      <c r="C1425" s="49" t="str">
        <f t="shared" si="2"/>
        <v>S17480FA1</v>
      </c>
      <c r="D1425" s="6">
        <v>37.0</v>
      </c>
      <c r="E1425" s="10" t="str">
        <f t="shared" si="3"/>
        <v>BFA37</v>
      </c>
      <c r="F1425" s="13">
        <v>37.0</v>
      </c>
      <c r="G1425" s="10" t="str">
        <f t="shared" si="4"/>
        <v>BFA37-37</v>
      </c>
      <c r="H1425" s="16"/>
      <c r="I1425" s="16" t="str">
        <f t="shared" si="5"/>
        <v>collected</v>
      </c>
      <c r="J1425" s="16" t="str">
        <f t="shared" si="6"/>
        <v>N</v>
      </c>
      <c r="K1425" s="16"/>
      <c r="L1425" s="16"/>
    </row>
    <row r="1426">
      <c r="A1426" s="40" t="s">
        <v>1965</v>
      </c>
      <c r="B1426" s="10" t="str">
        <f t="shared" si="1"/>
        <v>fatty_acid</v>
      </c>
      <c r="C1426" s="49" t="str">
        <f t="shared" si="2"/>
        <v>S17472FA1</v>
      </c>
      <c r="D1426" s="6">
        <v>37.0</v>
      </c>
      <c r="E1426" s="10" t="str">
        <f t="shared" si="3"/>
        <v>BFA37</v>
      </c>
      <c r="F1426" s="13">
        <v>38.0</v>
      </c>
      <c r="G1426" s="10" t="str">
        <f t="shared" si="4"/>
        <v>BFA37-38</v>
      </c>
      <c r="H1426" s="16"/>
      <c r="I1426" s="16" t="str">
        <f t="shared" si="5"/>
        <v>collected</v>
      </c>
      <c r="J1426" s="16" t="str">
        <f t="shared" si="6"/>
        <v>N</v>
      </c>
      <c r="K1426" s="16"/>
      <c r="L1426" s="16"/>
    </row>
    <row r="1427">
      <c r="A1427" s="40" t="s">
        <v>1966</v>
      </c>
      <c r="B1427" s="10" t="str">
        <f t="shared" si="1"/>
        <v>fatty_acid</v>
      </c>
      <c r="C1427" s="49" t="str">
        <f t="shared" si="2"/>
        <v>S17479FA1</v>
      </c>
      <c r="D1427" s="6">
        <v>37.0</v>
      </c>
      <c r="E1427" s="10" t="str">
        <f t="shared" si="3"/>
        <v>BFA37</v>
      </c>
      <c r="F1427" s="13">
        <v>39.0</v>
      </c>
      <c r="G1427" s="10" t="str">
        <f t="shared" si="4"/>
        <v>BFA37-39</v>
      </c>
      <c r="H1427" s="16"/>
      <c r="I1427" s="16" t="str">
        <f t="shared" si="5"/>
        <v>collected</v>
      </c>
      <c r="J1427" s="16" t="str">
        <f t="shared" si="6"/>
        <v>N</v>
      </c>
      <c r="K1427" s="16"/>
      <c r="L1427" s="16"/>
    </row>
    <row r="1428">
      <c r="A1428" s="40" t="s">
        <v>1967</v>
      </c>
      <c r="B1428" s="10" t="str">
        <f t="shared" si="1"/>
        <v>fatty_acid</v>
      </c>
      <c r="C1428" s="49" t="str">
        <f t="shared" si="2"/>
        <v>S17478FA1</v>
      </c>
      <c r="D1428" s="6">
        <v>37.0</v>
      </c>
      <c r="E1428" s="10" t="str">
        <f t="shared" si="3"/>
        <v>BFA37</v>
      </c>
      <c r="F1428" s="13">
        <v>40.0</v>
      </c>
      <c r="G1428" s="10" t="str">
        <f t="shared" si="4"/>
        <v>BFA37-40</v>
      </c>
      <c r="H1428" s="16"/>
      <c r="I1428" s="16" t="str">
        <f t="shared" si="5"/>
        <v>collected</v>
      </c>
      <c r="J1428" s="16" t="str">
        <f t="shared" si="6"/>
        <v>N</v>
      </c>
      <c r="K1428" s="16"/>
      <c r="L1428" s="16"/>
    </row>
    <row r="1429">
      <c r="A1429" s="40" t="s">
        <v>1968</v>
      </c>
      <c r="B1429" s="10" t="str">
        <f t="shared" si="1"/>
        <v>fatty_acid</v>
      </c>
      <c r="C1429" s="49" t="str">
        <f t="shared" si="2"/>
        <v>S17475FA1</v>
      </c>
      <c r="D1429" s="6">
        <v>37.0</v>
      </c>
      <c r="E1429" s="10" t="str">
        <f t="shared" si="3"/>
        <v>BFA37</v>
      </c>
      <c r="F1429" s="13">
        <v>41.0</v>
      </c>
      <c r="G1429" s="10" t="str">
        <f t="shared" si="4"/>
        <v>BFA37-41</v>
      </c>
      <c r="H1429" s="16"/>
      <c r="I1429" s="16" t="str">
        <f t="shared" si="5"/>
        <v>collected</v>
      </c>
      <c r="J1429" s="16" t="str">
        <f t="shared" si="6"/>
        <v>N</v>
      </c>
      <c r="K1429" s="16"/>
      <c r="L1429" s="16"/>
    </row>
    <row r="1430">
      <c r="A1430" s="40" t="s">
        <v>1969</v>
      </c>
      <c r="B1430" s="10" t="str">
        <f t="shared" si="1"/>
        <v>fatty_acid</v>
      </c>
      <c r="C1430" s="49" t="str">
        <f t="shared" si="2"/>
        <v>S17473FA1</v>
      </c>
      <c r="D1430" s="6">
        <v>37.0</v>
      </c>
      <c r="E1430" s="10" t="str">
        <f t="shared" si="3"/>
        <v>BFA37</v>
      </c>
      <c r="F1430" s="13">
        <v>42.0</v>
      </c>
      <c r="G1430" s="10" t="str">
        <f t="shared" si="4"/>
        <v>BFA37-42</v>
      </c>
      <c r="H1430" s="16"/>
      <c r="I1430" s="16" t="str">
        <f t="shared" si="5"/>
        <v>collected</v>
      </c>
      <c r="J1430" s="16" t="str">
        <f t="shared" si="6"/>
        <v>N</v>
      </c>
      <c r="K1430" s="16"/>
      <c r="L1430" s="16"/>
    </row>
    <row r="1431">
      <c r="A1431" s="40" t="s">
        <v>1970</v>
      </c>
      <c r="B1431" s="10" t="str">
        <f t="shared" si="1"/>
        <v>fatty_acid</v>
      </c>
      <c r="C1431" s="49" t="str">
        <f t="shared" si="2"/>
        <v>S17474FA1</v>
      </c>
      <c r="D1431" s="6">
        <v>37.0</v>
      </c>
      <c r="E1431" s="10" t="str">
        <f t="shared" si="3"/>
        <v>BFA37</v>
      </c>
      <c r="F1431" s="13">
        <v>43.0</v>
      </c>
      <c r="G1431" s="10" t="str">
        <f t="shared" si="4"/>
        <v>BFA37-43</v>
      </c>
      <c r="H1431" s="16"/>
      <c r="I1431" s="16" t="str">
        <f t="shared" si="5"/>
        <v>collected</v>
      </c>
      <c r="J1431" s="16" t="str">
        <f t="shared" si="6"/>
        <v>N</v>
      </c>
      <c r="K1431" s="16"/>
      <c r="L1431" s="16"/>
    </row>
    <row r="1432">
      <c r="A1432" s="40" t="s">
        <v>1971</v>
      </c>
      <c r="B1432" s="10" t="str">
        <f t="shared" si="1"/>
        <v>fatty_acid</v>
      </c>
      <c r="C1432" s="49" t="str">
        <f t="shared" si="2"/>
        <v>S17477FA1</v>
      </c>
      <c r="D1432" s="6">
        <v>37.0</v>
      </c>
      <c r="E1432" s="10" t="str">
        <f t="shared" si="3"/>
        <v>BFA37</v>
      </c>
      <c r="F1432" s="13">
        <v>44.0</v>
      </c>
      <c r="G1432" s="10" t="str">
        <f t="shared" si="4"/>
        <v>BFA37-44</v>
      </c>
      <c r="H1432" s="16"/>
      <c r="I1432" s="16" t="str">
        <f t="shared" si="5"/>
        <v>collected</v>
      </c>
      <c r="J1432" s="16" t="str">
        <f t="shared" si="6"/>
        <v>N</v>
      </c>
      <c r="K1432" s="16"/>
      <c r="L1432" s="16"/>
    </row>
    <row r="1433">
      <c r="A1433" s="40" t="s">
        <v>1972</v>
      </c>
      <c r="B1433" s="10" t="str">
        <f t="shared" si="1"/>
        <v>fatty_acid</v>
      </c>
      <c r="C1433" s="49" t="str">
        <f t="shared" si="2"/>
        <v>S17476FA1</v>
      </c>
      <c r="D1433" s="6">
        <v>37.0</v>
      </c>
      <c r="E1433" s="10" t="str">
        <f t="shared" si="3"/>
        <v>BFA37</v>
      </c>
      <c r="F1433" s="13">
        <v>45.0</v>
      </c>
      <c r="G1433" s="10" t="str">
        <f t="shared" si="4"/>
        <v>BFA37-45</v>
      </c>
      <c r="H1433" s="16"/>
      <c r="I1433" s="16" t="str">
        <f t="shared" si="5"/>
        <v>collected</v>
      </c>
      <c r="J1433" s="16" t="str">
        <f t="shared" si="6"/>
        <v>N</v>
      </c>
      <c r="K1433" s="16"/>
      <c r="L1433" s="16"/>
    </row>
    <row r="1434">
      <c r="A1434" s="40" t="s">
        <v>1973</v>
      </c>
      <c r="B1434" s="10" t="str">
        <f t="shared" si="1"/>
        <v>fatty_acid</v>
      </c>
      <c r="C1434" s="49" t="str">
        <f t="shared" si="2"/>
        <v>S17209FA1</v>
      </c>
      <c r="D1434" s="6">
        <v>37.0</v>
      </c>
      <c r="E1434" s="10" t="str">
        <f t="shared" si="3"/>
        <v>BFA37</v>
      </c>
      <c r="F1434" s="13">
        <v>46.0</v>
      </c>
      <c r="G1434" s="10" t="str">
        <f t="shared" si="4"/>
        <v>BFA37-46</v>
      </c>
      <c r="H1434" s="16"/>
      <c r="I1434" s="16" t="str">
        <f t="shared" si="5"/>
        <v>collected</v>
      </c>
      <c r="J1434" s="16" t="str">
        <f t="shared" si="6"/>
        <v>N</v>
      </c>
      <c r="K1434" s="16"/>
      <c r="L1434" s="16"/>
    </row>
    <row r="1435">
      <c r="A1435" s="40" t="s">
        <v>1974</v>
      </c>
      <c r="B1435" s="10" t="str">
        <f t="shared" si="1"/>
        <v>fatty_acid</v>
      </c>
      <c r="C1435" s="49" t="str">
        <f t="shared" si="2"/>
        <v>S17207FA1</v>
      </c>
      <c r="D1435" s="6">
        <v>37.0</v>
      </c>
      <c r="E1435" s="10" t="str">
        <f t="shared" si="3"/>
        <v>BFA37</v>
      </c>
      <c r="F1435" s="13">
        <v>47.0</v>
      </c>
      <c r="G1435" s="10" t="str">
        <f t="shared" si="4"/>
        <v>BFA37-47</v>
      </c>
      <c r="H1435" s="16"/>
      <c r="I1435" s="16" t="str">
        <f t="shared" si="5"/>
        <v>collected</v>
      </c>
      <c r="J1435" s="16" t="str">
        <f t="shared" si="6"/>
        <v>N</v>
      </c>
      <c r="K1435" s="16"/>
      <c r="L1435" s="16"/>
    </row>
    <row r="1436">
      <c r="A1436" s="40" t="s">
        <v>1975</v>
      </c>
      <c r="B1436" s="10" t="str">
        <f t="shared" si="1"/>
        <v>fatty_acid</v>
      </c>
      <c r="C1436" s="49" t="str">
        <f t="shared" si="2"/>
        <v>S17208FA1</v>
      </c>
      <c r="D1436" s="6">
        <v>37.0</v>
      </c>
      <c r="E1436" s="10" t="str">
        <f t="shared" si="3"/>
        <v>BFA37</v>
      </c>
      <c r="F1436" s="13">
        <v>48.0</v>
      </c>
      <c r="G1436" s="10" t="str">
        <f t="shared" si="4"/>
        <v>BFA37-48</v>
      </c>
      <c r="H1436" s="16"/>
      <c r="I1436" s="16" t="str">
        <f t="shared" si="5"/>
        <v>collected</v>
      </c>
      <c r="J1436" s="16" t="str">
        <f t="shared" si="6"/>
        <v>N</v>
      </c>
      <c r="K1436" s="16"/>
      <c r="L1436" s="16"/>
    </row>
    <row r="1437">
      <c r="A1437" s="40" t="s">
        <v>1976</v>
      </c>
      <c r="B1437" s="10" t="str">
        <f t="shared" si="1"/>
        <v>fatty_acid</v>
      </c>
      <c r="C1437" s="49" t="str">
        <f t="shared" si="2"/>
        <v>S17205FA1</v>
      </c>
      <c r="D1437" s="6">
        <v>37.0</v>
      </c>
      <c r="E1437" s="10" t="str">
        <f t="shared" si="3"/>
        <v>BFA37</v>
      </c>
      <c r="F1437" s="13">
        <v>49.0</v>
      </c>
      <c r="G1437" s="10" t="str">
        <f t="shared" si="4"/>
        <v>BFA37-49</v>
      </c>
      <c r="H1437" s="16"/>
      <c r="I1437" s="16" t="str">
        <f t="shared" si="5"/>
        <v>collected</v>
      </c>
      <c r="J1437" s="16" t="str">
        <f t="shared" si="6"/>
        <v>N</v>
      </c>
      <c r="K1437" s="16"/>
      <c r="L1437" s="16"/>
    </row>
    <row r="1438">
      <c r="A1438" s="40" t="s">
        <v>1977</v>
      </c>
      <c r="B1438" s="10" t="str">
        <f t="shared" si="1"/>
        <v>fatty_acid</v>
      </c>
      <c r="C1438" s="49" t="str">
        <f t="shared" si="2"/>
        <v>S17206FA1</v>
      </c>
      <c r="D1438" s="6">
        <v>37.0</v>
      </c>
      <c r="E1438" s="10" t="str">
        <f t="shared" si="3"/>
        <v>BFA37</v>
      </c>
      <c r="F1438" s="13">
        <v>50.0</v>
      </c>
      <c r="G1438" s="10" t="str">
        <f t="shared" si="4"/>
        <v>BFA37-50</v>
      </c>
      <c r="H1438" s="16"/>
      <c r="I1438" s="16" t="str">
        <f t="shared" si="5"/>
        <v>collected</v>
      </c>
      <c r="J1438" s="16" t="str">
        <f t="shared" si="6"/>
        <v>N</v>
      </c>
      <c r="K1438" s="16"/>
      <c r="L1438" s="16"/>
    </row>
    <row r="1439">
      <c r="A1439" s="40" t="s">
        <v>1978</v>
      </c>
      <c r="B1439" s="10" t="str">
        <f t="shared" si="1"/>
        <v>fatty_acid</v>
      </c>
      <c r="C1439" s="49" t="str">
        <f t="shared" si="2"/>
        <v>S17202FA1</v>
      </c>
      <c r="D1439" s="6">
        <v>37.0</v>
      </c>
      <c r="E1439" s="10" t="str">
        <f t="shared" si="3"/>
        <v>BFA37</v>
      </c>
      <c r="F1439" s="13">
        <v>51.0</v>
      </c>
      <c r="G1439" s="10" t="str">
        <f t="shared" si="4"/>
        <v>BFA37-51</v>
      </c>
      <c r="H1439" s="16"/>
      <c r="I1439" s="16" t="str">
        <f t="shared" si="5"/>
        <v>collected</v>
      </c>
      <c r="J1439" s="16" t="str">
        <f t="shared" si="6"/>
        <v>N</v>
      </c>
      <c r="K1439" s="16"/>
      <c r="L1439" s="16"/>
    </row>
    <row r="1440">
      <c r="A1440" s="40" t="s">
        <v>1979</v>
      </c>
      <c r="B1440" s="10" t="str">
        <f t="shared" si="1"/>
        <v>fatty_acid</v>
      </c>
      <c r="C1440" s="49" t="str">
        <f t="shared" si="2"/>
        <v>S17201FA1</v>
      </c>
      <c r="D1440" s="6">
        <v>37.0</v>
      </c>
      <c r="E1440" s="10" t="str">
        <f t="shared" si="3"/>
        <v>BFA37</v>
      </c>
      <c r="F1440" s="13">
        <v>52.0</v>
      </c>
      <c r="G1440" s="10" t="str">
        <f t="shared" si="4"/>
        <v>BFA37-52</v>
      </c>
      <c r="H1440" s="16"/>
      <c r="I1440" s="16" t="str">
        <f t="shared" si="5"/>
        <v>collected</v>
      </c>
      <c r="J1440" s="16" t="str">
        <f t="shared" si="6"/>
        <v>N</v>
      </c>
      <c r="K1440" s="16"/>
      <c r="L1440" s="16"/>
    </row>
    <row r="1441">
      <c r="A1441" s="40" t="s">
        <v>1980</v>
      </c>
      <c r="B1441" s="10" t="str">
        <f t="shared" si="1"/>
        <v>fatty_acid</v>
      </c>
      <c r="C1441" s="49" t="str">
        <f t="shared" si="2"/>
        <v>S17203FA1</v>
      </c>
      <c r="D1441" s="6">
        <v>37.0</v>
      </c>
      <c r="E1441" s="10" t="str">
        <f t="shared" si="3"/>
        <v>BFA37</v>
      </c>
      <c r="F1441" s="13">
        <v>53.0</v>
      </c>
      <c r="G1441" s="10" t="str">
        <f t="shared" si="4"/>
        <v>BFA37-53</v>
      </c>
      <c r="H1441" s="16"/>
      <c r="I1441" s="16" t="str">
        <f t="shared" si="5"/>
        <v>collected</v>
      </c>
      <c r="J1441" s="16" t="str">
        <f t="shared" si="6"/>
        <v>N</v>
      </c>
      <c r="K1441" s="16"/>
      <c r="L1441" s="16"/>
    </row>
    <row r="1442">
      <c r="A1442" s="40" t="s">
        <v>1981</v>
      </c>
      <c r="B1442" s="10" t="str">
        <f t="shared" si="1"/>
        <v>fatty_acid</v>
      </c>
      <c r="C1442" s="49" t="str">
        <f t="shared" si="2"/>
        <v>S17204FA1</v>
      </c>
      <c r="D1442" s="6">
        <v>37.0</v>
      </c>
      <c r="E1442" s="10" t="str">
        <f t="shared" si="3"/>
        <v>BFA37</v>
      </c>
      <c r="F1442" s="13">
        <v>54.0</v>
      </c>
      <c r="G1442" s="10" t="str">
        <f t="shared" si="4"/>
        <v>BFA37-54</v>
      </c>
      <c r="H1442" s="16"/>
      <c r="I1442" s="16" t="str">
        <f t="shared" si="5"/>
        <v>collected</v>
      </c>
      <c r="J1442" s="16" t="str">
        <f t="shared" si="6"/>
        <v>N</v>
      </c>
      <c r="K1442" s="16"/>
      <c r="L1442" s="16"/>
    </row>
    <row r="1443">
      <c r="A1443" s="40" t="s">
        <v>1982</v>
      </c>
      <c r="B1443" s="10" t="str">
        <f t="shared" si="1"/>
        <v>fatty_acid</v>
      </c>
      <c r="C1443" s="49" t="str">
        <f t="shared" si="2"/>
        <v>S17210FA1</v>
      </c>
      <c r="D1443" s="6">
        <v>37.0</v>
      </c>
      <c r="E1443" s="10" t="str">
        <f t="shared" si="3"/>
        <v>BFA37</v>
      </c>
      <c r="F1443" s="13">
        <v>55.0</v>
      </c>
      <c r="G1443" s="10" t="str">
        <f t="shared" si="4"/>
        <v>BFA37-55</v>
      </c>
      <c r="H1443" s="16"/>
      <c r="I1443" s="16" t="str">
        <f t="shared" si="5"/>
        <v>collected</v>
      </c>
      <c r="J1443" s="16" t="str">
        <f t="shared" si="6"/>
        <v>N</v>
      </c>
      <c r="K1443" s="16"/>
      <c r="L1443" s="16"/>
    </row>
    <row r="1444">
      <c r="A1444" s="40" t="s">
        <v>1983</v>
      </c>
      <c r="B1444" s="10" t="str">
        <f t="shared" si="1"/>
        <v>fatty_acid</v>
      </c>
      <c r="C1444" s="49" t="str">
        <f t="shared" si="2"/>
        <v>S17491FA1</v>
      </c>
      <c r="D1444" s="6">
        <v>37.0</v>
      </c>
      <c r="E1444" s="10" t="str">
        <f t="shared" si="3"/>
        <v>BFA37</v>
      </c>
      <c r="F1444" s="13">
        <v>56.0</v>
      </c>
      <c r="G1444" s="10" t="str">
        <f t="shared" si="4"/>
        <v>BFA37-56</v>
      </c>
      <c r="H1444" s="16"/>
      <c r="I1444" s="16" t="str">
        <f t="shared" si="5"/>
        <v>collected</v>
      </c>
      <c r="J1444" s="16" t="str">
        <f t="shared" si="6"/>
        <v>N</v>
      </c>
      <c r="K1444" s="16"/>
      <c r="L1444" s="16"/>
    </row>
    <row r="1445">
      <c r="A1445" s="40" t="s">
        <v>1984</v>
      </c>
      <c r="B1445" s="10" t="str">
        <f t="shared" si="1"/>
        <v>fatty_acid</v>
      </c>
      <c r="C1445" s="49" t="str">
        <f t="shared" si="2"/>
        <v>S17496FA1</v>
      </c>
      <c r="D1445" s="6">
        <v>37.0</v>
      </c>
      <c r="E1445" s="10" t="str">
        <f t="shared" si="3"/>
        <v>BFA37</v>
      </c>
      <c r="F1445" s="13">
        <v>57.0</v>
      </c>
      <c r="G1445" s="10" t="str">
        <f t="shared" si="4"/>
        <v>BFA37-57</v>
      </c>
      <c r="H1445" s="16"/>
      <c r="I1445" s="16" t="str">
        <f t="shared" si="5"/>
        <v>collected</v>
      </c>
      <c r="J1445" s="16" t="str">
        <f t="shared" si="6"/>
        <v>N</v>
      </c>
      <c r="K1445" s="16"/>
      <c r="L1445" s="16"/>
    </row>
    <row r="1446">
      <c r="A1446" s="40" t="s">
        <v>1985</v>
      </c>
      <c r="B1446" s="10" t="str">
        <f t="shared" si="1"/>
        <v>fatty_acid</v>
      </c>
      <c r="C1446" s="49" t="str">
        <f t="shared" si="2"/>
        <v>S17494FA1</v>
      </c>
      <c r="D1446" s="6">
        <v>37.0</v>
      </c>
      <c r="E1446" s="10" t="str">
        <f t="shared" si="3"/>
        <v>BFA37</v>
      </c>
      <c r="F1446" s="13">
        <v>58.0</v>
      </c>
      <c r="G1446" s="10" t="str">
        <f t="shared" si="4"/>
        <v>BFA37-58</v>
      </c>
      <c r="H1446" s="16"/>
      <c r="I1446" s="16" t="str">
        <f t="shared" si="5"/>
        <v>collected</v>
      </c>
      <c r="J1446" s="16" t="str">
        <f t="shared" si="6"/>
        <v>N</v>
      </c>
      <c r="K1446" s="16"/>
      <c r="L1446" s="16"/>
    </row>
    <row r="1447">
      <c r="A1447" s="40" t="s">
        <v>1987</v>
      </c>
      <c r="B1447" s="10" t="str">
        <f t="shared" si="1"/>
        <v>fatty_acid</v>
      </c>
      <c r="C1447" s="49" t="str">
        <f t="shared" si="2"/>
        <v>S17495FA1</v>
      </c>
      <c r="D1447" s="6">
        <v>37.0</v>
      </c>
      <c r="E1447" s="10" t="str">
        <f t="shared" si="3"/>
        <v>BFA37</v>
      </c>
      <c r="F1447" s="13">
        <v>59.0</v>
      </c>
      <c r="G1447" s="10" t="str">
        <f t="shared" si="4"/>
        <v>BFA37-59</v>
      </c>
      <c r="H1447" s="16"/>
      <c r="I1447" s="16" t="str">
        <f t="shared" si="5"/>
        <v>collected</v>
      </c>
      <c r="J1447" s="16" t="str">
        <f t="shared" si="6"/>
        <v>N</v>
      </c>
      <c r="K1447" s="16"/>
      <c r="L1447" s="16"/>
    </row>
    <row r="1448">
      <c r="A1448" s="40" t="s">
        <v>1988</v>
      </c>
      <c r="B1448" s="10" t="str">
        <f t="shared" si="1"/>
        <v>fatty_acid</v>
      </c>
      <c r="C1448" s="49" t="str">
        <f t="shared" si="2"/>
        <v>S17492FA1</v>
      </c>
      <c r="D1448" s="6">
        <v>37.0</v>
      </c>
      <c r="E1448" s="10" t="str">
        <f t="shared" si="3"/>
        <v>BFA37</v>
      </c>
      <c r="F1448" s="13">
        <v>60.0</v>
      </c>
      <c r="G1448" s="10" t="str">
        <f t="shared" si="4"/>
        <v>BFA37-60</v>
      </c>
      <c r="H1448" s="16"/>
      <c r="I1448" s="16" t="str">
        <f t="shared" si="5"/>
        <v>collected</v>
      </c>
      <c r="J1448" s="16" t="str">
        <f t="shared" si="6"/>
        <v>N</v>
      </c>
      <c r="K1448" s="16"/>
      <c r="L1448" s="16"/>
    </row>
    <row r="1449">
      <c r="A1449" s="40" t="s">
        <v>1989</v>
      </c>
      <c r="B1449" s="10" t="str">
        <f t="shared" si="1"/>
        <v>fatty_acid</v>
      </c>
      <c r="C1449" s="49" t="str">
        <f t="shared" si="2"/>
        <v>S17493FA1</v>
      </c>
      <c r="D1449" s="6">
        <v>37.0</v>
      </c>
      <c r="E1449" s="10" t="str">
        <f t="shared" si="3"/>
        <v>BFA37</v>
      </c>
      <c r="F1449" s="13">
        <v>61.0</v>
      </c>
      <c r="G1449" s="10" t="str">
        <f t="shared" si="4"/>
        <v>BFA37-61</v>
      </c>
      <c r="H1449" s="16"/>
      <c r="I1449" s="16" t="str">
        <f t="shared" si="5"/>
        <v>collected</v>
      </c>
      <c r="J1449" s="16" t="str">
        <f t="shared" si="6"/>
        <v>N</v>
      </c>
      <c r="K1449" s="16"/>
      <c r="L1449" s="16"/>
    </row>
    <row r="1450">
      <c r="A1450" s="40" t="s">
        <v>1990</v>
      </c>
      <c r="B1450" s="10" t="str">
        <f t="shared" si="1"/>
        <v>fatty_acid</v>
      </c>
      <c r="C1450" s="49" t="str">
        <f t="shared" si="2"/>
        <v>S16225FA1</v>
      </c>
      <c r="D1450" s="6">
        <v>37.0</v>
      </c>
      <c r="E1450" s="10" t="str">
        <f t="shared" si="3"/>
        <v>BFA37</v>
      </c>
      <c r="F1450" s="13">
        <v>62.0</v>
      </c>
      <c r="G1450" s="10" t="str">
        <f t="shared" si="4"/>
        <v>BFA37-62</v>
      </c>
      <c r="H1450" s="16"/>
      <c r="I1450" s="16" t="str">
        <f t="shared" si="5"/>
        <v>collected</v>
      </c>
      <c r="J1450" s="16" t="str">
        <f t="shared" si="6"/>
        <v>N</v>
      </c>
      <c r="K1450" s="16"/>
      <c r="L1450" s="16"/>
    </row>
    <row r="1451">
      <c r="A1451" s="40" t="s">
        <v>1991</v>
      </c>
      <c r="B1451" s="10" t="str">
        <f t="shared" si="1"/>
        <v>fatty_acid</v>
      </c>
      <c r="C1451" s="49" t="str">
        <f t="shared" si="2"/>
        <v>S16223FA1</v>
      </c>
      <c r="D1451" s="6">
        <v>37.0</v>
      </c>
      <c r="E1451" s="10" t="str">
        <f t="shared" si="3"/>
        <v>BFA37</v>
      </c>
      <c r="F1451" s="13">
        <v>63.0</v>
      </c>
      <c r="G1451" s="10" t="str">
        <f t="shared" si="4"/>
        <v>BFA37-63</v>
      </c>
      <c r="H1451" s="16"/>
      <c r="I1451" s="16" t="str">
        <f t="shared" si="5"/>
        <v>collected</v>
      </c>
      <c r="J1451" s="16" t="str">
        <f t="shared" si="6"/>
        <v>N</v>
      </c>
      <c r="K1451" s="16"/>
      <c r="L1451" s="16"/>
    </row>
    <row r="1452">
      <c r="A1452" s="40" t="s">
        <v>1992</v>
      </c>
      <c r="B1452" s="10" t="str">
        <f t="shared" si="1"/>
        <v>fatty_acid</v>
      </c>
      <c r="C1452" s="49" t="str">
        <f t="shared" si="2"/>
        <v>S16224FA1</v>
      </c>
      <c r="D1452" s="6">
        <v>37.0</v>
      </c>
      <c r="E1452" s="10" t="str">
        <f t="shared" si="3"/>
        <v>BFA37</v>
      </c>
      <c r="F1452" s="13">
        <v>64.0</v>
      </c>
      <c r="G1452" s="10" t="str">
        <f t="shared" si="4"/>
        <v>BFA37-64</v>
      </c>
      <c r="H1452" s="16"/>
      <c r="I1452" s="16" t="str">
        <f t="shared" si="5"/>
        <v>collected</v>
      </c>
      <c r="J1452" s="16" t="str">
        <f t="shared" si="6"/>
        <v>N</v>
      </c>
      <c r="K1452" s="16"/>
      <c r="L1452" s="16"/>
    </row>
    <row r="1453">
      <c r="A1453" s="40" t="s">
        <v>1993</v>
      </c>
      <c r="B1453" s="10" t="str">
        <f t="shared" si="1"/>
        <v>fatty_acid</v>
      </c>
      <c r="C1453" s="49" t="str">
        <f t="shared" si="2"/>
        <v>S16221FA1</v>
      </c>
      <c r="D1453" s="6">
        <v>37.0</v>
      </c>
      <c r="E1453" s="10" t="str">
        <f t="shared" si="3"/>
        <v>BFA37</v>
      </c>
      <c r="F1453" s="13">
        <v>65.0</v>
      </c>
      <c r="G1453" s="10" t="str">
        <f t="shared" si="4"/>
        <v>BFA37-65</v>
      </c>
      <c r="H1453" s="16"/>
      <c r="I1453" s="16" t="str">
        <f t="shared" si="5"/>
        <v>collected</v>
      </c>
      <c r="J1453" s="16" t="str">
        <f t="shared" si="6"/>
        <v>N</v>
      </c>
      <c r="K1453" s="16"/>
      <c r="L1453" s="16"/>
    </row>
    <row r="1454">
      <c r="A1454" s="40" t="s">
        <v>1994</v>
      </c>
      <c r="B1454" s="10" t="str">
        <f t="shared" si="1"/>
        <v>fatty_acid</v>
      </c>
      <c r="C1454" s="49" t="str">
        <f t="shared" si="2"/>
        <v>S16222FA1</v>
      </c>
      <c r="D1454" s="6">
        <v>37.0</v>
      </c>
      <c r="E1454" s="10" t="str">
        <f t="shared" si="3"/>
        <v>BFA37</v>
      </c>
      <c r="F1454" s="13">
        <v>66.0</v>
      </c>
      <c r="G1454" s="10" t="str">
        <f t="shared" si="4"/>
        <v>BFA37-66</v>
      </c>
      <c r="H1454" s="16"/>
      <c r="I1454" s="16" t="str">
        <f t="shared" si="5"/>
        <v>collected</v>
      </c>
      <c r="J1454" s="16" t="str">
        <f t="shared" si="6"/>
        <v>N</v>
      </c>
      <c r="K1454" s="16"/>
      <c r="L1454" s="16"/>
    </row>
    <row r="1455">
      <c r="A1455" s="40" t="s">
        <v>1995</v>
      </c>
      <c r="B1455" s="10" t="str">
        <f t="shared" si="1"/>
        <v>fatty_acid</v>
      </c>
      <c r="C1455" s="49" t="str">
        <f t="shared" si="2"/>
        <v>S16474FA1</v>
      </c>
      <c r="D1455" s="6">
        <v>36.0</v>
      </c>
      <c r="E1455" s="10" t="str">
        <f t="shared" si="3"/>
        <v>BFA36</v>
      </c>
      <c r="F1455" s="13">
        <v>71.0</v>
      </c>
      <c r="G1455" s="10" t="str">
        <f t="shared" si="4"/>
        <v>BFA36-71</v>
      </c>
      <c r="H1455" s="16"/>
      <c r="I1455" s="16" t="str">
        <f t="shared" si="5"/>
        <v>collected</v>
      </c>
      <c r="J1455" s="16" t="str">
        <f t="shared" si="6"/>
        <v>N</v>
      </c>
      <c r="K1455" s="16"/>
      <c r="L1455" s="16"/>
    </row>
    <row r="1456">
      <c r="A1456" s="40" t="s">
        <v>1996</v>
      </c>
      <c r="B1456" s="10" t="str">
        <f t="shared" si="1"/>
        <v>fatty_acid</v>
      </c>
      <c r="C1456" s="49" t="str">
        <f t="shared" si="2"/>
        <v>S16471FA1</v>
      </c>
      <c r="D1456" s="6">
        <v>36.0</v>
      </c>
      <c r="E1456" s="10" t="str">
        <f t="shared" si="3"/>
        <v>BFA36</v>
      </c>
      <c r="F1456" s="13">
        <v>72.0</v>
      </c>
      <c r="G1456" s="10" t="str">
        <f t="shared" si="4"/>
        <v>BFA36-72</v>
      </c>
      <c r="H1456" s="16"/>
      <c r="I1456" s="16" t="str">
        <f t="shared" si="5"/>
        <v>collected</v>
      </c>
      <c r="J1456" s="16" t="str">
        <f t="shared" si="6"/>
        <v>N</v>
      </c>
      <c r="K1456" s="16"/>
      <c r="L1456" s="16"/>
    </row>
    <row r="1457">
      <c r="A1457" s="40" t="s">
        <v>1997</v>
      </c>
      <c r="B1457" s="10" t="str">
        <f t="shared" si="1"/>
        <v>fatty_acid</v>
      </c>
      <c r="C1457" s="49" t="str">
        <f t="shared" si="2"/>
        <v>S16473FA1</v>
      </c>
      <c r="D1457" s="6">
        <v>36.0</v>
      </c>
      <c r="E1457" s="10" t="str">
        <f t="shared" si="3"/>
        <v>BFA36</v>
      </c>
      <c r="F1457" s="13">
        <v>73.0</v>
      </c>
      <c r="G1457" s="10" t="str">
        <f t="shared" si="4"/>
        <v>BFA36-73</v>
      </c>
      <c r="H1457" s="16"/>
      <c r="I1457" s="16" t="str">
        <f t="shared" si="5"/>
        <v>collected</v>
      </c>
      <c r="J1457" s="16" t="str">
        <f t="shared" si="6"/>
        <v>N</v>
      </c>
      <c r="K1457" s="16"/>
      <c r="L1457" s="16"/>
    </row>
    <row r="1458">
      <c r="A1458" s="40" t="s">
        <v>1998</v>
      </c>
      <c r="B1458" s="10" t="str">
        <f t="shared" si="1"/>
        <v>fatty_acid</v>
      </c>
      <c r="C1458" s="49" t="str">
        <f t="shared" si="2"/>
        <v>S16472FA1</v>
      </c>
      <c r="D1458" s="6">
        <v>36.0</v>
      </c>
      <c r="E1458" s="10" t="str">
        <f t="shared" si="3"/>
        <v>BFA36</v>
      </c>
      <c r="F1458" s="13">
        <v>74.0</v>
      </c>
      <c r="G1458" s="10" t="str">
        <f t="shared" si="4"/>
        <v>BFA36-74</v>
      </c>
      <c r="H1458" s="16"/>
      <c r="I1458" s="16" t="str">
        <f t="shared" si="5"/>
        <v>collected</v>
      </c>
      <c r="J1458" s="16" t="str">
        <f t="shared" si="6"/>
        <v>N</v>
      </c>
      <c r="K1458" s="16"/>
      <c r="L1458" s="16"/>
    </row>
    <row r="1459">
      <c r="A1459" s="40" t="s">
        <v>1999</v>
      </c>
      <c r="B1459" s="10" t="str">
        <f t="shared" si="1"/>
        <v>fatty_acid</v>
      </c>
      <c r="C1459" s="49" t="str">
        <f t="shared" si="2"/>
        <v>S16841FA1</v>
      </c>
      <c r="D1459" s="6">
        <v>36.0</v>
      </c>
      <c r="E1459" s="10" t="str">
        <f t="shared" si="3"/>
        <v>BFA36</v>
      </c>
      <c r="F1459" s="13">
        <v>75.0</v>
      </c>
      <c r="G1459" s="10" t="str">
        <f t="shared" si="4"/>
        <v>BFA36-75</v>
      </c>
      <c r="H1459" s="16"/>
      <c r="I1459" s="16" t="str">
        <f t="shared" si="5"/>
        <v>collected</v>
      </c>
      <c r="J1459" s="16" t="str">
        <f t="shared" si="6"/>
        <v>N</v>
      </c>
      <c r="K1459" s="16"/>
      <c r="L1459" s="16"/>
    </row>
    <row r="1460">
      <c r="A1460" s="40" t="s">
        <v>2000</v>
      </c>
      <c r="B1460" s="10" t="str">
        <f t="shared" si="1"/>
        <v>fatty_acid</v>
      </c>
      <c r="C1460" s="49" t="str">
        <f t="shared" si="2"/>
        <v>S16845FA1</v>
      </c>
      <c r="D1460" s="6">
        <v>36.0</v>
      </c>
      <c r="E1460" s="10" t="str">
        <f t="shared" si="3"/>
        <v>BFA36</v>
      </c>
      <c r="F1460" s="13">
        <v>76.0</v>
      </c>
      <c r="G1460" s="10" t="str">
        <f t="shared" si="4"/>
        <v>BFA36-76</v>
      </c>
      <c r="H1460" s="16"/>
      <c r="I1460" s="16" t="str">
        <f t="shared" si="5"/>
        <v>collected</v>
      </c>
      <c r="J1460" s="16" t="str">
        <f t="shared" si="6"/>
        <v>N</v>
      </c>
      <c r="K1460" s="16"/>
      <c r="L1460" s="16"/>
    </row>
    <row r="1461">
      <c r="A1461" s="40" t="s">
        <v>2001</v>
      </c>
      <c r="B1461" s="10" t="str">
        <f t="shared" si="1"/>
        <v>fatty_acid</v>
      </c>
      <c r="C1461" s="49" t="str">
        <f t="shared" si="2"/>
        <v>S16844FA1</v>
      </c>
      <c r="D1461" s="6">
        <v>36.0</v>
      </c>
      <c r="E1461" s="10" t="str">
        <f t="shared" si="3"/>
        <v>BFA36</v>
      </c>
      <c r="F1461" s="13">
        <v>77.0</v>
      </c>
      <c r="G1461" s="10" t="str">
        <f t="shared" si="4"/>
        <v>BFA36-77</v>
      </c>
      <c r="H1461" s="16"/>
      <c r="I1461" s="16" t="str">
        <f t="shared" si="5"/>
        <v>collected</v>
      </c>
      <c r="J1461" s="16" t="str">
        <f t="shared" si="6"/>
        <v>N</v>
      </c>
      <c r="K1461" s="16"/>
      <c r="L1461" s="16"/>
    </row>
    <row r="1462">
      <c r="A1462" s="40" t="s">
        <v>2002</v>
      </c>
      <c r="B1462" s="10" t="str">
        <f t="shared" si="1"/>
        <v>fatty_acid</v>
      </c>
      <c r="C1462" s="49" t="str">
        <f t="shared" si="2"/>
        <v>S16849FA1</v>
      </c>
      <c r="D1462" s="6">
        <v>36.0</v>
      </c>
      <c r="E1462" s="10" t="str">
        <f t="shared" si="3"/>
        <v>BFA36</v>
      </c>
      <c r="F1462" s="13">
        <v>78.0</v>
      </c>
      <c r="G1462" s="10" t="str">
        <f t="shared" si="4"/>
        <v>BFA36-78</v>
      </c>
      <c r="H1462" s="16"/>
      <c r="I1462" s="16" t="str">
        <f t="shared" si="5"/>
        <v>collected</v>
      </c>
      <c r="J1462" s="16" t="str">
        <f t="shared" si="6"/>
        <v>N</v>
      </c>
      <c r="K1462" s="16"/>
      <c r="L1462" s="16"/>
    </row>
    <row r="1463">
      <c r="A1463" s="40" t="s">
        <v>2003</v>
      </c>
      <c r="B1463" s="10" t="str">
        <f t="shared" si="1"/>
        <v>fatty_acid</v>
      </c>
      <c r="C1463" s="49" t="str">
        <f t="shared" si="2"/>
        <v>S16847FA1</v>
      </c>
      <c r="D1463" s="6">
        <v>36.0</v>
      </c>
      <c r="E1463" s="10" t="str">
        <f t="shared" si="3"/>
        <v>BFA36</v>
      </c>
      <c r="F1463" s="13">
        <v>79.0</v>
      </c>
      <c r="G1463" s="10" t="str">
        <f t="shared" si="4"/>
        <v>BFA36-79</v>
      </c>
      <c r="H1463" s="16"/>
      <c r="I1463" s="16" t="str">
        <f t="shared" si="5"/>
        <v>collected</v>
      </c>
      <c r="J1463" s="16" t="str">
        <f t="shared" si="6"/>
        <v>N</v>
      </c>
      <c r="K1463" s="16"/>
      <c r="L1463" s="16"/>
    </row>
    <row r="1464">
      <c r="A1464" s="40" t="s">
        <v>2005</v>
      </c>
      <c r="B1464" s="10" t="str">
        <f t="shared" si="1"/>
        <v>fatty_acid</v>
      </c>
      <c r="C1464" s="49" t="str">
        <f t="shared" si="2"/>
        <v>S16848FA1</v>
      </c>
      <c r="D1464" s="6">
        <v>36.0</v>
      </c>
      <c r="E1464" s="10" t="str">
        <f t="shared" si="3"/>
        <v>BFA36</v>
      </c>
      <c r="F1464" s="13">
        <v>80.0</v>
      </c>
      <c r="G1464" s="10" t="str">
        <f t="shared" si="4"/>
        <v>BFA36-80</v>
      </c>
      <c r="H1464" s="16"/>
      <c r="I1464" s="16" t="str">
        <f t="shared" si="5"/>
        <v>collected</v>
      </c>
      <c r="J1464" s="16" t="str">
        <f t="shared" si="6"/>
        <v>N</v>
      </c>
      <c r="K1464" s="16"/>
      <c r="L1464" s="16"/>
    </row>
    <row r="1465">
      <c r="A1465" s="40" t="s">
        <v>2007</v>
      </c>
      <c r="B1465" s="10" t="str">
        <f t="shared" si="1"/>
        <v>fatty_acid</v>
      </c>
      <c r="C1465" s="49" t="str">
        <f t="shared" si="2"/>
        <v>S16850FA1</v>
      </c>
      <c r="D1465" s="6">
        <v>36.0</v>
      </c>
      <c r="E1465" s="10" t="str">
        <f t="shared" si="3"/>
        <v>BFA36</v>
      </c>
      <c r="F1465" s="13">
        <v>81.0</v>
      </c>
      <c r="G1465" s="10" t="str">
        <f t="shared" si="4"/>
        <v>BFA36-81</v>
      </c>
      <c r="H1465" s="16"/>
      <c r="I1465" s="16" t="str">
        <f t="shared" si="5"/>
        <v>collected</v>
      </c>
      <c r="J1465" s="16" t="str">
        <f t="shared" si="6"/>
        <v>N</v>
      </c>
      <c r="K1465" s="16"/>
      <c r="L1465" s="16"/>
    </row>
    <row r="1466">
      <c r="A1466" s="40" t="s">
        <v>2008</v>
      </c>
      <c r="B1466" s="10" t="str">
        <f t="shared" si="1"/>
        <v>fatty_acid</v>
      </c>
      <c r="C1466" s="49" t="str">
        <f t="shared" si="2"/>
        <v>S16843FA1</v>
      </c>
      <c r="D1466" s="6">
        <v>38.0</v>
      </c>
      <c r="E1466" s="10" t="str">
        <f t="shared" si="3"/>
        <v>BFA38</v>
      </c>
      <c r="F1466" s="13">
        <v>1.0</v>
      </c>
      <c r="G1466" s="10" t="str">
        <f t="shared" si="4"/>
        <v>BFA38-1</v>
      </c>
      <c r="H1466" s="16"/>
      <c r="I1466" s="16" t="str">
        <f t="shared" si="5"/>
        <v>collected</v>
      </c>
      <c r="J1466" s="16" t="str">
        <f t="shared" si="6"/>
        <v>N</v>
      </c>
      <c r="K1466" s="16"/>
      <c r="L1466" s="16"/>
    </row>
    <row r="1467">
      <c r="A1467" s="40" t="s">
        <v>2009</v>
      </c>
      <c r="B1467" s="10" t="str">
        <f t="shared" si="1"/>
        <v>fatty_acid</v>
      </c>
      <c r="C1467" s="49" t="str">
        <f t="shared" si="2"/>
        <v>S16846FA1</v>
      </c>
      <c r="D1467" s="6">
        <v>38.0</v>
      </c>
      <c r="E1467" s="10" t="str">
        <f t="shared" si="3"/>
        <v>BFA38</v>
      </c>
      <c r="F1467" s="13">
        <v>2.0</v>
      </c>
      <c r="G1467" s="10" t="str">
        <f t="shared" si="4"/>
        <v>BFA38-2</v>
      </c>
      <c r="H1467" s="16"/>
      <c r="I1467" s="16" t="str">
        <f t="shared" si="5"/>
        <v>collected</v>
      </c>
      <c r="J1467" s="16" t="str">
        <f t="shared" si="6"/>
        <v>N</v>
      </c>
      <c r="K1467" s="16"/>
      <c r="L1467" s="16"/>
    </row>
    <row r="1468">
      <c r="A1468" s="40" t="s">
        <v>2010</v>
      </c>
      <c r="B1468" s="10" t="str">
        <f t="shared" si="1"/>
        <v>fatty_acid</v>
      </c>
      <c r="C1468" s="49" t="str">
        <f t="shared" si="2"/>
        <v>S16842FA1</v>
      </c>
      <c r="D1468" s="6">
        <v>38.0</v>
      </c>
      <c r="E1468" s="10" t="str">
        <f t="shared" si="3"/>
        <v>BFA38</v>
      </c>
      <c r="F1468" s="13">
        <v>3.0</v>
      </c>
      <c r="G1468" s="10" t="str">
        <f t="shared" si="4"/>
        <v>BFA38-3</v>
      </c>
      <c r="H1468" s="16"/>
      <c r="I1468" s="16" t="str">
        <f t="shared" si="5"/>
        <v>collected</v>
      </c>
      <c r="J1468" s="16" t="str">
        <f t="shared" si="6"/>
        <v>N</v>
      </c>
      <c r="K1468" s="16"/>
      <c r="L1468" s="16"/>
    </row>
    <row r="1469">
      <c r="A1469" s="40" t="s">
        <v>2012</v>
      </c>
      <c r="B1469" s="10" t="str">
        <f t="shared" si="1"/>
        <v>fatty_acid</v>
      </c>
      <c r="C1469" s="49" t="str">
        <f t="shared" si="2"/>
        <v>S16771FA1</v>
      </c>
      <c r="D1469" s="6">
        <v>38.0</v>
      </c>
      <c r="E1469" s="10" t="str">
        <f t="shared" si="3"/>
        <v>BFA38</v>
      </c>
      <c r="F1469" s="13">
        <v>4.0</v>
      </c>
      <c r="G1469" s="10" t="str">
        <f t="shared" si="4"/>
        <v>BFA38-4</v>
      </c>
      <c r="H1469" s="16"/>
      <c r="I1469" s="16" t="str">
        <f t="shared" si="5"/>
        <v>collected</v>
      </c>
      <c r="J1469" s="16" t="str">
        <f t="shared" si="6"/>
        <v>N</v>
      </c>
      <c r="K1469" s="16"/>
      <c r="L1469" s="16"/>
    </row>
    <row r="1470">
      <c r="A1470" s="40" t="s">
        <v>2013</v>
      </c>
      <c r="B1470" s="10" t="str">
        <f t="shared" si="1"/>
        <v>fatty_acid</v>
      </c>
      <c r="C1470" s="49" t="str">
        <f t="shared" si="2"/>
        <v>S16779FA1</v>
      </c>
      <c r="D1470" s="6">
        <v>38.0</v>
      </c>
      <c r="E1470" s="10" t="str">
        <f t="shared" si="3"/>
        <v>BFA38</v>
      </c>
      <c r="F1470" s="13">
        <v>5.0</v>
      </c>
      <c r="G1470" s="10" t="str">
        <f t="shared" si="4"/>
        <v>BFA38-5</v>
      </c>
      <c r="H1470" s="16"/>
      <c r="I1470" s="16" t="str">
        <f t="shared" si="5"/>
        <v>collected</v>
      </c>
      <c r="J1470" s="16" t="str">
        <f t="shared" si="6"/>
        <v>N</v>
      </c>
      <c r="K1470" s="16"/>
      <c r="L1470" s="16"/>
    </row>
    <row r="1471">
      <c r="A1471" s="40" t="s">
        <v>2014</v>
      </c>
      <c r="B1471" s="10" t="str">
        <f t="shared" si="1"/>
        <v>fatty_acid</v>
      </c>
      <c r="C1471" s="49" t="str">
        <f t="shared" si="2"/>
        <v>S16776FA1</v>
      </c>
      <c r="D1471" s="6">
        <v>38.0</v>
      </c>
      <c r="E1471" s="10" t="str">
        <f t="shared" si="3"/>
        <v>BFA38</v>
      </c>
      <c r="F1471" s="13">
        <v>6.0</v>
      </c>
      <c r="G1471" s="10" t="str">
        <f t="shared" si="4"/>
        <v>BFA38-6</v>
      </c>
      <c r="H1471" s="16"/>
      <c r="I1471" s="16" t="str">
        <f t="shared" si="5"/>
        <v>collected</v>
      </c>
      <c r="J1471" s="16" t="str">
        <f t="shared" si="6"/>
        <v>N</v>
      </c>
      <c r="K1471" s="16"/>
      <c r="L1471" s="16"/>
    </row>
    <row r="1472">
      <c r="A1472" s="40" t="s">
        <v>2015</v>
      </c>
      <c r="B1472" s="10" t="str">
        <f t="shared" si="1"/>
        <v>fatty_acid</v>
      </c>
      <c r="C1472" s="49" t="str">
        <f t="shared" si="2"/>
        <v>S16780FA1</v>
      </c>
      <c r="D1472" s="6">
        <v>38.0</v>
      </c>
      <c r="E1472" s="10" t="str">
        <f t="shared" si="3"/>
        <v>BFA38</v>
      </c>
      <c r="F1472" s="13">
        <v>7.0</v>
      </c>
      <c r="G1472" s="10" t="str">
        <f t="shared" si="4"/>
        <v>BFA38-7</v>
      </c>
      <c r="H1472" s="16"/>
      <c r="I1472" s="16" t="str">
        <f t="shared" si="5"/>
        <v>collected</v>
      </c>
      <c r="J1472" s="16" t="str">
        <f t="shared" si="6"/>
        <v>N</v>
      </c>
      <c r="K1472" s="16"/>
      <c r="L1472" s="16"/>
    </row>
    <row r="1473">
      <c r="A1473" s="40" t="s">
        <v>2016</v>
      </c>
      <c r="B1473" s="10" t="str">
        <f t="shared" si="1"/>
        <v>fatty_acid</v>
      </c>
      <c r="C1473" s="49" t="str">
        <f t="shared" si="2"/>
        <v>S16774FA1</v>
      </c>
      <c r="D1473" s="6">
        <v>38.0</v>
      </c>
      <c r="E1473" s="10" t="str">
        <f t="shared" si="3"/>
        <v>BFA38</v>
      </c>
      <c r="F1473" s="13">
        <v>8.0</v>
      </c>
      <c r="G1473" s="10" t="str">
        <f t="shared" si="4"/>
        <v>BFA38-8</v>
      </c>
      <c r="H1473" s="16"/>
      <c r="I1473" s="16" t="str">
        <f t="shared" si="5"/>
        <v>collected</v>
      </c>
      <c r="J1473" s="16" t="str">
        <f t="shared" si="6"/>
        <v>N</v>
      </c>
      <c r="K1473" s="16"/>
      <c r="L1473" s="16"/>
    </row>
    <row r="1474">
      <c r="A1474" s="40" t="s">
        <v>2017</v>
      </c>
      <c r="B1474" s="10" t="str">
        <f t="shared" si="1"/>
        <v>fatty_acid</v>
      </c>
      <c r="C1474" s="49" t="str">
        <f t="shared" si="2"/>
        <v>S16773FA1</v>
      </c>
      <c r="D1474" s="6">
        <v>38.0</v>
      </c>
      <c r="E1474" s="10" t="str">
        <f t="shared" si="3"/>
        <v>BFA38</v>
      </c>
      <c r="F1474" s="13">
        <v>9.0</v>
      </c>
      <c r="G1474" s="10" t="str">
        <f t="shared" si="4"/>
        <v>BFA38-9</v>
      </c>
      <c r="H1474" s="16"/>
      <c r="I1474" s="16" t="str">
        <f t="shared" si="5"/>
        <v>collected</v>
      </c>
      <c r="J1474" s="16" t="str">
        <f t="shared" si="6"/>
        <v>N</v>
      </c>
      <c r="K1474" s="16"/>
      <c r="L1474" s="16"/>
    </row>
    <row r="1475">
      <c r="A1475" s="40" t="s">
        <v>2018</v>
      </c>
      <c r="B1475" s="10" t="str">
        <f t="shared" si="1"/>
        <v>fatty_acid</v>
      </c>
      <c r="C1475" s="49" t="str">
        <f t="shared" si="2"/>
        <v>S17179FA1</v>
      </c>
      <c r="D1475" s="6">
        <v>37.0</v>
      </c>
      <c r="E1475" s="10" t="str">
        <f t="shared" si="3"/>
        <v>BFA37</v>
      </c>
      <c r="F1475" s="13">
        <v>67.0</v>
      </c>
      <c r="G1475" s="10" t="str">
        <f t="shared" si="4"/>
        <v>BFA37-67</v>
      </c>
      <c r="H1475" s="16"/>
      <c r="I1475" s="16" t="str">
        <f t="shared" si="5"/>
        <v>collected</v>
      </c>
      <c r="J1475" s="16" t="str">
        <f t="shared" si="6"/>
        <v>N</v>
      </c>
      <c r="K1475" s="16"/>
      <c r="L1475" s="16"/>
    </row>
    <row r="1476">
      <c r="A1476" s="40" t="s">
        <v>2019</v>
      </c>
      <c r="B1476" s="10" t="str">
        <f t="shared" si="1"/>
        <v>fatty_acid</v>
      </c>
      <c r="C1476" s="49" t="str">
        <f t="shared" si="2"/>
        <v>S17178FA1</v>
      </c>
      <c r="D1476" s="6">
        <v>37.0</v>
      </c>
      <c r="E1476" s="10" t="str">
        <f t="shared" si="3"/>
        <v>BFA37</v>
      </c>
      <c r="F1476" s="13">
        <v>68.0</v>
      </c>
      <c r="G1476" s="10" t="str">
        <f t="shared" si="4"/>
        <v>BFA37-68</v>
      </c>
      <c r="H1476" s="16"/>
      <c r="I1476" s="16" t="str">
        <f t="shared" si="5"/>
        <v>collected</v>
      </c>
      <c r="J1476" s="16" t="str">
        <f t="shared" si="6"/>
        <v>N</v>
      </c>
      <c r="K1476" s="16"/>
      <c r="L1476" s="16"/>
    </row>
    <row r="1477">
      <c r="A1477" s="40" t="s">
        <v>2020</v>
      </c>
      <c r="B1477" s="10" t="str">
        <f t="shared" si="1"/>
        <v>fatty_acid</v>
      </c>
      <c r="C1477" s="49" t="str">
        <f t="shared" si="2"/>
        <v>S17171FA1</v>
      </c>
      <c r="D1477" s="6">
        <v>37.0</v>
      </c>
      <c r="E1477" s="10" t="str">
        <f t="shared" si="3"/>
        <v>BFA37</v>
      </c>
      <c r="F1477" s="13">
        <v>69.0</v>
      </c>
      <c r="G1477" s="10" t="str">
        <f t="shared" si="4"/>
        <v>BFA37-69</v>
      </c>
      <c r="H1477" s="16"/>
      <c r="I1477" s="16" t="str">
        <f t="shared" si="5"/>
        <v>collected</v>
      </c>
      <c r="J1477" s="16" t="str">
        <f t="shared" si="6"/>
        <v>N</v>
      </c>
      <c r="K1477" s="16"/>
      <c r="L1477" s="16"/>
    </row>
    <row r="1478">
      <c r="A1478" s="40" t="s">
        <v>2021</v>
      </c>
      <c r="B1478" s="10" t="str">
        <f t="shared" si="1"/>
        <v>fatty_acid</v>
      </c>
      <c r="C1478" s="49" t="str">
        <f t="shared" si="2"/>
        <v>S17175FA1</v>
      </c>
      <c r="D1478" s="6">
        <v>37.0</v>
      </c>
      <c r="E1478" s="10" t="str">
        <f t="shared" si="3"/>
        <v>BFA37</v>
      </c>
      <c r="F1478" s="13">
        <v>70.0</v>
      </c>
      <c r="G1478" s="10" t="str">
        <f t="shared" si="4"/>
        <v>BFA37-70</v>
      </c>
      <c r="H1478" s="16"/>
      <c r="I1478" s="16" t="str">
        <f t="shared" si="5"/>
        <v>collected</v>
      </c>
      <c r="J1478" s="16" t="str">
        <f t="shared" si="6"/>
        <v>N</v>
      </c>
      <c r="K1478" s="16"/>
      <c r="L1478" s="16"/>
    </row>
    <row r="1479">
      <c r="A1479" s="40" t="s">
        <v>2022</v>
      </c>
      <c r="B1479" s="10" t="str">
        <f t="shared" si="1"/>
        <v>fatty_acid</v>
      </c>
      <c r="C1479" s="49" t="str">
        <f t="shared" si="2"/>
        <v>S17174FA1</v>
      </c>
      <c r="D1479" s="6">
        <v>37.0</v>
      </c>
      <c r="E1479" s="10" t="str">
        <f t="shared" si="3"/>
        <v>BFA37</v>
      </c>
      <c r="F1479" s="13">
        <v>71.0</v>
      </c>
      <c r="G1479" s="10" t="str">
        <f t="shared" si="4"/>
        <v>BFA37-71</v>
      </c>
      <c r="H1479" s="16"/>
      <c r="I1479" s="16" t="str">
        <f t="shared" si="5"/>
        <v>collected</v>
      </c>
      <c r="J1479" s="16" t="str">
        <f t="shared" si="6"/>
        <v>N</v>
      </c>
      <c r="K1479" s="16"/>
      <c r="L1479" s="16"/>
    </row>
    <row r="1480">
      <c r="A1480" s="40" t="s">
        <v>2023</v>
      </c>
      <c r="B1480" s="10" t="str">
        <f t="shared" si="1"/>
        <v>fatty_acid</v>
      </c>
      <c r="C1480" s="49" t="str">
        <f t="shared" si="2"/>
        <v>S17177FA1</v>
      </c>
      <c r="D1480" s="6">
        <v>37.0</v>
      </c>
      <c r="E1480" s="10" t="str">
        <f t="shared" si="3"/>
        <v>BFA37</v>
      </c>
      <c r="F1480" s="13">
        <v>72.0</v>
      </c>
      <c r="G1480" s="10" t="str">
        <f t="shared" si="4"/>
        <v>BFA37-72</v>
      </c>
      <c r="H1480" s="16"/>
      <c r="I1480" s="16" t="str">
        <f t="shared" si="5"/>
        <v>collected</v>
      </c>
      <c r="J1480" s="16" t="str">
        <f t="shared" si="6"/>
        <v>N</v>
      </c>
      <c r="K1480" s="16"/>
      <c r="L1480" s="16"/>
    </row>
    <row r="1481">
      <c r="A1481" s="40" t="s">
        <v>2024</v>
      </c>
      <c r="B1481" s="10" t="str">
        <f t="shared" si="1"/>
        <v>fatty_acid</v>
      </c>
      <c r="C1481" s="49" t="str">
        <f t="shared" si="2"/>
        <v>S17176FA1</v>
      </c>
      <c r="D1481" s="6">
        <v>37.0</v>
      </c>
      <c r="E1481" s="10" t="str">
        <f t="shared" si="3"/>
        <v>BFA37</v>
      </c>
      <c r="F1481" s="13">
        <v>73.0</v>
      </c>
      <c r="G1481" s="10" t="str">
        <f t="shared" si="4"/>
        <v>BFA37-73</v>
      </c>
      <c r="H1481" s="16"/>
      <c r="I1481" s="16" t="str">
        <f t="shared" si="5"/>
        <v>collected</v>
      </c>
      <c r="J1481" s="16" t="str">
        <f t="shared" si="6"/>
        <v>N</v>
      </c>
      <c r="K1481" s="16"/>
      <c r="L1481" s="16"/>
    </row>
    <row r="1482">
      <c r="A1482" s="40" t="s">
        <v>2025</v>
      </c>
      <c r="B1482" s="10" t="str">
        <f t="shared" si="1"/>
        <v>fatty_acid</v>
      </c>
      <c r="C1482" s="49" t="str">
        <f t="shared" si="2"/>
        <v>S17172FA1</v>
      </c>
      <c r="D1482" s="6">
        <v>37.0</v>
      </c>
      <c r="E1482" s="10" t="str">
        <f t="shared" si="3"/>
        <v>BFA37</v>
      </c>
      <c r="F1482" s="13">
        <v>74.0</v>
      </c>
      <c r="G1482" s="10" t="str">
        <f t="shared" si="4"/>
        <v>BFA37-74</v>
      </c>
      <c r="H1482" s="16"/>
      <c r="I1482" s="16" t="str">
        <f t="shared" si="5"/>
        <v>collected</v>
      </c>
      <c r="J1482" s="16" t="str">
        <f t="shared" si="6"/>
        <v>N</v>
      </c>
      <c r="K1482" s="16"/>
      <c r="L1482" s="16"/>
    </row>
    <row r="1483">
      <c r="A1483" s="40" t="s">
        <v>2026</v>
      </c>
      <c r="B1483" s="10" t="str">
        <f t="shared" si="1"/>
        <v>fatty_acid</v>
      </c>
      <c r="C1483" s="49" t="str">
        <f t="shared" si="2"/>
        <v>S17173FA1</v>
      </c>
      <c r="D1483" s="6">
        <v>37.0</v>
      </c>
      <c r="E1483" s="10" t="str">
        <f t="shared" si="3"/>
        <v>BFA37</v>
      </c>
      <c r="F1483" s="13">
        <v>75.0</v>
      </c>
      <c r="G1483" s="10" t="str">
        <f t="shared" si="4"/>
        <v>BFA37-75</v>
      </c>
      <c r="H1483" s="16"/>
      <c r="I1483" s="16" t="str">
        <f t="shared" si="5"/>
        <v>collected</v>
      </c>
      <c r="J1483" s="16" t="str">
        <f t="shared" si="6"/>
        <v>N</v>
      </c>
      <c r="K1483" s="16"/>
      <c r="L1483" s="16"/>
    </row>
    <row r="1484">
      <c r="A1484" s="40" t="s">
        <v>2027</v>
      </c>
      <c r="B1484" s="10" t="str">
        <f t="shared" si="1"/>
        <v>fatty_acid</v>
      </c>
      <c r="C1484" s="49" t="str">
        <f t="shared" si="2"/>
        <v>S16595FA1</v>
      </c>
      <c r="D1484" s="6">
        <v>37.0</v>
      </c>
      <c r="E1484" s="10" t="str">
        <f t="shared" si="3"/>
        <v>BFA37</v>
      </c>
      <c r="F1484" s="13">
        <v>76.0</v>
      </c>
      <c r="G1484" s="10" t="str">
        <f t="shared" si="4"/>
        <v>BFA37-76</v>
      </c>
      <c r="H1484" s="16"/>
      <c r="I1484" s="16" t="str">
        <f t="shared" si="5"/>
        <v>collected</v>
      </c>
      <c r="J1484" s="16" t="str">
        <f t="shared" si="6"/>
        <v>N</v>
      </c>
      <c r="K1484" s="16"/>
      <c r="L1484" s="16"/>
    </row>
    <row r="1485">
      <c r="A1485" s="40" t="s">
        <v>2028</v>
      </c>
      <c r="B1485" s="10" t="str">
        <f t="shared" si="1"/>
        <v>fatty_acid</v>
      </c>
      <c r="C1485" s="49" t="str">
        <f t="shared" si="2"/>
        <v>S16591FA1</v>
      </c>
      <c r="D1485" s="6">
        <v>37.0</v>
      </c>
      <c r="E1485" s="10" t="str">
        <f t="shared" si="3"/>
        <v>BFA37</v>
      </c>
      <c r="F1485" s="13">
        <v>77.0</v>
      </c>
      <c r="G1485" s="10" t="str">
        <f t="shared" si="4"/>
        <v>BFA37-77</v>
      </c>
      <c r="H1485" s="16"/>
      <c r="I1485" s="16" t="str">
        <f t="shared" si="5"/>
        <v>collected</v>
      </c>
      <c r="J1485" s="16" t="str">
        <f t="shared" si="6"/>
        <v>N</v>
      </c>
      <c r="K1485" s="16"/>
      <c r="L1485" s="16"/>
    </row>
    <row r="1486">
      <c r="A1486" s="40" t="s">
        <v>2029</v>
      </c>
      <c r="B1486" s="10" t="str">
        <f t="shared" si="1"/>
        <v>fatty_acid</v>
      </c>
      <c r="C1486" s="49" t="str">
        <f t="shared" si="2"/>
        <v>S16593FA1</v>
      </c>
      <c r="D1486" s="6">
        <v>37.0</v>
      </c>
      <c r="E1486" s="10" t="str">
        <f t="shared" si="3"/>
        <v>BFA37</v>
      </c>
      <c r="F1486" s="13">
        <v>78.0</v>
      </c>
      <c r="G1486" s="10" t="str">
        <f t="shared" si="4"/>
        <v>BFA37-78</v>
      </c>
      <c r="H1486" s="16"/>
      <c r="I1486" s="16" t="str">
        <f t="shared" si="5"/>
        <v>collected</v>
      </c>
      <c r="J1486" s="16" t="str">
        <f t="shared" si="6"/>
        <v>N</v>
      </c>
      <c r="K1486" s="16"/>
      <c r="L1486" s="16"/>
    </row>
    <row r="1487">
      <c r="A1487" s="40" t="s">
        <v>2030</v>
      </c>
      <c r="B1487" s="10" t="str">
        <f t="shared" si="1"/>
        <v>fatty_acid</v>
      </c>
      <c r="C1487" s="49" t="str">
        <f t="shared" si="2"/>
        <v>S16594FA1</v>
      </c>
      <c r="D1487" s="6">
        <v>37.0</v>
      </c>
      <c r="E1487" s="10" t="str">
        <f t="shared" si="3"/>
        <v>BFA37</v>
      </c>
      <c r="F1487" s="13">
        <v>79.0</v>
      </c>
      <c r="G1487" s="10" t="str">
        <f t="shared" si="4"/>
        <v>BFA37-79</v>
      </c>
      <c r="H1487" s="16"/>
      <c r="I1487" s="16" t="str">
        <f t="shared" si="5"/>
        <v>collected</v>
      </c>
      <c r="J1487" s="16" t="str">
        <f t="shared" si="6"/>
        <v>N</v>
      </c>
      <c r="K1487" s="16"/>
      <c r="L1487" s="16"/>
    </row>
    <row r="1488">
      <c r="A1488" s="40" t="s">
        <v>2031</v>
      </c>
      <c r="B1488" s="10" t="str">
        <f t="shared" si="1"/>
        <v>fatty_acid</v>
      </c>
      <c r="C1488" s="49" t="str">
        <f t="shared" si="2"/>
        <v>S16592FA1</v>
      </c>
      <c r="D1488" s="6">
        <v>37.0</v>
      </c>
      <c r="E1488" s="10" t="str">
        <f t="shared" si="3"/>
        <v>BFA37</v>
      </c>
      <c r="F1488" s="13">
        <v>80.0</v>
      </c>
      <c r="G1488" s="10" t="str">
        <f t="shared" si="4"/>
        <v>BFA37-80</v>
      </c>
      <c r="H1488" s="16"/>
      <c r="I1488" s="16" t="str">
        <f t="shared" si="5"/>
        <v>collected</v>
      </c>
      <c r="J1488" s="16" t="str">
        <f t="shared" si="6"/>
        <v>N</v>
      </c>
      <c r="K1488" s="16"/>
      <c r="L1488" s="16"/>
    </row>
    <row r="1489">
      <c r="A1489" s="40" t="s">
        <v>2032</v>
      </c>
      <c r="B1489" s="10" t="str">
        <f t="shared" si="1"/>
        <v>fatty_acid</v>
      </c>
      <c r="C1489" s="49" t="str">
        <f t="shared" si="2"/>
        <v>S16635FA1</v>
      </c>
      <c r="D1489" s="6">
        <v>37.0</v>
      </c>
      <c r="E1489" s="10" t="str">
        <f t="shared" si="3"/>
        <v>BFA37</v>
      </c>
      <c r="F1489" s="13">
        <v>81.0</v>
      </c>
      <c r="G1489" s="10" t="str">
        <f t="shared" si="4"/>
        <v>BFA37-81</v>
      </c>
      <c r="H1489" s="16"/>
      <c r="I1489" s="16" t="str">
        <f t="shared" si="5"/>
        <v>collected</v>
      </c>
      <c r="J1489" s="16" t="str">
        <f t="shared" si="6"/>
        <v>N</v>
      </c>
      <c r="K1489" s="16"/>
      <c r="L1489" s="16"/>
    </row>
    <row r="1490">
      <c r="A1490" s="40" t="s">
        <v>2033</v>
      </c>
      <c r="B1490" s="10" t="str">
        <f t="shared" si="1"/>
        <v>fatty_acid</v>
      </c>
      <c r="C1490" s="49" t="str">
        <f t="shared" si="2"/>
        <v>S16640FA1</v>
      </c>
      <c r="D1490" s="6">
        <v>39.0</v>
      </c>
      <c r="E1490" s="10" t="str">
        <f t="shared" si="3"/>
        <v>BFA39</v>
      </c>
      <c r="F1490" s="13">
        <v>1.0</v>
      </c>
      <c r="G1490" s="10" t="str">
        <f t="shared" si="4"/>
        <v>BFA39-1</v>
      </c>
      <c r="H1490" s="16"/>
      <c r="I1490" s="16" t="str">
        <f t="shared" si="5"/>
        <v>collected</v>
      </c>
      <c r="J1490" s="16" t="str">
        <f t="shared" si="6"/>
        <v>N</v>
      </c>
      <c r="K1490" s="16"/>
      <c r="L1490" s="16"/>
    </row>
    <row r="1491">
      <c r="A1491" s="40" t="s">
        <v>2034</v>
      </c>
      <c r="B1491" s="10" t="str">
        <f t="shared" si="1"/>
        <v>fatty_acid</v>
      </c>
      <c r="C1491" s="49" t="str">
        <f t="shared" si="2"/>
        <v>S16639FA1</v>
      </c>
      <c r="D1491" s="6">
        <v>39.0</v>
      </c>
      <c r="E1491" s="10" t="str">
        <f t="shared" si="3"/>
        <v>BFA39</v>
      </c>
      <c r="F1491" s="13">
        <v>2.0</v>
      </c>
      <c r="G1491" s="10" t="str">
        <f t="shared" si="4"/>
        <v>BFA39-2</v>
      </c>
      <c r="H1491" s="16"/>
      <c r="I1491" s="16" t="str">
        <f t="shared" si="5"/>
        <v>collected</v>
      </c>
      <c r="J1491" s="16" t="str">
        <f t="shared" si="6"/>
        <v>N</v>
      </c>
      <c r="K1491" s="16"/>
      <c r="L1491" s="16"/>
    </row>
    <row r="1492">
      <c r="A1492" s="40" t="s">
        <v>2035</v>
      </c>
      <c r="B1492" s="10" t="str">
        <f t="shared" si="1"/>
        <v>fatty_acid</v>
      </c>
      <c r="C1492" s="49" t="str">
        <f t="shared" si="2"/>
        <v>S16634FA1</v>
      </c>
      <c r="D1492" s="6">
        <v>39.0</v>
      </c>
      <c r="E1492" s="10" t="str">
        <f t="shared" si="3"/>
        <v>BFA39</v>
      </c>
      <c r="F1492" s="13">
        <v>3.0</v>
      </c>
      <c r="G1492" s="10" t="str">
        <f t="shared" si="4"/>
        <v>BFA39-3</v>
      </c>
      <c r="H1492" s="16"/>
      <c r="I1492" s="16" t="str">
        <f t="shared" si="5"/>
        <v>collected</v>
      </c>
      <c r="J1492" s="16" t="str">
        <f t="shared" si="6"/>
        <v>N</v>
      </c>
      <c r="K1492" s="16"/>
      <c r="L1492" s="16"/>
    </row>
    <row r="1493">
      <c r="A1493" s="40" t="s">
        <v>2036</v>
      </c>
      <c r="B1493" s="10" t="str">
        <f t="shared" si="1"/>
        <v>fatty_acid</v>
      </c>
      <c r="C1493" s="49" t="str">
        <f t="shared" si="2"/>
        <v>S16631FA1</v>
      </c>
      <c r="D1493" s="6">
        <v>39.0</v>
      </c>
      <c r="E1493" s="10" t="str">
        <f t="shared" si="3"/>
        <v>BFA39</v>
      </c>
      <c r="F1493" s="13">
        <v>4.0</v>
      </c>
      <c r="G1493" s="10" t="str">
        <f t="shared" si="4"/>
        <v>BFA39-4</v>
      </c>
      <c r="H1493" s="16"/>
      <c r="I1493" s="16" t="str">
        <f t="shared" si="5"/>
        <v>collected</v>
      </c>
      <c r="J1493" s="16" t="str">
        <f t="shared" si="6"/>
        <v>N</v>
      </c>
      <c r="K1493" s="16"/>
      <c r="L1493" s="16"/>
    </row>
    <row r="1494">
      <c r="A1494" s="40" t="s">
        <v>2037</v>
      </c>
      <c r="B1494" s="10" t="str">
        <f t="shared" si="1"/>
        <v>fatty_acid</v>
      </c>
      <c r="C1494" s="49" t="str">
        <f t="shared" si="2"/>
        <v>S16636FA1</v>
      </c>
      <c r="D1494" s="6">
        <v>39.0</v>
      </c>
      <c r="E1494" s="10" t="str">
        <f t="shared" si="3"/>
        <v>BFA39</v>
      </c>
      <c r="F1494" s="13">
        <v>5.0</v>
      </c>
      <c r="G1494" s="10" t="str">
        <f t="shared" si="4"/>
        <v>BFA39-5</v>
      </c>
      <c r="H1494" s="16"/>
      <c r="I1494" s="16" t="str">
        <f t="shared" si="5"/>
        <v>collected</v>
      </c>
      <c r="J1494" s="16" t="str">
        <f t="shared" si="6"/>
        <v>N</v>
      </c>
      <c r="K1494" s="16"/>
      <c r="L1494" s="16"/>
    </row>
    <row r="1495">
      <c r="A1495" s="40" t="s">
        <v>2038</v>
      </c>
      <c r="B1495" s="10" t="str">
        <f t="shared" si="1"/>
        <v>fatty_acid</v>
      </c>
      <c r="C1495" s="49" t="str">
        <f t="shared" si="2"/>
        <v>S16632FA1</v>
      </c>
      <c r="D1495" s="6">
        <v>39.0</v>
      </c>
      <c r="E1495" s="10" t="str">
        <f t="shared" si="3"/>
        <v>BFA39</v>
      </c>
      <c r="F1495" s="13">
        <v>6.0</v>
      </c>
      <c r="G1495" s="10" t="str">
        <f t="shared" si="4"/>
        <v>BFA39-6</v>
      </c>
      <c r="H1495" s="6" t="s">
        <v>2167</v>
      </c>
      <c r="I1495" s="16" t="str">
        <f t="shared" si="5"/>
        <v>collected</v>
      </c>
      <c r="J1495" s="16" t="str">
        <f t="shared" si="6"/>
        <v>N</v>
      </c>
      <c r="K1495" s="16"/>
      <c r="L1495" s="16"/>
    </row>
    <row r="1496">
      <c r="A1496" s="40" t="s">
        <v>2039</v>
      </c>
      <c r="B1496" s="10" t="str">
        <f t="shared" si="1"/>
        <v>fatty_acid</v>
      </c>
      <c r="C1496" s="49" t="str">
        <f t="shared" si="2"/>
        <v>S16638FA1</v>
      </c>
      <c r="D1496" s="6">
        <v>39.0</v>
      </c>
      <c r="E1496" s="10" t="str">
        <f t="shared" si="3"/>
        <v>BFA39</v>
      </c>
      <c r="F1496" s="13">
        <v>7.0</v>
      </c>
      <c r="G1496" s="10" t="str">
        <f t="shared" si="4"/>
        <v>BFA39-7</v>
      </c>
      <c r="H1496" s="16"/>
      <c r="I1496" s="16" t="str">
        <f t="shared" si="5"/>
        <v>collected</v>
      </c>
      <c r="J1496" s="16" t="str">
        <f t="shared" si="6"/>
        <v>N</v>
      </c>
      <c r="K1496" s="16"/>
      <c r="L1496" s="16"/>
    </row>
    <row r="1497">
      <c r="A1497" s="40" t="s">
        <v>2040</v>
      </c>
      <c r="B1497" s="10" t="str">
        <f t="shared" si="1"/>
        <v>fatty_acid</v>
      </c>
      <c r="C1497" s="49" t="str">
        <f t="shared" si="2"/>
        <v>S16775FA1</v>
      </c>
      <c r="D1497" s="6">
        <v>38.0</v>
      </c>
      <c r="E1497" s="10" t="str">
        <f t="shared" si="3"/>
        <v>BFA38</v>
      </c>
      <c r="F1497" s="13">
        <v>10.0</v>
      </c>
      <c r="G1497" s="10" t="str">
        <f t="shared" si="4"/>
        <v>BFA38-10</v>
      </c>
      <c r="H1497" s="16"/>
      <c r="I1497" s="16" t="str">
        <f t="shared" si="5"/>
        <v>collected</v>
      </c>
      <c r="J1497" s="16" t="str">
        <f t="shared" si="6"/>
        <v>N</v>
      </c>
      <c r="K1497" s="16"/>
      <c r="L1497" s="16"/>
    </row>
    <row r="1498">
      <c r="A1498" s="40" t="s">
        <v>2041</v>
      </c>
      <c r="B1498" s="10" t="str">
        <f t="shared" si="1"/>
        <v>fatty_acid</v>
      </c>
      <c r="C1498" s="49" t="str">
        <f t="shared" si="2"/>
        <v>S16772FA1</v>
      </c>
      <c r="D1498" s="6">
        <v>38.0</v>
      </c>
      <c r="E1498" s="10" t="str">
        <f t="shared" si="3"/>
        <v>BFA38</v>
      </c>
      <c r="F1498" s="13">
        <v>11.0</v>
      </c>
      <c r="G1498" s="10" t="str">
        <f t="shared" si="4"/>
        <v>BFA38-11</v>
      </c>
      <c r="H1498" s="16"/>
      <c r="I1498" s="16" t="str">
        <f t="shared" si="5"/>
        <v>collected</v>
      </c>
      <c r="J1498" s="16" t="str">
        <f t="shared" si="6"/>
        <v>N</v>
      </c>
      <c r="K1498" s="16"/>
      <c r="L1498" s="16"/>
    </row>
    <row r="1499">
      <c r="A1499" s="40" t="s">
        <v>2042</v>
      </c>
      <c r="B1499" s="10" t="str">
        <f t="shared" si="1"/>
        <v>fatty_acid</v>
      </c>
      <c r="C1499" s="49" t="str">
        <f t="shared" si="2"/>
        <v>S16778FA1</v>
      </c>
      <c r="D1499" s="6">
        <v>38.0</v>
      </c>
      <c r="E1499" s="10" t="str">
        <f t="shared" si="3"/>
        <v>BFA38</v>
      </c>
      <c r="F1499" s="13">
        <v>12.0</v>
      </c>
      <c r="G1499" s="10" t="str">
        <f t="shared" si="4"/>
        <v>BFA38-12</v>
      </c>
      <c r="H1499" s="16"/>
      <c r="I1499" s="16" t="str">
        <f t="shared" si="5"/>
        <v>collected</v>
      </c>
      <c r="J1499" s="16" t="str">
        <f t="shared" si="6"/>
        <v>N</v>
      </c>
      <c r="K1499" s="16"/>
      <c r="L1499" s="16"/>
    </row>
    <row r="1500">
      <c r="A1500" s="40" t="s">
        <v>2043</v>
      </c>
      <c r="B1500" s="10" t="str">
        <f t="shared" si="1"/>
        <v>fatty_acid</v>
      </c>
      <c r="C1500" s="49" t="str">
        <f t="shared" si="2"/>
        <v>S16777FA1</v>
      </c>
      <c r="D1500" s="6">
        <v>38.0</v>
      </c>
      <c r="E1500" s="10" t="str">
        <f t="shared" si="3"/>
        <v>BFA38</v>
      </c>
      <c r="F1500" s="13">
        <v>13.0</v>
      </c>
      <c r="G1500" s="10" t="str">
        <f t="shared" si="4"/>
        <v>BFA38-13</v>
      </c>
      <c r="H1500" s="16"/>
      <c r="I1500" s="16" t="str">
        <f t="shared" si="5"/>
        <v>collected</v>
      </c>
      <c r="J1500" s="16" t="str">
        <f t="shared" si="6"/>
        <v>N</v>
      </c>
      <c r="K1500" s="16"/>
      <c r="L1500" s="16"/>
    </row>
    <row r="1501">
      <c r="A1501" s="40" t="s">
        <v>2044</v>
      </c>
      <c r="B1501" s="10" t="str">
        <f t="shared" si="1"/>
        <v>fatty_acid</v>
      </c>
      <c r="C1501" s="49" t="str">
        <f t="shared" si="2"/>
        <v>S16091FA1</v>
      </c>
      <c r="D1501" s="6">
        <v>38.0</v>
      </c>
      <c r="E1501" s="10" t="str">
        <f t="shared" si="3"/>
        <v>BFA38</v>
      </c>
      <c r="F1501" s="13">
        <v>14.0</v>
      </c>
      <c r="G1501" s="10" t="str">
        <f t="shared" si="4"/>
        <v>BFA38-14</v>
      </c>
      <c r="H1501" s="16"/>
      <c r="I1501" s="16" t="str">
        <f t="shared" si="5"/>
        <v>collected</v>
      </c>
      <c r="J1501" s="16" t="str">
        <f t="shared" si="6"/>
        <v>N</v>
      </c>
      <c r="K1501" s="16"/>
      <c r="L1501" s="16"/>
    </row>
    <row r="1502">
      <c r="A1502" s="40" t="s">
        <v>2045</v>
      </c>
      <c r="B1502" s="10" t="str">
        <f t="shared" si="1"/>
        <v>fatty_acid</v>
      </c>
      <c r="C1502" s="49" t="str">
        <f t="shared" si="2"/>
        <v>S16097FA1</v>
      </c>
      <c r="D1502" s="6">
        <v>38.0</v>
      </c>
      <c r="E1502" s="10" t="str">
        <f t="shared" si="3"/>
        <v>BFA38</v>
      </c>
      <c r="F1502" s="13">
        <v>15.0</v>
      </c>
      <c r="G1502" s="10" t="str">
        <f t="shared" si="4"/>
        <v>BFA38-15</v>
      </c>
      <c r="H1502" s="16"/>
      <c r="I1502" s="16" t="str">
        <f t="shared" si="5"/>
        <v>collected</v>
      </c>
      <c r="J1502" s="16" t="str">
        <f t="shared" si="6"/>
        <v>N</v>
      </c>
      <c r="K1502" s="16"/>
      <c r="L1502" s="16"/>
    </row>
    <row r="1503">
      <c r="A1503" s="40" t="s">
        <v>2046</v>
      </c>
      <c r="B1503" s="10" t="str">
        <f t="shared" si="1"/>
        <v>fatty_acid</v>
      </c>
      <c r="C1503" s="49" t="str">
        <f t="shared" si="2"/>
        <v>S16093FA1</v>
      </c>
      <c r="D1503" s="6">
        <v>38.0</v>
      </c>
      <c r="E1503" s="10" t="str">
        <f t="shared" si="3"/>
        <v>BFA38</v>
      </c>
      <c r="F1503" s="13">
        <v>16.0</v>
      </c>
      <c r="G1503" s="10" t="str">
        <f t="shared" si="4"/>
        <v>BFA38-16</v>
      </c>
      <c r="H1503" s="16"/>
      <c r="I1503" s="16" t="str">
        <f t="shared" si="5"/>
        <v>collected</v>
      </c>
      <c r="J1503" s="16" t="str">
        <f t="shared" si="6"/>
        <v>N</v>
      </c>
      <c r="K1503" s="16"/>
      <c r="L1503" s="16"/>
    </row>
    <row r="1504">
      <c r="A1504" s="40" t="s">
        <v>2047</v>
      </c>
      <c r="B1504" s="10" t="str">
        <f t="shared" si="1"/>
        <v>fatty_acid</v>
      </c>
      <c r="C1504" s="49" t="str">
        <f t="shared" si="2"/>
        <v>S16092FA1</v>
      </c>
      <c r="D1504" s="6">
        <v>38.0</v>
      </c>
      <c r="E1504" s="10" t="str">
        <f t="shared" si="3"/>
        <v>BFA38</v>
      </c>
      <c r="F1504" s="13">
        <v>17.0</v>
      </c>
      <c r="G1504" s="10" t="str">
        <f t="shared" si="4"/>
        <v>BFA38-17</v>
      </c>
      <c r="H1504" s="16"/>
      <c r="I1504" s="16" t="str">
        <f t="shared" si="5"/>
        <v>collected</v>
      </c>
      <c r="J1504" s="16" t="str">
        <f t="shared" si="6"/>
        <v>N</v>
      </c>
      <c r="K1504" s="16"/>
      <c r="L1504" s="16"/>
    </row>
    <row r="1505">
      <c r="A1505" s="40" t="s">
        <v>2048</v>
      </c>
      <c r="B1505" s="10" t="str">
        <f t="shared" si="1"/>
        <v>fatty_acid</v>
      </c>
      <c r="C1505" s="49" t="str">
        <f t="shared" si="2"/>
        <v>S16095FA1</v>
      </c>
      <c r="D1505" s="6">
        <v>38.0</v>
      </c>
      <c r="E1505" s="10" t="str">
        <f t="shared" si="3"/>
        <v>BFA38</v>
      </c>
      <c r="F1505" s="13">
        <v>18.0</v>
      </c>
      <c r="G1505" s="10" t="str">
        <f t="shared" si="4"/>
        <v>BFA38-18</v>
      </c>
      <c r="H1505" s="16"/>
      <c r="I1505" s="16" t="str">
        <f t="shared" si="5"/>
        <v>collected</v>
      </c>
      <c r="J1505" s="16" t="str">
        <f t="shared" si="6"/>
        <v>N</v>
      </c>
      <c r="K1505" s="16"/>
      <c r="L1505" s="16"/>
    </row>
    <row r="1506">
      <c r="A1506" s="40" t="s">
        <v>2049</v>
      </c>
      <c r="B1506" s="10" t="str">
        <f t="shared" si="1"/>
        <v>fatty_acid</v>
      </c>
      <c r="C1506" s="49" t="str">
        <f t="shared" si="2"/>
        <v>S16098FA1</v>
      </c>
      <c r="D1506" s="6">
        <v>38.0</v>
      </c>
      <c r="E1506" s="10" t="str">
        <f t="shared" si="3"/>
        <v>BFA38</v>
      </c>
      <c r="F1506" s="13">
        <v>19.0</v>
      </c>
      <c r="G1506" s="10" t="str">
        <f t="shared" si="4"/>
        <v>BFA38-19</v>
      </c>
      <c r="H1506" s="16"/>
      <c r="I1506" s="16" t="str">
        <f t="shared" si="5"/>
        <v>collected</v>
      </c>
      <c r="J1506" s="16" t="str">
        <f t="shared" si="6"/>
        <v>N</v>
      </c>
      <c r="K1506" s="16"/>
      <c r="L1506" s="16"/>
    </row>
    <row r="1507">
      <c r="A1507" s="40" t="s">
        <v>2050</v>
      </c>
      <c r="B1507" s="10" t="str">
        <f t="shared" si="1"/>
        <v>fatty_acid</v>
      </c>
      <c r="C1507" s="49" t="str">
        <f t="shared" si="2"/>
        <v>S16100FA1</v>
      </c>
      <c r="D1507" s="6">
        <v>38.0</v>
      </c>
      <c r="E1507" s="10" t="str">
        <f t="shared" si="3"/>
        <v>BFA38</v>
      </c>
      <c r="F1507" s="13">
        <v>20.0</v>
      </c>
      <c r="G1507" s="10" t="str">
        <f t="shared" si="4"/>
        <v>BFA38-20</v>
      </c>
      <c r="H1507" s="16"/>
      <c r="I1507" s="16" t="str">
        <f t="shared" si="5"/>
        <v>collected</v>
      </c>
      <c r="J1507" s="16" t="str">
        <f t="shared" si="6"/>
        <v>N</v>
      </c>
      <c r="K1507" s="16"/>
      <c r="L1507" s="16"/>
    </row>
    <row r="1508">
      <c r="A1508" s="40" t="s">
        <v>2051</v>
      </c>
      <c r="B1508" s="10" t="str">
        <f t="shared" si="1"/>
        <v>fatty_acid</v>
      </c>
      <c r="C1508" s="49" t="str">
        <f t="shared" si="2"/>
        <v>S16096FA1</v>
      </c>
      <c r="D1508" s="6">
        <v>38.0</v>
      </c>
      <c r="E1508" s="10" t="str">
        <f t="shared" si="3"/>
        <v>BFA38</v>
      </c>
      <c r="F1508" s="13">
        <v>21.0</v>
      </c>
      <c r="G1508" s="10" t="str">
        <f t="shared" si="4"/>
        <v>BFA38-21</v>
      </c>
      <c r="H1508" s="16"/>
      <c r="I1508" s="16" t="str">
        <f t="shared" si="5"/>
        <v>collected</v>
      </c>
      <c r="J1508" s="16" t="str">
        <f t="shared" si="6"/>
        <v>N</v>
      </c>
      <c r="K1508" s="16"/>
      <c r="L1508" s="16"/>
    </row>
    <row r="1509">
      <c r="A1509" s="40" t="s">
        <v>2052</v>
      </c>
      <c r="B1509" s="10" t="str">
        <f t="shared" si="1"/>
        <v>fatty_acid</v>
      </c>
      <c r="C1509" s="49" t="str">
        <f t="shared" si="2"/>
        <v>S16099FA1</v>
      </c>
      <c r="D1509" s="6">
        <v>38.0</v>
      </c>
      <c r="E1509" s="10" t="str">
        <f t="shared" si="3"/>
        <v>BFA38</v>
      </c>
      <c r="F1509" s="13">
        <v>22.0</v>
      </c>
      <c r="G1509" s="10" t="str">
        <f t="shared" si="4"/>
        <v>BFA38-22</v>
      </c>
      <c r="H1509" s="16"/>
      <c r="I1509" s="16" t="str">
        <f t="shared" si="5"/>
        <v>collected</v>
      </c>
      <c r="J1509" s="16" t="str">
        <f t="shared" si="6"/>
        <v>N</v>
      </c>
      <c r="K1509" s="16"/>
      <c r="L1509" s="16"/>
    </row>
    <row r="1510">
      <c r="A1510" s="40" t="s">
        <v>2053</v>
      </c>
      <c r="B1510" s="10" t="str">
        <f t="shared" si="1"/>
        <v>fatty_acid</v>
      </c>
      <c r="C1510" s="49" t="str">
        <f t="shared" si="2"/>
        <v>S16094FA1</v>
      </c>
      <c r="D1510" s="6">
        <v>38.0</v>
      </c>
      <c r="E1510" s="10" t="str">
        <f t="shared" si="3"/>
        <v>BFA38</v>
      </c>
      <c r="F1510" s="13">
        <v>23.0</v>
      </c>
      <c r="G1510" s="10" t="str">
        <f t="shared" si="4"/>
        <v>BFA38-23</v>
      </c>
      <c r="H1510" s="16"/>
      <c r="I1510" s="16" t="str">
        <f t="shared" si="5"/>
        <v>collected</v>
      </c>
      <c r="J1510" s="16" t="str">
        <f t="shared" si="6"/>
        <v>N</v>
      </c>
      <c r="K1510" s="16"/>
      <c r="L1510" s="16"/>
    </row>
    <row r="1511">
      <c r="A1511" s="40" t="s">
        <v>2054</v>
      </c>
      <c r="B1511" s="10" t="str">
        <f t="shared" si="1"/>
        <v>fatty_acid</v>
      </c>
      <c r="C1511" s="49" t="str">
        <f t="shared" si="2"/>
        <v>S17921FA1</v>
      </c>
      <c r="D1511" s="6">
        <v>38.0</v>
      </c>
      <c r="E1511" s="10" t="str">
        <f t="shared" si="3"/>
        <v>BFA38</v>
      </c>
      <c r="F1511" s="13">
        <v>24.0</v>
      </c>
      <c r="G1511" s="10" t="str">
        <f t="shared" si="4"/>
        <v>BFA38-24</v>
      </c>
      <c r="H1511" s="16"/>
      <c r="I1511" s="16" t="str">
        <f t="shared" si="5"/>
        <v>collected</v>
      </c>
      <c r="J1511" s="16" t="str">
        <f t="shared" si="6"/>
        <v>N</v>
      </c>
      <c r="K1511" s="16"/>
      <c r="L1511" s="16"/>
    </row>
    <row r="1512">
      <c r="A1512" s="40" t="s">
        <v>2055</v>
      </c>
      <c r="B1512" s="10" t="str">
        <f t="shared" si="1"/>
        <v>fatty_acid</v>
      </c>
      <c r="C1512" s="49" t="str">
        <f t="shared" si="2"/>
        <v>S16691FA1</v>
      </c>
      <c r="D1512" s="6">
        <v>38.0</v>
      </c>
      <c r="E1512" s="10" t="str">
        <f t="shared" si="3"/>
        <v>BFA38</v>
      </c>
      <c r="F1512" s="13">
        <v>25.0</v>
      </c>
      <c r="G1512" s="10" t="str">
        <f t="shared" si="4"/>
        <v>BFA38-25</v>
      </c>
      <c r="H1512" s="16"/>
      <c r="I1512" s="16" t="str">
        <f t="shared" si="5"/>
        <v>collected</v>
      </c>
      <c r="J1512" s="16" t="str">
        <f t="shared" si="6"/>
        <v>N</v>
      </c>
      <c r="K1512" s="16"/>
      <c r="L1512" s="16"/>
    </row>
    <row r="1513">
      <c r="A1513" s="40" t="s">
        <v>2056</v>
      </c>
      <c r="B1513" s="10" t="str">
        <f t="shared" si="1"/>
        <v>fatty_acid</v>
      </c>
      <c r="C1513" s="49" t="str">
        <f t="shared" si="2"/>
        <v>S16421FA1</v>
      </c>
      <c r="D1513" s="6">
        <v>38.0</v>
      </c>
      <c r="E1513" s="10" t="str">
        <f t="shared" si="3"/>
        <v>BFA38</v>
      </c>
      <c r="F1513" s="13">
        <v>26.0</v>
      </c>
      <c r="G1513" s="10" t="str">
        <f t="shared" si="4"/>
        <v>BFA38-26</v>
      </c>
      <c r="H1513" s="16"/>
      <c r="I1513" s="16" t="str">
        <f t="shared" si="5"/>
        <v>collected</v>
      </c>
      <c r="J1513" s="16" t="str">
        <f t="shared" si="6"/>
        <v>N</v>
      </c>
      <c r="K1513" s="16"/>
      <c r="L1513" s="16"/>
    </row>
    <row r="1514">
      <c r="A1514" s="40" t="s">
        <v>2057</v>
      </c>
      <c r="B1514" s="10" t="str">
        <f t="shared" si="1"/>
        <v>fatty_acid</v>
      </c>
      <c r="C1514" s="49" t="str">
        <f t="shared" si="2"/>
        <v>S16422FA1</v>
      </c>
      <c r="D1514" s="6">
        <v>38.0</v>
      </c>
      <c r="E1514" s="10" t="str">
        <f t="shared" si="3"/>
        <v>BFA38</v>
      </c>
      <c r="F1514" s="13">
        <v>27.0</v>
      </c>
      <c r="G1514" s="10" t="str">
        <f t="shared" si="4"/>
        <v>BFA38-27</v>
      </c>
      <c r="H1514" s="16"/>
      <c r="I1514" s="16" t="str">
        <f t="shared" si="5"/>
        <v>collected</v>
      </c>
      <c r="J1514" s="16" t="str">
        <f t="shared" si="6"/>
        <v>N</v>
      </c>
      <c r="K1514" s="16"/>
      <c r="L1514" s="16"/>
    </row>
    <row r="1515">
      <c r="A1515" s="40" t="s">
        <v>2058</v>
      </c>
      <c r="B1515" s="10" t="str">
        <f t="shared" si="1"/>
        <v>fatty_acid</v>
      </c>
      <c r="C1515" s="49" t="str">
        <f t="shared" si="2"/>
        <v>S16862FA1</v>
      </c>
      <c r="D1515" s="6">
        <v>38.0</v>
      </c>
      <c r="E1515" s="10" t="str">
        <f t="shared" si="3"/>
        <v>BFA38</v>
      </c>
      <c r="F1515" s="13">
        <v>28.0</v>
      </c>
      <c r="G1515" s="10" t="str">
        <f t="shared" si="4"/>
        <v>BFA38-28</v>
      </c>
      <c r="H1515" s="16"/>
      <c r="I1515" s="16" t="str">
        <f t="shared" si="5"/>
        <v>collected</v>
      </c>
      <c r="J1515" s="16" t="str">
        <f t="shared" si="6"/>
        <v>N</v>
      </c>
      <c r="K1515" s="16"/>
      <c r="L1515" s="16"/>
    </row>
    <row r="1516">
      <c r="A1516" s="40" t="s">
        <v>2059</v>
      </c>
      <c r="B1516" s="10" t="str">
        <f t="shared" si="1"/>
        <v>fatty_acid</v>
      </c>
      <c r="C1516" s="49" t="str">
        <f t="shared" si="2"/>
        <v>S16863FA1</v>
      </c>
      <c r="D1516" s="6">
        <v>38.0</v>
      </c>
      <c r="E1516" s="10" t="str">
        <f t="shared" si="3"/>
        <v>BFA38</v>
      </c>
      <c r="F1516" s="13">
        <v>29.0</v>
      </c>
      <c r="G1516" s="10" t="str">
        <f t="shared" si="4"/>
        <v>BFA38-29</v>
      </c>
      <c r="H1516" s="16"/>
      <c r="I1516" s="16" t="str">
        <f t="shared" si="5"/>
        <v>collected</v>
      </c>
      <c r="J1516" s="16" t="str">
        <f t="shared" si="6"/>
        <v>N</v>
      </c>
      <c r="K1516" s="16"/>
      <c r="L1516" s="16"/>
    </row>
    <row r="1517">
      <c r="A1517" s="40" t="s">
        <v>2060</v>
      </c>
      <c r="B1517" s="10" t="str">
        <f t="shared" si="1"/>
        <v>fatty_acid</v>
      </c>
      <c r="C1517" s="49" t="str">
        <f t="shared" si="2"/>
        <v>S16861FA1</v>
      </c>
      <c r="D1517" s="6">
        <v>38.0</v>
      </c>
      <c r="E1517" s="10" t="str">
        <f t="shared" si="3"/>
        <v>BFA38</v>
      </c>
      <c r="F1517" s="13">
        <v>30.0</v>
      </c>
      <c r="G1517" s="10" t="str">
        <f t="shared" si="4"/>
        <v>BFA38-30</v>
      </c>
      <c r="H1517" s="16"/>
      <c r="I1517" s="16" t="str">
        <f t="shared" si="5"/>
        <v>collected</v>
      </c>
      <c r="J1517" s="16" t="str">
        <f t="shared" si="6"/>
        <v>N</v>
      </c>
      <c r="K1517" s="16"/>
      <c r="L1517" s="16"/>
    </row>
    <row r="1518">
      <c r="A1518" s="40" t="s">
        <v>2061</v>
      </c>
      <c r="B1518" s="10" t="str">
        <f t="shared" si="1"/>
        <v>fatty_acid</v>
      </c>
      <c r="C1518" s="49" t="str">
        <f t="shared" si="2"/>
        <v>S16721FA1</v>
      </c>
      <c r="D1518" s="6">
        <v>38.0</v>
      </c>
      <c r="E1518" s="10" t="str">
        <f t="shared" si="3"/>
        <v>BFA38</v>
      </c>
      <c r="F1518" s="13">
        <v>31.0</v>
      </c>
      <c r="G1518" s="10" t="str">
        <f t="shared" si="4"/>
        <v>BFA38-31</v>
      </c>
      <c r="H1518" s="16"/>
      <c r="I1518" s="16" t="str">
        <f t="shared" si="5"/>
        <v>collected</v>
      </c>
      <c r="J1518" s="16" t="str">
        <f t="shared" si="6"/>
        <v>N</v>
      </c>
      <c r="K1518" s="16"/>
      <c r="L1518" s="16"/>
    </row>
    <row r="1519">
      <c r="A1519" s="40" t="s">
        <v>2062</v>
      </c>
      <c r="B1519" s="10" t="str">
        <f t="shared" si="1"/>
        <v>fatty_acid</v>
      </c>
      <c r="C1519" s="49" t="str">
        <f t="shared" si="2"/>
        <v>S16131FA1</v>
      </c>
      <c r="D1519" s="6">
        <v>38.0</v>
      </c>
      <c r="E1519" s="10" t="str">
        <f t="shared" si="3"/>
        <v>BFA38</v>
      </c>
      <c r="F1519" s="13">
        <v>32.0</v>
      </c>
      <c r="G1519" s="10" t="str">
        <f t="shared" si="4"/>
        <v>BFA38-32</v>
      </c>
      <c r="H1519" s="16"/>
      <c r="I1519" s="16" t="str">
        <f t="shared" si="5"/>
        <v>collected</v>
      </c>
      <c r="J1519" s="16" t="str">
        <f t="shared" si="6"/>
        <v>N</v>
      </c>
      <c r="K1519" s="16"/>
      <c r="L1519" s="16"/>
    </row>
    <row r="1520">
      <c r="A1520" s="27" t="s">
        <v>2063</v>
      </c>
      <c r="B1520" s="10" t="str">
        <f t="shared" si="1"/>
        <v>fatty_acid</v>
      </c>
      <c r="C1520" s="49" t="str">
        <f t="shared" si="2"/>
        <v>S17841FA1</v>
      </c>
      <c r="D1520" s="6">
        <v>38.0</v>
      </c>
      <c r="E1520" s="10" t="str">
        <f t="shared" si="3"/>
        <v>BFA38</v>
      </c>
      <c r="F1520" s="13">
        <v>33.0</v>
      </c>
      <c r="G1520" s="10" t="str">
        <f t="shared" si="4"/>
        <v>BFA38-33</v>
      </c>
      <c r="H1520" s="16"/>
      <c r="I1520" s="16" t="str">
        <f t="shared" si="5"/>
        <v>collected</v>
      </c>
      <c r="J1520" s="16" t="str">
        <f t="shared" si="6"/>
        <v>N</v>
      </c>
      <c r="K1520" s="16"/>
      <c r="L1520" s="16"/>
    </row>
    <row r="1521">
      <c r="A1521" s="27" t="s">
        <v>2064</v>
      </c>
      <c r="B1521" s="10" t="str">
        <f t="shared" si="1"/>
        <v>fatty_acid</v>
      </c>
      <c r="C1521" s="49" t="str">
        <f t="shared" si="2"/>
        <v>S16331FA1</v>
      </c>
      <c r="D1521" s="6">
        <v>38.0</v>
      </c>
      <c r="E1521" s="10" t="str">
        <f t="shared" si="3"/>
        <v>BFA38</v>
      </c>
      <c r="F1521" s="13">
        <v>34.0</v>
      </c>
      <c r="G1521" s="10" t="str">
        <f t="shared" si="4"/>
        <v>BFA38-34</v>
      </c>
      <c r="H1521" s="16"/>
      <c r="I1521" s="16" t="str">
        <f t="shared" si="5"/>
        <v>collected</v>
      </c>
      <c r="J1521" s="16" t="str">
        <f t="shared" si="6"/>
        <v>N</v>
      </c>
      <c r="K1521" s="16"/>
      <c r="L1521" s="16"/>
    </row>
    <row r="1522">
      <c r="A1522" s="27" t="s">
        <v>2065</v>
      </c>
      <c r="B1522" s="10" t="str">
        <f t="shared" si="1"/>
        <v>fatty_acid</v>
      </c>
      <c r="C1522" s="49" t="str">
        <f t="shared" si="2"/>
        <v>S17481FA1</v>
      </c>
      <c r="D1522" s="6">
        <v>38.0</v>
      </c>
      <c r="E1522" s="10" t="str">
        <f t="shared" si="3"/>
        <v>BFA38</v>
      </c>
      <c r="F1522" s="13">
        <v>35.0</v>
      </c>
      <c r="G1522" s="10" t="str">
        <f t="shared" si="4"/>
        <v>BFA38-35</v>
      </c>
      <c r="H1522" s="16"/>
      <c r="I1522" s="16" t="str">
        <f t="shared" si="5"/>
        <v>collected</v>
      </c>
      <c r="J1522" s="16" t="str">
        <f t="shared" si="6"/>
        <v>N</v>
      </c>
      <c r="K1522" s="16"/>
      <c r="L1522" s="16"/>
    </row>
    <row r="1523">
      <c r="A1523" s="27" t="s">
        <v>2066</v>
      </c>
      <c r="B1523" s="10" t="str">
        <f t="shared" si="1"/>
        <v>fatty_acid</v>
      </c>
      <c r="C1523" s="49" t="str">
        <f t="shared" si="2"/>
        <v>S16071FA1</v>
      </c>
      <c r="D1523" s="6">
        <v>38.0</v>
      </c>
      <c r="E1523" s="10" t="str">
        <f t="shared" si="3"/>
        <v>BFA38</v>
      </c>
      <c r="F1523" s="13">
        <v>36.0</v>
      </c>
      <c r="G1523" s="10" t="str">
        <f t="shared" si="4"/>
        <v>BFA38-36</v>
      </c>
      <c r="H1523" s="16"/>
      <c r="I1523" s="16" t="str">
        <f t="shared" si="5"/>
        <v>collected</v>
      </c>
      <c r="J1523" s="16" t="str">
        <f t="shared" si="6"/>
        <v>N</v>
      </c>
      <c r="K1523" s="16"/>
      <c r="L1523" s="16"/>
    </row>
    <row r="1524">
      <c r="A1524" s="27" t="s">
        <v>2067</v>
      </c>
      <c r="B1524" s="10" t="str">
        <f t="shared" si="1"/>
        <v>fatty_acid</v>
      </c>
      <c r="C1524" s="49" t="str">
        <f t="shared" si="2"/>
        <v>S17031FA1</v>
      </c>
      <c r="D1524" s="6">
        <v>38.0</v>
      </c>
      <c r="E1524" s="10" t="str">
        <f t="shared" si="3"/>
        <v>BFA38</v>
      </c>
      <c r="F1524" s="13">
        <v>37.0</v>
      </c>
      <c r="G1524" s="10" t="str">
        <f t="shared" si="4"/>
        <v>BFA38-37</v>
      </c>
      <c r="H1524" s="16"/>
      <c r="I1524" s="16" t="str">
        <f t="shared" si="5"/>
        <v>collected</v>
      </c>
      <c r="J1524" s="16" t="str">
        <f t="shared" si="6"/>
        <v>N</v>
      </c>
      <c r="K1524" s="16"/>
      <c r="L1524" s="16"/>
    </row>
    <row r="1525">
      <c r="A1525" s="27" t="s">
        <v>2068</v>
      </c>
      <c r="B1525" s="10" t="str">
        <f t="shared" si="1"/>
        <v>fatty_acid</v>
      </c>
      <c r="C1525" s="49" t="str">
        <f t="shared" si="2"/>
        <v>S17061FA1</v>
      </c>
      <c r="D1525" s="6">
        <v>38.0</v>
      </c>
      <c r="E1525" s="10" t="str">
        <f t="shared" si="3"/>
        <v>BFA38</v>
      </c>
      <c r="F1525" s="13">
        <v>38.0</v>
      </c>
      <c r="G1525" s="10" t="str">
        <f t="shared" si="4"/>
        <v>BFA38-38</v>
      </c>
      <c r="H1525" s="16"/>
      <c r="I1525" s="16" t="str">
        <f t="shared" si="5"/>
        <v>collected</v>
      </c>
      <c r="J1525" s="16" t="str">
        <f t="shared" si="6"/>
        <v>N</v>
      </c>
      <c r="K1525" s="16"/>
      <c r="L1525" s="16"/>
    </row>
    <row r="1526">
      <c r="A1526" s="27" t="s">
        <v>2069</v>
      </c>
      <c r="B1526" s="10" t="str">
        <f t="shared" si="1"/>
        <v>fatty_acid</v>
      </c>
      <c r="C1526" s="49" t="str">
        <f t="shared" si="2"/>
        <v>S16381FA1</v>
      </c>
      <c r="D1526" s="6">
        <v>38.0</v>
      </c>
      <c r="E1526" s="10" t="str">
        <f t="shared" si="3"/>
        <v>BFA38</v>
      </c>
      <c r="F1526" s="13">
        <v>39.0</v>
      </c>
      <c r="G1526" s="10" t="str">
        <f t="shared" si="4"/>
        <v>BFA38-39</v>
      </c>
      <c r="H1526" s="16"/>
      <c r="I1526" s="16" t="str">
        <f t="shared" si="5"/>
        <v>collected</v>
      </c>
      <c r="J1526" s="16" t="str">
        <f t="shared" si="6"/>
        <v>N</v>
      </c>
      <c r="K1526" s="16"/>
      <c r="L1526" s="16"/>
    </row>
    <row r="1527">
      <c r="A1527" s="27" t="s">
        <v>2070</v>
      </c>
      <c r="B1527" s="10" t="str">
        <f t="shared" si="1"/>
        <v>fatty_acid</v>
      </c>
      <c r="C1527" s="49" t="str">
        <f t="shared" si="2"/>
        <v>S16311FA1</v>
      </c>
      <c r="D1527" s="6">
        <v>38.0</v>
      </c>
      <c r="E1527" s="10" t="str">
        <f t="shared" si="3"/>
        <v>BFA38</v>
      </c>
      <c r="F1527" s="13">
        <v>40.0</v>
      </c>
      <c r="G1527" s="10" t="str">
        <f t="shared" si="4"/>
        <v>BFA38-40</v>
      </c>
      <c r="H1527" s="16"/>
      <c r="I1527" s="16" t="str">
        <f t="shared" si="5"/>
        <v>collected</v>
      </c>
      <c r="J1527" s="16" t="str">
        <f t="shared" si="6"/>
        <v>N</v>
      </c>
      <c r="K1527" s="16"/>
      <c r="L1527" s="16"/>
    </row>
    <row r="1528">
      <c r="A1528" s="27" t="s">
        <v>2071</v>
      </c>
      <c r="B1528" s="10" t="str">
        <f t="shared" si="1"/>
        <v>fatty_acid</v>
      </c>
      <c r="C1528" s="49" t="str">
        <f t="shared" si="2"/>
        <v>S16312FA1</v>
      </c>
      <c r="D1528" s="6">
        <v>38.0</v>
      </c>
      <c r="E1528" s="10" t="str">
        <f t="shared" si="3"/>
        <v>BFA38</v>
      </c>
      <c r="F1528" s="13">
        <v>41.0</v>
      </c>
      <c r="G1528" s="10" t="str">
        <f t="shared" si="4"/>
        <v>BFA38-41</v>
      </c>
      <c r="H1528" s="16"/>
      <c r="I1528" s="16" t="str">
        <f t="shared" si="5"/>
        <v>collected</v>
      </c>
      <c r="J1528" s="16" t="str">
        <f t="shared" si="6"/>
        <v>N</v>
      </c>
      <c r="K1528" s="16"/>
      <c r="L1528" s="16"/>
    </row>
    <row r="1529">
      <c r="A1529" s="27" t="s">
        <v>2072</v>
      </c>
      <c r="B1529" s="10" t="str">
        <f t="shared" si="1"/>
        <v>fatty_acid</v>
      </c>
      <c r="C1529" s="49" t="str">
        <f t="shared" si="2"/>
        <v>S16371FA1</v>
      </c>
      <c r="D1529" s="6">
        <v>38.0</v>
      </c>
      <c r="E1529" s="10" t="str">
        <f t="shared" si="3"/>
        <v>BFA38</v>
      </c>
      <c r="F1529" s="13">
        <v>42.0</v>
      </c>
      <c r="G1529" s="10" t="str">
        <f t="shared" si="4"/>
        <v>BFA38-42</v>
      </c>
      <c r="H1529" s="16"/>
      <c r="I1529" s="16" t="str">
        <f t="shared" si="5"/>
        <v>collected</v>
      </c>
      <c r="J1529" s="16" t="str">
        <f t="shared" si="6"/>
        <v>N</v>
      </c>
      <c r="K1529" s="16"/>
      <c r="L1529" s="16"/>
    </row>
    <row r="1530">
      <c r="A1530" s="27" t="s">
        <v>2073</v>
      </c>
      <c r="B1530" s="10" t="str">
        <f t="shared" si="1"/>
        <v>fatty_acid</v>
      </c>
      <c r="C1530" s="49" t="str">
        <f t="shared" si="2"/>
        <v>S16372FA1</v>
      </c>
      <c r="D1530" s="6">
        <v>38.0</v>
      </c>
      <c r="E1530" s="10" t="str">
        <f t="shared" si="3"/>
        <v>BFA38</v>
      </c>
      <c r="F1530" s="13">
        <v>43.0</v>
      </c>
      <c r="G1530" s="10" t="str">
        <f t="shared" si="4"/>
        <v>BFA38-43</v>
      </c>
      <c r="H1530" s="16"/>
      <c r="I1530" s="16" t="str">
        <f t="shared" si="5"/>
        <v>collected</v>
      </c>
      <c r="J1530" s="16" t="str">
        <f t="shared" si="6"/>
        <v>N</v>
      </c>
      <c r="K1530" s="16"/>
      <c r="L1530" s="16"/>
    </row>
    <row r="1531">
      <c r="A1531" s="27" t="s">
        <v>2074</v>
      </c>
      <c r="B1531" s="10" t="str">
        <f t="shared" si="1"/>
        <v>fatty_acid</v>
      </c>
      <c r="C1531" s="49" t="str">
        <f t="shared" si="2"/>
        <v>S16171FA1</v>
      </c>
      <c r="D1531" s="6">
        <v>38.0</v>
      </c>
      <c r="E1531" s="10" t="str">
        <f t="shared" si="3"/>
        <v>BFA38</v>
      </c>
      <c r="F1531" s="13">
        <v>44.0</v>
      </c>
      <c r="G1531" s="10" t="str">
        <f t="shared" si="4"/>
        <v>BFA38-44</v>
      </c>
      <c r="H1531" s="16"/>
      <c r="I1531" s="16" t="str">
        <f t="shared" si="5"/>
        <v>collected</v>
      </c>
      <c r="J1531" s="16" t="str">
        <f t="shared" si="6"/>
        <v>N</v>
      </c>
      <c r="K1531" s="16"/>
      <c r="L1531" s="16"/>
    </row>
    <row r="1532">
      <c r="A1532" s="27" t="s">
        <v>2075</v>
      </c>
      <c r="B1532" s="10" t="str">
        <f t="shared" si="1"/>
        <v>fatty_acid</v>
      </c>
      <c r="C1532" s="49" t="str">
        <f t="shared" si="2"/>
        <v>S16172FA1</v>
      </c>
      <c r="D1532" s="6">
        <v>38.0</v>
      </c>
      <c r="E1532" s="10" t="str">
        <f t="shared" si="3"/>
        <v>BFA38</v>
      </c>
      <c r="F1532" s="13">
        <v>45.0</v>
      </c>
      <c r="G1532" s="10" t="str">
        <f t="shared" si="4"/>
        <v>BFA38-45</v>
      </c>
      <c r="H1532" s="16"/>
      <c r="I1532" s="16" t="str">
        <f t="shared" si="5"/>
        <v>collected</v>
      </c>
      <c r="J1532" s="16" t="str">
        <f t="shared" si="6"/>
        <v>N</v>
      </c>
      <c r="K1532" s="16"/>
      <c r="L1532" s="16"/>
    </row>
    <row r="1533">
      <c r="A1533" s="27" t="s">
        <v>2076</v>
      </c>
      <c r="B1533" s="10" t="str">
        <f t="shared" si="1"/>
        <v>fatty_acid</v>
      </c>
      <c r="C1533" s="49" t="str">
        <f t="shared" si="2"/>
        <v>S16216FA1</v>
      </c>
      <c r="D1533" s="6">
        <v>38.0</v>
      </c>
      <c r="E1533" s="10" t="str">
        <f t="shared" si="3"/>
        <v>BFA38</v>
      </c>
      <c r="F1533" s="13">
        <v>46.0</v>
      </c>
      <c r="G1533" s="10" t="str">
        <f t="shared" si="4"/>
        <v>BFA38-46</v>
      </c>
      <c r="H1533" s="16"/>
      <c r="I1533" s="16" t="str">
        <f t="shared" si="5"/>
        <v>collected</v>
      </c>
      <c r="J1533" s="16" t="str">
        <f t="shared" si="6"/>
        <v>N</v>
      </c>
      <c r="K1533" s="16"/>
      <c r="L1533" s="16"/>
    </row>
    <row r="1534">
      <c r="A1534" s="27" t="s">
        <v>2077</v>
      </c>
      <c r="B1534" s="10" t="str">
        <f t="shared" si="1"/>
        <v>fatty_acid</v>
      </c>
      <c r="C1534" s="49" t="str">
        <f t="shared" si="2"/>
        <v>S16211FA1</v>
      </c>
      <c r="D1534" s="6">
        <v>38.0</v>
      </c>
      <c r="E1534" s="10" t="str">
        <f t="shared" si="3"/>
        <v>BFA38</v>
      </c>
      <c r="F1534" s="13">
        <v>47.0</v>
      </c>
      <c r="G1534" s="10" t="str">
        <f t="shared" si="4"/>
        <v>BFA38-47</v>
      </c>
      <c r="H1534" s="16"/>
      <c r="I1534" s="16" t="str">
        <f t="shared" si="5"/>
        <v>collected</v>
      </c>
      <c r="J1534" s="16" t="str">
        <f t="shared" si="6"/>
        <v>N</v>
      </c>
      <c r="K1534" s="16"/>
      <c r="L1534" s="16"/>
    </row>
    <row r="1535">
      <c r="A1535" s="27" t="s">
        <v>2078</v>
      </c>
      <c r="B1535" s="10" t="str">
        <f t="shared" si="1"/>
        <v>fatty_acid</v>
      </c>
      <c r="C1535" s="49" t="str">
        <f t="shared" si="2"/>
        <v>S16212FA1</v>
      </c>
      <c r="D1535" s="6">
        <v>38.0</v>
      </c>
      <c r="E1535" s="10" t="str">
        <f t="shared" si="3"/>
        <v>BFA38</v>
      </c>
      <c r="F1535" s="13">
        <v>48.0</v>
      </c>
      <c r="G1535" s="10" t="str">
        <f t="shared" si="4"/>
        <v>BFA38-48</v>
      </c>
      <c r="H1535" s="16"/>
      <c r="I1535" s="16" t="str">
        <f t="shared" si="5"/>
        <v>collected</v>
      </c>
      <c r="J1535" s="16" t="str">
        <f t="shared" si="6"/>
        <v>N</v>
      </c>
      <c r="K1535" s="16"/>
      <c r="L1535" s="16"/>
    </row>
    <row r="1536">
      <c r="A1536" s="27" t="s">
        <v>2079</v>
      </c>
      <c r="B1536" s="10" t="str">
        <f t="shared" si="1"/>
        <v>fatty_acid</v>
      </c>
      <c r="C1536" s="49" t="str">
        <f t="shared" si="2"/>
        <v>S16213FA1</v>
      </c>
      <c r="D1536" s="6">
        <v>38.0</v>
      </c>
      <c r="E1536" s="10" t="str">
        <f t="shared" si="3"/>
        <v>BFA38</v>
      </c>
      <c r="F1536" s="13">
        <v>49.0</v>
      </c>
      <c r="G1536" s="10" t="str">
        <f t="shared" si="4"/>
        <v>BFA38-49</v>
      </c>
      <c r="H1536" s="16"/>
      <c r="I1536" s="16" t="str">
        <f t="shared" si="5"/>
        <v>collected</v>
      </c>
      <c r="J1536" s="16" t="str">
        <f t="shared" si="6"/>
        <v>N</v>
      </c>
      <c r="K1536" s="16"/>
      <c r="L1536" s="16"/>
    </row>
    <row r="1537">
      <c r="A1537" s="27" t="s">
        <v>2080</v>
      </c>
      <c r="B1537" s="10" t="str">
        <f t="shared" si="1"/>
        <v>fatty_acid</v>
      </c>
      <c r="C1537" s="49" t="str">
        <f t="shared" si="2"/>
        <v>S16215FA1</v>
      </c>
      <c r="D1537" s="6">
        <v>38.0</v>
      </c>
      <c r="E1537" s="10" t="str">
        <f t="shared" si="3"/>
        <v>BFA38</v>
      </c>
      <c r="F1537" s="13">
        <v>50.0</v>
      </c>
      <c r="G1537" s="10" t="str">
        <f t="shared" si="4"/>
        <v>BFA38-50</v>
      </c>
      <c r="H1537" s="16"/>
      <c r="I1537" s="16" t="str">
        <f t="shared" si="5"/>
        <v>collected</v>
      </c>
      <c r="J1537" s="16" t="str">
        <f t="shared" si="6"/>
        <v>N</v>
      </c>
      <c r="K1537" s="16"/>
      <c r="L1537" s="16"/>
    </row>
    <row r="1538">
      <c r="A1538" s="27" t="s">
        <v>2081</v>
      </c>
      <c r="B1538" s="10" t="str">
        <f t="shared" si="1"/>
        <v>fatty_acid</v>
      </c>
      <c r="C1538" s="49" t="str">
        <f t="shared" si="2"/>
        <v>S16214FA1</v>
      </c>
      <c r="D1538" s="6">
        <v>38.0</v>
      </c>
      <c r="E1538" s="10" t="str">
        <f t="shared" si="3"/>
        <v>BFA38</v>
      </c>
      <c r="F1538" s="13">
        <v>51.0</v>
      </c>
      <c r="G1538" s="10" t="str">
        <f t="shared" si="4"/>
        <v>BFA38-51</v>
      </c>
      <c r="H1538" s="16"/>
      <c r="I1538" s="16" t="str">
        <f t="shared" si="5"/>
        <v>collected</v>
      </c>
      <c r="J1538" s="16" t="str">
        <f t="shared" si="6"/>
        <v>N</v>
      </c>
      <c r="K1538" s="16"/>
      <c r="L1538" s="16"/>
    </row>
    <row r="1539">
      <c r="A1539" s="27" t="s">
        <v>2082</v>
      </c>
      <c r="B1539" s="10" t="str">
        <f t="shared" si="1"/>
        <v>fatty_acid</v>
      </c>
      <c r="C1539" s="49" t="str">
        <f t="shared" si="2"/>
        <v>S17641FA1</v>
      </c>
      <c r="D1539" s="6">
        <v>38.0</v>
      </c>
      <c r="E1539" s="10" t="str">
        <f t="shared" si="3"/>
        <v>BFA38</v>
      </c>
      <c r="F1539" s="13">
        <v>52.0</v>
      </c>
      <c r="G1539" s="10" t="str">
        <f t="shared" si="4"/>
        <v>BFA38-52</v>
      </c>
      <c r="H1539" s="16"/>
      <c r="I1539" s="16" t="str">
        <f t="shared" si="5"/>
        <v>collected</v>
      </c>
      <c r="J1539" s="16" t="str">
        <f t="shared" si="6"/>
        <v>N</v>
      </c>
      <c r="K1539" s="16"/>
      <c r="L1539" s="16"/>
    </row>
    <row r="1540">
      <c r="A1540" s="27" t="s">
        <v>2083</v>
      </c>
      <c r="B1540" s="10" t="str">
        <f t="shared" si="1"/>
        <v>fatty_acid</v>
      </c>
      <c r="C1540" s="49" t="str">
        <f t="shared" si="2"/>
        <v>S16531FA1</v>
      </c>
      <c r="D1540" s="6">
        <v>38.0</v>
      </c>
      <c r="E1540" s="10" t="str">
        <f t="shared" si="3"/>
        <v>BFA38</v>
      </c>
      <c r="F1540" s="13">
        <v>53.0</v>
      </c>
      <c r="G1540" s="10" t="str">
        <f t="shared" si="4"/>
        <v>BFA38-53</v>
      </c>
      <c r="H1540" s="16"/>
      <c r="I1540" s="16" t="str">
        <f t="shared" si="5"/>
        <v>collected</v>
      </c>
      <c r="J1540" s="16" t="str">
        <f t="shared" si="6"/>
        <v>N</v>
      </c>
      <c r="K1540" s="16"/>
      <c r="L1540" s="16"/>
    </row>
    <row r="1541">
      <c r="A1541" s="27" t="s">
        <v>2084</v>
      </c>
      <c r="B1541" s="10" t="str">
        <f t="shared" si="1"/>
        <v>fatty_acid</v>
      </c>
      <c r="C1541" s="49" t="str">
        <f t="shared" si="2"/>
        <v>S17431FA1</v>
      </c>
      <c r="D1541" s="6">
        <v>38.0</v>
      </c>
      <c r="E1541" s="10" t="str">
        <f t="shared" si="3"/>
        <v>BFA38</v>
      </c>
      <c r="F1541" s="13">
        <v>54.0</v>
      </c>
      <c r="G1541" s="10" t="str">
        <f t="shared" si="4"/>
        <v>BFA38-54</v>
      </c>
      <c r="H1541" s="16"/>
      <c r="I1541" s="16" t="str">
        <f t="shared" si="5"/>
        <v>collected</v>
      </c>
      <c r="J1541" s="16" t="str">
        <f t="shared" si="6"/>
        <v>N</v>
      </c>
      <c r="K1541" s="16"/>
      <c r="L1541" s="16"/>
    </row>
    <row r="1542">
      <c r="A1542" s="40" t="s">
        <v>2085</v>
      </c>
      <c r="B1542" s="10" t="str">
        <f t="shared" si="1"/>
        <v>fatty_acid</v>
      </c>
      <c r="C1542" s="49" t="str">
        <f t="shared" si="2"/>
        <v>S16633FA1</v>
      </c>
      <c r="D1542" s="6">
        <v>39.0</v>
      </c>
      <c r="E1542" s="10" t="str">
        <f t="shared" si="3"/>
        <v>BFA39</v>
      </c>
      <c r="F1542" s="13">
        <v>8.0</v>
      </c>
      <c r="G1542" s="10" t="str">
        <f t="shared" si="4"/>
        <v>BFA39-8</v>
      </c>
      <c r="H1542" s="16"/>
      <c r="I1542" s="16" t="str">
        <f t="shared" si="5"/>
        <v>collected</v>
      </c>
      <c r="J1542" s="16" t="str">
        <f t="shared" si="6"/>
        <v>N</v>
      </c>
      <c r="K1542" s="16"/>
      <c r="L1542" s="16"/>
    </row>
    <row r="1543">
      <c r="A1543" s="40" t="s">
        <v>2086</v>
      </c>
      <c r="B1543" s="10" t="str">
        <f t="shared" si="1"/>
        <v>fatty_acid</v>
      </c>
      <c r="C1543" s="49" t="str">
        <f t="shared" si="2"/>
        <v>S16637FA1</v>
      </c>
      <c r="D1543" s="6">
        <v>39.0</v>
      </c>
      <c r="E1543" s="10" t="str">
        <f t="shared" si="3"/>
        <v>BFA39</v>
      </c>
      <c r="F1543" s="13">
        <v>9.0</v>
      </c>
      <c r="G1543" s="10" t="str">
        <f t="shared" si="4"/>
        <v>BFA39-9</v>
      </c>
      <c r="H1543" s="16"/>
      <c r="I1543" s="16" t="str">
        <f t="shared" si="5"/>
        <v>collected</v>
      </c>
      <c r="J1543" s="16" t="str">
        <f t="shared" si="6"/>
        <v>N</v>
      </c>
      <c r="K1543" s="16"/>
      <c r="L1543" s="16"/>
    </row>
    <row r="1544">
      <c r="A1544" s="40" t="s">
        <v>2087</v>
      </c>
      <c r="B1544" s="10" t="str">
        <f t="shared" si="1"/>
        <v>fatty_acid</v>
      </c>
      <c r="C1544" s="49" t="str">
        <f t="shared" si="2"/>
        <v>S17250FA1</v>
      </c>
      <c r="D1544" s="6">
        <v>39.0</v>
      </c>
      <c r="E1544" s="10" t="str">
        <f t="shared" si="3"/>
        <v>BFA39</v>
      </c>
      <c r="F1544" s="13">
        <v>10.0</v>
      </c>
      <c r="G1544" s="10" t="str">
        <f t="shared" si="4"/>
        <v>BFA39-10</v>
      </c>
      <c r="H1544" s="16"/>
      <c r="I1544" s="16" t="str">
        <f t="shared" si="5"/>
        <v>collected</v>
      </c>
      <c r="J1544" s="16" t="str">
        <f t="shared" si="6"/>
        <v>N</v>
      </c>
      <c r="K1544" s="16"/>
      <c r="L1544" s="16"/>
    </row>
    <row r="1545">
      <c r="A1545" s="40" t="s">
        <v>2088</v>
      </c>
      <c r="B1545" s="10" t="str">
        <f t="shared" si="1"/>
        <v>fatty_acid</v>
      </c>
      <c r="C1545" s="49" t="str">
        <f t="shared" si="2"/>
        <v>S17249FA1</v>
      </c>
      <c r="D1545" s="6">
        <v>39.0</v>
      </c>
      <c r="E1545" s="10" t="str">
        <f t="shared" si="3"/>
        <v>BFA39</v>
      </c>
      <c r="F1545" s="13">
        <v>11.0</v>
      </c>
      <c r="G1545" s="10" t="str">
        <f t="shared" si="4"/>
        <v>BFA39-11</v>
      </c>
      <c r="H1545" s="16"/>
      <c r="I1545" s="16" t="str">
        <f t="shared" si="5"/>
        <v>collected</v>
      </c>
      <c r="J1545" s="16" t="str">
        <f t="shared" si="6"/>
        <v>N</v>
      </c>
      <c r="K1545" s="16"/>
      <c r="L1545" s="16"/>
    </row>
    <row r="1546">
      <c r="A1546" s="40" t="s">
        <v>2089</v>
      </c>
      <c r="B1546" s="10" t="str">
        <f t="shared" si="1"/>
        <v>fatty_acid</v>
      </c>
      <c r="C1546" s="49" t="str">
        <f t="shared" si="2"/>
        <v>S17247FA1</v>
      </c>
      <c r="D1546" s="6">
        <v>39.0</v>
      </c>
      <c r="E1546" s="10" t="str">
        <f t="shared" si="3"/>
        <v>BFA39</v>
      </c>
      <c r="F1546" s="13">
        <v>12.0</v>
      </c>
      <c r="G1546" s="10" t="str">
        <f t="shared" si="4"/>
        <v>BFA39-12</v>
      </c>
      <c r="H1546" s="16"/>
      <c r="I1546" s="16" t="str">
        <f t="shared" si="5"/>
        <v>collected</v>
      </c>
      <c r="J1546" s="16" t="str">
        <f t="shared" si="6"/>
        <v>N</v>
      </c>
      <c r="K1546" s="16"/>
      <c r="L1546" s="16"/>
    </row>
    <row r="1547">
      <c r="A1547" s="40" t="s">
        <v>2090</v>
      </c>
      <c r="B1547" s="10" t="str">
        <f t="shared" si="1"/>
        <v>fatty_acid</v>
      </c>
      <c r="C1547" s="49" t="str">
        <f t="shared" si="2"/>
        <v>S17248FA1</v>
      </c>
      <c r="D1547" s="6">
        <v>39.0</v>
      </c>
      <c r="E1547" s="10" t="str">
        <f t="shared" si="3"/>
        <v>BFA39</v>
      </c>
      <c r="F1547" s="13">
        <v>13.0</v>
      </c>
      <c r="G1547" s="10" t="str">
        <f t="shared" si="4"/>
        <v>BFA39-13</v>
      </c>
      <c r="H1547" s="16"/>
      <c r="I1547" s="16" t="str">
        <f t="shared" si="5"/>
        <v>collected</v>
      </c>
      <c r="J1547" s="16" t="str">
        <f t="shared" si="6"/>
        <v>N</v>
      </c>
      <c r="K1547" s="16"/>
      <c r="L1547" s="16"/>
    </row>
    <row r="1548">
      <c r="A1548" s="40" t="s">
        <v>2091</v>
      </c>
      <c r="B1548" s="10" t="str">
        <f t="shared" si="1"/>
        <v>fatty_acid</v>
      </c>
      <c r="C1548" s="49" t="str">
        <f t="shared" si="2"/>
        <v>S17245FA1</v>
      </c>
      <c r="D1548" s="6">
        <v>39.0</v>
      </c>
      <c r="E1548" s="10" t="str">
        <f t="shared" si="3"/>
        <v>BFA39</v>
      </c>
      <c r="F1548" s="13">
        <v>14.0</v>
      </c>
      <c r="G1548" s="10" t="str">
        <f t="shared" si="4"/>
        <v>BFA39-14</v>
      </c>
      <c r="H1548" s="16"/>
      <c r="I1548" s="16" t="str">
        <f t="shared" si="5"/>
        <v>collected</v>
      </c>
      <c r="J1548" s="16" t="str">
        <f t="shared" si="6"/>
        <v>N</v>
      </c>
      <c r="K1548" s="16"/>
      <c r="L1548" s="16"/>
    </row>
    <row r="1549">
      <c r="A1549" s="40" t="s">
        <v>2092</v>
      </c>
      <c r="B1549" s="10" t="str">
        <f t="shared" si="1"/>
        <v>fatty_acid</v>
      </c>
      <c r="C1549" s="49" t="str">
        <f t="shared" si="2"/>
        <v>S17246FA1</v>
      </c>
      <c r="D1549" s="6">
        <v>39.0</v>
      </c>
      <c r="E1549" s="10" t="str">
        <f t="shared" si="3"/>
        <v>BFA39</v>
      </c>
      <c r="F1549" s="13">
        <v>15.0</v>
      </c>
      <c r="G1549" s="10" t="str">
        <f t="shared" si="4"/>
        <v>BFA39-15</v>
      </c>
      <c r="H1549" s="16"/>
      <c r="I1549" s="16" t="str">
        <f t="shared" si="5"/>
        <v>collected</v>
      </c>
      <c r="J1549" s="16" t="str">
        <f t="shared" si="6"/>
        <v>N</v>
      </c>
      <c r="K1549" s="16"/>
      <c r="L1549" s="16"/>
    </row>
    <row r="1550">
      <c r="A1550" s="40" t="s">
        <v>2094</v>
      </c>
      <c r="B1550" s="10" t="str">
        <f t="shared" si="1"/>
        <v>fatty_acid</v>
      </c>
      <c r="C1550" s="49" t="str">
        <f t="shared" si="2"/>
        <v>S17243FA1</v>
      </c>
      <c r="D1550" s="6">
        <v>39.0</v>
      </c>
      <c r="E1550" s="10" t="str">
        <f t="shared" si="3"/>
        <v>BFA39</v>
      </c>
      <c r="F1550" s="13">
        <v>16.0</v>
      </c>
      <c r="G1550" s="10" t="str">
        <f t="shared" si="4"/>
        <v>BFA39-16</v>
      </c>
      <c r="H1550" s="16"/>
      <c r="I1550" s="16" t="str">
        <f t="shared" si="5"/>
        <v>collected</v>
      </c>
      <c r="J1550" s="16" t="str">
        <f t="shared" si="6"/>
        <v>N</v>
      </c>
      <c r="K1550" s="16"/>
      <c r="L1550" s="16"/>
    </row>
    <row r="1551">
      <c r="A1551" s="40" t="s">
        <v>2095</v>
      </c>
      <c r="B1551" s="10" t="str">
        <f t="shared" si="1"/>
        <v>fatty_acid</v>
      </c>
      <c r="C1551" s="49" t="str">
        <f t="shared" si="2"/>
        <v>S17244FA1</v>
      </c>
      <c r="D1551" s="6">
        <v>39.0</v>
      </c>
      <c r="E1551" s="10" t="str">
        <f t="shared" si="3"/>
        <v>BFA39</v>
      </c>
      <c r="F1551" s="13">
        <v>17.0</v>
      </c>
      <c r="G1551" s="10" t="str">
        <f t="shared" si="4"/>
        <v>BFA39-17</v>
      </c>
      <c r="H1551" s="16"/>
      <c r="I1551" s="16" t="str">
        <f t="shared" si="5"/>
        <v>collected</v>
      </c>
      <c r="J1551" s="16" t="str">
        <f t="shared" si="6"/>
        <v>N</v>
      </c>
      <c r="K1551" s="16"/>
      <c r="L1551" s="16"/>
    </row>
    <row r="1552">
      <c r="A1552" s="40" t="s">
        <v>2096</v>
      </c>
      <c r="B1552" s="10" t="str">
        <f t="shared" si="1"/>
        <v>fatty_acid</v>
      </c>
      <c r="C1552" s="49" t="str">
        <f t="shared" si="2"/>
        <v>S17242FA1</v>
      </c>
      <c r="D1552" s="6">
        <v>39.0</v>
      </c>
      <c r="E1552" s="10" t="str">
        <f t="shared" si="3"/>
        <v>BFA39</v>
      </c>
      <c r="F1552" s="13">
        <v>18.0</v>
      </c>
      <c r="G1552" s="10" t="str">
        <f t="shared" si="4"/>
        <v>BFA39-18</v>
      </c>
      <c r="H1552" s="16"/>
      <c r="I1552" s="16" t="str">
        <f t="shared" si="5"/>
        <v>collected</v>
      </c>
      <c r="J1552" s="16" t="str">
        <f t="shared" si="6"/>
        <v>N</v>
      </c>
      <c r="K1552" s="16"/>
      <c r="L1552" s="16"/>
    </row>
    <row r="1553">
      <c r="A1553" s="40" t="s">
        <v>2097</v>
      </c>
      <c r="B1553" s="10" t="str">
        <f t="shared" si="1"/>
        <v>fatty_acid</v>
      </c>
      <c r="C1553" s="49" t="str">
        <f t="shared" si="2"/>
        <v>S17241FA1</v>
      </c>
      <c r="D1553" s="6">
        <v>39.0</v>
      </c>
      <c r="E1553" s="10" t="str">
        <f t="shared" si="3"/>
        <v>BFA39</v>
      </c>
      <c r="F1553" s="13">
        <v>19.0</v>
      </c>
      <c r="G1553" s="10" t="str">
        <f t="shared" si="4"/>
        <v>BFA39-19</v>
      </c>
      <c r="H1553" s="16"/>
      <c r="I1553" s="16" t="str">
        <f t="shared" si="5"/>
        <v>collected</v>
      </c>
      <c r="J1553" s="16" t="str">
        <f t="shared" si="6"/>
        <v>N</v>
      </c>
      <c r="K1553" s="16"/>
      <c r="L1553" s="16"/>
    </row>
    <row r="1554">
      <c r="A1554" s="40" t="s">
        <v>2098</v>
      </c>
      <c r="B1554" s="10" t="str">
        <f t="shared" si="1"/>
        <v>fatty_acid</v>
      </c>
      <c r="C1554" s="49" t="str">
        <f t="shared" si="2"/>
        <v>S16851FA1</v>
      </c>
      <c r="D1554" s="6">
        <v>39.0</v>
      </c>
      <c r="E1554" s="10" t="str">
        <f t="shared" si="3"/>
        <v>BFA39</v>
      </c>
      <c r="F1554" s="13">
        <v>20.0</v>
      </c>
      <c r="G1554" s="10" t="str">
        <f t="shared" si="4"/>
        <v>BFA39-20</v>
      </c>
      <c r="H1554" s="16"/>
      <c r="I1554" s="16" t="str">
        <f t="shared" si="5"/>
        <v>collected</v>
      </c>
      <c r="J1554" s="16" t="str">
        <f t="shared" si="6"/>
        <v>N</v>
      </c>
      <c r="K1554" s="16"/>
      <c r="L1554" s="16"/>
    </row>
    <row r="1555">
      <c r="A1555" s="40" t="s">
        <v>2099</v>
      </c>
      <c r="B1555" s="10" t="str">
        <f t="shared" si="1"/>
        <v>fatty_acid</v>
      </c>
      <c r="C1555" s="49" t="str">
        <f t="shared" si="2"/>
        <v>S16855FA1</v>
      </c>
      <c r="D1555" s="6">
        <v>39.0</v>
      </c>
      <c r="E1555" s="10" t="str">
        <f t="shared" si="3"/>
        <v>BFA39</v>
      </c>
      <c r="F1555" s="13">
        <v>21.0</v>
      </c>
      <c r="G1555" s="10" t="str">
        <f t="shared" si="4"/>
        <v>BFA39-21</v>
      </c>
      <c r="H1555" s="16"/>
      <c r="I1555" s="16" t="str">
        <f t="shared" si="5"/>
        <v>collected</v>
      </c>
      <c r="J1555" s="16" t="str">
        <f t="shared" si="6"/>
        <v>N</v>
      </c>
      <c r="K1555" s="16"/>
      <c r="L1555" s="16"/>
    </row>
    <row r="1556">
      <c r="A1556" s="40" t="s">
        <v>2100</v>
      </c>
      <c r="B1556" s="10" t="str">
        <f t="shared" si="1"/>
        <v>fatty_acid</v>
      </c>
      <c r="C1556" s="49" t="str">
        <f t="shared" si="2"/>
        <v>S16852FA1</v>
      </c>
      <c r="D1556" s="6">
        <v>39.0</v>
      </c>
      <c r="E1556" s="10" t="str">
        <f t="shared" si="3"/>
        <v>BFA39</v>
      </c>
      <c r="F1556" s="13">
        <v>22.0</v>
      </c>
      <c r="G1556" s="10" t="str">
        <f t="shared" si="4"/>
        <v>BFA39-22</v>
      </c>
      <c r="H1556" s="16"/>
      <c r="I1556" s="16" t="str">
        <f t="shared" si="5"/>
        <v>collected</v>
      </c>
      <c r="J1556" s="16" t="str">
        <f t="shared" si="6"/>
        <v>N</v>
      </c>
      <c r="K1556" s="16"/>
      <c r="L1556" s="16"/>
    </row>
    <row r="1557">
      <c r="A1557" s="40" t="s">
        <v>2101</v>
      </c>
      <c r="B1557" s="10" t="str">
        <f t="shared" si="1"/>
        <v>fatty_acid</v>
      </c>
      <c r="C1557" s="49" t="str">
        <f t="shared" si="2"/>
        <v>S16854FA1</v>
      </c>
      <c r="D1557" s="6">
        <v>39.0</v>
      </c>
      <c r="E1557" s="10" t="str">
        <f t="shared" si="3"/>
        <v>BFA39</v>
      </c>
      <c r="F1557" s="13">
        <v>23.0</v>
      </c>
      <c r="G1557" s="10" t="str">
        <f t="shared" si="4"/>
        <v>BFA39-23</v>
      </c>
      <c r="H1557" s="16"/>
      <c r="I1557" s="16" t="str">
        <f t="shared" si="5"/>
        <v>collected</v>
      </c>
      <c r="J1557" s="16" t="str">
        <f t="shared" si="6"/>
        <v>N</v>
      </c>
      <c r="K1557" s="16"/>
      <c r="L1557" s="16"/>
    </row>
    <row r="1558">
      <c r="A1558" s="40" t="s">
        <v>2102</v>
      </c>
      <c r="B1558" s="10" t="str">
        <f t="shared" si="1"/>
        <v>fatty_acid</v>
      </c>
      <c r="C1558" s="49" t="str">
        <f t="shared" si="2"/>
        <v>S16853FA1</v>
      </c>
      <c r="D1558" s="6">
        <v>39.0</v>
      </c>
      <c r="E1558" s="10" t="str">
        <f t="shared" si="3"/>
        <v>BFA39</v>
      </c>
      <c r="F1558" s="13">
        <v>24.0</v>
      </c>
      <c r="G1558" s="10" t="str">
        <f t="shared" si="4"/>
        <v>BFA39-24</v>
      </c>
      <c r="H1558" s="16"/>
      <c r="I1558" s="16" t="str">
        <f t="shared" si="5"/>
        <v>collected</v>
      </c>
      <c r="J1558" s="16" t="str">
        <f t="shared" si="6"/>
        <v>N</v>
      </c>
      <c r="K1558" s="16"/>
      <c r="L1558" s="16"/>
    </row>
  </sheetData>
  <autoFilter ref="$A$1:$L$1558"/>
  <conditionalFormatting sqref="J1:J1558">
    <cfRule type="cellIs" dxfId="0" priority="1" operator="equal">
      <formula>"Y"</formula>
    </cfRule>
  </conditionalFormatting>
  <dataValidations>
    <dataValidation type="decimal" allowBlank="1" showDropDown="1" showErrorMessage="1" sqref="F2:F98 F102 F104:F563 F565 F567 F569 F571 F573 F575 F577 F579 F581 F583:F922 F945:F1558">
      <formula1>1.0</formula1>
      <formula2>100.0</formula2>
    </dataValidation>
    <dataValidation type="decimal" allowBlank="1" showDropDown="1" showErrorMessage="1" sqref="F100:F101 F564 F566 F568 F570 F572 F574 F576 F578 F580 F582">
      <formula1>1.0</formula1>
      <formula2>100.0</formula2>
    </dataValidation>
    <dataValidation type="decimal" allowBlank="1" showDropDown="1" showErrorMessage="1" sqref="F99">
      <formula1>1.0</formula1>
      <formula2>100.0</formula2>
    </dataValidation>
    <dataValidation type="list" allowBlank="1" showDropDown="1" showInputMessage="1" showErrorMessage="1" prompt="Ensure there are no duplicate UFNs" sqref="A1:A454 A474:A583 A601:A976 A993:A1558">
      <formula1>fish_lab_data!$C:$C</formula1>
    </dataValidation>
  </dataValidations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93C47D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8" max="8" width="25.14"/>
  </cols>
  <sheetData>
    <row r="1">
      <c r="A1" s="1" t="s">
        <v>0</v>
      </c>
      <c r="B1" s="4" t="s">
        <v>1</v>
      </c>
      <c r="C1" s="48" t="s">
        <v>16</v>
      </c>
      <c r="D1" s="1" t="s">
        <v>2168</v>
      </c>
      <c r="E1" s="4" t="s">
        <v>18</v>
      </c>
      <c r="F1" s="1" t="s">
        <v>21</v>
      </c>
      <c r="G1" s="4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</row>
    <row r="2">
      <c r="A2" s="6" t="s">
        <v>28</v>
      </c>
      <c r="B2" s="10" t="str">
        <f t="shared" ref="B2:B1558" si="1">if(isblank(A2),"","isotope")</f>
        <v>isotope</v>
      </c>
      <c r="C2" s="49" t="str">
        <f t="shared" ref="C2:C1558" si="2">if(isblank(A2),"",concatenate("S",mid(A2,2,5),"IS1"))</f>
        <v>S5471IS1</v>
      </c>
      <c r="D2" s="6">
        <v>21.0</v>
      </c>
      <c r="E2" s="10" t="str">
        <f t="shared" ref="E2:E1558" si="3">if(isblank(D2),"",concatenate("BIS",D2))</f>
        <v>BIS21</v>
      </c>
      <c r="F2" s="13">
        <v>78.0</v>
      </c>
      <c r="G2" s="10" t="str">
        <f t="shared" ref="G2:G804" si="4">if(isblank(F2),"",concatenate(E2,"-",F2))</f>
        <v>BIS21-78</v>
      </c>
      <c r="H2" s="6"/>
      <c r="I2" s="16" t="str">
        <f t="shared" ref="I2:I1558" si="5">if(G2="","","collected")</f>
        <v>collected</v>
      </c>
      <c r="J2" s="16" t="str">
        <f t="shared" ref="J2:J1558" si="6">if(G2="","",if(or(countif(C:C,C2)&gt;1,countif(G:G,G2)&gt;1),"Y","N"))</f>
        <v>N</v>
      </c>
      <c r="K2" s="16"/>
      <c r="L2" s="16"/>
    </row>
    <row r="3">
      <c r="A3" s="6" t="s">
        <v>55</v>
      </c>
      <c r="B3" s="10" t="str">
        <f t="shared" si="1"/>
        <v>isotope</v>
      </c>
      <c r="C3" s="49" t="str">
        <f t="shared" si="2"/>
        <v>S5472IS1</v>
      </c>
      <c r="D3" s="6">
        <v>21.0</v>
      </c>
      <c r="E3" s="10" t="str">
        <f t="shared" si="3"/>
        <v>BIS21</v>
      </c>
      <c r="F3" s="13">
        <v>77.0</v>
      </c>
      <c r="G3" s="10" t="str">
        <f t="shared" si="4"/>
        <v>BIS21-77</v>
      </c>
      <c r="H3" s="6"/>
      <c r="I3" s="16" t="str">
        <f t="shared" si="5"/>
        <v>collected</v>
      </c>
      <c r="J3" s="16" t="str">
        <f t="shared" si="6"/>
        <v>N</v>
      </c>
      <c r="K3" s="16"/>
      <c r="L3" s="16"/>
    </row>
    <row r="4">
      <c r="A4" s="6" t="s">
        <v>59</v>
      </c>
      <c r="B4" s="10" t="str">
        <f t="shared" si="1"/>
        <v>isotope</v>
      </c>
      <c r="C4" s="49" t="str">
        <f t="shared" si="2"/>
        <v>S5473IS1</v>
      </c>
      <c r="D4" s="6">
        <v>21.0</v>
      </c>
      <c r="E4" s="10" t="str">
        <f t="shared" si="3"/>
        <v>BIS21</v>
      </c>
      <c r="F4" s="13">
        <v>75.0</v>
      </c>
      <c r="G4" s="10" t="str">
        <f t="shared" si="4"/>
        <v>BIS21-75</v>
      </c>
      <c r="H4" s="6"/>
      <c r="I4" s="16" t="str">
        <f t="shared" si="5"/>
        <v>collected</v>
      </c>
      <c r="J4" s="16" t="str">
        <f t="shared" si="6"/>
        <v>N</v>
      </c>
      <c r="K4" s="16"/>
      <c r="L4" s="16"/>
    </row>
    <row r="5">
      <c r="A5" s="6" t="s">
        <v>65</v>
      </c>
      <c r="B5" s="10" t="str">
        <f t="shared" si="1"/>
        <v>isotope</v>
      </c>
      <c r="C5" s="49" t="str">
        <f t="shared" si="2"/>
        <v>S5474IS1</v>
      </c>
      <c r="D5" s="6">
        <v>21.0</v>
      </c>
      <c r="E5" s="10" t="str">
        <f t="shared" si="3"/>
        <v>BIS21</v>
      </c>
      <c r="F5" s="13">
        <v>74.0</v>
      </c>
      <c r="G5" s="10" t="str">
        <f t="shared" si="4"/>
        <v>BIS21-74</v>
      </c>
      <c r="H5" s="6"/>
      <c r="I5" s="16" t="str">
        <f t="shared" si="5"/>
        <v>collected</v>
      </c>
      <c r="J5" s="16" t="str">
        <f t="shared" si="6"/>
        <v>N</v>
      </c>
      <c r="K5" s="16"/>
      <c r="L5" s="16"/>
    </row>
    <row r="6">
      <c r="A6" s="6" t="s">
        <v>67</v>
      </c>
      <c r="B6" s="10" t="str">
        <f t="shared" si="1"/>
        <v>isotope</v>
      </c>
      <c r="C6" s="49" t="str">
        <f t="shared" si="2"/>
        <v>S5475IS1</v>
      </c>
      <c r="D6" s="6">
        <v>21.0</v>
      </c>
      <c r="E6" s="10" t="str">
        <f t="shared" si="3"/>
        <v>BIS21</v>
      </c>
      <c r="F6" s="13">
        <v>73.0</v>
      </c>
      <c r="G6" s="10" t="str">
        <f t="shared" si="4"/>
        <v>BIS21-73</v>
      </c>
      <c r="H6" s="16"/>
      <c r="I6" s="16" t="str">
        <f t="shared" si="5"/>
        <v>collected</v>
      </c>
      <c r="J6" s="16" t="str">
        <f t="shared" si="6"/>
        <v>N</v>
      </c>
      <c r="K6" s="16"/>
      <c r="L6" s="16"/>
    </row>
    <row r="7">
      <c r="A7" s="6" t="s">
        <v>71</v>
      </c>
      <c r="B7" s="10" t="str">
        <f t="shared" si="1"/>
        <v>isotope</v>
      </c>
      <c r="C7" s="49" t="str">
        <f t="shared" si="2"/>
        <v>S5476IS1</v>
      </c>
      <c r="D7" s="6">
        <v>21.0</v>
      </c>
      <c r="E7" s="10" t="str">
        <f t="shared" si="3"/>
        <v>BIS21</v>
      </c>
      <c r="F7" s="13">
        <v>72.0</v>
      </c>
      <c r="G7" s="10" t="str">
        <f t="shared" si="4"/>
        <v>BIS21-72</v>
      </c>
      <c r="H7" s="16"/>
      <c r="I7" s="16" t="str">
        <f t="shared" si="5"/>
        <v>collected</v>
      </c>
      <c r="J7" s="16" t="str">
        <f t="shared" si="6"/>
        <v>N</v>
      </c>
      <c r="K7" s="16"/>
      <c r="L7" s="16"/>
    </row>
    <row r="8">
      <c r="A8" s="6" t="s">
        <v>73</v>
      </c>
      <c r="B8" s="10" t="str">
        <f t="shared" si="1"/>
        <v>isotope</v>
      </c>
      <c r="C8" s="49" t="str">
        <f t="shared" si="2"/>
        <v>S5477IS1</v>
      </c>
      <c r="D8" s="6">
        <v>21.0</v>
      </c>
      <c r="E8" s="10" t="str">
        <f t="shared" si="3"/>
        <v>BIS21</v>
      </c>
      <c r="F8" s="13">
        <v>71.0</v>
      </c>
      <c r="G8" s="10" t="str">
        <f t="shared" si="4"/>
        <v>BIS21-71</v>
      </c>
      <c r="H8" s="16"/>
      <c r="I8" s="16" t="str">
        <f t="shared" si="5"/>
        <v>collected</v>
      </c>
      <c r="J8" s="16" t="str">
        <f t="shared" si="6"/>
        <v>N</v>
      </c>
      <c r="K8" s="16"/>
      <c r="L8" s="16"/>
    </row>
    <row r="9">
      <c r="A9" s="6" t="s">
        <v>75</v>
      </c>
      <c r="B9" s="10" t="str">
        <f t="shared" si="1"/>
        <v>isotope</v>
      </c>
      <c r="C9" s="49" t="str">
        <f t="shared" si="2"/>
        <v>S5478IS1</v>
      </c>
      <c r="D9" s="6">
        <v>21.0</v>
      </c>
      <c r="E9" s="10" t="str">
        <f t="shared" si="3"/>
        <v>BIS21</v>
      </c>
      <c r="F9" s="13">
        <v>50.0</v>
      </c>
      <c r="G9" s="10" t="str">
        <f t="shared" si="4"/>
        <v>BIS21-50</v>
      </c>
      <c r="H9" s="16"/>
      <c r="I9" s="16" t="str">
        <f t="shared" si="5"/>
        <v>collected</v>
      </c>
      <c r="J9" s="16" t="str">
        <f t="shared" si="6"/>
        <v>N</v>
      </c>
      <c r="K9" s="16"/>
      <c r="L9" s="16"/>
    </row>
    <row r="10">
      <c r="A10" s="6" t="s">
        <v>77</v>
      </c>
      <c r="B10" s="10" t="str">
        <f t="shared" si="1"/>
        <v>isotope</v>
      </c>
      <c r="C10" s="49" t="str">
        <f t="shared" si="2"/>
        <v>S5479IS1</v>
      </c>
      <c r="D10" s="6">
        <v>21.0</v>
      </c>
      <c r="E10" s="10" t="str">
        <f t="shared" si="3"/>
        <v>BIS21</v>
      </c>
      <c r="F10" s="13">
        <v>49.0</v>
      </c>
      <c r="G10" s="10" t="str">
        <f t="shared" si="4"/>
        <v>BIS21-49</v>
      </c>
      <c r="H10" s="6"/>
      <c r="I10" s="16" t="str">
        <f t="shared" si="5"/>
        <v>collected</v>
      </c>
      <c r="J10" s="16" t="str">
        <f t="shared" si="6"/>
        <v>N</v>
      </c>
      <c r="K10" s="16"/>
      <c r="L10" s="16"/>
    </row>
    <row r="11">
      <c r="A11" s="6" t="s">
        <v>79</v>
      </c>
      <c r="B11" s="10" t="str">
        <f t="shared" si="1"/>
        <v>isotope</v>
      </c>
      <c r="C11" s="49" t="str">
        <f t="shared" si="2"/>
        <v>S5480IS1</v>
      </c>
      <c r="D11" s="6">
        <v>21.0</v>
      </c>
      <c r="E11" s="10" t="str">
        <f t="shared" si="3"/>
        <v>BIS21</v>
      </c>
      <c r="F11" s="13">
        <v>48.0</v>
      </c>
      <c r="G11" s="10" t="str">
        <f t="shared" si="4"/>
        <v>BIS21-48</v>
      </c>
      <c r="H11" s="16"/>
      <c r="I11" s="16" t="str">
        <f t="shared" si="5"/>
        <v>collected</v>
      </c>
      <c r="J11" s="16" t="str">
        <f t="shared" si="6"/>
        <v>N</v>
      </c>
      <c r="K11" s="16"/>
      <c r="L11" s="16"/>
    </row>
    <row r="12">
      <c r="A12" s="6" t="s">
        <v>82</v>
      </c>
      <c r="B12" s="10" t="str">
        <f t="shared" si="1"/>
        <v>isotope</v>
      </c>
      <c r="C12" s="49" t="str">
        <f t="shared" si="2"/>
        <v>S5481IS1</v>
      </c>
      <c r="D12" s="6">
        <v>21.0</v>
      </c>
      <c r="E12" s="10" t="str">
        <f t="shared" si="3"/>
        <v>BIS21</v>
      </c>
      <c r="F12" s="13">
        <v>47.0</v>
      </c>
      <c r="G12" s="10" t="str">
        <f t="shared" si="4"/>
        <v>BIS21-47</v>
      </c>
      <c r="H12" s="16"/>
      <c r="I12" s="16" t="str">
        <f t="shared" si="5"/>
        <v>collected</v>
      </c>
      <c r="J12" s="16" t="str">
        <f t="shared" si="6"/>
        <v>N</v>
      </c>
      <c r="K12" s="16"/>
      <c r="L12" s="16"/>
    </row>
    <row r="13">
      <c r="A13" s="6" t="s">
        <v>85</v>
      </c>
      <c r="B13" s="10" t="str">
        <f t="shared" si="1"/>
        <v>isotope</v>
      </c>
      <c r="C13" s="49" t="str">
        <f t="shared" si="2"/>
        <v>S5482IS1</v>
      </c>
      <c r="D13" s="6">
        <v>21.0</v>
      </c>
      <c r="E13" s="10" t="str">
        <f t="shared" si="3"/>
        <v>BIS21</v>
      </c>
      <c r="F13" s="13">
        <v>45.0</v>
      </c>
      <c r="G13" s="10" t="str">
        <f t="shared" si="4"/>
        <v>BIS21-45</v>
      </c>
      <c r="H13" s="6"/>
      <c r="I13" s="16" t="str">
        <f t="shared" si="5"/>
        <v>collected</v>
      </c>
      <c r="J13" s="16" t="str">
        <f t="shared" si="6"/>
        <v>N</v>
      </c>
      <c r="K13" s="16"/>
      <c r="L13" s="16"/>
    </row>
    <row r="14">
      <c r="A14" s="6" t="s">
        <v>86</v>
      </c>
      <c r="B14" s="10" t="str">
        <f t="shared" si="1"/>
        <v>isotope</v>
      </c>
      <c r="C14" s="49" t="str">
        <f t="shared" si="2"/>
        <v>S5483IS1</v>
      </c>
      <c r="D14" s="6">
        <v>21.0</v>
      </c>
      <c r="E14" s="10" t="str">
        <f t="shared" si="3"/>
        <v>BIS21</v>
      </c>
      <c r="F14" s="13">
        <v>44.0</v>
      </c>
      <c r="G14" s="10" t="str">
        <f t="shared" si="4"/>
        <v>BIS21-44</v>
      </c>
      <c r="H14" s="6"/>
      <c r="I14" s="16" t="str">
        <f t="shared" si="5"/>
        <v>collected</v>
      </c>
      <c r="J14" s="16" t="str">
        <f t="shared" si="6"/>
        <v>N</v>
      </c>
      <c r="K14" s="16"/>
      <c r="L14" s="16"/>
    </row>
    <row r="15">
      <c r="A15" s="6" t="s">
        <v>87</v>
      </c>
      <c r="B15" s="10" t="str">
        <f t="shared" si="1"/>
        <v>isotope</v>
      </c>
      <c r="C15" s="49" t="str">
        <f t="shared" si="2"/>
        <v>S5484IS1</v>
      </c>
      <c r="D15" s="6">
        <v>21.0</v>
      </c>
      <c r="E15" s="10" t="str">
        <f t="shared" si="3"/>
        <v>BIS21</v>
      </c>
      <c r="F15" s="13">
        <v>43.0</v>
      </c>
      <c r="G15" s="10" t="str">
        <f t="shared" si="4"/>
        <v>BIS21-43</v>
      </c>
      <c r="H15" s="16"/>
      <c r="I15" s="16" t="str">
        <f t="shared" si="5"/>
        <v>collected</v>
      </c>
      <c r="J15" s="16" t="str">
        <f t="shared" si="6"/>
        <v>N</v>
      </c>
      <c r="K15" s="16"/>
      <c r="L15" s="16"/>
    </row>
    <row r="16">
      <c r="A16" s="6" t="s">
        <v>89</v>
      </c>
      <c r="B16" s="10" t="str">
        <f t="shared" si="1"/>
        <v>isotope</v>
      </c>
      <c r="C16" s="49" t="str">
        <f t="shared" si="2"/>
        <v>S5115IS1</v>
      </c>
      <c r="D16" s="6">
        <v>21.0</v>
      </c>
      <c r="E16" s="10" t="str">
        <f t="shared" si="3"/>
        <v>BIS21</v>
      </c>
      <c r="F16" s="13">
        <v>42.0</v>
      </c>
      <c r="G16" s="10" t="str">
        <f t="shared" si="4"/>
        <v>BIS21-42</v>
      </c>
      <c r="H16" s="6"/>
      <c r="I16" s="16" t="str">
        <f t="shared" si="5"/>
        <v>collected</v>
      </c>
      <c r="J16" s="16" t="str">
        <f t="shared" si="6"/>
        <v>N</v>
      </c>
      <c r="K16" s="16"/>
      <c r="L16" s="16"/>
    </row>
    <row r="17">
      <c r="A17" s="6" t="s">
        <v>90</v>
      </c>
      <c r="B17" s="10" t="str">
        <f t="shared" si="1"/>
        <v>isotope</v>
      </c>
      <c r="C17" s="49" t="str">
        <f t="shared" si="2"/>
        <v>S5485IS1</v>
      </c>
      <c r="D17" s="6">
        <v>21.0</v>
      </c>
      <c r="E17" s="10" t="str">
        <f t="shared" si="3"/>
        <v>BIS21</v>
      </c>
      <c r="F17" s="13">
        <v>41.0</v>
      </c>
      <c r="G17" s="10" t="str">
        <f t="shared" si="4"/>
        <v>BIS21-41</v>
      </c>
      <c r="H17" s="6"/>
      <c r="I17" s="16" t="str">
        <f t="shared" si="5"/>
        <v>collected</v>
      </c>
      <c r="J17" s="16" t="str">
        <f t="shared" si="6"/>
        <v>N</v>
      </c>
      <c r="K17" s="16"/>
      <c r="L17" s="16"/>
    </row>
    <row r="18">
      <c r="A18" s="6" t="s">
        <v>92</v>
      </c>
      <c r="B18" s="10" t="str">
        <f t="shared" si="1"/>
        <v>isotope</v>
      </c>
      <c r="C18" s="49" t="str">
        <f t="shared" si="2"/>
        <v>S5486IS1</v>
      </c>
      <c r="D18" s="6">
        <v>21.0</v>
      </c>
      <c r="E18" s="10" t="str">
        <f t="shared" si="3"/>
        <v>BIS21</v>
      </c>
      <c r="F18" s="13">
        <v>40.0</v>
      </c>
      <c r="G18" s="10" t="str">
        <f t="shared" si="4"/>
        <v>BIS21-40</v>
      </c>
      <c r="H18" s="6"/>
      <c r="I18" s="16" t="str">
        <f t="shared" si="5"/>
        <v>collected</v>
      </c>
      <c r="J18" s="16" t="str">
        <f t="shared" si="6"/>
        <v>N</v>
      </c>
      <c r="K18" s="16"/>
      <c r="L18" s="16"/>
    </row>
    <row r="19">
      <c r="A19" s="6" t="s">
        <v>93</v>
      </c>
      <c r="B19" s="10" t="str">
        <f t="shared" si="1"/>
        <v>isotope</v>
      </c>
      <c r="C19" s="49" t="str">
        <f t="shared" si="2"/>
        <v>S5487IS1</v>
      </c>
      <c r="D19" s="6">
        <v>21.0</v>
      </c>
      <c r="E19" s="10" t="str">
        <f t="shared" si="3"/>
        <v>BIS21</v>
      </c>
      <c r="F19" s="13">
        <v>39.0</v>
      </c>
      <c r="G19" s="10" t="str">
        <f t="shared" si="4"/>
        <v>BIS21-39</v>
      </c>
      <c r="H19" s="16"/>
      <c r="I19" s="16" t="str">
        <f t="shared" si="5"/>
        <v>collected</v>
      </c>
      <c r="J19" s="16" t="str">
        <f t="shared" si="6"/>
        <v>N</v>
      </c>
      <c r="K19" s="16"/>
      <c r="L19" s="16"/>
    </row>
    <row r="20">
      <c r="A20" s="6" t="s">
        <v>95</v>
      </c>
      <c r="B20" s="10" t="str">
        <f t="shared" si="1"/>
        <v>isotope</v>
      </c>
      <c r="C20" s="49" t="str">
        <f t="shared" si="2"/>
        <v>S5488IS1</v>
      </c>
      <c r="D20" s="6">
        <v>21.0</v>
      </c>
      <c r="E20" s="10" t="str">
        <f t="shared" si="3"/>
        <v>BIS21</v>
      </c>
      <c r="F20" s="13">
        <v>38.0</v>
      </c>
      <c r="G20" s="10" t="str">
        <f t="shared" si="4"/>
        <v>BIS21-38</v>
      </c>
      <c r="H20" s="16"/>
      <c r="I20" s="16" t="str">
        <f t="shared" si="5"/>
        <v>collected</v>
      </c>
      <c r="J20" s="16" t="str">
        <f t="shared" si="6"/>
        <v>N</v>
      </c>
      <c r="K20" s="16"/>
      <c r="L20" s="16"/>
    </row>
    <row r="21">
      <c r="A21" s="6" t="s">
        <v>96</v>
      </c>
      <c r="B21" s="10" t="str">
        <f t="shared" si="1"/>
        <v>isotope</v>
      </c>
      <c r="C21" s="49" t="str">
        <f t="shared" si="2"/>
        <v>S5489IS1</v>
      </c>
      <c r="D21" s="6">
        <v>21.0</v>
      </c>
      <c r="E21" s="10" t="str">
        <f t="shared" si="3"/>
        <v>BIS21</v>
      </c>
      <c r="F21" s="13">
        <v>37.0</v>
      </c>
      <c r="G21" s="10" t="str">
        <f t="shared" si="4"/>
        <v>BIS21-37</v>
      </c>
      <c r="H21" s="16"/>
      <c r="I21" s="16" t="str">
        <f t="shared" si="5"/>
        <v>collected</v>
      </c>
      <c r="J21" s="16" t="str">
        <f t="shared" si="6"/>
        <v>N</v>
      </c>
      <c r="K21" s="16"/>
      <c r="L21" s="16"/>
    </row>
    <row r="22">
      <c r="A22" s="6" t="s">
        <v>99</v>
      </c>
      <c r="B22" s="10" t="str">
        <f t="shared" si="1"/>
        <v>isotope</v>
      </c>
      <c r="C22" s="49" t="str">
        <f t="shared" si="2"/>
        <v>S5490IS1</v>
      </c>
      <c r="D22" s="6">
        <v>21.0</v>
      </c>
      <c r="E22" s="10" t="str">
        <f t="shared" si="3"/>
        <v>BIS21</v>
      </c>
      <c r="F22" s="13">
        <v>2.0</v>
      </c>
      <c r="G22" s="10" t="str">
        <f t="shared" si="4"/>
        <v>BIS21-2</v>
      </c>
      <c r="H22" s="16"/>
      <c r="I22" s="16" t="str">
        <f t="shared" si="5"/>
        <v>collected</v>
      </c>
      <c r="J22" s="16" t="str">
        <f t="shared" si="6"/>
        <v>N</v>
      </c>
      <c r="K22" s="16"/>
      <c r="L22" s="16"/>
    </row>
    <row r="23">
      <c r="A23" s="6" t="s">
        <v>100</v>
      </c>
      <c r="B23" s="10" t="str">
        <f t="shared" si="1"/>
        <v>isotope</v>
      </c>
      <c r="C23" s="49" t="str">
        <f t="shared" si="2"/>
        <v>S5491IS1</v>
      </c>
      <c r="D23" s="6">
        <v>21.0</v>
      </c>
      <c r="E23" s="10" t="str">
        <f t="shared" si="3"/>
        <v>BIS21</v>
      </c>
      <c r="F23" s="13">
        <v>4.0</v>
      </c>
      <c r="G23" s="10" t="str">
        <f t="shared" si="4"/>
        <v>BIS21-4</v>
      </c>
      <c r="H23" s="16"/>
      <c r="I23" s="16" t="str">
        <f t="shared" si="5"/>
        <v>collected</v>
      </c>
      <c r="J23" s="16" t="str">
        <f t="shared" si="6"/>
        <v>N</v>
      </c>
      <c r="K23" s="16"/>
      <c r="L23" s="16"/>
    </row>
    <row r="24">
      <c r="A24" s="6" t="s">
        <v>102</v>
      </c>
      <c r="B24" s="10" t="str">
        <f t="shared" si="1"/>
        <v>isotope</v>
      </c>
      <c r="C24" s="49" t="str">
        <f t="shared" si="2"/>
        <v>S5492IS1</v>
      </c>
      <c r="D24" s="6">
        <v>21.0</v>
      </c>
      <c r="E24" s="10" t="str">
        <f t="shared" si="3"/>
        <v>BIS21</v>
      </c>
      <c r="F24" s="13">
        <v>29.0</v>
      </c>
      <c r="G24" s="10" t="str">
        <f t="shared" si="4"/>
        <v>BIS21-29</v>
      </c>
      <c r="H24" s="16"/>
      <c r="I24" s="16" t="str">
        <f t="shared" si="5"/>
        <v>collected</v>
      </c>
      <c r="J24" s="16" t="str">
        <f t="shared" si="6"/>
        <v>N</v>
      </c>
      <c r="K24" s="16"/>
      <c r="L24" s="16"/>
    </row>
    <row r="25">
      <c r="A25" s="6" t="s">
        <v>103</v>
      </c>
      <c r="B25" s="10" t="str">
        <f t="shared" si="1"/>
        <v>isotope</v>
      </c>
      <c r="C25" s="49" t="str">
        <f t="shared" si="2"/>
        <v>S5493IS1</v>
      </c>
      <c r="D25" s="6">
        <v>21.0</v>
      </c>
      <c r="E25" s="10" t="str">
        <f t="shared" si="3"/>
        <v>BIS21</v>
      </c>
      <c r="F25" s="13">
        <v>30.0</v>
      </c>
      <c r="G25" s="10" t="str">
        <f t="shared" si="4"/>
        <v>BIS21-30</v>
      </c>
      <c r="H25" s="16"/>
      <c r="I25" s="16" t="str">
        <f t="shared" si="5"/>
        <v>collected</v>
      </c>
      <c r="J25" s="16" t="str">
        <f t="shared" si="6"/>
        <v>N</v>
      </c>
      <c r="K25" s="16"/>
      <c r="L25" s="16"/>
    </row>
    <row r="26">
      <c r="A26" s="6" t="s">
        <v>104</v>
      </c>
      <c r="B26" s="10" t="str">
        <f t="shared" si="1"/>
        <v>isotope</v>
      </c>
      <c r="C26" s="49" t="str">
        <f t="shared" si="2"/>
        <v>S5494IS1</v>
      </c>
      <c r="D26" s="6">
        <v>21.0</v>
      </c>
      <c r="E26" s="10" t="str">
        <f t="shared" si="3"/>
        <v>BIS21</v>
      </c>
      <c r="F26" s="13">
        <v>31.0</v>
      </c>
      <c r="G26" s="10" t="str">
        <f t="shared" si="4"/>
        <v>BIS21-31</v>
      </c>
      <c r="H26" s="16"/>
      <c r="I26" s="16" t="str">
        <f t="shared" si="5"/>
        <v>collected</v>
      </c>
      <c r="J26" s="16" t="str">
        <f t="shared" si="6"/>
        <v>N</v>
      </c>
      <c r="K26" s="16"/>
      <c r="L26" s="16"/>
    </row>
    <row r="27">
      <c r="A27" s="6" t="s">
        <v>106</v>
      </c>
      <c r="B27" s="10" t="str">
        <f t="shared" si="1"/>
        <v>isotope</v>
      </c>
      <c r="C27" s="49" t="str">
        <f t="shared" si="2"/>
        <v>S5495IS1</v>
      </c>
      <c r="D27" s="6">
        <v>21.0</v>
      </c>
      <c r="E27" s="10" t="str">
        <f t="shared" si="3"/>
        <v>BIS21</v>
      </c>
      <c r="F27" s="13">
        <v>32.0</v>
      </c>
      <c r="G27" s="10" t="str">
        <f t="shared" si="4"/>
        <v>BIS21-32</v>
      </c>
      <c r="H27" s="16"/>
      <c r="I27" s="16" t="str">
        <f t="shared" si="5"/>
        <v>collected</v>
      </c>
      <c r="J27" s="16" t="str">
        <f t="shared" si="6"/>
        <v>N</v>
      </c>
      <c r="K27" s="16"/>
      <c r="L27" s="16"/>
    </row>
    <row r="28">
      <c r="A28" s="6" t="s">
        <v>109</v>
      </c>
      <c r="B28" s="10" t="str">
        <f t="shared" si="1"/>
        <v>isotope</v>
      </c>
      <c r="C28" s="49" t="str">
        <f t="shared" si="2"/>
        <v>S5496IS1</v>
      </c>
      <c r="D28" s="6">
        <v>21.0</v>
      </c>
      <c r="E28" s="10" t="str">
        <f t="shared" si="3"/>
        <v>BIS21</v>
      </c>
      <c r="F28" s="13">
        <v>33.0</v>
      </c>
      <c r="G28" s="10" t="str">
        <f t="shared" si="4"/>
        <v>BIS21-33</v>
      </c>
      <c r="H28" s="16"/>
      <c r="I28" s="16" t="str">
        <f t="shared" si="5"/>
        <v>collected</v>
      </c>
      <c r="J28" s="16" t="str">
        <f t="shared" si="6"/>
        <v>N</v>
      </c>
      <c r="K28" s="16"/>
      <c r="L28" s="16"/>
    </row>
    <row r="29">
      <c r="A29" s="6" t="s">
        <v>110</v>
      </c>
      <c r="B29" s="10" t="str">
        <f t="shared" si="1"/>
        <v>isotope</v>
      </c>
      <c r="C29" s="49" t="str">
        <f t="shared" si="2"/>
        <v>S5497IS1</v>
      </c>
      <c r="D29" s="6">
        <v>21.0</v>
      </c>
      <c r="E29" s="10" t="str">
        <f t="shared" si="3"/>
        <v>BIS21</v>
      </c>
      <c r="F29" s="13">
        <v>34.0</v>
      </c>
      <c r="G29" s="10" t="str">
        <f t="shared" si="4"/>
        <v>BIS21-34</v>
      </c>
      <c r="H29" s="16"/>
      <c r="I29" s="16" t="str">
        <f t="shared" si="5"/>
        <v>collected</v>
      </c>
      <c r="J29" s="16" t="str">
        <f t="shared" si="6"/>
        <v>N</v>
      </c>
      <c r="K29" s="16"/>
      <c r="L29" s="16"/>
    </row>
    <row r="30">
      <c r="A30" s="6" t="s">
        <v>111</v>
      </c>
      <c r="B30" s="10" t="str">
        <f t="shared" si="1"/>
        <v>isotope</v>
      </c>
      <c r="C30" s="49" t="str">
        <f t="shared" si="2"/>
        <v>S5498IS1</v>
      </c>
      <c r="D30" s="6">
        <v>21.0</v>
      </c>
      <c r="E30" s="10" t="str">
        <f t="shared" si="3"/>
        <v>BIS21</v>
      </c>
      <c r="F30" s="13">
        <v>35.0</v>
      </c>
      <c r="G30" s="10" t="str">
        <f t="shared" si="4"/>
        <v>BIS21-35</v>
      </c>
      <c r="H30" s="16"/>
      <c r="I30" s="16" t="str">
        <f t="shared" si="5"/>
        <v>collected</v>
      </c>
      <c r="J30" s="16" t="str">
        <f t="shared" si="6"/>
        <v>N</v>
      </c>
      <c r="K30" s="16"/>
      <c r="L30" s="16"/>
    </row>
    <row r="31">
      <c r="A31" s="6" t="s">
        <v>112</v>
      </c>
      <c r="B31" s="10" t="str">
        <f t="shared" si="1"/>
        <v>isotope</v>
      </c>
      <c r="C31" s="49" t="str">
        <f t="shared" si="2"/>
        <v>S5499IS1</v>
      </c>
      <c r="D31" s="6">
        <v>22.0</v>
      </c>
      <c r="E31" s="10" t="str">
        <f t="shared" si="3"/>
        <v>BIS22</v>
      </c>
      <c r="F31" s="13">
        <v>1.0</v>
      </c>
      <c r="G31" s="10" t="str">
        <f t="shared" si="4"/>
        <v>BIS22-1</v>
      </c>
      <c r="H31" s="6"/>
      <c r="I31" s="16" t="str">
        <f t="shared" si="5"/>
        <v>collected</v>
      </c>
      <c r="J31" s="16" t="str">
        <f t="shared" si="6"/>
        <v>N</v>
      </c>
      <c r="K31" s="16"/>
      <c r="L31" s="16"/>
    </row>
    <row r="32">
      <c r="A32" s="6" t="s">
        <v>114</v>
      </c>
      <c r="B32" s="10" t="str">
        <f t="shared" si="1"/>
        <v>isotope</v>
      </c>
      <c r="C32" s="49" t="str">
        <f t="shared" si="2"/>
        <v>S5500IS1</v>
      </c>
      <c r="D32" s="6">
        <v>22.0</v>
      </c>
      <c r="E32" s="10" t="str">
        <f t="shared" si="3"/>
        <v>BIS22</v>
      </c>
      <c r="F32" s="13">
        <v>2.0</v>
      </c>
      <c r="G32" s="10" t="str">
        <f t="shared" si="4"/>
        <v>BIS22-2</v>
      </c>
      <c r="H32" s="16"/>
      <c r="I32" s="16" t="str">
        <f t="shared" si="5"/>
        <v>collected</v>
      </c>
      <c r="J32" s="16" t="str">
        <f t="shared" si="6"/>
        <v>N</v>
      </c>
      <c r="K32" s="16"/>
      <c r="L32" s="16"/>
    </row>
    <row r="33">
      <c r="A33" s="6" t="s">
        <v>116</v>
      </c>
      <c r="B33" s="10" t="str">
        <f t="shared" si="1"/>
        <v>isotope</v>
      </c>
      <c r="C33" s="49" t="str">
        <f t="shared" si="2"/>
        <v>S5132IS1</v>
      </c>
      <c r="D33" s="6">
        <v>22.0</v>
      </c>
      <c r="E33" s="10" t="str">
        <f t="shared" si="3"/>
        <v>BIS22</v>
      </c>
      <c r="F33" s="13">
        <v>3.0</v>
      </c>
      <c r="G33" s="10" t="str">
        <f t="shared" si="4"/>
        <v>BIS22-3</v>
      </c>
      <c r="H33" s="6"/>
      <c r="I33" s="16" t="str">
        <f t="shared" si="5"/>
        <v>collected</v>
      </c>
      <c r="J33" s="16" t="str">
        <f t="shared" si="6"/>
        <v>N</v>
      </c>
      <c r="K33" s="16"/>
      <c r="L33" s="16"/>
    </row>
    <row r="34">
      <c r="A34" s="6" t="s">
        <v>117</v>
      </c>
      <c r="B34" s="10" t="str">
        <f t="shared" si="1"/>
        <v>isotope</v>
      </c>
      <c r="C34" s="49" t="str">
        <f t="shared" si="2"/>
        <v>S5133IS1</v>
      </c>
      <c r="D34" s="6">
        <v>22.0</v>
      </c>
      <c r="E34" s="10" t="str">
        <f t="shared" si="3"/>
        <v>BIS22</v>
      </c>
      <c r="F34" s="13">
        <v>4.0</v>
      </c>
      <c r="G34" s="10" t="str">
        <f t="shared" si="4"/>
        <v>BIS22-4</v>
      </c>
      <c r="H34" s="16"/>
      <c r="I34" s="16" t="str">
        <f t="shared" si="5"/>
        <v>collected</v>
      </c>
      <c r="J34" s="16" t="str">
        <f t="shared" si="6"/>
        <v>N</v>
      </c>
      <c r="K34" s="16"/>
      <c r="L34" s="16"/>
    </row>
    <row r="35">
      <c r="A35" s="6" t="s">
        <v>119</v>
      </c>
      <c r="B35" s="10" t="str">
        <f t="shared" si="1"/>
        <v>isotope</v>
      </c>
      <c r="C35" s="49" t="str">
        <f t="shared" si="2"/>
        <v>S5134IS1</v>
      </c>
      <c r="D35" s="6">
        <v>22.0</v>
      </c>
      <c r="E35" s="10" t="str">
        <f t="shared" si="3"/>
        <v>BIS22</v>
      </c>
      <c r="F35" s="13">
        <v>5.0</v>
      </c>
      <c r="G35" s="10" t="str">
        <f t="shared" si="4"/>
        <v>BIS22-5</v>
      </c>
      <c r="H35" s="6"/>
      <c r="I35" s="16" t="str">
        <f t="shared" si="5"/>
        <v>collected</v>
      </c>
      <c r="J35" s="16" t="str">
        <f t="shared" si="6"/>
        <v>N</v>
      </c>
      <c r="K35" s="16"/>
      <c r="L35" s="16"/>
    </row>
    <row r="36">
      <c r="A36" s="6" t="s">
        <v>121</v>
      </c>
      <c r="B36" s="10" t="str">
        <f t="shared" si="1"/>
        <v>isotope</v>
      </c>
      <c r="C36" s="49" t="str">
        <f t="shared" si="2"/>
        <v>S5135IS1</v>
      </c>
      <c r="D36" s="6">
        <v>22.0</v>
      </c>
      <c r="E36" s="10" t="str">
        <f t="shared" si="3"/>
        <v>BIS22</v>
      </c>
      <c r="F36" s="13">
        <v>7.0</v>
      </c>
      <c r="G36" s="10" t="str">
        <f t="shared" si="4"/>
        <v>BIS22-7</v>
      </c>
      <c r="H36" s="16"/>
      <c r="I36" s="16" t="str">
        <f t="shared" si="5"/>
        <v>collected</v>
      </c>
      <c r="J36" s="16" t="str">
        <f t="shared" si="6"/>
        <v>N</v>
      </c>
      <c r="K36" s="16"/>
      <c r="L36" s="16"/>
    </row>
    <row r="37">
      <c r="A37" s="6" t="s">
        <v>124</v>
      </c>
      <c r="B37" s="10" t="str">
        <f t="shared" si="1"/>
        <v>isotope</v>
      </c>
      <c r="C37" s="49" t="str">
        <f t="shared" si="2"/>
        <v>S5136IS1</v>
      </c>
      <c r="D37" s="6">
        <v>22.0</v>
      </c>
      <c r="E37" s="10" t="str">
        <f t="shared" si="3"/>
        <v>BIS22</v>
      </c>
      <c r="F37" s="13">
        <v>8.0</v>
      </c>
      <c r="G37" s="10" t="str">
        <f t="shared" si="4"/>
        <v>BIS22-8</v>
      </c>
      <c r="H37" s="6"/>
      <c r="I37" s="16" t="str">
        <f t="shared" si="5"/>
        <v>collected</v>
      </c>
      <c r="J37" s="16" t="str">
        <f t="shared" si="6"/>
        <v>N</v>
      </c>
      <c r="K37" s="16"/>
      <c r="L37" s="16"/>
    </row>
    <row r="38">
      <c r="A38" s="6" t="s">
        <v>126</v>
      </c>
      <c r="B38" s="10" t="str">
        <f t="shared" si="1"/>
        <v>isotope</v>
      </c>
      <c r="C38" s="49" t="str">
        <f t="shared" si="2"/>
        <v>S5137IS1</v>
      </c>
      <c r="D38" s="6">
        <v>22.0</v>
      </c>
      <c r="E38" s="10" t="str">
        <f t="shared" si="3"/>
        <v>BIS22</v>
      </c>
      <c r="F38" s="13">
        <v>9.0</v>
      </c>
      <c r="G38" s="10" t="str">
        <f t="shared" si="4"/>
        <v>BIS22-9</v>
      </c>
      <c r="H38" s="16"/>
      <c r="I38" s="16" t="str">
        <f t="shared" si="5"/>
        <v>collected</v>
      </c>
      <c r="J38" s="16" t="str">
        <f t="shared" si="6"/>
        <v>N</v>
      </c>
      <c r="K38" s="16"/>
      <c r="L38" s="16"/>
    </row>
    <row r="39">
      <c r="A39" s="6" t="s">
        <v>128</v>
      </c>
      <c r="B39" s="10" t="str">
        <f t="shared" si="1"/>
        <v>isotope</v>
      </c>
      <c r="C39" s="49" t="str">
        <f t="shared" si="2"/>
        <v>S5138IS1</v>
      </c>
      <c r="D39" s="6">
        <v>22.0</v>
      </c>
      <c r="E39" s="10" t="str">
        <f t="shared" si="3"/>
        <v>BIS22</v>
      </c>
      <c r="F39" s="13">
        <v>10.0</v>
      </c>
      <c r="G39" s="10" t="str">
        <f t="shared" si="4"/>
        <v>BIS22-10</v>
      </c>
      <c r="H39" s="16"/>
      <c r="I39" s="16" t="str">
        <f t="shared" si="5"/>
        <v>collected</v>
      </c>
      <c r="J39" s="16" t="str">
        <f t="shared" si="6"/>
        <v>N</v>
      </c>
      <c r="K39" s="16"/>
      <c r="L39" s="16"/>
    </row>
    <row r="40">
      <c r="A40" s="6" t="s">
        <v>129</v>
      </c>
      <c r="B40" s="10" t="str">
        <f t="shared" si="1"/>
        <v>isotope</v>
      </c>
      <c r="C40" s="49" t="str">
        <f t="shared" si="2"/>
        <v>S5139IS1</v>
      </c>
      <c r="D40" s="6">
        <v>22.0</v>
      </c>
      <c r="E40" s="10" t="str">
        <f t="shared" si="3"/>
        <v>BIS22</v>
      </c>
      <c r="F40" s="13">
        <v>11.0</v>
      </c>
      <c r="G40" s="10" t="str">
        <f t="shared" si="4"/>
        <v>BIS22-11</v>
      </c>
      <c r="H40" s="16"/>
      <c r="I40" s="16" t="str">
        <f t="shared" si="5"/>
        <v>collected</v>
      </c>
      <c r="J40" s="16" t="str">
        <f t="shared" si="6"/>
        <v>N</v>
      </c>
      <c r="K40" s="16"/>
      <c r="L40" s="16"/>
    </row>
    <row r="41">
      <c r="A41" s="6" t="s">
        <v>131</v>
      </c>
      <c r="B41" s="10" t="str">
        <f t="shared" si="1"/>
        <v>isotope</v>
      </c>
      <c r="C41" s="49" t="str">
        <f t="shared" si="2"/>
        <v>S5140IS1</v>
      </c>
      <c r="D41" s="6">
        <v>22.0</v>
      </c>
      <c r="E41" s="10" t="str">
        <f t="shared" si="3"/>
        <v>BIS22</v>
      </c>
      <c r="F41" s="39">
        <v>12.0</v>
      </c>
      <c r="G41" s="10" t="str">
        <f t="shared" si="4"/>
        <v>BIS22-12</v>
      </c>
      <c r="H41" s="6"/>
      <c r="I41" s="16" t="str">
        <f t="shared" si="5"/>
        <v>collected</v>
      </c>
      <c r="J41" s="16" t="str">
        <f t="shared" si="6"/>
        <v>N</v>
      </c>
      <c r="K41" s="16"/>
      <c r="L41" s="16"/>
    </row>
    <row r="42">
      <c r="A42" s="6" t="s">
        <v>133</v>
      </c>
      <c r="B42" s="10" t="str">
        <f t="shared" si="1"/>
        <v>isotope</v>
      </c>
      <c r="C42" s="49" t="str">
        <f t="shared" si="2"/>
        <v>S5141IS1</v>
      </c>
      <c r="D42" s="6">
        <v>22.0</v>
      </c>
      <c r="E42" s="10" t="str">
        <f t="shared" si="3"/>
        <v>BIS22</v>
      </c>
      <c r="F42" s="39">
        <v>13.0</v>
      </c>
      <c r="G42" s="10" t="str">
        <f t="shared" si="4"/>
        <v>BIS22-13</v>
      </c>
      <c r="H42" s="6"/>
      <c r="I42" s="16" t="str">
        <f t="shared" si="5"/>
        <v>collected</v>
      </c>
      <c r="J42" s="16" t="str">
        <f t="shared" si="6"/>
        <v>N</v>
      </c>
      <c r="K42" s="16"/>
      <c r="L42" s="16"/>
    </row>
    <row r="43">
      <c r="A43" s="6" t="s">
        <v>135</v>
      </c>
      <c r="B43" s="10" t="str">
        <f t="shared" si="1"/>
        <v>isotope</v>
      </c>
      <c r="C43" s="49" t="str">
        <f t="shared" si="2"/>
        <v>S5142IS1</v>
      </c>
      <c r="D43" s="6">
        <v>22.0</v>
      </c>
      <c r="E43" s="10" t="str">
        <f t="shared" si="3"/>
        <v>BIS22</v>
      </c>
      <c r="F43" s="39">
        <v>14.0</v>
      </c>
      <c r="G43" s="10" t="str">
        <f t="shared" si="4"/>
        <v>BIS22-14</v>
      </c>
      <c r="H43" s="6"/>
      <c r="I43" s="16" t="str">
        <f t="shared" si="5"/>
        <v>collected</v>
      </c>
      <c r="J43" s="16" t="str">
        <f t="shared" si="6"/>
        <v>N</v>
      </c>
      <c r="K43" s="16"/>
      <c r="L43" s="16"/>
    </row>
    <row r="44">
      <c r="A44" s="6" t="s">
        <v>136</v>
      </c>
      <c r="B44" s="10" t="str">
        <f t="shared" si="1"/>
        <v>isotope</v>
      </c>
      <c r="C44" s="49" t="str">
        <f t="shared" si="2"/>
        <v>S5143IS1</v>
      </c>
      <c r="D44" s="6">
        <v>22.0</v>
      </c>
      <c r="E44" s="10" t="str">
        <f t="shared" si="3"/>
        <v>BIS22</v>
      </c>
      <c r="F44" s="13">
        <v>15.0</v>
      </c>
      <c r="G44" s="10" t="str">
        <f t="shared" si="4"/>
        <v>BIS22-15</v>
      </c>
      <c r="H44" s="16"/>
      <c r="I44" s="16" t="str">
        <f t="shared" si="5"/>
        <v>collected</v>
      </c>
      <c r="J44" s="16" t="str">
        <f t="shared" si="6"/>
        <v>N</v>
      </c>
      <c r="K44" s="16"/>
      <c r="L44" s="16"/>
    </row>
    <row r="45">
      <c r="A45" s="6" t="s">
        <v>138</v>
      </c>
      <c r="B45" s="10" t="str">
        <f t="shared" si="1"/>
        <v>isotope</v>
      </c>
      <c r="C45" s="49" t="str">
        <f t="shared" si="2"/>
        <v>S5144IS1</v>
      </c>
      <c r="D45" s="6">
        <v>22.0</v>
      </c>
      <c r="E45" s="10" t="str">
        <f t="shared" si="3"/>
        <v>BIS22</v>
      </c>
      <c r="F45" s="39">
        <v>17.0</v>
      </c>
      <c r="G45" s="10" t="str">
        <f t="shared" si="4"/>
        <v>BIS22-17</v>
      </c>
      <c r="H45" s="6"/>
      <c r="I45" s="16" t="str">
        <f t="shared" si="5"/>
        <v>collected</v>
      </c>
      <c r="J45" s="16" t="str">
        <f t="shared" si="6"/>
        <v>N</v>
      </c>
      <c r="K45" s="16"/>
      <c r="L45" s="16"/>
    </row>
    <row r="46">
      <c r="A46" s="6" t="s">
        <v>139</v>
      </c>
      <c r="B46" s="10" t="str">
        <f t="shared" si="1"/>
        <v>isotope</v>
      </c>
      <c r="C46" s="49" t="str">
        <f t="shared" si="2"/>
        <v>S5145IS1</v>
      </c>
      <c r="D46" s="6">
        <v>22.0</v>
      </c>
      <c r="E46" s="10" t="str">
        <f t="shared" si="3"/>
        <v>BIS22</v>
      </c>
      <c r="F46" s="13">
        <v>18.0</v>
      </c>
      <c r="G46" s="10" t="str">
        <f t="shared" si="4"/>
        <v>BIS22-18</v>
      </c>
      <c r="H46" s="16"/>
      <c r="I46" s="16" t="str">
        <f t="shared" si="5"/>
        <v>collected</v>
      </c>
      <c r="J46" s="16" t="str">
        <f t="shared" si="6"/>
        <v>N</v>
      </c>
      <c r="K46" s="16"/>
      <c r="L46" s="16"/>
    </row>
    <row r="47">
      <c r="A47" s="6" t="s">
        <v>141</v>
      </c>
      <c r="B47" s="10" t="str">
        <f t="shared" si="1"/>
        <v>isotope</v>
      </c>
      <c r="C47" s="49" t="str">
        <f t="shared" si="2"/>
        <v>S5146IS1</v>
      </c>
      <c r="D47" s="6">
        <v>22.0</v>
      </c>
      <c r="E47" s="10" t="str">
        <f t="shared" si="3"/>
        <v>BIS22</v>
      </c>
      <c r="F47" s="39">
        <v>19.0</v>
      </c>
      <c r="G47" s="10" t="str">
        <f t="shared" si="4"/>
        <v>BIS22-19</v>
      </c>
      <c r="H47" s="6"/>
      <c r="I47" s="16" t="str">
        <f t="shared" si="5"/>
        <v>collected</v>
      </c>
      <c r="J47" s="16" t="str">
        <f t="shared" si="6"/>
        <v>N</v>
      </c>
      <c r="K47" s="16"/>
      <c r="L47" s="16"/>
    </row>
    <row r="48">
      <c r="A48" s="6" t="s">
        <v>143</v>
      </c>
      <c r="B48" s="10" t="str">
        <f t="shared" si="1"/>
        <v>isotope</v>
      </c>
      <c r="C48" s="49" t="str">
        <f t="shared" si="2"/>
        <v>S5147IS1</v>
      </c>
      <c r="D48" s="6">
        <v>22.0</v>
      </c>
      <c r="E48" s="10" t="str">
        <f t="shared" si="3"/>
        <v>BIS22</v>
      </c>
      <c r="F48" s="13">
        <v>20.0</v>
      </c>
      <c r="G48" s="10" t="str">
        <f t="shared" si="4"/>
        <v>BIS22-20</v>
      </c>
      <c r="H48" s="16"/>
      <c r="I48" s="16" t="str">
        <f t="shared" si="5"/>
        <v>collected</v>
      </c>
      <c r="J48" s="16" t="str">
        <f t="shared" si="6"/>
        <v>N</v>
      </c>
      <c r="K48" s="16"/>
      <c r="L48" s="16"/>
    </row>
    <row r="49">
      <c r="A49" s="6" t="s">
        <v>144</v>
      </c>
      <c r="B49" s="10" t="str">
        <f t="shared" si="1"/>
        <v>isotope</v>
      </c>
      <c r="C49" s="49" t="str">
        <f t="shared" si="2"/>
        <v>S5148IS1</v>
      </c>
      <c r="D49" s="6">
        <v>22.0</v>
      </c>
      <c r="E49" s="10" t="str">
        <f t="shared" si="3"/>
        <v>BIS22</v>
      </c>
      <c r="F49" s="39">
        <v>21.0</v>
      </c>
      <c r="G49" s="10" t="str">
        <f t="shared" si="4"/>
        <v>BIS22-21</v>
      </c>
      <c r="H49" s="6"/>
      <c r="I49" s="16" t="str">
        <f t="shared" si="5"/>
        <v>collected</v>
      </c>
      <c r="J49" s="16" t="str">
        <f t="shared" si="6"/>
        <v>N</v>
      </c>
      <c r="K49" s="16"/>
      <c r="L49" s="16"/>
    </row>
    <row r="50">
      <c r="A50" s="6" t="s">
        <v>146</v>
      </c>
      <c r="B50" s="10" t="str">
        <f t="shared" si="1"/>
        <v>isotope</v>
      </c>
      <c r="C50" s="49" t="str">
        <f t="shared" si="2"/>
        <v>S5149IS1</v>
      </c>
      <c r="D50" s="6">
        <v>22.0</v>
      </c>
      <c r="E50" s="10" t="str">
        <f t="shared" si="3"/>
        <v>BIS22</v>
      </c>
      <c r="F50" s="39">
        <v>22.0</v>
      </c>
      <c r="G50" s="10" t="str">
        <f t="shared" si="4"/>
        <v>BIS22-22</v>
      </c>
      <c r="H50" s="6"/>
      <c r="I50" s="16" t="str">
        <f t="shared" si="5"/>
        <v>collected</v>
      </c>
      <c r="J50" s="16" t="str">
        <f t="shared" si="6"/>
        <v>N</v>
      </c>
      <c r="K50" s="16"/>
      <c r="L50" s="16"/>
    </row>
    <row r="51">
      <c r="A51" s="6" t="s">
        <v>149</v>
      </c>
      <c r="B51" s="10" t="str">
        <f t="shared" si="1"/>
        <v>isotope</v>
      </c>
      <c r="C51" s="49" t="str">
        <f t="shared" si="2"/>
        <v>S5150IS1</v>
      </c>
      <c r="D51" s="6">
        <v>22.0</v>
      </c>
      <c r="E51" s="10" t="str">
        <f t="shared" si="3"/>
        <v>BIS22</v>
      </c>
      <c r="F51" s="39">
        <v>23.0</v>
      </c>
      <c r="G51" s="10" t="str">
        <f t="shared" si="4"/>
        <v>BIS22-23</v>
      </c>
      <c r="H51" s="6"/>
      <c r="I51" s="16" t="str">
        <f t="shared" si="5"/>
        <v>collected</v>
      </c>
      <c r="J51" s="16" t="str">
        <f t="shared" si="6"/>
        <v>N</v>
      </c>
      <c r="K51" s="16"/>
      <c r="L51" s="16"/>
    </row>
    <row r="52">
      <c r="A52" s="6" t="s">
        <v>151</v>
      </c>
      <c r="B52" s="10" t="str">
        <f t="shared" si="1"/>
        <v>isotope</v>
      </c>
      <c r="C52" s="49" t="str">
        <f t="shared" si="2"/>
        <v>S5161IS1</v>
      </c>
      <c r="D52" s="6">
        <v>22.0</v>
      </c>
      <c r="E52" s="10" t="str">
        <f t="shared" si="3"/>
        <v>BIS22</v>
      </c>
      <c r="F52" s="39">
        <v>25.0</v>
      </c>
      <c r="G52" s="10" t="str">
        <f t="shared" si="4"/>
        <v>BIS22-25</v>
      </c>
      <c r="H52" s="6"/>
      <c r="I52" s="16" t="str">
        <f t="shared" si="5"/>
        <v>collected</v>
      </c>
      <c r="J52" s="16" t="str">
        <f t="shared" si="6"/>
        <v>N</v>
      </c>
      <c r="K52" s="16"/>
      <c r="L52" s="16"/>
    </row>
    <row r="53">
      <c r="A53" s="6" t="s">
        <v>153</v>
      </c>
      <c r="B53" s="10" t="str">
        <f t="shared" si="1"/>
        <v>isotope</v>
      </c>
      <c r="C53" s="49" t="str">
        <f t="shared" si="2"/>
        <v>S5162IS1</v>
      </c>
      <c r="D53" s="6">
        <v>22.0</v>
      </c>
      <c r="E53" s="10" t="str">
        <f t="shared" si="3"/>
        <v>BIS22</v>
      </c>
      <c r="F53" s="39">
        <v>27.0</v>
      </c>
      <c r="G53" s="10" t="str">
        <f t="shared" si="4"/>
        <v>BIS22-27</v>
      </c>
      <c r="H53" s="6"/>
      <c r="I53" s="16" t="str">
        <f t="shared" si="5"/>
        <v>collected</v>
      </c>
      <c r="J53" s="16" t="str">
        <f t="shared" si="6"/>
        <v>N</v>
      </c>
      <c r="K53" s="16"/>
      <c r="L53" s="16"/>
    </row>
    <row r="54">
      <c r="A54" s="6" t="s">
        <v>154</v>
      </c>
      <c r="B54" s="10" t="str">
        <f t="shared" si="1"/>
        <v>isotope</v>
      </c>
      <c r="C54" s="49" t="str">
        <f t="shared" si="2"/>
        <v>S5163IS1</v>
      </c>
      <c r="D54" s="6">
        <v>22.0</v>
      </c>
      <c r="E54" s="10" t="str">
        <f t="shared" si="3"/>
        <v>BIS22</v>
      </c>
      <c r="F54" s="39">
        <v>29.0</v>
      </c>
      <c r="G54" s="10" t="str">
        <f t="shared" si="4"/>
        <v>BIS22-29</v>
      </c>
      <c r="H54" s="6"/>
      <c r="I54" s="16" t="str">
        <f t="shared" si="5"/>
        <v>collected</v>
      </c>
      <c r="J54" s="16" t="str">
        <f t="shared" si="6"/>
        <v>N</v>
      </c>
      <c r="K54" s="16"/>
      <c r="L54" s="16"/>
    </row>
    <row r="55">
      <c r="A55" s="6" t="s">
        <v>156</v>
      </c>
      <c r="B55" s="10" t="str">
        <f t="shared" si="1"/>
        <v>isotope</v>
      </c>
      <c r="C55" s="49" t="str">
        <f t="shared" si="2"/>
        <v>S5164IS1</v>
      </c>
      <c r="D55" s="6">
        <v>22.0</v>
      </c>
      <c r="E55" s="10" t="str">
        <f t="shared" si="3"/>
        <v>BIS22</v>
      </c>
      <c r="F55" s="39">
        <v>32.0</v>
      </c>
      <c r="G55" s="10" t="str">
        <f t="shared" si="4"/>
        <v>BIS22-32</v>
      </c>
      <c r="H55" s="6"/>
      <c r="I55" s="16" t="str">
        <f t="shared" si="5"/>
        <v>collected</v>
      </c>
      <c r="J55" s="16" t="str">
        <f t="shared" si="6"/>
        <v>N</v>
      </c>
      <c r="K55" s="16"/>
      <c r="L55" s="16"/>
    </row>
    <row r="56">
      <c r="A56" s="6" t="s">
        <v>158</v>
      </c>
      <c r="B56" s="10" t="str">
        <f t="shared" si="1"/>
        <v>isotope</v>
      </c>
      <c r="C56" s="49" t="str">
        <f t="shared" si="2"/>
        <v>S5165IS1</v>
      </c>
      <c r="D56" s="6">
        <v>22.0</v>
      </c>
      <c r="E56" s="10" t="str">
        <f t="shared" si="3"/>
        <v>BIS22</v>
      </c>
      <c r="F56" s="39">
        <v>34.0</v>
      </c>
      <c r="G56" s="10" t="str">
        <f t="shared" si="4"/>
        <v>BIS22-34</v>
      </c>
      <c r="H56" s="6"/>
      <c r="I56" s="16" t="str">
        <f t="shared" si="5"/>
        <v>collected</v>
      </c>
      <c r="J56" s="16" t="str">
        <f t="shared" si="6"/>
        <v>N</v>
      </c>
      <c r="K56" s="16"/>
      <c r="L56" s="16"/>
    </row>
    <row r="57">
      <c r="A57" s="6" t="s">
        <v>160</v>
      </c>
      <c r="B57" s="10" t="str">
        <f t="shared" si="1"/>
        <v>isotope</v>
      </c>
      <c r="C57" s="49" t="str">
        <f t="shared" si="2"/>
        <v>S5166IS1</v>
      </c>
      <c r="D57" s="6">
        <v>22.0</v>
      </c>
      <c r="E57" s="10" t="str">
        <f t="shared" si="3"/>
        <v>BIS22</v>
      </c>
      <c r="F57" s="39">
        <v>36.0</v>
      </c>
      <c r="G57" s="10" t="str">
        <f t="shared" si="4"/>
        <v>BIS22-36</v>
      </c>
      <c r="H57" s="6"/>
      <c r="I57" s="16" t="str">
        <f t="shared" si="5"/>
        <v>collected</v>
      </c>
      <c r="J57" s="16" t="str">
        <f t="shared" si="6"/>
        <v>N</v>
      </c>
      <c r="K57" s="16"/>
      <c r="L57" s="16"/>
    </row>
    <row r="58">
      <c r="A58" s="6" t="s">
        <v>161</v>
      </c>
      <c r="B58" s="10" t="str">
        <f t="shared" si="1"/>
        <v>isotope</v>
      </c>
      <c r="C58" s="49" t="str">
        <f t="shared" si="2"/>
        <v>S5167IS1</v>
      </c>
      <c r="D58" s="6">
        <v>22.0</v>
      </c>
      <c r="E58" s="10" t="str">
        <f t="shared" si="3"/>
        <v>BIS22</v>
      </c>
      <c r="F58" s="39">
        <v>38.0</v>
      </c>
      <c r="G58" s="10" t="str">
        <f t="shared" si="4"/>
        <v>BIS22-38</v>
      </c>
      <c r="H58" s="6"/>
      <c r="I58" s="16" t="str">
        <f t="shared" si="5"/>
        <v>collected</v>
      </c>
      <c r="J58" s="16" t="str">
        <f t="shared" si="6"/>
        <v>N</v>
      </c>
      <c r="K58" s="16"/>
      <c r="L58" s="16"/>
    </row>
    <row r="59">
      <c r="A59" s="6" t="s">
        <v>163</v>
      </c>
      <c r="B59" s="10" t="str">
        <f t="shared" si="1"/>
        <v>isotope</v>
      </c>
      <c r="C59" s="49" t="str">
        <f t="shared" si="2"/>
        <v>S5168IS1</v>
      </c>
      <c r="D59" s="6">
        <v>22.0</v>
      </c>
      <c r="E59" s="10" t="str">
        <f t="shared" si="3"/>
        <v>BIS22</v>
      </c>
      <c r="F59" s="39">
        <v>40.0</v>
      </c>
      <c r="G59" s="10" t="str">
        <f t="shared" si="4"/>
        <v>BIS22-40</v>
      </c>
      <c r="H59" s="6"/>
      <c r="I59" s="16" t="str">
        <f t="shared" si="5"/>
        <v>collected</v>
      </c>
      <c r="J59" s="16" t="str">
        <f t="shared" si="6"/>
        <v>N</v>
      </c>
      <c r="K59" s="16"/>
      <c r="L59" s="16"/>
    </row>
    <row r="60">
      <c r="A60" s="6" t="s">
        <v>166</v>
      </c>
      <c r="B60" s="10" t="str">
        <f t="shared" si="1"/>
        <v>isotope</v>
      </c>
      <c r="C60" s="49" t="str">
        <f t="shared" si="2"/>
        <v>S5169IS1</v>
      </c>
      <c r="D60" s="6">
        <v>22.0</v>
      </c>
      <c r="E60" s="10" t="str">
        <f t="shared" si="3"/>
        <v>BIS22</v>
      </c>
      <c r="F60" s="39">
        <v>41.0</v>
      </c>
      <c r="G60" s="10" t="str">
        <f t="shared" si="4"/>
        <v>BIS22-41</v>
      </c>
      <c r="H60" s="6"/>
      <c r="I60" s="16" t="str">
        <f t="shared" si="5"/>
        <v>collected</v>
      </c>
      <c r="J60" s="16" t="str">
        <f t="shared" si="6"/>
        <v>N</v>
      </c>
      <c r="K60" s="16"/>
      <c r="L60" s="16"/>
    </row>
    <row r="61">
      <c r="A61" s="6" t="s">
        <v>167</v>
      </c>
      <c r="B61" s="10" t="str">
        <f t="shared" si="1"/>
        <v>isotope</v>
      </c>
      <c r="C61" s="49" t="str">
        <f t="shared" si="2"/>
        <v>S5170IS1</v>
      </c>
      <c r="D61" s="6">
        <v>22.0</v>
      </c>
      <c r="E61" s="10" t="str">
        <f t="shared" si="3"/>
        <v>BIS22</v>
      </c>
      <c r="F61" s="13">
        <v>43.0</v>
      </c>
      <c r="G61" s="10" t="str">
        <f t="shared" si="4"/>
        <v>BIS22-43</v>
      </c>
      <c r="H61" s="16"/>
      <c r="I61" s="16" t="str">
        <f t="shared" si="5"/>
        <v>collected</v>
      </c>
      <c r="J61" s="16" t="str">
        <f t="shared" si="6"/>
        <v>N</v>
      </c>
      <c r="K61" s="16"/>
      <c r="L61" s="16"/>
    </row>
    <row r="62">
      <c r="A62" s="27" t="s">
        <v>168</v>
      </c>
      <c r="B62" s="10" t="str">
        <f t="shared" si="1"/>
        <v>isotope</v>
      </c>
      <c r="C62" s="49" t="str">
        <f t="shared" si="2"/>
        <v>S5151IS1</v>
      </c>
      <c r="D62" s="6">
        <v>23.0</v>
      </c>
      <c r="E62" s="10" t="str">
        <f t="shared" si="3"/>
        <v>BIS23</v>
      </c>
      <c r="F62" s="13">
        <v>1.0</v>
      </c>
      <c r="G62" s="10" t="str">
        <f t="shared" si="4"/>
        <v>BIS23-1</v>
      </c>
      <c r="H62" s="16"/>
      <c r="I62" s="16" t="str">
        <f t="shared" si="5"/>
        <v>collected</v>
      </c>
      <c r="J62" s="16" t="str">
        <f t="shared" si="6"/>
        <v>N</v>
      </c>
      <c r="K62" s="16"/>
      <c r="L62" s="16"/>
    </row>
    <row r="63">
      <c r="A63" s="27" t="s">
        <v>171</v>
      </c>
      <c r="B63" s="10" t="str">
        <f t="shared" si="1"/>
        <v>isotope</v>
      </c>
      <c r="C63" s="49" t="str">
        <f t="shared" si="2"/>
        <v>S5152IS1</v>
      </c>
      <c r="D63" s="6">
        <v>23.0</v>
      </c>
      <c r="E63" s="10" t="str">
        <f t="shared" si="3"/>
        <v>BIS23</v>
      </c>
      <c r="F63" s="13">
        <v>3.0</v>
      </c>
      <c r="G63" s="10" t="str">
        <f t="shared" si="4"/>
        <v>BIS23-3</v>
      </c>
      <c r="H63" s="16"/>
      <c r="I63" s="16" t="str">
        <f t="shared" si="5"/>
        <v>collected</v>
      </c>
      <c r="J63" s="16" t="str">
        <f t="shared" si="6"/>
        <v>N</v>
      </c>
      <c r="K63" s="16"/>
      <c r="L63" s="16"/>
    </row>
    <row r="64">
      <c r="A64" s="27" t="s">
        <v>173</v>
      </c>
      <c r="B64" s="10" t="str">
        <f t="shared" si="1"/>
        <v>isotope</v>
      </c>
      <c r="C64" s="49" t="str">
        <f t="shared" si="2"/>
        <v>S5153IS1</v>
      </c>
      <c r="D64" s="6">
        <v>23.0</v>
      </c>
      <c r="E64" s="10" t="str">
        <f t="shared" si="3"/>
        <v>BIS23</v>
      </c>
      <c r="F64" s="13">
        <v>5.0</v>
      </c>
      <c r="G64" s="10" t="str">
        <f t="shared" si="4"/>
        <v>BIS23-5</v>
      </c>
      <c r="H64" s="16"/>
      <c r="I64" s="16" t="str">
        <f t="shared" si="5"/>
        <v>collected</v>
      </c>
      <c r="J64" s="16" t="str">
        <f t="shared" si="6"/>
        <v>N</v>
      </c>
      <c r="K64" s="16"/>
      <c r="L64" s="16"/>
    </row>
    <row r="65">
      <c r="A65" s="28" t="s">
        <v>175</v>
      </c>
      <c r="B65" s="10" t="str">
        <f t="shared" si="1"/>
        <v>isotope</v>
      </c>
      <c r="C65" s="49" t="str">
        <f t="shared" si="2"/>
        <v>S5154IS1</v>
      </c>
      <c r="D65" s="6">
        <v>23.0</v>
      </c>
      <c r="E65" s="10" t="str">
        <f t="shared" si="3"/>
        <v>BIS23</v>
      </c>
      <c r="F65" s="13">
        <v>7.0</v>
      </c>
      <c r="G65" s="10" t="str">
        <f t="shared" si="4"/>
        <v>BIS23-7</v>
      </c>
      <c r="H65" s="16"/>
      <c r="I65" s="16" t="str">
        <f t="shared" si="5"/>
        <v>collected</v>
      </c>
      <c r="J65" s="16" t="str">
        <f t="shared" si="6"/>
        <v>N</v>
      </c>
      <c r="K65" s="16"/>
      <c r="L65" s="16"/>
    </row>
    <row r="66">
      <c r="A66" s="28" t="s">
        <v>177</v>
      </c>
      <c r="B66" s="10" t="str">
        <f t="shared" si="1"/>
        <v>isotope</v>
      </c>
      <c r="C66" s="49" t="str">
        <f t="shared" si="2"/>
        <v>S5155IS1</v>
      </c>
      <c r="D66" s="6">
        <v>23.0</v>
      </c>
      <c r="E66" s="10" t="str">
        <f t="shared" si="3"/>
        <v>BIS23</v>
      </c>
      <c r="F66" s="13">
        <v>9.0</v>
      </c>
      <c r="G66" s="10" t="str">
        <f t="shared" si="4"/>
        <v>BIS23-9</v>
      </c>
      <c r="H66" s="16"/>
      <c r="I66" s="16" t="str">
        <f t="shared" si="5"/>
        <v>collected</v>
      </c>
      <c r="J66" s="16" t="str">
        <f t="shared" si="6"/>
        <v>N</v>
      </c>
      <c r="K66" s="16"/>
      <c r="L66" s="16"/>
    </row>
    <row r="67">
      <c r="A67" s="27" t="s">
        <v>179</v>
      </c>
      <c r="B67" s="10" t="str">
        <f t="shared" si="1"/>
        <v>isotope</v>
      </c>
      <c r="C67" s="49" t="str">
        <f t="shared" si="2"/>
        <v>S5156IS1</v>
      </c>
      <c r="D67" s="6">
        <v>23.0</v>
      </c>
      <c r="E67" s="10" t="str">
        <f t="shared" si="3"/>
        <v>BIS23</v>
      </c>
      <c r="F67" s="13">
        <v>12.0</v>
      </c>
      <c r="G67" s="10" t="str">
        <f t="shared" si="4"/>
        <v>BIS23-12</v>
      </c>
      <c r="H67" s="16"/>
      <c r="I67" s="16" t="str">
        <f t="shared" si="5"/>
        <v>collected</v>
      </c>
      <c r="J67" s="16" t="str">
        <f t="shared" si="6"/>
        <v>N</v>
      </c>
      <c r="K67" s="16"/>
      <c r="L67" s="16"/>
    </row>
    <row r="68">
      <c r="A68" s="27" t="s">
        <v>180</v>
      </c>
      <c r="B68" s="10" t="str">
        <f t="shared" si="1"/>
        <v>isotope</v>
      </c>
      <c r="C68" s="49" t="str">
        <f t="shared" si="2"/>
        <v>S5157IS1</v>
      </c>
      <c r="D68" s="6">
        <v>23.0</v>
      </c>
      <c r="E68" s="10" t="str">
        <f t="shared" si="3"/>
        <v>BIS23</v>
      </c>
      <c r="F68" s="13">
        <v>14.0</v>
      </c>
      <c r="G68" s="10" t="str">
        <f t="shared" si="4"/>
        <v>BIS23-14</v>
      </c>
      <c r="H68" s="16"/>
      <c r="I68" s="16" t="str">
        <f t="shared" si="5"/>
        <v>collected</v>
      </c>
      <c r="J68" s="16" t="str">
        <f t="shared" si="6"/>
        <v>N</v>
      </c>
      <c r="K68" s="16"/>
      <c r="L68" s="16"/>
    </row>
    <row r="69">
      <c r="A69" s="27" t="s">
        <v>184</v>
      </c>
      <c r="B69" s="10" t="str">
        <f t="shared" si="1"/>
        <v>isotope</v>
      </c>
      <c r="C69" s="49" t="str">
        <f t="shared" si="2"/>
        <v>S5158IS1</v>
      </c>
      <c r="D69" s="6">
        <v>23.0</v>
      </c>
      <c r="E69" s="10" t="str">
        <f t="shared" si="3"/>
        <v>BIS23</v>
      </c>
      <c r="F69" s="13">
        <v>16.0</v>
      </c>
      <c r="G69" s="10" t="str">
        <f t="shared" si="4"/>
        <v>BIS23-16</v>
      </c>
      <c r="H69" s="16"/>
      <c r="I69" s="16" t="str">
        <f t="shared" si="5"/>
        <v>collected</v>
      </c>
      <c r="J69" s="16" t="str">
        <f t="shared" si="6"/>
        <v>N</v>
      </c>
      <c r="K69" s="16"/>
      <c r="L69" s="16"/>
    </row>
    <row r="70">
      <c r="A70" s="27" t="s">
        <v>185</v>
      </c>
      <c r="B70" s="10" t="str">
        <f t="shared" si="1"/>
        <v>isotope</v>
      </c>
      <c r="C70" s="49" t="str">
        <f t="shared" si="2"/>
        <v>S5159IS1</v>
      </c>
      <c r="D70" s="6">
        <v>23.0</v>
      </c>
      <c r="E70" s="10" t="str">
        <f t="shared" si="3"/>
        <v>BIS23</v>
      </c>
      <c r="F70" s="13">
        <v>18.0</v>
      </c>
      <c r="G70" s="10" t="str">
        <f t="shared" si="4"/>
        <v>BIS23-18</v>
      </c>
      <c r="H70" s="16"/>
      <c r="I70" s="16" t="str">
        <f t="shared" si="5"/>
        <v>collected</v>
      </c>
      <c r="J70" s="16" t="str">
        <f t="shared" si="6"/>
        <v>N</v>
      </c>
      <c r="K70" s="16"/>
      <c r="L70" s="16"/>
    </row>
    <row r="71">
      <c r="A71" s="27" t="s">
        <v>187</v>
      </c>
      <c r="B71" s="10" t="str">
        <f t="shared" si="1"/>
        <v>isotope</v>
      </c>
      <c r="C71" s="49" t="str">
        <f t="shared" si="2"/>
        <v>S5160IS1</v>
      </c>
      <c r="D71" s="6">
        <v>23.0</v>
      </c>
      <c r="E71" s="10" t="str">
        <f t="shared" si="3"/>
        <v>BIS23</v>
      </c>
      <c r="F71" s="13">
        <v>20.0</v>
      </c>
      <c r="G71" s="10" t="str">
        <f t="shared" si="4"/>
        <v>BIS23-20</v>
      </c>
      <c r="H71" s="16"/>
      <c r="I71" s="16" t="str">
        <f t="shared" si="5"/>
        <v>collected</v>
      </c>
      <c r="J71" s="16" t="str">
        <f t="shared" si="6"/>
        <v>N</v>
      </c>
      <c r="K71" s="16"/>
      <c r="L71" s="16"/>
    </row>
    <row r="72">
      <c r="A72" s="27" t="s">
        <v>189</v>
      </c>
      <c r="B72" s="10" t="str">
        <f t="shared" si="1"/>
        <v>isotope</v>
      </c>
      <c r="C72" s="49" t="str">
        <f t="shared" si="2"/>
        <v>S5179IS1</v>
      </c>
      <c r="D72" s="6">
        <v>23.0</v>
      </c>
      <c r="E72" s="10" t="str">
        <f t="shared" si="3"/>
        <v>BIS23</v>
      </c>
      <c r="F72" s="13">
        <v>21.0</v>
      </c>
      <c r="G72" s="10" t="str">
        <f t="shared" si="4"/>
        <v>BIS23-21</v>
      </c>
      <c r="H72" s="16"/>
      <c r="I72" s="16" t="str">
        <f t="shared" si="5"/>
        <v>collected</v>
      </c>
      <c r="J72" s="16" t="str">
        <f t="shared" si="6"/>
        <v>N</v>
      </c>
      <c r="K72" s="16"/>
      <c r="L72" s="16"/>
    </row>
    <row r="73">
      <c r="A73" s="27" t="s">
        <v>191</v>
      </c>
      <c r="B73" s="10" t="str">
        <f t="shared" si="1"/>
        <v>isotope</v>
      </c>
      <c r="C73" s="49" t="str">
        <f t="shared" si="2"/>
        <v>S5180IS1</v>
      </c>
      <c r="D73" s="6">
        <v>23.0</v>
      </c>
      <c r="E73" s="10" t="str">
        <f t="shared" si="3"/>
        <v>BIS23</v>
      </c>
      <c r="F73" s="13">
        <v>23.0</v>
      </c>
      <c r="G73" s="10" t="str">
        <f t="shared" si="4"/>
        <v>BIS23-23</v>
      </c>
      <c r="H73" s="16"/>
      <c r="I73" s="16" t="str">
        <f t="shared" si="5"/>
        <v>collected</v>
      </c>
      <c r="J73" s="16" t="str">
        <f t="shared" si="6"/>
        <v>N</v>
      </c>
      <c r="K73" s="16"/>
      <c r="L73" s="16"/>
    </row>
    <row r="74">
      <c r="A74" s="27" t="s">
        <v>194</v>
      </c>
      <c r="B74" s="10" t="str">
        <f t="shared" si="1"/>
        <v>isotope</v>
      </c>
      <c r="C74" s="49" t="str">
        <f t="shared" si="2"/>
        <v>S5181IS1</v>
      </c>
      <c r="D74" s="6">
        <v>23.0</v>
      </c>
      <c r="E74" s="10" t="str">
        <f t="shared" si="3"/>
        <v>BIS23</v>
      </c>
      <c r="F74" s="13">
        <v>25.0</v>
      </c>
      <c r="G74" s="10" t="str">
        <f t="shared" si="4"/>
        <v>BIS23-25</v>
      </c>
      <c r="H74" s="16"/>
      <c r="I74" s="16" t="str">
        <f t="shared" si="5"/>
        <v>collected</v>
      </c>
      <c r="J74" s="16" t="str">
        <f t="shared" si="6"/>
        <v>N</v>
      </c>
      <c r="K74" s="16"/>
      <c r="L74" s="16"/>
    </row>
    <row r="75">
      <c r="A75" s="27" t="s">
        <v>195</v>
      </c>
      <c r="B75" s="10" t="str">
        <f t="shared" si="1"/>
        <v>isotope</v>
      </c>
      <c r="C75" s="49" t="str">
        <f t="shared" si="2"/>
        <v>S5182IS1</v>
      </c>
      <c r="D75" s="6">
        <v>23.0</v>
      </c>
      <c r="E75" s="10" t="str">
        <f t="shared" si="3"/>
        <v>BIS23</v>
      </c>
      <c r="F75" s="13">
        <v>27.0</v>
      </c>
      <c r="G75" s="10" t="str">
        <f t="shared" si="4"/>
        <v>BIS23-27</v>
      </c>
      <c r="H75" s="16"/>
      <c r="I75" s="16" t="str">
        <f t="shared" si="5"/>
        <v>collected</v>
      </c>
      <c r="J75" s="16" t="str">
        <f t="shared" si="6"/>
        <v>N</v>
      </c>
      <c r="K75" s="16"/>
      <c r="L75" s="16"/>
    </row>
    <row r="76">
      <c r="A76" s="27" t="s">
        <v>196</v>
      </c>
      <c r="B76" s="10" t="str">
        <f t="shared" si="1"/>
        <v>isotope</v>
      </c>
      <c r="C76" s="49" t="str">
        <f t="shared" si="2"/>
        <v>S5183IS1</v>
      </c>
      <c r="D76" s="6">
        <v>23.0</v>
      </c>
      <c r="E76" s="10" t="str">
        <f t="shared" si="3"/>
        <v>BIS23</v>
      </c>
      <c r="F76" s="13">
        <v>29.0</v>
      </c>
      <c r="G76" s="10" t="str">
        <f t="shared" si="4"/>
        <v>BIS23-29</v>
      </c>
      <c r="H76" s="16"/>
      <c r="I76" s="16" t="str">
        <f t="shared" si="5"/>
        <v>collected</v>
      </c>
      <c r="J76" s="16" t="str">
        <f t="shared" si="6"/>
        <v>N</v>
      </c>
      <c r="K76" s="16"/>
      <c r="L76" s="16"/>
    </row>
    <row r="77">
      <c r="A77" s="29" t="s">
        <v>198</v>
      </c>
      <c r="B77" s="10" t="str">
        <f t="shared" si="1"/>
        <v>isotope</v>
      </c>
      <c r="C77" s="49" t="str">
        <f t="shared" si="2"/>
        <v>S5184IS1</v>
      </c>
      <c r="D77" s="6">
        <v>23.0</v>
      </c>
      <c r="E77" s="10" t="str">
        <f t="shared" si="3"/>
        <v>BIS23</v>
      </c>
      <c r="F77" s="13">
        <v>32.0</v>
      </c>
      <c r="G77" s="10" t="str">
        <f t="shared" si="4"/>
        <v>BIS23-32</v>
      </c>
      <c r="H77" s="16"/>
      <c r="I77" s="16" t="str">
        <f t="shared" si="5"/>
        <v>collected</v>
      </c>
      <c r="J77" s="16" t="str">
        <f t="shared" si="6"/>
        <v>N</v>
      </c>
      <c r="K77" s="16"/>
      <c r="L77" s="16"/>
    </row>
    <row r="78">
      <c r="A78" s="6" t="s">
        <v>199</v>
      </c>
      <c r="B78" s="10" t="str">
        <f t="shared" si="1"/>
        <v>isotope</v>
      </c>
      <c r="C78" s="49" t="str">
        <f t="shared" si="2"/>
        <v>S5171IS1</v>
      </c>
      <c r="D78" s="6">
        <v>22.0</v>
      </c>
      <c r="E78" s="10" t="str">
        <f t="shared" si="3"/>
        <v>BIS22</v>
      </c>
      <c r="F78" s="13">
        <v>45.0</v>
      </c>
      <c r="G78" s="10" t="str">
        <f t="shared" si="4"/>
        <v>BIS22-45</v>
      </c>
      <c r="H78" s="16"/>
      <c r="I78" s="16" t="str">
        <f t="shared" si="5"/>
        <v>collected</v>
      </c>
      <c r="J78" s="16" t="str">
        <f t="shared" si="6"/>
        <v>N</v>
      </c>
      <c r="K78" s="16"/>
      <c r="L78" s="16"/>
    </row>
    <row r="79">
      <c r="A79" s="6" t="s">
        <v>202</v>
      </c>
      <c r="B79" s="10" t="str">
        <f t="shared" si="1"/>
        <v>isotope</v>
      </c>
      <c r="C79" s="49" t="str">
        <f t="shared" si="2"/>
        <v>S5172IS1</v>
      </c>
      <c r="D79" s="6">
        <v>22.0</v>
      </c>
      <c r="E79" s="10" t="str">
        <f t="shared" si="3"/>
        <v>BIS22</v>
      </c>
      <c r="F79" s="13">
        <v>47.0</v>
      </c>
      <c r="G79" s="10" t="str">
        <f t="shared" si="4"/>
        <v>BIS22-47</v>
      </c>
      <c r="H79" s="16"/>
      <c r="I79" s="16" t="str">
        <f t="shared" si="5"/>
        <v>collected</v>
      </c>
      <c r="J79" s="16" t="str">
        <f t="shared" si="6"/>
        <v>N</v>
      </c>
      <c r="K79" s="16"/>
      <c r="L79" s="16"/>
    </row>
    <row r="80">
      <c r="A80" s="6" t="s">
        <v>204</v>
      </c>
      <c r="B80" s="10" t="str">
        <f t="shared" si="1"/>
        <v>isotope</v>
      </c>
      <c r="C80" s="49" t="str">
        <f t="shared" si="2"/>
        <v>S5173IS1</v>
      </c>
      <c r="D80" s="6">
        <v>22.0</v>
      </c>
      <c r="E80" s="10" t="str">
        <f t="shared" si="3"/>
        <v>BIS22</v>
      </c>
      <c r="F80" s="13">
        <v>49.0</v>
      </c>
      <c r="G80" s="10" t="str">
        <f t="shared" si="4"/>
        <v>BIS22-49</v>
      </c>
      <c r="H80" s="16"/>
      <c r="I80" s="16" t="str">
        <f t="shared" si="5"/>
        <v>collected</v>
      </c>
      <c r="J80" s="16" t="str">
        <f t="shared" si="6"/>
        <v>N</v>
      </c>
      <c r="K80" s="16"/>
      <c r="L80" s="16"/>
    </row>
    <row r="81">
      <c r="A81" s="6" t="s">
        <v>205</v>
      </c>
      <c r="B81" s="10" t="str">
        <f t="shared" si="1"/>
        <v>isotope</v>
      </c>
      <c r="C81" s="49" t="str">
        <f t="shared" si="2"/>
        <v>S5174IS1</v>
      </c>
      <c r="D81" s="6">
        <v>22.0</v>
      </c>
      <c r="E81" s="10" t="str">
        <f t="shared" si="3"/>
        <v>BIS22</v>
      </c>
      <c r="F81" s="13">
        <v>52.0</v>
      </c>
      <c r="G81" s="10" t="str">
        <f t="shared" si="4"/>
        <v>BIS22-52</v>
      </c>
      <c r="H81" s="16"/>
      <c r="I81" s="16" t="str">
        <f t="shared" si="5"/>
        <v>collected</v>
      </c>
      <c r="J81" s="16" t="str">
        <f t="shared" si="6"/>
        <v>N</v>
      </c>
      <c r="K81" s="16"/>
      <c r="L81" s="16"/>
    </row>
    <row r="82">
      <c r="A82" s="25" t="s">
        <v>209</v>
      </c>
      <c r="B82" s="10" t="str">
        <f t="shared" si="1"/>
        <v>isotope</v>
      </c>
      <c r="C82" s="49" t="str">
        <f t="shared" si="2"/>
        <v>S5175IS1</v>
      </c>
      <c r="D82" s="6">
        <v>22.0</v>
      </c>
      <c r="E82" s="10" t="str">
        <f t="shared" si="3"/>
        <v>BIS22</v>
      </c>
      <c r="F82" s="13">
        <v>54.0</v>
      </c>
      <c r="G82" s="10" t="str">
        <f t="shared" si="4"/>
        <v>BIS22-54</v>
      </c>
      <c r="H82" s="16"/>
      <c r="I82" s="16" t="str">
        <f t="shared" si="5"/>
        <v>collected</v>
      </c>
      <c r="J82" s="16" t="str">
        <f t="shared" si="6"/>
        <v>N</v>
      </c>
      <c r="K82" s="16"/>
      <c r="L82" s="16"/>
    </row>
    <row r="83">
      <c r="A83" s="25" t="s">
        <v>210</v>
      </c>
      <c r="B83" s="10" t="str">
        <f t="shared" si="1"/>
        <v>isotope</v>
      </c>
      <c r="C83" s="49" t="str">
        <f t="shared" si="2"/>
        <v>S5176IS1</v>
      </c>
      <c r="D83" s="6">
        <v>22.0</v>
      </c>
      <c r="E83" s="10" t="str">
        <f t="shared" si="3"/>
        <v>BIS22</v>
      </c>
      <c r="F83" s="13">
        <v>56.0</v>
      </c>
      <c r="G83" s="10" t="str">
        <f t="shared" si="4"/>
        <v>BIS22-56</v>
      </c>
      <c r="H83" s="16"/>
      <c r="I83" s="16" t="str">
        <f t="shared" si="5"/>
        <v>collected</v>
      </c>
      <c r="J83" s="16" t="str">
        <f t="shared" si="6"/>
        <v>N</v>
      </c>
      <c r="K83" s="16"/>
      <c r="L83" s="16"/>
    </row>
    <row r="84">
      <c r="A84" s="25" t="s">
        <v>212</v>
      </c>
      <c r="B84" s="10" t="str">
        <f t="shared" si="1"/>
        <v>isotope</v>
      </c>
      <c r="C84" s="49" t="str">
        <f t="shared" si="2"/>
        <v>S5177IS1</v>
      </c>
      <c r="D84" s="6">
        <v>22.0</v>
      </c>
      <c r="E84" s="10" t="str">
        <f t="shared" si="3"/>
        <v>BIS22</v>
      </c>
      <c r="F84" s="13">
        <v>58.0</v>
      </c>
      <c r="G84" s="10" t="str">
        <f t="shared" si="4"/>
        <v>BIS22-58</v>
      </c>
      <c r="H84" s="16"/>
      <c r="I84" s="16" t="str">
        <f t="shared" si="5"/>
        <v>collected</v>
      </c>
      <c r="J84" s="16" t="str">
        <f t="shared" si="6"/>
        <v>N</v>
      </c>
      <c r="K84" s="16"/>
      <c r="L84" s="16"/>
    </row>
    <row r="85">
      <c r="A85" s="25" t="s">
        <v>215</v>
      </c>
      <c r="B85" s="10" t="str">
        <f t="shared" si="1"/>
        <v>isotope</v>
      </c>
      <c r="C85" s="49" t="str">
        <f t="shared" si="2"/>
        <v>S5178IS1</v>
      </c>
      <c r="D85" s="6">
        <v>22.0</v>
      </c>
      <c r="E85" s="10" t="str">
        <f t="shared" si="3"/>
        <v>BIS22</v>
      </c>
      <c r="F85" s="13">
        <v>60.0</v>
      </c>
      <c r="G85" s="10" t="str">
        <f t="shared" si="4"/>
        <v>BIS22-60</v>
      </c>
      <c r="H85" s="16"/>
      <c r="I85" s="16" t="str">
        <f t="shared" si="5"/>
        <v>collected</v>
      </c>
      <c r="J85" s="16" t="str">
        <f t="shared" si="6"/>
        <v>N</v>
      </c>
      <c r="K85" s="16"/>
      <c r="L85" s="16"/>
    </row>
    <row r="86">
      <c r="A86" s="25" t="s">
        <v>217</v>
      </c>
      <c r="B86" s="10" t="str">
        <f t="shared" si="1"/>
        <v>isotope</v>
      </c>
      <c r="C86" s="49" t="str">
        <f t="shared" si="2"/>
        <v>S5194IS1</v>
      </c>
      <c r="D86" s="6">
        <v>22.0</v>
      </c>
      <c r="E86" s="10" t="str">
        <f t="shared" si="3"/>
        <v>BIS22</v>
      </c>
      <c r="F86" s="13">
        <v>61.0</v>
      </c>
      <c r="G86" s="10" t="str">
        <f t="shared" si="4"/>
        <v>BIS22-61</v>
      </c>
      <c r="H86" s="16"/>
      <c r="I86" s="16" t="str">
        <f t="shared" si="5"/>
        <v>collected</v>
      </c>
      <c r="J86" s="16" t="str">
        <f t="shared" si="6"/>
        <v>N</v>
      </c>
      <c r="K86" s="16"/>
      <c r="L86" s="16"/>
    </row>
    <row r="87">
      <c r="A87" s="25" t="s">
        <v>220</v>
      </c>
      <c r="B87" s="10" t="str">
        <f t="shared" si="1"/>
        <v>isotope</v>
      </c>
      <c r="C87" s="49" t="str">
        <f t="shared" si="2"/>
        <v>S5195IS1</v>
      </c>
      <c r="D87" s="6">
        <v>22.0</v>
      </c>
      <c r="E87" s="10" t="str">
        <f t="shared" si="3"/>
        <v>BIS22</v>
      </c>
      <c r="F87" s="13">
        <v>63.0</v>
      </c>
      <c r="G87" s="10" t="str">
        <f t="shared" si="4"/>
        <v>BIS22-63</v>
      </c>
      <c r="H87" s="16"/>
      <c r="I87" s="16" t="str">
        <f t="shared" si="5"/>
        <v>collected</v>
      </c>
      <c r="J87" s="16" t="str">
        <f t="shared" si="6"/>
        <v>N</v>
      </c>
      <c r="K87" s="16"/>
      <c r="L87" s="16"/>
    </row>
    <row r="88">
      <c r="A88" s="25" t="s">
        <v>222</v>
      </c>
      <c r="B88" s="10" t="str">
        <f t="shared" si="1"/>
        <v>isotope</v>
      </c>
      <c r="C88" s="49" t="str">
        <f t="shared" si="2"/>
        <v>S5196IS1</v>
      </c>
      <c r="D88" s="6">
        <v>22.0</v>
      </c>
      <c r="E88" s="10" t="str">
        <f t="shared" si="3"/>
        <v>BIS22</v>
      </c>
      <c r="F88" s="13">
        <v>65.0</v>
      </c>
      <c r="G88" s="10" t="str">
        <f t="shared" si="4"/>
        <v>BIS22-65</v>
      </c>
      <c r="H88" s="16"/>
      <c r="I88" s="16" t="str">
        <f t="shared" si="5"/>
        <v>collected</v>
      </c>
      <c r="J88" s="16" t="str">
        <f t="shared" si="6"/>
        <v>N</v>
      </c>
      <c r="K88" s="16"/>
      <c r="L88" s="16"/>
    </row>
    <row r="89">
      <c r="A89" s="25" t="s">
        <v>225</v>
      </c>
      <c r="B89" s="10" t="str">
        <f t="shared" si="1"/>
        <v>isotope</v>
      </c>
      <c r="C89" s="49" t="str">
        <f t="shared" si="2"/>
        <v>S5197IS1</v>
      </c>
      <c r="D89" s="6">
        <v>22.0</v>
      </c>
      <c r="E89" s="10" t="str">
        <f t="shared" si="3"/>
        <v>BIS22</v>
      </c>
      <c r="F89" s="13">
        <v>67.0</v>
      </c>
      <c r="G89" s="10" t="str">
        <f t="shared" si="4"/>
        <v>BIS22-67</v>
      </c>
      <c r="H89" s="16"/>
      <c r="I89" s="16" t="str">
        <f t="shared" si="5"/>
        <v>collected</v>
      </c>
      <c r="J89" s="16" t="str">
        <f t="shared" si="6"/>
        <v>N</v>
      </c>
      <c r="K89" s="16"/>
      <c r="L89" s="16"/>
    </row>
    <row r="90">
      <c r="A90" s="25" t="s">
        <v>226</v>
      </c>
      <c r="B90" s="10" t="str">
        <f t="shared" si="1"/>
        <v>isotope</v>
      </c>
      <c r="C90" s="49" t="str">
        <f t="shared" si="2"/>
        <v>S5198IS1</v>
      </c>
      <c r="D90" s="6">
        <v>22.0</v>
      </c>
      <c r="E90" s="10" t="str">
        <f t="shared" si="3"/>
        <v>BIS22</v>
      </c>
      <c r="F90" s="13">
        <v>69.0</v>
      </c>
      <c r="G90" s="10" t="str">
        <f t="shared" si="4"/>
        <v>BIS22-69</v>
      </c>
      <c r="H90" s="16"/>
      <c r="I90" s="16" t="str">
        <f t="shared" si="5"/>
        <v>collected</v>
      </c>
      <c r="J90" s="16" t="str">
        <f t="shared" si="6"/>
        <v>N</v>
      </c>
      <c r="K90" s="16"/>
      <c r="L90" s="16"/>
    </row>
    <row r="91">
      <c r="A91" s="25" t="s">
        <v>228</v>
      </c>
      <c r="B91" s="10" t="str">
        <f t="shared" si="1"/>
        <v>isotope</v>
      </c>
      <c r="C91" s="49" t="str">
        <f t="shared" si="2"/>
        <v>S5199IS1</v>
      </c>
      <c r="D91" s="6">
        <v>22.0</v>
      </c>
      <c r="E91" s="10" t="str">
        <f t="shared" si="3"/>
        <v>BIS22</v>
      </c>
      <c r="F91" s="13">
        <v>72.0</v>
      </c>
      <c r="G91" s="10" t="str">
        <f t="shared" si="4"/>
        <v>BIS22-72</v>
      </c>
      <c r="H91" s="16"/>
      <c r="I91" s="16" t="str">
        <f t="shared" si="5"/>
        <v>collected</v>
      </c>
      <c r="J91" s="16" t="str">
        <f t="shared" si="6"/>
        <v>N</v>
      </c>
      <c r="K91" s="16"/>
      <c r="L91" s="16"/>
    </row>
    <row r="92">
      <c r="A92" s="25" t="s">
        <v>230</v>
      </c>
      <c r="B92" s="10" t="str">
        <f t="shared" si="1"/>
        <v>isotope</v>
      </c>
      <c r="C92" s="49" t="str">
        <f t="shared" si="2"/>
        <v>S5200IS1</v>
      </c>
      <c r="D92" s="6">
        <v>22.0</v>
      </c>
      <c r="E92" s="10" t="str">
        <f t="shared" si="3"/>
        <v>BIS22</v>
      </c>
      <c r="F92" s="13">
        <v>74.0</v>
      </c>
      <c r="G92" s="10" t="str">
        <f t="shared" si="4"/>
        <v>BIS22-74</v>
      </c>
      <c r="H92" s="16"/>
      <c r="I92" s="16" t="str">
        <f t="shared" si="5"/>
        <v>collected</v>
      </c>
      <c r="J92" s="16" t="str">
        <f t="shared" si="6"/>
        <v>N</v>
      </c>
      <c r="K92" s="16"/>
      <c r="L92" s="16"/>
    </row>
    <row r="93">
      <c r="A93" s="25" t="s">
        <v>232</v>
      </c>
      <c r="B93" s="10" t="str">
        <f t="shared" si="1"/>
        <v>isotope</v>
      </c>
      <c r="C93" s="49" t="str">
        <f t="shared" si="2"/>
        <v>S5201IS1</v>
      </c>
      <c r="D93" s="6">
        <v>22.0</v>
      </c>
      <c r="E93" s="10" t="str">
        <f t="shared" si="3"/>
        <v>BIS22</v>
      </c>
      <c r="F93" s="13">
        <v>76.0</v>
      </c>
      <c r="G93" s="10" t="str">
        <f t="shared" si="4"/>
        <v>BIS22-76</v>
      </c>
      <c r="H93" s="16"/>
      <c r="I93" s="16" t="str">
        <f t="shared" si="5"/>
        <v>collected</v>
      </c>
      <c r="J93" s="16" t="str">
        <f t="shared" si="6"/>
        <v>N</v>
      </c>
      <c r="K93" s="16"/>
      <c r="L93" s="16"/>
    </row>
    <row r="94">
      <c r="A94" s="25" t="s">
        <v>234</v>
      </c>
      <c r="B94" s="10" t="str">
        <f t="shared" si="1"/>
        <v>isotope</v>
      </c>
      <c r="C94" s="49" t="str">
        <f t="shared" si="2"/>
        <v>S5202IS1</v>
      </c>
      <c r="D94" s="6">
        <v>22.0</v>
      </c>
      <c r="E94" s="10" t="str">
        <f t="shared" si="3"/>
        <v>BIS22</v>
      </c>
      <c r="F94" s="13">
        <v>78.0</v>
      </c>
      <c r="G94" s="10" t="str">
        <f t="shared" si="4"/>
        <v>BIS22-78</v>
      </c>
      <c r="H94" s="16"/>
      <c r="I94" s="16" t="str">
        <f t="shared" si="5"/>
        <v>collected</v>
      </c>
      <c r="J94" s="16" t="str">
        <f t="shared" si="6"/>
        <v>N</v>
      </c>
      <c r="K94" s="16"/>
      <c r="L94" s="16"/>
    </row>
    <row r="95">
      <c r="A95" s="25" t="s">
        <v>235</v>
      </c>
      <c r="B95" s="10" t="str">
        <f t="shared" si="1"/>
        <v>isotope</v>
      </c>
      <c r="C95" s="49" t="str">
        <f t="shared" si="2"/>
        <v>S5203IS1</v>
      </c>
      <c r="D95" s="6">
        <v>22.0</v>
      </c>
      <c r="E95" s="10" t="str">
        <f t="shared" si="3"/>
        <v>BIS22</v>
      </c>
      <c r="F95" s="13">
        <v>80.0</v>
      </c>
      <c r="G95" s="10" t="str">
        <f t="shared" si="4"/>
        <v>BIS22-80</v>
      </c>
      <c r="H95" s="6"/>
      <c r="I95" s="16" t="str">
        <f t="shared" si="5"/>
        <v>collected</v>
      </c>
      <c r="J95" s="16" t="str">
        <f t="shared" si="6"/>
        <v>N</v>
      </c>
      <c r="K95" s="16"/>
      <c r="L95" s="16"/>
    </row>
    <row r="96">
      <c r="A96" s="25" t="s">
        <v>238</v>
      </c>
      <c r="B96" s="10" t="str">
        <f t="shared" si="1"/>
        <v>isotope</v>
      </c>
      <c r="C96" s="49" t="str">
        <f t="shared" si="2"/>
        <v>S5204IS1</v>
      </c>
      <c r="D96" s="6">
        <v>22.0</v>
      </c>
      <c r="E96" s="10" t="str">
        <f t="shared" si="3"/>
        <v>BIS22</v>
      </c>
      <c r="F96" s="13">
        <v>81.0</v>
      </c>
      <c r="G96" s="10" t="str">
        <f t="shared" si="4"/>
        <v>BIS22-81</v>
      </c>
      <c r="H96" s="6"/>
      <c r="I96" s="16" t="str">
        <f t="shared" si="5"/>
        <v>collected</v>
      </c>
      <c r="J96" s="16" t="str">
        <f t="shared" si="6"/>
        <v>N</v>
      </c>
      <c r="K96" s="16"/>
      <c r="L96" s="16"/>
    </row>
    <row r="97">
      <c r="A97" s="25" t="s">
        <v>239</v>
      </c>
      <c r="B97" s="10" t="str">
        <f t="shared" si="1"/>
        <v>isotope</v>
      </c>
      <c r="C97" s="49" t="str">
        <f t="shared" si="2"/>
        <v>S5205IS1</v>
      </c>
      <c r="D97" s="6">
        <v>22.0</v>
      </c>
      <c r="E97" s="10" t="str">
        <f t="shared" si="3"/>
        <v>BIS22</v>
      </c>
      <c r="F97" s="13">
        <v>83.0</v>
      </c>
      <c r="G97" s="10" t="str">
        <f t="shared" si="4"/>
        <v>BIS22-83</v>
      </c>
      <c r="H97" s="6"/>
      <c r="I97" s="16" t="str">
        <f t="shared" si="5"/>
        <v>collected</v>
      </c>
      <c r="J97" s="16" t="str">
        <f t="shared" si="6"/>
        <v>N</v>
      </c>
      <c r="K97" s="16"/>
      <c r="L97" s="16"/>
    </row>
    <row r="98">
      <c r="A98" s="26" t="s">
        <v>241</v>
      </c>
      <c r="B98" s="10" t="str">
        <f t="shared" si="1"/>
        <v>isotope</v>
      </c>
      <c r="C98" s="49" t="str">
        <f t="shared" si="2"/>
        <v>S5206IS1</v>
      </c>
      <c r="D98" s="6">
        <v>22.0</v>
      </c>
      <c r="E98" s="10" t="str">
        <f t="shared" si="3"/>
        <v>BIS22</v>
      </c>
      <c r="F98" s="13">
        <v>85.0</v>
      </c>
      <c r="G98" s="10" t="str">
        <f t="shared" si="4"/>
        <v>BIS22-85</v>
      </c>
      <c r="H98" s="6"/>
      <c r="I98" s="16" t="str">
        <f t="shared" si="5"/>
        <v>collected</v>
      </c>
      <c r="J98" s="16" t="str">
        <f t="shared" si="6"/>
        <v>N</v>
      </c>
      <c r="K98" s="16"/>
      <c r="L98" s="16"/>
    </row>
    <row r="99">
      <c r="A99" s="26" t="s">
        <v>245</v>
      </c>
      <c r="B99" s="10" t="str">
        <f t="shared" si="1"/>
        <v>isotope</v>
      </c>
      <c r="C99" s="49" t="str">
        <f t="shared" si="2"/>
        <v>S5207IS1</v>
      </c>
      <c r="D99" s="6">
        <v>22.0</v>
      </c>
      <c r="E99" s="10" t="str">
        <f t="shared" si="3"/>
        <v>BIS22</v>
      </c>
      <c r="F99" s="13">
        <v>87.0</v>
      </c>
      <c r="G99" s="10" t="str">
        <f t="shared" si="4"/>
        <v>BIS22-87</v>
      </c>
      <c r="H99" s="16"/>
      <c r="I99" s="16" t="str">
        <f t="shared" si="5"/>
        <v>collected</v>
      </c>
      <c r="J99" s="16" t="str">
        <f t="shared" si="6"/>
        <v>N</v>
      </c>
      <c r="K99" s="16"/>
      <c r="L99" s="16"/>
    </row>
    <row r="100">
      <c r="A100" s="26" t="s">
        <v>247</v>
      </c>
      <c r="B100" s="10" t="str">
        <f t="shared" si="1"/>
        <v>isotope</v>
      </c>
      <c r="C100" s="49" t="str">
        <f t="shared" si="2"/>
        <v>S5208IS1</v>
      </c>
      <c r="D100" s="6">
        <v>22.0</v>
      </c>
      <c r="E100" s="10" t="str">
        <f t="shared" si="3"/>
        <v>BIS22</v>
      </c>
      <c r="F100" s="13">
        <v>89.0</v>
      </c>
      <c r="G100" s="10" t="str">
        <f t="shared" si="4"/>
        <v>BIS22-89</v>
      </c>
      <c r="H100" s="16"/>
      <c r="I100" s="16" t="str">
        <f t="shared" si="5"/>
        <v>collected</v>
      </c>
      <c r="J100" s="16" t="str">
        <f t="shared" si="6"/>
        <v>N</v>
      </c>
      <c r="K100" s="16"/>
      <c r="L100" s="16"/>
    </row>
    <row r="101">
      <c r="A101" s="26" t="s">
        <v>248</v>
      </c>
      <c r="B101" s="10" t="str">
        <f t="shared" si="1"/>
        <v>isotope</v>
      </c>
      <c r="C101" s="49" t="str">
        <f t="shared" si="2"/>
        <v>S5209IS1</v>
      </c>
      <c r="D101" s="6">
        <v>22.0</v>
      </c>
      <c r="E101" s="10" t="str">
        <f t="shared" si="3"/>
        <v>BIS22</v>
      </c>
      <c r="F101" s="13">
        <v>92.0</v>
      </c>
      <c r="G101" s="10" t="str">
        <f t="shared" si="4"/>
        <v>BIS22-92</v>
      </c>
      <c r="H101" s="16"/>
      <c r="I101" s="16" t="str">
        <f t="shared" si="5"/>
        <v>collected</v>
      </c>
      <c r="J101" s="16" t="str">
        <f t="shared" si="6"/>
        <v>N</v>
      </c>
      <c r="K101" s="16"/>
      <c r="L101" s="16"/>
    </row>
    <row r="102">
      <c r="A102" s="26" t="s">
        <v>250</v>
      </c>
      <c r="B102" s="10" t="str">
        <f t="shared" si="1"/>
        <v>isotope</v>
      </c>
      <c r="C102" s="49" t="str">
        <f t="shared" si="2"/>
        <v>S5210IS1</v>
      </c>
      <c r="D102" s="6">
        <v>22.0</v>
      </c>
      <c r="E102" s="10" t="str">
        <f t="shared" si="3"/>
        <v>BIS22</v>
      </c>
      <c r="F102" s="13">
        <v>94.0</v>
      </c>
      <c r="G102" s="10" t="str">
        <f t="shared" si="4"/>
        <v>BIS22-94</v>
      </c>
      <c r="H102" s="16"/>
      <c r="I102" s="16" t="str">
        <f t="shared" si="5"/>
        <v>collected</v>
      </c>
      <c r="J102" s="16" t="str">
        <f t="shared" si="6"/>
        <v>N</v>
      </c>
      <c r="K102" s="16"/>
      <c r="L102" s="16"/>
    </row>
    <row r="103">
      <c r="A103" s="26" t="s">
        <v>252</v>
      </c>
      <c r="B103" s="10" t="str">
        <f t="shared" si="1"/>
        <v>isotope</v>
      </c>
      <c r="C103" s="49" t="str">
        <f t="shared" si="2"/>
        <v>S5211IS1</v>
      </c>
      <c r="D103" s="6">
        <v>22.0</v>
      </c>
      <c r="E103" s="10" t="str">
        <f t="shared" si="3"/>
        <v>BIS22</v>
      </c>
      <c r="F103" s="13">
        <v>96.0</v>
      </c>
      <c r="G103" s="10" t="str">
        <f t="shared" si="4"/>
        <v>BIS22-96</v>
      </c>
      <c r="H103" s="16"/>
      <c r="I103" s="16" t="str">
        <f t="shared" si="5"/>
        <v>collected</v>
      </c>
      <c r="J103" s="16" t="str">
        <f t="shared" si="6"/>
        <v>N</v>
      </c>
      <c r="K103" s="16"/>
      <c r="L103" s="16"/>
    </row>
    <row r="104">
      <c r="A104" s="27" t="s">
        <v>254</v>
      </c>
      <c r="B104" s="10" t="str">
        <f t="shared" si="1"/>
        <v>isotope</v>
      </c>
      <c r="C104" s="49" t="str">
        <f t="shared" si="2"/>
        <v>S5185IS1</v>
      </c>
      <c r="D104" s="6">
        <v>23.0</v>
      </c>
      <c r="E104" s="10" t="str">
        <f t="shared" si="3"/>
        <v>BIS23</v>
      </c>
      <c r="F104" s="13">
        <v>34.0</v>
      </c>
      <c r="G104" s="10" t="str">
        <f t="shared" si="4"/>
        <v>BIS23-34</v>
      </c>
      <c r="H104" s="16"/>
      <c r="I104" s="16" t="str">
        <f t="shared" si="5"/>
        <v>collected</v>
      </c>
      <c r="J104" s="16" t="str">
        <f t="shared" si="6"/>
        <v>N</v>
      </c>
      <c r="K104" s="16"/>
      <c r="L104" s="16"/>
    </row>
    <row r="105">
      <c r="A105" s="27" t="s">
        <v>256</v>
      </c>
      <c r="B105" s="10" t="str">
        <f t="shared" si="1"/>
        <v>isotope</v>
      </c>
      <c r="C105" s="49" t="str">
        <f t="shared" si="2"/>
        <v>S5186IS1</v>
      </c>
      <c r="D105" s="6">
        <v>23.0</v>
      </c>
      <c r="E105" s="10" t="str">
        <f t="shared" si="3"/>
        <v>BIS23</v>
      </c>
      <c r="F105" s="13">
        <v>36.0</v>
      </c>
      <c r="G105" s="10" t="str">
        <f t="shared" si="4"/>
        <v>BIS23-36</v>
      </c>
      <c r="H105" s="16"/>
      <c r="I105" s="16" t="str">
        <f t="shared" si="5"/>
        <v>collected</v>
      </c>
      <c r="J105" s="16" t="str">
        <f t="shared" si="6"/>
        <v>N</v>
      </c>
      <c r="K105" s="16"/>
      <c r="L105" s="16"/>
    </row>
    <row r="106">
      <c r="A106" s="27" t="s">
        <v>258</v>
      </c>
      <c r="B106" s="10" t="str">
        <f t="shared" si="1"/>
        <v>isotope</v>
      </c>
      <c r="C106" s="49" t="str">
        <f t="shared" si="2"/>
        <v>S5187IS1</v>
      </c>
      <c r="D106" s="6">
        <v>23.0</v>
      </c>
      <c r="E106" s="10" t="str">
        <f t="shared" si="3"/>
        <v>BIS23</v>
      </c>
      <c r="F106" s="13">
        <v>38.0</v>
      </c>
      <c r="G106" s="10" t="str">
        <f t="shared" si="4"/>
        <v>BIS23-38</v>
      </c>
      <c r="H106" s="16"/>
      <c r="I106" s="16" t="str">
        <f t="shared" si="5"/>
        <v>collected</v>
      </c>
      <c r="J106" s="16" t="str">
        <f t="shared" si="6"/>
        <v>N</v>
      </c>
      <c r="K106" s="16"/>
      <c r="L106" s="16"/>
    </row>
    <row r="107">
      <c r="A107" s="27" t="s">
        <v>260</v>
      </c>
      <c r="B107" s="10" t="str">
        <f t="shared" si="1"/>
        <v>isotope</v>
      </c>
      <c r="C107" s="49" t="str">
        <f t="shared" si="2"/>
        <v>S5188IS1</v>
      </c>
      <c r="D107" s="6">
        <v>23.0</v>
      </c>
      <c r="E107" s="10" t="str">
        <f t="shared" si="3"/>
        <v>BIS23</v>
      </c>
      <c r="F107" s="13">
        <v>40.0</v>
      </c>
      <c r="G107" s="10" t="str">
        <f t="shared" si="4"/>
        <v>BIS23-40</v>
      </c>
      <c r="H107" s="16"/>
      <c r="I107" s="16" t="str">
        <f t="shared" si="5"/>
        <v>collected</v>
      </c>
      <c r="J107" s="16" t="str">
        <f t="shared" si="6"/>
        <v>N</v>
      </c>
      <c r="K107" s="16"/>
      <c r="L107" s="16"/>
    </row>
    <row r="108">
      <c r="A108" s="27" t="s">
        <v>262</v>
      </c>
      <c r="B108" s="10" t="str">
        <f t="shared" si="1"/>
        <v>isotope</v>
      </c>
      <c r="C108" s="49" t="str">
        <f t="shared" si="2"/>
        <v>S5189IS1</v>
      </c>
      <c r="D108" s="6">
        <v>23.0</v>
      </c>
      <c r="E108" s="10" t="str">
        <f t="shared" si="3"/>
        <v>BIS23</v>
      </c>
      <c r="F108" s="13">
        <v>41.0</v>
      </c>
      <c r="G108" s="10" t="str">
        <f t="shared" si="4"/>
        <v>BIS23-41</v>
      </c>
      <c r="H108" s="16"/>
      <c r="I108" s="16" t="str">
        <f t="shared" si="5"/>
        <v>collected</v>
      </c>
      <c r="J108" s="16" t="str">
        <f t="shared" si="6"/>
        <v>N</v>
      </c>
      <c r="K108" s="16"/>
      <c r="L108" s="16"/>
    </row>
    <row r="109">
      <c r="A109" s="27" t="s">
        <v>264</v>
      </c>
      <c r="B109" s="10" t="str">
        <f t="shared" si="1"/>
        <v>isotope</v>
      </c>
      <c r="C109" s="49" t="str">
        <f t="shared" si="2"/>
        <v>S5190IS1</v>
      </c>
      <c r="D109" s="6">
        <v>23.0</v>
      </c>
      <c r="E109" s="10" t="str">
        <f t="shared" si="3"/>
        <v>BIS23</v>
      </c>
      <c r="F109" s="13">
        <v>43.0</v>
      </c>
      <c r="G109" s="10" t="str">
        <f t="shared" si="4"/>
        <v>BIS23-43</v>
      </c>
      <c r="H109" s="16"/>
      <c r="I109" s="16" t="str">
        <f t="shared" si="5"/>
        <v>collected</v>
      </c>
      <c r="J109" s="16" t="str">
        <f t="shared" si="6"/>
        <v>N</v>
      </c>
      <c r="K109" s="16"/>
      <c r="L109" s="16"/>
    </row>
    <row r="110">
      <c r="A110" s="27" t="s">
        <v>266</v>
      </c>
      <c r="B110" s="10" t="str">
        <f t="shared" si="1"/>
        <v>isotope</v>
      </c>
      <c r="C110" s="49" t="str">
        <f t="shared" si="2"/>
        <v>S5191IS1</v>
      </c>
      <c r="D110" s="6">
        <v>23.0</v>
      </c>
      <c r="E110" s="10" t="str">
        <f t="shared" si="3"/>
        <v>BIS23</v>
      </c>
      <c r="F110" s="13">
        <v>45.0</v>
      </c>
      <c r="G110" s="10" t="str">
        <f t="shared" si="4"/>
        <v>BIS23-45</v>
      </c>
      <c r="H110" s="16"/>
      <c r="I110" s="16" t="str">
        <f t="shared" si="5"/>
        <v>collected</v>
      </c>
      <c r="J110" s="16" t="str">
        <f t="shared" si="6"/>
        <v>N</v>
      </c>
      <c r="K110" s="16"/>
      <c r="L110" s="16"/>
    </row>
    <row r="111">
      <c r="A111" s="27" t="s">
        <v>269</v>
      </c>
      <c r="B111" s="10" t="str">
        <f t="shared" si="1"/>
        <v>isotope</v>
      </c>
      <c r="C111" s="49" t="str">
        <f t="shared" si="2"/>
        <v>S5192IS1</v>
      </c>
      <c r="D111" s="6">
        <v>23.0</v>
      </c>
      <c r="E111" s="10" t="str">
        <f t="shared" si="3"/>
        <v>BIS23</v>
      </c>
      <c r="F111" s="13">
        <v>47.0</v>
      </c>
      <c r="G111" s="10" t="str">
        <f t="shared" si="4"/>
        <v>BIS23-47</v>
      </c>
      <c r="H111" s="16"/>
      <c r="I111" s="16" t="str">
        <f t="shared" si="5"/>
        <v>collected</v>
      </c>
      <c r="J111" s="16" t="str">
        <f t="shared" si="6"/>
        <v>N</v>
      </c>
      <c r="K111" s="16"/>
      <c r="L111" s="16"/>
    </row>
    <row r="112">
      <c r="A112" s="27" t="s">
        <v>271</v>
      </c>
      <c r="B112" s="10" t="str">
        <f t="shared" si="1"/>
        <v>isotope</v>
      </c>
      <c r="C112" s="49" t="str">
        <f t="shared" si="2"/>
        <v>S5193IS1</v>
      </c>
      <c r="D112" s="6">
        <v>23.0</v>
      </c>
      <c r="E112" s="10" t="str">
        <f t="shared" si="3"/>
        <v>BIS23</v>
      </c>
      <c r="F112" s="13">
        <v>49.0</v>
      </c>
      <c r="G112" s="10" t="str">
        <f t="shared" si="4"/>
        <v>BIS23-49</v>
      </c>
      <c r="H112" s="16"/>
      <c r="I112" s="16" t="str">
        <f t="shared" si="5"/>
        <v>collected</v>
      </c>
      <c r="J112" s="16" t="str">
        <f t="shared" si="6"/>
        <v>N</v>
      </c>
      <c r="K112" s="16"/>
      <c r="L112" s="16"/>
    </row>
    <row r="113">
      <c r="A113" s="27" t="s">
        <v>272</v>
      </c>
      <c r="B113" s="10" t="str">
        <f t="shared" si="1"/>
        <v>isotope</v>
      </c>
      <c r="C113" s="49" t="str">
        <f t="shared" si="2"/>
        <v>S5232IS1</v>
      </c>
      <c r="D113" s="6">
        <v>23.0</v>
      </c>
      <c r="E113" s="10" t="str">
        <f t="shared" si="3"/>
        <v>BIS23</v>
      </c>
      <c r="F113" s="13">
        <v>52.0</v>
      </c>
      <c r="G113" s="10" t="str">
        <f t="shared" si="4"/>
        <v>BIS23-52</v>
      </c>
      <c r="H113" s="16"/>
      <c r="I113" s="16" t="str">
        <f t="shared" si="5"/>
        <v>collected</v>
      </c>
      <c r="J113" s="16" t="str">
        <f t="shared" si="6"/>
        <v>N</v>
      </c>
      <c r="K113" s="16"/>
      <c r="L113" s="16"/>
    </row>
    <row r="114">
      <c r="A114" s="27" t="s">
        <v>274</v>
      </c>
      <c r="B114" s="10" t="str">
        <f t="shared" si="1"/>
        <v>isotope</v>
      </c>
      <c r="C114" s="49" t="str">
        <f t="shared" si="2"/>
        <v>S5233IS1</v>
      </c>
      <c r="D114" s="6">
        <v>23.0</v>
      </c>
      <c r="E114" s="10" t="str">
        <f t="shared" si="3"/>
        <v>BIS23</v>
      </c>
      <c r="F114" s="13">
        <v>53.0</v>
      </c>
      <c r="G114" s="10" t="str">
        <f t="shared" si="4"/>
        <v>BIS23-53</v>
      </c>
      <c r="H114" s="16"/>
      <c r="I114" s="16" t="str">
        <f t="shared" si="5"/>
        <v>collected</v>
      </c>
      <c r="J114" s="16" t="str">
        <f t="shared" si="6"/>
        <v>N</v>
      </c>
      <c r="K114" s="16"/>
      <c r="L114" s="16"/>
    </row>
    <row r="115">
      <c r="A115" s="25" t="s">
        <v>276</v>
      </c>
      <c r="B115" s="10" t="str">
        <f t="shared" si="1"/>
        <v>isotope</v>
      </c>
      <c r="C115" s="49" t="str">
        <f t="shared" si="2"/>
        <v>S5234IS1</v>
      </c>
      <c r="D115" s="6">
        <v>23.0</v>
      </c>
      <c r="E115" s="10" t="str">
        <f t="shared" si="3"/>
        <v>BIS23</v>
      </c>
      <c r="F115" s="13">
        <v>56.0</v>
      </c>
      <c r="G115" s="10" t="str">
        <f t="shared" si="4"/>
        <v>BIS23-56</v>
      </c>
      <c r="H115" s="16"/>
      <c r="I115" s="16" t="str">
        <f t="shared" si="5"/>
        <v>collected</v>
      </c>
      <c r="J115" s="16" t="str">
        <f t="shared" si="6"/>
        <v>N</v>
      </c>
      <c r="K115" s="16"/>
      <c r="L115" s="16"/>
    </row>
    <row r="116">
      <c r="A116" s="27" t="s">
        <v>278</v>
      </c>
      <c r="B116" s="10" t="str">
        <f t="shared" si="1"/>
        <v>isotope</v>
      </c>
      <c r="C116" s="49" t="str">
        <f t="shared" si="2"/>
        <v>S5235IS1</v>
      </c>
      <c r="D116" s="6">
        <v>23.0</v>
      </c>
      <c r="E116" s="10" t="str">
        <f t="shared" si="3"/>
        <v>BIS23</v>
      </c>
      <c r="F116" s="13">
        <v>58.0</v>
      </c>
      <c r="G116" s="10" t="str">
        <f t="shared" si="4"/>
        <v>BIS23-58</v>
      </c>
      <c r="H116" s="16"/>
      <c r="I116" s="16" t="str">
        <f t="shared" si="5"/>
        <v>collected</v>
      </c>
      <c r="J116" s="16" t="str">
        <f t="shared" si="6"/>
        <v>N</v>
      </c>
      <c r="K116" s="16"/>
      <c r="L116" s="16"/>
    </row>
    <row r="117">
      <c r="A117" s="27" t="s">
        <v>279</v>
      </c>
      <c r="B117" s="10" t="str">
        <f t="shared" si="1"/>
        <v>isotope</v>
      </c>
      <c r="C117" s="49" t="str">
        <f t="shared" si="2"/>
        <v>S5236IS1</v>
      </c>
      <c r="D117" s="6">
        <v>23.0</v>
      </c>
      <c r="E117" s="10" t="str">
        <f t="shared" si="3"/>
        <v>BIS23</v>
      </c>
      <c r="F117" s="13">
        <v>60.0</v>
      </c>
      <c r="G117" s="10" t="str">
        <f t="shared" si="4"/>
        <v>BIS23-60</v>
      </c>
      <c r="H117" s="16"/>
      <c r="I117" s="16" t="str">
        <f t="shared" si="5"/>
        <v>collected</v>
      </c>
      <c r="J117" s="16" t="str">
        <f t="shared" si="6"/>
        <v>N</v>
      </c>
      <c r="K117" s="16"/>
      <c r="L117" s="16"/>
    </row>
    <row r="118">
      <c r="A118" s="26" t="s">
        <v>280</v>
      </c>
      <c r="B118" s="10" t="str">
        <f t="shared" si="1"/>
        <v>isotope</v>
      </c>
      <c r="C118" s="49" t="str">
        <f t="shared" si="2"/>
        <v>S5212IS1</v>
      </c>
      <c r="D118" s="6">
        <v>22.0</v>
      </c>
      <c r="E118" s="10" t="str">
        <f t="shared" si="3"/>
        <v>BIS22</v>
      </c>
      <c r="F118" s="13">
        <v>98.0</v>
      </c>
      <c r="G118" s="10" t="str">
        <f t="shared" si="4"/>
        <v>BIS22-98</v>
      </c>
      <c r="H118" s="16"/>
      <c r="I118" s="16" t="str">
        <f t="shared" si="5"/>
        <v>collected</v>
      </c>
      <c r="J118" s="16" t="str">
        <f t="shared" si="6"/>
        <v>N</v>
      </c>
      <c r="K118" s="16"/>
      <c r="L118" s="16"/>
    </row>
    <row r="119">
      <c r="A119" s="26" t="s">
        <v>286</v>
      </c>
      <c r="B119" s="10" t="str">
        <f t="shared" si="1"/>
        <v>isotope</v>
      </c>
      <c r="C119" s="49" t="str">
        <f t="shared" si="2"/>
        <v>S5213IS1</v>
      </c>
      <c r="D119" s="6">
        <v>22.0</v>
      </c>
      <c r="E119" s="10" t="str">
        <f t="shared" si="3"/>
        <v>BIS22</v>
      </c>
      <c r="F119" s="13">
        <v>100.0</v>
      </c>
      <c r="G119" s="10" t="str">
        <f t="shared" si="4"/>
        <v>BIS22-100</v>
      </c>
      <c r="H119" s="16"/>
      <c r="I119" s="16" t="str">
        <f t="shared" si="5"/>
        <v>collected</v>
      </c>
      <c r="J119" s="16" t="str">
        <f t="shared" si="6"/>
        <v>N</v>
      </c>
      <c r="K119" s="16"/>
      <c r="L119" s="16"/>
    </row>
    <row r="120">
      <c r="A120" s="26" t="s">
        <v>287</v>
      </c>
      <c r="B120" s="10" t="str">
        <f t="shared" si="1"/>
        <v>isotope</v>
      </c>
      <c r="C120" s="49" t="str">
        <f t="shared" si="2"/>
        <v>S5214IS1</v>
      </c>
      <c r="D120" s="6">
        <v>24.0</v>
      </c>
      <c r="E120" s="10" t="str">
        <f t="shared" si="3"/>
        <v>BIS24</v>
      </c>
      <c r="F120" s="13">
        <v>1.0</v>
      </c>
      <c r="G120" s="10" t="str">
        <f t="shared" si="4"/>
        <v>BIS24-1</v>
      </c>
      <c r="H120" s="16"/>
      <c r="I120" s="16" t="str">
        <f t="shared" si="5"/>
        <v>collected</v>
      </c>
      <c r="J120" s="16" t="str">
        <f t="shared" si="6"/>
        <v>N</v>
      </c>
      <c r="K120" s="16"/>
      <c r="L120" s="16"/>
    </row>
    <row r="121">
      <c r="A121" s="26" t="s">
        <v>289</v>
      </c>
      <c r="B121" s="10" t="str">
        <f t="shared" si="1"/>
        <v>isotope</v>
      </c>
      <c r="C121" s="49" t="str">
        <f t="shared" si="2"/>
        <v>S5215IS1</v>
      </c>
      <c r="D121" s="6">
        <v>24.0</v>
      </c>
      <c r="E121" s="10" t="str">
        <f t="shared" si="3"/>
        <v>BIS24</v>
      </c>
      <c r="F121" s="13">
        <v>3.0</v>
      </c>
      <c r="G121" s="10" t="str">
        <f t="shared" si="4"/>
        <v>BIS24-3</v>
      </c>
      <c r="H121" s="16"/>
      <c r="I121" s="16" t="str">
        <f t="shared" si="5"/>
        <v>collected</v>
      </c>
      <c r="J121" s="16" t="str">
        <f t="shared" si="6"/>
        <v>N</v>
      </c>
      <c r="K121" s="16"/>
      <c r="L121" s="16"/>
    </row>
    <row r="122">
      <c r="A122" s="26" t="s">
        <v>291</v>
      </c>
      <c r="B122" s="10" t="str">
        <f t="shared" si="1"/>
        <v>isotope</v>
      </c>
      <c r="C122" s="49" t="str">
        <f t="shared" si="2"/>
        <v>S5216IS1</v>
      </c>
      <c r="D122" s="6">
        <v>24.0</v>
      </c>
      <c r="E122" s="10" t="str">
        <f t="shared" si="3"/>
        <v>BIS24</v>
      </c>
      <c r="F122" s="13">
        <v>5.0</v>
      </c>
      <c r="G122" s="10" t="str">
        <f t="shared" si="4"/>
        <v>BIS24-5</v>
      </c>
      <c r="H122" s="16"/>
      <c r="I122" s="16" t="str">
        <f t="shared" si="5"/>
        <v>collected</v>
      </c>
      <c r="J122" s="16" t="str">
        <f t="shared" si="6"/>
        <v>N</v>
      </c>
      <c r="K122" s="16"/>
      <c r="L122" s="16"/>
    </row>
    <row r="123">
      <c r="A123" s="26" t="s">
        <v>292</v>
      </c>
      <c r="B123" s="10" t="str">
        <f t="shared" si="1"/>
        <v>isotope</v>
      </c>
      <c r="C123" s="49" t="str">
        <f t="shared" si="2"/>
        <v>S5217IS1</v>
      </c>
      <c r="D123" s="6">
        <v>24.0</v>
      </c>
      <c r="E123" s="10" t="str">
        <f t="shared" si="3"/>
        <v>BIS24</v>
      </c>
      <c r="F123" s="13">
        <v>7.0</v>
      </c>
      <c r="G123" s="10" t="str">
        <f t="shared" si="4"/>
        <v>BIS24-7</v>
      </c>
      <c r="H123" s="16"/>
      <c r="I123" s="16" t="str">
        <f t="shared" si="5"/>
        <v>collected</v>
      </c>
      <c r="J123" s="16" t="str">
        <f t="shared" si="6"/>
        <v>N</v>
      </c>
      <c r="K123" s="16"/>
      <c r="L123" s="16"/>
    </row>
    <row r="124">
      <c r="A124" s="26" t="s">
        <v>294</v>
      </c>
      <c r="B124" s="10" t="str">
        <f t="shared" si="1"/>
        <v>isotope</v>
      </c>
      <c r="C124" s="49" t="str">
        <f t="shared" si="2"/>
        <v>S5218IS1</v>
      </c>
      <c r="D124" s="6">
        <v>24.0</v>
      </c>
      <c r="E124" s="10" t="str">
        <f t="shared" si="3"/>
        <v>BIS24</v>
      </c>
      <c r="F124" s="13">
        <v>9.0</v>
      </c>
      <c r="G124" s="10" t="str">
        <f t="shared" si="4"/>
        <v>BIS24-9</v>
      </c>
      <c r="H124" s="16"/>
      <c r="I124" s="16" t="str">
        <f t="shared" si="5"/>
        <v>collected</v>
      </c>
      <c r="J124" s="16" t="str">
        <f t="shared" si="6"/>
        <v>N</v>
      </c>
      <c r="K124" s="16"/>
      <c r="L124" s="16"/>
    </row>
    <row r="125">
      <c r="A125" s="26" t="s">
        <v>295</v>
      </c>
      <c r="B125" s="10" t="str">
        <f t="shared" si="1"/>
        <v>isotope</v>
      </c>
      <c r="C125" s="49" t="str">
        <f t="shared" si="2"/>
        <v>S5219IS1</v>
      </c>
      <c r="D125" s="6">
        <v>24.0</v>
      </c>
      <c r="E125" s="10" t="str">
        <f t="shared" si="3"/>
        <v>BIS24</v>
      </c>
      <c r="F125" s="13">
        <v>12.0</v>
      </c>
      <c r="G125" s="10" t="str">
        <f t="shared" si="4"/>
        <v>BIS24-12</v>
      </c>
      <c r="H125" s="16"/>
      <c r="I125" s="16" t="str">
        <f t="shared" si="5"/>
        <v>collected</v>
      </c>
      <c r="J125" s="16" t="str">
        <f t="shared" si="6"/>
        <v>N</v>
      </c>
      <c r="K125" s="16"/>
      <c r="L125" s="16"/>
    </row>
    <row r="126">
      <c r="A126" s="6" t="s">
        <v>297</v>
      </c>
      <c r="B126" s="10" t="str">
        <f t="shared" si="1"/>
        <v>isotope</v>
      </c>
      <c r="C126" s="49" t="str">
        <f t="shared" si="2"/>
        <v>S5220IS1</v>
      </c>
      <c r="D126" s="6">
        <v>24.0</v>
      </c>
      <c r="E126" s="10" t="str">
        <f t="shared" si="3"/>
        <v>BIS24</v>
      </c>
      <c r="F126" s="13">
        <v>14.0</v>
      </c>
      <c r="G126" s="10" t="str">
        <f t="shared" si="4"/>
        <v>BIS24-14</v>
      </c>
      <c r="H126" s="16"/>
      <c r="I126" s="16" t="str">
        <f t="shared" si="5"/>
        <v>collected</v>
      </c>
      <c r="J126" s="16" t="str">
        <f t="shared" si="6"/>
        <v>N</v>
      </c>
      <c r="K126" s="16"/>
      <c r="L126" s="16"/>
    </row>
    <row r="127">
      <c r="A127" s="6" t="s">
        <v>298</v>
      </c>
      <c r="B127" s="10" t="str">
        <f t="shared" si="1"/>
        <v>isotope</v>
      </c>
      <c r="C127" s="49" t="str">
        <f t="shared" si="2"/>
        <v>S5221IS1</v>
      </c>
      <c r="D127" s="6">
        <v>24.0</v>
      </c>
      <c r="E127" s="10" t="str">
        <f t="shared" si="3"/>
        <v>BIS24</v>
      </c>
      <c r="F127" s="13">
        <v>16.0</v>
      </c>
      <c r="G127" s="10" t="str">
        <f t="shared" si="4"/>
        <v>BIS24-16</v>
      </c>
      <c r="H127" s="16"/>
      <c r="I127" s="16" t="str">
        <f t="shared" si="5"/>
        <v>collected</v>
      </c>
      <c r="J127" s="16" t="str">
        <f t="shared" si="6"/>
        <v>N</v>
      </c>
      <c r="K127" s="16"/>
      <c r="L127" s="16"/>
    </row>
    <row r="128">
      <c r="A128" s="27" t="s">
        <v>301</v>
      </c>
      <c r="B128" s="10" t="str">
        <f t="shared" si="1"/>
        <v>isotope</v>
      </c>
      <c r="C128" s="49" t="str">
        <f t="shared" si="2"/>
        <v>S5222IS1</v>
      </c>
      <c r="D128" s="6">
        <v>24.0</v>
      </c>
      <c r="E128" s="10" t="str">
        <f t="shared" si="3"/>
        <v>BIS24</v>
      </c>
      <c r="F128" s="13">
        <v>18.0</v>
      </c>
      <c r="G128" s="10" t="str">
        <f t="shared" si="4"/>
        <v>BIS24-18</v>
      </c>
      <c r="H128" s="16"/>
      <c r="I128" s="16" t="str">
        <f t="shared" si="5"/>
        <v>collected</v>
      </c>
      <c r="J128" s="16" t="str">
        <f t="shared" si="6"/>
        <v>N</v>
      </c>
      <c r="K128" s="16"/>
      <c r="L128" s="16"/>
    </row>
    <row r="129">
      <c r="A129" s="27" t="s">
        <v>302</v>
      </c>
      <c r="B129" s="10" t="str">
        <f t="shared" si="1"/>
        <v>isotope</v>
      </c>
      <c r="C129" s="49" t="str">
        <f t="shared" si="2"/>
        <v>S5223IS1</v>
      </c>
      <c r="D129" s="6">
        <v>24.0</v>
      </c>
      <c r="E129" s="10" t="str">
        <f t="shared" si="3"/>
        <v>BIS24</v>
      </c>
      <c r="F129" s="13">
        <v>20.0</v>
      </c>
      <c r="G129" s="10" t="str">
        <f t="shared" si="4"/>
        <v>BIS24-20</v>
      </c>
      <c r="H129" s="16"/>
      <c r="I129" s="16" t="str">
        <f t="shared" si="5"/>
        <v>collected</v>
      </c>
      <c r="J129" s="16" t="str">
        <f t="shared" si="6"/>
        <v>N</v>
      </c>
      <c r="K129" s="16"/>
      <c r="L129" s="16"/>
    </row>
    <row r="130">
      <c r="A130" s="27" t="s">
        <v>304</v>
      </c>
      <c r="B130" s="10" t="str">
        <f t="shared" si="1"/>
        <v>isotope</v>
      </c>
      <c r="C130" s="49" t="str">
        <f t="shared" si="2"/>
        <v>S5224IS1</v>
      </c>
      <c r="D130" s="6">
        <v>24.0</v>
      </c>
      <c r="E130" s="10" t="str">
        <f t="shared" si="3"/>
        <v>BIS24</v>
      </c>
      <c r="F130" s="13">
        <v>21.0</v>
      </c>
      <c r="G130" s="10" t="str">
        <f t="shared" si="4"/>
        <v>BIS24-21</v>
      </c>
      <c r="H130" s="16"/>
      <c r="I130" s="16" t="str">
        <f t="shared" si="5"/>
        <v>collected</v>
      </c>
      <c r="J130" s="16" t="str">
        <f t="shared" si="6"/>
        <v>N</v>
      </c>
      <c r="K130" s="16"/>
      <c r="L130" s="16"/>
    </row>
    <row r="131">
      <c r="A131" s="27" t="s">
        <v>305</v>
      </c>
      <c r="B131" s="10" t="str">
        <f t="shared" si="1"/>
        <v>isotope</v>
      </c>
      <c r="C131" s="49" t="str">
        <f t="shared" si="2"/>
        <v>S5225IS1</v>
      </c>
      <c r="D131" s="6">
        <v>24.0</v>
      </c>
      <c r="E131" s="10" t="str">
        <f t="shared" si="3"/>
        <v>BIS24</v>
      </c>
      <c r="F131" s="13">
        <v>23.0</v>
      </c>
      <c r="G131" s="10" t="str">
        <f t="shared" si="4"/>
        <v>BIS24-23</v>
      </c>
      <c r="H131" s="16"/>
      <c r="I131" s="16" t="str">
        <f t="shared" si="5"/>
        <v>collected</v>
      </c>
      <c r="J131" s="16" t="str">
        <f t="shared" si="6"/>
        <v>N</v>
      </c>
      <c r="K131" s="16"/>
      <c r="L131" s="16"/>
    </row>
    <row r="132">
      <c r="A132" s="27" t="s">
        <v>307</v>
      </c>
      <c r="B132" s="10" t="str">
        <f t="shared" si="1"/>
        <v>isotope</v>
      </c>
      <c r="C132" s="49" t="str">
        <f t="shared" si="2"/>
        <v>S5226IS1</v>
      </c>
      <c r="D132" s="6">
        <v>24.0</v>
      </c>
      <c r="E132" s="10" t="str">
        <f t="shared" si="3"/>
        <v>BIS24</v>
      </c>
      <c r="F132" s="13">
        <v>25.0</v>
      </c>
      <c r="G132" s="10" t="str">
        <f t="shared" si="4"/>
        <v>BIS24-25</v>
      </c>
      <c r="H132" s="16"/>
      <c r="I132" s="16" t="str">
        <f t="shared" si="5"/>
        <v>collected</v>
      </c>
      <c r="J132" s="16" t="str">
        <f t="shared" si="6"/>
        <v>N</v>
      </c>
      <c r="K132" s="16"/>
      <c r="L132" s="16"/>
    </row>
    <row r="133">
      <c r="A133" s="27" t="s">
        <v>309</v>
      </c>
      <c r="B133" s="10" t="str">
        <f t="shared" si="1"/>
        <v>isotope</v>
      </c>
      <c r="C133" s="49" t="str">
        <f t="shared" si="2"/>
        <v>S5227IS1</v>
      </c>
      <c r="D133" s="6">
        <v>24.0</v>
      </c>
      <c r="E133" s="10" t="str">
        <f t="shared" si="3"/>
        <v>BIS24</v>
      </c>
      <c r="F133" s="13">
        <v>27.0</v>
      </c>
      <c r="G133" s="10" t="str">
        <f t="shared" si="4"/>
        <v>BIS24-27</v>
      </c>
      <c r="H133" s="16"/>
      <c r="I133" s="16" t="str">
        <f t="shared" si="5"/>
        <v>collected</v>
      </c>
      <c r="J133" s="16" t="str">
        <f t="shared" si="6"/>
        <v>N</v>
      </c>
      <c r="K133" s="16"/>
      <c r="L133" s="16"/>
    </row>
    <row r="134">
      <c r="A134" s="27" t="s">
        <v>310</v>
      </c>
      <c r="B134" s="10" t="str">
        <f t="shared" si="1"/>
        <v>isotope</v>
      </c>
      <c r="C134" s="49" t="str">
        <f t="shared" si="2"/>
        <v>S5228IS1</v>
      </c>
      <c r="D134" s="6">
        <v>24.0</v>
      </c>
      <c r="E134" s="10" t="str">
        <f t="shared" si="3"/>
        <v>BIS24</v>
      </c>
      <c r="F134" s="13">
        <v>29.0</v>
      </c>
      <c r="G134" s="10" t="str">
        <f t="shared" si="4"/>
        <v>BIS24-29</v>
      </c>
      <c r="H134" s="16"/>
      <c r="I134" s="16" t="str">
        <f t="shared" si="5"/>
        <v>collected</v>
      </c>
      <c r="J134" s="16" t="str">
        <f t="shared" si="6"/>
        <v>N</v>
      </c>
      <c r="K134" s="16"/>
      <c r="L134" s="16"/>
    </row>
    <row r="135">
      <c r="A135" s="26" t="s">
        <v>312</v>
      </c>
      <c r="B135" s="10" t="str">
        <f t="shared" si="1"/>
        <v>isotope</v>
      </c>
      <c r="C135" s="49" t="str">
        <f t="shared" si="2"/>
        <v>S5229IS1</v>
      </c>
      <c r="D135" s="6">
        <v>24.0</v>
      </c>
      <c r="E135" s="10" t="str">
        <f t="shared" si="3"/>
        <v>BIS24</v>
      </c>
      <c r="F135" s="13">
        <v>32.0</v>
      </c>
      <c r="G135" s="10" t="str">
        <f t="shared" si="4"/>
        <v>BIS24-32</v>
      </c>
      <c r="H135" s="16"/>
      <c r="I135" s="16" t="str">
        <f t="shared" si="5"/>
        <v>collected</v>
      </c>
      <c r="J135" s="16" t="str">
        <f t="shared" si="6"/>
        <v>N</v>
      </c>
      <c r="K135" s="16"/>
      <c r="L135" s="16"/>
    </row>
    <row r="136">
      <c r="A136" s="26" t="s">
        <v>314</v>
      </c>
      <c r="B136" s="10" t="str">
        <f t="shared" si="1"/>
        <v>isotope</v>
      </c>
      <c r="C136" s="49" t="str">
        <f t="shared" si="2"/>
        <v>S5230IS1</v>
      </c>
      <c r="D136" s="6">
        <v>24.0</v>
      </c>
      <c r="E136" s="10" t="str">
        <f t="shared" si="3"/>
        <v>BIS24</v>
      </c>
      <c r="F136" s="13">
        <v>34.0</v>
      </c>
      <c r="G136" s="10" t="str">
        <f t="shared" si="4"/>
        <v>BIS24-34</v>
      </c>
      <c r="H136" s="16"/>
      <c r="I136" s="16" t="str">
        <f t="shared" si="5"/>
        <v>collected</v>
      </c>
      <c r="J136" s="16" t="str">
        <f t="shared" si="6"/>
        <v>N</v>
      </c>
      <c r="K136" s="16"/>
      <c r="L136" s="16"/>
    </row>
    <row r="137">
      <c r="A137" s="26" t="s">
        <v>316</v>
      </c>
      <c r="B137" s="10" t="str">
        <f t="shared" si="1"/>
        <v>isotope</v>
      </c>
      <c r="C137" s="49" t="str">
        <f t="shared" si="2"/>
        <v>S5231IS1</v>
      </c>
      <c r="D137" s="6">
        <v>24.0</v>
      </c>
      <c r="E137" s="10" t="str">
        <f t="shared" si="3"/>
        <v>BIS24</v>
      </c>
      <c r="F137" s="13">
        <v>36.0</v>
      </c>
      <c r="G137" s="10" t="str">
        <f t="shared" si="4"/>
        <v>BIS24-36</v>
      </c>
      <c r="H137" s="16"/>
      <c r="I137" s="16" t="str">
        <f t="shared" si="5"/>
        <v>collected</v>
      </c>
      <c r="J137" s="16" t="str">
        <f t="shared" si="6"/>
        <v>N</v>
      </c>
      <c r="K137" s="16"/>
      <c r="L137" s="16"/>
    </row>
    <row r="138">
      <c r="A138" s="26" t="s">
        <v>317</v>
      </c>
      <c r="B138" s="10" t="str">
        <f t="shared" si="1"/>
        <v>isotope</v>
      </c>
      <c r="C138" s="49" t="str">
        <f t="shared" si="2"/>
        <v>S5245IS1</v>
      </c>
      <c r="D138" s="6">
        <v>24.0</v>
      </c>
      <c r="E138" s="10" t="str">
        <f t="shared" si="3"/>
        <v>BIS24</v>
      </c>
      <c r="F138" s="13">
        <v>38.0</v>
      </c>
      <c r="G138" s="10" t="str">
        <f t="shared" si="4"/>
        <v>BIS24-38</v>
      </c>
      <c r="H138" s="16"/>
      <c r="I138" s="16" t="str">
        <f t="shared" si="5"/>
        <v>collected</v>
      </c>
      <c r="J138" s="16" t="str">
        <f t="shared" si="6"/>
        <v>N</v>
      </c>
      <c r="K138" s="16"/>
      <c r="L138" s="16"/>
    </row>
    <row r="139">
      <c r="A139" s="26" t="s">
        <v>318</v>
      </c>
      <c r="B139" s="10" t="str">
        <f t="shared" si="1"/>
        <v>isotope</v>
      </c>
      <c r="C139" s="49" t="str">
        <f t="shared" si="2"/>
        <v>S5246IS1</v>
      </c>
      <c r="D139" s="6">
        <v>24.0</v>
      </c>
      <c r="E139" s="10" t="str">
        <f t="shared" si="3"/>
        <v>BIS24</v>
      </c>
      <c r="F139" s="13">
        <v>40.0</v>
      </c>
      <c r="G139" s="10" t="str">
        <f t="shared" si="4"/>
        <v>BIS24-40</v>
      </c>
      <c r="H139" s="16"/>
      <c r="I139" s="16" t="str">
        <f t="shared" si="5"/>
        <v>collected</v>
      </c>
      <c r="J139" s="16" t="str">
        <f t="shared" si="6"/>
        <v>N</v>
      </c>
      <c r="K139" s="16"/>
      <c r="L139" s="16"/>
    </row>
    <row r="140">
      <c r="A140" s="26" t="s">
        <v>322</v>
      </c>
      <c r="B140" s="10" t="str">
        <f t="shared" si="1"/>
        <v>isotope</v>
      </c>
      <c r="C140" s="49" t="str">
        <f t="shared" si="2"/>
        <v>S5247IS1</v>
      </c>
      <c r="D140" s="6">
        <v>24.0</v>
      </c>
      <c r="E140" s="10" t="str">
        <f t="shared" si="3"/>
        <v>BIS24</v>
      </c>
      <c r="F140" s="13">
        <v>41.0</v>
      </c>
      <c r="G140" s="10" t="str">
        <f t="shared" si="4"/>
        <v>BIS24-41</v>
      </c>
      <c r="H140" s="16"/>
      <c r="I140" s="16" t="str">
        <f t="shared" si="5"/>
        <v>collected</v>
      </c>
      <c r="J140" s="16" t="str">
        <f t="shared" si="6"/>
        <v>N</v>
      </c>
      <c r="K140" s="16"/>
      <c r="L140" s="16"/>
    </row>
    <row r="141">
      <c r="A141" s="26" t="s">
        <v>327</v>
      </c>
      <c r="B141" s="10" t="str">
        <f t="shared" si="1"/>
        <v>isotope</v>
      </c>
      <c r="C141" s="49" t="str">
        <f t="shared" si="2"/>
        <v>S5248IS1</v>
      </c>
      <c r="D141" s="6">
        <v>24.0</v>
      </c>
      <c r="E141" s="10" t="str">
        <f t="shared" si="3"/>
        <v>BIS24</v>
      </c>
      <c r="F141" s="13">
        <v>43.0</v>
      </c>
      <c r="G141" s="10" t="str">
        <f t="shared" si="4"/>
        <v>BIS24-43</v>
      </c>
      <c r="H141" s="16"/>
      <c r="I141" s="16" t="str">
        <f t="shared" si="5"/>
        <v>collected</v>
      </c>
      <c r="J141" s="16" t="str">
        <f t="shared" si="6"/>
        <v>N</v>
      </c>
      <c r="K141" s="16"/>
      <c r="L141" s="16"/>
    </row>
    <row r="142">
      <c r="A142" s="27" t="s">
        <v>328</v>
      </c>
      <c r="B142" s="10" t="str">
        <f t="shared" si="1"/>
        <v>isotope</v>
      </c>
      <c r="C142" s="49" t="str">
        <f t="shared" si="2"/>
        <v>S5249IS1</v>
      </c>
      <c r="D142" s="6">
        <v>24.0</v>
      </c>
      <c r="E142" s="10" t="str">
        <f t="shared" si="3"/>
        <v>BIS24</v>
      </c>
      <c r="F142" s="39">
        <v>45.0</v>
      </c>
      <c r="G142" s="10" t="str">
        <f t="shared" si="4"/>
        <v>BIS24-45</v>
      </c>
      <c r="H142" s="6"/>
      <c r="I142" s="16" t="str">
        <f t="shared" si="5"/>
        <v>collected</v>
      </c>
      <c r="J142" s="16" t="str">
        <f t="shared" si="6"/>
        <v>N</v>
      </c>
      <c r="K142" s="16"/>
      <c r="L142" s="16"/>
    </row>
    <row r="143">
      <c r="A143" s="27" t="s">
        <v>332</v>
      </c>
      <c r="B143" s="10" t="str">
        <f t="shared" si="1"/>
        <v>isotope</v>
      </c>
      <c r="C143" s="49" t="str">
        <f t="shared" si="2"/>
        <v>S5250IS1</v>
      </c>
      <c r="D143" s="6">
        <v>24.0</v>
      </c>
      <c r="E143" s="10" t="str">
        <f t="shared" si="3"/>
        <v>BIS24</v>
      </c>
      <c r="F143" s="13">
        <v>47.0</v>
      </c>
      <c r="G143" s="10" t="str">
        <f t="shared" si="4"/>
        <v>BIS24-47</v>
      </c>
      <c r="H143" s="16"/>
      <c r="I143" s="16" t="str">
        <f t="shared" si="5"/>
        <v>collected</v>
      </c>
      <c r="J143" s="16" t="str">
        <f t="shared" si="6"/>
        <v>N</v>
      </c>
      <c r="K143" s="16"/>
      <c r="L143" s="16"/>
    </row>
    <row r="144">
      <c r="A144" s="27" t="s">
        <v>334</v>
      </c>
      <c r="B144" s="10" t="str">
        <f t="shared" si="1"/>
        <v>isotope</v>
      </c>
      <c r="C144" s="49" t="str">
        <f t="shared" si="2"/>
        <v>S5251IS1</v>
      </c>
      <c r="D144" s="6">
        <v>24.0</v>
      </c>
      <c r="E144" s="10" t="str">
        <f t="shared" si="3"/>
        <v>BIS24</v>
      </c>
      <c r="F144" s="13">
        <v>49.0</v>
      </c>
      <c r="G144" s="10" t="str">
        <f t="shared" si="4"/>
        <v>BIS24-49</v>
      </c>
      <c r="H144" s="16"/>
      <c r="I144" s="16" t="str">
        <f t="shared" si="5"/>
        <v>collected</v>
      </c>
      <c r="J144" s="16" t="str">
        <f t="shared" si="6"/>
        <v>N</v>
      </c>
      <c r="K144" s="16"/>
      <c r="L144" s="16"/>
    </row>
    <row r="145">
      <c r="A145" s="27" t="s">
        <v>335</v>
      </c>
      <c r="B145" s="10" t="str">
        <f t="shared" si="1"/>
        <v>isotope</v>
      </c>
      <c r="C145" s="49" t="str">
        <f t="shared" si="2"/>
        <v>S5252IS1</v>
      </c>
      <c r="D145" s="6">
        <v>24.0</v>
      </c>
      <c r="E145" s="10" t="str">
        <f t="shared" si="3"/>
        <v>BIS24</v>
      </c>
      <c r="F145" s="13">
        <v>52.0</v>
      </c>
      <c r="G145" s="10" t="str">
        <f t="shared" si="4"/>
        <v>BIS24-52</v>
      </c>
      <c r="H145" s="16"/>
      <c r="I145" s="16" t="str">
        <f t="shared" si="5"/>
        <v>collected</v>
      </c>
      <c r="J145" s="16" t="str">
        <f t="shared" si="6"/>
        <v>N</v>
      </c>
      <c r="K145" s="16"/>
      <c r="L145" s="16"/>
    </row>
    <row r="146">
      <c r="A146" s="27" t="s">
        <v>336</v>
      </c>
      <c r="B146" s="10" t="str">
        <f t="shared" si="1"/>
        <v>isotope</v>
      </c>
      <c r="C146" s="49" t="str">
        <f t="shared" si="2"/>
        <v>S5253IS1</v>
      </c>
      <c r="D146" s="6">
        <v>24.0</v>
      </c>
      <c r="E146" s="10" t="str">
        <f t="shared" si="3"/>
        <v>BIS24</v>
      </c>
      <c r="F146" s="13">
        <v>54.0</v>
      </c>
      <c r="G146" s="10" t="str">
        <f t="shared" si="4"/>
        <v>BIS24-54</v>
      </c>
      <c r="H146" s="16"/>
      <c r="I146" s="16" t="str">
        <f t="shared" si="5"/>
        <v>collected</v>
      </c>
      <c r="J146" s="16" t="str">
        <f t="shared" si="6"/>
        <v>N</v>
      </c>
      <c r="K146" s="16"/>
      <c r="L146" s="16"/>
    </row>
    <row r="147">
      <c r="A147" s="27" t="s">
        <v>338</v>
      </c>
      <c r="B147" s="10" t="str">
        <f t="shared" si="1"/>
        <v>isotope</v>
      </c>
      <c r="C147" s="49" t="str">
        <f t="shared" si="2"/>
        <v>S5254IS1</v>
      </c>
      <c r="D147" s="6">
        <v>24.0</v>
      </c>
      <c r="E147" s="10" t="str">
        <f t="shared" si="3"/>
        <v>BIS24</v>
      </c>
      <c r="F147" s="13">
        <v>56.0</v>
      </c>
      <c r="G147" s="10" t="str">
        <f t="shared" si="4"/>
        <v>BIS24-56</v>
      </c>
      <c r="H147" s="16"/>
      <c r="I147" s="16" t="str">
        <f t="shared" si="5"/>
        <v>collected</v>
      </c>
      <c r="J147" s="16" t="str">
        <f t="shared" si="6"/>
        <v>N</v>
      </c>
      <c r="K147" s="16"/>
      <c r="L147" s="16"/>
    </row>
    <row r="148">
      <c r="A148" s="27" t="s">
        <v>339</v>
      </c>
      <c r="B148" s="10" t="str">
        <f t="shared" si="1"/>
        <v>isotope</v>
      </c>
      <c r="C148" s="49" t="str">
        <f t="shared" si="2"/>
        <v>S5255IS1</v>
      </c>
      <c r="D148" s="6">
        <v>24.0</v>
      </c>
      <c r="E148" s="10" t="str">
        <f t="shared" si="3"/>
        <v>BIS24</v>
      </c>
      <c r="F148" s="39">
        <v>58.0</v>
      </c>
      <c r="G148" s="10" t="str">
        <f t="shared" si="4"/>
        <v>BIS24-58</v>
      </c>
      <c r="H148" s="6"/>
      <c r="I148" s="16" t="str">
        <f t="shared" si="5"/>
        <v>collected</v>
      </c>
      <c r="J148" s="16" t="str">
        <f t="shared" si="6"/>
        <v>N</v>
      </c>
      <c r="K148" s="16"/>
      <c r="L148" s="16"/>
    </row>
    <row r="149">
      <c r="A149" s="27" t="s">
        <v>340</v>
      </c>
      <c r="B149" s="10" t="str">
        <f t="shared" si="1"/>
        <v>isotope</v>
      </c>
      <c r="C149" s="49" t="str">
        <f t="shared" si="2"/>
        <v>S5256IS1</v>
      </c>
      <c r="D149" s="6">
        <v>24.0</v>
      </c>
      <c r="E149" s="10" t="str">
        <f t="shared" si="3"/>
        <v>BIS24</v>
      </c>
      <c r="F149" s="13">
        <v>60.0</v>
      </c>
      <c r="G149" s="10" t="str">
        <f t="shared" si="4"/>
        <v>BIS24-60</v>
      </c>
      <c r="H149" s="16"/>
      <c r="I149" s="16" t="str">
        <f t="shared" si="5"/>
        <v>collected</v>
      </c>
      <c r="J149" s="16" t="str">
        <f t="shared" si="6"/>
        <v>N</v>
      </c>
      <c r="K149" s="16"/>
      <c r="L149" s="16"/>
    </row>
    <row r="150">
      <c r="A150" s="27" t="s">
        <v>341</v>
      </c>
      <c r="B150" s="10" t="str">
        <f t="shared" si="1"/>
        <v>isotope</v>
      </c>
      <c r="C150" s="49" t="str">
        <f t="shared" si="2"/>
        <v>S5257IS1</v>
      </c>
      <c r="D150" s="6">
        <v>24.0</v>
      </c>
      <c r="E150" s="10" t="str">
        <f t="shared" si="3"/>
        <v>BIS24</v>
      </c>
      <c r="F150" s="13">
        <v>61.0</v>
      </c>
      <c r="G150" s="10" t="str">
        <f t="shared" si="4"/>
        <v>BIS24-61</v>
      </c>
      <c r="H150" s="16"/>
      <c r="I150" s="16" t="str">
        <f t="shared" si="5"/>
        <v>collected</v>
      </c>
      <c r="J150" s="16" t="str">
        <f t="shared" si="6"/>
        <v>N</v>
      </c>
      <c r="K150" s="16"/>
      <c r="L150" s="16"/>
    </row>
    <row r="151">
      <c r="A151" s="26" t="s">
        <v>342</v>
      </c>
      <c r="B151" s="10" t="str">
        <f t="shared" si="1"/>
        <v>isotope</v>
      </c>
      <c r="C151" s="49" t="str">
        <f t="shared" si="2"/>
        <v>S5262IS1</v>
      </c>
      <c r="D151" s="6">
        <v>25.0</v>
      </c>
      <c r="E151" s="10" t="str">
        <f t="shared" si="3"/>
        <v>BIS25</v>
      </c>
      <c r="F151" s="39">
        <v>1.0</v>
      </c>
      <c r="G151" s="10" t="str">
        <f t="shared" si="4"/>
        <v>BIS25-1</v>
      </c>
      <c r="H151" s="6"/>
      <c r="I151" s="16" t="str">
        <f t="shared" si="5"/>
        <v>collected</v>
      </c>
      <c r="J151" s="16" t="str">
        <f t="shared" si="6"/>
        <v>N</v>
      </c>
      <c r="K151" s="16"/>
      <c r="L151" s="16"/>
    </row>
    <row r="152">
      <c r="A152" s="26" t="s">
        <v>344</v>
      </c>
      <c r="B152" s="10" t="str">
        <f t="shared" si="1"/>
        <v>isotope</v>
      </c>
      <c r="C152" s="49" t="str">
        <f t="shared" si="2"/>
        <v>S5263IS1</v>
      </c>
      <c r="D152" s="6">
        <v>25.0</v>
      </c>
      <c r="E152" s="10" t="str">
        <f t="shared" si="3"/>
        <v>BIS25</v>
      </c>
      <c r="F152" s="13">
        <v>2.0</v>
      </c>
      <c r="G152" s="10" t="str">
        <f t="shared" si="4"/>
        <v>BIS25-2</v>
      </c>
      <c r="H152" s="16"/>
      <c r="I152" s="16" t="str">
        <f t="shared" si="5"/>
        <v>collected</v>
      </c>
      <c r="J152" s="16" t="str">
        <f t="shared" si="6"/>
        <v>N</v>
      </c>
      <c r="K152" s="16"/>
      <c r="L152" s="16"/>
    </row>
    <row r="153">
      <c r="A153" s="26" t="s">
        <v>345</v>
      </c>
      <c r="B153" s="10" t="str">
        <f t="shared" si="1"/>
        <v>isotope</v>
      </c>
      <c r="C153" s="49" t="str">
        <f t="shared" si="2"/>
        <v>S5264IS1</v>
      </c>
      <c r="D153" s="6">
        <v>25.0</v>
      </c>
      <c r="E153" s="10" t="str">
        <f t="shared" si="3"/>
        <v>BIS25</v>
      </c>
      <c r="F153" s="13">
        <v>3.0</v>
      </c>
      <c r="G153" s="10" t="str">
        <f t="shared" si="4"/>
        <v>BIS25-3</v>
      </c>
      <c r="H153" s="16"/>
      <c r="I153" s="16" t="str">
        <f t="shared" si="5"/>
        <v>collected</v>
      </c>
      <c r="J153" s="16" t="str">
        <f t="shared" si="6"/>
        <v>N</v>
      </c>
      <c r="K153" s="16"/>
      <c r="L153" s="16"/>
    </row>
    <row r="154">
      <c r="A154" s="26" t="s">
        <v>347</v>
      </c>
      <c r="B154" s="10" t="str">
        <f t="shared" si="1"/>
        <v>isotope</v>
      </c>
      <c r="C154" s="49" t="str">
        <f t="shared" si="2"/>
        <v>S5265IS1</v>
      </c>
      <c r="D154" s="6">
        <v>25.0</v>
      </c>
      <c r="E154" s="10" t="str">
        <f t="shared" si="3"/>
        <v>BIS25</v>
      </c>
      <c r="F154" s="13">
        <v>4.0</v>
      </c>
      <c r="G154" s="10" t="str">
        <f t="shared" si="4"/>
        <v>BIS25-4</v>
      </c>
      <c r="H154" s="16"/>
      <c r="I154" s="16" t="str">
        <f t="shared" si="5"/>
        <v>collected</v>
      </c>
      <c r="J154" s="16" t="str">
        <f t="shared" si="6"/>
        <v>N</v>
      </c>
      <c r="K154" s="16"/>
      <c r="L154" s="16"/>
    </row>
    <row r="155">
      <c r="A155" s="26" t="s">
        <v>348</v>
      </c>
      <c r="B155" s="10" t="str">
        <f t="shared" si="1"/>
        <v>isotope</v>
      </c>
      <c r="C155" s="49" t="str">
        <f t="shared" si="2"/>
        <v>S5266IS1</v>
      </c>
      <c r="D155" s="6">
        <v>25.0</v>
      </c>
      <c r="E155" s="10" t="str">
        <f t="shared" si="3"/>
        <v>BIS25</v>
      </c>
      <c r="F155" s="13">
        <v>5.0</v>
      </c>
      <c r="G155" s="10" t="str">
        <f t="shared" si="4"/>
        <v>BIS25-5</v>
      </c>
      <c r="H155" s="16"/>
      <c r="I155" s="16" t="str">
        <f t="shared" si="5"/>
        <v>collected</v>
      </c>
      <c r="J155" s="16" t="str">
        <f t="shared" si="6"/>
        <v>N</v>
      </c>
      <c r="K155" s="16"/>
      <c r="L155" s="16"/>
    </row>
    <row r="156">
      <c r="A156" s="26" t="s">
        <v>349</v>
      </c>
      <c r="B156" s="10" t="str">
        <f t="shared" si="1"/>
        <v>isotope</v>
      </c>
      <c r="C156" s="49" t="str">
        <f t="shared" si="2"/>
        <v>S5267IS1</v>
      </c>
      <c r="D156" s="6">
        <v>25.0</v>
      </c>
      <c r="E156" s="10" t="str">
        <f t="shared" si="3"/>
        <v>BIS25</v>
      </c>
      <c r="F156" s="13">
        <v>6.0</v>
      </c>
      <c r="G156" s="10" t="str">
        <f t="shared" si="4"/>
        <v>BIS25-6</v>
      </c>
      <c r="H156" s="16"/>
      <c r="I156" s="16" t="str">
        <f t="shared" si="5"/>
        <v>collected</v>
      </c>
      <c r="J156" s="16" t="str">
        <f t="shared" si="6"/>
        <v>N</v>
      </c>
      <c r="K156" s="16"/>
      <c r="L156" s="16"/>
    </row>
    <row r="157">
      <c r="A157" s="26" t="s">
        <v>351</v>
      </c>
      <c r="B157" s="10" t="str">
        <f t="shared" si="1"/>
        <v>isotope</v>
      </c>
      <c r="C157" s="49" t="str">
        <f t="shared" si="2"/>
        <v>S5268IS1</v>
      </c>
      <c r="D157" s="6">
        <v>25.0</v>
      </c>
      <c r="E157" s="10" t="str">
        <f t="shared" si="3"/>
        <v>BIS25</v>
      </c>
      <c r="F157" s="13">
        <v>7.0</v>
      </c>
      <c r="G157" s="10" t="str">
        <f t="shared" si="4"/>
        <v>BIS25-7</v>
      </c>
      <c r="H157" s="16"/>
      <c r="I157" s="16" t="str">
        <f t="shared" si="5"/>
        <v>collected</v>
      </c>
      <c r="J157" s="16" t="str">
        <f t="shared" si="6"/>
        <v>N</v>
      </c>
      <c r="K157" s="16"/>
      <c r="L157" s="16"/>
    </row>
    <row r="158">
      <c r="A158" s="26" t="s">
        <v>353</v>
      </c>
      <c r="B158" s="10" t="str">
        <f t="shared" si="1"/>
        <v>isotope</v>
      </c>
      <c r="C158" s="49" t="str">
        <f t="shared" si="2"/>
        <v>S5269IS1</v>
      </c>
      <c r="D158" s="6">
        <v>25.0</v>
      </c>
      <c r="E158" s="10" t="str">
        <f t="shared" si="3"/>
        <v>BIS25</v>
      </c>
      <c r="F158" s="13">
        <v>8.0</v>
      </c>
      <c r="G158" s="10" t="str">
        <f t="shared" si="4"/>
        <v>BIS25-8</v>
      </c>
      <c r="H158" s="16"/>
      <c r="I158" s="16" t="str">
        <f t="shared" si="5"/>
        <v>collected</v>
      </c>
      <c r="J158" s="16" t="str">
        <f t="shared" si="6"/>
        <v>N</v>
      </c>
      <c r="K158" s="16"/>
      <c r="L158" s="16"/>
    </row>
    <row r="159">
      <c r="A159" s="26" t="s">
        <v>354</v>
      </c>
      <c r="B159" s="10" t="str">
        <f t="shared" si="1"/>
        <v>isotope</v>
      </c>
      <c r="C159" s="49" t="str">
        <f t="shared" si="2"/>
        <v>S5270IS1</v>
      </c>
      <c r="D159" s="6">
        <v>25.0</v>
      </c>
      <c r="E159" s="10" t="str">
        <f t="shared" si="3"/>
        <v>BIS25</v>
      </c>
      <c r="F159" s="13">
        <v>9.0</v>
      </c>
      <c r="G159" s="10" t="str">
        <f t="shared" si="4"/>
        <v>BIS25-9</v>
      </c>
      <c r="H159" s="16"/>
      <c r="I159" s="16" t="str">
        <f t="shared" si="5"/>
        <v>collected</v>
      </c>
      <c r="J159" s="16" t="str">
        <f t="shared" si="6"/>
        <v>N</v>
      </c>
      <c r="K159" s="16"/>
      <c r="L159" s="16"/>
    </row>
    <row r="160">
      <c r="A160" s="26" t="s">
        <v>355</v>
      </c>
      <c r="B160" s="10" t="str">
        <f t="shared" si="1"/>
        <v>isotope</v>
      </c>
      <c r="C160" s="49" t="str">
        <f t="shared" si="2"/>
        <v>S5271IS1</v>
      </c>
      <c r="D160" s="6">
        <v>25.0</v>
      </c>
      <c r="E160" s="10" t="str">
        <f t="shared" si="3"/>
        <v>BIS25</v>
      </c>
      <c r="F160" s="13">
        <v>10.0</v>
      </c>
      <c r="G160" s="10" t="str">
        <f t="shared" si="4"/>
        <v>BIS25-10</v>
      </c>
      <c r="H160" s="16"/>
      <c r="I160" s="16" t="str">
        <f t="shared" si="5"/>
        <v>collected</v>
      </c>
      <c r="J160" s="16" t="str">
        <f t="shared" si="6"/>
        <v>N</v>
      </c>
      <c r="K160" s="16"/>
      <c r="L160" s="16"/>
    </row>
    <row r="161">
      <c r="A161" s="26" t="s">
        <v>356</v>
      </c>
      <c r="B161" s="10" t="str">
        <f t="shared" si="1"/>
        <v>isotope</v>
      </c>
      <c r="C161" s="49" t="str">
        <f t="shared" si="2"/>
        <v>S5272IS1</v>
      </c>
      <c r="D161" s="6">
        <v>25.0</v>
      </c>
      <c r="E161" s="10" t="str">
        <f t="shared" si="3"/>
        <v>BIS25</v>
      </c>
      <c r="F161" s="13">
        <v>11.0</v>
      </c>
      <c r="G161" s="10" t="str">
        <f t="shared" si="4"/>
        <v>BIS25-11</v>
      </c>
      <c r="H161" s="16"/>
      <c r="I161" s="16" t="str">
        <f t="shared" si="5"/>
        <v>collected</v>
      </c>
      <c r="J161" s="16" t="str">
        <f t="shared" si="6"/>
        <v>N</v>
      </c>
      <c r="K161" s="16"/>
      <c r="L161" s="16"/>
    </row>
    <row r="162">
      <c r="A162" s="26" t="s">
        <v>359</v>
      </c>
      <c r="B162" s="10" t="str">
        <f t="shared" si="1"/>
        <v>isotope</v>
      </c>
      <c r="C162" s="49" t="str">
        <f t="shared" si="2"/>
        <v>S5273IS1</v>
      </c>
      <c r="D162" s="6">
        <v>25.0</v>
      </c>
      <c r="E162" s="10" t="str">
        <f t="shared" si="3"/>
        <v>BIS25</v>
      </c>
      <c r="F162" s="13">
        <v>12.0</v>
      </c>
      <c r="G162" s="10" t="str">
        <f t="shared" si="4"/>
        <v>BIS25-12</v>
      </c>
      <c r="H162" s="16"/>
      <c r="I162" s="16" t="str">
        <f t="shared" si="5"/>
        <v>collected</v>
      </c>
      <c r="J162" s="16" t="str">
        <f t="shared" si="6"/>
        <v>N</v>
      </c>
      <c r="K162" s="16"/>
      <c r="L162" s="16"/>
    </row>
    <row r="163">
      <c r="A163" s="26" t="s">
        <v>360</v>
      </c>
      <c r="B163" s="10" t="str">
        <f t="shared" si="1"/>
        <v>isotope</v>
      </c>
      <c r="C163" s="49" t="str">
        <f t="shared" si="2"/>
        <v>S5237IS1</v>
      </c>
      <c r="D163" s="6">
        <v>25.0</v>
      </c>
      <c r="E163" s="10" t="str">
        <f t="shared" si="3"/>
        <v>BIS25</v>
      </c>
      <c r="F163" s="13">
        <v>13.0</v>
      </c>
      <c r="G163" s="10" t="str">
        <f t="shared" si="4"/>
        <v>BIS25-13</v>
      </c>
      <c r="H163" s="16"/>
      <c r="I163" s="16" t="str">
        <f t="shared" si="5"/>
        <v>collected</v>
      </c>
      <c r="J163" s="16" t="str">
        <f t="shared" si="6"/>
        <v>N</v>
      </c>
      <c r="K163" s="16"/>
      <c r="L163" s="16"/>
    </row>
    <row r="164">
      <c r="A164" s="26" t="s">
        <v>361</v>
      </c>
      <c r="B164" s="10" t="str">
        <f t="shared" si="1"/>
        <v>isotope</v>
      </c>
      <c r="C164" s="49" t="str">
        <f t="shared" si="2"/>
        <v>S5238IS1</v>
      </c>
      <c r="D164" s="6">
        <v>25.0</v>
      </c>
      <c r="E164" s="10" t="str">
        <f t="shared" si="3"/>
        <v>BIS25</v>
      </c>
      <c r="F164" s="13">
        <v>14.0</v>
      </c>
      <c r="G164" s="10" t="str">
        <f t="shared" si="4"/>
        <v>BIS25-14</v>
      </c>
      <c r="H164" s="16"/>
      <c r="I164" s="16" t="str">
        <f t="shared" si="5"/>
        <v>collected</v>
      </c>
      <c r="J164" s="16" t="str">
        <f t="shared" si="6"/>
        <v>N</v>
      </c>
      <c r="K164" s="16"/>
      <c r="L164" s="16"/>
    </row>
    <row r="165">
      <c r="A165" s="26" t="s">
        <v>362</v>
      </c>
      <c r="B165" s="10" t="str">
        <f t="shared" si="1"/>
        <v>isotope</v>
      </c>
      <c r="C165" s="49" t="str">
        <f t="shared" si="2"/>
        <v>S5239IS1</v>
      </c>
      <c r="D165" s="6">
        <v>25.0</v>
      </c>
      <c r="E165" s="10" t="str">
        <f t="shared" si="3"/>
        <v>BIS25</v>
      </c>
      <c r="F165" s="13">
        <v>15.0</v>
      </c>
      <c r="G165" s="10" t="str">
        <f t="shared" si="4"/>
        <v>BIS25-15</v>
      </c>
      <c r="H165" s="16"/>
      <c r="I165" s="16" t="str">
        <f t="shared" si="5"/>
        <v>collected</v>
      </c>
      <c r="J165" s="16" t="str">
        <f t="shared" si="6"/>
        <v>N</v>
      </c>
      <c r="K165" s="16"/>
      <c r="L165" s="16"/>
    </row>
    <row r="166">
      <c r="A166" s="26" t="s">
        <v>365</v>
      </c>
      <c r="B166" s="10" t="str">
        <f t="shared" si="1"/>
        <v>isotope</v>
      </c>
      <c r="C166" s="49" t="str">
        <f t="shared" si="2"/>
        <v>S5240IS1</v>
      </c>
      <c r="D166" s="6">
        <v>25.0</v>
      </c>
      <c r="E166" s="10" t="str">
        <f t="shared" si="3"/>
        <v>BIS25</v>
      </c>
      <c r="F166" s="13">
        <v>16.0</v>
      </c>
      <c r="G166" s="10" t="str">
        <f t="shared" si="4"/>
        <v>BIS25-16</v>
      </c>
      <c r="H166" s="16"/>
      <c r="I166" s="16" t="str">
        <f t="shared" si="5"/>
        <v>collected</v>
      </c>
      <c r="J166" s="16" t="str">
        <f t="shared" si="6"/>
        <v>N</v>
      </c>
      <c r="K166" s="16"/>
      <c r="L166" s="16"/>
    </row>
    <row r="167">
      <c r="A167" s="27" t="s">
        <v>367</v>
      </c>
      <c r="B167" s="10" t="str">
        <f t="shared" si="1"/>
        <v>isotope</v>
      </c>
      <c r="C167" s="49" t="str">
        <f t="shared" si="2"/>
        <v>S5241IS1</v>
      </c>
      <c r="D167" s="6">
        <v>25.0</v>
      </c>
      <c r="E167" s="10" t="str">
        <f t="shared" si="3"/>
        <v>BIS25</v>
      </c>
      <c r="F167" s="13">
        <v>17.0</v>
      </c>
      <c r="G167" s="10" t="str">
        <f t="shared" si="4"/>
        <v>BIS25-17</v>
      </c>
      <c r="H167" s="16"/>
      <c r="I167" s="16" t="str">
        <f t="shared" si="5"/>
        <v>collected</v>
      </c>
      <c r="J167" s="16" t="str">
        <f t="shared" si="6"/>
        <v>N</v>
      </c>
      <c r="K167" s="16"/>
      <c r="L167" s="16"/>
    </row>
    <row r="168">
      <c r="A168" s="27" t="s">
        <v>368</v>
      </c>
      <c r="B168" s="10" t="str">
        <f t="shared" si="1"/>
        <v>isotope</v>
      </c>
      <c r="C168" s="49" t="str">
        <f t="shared" si="2"/>
        <v>S5242IS1</v>
      </c>
      <c r="D168" s="6">
        <v>25.0</v>
      </c>
      <c r="E168" s="10" t="str">
        <f t="shared" si="3"/>
        <v>BIS25</v>
      </c>
      <c r="F168" s="13">
        <v>18.0</v>
      </c>
      <c r="G168" s="10" t="str">
        <f t="shared" si="4"/>
        <v>BIS25-18</v>
      </c>
      <c r="H168" s="16"/>
      <c r="I168" s="16" t="str">
        <f t="shared" si="5"/>
        <v>collected</v>
      </c>
      <c r="J168" s="16" t="str">
        <f t="shared" si="6"/>
        <v>N</v>
      </c>
      <c r="K168" s="16"/>
      <c r="L168" s="16"/>
    </row>
    <row r="169">
      <c r="A169" s="27" t="s">
        <v>369</v>
      </c>
      <c r="B169" s="10" t="str">
        <f t="shared" si="1"/>
        <v>isotope</v>
      </c>
      <c r="C169" s="49" t="str">
        <f t="shared" si="2"/>
        <v>S5243IS1</v>
      </c>
      <c r="D169" s="6">
        <v>25.0</v>
      </c>
      <c r="E169" s="10" t="str">
        <f t="shared" si="3"/>
        <v>BIS25</v>
      </c>
      <c r="F169" s="13">
        <v>19.0</v>
      </c>
      <c r="G169" s="10" t="str">
        <f t="shared" si="4"/>
        <v>BIS25-19</v>
      </c>
      <c r="H169" s="16"/>
      <c r="I169" s="16" t="str">
        <f t="shared" si="5"/>
        <v>collected</v>
      </c>
      <c r="J169" s="16" t="str">
        <f t="shared" si="6"/>
        <v>N</v>
      </c>
      <c r="K169" s="16"/>
      <c r="L169" s="16"/>
    </row>
    <row r="170">
      <c r="A170" s="27" t="s">
        <v>371</v>
      </c>
      <c r="B170" s="10" t="str">
        <f t="shared" si="1"/>
        <v>isotope</v>
      </c>
      <c r="C170" s="49" t="str">
        <f t="shared" si="2"/>
        <v>S5244IS1</v>
      </c>
      <c r="D170" s="6">
        <v>25.0</v>
      </c>
      <c r="E170" s="10" t="str">
        <f t="shared" si="3"/>
        <v>BIS25</v>
      </c>
      <c r="F170" s="13">
        <v>20.0</v>
      </c>
      <c r="G170" s="10" t="str">
        <f t="shared" si="4"/>
        <v>BIS25-20</v>
      </c>
      <c r="H170" s="16"/>
      <c r="I170" s="16" t="str">
        <f t="shared" si="5"/>
        <v>collected</v>
      </c>
      <c r="J170" s="16" t="str">
        <f t="shared" si="6"/>
        <v>N</v>
      </c>
      <c r="K170" s="16"/>
      <c r="L170" s="16"/>
    </row>
    <row r="171">
      <c r="A171" s="27" t="s">
        <v>373</v>
      </c>
      <c r="B171" s="10" t="str">
        <f t="shared" si="1"/>
        <v>isotope</v>
      </c>
      <c r="C171" s="49" t="str">
        <f t="shared" si="2"/>
        <v>S5287IS1</v>
      </c>
      <c r="D171" s="6">
        <v>25.0</v>
      </c>
      <c r="E171" s="10" t="str">
        <f t="shared" si="3"/>
        <v>BIS25</v>
      </c>
      <c r="F171" s="13">
        <v>21.0</v>
      </c>
      <c r="G171" s="10" t="str">
        <f t="shared" si="4"/>
        <v>BIS25-21</v>
      </c>
      <c r="H171" s="16"/>
      <c r="I171" s="16" t="str">
        <f t="shared" si="5"/>
        <v>collected</v>
      </c>
      <c r="J171" s="16" t="str">
        <f t="shared" si="6"/>
        <v>N</v>
      </c>
      <c r="K171" s="16"/>
      <c r="L171" s="16"/>
    </row>
    <row r="172">
      <c r="A172" s="27" t="s">
        <v>374</v>
      </c>
      <c r="B172" s="10" t="str">
        <f t="shared" si="1"/>
        <v>isotope</v>
      </c>
      <c r="C172" s="49" t="str">
        <f t="shared" si="2"/>
        <v>S5288IS1</v>
      </c>
      <c r="D172" s="6">
        <v>25.0</v>
      </c>
      <c r="E172" s="10" t="str">
        <f t="shared" si="3"/>
        <v>BIS25</v>
      </c>
      <c r="F172" s="13">
        <v>22.0</v>
      </c>
      <c r="G172" s="10" t="str">
        <f t="shared" si="4"/>
        <v>BIS25-22</v>
      </c>
      <c r="H172" s="16"/>
      <c r="I172" s="16" t="str">
        <f t="shared" si="5"/>
        <v>collected</v>
      </c>
      <c r="J172" s="16" t="str">
        <f t="shared" si="6"/>
        <v>N</v>
      </c>
      <c r="K172" s="16"/>
      <c r="L172" s="16"/>
    </row>
    <row r="173">
      <c r="A173" s="27" t="s">
        <v>375</v>
      </c>
      <c r="B173" s="10" t="str">
        <f t="shared" si="1"/>
        <v>isotope</v>
      </c>
      <c r="C173" s="49" t="str">
        <f t="shared" si="2"/>
        <v>S5289IS1</v>
      </c>
      <c r="D173" s="6">
        <v>25.0</v>
      </c>
      <c r="E173" s="10" t="str">
        <f t="shared" si="3"/>
        <v>BIS25</v>
      </c>
      <c r="F173" s="13">
        <v>23.0</v>
      </c>
      <c r="G173" s="10" t="str">
        <f t="shared" si="4"/>
        <v>BIS25-23</v>
      </c>
      <c r="H173" s="16"/>
      <c r="I173" s="16" t="str">
        <f t="shared" si="5"/>
        <v>collected</v>
      </c>
      <c r="J173" s="16" t="str">
        <f t="shared" si="6"/>
        <v>N</v>
      </c>
      <c r="K173" s="16"/>
      <c r="L173" s="16"/>
    </row>
    <row r="174">
      <c r="A174" s="27" t="s">
        <v>377</v>
      </c>
      <c r="B174" s="10" t="str">
        <f t="shared" si="1"/>
        <v>isotope</v>
      </c>
      <c r="C174" s="49" t="str">
        <f t="shared" si="2"/>
        <v>S5290IS1</v>
      </c>
      <c r="D174" s="6">
        <v>25.0</v>
      </c>
      <c r="E174" s="10" t="str">
        <f t="shared" si="3"/>
        <v>BIS25</v>
      </c>
      <c r="F174" s="13">
        <v>24.0</v>
      </c>
      <c r="G174" s="10" t="str">
        <f t="shared" si="4"/>
        <v>BIS25-24</v>
      </c>
      <c r="H174" s="16"/>
      <c r="I174" s="16" t="str">
        <f t="shared" si="5"/>
        <v>collected</v>
      </c>
      <c r="J174" s="16" t="str">
        <f t="shared" si="6"/>
        <v>N</v>
      </c>
      <c r="K174" s="16"/>
      <c r="L174" s="16"/>
    </row>
    <row r="175">
      <c r="A175" s="6" t="s">
        <v>382</v>
      </c>
      <c r="B175" s="10" t="str">
        <f t="shared" si="1"/>
        <v>isotope</v>
      </c>
      <c r="C175" s="49" t="str">
        <f t="shared" si="2"/>
        <v>S5291IS1</v>
      </c>
      <c r="D175" s="6">
        <v>25.0</v>
      </c>
      <c r="E175" s="10" t="str">
        <f t="shared" si="3"/>
        <v>BIS25</v>
      </c>
      <c r="F175" s="13">
        <v>25.0</v>
      </c>
      <c r="G175" s="10" t="str">
        <f t="shared" si="4"/>
        <v>BIS25-25</v>
      </c>
      <c r="H175" s="16"/>
      <c r="I175" s="16" t="str">
        <f t="shared" si="5"/>
        <v>collected</v>
      </c>
      <c r="J175" s="16" t="str">
        <f t="shared" si="6"/>
        <v>N</v>
      </c>
      <c r="K175" s="16"/>
      <c r="L175" s="16"/>
    </row>
    <row r="176">
      <c r="A176" s="6" t="s">
        <v>384</v>
      </c>
      <c r="B176" s="10" t="str">
        <f t="shared" si="1"/>
        <v>isotope</v>
      </c>
      <c r="C176" s="49" t="str">
        <f t="shared" si="2"/>
        <v>S5292IS1</v>
      </c>
      <c r="D176" s="6">
        <v>25.0</v>
      </c>
      <c r="E176" s="10" t="str">
        <f t="shared" si="3"/>
        <v>BIS25</v>
      </c>
      <c r="F176" s="13">
        <v>26.0</v>
      </c>
      <c r="G176" s="10" t="str">
        <f t="shared" si="4"/>
        <v>BIS25-26</v>
      </c>
      <c r="H176" s="16"/>
      <c r="I176" s="16" t="str">
        <f t="shared" si="5"/>
        <v>collected</v>
      </c>
      <c r="J176" s="16" t="str">
        <f t="shared" si="6"/>
        <v>N</v>
      </c>
      <c r="K176" s="16"/>
      <c r="L176" s="16"/>
    </row>
    <row r="177">
      <c r="A177" s="6" t="s">
        <v>387</v>
      </c>
      <c r="B177" s="10" t="str">
        <f t="shared" si="1"/>
        <v>isotope</v>
      </c>
      <c r="C177" s="49" t="str">
        <f t="shared" si="2"/>
        <v>S5293IS1</v>
      </c>
      <c r="D177" s="6">
        <v>25.0</v>
      </c>
      <c r="E177" s="10" t="str">
        <f t="shared" si="3"/>
        <v>BIS25</v>
      </c>
      <c r="F177" s="13">
        <v>27.0</v>
      </c>
      <c r="G177" s="10" t="str">
        <f t="shared" si="4"/>
        <v>BIS25-27</v>
      </c>
      <c r="H177" s="16"/>
      <c r="I177" s="16" t="str">
        <f t="shared" si="5"/>
        <v>collected</v>
      </c>
      <c r="J177" s="16" t="str">
        <f t="shared" si="6"/>
        <v>N</v>
      </c>
      <c r="K177" s="16"/>
      <c r="L177" s="16"/>
    </row>
    <row r="178">
      <c r="A178" s="6" t="s">
        <v>389</v>
      </c>
      <c r="B178" s="10" t="str">
        <f t="shared" si="1"/>
        <v>isotope</v>
      </c>
      <c r="C178" s="49" t="str">
        <f t="shared" si="2"/>
        <v>S5294IS1</v>
      </c>
      <c r="D178" s="6">
        <v>25.0</v>
      </c>
      <c r="E178" s="10" t="str">
        <f t="shared" si="3"/>
        <v>BIS25</v>
      </c>
      <c r="F178" s="13">
        <v>28.0</v>
      </c>
      <c r="G178" s="10" t="str">
        <f t="shared" si="4"/>
        <v>BIS25-28</v>
      </c>
      <c r="H178" s="16"/>
      <c r="I178" s="16" t="str">
        <f t="shared" si="5"/>
        <v>collected</v>
      </c>
      <c r="J178" s="16" t="str">
        <f t="shared" si="6"/>
        <v>N</v>
      </c>
      <c r="K178" s="16"/>
      <c r="L178" s="16"/>
    </row>
    <row r="179">
      <c r="A179" s="6" t="s">
        <v>391</v>
      </c>
      <c r="B179" s="10" t="str">
        <f t="shared" si="1"/>
        <v>isotope</v>
      </c>
      <c r="C179" s="49" t="str">
        <f t="shared" si="2"/>
        <v>S5295IS1</v>
      </c>
      <c r="D179" s="6">
        <v>25.0</v>
      </c>
      <c r="E179" s="10" t="str">
        <f t="shared" si="3"/>
        <v>BIS25</v>
      </c>
      <c r="F179" s="13">
        <v>29.0</v>
      </c>
      <c r="G179" s="10" t="str">
        <f t="shared" si="4"/>
        <v>BIS25-29</v>
      </c>
      <c r="H179" s="16"/>
      <c r="I179" s="16" t="str">
        <f t="shared" si="5"/>
        <v>collected</v>
      </c>
      <c r="J179" s="16" t="str">
        <f t="shared" si="6"/>
        <v>N</v>
      </c>
      <c r="K179" s="16"/>
      <c r="L179" s="16"/>
    </row>
    <row r="180">
      <c r="A180" s="6" t="s">
        <v>392</v>
      </c>
      <c r="B180" s="10" t="str">
        <f t="shared" si="1"/>
        <v>isotope</v>
      </c>
      <c r="C180" s="49" t="str">
        <f t="shared" si="2"/>
        <v>S5296IS1</v>
      </c>
      <c r="D180" s="6">
        <v>25.0</v>
      </c>
      <c r="E180" s="10" t="str">
        <f t="shared" si="3"/>
        <v>BIS25</v>
      </c>
      <c r="F180" s="13">
        <v>30.0</v>
      </c>
      <c r="G180" s="10" t="str">
        <f t="shared" si="4"/>
        <v>BIS25-30</v>
      </c>
      <c r="H180" s="16"/>
      <c r="I180" s="16" t="str">
        <f t="shared" si="5"/>
        <v>collected</v>
      </c>
      <c r="J180" s="16" t="str">
        <f t="shared" si="6"/>
        <v>N</v>
      </c>
      <c r="K180" s="16"/>
      <c r="L180" s="16"/>
    </row>
    <row r="181">
      <c r="A181" s="6" t="s">
        <v>394</v>
      </c>
      <c r="B181" s="10" t="str">
        <f t="shared" si="1"/>
        <v>isotope</v>
      </c>
      <c r="C181" s="49" t="str">
        <f t="shared" si="2"/>
        <v>S5258IS1</v>
      </c>
      <c r="D181" s="6">
        <v>24.0</v>
      </c>
      <c r="E181" s="10" t="str">
        <f t="shared" si="3"/>
        <v>BIS24</v>
      </c>
      <c r="F181" s="13">
        <v>63.0</v>
      </c>
      <c r="G181" s="10" t="str">
        <f t="shared" si="4"/>
        <v>BIS24-63</v>
      </c>
      <c r="H181" s="16"/>
      <c r="I181" s="16" t="str">
        <f t="shared" si="5"/>
        <v>collected</v>
      </c>
      <c r="J181" s="16" t="str">
        <f t="shared" si="6"/>
        <v>N</v>
      </c>
      <c r="K181" s="16"/>
      <c r="L181" s="16"/>
    </row>
    <row r="182">
      <c r="A182" s="26" t="s">
        <v>395</v>
      </c>
      <c r="B182" s="10" t="str">
        <f t="shared" si="1"/>
        <v>isotope</v>
      </c>
      <c r="C182" s="49" t="str">
        <f t="shared" si="2"/>
        <v>S5259IS1</v>
      </c>
      <c r="D182" s="6">
        <v>24.0</v>
      </c>
      <c r="E182" s="10" t="str">
        <f t="shared" si="3"/>
        <v>BIS24</v>
      </c>
      <c r="F182" s="13">
        <v>65.0</v>
      </c>
      <c r="G182" s="10" t="str">
        <f t="shared" si="4"/>
        <v>BIS24-65</v>
      </c>
      <c r="H182" s="16"/>
      <c r="I182" s="16" t="str">
        <f t="shared" si="5"/>
        <v>collected</v>
      </c>
      <c r="J182" s="16" t="str">
        <f t="shared" si="6"/>
        <v>N</v>
      </c>
      <c r="K182" s="16"/>
      <c r="L182" s="16"/>
    </row>
    <row r="183">
      <c r="A183" s="26" t="s">
        <v>396</v>
      </c>
      <c r="B183" s="10" t="str">
        <f t="shared" si="1"/>
        <v>isotope</v>
      </c>
      <c r="C183" s="49" t="str">
        <f t="shared" si="2"/>
        <v>S5260IS1</v>
      </c>
      <c r="D183" s="6">
        <v>24.0</v>
      </c>
      <c r="E183" s="10" t="str">
        <f t="shared" si="3"/>
        <v>BIS24</v>
      </c>
      <c r="F183" s="13">
        <v>67.0</v>
      </c>
      <c r="G183" s="10" t="str">
        <f t="shared" si="4"/>
        <v>BIS24-67</v>
      </c>
      <c r="H183" s="16"/>
      <c r="I183" s="16" t="str">
        <f t="shared" si="5"/>
        <v>collected</v>
      </c>
      <c r="J183" s="16" t="str">
        <f t="shared" si="6"/>
        <v>N</v>
      </c>
      <c r="K183" s="16"/>
      <c r="L183" s="16"/>
    </row>
    <row r="184">
      <c r="A184" s="26" t="s">
        <v>397</v>
      </c>
      <c r="B184" s="10" t="str">
        <f t="shared" si="1"/>
        <v>isotope</v>
      </c>
      <c r="C184" s="49" t="str">
        <f t="shared" si="2"/>
        <v>S5261IS1</v>
      </c>
      <c r="D184" s="6">
        <v>24.0</v>
      </c>
      <c r="E184" s="10" t="str">
        <f t="shared" si="3"/>
        <v>BIS24</v>
      </c>
      <c r="F184" s="13">
        <v>69.0</v>
      </c>
      <c r="G184" s="10" t="str">
        <f t="shared" si="4"/>
        <v>BIS24-69</v>
      </c>
      <c r="H184" s="16"/>
      <c r="I184" s="16" t="str">
        <f t="shared" si="5"/>
        <v>collected</v>
      </c>
      <c r="J184" s="16" t="str">
        <f t="shared" si="6"/>
        <v>N</v>
      </c>
      <c r="K184" s="16"/>
      <c r="L184" s="16"/>
    </row>
    <row r="185">
      <c r="A185" s="26" t="s">
        <v>400</v>
      </c>
      <c r="B185" s="10" t="str">
        <f t="shared" si="1"/>
        <v>isotope</v>
      </c>
      <c r="C185" s="49" t="str">
        <f t="shared" si="2"/>
        <v>S5274IS1</v>
      </c>
      <c r="D185" s="6">
        <v>24.0</v>
      </c>
      <c r="E185" s="10" t="str">
        <f t="shared" si="3"/>
        <v>BIS24</v>
      </c>
      <c r="F185" s="13">
        <v>72.0</v>
      </c>
      <c r="G185" s="10" t="str">
        <f t="shared" si="4"/>
        <v>BIS24-72</v>
      </c>
      <c r="H185" s="16"/>
      <c r="I185" s="16" t="str">
        <f t="shared" si="5"/>
        <v>collected</v>
      </c>
      <c r="J185" s="16" t="str">
        <f t="shared" si="6"/>
        <v>N</v>
      </c>
      <c r="K185" s="16"/>
      <c r="L185" s="16"/>
    </row>
    <row r="186">
      <c r="A186" s="26" t="s">
        <v>401</v>
      </c>
      <c r="B186" s="10" t="str">
        <f t="shared" si="1"/>
        <v>isotope</v>
      </c>
      <c r="C186" s="49" t="str">
        <f t="shared" si="2"/>
        <v>S5275IS1</v>
      </c>
      <c r="D186" s="6">
        <v>24.0</v>
      </c>
      <c r="E186" s="10" t="str">
        <f t="shared" si="3"/>
        <v>BIS24</v>
      </c>
      <c r="F186" s="13">
        <v>74.0</v>
      </c>
      <c r="G186" s="10" t="str">
        <f t="shared" si="4"/>
        <v>BIS24-74</v>
      </c>
      <c r="H186" s="16"/>
      <c r="I186" s="16" t="str">
        <f t="shared" si="5"/>
        <v>collected</v>
      </c>
      <c r="J186" s="16" t="str">
        <f t="shared" si="6"/>
        <v>N</v>
      </c>
      <c r="K186" s="16"/>
      <c r="L186" s="16"/>
    </row>
    <row r="187">
      <c r="A187" s="26" t="s">
        <v>402</v>
      </c>
      <c r="B187" s="10" t="str">
        <f t="shared" si="1"/>
        <v>isotope</v>
      </c>
      <c r="C187" s="49" t="str">
        <f t="shared" si="2"/>
        <v>S5276IS1</v>
      </c>
      <c r="D187" s="6">
        <v>24.0</v>
      </c>
      <c r="E187" s="10" t="str">
        <f t="shared" si="3"/>
        <v>BIS24</v>
      </c>
      <c r="F187" s="13">
        <v>76.0</v>
      </c>
      <c r="G187" s="10" t="str">
        <f t="shared" si="4"/>
        <v>BIS24-76</v>
      </c>
      <c r="H187" s="16"/>
      <c r="I187" s="16" t="str">
        <f t="shared" si="5"/>
        <v>collected</v>
      </c>
      <c r="J187" s="16" t="str">
        <f t="shared" si="6"/>
        <v>N</v>
      </c>
      <c r="K187" s="16"/>
      <c r="L187" s="16"/>
    </row>
    <row r="188">
      <c r="A188" s="26" t="s">
        <v>404</v>
      </c>
      <c r="B188" s="10" t="str">
        <f t="shared" si="1"/>
        <v>isotope</v>
      </c>
      <c r="C188" s="49" t="str">
        <f t="shared" si="2"/>
        <v>S5277IS1</v>
      </c>
      <c r="D188" s="6">
        <v>24.0</v>
      </c>
      <c r="E188" s="10" t="str">
        <f t="shared" si="3"/>
        <v>BIS24</v>
      </c>
      <c r="F188" s="13">
        <v>78.0</v>
      </c>
      <c r="G188" s="10" t="str">
        <f t="shared" si="4"/>
        <v>BIS24-78</v>
      </c>
      <c r="H188" s="16"/>
      <c r="I188" s="16" t="str">
        <f t="shared" si="5"/>
        <v>collected</v>
      </c>
      <c r="J188" s="16" t="str">
        <f t="shared" si="6"/>
        <v>N</v>
      </c>
      <c r="K188" s="16"/>
      <c r="L188" s="16"/>
    </row>
    <row r="189">
      <c r="A189" s="26" t="s">
        <v>405</v>
      </c>
      <c r="B189" s="10" t="str">
        <f t="shared" si="1"/>
        <v>isotope</v>
      </c>
      <c r="C189" s="49" t="str">
        <f t="shared" si="2"/>
        <v>S5278IS1</v>
      </c>
      <c r="D189" s="6">
        <v>24.0</v>
      </c>
      <c r="E189" s="10" t="str">
        <f t="shared" si="3"/>
        <v>BIS24</v>
      </c>
      <c r="F189" s="13">
        <v>80.0</v>
      </c>
      <c r="G189" s="10" t="str">
        <f t="shared" si="4"/>
        <v>BIS24-80</v>
      </c>
      <c r="H189" s="16"/>
      <c r="I189" s="16" t="str">
        <f t="shared" si="5"/>
        <v>collected</v>
      </c>
      <c r="J189" s="16" t="str">
        <f t="shared" si="6"/>
        <v>N</v>
      </c>
      <c r="K189" s="16"/>
      <c r="L189" s="16"/>
    </row>
    <row r="190">
      <c r="A190" s="26" t="s">
        <v>408</v>
      </c>
      <c r="B190" s="10" t="str">
        <f t="shared" si="1"/>
        <v>isotope</v>
      </c>
      <c r="C190" s="49" t="str">
        <f t="shared" si="2"/>
        <v>S5279IS1</v>
      </c>
      <c r="D190" s="6">
        <v>24.0</v>
      </c>
      <c r="E190" s="10" t="str">
        <f t="shared" si="3"/>
        <v>BIS24</v>
      </c>
      <c r="F190" s="13">
        <v>81.0</v>
      </c>
      <c r="G190" s="10" t="str">
        <f t="shared" si="4"/>
        <v>BIS24-81</v>
      </c>
      <c r="H190" s="16"/>
      <c r="I190" s="16" t="str">
        <f t="shared" si="5"/>
        <v>collected</v>
      </c>
      <c r="J190" s="16" t="str">
        <f t="shared" si="6"/>
        <v>N</v>
      </c>
      <c r="K190" s="16"/>
      <c r="L190" s="16"/>
    </row>
    <row r="191">
      <c r="A191" s="6" t="s">
        <v>409</v>
      </c>
      <c r="B191" s="10" t="str">
        <f t="shared" si="1"/>
        <v>isotope</v>
      </c>
      <c r="C191" s="49" t="str">
        <f t="shared" si="2"/>
        <v>S5280IS1</v>
      </c>
      <c r="D191" s="6">
        <v>24.0</v>
      </c>
      <c r="E191" s="10" t="str">
        <f t="shared" si="3"/>
        <v>BIS24</v>
      </c>
      <c r="F191" s="13">
        <v>83.0</v>
      </c>
      <c r="G191" s="10" t="str">
        <f t="shared" si="4"/>
        <v>BIS24-83</v>
      </c>
      <c r="H191" s="16"/>
      <c r="I191" s="16" t="str">
        <f t="shared" si="5"/>
        <v>collected</v>
      </c>
      <c r="J191" s="16" t="str">
        <f t="shared" si="6"/>
        <v>N</v>
      </c>
      <c r="K191" s="16"/>
      <c r="L191" s="16"/>
    </row>
    <row r="192">
      <c r="A192" s="6" t="s">
        <v>410</v>
      </c>
      <c r="B192" s="10" t="str">
        <f t="shared" si="1"/>
        <v>isotope</v>
      </c>
      <c r="C192" s="49" t="str">
        <f t="shared" si="2"/>
        <v>S5281IS1</v>
      </c>
      <c r="D192" s="6">
        <v>24.0</v>
      </c>
      <c r="E192" s="10" t="str">
        <f t="shared" si="3"/>
        <v>BIS24</v>
      </c>
      <c r="F192" s="13">
        <v>85.0</v>
      </c>
      <c r="G192" s="10" t="str">
        <f t="shared" si="4"/>
        <v>BIS24-85</v>
      </c>
      <c r="H192" s="16"/>
      <c r="I192" s="16" t="str">
        <f t="shared" si="5"/>
        <v>collected</v>
      </c>
      <c r="J192" s="16" t="str">
        <f t="shared" si="6"/>
        <v>N</v>
      </c>
      <c r="K192" s="16"/>
      <c r="L192" s="16"/>
    </row>
    <row r="193">
      <c r="A193" s="26" t="s">
        <v>412</v>
      </c>
      <c r="B193" s="10" t="str">
        <f t="shared" si="1"/>
        <v>isotope</v>
      </c>
      <c r="C193" s="49" t="str">
        <f t="shared" si="2"/>
        <v>S5282IS1</v>
      </c>
      <c r="D193" s="6">
        <v>24.0</v>
      </c>
      <c r="E193" s="10" t="str">
        <f t="shared" si="3"/>
        <v>BIS24</v>
      </c>
      <c r="F193" s="13">
        <v>87.0</v>
      </c>
      <c r="G193" s="10" t="str">
        <f t="shared" si="4"/>
        <v>BIS24-87</v>
      </c>
      <c r="H193" s="16"/>
      <c r="I193" s="16" t="str">
        <f t="shared" si="5"/>
        <v>collected</v>
      </c>
      <c r="J193" s="16" t="str">
        <f t="shared" si="6"/>
        <v>N</v>
      </c>
      <c r="K193" s="16"/>
      <c r="L193" s="16"/>
    </row>
    <row r="194">
      <c r="A194" s="26" t="s">
        <v>413</v>
      </c>
      <c r="B194" s="10" t="str">
        <f t="shared" si="1"/>
        <v>isotope</v>
      </c>
      <c r="C194" s="49" t="str">
        <f t="shared" si="2"/>
        <v>S5283IS1</v>
      </c>
      <c r="D194" s="6">
        <v>24.0</v>
      </c>
      <c r="E194" s="10" t="str">
        <f t="shared" si="3"/>
        <v>BIS24</v>
      </c>
      <c r="F194" s="13">
        <v>89.0</v>
      </c>
      <c r="G194" s="10" t="str">
        <f t="shared" si="4"/>
        <v>BIS24-89</v>
      </c>
      <c r="H194" s="16"/>
      <c r="I194" s="16" t="str">
        <f t="shared" si="5"/>
        <v>collected</v>
      </c>
      <c r="J194" s="16" t="str">
        <f t="shared" si="6"/>
        <v>N</v>
      </c>
      <c r="K194" s="16"/>
      <c r="L194" s="16"/>
    </row>
    <row r="195">
      <c r="A195" s="26" t="s">
        <v>415</v>
      </c>
      <c r="B195" s="10" t="str">
        <f t="shared" si="1"/>
        <v>isotope</v>
      </c>
      <c r="C195" s="49" t="str">
        <f t="shared" si="2"/>
        <v>S5284IS1</v>
      </c>
      <c r="D195" s="6">
        <v>24.0</v>
      </c>
      <c r="E195" s="10" t="str">
        <f t="shared" si="3"/>
        <v>BIS24</v>
      </c>
      <c r="F195" s="13">
        <v>92.0</v>
      </c>
      <c r="G195" s="10" t="str">
        <f t="shared" si="4"/>
        <v>BIS24-92</v>
      </c>
      <c r="H195" s="16"/>
      <c r="I195" s="16" t="str">
        <f t="shared" si="5"/>
        <v>collected</v>
      </c>
      <c r="J195" s="16" t="str">
        <f t="shared" si="6"/>
        <v>N</v>
      </c>
      <c r="K195" s="16"/>
      <c r="L195" s="16"/>
    </row>
    <row r="196">
      <c r="A196" s="26" t="s">
        <v>417</v>
      </c>
      <c r="B196" s="10" t="str">
        <f t="shared" si="1"/>
        <v>isotope</v>
      </c>
      <c r="C196" s="49" t="str">
        <f t="shared" si="2"/>
        <v>S5285IS1</v>
      </c>
      <c r="D196" s="6">
        <v>24.0</v>
      </c>
      <c r="E196" s="10" t="str">
        <f t="shared" si="3"/>
        <v>BIS24</v>
      </c>
      <c r="F196" s="13">
        <v>94.0</v>
      </c>
      <c r="G196" s="10" t="str">
        <f t="shared" si="4"/>
        <v>BIS24-94</v>
      </c>
      <c r="H196" s="16"/>
      <c r="I196" s="16" t="str">
        <f t="shared" si="5"/>
        <v>collected</v>
      </c>
      <c r="J196" s="16" t="str">
        <f t="shared" si="6"/>
        <v>N</v>
      </c>
      <c r="K196" s="16"/>
      <c r="L196" s="16"/>
    </row>
    <row r="197">
      <c r="A197" s="26" t="s">
        <v>419</v>
      </c>
      <c r="B197" s="10" t="str">
        <f t="shared" si="1"/>
        <v>isotope</v>
      </c>
      <c r="C197" s="49" t="str">
        <f t="shared" si="2"/>
        <v>S5286IS1</v>
      </c>
      <c r="D197" s="6">
        <v>24.0</v>
      </c>
      <c r="E197" s="10" t="str">
        <f t="shared" si="3"/>
        <v>BIS24</v>
      </c>
      <c r="F197" s="13">
        <v>96.0</v>
      </c>
      <c r="G197" s="10" t="str">
        <f t="shared" si="4"/>
        <v>BIS24-96</v>
      </c>
      <c r="H197" s="16"/>
      <c r="I197" s="16" t="str">
        <f t="shared" si="5"/>
        <v>collected</v>
      </c>
      <c r="J197" s="16" t="str">
        <f t="shared" si="6"/>
        <v>N</v>
      </c>
      <c r="K197" s="16"/>
      <c r="L197" s="16"/>
    </row>
    <row r="198">
      <c r="A198" s="26" t="s">
        <v>421</v>
      </c>
      <c r="B198" s="10" t="str">
        <f t="shared" si="1"/>
        <v>isotope</v>
      </c>
      <c r="C198" s="49" t="str">
        <f t="shared" si="2"/>
        <v>S5337IS1</v>
      </c>
      <c r="D198" s="6">
        <v>24.0</v>
      </c>
      <c r="E198" s="10" t="str">
        <f t="shared" si="3"/>
        <v>BIS24</v>
      </c>
      <c r="F198" s="13">
        <v>98.0</v>
      </c>
      <c r="G198" s="10" t="str">
        <f t="shared" si="4"/>
        <v>BIS24-98</v>
      </c>
      <c r="H198" s="16"/>
      <c r="I198" s="16" t="str">
        <f t="shared" si="5"/>
        <v>collected</v>
      </c>
      <c r="J198" s="16" t="str">
        <f t="shared" si="6"/>
        <v>N</v>
      </c>
      <c r="K198" s="16"/>
      <c r="L198" s="16"/>
    </row>
    <row r="199">
      <c r="A199" s="26" t="s">
        <v>422</v>
      </c>
      <c r="B199" s="10" t="str">
        <f t="shared" si="1"/>
        <v>isotope</v>
      </c>
      <c r="C199" s="49" t="str">
        <f t="shared" si="2"/>
        <v>S5338IS1</v>
      </c>
      <c r="D199" s="6">
        <v>24.0</v>
      </c>
      <c r="E199" s="10" t="str">
        <f t="shared" si="3"/>
        <v>BIS24</v>
      </c>
      <c r="F199" s="13">
        <v>100.0</v>
      </c>
      <c r="G199" s="10" t="str">
        <f t="shared" si="4"/>
        <v>BIS24-100</v>
      </c>
      <c r="H199" s="16"/>
      <c r="I199" s="16" t="str">
        <f t="shared" si="5"/>
        <v>collected</v>
      </c>
      <c r="J199" s="16" t="str">
        <f t="shared" si="6"/>
        <v>N</v>
      </c>
      <c r="K199" s="16"/>
      <c r="L199" s="16"/>
    </row>
    <row r="200">
      <c r="A200" s="26" t="s">
        <v>423</v>
      </c>
      <c r="B200" s="10" t="str">
        <f t="shared" si="1"/>
        <v>isotope</v>
      </c>
      <c r="C200" s="49" t="str">
        <f t="shared" si="2"/>
        <v>S5339IS1</v>
      </c>
      <c r="D200" s="6">
        <v>26.0</v>
      </c>
      <c r="E200" s="10" t="str">
        <f t="shared" si="3"/>
        <v>BIS26</v>
      </c>
      <c r="F200" s="13">
        <v>1.0</v>
      </c>
      <c r="G200" s="10" t="str">
        <f t="shared" si="4"/>
        <v>BIS26-1</v>
      </c>
      <c r="H200" s="16"/>
      <c r="I200" s="16" t="str">
        <f t="shared" si="5"/>
        <v>collected</v>
      </c>
      <c r="J200" s="16" t="str">
        <f t="shared" si="6"/>
        <v>N</v>
      </c>
      <c r="K200" s="16"/>
      <c r="L200" s="16"/>
    </row>
    <row r="201">
      <c r="A201" s="26" t="s">
        <v>427</v>
      </c>
      <c r="B201" s="10" t="str">
        <f t="shared" si="1"/>
        <v>isotope</v>
      </c>
      <c r="C201" s="49" t="str">
        <f t="shared" si="2"/>
        <v>S5340IS1</v>
      </c>
      <c r="D201" s="6">
        <v>26.0</v>
      </c>
      <c r="E201" s="10" t="str">
        <f t="shared" si="3"/>
        <v>BIS26</v>
      </c>
      <c r="F201" s="13">
        <v>2.0</v>
      </c>
      <c r="G201" s="10" t="str">
        <f t="shared" si="4"/>
        <v>BIS26-2</v>
      </c>
      <c r="H201" s="16"/>
      <c r="I201" s="16" t="str">
        <f t="shared" si="5"/>
        <v>collected</v>
      </c>
      <c r="J201" s="16" t="str">
        <f t="shared" si="6"/>
        <v>N</v>
      </c>
      <c r="K201" s="16"/>
      <c r="L201" s="16"/>
    </row>
    <row r="202">
      <c r="A202" s="26" t="s">
        <v>428</v>
      </c>
      <c r="B202" s="10" t="str">
        <f t="shared" si="1"/>
        <v>isotope</v>
      </c>
      <c r="C202" s="49" t="str">
        <f t="shared" si="2"/>
        <v>S5297IS1</v>
      </c>
      <c r="D202" s="6">
        <v>25.0</v>
      </c>
      <c r="E202" s="10" t="str">
        <f t="shared" si="3"/>
        <v>BIS25</v>
      </c>
      <c r="F202" s="13">
        <v>31.0</v>
      </c>
      <c r="G202" s="10" t="str">
        <f t="shared" si="4"/>
        <v>BIS25-31</v>
      </c>
      <c r="H202" s="16"/>
      <c r="I202" s="16" t="str">
        <f t="shared" si="5"/>
        <v>collected</v>
      </c>
      <c r="J202" s="16" t="str">
        <f t="shared" si="6"/>
        <v>N</v>
      </c>
      <c r="K202" s="16"/>
      <c r="L202" s="16"/>
    </row>
    <row r="203">
      <c r="A203" s="26" t="s">
        <v>430</v>
      </c>
      <c r="B203" s="10" t="str">
        <f t="shared" si="1"/>
        <v>isotope</v>
      </c>
      <c r="C203" s="49" t="str">
        <f t="shared" si="2"/>
        <v>S5298IS1</v>
      </c>
      <c r="D203" s="6">
        <v>25.0</v>
      </c>
      <c r="E203" s="10" t="str">
        <f t="shared" si="3"/>
        <v>BIS25</v>
      </c>
      <c r="F203" s="13">
        <v>32.0</v>
      </c>
      <c r="G203" s="10" t="str">
        <f t="shared" si="4"/>
        <v>BIS25-32</v>
      </c>
      <c r="H203" s="16"/>
      <c r="I203" s="16" t="str">
        <f t="shared" si="5"/>
        <v>collected</v>
      </c>
      <c r="J203" s="16" t="str">
        <f t="shared" si="6"/>
        <v>N</v>
      </c>
      <c r="K203" s="16"/>
      <c r="L203" s="16"/>
    </row>
    <row r="204">
      <c r="A204" s="26" t="s">
        <v>431</v>
      </c>
      <c r="B204" s="10" t="str">
        <f t="shared" si="1"/>
        <v>isotope</v>
      </c>
      <c r="C204" s="49" t="str">
        <f t="shared" si="2"/>
        <v>S5299IS1</v>
      </c>
      <c r="D204" s="6">
        <v>25.0</v>
      </c>
      <c r="E204" s="10" t="str">
        <f t="shared" si="3"/>
        <v>BIS25</v>
      </c>
      <c r="F204" s="13">
        <v>33.0</v>
      </c>
      <c r="G204" s="10" t="str">
        <f t="shared" si="4"/>
        <v>BIS25-33</v>
      </c>
      <c r="H204" s="16"/>
      <c r="I204" s="16" t="str">
        <f t="shared" si="5"/>
        <v>collected</v>
      </c>
      <c r="J204" s="16" t="str">
        <f t="shared" si="6"/>
        <v>N</v>
      </c>
      <c r="K204" s="16"/>
      <c r="L204" s="16"/>
    </row>
    <row r="205">
      <c r="A205" s="26" t="s">
        <v>432</v>
      </c>
      <c r="B205" s="10" t="str">
        <f t="shared" si="1"/>
        <v>isotope</v>
      </c>
      <c r="C205" s="49" t="str">
        <f t="shared" si="2"/>
        <v>S5300IS1</v>
      </c>
      <c r="D205" s="6">
        <v>25.0</v>
      </c>
      <c r="E205" s="10" t="str">
        <f t="shared" si="3"/>
        <v>BIS25</v>
      </c>
      <c r="F205" s="13">
        <v>34.0</v>
      </c>
      <c r="G205" s="10" t="str">
        <f t="shared" si="4"/>
        <v>BIS25-34</v>
      </c>
      <c r="H205" s="16"/>
      <c r="I205" s="16" t="str">
        <f t="shared" si="5"/>
        <v>collected</v>
      </c>
      <c r="J205" s="16" t="str">
        <f t="shared" si="6"/>
        <v>N</v>
      </c>
      <c r="K205" s="16"/>
      <c r="L205" s="16"/>
    </row>
    <row r="206">
      <c r="A206" s="26" t="s">
        <v>435</v>
      </c>
      <c r="B206" s="10" t="str">
        <f t="shared" si="1"/>
        <v>isotope</v>
      </c>
      <c r="C206" s="49" t="str">
        <f t="shared" si="2"/>
        <v>S5301IS1</v>
      </c>
      <c r="D206" s="6">
        <v>25.0</v>
      </c>
      <c r="E206" s="10" t="str">
        <f t="shared" si="3"/>
        <v>BIS25</v>
      </c>
      <c r="F206" s="13">
        <v>35.0</v>
      </c>
      <c r="G206" s="10" t="str">
        <f t="shared" si="4"/>
        <v>BIS25-35</v>
      </c>
      <c r="H206" s="16"/>
      <c r="I206" s="16" t="str">
        <f t="shared" si="5"/>
        <v>collected</v>
      </c>
      <c r="J206" s="16" t="str">
        <f t="shared" si="6"/>
        <v>N</v>
      </c>
      <c r="K206" s="16"/>
      <c r="L206" s="16"/>
    </row>
    <row r="207">
      <c r="A207" s="6" t="s">
        <v>436</v>
      </c>
      <c r="B207" s="10" t="str">
        <f t="shared" si="1"/>
        <v>isotope</v>
      </c>
      <c r="C207" s="49" t="str">
        <f t="shared" si="2"/>
        <v>S5327IS1</v>
      </c>
      <c r="D207" s="6">
        <v>25.0</v>
      </c>
      <c r="E207" s="10" t="str">
        <f t="shared" si="3"/>
        <v>BIS25</v>
      </c>
      <c r="F207" s="13">
        <v>36.0</v>
      </c>
      <c r="G207" s="10" t="str">
        <f t="shared" si="4"/>
        <v>BIS25-36</v>
      </c>
      <c r="H207" s="6"/>
      <c r="I207" s="16" t="str">
        <f t="shared" si="5"/>
        <v>collected</v>
      </c>
      <c r="J207" s="16" t="str">
        <f t="shared" si="6"/>
        <v>N</v>
      </c>
      <c r="K207" s="16"/>
      <c r="L207" s="16"/>
    </row>
    <row r="208">
      <c r="A208" s="6" t="s">
        <v>438</v>
      </c>
      <c r="B208" s="10" t="str">
        <f t="shared" si="1"/>
        <v>isotope</v>
      </c>
      <c r="C208" s="49" t="str">
        <f t="shared" si="2"/>
        <v>S5328IS1</v>
      </c>
      <c r="D208" s="6">
        <v>25.0</v>
      </c>
      <c r="E208" s="10" t="str">
        <f t="shared" si="3"/>
        <v>BIS25</v>
      </c>
      <c r="F208" s="13">
        <v>37.0</v>
      </c>
      <c r="G208" s="10" t="str">
        <f t="shared" si="4"/>
        <v>BIS25-37</v>
      </c>
      <c r="H208" s="6"/>
      <c r="I208" s="16" t="str">
        <f t="shared" si="5"/>
        <v>collected</v>
      </c>
      <c r="J208" s="16" t="str">
        <f t="shared" si="6"/>
        <v>N</v>
      </c>
      <c r="K208" s="16"/>
      <c r="L208" s="16"/>
    </row>
    <row r="209">
      <c r="A209" s="6" t="s">
        <v>440</v>
      </c>
      <c r="B209" s="10" t="str">
        <f t="shared" si="1"/>
        <v>isotope</v>
      </c>
      <c r="C209" s="49" t="str">
        <f t="shared" si="2"/>
        <v>S5329IS1</v>
      </c>
      <c r="D209" s="6">
        <v>25.0</v>
      </c>
      <c r="E209" s="10" t="str">
        <f t="shared" si="3"/>
        <v>BIS25</v>
      </c>
      <c r="F209" s="13">
        <v>38.0</v>
      </c>
      <c r="G209" s="10" t="str">
        <f t="shared" si="4"/>
        <v>BIS25-38</v>
      </c>
      <c r="H209" s="6"/>
      <c r="I209" s="16" t="str">
        <f t="shared" si="5"/>
        <v>collected</v>
      </c>
      <c r="J209" s="16" t="str">
        <f t="shared" si="6"/>
        <v>N</v>
      </c>
      <c r="K209" s="16"/>
      <c r="L209" s="16"/>
    </row>
    <row r="210">
      <c r="A210" s="6" t="s">
        <v>441</v>
      </c>
      <c r="B210" s="10" t="str">
        <f t="shared" si="1"/>
        <v>isotope</v>
      </c>
      <c r="C210" s="49" t="str">
        <f t="shared" si="2"/>
        <v>S5330IS1</v>
      </c>
      <c r="D210" s="6">
        <v>25.0</v>
      </c>
      <c r="E210" s="10" t="str">
        <f t="shared" si="3"/>
        <v>BIS25</v>
      </c>
      <c r="F210" s="13">
        <v>39.0</v>
      </c>
      <c r="G210" s="10" t="str">
        <f t="shared" si="4"/>
        <v>BIS25-39</v>
      </c>
      <c r="H210" s="6"/>
      <c r="I210" s="16" t="str">
        <f t="shared" si="5"/>
        <v>collected</v>
      </c>
      <c r="J210" s="16" t="str">
        <f t="shared" si="6"/>
        <v>N</v>
      </c>
      <c r="K210" s="16"/>
      <c r="L210" s="16"/>
    </row>
    <row r="211">
      <c r="A211" s="6" t="s">
        <v>444</v>
      </c>
      <c r="B211" s="10" t="str">
        <f t="shared" si="1"/>
        <v>isotope</v>
      </c>
      <c r="C211" s="49" t="str">
        <f t="shared" si="2"/>
        <v>S5331IS1</v>
      </c>
      <c r="D211" s="6">
        <v>25.0</v>
      </c>
      <c r="E211" s="10" t="str">
        <f t="shared" si="3"/>
        <v>BIS25</v>
      </c>
      <c r="F211" s="13">
        <v>40.0</v>
      </c>
      <c r="G211" s="10" t="str">
        <f t="shared" si="4"/>
        <v>BIS25-40</v>
      </c>
      <c r="H211" s="6"/>
      <c r="I211" s="16" t="str">
        <f t="shared" si="5"/>
        <v>collected</v>
      </c>
      <c r="J211" s="16" t="str">
        <f t="shared" si="6"/>
        <v>N</v>
      </c>
      <c r="K211" s="16"/>
      <c r="L211" s="16"/>
    </row>
    <row r="212">
      <c r="A212" s="6" t="s">
        <v>445</v>
      </c>
      <c r="B212" s="10" t="str">
        <f t="shared" si="1"/>
        <v>isotope</v>
      </c>
      <c r="C212" s="49" t="str">
        <f t="shared" si="2"/>
        <v>S5332IS1</v>
      </c>
      <c r="D212" s="6">
        <v>25.0</v>
      </c>
      <c r="E212" s="10" t="str">
        <f t="shared" si="3"/>
        <v>BIS25</v>
      </c>
      <c r="F212" s="13">
        <v>41.0</v>
      </c>
      <c r="G212" s="10" t="str">
        <f t="shared" si="4"/>
        <v>BIS25-41</v>
      </c>
      <c r="H212" s="6"/>
      <c r="I212" s="16" t="str">
        <f t="shared" si="5"/>
        <v>collected</v>
      </c>
      <c r="J212" s="16" t="str">
        <f t="shared" si="6"/>
        <v>N</v>
      </c>
      <c r="K212" s="16"/>
      <c r="L212" s="16"/>
    </row>
    <row r="213">
      <c r="A213" s="6" t="s">
        <v>446</v>
      </c>
      <c r="B213" s="10" t="str">
        <f t="shared" si="1"/>
        <v>isotope</v>
      </c>
      <c r="C213" s="49" t="str">
        <f t="shared" si="2"/>
        <v>S5333IS1</v>
      </c>
      <c r="D213" s="6">
        <v>25.0</v>
      </c>
      <c r="E213" s="10" t="str">
        <f t="shared" si="3"/>
        <v>BIS25</v>
      </c>
      <c r="F213" s="13">
        <v>42.0</v>
      </c>
      <c r="G213" s="10" t="str">
        <f t="shared" si="4"/>
        <v>BIS25-42</v>
      </c>
      <c r="H213" s="6"/>
      <c r="I213" s="16" t="str">
        <f t="shared" si="5"/>
        <v>collected</v>
      </c>
      <c r="J213" s="16" t="str">
        <f t="shared" si="6"/>
        <v>N</v>
      </c>
      <c r="K213" s="16"/>
      <c r="L213" s="16"/>
    </row>
    <row r="214">
      <c r="A214" s="6" t="s">
        <v>448</v>
      </c>
      <c r="B214" s="10" t="str">
        <f t="shared" si="1"/>
        <v>isotope</v>
      </c>
      <c r="C214" s="49" t="str">
        <f t="shared" si="2"/>
        <v>S5334IS1</v>
      </c>
      <c r="D214" s="6">
        <v>25.0</v>
      </c>
      <c r="E214" s="10" t="str">
        <f t="shared" si="3"/>
        <v>BIS25</v>
      </c>
      <c r="F214" s="13">
        <v>43.0</v>
      </c>
      <c r="G214" s="10" t="str">
        <f t="shared" si="4"/>
        <v>BIS25-43</v>
      </c>
      <c r="H214" s="6"/>
      <c r="I214" s="16" t="str">
        <f t="shared" si="5"/>
        <v>collected</v>
      </c>
      <c r="J214" s="16" t="str">
        <f t="shared" si="6"/>
        <v>N</v>
      </c>
      <c r="K214" s="16"/>
      <c r="L214" s="16"/>
    </row>
    <row r="215">
      <c r="A215" s="6" t="s">
        <v>449</v>
      </c>
      <c r="B215" s="10" t="str">
        <f t="shared" si="1"/>
        <v>isotope</v>
      </c>
      <c r="C215" s="49" t="str">
        <f t="shared" si="2"/>
        <v>S5335IS1</v>
      </c>
      <c r="D215" s="6">
        <v>25.0</v>
      </c>
      <c r="E215" s="10" t="str">
        <f t="shared" si="3"/>
        <v>BIS25</v>
      </c>
      <c r="F215" s="13">
        <v>44.0</v>
      </c>
      <c r="G215" s="10" t="str">
        <f t="shared" si="4"/>
        <v>BIS25-44</v>
      </c>
      <c r="H215" s="6"/>
      <c r="I215" s="16" t="str">
        <f t="shared" si="5"/>
        <v>collected</v>
      </c>
      <c r="J215" s="16" t="str">
        <f t="shared" si="6"/>
        <v>N</v>
      </c>
      <c r="K215" s="16"/>
      <c r="L215" s="16"/>
    </row>
    <row r="216">
      <c r="A216" s="6" t="s">
        <v>451</v>
      </c>
      <c r="B216" s="10" t="str">
        <f t="shared" si="1"/>
        <v>isotope</v>
      </c>
      <c r="C216" s="49" t="str">
        <f t="shared" si="2"/>
        <v>S5336IS1</v>
      </c>
      <c r="D216" s="6">
        <v>25.0</v>
      </c>
      <c r="E216" s="10" t="str">
        <f t="shared" si="3"/>
        <v>BIS25</v>
      </c>
      <c r="F216" s="13">
        <v>45.0</v>
      </c>
      <c r="G216" s="10" t="str">
        <f t="shared" si="4"/>
        <v>BIS25-45</v>
      </c>
      <c r="H216" s="6"/>
      <c r="I216" s="16" t="str">
        <f t="shared" si="5"/>
        <v>collected</v>
      </c>
      <c r="J216" s="16" t="str">
        <f t="shared" si="6"/>
        <v>N</v>
      </c>
      <c r="K216" s="16"/>
      <c r="L216" s="16"/>
    </row>
    <row r="217">
      <c r="A217" s="27" t="s">
        <v>452</v>
      </c>
      <c r="B217" s="10" t="str">
        <f t="shared" si="1"/>
        <v>isotope</v>
      </c>
      <c r="C217" s="49" t="str">
        <f t="shared" si="2"/>
        <v>S5362IS1</v>
      </c>
      <c r="D217" s="6">
        <v>25.0</v>
      </c>
      <c r="E217" s="10" t="str">
        <f t="shared" si="3"/>
        <v>BIS25</v>
      </c>
      <c r="F217" s="13">
        <v>46.0</v>
      </c>
      <c r="G217" s="10" t="str">
        <f t="shared" si="4"/>
        <v>BIS25-46</v>
      </c>
      <c r="H217" s="16"/>
      <c r="I217" s="16" t="str">
        <f t="shared" si="5"/>
        <v>collected</v>
      </c>
      <c r="J217" s="16" t="str">
        <f t="shared" si="6"/>
        <v>N</v>
      </c>
      <c r="K217" s="16"/>
      <c r="L217" s="16"/>
    </row>
    <row r="218">
      <c r="A218" s="26" t="s">
        <v>454</v>
      </c>
      <c r="B218" s="10" t="str">
        <f t="shared" si="1"/>
        <v>isotope</v>
      </c>
      <c r="C218" s="49" t="str">
        <f t="shared" si="2"/>
        <v>S5363IS1</v>
      </c>
      <c r="D218" s="6">
        <v>25.0</v>
      </c>
      <c r="E218" s="10" t="str">
        <f t="shared" si="3"/>
        <v>BIS25</v>
      </c>
      <c r="F218" s="13">
        <v>47.0</v>
      </c>
      <c r="G218" s="10" t="str">
        <f t="shared" si="4"/>
        <v>BIS25-47</v>
      </c>
      <c r="H218" s="16"/>
      <c r="I218" s="16" t="str">
        <f t="shared" si="5"/>
        <v>collected</v>
      </c>
      <c r="J218" s="16" t="str">
        <f t="shared" si="6"/>
        <v>N</v>
      </c>
      <c r="K218" s="16"/>
      <c r="L218" s="16"/>
    </row>
    <row r="219">
      <c r="A219" s="26" t="s">
        <v>455</v>
      </c>
      <c r="B219" s="10" t="str">
        <f t="shared" si="1"/>
        <v>isotope</v>
      </c>
      <c r="C219" s="49" t="str">
        <f t="shared" si="2"/>
        <v>S5364IS1</v>
      </c>
      <c r="D219" s="6">
        <v>25.0</v>
      </c>
      <c r="E219" s="10" t="str">
        <f t="shared" si="3"/>
        <v>BIS25</v>
      </c>
      <c r="F219" s="13">
        <v>48.0</v>
      </c>
      <c r="G219" s="10" t="str">
        <f t="shared" si="4"/>
        <v>BIS25-48</v>
      </c>
      <c r="H219" s="16"/>
      <c r="I219" s="16" t="str">
        <f t="shared" si="5"/>
        <v>collected</v>
      </c>
      <c r="J219" s="16" t="str">
        <f t="shared" si="6"/>
        <v>N</v>
      </c>
      <c r="K219" s="16"/>
      <c r="L219" s="16"/>
    </row>
    <row r="220">
      <c r="A220" s="27" t="s">
        <v>456</v>
      </c>
      <c r="B220" s="10" t="str">
        <f t="shared" si="1"/>
        <v>isotope</v>
      </c>
      <c r="C220" s="49" t="str">
        <f t="shared" si="2"/>
        <v>S5365IS1</v>
      </c>
      <c r="D220" s="6">
        <v>25.0</v>
      </c>
      <c r="E220" s="10" t="str">
        <f t="shared" si="3"/>
        <v>BIS25</v>
      </c>
      <c r="F220" s="13">
        <v>49.0</v>
      </c>
      <c r="G220" s="10" t="str">
        <f t="shared" si="4"/>
        <v>BIS25-49</v>
      </c>
      <c r="H220" s="16"/>
      <c r="I220" s="16" t="str">
        <f t="shared" si="5"/>
        <v>collected</v>
      </c>
      <c r="J220" s="16" t="str">
        <f t="shared" si="6"/>
        <v>N</v>
      </c>
      <c r="K220" s="16"/>
      <c r="L220" s="16"/>
    </row>
    <row r="221">
      <c r="A221" s="27" t="s">
        <v>457</v>
      </c>
      <c r="B221" s="10" t="str">
        <f t="shared" si="1"/>
        <v>isotope</v>
      </c>
      <c r="C221" s="49" t="str">
        <f t="shared" si="2"/>
        <v>S5366IS1</v>
      </c>
      <c r="D221" s="6">
        <v>25.0</v>
      </c>
      <c r="E221" s="10" t="str">
        <f t="shared" si="3"/>
        <v>BIS25</v>
      </c>
      <c r="F221" s="13">
        <v>50.0</v>
      </c>
      <c r="G221" s="10" t="str">
        <f t="shared" si="4"/>
        <v>BIS25-50</v>
      </c>
      <c r="H221" s="16"/>
      <c r="I221" s="16" t="str">
        <f t="shared" si="5"/>
        <v>collected</v>
      </c>
      <c r="J221" s="16" t="str">
        <f t="shared" si="6"/>
        <v>N</v>
      </c>
      <c r="K221" s="16"/>
      <c r="L221" s="16"/>
    </row>
    <row r="222">
      <c r="A222" s="27" t="s">
        <v>459</v>
      </c>
      <c r="B222" s="10" t="str">
        <f t="shared" si="1"/>
        <v>isotope</v>
      </c>
      <c r="C222" s="49" t="str">
        <f t="shared" si="2"/>
        <v>S5367IS1</v>
      </c>
      <c r="D222" s="6">
        <v>25.0</v>
      </c>
      <c r="E222" s="10" t="str">
        <f t="shared" si="3"/>
        <v>BIS25</v>
      </c>
      <c r="F222" s="13">
        <v>51.0</v>
      </c>
      <c r="G222" s="10" t="str">
        <f t="shared" si="4"/>
        <v>BIS25-51</v>
      </c>
      <c r="H222" s="16"/>
      <c r="I222" s="16" t="str">
        <f t="shared" si="5"/>
        <v>collected</v>
      </c>
      <c r="J222" s="16" t="str">
        <f t="shared" si="6"/>
        <v>N</v>
      </c>
      <c r="K222" s="16"/>
      <c r="L222" s="16"/>
    </row>
    <row r="223">
      <c r="A223" s="26" t="s">
        <v>461</v>
      </c>
      <c r="B223" s="10" t="str">
        <f t="shared" si="1"/>
        <v>isotope</v>
      </c>
      <c r="C223" s="49" t="str">
        <f t="shared" si="2"/>
        <v>S5368IS1</v>
      </c>
      <c r="D223" s="6">
        <v>25.0</v>
      </c>
      <c r="E223" s="10" t="str">
        <f t="shared" si="3"/>
        <v>BIS25</v>
      </c>
      <c r="F223" s="13">
        <v>52.0</v>
      </c>
      <c r="G223" s="10" t="str">
        <f t="shared" si="4"/>
        <v>BIS25-52</v>
      </c>
      <c r="H223" s="16"/>
      <c r="I223" s="16" t="str">
        <f t="shared" si="5"/>
        <v>collected</v>
      </c>
      <c r="J223" s="16" t="str">
        <f t="shared" si="6"/>
        <v>N</v>
      </c>
      <c r="K223" s="16"/>
      <c r="L223" s="16"/>
    </row>
    <row r="224">
      <c r="A224" s="26" t="s">
        <v>462</v>
      </c>
      <c r="B224" s="10" t="str">
        <f t="shared" si="1"/>
        <v>isotope</v>
      </c>
      <c r="C224" s="49" t="str">
        <f t="shared" si="2"/>
        <v>S5369IS1</v>
      </c>
      <c r="D224" s="6">
        <v>25.0</v>
      </c>
      <c r="E224" s="10" t="str">
        <f t="shared" si="3"/>
        <v>BIS25</v>
      </c>
      <c r="F224" s="13">
        <v>53.0</v>
      </c>
      <c r="G224" s="10" t="str">
        <f t="shared" si="4"/>
        <v>BIS25-53</v>
      </c>
      <c r="H224" s="16"/>
      <c r="I224" s="16" t="str">
        <f t="shared" si="5"/>
        <v>collected</v>
      </c>
      <c r="J224" s="16" t="str">
        <f t="shared" si="6"/>
        <v>N</v>
      </c>
      <c r="K224" s="16"/>
      <c r="L224" s="16"/>
    </row>
    <row r="225">
      <c r="A225" s="26" t="s">
        <v>463</v>
      </c>
      <c r="B225" s="10" t="str">
        <f t="shared" si="1"/>
        <v>isotope</v>
      </c>
      <c r="C225" s="49" t="str">
        <f t="shared" si="2"/>
        <v>S5370IS1</v>
      </c>
      <c r="D225" s="6">
        <v>25.0</v>
      </c>
      <c r="E225" s="10" t="str">
        <f t="shared" si="3"/>
        <v>BIS25</v>
      </c>
      <c r="F225" s="13">
        <v>54.0</v>
      </c>
      <c r="G225" s="10" t="str">
        <f t="shared" si="4"/>
        <v>BIS25-54</v>
      </c>
      <c r="H225" s="16"/>
      <c r="I225" s="16" t="str">
        <f t="shared" si="5"/>
        <v>collected</v>
      </c>
      <c r="J225" s="16" t="str">
        <f t="shared" si="6"/>
        <v>N</v>
      </c>
      <c r="K225" s="16"/>
      <c r="L225" s="16"/>
    </row>
    <row r="226">
      <c r="A226" s="26" t="s">
        <v>466</v>
      </c>
      <c r="B226" s="10" t="str">
        <f t="shared" si="1"/>
        <v>isotope</v>
      </c>
      <c r="C226" s="49" t="str">
        <f t="shared" si="2"/>
        <v>S5371IS1</v>
      </c>
      <c r="D226" s="6">
        <v>25.0</v>
      </c>
      <c r="E226" s="10" t="str">
        <f t="shared" si="3"/>
        <v>BIS25</v>
      </c>
      <c r="F226" s="13">
        <v>55.0</v>
      </c>
      <c r="G226" s="10" t="str">
        <f t="shared" si="4"/>
        <v>BIS25-55</v>
      </c>
      <c r="H226" s="16"/>
      <c r="I226" s="16" t="str">
        <f t="shared" si="5"/>
        <v>collected</v>
      </c>
      <c r="J226" s="16" t="str">
        <f t="shared" si="6"/>
        <v>N</v>
      </c>
      <c r="K226" s="16"/>
      <c r="L226" s="16"/>
    </row>
    <row r="227">
      <c r="A227" s="26" t="s">
        <v>467</v>
      </c>
      <c r="B227" s="10" t="str">
        <f t="shared" si="1"/>
        <v>isotope</v>
      </c>
      <c r="C227" s="49" t="str">
        <f t="shared" si="2"/>
        <v>S5372IS1</v>
      </c>
      <c r="D227" s="6">
        <v>25.0</v>
      </c>
      <c r="E227" s="10" t="str">
        <f t="shared" si="3"/>
        <v>BIS25</v>
      </c>
      <c r="F227" s="13">
        <v>56.0</v>
      </c>
      <c r="G227" s="10" t="str">
        <f t="shared" si="4"/>
        <v>BIS25-56</v>
      </c>
      <c r="H227" s="16"/>
      <c r="I227" s="16" t="str">
        <f t="shared" si="5"/>
        <v>collected</v>
      </c>
      <c r="J227" s="16" t="str">
        <f t="shared" si="6"/>
        <v>N</v>
      </c>
      <c r="K227" s="16"/>
      <c r="L227" s="16"/>
    </row>
    <row r="228">
      <c r="A228" s="26" t="s">
        <v>468</v>
      </c>
      <c r="B228" s="10" t="str">
        <f t="shared" si="1"/>
        <v>isotope</v>
      </c>
      <c r="C228" s="49" t="str">
        <f t="shared" si="2"/>
        <v>S5373IS1</v>
      </c>
      <c r="D228" s="6">
        <v>25.0</v>
      </c>
      <c r="E228" s="10" t="str">
        <f t="shared" si="3"/>
        <v>BIS25</v>
      </c>
      <c r="F228" s="13">
        <v>57.0</v>
      </c>
      <c r="G228" s="10" t="str">
        <f t="shared" si="4"/>
        <v>BIS25-57</v>
      </c>
      <c r="H228" s="16"/>
      <c r="I228" s="16" t="str">
        <f t="shared" si="5"/>
        <v>collected</v>
      </c>
      <c r="J228" s="16" t="str">
        <f t="shared" si="6"/>
        <v>N</v>
      </c>
      <c r="K228" s="16"/>
      <c r="L228" s="16"/>
    </row>
    <row r="229">
      <c r="A229" s="26" t="s">
        <v>470</v>
      </c>
      <c r="B229" s="10" t="str">
        <f t="shared" si="1"/>
        <v>isotope</v>
      </c>
      <c r="C229" s="49" t="str">
        <f t="shared" si="2"/>
        <v>S5374IS1</v>
      </c>
      <c r="D229" s="6">
        <v>25.0</v>
      </c>
      <c r="E229" s="10" t="str">
        <f t="shared" si="3"/>
        <v>BIS25</v>
      </c>
      <c r="F229" s="13">
        <v>58.0</v>
      </c>
      <c r="G229" s="10" t="str">
        <f t="shared" si="4"/>
        <v>BIS25-58</v>
      </c>
      <c r="H229" s="16"/>
      <c r="I229" s="16" t="str">
        <f t="shared" si="5"/>
        <v>collected</v>
      </c>
      <c r="J229" s="16" t="str">
        <f t="shared" si="6"/>
        <v>N</v>
      </c>
      <c r="K229" s="16"/>
      <c r="L229" s="16"/>
    </row>
    <row r="230">
      <c r="A230" s="26" t="s">
        <v>471</v>
      </c>
      <c r="B230" s="10" t="str">
        <f t="shared" si="1"/>
        <v>isotope</v>
      </c>
      <c r="C230" s="49" t="str">
        <f t="shared" si="2"/>
        <v>S5375IS1</v>
      </c>
      <c r="D230" s="6">
        <v>25.0</v>
      </c>
      <c r="E230" s="10" t="str">
        <f t="shared" si="3"/>
        <v>BIS25</v>
      </c>
      <c r="F230" s="13">
        <v>59.0</v>
      </c>
      <c r="G230" s="10" t="str">
        <f t="shared" si="4"/>
        <v>BIS25-59</v>
      </c>
      <c r="H230" s="16"/>
      <c r="I230" s="16" t="str">
        <f t="shared" si="5"/>
        <v>collected</v>
      </c>
      <c r="J230" s="16" t="str">
        <f t="shared" si="6"/>
        <v>N</v>
      </c>
      <c r="K230" s="16"/>
      <c r="L230" s="16"/>
    </row>
    <row r="231">
      <c r="A231" s="26" t="s">
        <v>476</v>
      </c>
      <c r="B231" s="10" t="str">
        <f t="shared" si="1"/>
        <v>isotope</v>
      </c>
      <c r="C231" s="49" t="str">
        <f t="shared" si="2"/>
        <v>S5376IS1</v>
      </c>
      <c r="D231" s="6">
        <v>25.0</v>
      </c>
      <c r="E231" s="10" t="str">
        <f t="shared" si="3"/>
        <v>BIS25</v>
      </c>
      <c r="F231" s="13">
        <v>60.0</v>
      </c>
      <c r="G231" s="10" t="str">
        <f t="shared" si="4"/>
        <v>BIS25-60</v>
      </c>
      <c r="H231" s="16"/>
      <c r="I231" s="16" t="str">
        <f t="shared" si="5"/>
        <v>collected</v>
      </c>
      <c r="J231" s="16" t="str">
        <f t="shared" si="6"/>
        <v>N</v>
      </c>
      <c r="K231" s="16"/>
      <c r="L231" s="16"/>
    </row>
    <row r="232">
      <c r="A232" s="26" t="s">
        <v>478</v>
      </c>
      <c r="B232" s="10" t="str">
        <f t="shared" si="1"/>
        <v>isotope</v>
      </c>
      <c r="C232" s="49" t="str">
        <f t="shared" si="2"/>
        <v>S5377IS1</v>
      </c>
      <c r="D232" s="6">
        <v>25.0</v>
      </c>
      <c r="E232" s="10" t="str">
        <f t="shared" si="3"/>
        <v>BIS25</v>
      </c>
      <c r="F232" s="13">
        <v>61.0</v>
      </c>
      <c r="G232" s="10" t="str">
        <f t="shared" si="4"/>
        <v>BIS25-61</v>
      </c>
      <c r="H232" s="16"/>
      <c r="I232" s="16" t="str">
        <f t="shared" si="5"/>
        <v>collected</v>
      </c>
      <c r="J232" s="16" t="str">
        <f t="shared" si="6"/>
        <v>N</v>
      </c>
      <c r="K232" s="16"/>
      <c r="L232" s="16"/>
    </row>
    <row r="233">
      <c r="A233" s="26" t="s">
        <v>480</v>
      </c>
      <c r="B233" s="10" t="str">
        <f t="shared" si="1"/>
        <v>isotope</v>
      </c>
      <c r="C233" s="49" t="str">
        <f t="shared" si="2"/>
        <v>S5378IS1</v>
      </c>
      <c r="D233" s="6">
        <v>25.0</v>
      </c>
      <c r="E233" s="10" t="str">
        <f t="shared" si="3"/>
        <v>BIS25</v>
      </c>
      <c r="F233" s="13">
        <v>62.0</v>
      </c>
      <c r="G233" s="10" t="str">
        <f t="shared" si="4"/>
        <v>BIS25-62</v>
      </c>
      <c r="H233" s="16"/>
      <c r="I233" s="16" t="str">
        <f t="shared" si="5"/>
        <v>collected</v>
      </c>
      <c r="J233" s="16" t="str">
        <f t="shared" si="6"/>
        <v>N</v>
      </c>
      <c r="K233" s="16"/>
      <c r="L233" s="16"/>
    </row>
    <row r="234">
      <c r="A234" s="28" t="s">
        <v>482</v>
      </c>
      <c r="B234" s="10" t="str">
        <f t="shared" si="1"/>
        <v>isotope</v>
      </c>
      <c r="C234" s="49" t="str">
        <f t="shared" si="2"/>
        <v>S5379IS1</v>
      </c>
      <c r="D234" s="6">
        <v>25.0</v>
      </c>
      <c r="E234" s="10" t="str">
        <f t="shared" si="3"/>
        <v>BIS25</v>
      </c>
      <c r="F234" s="13">
        <v>63.0</v>
      </c>
      <c r="G234" s="10" t="str">
        <f t="shared" si="4"/>
        <v>BIS25-63</v>
      </c>
      <c r="H234" s="16"/>
      <c r="I234" s="16" t="str">
        <f t="shared" si="5"/>
        <v>collected</v>
      </c>
      <c r="J234" s="16" t="str">
        <f t="shared" si="6"/>
        <v>N</v>
      </c>
      <c r="K234" s="16"/>
      <c r="L234" s="16"/>
    </row>
    <row r="235">
      <c r="A235" s="28" t="s">
        <v>483</v>
      </c>
      <c r="B235" s="10" t="str">
        <f t="shared" si="1"/>
        <v>isotope</v>
      </c>
      <c r="C235" s="49" t="str">
        <f t="shared" si="2"/>
        <v>S5380IS1</v>
      </c>
      <c r="D235" s="6">
        <v>25.0</v>
      </c>
      <c r="E235" s="10" t="str">
        <f t="shared" si="3"/>
        <v>BIS25</v>
      </c>
      <c r="F235" s="13">
        <v>64.0</v>
      </c>
      <c r="G235" s="10" t="str">
        <f t="shared" si="4"/>
        <v>BIS25-64</v>
      </c>
      <c r="H235" s="16"/>
      <c r="I235" s="16" t="str">
        <f t="shared" si="5"/>
        <v>collected</v>
      </c>
      <c r="J235" s="16" t="str">
        <f t="shared" si="6"/>
        <v>N</v>
      </c>
      <c r="K235" s="16"/>
      <c r="L235" s="16"/>
    </row>
    <row r="236">
      <c r="A236" s="28" t="s">
        <v>484</v>
      </c>
      <c r="B236" s="10" t="str">
        <f t="shared" si="1"/>
        <v>isotope</v>
      </c>
      <c r="C236" s="49" t="str">
        <f t="shared" si="2"/>
        <v>S5381IS1</v>
      </c>
      <c r="D236" s="6">
        <v>25.0</v>
      </c>
      <c r="E236" s="10" t="str">
        <f t="shared" si="3"/>
        <v>BIS25</v>
      </c>
      <c r="F236" s="13">
        <v>65.0</v>
      </c>
      <c r="G236" s="10" t="str">
        <f t="shared" si="4"/>
        <v>BIS25-65</v>
      </c>
      <c r="H236" s="16"/>
      <c r="I236" s="16" t="str">
        <f t="shared" si="5"/>
        <v>collected</v>
      </c>
      <c r="J236" s="16" t="str">
        <f t="shared" si="6"/>
        <v>N</v>
      </c>
      <c r="K236" s="16"/>
      <c r="L236" s="16"/>
    </row>
    <row r="237">
      <c r="A237" s="28" t="s">
        <v>487</v>
      </c>
      <c r="B237" s="10" t="str">
        <f t="shared" si="1"/>
        <v>isotope</v>
      </c>
      <c r="C237" s="49" t="str">
        <f t="shared" si="2"/>
        <v>S5382IS1</v>
      </c>
      <c r="D237" s="6">
        <v>25.0</v>
      </c>
      <c r="E237" s="10" t="str">
        <f t="shared" si="3"/>
        <v>BIS25</v>
      </c>
      <c r="F237" s="13">
        <v>66.0</v>
      </c>
      <c r="G237" s="10" t="str">
        <f t="shared" si="4"/>
        <v>BIS25-66</v>
      </c>
      <c r="H237" s="16"/>
      <c r="I237" s="16" t="str">
        <f t="shared" si="5"/>
        <v>collected</v>
      </c>
      <c r="J237" s="16" t="str">
        <f t="shared" si="6"/>
        <v>N</v>
      </c>
      <c r="K237" s="16"/>
      <c r="L237" s="16"/>
    </row>
    <row r="238">
      <c r="A238" s="27" t="s">
        <v>488</v>
      </c>
      <c r="B238" s="10" t="str">
        <f t="shared" si="1"/>
        <v>isotope</v>
      </c>
      <c r="C238" s="49" t="str">
        <f t="shared" si="2"/>
        <v>S5383IS1</v>
      </c>
      <c r="D238" s="6">
        <v>25.0</v>
      </c>
      <c r="E238" s="10" t="str">
        <f t="shared" si="3"/>
        <v>BIS25</v>
      </c>
      <c r="F238" s="13">
        <v>67.0</v>
      </c>
      <c r="G238" s="10" t="str">
        <f t="shared" si="4"/>
        <v>BIS25-67</v>
      </c>
      <c r="H238" s="16"/>
      <c r="I238" s="16" t="str">
        <f t="shared" si="5"/>
        <v>collected</v>
      </c>
      <c r="J238" s="16" t="str">
        <f t="shared" si="6"/>
        <v>N</v>
      </c>
      <c r="K238" s="16"/>
      <c r="L238" s="16"/>
    </row>
    <row r="239">
      <c r="A239" s="6" t="s">
        <v>490</v>
      </c>
      <c r="B239" s="10" t="str">
        <f t="shared" si="1"/>
        <v>isotope</v>
      </c>
      <c r="C239" s="49" t="str">
        <f t="shared" si="2"/>
        <v>S5384IS1</v>
      </c>
      <c r="D239" s="6">
        <v>25.0</v>
      </c>
      <c r="E239" s="10" t="str">
        <f t="shared" si="3"/>
        <v>BIS25</v>
      </c>
      <c r="F239" s="13">
        <v>68.0</v>
      </c>
      <c r="G239" s="10" t="str">
        <f t="shared" si="4"/>
        <v>BIS25-68</v>
      </c>
      <c r="H239" s="16"/>
      <c r="I239" s="16" t="str">
        <f t="shared" si="5"/>
        <v>collected</v>
      </c>
      <c r="J239" s="16" t="str">
        <f t="shared" si="6"/>
        <v>N</v>
      </c>
      <c r="K239" s="16"/>
      <c r="L239" s="16"/>
    </row>
    <row r="240">
      <c r="A240" s="27" t="s">
        <v>492</v>
      </c>
      <c r="B240" s="10" t="str">
        <f t="shared" si="1"/>
        <v>isotope</v>
      </c>
      <c r="C240" s="49" t="str">
        <f t="shared" si="2"/>
        <v>S5385IS1</v>
      </c>
      <c r="D240" s="6">
        <v>25.0</v>
      </c>
      <c r="E240" s="10" t="str">
        <f t="shared" si="3"/>
        <v>BIS25</v>
      </c>
      <c r="F240" s="13">
        <v>69.0</v>
      </c>
      <c r="G240" s="10" t="str">
        <f t="shared" si="4"/>
        <v>BIS25-69</v>
      </c>
      <c r="H240" s="16"/>
      <c r="I240" s="16" t="str">
        <f t="shared" si="5"/>
        <v>collected</v>
      </c>
      <c r="J240" s="16" t="str">
        <f t="shared" si="6"/>
        <v>N</v>
      </c>
      <c r="K240" s="16"/>
      <c r="L240" s="16"/>
    </row>
    <row r="241">
      <c r="A241" s="28" t="s">
        <v>493</v>
      </c>
      <c r="B241" s="10" t="str">
        <f t="shared" si="1"/>
        <v>isotope</v>
      </c>
      <c r="C241" s="49" t="str">
        <f t="shared" si="2"/>
        <v>S5386IS1</v>
      </c>
      <c r="D241" s="6">
        <v>25.0</v>
      </c>
      <c r="E241" s="10" t="str">
        <f t="shared" si="3"/>
        <v>BIS25</v>
      </c>
      <c r="F241" s="13">
        <v>70.0</v>
      </c>
      <c r="G241" s="10" t="str">
        <f t="shared" si="4"/>
        <v>BIS25-70</v>
      </c>
      <c r="H241" s="16"/>
      <c r="I241" s="16" t="str">
        <f t="shared" si="5"/>
        <v>collected</v>
      </c>
      <c r="J241" s="16" t="str">
        <f t="shared" si="6"/>
        <v>N</v>
      </c>
      <c r="K241" s="16"/>
      <c r="L241" s="16"/>
    </row>
    <row r="242">
      <c r="A242" s="28" t="s">
        <v>495</v>
      </c>
      <c r="B242" s="10" t="str">
        <f t="shared" si="1"/>
        <v>isotope</v>
      </c>
      <c r="C242" s="49" t="str">
        <f t="shared" si="2"/>
        <v>S5387IS1</v>
      </c>
      <c r="D242" s="6">
        <v>25.0</v>
      </c>
      <c r="E242" s="10" t="str">
        <f t="shared" si="3"/>
        <v>BIS25</v>
      </c>
      <c r="F242" s="13">
        <v>71.0</v>
      </c>
      <c r="G242" s="10" t="str">
        <f t="shared" si="4"/>
        <v>BIS25-71</v>
      </c>
      <c r="H242" s="16"/>
      <c r="I242" s="16" t="str">
        <f t="shared" si="5"/>
        <v>collected</v>
      </c>
      <c r="J242" s="16" t="str">
        <f t="shared" si="6"/>
        <v>N</v>
      </c>
      <c r="K242" s="16"/>
      <c r="L242" s="16"/>
    </row>
    <row r="243">
      <c r="A243" s="28" t="s">
        <v>498</v>
      </c>
      <c r="B243" s="10" t="str">
        <f t="shared" si="1"/>
        <v>isotope</v>
      </c>
      <c r="C243" s="49" t="str">
        <f t="shared" si="2"/>
        <v>S5388IS1</v>
      </c>
      <c r="D243" s="6">
        <v>25.0</v>
      </c>
      <c r="E243" s="10" t="str">
        <f t="shared" si="3"/>
        <v>BIS25</v>
      </c>
      <c r="F243" s="13">
        <v>72.0</v>
      </c>
      <c r="G243" s="10" t="str">
        <f t="shared" si="4"/>
        <v>BIS25-72</v>
      </c>
      <c r="H243" s="16"/>
      <c r="I243" s="16" t="str">
        <f t="shared" si="5"/>
        <v>collected</v>
      </c>
      <c r="J243" s="16" t="str">
        <f t="shared" si="6"/>
        <v>N</v>
      </c>
      <c r="K243" s="16"/>
      <c r="L243" s="16"/>
    </row>
    <row r="244">
      <c r="A244" s="27" t="s">
        <v>500</v>
      </c>
      <c r="B244" s="10" t="str">
        <f t="shared" si="1"/>
        <v>isotope</v>
      </c>
      <c r="C244" s="49" t="str">
        <f t="shared" si="2"/>
        <v>S5341IS1</v>
      </c>
      <c r="D244" s="6">
        <v>26.0</v>
      </c>
      <c r="E244" s="10" t="str">
        <f t="shared" si="3"/>
        <v>BIS26</v>
      </c>
      <c r="F244" s="13">
        <v>3.0</v>
      </c>
      <c r="G244" s="10" t="str">
        <f t="shared" si="4"/>
        <v>BIS26-3</v>
      </c>
      <c r="H244" s="16"/>
      <c r="I244" s="16" t="str">
        <f t="shared" si="5"/>
        <v>collected</v>
      </c>
      <c r="J244" s="16" t="str">
        <f t="shared" si="6"/>
        <v>N</v>
      </c>
      <c r="K244" s="16"/>
      <c r="L244" s="16"/>
    </row>
    <row r="245">
      <c r="A245" s="27" t="s">
        <v>501</v>
      </c>
      <c r="B245" s="10" t="str">
        <f t="shared" si="1"/>
        <v>isotope</v>
      </c>
      <c r="C245" s="49" t="str">
        <f t="shared" si="2"/>
        <v>S5342IS1</v>
      </c>
      <c r="D245" s="6">
        <v>26.0</v>
      </c>
      <c r="E245" s="10" t="str">
        <f t="shared" si="3"/>
        <v>BIS26</v>
      </c>
      <c r="F245" s="13">
        <v>4.0</v>
      </c>
      <c r="G245" s="10" t="str">
        <f t="shared" si="4"/>
        <v>BIS26-4</v>
      </c>
      <c r="H245" s="16"/>
      <c r="I245" s="16" t="str">
        <f t="shared" si="5"/>
        <v>collected</v>
      </c>
      <c r="J245" s="16" t="str">
        <f t="shared" si="6"/>
        <v>N</v>
      </c>
      <c r="K245" s="16"/>
      <c r="L245" s="16"/>
    </row>
    <row r="246">
      <c r="A246" s="29" t="s">
        <v>504</v>
      </c>
      <c r="B246" s="10" t="str">
        <f t="shared" si="1"/>
        <v>isotope</v>
      </c>
      <c r="C246" s="49" t="str">
        <f t="shared" si="2"/>
        <v>S5343IS1</v>
      </c>
      <c r="D246" s="6">
        <v>26.0</v>
      </c>
      <c r="E246" s="10" t="str">
        <f t="shared" si="3"/>
        <v>BIS26</v>
      </c>
      <c r="F246" s="13">
        <v>5.0</v>
      </c>
      <c r="G246" s="10" t="str">
        <f t="shared" si="4"/>
        <v>BIS26-5</v>
      </c>
      <c r="H246" s="16"/>
      <c r="I246" s="16" t="str">
        <f t="shared" si="5"/>
        <v>collected</v>
      </c>
      <c r="J246" s="16" t="str">
        <f t="shared" si="6"/>
        <v>N</v>
      </c>
      <c r="K246" s="16"/>
      <c r="L246" s="16"/>
    </row>
    <row r="247">
      <c r="A247" s="29" t="s">
        <v>506</v>
      </c>
      <c r="B247" s="10" t="str">
        <f t="shared" si="1"/>
        <v>isotope</v>
      </c>
      <c r="C247" s="49" t="str">
        <f t="shared" si="2"/>
        <v>S5344IS1</v>
      </c>
      <c r="D247" s="6">
        <v>26.0</v>
      </c>
      <c r="E247" s="10" t="str">
        <f t="shared" si="3"/>
        <v>BIS26</v>
      </c>
      <c r="F247" s="13">
        <v>6.0</v>
      </c>
      <c r="G247" s="10" t="str">
        <f t="shared" si="4"/>
        <v>BIS26-6</v>
      </c>
      <c r="H247" s="16"/>
      <c r="I247" s="16" t="str">
        <f t="shared" si="5"/>
        <v>collected</v>
      </c>
      <c r="J247" s="16" t="str">
        <f t="shared" si="6"/>
        <v>N</v>
      </c>
      <c r="K247" s="16"/>
      <c r="L247" s="16"/>
    </row>
    <row r="248">
      <c r="A248" s="29" t="s">
        <v>507</v>
      </c>
      <c r="B248" s="10" t="str">
        <f t="shared" si="1"/>
        <v>isotope</v>
      </c>
      <c r="C248" s="49" t="str">
        <f t="shared" si="2"/>
        <v>S5345IS1</v>
      </c>
      <c r="D248" s="6">
        <v>26.0</v>
      </c>
      <c r="E248" s="10" t="str">
        <f t="shared" si="3"/>
        <v>BIS26</v>
      </c>
      <c r="F248" s="13">
        <v>7.0</v>
      </c>
      <c r="G248" s="10" t="str">
        <f t="shared" si="4"/>
        <v>BIS26-7</v>
      </c>
      <c r="H248" s="16"/>
      <c r="I248" s="16" t="str">
        <f t="shared" si="5"/>
        <v>collected</v>
      </c>
      <c r="J248" s="16" t="str">
        <f t="shared" si="6"/>
        <v>N</v>
      </c>
      <c r="K248" s="16"/>
      <c r="L248" s="16"/>
    </row>
    <row r="249">
      <c r="A249" s="29" t="s">
        <v>509</v>
      </c>
      <c r="B249" s="10" t="str">
        <f t="shared" si="1"/>
        <v>isotope</v>
      </c>
      <c r="C249" s="49" t="str">
        <f t="shared" si="2"/>
        <v>S5346IS1</v>
      </c>
      <c r="D249" s="6">
        <v>26.0</v>
      </c>
      <c r="E249" s="10" t="str">
        <f t="shared" si="3"/>
        <v>BIS26</v>
      </c>
      <c r="F249" s="13">
        <v>8.0</v>
      </c>
      <c r="G249" s="10" t="str">
        <f t="shared" si="4"/>
        <v>BIS26-8</v>
      </c>
      <c r="H249" s="16"/>
      <c r="I249" s="16" t="str">
        <f t="shared" si="5"/>
        <v>collected</v>
      </c>
      <c r="J249" s="16" t="str">
        <f t="shared" si="6"/>
        <v>N</v>
      </c>
      <c r="K249" s="16"/>
      <c r="L249" s="16"/>
    </row>
    <row r="250">
      <c r="A250" s="26" t="s">
        <v>511</v>
      </c>
      <c r="B250" s="10" t="str">
        <f t="shared" si="1"/>
        <v>isotope</v>
      </c>
      <c r="C250" s="49" t="str">
        <f t="shared" si="2"/>
        <v>S5347IS1</v>
      </c>
      <c r="D250" s="6">
        <v>26.0</v>
      </c>
      <c r="E250" s="10" t="str">
        <f t="shared" si="3"/>
        <v>BIS26</v>
      </c>
      <c r="F250" s="13">
        <v>9.0</v>
      </c>
      <c r="G250" s="10" t="str">
        <f t="shared" si="4"/>
        <v>BIS26-9</v>
      </c>
      <c r="H250" s="16"/>
      <c r="I250" s="16" t="str">
        <f t="shared" si="5"/>
        <v>collected</v>
      </c>
      <c r="J250" s="16" t="str">
        <f t="shared" si="6"/>
        <v>N</v>
      </c>
      <c r="K250" s="16"/>
      <c r="L250" s="16"/>
    </row>
    <row r="251">
      <c r="A251" s="26" t="s">
        <v>512</v>
      </c>
      <c r="B251" s="10" t="str">
        <f t="shared" si="1"/>
        <v>isotope</v>
      </c>
      <c r="C251" s="49" t="str">
        <f t="shared" si="2"/>
        <v>S5348IS1</v>
      </c>
      <c r="D251" s="6">
        <v>26.0</v>
      </c>
      <c r="E251" s="10" t="str">
        <f t="shared" si="3"/>
        <v>BIS26</v>
      </c>
      <c r="F251" s="13">
        <v>10.0</v>
      </c>
      <c r="G251" s="10" t="str">
        <f t="shared" si="4"/>
        <v>BIS26-10</v>
      </c>
      <c r="H251" s="16"/>
      <c r="I251" s="16" t="str">
        <f t="shared" si="5"/>
        <v>collected</v>
      </c>
      <c r="J251" s="16" t="str">
        <f t="shared" si="6"/>
        <v>N</v>
      </c>
      <c r="K251" s="16"/>
      <c r="L251" s="16"/>
    </row>
    <row r="252">
      <c r="A252" s="26" t="s">
        <v>514</v>
      </c>
      <c r="B252" s="10" t="str">
        <f t="shared" si="1"/>
        <v>isotope</v>
      </c>
      <c r="C252" s="49" t="str">
        <f t="shared" si="2"/>
        <v>S5349IS1</v>
      </c>
      <c r="D252" s="6">
        <v>26.0</v>
      </c>
      <c r="E252" s="10" t="str">
        <f t="shared" si="3"/>
        <v>BIS26</v>
      </c>
      <c r="F252" s="13">
        <v>11.0</v>
      </c>
      <c r="G252" s="10" t="str">
        <f t="shared" si="4"/>
        <v>BIS26-11</v>
      </c>
      <c r="H252" s="16"/>
      <c r="I252" s="16" t="str">
        <f t="shared" si="5"/>
        <v>collected</v>
      </c>
      <c r="J252" s="16" t="str">
        <f t="shared" si="6"/>
        <v>N</v>
      </c>
      <c r="K252" s="16"/>
      <c r="L252" s="16"/>
    </row>
    <row r="253">
      <c r="A253" s="26" t="s">
        <v>515</v>
      </c>
      <c r="B253" s="10" t="str">
        <f t="shared" si="1"/>
        <v>isotope</v>
      </c>
      <c r="C253" s="49" t="str">
        <f t="shared" si="2"/>
        <v>S5350IS1</v>
      </c>
      <c r="D253" s="6">
        <v>26.0</v>
      </c>
      <c r="E253" s="10" t="str">
        <f t="shared" si="3"/>
        <v>BIS26</v>
      </c>
      <c r="F253" s="13">
        <v>12.0</v>
      </c>
      <c r="G253" s="10" t="str">
        <f t="shared" si="4"/>
        <v>BIS26-12</v>
      </c>
      <c r="H253" s="16"/>
      <c r="I253" s="16" t="str">
        <f t="shared" si="5"/>
        <v>collected</v>
      </c>
      <c r="J253" s="16" t="str">
        <f t="shared" si="6"/>
        <v>N</v>
      </c>
      <c r="K253" s="16"/>
      <c r="L253" s="16"/>
    </row>
    <row r="254">
      <c r="A254" s="26" t="s">
        <v>516</v>
      </c>
      <c r="B254" s="10" t="str">
        <f t="shared" si="1"/>
        <v>isotope</v>
      </c>
      <c r="C254" s="49" t="str">
        <f t="shared" si="2"/>
        <v>S5351IS1</v>
      </c>
      <c r="D254" s="6">
        <v>26.0</v>
      </c>
      <c r="E254" s="10" t="str">
        <f t="shared" si="3"/>
        <v>BIS26</v>
      </c>
      <c r="F254" s="13">
        <v>13.0</v>
      </c>
      <c r="G254" s="10" t="str">
        <f t="shared" si="4"/>
        <v>BIS26-13</v>
      </c>
      <c r="H254" s="16"/>
      <c r="I254" s="16" t="str">
        <f t="shared" si="5"/>
        <v>collected</v>
      </c>
      <c r="J254" s="16" t="str">
        <f t="shared" si="6"/>
        <v>N</v>
      </c>
      <c r="K254" s="16"/>
      <c r="L254" s="16"/>
    </row>
    <row r="255">
      <c r="A255" s="26" t="s">
        <v>519</v>
      </c>
      <c r="B255" s="10" t="str">
        <f t="shared" si="1"/>
        <v>isotope</v>
      </c>
      <c r="C255" s="49" t="str">
        <f t="shared" si="2"/>
        <v>S5352IS1</v>
      </c>
      <c r="D255" s="6">
        <v>26.0</v>
      </c>
      <c r="E255" s="10" t="str">
        <f t="shared" si="3"/>
        <v>BIS26</v>
      </c>
      <c r="F255" s="13">
        <v>14.0</v>
      </c>
      <c r="G255" s="10" t="str">
        <f t="shared" si="4"/>
        <v>BIS26-14</v>
      </c>
      <c r="H255" s="16"/>
      <c r="I255" s="16" t="str">
        <f t="shared" si="5"/>
        <v>collected</v>
      </c>
      <c r="J255" s="16" t="str">
        <f t="shared" si="6"/>
        <v>N</v>
      </c>
      <c r="K255" s="16"/>
      <c r="L255" s="16"/>
    </row>
    <row r="256">
      <c r="A256" s="26" t="s">
        <v>520</v>
      </c>
      <c r="B256" s="10" t="str">
        <f t="shared" si="1"/>
        <v>isotope</v>
      </c>
      <c r="C256" s="49" t="str">
        <f t="shared" si="2"/>
        <v>S5353IS1</v>
      </c>
      <c r="D256" s="6">
        <v>26.0</v>
      </c>
      <c r="E256" s="10" t="str">
        <f t="shared" si="3"/>
        <v>BIS26</v>
      </c>
      <c r="F256" s="13">
        <v>15.0</v>
      </c>
      <c r="G256" s="10" t="str">
        <f t="shared" si="4"/>
        <v>BIS26-15</v>
      </c>
      <c r="H256" s="16"/>
      <c r="I256" s="16" t="str">
        <f t="shared" si="5"/>
        <v>collected</v>
      </c>
      <c r="J256" s="16" t="str">
        <f t="shared" si="6"/>
        <v>N</v>
      </c>
      <c r="K256" s="16"/>
      <c r="L256" s="16"/>
    </row>
    <row r="257">
      <c r="A257" s="26" t="s">
        <v>522</v>
      </c>
      <c r="B257" s="10" t="str">
        <f t="shared" si="1"/>
        <v>isotope</v>
      </c>
      <c r="C257" s="49" t="str">
        <f t="shared" si="2"/>
        <v>S5354IS1</v>
      </c>
      <c r="D257" s="6">
        <v>26.0</v>
      </c>
      <c r="E257" s="10" t="str">
        <f t="shared" si="3"/>
        <v>BIS26</v>
      </c>
      <c r="F257" s="13">
        <v>16.0</v>
      </c>
      <c r="G257" s="10" t="str">
        <f t="shared" si="4"/>
        <v>BIS26-16</v>
      </c>
      <c r="H257" s="16"/>
      <c r="I257" s="16" t="str">
        <f t="shared" si="5"/>
        <v>collected</v>
      </c>
      <c r="J257" s="16" t="str">
        <f t="shared" si="6"/>
        <v>N</v>
      </c>
      <c r="K257" s="16"/>
      <c r="L257" s="16"/>
    </row>
    <row r="258">
      <c r="A258" s="26" t="s">
        <v>523</v>
      </c>
      <c r="B258" s="10" t="str">
        <f t="shared" si="1"/>
        <v>isotope</v>
      </c>
      <c r="C258" s="49" t="str">
        <f t="shared" si="2"/>
        <v>S5355IS1</v>
      </c>
      <c r="D258" s="6">
        <v>26.0</v>
      </c>
      <c r="E258" s="10" t="str">
        <f t="shared" si="3"/>
        <v>BIS26</v>
      </c>
      <c r="F258" s="13">
        <v>17.0</v>
      </c>
      <c r="G258" s="10" t="str">
        <f t="shared" si="4"/>
        <v>BIS26-17</v>
      </c>
      <c r="H258" s="16"/>
      <c r="I258" s="16" t="str">
        <f t="shared" si="5"/>
        <v>collected</v>
      </c>
      <c r="J258" s="16" t="str">
        <f t="shared" si="6"/>
        <v>N</v>
      </c>
      <c r="K258" s="16"/>
      <c r="L258" s="16"/>
    </row>
    <row r="259">
      <c r="A259" s="26" t="s">
        <v>524</v>
      </c>
      <c r="B259" s="10" t="str">
        <f t="shared" si="1"/>
        <v>isotope</v>
      </c>
      <c r="C259" s="49" t="str">
        <f t="shared" si="2"/>
        <v>S5356IS1</v>
      </c>
      <c r="D259" s="6">
        <v>26.0</v>
      </c>
      <c r="E259" s="10" t="str">
        <f t="shared" si="3"/>
        <v>BIS26</v>
      </c>
      <c r="F259" s="13">
        <v>18.0</v>
      </c>
      <c r="G259" s="10" t="str">
        <f t="shared" si="4"/>
        <v>BIS26-18</v>
      </c>
      <c r="H259" s="16"/>
      <c r="I259" s="16" t="str">
        <f t="shared" si="5"/>
        <v>collected</v>
      </c>
      <c r="J259" s="16" t="str">
        <f t="shared" si="6"/>
        <v>N</v>
      </c>
      <c r="K259" s="16"/>
      <c r="L259" s="16"/>
    </row>
    <row r="260">
      <c r="A260" s="26" t="s">
        <v>527</v>
      </c>
      <c r="B260" s="10" t="str">
        <f t="shared" si="1"/>
        <v>isotope</v>
      </c>
      <c r="C260" s="49" t="str">
        <f t="shared" si="2"/>
        <v>S5302IS1</v>
      </c>
      <c r="D260" s="6">
        <v>23.0</v>
      </c>
      <c r="E260" s="10" t="str">
        <f t="shared" si="3"/>
        <v>BIS23</v>
      </c>
      <c r="F260" s="13">
        <v>61.0</v>
      </c>
      <c r="G260" s="10" t="str">
        <f t="shared" si="4"/>
        <v>BIS23-61</v>
      </c>
      <c r="H260" s="16"/>
      <c r="I260" s="16" t="str">
        <f t="shared" si="5"/>
        <v>collected</v>
      </c>
      <c r="J260" s="16" t="str">
        <f t="shared" si="6"/>
        <v>N</v>
      </c>
      <c r="K260" s="16"/>
      <c r="L260" s="16"/>
    </row>
    <row r="261">
      <c r="A261" s="26" t="s">
        <v>528</v>
      </c>
      <c r="B261" s="10" t="str">
        <f t="shared" si="1"/>
        <v>isotope</v>
      </c>
      <c r="C261" s="49" t="str">
        <f t="shared" si="2"/>
        <v>S5303IS1</v>
      </c>
      <c r="D261" s="6">
        <v>23.0</v>
      </c>
      <c r="E261" s="10" t="str">
        <f t="shared" si="3"/>
        <v>BIS23</v>
      </c>
      <c r="F261" s="13">
        <v>63.0</v>
      </c>
      <c r="G261" s="10" t="str">
        <f t="shared" si="4"/>
        <v>BIS23-63</v>
      </c>
      <c r="H261" s="16"/>
      <c r="I261" s="16" t="str">
        <f t="shared" si="5"/>
        <v>collected</v>
      </c>
      <c r="J261" s="16" t="str">
        <f t="shared" si="6"/>
        <v>N</v>
      </c>
      <c r="K261" s="16"/>
      <c r="L261" s="16"/>
    </row>
    <row r="262">
      <c r="A262" s="26" t="s">
        <v>529</v>
      </c>
      <c r="B262" s="10" t="str">
        <f t="shared" si="1"/>
        <v>isotope</v>
      </c>
      <c r="C262" s="49" t="str">
        <f t="shared" si="2"/>
        <v>S5304IS1</v>
      </c>
      <c r="D262" s="6">
        <v>23.0</v>
      </c>
      <c r="E262" s="10" t="str">
        <f t="shared" si="3"/>
        <v>BIS23</v>
      </c>
      <c r="F262" s="13">
        <v>65.0</v>
      </c>
      <c r="G262" s="10" t="str">
        <f t="shared" si="4"/>
        <v>BIS23-65</v>
      </c>
      <c r="H262" s="16"/>
      <c r="I262" s="16" t="str">
        <f t="shared" si="5"/>
        <v>collected</v>
      </c>
      <c r="J262" s="16" t="str">
        <f t="shared" si="6"/>
        <v>N</v>
      </c>
      <c r="K262" s="16"/>
      <c r="L262" s="16"/>
    </row>
    <row r="263">
      <c r="A263" s="26" t="s">
        <v>530</v>
      </c>
      <c r="B263" s="10" t="str">
        <f t="shared" si="1"/>
        <v>isotope</v>
      </c>
      <c r="C263" s="49" t="str">
        <f t="shared" si="2"/>
        <v>S5305IS1</v>
      </c>
      <c r="D263" s="6">
        <v>23.0</v>
      </c>
      <c r="E263" s="10" t="str">
        <f t="shared" si="3"/>
        <v>BIS23</v>
      </c>
      <c r="F263" s="13">
        <v>67.0</v>
      </c>
      <c r="G263" s="10" t="str">
        <f t="shared" si="4"/>
        <v>BIS23-67</v>
      </c>
      <c r="H263" s="16"/>
      <c r="I263" s="16" t="str">
        <f t="shared" si="5"/>
        <v>collected</v>
      </c>
      <c r="J263" s="16" t="str">
        <f t="shared" si="6"/>
        <v>N</v>
      </c>
      <c r="K263" s="16"/>
      <c r="L263" s="16"/>
    </row>
    <row r="264">
      <c r="A264" s="26" t="s">
        <v>531</v>
      </c>
      <c r="B264" s="10" t="str">
        <f t="shared" si="1"/>
        <v>isotope</v>
      </c>
      <c r="C264" s="49" t="str">
        <f t="shared" si="2"/>
        <v>S5306IS1</v>
      </c>
      <c r="D264" s="6">
        <v>23.0</v>
      </c>
      <c r="E264" s="10" t="str">
        <f t="shared" si="3"/>
        <v>BIS23</v>
      </c>
      <c r="F264" s="13">
        <v>69.0</v>
      </c>
      <c r="G264" s="10" t="str">
        <f t="shared" si="4"/>
        <v>BIS23-69</v>
      </c>
      <c r="H264" s="16"/>
      <c r="I264" s="16" t="str">
        <f t="shared" si="5"/>
        <v>collected</v>
      </c>
      <c r="J264" s="16" t="str">
        <f t="shared" si="6"/>
        <v>N</v>
      </c>
      <c r="K264" s="16"/>
      <c r="L264" s="16"/>
    </row>
    <row r="265">
      <c r="A265" s="26" t="s">
        <v>534</v>
      </c>
      <c r="B265" s="10" t="str">
        <f t="shared" si="1"/>
        <v>isotope</v>
      </c>
      <c r="C265" s="49" t="str">
        <f t="shared" si="2"/>
        <v>S5307IS1</v>
      </c>
      <c r="D265" s="6">
        <v>23.0</v>
      </c>
      <c r="E265" s="10" t="str">
        <f t="shared" si="3"/>
        <v>BIS23</v>
      </c>
      <c r="F265" s="13">
        <v>72.0</v>
      </c>
      <c r="G265" s="10" t="str">
        <f t="shared" si="4"/>
        <v>BIS23-72</v>
      </c>
      <c r="H265" s="16"/>
      <c r="I265" s="16" t="str">
        <f t="shared" si="5"/>
        <v>collected</v>
      </c>
      <c r="J265" s="16" t="str">
        <f t="shared" si="6"/>
        <v>N</v>
      </c>
      <c r="K265" s="16"/>
      <c r="L265" s="16"/>
    </row>
    <row r="266">
      <c r="A266" s="26" t="s">
        <v>535</v>
      </c>
      <c r="B266" s="10" t="str">
        <f t="shared" si="1"/>
        <v>isotope</v>
      </c>
      <c r="C266" s="49" t="str">
        <f t="shared" si="2"/>
        <v>S5308IS1</v>
      </c>
      <c r="D266" s="6">
        <v>23.0</v>
      </c>
      <c r="E266" s="10" t="str">
        <f t="shared" si="3"/>
        <v>BIS23</v>
      </c>
      <c r="F266" s="13">
        <v>74.0</v>
      </c>
      <c r="G266" s="10" t="str">
        <f t="shared" si="4"/>
        <v>BIS23-74</v>
      </c>
      <c r="H266" s="16"/>
      <c r="I266" s="16" t="str">
        <f t="shared" si="5"/>
        <v>collected</v>
      </c>
      <c r="J266" s="16" t="str">
        <f t="shared" si="6"/>
        <v>N</v>
      </c>
      <c r="K266" s="16"/>
      <c r="L266" s="16"/>
    </row>
    <row r="267">
      <c r="A267" s="26" t="s">
        <v>537</v>
      </c>
      <c r="B267" s="10" t="str">
        <f t="shared" si="1"/>
        <v>isotope</v>
      </c>
      <c r="C267" s="49" t="str">
        <f t="shared" si="2"/>
        <v>S5309IS1</v>
      </c>
      <c r="D267" s="6">
        <v>23.0</v>
      </c>
      <c r="E267" s="10" t="str">
        <f t="shared" si="3"/>
        <v>BIS23</v>
      </c>
      <c r="F267" s="13">
        <v>76.0</v>
      </c>
      <c r="G267" s="10" t="str">
        <f t="shared" si="4"/>
        <v>BIS23-76</v>
      </c>
      <c r="H267" s="16"/>
      <c r="I267" s="16" t="str">
        <f t="shared" si="5"/>
        <v>collected</v>
      </c>
      <c r="J267" s="16" t="str">
        <f t="shared" si="6"/>
        <v>N</v>
      </c>
      <c r="K267" s="16"/>
      <c r="L267" s="16"/>
    </row>
    <row r="268">
      <c r="A268" s="26" t="s">
        <v>539</v>
      </c>
      <c r="B268" s="10" t="str">
        <f t="shared" si="1"/>
        <v>isotope</v>
      </c>
      <c r="C268" s="49" t="str">
        <f t="shared" si="2"/>
        <v>S5310IS1</v>
      </c>
      <c r="D268" s="6">
        <v>23.0</v>
      </c>
      <c r="E268" s="10" t="str">
        <f t="shared" si="3"/>
        <v>BIS23</v>
      </c>
      <c r="F268" s="13">
        <v>78.0</v>
      </c>
      <c r="G268" s="10" t="str">
        <f t="shared" si="4"/>
        <v>BIS23-78</v>
      </c>
      <c r="H268" s="16"/>
      <c r="I268" s="16" t="str">
        <f t="shared" si="5"/>
        <v>collected</v>
      </c>
      <c r="J268" s="16" t="str">
        <f t="shared" si="6"/>
        <v>N</v>
      </c>
      <c r="K268" s="16"/>
      <c r="L268" s="16"/>
    </row>
    <row r="269">
      <c r="A269" s="26" t="s">
        <v>540</v>
      </c>
      <c r="B269" s="10" t="str">
        <f t="shared" si="1"/>
        <v>isotope</v>
      </c>
      <c r="C269" s="49" t="str">
        <f t="shared" si="2"/>
        <v>S5311IS1</v>
      </c>
      <c r="D269" s="6">
        <v>23.0</v>
      </c>
      <c r="E269" s="10" t="str">
        <f t="shared" si="3"/>
        <v>BIS23</v>
      </c>
      <c r="F269" s="13">
        <v>80.0</v>
      </c>
      <c r="G269" s="10" t="str">
        <f t="shared" si="4"/>
        <v>BIS23-80</v>
      </c>
      <c r="H269" s="16"/>
      <c r="I269" s="16" t="str">
        <f t="shared" si="5"/>
        <v>collected</v>
      </c>
      <c r="J269" s="16" t="str">
        <f t="shared" si="6"/>
        <v>N</v>
      </c>
      <c r="K269" s="16"/>
      <c r="L269" s="16"/>
    </row>
    <row r="270">
      <c r="A270" s="26" t="s">
        <v>543</v>
      </c>
      <c r="B270" s="10" t="str">
        <f t="shared" si="1"/>
        <v>isotope</v>
      </c>
      <c r="C270" s="49" t="str">
        <f t="shared" si="2"/>
        <v>S5312IS1</v>
      </c>
      <c r="D270" s="6">
        <v>23.0</v>
      </c>
      <c r="E270" s="10" t="str">
        <f t="shared" si="3"/>
        <v>BIS23</v>
      </c>
      <c r="F270" s="13">
        <v>81.0</v>
      </c>
      <c r="G270" s="10" t="str">
        <f t="shared" si="4"/>
        <v>BIS23-81</v>
      </c>
      <c r="H270" s="16"/>
      <c r="I270" s="16" t="str">
        <f t="shared" si="5"/>
        <v>collected</v>
      </c>
      <c r="J270" s="16" t="str">
        <f t="shared" si="6"/>
        <v>N</v>
      </c>
      <c r="K270" s="16"/>
      <c r="L270" s="16"/>
    </row>
    <row r="271">
      <c r="A271" s="26" t="s">
        <v>544</v>
      </c>
      <c r="B271" s="10" t="str">
        <f t="shared" si="1"/>
        <v>isotope</v>
      </c>
      <c r="C271" s="49" t="str">
        <f t="shared" si="2"/>
        <v>S5313IS1</v>
      </c>
      <c r="D271" s="6">
        <v>23.0</v>
      </c>
      <c r="E271" s="10" t="str">
        <f t="shared" si="3"/>
        <v>BIS23</v>
      </c>
      <c r="F271" s="13">
        <v>83.0</v>
      </c>
      <c r="G271" s="10" t="str">
        <f t="shared" si="4"/>
        <v>BIS23-83</v>
      </c>
      <c r="H271" s="16"/>
      <c r="I271" s="16" t="str">
        <f t="shared" si="5"/>
        <v>collected</v>
      </c>
      <c r="J271" s="16" t="str">
        <f t="shared" si="6"/>
        <v>N</v>
      </c>
      <c r="K271" s="16"/>
      <c r="L271" s="16"/>
    </row>
    <row r="272">
      <c r="A272" s="26" t="s">
        <v>546</v>
      </c>
      <c r="B272" s="10" t="str">
        <f t="shared" si="1"/>
        <v>isotope</v>
      </c>
      <c r="C272" s="49" t="str">
        <f t="shared" si="2"/>
        <v>S5314IS1</v>
      </c>
      <c r="D272" s="6">
        <v>23.0</v>
      </c>
      <c r="E272" s="10" t="str">
        <f t="shared" si="3"/>
        <v>BIS23</v>
      </c>
      <c r="F272" s="13">
        <v>85.0</v>
      </c>
      <c r="G272" s="10" t="str">
        <f t="shared" si="4"/>
        <v>BIS23-85</v>
      </c>
      <c r="H272" s="16"/>
      <c r="I272" s="16" t="str">
        <f t="shared" si="5"/>
        <v>collected</v>
      </c>
      <c r="J272" s="16" t="str">
        <f t="shared" si="6"/>
        <v>N</v>
      </c>
      <c r="K272" s="16"/>
      <c r="L272" s="16"/>
    </row>
    <row r="273">
      <c r="A273" s="44" t="s">
        <v>547</v>
      </c>
      <c r="B273" s="10" t="str">
        <f t="shared" si="1"/>
        <v>isotope</v>
      </c>
      <c r="C273" s="49" t="str">
        <f t="shared" si="2"/>
        <v>S5357IS1</v>
      </c>
      <c r="D273" s="6">
        <v>26.0</v>
      </c>
      <c r="E273" s="10" t="str">
        <f t="shared" si="3"/>
        <v>BIS26</v>
      </c>
      <c r="F273" s="13">
        <v>19.0</v>
      </c>
      <c r="G273" s="10" t="str">
        <f t="shared" si="4"/>
        <v>BIS26-19</v>
      </c>
      <c r="H273" s="16"/>
      <c r="I273" s="16" t="str">
        <f t="shared" si="5"/>
        <v>collected</v>
      </c>
      <c r="J273" s="16" t="str">
        <f t="shared" si="6"/>
        <v>N</v>
      </c>
      <c r="K273" s="16"/>
      <c r="L273" s="16"/>
    </row>
    <row r="274">
      <c r="A274" s="44" t="s">
        <v>548</v>
      </c>
      <c r="B274" s="10" t="str">
        <f t="shared" si="1"/>
        <v>isotope</v>
      </c>
      <c r="C274" s="49" t="str">
        <f t="shared" si="2"/>
        <v>S5358IS1</v>
      </c>
      <c r="D274" s="6">
        <v>26.0</v>
      </c>
      <c r="E274" s="10" t="str">
        <f t="shared" si="3"/>
        <v>BIS26</v>
      </c>
      <c r="F274" s="13">
        <v>20.0</v>
      </c>
      <c r="G274" s="10" t="str">
        <f t="shared" si="4"/>
        <v>BIS26-20</v>
      </c>
      <c r="H274" s="16"/>
      <c r="I274" s="16" t="str">
        <f t="shared" si="5"/>
        <v>collected</v>
      </c>
      <c r="J274" s="16" t="str">
        <f t="shared" si="6"/>
        <v>N</v>
      </c>
      <c r="K274" s="16"/>
      <c r="L274" s="16"/>
    </row>
    <row r="275">
      <c r="A275" s="44" t="s">
        <v>549</v>
      </c>
      <c r="B275" s="10" t="str">
        <f t="shared" si="1"/>
        <v>isotope</v>
      </c>
      <c r="C275" s="49" t="str">
        <f t="shared" si="2"/>
        <v>S5359IS1</v>
      </c>
      <c r="D275" s="6">
        <v>26.0</v>
      </c>
      <c r="E275" s="10" t="str">
        <f t="shared" si="3"/>
        <v>BIS26</v>
      </c>
      <c r="F275" s="13">
        <v>21.0</v>
      </c>
      <c r="G275" s="10" t="str">
        <f t="shared" si="4"/>
        <v>BIS26-21</v>
      </c>
      <c r="H275" s="16"/>
      <c r="I275" s="16" t="str">
        <f t="shared" si="5"/>
        <v>collected</v>
      </c>
      <c r="J275" s="16" t="str">
        <f t="shared" si="6"/>
        <v>N</v>
      </c>
      <c r="K275" s="16"/>
      <c r="L275" s="16"/>
    </row>
    <row r="276">
      <c r="A276" s="44" t="s">
        <v>552</v>
      </c>
      <c r="B276" s="10" t="str">
        <f t="shared" si="1"/>
        <v>isotope</v>
      </c>
      <c r="C276" s="49" t="str">
        <f t="shared" si="2"/>
        <v>S5360IS1</v>
      </c>
      <c r="D276" s="6">
        <v>26.0</v>
      </c>
      <c r="E276" s="10" t="str">
        <f t="shared" si="3"/>
        <v>BIS26</v>
      </c>
      <c r="F276" s="13">
        <v>22.0</v>
      </c>
      <c r="G276" s="10" t="str">
        <f t="shared" si="4"/>
        <v>BIS26-22</v>
      </c>
      <c r="H276" s="16"/>
      <c r="I276" s="16" t="str">
        <f t="shared" si="5"/>
        <v>collected</v>
      </c>
      <c r="J276" s="16" t="str">
        <f t="shared" si="6"/>
        <v>N</v>
      </c>
      <c r="K276" s="16"/>
      <c r="L276" s="16"/>
    </row>
    <row r="277">
      <c r="A277" s="44" t="s">
        <v>553</v>
      </c>
      <c r="B277" s="10" t="str">
        <f t="shared" si="1"/>
        <v>isotope</v>
      </c>
      <c r="C277" s="49" t="str">
        <f t="shared" si="2"/>
        <v>S5361IS1</v>
      </c>
      <c r="D277" s="6">
        <v>26.0</v>
      </c>
      <c r="E277" s="10" t="str">
        <f t="shared" si="3"/>
        <v>BIS26</v>
      </c>
      <c r="F277" s="13">
        <v>23.0</v>
      </c>
      <c r="G277" s="10" t="str">
        <f t="shared" si="4"/>
        <v>BIS26-23</v>
      </c>
      <c r="H277" s="16"/>
      <c r="I277" s="16" t="str">
        <f t="shared" si="5"/>
        <v>collected</v>
      </c>
      <c r="J277" s="16" t="str">
        <f t="shared" si="6"/>
        <v>N</v>
      </c>
      <c r="K277" s="16"/>
      <c r="L277" s="16"/>
    </row>
    <row r="278">
      <c r="A278" s="44" t="s">
        <v>554</v>
      </c>
      <c r="B278" s="10" t="str">
        <f t="shared" si="1"/>
        <v>isotope</v>
      </c>
      <c r="C278" s="49" t="str">
        <f t="shared" si="2"/>
        <v>S5412IS1</v>
      </c>
      <c r="D278" s="6">
        <v>26.0</v>
      </c>
      <c r="E278" s="10" t="str">
        <f t="shared" si="3"/>
        <v>BIS26</v>
      </c>
      <c r="F278" s="13">
        <v>24.0</v>
      </c>
      <c r="G278" s="10" t="str">
        <f t="shared" si="4"/>
        <v>BIS26-24</v>
      </c>
      <c r="H278" s="16"/>
      <c r="I278" s="16" t="str">
        <f t="shared" si="5"/>
        <v>collected</v>
      </c>
      <c r="J278" s="16" t="str">
        <f t="shared" si="6"/>
        <v>N</v>
      </c>
      <c r="K278" s="16"/>
      <c r="L278" s="16"/>
    </row>
    <row r="279">
      <c r="A279" s="44" t="s">
        <v>556</v>
      </c>
      <c r="B279" s="10" t="str">
        <f t="shared" si="1"/>
        <v>isotope</v>
      </c>
      <c r="C279" s="49" t="str">
        <f t="shared" si="2"/>
        <v>S5413IS1</v>
      </c>
      <c r="D279" s="6">
        <v>26.0</v>
      </c>
      <c r="E279" s="10" t="str">
        <f t="shared" si="3"/>
        <v>BIS26</v>
      </c>
      <c r="F279" s="13">
        <v>25.0</v>
      </c>
      <c r="G279" s="10" t="str">
        <f t="shared" si="4"/>
        <v>BIS26-25</v>
      </c>
      <c r="H279" s="16"/>
      <c r="I279" s="16" t="str">
        <f t="shared" si="5"/>
        <v>collected</v>
      </c>
      <c r="J279" s="16" t="str">
        <f t="shared" si="6"/>
        <v>N</v>
      </c>
      <c r="K279" s="16"/>
      <c r="L279" s="16"/>
    </row>
    <row r="280">
      <c r="A280" s="44" t="s">
        <v>558</v>
      </c>
      <c r="B280" s="10" t="str">
        <f t="shared" si="1"/>
        <v>isotope</v>
      </c>
      <c r="C280" s="49" t="str">
        <f t="shared" si="2"/>
        <v>S5414IS1</v>
      </c>
      <c r="D280" s="6">
        <v>26.0</v>
      </c>
      <c r="E280" s="10" t="str">
        <f t="shared" si="3"/>
        <v>BIS26</v>
      </c>
      <c r="F280" s="13">
        <v>26.0</v>
      </c>
      <c r="G280" s="10" t="str">
        <f t="shared" si="4"/>
        <v>BIS26-26</v>
      </c>
      <c r="H280" s="16"/>
      <c r="I280" s="16" t="str">
        <f t="shared" si="5"/>
        <v>collected</v>
      </c>
      <c r="J280" s="16" t="str">
        <f t="shared" si="6"/>
        <v>N</v>
      </c>
      <c r="K280" s="16"/>
      <c r="L280" s="16"/>
    </row>
    <row r="281">
      <c r="A281" s="44" t="s">
        <v>559</v>
      </c>
      <c r="B281" s="10" t="str">
        <f t="shared" si="1"/>
        <v>isotope</v>
      </c>
      <c r="C281" s="49" t="str">
        <f t="shared" si="2"/>
        <v>S5415IS1</v>
      </c>
      <c r="D281" s="6">
        <v>26.0</v>
      </c>
      <c r="E281" s="10" t="str">
        <f t="shared" si="3"/>
        <v>BIS26</v>
      </c>
      <c r="F281" s="13">
        <v>27.0</v>
      </c>
      <c r="G281" s="10" t="str">
        <f t="shared" si="4"/>
        <v>BIS26-27</v>
      </c>
      <c r="H281" s="16"/>
      <c r="I281" s="16" t="str">
        <f t="shared" si="5"/>
        <v>collected</v>
      </c>
      <c r="J281" s="16" t="str">
        <f t="shared" si="6"/>
        <v>N</v>
      </c>
      <c r="K281" s="16"/>
      <c r="L281" s="16"/>
    </row>
    <row r="282">
      <c r="A282" s="46" t="s">
        <v>561</v>
      </c>
      <c r="B282" s="10" t="str">
        <f t="shared" si="1"/>
        <v>isotope</v>
      </c>
      <c r="C282" s="49" t="str">
        <f t="shared" si="2"/>
        <v>S5416IS1</v>
      </c>
      <c r="D282" s="6">
        <v>26.0</v>
      </c>
      <c r="E282" s="10" t="str">
        <f t="shared" si="3"/>
        <v>BIS26</v>
      </c>
      <c r="F282" s="13">
        <v>28.0</v>
      </c>
      <c r="G282" s="10" t="str">
        <f t="shared" si="4"/>
        <v>BIS26-28</v>
      </c>
      <c r="H282" s="16"/>
      <c r="I282" s="16" t="str">
        <f t="shared" si="5"/>
        <v>collected</v>
      </c>
      <c r="J282" s="16" t="str">
        <f t="shared" si="6"/>
        <v>N</v>
      </c>
      <c r="K282" s="16"/>
      <c r="L282" s="16"/>
    </row>
    <row r="283">
      <c r="A283" s="46" t="s">
        <v>562</v>
      </c>
      <c r="B283" s="10" t="str">
        <f t="shared" si="1"/>
        <v>isotope</v>
      </c>
      <c r="C283" s="49" t="str">
        <f t="shared" si="2"/>
        <v>S5417IS1</v>
      </c>
      <c r="D283" s="6">
        <v>26.0</v>
      </c>
      <c r="E283" s="10" t="str">
        <f t="shared" si="3"/>
        <v>BIS26</v>
      </c>
      <c r="F283" s="13">
        <v>29.0</v>
      </c>
      <c r="G283" s="10" t="str">
        <f t="shared" si="4"/>
        <v>BIS26-29</v>
      </c>
      <c r="H283" s="6"/>
      <c r="I283" s="16" t="str">
        <f t="shared" si="5"/>
        <v>collected</v>
      </c>
      <c r="J283" s="16" t="str">
        <f t="shared" si="6"/>
        <v>N</v>
      </c>
      <c r="K283" s="16"/>
      <c r="L283" s="16"/>
    </row>
    <row r="284">
      <c r="A284" s="46" t="s">
        <v>564</v>
      </c>
      <c r="B284" s="10" t="str">
        <f t="shared" si="1"/>
        <v>isotope</v>
      </c>
      <c r="C284" s="49" t="str">
        <f t="shared" si="2"/>
        <v>S5418IS1</v>
      </c>
      <c r="D284" s="6">
        <v>26.0</v>
      </c>
      <c r="E284" s="10" t="str">
        <f t="shared" si="3"/>
        <v>BIS26</v>
      </c>
      <c r="F284" s="13">
        <v>30.0</v>
      </c>
      <c r="G284" s="10" t="str">
        <f t="shared" si="4"/>
        <v>BIS26-30</v>
      </c>
      <c r="H284" s="16"/>
      <c r="I284" s="16" t="str">
        <f t="shared" si="5"/>
        <v>collected</v>
      </c>
      <c r="J284" s="16" t="str">
        <f t="shared" si="6"/>
        <v>N</v>
      </c>
      <c r="K284" s="16"/>
      <c r="L284" s="16"/>
    </row>
    <row r="285">
      <c r="A285" s="46" t="s">
        <v>566</v>
      </c>
      <c r="B285" s="10" t="str">
        <f t="shared" si="1"/>
        <v>isotope</v>
      </c>
      <c r="C285" s="49" t="str">
        <f t="shared" si="2"/>
        <v>S5419IS1</v>
      </c>
      <c r="D285" s="6">
        <v>26.0</v>
      </c>
      <c r="E285" s="10" t="str">
        <f t="shared" si="3"/>
        <v>BIS26</v>
      </c>
      <c r="F285" s="13">
        <v>31.0</v>
      </c>
      <c r="G285" s="10" t="str">
        <f t="shared" si="4"/>
        <v>BIS26-31</v>
      </c>
      <c r="H285" s="16"/>
      <c r="I285" s="16" t="str">
        <f t="shared" si="5"/>
        <v>collected</v>
      </c>
      <c r="J285" s="16" t="str">
        <f t="shared" si="6"/>
        <v>N</v>
      </c>
      <c r="K285" s="16"/>
      <c r="L285" s="16"/>
    </row>
    <row r="286">
      <c r="A286" s="46" t="s">
        <v>567</v>
      </c>
      <c r="B286" s="10" t="str">
        <f t="shared" si="1"/>
        <v>isotope</v>
      </c>
      <c r="C286" s="49" t="str">
        <f t="shared" si="2"/>
        <v>S5420IS1</v>
      </c>
      <c r="D286" s="6">
        <v>26.0</v>
      </c>
      <c r="E286" s="10" t="str">
        <f t="shared" si="3"/>
        <v>BIS26</v>
      </c>
      <c r="F286" s="13">
        <v>32.0</v>
      </c>
      <c r="G286" s="10" t="str">
        <f t="shared" si="4"/>
        <v>BIS26-32</v>
      </c>
      <c r="H286" s="6"/>
      <c r="I286" s="16" t="str">
        <f t="shared" si="5"/>
        <v>collected</v>
      </c>
      <c r="J286" s="16" t="str">
        <f t="shared" si="6"/>
        <v>N</v>
      </c>
      <c r="K286" s="16"/>
      <c r="L286" s="16"/>
    </row>
    <row r="287">
      <c r="A287" s="46" t="s">
        <v>569</v>
      </c>
      <c r="B287" s="10" t="str">
        <f t="shared" si="1"/>
        <v>isotope</v>
      </c>
      <c r="C287" s="49" t="str">
        <f t="shared" si="2"/>
        <v>S5421IS1</v>
      </c>
      <c r="D287" s="6">
        <v>26.0</v>
      </c>
      <c r="E287" s="10" t="str">
        <f t="shared" si="3"/>
        <v>BIS26</v>
      </c>
      <c r="F287" s="13">
        <v>33.0</v>
      </c>
      <c r="G287" s="10" t="str">
        <f t="shared" si="4"/>
        <v>BIS26-33</v>
      </c>
      <c r="H287" s="16"/>
      <c r="I287" s="16" t="str">
        <f t="shared" si="5"/>
        <v>collected</v>
      </c>
      <c r="J287" s="16" t="str">
        <f t="shared" si="6"/>
        <v>N</v>
      </c>
      <c r="K287" s="16"/>
      <c r="L287" s="16"/>
    </row>
    <row r="288">
      <c r="A288" s="26" t="s">
        <v>570</v>
      </c>
      <c r="B288" s="10" t="str">
        <f t="shared" si="1"/>
        <v>isotope</v>
      </c>
      <c r="C288" s="49" t="str">
        <f t="shared" si="2"/>
        <v>S5389IS1</v>
      </c>
      <c r="D288" s="6">
        <v>25.0</v>
      </c>
      <c r="E288" s="10" t="str">
        <f t="shared" si="3"/>
        <v>BIS25</v>
      </c>
      <c r="F288" s="13">
        <v>73.0</v>
      </c>
      <c r="G288" s="10" t="str">
        <f t="shared" si="4"/>
        <v>BIS25-73</v>
      </c>
      <c r="H288" s="16"/>
      <c r="I288" s="16" t="str">
        <f t="shared" si="5"/>
        <v>collected</v>
      </c>
      <c r="J288" s="16" t="str">
        <f t="shared" si="6"/>
        <v>N</v>
      </c>
      <c r="K288" s="16"/>
      <c r="L288" s="16"/>
    </row>
    <row r="289">
      <c r="A289" s="26" t="s">
        <v>571</v>
      </c>
      <c r="B289" s="10" t="str">
        <f t="shared" si="1"/>
        <v>isotope</v>
      </c>
      <c r="C289" s="49" t="str">
        <f t="shared" si="2"/>
        <v>S5390IS1</v>
      </c>
      <c r="D289" s="6">
        <v>25.0</v>
      </c>
      <c r="E289" s="10" t="str">
        <f t="shared" si="3"/>
        <v>BIS25</v>
      </c>
      <c r="F289" s="13">
        <v>74.0</v>
      </c>
      <c r="G289" s="10" t="str">
        <f t="shared" si="4"/>
        <v>BIS25-74</v>
      </c>
      <c r="H289" s="16"/>
      <c r="I289" s="16" t="str">
        <f t="shared" si="5"/>
        <v>collected</v>
      </c>
      <c r="J289" s="16" t="str">
        <f t="shared" si="6"/>
        <v>N</v>
      </c>
      <c r="K289" s="16"/>
      <c r="L289" s="16"/>
    </row>
    <row r="290">
      <c r="A290" s="26" t="s">
        <v>574</v>
      </c>
      <c r="B290" s="10" t="str">
        <f t="shared" si="1"/>
        <v>isotope</v>
      </c>
      <c r="C290" s="49" t="str">
        <f t="shared" si="2"/>
        <v>S5391IS1</v>
      </c>
      <c r="D290" s="6">
        <v>25.0</v>
      </c>
      <c r="E290" s="10" t="str">
        <f t="shared" si="3"/>
        <v>BIS25</v>
      </c>
      <c r="F290" s="13">
        <v>75.0</v>
      </c>
      <c r="G290" s="10" t="str">
        <f t="shared" si="4"/>
        <v>BIS25-75</v>
      </c>
      <c r="H290" s="16"/>
      <c r="I290" s="16" t="str">
        <f t="shared" si="5"/>
        <v>collected</v>
      </c>
      <c r="J290" s="16" t="str">
        <f t="shared" si="6"/>
        <v>N</v>
      </c>
      <c r="K290" s="16"/>
      <c r="L290" s="16"/>
    </row>
    <row r="291">
      <c r="A291" s="26" t="s">
        <v>575</v>
      </c>
      <c r="B291" s="10" t="str">
        <f t="shared" si="1"/>
        <v>isotope</v>
      </c>
      <c r="C291" s="49" t="str">
        <f t="shared" si="2"/>
        <v>S5392IS1</v>
      </c>
      <c r="D291" s="6">
        <v>25.0</v>
      </c>
      <c r="E291" s="10" t="str">
        <f t="shared" si="3"/>
        <v>BIS25</v>
      </c>
      <c r="F291" s="13">
        <v>76.0</v>
      </c>
      <c r="G291" s="10" t="str">
        <f t="shared" si="4"/>
        <v>BIS25-76</v>
      </c>
      <c r="H291" s="16"/>
      <c r="I291" s="16" t="str">
        <f t="shared" si="5"/>
        <v>collected</v>
      </c>
      <c r="J291" s="16" t="str">
        <f t="shared" si="6"/>
        <v>N</v>
      </c>
      <c r="K291" s="16"/>
      <c r="L291" s="16"/>
    </row>
    <row r="292">
      <c r="A292" s="27" t="s">
        <v>577</v>
      </c>
      <c r="B292" s="10" t="str">
        <f t="shared" si="1"/>
        <v>isotope</v>
      </c>
      <c r="C292" s="49" t="str">
        <f t="shared" si="2"/>
        <v>S5393IS1</v>
      </c>
      <c r="D292" s="6">
        <v>25.0</v>
      </c>
      <c r="E292" s="10" t="str">
        <f t="shared" si="3"/>
        <v>BIS25</v>
      </c>
      <c r="F292" s="13">
        <v>77.0</v>
      </c>
      <c r="G292" s="10" t="str">
        <f t="shared" si="4"/>
        <v>BIS25-77</v>
      </c>
      <c r="H292" s="16"/>
      <c r="I292" s="16" t="str">
        <f t="shared" si="5"/>
        <v>collected</v>
      </c>
      <c r="J292" s="16" t="str">
        <f t="shared" si="6"/>
        <v>N</v>
      </c>
      <c r="K292" s="16"/>
      <c r="L292" s="16"/>
    </row>
    <row r="293">
      <c r="A293" s="27" t="s">
        <v>578</v>
      </c>
      <c r="B293" s="10" t="str">
        <f t="shared" si="1"/>
        <v>isotope</v>
      </c>
      <c r="C293" s="49" t="str">
        <f t="shared" si="2"/>
        <v>S5394IS1</v>
      </c>
      <c r="D293" s="6">
        <v>25.0</v>
      </c>
      <c r="E293" s="10" t="str">
        <f t="shared" si="3"/>
        <v>BIS25</v>
      </c>
      <c r="F293" s="13">
        <v>78.0</v>
      </c>
      <c r="G293" s="10" t="str">
        <f t="shared" si="4"/>
        <v>BIS25-78</v>
      </c>
      <c r="H293" s="16"/>
      <c r="I293" s="16" t="str">
        <f t="shared" si="5"/>
        <v>collected</v>
      </c>
      <c r="J293" s="16" t="str">
        <f t="shared" si="6"/>
        <v>N</v>
      </c>
      <c r="K293" s="16"/>
      <c r="L293" s="16"/>
    </row>
    <row r="294">
      <c r="A294" s="27" t="s">
        <v>580</v>
      </c>
      <c r="B294" s="10" t="str">
        <f t="shared" si="1"/>
        <v>isotope</v>
      </c>
      <c r="C294" s="49" t="str">
        <f t="shared" si="2"/>
        <v>S5395IS1</v>
      </c>
      <c r="D294" s="6">
        <v>25.0</v>
      </c>
      <c r="E294" s="10" t="str">
        <f t="shared" si="3"/>
        <v>BIS25</v>
      </c>
      <c r="F294" s="13">
        <v>79.0</v>
      </c>
      <c r="G294" s="10" t="str">
        <f t="shared" si="4"/>
        <v>BIS25-79</v>
      </c>
      <c r="H294" s="16"/>
      <c r="I294" s="16" t="str">
        <f t="shared" si="5"/>
        <v>collected</v>
      </c>
      <c r="J294" s="16" t="str">
        <f t="shared" si="6"/>
        <v>N</v>
      </c>
      <c r="K294" s="16"/>
      <c r="L294" s="16"/>
    </row>
    <row r="295">
      <c r="A295" s="27" t="s">
        <v>581</v>
      </c>
      <c r="B295" s="10" t="str">
        <f t="shared" si="1"/>
        <v>isotope</v>
      </c>
      <c r="C295" s="49" t="str">
        <f t="shared" si="2"/>
        <v>S5396IS1</v>
      </c>
      <c r="D295" s="6">
        <v>25.0</v>
      </c>
      <c r="E295" s="10" t="str">
        <f t="shared" si="3"/>
        <v>BIS25</v>
      </c>
      <c r="F295" s="13">
        <v>80.0</v>
      </c>
      <c r="G295" s="10" t="str">
        <f t="shared" si="4"/>
        <v>BIS25-80</v>
      </c>
      <c r="H295" s="16"/>
      <c r="I295" s="16" t="str">
        <f t="shared" si="5"/>
        <v>collected</v>
      </c>
      <c r="J295" s="16" t="str">
        <f t="shared" si="6"/>
        <v>N</v>
      </c>
      <c r="K295" s="16"/>
      <c r="L295" s="16"/>
    </row>
    <row r="296">
      <c r="A296" s="27" t="s">
        <v>583</v>
      </c>
      <c r="B296" s="10" t="str">
        <f t="shared" si="1"/>
        <v>isotope</v>
      </c>
      <c r="C296" s="49" t="str">
        <f t="shared" si="2"/>
        <v>S5397IS1</v>
      </c>
      <c r="D296" s="6">
        <v>25.0</v>
      </c>
      <c r="E296" s="10" t="str">
        <f t="shared" si="3"/>
        <v>BIS25</v>
      </c>
      <c r="F296" s="13">
        <v>81.0</v>
      </c>
      <c r="G296" s="10" t="str">
        <f t="shared" si="4"/>
        <v>BIS25-81</v>
      </c>
      <c r="H296" s="16"/>
      <c r="I296" s="16" t="str">
        <f t="shared" si="5"/>
        <v>collected</v>
      </c>
      <c r="J296" s="16" t="str">
        <f t="shared" si="6"/>
        <v>N</v>
      </c>
      <c r="K296" s="16"/>
      <c r="L296" s="16"/>
    </row>
    <row r="297">
      <c r="A297" s="27" t="s">
        <v>584</v>
      </c>
      <c r="B297" s="10" t="str">
        <f t="shared" si="1"/>
        <v>isotope</v>
      </c>
      <c r="C297" s="49" t="str">
        <f t="shared" si="2"/>
        <v>S5398IS1</v>
      </c>
      <c r="D297" s="6">
        <v>27.0</v>
      </c>
      <c r="E297" s="10" t="str">
        <f t="shared" si="3"/>
        <v>BIS27</v>
      </c>
      <c r="F297" s="13">
        <v>1.0</v>
      </c>
      <c r="G297" s="10" t="str">
        <f t="shared" si="4"/>
        <v>BIS27-1</v>
      </c>
      <c r="H297" s="16"/>
      <c r="I297" s="16" t="str">
        <f t="shared" si="5"/>
        <v>collected</v>
      </c>
      <c r="J297" s="16" t="str">
        <f t="shared" si="6"/>
        <v>N</v>
      </c>
      <c r="K297" s="16"/>
      <c r="L297" s="16"/>
    </row>
    <row r="298">
      <c r="A298" s="27" t="s">
        <v>585</v>
      </c>
      <c r="B298" s="10" t="str">
        <f t="shared" si="1"/>
        <v>isotope</v>
      </c>
      <c r="C298" s="49" t="str">
        <f t="shared" si="2"/>
        <v>S5399IS1</v>
      </c>
      <c r="D298" s="6">
        <v>27.0</v>
      </c>
      <c r="E298" s="10" t="str">
        <f t="shared" si="3"/>
        <v>BIS27</v>
      </c>
      <c r="F298" s="13">
        <v>2.0</v>
      </c>
      <c r="G298" s="10" t="str">
        <f t="shared" si="4"/>
        <v>BIS27-2</v>
      </c>
      <c r="H298" s="16"/>
      <c r="I298" s="16" t="str">
        <f t="shared" si="5"/>
        <v>collected</v>
      </c>
      <c r="J298" s="16" t="str">
        <f t="shared" si="6"/>
        <v>N</v>
      </c>
      <c r="K298" s="16"/>
      <c r="L298" s="16"/>
    </row>
    <row r="299">
      <c r="A299" s="27" t="s">
        <v>588</v>
      </c>
      <c r="B299" s="10" t="str">
        <f t="shared" si="1"/>
        <v>isotope</v>
      </c>
      <c r="C299" s="49" t="str">
        <f t="shared" si="2"/>
        <v>S5400IS1</v>
      </c>
      <c r="D299" s="6">
        <v>27.0</v>
      </c>
      <c r="E299" s="10" t="str">
        <f t="shared" si="3"/>
        <v>BIS27</v>
      </c>
      <c r="F299" s="13">
        <v>3.0</v>
      </c>
      <c r="G299" s="10" t="str">
        <f t="shared" si="4"/>
        <v>BIS27-3</v>
      </c>
      <c r="H299" s="16"/>
      <c r="I299" s="16" t="str">
        <f t="shared" si="5"/>
        <v>collected</v>
      </c>
      <c r="J299" s="16" t="str">
        <f t="shared" si="6"/>
        <v>N</v>
      </c>
      <c r="K299" s="16"/>
      <c r="L299" s="16"/>
    </row>
    <row r="300">
      <c r="A300" s="27" t="s">
        <v>590</v>
      </c>
      <c r="B300" s="10" t="str">
        <f t="shared" si="1"/>
        <v>isotope</v>
      </c>
      <c r="C300" s="49" t="str">
        <f t="shared" si="2"/>
        <v>S5401IS1</v>
      </c>
      <c r="D300" s="6">
        <v>27.0</v>
      </c>
      <c r="E300" s="10" t="str">
        <f t="shared" si="3"/>
        <v>BIS27</v>
      </c>
      <c r="F300" s="13">
        <v>4.0</v>
      </c>
      <c r="G300" s="10" t="str">
        <f t="shared" si="4"/>
        <v>BIS27-4</v>
      </c>
      <c r="H300" s="16"/>
      <c r="I300" s="16" t="str">
        <f t="shared" si="5"/>
        <v>collected</v>
      </c>
      <c r="J300" s="16" t="str">
        <f t="shared" si="6"/>
        <v>N</v>
      </c>
      <c r="K300" s="16"/>
      <c r="L300" s="16"/>
    </row>
    <row r="301">
      <c r="A301" s="27" t="s">
        <v>591</v>
      </c>
      <c r="B301" s="10" t="str">
        <f t="shared" si="1"/>
        <v>isotope</v>
      </c>
      <c r="C301" s="49" t="str">
        <f t="shared" si="2"/>
        <v>S5402IS1</v>
      </c>
      <c r="D301" s="6">
        <v>27.0</v>
      </c>
      <c r="E301" s="10" t="str">
        <f t="shared" si="3"/>
        <v>BIS27</v>
      </c>
      <c r="F301" s="13">
        <v>5.0</v>
      </c>
      <c r="G301" s="10" t="str">
        <f t="shared" si="4"/>
        <v>BIS27-5</v>
      </c>
      <c r="H301" s="16"/>
      <c r="I301" s="16" t="str">
        <f t="shared" si="5"/>
        <v>collected</v>
      </c>
      <c r="J301" s="16" t="str">
        <f t="shared" si="6"/>
        <v>N</v>
      </c>
      <c r="K301" s="16"/>
      <c r="L301" s="16"/>
    </row>
    <row r="302">
      <c r="A302" s="27" t="s">
        <v>592</v>
      </c>
      <c r="B302" s="10" t="str">
        <f t="shared" si="1"/>
        <v>isotope</v>
      </c>
      <c r="C302" s="49" t="str">
        <f t="shared" si="2"/>
        <v>S5403IS1</v>
      </c>
      <c r="D302" s="6">
        <v>27.0</v>
      </c>
      <c r="E302" s="10" t="str">
        <f t="shared" si="3"/>
        <v>BIS27</v>
      </c>
      <c r="F302" s="13">
        <v>6.0</v>
      </c>
      <c r="G302" s="10" t="str">
        <f t="shared" si="4"/>
        <v>BIS27-6</v>
      </c>
      <c r="H302" s="16"/>
      <c r="I302" s="16" t="str">
        <f t="shared" si="5"/>
        <v>collected</v>
      </c>
      <c r="J302" s="16" t="str">
        <f t="shared" si="6"/>
        <v>N</v>
      </c>
      <c r="K302" s="16"/>
      <c r="L302" s="16"/>
    </row>
    <row r="303">
      <c r="A303" s="27" t="s">
        <v>593</v>
      </c>
      <c r="B303" s="10" t="str">
        <f t="shared" si="1"/>
        <v>isotope</v>
      </c>
      <c r="C303" s="49" t="str">
        <f t="shared" si="2"/>
        <v>S5404IS1</v>
      </c>
      <c r="D303" s="6">
        <v>27.0</v>
      </c>
      <c r="E303" s="10" t="str">
        <f t="shared" si="3"/>
        <v>BIS27</v>
      </c>
      <c r="F303" s="13">
        <v>7.0</v>
      </c>
      <c r="G303" s="10" t="str">
        <f t="shared" si="4"/>
        <v>BIS27-7</v>
      </c>
      <c r="H303" s="16"/>
      <c r="I303" s="16" t="str">
        <f t="shared" si="5"/>
        <v>collected</v>
      </c>
      <c r="J303" s="16" t="str">
        <f t="shared" si="6"/>
        <v>N</v>
      </c>
      <c r="K303" s="16"/>
      <c r="L303" s="16"/>
    </row>
    <row r="304">
      <c r="A304" s="27" t="s">
        <v>595</v>
      </c>
      <c r="B304" s="10" t="str">
        <f t="shared" si="1"/>
        <v>isotope</v>
      </c>
      <c r="C304" s="49" t="str">
        <f t="shared" si="2"/>
        <v>S5405IS1</v>
      </c>
      <c r="D304" s="6">
        <v>27.0</v>
      </c>
      <c r="E304" s="10" t="str">
        <f t="shared" si="3"/>
        <v>BIS27</v>
      </c>
      <c r="F304" s="13">
        <v>8.0</v>
      </c>
      <c r="G304" s="10" t="str">
        <f t="shared" si="4"/>
        <v>BIS27-8</v>
      </c>
      <c r="H304" s="16"/>
      <c r="I304" s="16" t="str">
        <f t="shared" si="5"/>
        <v>collected</v>
      </c>
      <c r="J304" s="16" t="str">
        <f t="shared" si="6"/>
        <v>N</v>
      </c>
      <c r="K304" s="16"/>
      <c r="L304" s="16"/>
    </row>
    <row r="305">
      <c r="A305" s="28" t="s">
        <v>596</v>
      </c>
      <c r="B305" s="10" t="str">
        <f t="shared" si="1"/>
        <v>isotope</v>
      </c>
      <c r="C305" s="49" t="str">
        <f t="shared" si="2"/>
        <v>S5315IS1</v>
      </c>
      <c r="D305" s="6">
        <v>23.0</v>
      </c>
      <c r="E305" s="10" t="str">
        <f t="shared" si="3"/>
        <v>BIS23</v>
      </c>
      <c r="F305" s="13">
        <v>87.0</v>
      </c>
      <c r="G305" s="10" t="str">
        <f t="shared" si="4"/>
        <v>BIS23-87</v>
      </c>
      <c r="H305" s="16"/>
      <c r="I305" s="16" t="str">
        <f t="shared" si="5"/>
        <v>collected</v>
      </c>
      <c r="J305" s="16" t="str">
        <f t="shared" si="6"/>
        <v>N</v>
      </c>
      <c r="K305" s="16"/>
      <c r="L305" s="16"/>
    </row>
    <row r="306">
      <c r="A306" s="28" t="s">
        <v>597</v>
      </c>
      <c r="B306" s="10" t="str">
        <f t="shared" si="1"/>
        <v>isotope</v>
      </c>
      <c r="C306" s="49" t="str">
        <f t="shared" si="2"/>
        <v>S5316IS1</v>
      </c>
      <c r="D306" s="6">
        <v>23.0</v>
      </c>
      <c r="E306" s="10" t="str">
        <f t="shared" si="3"/>
        <v>BIS23</v>
      </c>
      <c r="F306" s="13">
        <v>89.0</v>
      </c>
      <c r="G306" s="10" t="str">
        <f t="shared" si="4"/>
        <v>BIS23-89</v>
      </c>
      <c r="H306" s="16"/>
      <c r="I306" s="16" t="str">
        <f t="shared" si="5"/>
        <v>collected</v>
      </c>
      <c r="J306" s="16" t="str">
        <f t="shared" si="6"/>
        <v>N</v>
      </c>
      <c r="K306" s="16"/>
      <c r="L306" s="16"/>
    </row>
    <row r="307">
      <c r="A307" s="29" t="s">
        <v>598</v>
      </c>
      <c r="B307" s="10" t="str">
        <f t="shared" si="1"/>
        <v>isotope</v>
      </c>
      <c r="C307" s="49" t="str">
        <f t="shared" si="2"/>
        <v>S5317IS1</v>
      </c>
      <c r="D307" s="6">
        <v>23.0</v>
      </c>
      <c r="E307" s="10" t="str">
        <f t="shared" si="3"/>
        <v>BIS23</v>
      </c>
      <c r="F307" s="13">
        <v>92.0</v>
      </c>
      <c r="G307" s="10" t="str">
        <f t="shared" si="4"/>
        <v>BIS23-92</v>
      </c>
      <c r="H307" s="16"/>
      <c r="I307" s="16" t="str">
        <f t="shared" si="5"/>
        <v>collected</v>
      </c>
      <c r="J307" s="16" t="str">
        <f t="shared" si="6"/>
        <v>N</v>
      </c>
      <c r="K307" s="16"/>
      <c r="L307" s="16"/>
    </row>
    <row r="308">
      <c r="A308" s="29" t="s">
        <v>600</v>
      </c>
      <c r="B308" s="10" t="str">
        <f t="shared" si="1"/>
        <v>isotope</v>
      </c>
      <c r="C308" s="49" t="str">
        <f t="shared" si="2"/>
        <v>S5318IS1</v>
      </c>
      <c r="D308" s="6">
        <v>23.0</v>
      </c>
      <c r="E308" s="10" t="str">
        <f t="shared" si="3"/>
        <v>BIS23</v>
      </c>
      <c r="F308" s="13">
        <v>94.0</v>
      </c>
      <c r="G308" s="10" t="str">
        <f t="shared" si="4"/>
        <v>BIS23-94</v>
      </c>
      <c r="H308" s="16"/>
      <c r="I308" s="16" t="str">
        <f t="shared" si="5"/>
        <v>collected</v>
      </c>
      <c r="J308" s="16" t="str">
        <f t="shared" si="6"/>
        <v>N</v>
      </c>
      <c r="K308" s="16"/>
      <c r="L308" s="16"/>
    </row>
    <row r="309">
      <c r="A309" s="29" t="s">
        <v>601</v>
      </c>
      <c r="B309" s="10" t="str">
        <f t="shared" si="1"/>
        <v>isotope</v>
      </c>
      <c r="C309" s="49" t="str">
        <f t="shared" si="2"/>
        <v>S5319IS1</v>
      </c>
      <c r="D309" s="6">
        <v>23.0</v>
      </c>
      <c r="E309" s="10" t="str">
        <f t="shared" si="3"/>
        <v>BIS23</v>
      </c>
      <c r="F309" s="13">
        <v>96.0</v>
      </c>
      <c r="G309" s="10" t="str">
        <f t="shared" si="4"/>
        <v>BIS23-96</v>
      </c>
      <c r="H309" s="16"/>
      <c r="I309" s="16" t="str">
        <f t="shared" si="5"/>
        <v>collected</v>
      </c>
      <c r="J309" s="16" t="str">
        <f t="shared" si="6"/>
        <v>N</v>
      </c>
      <c r="K309" s="16"/>
      <c r="L309" s="16"/>
    </row>
    <row r="310">
      <c r="A310" s="29" t="s">
        <v>603</v>
      </c>
      <c r="B310" s="10" t="str">
        <f t="shared" si="1"/>
        <v>isotope</v>
      </c>
      <c r="C310" s="49" t="str">
        <f t="shared" si="2"/>
        <v>S5320IS1</v>
      </c>
      <c r="D310" s="6">
        <v>23.0</v>
      </c>
      <c r="E310" s="10" t="str">
        <f t="shared" si="3"/>
        <v>BIS23</v>
      </c>
      <c r="F310" s="13">
        <v>98.0</v>
      </c>
      <c r="G310" s="10" t="str">
        <f t="shared" si="4"/>
        <v>BIS23-98</v>
      </c>
      <c r="H310" s="16"/>
      <c r="I310" s="16" t="str">
        <f t="shared" si="5"/>
        <v>collected</v>
      </c>
      <c r="J310" s="16" t="str">
        <f t="shared" si="6"/>
        <v>N</v>
      </c>
      <c r="K310" s="16"/>
      <c r="L310" s="16"/>
    </row>
    <row r="311">
      <c r="A311" s="29" t="s">
        <v>604</v>
      </c>
      <c r="B311" s="10" t="str">
        <f t="shared" si="1"/>
        <v>isotope</v>
      </c>
      <c r="C311" s="49" t="str">
        <f t="shared" si="2"/>
        <v>S5321IS1</v>
      </c>
      <c r="D311" s="6">
        <v>23.0</v>
      </c>
      <c r="E311" s="10" t="str">
        <f t="shared" si="3"/>
        <v>BIS23</v>
      </c>
      <c r="F311" s="13">
        <v>100.0</v>
      </c>
      <c r="G311" s="10" t="str">
        <f t="shared" si="4"/>
        <v>BIS23-100</v>
      </c>
      <c r="H311" s="16"/>
      <c r="I311" s="16" t="str">
        <f t="shared" si="5"/>
        <v>collected</v>
      </c>
      <c r="J311" s="16" t="str">
        <f t="shared" si="6"/>
        <v>N</v>
      </c>
      <c r="K311" s="16"/>
      <c r="L311" s="16"/>
    </row>
    <row r="312">
      <c r="A312" s="27" t="s">
        <v>606</v>
      </c>
      <c r="B312" s="10" t="str">
        <f t="shared" si="1"/>
        <v>isotope</v>
      </c>
      <c r="C312" s="49" t="str">
        <f t="shared" si="2"/>
        <v>S5406IS1</v>
      </c>
      <c r="D312" s="6">
        <v>27.0</v>
      </c>
      <c r="E312" s="10" t="str">
        <f t="shared" si="3"/>
        <v>BIS27</v>
      </c>
      <c r="F312" s="13">
        <v>9.0</v>
      </c>
      <c r="G312" s="10" t="str">
        <f t="shared" si="4"/>
        <v>BIS27-9</v>
      </c>
      <c r="H312" s="16"/>
      <c r="I312" s="16" t="str">
        <f t="shared" si="5"/>
        <v>collected</v>
      </c>
      <c r="J312" s="16" t="str">
        <f t="shared" si="6"/>
        <v>N</v>
      </c>
      <c r="K312" s="16"/>
      <c r="L312" s="16"/>
    </row>
    <row r="313">
      <c r="A313" s="27" t="s">
        <v>607</v>
      </c>
      <c r="B313" s="10" t="str">
        <f t="shared" si="1"/>
        <v>isotope</v>
      </c>
      <c r="C313" s="49" t="str">
        <f t="shared" si="2"/>
        <v>S5407IS1</v>
      </c>
      <c r="D313" s="6">
        <v>27.0</v>
      </c>
      <c r="E313" s="10" t="str">
        <f t="shared" si="3"/>
        <v>BIS27</v>
      </c>
      <c r="F313" s="13">
        <v>10.0</v>
      </c>
      <c r="G313" s="10" t="str">
        <f t="shared" si="4"/>
        <v>BIS27-10</v>
      </c>
      <c r="H313" s="16"/>
      <c r="I313" s="16" t="str">
        <f t="shared" si="5"/>
        <v>collected</v>
      </c>
      <c r="J313" s="16" t="str">
        <f t="shared" si="6"/>
        <v>N</v>
      </c>
      <c r="K313" s="16"/>
      <c r="L313" s="16"/>
    </row>
    <row r="314">
      <c r="A314" s="27" t="s">
        <v>608</v>
      </c>
      <c r="B314" s="10" t="str">
        <f t="shared" si="1"/>
        <v>isotope</v>
      </c>
      <c r="C314" s="49" t="str">
        <f t="shared" si="2"/>
        <v>S5408IS1</v>
      </c>
      <c r="D314" s="6">
        <v>27.0</v>
      </c>
      <c r="E314" s="10" t="str">
        <f t="shared" si="3"/>
        <v>BIS27</v>
      </c>
      <c r="F314" s="13">
        <v>11.0</v>
      </c>
      <c r="G314" s="10" t="str">
        <f t="shared" si="4"/>
        <v>BIS27-11</v>
      </c>
      <c r="H314" s="16"/>
      <c r="I314" s="16" t="str">
        <f t="shared" si="5"/>
        <v>collected</v>
      </c>
      <c r="J314" s="16" t="str">
        <f t="shared" si="6"/>
        <v>N</v>
      </c>
      <c r="K314" s="16"/>
      <c r="L314" s="16"/>
    </row>
    <row r="315">
      <c r="A315" s="27" t="s">
        <v>610</v>
      </c>
      <c r="B315" s="10" t="str">
        <f t="shared" si="1"/>
        <v>isotope</v>
      </c>
      <c r="C315" s="49" t="str">
        <f t="shared" si="2"/>
        <v>S5409IS1</v>
      </c>
      <c r="D315" s="6">
        <v>27.0</v>
      </c>
      <c r="E315" s="10" t="str">
        <f t="shared" si="3"/>
        <v>BIS27</v>
      </c>
      <c r="F315" s="13">
        <v>12.0</v>
      </c>
      <c r="G315" s="10" t="str">
        <f t="shared" si="4"/>
        <v>BIS27-12</v>
      </c>
      <c r="H315" s="16"/>
      <c r="I315" s="16" t="str">
        <f t="shared" si="5"/>
        <v>collected</v>
      </c>
      <c r="J315" s="16" t="str">
        <f t="shared" si="6"/>
        <v>N</v>
      </c>
      <c r="K315" s="16"/>
      <c r="L315" s="16"/>
    </row>
    <row r="316">
      <c r="A316" s="27" t="s">
        <v>611</v>
      </c>
      <c r="B316" s="10" t="str">
        <f t="shared" si="1"/>
        <v>isotope</v>
      </c>
      <c r="C316" s="49" t="str">
        <f t="shared" si="2"/>
        <v>S5410IS1</v>
      </c>
      <c r="D316" s="6">
        <v>27.0</v>
      </c>
      <c r="E316" s="10" t="str">
        <f t="shared" si="3"/>
        <v>BIS27</v>
      </c>
      <c r="F316" s="13">
        <v>13.0</v>
      </c>
      <c r="G316" s="10" t="str">
        <f t="shared" si="4"/>
        <v>BIS27-13</v>
      </c>
      <c r="H316" s="16"/>
      <c r="I316" s="16" t="str">
        <f t="shared" si="5"/>
        <v>collected</v>
      </c>
      <c r="J316" s="16" t="str">
        <f t="shared" si="6"/>
        <v>N</v>
      </c>
      <c r="K316" s="16"/>
      <c r="L316" s="16"/>
    </row>
    <row r="317">
      <c r="A317" s="27" t="s">
        <v>613</v>
      </c>
      <c r="B317" s="10" t="str">
        <f t="shared" si="1"/>
        <v>isotope</v>
      </c>
      <c r="C317" s="49" t="str">
        <f t="shared" si="2"/>
        <v>S5411IS1</v>
      </c>
      <c r="D317" s="6">
        <v>27.0</v>
      </c>
      <c r="E317" s="10" t="str">
        <f t="shared" si="3"/>
        <v>BIS27</v>
      </c>
      <c r="F317" s="13">
        <v>14.0</v>
      </c>
      <c r="G317" s="10" t="str">
        <f t="shared" si="4"/>
        <v>BIS27-14</v>
      </c>
      <c r="H317" s="16"/>
      <c r="I317" s="16" t="str">
        <f t="shared" si="5"/>
        <v>collected</v>
      </c>
      <c r="J317" s="16" t="str">
        <f t="shared" si="6"/>
        <v>N</v>
      </c>
      <c r="K317" s="16"/>
      <c r="L317" s="16"/>
    </row>
    <row r="318">
      <c r="A318" s="27" t="s">
        <v>614</v>
      </c>
      <c r="B318" s="10" t="str">
        <f t="shared" si="1"/>
        <v>isotope</v>
      </c>
      <c r="C318" s="49" t="str">
        <f t="shared" si="2"/>
        <v>S5437IS1</v>
      </c>
      <c r="D318" s="6">
        <v>27.0</v>
      </c>
      <c r="E318" s="10" t="str">
        <f t="shared" si="3"/>
        <v>BIS27</v>
      </c>
      <c r="F318" s="13">
        <v>15.0</v>
      </c>
      <c r="G318" s="10" t="str">
        <f t="shared" si="4"/>
        <v>BIS27-15</v>
      </c>
      <c r="H318" s="16"/>
      <c r="I318" s="16" t="str">
        <f t="shared" si="5"/>
        <v>collected</v>
      </c>
      <c r="J318" s="16" t="str">
        <f t="shared" si="6"/>
        <v>N</v>
      </c>
      <c r="K318" s="16"/>
      <c r="L318" s="16"/>
    </row>
    <row r="319">
      <c r="A319" s="26" t="s">
        <v>615</v>
      </c>
      <c r="B319" s="10" t="str">
        <f t="shared" si="1"/>
        <v>isotope</v>
      </c>
      <c r="C319" s="49" t="str">
        <f t="shared" si="2"/>
        <v>S5438IS1</v>
      </c>
      <c r="D319" s="6">
        <v>27.0</v>
      </c>
      <c r="E319" s="10" t="str">
        <f t="shared" si="3"/>
        <v>BIS27</v>
      </c>
      <c r="F319" s="13">
        <v>16.0</v>
      </c>
      <c r="G319" s="10" t="str">
        <f t="shared" si="4"/>
        <v>BIS27-16</v>
      </c>
      <c r="H319" s="16"/>
      <c r="I319" s="16" t="str">
        <f t="shared" si="5"/>
        <v>collected</v>
      </c>
      <c r="J319" s="16" t="str">
        <f t="shared" si="6"/>
        <v>N</v>
      </c>
      <c r="K319" s="16"/>
      <c r="L319" s="16"/>
    </row>
    <row r="320">
      <c r="A320" s="26" t="s">
        <v>618</v>
      </c>
      <c r="B320" s="10" t="str">
        <f t="shared" si="1"/>
        <v>isotope</v>
      </c>
      <c r="C320" s="49" t="str">
        <f t="shared" si="2"/>
        <v>S5439IS1</v>
      </c>
      <c r="D320" s="6">
        <v>27.0</v>
      </c>
      <c r="E320" s="10" t="str">
        <f t="shared" si="3"/>
        <v>BIS27</v>
      </c>
      <c r="F320" s="13">
        <v>17.0</v>
      </c>
      <c r="G320" s="10" t="str">
        <f t="shared" si="4"/>
        <v>BIS27-17</v>
      </c>
      <c r="H320" s="16"/>
      <c r="I320" s="16" t="str">
        <f t="shared" si="5"/>
        <v>collected</v>
      </c>
      <c r="J320" s="16" t="str">
        <f t="shared" si="6"/>
        <v>N</v>
      </c>
      <c r="K320" s="16"/>
      <c r="L320" s="16"/>
    </row>
    <row r="321">
      <c r="A321" s="26" t="s">
        <v>619</v>
      </c>
      <c r="B321" s="10" t="str">
        <f t="shared" si="1"/>
        <v>isotope</v>
      </c>
      <c r="C321" s="49" t="str">
        <f t="shared" si="2"/>
        <v>S5440IS1</v>
      </c>
      <c r="D321" s="6">
        <v>27.0</v>
      </c>
      <c r="E321" s="10" t="str">
        <f t="shared" si="3"/>
        <v>BIS27</v>
      </c>
      <c r="F321" s="13">
        <v>18.0</v>
      </c>
      <c r="G321" s="10" t="str">
        <f t="shared" si="4"/>
        <v>BIS27-18</v>
      </c>
      <c r="H321" s="16"/>
      <c r="I321" s="16" t="str">
        <f t="shared" si="5"/>
        <v>collected</v>
      </c>
      <c r="J321" s="16" t="str">
        <f t="shared" si="6"/>
        <v>N</v>
      </c>
      <c r="K321" s="16"/>
      <c r="L321" s="16"/>
    </row>
    <row r="322">
      <c r="A322" s="26" t="s">
        <v>621</v>
      </c>
      <c r="B322" s="10" t="str">
        <f t="shared" si="1"/>
        <v>isotope</v>
      </c>
      <c r="C322" s="49" t="str">
        <f t="shared" si="2"/>
        <v>S5441IS1</v>
      </c>
      <c r="D322" s="6">
        <v>27.0</v>
      </c>
      <c r="E322" s="10" t="str">
        <f t="shared" si="3"/>
        <v>BIS27</v>
      </c>
      <c r="F322" s="13">
        <v>19.0</v>
      </c>
      <c r="G322" s="10" t="str">
        <f t="shared" si="4"/>
        <v>BIS27-19</v>
      </c>
      <c r="H322" s="16"/>
      <c r="I322" s="16" t="str">
        <f t="shared" si="5"/>
        <v>collected</v>
      </c>
      <c r="J322" s="16" t="str">
        <f t="shared" si="6"/>
        <v>N</v>
      </c>
      <c r="K322" s="16"/>
      <c r="L322" s="16"/>
    </row>
    <row r="323">
      <c r="A323" s="26" t="s">
        <v>622</v>
      </c>
      <c r="B323" s="10" t="str">
        <f t="shared" si="1"/>
        <v>isotope</v>
      </c>
      <c r="C323" s="49" t="str">
        <f t="shared" si="2"/>
        <v>S5442IS1</v>
      </c>
      <c r="D323" s="6">
        <v>27.0</v>
      </c>
      <c r="E323" s="10" t="str">
        <f t="shared" si="3"/>
        <v>BIS27</v>
      </c>
      <c r="F323" s="13">
        <v>20.0</v>
      </c>
      <c r="G323" s="10" t="str">
        <f t="shared" si="4"/>
        <v>BIS27-20</v>
      </c>
      <c r="H323" s="16"/>
      <c r="I323" s="16" t="str">
        <f t="shared" si="5"/>
        <v>collected</v>
      </c>
      <c r="J323" s="16" t="str">
        <f t="shared" si="6"/>
        <v>N</v>
      </c>
      <c r="K323" s="16"/>
      <c r="L323" s="16"/>
    </row>
    <row r="324">
      <c r="A324" s="26" t="s">
        <v>624</v>
      </c>
      <c r="B324" s="10" t="str">
        <f t="shared" si="1"/>
        <v>isotope</v>
      </c>
      <c r="C324" s="49" t="str">
        <f t="shared" si="2"/>
        <v>S5443IS1</v>
      </c>
      <c r="D324" s="6">
        <v>27.0</v>
      </c>
      <c r="E324" s="10" t="str">
        <f t="shared" si="3"/>
        <v>BIS27</v>
      </c>
      <c r="F324" s="13">
        <v>21.0</v>
      </c>
      <c r="G324" s="10" t="str">
        <f t="shared" si="4"/>
        <v>BIS27-21</v>
      </c>
      <c r="H324" s="16"/>
      <c r="I324" s="16" t="str">
        <f t="shared" si="5"/>
        <v>collected</v>
      </c>
      <c r="J324" s="16" t="str">
        <f t="shared" si="6"/>
        <v>N</v>
      </c>
      <c r="K324" s="16"/>
      <c r="L324" s="16"/>
    </row>
    <row r="325">
      <c r="A325" s="26" t="s">
        <v>626</v>
      </c>
      <c r="B325" s="10" t="str">
        <f t="shared" si="1"/>
        <v>isotope</v>
      </c>
      <c r="C325" s="49" t="str">
        <f t="shared" si="2"/>
        <v>S5444IS1</v>
      </c>
      <c r="D325" s="6">
        <v>27.0</v>
      </c>
      <c r="E325" s="10" t="str">
        <f t="shared" si="3"/>
        <v>BIS27</v>
      </c>
      <c r="F325" s="13">
        <v>22.0</v>
      </c>
      <c r="G325" s="10" t="str">
        <f t="shared" si="4"/>
        <v>BIS27-22</v>
      </c>
      <c r="H325" s="16"/>
      <c r="I325" s="16" t="str">
        <f t="shared" si="5"/>
        <v>collected</v>
      </c>
      <c r="J325" s="16" t="str">
        <f t="shared" si="6"/>
        <v>N</v>
      </c>
      <c r="K325" s="16"/>
      <c r="L325" s="16"/>
    </row>
    <row r="326">
      <c r="A326" s="26" t="s">
        <v>627</v>
      </c>
      <c r="B326" s="10" t="str">
        <f t="shared" si="1"/>
        <v>isotope</v>
      </c>
      <c r="C326" s="49" t="str">
        <f t="shared" si="2"/>
        <v>S5445IS1</v>
      </c>
      <c r="D326" s="6">
        <v>27.0</v>
      </c>
      <c r="E326" s="10" t="str">
        <f t="shared" si="3"/>
        <v>BIS27</v>
      </c>
      <c r="F326" s="13">
        <v>23.0</v>
      </c>
      <c r="G326" s="10" t="str">
        <f t="shared" si="4"/>
        <v>BIS27-23</v>
      </c>
      <c r="H326" s="16"/>
      <c r="I326" s="16" t="str">
        <f t="shared" si="5"/>
        <v>collected</v>
      </c>
      <c r="J326" s="16" t="str">
        <f t="shared" si="6"/>
        <v>N</v>
      </c>
      <c r="K326" s="16"/>
      <c r="L326" s="16"/>
    </row>
    <row r="327">
      <c r="A327" s="26" t="s">
        <v>628</v>
      </c>
      <c r="B327" s="10" t="str">
        <f t="shared" si="1"/>
        <v>isotope</v>
      </c>
      <c r="C327" s="49" t="str">
        <f t="shared" si="2"/>
        <v>S5446IS1</v>
      </c>
      <c r="D327" s="6">
        <v>27.0</v>
      </c>
      <c r="E327" s="10" t="str">
        <f t="shared" si="3"/>
        <v>BIS27</v>
      </c>
      <c r="F327" s="13">
        <v>24.0</v>
      </c>
      <c r="G327" s="10" t="str">
        <f t="shared" si="4"/>
        <v>BIS27-24</v>
      </c>
      <c r="H327" s="16"/>
      <c r="I327" s="16" t="str">
        <f t="shared" si="5"/>
        <v>collected</v>
      </c>
      <c r="J327" s="16" t="str">
        <f t="shared" si="6"/>
        <v>N</v>
      </c>
      <c r="K327" s="16"/>
      <c r="L327" s="16"/>
    </row>
    <row r="328">
      <c r="A328" s="26" t="s">
        <v>632</v>
      </c>
      <c r="B328" s="10" t="str">
        <f t="shared" si="1"/>
        <v>isotope</v>
      </c>
      <c r="C328" s="49" t="str">
        <f t="shared" si="2"/>
        <v>S5447IS1</v>
      </c>
      <c r="D328" s="6">
        <v>27.0</v>
      </c>
      <c r="E328" s="10" t="str">
        <f t="shared" si="3"/>
        <v>BIS27</v>
      </c>
      <c r="F328" s="13">
        <v>25.0</v>
      </c>
      <c r="G328" s="10" t="str">
        <f t="shared" si="4"/>
        <v>BIS27-25</v>
      </c>
      <c r="H328" s="16"/>
      <c r="I328" s="16" t="str">
        <f t="shared" si="5"/>
        <v>collected</v>
      </c>
      <c r="J328" s="16" t="str">
        <f t="shared" si="6"/>
        <v>N</v>
      </c>
      <c r="K328" s="16"/>
      <c r="L328" s="16"/>
    </row>
    <row r="329">
      <c r="A329" s="26" t="s">
        <v>633</v>
      </c>
      <c r="B329" s="10" t="str">
        <f t="shared" si="1"/>
        <v>isotope</v>
      </c>
      <c r="C329" s="49" t="str">
        <f t="shared" si="2"/>
        <v>S5448IS1</v>
      </c>
      <c r="D329" s="6">
        <v>27.0</v>
      </c>
      <c r="E329" s="10" t="str">
        <f t="shared" si="3"/>
        <v>BIS27</v>
      </c>
      <c r="F329" s="13">
        <v>26.0</v>
      </c>
      <c r="G329" s="10" t="str">
        <f t="shared" si="4"/>
        <v>BIS27-26</v>
      </c>
      <c r="H329" s="16"/>
      <c r="I329" s="16" t="str">
        <f t="shared" si="5"/>
        <v>collected</v>
      </c>
      <c r="J329" s="16" t="str">
        <f t="shared" si="6"/>
        <v>N</v>
      </c>
      <c r="K329" s="16"/>
      <c r="L329" s="16"/>
    </row>
    <row r="330">
      <c r="A330" s="26" t="s">
        <v>634</v>
      </c>
      <c r="B330" s="10" t="str">
        <f t="shared" si="1"/>
        <v>isotope</v>
      </c>
      <c r="C330" s="49" t="str">
        <f t="shared" si="2"/>
        <v>S5449IS1</v>
      </c>
      <c r="D330" s="6">
        <v>27.0</v>
      </c>
      <c r="E330" s="10" t="str">
        <f t="shared" si="3"/>
        <v>BIS27</v>
      </c>
      <c r="F330" s="13">
        <v>27.0</v>
      </c>
      <c r="G330" s="10" t="str">
        <f t="shared" si="4"/>
        <v>BIS27-27</v>
      </c>
      <c r="H330" s="16"/>
      <c r="I330" s="16" t="str">
        <f t="shared" si="5"/>
        <v>collected</v>
      </c>
      <c r="J330" s="16" t="str">
        <f t="shared" si="6"/>
        <v>N</v>
      </c>
      <c r="K330" s="16"/>
      <c r="L330" s="16"/>
    </row>
    <row r="331">
      <c r="A331" s="44" t="s">
        <v>635</v>
      </c>
      <c r="B331" s="10" t="str">
        <f t="shared" si="1"/>
        <v>isotope</v>
      </c>
      <c r="C331" s="49" t="str">
        <f t="shared" si="2"/>
        <v>S16798IS1</v>
      </c>
      <c r="D331" s="6">
        <v>27.0</v>
      </c>
      <c r="E331" s="10" t="str">
        <f t="shared" si="3"/>
        <v>BIS27</v>
      </c>
      <c r="F331" s="13">
        <v>28.0</v>
      </c>
      <c r="G331" s="10" t="str">
        <f t="shared" si="4"/>
        <v>BIS27-28</v>
      </c>
      <c r="H331" s="16"/>
      <c r="I331" s="16" t="str">
        <f t="shared" si="5"/>
        <v>collected</v>
      </c>
      <c r="J331" s="16" t="str">
        <f t="shared" si="6"/>
        <v>N</v>
      </c>
      <c r="K331" s="16"/>
      <c r="L331" s="16"/>
    </row>
    <row r="332">
      <c r="A332" s="44" t="s">
        <v>637</v>
      </c>
      <c r="B332" s="10" t="str">
        <f t="shared" si="1"/>
        <v>isotope</v>
      </c>
      <c r="C332" s="49" t="str">
        <f t="shared" si="2"/>
        <v>S16797IS1</v>
      </c>
      <c r="D332" s="6">
        <v>27.0</v>
      </c>
      <c r="E332" s="10" t="str">
        <f t="shared" si="3"/>
        <v>BIS27</v>
      </c>
      <c r="F332" s="13">
        <v>29.0</v>
      </c>
      <c r="G332" s="10" t="str">
        <f t="shared" si="4"/>
        <v>BIS27-29</v>
      </c>
      <c r="H332" s="16"/>
      <c r="I332" s="16" t="str">
        <f t="shared" si="5"/>
        <v>collected</v>
      </c>
      <c r="J332" s="16" t="str">
        <f t="shared" si="6"/>
        <v>N</v>
      </c>
      <c r="K332" s="16"/>
      <c r="L332" s="16"/>
    </row>
    <row r="333">
      <c r="A333" s="43" t="s">
        <v>640</v>
      </c>
      <c r="B333" s="10" t="str">
        <f t="shared" si="1"/>
        <v>isotope</v>
      </c>
      <c r="C333" s="49" t="str">
        <f t="shared" si="2"/>
        <v>S16800IS1</v>
      </c>
      <c r="D333" s="6">
        <v>27.0</v>
      </c>
      <c r="E333" s="10" t="str">
        <f t="shared" si="3"/>
        <v>BIS27</v>
      </c>
      <c r="F333" s="13">
        <v>30.0</v>
      </c>
      <c r="G333" s="10" t="str">
        <f t="shared" si="4"/>
        <v>BIS27-30</v>
      </c>
      <c r="H333" s="16"/>
      <c r="I333" s="16" t="str">
        <f t="shared" si="5"/>
        <v>collected</v>
      </c>
      <c r="J333" s="16" t="str">
        <f t="shared" si="6"/>
        <v>N</v>
      </c>
      <c r="K333" s="16"/>
      <c r="L333" s="16"/>
    </row>
    <row r="334">
      <c r="A334" s="43" t="s">
        <v>642</v>
      </c>
      <c r="B334" s="10" t="str">
        <f t="shared" si="1"/>
        <v>isotope</v>
      </c>
      <c r="C334" s="49" t="str">
        <f t="shared" si="2"/>
        <v>S16795IS1</v>
      </c>
      <c r="D334" s="6">
        <v>27.0</v>
      </c>
      <c r="E334" s="10" t="str">
        <f t="shared" si="3"/>
        <v>BIS27</v>
      </c>
      <c r="F334" s="13">
        <v>31.0</v>
      </c>
      <c r="G334" s="10" t="str">
        <f t="shared" si="4"/>
        <v>BIS27-31</v>
      </c>
      <c r="H334" s="16"/>
      <c r="I334" s="16" t="str">
        <f t="shared" si="5"/>
        <v>collected</v>
      </c>
      <c r="J334" s="16" t="str">
        <f t="shared" si="6"/>
        <v>N</v>
      </c>
      <c r="K334" s="16"/>
      <c r="L334" s="16"/>
    </row>
    <row r="335">
      <c r="A335" s="43" t="s">
        <v>643</v>
      </c>
      <c r="B335" s="10" t="str">
        <f t="shared" si="1"/>
        <v>isotope</v>
      </c>
      <c r="C335" s="49" t="str">
        <f t="shared" si="2"/>
        <v>S16793IS1</v>
      </c>
      <c r="D335" s="6">
        <v>27.0</v>
      </c>
      <c r="E335" s="10" t="str">
        <f t="shared" si="3"/>
        <v>BIS27</v>
      </c>
      <c r="F335" s="13">
        <v>32.0</v>
      </c>
      <c r="G335" s="10" t="str">
        <f t="shared" si="4"/>
        <v>BIS27-32</v>
      </c>
      <c r="H335" s="16"/>
      <c r="I335" s="16" t="str">
        <f t="shared" si="5"/>
        <v>collected</v>
      </c>
      <c r="J335" s="16" t="str">
        <f t="shared" si="6"/>
        <v>N</v>
      </c>
      <c r="K335" s="16"/>
      <c r="L335" s="16"/>
    </row>
    <row r="336">
      <c r="A336" s="43" t="s">
        <v>644</v>
      </c>
      <c r="B336" s="10" t="str">
        <f t="shared" si="1"/>
        <v>isotope</v>
      </c>
      <c r="C336" s="49" t="str">
        <f t="shared" si="2"/>
        <v>S16796IS1</v>
      </c>
      <c r="D336" s="6">
        <v>27.0</v>
      </c>
      <c r="E336" s="10" t="str">
        <f t="shared" si="3"/>
        <v>BIS27</v>
      </c>
      <c r="F336" s="13">
        <v>33.0</v>
      </c>
      <c r="G336" s="10" t="str">
        <f t="shared" si="4"/>
        <v>BIS27-33</v>
      </c>
      <c r="H336" s="16"/>
      <c r="I336" s="16" t="str">
        <f t="shared" si="5"/>
        <v>collected</v>
      </c>
      <c r="J336" s="16" t="str">
        <f t="shared" si="6"/>
        <v>N</v>
      </c>
      <c r="K336" s="16"/>
      <c r="L336" s="16"/>
    </row>
    <row r="337">
      <c r="A337" s="43" t="s">
        <v>647</v>
      </c>
      <c r="B337" s="10" t="str">
        <f t="shared" si="1"/>
        <v>isotope</v>
      </c>
      <c r="C337" s="49" t="str">
        <f t="shared" si="2"/>
        <v>S16799IS1</v>
      </c>
      <c r="D337" s="6">
        <v>27.0</v>
      </c>
      <c r="E337" s="10" t="str">
        <f t="shared" si="3"/>
        <v>BIS27</v>
      </c>
      <c r="F337" s="13">
        <v>34.0</v>
      </c>
      <c r="G337" s="10" t="str">
        <f t="shared" si="4"/>
        <v>BIS27-34</v>
      </c>
      <c r="H337" s="16"/>
      <c r="I337" s="16" t="str">
        <f t="shared" si="5"/>
        <v>collected</v>
      </c>
      <c r="J337" s="16" t="str">
        <f t="shared" si="6"/>
        <v>N</v>
      </c>
      <c r="K337" s="16"/>
      <c r="L337" s="16"/>
    </row>
    <row r="338">
      <c r="A338" s="43" t="s">
        <v>648</v>
      </c>
      <c r="B338" s="10" t="str">
        <f t="shared" si="1"/>
        <v>isotope</v>
      </c>
      <c r="C338" s="49" t="str">
        <f t="shared" si="2"/>
        <v>S16794IS1</v>
      </c>
      <c r="D338" s="6">
        <v>27.0</v>
      </c>
      <c r="E338" s="10" t="str">
        <f t="shared" si="3"/>
        <v>BIS27</v>
      </c>
      <c r="F338" s="13">
        <v>35.0</v>
      </c>
      <c r="G338" s="10" t="str">
        <f t="shared" si="4"/>
        <v>BIS27-35</v>
      </c>
      <c r="H338" s="16"/>
      <c r="I338" s="16" t="str">
        <f t="shared" si="5"/>
        <v>collected</v>
      </c>
      <c r="J338" s="16" t="str">
        <f t="shared" si="6"/>
        <v>N</v>
      </c>
      <c r="K338" s="16"/>
      <c r="L338" s="16"/>
    </row>
    <row r="339">
      <c r="A339" s="43" t="s">
        <v>650</v>
      </c>
      <c r="B339" s="10" t="str">
        <f t="shared" si="1"/>
        <v>isotope</v>
      </c>
      <c r="C339" s="49" t="str">
        <f t="shared" si="2"/>
        <v>S16792IS1</v>
      </c>
      <c r="D339" s="6">
        <v>27.0</v>
      </c>
      <c r="E339" s="10" t="str">
        <f t="shared" si="3"/>
        <v>BIS27</v>
      </c>
      <c r="F339" s="13">
        <v>36.0</v>
      </c>
      <c r="G339" s="10" t="str">
        <f t="shared" si="4"/>
        <v>BIS27-36</v>
      </c>
      <c r="H339" s="16"/>
      <c r="I339" s="16" t="str">
        <f t="shared" si="5"/>
        <v>collected</v>
      </c>
      <c r="J339" s="16" t="str">
        <f t="shared" si="6"/>
        <v>N</v>
      </c>
      <c r="K339" s="16"/>
      <c r="L339" s="16"/>
    </row>
    <row r="340">
      <c r="A340" s="44" t="s">
        <v>651</v>
      </c>
      <c r="B340" s="10" t="str">
        <f t="shared" si="1"/>
        <v>isotope</v>
      </c>
      <c r="C340" s="49" t="str">
        <f t="shared" si="2"/>
        <v>S16791IS1</v>
      </c>
      <c r="D340" s="6">
        <v>27.0</v>
      </c>
      <c r="E340" s="10" t="str">
        <f t="shared" si="3"/>
        <v>BIS27</v>
      </c>
      <c r="F340" s="13">
        <v>37.0</v>
      </c>
      <c r="G340" s="10" t="str">
        <f t="shared" si="4"/>
        <v>BIS27-37</v>
      </c>
      <c r="H340" s="16"/>
      <c r="I340" s="16" t="str">
        <f t="shared" si="5"/>
        <v>collected</v>
      </c>
      <c r="J340" s="16" t="str">
        <f t="shared" si="6"/>
        <v>N</v>
      </c>
      <c r="K340" s="16"/>
      <c r="L340" s="16"/>
    </row>
    <row r="341">
      <c r="A341" s="26" t="s">
        <v>653</v>
      </c>
      <c r="B341" s="10" t="str">
        <f t="shared" si="1"/>
        <v>isotope</v>
      </c>
      <c r="C341" s="49" t="str">
        <f t="shared" si="2"/>
        <v>S5422IS1</v>
      </c>
      <c r="D341" s="6">
        <v>26.0</v>
      </c>
      <c r="E341" s="10" t="str">
        <f t="shared" si="3"/>
        <v>BIS26</v>
      </c>
      <c r="F341" s="39">
        <v>34.0</v>
      </c>
      <c r="G341" s="10" t="str">
        <f t="shared" si="4"/>
        <v>BIS26-34</v>
      </c>
      <c r="H341" s="6"/>
      <c r="I341" s="16" t="str">
        <f t="shared" si="5"/>
        <v>collected</v>
      </c>
      <c r="J341" s="16" t="str">
        <f t="shared" si="6"/>
        <v>N</v>
      </c>
      <c r="K341" s="16"/>
      <c r="L341" s="16"/>
    </row>
    <row r="342">
      <c r="A342" s="26" t="s">
        <v>656</v>
      </c>
      <c r="B342" s="10" t="str">
        <f t="shared" si="1"/>
        <v>isotope</v>
      </c>
      <c r="C342" s="49" t="str">
        <f t="shared" si="2"/>
        <v>S5423IS1</v>
      </c>
      <c r="D342" s="6">
        <v>26.0</v>
      </c>
      <c r="E342" s="10" t="str">
        <f t="shared" si="3"/>
        <v>BIS26</v>
      </c>
      <c r="F342" s="39">
        <v>35.0</v>
      </c>
      <c r="G342" s="10" t="str">
        <f t="shared" si="4"/>
        <v>BIS26-35</v>
      </c>
      <c r="H342" s="6"/>
      <c r="I342" s="16" t="str">
        <f t="shared" si="5"/>
        <v>collected</v>
      </c>
      <c r="J342" s="16" t="str">
        <f t="shared" si="6"/>
        <v>N</v>
      </c>
      <c r="K342" s="16"/>
      <c r="L342" s="16"/>
    </row>
    <row r="343">
      <c r="A343" s="26" t="s">
        <v>657</v>
      </c>
      <c r="B343" s="10" t="str">
        <f t="shared" si="1"/>
        <v>isotope</v>
      </c>
      <c r="C343" s="49" t="str">
        <f t="shared" si="2"/>
        <v>S5424IS1</v>
      </c>
      <c r="D343" s="6">
        <v>26.0</v>
      </c>
      <c r="E343" s="10" t="str">
        <f t="shared" si="3"/>
        <v>BIS26</v>
      </c>
      <c r="F343" s="39">
        <v>36.0</v>
      </c>
      <c r="G343" s="10" t="str">
        <f t="shared" si="4"/>
        <v>BIS26-36</v>
      </c>
      <c r="H343" s="6" t="s">
        <v>2177</v>
      </c>
      <c r="I343" s="16" t="str">
        <f t="shared" si="5"/>
        <v>collected</v>
      </c>
      <c r="J343" s="16" t="str">
        <f t="shared" si="6"/>
        <v>N</v>
      </c>
      <c r="K343" s="16"/>
      <c r="L343" s="16"/>
    </row>
    <row r="344">
      <c r="A344" s="26" t="s">
        <v>658</v>
      </c>
      <c r="B344" s="10" t="str">
        <f t="shared" si="1"/>
        <v>isotope</v>
      </c>
      <c r="C344" s="49" t="str">
        <f t="shared" si="2"/>
        <v>S5425IS1</v>
      </c>
      <c r="D344" s="6">
        <v>26.0</v>
      </c>
      <c r="E344" s="10" t="str">
        <f t="shared" si="3"/>
        <v>BIS26</v>
      </c>
      <c r="F344" s="39">
        <v>37.0</v>
      </c>
      <c r="G344" s="10" t="str">
        <f t="shared" si="4"/>
        <v>BIS26-37</v>
      </c>
      <c r="H344" s="6"/>
      <c r="I344" s="16" t="str">
        <f t="shared" si="5"/>
        <v>collected</v>
      </c>
      <c r="J344" s="16" t="str">
        <f t="shared" si="6"/>
        <v>N</v>
      </c>
      <c r="K344" s="16"/>
      <c r="L344" s="16"/>
    </row>
    <row r="345">
      <c r="A345" s="26" t="s">
        <v>659</v>
      </c>
      <c r="B345" s="10" t="str">
        <f t="shared" si="1"/>
        <v>isotope</v>
      </c>
      <c r="C345" s="49" t="str">
        <f t="shared" si="2"/>
        <v>S5426IS1</v>
      </c>
      <c r="D345" s="6">
        <v>26.0</v>
      </c>
      <c r="E345" s="10" t="str">
        <f t="shared" si="3"/>
        <v>BIS26</v>
      </c>
      <c r="F345" s="39">
        <v>38.0</v>
      </c>
      <c r="G345" s="10" t="str">
        <f t="shared" si="4"/>
        <v>BIS26-38</v>
      </c>
      <c r="H345" s="6"/>
      <c r="I345" s="16" t="str">
        <f t="shared" si="5"/>
        <v>collected</v>
      </c>
      <c r="J345" s="16" t="str">
        <f t="shared" si="6"/>
        <v>N</v>
      </c>
      <c r="K345" s="16"/>
      <c r="L345" s="16"/>
    </row>
    <row r="346">
      <c r="A346" s="26" t="s">
        <v>661</v>
      </c>
      <c r="B346" s="10" t="str">
        <f t="shared" si="1"/>
        <v>isotope</v>
      </c>
      <c r="C346" s="49" t="str">
        <f t="shared" si="2"/>
        <v>S5427IS1</v>
      </c>
      <c r="D346" s="6">
        <v>26.0</v>
      </c>
      <c r="E346" s="10" t="str">
        <f t="shared" si="3"/>
        <v>BIS26</v>
      </c>
      <c r="F346" s="39">
        <v>39.0</v>
      </c>
      <c r="G346" s="10" t="str">
        <f t="shared" si="4"/>
        <v>BIS26-39</v>
      </c>
      <c r="H346" s="6"/>
      <c r="I346" s="16" t="str">
        <f t="shared" si="5"/>
        <v>collected</v>
      </c>
      <c r="J346" s="16" t="str">
        <f t="shared" si="6"/>
        <v>N</v>
      </c>
      <c r="K346" s="16"/>
      <c r="L346" s="16"/>
    </row>
    <row r="347">
      <c r="A347" s="25" t="s">
        <v>662</v>
      </c>
      <c r="B347" s="10" t="str">
        <f t="shared" si="1"/>
        <v>isotope</v>
      </c>
      <c r="C347" s="49" t="str">
        <f t="shared" si="2"/>
        <v>S5428IS1</v>
      </c>
      <c r="D347" s="6">
        <v>26.0</v>
      </c>
      <c r="E347" s="10" t="str">
        <f t="shared" si="3"/>
        <v>BIS26</v>
      </c>
      <c r="F347" s="39">
        <v>40.0</v>
      </c>
      <c r="G347" s="10" t="str">
        <f t="shared" si="4"/>
        <v>BIS26-40</v>
      </c>
      <c r="H347" s="6"/>
      <c r="I347" s="16" t="str">
        <f t="shared" si="5"/>
        <v>collected</v>
      </c>
      <c r="J347" s="16" t="str">
        <f t="shared" si="6"/>
        <v>N</v>
      </c>
      <c r="K347" s="16"/>
      <c r="L347" s="16"/>
    </row>
    <row r="348">
      <c r="A348" s="27" t="s">
        <v>664</v>
      </c>
      <c r="B348" s="10" t="str">
        <f t="shared" si="1"/>
        <v>isotope</v>
      </c>
      <c r="C348" s="49" t="str">
        <f t="shared" si="2"/>
        <v>S5429IS1</v>
      </c>
      <c r="D348" s="6">
        <v>26.0</v>
      </c>
      <c r="E348" s="10" t="str">
        <f t="shared" si="3"/>
        <v>BIS26</v>
      </c>
      <c r="F348" s="39">
        <v>41.0</v>
      </c>
      <c r="G348" s="10" t="str">
        <f t="shared" si="4"/>
        <v>BIS26-41</v>
      </c>
      <c r="H348" s="6"/>
      <c r="I348" s="16" t="str">
        <f t="shared" si="5"/>
        <v>collected</v>
      </c>
      <c r="J348" s="16" t="str">
        <f t="shared" si="6"/>
        <v>N</v>
      </c>
      <c r="K348" s="16"/>
      <c r="L348" s="16"/>
    </row>
    <row r="349">
      <c r="A349" s="27" t="s">
        <v>665</v>
      </c>
      <c r="B349" s="10" t="str">
        <f t="shared" si="1"/>
        <v>isotope</v>
      </c>
      <c r="C349" s="49" t="str">
        <f t="shared" si="2"/>
        <v>S5430IS1</v>
      </c>
      <c r="D349" s="6">
        <v>26.0</v>
      </c>
      <c r="E349" s="10" t="str">
        <f t="shared" si="3"/>
        <v>BIS26</v>
      </c>
      <c r="F349" s="39">
        <v>42.0</v>
      </c>
      <c r="G349" s="10" t="str">
        <f t="shared" si="4"/>
        <v>BIS26-42</v>
      </c>
      <c r="H349" s="6"/>
      <c r="I349" s="16" t="str">
        <f t="shared" si="5"/>
        <v>collected</v>
      </c>
      <c r="J349" s="16" t="str">
        <f t="shared" si="6"/>
        <v>N</v>
      </c>
      <c r="K349" s="16"/>
      <c r="L349" s="16"/>
    </row>
    <row r="350">
      <c r="A350" s="27" t="s">
        <v>666</v>
      </c>
      <c r="B350" s="10" t="str">
        <f t="shared" si="1"/>
        <v>isotope</v>
      </c>
      <c r="C350" s="49" t="str">
        <f t="shared" si="2"/>
        <v>S5431IS1</v>
      </c>
      <c r="D350" s="6">
        <v>26.0</v>
      </c>
      <c r="E350" s="10" t="str">
        <f t="shared" si="3"/>
        <v>BIS26</v>
      </c>
      <c r="F350" s="39">
        <v>43.0</v>
      </c>
      <c r="G350" s="10" t="str">
        <f t="shared" si="4"/>
        <v>BIS26-43</v>
      </c>
      <c r="H350" s="6"/>
      <c r="I350" s="16" t="str">
        <f t="shared" si="5"/>
        <v>collected</v>
      </c>
      <c r="J350" s="16" t="str">
        <f t="shared" si="6"/>
        <v>N</v>
      </c>
      <c r="K350" s="16"/>
      <c r="L350" s="16"/>
    </row>
    <row r="351">
      <c r="A351" s="27" t="s">
        <v>668</v>
      </c>
      <c r="B351" s="10" t="str">
        <f t="shared" si="1"/>
        <v>isotope</v>
      </c>
      <c r="C351" s="49" t="str">
        <f t="shared" si="2"/>
        <v>S5432IS1</v>
      </c>
      <c r="D351" s="6">
        <v>26.0</v>
      </c>
      <c r="E351" s="10" t="str">
        <f t="shared" si="3"/>
        <v>BIS26</v>
      </c>
      <c r="F351" s="39">
        <v>44.0</v>
      </c>
      <c r="G351" s="10" t="str">
        <f t="shared" si="4"/>
        <v>BIS26-44</v>
      </c>
      <c r="H351" s="6"/>
      <c r="I351" s="16" t="str">
        <f t="shared" si="5"/>
        <v>collected</v>
      </c>
      <c r="J351" s="16" t="str">
        <f t="shared" si="6"/>
        <v>N</v>
      </c>
      <c r="K351" s="16"/>
      <c r="L351" s="16"/>
    </row>
    <row r="352">
      <c r="A352" s="27" t="s">
        <v>670</v>
      </c>
      <c r="B352" s="10" t="str">
        <f t="shared" si="1"/>
        <v>isotope</v>
      </c>
      <c r="C352" s="49" t="str">
        <f t="shared" si="2"/>
        <v>S5433IS1</v>
      </c>
      <c r="D352" s="6">
        <v>26.0</v>
      </c>
      <c r="E352" s="10" t="str">
        <f t="shared" si="3"/>
        <v>BIS26</v>
      </c>
      <c r="F352" s="39">
        <v>45.0</v>
      </c>
      <c r="G352" s="10" t="str">
        <f t="shared" si="4"/>
        <v>BIS26-45</v>
      </c>
      <c r="H352" s="6"/>
      <c r="I352" s="16" t="str">
        <f t="shared" si="5"/>
        <v>collected</v>
      </c>
      <c r="J352" s="16" t="str">
        <f t="shared" si="6"/>
        <v>N</v>
      </c>
      <c r="K352" s="16"/>
      <c r="L352" s="16"/>
    </row>
    <row r="353">
      <c r="A353" s="27" t="s">
        <v>671</v>
      </c>
      <c r="B353" s="10" t="str">
        <f t="shared" si="1"/>
        <v>isotope</v>
      </c>
      <c r="C353" s="49" t="str">
        <f t="shared" si="2"/>
        <v>S5434IS1</v>
      </c>
      <c r="D353" s="6">
        <v>26.0</v>
      </c>
      <c r="E353" s="10" t="str">
        <f t="shared" si="3"/>
        <v>BIS26</v>
      </c>
      <c r="F353" s="39">
        <v>46.0</v>
      </c>
      <c r="G353" s="10" t="str">
        <f t="shared" si="4"/>
        <v>BIS26-46</v>
      </c>
      <c r="H353" s="6"/>
      <c r="I353" s="16" t="str">
        <f t="shared" si="5"/>
        <v>collected</v>
      </c>
      <c r="J353" s="16" t="str">
        <f t="shared" si="6"/>
        <v>N</v>
      </c>
      <c r="K353" s="16"/>
      <c r="L353" s="16"/>
    </row>
    <row r="354">
      <c r="A354" s="27" t="s">
        <v>674</v>
      </c>
      <c r="B354" s="10" t="str">
        <f t="shared" si="1"/>
        <v>isotope</v>
      </c>
      <c r="C354" s="49" t="str">
        <f t="shared" si="2"/>
        <v>S5435IS1</v>
      </c>
      <c r="D354" s="6">
        <v>26.0</v>
      </c>
      <c r="E354" s="10" t="str">
        <f t="shared" si="3"/>
        <v>BIS26</v>
      </c>
      <c r="F354" s="39">
        <v>47.0</v>
      </c>
      <c r="G354" s="10" t="str">
        <f t="shared" si="4"/>
        <v>BIS26-47</v>
      </c>
      <c r="H354" s="6"/>
      <c r="I354" s="16" t="str">
        <f t="shared" si="5"/>
        <v>collected</v>
      </c>
      <c r="J354" s="16" t="str">
        <f t="shared" si="6"/>
        <v>N</v>
      </c>
      <c r="K354" s="16"/>
      <c r="L354" s="16"/>
    </row>
    <row r="355">
      <c r="A355" s="6" t="s">
        <v>676</v>
      </c>
      <c r="B355" s="10" t="str">
        <f t="shared" si="1"/>
        <v>isotope</v>
      </c>
      <c r="C355" s="49" t="str">
        <f t="shared" si="2"/>
        <v>S5436IS1</v>
      </c>
      <c r="D355" s="6">
        <v>26.0</v>
      </c>
      <c r="E355" s="10" t="str">
        <f t="shared" si="3"/>
        <v>BIS26</v>
      </c>
      <c r="F355" s="39">
        <v>48.0</v>
      </c>
      <c r="G355" s="10" t="str">
        <f t="shared" si="4"/>
        <v>BIS26-48</v>
      </c>
      <c r="H355" s="6"/>
      <c r="I355" s="16" t="str">
        <f t="shared" si="5"/>
        <v>collected</v>
      </c>
      <c r="J355" s="16" t="str">
        <f t="shared" si="6"/>
        <v>N</v>
      </c>
      <c r="K355" s="16"/>
      <c r="L355" s="16"/>
    </row>
    <row r="356">
      <c r="A356" s="27" t="s">
        <v>677</v>
      </c>
      <c r="B356" s="10" t="str">
        <f t="shared" si="1"/>
        <v>isotope</v>
      </c>
      <c r="C356" s="49" t="str">
        <f t="shared" si="2"/>
        <v>S5462IS1</v>
      </c>
      <c r="D356" s="6">
        <v>26.0</v>
      </c>
      <c r="E356" s="10" t="str">
        <f t="shared" si="3"/>
        <v>BIS26</v>
      </c>
      <c r="F356" s="39">
        <v>49.0</v>
      </c>
      <c r="G356" s="10" t="str">
        <f t="shared" si="4"/>
        <v>BIS26-49</v>
      </c>
      <c r="H356" s="6"/>
      <c r="I356" s="16" t="str">
        <f t="shared" si="5"/>
        <v>collected</v>
      </c>
      <c r="J356" s="16" t="str">
        <f t="shared" si="6"/>
        <v>N</v>
      </c>
      <c r="K356" s="16"/>
      <c r="L356" s="16"/>
    </row>
    <row r="357">
      <c r="A357" s="27" t="s">
        <v>678</v>
      </c>
      <c r="B357" s="10" t="str">
        <f t="shared" si="1"/>
        <v>isotope</v>
      </c>
      <c r="C357" s="49" t="str">
        <f t="shared" si="2"/>
        <v>S5463IS1</v>
      </c>
      <c r="D357" s="6">
        <v>26.0</v>
      </c>
      <c r="E357" s="10" t="str">
        <f t="shared" si="3"/>
        <v>BIS26</v>
      </c>
      <c r="F357" s="39">
        <v>50.0</v>
      </c>
      <c r="G357" s="10" t="str">
        <f t="shared" si="4"/>
        <v>BIS26-50</v>
      </c>
      <c r="H357" s="6"/>
      <c r="I357" s="16" t="str">
        <f t="shared" si="5"/>
        <v>collected</v>
      </c>
      <c r="J357" s="16" t="str">
        <f t="shared" si="6"/>
        <v>N</v>
      </c>
      <c r="K357" s="16"/>
      <c r="L357" s="16"/>
    </row>
    <row r="358">
      <c r="A358" s="27" t="s">
        <v>681</v>
      </c>
      <c r="B358" s="10" t="str">
        <f t="shared" si="1"/>
        <v>isotope</v>
      </c>
      <c r="C358" s="49" t="str">
        <f t="shared" si="2"/>
        <v>S5464IS1</v>
      </c>
      <c r="D358" s="6">
        <v>26.0</v>
      </c>
      <c r="E358" s="10" t="str">
        <f t="shared" si="3"/>
        <v>BIS26</v>
      </c>
      <c r="F358" s="39">
        <v>51.0</v>
      </c>
      <c r="G358" s="10" t="str">
        <f t="shared" si="4"/>
        <v>BIS26-51</v>
      </c>
      <c r="H358" s="6"/>
      <c r="I358" s="16" t="str">
        <f t="shared" si="5"/>
        <v>collected</v>
      </c>
      <c r="J358" s="16" t="str">
        <f t="shared" si="6"/>
        <v>N</v>
      </c>
      <c r="K358" s="16"/>
      <c r="L358" s="16"/>
    </row>
    <row r="359">
      <c r="A359" s="27" t="s">
        <v>682</v>
      </c>
      <c r="B359" s="10" t="str">
        <f t="shared" si="1"/>
        <v>isotope</v>
      </c>
      <c r="C359" s="49" t="str">
        <f t="shared" si="2"/>
        <v>S5465IS1</v>
      </c>
      <c r="D359" s="6">
        <v>26.0</v>
      </c>
      <c r="E359" s="10" t="str">
        <f t="shared" si="3"/>
        <v>BIS26</v>
      </c>
      <c r="F359" s="13">
        <v>52.0</v>
      </c>
      <c r="G359" s="10" t="str">
        <f t="shared" si="4"/>
        <v>BIS26-52</v>
      </c>
      <c r="H359" s="6"/>
      <c r="I359" s="16" t="str">
        <f t="shared" si="5"/>
        <v>collected</v>
      </c>
      <c r="J359" s="16" t="str">
        <f t="shared" si="6"/>
        <v>N</v>
      </c>
      <c r="K359" s="16"/>
      <c r="L359" s="16"/>
    </row>
    <row r="360">
      <c r="A360" s="27" t="s">
        <v>683</v>
      </c>
      <c r="B360" s="10" t="str">
        <f t="shared" si="1"/>
        <v>isotope</v>
      </c>
      <c r="C360" s="49" t="str">
        <f t="shared" si="2"/>
        <v>S5466IS1</v>
      </c>
      <c r="D360" s="6">
        <v>26.0</v>
      </c>
      <c r="E360" s="10" t="str">
        <f t="shared" si="3"/>
        <v>BIS26</v>
      </c>
      <c r="F360" s="39">
        <v>53.0</v>
      </c>
      <c r="G360" s="10" t="str">
        <f t="shared" si="4"/>
        <v>BIS26-53</v>
      </c>
      <c r="H360" s="6"/>
      <c r="I360" s="16" t="str">
        <f t="shared" si="5"/>
        <v>collected</v>
      </c>
      <c r="J360" s="16" t="str">
        <f t="shared" si="6"/>
        <v>N</v>
      </c>
      <c r="K360" s="16"/>
      <c r="L360" s="16"/>
    </row>
    <row r="361">
      <c r="A361" s="27" t="s">
        <v>685</v>
      </c>
      <c r="B361" s="10" t="str">
        <f t="shared" si="1"/>
        <v>isotope</v>
      </c>
      <c r="C361" s="49" t="str">
        <f t="shared" si="2"/>
        <v>S16753IS1</v>
      </c>
      <c r="D361" s="6">
        <v>26.0</v>
      </c>
      <c r="E361" s="10" t="str">
        <f t="shared" si="3"/>
        <v>BIS26</v>
      </c>
      <c r="F361" s="13">
        <v>54.0</v>
      </c>
      <c r="G361" s="10" t="str">
        <f t="shared" si="4"/>
        <v>BIS26-54</v>
      </c>
      <c r="H361" s="16"/>
      <c r="I361" s="16" t="str">
        <f t="shared" si="5"/>
        <v>collected</v>
      </c>
      <c r="J361" s="16" t="str">
        <f t="shared" si="6"/>
        <v>N</v>
      </c>
      <c r="K361" s="16"/>
      <c r="L361" s="16"/>
    </row>
    <row r="362">
      <c r="A362" s="27" t="s">
        <v>686</v>
      </c>
      <c r="B362" s="10" t="str">
        <f t="shared" si="1"/>
        <v>isotope</v>
      </c>
      <c r="C362" s="49" t="str">
        <f t="shared" si="2"/>
        <v>S16751IS1</v>
      </c>
      <c r="D362" s="6">
        <v>26.0</v>
      </c>
      <c r="E362" s="10" t="str">
        <f t="shared" si="3"/>
        <v>BIS26</v>
      </c>
      <c r="F362" s="39">
        <v>55.0</v>
      </c>
      <c r="G362" s="10" t="str">
        <f t="shared" si="4"/>
        <v>BIS26-55</v>
      </c>
      <c r="H362" s="16"/>
      <c r="I362" s="16" t="str">
        <f t="shared" si="5"/>
        <v>collected</v>
      </c>
      <c r="J362" s="16" t="str">
        <f t="shared" si="6"/>
        <v>N</v>
      </c>
      <c r="K362" s="16"/>
      <c r="L362" s="16"/>
    </row>
    <row r="363">
      <c r="A363" s="27" t="s">
        <v>689</v>
      </c>
      <c r="B363" s="10" t="str">
        <f t="shared" si="1"/>
        <v>isotope</v>
      </c>
      <c r="C363" s="49" t="str">
        <f t="shared" si="2"/>
        <v>S16752IS1</v>
      </c>
      <c r="D363" s="6">
        <v>26.0</v>
      </c>
      <c r="E363" s="10" t="str">
        <f t="shared" si="3"/>
        <v>BIS26</v>
      </c>
      <c r="F363" s="13">
        <v>56.0</v>
      </c>
      <c r="G363" s="10" t="str">
        <f t="shared" si="4"/>
        <v>BIS26-56</v>
      </c>
      <c r="H363" s="16"/>
      <c r="I363" s="16" t="str">
        <f t="shared" si="5"/>
        <v>collected</v>
      </c>
      <c r="J363" s="16" t="str">
        <f t="shared" si="6"/>
        <v>N</v>
      </c>
      <c r="K363" s="16"/>
      <c r="L363" s="16"/>
    </row>
    <row r="364">
      <c r="A364" s="27" t="s">
        <v>690</v>
      </c>
      <c r="B364" s="10" t="str">
        <f t="shared" si="1"/>
        <v>isotope</v>
      </c>
      <c r="C364" s="49" t="str">
        <f t="shared" si="2"/>
        <v>S16756IS1</v>
      </c>
      <c r="D364" s="6">
        <v>26.0</v>
      </c>
      <c r="E364" s="10" t="str">
        <f t="shared" si="3"/>
        <v>BIS26</v>
      </c>
      <c r="F364" s="39">
        <v>57.0</v>
      </c>
      <c r="G364" s="10" t="str">
        <f t="shared" si="4"/>
        <v>BIS26-57</v>
      </c>
      <c r="H364" s="16"/>
      <c r="I364" s="16" t="str">
        <f t="shared" si="5"/>
        <v>collected</v>
      </c>
      <c r="J364" s="16" t="str">
        <f t="shared" si="6"/>
        <v>N</v>
      </c>
      <c r="K364" s="16"/>
      <c r="L364" s="16"/>
    </row>
    <row r="365">
      <c r="A365" s="27" t="s">
        <v>691</v>
      </c>
      <c r="B365" s="10" t="str">
        <f t="shared" si="1"/>
        <v>isotope</v>
      </c>
      <c r="C365" s="49" t="str">
        <f t="shared" si="2"/>
        <v>S16754IS1</v>
      </c>
      <c r="D365" s="6">
        <v>26.0</v>
      </c>
      <c r="E365" s="10" t="str">
        <f t="shared" si="3"/>
        <v>BIS26</v>
      </c>
      <c r="F365" s="13">
        <v>58.0</v>
      </c>
      <c r="G365" s="10" t="str">
        <f t="shared" si="4"/>
        <v>BIS26-58</v>
      </c>
      <c r="H365" s="16"/>
      <c r="I365" s="16" t="str">
        <f t="shared" si="5"/>
        <v>collected</v>
      </c>
      <c r="J365" s="16" t="str">
        <f t="shared" si="6"/>
        <v>N</v>
      </c>
      <c r="K365" s="16"/>
      <c r="L365" s="16"/>
    </row>
    <row r="366">
      <c r="A366" s="27" t="s">
        <v>693</v>
      </c>
      <c r="B366" s="10" t="str">
        <f t="shared" si="1"/>
        <v>isotope</v>
      </c>
      <c r="C366" s="49" t="str">
        <f t="shared" si="2"/>
        <v>S16755IS1</v>
      </c>
      <c r="D366" s="6">
        <v>26.0</v>
      </c>
      <c r="E366" s="10" t="str">
        <f t="shared" si="3"/>
        <v>BIS26</v>
      </c>
      <c r="F366" s="39">
        <v>59.0</v>
      </c>
      <c r="G366" s="10" t="str">
        <f t="shared" si="4"/>
        <v>BIS26-59</v>
      </c>
      <c r="H366" s="16"/>
      <c r="I366" s="16" t="str">
        <f t="shared" si="5"/>
        <v>collected</v>
      </c>
      <c r="J366" s="16" t="str">
        <f t="shared" si="6"/>
        <v>N</v>
      </c>
      <c r="K366" s="16"/>
      <c r="L366" s="16"/>
    </row>
    <row r="367">
      <c r="A367" s="27" t="s">
        <v>694</v>
      </c>
      <c r="B367" s="10" t="str">
        <f t="shared" si="1"/>
        <v>isotope</v>
      </c>
      <c r="C367" s="49" t="str">
        <f t="shared" si="2"/>
        <v>S16757IS1</v>
      </c>
      <c r="D367" s="6">
        <v>26.0</v>
      </c>
      <c r="E367" s="10" t="str">
        <f t="shared" si="3"/>
        <v>BIS26</v>
      </c>
      <c r="F367" s="13">
        <v>60.0</v>
      </c>
      <c r="G367" s="10" t="str">
        <f t="shared" si="4"/>
        <v>BIS26-60</v>
      </c>
      <c r="H367" s="16"/>
      <c r="I367" s="16" t="str">
        <f t="shared" si="5"/>
        <v>collected</v>
      </c>
      <c r="J367" s="16" t="str">
        <f t="shared" si="6"/>
        <v>N</v>
      </c>
      <c r="K367" s="16"/>
      <c r="L367" s="16"/>
    </row>
    <row r="368">
      <c r="A368" s="26" t="s">
        <v>698</v>
      </c>
      <c r="B368" s="10" t="str">
        <f t="shared" si="1"/>
        <v>isotope</v>
      </c>
      <c r="C368" s="49" t="str">
        <f t="shared" si="2"/>
        <v>S16758IS1</v>
      </c>
      <c r="D368" s="6">
        <v>26.0</v>
      </c>
      <c r="E368" s="10" t="str">
        <f t="shared" si="3"/>
        <v>BIS26</v>
      </c>
      <c r="F368" s="39">
        <v>61.0</v>
      </c>
      <c r="G368" s="10" t="str">
        <f t="shared" si="4"/>
        <v>BIS26-61</v>
      </c>
      <c r="H368" s="16"/>
      <c r="I368" s="16" t="str">
        <f t="shared" si="5"/>
        <v>collected</v>
      </c>
      <c r="J368" s="16" t="str">
        <f t="shared" si="6"/>
        <v>N</v>
      </c>
      <c r="K368" s="16"/>
      <c r="L368" s="16"/>
    </row>
    <row r="369">
      <c r="A369" s="26" t="s">
        <v>699</v>
      </c>
      <c r="B369" s="10" t="str">
        <f t="shared" si="1"/>
        <v>isotope</v>
      </c>
      <c r="C369" s="49" t="str">
        <f t="shared" si="2"/>
        <v>S16701IS1</v>
      </c>
      <c r="D369" s="6">
        <v>26.0</v>
      </c>
      <c r="E369" s="10" t="str">
        <f t="shared" si="3"/>
        <v>BIS26</v>
      </c>
      <c r="F369" s="13">
        <v>62.0</v>
      </c>
      <c r="G369" s="10" t="str">
        <f t="shared" si="4"/>
        <v>BIS26-62</v>
      </c>
      <c r="H369" s="16"/>
      <c r="I369" s="16" t="str">
        <f t="shared" si="5"/>
        <v>collected</v>
      </c>
      <c r="J369" s="16" t="str">
        <f t="shared" si="6"/>
        <v>N</v>
      </c>
      <c r="K369" s="16"/>
      <c r="L369" s="16"/>
    </row>
    <row r="370">
      <c r="A370" s="26" t="s">
        <v>700</v>
      </c>
      <c r="B370" s="10" t="str">
        <f t="shared" si="1"/>
        <v>isotope</v>
      </c>
      <c r="C370" s="49" t="str">
        <f t="shared" si="2"/>
        <v>S16702IS1</v>
      </c>
      <c r="D370" s="6">
        <v>26.0</v>
      </c>
      <c r="E370" s="10" t="str">
        <f t="shared" si="3"/>
        <v>BIS26</v>
      </c>
      <c r="F370" s="39">
        <v>63.0</v>
      </c>
      <c r="G370" s="10" t="str">
        <f t="shared" si="4"/>
        <v>BIS26-63</v>
      </c>
      <c r="H370" s="16"/>
      <c r="I370" s="16" t="str">
        <f t="shared" si="5"/>
        <v>collected</v>
      </c>
      <c r="J370" s="16" t="str">
        <f t="shared" si="6"/>
        <v>N</v>
      </c>
      <c r="K370" s="16"/>
      <c r="L370" s="16"/>
    </row>
    <row r="371">
      <c r="A371" s="26" t="s">
        <v>702</v>
      </c>
      <c r="B371" s="10" t="str">
        <f t="shared" si="1"/>
        <v>isotope</v>
      </c>
      <c r="C371" s="49" t="str">
        <f t="shared" si="2"/>
        <v>S16703IS1</v>
      </c>
      <c r="D371" s="6">
        <v>26.0</v>
      </c>
      <c r="E371" s="10" t="str">
        <f t="shared" si="3"/>
        <v>BIS26</v>
      </c>
      <c r="F371" s="13">
        <v>64.0</v>
      </c>
      <c r="G371" s="10" t="str">
        <f t="shared" si="4"/>
        <v>BIS26-64</v>
      </c>
      <c r="H371" s="16"/>
      <c r="I371" s="16" t="str">
        <f t="shared" si="5"/>
        <v>collected</v>
      </c>
      <c r="J371" s="16" t="str">
        <f t="shared" si="6"/>
        <v>N</v>
      </c>
      <c r="K371" s="16"/>
      <c r="L371" s="16"/>
    </row>
    <row r="372">
      <c r="A372" s="26" t="s">
        <v>704</v>
      </c>
      <c r="B372" s="10" t="str">
        <f t="shared" si="1"/>
        <v>isotope</v>
      </c>
      <c r="C372" s="49" t="str">
        <f t="shared" si="2"/>
        <v>S16705IS1</v>
      </c>
      <c r="D372" s="6">
        <v>26.0</v>
      </c>
      <c r="E372" s="10" t="str">
        <f t="shared" si="3"/>
        <v>BIS26</v>
      </c>
      <c r="F372" s="39">
        <v>65.0</v>
      </c>
      <c r="G372" s="10" t="str">
        <f t="shared" si="4"/>
        <v>BIS26-65</v>
      </c>
      <c r="H372" s="16"/>
      <c r="I372" s="16" t="str">
        <f t="shared" si="5"/>
        <v>collected</v>
      </c>
      <c r="J372" s="16" t="str">
        <f t="shared" si="6"/>
        <v>N</v>
      </c>
      <c r="K372" s="16"/>
      <c r="L372" s="16"/>
    </row>
    <row r="373">
      <c r="A373" s="26" t="s">
        <v>706</v>
      </c>
      <c r="B373" s="10" t="str">
        <f t="shared" si="1"/>
        <v>isotope</v>
      </c>
      <c r="C373" s="49" t="str">
        <f t="shared" si="2"/>
        <v>S16704IS1</v>
      </c>
      <c r="D373" s="6">
        <v>26.0</v>
      </c>
      <c r="E373" s="10" t="str">
        <f t="shared" si="3"/>
        <v>BIS26</v>
      </c>
      <c r="F373" s="13">
        <v>66.0</v>
      </c>
      <c r="G373" s="10" t="str">
        <f t="shared" si="4"/>
        <v>BIS26-66</v>
      </c>
      <c r="H373" s="16"/>
      <c r="I373" s="16" t="str">
        <f t="shared" si="5"/>
        <v>collected</v>
      </c>
      <c r="J373" s="16" t="str">
        <f t="shared" si="6"/>
        <v>N</v>
      </c>
      <c r="K373" s="16"/>
      <c r="L373" s="16"/>
    </row>
    <row r="374">
      <c r="A374" s="26" t="s">
        <v>707</v>
      </c>
      <c r="B374" s="10" t="str">
        <f t="shared" si="1"/>
        <v>isotope</v>
      </c>
      <c r="C374" s="49" t="str">
        <f t="shared" si="2"/>
        <v>S16706IS1</v>
      </c>
      <c r="D374" s="6">
        <v>26.0</v>
      </c>
      <c r="E374" s="10" t="str">
        <f t="shared" si="3"/>
        <v>BIS26</v>
      </c>
      <c r="F374" s="39">
        <v>67.0</v>
      </c>
      <c r="G374" s="10" t="str">
        <f t="shared" si="4"/>
        <v>BIS26-67</v>
      </c>
      <c r="H374" s="6"/>
      <c r="I374" s="16" t="str">
        <f t="shared" si="5"/>
        <v>collected</v>
      </c>
      <c r="J374" s="16" t="str">
        <f t="shared" si="6"/>
        <v>N</v>
      </c>
      <c r="K374" s="16"/>
      <c r="L374" s="16"/>
    </row>
    <row r="375">
      <c r="A375" s="44" t="s">
        <v>709</v>
      </c>
      <c r="B375" s="10" t="str">
        <f t="shared" si="1"/>
        <v>isotope</v>
      </c>
      <c r="C375" s="49" t="str">
        <f t="shared" si="2"/>
        <v>S16893IS1</v>
      </c>
      <c r="D375" s="6">
        <v>27.0</v>
      </c>
      <c r="E375" s="10" t="str">
        <f t="shared" si="3"/>
        <v>BIS27</v>
      </c>
      <c r="F375" s="13">
        <v>38.0</v>
      </c>
      <c r="G375" s="10" t="str">
        <f t="shared" si="4"/>
        <v>BIS27-38</v>
      </c>
      <c r="H375" s="6"/>
      <c r="I375" s="16" t="str">
        <f t="shared" si="5"/>
        <v>collected</v>
      </c>
      <c r="J375" s="16" t="str">
        <f t="shared" si="6"/>
        <v>N</v>
      </c>
      <c r="K375" s="16"/>
      <c r="L375" s="16"/>
    </row>
    <row r="376">
      <c r="A376" s="44" t="s">
        <v>711</v>
      </c>
      <c r="B376" s="10" t="str">
        <f t="shared" si="1"/>
        <v>isotope</v>
      </c>
      <c r="C376" s="49" t="str">
        <f t="shared" si="2"/>
        <v>S16897IS1</v>
      </c>
      <c r="D376" s="6">
        <v>27.0</v>
      </c>
      <c r="E376" s="10" t="str">
        <f t="shared" si="3"/>
        <v>BIS27</v>
      </c>
      <c r="F376" s="13">
        <v>39.0</v>
      </c>
      <c r="G376" s="10" t="str">
        <f t="shared" si="4"/>
        <v>BIS27-39</v>
      </c>
      <c r="H376" s="6"/>
      <c r="I376" s="16" t="str">
        <f t="shared" si="5"/>
        <v>collected</v>
      </c>
      <c r="J376" s="16" t="str">
        <f t="shared" si="6"/>
        <v>N</v>
      </c>
      <c r="K376" s="16"/>
      <c r="L376" s="16"/>
    </row>
    <row r="377">
      <c r="A377" s="44" t="s">
        <v>712</v>
      </c>
      <c r="B377" s="10" t="str">
        <f t="shared" si="1"/>
        <v>isotope</v>
      </c>
      <c r="C377" s="49" t="str">
        <f t="shared" si="2"/>
        <v>S16891IS1</v>
      </c>
      <c r="D377" s="6">
        <v>27.0</v>
      </c>
      <c r="E377" s="10" t="str">
        <f t="shared" si="3"/>
        <v>BIS27</v>
      </c>
      <c r="F377" s="13">
        <v>40.0</v>
      </c>
      <c r="G377" s="10" t="str">
        <f t="shared" si="4"/>
        <v>BIS27-40</v>
      </c>
      <c r="H377" s="6"/>
      <c r="I377" s="16" t="str">
        <f t="shared" si="5"/>
        <v>collected</v>
      </c>
      <c r="J377" s="16" t="str">
        <f t="shared" si="6"/>
        <v>N</v>
      </c>
      <c r="K377" s="16"/>
      <c r="L377" s="16"/>
    </row>
    <row r="378">
      <c r="A378" s="44" t="s">
        <v>714</v>
      </c>
      <c r="B378" s="10" t="str">
        <f t="shared" si="1"/>
        <v>isotope</v>
      </c>
      <c r="C378" s="49" t="str">
        <f t="shared" si="2"/>
        <v>S16892IS1</v>
      </c>
      <c r="D378" s="6">
        <v>27.0</v>
      </c>
      <c r="E378" s="10" t="str">
        <f t="shared" si="3"/>
        <v>BIS27</v>
      </c>
      <c r="F378" s="13">
        <v>41.0</v>
      </c>
      <c r="G378" s="10" t="str">
        <f t="shared" si="4"/>
        <v>BIS27-41</v>
      </c>
      <c r="H378" s="6"/>
      <c r="I378" s="16" t="str">
        <f t="shared" si="5"/>
        <v>collected</v>
      </c>
      <c r="J378" s="16" t="str">
        <f t="shared" si="6"/>
        <v>N</v>
      </c>
      <c r="K378" s="16"/>
      <c r="L378" s="16"/>
    </row>
    <row r="379">
      <c r="A379" s="44" t="s">
        <v>715</v>
      </c>
      <c r="B379" s="10" t="str">
        <f t="shared" si="1"/>
        <v>isotope</v>
      </c>
      <c r="C379" s="49" t="str">
        <f t="shared" si="2"/>
        <v>S16899IS1</v>
      </c>
      <c r="D379" s="6">
        <v>27.0</v>
      </c>
      <c r="E379" s="10" t="str">
        <f t="shared" si="3"/>
        <v>BIS27</v>
      </c>
      <c r="F379" s="13">
        <v>42.0</v>
      </c>
      <c r="G379" s="10" t="str">
        <f t="shared" si="4"/>
        <v>BIS27-42</v>
      </c>
      <c r="H379" s="6"/>
      <c r="I379" s="16" t="str">
        <f t="shared" si="5"/>
        <v>collected</v>
      </c>
      <c r="J379" s="16" t="str">
        <f t="shared" si="6"/>
        <v>N</v>
      </c>
      <c r="K379" s="16"/>
      <c r="L379" s="16"/>
    </row>
    <row r="380">
      <c r="A380" s="44" t="s">
        <v>716</v>
      </c>
      <c r="B380" s="10" t="str">
        <f t="shared" si="1"/>
        <v>isotope</v>
      </c>
      <c r="C380" s="49" t="str">
        <f t="shared" si="2"/>
        <v>S16900IS1</v>
      </c>
      <c r="D380" s="6">
        <v>27.0</v>
      </c>
      <c r="E380" s="10" t="str">
        <f t="shared" si="3"/>
        <v>BIS27</v>
      </c>
      <c r="F380" s="13">
        <v>43.0</v>
      </c>
      <c r="G380" s="10" t="str">
        <f t="shared" si="4"/>
        <v>BIS27-43</v>
      </c>
      <c r="H380" s="6"/>
      <c r="I380" s="16" t="str">
        <f t="shared" si="5"/>
        <v>collected</v>
      </c>
      <c r="J380" s="16" t="str">
        <f t="shared" si="6"/>
        <v>N</v>
      </c>
      <c r="K380" s="16"/>
      <c r="L380" s="16"/>
    </row>
    <row r="381">
      <c r="A381" s="44" t="s">
        <v>717</v>
      </c>
      <c r="B381" s="10" t="str">
        <f t="shared" si="1"/>
        <v>isotope</v>
      </c>
      <c r="C381" s="49" t="str">
        <f t="shared" si="2"/>
        <v>S16896IS1</v>
      </c>
      <c r="D381" s="6">
        <v>27.0</v>
      </c>
      <c r="E381" s="10" t="str">
        <f t="shared" si="3"/>
        <v>BIS27</v>
      </c>
      <c r="F381" s="13">
        <v>44.0</v>
      </c>
      <c r="G381" s="10" t="str">
        <f t="shared" si="4"/>
        <v>BIS27-44</v>
      </c>
      <c r="H381" s="6"/>
      <c r="I381" s="16" t="str">
        <f t="shared" si="5"/>
        <v>collected</v>
      </c>
      <c r="J381" s="16" t="str">
        <f t="shared" si="6"/>
        <v>N</v>
      </c>
      <c r="K381" s="16"/>
      <c r="L381" s="16"/>
    </row>
    <row r="382">
      <c r="A382" s="44" t="s">
        <v>720</v>
      </c>
      <c r="B382" s="10" t="str">
        <f t="shared" si="1"/>
        <v>isotope</v>
      </c>
      <c r="C382" s="49" t="str">
        <f t="shared" si="2"/>
        <v>S16894IS1</v>
      </c>
      <c r="D382" s="6">
        <v>27.0</v>
      </c>
      <c r="E382" s="10" t="str">
        <f t="shared" si="3"/>
        <v>BIS27</v>
      </c>
      <c r="F382" s="13">
        <v>45.0</v>
      </c>
      <c r="G382" s="10" t="str">
        <f t="shared" si="4"/>
        <v>BIS27-45</v>
      </c>
      <c r="H382" s="6"/>
      <c r="I382" s="16" t="str">
        <f t="shared" si="5"/>
        <v>collected</v>
      </c>
      <c r="J382" s="16" t="str">
        <f t="shared" si="6"/>
        <v>N</v>
      </c>
      <c r="K382" s="16"/>
      <c r="L382" s="16"/>
    </row>
    <row r="383">
      <c r="A383" s="44" t="s">
        <v>721</v>
      </c>
      <c r="B383" s="10" t="str">
        <f t="shared" si="1"/>
        <v>isotope</v>
      </c>
      <c r="C383" s="49" t="str">
        <f t="shared" si="2"/>
        <v>S16895IS1</v>
      </c>
      <c r="D383" s="6">
        <v>27.0</v>
      </c>
      <c r="E383" s="10" t="str">
        <f t="shared" si="3"/>
        <v>BIS27</v>
      </c>
      <c r="F383" s="13">
        <v>46.0</v>
      </c>
      <c r="G383" s="10" t="str">
        <f t="shared" si="4"/>
        <v>BIS27-46</v>
      </c>
      <c r="H383" s="6"/>
      <c r="I383" s="16" t="str">
        <f t="shared" si="5"/>
        <v>collected</v>
      </c>
      <c r="J383" s="16" t="str">
        <f t="shared" si="6"/>
        <v>N</v>
      </c>
      <c r="K383" s="16"/>
      <c r="L383" s="16"/>
    </row>
    <row r="384">
      <c r="A384" s="44" t="s">
        <v>722</v>
      </c>
      <c r="B384" s="10" t="str">
        <f t="shared" si="1"/>
        <v>isotope</v>
      </c>
      <c r="C384" s="49" t="str">
        <f t="shared" si="2"/>
        <v>S16898IS1</v>
      </c>
      <c r="D384" s="6">
        <v>27.0</v>
      </c>
      <c r="E384" s="10" t="str">
        <f t="shared" si="3"/>
        <v>BIS27</v>
      </c>
      <c r="F384" s="13">
        <v>47.0</v>
      </c>
      <c r="G384" s="10" t="str">
        <f t="shared" si="4"/>
        <v>BIS27-47</v>
      </c>
      <c r="H384" s="16"/>
      <c r="I384" s="16" t="str">
        <f t="shared" si="5"/>
        <v>collected</v>
      </c>
      <c r="J384" s="16" t="str">
        <f t="shared" si="6"/>
        <v>N</v>
      </c>
      <c r="K384" s="16"/>
      <c r="L384" s="16"/>
    </row>
    <row r="385">
      <c r="A385" s="44" t="s">
        <v>723</v>
      </c>
      <c r="B385" s="10" t="str">
        <f t="shared" si="1"/>
        <v>isotope</v>
      </c>
      <c r="C385" s="49" t="str">
        <f t="shared" si="2"/>
        <v>S16761IS1</v>
      </c>
      <c r="D385" s="6">
        <v>27.0</v>
      </c>
      <c r="E385" s="10" t="str">
        <f t="shared" si="3"/>
        <v>BIS27</v>
      </c>
      <c r="F385" s="13">
        <v>48.0</v>
      </c>
      <c r="G385" s="10" t="str">
        <f t="shared" si="4"/>
        <v>BIS27-48</v>
      </c>
      <c r="H385" s="16"/>
      <c r="I385" s="16" t="str">
        <f t="shared" si="5"/>
        <v>collected</v>
      </c>
      <c r="J385" s="16" t="str">
        <f t="shared" si="6"/>
        <v>N</v>
      </c>
      <c r="K385" s="16"/>
      <c r="L385" s="16"/>
    </row>
    <row r="386">
      <c r="A386" s="44" t="s">
        <v>724</v>
      </c>
      <c r="B386" s="10" t="str">
        <f t="shared" si="1"/>
        <v>isotope</v>
      </c>
      <c r="C386" s="49" t="str">
        <f t="shared" si="2"/>
        <v>S16766IS1</v>
      </c>
      <c r="D386" s="6">
        <v>27.0</v>
      </c>
      <c r="E386" s="10" t="str">
        <f t="shared" si="3"/>
        <v>BIS27</v>
      </c>
      <c r="F386" s="13">
        <v>49.0</v>
      </c>
      <c r="G386" s="10" t="str">
        <f t="shared" si="4"/>
        <v>BIS27-49</v>
      </c>
      <c r="H386" s="16"/>
      <c r="I386" s="16" t="str">
        <f t="shared" si="5"/>
        <v>collected</v>
      </c>
      <c r="J386" s="16" t="str">
        <f t="shared" si="6"/>
        <v>N</v>
      </c>
      <c r="K386" s="16"/>
      <c r="L386" s="16"/>
    </row>
    <row r="387">
      <c r="A387" s="44" t="s">
        <v>726</v>
      </c>
      <c r="B387" s="10" t="str">
        <f t="shared" si="1"/>
        <v>isotope</v>
      </c>
      <c r="C387" s="49" t="str">
        <f t="shared" si="2"/>
        <v>S16763IS1</v>
      </c>
      <c r="D387" s="6">
        <v>27.0</v>
      </c>
      <c r="E387" s="10" t="str">
        <f t="shared" si="3"/>
        <v>BIS27</v>
      </c>
      <c r="F387" s="13">
        <v>50.0</v>
      </c>
      <c r="G387" s="10" t="str">
        <f t="shared" si="4"/>
        <v>BIS27-50</v>
      </c>
      <c r="H387" s="16"/>
      <c r="I387" s="16" t="str">
        <f t="shared" si="5"/>
        <v>collected</v>
      </c>
      <c r="J387" s="16" t="str">
        <f t="shared" si="6"/>
        <v>N</v>
      </c>
      <c r="K387" s="16"/>
      <c r="L387" s="16"/>
    </row>
    <row r="388">
      <c r="A388" s="44" t="s">
        <v>728</v>
      </c>
      <c r="B388" s="10" t="str">
        <f t="shared" si="1"/>
        <v>isotope</v>
      </c>
      <c r="C388" s="49" t="str">
        <f t="shared" si="2"/>
        <v>S16765IS1</v>
      </c>
      <c r="D388" s="6">
        <v>27.0</v>
      </c>
      <c r="E388" s="10" t="str">
        <f t="shared" si="3"/>
        <v>BIS27</v>
      </c>
      <c r="F388" s="13">
        <v>51.0</v>
      </c>
      <c r="G388" s="10" t="str">
        <f t="shared" si="4"/>
        <v>BIS27-51</v>
      </c>
      <c r="H388" s="16"/>
      <c r="I388" s="16" t="str">
        <f t="shared" si="5"/>
        <v>collected</v>
      </c>
      <c r="J388" s="16" t="str">
        <f t="shared" si="6"/>
        <v>N</v>
      </c>
      <c r="K388" s="16"/>
      <c r="L388" s="16"/>
    </row>
    <row r="389">
      <c r="A389" s="44" t="s">
        <v>729</v>
      </c>
      <c r="B389" s="10" t="str">
        <f t="shared" si="1"/>
        <v>isotope</v>
      </c>
      <c r="C389" s="49" t="str">
        <f t="shared" si="2"/>
        <v>S16767IS1</v>
      </c>
      <c r="D389" s="6">
        <v>27.0</v>
      </c>
      <c r="E389" s="10" t="str">
        <f t="shared" si="3"/>
        <v>BIS27</v>
      </c>
      <c r="F389" s="13">
        <v>52.0</v>
      </c>
      <c r="G389" s="10" t="str">
        <f t="shared" si="4"/>
        <v>BIS27-52</v>
      </c>
      <c r="H389" s="16"/>
      <c r="I389" s="16" t="str">
        <f t="shared" si="5"/>
        <v>collected</v>
      </c>
      <c r="J389" s="16" t="str">
        <f t="shared" si="6"/>
        <v>N</v>
      </c>
      <c r="K389" s="16"/>
      <c r="L389" s="16"/>
    </row>
    <row r="390">
      <c r="A390" s="44" t="s">
        <v>731</v>
      </c>
      <c r="B390" s="10" t="str">
        <f t="shared" si="1"/>
        <v>isotope</v>
      </c>
      <c r="C390" s="49" t="str">
        <f t="shared" si="2"/>
        <v>S16762IS1</v>
      </c>
      <c r="D390" s="6">
        <v>27.0</v>
      </c>
      <c r="E390" s="10" t="str">
        <f t="shared" si="3"/>
        <v>BIS27</v>
      </c>
      <c r="F390" s="13">
        <v>53.0</v>
      </c>
      <c r="G390" s="10" t="str">
        <f t="shared" si="4"/>
        <v>BIS27-53</v>
      </c>
      <c r="H390" s="16"/>
      <c r="I390" s="16" t="str">
        <f t="shared" si="5"/>
        <v>collected</v>
      </c>
      <c r="J390" s="16" t="str">
        <f t="shared" si="6"/>
        <v>N</v>
      </c>
      <c r="K390" s="16"/>
      <c r="L390" s="16"/>
    </row>
    <row r="391">
      <c r="A391" s="44" t="s">
        <v>734</v>
      </c>
      <c r="B391" s="10" t="str">
        <f t="shared" si="1"/>
        <v>isotope</v>
      </c>
      <c r="C391" s="49" t="str">
        <f t="shared" si="2"/>
        <v>S16764IS1</v>
      </c>
      <c r="D391" s="6">
        <v>27.0</v>
      </c>
      <c r="E391" s="10" t="str">
        <f t="shared" si="3"/>
        <v>BIS27</v>
      </c>
      <c r="F391" s="13">
        <v>54.0</v>
      </c>
      <c r="G391" s="10" t="str">
        <f t="shared" si="4"/>
        <v>BIS27-54</v>
      </c>
      <c r="H391" s="16"/>
      <c r="I391" s="16" t="str">
        <f t="shared" si="5"/>
        <v>collected</v>
      </c>
      <c r="J391" s="16" t="str">
        <f t="shared" si="6"/>
        <v>N</v>
      </c>
      <c r="K391" s="16"/>
      <c r="L391" s="16"/>
    </row>
    <row r="392">
      <c r="A392" s="6" t="s">
        <v>735</v>
      </c>
      <c r="B392" s="10" t="str">
        <f t="shared" si="1"/>
        <v>isotope</v>
      </c>
      <c r="C392" s="49" t="str">
        <f t="shared" si="2"/>
        <v>S16707IS1</v>
      </c>
      <c r="D392" s="6">
        <v>26.0</v>
      </c>
      <c r="E392" s="10" t="str">
        <f t="shared" si="3"/>
        <v>BIS26</v>
      </c>
      <c r="F392" s="13">
        <v>68.0</v>
      </c>
      <c r="G392" s="10" t="str">
        <f t="shared" si="4"/>
        <v>BIS26-68</v>
      </c>
      <c r="H392" s="16"/>
      <c r="I392" s="16" t="str">
        <f t="shared" si="5"/>
        <v>collected</v>
      </c>
      <c r="J392" s="16" t="str">
        <f t="shared" si="6"/>
        <v>N</v>
      </c>
      <c r="K392" s="16"/>
      <c r="L392" s="16"/>
    </row>
    <row r="393">
      <c r="A393" s="6" t="s">
        <v>736</v>
      </c>
      <c r="B393" s="10" t="str">
        <f t="shared" si="1"/>
        <v>isotope</v>
      </c>
      <c r="C393" s="49" t="str">
        <f t="shared" si="2"/>
        <v>S16708IS1</v>
      </c>
      <c r="D393" s="6">
        <v>26.0</v>
      </c>
      <c r="E393" s="10" t="str">
        <f t="shared" si="3"/>
        <v>BIS26</v>
      </c>
      <c r="F393" s="13">
        <v>69.0</v>
      </c>
      <c r="G393" s="10" t="str">
        <f t="shared" si="4"/>
        <v>BIS26-69</v>
      </c>
      <c r="H393" s="16"/>
      <c r="I393" s="16" t="str">
        <f t="shared" si="5"/>
        <v>collected</v>
      </c>
      <c r="J393" s="16" t="str">
        <f t="shared" si="6"/>
        <v>N</v>
      </c>
      <c r="K393" s="16"/>
      <c r="L393" s="16"/>
    </row>
    <row r="394">
      <c r="A394" s="6" t="s">
        <v>738</v>
      </c>
      <c r="B394" s="10" t="str">
        <f t="shared" si="1"/>
        <v>isotope</v>
      </c>
      <c r="C394" s="49" t="str">
        <f t="shared" si="2"/>
        <v>S16709IS1</v>
      </c>
      <c r="D394" s="6">
        <v>26.0</v>
      </c>
      <c r="E394" s="10" t="str">
        <f t="shared" si="3"/>
        <v>BIS26</v>
      </c>
      <c r="F394" s="13">
        <v>70.0</v>
      </c>
      <c r="G394" s="10" t="str">
        <f t="shared" si="4"/>
        <v>BIS26-70</v>
      </c>
      <c r="H394" s="16"/>
      <c r="I394" s="16" t="str">
        <f t="shared" si="5"/>
        <v>collected</v>
      </c>
      <c r="J394" s="16" t="str">
        <f t="shared" si="6"/>
        <v>N</v>
      </c>
      <c r="K394" s="16"/>
      <c r="L394" s="16"/>
    </row>
    <row r="395">
      <c r="A395" s="6" t="s">
        <v>740</v>
      </c>
      <c r="B395" s="10" t="str">
        <f t="shared" si="1"/>
        <v>isotope</v>
      </c>
      <c r="C395" s="49" t="str">
        <f t="shared" si="2"/>
        <v>S16710IS1</v>
      </c>
      <c r="D395" s="6">
        <v>26.0</v>
      </c>
      <c r="E395" s="10" t="str">
        <f t="shared" si="3"/>
        <v>BIS26</v>
      </c>
      <c r="F395" s="13">
        <v>71.0</v>
      </c>
      <c r="G395" s="10" t="str">
        <f t="shared" si="4"/>
        <v>BIS26-71</v>
      </c>
      <c r="H395" s="16"/>
      <c r="I395" s="16" t="str">
        <f t="shared" si="5"/>
        <v>collected</v>
      </c>
      <c r="J395" s="16" t="str">
        <f t="shared" si="6"/>
        <v>N</v>
      </c>
      <c r="K395" s="16"/>
      <c r="L395" s="16"/>
    </row>
    <row r="396">
      <c r="A396" s="6" t="s">
        <v>741</v>
      </c>
      <c r="B396" s="10" t="str">
        <f t="shared" si="1"/>
        <v>isotope</v>
      </c>
      <c r="C396" s="49" t="str">
        <f t="shared" si="2"/>
        <v>S16921IS1</v>
      </c>
      <c r="D396" s="6">
        <v>26.0</v>
      </c>
      <c r="E396" s="10" t="str">
        <f t="shared" si="3"/>
        <v>BIS26</v>
      </c>
      <c r="F396" s="13">
        <v>72.0</v>
      </c>
      <c r="G396" s="10" t="str">
        <f t="shared" si="4"/>
        <v>BIS26-72</v>
      </c>
      <c r="H396" s="16"/>
      <c r="I396" s="16" t="str">
        <f t="shared" si="5"/>
        <v>collected</v>
      </c>
      <c r="J396" s="16" t="str">
        <f t="shared" si="6"/>
        <v>N</v>
      </c>
      <c r="K396" s="16"/>
      <c r="L396" s="16"/>
    </row>
    <row r="397">
      <c r="A397" s="26" t="s">
        <v>743</v>
      </c>
      <c r="B397" s="10" t="str">
        <f t="shared" si="1"/>
        <v>isotope</v>
      </c>
      <c r="C397" s="49" t="str">
        <f t="shared" si="2"/>
        <v>S16922IS1</v>
      </c>
      <c r="D397" s="6">
        <v>26.0</v>
      </c>
      <c r="E397" s="10" t="str">
        <f t="shared" si="3"/>
        <v>BIS26</v>
      </c>
      <c r="F397" s="13">
        <v>73.0</v>
      </c>
      <c r="G397" s="10" t="str">
        <f t="shared" si="4"/>
        <v>BIS26-73</v>
      </c>
      <c r="H397" s="16"/>
      <c r="I397" s="16" t="str">
        <f t="shared" si="5"/>
        <v>collected</v>
      </c>
      <c r="J397" s="16" t="str">
        <f t="shared" si="6"/>
        <v>N</v>
      </c>
      <c r="K397" s="16"/>
      <c r="L397" s="16"/>
    </row>
    <row r="398">
      <c r="A398" s="26" t="s">
        <v>744</v>
      </c>
      <c r="B398" s="10" t="str">
        <f t="shared" si="1"/>
        <v>isotope</v>
      </c>
      <c r="C398" s="49" t="str">
        <f t="shared" si="2"/>
        <v>S16923IS1</v>
      </c>
      <c r="D398" s="6">
        <v>26.0</v>
      </c>
      <c r="E398" s="10" t="str">
        <f t="shared" si="3"/>
        <v>BIS26</v>
      </c>
      <c r="F398" s="13">
        <v>74.0</v>
      </c>
      <c r="G398" s="10" t="str">
        <f t="shared" si="4"/>
        <v>BIS26-74</v>
      </c>
      <c r="H398" s="16"/>
      <c r="I398" s="16" t="str">
        <f t="shared" si="5"/>
        <v>collected</v>
      </c>
      <c r="J398" s="16" t="str">
        <f t="shared" si="6"/>
        <v>N</v>
      </c>
      <c r="K398" s="16"/>
      <c r="L398" s="16"/>
    </row>
    <row r="399">
      <c r="A399" s="26" t="s">
        <v>745</v>
      </c>
      <c r="B399" s="10" t="str">
        <f t="shared" si="1"/>
        <v>isotope</v>
      </c>
      <c r="C399" s="49" t="str">
        <f t="shared" si="2"/>
        <v>S17351IS1</v>
      </c>
      <c r="D399" s="6">
        <v>26.0</v>
      </c>
      <c r="E399" s="10" t="str">
        <f t="shared" si="3"/>
        <v>BIS26</v>
      </c>
      <c r="F399" s="13">
        <v>75.0</v>
      </c>
      <c r="G399" s="10" t="str">
        <f t="shared" si="4"/>
        <v>BIS26-75</v>
      </c>
      <c r="H399" s="16"/>
      <c r="I399" s="16" t="str">
        <f t="shared" si="5"/>
        <v>collected</v>
      </c>
      <c r="J399" s="16" t="str">
        <f t="shared" si="6"/>
        <v>N</v>
      </c>
      <c r="K399" s="16"/>
      <c r="L399" s="16"/>
    </row>
    <row r="400">
      <c r="A400" s="26" t="s">
        <v>747</v>
      </c>
      <c r="B400" s="10" t="str">
        <f t="shared" si="1"/>
        <v>isotope</v>
      </c>
      <c r="C400" s="49" t="str">
        <f t="shared" si="2"/>
        <v>S17352IS1</v>
      </c>
      <c r="D400" s="6">
        <v>26.0</v>
      </c>
      <c r="E400" s="10" t="str">
        <f t="shared" si="3"/>
        <v>BIS26</v>
      </c>
      <c r="F400" s="13">
        <v>76.0</v>
      </c>
      <c r="G400" s="10" t="str">
        <f t="shared" si="4"/>
        <v>BIS26-76</v>
      </c>
      <c r="H400" s="16"/>
      <c r="I400" s="16" t="str">
        <f t="shared" si="5"/>
        <v>collected</v>
      </c>
      <c r="J400" s="16" t="str">
        <f t="shared" si="6"/>
        <v>N</v>
      </c>
      <c r="K400" s="16"/>
      <c r="L400" s="16"/>
    </row>
    <row r="401">
      <c r="A401" s="26" t="s">
        <v>749</v>
      </c>
      <c r="B401" s="10" t="str">
        <f t="shared" si="1"/>
        <v>isotope</v>
      </c>
      <c r="C401" s="49" t="str">
        <f t="shared" si="2"/>
        <v>S17353IS1</v>
      </c>
      <c r="D401" s="6">
        <v>26.0</v>
      </c>
      <c r="E401" s="10" t="str">
        <f t="shared" si="3"/>
        <v>BIS26</v>
      </c>
      <c r="F401" s="13">
        <v>77.0</v>
      </c>
      <c r="G401" s="10" t="str">
        <f t="shared" si="4"/>
        <v>BIS26-77</v>
      </c>
      <c r="H401" s="16"/>
      <c r="I401" s="16" t="str">
        <f t="shared" si="5"/>
        <v>collected</v>
      </c>
      <c r="J401" s="16" t="str">
        <f t="shared" si="6"/>
        <v>N</v>
      </c>
      <c r="K401" s="16"/>
      <c r="L401" s="16"/>
    </row>
    <row r="402">
      <c r="A402" s="26" t="s">
        <v>751</v>
      </c>
      <c r="B402" s="10" t="str">
        <f t="shared" si="1"/>
        <v>isotope</v>
      </c>
      <c r="C402" s="49" t="str">
        <f t="shared" si="2"/>
        <v>S17354IS1</v>
      </c>
      <c r="D402" s="6">
        <v>26.0</v>
      </c>
      <c r="E402" s="10" t="str">
        <f t="shared" si="3"/>
        <v>BIS26</v>
      </c>
      <c r="F402" s="13">
        <v>78.0</v>
      </c>
      <c r="G402" s="10" t="str">
        <f t="shared" si="4"/>
        <v>BIS26-78</v>
      </c>
      <c r="H402" s="16"/>
      <c r="I402" s="16" t="str">
        <f t="shared" si="5"/>
        <v>collected</v>
      </c>
      <c r="J402" s="16" t="str">
        <f t="shared" si="6"/>
        <v>N</v>
      </c>
      <c r="K402" s="16"/>
      <c r="L402" s="16"/>
    </row>
    <row r="403">
      <c r="A403" s="26" t="s">
        <v>753</v>
      </c>
      <c r="B403" s="10" t="str">
        <f t="shared" si="1"/>
        <v>isotope</v>
      </c>
      <c r="C403" s="49" t="str">
        <f t="shared" si="2"/>
        <v>S17355IS1</v>
      </c>
      <c r="D403" s="6">
        <v>26.0</v>
      </c>
      <c r="E403" s="10" t="str">
        <f t="shared" si="3"/>
        <v>BIS26</v>
      </c>
      <c r="F403" s="13">
        <v>79.0</v>
      </c>
      <c r="G403" s="10" t="str">
        <f t="shared" si="4"/>
        <v>BIS26-79</v>
      </c>
      <c r="H403" s="16"/>
      <c r="I403" s="16" t="str">
        <f t="shared" si="5"/>
        <v>collected</v>
      </c>
      <c r="J403" s="16" t="str">
        <f t="shared" si="6"/>
        <v>N</v>
      </c>
      <c r="K403" s="16"/>
      <c r="L403" s="16"/>
    </row>
    <row r="404">
      <c r="A404" s="27" t="s">
        <v>755</v>
      </c>
      <c r="B404" s="10" t="str">
        <f t="shared" si="1"/>
        <v>isotope</v>
      </c>
      <c r="C404" s="49" t="str">
        <f t="shared" si="2"/>
        <v>S17356IS1</v>
      </c>
      <c r="D404" s="6">
        <v>26.0</v>
      </c>
      <c r="E404" s="10" t="str">
        <f t="shared" si="3"/>
        <v>BIS26</v>
      </c>
      <c r="F404" s="13">
        <v>80.0</v>
      </c>
      <c r="G404" s="10" t="str">
        <f t="shared" si="4"/>
        <v>BIS26-80</v>
      </c>
      <c r="H404" s="16"/>
      <c r="I404" s="16" t="str">
        <f t="shared" si="5"/>
        <v>collected</v>
      </c>
      <c r="J404" s="16" t="str">
        <f t="shared" si="6"/>
        <v>N</v>
      </c>
      <c r="K404" s="16"/>
      <c r="L404" s="16"/>
    </row>
    <row r="405">
      <c r="A405" s="27" t="s">
        <v>757</v>
      </c>
      <c r="B405" s="10" t="str">
        <f t="shared" si="1"/>
        <v>isotope</v>
      </c>
      <c r="C405" s="49" t="str">
        <f t="shared" si="2"/>
        <v>S17357IS1</v>
      </c>
      <c r="D405" s="6">
        <v>28.0</v>
      </c>
      <c r="E405" s="10" t="str">
        <f t="shared" si="3"/>
        <v>BIS28</v>
      </c>
      <c r="F405" s="13">
        <v>1.0</v>
      </c>
      <c r="G405" s="10" t="str">
        <f t="shared" si="4"/>
        <v>BIS28-1</v>
      </c>
      <c r="H405" s="16"/>
      <c r="I405" s="16" t="str">
        <f t="shared" si="5"/>
        <v>collected</v>
      </c>
      <c r="J405" s="16" t="str">
        <f t="shared" si="6"/>
        <v>N</v>
      </c>
      <c r="K405" s="16"/>
      <c r="L405" s="16"/>
    </row>
    <row r="406">
      <c r="A406" s="27" t="s">
        <v>758</v>
      </c>
      <c r="B406" s="10" t="str">
        <f t="shared" si="1"/>
        <v>isotope</v>
      </c>
      <c r="C406" s="49" t="str">
        <f t="shared" si="2"/>
        <v>S17358IS1</v>
      </c>
      <c r="D406" s="6">
        <v>28.0</v>
      </c>
      <c r="E406" s="10" t="str">
        <f t="shared" si="3"/>
        <v>BIS28</v>
      </c>
      <c r="F406" s="13">
        <v>2.0</v>
      </c>
      <c r="G406" s="10" t="str">
        <f t="shared" si="4"/>
        <v>BIS28-2</v>
      </c>
      <c r="H406" s="16"/>
      <c r="I406" s="16" t="str">
        <f t="shared" si="5"/>
        <v>collected</v>
      </c>
      <c r="J406" s="16" t="str">
        <f t="shared" si="6"/>
        <v>N</v>
      </c>
      <c r="K406" s="16"/>
      <c r="L406" s="16"/>
    </row>
    <row r="407">
      <c r="A407" s="27" t="s">
        <v>760</v>
      </c>
      <c r="B407" s="10" t="str">
        <f t="shared" si="1"/>
        <v>isotope</v>
      </c>
      <c r="C407" s="49" t="str">
        <f t="shared" si="2"/>
        <v>S17359IS1</v>
      </c>
      <c r="D407" s="6">
        <v>28.0</v>
      </c>
      <c r="E407" s="10" t="str">
        <f t="shared" si="3"/>
        <v>BIS28</v>
      </c>
      <c r="F407" s="13">
        <v>3.0</v>
      </c>
      <c r="G407" s="10" t="str">
        <f t="shared" si="4"/>
        <v>BIS28-3</v>
      </c>
      <c r="H407" s="16"/>
      <c r="I407" s="16" t="str">
        <f t="shared" si="5"/>
        <v>collected</v>
      </c>
      <c r="J407" s="16" t="str">
        <f t="shared" si="6"/>
        <v>N</v>
      </c>
      <c r="K407" s="16"/>
      <c r="L407" s="16"/>
    </row>
    <row r="408">
      <c r="A408" s="27" t="s">
        <v>762</v>
      </c>
      <c r="B408" s="10" t="str">
        <f t="shared" si="1"/>
        <v>isotope</v>
      </c>
      <c r="C408" s="49" t="str">
        <f t="shared" si="2"/>
        <v>S17360IS1</v>
      </c>
      <c r="D408" s="6">
        <v>28.0</v>
      </c>
      <c r="E408" s="10" t="str">
        <f t="shared" si="3"/>
        <v>BIS28</v>
      </c>
      <c r="F408" s="13">
        <v>4.0</v>
      </c>
      <c r="G408" s="10" t="str">
        <f t="shared" si="4"/>
        <v>BIS28-4</v>
      </c>
      <c r="H408" s="16"/>
      <c r="I408" s="16" t="str">
        <f t="shared" si="5"/>
        <v>collected</v>
      </c>
      <c r="J408" s="16" t="str">
        <f t="shared" si="6"/>
        <v>N</v>
      </c>
      <c r="K408" s="16"/>
      <c r="L408" s="16"/>
    </row>
    <row r="409">
      <c r="A409" s="43" t="s">
        <v>763</v>
      </c>
      <c r="B409" s="10" t="str">
        <f t="shared" si="1"/>
        <v>isotope</v>
      </c>
      <c r="C409" s="49" t="str">
        <f t="shared" si="2"/>
        <v>S16954IS1</v>
      </c>
      <c r="D409" s="6">
        <v>27.0</v>
      </c>
      <c r="E409" s="10" t="str">
        <f t="shared" si="3"/>
        <v>BIS27</v>
      </c>
      <c r="F409" s="13">
        <v>55.0</v>
      </c>
      <c r="G409" s="10" t="str">
        <f t="shared" si="4"/>
        <v>BIS27-55</v>
      </c>
      <c r="H409" s="6"/>
      <c r="I409" s="16" t="str">
        <f t="shared" si="5"/>
        <v>collected</v>
      </c>
      <c r="J409" s="16" t="str">
        <f t="shared" si="6"/>
        <v>N</v>
      </c>
      <c r="K409" s="16"/>
      <c r="L409" s="16"/>
    </row>
    <row r="410">
      <c r="A410" s="43" t="s">
        <v>764</v>
      </c>
      <c r="B410" s="10" t="str">
        <f t="shared" si="1"/>
        <v>isotope</v>
      </c>
      <c r="C410" s="49" t="str">
        <f t="shared" si="2"/>
        <v>S16953IS1</v>
      </c>
      <c r="D410" s="6">
        <v>27.0</v>
      </c>
      <c r="E410" s="10" t="str">
        <f t="shared" si="3"/>
        <v>BIS27</v>
      </c>
      <c r="F410" s="13">
        <v>56.0</v>
      </c>
      <c r="G410" s="10" t="str">
        <f t="shared" si="4"/>
        <v>BIS27-56</v>
      </c>
      <c r="H410" s="6"/>
      <c r="I410" s="16" t="str">
        <f t="shared" si="5"/>
        <v>collected</v>
      </c>
      <c r="J410" s="16" t="str">
        <f t="shared" si="6"/>
        <v>N</v>
      </c>
      <c r="K410" s="16"/>
      <c r="L410" s="16"/>
    </row>
    <row r="411">
      <c r="A411" s="43" t="s">
        <v>767</v>
      </c>
      <c r="B411" s="10" t="str">
        <f t="shared" si="1"/>
        <v>isotope</v>
      </c>
      <c r="C411" s="49" t="str">
        <f t="shared" si="2"/>
        <v>S16952IS1</v>
      </c>
      <c r="D411" s="6">
        <v>27.0</v>
      </c>
      <c r="E411" s="10" t="str">
        <f t="shared" si="3"/>
        <v>BIS27</v>
      </c>
      <c r="F411" s="13">
        <v>57.0</v>
      </c>
      <c r="G411" s="10" t="str">
        <f t="shared" si="4"/>
        <v>BIS27-57</v>
      </c>
      <c r="H411" s="6"/>
      <c r="I411" s="16" t="str">
        <f t="shared" si="5"/>
        <v>collected</v>
      </c>
      <c r="J411" s="16" t="str">
        <f t="shared" si="6"/>
        <v>N</v>
      </c>
      <c r="K411" s="16"/>
      <c r="L411" s="16"/>
    </row>
    <row r="412">
      <c r="A412" s="43" t="s">
        <v>768</v>
      </c>
      <c r="B412" s="10" t="str">
        <f t="shared" si="1"/>
        <v>isotope</v>
      </c>
      <c r="C412" s="49" t="str">
        <f t="shared" si="2"/>
        <v>S16951IS1</v>
      </c>
      <c r="D412" s="6">
        <v>27.0</v>
      </c>
      <c r="E412" s="10" t="str">
        <f t="shared" si="3"/>
        <v>BIS27</v>
      </c>
      <c r="F412" s="13">
        <v>58.0</v>
      </c>
      <c r="G412" s="10" t="str">
        <f t="shared" si="4"/>
        <v>BIS27-58</v>
      </c>
      <c r="H412" s="6"/>
      <c r="I412" s="16" t="str">
        <f t="shared" si="5"/>
        <v>collected</v>
      </c>
      <c r="J412" s="16" t="str">
        <f t="shared" si="6"/>
        <v>N</v>
      </c>
      <c r="K412" s="16"/>
      <c r="L412" s="16"/>
    </row>
    <row r="413">
      <c r="A413" s="43" t="s">
        <v>770</v>
      </c>
      <c r="B413" s="10" t="str">
        <f t="shared" si="1"/>
        <v>isotope</v>
      </c>
      <c r="C413" s="49" t="str">
        <f t="shared" si="2"/>
        <v>S16955IS1</v>
      </c>
      <c r="D413" s="6">
        <v>27.0</v>
      </c>
      <c r="E413" s="10" t="str">
        <f t="shared" si="3"/>
        <v>BIS27</v>
      </c>
      <c r="F413" s="13">
        <v>59.0</v>
      </c>
      <c r="G413" s="10" t="str">
        <f t="shared" si="4"/>
        <v>BIS27-59</v>
      </c>
      <c r="H413" s="6"/>
      <c r="I413" s="16" t="str">
        <f t="shared" si="5"/>
        <v>collected</v>
      </c>
      <c r="J413" s="16" t="str">
        <f t="shared" si="6"/>
        <v>N</v>
      </c>
      <c r="K413" s="16"/>
      <c r="L413" s="16"/>
    </row>
    <row r="414">
      <c r="A414" s="43" t="s">
        <v>771</v>
      </c>
      <c r="B414" s="10" t="str">
        <f t="shared" si="1"/>
        <v>isotope</v>
      </c>
      <c r="C414" s="49" t="str">
        <f t="shared" si="2"/>
        <v>S17429IS1</v>
      </c>
      <c r="D414" s="6">
        <v>27.0</v>
      </c>
      <c r="E414" s="10" t="str">
        <f t="shared" si="3"/>
        <v>BIS27</v>
      </c>
      <c r="F414" s="13">
        <v>60.0</v>
      </c>
      <c r="G414" s="10" t="str">
        <f t="shared" si="4"/>
        <v>BIS27-60</v>
      </c>
      <c r="H414" s="6"/>
      <c r="I414" s="16" t="str">
        <f t="shared" si="5"/>
        <v>collected</v>
      </c>
      <c r="J414" s="16" t="str">
        <f t="shared" si="6"/>
        <v>N</v>
      </c>
      <c r="K414" s="16"/>
      <c r="L414" s="16"/>
    </row>
    <row r="415">
      <c r="A415" s="43" t="s">
        <v>773</v>
      </c>
      <c r="B415" s="10" t="str">
        <f t="shared" si="1"/>
        <v>isotope</v>
      </c>
      <c r="C415" s="49" t="str">
        <f t="shared" si="2"/>
        <v>S17425IS1</v>
      </c>
      <c r="D415" s="6">
        <v>27.0</v>
      </c>
      <c r="E415" s="10" t="str">
        <f t="shared" si="3"/>
        <v>BIS27</v>
      </c>
      <c r="F415" s="13">
        <v>61.0</v>
      </c>
      <c r="G415" s="10" t="str">
        <f t="shared" si="4"/>
        <v>BIS27-61</v>
      </c>
      <c r="H415" s="6"/>
      <c r="I415" s="16" t="str">
        <f t="shared" si="5"/>
        <v>collected</v>
      </c>
      <c r="J415" s="16" t="str">
        <f t="shared" si="6"/>
        <v>N</v>
      </c>
      <c r="K415" s="16"/>
      <c r="L415" s="16"/>
    </row>
    <row r="416">
      <c r="A416" s="43" t="s">
        <v>775</v>
      </c>
      <c r="B416" s="10" t="str">
        <f t="shared" si="1"/>
        <v>isotope</v>
      </c>
      <c r="C416" s="49" t="str">
        <f t="shared" si="2"/>
        <v>S17422IS1</v>
      </c>
      <c r="D416" s="6">
        <v>27.0</v>
      </c>
      <c r="E416" s="10" t="str">
        <f t="shared" si="3"/>
        <v>BIS27</v>
      </c>
      <c r="F416" s="13">
        <v>62.0</v>
      </c>
      <c r="G416" s="10" t="str">
        <f t="shared" si="4"/>
        <v>BIS27-62</v>
      </c>
      <c r="H416" s="6"/>
      <c r="I416" s="16" t="str">
        <f t="shared" si="5"/>
        <v>collected</v>
      </c>
      <c r="J416" s="16" t="str">
        <f t="shared" si="6"/>
        <v>N</v>
      </c>
      <c r="K416" s="16"/>
      <c r="L416" s="16"/>
    </row>
    <row r="417">
      <c r="A417" s="43" t="s">
        <v>777</v>
      </c>
      <c r="B417" s="10" t="str">
        <f t="shared" si="1"/>
        <v>isotope</v>
      </c>
      <c r="C417" s="49" t="str">
        <f t="shared" si="2"/>
        <v>S17423IS1</v>
      </c>
      <c r="D417" s="6">
        <v>27.0</v>
      </c>
      <c r="E417" s="10" t="str">
        <f t="shared" si="3"/>
        <v>BIS27</v>
      </c>
      <c r="F417" s="13">
        <v>63.0</v>
      </c>
      <c r="G417" s="10" t="str">
        <f t="shared" si="4"/>
        <v>BIS27-63</v>
      </c>
      <c r="H417" s="6"/>
      <c r="I417" s="16" t="str">
        <f t="shared" si="5"/>
        <v>collected</v>
      </c>
      <c r="J417" s="16" t="str">
        <f t="shared" si="6"/>
        <v>N</v>
      </c>
      <c r="K417" s="16"/>
      <c r="L417" s="16"/>
    </row>
    <row r="418">
      <c r="A418" s="43" t="s">
        <v>778</v>
      </c>
      <c r="B418" s="10" t="str">
        <f t="shared" si="1"/>
        <v>isotope</v>
      </c>
      <c r="C418" s="49" t="str">
        <f t="shared" si="2"/>
        <v>S17426IS1</v>
      </c>
      <c r="D418" s="6">
        <v>27.0</v>
      </c>
      <c r="E418" s="10" t="str">
        <f t="shared" si="3"/>
        <v>BIS27</v>
      </c>
      <c r="F418" s="13">
        <v>64.0</v>
      </c>
      <c r="G418" s="10" t="str">
        <f t="shared" si="4"/>
        <v>BIS27-64</v>
      </c>
      <c r="H418" s="6"/>
      <c r="I418" s="16" t="str">
        <f t="shared" si="5"/>
        <v>collected</v>
      </c>
      <c r="J418" s="16" t="str">
        <f t="shared" si="6"/>
        <v>N</v>
      </c>
      <c r="K418" s="16"/>
      <c r="L418" s="16"/>
    </row>
    <row r="419">
      <c r="A419" s="43" t="s">
        <v>781</v>
      </c>
      <c r="B419" s="10" t="str">
        <f t="shared" si="1"/>
        <v>isotope</v>
      </c>
      <c r="C419" s="49" t="str">
        <f t="shared" si="2"/>
        <v>S17421IS1</v>
      </c>
      <c r="D419" s="6">
        <v>27.0</v>
      </c>
      <c r="E419" s="10" t="str">
        <f t="shared" si="3"/>
        <v>BIS27</v>
      </c>
      <c r="F419" s="13">
        <v>65.0</v>
      </c>
      <c r="G419" s="10" t="str">
        <f t="shared" si="4"/>
        <v>BIS27-65</v>
      </c>
      <c r="H419" s="16"/>
      <c r="I419" s="16" t="str">
        <f t="shared" si="5"/>
        <v>collected</v>
      </c>
      <c r="J419" s="16" t="str">
        <f t="shared" si="6"/>
        <v>N</v>
      </c>
      <c r="K419" s="16"/>
      <c r="L419" s="16"/>
    </row>
    <row r="420">
      <c r="A420" s="43" t="s">
        <v>782</v>
      </c>
      <c r="B420" s="10" t="str">
        <f t="shared" si="1"/>
        <v>isotope</v>
      </c>
      <c r="C420" s="49" t="str">
        <f t="shared" si="2"/>
        <v>S17430IS1</v>
      </c>
      <c r="D420" s="6">
        <v>27.0</v>
      </c>
      <c r="E420" s="10" t="str">
        <f t="shared" si="3"/>
        <v>BIS27</v>
      </c>
      <c r="F420" s="13">
        <v>66.0</v>
      </c>
      <c r="G420" s="10" t="str">
        <f t="shared" si="4"/>
        <v>BIS27-66</v>
      </c>
      <c r="H420" s="16"/>
      <c r="I420" s="16" t="str">
        <f t="shared" si="5"/>
        <v>collected</v>
      </c>
      <c r="J420" s="16" t="str">
        <f t="shared" si="6"/>
        <v>N</v>
      </c>
      <c r="K420" s="16"/>
      <c r="L420" s="16"/>
    </row>
    <row r="421">
      <c r="A421" s="43" t="s">
        <v>783</v>
      </c>
      <c r="B421" s="10" t="str">
        <f t="shared" si="1"/>
        <v>isotope</v>
      </c>
      <c r="C421" s="49" t="str">
        <f t="shared" si="2"/>
        <v>S17424IS1</v>
      </c>
      <c r="D421" s="6">
        <v>27.0</v>
      </c>
      <c r="E421" s="10" t="str">
        <f t="shared" si="3"/>
        <v>BIS27</v>
      </c>
      <c r="F421" s="13">
        <v>67.0</v>
      </c>
      <c r="G421" s="10" t="str">
        <f t="shared" si="4"/>
        <v>BIS27-67</v>
      </c>
      <c r="H421" s="16"/>
      <c r="I421" s="16" t="str">
        <f t="shared" si="5"/>
        <v>collected</v>
      </c>
      <c r="J421" s="16" t="str">
        <f t="shared" si="6"/>
        <v>N</v>
      </c>
      <c r="K421" s="16"/>
      <c r="L421" s="16"/>
    </row>
    <row r="422">
      <c r="A422" s="43" t="s">
        <v>785</v>
      </c>
      <c r="B422" s="10" t="str">
        <f t="shared" si="1"/>
        <v>isotope</v>
      </c>
      <c r="C422" s="49" t="str">
        <f t="shared" si="2"/>
        <v>S17427IS1</v>
      </c>
      <c r="D422" s="6">
        <v>27.0</v>
      </c>
      <c r="E422" s="10" t="str">
        <f t="shared" si="3"/>
        <v>BIS27</v>
      </c>
      <c r="F422" s="13">
        <v>68.0</v>
      </c>
      <c r="G422" s="10" t="str">
        <f t="shared" si="4"/>
        <v>BIS27-68</v>
      </c>
      <c r="H422" s="16"/>
      <c r="I422" s="16" t="str">
        <f t="shared" si="5"/>
        <v>collected</v>
      </c>
      <c r="J422" s="16" t="str">
        <f t="shared" si="6"/>
        <v>N</v>
      </c>
      <c r="K422" s="16"/>
      <c r="L422" s="16"/>
    </row>
    <row r="423">
      <c r="A423" s="43" t="s">
        <v>787</v>
      </c>
      <c r="B423" s="10" t="str">
        <f t="shared" si="1"/>
        <v>isotope</v>
      </c>
      <c r="C423" s="49" t="str">
        <f t="shared" si="2"/>
        <v>S17428IS1</v>
      </c>
      <c r="D423" s="6">
        <v>27.0</v>
      </c>
      <c r="E423" s="10" t="str">
        <f t="shared" si="3"/>
        <v>BIS27</v>
      </c>
      <c r="F423" s="13">
        <v>69.0</v>
      </c>
      <c r="G423" s="10" t="str">
        <f t="shared" si="4"/>
        <v>BIS27-69</v>
      </c>
      <c r="H423" s="16"/>
      <c r="I423" s="16" t="str">
        <f t="shared" si="5"/>
        <v>collected</v>
      </c>
      <c r="J423" s="16" t="str">
        <f t="shared" si="6"/>
        <v>N</v>
      </c>
      <c r="K423" s="16"/>
      <c r="L423" s="16"/>
    </row>
    <row r="424">
      <c r="A424" s="43" t="s">
        <v>789</v>
      </c>
      <c r="B424" s="10" t="str">
        <f t="shared" si="1"/>
        <v>isotope</v>
      </c>
      <c r="C424" s="49" t="str">
        <f t="shared" si="2"/>
        <v>S17197IS1</v>
      </c>
      <c r="D424" s="6">
        <v>27.0</v>
      </c>
      <c r="E424" s="10" t="str">
        <f t="shared" si="3"/>
        <v>BIS27</v>
      </c>
      <c r="F424" s="13">
        <v>70.0</v>
      </c>
      <c r="G424" s="10" t="str">
        <f t="shared" si="4"/>
        <v>BIS27-70</v>
      </c>
      <c r="H424" s="16"/>
      <c r="I424" s="16" t="str">
        <f t="shared" si="5"/>
        <v>collected</v>
      </c>
      <c r="J424" s="16" t="str">
        <f t="shared" si="6"/>
        <v>N</v>
      </c>
      <c r="K424" s="16"/>
      <c r="L424" s="16"/>
    </row>
    <row r="425">
      <c r="A425" s="43" t="s">
        <v>790</v>
      </c>
      <c r="B425" s="10" t="str">
        <f t="shared" si="1"/>
        <v>isotope</v>
      </c>
      <c r="C425" s="49" t="str">
        <f t="shared" si="2"/>
        <v>S17198IS1</v>
      </c>
      <c r="D425" s="6">
        <v>27.0</v>
      </c>
      <c r="E425" s="10" t="str">
        <f t="shared" si="3"/>
        <v>BIS27</v>
      </c>
      <c r="F425" s="13">
        <v>71.0</v>
      </c>
      <c r="G425" s="10" t="str">
        <f t="shared" si="4"/>
        <v>BIS27-71</v>
      </c>
      <c r="H425" s="16"/>
      <c r="I425" s="16" t="str">
        <f t="shared" si="5"/>
        <v>collected</v>
      </c>
      <c r="J425" s="16" t="str">
        <f t="shared" si="6"/>
        <v>N</v>
      </c>
      <c r="K425" s="16"/>
      <c r="L425" s="16"/>
    </row>
    <row r="426">
      <c r="A426" s="43" t="s">
        <v>791</v>
      </c>
      <c r="B426" s="10" t="str">
        <f t="shared" si="1"/>
        <v>isotope</v>
      </c>
      <c r="C426" s="49" t="str">
        <f t="shared" si="2"/>
        <v>S17199IS1</v>
      </c>
      <c r="D426" s="6">
        <v>27.0</v>
      </c>
      <c r="E426" s="10" t="str">
        <f t="shared" si="3"/>
        <v>BIS27</v>
      </c>
      <c r="F426" s="13">
        <v>72.0</v>
      </c>
      <c r="G426" s="10" t="str">
        <f t="shared" si="4"/>
        <v>BIS27-72</v>
      </c>
      <c r="H426" s="16"/>
      <c r="I426" s="16" t="str">
        <f t="shared" si="5"/>
        <v>collected</v>
      </c>
      <c r="J426" s="16" t="str">
        <f t="shared" si="6"/>
        <v>N</v>
      </c>
      <c r="K426" s="16"/>
      <c r="L426" s="16"/>
    </row>
    <row r="427">
      <c r="A427" s="43" t="s">
        <v>794</v>
      </c>
      <c r="B427" s="10" t="str">
        <f t="shared" si="1"/>
        <v>isotope</v>
      </c>
      <c r="C427" s="49" t="str">
        <f t="shared" si="2"/>
        <v>S17192IS1</v>
      </c>
      <c r="D427" s="6">
        <v>27.0</v>
      </c>
      <c r="E427" s="10" t="str">
        <f t="shared" si="3"/>
        <v>BIS27</v>
      </c>
      <c r="F427" s="13">
        <v>73.0</v>
      </c>
      <c r="G427" s="10" t="str">
        <f t="shared" si="4"/>
        <v>BIS27-73</v>
      </c>
      <c r="H427" s="16"/>
      <c r="I427" s="16" t="str">
        <f t="shared" si="5"/>
        <v>collected</v>
      </c>
      <c r="J427" s="16" t="str">
        <f t="shared" si="6"/>
        <v>N</v>
      </c>
      <c r="K427" s="16"/>
      <c r="L427" s="16"/>
    </row>
    <row r="428">
      <c r="A428" s="43" t="s">
        <v>795</v>
      </c>
      <c r="B428" s="10" t="str">
        <f t="shared" si="1"/>
        <v>isotope</v>
      </c>
      <c r="C428" s="49" t="str">
        <f t="shared" si="2"/>
        <v>S17191IS1</v>
      </c>
      <c r="D428" s="6">
        <v>27.0</v>
      </c>
      <c r="E428" s="10" t="str">
        <f t="shared" si="3"/>
        <v>BIS27</v>
      </c>
      <c r="F428" s="13">
        <v>74.0</v>
      </c>
      <c r="G428" s="10" t="str">
        <f t="shared" si="4"/>
        <v>BIS27-74</v>
      </c>
      <c r="H428" s="16"/>
      <c r="I428" s="16" t="str">
        <f t="shared" si="5"/>
        <v>collected</v>
      </c>
      <c r="J428" s="16" t="str">
        <f t="shared" si="6"/>
        <v>N</v>
      </c>
      <c r="K428" s="16"/>
      <c r="L428" s="16"/>
    </row>
    <row r="429">
      <c r="A429" s="43" t="s">
        <v>797</v>
      </c>
      <c r="B429" s="10" t="str">
        <f t="shared" si="1"/>
        <v>isotope</v>
      </c>
      <c r="C429" s="49" t="str">
        <f t="shared" si="2"/>
        <v>S17193IS1</v>
      </c>
      <c r="D429" s="6">
        <v>27.0</v>
      </c>
      <c r="E429" s="10" t="str">
        <f t="shared" si="3"/>
        <v>BIS27</v>
      </c>
      <c r="F429" s="13">
        <v>75.0</v>
      </c>
      <c r="G429" s="10" t="str">
        <f t="shared" si="4"/>
        <v>BIS27-75</v>
      </c>
      <c r="H429" s="16"/>
      <c r="I429" s="16" t="str">
        <f t="shared" si="5"/>
        <v>collected</v>
      </c>
      <c r="J429" s="16" t="str">
        <f t="shared" si="6"/>
        <v>N</v>
      </c>
      <c r="K429" s="16"/>
      <c r="L429" s="16"/>
    </row>
    <row r="430">
      <c r="A430" s="43" t="s">
        <v>798</v>
      </c>
      <c r="B430" s="10" t="str">
        <f t="shared" si="1"/>
        <v>isotope</v>
      </c>
      <c r="C430" s="49" t="str">
        <f t="shared" si="2"/>
        <v>S17196IS1</v>
      </c>
      <c r="D430" s="6">
        <v>27.0</v>
      </c>
      <c r="E430" s="10" t="str">
        <f t="shared" si="3"/>
        <v>BIS27</v>
      </c>
      <c r="F430" s="13">
        <v>76.0</v>
      </c>
      <c r="G430" s="10" t="str">
        <f t="shared" si="4"/>
        <v>BIS27-76</v>
      </c>
      <c r="H430" s="16"/>
      <c r="I430" s="16" t="str">
        <f t="shared" si="5"/>
        <v>collected</v>
      </c>
      <c r="J430" s="16" t="str">
        <f t="shared" si="6"/>
        <v>N</v>
      </c>
      <c r="K430" s="16"/>
      <c r="L430" s="16"/>
    </row>
    <row r="431">
      <c r="A431" s="43" t="s">
        <v>799</v>
      </c>
      <c r="B431" s="10" t="str">
        <f t="shared" si="1"/>
        <v>isotope</v>
      </c>
      <c r="C431" s="49" t="str">
        <f t="shared" si="2"/>
        <v>S17195IS1</v>
      </c>
      <c r="D431" s="6">
        <v>27.0</v>
      </c>
      <c r="E431" s="10" t="str">
        <f t="shared" si="3"/>
        <v>BIS27</v>
      </c>
      <c r="F431" s="13">
        <v>77.0</v>
      </c>
      <c r="G431" s="10" t="str">
        <f t="shared" si="4"/>
        <v>BIS27-77</v>
      </c>
      <c r="H431" s="16"/>
      <c r="I431" s="16" t="str">
        <f t="shared" si="5"/>
        <v>collected</v>
      </c>
      <c r="J431" s="16" t="str">
        <f t="shared" si="6"/>
        <v>N</v>
      </c>
      <c r="K431" s="16"/>
      <c r="L431" s="16"/>
    </row>
    <row r="432">
      <c r="A432" s="43" t="s">
        <v>802</v>
      </c>
      <c r="B432" s="10" t="str">
        <f t="shared" si="1"/>
        <v>isotope</v>
      </c>
      <c r="C432" s="49" t="str">
        <f t="shared" si="2"/>
        <v>S17194IS1</v>
      </c>
      <c r="D432" s="6">
        <v>27.0</v>
      </c>
      <c r="E432" s="10" t="str">
        <f t="shared" si="3"/>
        <v>BIS27</v>
      </c>
      <c r="F432" s="13">
        <v>78.0</v>
      </c>
      <c r="G432" s="10" t="str">
        <f t="shared" si="4"/>
        <v>BIS27-78</v>
      </c>
      <c r="H432" s="16"/>
      <c r="I432" s="16" t="str">
        <f t="shared" si="5"/>
        <v>collected</v>
      </c>
      <c r="J432" s="16" t="str">
        <f t="shared" si="6"/>
        <v>N</v>
      </c>
      <c r="K432" s="16"/>
      <c r="L432" s="16"/>
    </row>
    <row r="433">
      <c r="A433" s="43" t="s">
        <v>803</v>
      </c>
      <c r="B433" s="10" t="str">
        <f t="shared" si="1"/>
        <v>isotope</v>
      </c>
      <c r="C433" s="49" t="str">
        <f t="shared" si="2"/>
        <v>S17200IS1</v>
      </c>
      <c r="D433" s="6">
        <v>27.0</v>
      </c>
      <c r="E433" s="10" t="str">
        <f t="shared" si="3"/>
        <v>BIS27</v>
      </c>
      <c r="F433" s="13">
        <v>79.0</v>
      </c>
      <c r="G433" s="10" t="str">
        <f t="shared" si="4"/>
        <v>BIS27-79</v>
      </c>
      <c r="H433" s="16"/>
      <c r="I433" s="16" t="str">
        <f t="shared" si="5"/>
        <v>collected</v>
      </c>
      <c r="J433" s="16" t="str">
        <f t="shared" si="6"/>
        <v>N</v>
      </c>
      <c r="K433" s="16"/>
      <c r="L433" s="16"/>
    </row>
    <row r="434">
      <c r="A434" s="43" t="s">
        <v>804</v>
      </c>
      <c r="B434" s="10" t="str">
        <f t="shared" si="1"/>
        <v>isotope</v>
      </c>
      <c r="C434" s="49" t="str">
        <f t="shared" si="2"/>
        <v>S16992IS1</v>
      </c>
      <c r="D434" s="6">
        <v>27.0</v>
      </c>
      <c r="E434" s="10" t="str">
        <f t="shared" si="3"/>
        <v>BIS27</v>
      </c>
      <c r="F434" s="13">
        <v>80.0</v>
      </c>
      <c r="G434" s="10" t="str">
        <f t="shared" si="4"/>
        <v>BIS27-80</v>
      </c>
      <c r="H434" s="16"/>
      <c r="I434" s="16" t="str">
        <f t="shared" si="5"/>
        <v>collected</v>
      </c>
      <c r="J434" s="16" t="str">
        <f t="shared" si="6"/>
        <v>N</v>
      </c>
      <c r="K434" s="16"/>
      <c r="L434" s="16"/>
    </row>
    <row r="435">
      <c r="A435" s="43" t="s">
        <v>806</v>
      </c>
      <c r="B435" s="10" t="str">
        <f t="shared" si="1"/>
        <v>isotope</v>
      </c>
      <c r="C435" s="49" t="str">
        <f t="shared" si="2"/>
        <v>S16993IS1</v>
      </c>
      <c r="D435" s="6">
        <v>27.0</v>
      </c>
      <c r="E435" s="10" t="str">
        <f t="shared" si="3"/>
        <v>BIS27</v>
      </c>
      <c r="F435" s="13">
        <v>81.0</v>
      </c>
      <c r="G435" s="10" t="str">
        <f t="shared" si="4"/>
        <v>BIS27-81</v>
      </c>
      <c r="H435" s="16"/>
      <c r="I435" s="16" t="str">
        <f t="shared" si="5"/>
        <v>collected</v>
      </c>
      <c r="J435" s="16" t="str">
        <f t="shared" si="6"/>
        <v>N</v>
      </c>
      <c r="K435" s="16"/>
      <c r="L435" s="16"/>
    </row>
    <row r="436">
      <c r="A436" s="30" t="s">
        <v>839</v>
      </c>
      <c r="B436" s="10" t="str">
        <f t="shared" si="1"/>
        <v>isotope</v>
      </c>
      <c r="C436" s="49" t="str">
        <f t="shared" si="2"/>
        <v>S16931IS1</v>
      </c>
      <c r="D436" s="6">
        <v>28.0</v>
      </c>
      <c r="E436" s="10" t="str">
        <f t="shared" si="3"/>
        <v>BIS28</v>
      </c>
      <c r="F436" s="13">
        <v>5.0</v>
      </c>
      <c r="G436" s="10" t="str">
        <f t="shared" si="4"/>
        <v>BIS28-5</v>
      </c>
      <c r="H436" s="16"/>
      <c r="I436" s="16" t="str">
        <f t="shared" si="5"/>
        <v>collected</v>
      </c>
      <c r="J436" s="16" t="str">
        <f t="shared" si="6"/>
        <v>N</v>
      </c>
      <c r="K436" s="16"/>
      <c r="L436" s="16"/>
    </row>
    <row r="437">
      <c r="A437" s="30" t="s">
        <v>841</v>
      </c>
      <c r="B437" s="10" t="str">
        <f t="shared" si="1"/>
        <v>isotope</v>
      </c>
      <c r="C437" s="49" t="str">
        <f t="shared" si="2"/>
        <v>S16932IS1</v>
      </c>
      <c r="D437" s="6">
        <v>28.0</v>
      </c>
      <c r="E437" s="10" t="str">
        <f t="shared" si="3"/>
        <v>BIS28</v>
      </c>
      <c r="F437" s="13">
        <v>6.0</v>
      </c>
      <c r="G437" s="10" t="str">
        <f t="shared" si="4"/>
        <v>BIS28-6</v>
      </c>
      <c r="H437" s="16"/>
      <c r="I437" s="16" t="str">
        <f t="shared" si="5"/>
        <v>collected</v>
      </c>
      <c r="J437" s="16" t="str">
        <f t="shared" si="6"/>
        <v>N</v>
      </c>
      <c r="K437" s="16"/>
      <c r="L437" s="16"/>
    </row>
    <row r="438">
      <c r="A438" s="30" t="s">
        <v>843</v>
      </c>
      <c r="B438" s="10" t="str">
        <f t="shared" si="1"/>
        <v>isotope</v>
      </c>
      <c r="C438" s="49" t="str">
        <f t="shared" si="2"/>
        <v>S16933IS1</v>
      </c>
      <c r="D438" s="6">
        <v>28.0</v>
      </c>
      <c r="E438" s="10" t="str">
        <f t="shared" si="3"/>
        <v>BIS28</v>
      </c>
      <c r="F438" s="13">
        <v>7.0</v>
      </c>
      <c r="G438" s="10" t="str">
        <f t="shared" si="4"/>
        <v>BIS28-7</v>
      </c>
      <c r="H438" s="16"/>
      <c r="I438" s="16" t="str">
        <f t="shared" si="5"/>
        <v>collected</v>
      </c>
      <c r="J438" s="16" t="str">
        <f t="shared" si="6"/>
        <v>N</v>
      </c>
      <c r="K438" s="16"/>
      <c r="L438" s="16"/>
    </row>
    <row r="439">
      <c r="A439" s="30" t="s">
        <v>846</v>
      </c>
      <c r="B439" s="10" t="str">
        <f t="shared" si="1"/>
        <v>isotope</v>
      </c>
      <c r="C439" s="49" t="str">
        <f t="shared" si="2"/>
        <v>S16934IS1</v>
      </c>
      <c r="D439" s="6">
        <v>28.0</v>
      </c>
      <c r="E439" s="10" t="str">
        <f t="shared" si="3"/>
        <v>BIS28</v>
      </c>
      <c r="F439" s="13">
        <v>8.0</v>
      </c>
      <c r="G439" s="10" t="str">
        <f t="shared" si="4"/>
        <v>BIS28-8</v>
      </c>
      <c r="H439" s="16"/>
      <c r="I439" s="16" t="str">
        <f t="shared" si="5"/>
        <v>collected</v>
      </c>
      <c r="J439" s="16" t="str">
        <f t="shared" si="6"/>
        <v>N</v>
      </c>
      <c r="K439" s="16"/>
      <c r="L439" s="16"/>
    </row>
    <row r="440">
      <c r="A440" s="30" t="s">
        <v>847</v>
      </c>
      <c r="B440" s="10" t="str">
        <f t="shared" si="1"/>
        <v>isotope</v>
      </c>
      <c r="C440" s="49" t="str">
        <f t="shared" si="2"/>
        <v>S16935IS1</v>
      </c>
      <c r="D440" s="6">
        <v>28.0</v>
      </c>
      <c r="E440" s="10" t="str">
        <f t="shared" si="3"/>
        <v>BIS28</v>
      </c>
      <c r="F440" s="13">
        <v>9.0</v>
      </c>
      <c r="G440" s="10" t="str">
        <f t="shared" si="4"/>
        <v>BIS28-9</v>
      </c>
      <c r="H440" s="16"/>
      <c r="I440" s="16" t="str">
        <f t="shared" si="5"/>
        <v>collected</v>
      </c>
      <c r="J440" s="16" t="str">
        <f t="shared" si="6"/>
        <v>N</v>
      </c>
      <c r="K440" s="16"/>
      <c r="L440" s="16"/>
    </row>
    <row r="441">
      <c r="A441" s="30" t="s">
        <v>849</v>
      </c>
      <c r="B441" s="10" t="str">
        <f t="shared" si="1"/>
        <v>isotope</v>
      </c>
      <c r="C441" s="49" t="str">
        <f t="shared" si="2"/>
        <v>S16936IS1</v>
      </c>
      <c r="D441" s="6">
        <v>28.0</v>
      </c>
      <c r="E441" s="10" t="str">
        <f t="shared" si="3"/>
        <v>BIS28</v>
      </c>
      <c r="F441" s="13">
        <v>10.0</v>
      </c>
      <c r="G441" s="10" t="str">
        <f t="shared" si="4"/>
        <v>BIS28-10</v>
      </c>
      <c r="H441" s="16"/>
      <c r="I441" s="16" t="str">
        <f t="shared" si="5"/>
        <v>collected</v>
      </c>
      <c r="J441" s="16" t="str">
        <f t="shared" si="6"/>
        <v>N</v>
      </c>
      <c r="K441" s="16"/>
      <c r="L441" s="16"/>
    </row>
    <row r="442">
      <c r="A442" s="30" t="s">
        <v>851</v>
      </c>
      <c r="B442" s="10" t="str">
        <f t="shared" si="1"/>
        <v>isotope</v>
      </c>
      <c r="C442" s="49" t="str">
        <f t="shared" si="2"/>
        <v>S16937IS1</v>
      </c>
      <c r="D442" s="6">
        <v>28.0</v>
      </c>
      <c r="E442" s="10" t="str">
        <f t="shared" si="3"/>
        <v>BIS28</v>
      </c>
      <c r="F442" s="13">
        <v>11.0</v>
      </c>
      <c r="G442" s="10" t="str">
        <f t="shared" si="4"/>
        <v>BIS28-11</v>
      </c>
      <c r="H442" s="16"/>
      <c r="I442" s="16" t="str">
        <f t="shared" si="5"/>
        <v>collected</v>
      </c>
      <c r="J442" s="16" t="str">
        <f t="shared" si="6"/>
        <v>N</v>
      </c>
      <c r="K442" s="16"/>
      <c r="L442" s="16"/>
    </row>
    <row r="443">
      <c r="A443" s="30" t="s">
        <v>852</v>
      </c>
      <c r="B443" s="10" t="str">
        <f t="shared" si="1"/>
        <v>isotope</v>
      </c>
      <c r="C443" s="49" t="str">
        <f t="shared" si="2"/>
        <v>S17941IS1</v>
      </c>
      <c r="D443" s="6">
        <v>28.0</v>
      </c>
      <c r="E443" s="10" t="str">
        <f t="shared" si="3"/>
        <v>BIS28</v>
      </c>
      <c r="F443" s="13">
        <v>12.0</v>
      </c>
      <c r="G443" s="10" t="str">
        <f t="shared" si="4"/>
        <v>BIS28-12</v>
      </c>
      <c r="H443" s="16"/>
      <c r="I443" s="16" t="str">
        <f t="shared" si="5"/>
        <v>collected</v>
      </c>
      <c r="J443" s="16" t="str">
        <f t="shared" si="6"/>
        <v>N</v>
      </c>
      <c r="K443" s="16"/>
      <c r="L443" s="16"/>
    </row>
    <row r="444">
      <c r="A444" s="30" t="s">
        <v>853</v>
      </c>
      <c r="B444" s="10" t="str">
        <f t="shared" si="1"/>
        <v>isotope</v>
      </c>
      <c r="C444" s="49" t="str">
        <f t="shared" si="2"/>
        <v>S17942IS1</v>
      </c>
      <c r="D444" s="6">
        <v>28.0</v>
      </c>
      <c r="E444" s="10" t="str">
        <f t="shared" si="3"/>
        <v>BIS28</v>
      </c>
      <c r="F444" s="13">
        <v>13.0</v>
      </c>
      <c r="G444" s="10" t="str">
        <f t="shared" si="4"/>
        <v>BIS28-13</v>
      </c>
      <c r="H444" s="16"/>
      <c r="I444" s="16" t="str">
        <f t="shared" si="5"/>
        <v>collected</v>
      </c>
      <c r="J444" s="16" t="str">
        <f t="shared" si="6"/>
        <v>N</v>
      </c>
      <c r="K444" s="16"/>
      <c r="L444" s="16"/>
    </row>
    <row r="445">
      <c r="A445" s="30" t="s">
        <v>854</v>
      </c>
      <c r="B445" s="10" t="str">
        <f t="shared" si="1"/>
        <v>isotope</v>
      </c>
      <c r="C445" s="49" t="str">
        <f t="shared" si="2"/>
        <v>S17943IS1</v>
      </c>
      <c r="D445" s="6">
        <v>28.0</v>
      </c>
      <c r="E445" s="10" t="str">
        <f t="shared" si="3"/>
        <v>BIS28</v>
      </c>
      <c r="F445" s="13">
        <v>14.0</v>
      </c>
      <c r="G445" s="10" t="str">
        <f t="shared" si="4"/>
        <v>BIS28-14</v>
      </c>
      <c r="H445" s="16"/>
      <c r="I445" s="16" t="str">
        <f t="shared" si="5"/>
        <v>collected</v>
      </c>
      <c r="J445" s="16" t="str">
        <f t="shared" si="6"/>
        <v>N</v>
      </c>
      <c r="K445" s="16"/>
      <c r="L445" s="16"/>
    </row>
    <row r="446">
      <c r="A446" s="30" t="s">
        <v>857</v>
      </c>
      <c r="B446" s="10" t="str">
        <f t="shared" si="1"/>
        <v>isotope</v>
      </c>
      <c r="C446" s="49" t="str">
        <f t="shared" si="2"/>
        <v>S17944IS1</v>
      </c>
      <c r="D446" s="6">
        <v>28.0</v>
      </c>
      <c r="E446" s="10" t="str">
        <f t="shared" si="3"/>
        <v>BIS28</v>
      </c>
      <c r="F446" s="13">
        <v>15.0</v>
      </c>
      <c r="G446" s="10" t="str">
        <f t="shared" si="4"/>
        <v>BIS28-15</v>
      </c>
      <c r="H446" s="16"/>
      <c r="I446" s="16" t="str">
        <f t="shared" si="5"/>
        <v>collected</v>
      </c>
      <c r="J446" s="16" t="str">
        <f t="shared" si="6"/>
        <v>N</v>
      </c>
      <c r="K446" s="16"/>
      <c r="L446" s="16"/>
    </row>
    <row r="447">
      <c r="A447" s="30" t="s">
        <v>858</v>
      </c>
      <c r="B447" s="10" t="str">
        <f t="shared" si="1"/>
        <v>isotope</v>
      </c>
      <c r="C447" s="49" t="str">
        <f t="shared" si="2"/>
        <v>S17411IS1</v>
      </c>
      <c r="D447" s="6">
        <v>28.0</v>
      </c>
      <c r="E447" s="10" t="str">
        <f t="shared" si="3"/>
        <v>BIS28</v>
      </c>
      <c r="F447" s="13">
        <v>16.0</v>
      </c>
      <c r="G447" s="10" t="str">
        <f t="shared" si="4"/>
        <v>BIS28-16</v>
      </c>
      <c r="H447" s="16"/>
      <c r="I447" s="16" t="str">
        <f t="shared" si="5"/>
        <v>collected</v>
      </c>
      <c r="J447" s="16" t="str">
        <f t="shared" si="6"/>
        <v>N</v>
      </c>
      <c r="K447" s="16"/>
      <c r="L447" s="16"/>
    </row>
    <row r="448">
      <c r="A448" s="30" t="s">
        <v>859</v>
      </c>
      <c r="B448" s="10" t="str">
        <f t="shared" si="1"/>
        <v>isotope</v>
      </c>
      <c r="C448" s="49" t="str">
        <f t="shared" si="2"/>
        <v>S17412IS1</v>
      </c>
      <c r="D448" s="6">
        <v>28.0</v>
      </c>
      <c r="E448" s="10" t="str">
        <f t="shared" si="3"/>
        <v>BIS28</v>
      </c>
      <c r="F448" s="13">
        <v>17.0</v>
      </c>
      <c r="G448" s="10" t="str">
        <f t="shared" si="4"/>
        <v>BIS28-17</v>
      </c>
      <c r="H448" s="16"/>
      <c r="I448" s="16" t="str">
        <f t="shared" si="5"/>
        <v>collected</v>
      </c>
      <c r="J448" s="16" t="str">
        <f t="shared" si="6"/>
        <v>N</v>
      </c>
      <c r="K448" s="16"/>
      <c r="L448" s="16"/>
    </row>
    <row r="449">
      <c r="A449" s="30" t="s">
        <v>860</v>
      </c>
      <c r="B449" s="10" t="str">
        <f t="shared" si="1"/>
        <v>isotope</v>
      </c>
      <c r="C449" s="49" t="str">
        <f t="shared" si="2"/>
        <v>S17413IS1</v>
      </c>
      <c r="D449" s="6">
        <v>28.0</v>
      </c>
      <c r="E449" s="10" t="str">
        <f t="shared" si="3"/>
        <v>BIS28</v>
      </c>
      <c r="F449" s="13">
        <v>18.0</v>
      </c>
      <c r="G449" s="10" t="str">
        <f t="shared" si="4"/>
        <v>BIS28-18</v>
      </c>
      <c r="H449" s="16"/>
      <c r="I449" s="16" t="str">
        <f t="shared" si="5"/>
        <v>collected</v>
      </c>
      <c r="J449" s="16" t="str">
        <f t="shared" si="6"/>
        <v>N</v>
      </c>
      <c r="K449" s="16"/>
      <c r="L449" s="16"/>
    </row>
    <row r="450">
      <c r="A450" s="30" t="s">
        <v>863</v>
      </c>
      <c r="B450" s="10" t="str">
        <f t="shared" si="1"/>
        <v>isotope</v>
      </c>
      <c r="C450" s="49" t="str">
        <f t="shared" si="2"/>
        <v>S17414IS1</v>
      </c>
      <c r="D450" s="6">
        <v>28.0</v>
      </c>
      <c r="E450" s="10" t="str">
        <f t="shared" si="3"/>
        <v>BIS28</v>
      </c>
      <c r="F450" s="13">
        <v>19.0</v>
      </c>
      <c r="G450" s="10" t="str">
        <f t="shared" si="4"/>
        <v>BIS28-19</v>
      </c>
      <c r="H450" s="16"/>
      <c r="I450" s="16" t="str">
        <f t="shared" si="5"/>
        <v>collected</v>
      </c>
      <c r="J450" s="16" t="str">
        <f t="shared" si="6"/>
        <v>N</v>
      </c>
      <c r="K450" s="16"/>
      <c r="L450" s="16"/>
    </row>
    <row r="451">
      <c r="A451" s="30" t="s">
        <v>864</v>
      </c>
      <c r="B451" s="10" t="str">
        <f t="shared" si="1"/>
        <v>isotope</v>
      </c>
      <c r="C451" s="49" t="str">
        <f t="shared" si="2"/>
        <v>S17415IS1</v>
      </c>
      <c r="D451" s="6">
        <v>28.0</v>
      </c>
      <c r="E451" s="10" t="str">
        <f t="shared" si="3"/>
        <v>BIS28</v>
      </c>
      <c r="F451" s="13">
        <v>20.0</v>
      </c>
      <c r="G451" s="10" t="str">
        <f t="shared" si="4"/>
        <v>BIS28-20</v>
      </c>
      <c r="H451" s="16"/>
      <c r="I451" s="16" t="str">
        <f t="shared" si="5"/>
        <v>collected</v>
      </c>
      <c r="J451" s="16" t="str">
        <f t="shared" si="6"/>
        <v>N</v>
      </c>
      <c r="K451" s="16"/>
      <c r="L451" s="16"/>
    </row>
    <row r="452">
      <c r="A452" s="30" t="s">
        <v>865</v>
      </c>
      <c r="B452" s="10" t="str">
        <f t="shared" si="1"/>
        <v>isotope</v>
      </c>
      <c r="C452" s="49" t="str">
        <f t="shared" si="2"/>
        <v>S17416IS1</v>
      </c>
      <c r="D452" s="6">
        <v>28.0</v>
      </c>
      <c r="E452" s="10" t="str">
        <f t="shared" si="3"/>
        <v>BIS28</v>
      </c>
      <c r="F452" s="13">
        <v>21.0</v>
      </c>
      <c r="G452" s="10" t="str">
        <f t="shared" si="4"/>
        <v>BIS28-21</v>
      </c>
      <c r="H452" s="16"/>
      <c r="I452" s="16" t="str">
        <f t="shared" si="5"/>
        <v>collected</v>
      </c>
      <c r="J452" s="16" t="str">
        <f t="shared" si="6"/>
        <v>N</v>
      </c>
      <c r="K452" s="16"/>
      <c r="L452" s="16"/>
    </row>
    <row r="453">
      <c r="A453" s="30" t="s">
        <v>866</v>
      </c>
      <c r="B453" s="10" t="str">
        <f t="shared" si="1"/>
        <v>isotope</v>
      </c>
      <c r="C453" s="49" t="str">
        <f t="shared" si="2"/>
        <v>S16881IS1</v>
      </c>
      <c r="D453" s="6">
        <v>28.0</v>
      </c>
      <c r="E453" s="10" t="str">
        <f t="shared" si="3"/>
        <v>BIS28</v>
      </c>
      <c r="F453" s="13">
        <v>22.0</v>
      </c>
      <c r="G453" s="10" t="str">
        <f t="shared" si="4"/>
        <v>BIS28-22</v>
      </c>
      <c r="H453" s="16"/>
      <c r="I453" s="16" t="str">
        <f t="shared" si="5"/>
        <v>collected</v>
      </c>
      <c r="J453" s="16" t="str">
        <f t="shared" si="6"/>
        <v>N</v>
      </c>
      <c r="K453" s="16"/>
      <c r="L453" s="16"/>
    </row>
    <row r="454">
      <c r="A454" s="16" t="s">
        <v>870</v>
      </c>
      <c r="B454" s="10" t="str">
        <f t="shared" si="1"/>
        <v>isotope</v>
      </c>
      <c r="C454" s="49" t="str">
        <f t="shared" si="2"/>
        <v>S16882IS1</v>
      </c>
      <c r="D454" s="6">
        <v>28.0</v>
      </c>
      <c r="E454" s="10" t="str">
        <f t="shared" si="3"/>
        <v>BIS28</v>
      </c>
      <c r="F454" s="13">
        <v>23.0</v>
      </c>
      <c r="G454" s="10" t="str">
        <f t="shared" si="4"/>
        <v>BIS28-23</v>
      </c>
      <c r="H454" s="16"/>
      <c r="I454" s="16" t="str">
        <f t="shared" si="5"/>
        <v>collected</v>
      </c>
      <c r="J454" s="16" t="str">
        <f t="shared" si="6"/>
        <v>N</v>
      </c>
      <c r="K454" s="16"/>
      <c r="L454" s="16"/>
    </row>
    <row r="455">
      <c r="A455" s="46" t="s">
        <v>807</v>
      </c>
      <c r="B455" s="10" t="str">
        <f t="shared" si="1"/>
        <v>isotope</v>
      </c>
      <c r="C455" s="49" t="str">
        <f t="shared" si="2"/>
        <v>S16998IS1</v>
      </c>
      <c r="D455" s="6">
        <v>29.0</v>
      </c>
      <c r="E455" s="10" t="str">
        <f t="shared" si="3"/>
        <v>BIS29</v>
      </c>
      <c r="F455" s="13">
        <v>1.0</v>
      </c>
      <c r="G455" s="10" t="str">
        <f t="shared" si="4"/>
        <v>BIS29-1</v>
      </c>
      <c r="H455" s="16"/>
      <c r="I455" s="16" t="str">
        <f t="shared" si="5"/>
        <v>collected</v>
      </c>
      <c r="J455" s="16" t="str">
        <f t="shared" si="6"/>
        <v>N</v>
      </c>
      <c r="K455" s="16"/>
      <c r="L455" s="16"/>
    </row>
    <row r="456">
      <c r="A456" s="46" t="s">
        <v>809</v>
      </c>
      <c r="B456" s="10" t="str">
        <f t="shared" si="1"/>
        <v>isotope</v>
      </c>
      <c r="C456" s="49" t="str">
        <f t="shared" si="2"/>
        <v>S17000IS1</v>
      </c>
      <c r="D456" s="6">
        <v>29.0</v>
      </c>
      <c r="E456" s="10" t="str">
        <f t="shared" si="3"/>
        <v>BIS29</v>
      </c>
      <c r="F456" s="13">
        <v>2.0</v>
      </c>
      <c r="G456" s="10" t="str">
        <f t="shared" si="4"/>
        <v>BIS29-2</v>
      </c>
      <c r="H456" s="16"/>
      <c r="I456" s="16" t="str">
        <f t="shared" si="5"/>
        <v>collected</v>
      </c>
      <c r="J456" s="16" t="str">
        <f t="shared" si="6"/>
        <v>N</v>
      </c>
      <c r="K456" s="16"/>
      <c r="L456" s="16"/>
    </row>
    <row r="457">
      <c r="A457" s="44" t="s">
        <v>810</v>
      </c>
      <c r="B457" s="10" t="str">
        <f t="shared" si="1"/>
        <v>isotope</v>
      </c>
      <c r="C457" s="49" t="str">
        <f t="shared" si="2"/>
        <v>S16996IS1</v>
      </c>
      <c r="D457" s="6">
        <v>29.0</v>
      </c>
      <c r="E457" s="10" t="str">
        <f t="shared" si="3"/>
        <v>BIS29</v>
      </c>
      <c r="F457" s="13">
        <v>3.0</v>
      </c>
      <c r="G457" s="10" t="str">
        <f t="shared" si="4"/>
        <v>BIS29-3</v>
      </c>
      <c r="H457" s="16"/>
      <c r="I457" s="16" t="str">
        <f t="shared" si="5"/>
        <v>collected</v>
      </c>
      <c r="J457" s="16" t="str">
        <f t="shared" si="6"/>
        <v>N</v>
      </c>
      <c r="K457" s="16"/>
      <c r="L457" s="16"/>
    </row>
    <row r="458">
      <c r="A458" s="44" t="s">
        <v>812</v>
      </c>
      <c r="B458" s="10" t="str">
        <f t="shared" si="1"/>
        <v>isotope</v>
      </c>
      <c r="C458" s="49" t="str">
        <f t="shared" si="2"/>
        <v>S16994IS1</v>
      </c>
      <c r="D458" s="6">
        <v>29.0</v>
      </c>
      <c r="E458" s="10" t="str">
        <f t="shared" si="3"/>
        <v>BIS29</v>
      </c>
      <c r="F458" s="13">
        <v>4.0</v>
      </c>
      <c r="G458" s="10" t="str">
        <f t="shared" si="4"/>
        <v>BIS29-4</v>
      </c>
      <c r="H458" s="16"/>
      <c r="I458" s="16" t="str">
        <f t="shared" si="5"/>
        <v>collected</v>
      </c>
      <c r="J458" s="16" t="str">
        <f t="shared" si="6"/>
        <v>N</v>
      </c>
      <c r="K458" s="16"/>
      <c r="L458" s="16"/>
    </row>
    <row r="459">
      <c r="A459" s="44" t="s">
        <v>813</v>
      </c>
      <c r="B459" s="10" t="str">
        <f t="shared" si="1"/>
        <v>isotope</v>
      </c>
      <c r="C459" s="49" t="str">
        <f t="shared" si="2"/>
        <v>S16999IS1</v>
      </c>
      <c r="D459" s="6">
        <v>29.0</v>
      </c>
      <c r="E459" s="10" t="str">
        <f t="shared" si="3"/>
        <v>BIS29</v>
      </c>
      <c r="F459" s="13">
        <v>5.0</v>
      </c>
      <c r="G459" s="10" t="str">
        <f t="shared" si="4"/>
        <v>BIS29-5</v>
      </c>
      <c r="H459" s="16"/>
      <c r="I459" s="16" t="str">
        <f t="shared" si="5"/>
        <v>collected</v>
      </c>
      <c r="J459" s="16" t="str">
        <f t="shared" si="6"/>
        <v>N</v>
      </c>
      <c r="K459" s="16"/>
      <c r="L459" s="16"/>
    </row>
    <row r="460">
      <c r="A460" s="46" t="s">
        <v>815</v>
      </c>
      <c r="B460" s="10" t="str">
        <f t="shared" si="1"/>
        <v>isotope</v>
      </c>
      <c r="C460" s="49" t="str">
        <f t="shared" si="2"/>
        <v>S16997IS1</v>
      </c>
      <c r="D460" s="6">
        <v>29.0</v>
      </c>
      <c r="E460" s="10" t="str">
        <f t="shared" si="3"/>
        <v>BIS29</v>
      </c>
      <c r="F460" s="13">
        <v>6.0</v>
      </c>
      <c r="G460" s="10" t="str">
        <f t="shared" si="4"/>
        <v>BIS29-6</v>
      </c>
      <c r="H460" s="16"/>
      <c r="I460" s="16" t="str">
        <f t="shared" si="5"/>
        <v>collected</v>
      </c>
      <c r="J460" s="16" t="str">
        <f t="shared" si="6"/>
        <v>N</v>
      </c>
      <c r="K460" s="16"/>
      <c r="L460" s="16"/>
    </row>
    <row r="461">
      <c r="A461" s="46" t="s">
        <v>817</v>
      </c>
      <c r="B461" s="10" t="str">
        <f t="shared" si="1"/>
        <v>isotope</v>
      </c>
      <c r="C461" s="49" t="str">
        <f t="shared" si="2"/>
        <v>S16991IS1</v>
      </c>
      <c r="D461" s="6">
        <v>29.0</v>
      </c>
      <c r="E461" s="10" t="str">
        <f t="shared" si="3"/>
        <v>BIS29</v>
      </c>
      <c r="F461" s="13">
        <v>7.0</v>
      </c>
      <c r="G461" s="10" t="str">
        <f t="shared" si="4"/>
        <v>BIS29-7</v>
      </c>
      <c r="H461" s="16"/>
      <c r="I461" s="16" t="str">
        <f t="shared" si="5"/>
        <v>collected</v>
      </c>
      <c r="J461" s="16" t="str">
        <f t="shared" si="6"/>
        <v>N</v>
      </c>
      <c r="K461" s="16"/>
      <c r="L461" s="16"/>
    </row>
    <row r="462">
      <c r="A462" s="46" t="s">
        <v>820</v>
      </c>
      <c r="B462" s="10" t="str">
        <f t="shared" si="1"/>
        <v>isotope</v>
      </c>
      <c r="C462" s="49" t="str">
        <f t="shared" si="2"/>
        <v>S16995IS1</v>
      </c>
      <c r="D462" s="6">
        <v>29.0</v>
      </c>
      <c r="E462" s="10" t="str">
        <f t="shared" si="3"/>
        <v>BIS29</v>
      </c>
      <c r="F462" s="13">
        <v>8.0</v>
      </c>
      <c r="G462" s="10" t="str">
        <f t="shared" si="4"/>
        <v>BIS29-8</v>
      </c>
      <c r="H462" s="16"/>
      <c r="I462" s="16" t="str">
        <f t="shared" si="5"/>
        <v>collected</v>
      </c>
      <c r="J462" s="16" t="str">
        <f t="shared" si="6"/>
        <v>N</v>
      </c>
      <c r="K462" s="16"/>
      <c r="L462" s="16"/>
    </row>
    <row r="463">
      <c r="A463" s="46" t="s">
        <v>821</v>
      </c>
      <c r="B463" s="10" t="str">
        <f t="shared" si="1"/>
        <v>isotope</v>
      </c>
      <c r="C463" s="49" t="str">
        <f t="shared" si="2"/>
        <v>S17265IS1</v>
      </c>
      <c r="D463" s="6">
        <v>29.0</v>
      </c>
      <c r="E463" s="10" t="str">
        <f t="shared" si="3"/>
        <v>BIS29</v>
      </c>
      <c r="F463" s="13">
        <v>9.0</v>
      </c>
      <c r="G463" s="10" t="str">
        <f t="shared" si="4"/>
        <v>BIS29-9</v>
      </c>
      <c r="H463" s="16"/>
      <c r="I463" s="16" t="str">
        <f t="shared" si="5"/>
        <v>collected</v>
      </c>
      <c r="J463" s="16" t="str">
        <f t="shared" si="6"/>
        <v>N</v>
      </c>
      <c r="K463" s="16"/>
      <c r="L463" s="16"/>
    </row>
    <row r="464">
      <c r="A464" s="44" t="s">
        <v>822</v>
      </c>
      <c r="B464" s="10" t="str">
        <f t="shared" si="1"/>
        <v>isotope</v>
      </c>
      <c r="C464" s="49" t="str">
        <f t="shared" si="2"/>
        <v>S17264IS1</v>
      </c>
      <c r="D464" s="6">
        <v>29.0</v>
      </c>
      <c r="E464" s="10" t="str">
        <f t="shared" si="3"/>
        <v>BIS29</v>
      </c>
      <c r="F464" s="13">
        <v>10.0</v>
      </c>
      <c r="G464" s="10" t="str">
        <f t="shared" si="4"/>
        <v>BIS29-10</v>
      </c>
      <c r="H464" s="16"/>
      <c r="I464" s="16" t="str">
        <f t="shared" si="5"/>
        <v>collected</v>
      </c>
      <c r="J464" s="16" t="str">
        <f t="shared" si="6"/>
        <v>N</v>
      </c>
      <c r="K464" s="16"/>
      <c r="L464" s="16"/>
    </row>
    <row r="465">
      <c r="A465" s="44" t="s">
        <v>825</v>
      </c>
      <c r="B465" s="10" t="str">
        <f t="shared" si="1"/>
        <v>isotope</v>
      </c>
      <c r="C465" s="49" t="str">
        <f t="shared" si="2"/>
        <v>S17263IS1</v>
      </c>
      <c r="D465" s="6">
        <v>29.0</v>
      </c>
      <c r="E465" s="10" t="str">
        <f t="shared" si="3"/>
        <v>BIS29</v>
      </c>
      <c r="F465" s="13">
        <v>11.0</v>
      </c>
      <c r="G465" s="10" t="str">
        <f t="shared" si="4"/>
        <v>BIS29-11</v>
      </c>
      <c r="H465" s="16"/>
      <c r="I465" s="16" t="str">
        <f t="shared" si="5"/>
        <v>collected</v>
      </c>
      <c r="J465" s="16" t="str">
        <f t="shared" si="6"/>
        <v>N</v>
      </c>
      <c r="K465" s="16"/>
      <c r="L465" s="16"/>
    </row>
    <row r="466">
      <c r="A466" s="44" t="s">
        <v>826</v>
      </c>
      <c r="B466" s="10" t="str">
        <f t="shared" si="1"/>
        <v>isotope</v>
      </c>
      <c r="C466" s="49" t="str">
        <f t="shared" si="2"/>
        <v>S17270IS1</v>
      </c>
      <c r="D466" s="6">
        <v>29.0</v>
      </c>
      <c r="E466" s="10" t="str">
        <f t="shared" si="3"/>
        <v>BIS29</v>
      </c>
      <c r="F466" s="13">
        <v>12.0</v>
      </c>
      <c r="G466" s="10" t="str">
        <f t="shared" si="4"/>
        <v>BIS29-12</v>
      </c>
      <c r="H466" s="16"/>
      <c r="I466" s="16" t="str">
        <f t="shared" si="5"/>
        <v>collected</v>
      </c>
      <c r="J466" s="16" t="str">
        <f t="shared" si="6"/>
        <v>N</v>
      </c>
      <c r="K466" s="16"/>
      <c r="L466" s="16"/>
    </row>
    <row r="467">
      <c r="A467" s="44" t="s">
        <v>828</v>
      </c>
      <c r="B467" s="10" t="str">
        <f t="shared" si="1"/>
        <v>isotope</v>
      </c>
      <c r="C467" s="49" t="str">
        <f t="shared" si="2"/>
        <v>S17262IS1</v>
      </c>
      <c r="D467" s="6">
        <v>29.0</v>
      </c>
      <c r="E467" s="10" t="str">
        <f t="shared" si="3"/>
        <v>BIS29</v>
      </c>
      <c r="F467" s="13">
        <v>13.0</v>
      </c>
      <c r="G467" s="10" t="str">
        <f t="shared" si="4"/>
        <v>BIS29-13</v>
      </c>
      <c r="H467" s="16"/>
      <c r="I467" s="16" t="str">
        <f t="shared" si="5"/>
        <v>collected</v>
      </c>
      <c r="J467" s="16" t="str">
        <f t="shared" si="6"/>
        <v>N</v>
      </c>
      <c r="K467" s="16"/>
      <c r="L467" s="16"/>
    </row>
    <row r="468">
      <c r="A468" s="44" t="s">
        <v>830</v>
      </c>
      <c r="B468" s="10" t="str">
        <f t="shared" si="1"/>
        <v>isotope</v>
      </c>
      <c r="C468" s="49" t="str">
        <f t="shared" si="2"/>
        <v>S17261IS1</v>
      </c>
      <c r="D468" s="6">
        <v>29.0</v>
      </c>
      <c r="E468" s="10" t="str">
        <f t="shared" si="3"/>
        <v>BIS29</v>
      </c>
      <c r="F468" s="13">
        <v>14.0</v>
      </c>
      <c r="G468" s="10" t="str">
        <f t="shared" si="4"/>
        <v>BIS29-14</v>
      </c>
      <c r="H468" s="16"/>
      <c r="I468" s="16" t="str">
        <f t="shared" si="5"/>
        <v>collected</v>
      </c>
      <c r="J468" s="16" t="str">
        <f t="shared" si="6"/>
        <v>N</v>
      </c>
      <c r="K468" s="16"/>
      <c r="L468" s="16"/>
    </row>
    <row r="469">
      <c r="A469" s="44" t="s">
        <v>832</v>
      </c>
      <c r="B469" s="10" t="str">
        <f t="shared" si="1"/>
        <v>isotope</v>
      </c>
      <c r="C469" s="49" t="str">
        <f t="shared" si="2"/>
        <v>S17266IS1</v>
      </c>
      <c r="D469" s="6">
        <v>29.0</v>
      </c>
      <c r="E469" s="10" t="str">
        <f t="shared" si="3"/>
        <v>BIS29</v>
      </c>
      <c r="F469" s="13">
        <v>15.0</v>
      </c>
      <c r="G469" s="10" t="str">
        <f t="shared" si="4"/>
        <v>BIS29-15</v>
      </c>
      <c r="H469" s="16"/>
      <c r="I469" s="16" t="str">
        <f t="shared" si="5"/>
        <v>collected</v>
      </c>
      <c r="J469" s="16" t="str">
        <f t="shared" si="6"/>
        <v>N</v>
      </c>
      <c r="K469" s="16"/>
      <c r="L469" s="16"/>
    </row>
    <row r="470">
      <c r="A470" s="44" t="s">
        <v>833</v>
      </c>
      <c r="B470" s="10" t="str">
        <f t="shared" si="1"/>
        <v>isotope</v>
      </c>
      <c r="C470" s="49" t="str">
        <f t="shared" si="2"/>
        <v>S17267IS1</v>
      </c>
      <c r="D470" s="6">
        <v>29.0</v>
      </c>
      <c r="E470" s="10" t="str">
        <f t="shared" si="3"/>
        <v>BIS29</v>
      </c>
      <c r="F470" s="13">
        <v>16.0</v>
      </c>
      <c r="G470" s="10" t="str">
        <f t="shared" si="4"/>
        <v>BIS29-16</v>
      </c>
      <c r="H470" s="16"/>
      <c r="I470" s="16" t="str">
        <f t="shared" si="5"/>
        <v>collected</v>
      </c>
      <c r="J470" s="16" t="str">
        <f t="shared" si="6"/>
        <v>N</v>
      </c>
      <c r="K470" s="16"/>
      <c r="L470" s="16"/>
    </row>
    <row r="471">
      <c r="A471" s="44" t="s">
        <v>834</v>
      </c>
      <c r="B471" s="10" t="str">
        <f t="shared" si="1"/>
        <v>isotope</v>
      </c>
      <c r="C471" s="49" t="str">
        <f t="shared" si="2"/>
        <v>S17268IS1</v>
      </c>
      <c r="D471" s="6">
        <v>29.0</v>
      </c>
      <c r="E471" s="10" t="str">
        <f t="shared" si="3"/>
        <v>BIS29</v>
      </c>
      <c r="F471" s="13">
        <v>17.0</v>
      </c>
      <c r="G471" s="10" t="str">
        <f t="shared" si="4"/>
        <v>BIS29-17</v>
      </c>
      <c r="H471" s="16"/>
      <c r="I471" s="16" t="str">
        <f t="shared" si="5"/>
        <v>collected</v>
      </c>
      <c r="J471" s="16" t="str">
        <f t="shared" si="6"/>
        <v>N</v>
      </c>
      <c r="K471" s="16"/>
      <c r="L471" s="16"/>
    </row>
    <row r="472">
      <c r="A472" s="44" t="s">
        <v>837</v>
      </c>
      <c r="B472" s="10" t="str">
        <f t="shared" si="1"/>
        <v>isotope</v>
      </c>
      <c r="C472" s="49" t="str">
        <f t="shared" si="2"/>
        <v>S17269IS1</v>
      </c>
      <c r="D472" s="6">
        <v>29.0</v>
      </c>
      <c r="E472" s="10" t="str">
        <f t="shared" si="3"/>
        <v>BIS29</v>
      </c>
      <c r="F472" s="13">
        <v>18.0</v>
      </c>
      <c r="G472" s="10" t="str">
        <f t="shared" si="4"/>
        <v>BIS29-18</v>
      </c>
      <c r="H472" s="16"/>
      <c r="I472" s="16" t="str">
        <f t="shared" si="5"/>
        <v>collected</v>
      </c>
      <c r="J472" s="16" t="str">
        <f t="shared" si="6"/>
        <v>N</v>
      </c>
      <c r="K472" s="16"/>
      <c r="L472" s="16"/>
    </row>
    <row r="473">
      <c r="A473" s="44" t="s">
        <v>838</v>
      </c>
      <c r="B473" s="10" t="str">
        <f t="shared" si="1"/>
        <v>isotope</v>
      </c>
      <c r="C473" s="49" t="str">
        <f t="shared" si="2"/>
        <v>S17233IS1</v>
      </c>
      <c r="D473" s="6">
        <v>29.0</v>
      </c>
      <c r="E473" s="10" t="str">
        <f t="shared" si="3"/>
        <v>BIS29</v>
      </c>
      <c r="F473" s="13">
        <v>19.0</v>
      </c>
      <c r="G473" s="10" t="str">
        <f t="shared" si="4"/>
        <v>BIS29-19</v>
      </c>
      <c r="H473" s="16"/>
      <c r="I473" s="16" t="str">
        <f t="shared" si="5"/>
        <v>collected</v>
      </c>
      <c r="J473" s="16" t="str">
        <f t="shared" si="6"/>
        <v>N</v>
      </c>
      <c r="K473" s="16"/>
      <c r="L473" s="16"/>
    </row>
    <row r="474">
      <c r="A474" s="27" t="s">
        <v>871</v>
      </c>
      <c r="B474" s="10" t="str">
        <f t="shared" si="1"/>
        <v>isotope</v>
      </c>
      <c r="C474" s="49" t="str">
        <f t="shared" si="2"/>
        <v>S16883IS1</v>
      </c>
      <c r="D474" s="6">
        <v>28.0</v>
      </c>
      <c r="E474" s="10" t="str">
        <f t="shared" si="3"/>
        <v>BIS28</v>
      </c>
      <c r="F474" s="13">
        <v>24.0</v>
      </c>
      <c r="G474" s="10" t="str">
        <f t="shared" si="4"/>
        <v>BIS28-24</v>
      </c>
      <c r="H474" s="16"/>
      <c r="I474" s="16" t="str">
        <f t="shared" si="5"/>
        <v>collected</v>
      </c>
      <c r="J474" s="16" t="str">
        <f t="shared" si="6"/>
        <v>N</v>
      </c>
      <c r="K474" s="16"/>
      <c r="L474" s="16"/>
    </row>
    <row r="475">
      <c r="A475" s="27" t="s">
        <v>872</v>
      </c>
      <c r="B475" s="10" t="str">
        <f t="shared" si="1"/>
        <v>isotope</v>
      </c>
      <c r="C475" s="49" t="str">
        <f t="shared" si="2"/>
        <v>S16884IS1</v>
      </c>
      <c r="D475" s="6">
        <v>28.0</v>
      </c>
      <c r="E475" s="10" t="str">
        <f t="shared" si="3"/>
        <v>BIS28</v>
      </c>
      <c r="F475" s="13">
        <v>25.0</v>
      </c>
      <c r="G475" s="10" t="str">
        <f t="shared" si="4"/>
        <v>BIS28-25</v>
      </c>
      <c r="H475" s="16"/>
      <c r="I475" s="16" t="str">
        <f t="shared" si="5"/>
        <v>collected</v>
      </c>
      <c r="J475" s="16" t="str">
        <f t="shared" si="6"/>
        <v>N</v>
      </c>
      <c r="K475" s="16"/>
      <c r="L475" s="16"/>
    </row>
    <row r="476">
      <c r="A476" s="27" t="s">
        <v>873</v>
      </c>
      <c r="B476" s="10" t="str">
        <f t="shared" si="1"/>
        <v>isotope</v>
      </c>
      <c r="C476" s="49" t="str">
        <f t="shared" si="2"/>
        <v>S16885IS1</v>
      </c>
      <c r="D476" s="6">
        <v>28.0</v>
      </c>
      <c r="E476" s="10" t="str">
        <f t="shared" si="3"/>
        <v>BIS28</v>
      </c>
      <c r="F476" s="13">
        <v>26.0</v>
      </c>
      <c r="G476" s="10" t="str">
        <f t="shared" si="4"/>
        <v>BIS28-26</v>
      </c>
      <c r="H476" s="16"/>
      <c r="I476" s="16" t="str">
        <f t="shared" si="5"/>
        <v>collected</v>
      </c>
      <c r="J476" s="16" t="str">
        <f t="shared" si="6"/>
        <v>N</v>
      </c>
      <c r="K476" s="16"/>
      <c r="L476" s="16"/>
    </row>
    <row r="477">
      <c r="A477" s="27" t="s">
        <v>875</v>
      </c>
      <c r="B477" s="10" t="str">
        <f t="shared" si="1"/>
        <v>isotope</v>
      </c>
      <c r="C477" s="49" t="str">
        <f t="shared" si="2"/>
        <v>S16889IS1</v>
      </c>
      <c r="D477" s="6">
        <v>28.0</v>
      </c>
      <c r="E477" s="10" t="str">
        <f t="shared" si="3"/>
        <v>BIS28</v>
      </c>
      <c r="F477" s="13">
        <v>27.0</v>
      </c>
      <c r="G477" s="10" t="str">
        <f t="shared" si="4"/>
        <v>BIS28-27</v>
      </c>
      <c r="H477" s="16"/>
      <c r="I477" s="16" t="str">
        <f t="shared" si="5"/>
        <v>collected</v>
      </c>
      <c r="J477" s="16" t="str">
        <f t="shared" si="6"/>
        <v>N</v>
      </c>
      <c r="K477" s="16"/>
      <c r="L477" s="16"/>
    </row>
    <row r="478">
      <c r="A478" s="27" t="s">
        <v>877</v>
      </c>
      <c r="B478" s="10" t="str">
        <f t="shared" si="1"/>
        <v>isotope</v>
      </c>
      <c r="C478" s="49" t="str">
        <f t="shared" si="2"/>
        <v>S16886IS1</v>
      </c>
      <c r="D478" s="6">
        <v>28.0</v>
      </c>
      <c r="E478" s="10" t="str">
        <f t="shared" si="3"/>
        <v>BIS28</v>
      </c>
      <c r="F478" s="13">
        <v>28.0</v>
      </c>
      <c r="G478" s="10" t="str">
        <f t="shared" si="4"/>
        <v>BIS28-28</v>
      </c>
      <c r="H478" s="16"/>
      <c r="I478" s="16" t="str">
        <f t="shared" si="5"/>
        <v>collected</v>
      </c>
      <c r="J478" s="16" t="str">
        <f t="shared" si="6"/>
        <v>N</v>
      </c>
      <c r="K478" s="16"/>
      <c r="L478" s="16"/>
    </row>
    <row r="479">
      <c r="A479" s="27" t="s">
        <v>878</v>
      </c>
      <c r="B479" s="10" t="str">
        <f t="shared" si="1"/>
        <v>isotope</v>
      </c>
      <c r="C479" s="49" t="str">
        <f t="shared" si="2"/>
        <v>S16887IS1</v>
      </c>
      <c r="D479" s="6">
        <v>28.0</v>
      </c>
      <c r="E479" s="10" t="str">
        <f t="shared" si="3"/>
        <v>BIS28</v>
      </c>
      <c r="F479" s="13">
        <v>29.0</v>
      </c>
      <c r="G479" s="10" t="str">
        <f t="shared" si="4"/>
        <v>BIS28-29</v>
      </c>
      <c r="H479" s="16"/>
      <c r="I479" s="16" t="str">
        <f t="shared" si="5"/>
        <v>collected</v>
      </c>
      <c r="J479" s="16" t="str">
        <f t="shared" si="6"/>
        <v>N</v>
      </c>
      <c r="K479" s="16"/>
      <c r="L479" s="16"/>
    </row>
    <row r="480">
      <c r="A480" s="27" t="s">
        <v>881</v>
      </c>
      <c r="B480" s="10" t="str">
        <f t="shared" si="1"/>
        <v>isotope</v>
      </c>
      <c r="C480" s="49" t="str">
        <f t="shared" si="2"/>
        <v>S16888IS1</v>
      </c>
      <c r="D480" s="6">
        <v>28.0</v>
      </c>
      <c r="E480" s="10" t="str">
        <f t="shared" si="3"/>
        <v>BIS28</v>
      </c>
      <c r="F480" s="13">
        <v>30.0</v>
      </c>
      <c r="G480" s="10" t="str">
        <f t="shared" si="4"/>
        <v>BIS28-30</v>
      </c>
      <c r="H480" s="6"/>
      <c r="I480" s="16" t="str">
        <f t="shared" si="5"/>
        <v>collected</v>
      </c>
      <c r="J480" s="16" t="str">
        <f t="shared" si="6"/>
        <v>N</v>
      </c>
      <c r="K480" s="16"/>
      <c r="L480" s="16"/>
    </row>
    <row r="481">
      <c r="A481" s="27" t="s">
        <v>882</v>
      </c>
      <c r="B481" s="10" t="str">
        <f t="shared" si="1"/>
        <v>isotope</v>
      </c>
      <c r="C481" s="49" t="str">
        <f t="shared" si="2"/>
        <v>S16890IS1</v>
      </c>
      <c r="D481" s="6">
        <v>28.0</v>
      </c>
      <c r="E481" s="10" t="str">
        <f t="shared" si="3"/>
        <v>BIS28</v>
      </c>
      <c r="F481" s="13">
        <v>31.0</v>
      </c>
      <c r="G481" s="10" t="str">
        <f t="shared" si="4"/>
        <v>BIS28-31</v>
      </c>
      <c r="H481" s="6"/>
      <c r="I481" s="16" t="str">
        <f t="shared" si="5"/>
        <v>collected</v>
      </c>
      <c r="J481" s="16" t="str">
        <f t="shared" si="6"/>
        <v>N</v>
      </c>
      <c r="K481" s="16"/>
      <c r="L481" s="16"/>
    </row>
    <row r="482">
      <c r="A482" s="27" t="s">
        <v>884</v>
      </c>
      <c r="B482" s="10" t="str">
        <f t="shared" si="1"/>
        <v>isotope</v>
      </c>
      <c r="C482" s="49" t="str">
        <f t="shared" si="2"/>
        <v>S16291IS1</v>
      </c>
      <c r="D482" s="6">
        <v>28.0</v>
      </c>
      <c r="E482" s="10" t="str">
        <f t="shared" si="3"/>
        <v>BIS28</v>
      </c>
      <c r="F482" s="13">
        <v>32.0</v>
      </c>
      <c r="G482" s="10" t="str">
        <f t="shared" si="4"/>
        <v>BIS28-32</v>
      </c>
      <c r="H482" s="16"/>
      <c r="I482" s="16" t="str">
        <f t="shared" si="5"/>
        <v>collected</v>
      </c>
      <c r="J482" s="16" t="str">
        <f t="shared" si="6"/>
        <v>N</v>
      </c>
      <c r="K482" s="16"/>
      <c r="L482" s="16"/>
    </row>
    <row r="483">
      <c r="A483" s="27" t="s">
        <v>885</v>
      </c>
      <c r="B483" s="10" t="str">
        <f t="shared" si="1"/>
        <v>isotope</v>
      </c>
      <c r="C483" s="49" t="str">
        <f t="shared" si="2"/>
        <v>S16292IS1</v>
      </c>
      <c r="D483" s="6">
        <v>28.0</v>
      </c>
      <c r="E483" s="10" t="str">
        <f t="shared" si="3"/>
        <v>BIS28</v>
      </c>
      <c r="F483" s="13">
        <v>33.0</v>
      </c>
      <c r="G483" s="10" t="str">
        <f t="shared" si="4"/>
        <v>BIS28-33</v>
      </c>
      <c r="H483" s="16"/>
      <c r="I483" s="16" t="str">
        <f t="shared" si="5"/>
        <v>collected</v>
      </c>
      <c r="J483" s="16" t="str">
        <f t="shared" si="6"/>
        <v>N</v>
      </c>
      <c r="K483" s="16"/>
      <c r="L483" s="16"/>
    </row>
    <row r="484">
      <c r="A484" s="27" t="s">
        <v>886</v>
      </c>
      <c r="B484" s="10" t="str">
        <f t="shared" si="1"/>
        <v>isotope</v>
      </c>
      <c r="C484" s="49" t="str">
        <f t="shared" si="2"/>
        <v>S16293IS1</v>
      </c>
      <c r="D484" s="6">
        <v>28.0</v>
      </c>
      <c r="E484" s="10" t="str">
        <f t="shared" si="3"/>
        <v>BIS28</v>
      </c>
      <c r="F484" s="13">
        <v>34.0</v>
      </c>
      <c r="G484" s="10" t="str">
        <f t="shared" si="4"/>
        <v>BIS28-34</v>
      </c>
      <c r="H484" s="16"/>
      <c r="I484" s="16" t="str">
        <f t="shared" si="5"/>
        <v>collected</v>
      </c>
      <c r="J484" s="16" t="str">
        <f t="shared" si="6"/>
        <v>N</v>
      </c>
      <c r="K484" s="16"/>
      <c r="L484" s="16"/>
    </row>
    <row r="485">
      <c r="A485" s="27" t="s">
        <v>887</v>
      </c>
      <c r="B485" s="10" t="str">
        <f t="shared" si="1"/>
        <v>isotope</v>
      </c>
      <c r="C485" s="49" t="str">
        <f t="shared" si="2"/>
        <v>S16294IS1</v>
      </c>
      <c r="D485" s="6">
        <v>28.0</v>
      </c>
      <c r="E485" s="10" t="str">
        <f t="shared" si="3"/>
        <v>BIS28</v>
      </c>
      <c r="F485" s="13">
        <v>35.0</v>
      </c>
      <c r="G485" s="10" t="str">
        <f t="shared" si="4"/>
        <v>BIS28-35</v>
      </c>
      <c r="H485" s="16"/>
      <c r="I485" s="16" t="str">
        <f t="shared" si="5"/>
        <v>collected</v>
      </c>
      <c r="J485" s="16" t="str">
        <f t="shared" si="6"/>
        <v>N</v>
      </c>
      <c r="K485" s="16"/>
      <c r="L485" s="16"/>
    </row>
    <row r="486">
      <c r="A486" s="27" t="s">
        <v>889</v>
      </c>
      <c r="B486" s="10" t="str">
        <f t="shared" si="1"/>
        <v>isotope</v>
      </c>
      <c r="C486" s="49" t="str">
        <f t="shared" si="2"/>
        <v>S16295IS1</v>
      </c>
      <c r="D486" s="6">
        <v>28.0</v>
      </c>
      <c r="E486" s="10" t="str">
        <f t="shared" si="3"/>
        <v>BIS28</v>
      </c>
      <c r="F486" s="13">
        <v>36.0</v>
      </c>
      <c r="G486" s="10" t="str">
        <f t="shared" si="4"/>
        <v>BIS28-36</v>
      </c>
      <c r="H486" s="16"/>
      <c r="I486" s="16" t="str">
        <f t="shared" si="5"/>
        <v>collected</v>
      </c>
      <c r="J486" s="16" t="str">
        <f t="shared" si="6"/>
        <v>N</v>
      </c>
      <c r="K486" s="16"/>
      <c r="L486" s="16"/>
    </row>
    <row r="487">
      <c r="A487" s="27" t="s">
        <v>891</v>
      </c>
      <c r="B487" s="10" t="str">
        <f t="shared" si="1"/>
        <v>isotope</v>
      </c>
      <c r="C487" s="49" t="str">
        <f t="shared" si="2"/>
        <v>S16296IS1</v>
      </c>
      <c r="D487" s="6">
        <v>28.0</v>
      </c>
      <c r="E487" s="10" t="str">
        <f t="shared" si="3"/>
        <v>BIS28</v>
      </c>
      <c r="F487" s="13">
        <v>37.0</v>
      </c>
      <c r="G487" s="10" t="str">
        <f t="shared" si="4"/>
        <v>BIS28-37</v>
      </c>
      <c r="H487" s="16"/>
      <c r="I487" s="16" t="str">
        <f t="shared" si="5"/>
        <v>collected</v>
      </c>
      <c r="J487" s="16" t="str">
        <f t="shared" si="6"/>
        <v>N</v>
      </c>
      <c r="K487" s="16"/>
      <c r="L487" s="16"/>
    </row>
    <row r="488">
      <c r="A488" s="27" t="s">
        <v>892</v>
      </c>
      <c r="B488" s="10" t="str">
        <f t="shared" si="1"/>
        <v>isotope</v>
      </c>
      <c r="C488" s="49" t="str">
        <f t="shared" si="2"/>
        <v>S16297IS1</v>
      </c>
      <c r="D488" s="6">
        <v>28.0</v>
      </c>
      <c r="E488" s="10" t="str">
        <f t="shared" si="3"/>
        <v>BIS28</v>
      </c>
      <c r="F488" s="13">
        <v>38.0</v>
      </c>
      <c r="G488" s="10" t="str">
        <f t="shared" si="4"/>
        <v>BIS28-38</v>
      </c>
      <c r="H488" s="16"/>
      <c r="I488" s="16" t="str">
        <f t="shared" si="5"/>
        <v>collected</v>
      </c>
      <c r="J488" s="16" t="str">
        <f t="shared" si="6"/>
        <v>N</v>
      </c>
      <c r="K488" s="16"/>
      <c r="L488" s="16"/>
    </row>
    <row r="489">
      <c r="A489" s="27" t="s">
        <v>893</v>
      </c>
      <c r="B489" s="10" t="str">
        <f t="shared" si="1"/>
        <v>isotope</v>
      </c>
      <c r="C489" s="49" t="str">
        <f t="shared" si="2"/>
        <v>S16298IS1</v>
      </c>
      <c r="D489" s="6">
        <v>28.0</v>
      </c>
      <c r="E489" s="10" t="str">
        <f t="shared" si="3"/>
        <v>BIS28</v>
      </c>
      <c r="F489" s="13">
        <v>39.0</v>
      </c>
      <c r="G489" s="10" t="str">
        <f t="shared" si="4"/>
        <v>BIS28-39</v>
      </c>
      <c r="H489" s="16"/>
      <c r="I489" s="16" t="str">
        <f t="shared" si="5"/>
        <v>collected</v>
      </c>
      <c r="J489" s="16" t="str">
        <f t="shared" si="6"/>
        <v>N</v>
      </c>
      <c r="K489" s="16"/>
      <c r="L489" s="16"/>
    </row>
    <row r="490">
      <c r="A490" s="27" t="s">
        <v>894</v>
      </c>
      <c r="B490" s="10" t="str">
        <f t="shared" si="1"/>
        <v>isotope</v>
      </c>
      <c r="C490" s="49" t="str">
        <f t="shared" si="2"/>
        <v>S16511IS1</v>
      </c>
      <c r="D490" s="6">
        <v>28.0</v>
      </c>
      <c r="E490" s="10" t="str">
        <f t="shared" si="3"/>
        <v>BIS28</v>
      </c>
      <c r="F490" s="13">
        <v>40.0</v>
      </c>
      <c r="G490" s="10" t="str">
        <f t="shared" si="4"/>
        <v>BIS28-40</v>
      </c>
      <c r="H490" s="16"/>
      <c r="I490" s="16" t="str">
        <f t="shared" si="5"/>
        <v>collected</v>
      </c>
      <c r="J490" s="16" t="str">
        <f t="shared" si="6"/>
        <v>N</v>
      </c>
      <c r="K490" s="16"/>
      <c r="L490" s="16"/>
    </row>
    <row r="491">
      <c r="A491" s="27" t="s">
        <v>895</v>
      </c>
      <c r="B491" s="10" t="str">
        <f t="shared" si="1"/>
        <v>isotope</v>
      </c>
      <c r="C491" s="49" t="str">
        <f t="shared" si="2"/>
        <v>S16512IS1</v>
      </c>
      <c r="D491" s="6">
        <v>28.0</v>
      </c>
      <c r="E491" s="10" t="str">
        <f t="shared" si="3"/>
        <v>BIS28</v>
      </c>
      <c r="F491" s="13">
        <v>41.0</v>
      </c>
      <c r="G491" s="10" t="str">
        <f t="shared" si="4"/>
        <v>BIS28-41</v>
      </c>
      <c r="H491" s="16"/>
      <c r="I491" s="16" t="str">
        <f t="shared" si="5"/>
        <v>collected</v>
      </c>
      <c r="J491" s="16" t="str">
        <f t="shared" si="6"/>
        <v>N</v>
      </c>
      <c r="K491" s="16"/>
      <c r="L491" s="16"/>
    </row>
    <row r="492">
      <c r="A492" s="40" t="s">
        <v>897</v>
      </c>
      <c r="B492" s="10" t="str">
        <f t="shared" si="1"/>
        <v>isotope</v>
      </c>
      <c r="C492" s="49" t="str">
        <f t="shared" si="2"/>
        <v>S17231IS1</v>
      </c>
      <c r="D492" s="6">
        <v>29.0</v>
      </c>
      <c r="E492" s="10" t="str">
        <f t="shared" si="3"/>
        <v>BIS29</v>
      </c>
      <c r="F492" s="13">
        <v>20.0</v>
      </c>
      <c r="G492" s="10" t="str">
        <f t="shared" si="4"/>
        <v>BIS29-20</v>
      </c>
      <c r="H492" s="16"/>
      <c r="I492" s="16" t="str">
        <f t="shared" si="5"/>
        <v>collected</v>
      </c>
      <c r="J492" s="16" t="str">
        <f t="shared" si="6"/>
        <v>N</v>
      </c>
      <c r="K492" s="16"/>
      <c r="L492" s="16"/>
    </row>
    <row r="493">
      <c r="A493" s="43" t="s">
        <v>898</v>
      </c>
      <c r="B493" s="10" t="str">
        <f t="shared" si="1"/>
        <v>isotope</v>
      </c>
      <c r="C493" s="49" t="str">
        <f t="shared" si="2"/>
        <v>S17235IS1</v>
      </c>
      <c r="D493" s="6">
        <v>29.0</v>
      </c>
      <c r="E493" s="10" t="str">
        <f t="shared" si="3"/>
        <v>BIS29</v>
      </c>
      <c r="F493" s="13">
        <v>21.0</v>
      </c>
      <c r="G493" s="10" t="str">
        <f t="shared" si="4"/>
        <v>BIS29-21</v>
      </c>
      <c r="H493" s="16"/>
      <c r="I493" s="16" t="str">
        <f t="shared" si="5"/>
        <v>collected</v>
      </c>
      <c r="J493" s="16" t="str">
        <f t="shared" si="6"/>
        <v>N</v>
      </c>
      <c r="K493" s="16"/>
      <c r="L493" s="16"/>
    </row>
    <row r="494">
      <c r="A494" s="44" t="s">
        <v>899</v>
      </c>
      <c r="B494" s="10" t="str">
        <f t="shared" si="1"/>
        <v>isotope</v>
      </c>
      <c r="C494" s="49" t="str">
        <f t="shared" si="2"/>
        <v>S17237IS1</v>
      </c>
      <c r="D494" s="6">
        <v>29.0</v>
      </c>
      <c r="E494" s="10" t="str">
        <f t="shared" si="3"/>
        <v>BIS29</v>
      </c>
      <c r="F494" s="13">
        <v>22.0</v>
      </c>
      <c r="G494" s="10" t="str">
        <f t="shared" si="4"/>
        <v>BIS29-22</v>
      </c>
      <c r="H494" s="16"/>
      <c r="I494" s="16" t="str">
        <f t="shared" si="5"/>
        <v>collected</v>
      </c>
      <c r="J494" s="16" t="str">
        <f t="shared" si="6"/>
        <v>N</v>
      </c>
      <c r="K494" s="16"/>
      <c r="L494" s="16"/>
    </row>
    <row r="495">
      <c r="A495" s="44" t="s">
        <v>901</v>
      </c>
      <c r="B495" s="10" t="str">
        <f t="shared" si="1"/>
        <v>isotope</v>
      </c>
      <c r="C495" s="49" t="str">
        <f t="shared" si="2"/>
        <v>S17238IS1</v>
      </c>
      <c r="D495" s="6">
        <v>29.0</v>
      </c>
      <c r="E495" s="10" t="str">
        <f t="shared" si="3"/>
        <v>BIS29</v>
      </c>
      <c r="F495" s="13">
        <v>23.0</v>
      </c>
      <c r="G495" s="10" t="str">
        <f t="shared" si="4"/>
        <v>BIS29-23</v>
      </c>
      <c r="H495" s="16"/>
      <c r="I495" s="16" t="str">
        <f t="shared" si="5"/>
        <v>collected</v>
      </c>
      <c r="J495" s="16" t="str">
        <f t="shared" si="6"/>
        <v>N</v>
      </c>
      <c r="K495" s="16"/>
      <c r="L495" s="16"/>
    </row>
    <row r="496">
      <c r="A496" s="46" t="s">
        <v>903</v>
      </c>
      <c r="B496" s="10" t="str">
        <f t="shared" si="1"/>
        <v>isotope</v>
      </c>
      <c r="C496" s="49" t="str">
        <f t="shared" si="2"/>
        <v>S17234IS1</v>
      </c>
      <c r="D496" s="6">
        <v>29.0</v>
      </c>
      <c r="E496" s="10" t="str">
        <f t="shared" si="3"/>
        <v>BIS29</v>
      </c>
      <c r="F496" s="13">
        <v>24.0</v>
      </c>
      <c r="G496" s="10" t="str">
        <f t="shared" si="4"/>
        <v>BIS29-24</v>
      </c>
      <c r="H496" s="16"/>
      <c r="I496" s="16" t="str">
        <f t="shared" si="5"/>
        <v>collected</v>
      </c>
      <c r="J496" s="16" t="str">
        <f t="shared" si="6"/>
        <v>N</v>
      </c>
      <c r="K496" s="16"/>
      <c r="L496" s="16"/>
    </row>
    <row r="497">
      <c r="A497" s="46" t="s">
        <v>904</v>
      </c>
      <c r="B497" s="10" t="str">
        <f t="shared" si="1"/>
        <v>isotope</v>
      </c>
      <c r="C497" s="49" t="str">
        <f t="shared" si="2"/>
        <v>S17232IS1</v>
      </c>
      <c r="D497" s="6">
        <v>29.0</v>
      </c>
      <c r="E497" s="10" t="str">
        <f t="shared" si="3"/>
        <v>BIS29</v>
      </c>
      <c r="F497" s="13">
        <v>25.0</v>
      </c>
      <c r="G497" s="10" t="str">
        <f t="shared" si="4"/>
        <v>BIS29-25</v>
      </c>
      <c r="H497" s="16"/>
      <c r="I497" s="16" t="str">
        <f t="shared" si="5"/>
        <v>collected</v>
      </c>
      <c r="J497" s="16" t="str">
        <f t="shared" si="6"/>
        <v>N</v>
      </c>
      <c r="K497" s="16"/>
      <c r="L497" s="16"/>
    </row>
    <row r="498">
      <c r="A498" s="46" t="s">
        <v>905</v>
      </c>
      <c r="B498" s="10" t="str">
        <f t="shared" si="1"/>
        <v>isotope</v>
      </c>
      <c r="C498" s="49" t="str">
        <f t="shared" si="2"/>
        <v>S17240IS1</v>
      </c>
      <c r="D498" s="6">
        <v>29.0</v>
      </c>
      <c r="E498" s="10" t="str">
        <f t="shared" si="3"/>
        <v>BIS29</v>
      </c>
      <c r="F498" s="13">
        <v>26.0</v>
      </c>
      <c r="G498" s="10" t="str">
        <f t="shared" si="4"/>
        <v>BIS29-26</v>
      </c>
      <c r="H498" s="16"/>
      <c r="I498" s="16" t="str">
        <f t="shared" si="5"/>
        <v>collected</v>
      </c>
      <c r="J498" s="16" t="str">
        <f t="shared" si="6"/>
        <v>N</v>
      </c>
      <c r="K498" s="16"/>
      <c r="L498" s="16"/>
    </row>
    <row r="499">
      <c r="A499" s="46" t="s">
        <v>906</v>
      </c>
      <c r="B499" s="10" t="str">
        <f t="shared" si="1"/>
        <v>isotope</v>
      </c>
      <c r="C499" s="49" t="str">
        <f t="shared" si="2"/>
        <v>S17239IS1</v>
      </c>
      <c r="D499" s="6">
        <v>29.0</v>
      </c>
      <c r="E499" s="10" t="str">
        <f t="shared" si="3"/>
        <v>BIS29</v>
      </c>
      <c r="F499" s="13">
        <v>27.0</v>
      </c>
      <c r="G499" s="10" t="str">
        <f t="shared" si="4"/>
        <v>BIS29-27</v>
      </c>
      <c r="H499" s="16"/>
      <c r="I499" s="16" t="str">
        <f t="shared" si="5"/>
        <v>collected</v>
      </c>
      <c r="J499" s="16" t="str">
        <f t="shared" si="6"/>
        <v>N</v>
      </c>
      <c r="K499" s="16"/>
      <c r="L499" s="16"/>
    </row>
    <row r="500">
      <c r="A500" s="46" t="s">
        <v>907</v>
      </c>
      <c r="B500" s="10" t="str">
        <f t="shared" si="1"/>
        <v>isotope</v>
      </c>
      <c r="C500" s="49" t="str">
        <f t="shared" si="2"/>
        <v>S17236IS1</v>
      </c>
      <c r="D500" s="6">
        <v>29.0</v>
      </c>
      <c r="E500" s="10" t="str">
        <f t="shared" si="3"/>
        <v>BIS29</v>
      </c>
      <c r="F500" s="13">
        <v>28.0</v>
      </c>
      <c r="G500" s="10" t="str">
        <f t="shared" si="4"/>
        <v>BIS29-28</v>
      </c>
      <c r="H500" s="16"/>
      <c r="I500" s="16" t="str">
        <f t="shared" si="5"/>
        <v>collected</v>
      </c>
      <c r="J500" s="16" t="str">
        <f t="shared" si="6"/>
        <v>N</v>
      </c>
      <c r="K500" s="16"/>
      <c r="L500" s="16"/>
    </row>
    <row r="501">
      <c r="A501" s="46" t="s">
        <v>908</v>
      </c>
      <c r="B501" s="10" t="str">
        <f t="shared" si="1"/>
        <v>isotope</v>
      </c>
      <c r="C501" s="49" t="str">
        <f t="shared" si="2"/>
        <v>S17092IS1</v>
      </c>
      <c r="D501" s="6">
        <v>29.0</v>
      </c>
      <c r="E501" s="10" t="str">
        <f t="shared" si="3"/>
        <v>BIS29</v>
      </c>
      <c r="F501" s="13">
        <v>29.0</v>
      </c>
      <c r="G501" s="10" t="str">
        <f t="shared" si="4"/>
        <v>BIS29-29</v>
      </c>
      <c r="H501" s="16"/>
      <c r="I501" s="16" t="str">
        <f t="shared" si="5"/>
        <v>collected</v>
      </c>
      <c r="J501" s="16" t="str">
        <f t="shared" si="6"/>
        <v>N</v>
      </c>
      <c r="K501" s="16"/>
      <c r="L501" s="16"/>
    </row>
    <row r="502">
      <c r="A502" s="46" t="s">
        <v>910</v>
      </c>
      <c r="B502" s="10" t="str">
        <f t="shared" si="1"/>
        <v>isotope</v>
      </c>
      <c r="C502" s="49" t="str">
        <f t="shared" si="2"/>
        <v>S17099IS1</v>
      </c>
      <c r="D502" s="6">
        <v>29.0</v>
      </c>
      <c r="E502" s="10" t="str">
        <f t="shared" si="3"/>
        <v>BIS29</v>
      </c>
      <c r="F502" s="13">
        <v>30.0</v>
      </c>
      <c r="G502" s="10" t="str">
        <f t="shared" si="4"/>
        <v>BIS29-30</v>
      </c>
      <c r="H502" s="16"/>
      <c r="I502" s="16" t="str">
        <f t="shared" si="5"/>
        <v>collected</v>
      </c>
      <c r="J502" s="16" t="str">
        <f t="shared" si="6"/>
        <v>N</v>
      </c>
      <c r="K502" s="16"/>
      <c r="L502" s="16"/>
    </row>
    <row r="503">
      <c r="A503" s="46" t="s">
        <v>911</v>
      </c>
      <c r="B503" s="10" t="str">
        <f t="shared" si="1"/>
        <v>isotope</v>
      </c>
      <c r="C503" s="49" t="str">
        <f t="shared" si="2"/>
        <v>S17100IS1</v>
      </c>
      <c r="D503" s="6">
        <v>29.0</v>
      </c>
      <c r="E503" s="10" t="str">
        <f t="shared" si="3"/>
        <v>BIS29</v>
      </c>
      <c r="F503" s="13">
        <v>31.0</v>
      </c>
      <c r="G503" s="10" t="str">
        <f t="shared" si="4"/>
        <v>BIS29-31</v>
      </c>
      <c r="H503" s="16"/>
      <c r="I503" s="16" t="str">
        <f t="shared" si="5"/>
        <v>collected</v>
      </c>
      <c r="J503" s="16" t="str">
        <f t="shared" si="6"/>
        <v>N</v>
      </c>
      <c r="K503" s="16"/>
      <c r="L503" s="16"/>
    </row>
    <row r="504">
      <c r="A504" s="40" t="s">
        <v>913</v>
      </c>
      <c r="B504" s="10" t="str">
        <f t="shared" si="1"/>
        <v>isotope</v>
      </c>
      <c r="C504" s="49" t="str">
        <f t="shared" si="2"/>
        <v>S17097IS1</v>
      </c>
      <c r="D504" s="6">
        <v>29.0</v>
      </c>
      <c r="E504" s="10" t="str">
        <f t="shared" si="3"/>
        <v>BIS29</v>
      </c>
      <c r="F504" s="13">
        <v>32.0</v>
      </c>
      <c r="G504" s="10" t="str">
        <f t="shared" si="4"/>
        <v>BIS29-32</v>
      </c>
      <c r="H504" s="16"/>
      <c r="I504" s="16" t="str">
        <f t="shared" si="5"/>
        <v>collected</v>
      </c>
      <c r="J504" s="16" t="str">
        <f t="shared" si="6"/>
        <v>N</v>
      </c>
      <c r="K504" s="16"/>
      <c r="L504" s="16"/>
    </row>
    <row r="505">
      <c r="A505" s="43" t="s">
        <v>914</v>
      </c>
      <c r="B505" s="10" t="str">
        <f t="shared" si="1"/>
        <v>isotope</v>
      </c>
      <c r="C505" s="49" t="str">
        <f t="shared" si="2"/>
        <v>S17098IS1</v>
      </c>
      <c r="D505" s="6">
        <v>29.0</v>
      </c>
      <c r="E505" s="10" t="str">
        <f t="shared" si="3"/>
        <v>BIS29</v>
      </c>
      <c r="F505" s="13">
        <v>33.0</v>
      </c>
      <c r="G505" s="10" t="str">
        <f t="shared" si="4"/>
        <v>BIS29-33</v>
      </c>
      <c r="H505" s="16"/>
      <c r="I505" s="16" t="str">
        <f t="shared" si="5"/>
        <v>collected</v>
      </c>
      <c r="J505" s="16" t="str">
        <f t="shared" si="6"/>
        <v>N</v>
      </c>
      <c r="K505" s="16"/>
      <c r="L505" s="16"/>
    </row>
    <row r="506">
      <c r="A506" s="43" t="s">
        <v>916</v>
      </c>
      <c r="B506" s="10" t="str">
        <f t="shared" si="1"/>
        <v>isotope</v>
      </c>
      <c r="C506" s="49" t="str">
        <f t="shared" si="2"/>
        <v>S17091IS1</v>
      </c>
      <c r="D506" s="6">
        <v>29.0</v>
      </c>
      <c r="E506" s="10" t="str">
        <f t="shared" si="3"/>
        <v>BIS29</v>
      </c>
      <c r="F506" s="13">
        <v>34.0</v>
      </c>
      <c r="G506" s="10" t="str">
        <f t="shared" si="4"/>
        <v>BIS29-34</v>
      </c>
      <c r="H506" s="16"/>
      <c r="I506" s="16" t="str">
        <f t="shared" si="5"/>
        <v>collected</v>
      </c>
      <c r="J506" s="16" t="str">
        <f t="shared" si="6"/>
        <v>N</v>
      </c>
      <c r="K506" s="16"/>
      <c r="L506" s="16"/>
    </row>
    <row r="507">
      <c r="A507" s="6" t="s">
        <v>917</v>
      </c>
      <c r="B507" s="10" t="str">
        <f t="shared" si="1"/>
        <v>isotope</v>
      </c>
      <c r="C507" s="49" t="str">
        <f t="shared" si="2"/>
        <v>S16513IS1</v>
      </c>
      <c r="D507" s="6">
        <v>28.0</v>
      </c>
      <c r="E507" s="10" t="str">
        <f t="shared" si="3"/>
        <v>BIS28</v>
      </c>
      <c r="F507" s="13">
        <v>42.0</v>
      </c>
      <c r="G507" s="10" t="str">
        <f t="shared" si="4"/>
        <v>BIS28-42</v>
      </c>
      <c r="H507" s="16"/>
      <c r="I507" s="16" t="str">
        <f t="shared" si="5"/>
        <v>collected</v>
      </c>
      <c r="J507" s="16" t="str">
        <f t="shared" si="6"/>
        <v>N</v>
      </c>
      <c r="K507" s="16"/>
      <c r="L507" s="16"/>
    </row>
    <row r="508">
      <c r="A508" s="27" t="s">
        <v>918</v>
      </c>
      <c r="B508" s="10" t="str">
        <f t="shared" si="1"/>
        <v>isotope</v>
      </c>
      <c r="C508" s="49" t="str">
        <f t="shared" si="2"/>
        <v>S16514IS1</v>
      </c>
      <c r="D508" s="6">
        <v>28.0</v>
      </c>
      <c r="E508" s="10" t="str">
        <f t="shared" si="3"/>
        <v>BIS28</v>
      </c>
      <c r="F508" s="13">
        <v>43.0</v>
      </c>
      <c r="G508" s="10" t="str">
        <f t="shared" si="4"/>
        <v>BIS28-43</v>
      </c>
      <c r="H508" s="16"/>
      <c r="I508" s="16" t="str">
        <f t="shared" si="5"/>
        <v>collected</v>
      </c>
      <c r="J508" s="16" t="str">
        <f t="shared" si="6"/>
        <v>N</v>
      </c>
      <c r="K508" s="16"/>
      <c r="L508" s="16"/>
    </row>
    <row r="509">
      <c r="A509" s="27" t="s">
        <v>921</v>
      </c>
      <c r="B509" s="10" t="str">
        <f t="shared" si="1"/>
        <v>isotope</v>
      </c>
      <c r="C509" s="49" t="str">
        <f t="shared" si="2"/>
        <v>S16515IS1</v>
      </c>
      <c r="D509" s="6">
        <v>28.0</v>
      </c>
      <c r="E509" s="10" t="str">
        <f t="shared" si="3"/>
        <v>BIS28</v>
      </c>
      <c r="F509" s="13">
        <v>44.0</v>
      </c>
      <c r="G509" s="10" t="str">
        <f t="shared" si="4"/>
        <v>BIS28-44</v>
      </c>
      <c r="H509" s="16"/>
      <c r="I509" s="16" t="str">
        <f t="shared" si="5"/>
        <v>collected</v>
      </c>
      <c r="J509" s="16" t="str">
        <f t="shared" si="6"/>
        <v>N</v>
      </c>
      <c r="K509" s="16"/>
      <c r="L509" s="16"/>
    </row>
    <row r="510">
      <c r="A510" s="27" t="s">
        <v>922</v>
      </c>
      <c r="B510" s="10" t="str">
        <f t="shared" si="1"/>
        <v>isotope</v>
      </c>
      <c r="C510" s="49" t="str">
        <f t="shared" si="2"/>
        <v>S16516IS1</v>
      </c>
      <c r="D510" s="6">
        <v>28.0</v>
      </c>
      <c r="E510" s="10" t="str">
        <f t="shared" si="3"/>
        <v>BIS28</v>
      </c>
      <c r="F510" s="13">
        <v>45.0</v>
      </c>
      <c r="G510" s="10" t="str">
        <f t="shared" si="4"/>
        <v>BIS28-45</v>
      </c>
      <c r="H510" s="16"/>
      <c r="I510" s="16" t="str">
        <f t="shared" si="5"/>
        <v>collected</v>
      </c>
      <c r="J510" s="16" t="str">
        <f t="shared" si="6"/>
        <v>N</v>
      </c>
      <c r="K510" s="16"/>
      <c r="L510" s="16"/>
    </row>
    <row r="511">
      <c r="A511" s="27" t="s">
        <v>923</v>
      </c>
      <c r="B511" s="10" t="str">
        <f t="shared" si="1"/>
        <v>isotope</v>
      </c>
      <c r="C511" s="49" t="str">
        <f t="shared" si="2"/>
        <v>S16517IS1</v>
      </c>
      <c r="D511" s="6">
        <v>28.0</v>
      </c>
      <c r="E511" s="10" t="str">
        <f t="shared" si="3"/>
        <v>BIS28</v>
      </c>
      <c r="F511" s="13">
        <v>46.0</v>
      </c>
      <c r="G511" s="10" t="str">
        <f t="shared" si="4"/>
        <v>BIS28-46</v>
      </c>
      <c r="H511" s="16"/>
      <c r="I511" s="16" t="str">
        <f t="shared" si="5"/>
        <v>collected</v>
      </c>
      <c r="J511" s="16" t="str">
        <f t="shared" si="6"/>
        <v>N</v>
      </c>
      <c r="K511" s="16"/>
      <c r="L511" s="16"/>
    </row>
    <row r="512">
      <c r="A512" s="27" t="s">
        <v>924</v>
      </c>
      <c r="B512" s="10" t="str">
        <f t="shared" si="1"/>
        <v>isotope</v>
      </c>
      <c r="C512" s="49" t="str">
        <f t="shared" si="2"/>
        <v>S16518IS1</v>
      </c>
      <c r="D512" s="6">
        <v>28.0</v>
      </c>
      <c r="E512" s="10" t="str">
        <f t="shared" si="3"/>
        <v>BIS28</v>
      </c>
      <c r="F512" s="13">
        <v>47.0</v>
      </c>
      <c r="G512" s="10" t="str">
        <f t="shared" si="4"/>
        <v>BIS28-47</v>
      </c>
      <c r="H512" s="16"/>
      <c r="I512" s="16" t="str">
        <f t="shared" si="5"/>
        <v>collected</v>
      </c>
      <c r="J512" s="16" t="str">
        <f t="shared" si="6"/>
        <v>N</v>
      </c>
      <c r="K512" s="16"/>
      <c r="L512" s="16"/>
    </row>
    <row r="513">
      <c r="A513" s="27" t="s">
        <v>927</v>
      </c>
      <c r="B513" s="10" t="str">
        <f t="shared" si="1"/>
        <v>isotope</v>
      </c>
      <c r="C513" s="49" t="str">
        <f t="shared" si="2"/>
        <v>S16519IS1</v>
      </c>
      <c r="D513" s="6">
        <v>28.0</v>
      </c>
      <c r="E513" s="10" t="str">
        <f t="shared" si="3"/>
        <v>BIS28</v>
      </c>
      <c r="F513" s="13">
        <v>48.0</v>
      </c>
      <c r="G513" s="10" t="str">
        <f t="shared" si="4"/>
        <v>BIS28-48</v>
      </c>
      <c r="H513" s="16"/>
      <c r="I513" s="16" t="str">
        <f t="shared" si="5"/>
        <v>collected</v>
      </c>
      <c r="J513" s="16" t="str">
        <f t="shared" si="6"/>
        <v>N</v>
      </c>
      <c r="K513" s="16"/>
      <c r="L513" s="16"/>
    </row>
    <row r="514">
      <c r="A514" s="27" t="s">
        <v>929</v>
      </c>
      <c r="B514" s="10" t="str">
        <f t="shared" si="1"/>
        <v>isotope</v>
      </c>
      <c r="C514" s="49" t="str">
        <f t="shared" si="2"/>
        <v>S16520IS1</v>
      </c>
      <c r="D514" s="6">
        <v>28.0</v>
      </c>
      <c r="E514" s="10" t="str">
        <f t="shared" si="3"/>
        <v>BIS28</v>
      </c>
      <c r="F514" s="13">
        <v>49.0</v>
      </c>
      <c r="G514" s="10" t="str">
        <f t="shared" si="4"/>
        <v>BIS28-49</v>
      </c>
      <c r="H514" s="16"/>
      <c r="I514" s="16" t="str">
        <f t="shared" si="5"/>
        <v>collected</v>
      </c>
      <c r="J514" s="16" t="str">
        <f t="shared" si="6"/>
        <v>N</v>
      </c>
      <c r="K514" s="16"/>
      <c r="L514" s="16"/>
    </row>
    <row r="515">
      <c r="A515" s="27" t="s">
        <v>930</v>
      </c>
      <c r="B515" s="10" t="str">
        <f t="shared" si="1"/>
        <v>isotope</v>
      </c>
      <c r="C515" s="49" t="str">
        <f t="shared" si="2"/>
        <v>S16011IS1</v>
      </c>
      <c r="D515" s="6">
        <v>28.0</v>
      </c>
      <c r="E515" s="10" t="str">
        <f t="shared" si="3"/>
        <v>BIS28</v>
      </c>
      <c r="F515" s="13">
        <v>50.0</v>
      </c>
      <c r="G515" s="10" t="str">
        <f t="shared" si="4"/>
        <v>BIS28-50</v>
      </c>
      <c r="H515" s="16"/>
      <c r="I515" s="16" t="str">
        <f t="shared" si="5"/>
        <v>collected</v>
      </c>
      <c r="J515" s="16" t="str">
        <f t="shared" si="6"/>
        <v>N</v>
      </c>
      <c r="K515" s="16"/>
      <c r="L515" s="16"/>
    </row>
    <row r="516">
      <c r="A516" s="27" t="s">
        <v>931</v>
      </c>
      <c r="B516" s="10" t="str">
        <f t="shared" si="1"/>
        <v>isotope</v>
      </c>
      <c r="C516" s="49" t="str">
        <f t="shared" si="2"/>
        <v>S16012IS1</v>
      </c>
      <c r="D516" s="6">
        <v>28.0</v>
      </c>
      <c r="E516" s="10" t="str">
        <f t="shared" si="3"/>
        <v>BIS28</v>
      </c>
      <c r="F516" s="13">
        <v>51.0</v>
      </c>
      <c r="G516" s="10" t="str">
        <f t="shared" si="4"/>
        <v>BIS28-51</v>
      </c>
      <c r="H516" s="16"/>
      <c r="I516" s="16" t="str">
        <f t="shared" si="5"/>
        <v>collected</v>
      </c>
      <c r="J516" s="16" t="str">
        <f t="shared" si="6"/>
        <v>N</v>
      </c>
      <c r="K516" s="16"/>
      <c r="L516" s="16"/>
    </row>
    <row r="517">
      <c r="A517" s="27" t="s">
        <v>933</v>
      </c>
      <c r="B517" s="10" t="str">
        <f t="shared" si="1"/>
        <v>isotope</v>
      </c>
      <c r="C517" s="49" t="str">
        <f t="shared" si="2"/>
        <v>S16013IS1</v>
      </c>
      <c r="D517" s="6">
        <v>28.0</v>
      </c>
      <c r="E517" s="10" t="str">
        <f t="shared" si="3"/>
        <v>BIS28</v>
      </c>
      <c r="F517" s="13">
        <v>52.0</v>
      </c>
      <c r="G517" s="10" t="str">
        <f t="shared" si="4"/>
        <v>BIS28-52</v>
      </c>
      <c r="H517" s="16"/>
      <c r="I517" s="16" t="str">
        <f t="shared" si="5"/>
        <v>collected</v>
      </c>
      <c r="J517" s="16" t="str">
        <f t="shared" si="6"/>
        <v>N</v>
      </c>
      <c r="K517" s="16"/>
      <c r="L517" s="16"/>
    </row>
    <row r="518">
      <c r="A518" s="27" t="s">
        <v>934</v>
      </c>
      <c r="B518" s="10" t="str">
        <f t="shared" si="1"/>
        <v>isotope</v>
      </c>
      <c r="C518" s="49" t="str">
        <f t="shared" si="2"/>
        <v>S16014IS1</v>
      </c>
      <c r="D518" s="6">
        <v>28.0</v>
      </c>
      <c r="E518" s="10" t="str">
        <f t="shared" si="3"/>
        <v>BIS28</v>
      </c>
      <c r="F518" s="13">
        <v>53.0</v>
      </c>
      <c r="G518" s="10" t="str">
        <f t="shared" si="4"/>
        <v>BIS28-53</v>
      </c>
      <c r="H518" s="16"/>
      <c r="I518" s="16" t="str">
        <f t="shared" si="5"/>
        <v>collected</v>
      </c>
      <c r="J518" s="16" t="str">
        <f t="shared" si="6"/>
        <v>N</v>
      </c>
      <c r="K518" s="16"/>
      <c r="L518" s="16"/>
    </row>
    <row r="519">
      <c r="A519" s="27" t="s">
        <v>935</v>
      </c>
      <c r="B519" s="10" t="str">
        <f t="shared" si="1"/>
        <v>isotope</v>
      </c>
      <c r="C519" s="49" t="str">
        <f t="shared" si="2"/>
        <v>S16015IS1</v>
      </c>
      <c r="D519" s="6">
        <v>28.0</v>
      </c>
      <c r="E519" s="10" t="str">
        <f t="shared" si="3"/>
        <v>BIS28</v>
      </c>
      <c r="F519" s="13">
        <v>54.0</v>
      </c>
      <c r="G519" s="10" t="str">
        <f t="shared" si="4"/>
        <v>BIS28-54</v>
      </c>
      <c r="H519" s="16"/>
      <c r="I519" s="16" t="str">
        <f t="shared" si="5"/>
        <v>collected</v>
      </c>
      <c r="J519" s="16" t="str">
        <f t="shared" si="6"/>
        <v>N</v>
      </c>
      <c r="K519" s="16"/>
      <c r="L519" s="16"/>
    </row>
    <row r="520">
      <c r="A520" s="27" t="s">
        <v>937</v>
      </c>
      <c r="B520" s="10" t="str">
        <f t="shared" si="1"/>
        <v>isotope</v>
      </c>
      <c r="C520" s="49" t="str">
        <f t="shared" si="2"/>
        <v>S16016IS1</v>
      </c>
      <c r="D520" s="6">
        <v>28.0</v>
      </c>
      <c r="E520" s="10" t="str">
        <f t="shared" si="3"/>
        <v>BIS28</v>
      </c>
      <c r="F520" s="13">
        <v>55.0</v>
      </c>
      <c r="G520" s="10" t="str">
        <f t="shared" si="4"/>
        <v>BIS28-55</v>
      </c>
      <c r="H520" s="16"/>
      <c r="I520" s="16" t="str">
        <f t="shared" si="5"/>
        <v>collected</v>
      </c>
      <c r="J520" s="16" t="str">
        <f t="shared" si="6"/>
        <v>N</v>
      </c>
      <c r="K520" s="16"/>
      <c r="L520" s="16"/>
    </row>
    <row r="521">
      <c r="A521" s="27" t="s">
        <v>938</v>
      </c>
      <c r="B521" s="10" t="str">
        <f t="shared" si="1"/>
        <v>isotope</v>
      </c>
      <c r="C521" s="49" t="str">
        <f t="shared" si="2"/>
        <v>S16017IS1</v>
      </c>
      <c r="D521" s="6">
        <v>28.0</v>
      </c>
      <c r="E521" s="10" t="str">
        <f t="shared" si="3"/>
        <v>BIS28</v>
      </c>
      <c r="F521" s="13">
        <v>56.0</v>
      </c>
      <c r="G521" s="10" t="str">
        <f t="shared" si="4"/>
        <v>BIS28-56</v>
      </c>
      <c r="H521" s="16"/>
      <c r="I521" s="16" t="str">
        <f t="shared" si="5"/>
        <v>collected</v>
      </c>
      <c r="J521" s="16" t="str">
        <f t="shared" si="6"/>
        <v>N</v>
      </c>
      <c r="K521" s="16"/>
      <c r="L521" s="16"/>
    </row>
    <row r="522">
      <c r="A522" s="27" t="s">
        <v>940</v>
      </c>
      <c r="B522" s="10" t="str">
        <f t="shared" si="1"/>
        <v>isotope</v>
      </c>
      <c r="C522" s="49" t="str">
        <f t="shared" si="2"/>
        <v>S16018IS1</v>
      </c>
      <c r="D522" s="6">
        <v>28.0</v>
      </c>
      <c r="E522" s="10" t="str">
        <f t="shared" si="3"/>
        <v>BIS28</v>
      </c>
      <c r="F522" s="13">
        <v>57.0</v>
      </c>
      <c r="G522" s="10" t="str">
        <f t="shared" si="4"/>
        <v>BIS28-57</v>
      </c>
      <c r="H522" s="16"/>
      <c r="I522" s="16" t="str">
        <f t="shared" si="5"/>
        <v>collected</v>
      </c>
      <c r="J522" s="16" t="str">
        <f t="shared" si="6"/>
        <v>N</v>
      </c>
      <c r="K522" s="16"/>
      <c r="L522" s="16"/>
    </row>
    <row r="523">
      <c r="A523" s="27" t="s">
        <v>941</v>
      </c>
      <c r="B523" s="10" t="str">
        <f t="shared" si="1"/>
        <v>isotope</v>
      </c>
      <c r="C523" s="49" t="str">
        <f t="shared" si="2"/>
        <v>S16019IS1</v>
      </c>
      <c r="D523" s="6">
        <v>28.0</v>
      </c>
      <c r="E523" s="10" t="str">
        <f t="shared" si="3"/>
        <v>BIS28</v>
      </c>
      <c r="F523" s="13">
        <v>58.0</v>
      </c>
      <c r="G523" s="10" t="str">
        <f t="shared" si="4"/>
        <v>BIS28-58</v>
      </c>
      <c r="H523" s="16"/>
      <c r="I523" s="16" t="str">
        <f t="shared" si="5"/>
        <v>collected</v>
      </c>
      <c r="J523" s="16" t="str">
        <f t="shared" si="6"/>
        <v>N</v>
      </c>
      <c r="K523" s="16"/>
      <c r="L523" s="16"/>
    </row>
    <row r="524">
      <c r="A524" s="27" t="s">
        <v>942</v>
      </c>
      <c r="B524" s="10" t="str">
        <f t="shared" si="1"/>
        <v>isotope</v>
      </c>
      <c r="C524" s="49" t="str">
        <f t="shared" si="2"/>
        <v>S16020IS1</v>
      </c>
      <c r="D524" s="6">
        <v>28.0</v>
      </c>
      <c r="E524" s="10" t="str">
        <f t="shared" si="3"/>
        <v>BIS28</v>
      </c>
      <c r="F524" s="13">
        <v>59.0</v>
      </c>
      <c r="G524" s="10" t="str">
        <f t="shared" si="4"/>
        <v>BIS28-59</v>
      </c>
      <c r="H524" s="16"/>
      <c r="I524" s="16" t="str">
        <f t="shared" si="5"/>
        <v>collected</v>
      </c>
      <c r="J524" s="16" t="str">
        <f t="shared" si="6"/>
        <v>N</v>
      </c>
      <c r="K524" s="16"/>
      <c r="L524" s="16"/>
    </row>
    <row r="525">
      <c r="A525" s="43" t="s">
        <v>943</v>
      </c>
      <c r="B525" s="10" t="str">
        <f t="shared" si="1"/>
        <v>isotope</v>
      </c>
      <c r="C525" s="49" t="str">
        <f t="shared" si="2"/>
        <v>S17095IS1</v>
      </c>
      <c r="D525" s="6">
        <v>29.0</v>
      </c>
      <c r="E525" s="10" t="str">
        <f t="shared" si="3"/>
        <v>BIS29</v>
      </c>
      <c r="F525" s="13">
        <v>35.0</v>
      </c>
      <c r="G525" s="10" t="str">
        <f t="shared" si="4"/>
        <v>BIS29-35</v>
      </c>
      <c r="H525" s="16"/>
      <c r="I525" s="16" t="str">
        <f t="shared" si="5"/>
        <v>collected</v>
      </c>
      <c r="J525" s="16" t="str">
        <f t="shared" si="6"/>
        <v>N</v>
      </c>
      <c r="K525" s="16"/>
      <c r="L525" s="16"/>
    </row>
    <row r="526">
      <c r="A526" s="40" t="s">
        <v>946</v>
      </c>
      <c r="B526" s="10" t="str">
        <f t="shared" si="1"/>
        <v>isotope</v>
      </c>
      <c r="C526" s="49" t="str">
        <f t="shared" si="2"/>
        <v>S17096IS1</v>
      </c>
      <c r="D526" s="6">
        <v>29.0</v>
      </c>
      <c r="E526" s="10" t="str">
        <f t="shared" si="3"/>
        <v>BIS29</v>
      </c>
      <c r="F526" s="13">
        <v>36.0</v>
      </c>
      <c r="G526" s="10" t="str">
        <f t="shared" si="4"/>
        <v>BIS29-36</v>
      </c>
      <c r="H526" s="16"/>
      <c r="I526" s="16" t="str">
        <f t="shared" si="5"/>
        <v>collected</v>
      </c>
      <c r="J526" s="16" t="str">
        <f t="shared" si="6"/>
        <v>N</v>
      </c>
      <c r="K526" s="16"/>
      <c r="L526" s="16"/>
    </row>
    <row r="527">
      <c r="A527" s="40" t="s">
        <v>947</v>
      </c>
      <c r="B527" s="10" t="str">
        <f t="shared" si="1"/>
        <v>isotope</v>
      </c>
      <c r="C527" s="49" t="str">
        <f t="shared" si="2"/>
        <v>S17094IS1</v>
      </c>
      <c r="D527" s="6">
        <v>29.0</v>
      </c>
      <c r="E527" s="10" t="str">
        <f t="shared" si="3"/>
        <v>BIS29</v>
      </c>
      <c r="F527" s="13">
        <v>37.0</v>
      </c>
      <c r="G527" s="10" t="str">
        <f t="shared" si="4"/>
        <v>BIS29-37</v>
      </c>
      <c r="H527" s="16"/>
      <c r="I527" s="16" t="str">
        <f t="shared" si="5"/>
        <v>collected</v>
      </c>
      <c r="J527" s="16" t="str">
        <f t="shared" si="6"/>
        <v>N</v>
      </c>
      <c r="K527" s="16"/>
      <c r="L527" s="16"/>
    </row>
    <row r="528">
      <c r="A528" s="40" t="s">
        <v>948</v>
      </c>
      <c r="B528" s="10" t="str">
        <f t="shared" si="1"/>
        <v>isotope</v>
      </c>
      <c r="C528" s="49" t="str">
        <f t="shared" si="2"/>
        <v>S17093IS1</v>
      </c>
      <c r="D528" s="6">
        <v>29.0</v>
      </c>
      <c r="E528" s="10" t="str">
        <f t="shared" si="3"/>
        <v>BIS29</v>
      </c>
      <c r="F528" s="13">
        <v>38.0</v>
      </c>
      <c r="G528" s="10" t="str">
        <f t="shared" si="4"/>
        <v>BIS29-38</v>
      </c>
      <c r="H528" s="16"/>
      <c r="I528" s="16" t="str">
        <f t="shared" si="5"/>
        <v>collected</v>
      </c>
      <c r="J528" s="16" t="str">
        <f t="shared" si="6"/>
        <v>N</v>
      </c>
      <c r="K528" s="16"/>
      <c r="L528" s="16"/>
    </row>
    <row r="529">
      <c r="A529" s="40" t="s">
        <v>949</v>
      </c>
      <c r="B529" s="10" t="str">
        <f t="shared" si="1"/>
        <v>isotope</v>
      </c>
      <c r="C529" s="49" t="str">
        <f t="shared" si="2"/>
        <v>S16151IS1</v>
      </c>
      <c r="D529" s="6">
        <v>29.0</v>
      </c>
      <c r="E529" s="10" t="str">
        <f t="shared" si="3"/>
        <v>BIS29</v>
      </c>
      <c r="F529" s="13">
        <v>39.0</v>
      </c>
      <c r="G529" s="10" t="str">
        <f t="shared" si="4"/>
        <v>BIS29-39</v>
      </c>
      <c r="H529" s="16"/>
      <c r="I529" s="16" t="str">
        <f t="shared" si="5"/>
        <v>collected</v>
      </c>
      <c r="J529" s="16" t="str">
        <f t="shared" si="6"/>
        <v>N</v>
      </c>
      <c r="K529" s="16"/>
      <c r="L529" s="16"/>
    </row>
    <row r="530">
      <c r="A530" s="46" t="s">
        <v>950</v>
      </c>
      <c r="B530" s="10" t="str">
        <f t="shared" si="1"/>
        <v>isotope</v>
      </c>
      <c r="C530" s="49" t="str">
        <f t="shared" si="2"/>
        <v>S16157IS1</v>
      </c>
      <c r="D530" s="6">
        <v>29.0</v>
      </c>
      <c r="E530" s="10" t="str">
        <f t="shared" si="3"/>
        <v>BIS29</v>
      </c>
      <c r="F530" s="13">
        <v>40.0</v>
      </c>
      <c r="G530" s="10" t="str">
        <f t="shared" si="4"/>
        <v>BIS29-40</v>
      </c>
      <c r="H530" s="16"/>
      <c r="I530" s="16" t="str">
        <f t="shared" si="5"/>
        <v>collected</v>
      </c>
      <c r="J530" s="16" t="str">
        <f t="shared" si="6"/>
        <v>N</v>
      </c>
      <c r="K530" s="16"/>
      <c r="L530" s="16"/>
    </row>
    <row r="531">
      <c r="A531" s="46" t="s">
        <v>952</v>
      </c>
      <c r="B531" s="10" t="str">
        <f t="shared" si="1"/>
        <v>isotope</v>
      </c>
      <c r="C531" s="49" t="str">
        <f t="shared" si="2"/>
        <v>S16158IS1</v>
      </c>
      <c r="D531" s="6">
        <v>29.0</v>
      </c>
      <c r="E531" s="10" t="str">
        <f t="shared" si="3"/>
        <v>BIS29</v>
      </c>
      <c r="F531" s="13">
        <v>41.0</v>
      </c>
      <c r="G531" s="10" t="str">
        <f t="shared" si="4"/>
        <v>BIS29-41</v>
      </c>
      <c r="H531" s="16"/>
      <c r="I531" s="16" t="str">
        <f t="shared" si="5"/>
        <v>collected</v>
      </c>
      <c r="J531" s="16" t="str">
        <f t="shared" si="6"/>
        <v>N</v>
      </c>
      <c r="K531" s="16"/>
      <c r="L531" s="16"/>
    </row>
    <row r="532">
      <c r="A532" s="46" t="s">
        <v>954</v>
      </c>
      <c r="B532" s="10" t="str">
        <f t="shared" si="1"/>
        <v>isotope</v>
      </c>
      <c r="C532" s="49" t="str">
        <f t="shared" si="2"/>
        <v>S16159IS1</v>
      </c>
      <c r="D532" s="6">
        <v>29.0</v>
      </c>
      <c r="E532" s="10" t="str">
        <f t="shared" si="3"/>
        <v>BIS29</v>
      </c>
      <c r="F532" s="13">
        <v>42.0</v>
      </c>
      <c r="G532" s="10" t="str">
        <f t="shared" si="4"/>
        <v>BIS29-42</v>
      </c>
      <c r="H532" s="16"/>
      <c r="I532" s="16" t="str">
        <f t="shared" si="5"/>
        <v>collected</v>
      </c>
      <c r="J532" s="16" t="str">
        <f t="shared" si="6"/>
        <v>N</v>
      </c>
      <c r="K532" s="16"/>
      <c r="L532" s="16"/>
    </row>
    <row r="533">
      <c r="A533" s="46" t="s">
        <v>955</v>
      </c>
      <c r="B533" s="10" t="str">
        <f t="shared" si="1"/>
        <v>isotope</v>
      </c>
      <c r="C533" s="49" t="str">
        <f t="shared" si="2"/>
        <v>S16152IS1</v>
      </c>
      <c r="D533" s="6">
        <v>29.0</v>
      </c>
      <c r="E533" s="10" t="str">
        <f t="shared" si="3"/>
        <v>BIS29</v>
      </c>
      <c r="F533" s="13">
        <v>43.0</v>
      </c>
      <c r="G533" s="10" t="str">
        <f t="shared" si="4"/>
        <v>BIS29-43</v>
      </c>
      <c r="H533" s="16"/>
      <c r="I533" s="16" t="str">
        <f t="shared" si="5"/>
        <v>collected</v>
      </c>
      <c r="J533" s="16" t="str">
        <f t="shared" si="6"/>
        <v>N</v>
      </c>
      <c r="K533" s="16"/>
      <c r="L533" s="16"/>
    </row>
    <row r="534">
      <c r="A534" s="46" t="s">
        <v>956</v>
      </c>
      <c r="B534" s="10" t="str">
        <f t="shared" si="1"/>
        <v>isotope</v>
      </c>
      <c r="C534" s="49" t="str">
        <f t="shared" si="2"/>
        <v>S16160IS1</v>
      </c>
      <c r="D534" s="6">
        <v>29.0</v>
      </c>
      <c r="E534" s="10" t="str">
        <f t="shared" si="3"/>
        <v>BIS29</v>
      </c>
      <c r="F534" s="13">
        <v>44.0</v>
      </c>
      <c r="G534" s="10" t="str">
        <f t="shared" si="4"/>
        <v>BIS29-44</v>
      </c>
      <c r="H534" s="16"/>
      <c r="I534" s="16" t="str">
        <f t="shared" si="5"/>
        <v>collected</v>
      </c>
      <c r="J534" s="16" t="str">
        <f t="shared" si="6"/>
        <v>N</v>
      </c>
      <c r="K534" s="16"/>
      <c r="L534" s="16"/>
    </row>
    <row r="535">
      <c r="A535" s="46" t="s">
        <v>958</v>
      </c>
      <c r="B535" s="10" t="str">
        <f t="shared" si="1"/>
        <v>isotope</v>
      </c>
      <c r="C535" s="49" t="str">
        <f t="shared" si="2"/>
        <v>S16153IS1</v>
      </c>
      <c r="D535" s="6">
        <v>29.0</v>
      </c>
      <c r="E535" s="10" t="str">
        <f t="shared" si="3"/>
        <v>BIS29</v>
      </c>
      <c r="F535" s="13">
        <v>45.0</v>
      </c>
      <c r="G535" s="10" t="str">
        <f t="shared" si="4"/>
        <v>BIS29-45</v>
      </c>
      <c r="H535" s="16"/>
      <c r="I535" s="16" t="str">
        <f t="shared" si="5"/>
        <v>collected</v>
      </c>
      <c r="J535" s="16" t="str">
        <f t="shared" si="6"/>
        <v>N</v>
      </c>
      <c r="K535" s="16"/>
      <c r="L535" s="16"/>
    </row>
    <row r="536">
      <c r="A536" s="46" t="s">
        <v>959</v>
      </c>
      <c r="B536" s="10" t="str">
        <f t="shared" si="1"/>
        <v>isotope</v>
      </c>
      <c r="C536" s="49" t="str">
        <f t="shared" si="2"/>
        <v>S16156IS1</v>
      </c>
      <c r="D536" s="6">
        <v>29.0</v>
      </c>
      <c r="E536" s="10" t="str">
        <f t="shared" si="3"/>
        <v>BIS29</v>
      </c>
      <c r="F536" s="13">
        <v>46.0</v>
      </c>
      <c r="G536" s="10" t="str">
        <f t="shared" si="4"/>
        <v>BIS29-46</v>
      </c>
      <c r="H536" s="16"/>
      <c r="I536" s="16" t="str">
        <f t="shared" si="5"/>
        <v>collected</v>
      </c>
      <c r="J536" s="16" t="str">
        <f t="shared" si="6"/>
        <v>N</v>
      </c>
      <c r="K536" s="16"/>
      <c r="L536" s="16"/>
    </row>
    <row r="537">
      <c r="A537" s="46" t="s">
        <v>960</v>
      </c>
      <c r="B537" s="10" t="str">
        <f t="shared" si="1"/>
        <v>isotope</v>
      </c>
      <c r="C537" s="49" t="str">
        <f t="shared" si="2"/>
        <v>S16155IS1</v>
      </c>
      <c r="D537" s="6">
        <v>29.0</v>
      </c>
      <c r="E537" s="10" t="str">
        <f t="shared" si="3"/>
        <v>BIS29</v>
      </c>
      <c r="F537" s="13">
        <v>47.0</v>
      </c>
      <c r="G537" s="10" t="str">
        <f t="shared" si="4"/>
        <v>BIS29-47</v>
      </c>
      <c r="H537" s="16"/>
      <c r="I537" s="16" t="str">
        <f t="shared" si="5"/>
        <v>collected</v>
      </c>
      <c r="J537" s="16" t="str">
        <f t="shared" si="6"/>
        <v>N</v>
      </c>
      <c r="K537" s="16"/>
      <c r="L537" s="16"/>
    </row>
    <row r="538">
      <c r="A538" s="46" t="s">
        <v>963</v>
      </c>
      <c r="B538" s="10" t="str">
        <f t="shared" si="1"/>
        <v>isotope</v>
      </c>
      <c r="C538" s="49" t="str">
        <f t="shared" si="2"/>
        <v>S16154IS1</v>
      </c>
      <c r="D538" s="6">
        <v>29.0</v>
      </c>
      <c r="E538" s="10" t="str">
        <f t="shared" si="3"/>
        <v>BIS29</v>
      </c>
      <c r="F538" s="13">
        <v>48.0</v>
      </c>
      <c r="G538" s="10" t="str">
        <f t="shared" si="4"/>
        <v>BIS29-48</v>
      </c>
      <c r="H538" s="16"/>
      <c r="I538" s="16" t="str">
        <f t="shared" si="5"/>
        <v>collected</v>
      </c>
      <c r="J538" s="16" t="str">
        <f t="shared" si="6"/>
        <v>N</v>
      </c>
      <c r="K538" s="16"/>
      <c r="L538" s="16"/>
    </row>
    <row r="539">
      <c r="A539" s="40" t="s">
        <v>966</v>
      </c>
      <c r="B539" s="10" t="str">
        <f t="shared" si="1"/>
        <v>isotope</v>
      </c>
      <c r="C539" s="49" t="str">
        <f t="shared" si="2"/>
        <v>S16342IS1</v>
      </c>
      <c r="D539" s="6">
        <v>29.0</v>
      </c>
      <c r="E539" s="10" t="str">
        <f t="shared" si="3"/>
        <v>BIS29</v>
      </c>
      <c r="F539" s="13">
        <v>49.0</v>
      </c>
      <c r="G539" s="10" t="str">
        <f t="shared" si="4"/>
        <v>BIS29-49</v>
      </c>
      <c r="H539" s="16"/>
      <c r="I539" s="16" t="str">
        <f t="shared" si="5"/>
        <v>collected</v>
      </c>
      <c r="J539" s="16" t="str">
        <f t="shared" si="6"/>
        <v>N</v>
      </c>
      <c r="K539" s="16"/>
      <c r="L539" s="16"/>
    </row>
    <row r="540">
      <c r="A540" s="40" t="s">
        <v>967</v>
      </c>
      <c r="B540" s="10" t="str">
        <f t="shared" si="1"/>
        <v>isotope</v>
      </c>
      <c r="C540" s="49" t="str">
        <f t="shared" si="2"/>
        <v>S16350IS1</v>
      </c>
      <c r="D540" s="6">
        <v>29.0</v>
      </c>
      <c r="E540" s="10" t="str">
        <f t="shared" si="3"/>
        <v>BIS29</v>
      </c>
      <c r="F540" s="13">
        <v>50.0</v>
      </c>
      <c r="G540" s="10" t="str">
        <f t="shared" si="4"/>
        <v>BIS29-50</v>
      </c>
      <c r="H540" s="16"/>
      <c r="I540" s="16" t="str">
        <f t="shared" si="5"/>
        <v>collected</v>
      </c>
      <c r="J540" s="16" t="str">
        <f t="shared" si="6"/>
        <v>N</v>
      </c>
      <c r="K540" s="16"/>
      <c r="L540" s="16"/>
    </row>
    <row r="541">
      <c r="A541" s="40" t="s">
        <v>969</v>
      </c>
      <c r="B541" s="10" t="str">
        <f t="shared" si="1"/>
        <v>isotope</v>
      </c>
      <c r="C541" s="49" t="str">
        <f t="shared" si="2"/>
        <v>S16344IS1</v>
      </c>
      <c r="D541" s="6">
        <v>29.0</v>
      </c>
      <c r="E541" s="10" t="str">
        <f t="shared" si="3"/>
        <v>BIS29</v>
      </c>
      <c r="F541" s="13">
        <v>51.0</v>
      </c>
      <c r="G541" s="10" t="str">
        <f t="shared" si="4"/>
        <v>BIS29-51</v>
      </c>
      <c r="H541" s="16"/>
      <c r="I541" s="16" t="str">
        <f t="shared" si="5"/>
        <v>collected</v>
      </c>
      <c r="J541" s="16" t="str">
        <f t="shared" si="6"/>
        <v>N</v>
      </c>
      <c r="K541" s="16"/>
      <c r="L541" s="16"/>
    </row>
    <row r="542">
      <c r="A542" s="40" t="s">
        <v>971</v>
      </c>
      <c r="B542" s="10" t="str">
        <f t="shared" si="1"/>
        <v>isotope</v>
      </c>
      <c r="C542" s="49" t="str">
        <f t="shared" si="2"/>
        <v>S16341IS1</v>
      </c>
      <c r="D542" s="6">
        <v>29.0</v>
      </c>
      <c r="E542" s="10" t="str">
        <f t="shared" si="3"/>
        <v>BIS29</v>
      </c>
      <c r="F542" s="13">
        <v>52.0</v>
      </c>
      <c r="G542" s="10" t="str">
        <f t="shared" si="4"/>
        <v>BIS29-52</v>
      </c>
      <c r="H542" s="16"/>
      <c r="I542" s="16" t="str">
        <f t="shared" si="5"/>
        <v>collected</v>
      </c>
      <c r="J542" s="16" t="str">
        <f t="shared" si="6"/>
        <v>N</v>
      </c>
      <c r="K542" s="16"/>
      <c r="L542" s="16"/>
    </row>
    <row r="543">
      <c r="A543" s="40" t="s">
        <v>972</v>
      </c>
      <c r="B543" s="10" t="str">
        <f t="shared" si="1"/>
        <v>isotope</v>
      </c>
      <c r="C543" s="49" t="str">
        <f t="shared" si="2"/>
        <v>S16343IS1</v>
      </c>
      <c r="D543" s="6">
        <v>29.0</v>
      </c>
      <c r="E543" s="10" t="str">
        <f t="shared" si="3"/>
        <v>BIS29</v>
      </c>
      <c r="F543" s="13">
        <v>53.0</v>
      </c>
      <c r="G543" s="10" t="str">
        <f t="shared" si="4"/>
        <v>BIS29-53</v>
      </c>
      <c r="H543" s="16"/>
      <c r="I543" s="16" t="str">
        <f t="shared" si="5"/>
        <v>collected</v>
      </c>
      <c r="J543" s="16" t="str">
        <f t="shared" si="6"/>
        <v>N</v>
      </c>
      <c r="K543" s="16"/>
      <c r="L543" s="16"/>
    </row>
    <row r="544">
      <c r="A544" s="27" t="s">
        <v>974</v>
      </c>
      <c r="B544" s="10" t="str">
        <f t="shared" si="1"/>
        <v>isotope</v>
      </c>
      <c r="C544" s="49" t="str">
        <f t="shared" si="2"/>
        <v>S16971IS1</v>
      </c>
      <c r="D544" s="6">
        <v>28.0</v>
      </c>
      <c r="E544" s="10" t="str">
        <f t="shared" si="3"/>
        <v>BIS28</v>
      </c>
      <c r="F544" s="13">
        <v>60.0</v>
      </c>
      <c r="G544" s="10" t="str">
        <f t="shared" si="4"/>
        <v>BIS28-60</v>
      </c>
      <c r="H544" s="16"/>
      <c r="I544" s="16" t="str">
        <f t="shared" si="5"/>
        <v>collected</v>
      </c>
      <c r="J544" s="16" t="str">
        <f t="shared" si="6"/>
        <v>N</v>
      </c>
      <c r="K544" s="16"/>
      <c r="L544" s="16"/>
    </row>
    <row r="545">
      <c r="A545" s="27" t="s">
        <v>975</v>
      </c>
      <c r="B545" s="10" t="str">
        <f t="shared" si="1"/>
        <v>isotope</v>
      </c>
      <c r="C545" s="49" t="str">
        <f t="shared" si="2"/>
        <v>S16972IS1</v>
      </c>
      <c r="D545" s="6">
        <v>28.0</v>
      </c>
      <c r="E545" s="10" t="str">
        <f t="shared" si="3"/>
        <v>BIS28</v>
      </c>
      <c r="F545" s="13">
        <v>61.0</v>
      </c>
      <c r="G545" s="10" t="str">
        <f t="shared" si="4"/>
        <v>BIS28-61</v>
      </c>
      <c r="H545" s="16"/>
      <c r="I545" s="16" t="str">
        <f t="shared" si="5"/>
        <v>collected</v>
      </c>
      <c r="J545" s="16" t="str">
        <f t="shared" si="6"/>
        <v>N</v>
      </c>
      <c r="K545" s="16"/>
      <c r="L545" s="16"/>
    </row>
    <row r="546">
      <c r="A546" s="27" t="s">
        <v>976</v>
      </c>
      <c r="B546" s="10" t="str">
        <f t="shared" si="1"/>
        <v>isotope</v>
      </c>
      <c r="C546" s="49" t="str">
        <f t="shared" si="2"/>
        <v>S16973IS1</v>
      </c>
      <c r="D546" s="6">
        <v>28.0</v>
      </c>
      <c r="E546" s="10" t="str">
        <f t="shared" si="3"/>
        <v>BIS28</v>
      </c>
      <c r="F546" s="13">
        <v>62.0</v>
      </c>
      <c r="G546" s="10" t="str">
        <f t="shared" si="4"/>
        <v>BIS28-62</v>
      </c>
      <c r="H546" s="16"/>
      <c r="I546" s="16" t="str">
        <f t="shared" si="5"/>
        <v>collected</v>
      </c>
      <c r="J546" s="16" t="str">
        <f t="shared" si="6"/>
        <v>N</v>
      </c>
      <c r="K546" s="16"/>
      <c r="L546" s="16"/>
    </row>
    <row r="547">
      <c r="A547" s="27" t="s">
        <v>978</v>
      </c>
      <c r="B547" s="10" t="str">
        <f t="shared" si="1"/>
        <v>isotope</v>
      </c>
      <c r="C547" s="49" t="str">
        <f t="shared" si="2"/>
        <v>S16974IS1</v>
      </c>
      <c r="D547" s="6">
        <v>28.0</v>
      </c>
      <c r="E547" s="10" t="str">
        <f t="shared" si="3"/>
        <v>BIS28</v>
      </c>
      <c r="F547" s="13">
        <v>63.0</v>
      </c>
      <c r="G547" s="10" t="str">
        <f t="shared" si="4"/>
        <v>BIS28-63</v>
      </c>
      <c r="H547" s="16"/>
      <c r="I547" s="16" t="str">
        <f t="shared" si="5"/>
        <v>collected</v>
      </c>
      <c r="J547" s="16" t="str">
        <f t="shared" si="6"/>
        <v>N</v>
      </c>
      <c r="K547" s="16"/>
      <c r="L547" s="16"/>
    </row>
    <row r="548">
      <c r="A548" s="27" t="s">
        <v>979</v>
      </c>
      <c r="B548" s="10" t="str">
        <f t="shared" si="1"/>
        <v>isotope</v>
      </c>
      <c r="C548" s="49" t="str">
        <f t="shared" si="2"/>
        <v>S16979IS1</v>
      </c>
      <c r="D548" s="6">
        <v>28.0</v>
      </c>
      <c r="E548" s="10" t="str">
        <f t="shared" si="3"/>
        <v>BIS28</v>
      </c>
      <c r="F548" s="13">
        <v>64.0</v>
      </c>
      <c r="G548" s="10" t="str">
        <f t="shared" si="4"/>
        <v>BIS28-64</v>
      </c>
      <c r="H548" s="16"/>
      <c r="I548" s="16" t="str">
        <f t="shared" si="5"/>
        <v>collected</v>
      </c>
      <c r="J548" s="16" t="str">
        <f t="shared" si="6"/>
        <v>N</v>
      </c>
      <c r="K548" s="16"/>
      <c r="L548" s="16"/>
    </row>
    <row r="549">
      <c r="A549" s="27" t="s">
        <v>981</v>
      </c>
      <c r="B549" s="10" t="str">
        <f t="shared" si="1"/>
        <v>isotope</v>
      </c>
      <c r="C549" s="49" t="str">
        <f t="shared" si="2"/>
        <v>S16975IS1</v>
      </c>
      <c r="D549" s="6">
        <v>28.0</v>
      </c>
      <c r="E549" s="10" t="str">
        <f t="shared" si="3"/>
        <v>BIS28</v>
      </c>
      <c r="F549" s="13">
        <v>65.0</v>
      </c>
      <c r="G549" s="10" t="str">
        <f t="shared" si="4"/>
        <v>BIS28-65</v>
      </c>
      <c r="H549" s="16"/>
      <c r="I549" s="16" t="str">
        <f t="shared" si="5"/>
        <v>collected</v>
      </c>
      <c r="J549" s="16" t="str">
        <f t="shared" si="6"/>
        <v>N</v>
      </c>
      <c r="K549" s="16"/>
      <c r="L549" s="16"/>
    </row>
    <row r="550">
      <c r="A550" s="27" t="s">
        <v>982</v>
      </c>
      <c r="B550" s="10" t="str">
        <f t="shared" si="1"/>
        <v>isotope</v>
      </c>
      <c r="C550" s="49" t="str">
        <f t="shared" si="2"/>
        <v>S16976IS1</v>
      </c>
      <c r="D550" s="6">
        <v>28.0</v>
      </c>
      <c r="E550" s="10" t="str">
        <f t="shared" si="3"/>
        <v>BIS28</v>
      </c>
      <c r="F550" s="13">
        <v>66.0</v>
      </c>
      <c r="G550" s="10" t="str">
        <f t="shared" si="4"/>
        <v>BIS28-66</v>
      </c>
      <c r="H550" s="16"/>
      <c r="I550" s="16" t="str">
        <f t="shared" si="5"/>
        <v>collected</v>
      </c>
      <c r="J550" s="16" t="str">
        <f t="shared" si="6"/>
        <v>N</v>
      </c>
      <c r="K550" s="16"/>
      <c r="L550" s="16"/>
    </row>
    <row r="551">
      <c r="A551" s="27" t="s">
        <v>983</v>
      </c>
      <c r="B551" s="10" t="str">
        <f t="shared" si="1"/>
        <v>isotope</v>
      </c>
      <c r="C551" s="49" t="str">
        <f t="shared" si="2"/>
        <v>S16977IS1</v>
      </c>
      <c r="D551" s="6">
        <v>28.0</v>
      </c>
      <c r="E551" s="10" t="str">
        <f t="shared" si="3"/>
        <v>BIS28</v>
      </c>
      <c r="F551" s="13">
        <v>67.0</v>
      </c>
      <c r="G551" s="10" t="str">
        <f t="shared" si="4"/>
        <v>BIS28-67</v>
      </c>
      <c r="H551" s="16"/>
      <c r="I551" s="16" t="str">
        <f t="shared" si="5"/>
        <v>collected</v>
      </c>
      <c r="J551" s="16" t="str">
        <f t="shared" si="6"/>
        <v>N</v>
      </c>
      <c r="K551" s="16"/>
      <c r="L551" s="16"/>
    </row>
    <row r="552">
      <c r="A552" s="27" t="s">
        <v>985</v>
      </c>
      <c r="B552" s="10" t="str">
        <f t="shared" si="1"/>
        <v>isotope</v>
      </c>
      <c r="C552" s="49" t="str">
        <f t="shared" si="2"/>
        <v>S16980IS1</v>
      </c>
      <c r="D552" s="6">
        <v>28.0</v>
      </c>
      <c r="E552" s="10" t="str">
        <f t="shared" si="3"/>
        <v>BIS28</v>
      </c>
      <c r="F552" s="13">
        <v>68.0</v>
      </c>
      <c r="G552" s="10" t="str">
        <f t="shared" si="4"/>
        <v>BIS28-68</v>
      </c>
      <c r="H552" s="16"/>
      <c r="I552" s="16" t="str">
        <f t="shared" si="5"/>
        <v>collected</v>
      </c>
      <c r="J552" s="16" t="str">
        <f t="shared" si="6"/>
        <v>N</v>
      </c>
      <c r="K552" s="16"/>
      <c r="L552" s="16"/>
    </row>
    <row r="553">
      <c r="A553" s="27" t="s">
        <v>986</v>
      </c>
      <c r="B553" s="10" t="str">
        <f t="shared" si="1"/>
        <v>isotope</v>
      </c>
      <c r="C553" s="49" t="str">
        <f t="shared" si="2"/>
        <v>S16978IS1</v>
      </c>
      <c r="D553" s="6">
        <v>28.0</v>
      </c>
      <c r="E553" s="10" t="str">
        <f t="shared" si="3"/>
        <v>BIS28</v>
      </c>
      <c r="F553" s="13">
        <v>69.0</v>
      </c>
      <c r="G553" s="10" t="str">
        <f t="shared" si="4"/>
        <v>BIS28-69</v>
      </c>
      <c r="H553" s="16"/>
      <c r="I553" s="16" t="str">
        <f t="shared" si="5"/>
        <v>collected</v>
      </c>
      <c r="J553" s="16" t="str">
        <f t="shared" si="6"/>
        <v>N</v>
      </c>
      <c r="K553" s="16"/>
      <c r="L553" s="16"/>
    </row>
    <row r="554">
      <c r="A554" s="27" t="s">
        <v>988</v>
      </c>
      <c r="B554" s="10" t="str">
        <f t="shared" si="1"/>
        <v>isotope</v>
      </c>
      <c r="C554" s="49" t="str">
        <f t="shared" si="2"/>
        <v>S16661IS1</v>
      </c>
      <c r="D554" s="6">
        <v>28.0</v>
      </c>
      <c r="E554" s="10" t="str">
        <f t="shared" si="3"/>
        <v>BIS28</v>
      </c>
      <c r="F554" s="13">
        <v>70.0</v>
      </c>
      <c r="G554" s="10" t="str">
        <f t="shared" si="4"/>
        <v>BIS28-70</v>
      </c>
      <c r="H554" s="16"/>
      <c r="I554" s="16" t="str">
        <f t="shared" si="5"/>
        <v>collected</v>
      </c>
      <c r="J554" s="16" t="str">
        <f t="shared" si="6"/>
        <v>N</v>
      </c>
      <c r="K554" s="16"/>
      <c r="L554" s="16"/>
    </row>
    <row r="555">
      <c r="A555" s="27" t="s">
        <v>990</v>
      </c>
      <c r="B555" s="10" t="str">
        <f t="shared" si="1"/>
        <v>isotope</v>
      </c>
      <c r="C555" s="49" t="str">
        <f t="shared" si="2"/>
        <v>S16662IS1</v>
      </c>
      <c r="D555" s="6">
        <v>28.0</v>
      </c>
      <c r="E555" s="10" t="str">
        <f t="shared" si="3"/>
        <v>BIS28</v>
      </c>
      <c r="F555" s="13">
        <v>71.0</v>
      </c>
      <c r="G555" s="10" t="str">
        <f t="shared" si="4"/>
        <v>BIS28-71</v>
      </c>
      <c r="H555" s="16"/>
      <c r="I555" s="16" t="str">
        <f t="shared" si="5"/>
        <v>collected</v>
      </c>
      <c r="J555" s="16" t="str">
        <f t="shared" si="6"/>
        <v>N</v>
      </c>
      <c r="K555" s="16"/>
      <c r="L555" s="16"/>
    </row>
    <row r="556">
      <c r="A556" s="27" t="s">
        <v>991</v>
      </c>
      <c r="B556" s="10" t="str">
        <f t="shared" si="1"/>
        <v>isotope</v>
      </c>
      <c r="C556" s="49" t="str">
        <f t="shared" si="2"/>
        <v>S16663IS1</v>
      </c>
      <c r="D556" s="6">
        <v>28.0</v>
      </c>
      <c r="E556" s="10" t="str">
        <f t="shared" si="3"/>
        <v>BIS28</v>
      </c>
      <c r="F556" s="13">
        <v>72.0</v>
      </c>
      <c r="G556" s="10" t="str">
        <f t="shared" si="4"/>
        <v>BIS28-72</v>
      </c>
      <c r="H556" s="16"/>
      <c r="I556" s="16" t="str">
        <f t="shared" si="5"/>
        <v>collected</v>
      </c>
      <c r="J556" s="16" t="str">
        <f t="shared" si="6"/>
        <v>N</v>
      </c>
      <c r="K556" s="16"/>
      <c r="L556" s="16"/>
    </row>
    <row r="557">
      <c r="A557" s="27" t="s">
        <v>993</v>
      </c>
      <c r="B557" s="10" t="str">
        <f t="shared" si="1"/>
        <v>isotope</v>
      </c>
      <c r="C557" s="49" t="str">
        <f t="shared" si="2"/>
        <v>S16667IS1</v>
      </c>
      <c r="D557" s="6">
        <v>28.0</v>
      </c>
      <c r="E557" s="10" t="str">
        <f t="shared" si="3"/>
        <v>BIS28</v>
      </c>
      <c r="F557" s="13">
        <v>73.0</v>
      </c>
      <c r="G557" s="10" t="str">
        <f t="shared" si="4"/>
        <v>BIS28-73</v>
      </c>
      <c r="H557" s="16"/>
      <c r="I557" s="16" t="str">
        <f t="shared" si="5"/>
        <v>collected</v>
      </c>
      <c r="J557" s="16" t="str">
        <f t="shared" si="6"/>
        <v>N</v>
      </c>
      <c r="K557" s="16"/>
      <c r="L557" s="16"/>
    </row>
    <row r="558">
      <c r="A558" s="27" t="s">
        <v>995</v>
      </c>
      <c r="B558" s="10" t="str">
        <f t="shared" si="1"/>
        <v>isotope</v>
      </c>
      <c r="C558" s="49" t="str">
        <f t="shared" si="2"/>
        <v>S16664IS1</v>
      </c>
      <c r="D558" s="6">
        <v>28.0</v>
      </c>
      <c r="E558" s="10" t="str">
        <f t="shared" si="3"/>
        <v>BIS28</v>
      </c>
      <c r="F558" s="13">
        <v>74.0</v>
      </c>
      <c r="G558" s="10" t="str">
        <f t="shared" si="4"/>
        <v>BIS28-74</v>
      </c>
      <c r="H558" s="16"/>
      <c r="I558" s="16" t="str">
        <f t="shared" si="5"/>
        <v>collected</v>
      </c>
      <c r="J558" s="16" t="str">
        <f t="shared" si="6"/>
        <v>N</v>
      </c>
      <c r="K558" s="16"/>
      <c r="L558" s="16"/>
    </row>
    <row r="559">
      <c r="A559" s="27" t="s">
        <v>996</v>
      </c>
      <c r="B559" s="10" t="str">
        <f t="shared" si="1"/>
        <v>isotope</v>
      </c>
      <c r="C559" s="49" t="str">
        <f t="shared" si="2"/>
        <v>S16665IS1</v>
      </c>
      <c r="D559" s="6">
        <v>28.0</v>
      </c>
      <c r="E559" s="10" t="str">
        <f t="shared" si="3"/>
        <v>BIS28</v>
      </c>
      <c r="F559" s="13">
        <v>75.0</v>
      </c>
      <c r="G559" s="10" t="str">
        <f t="shared" si="4"/>
        <v>BIS28-75</v>
      </c>
      <c r="H559" s="16"/>
      <c r="I559" s="16" t="str">
        <f t="shared" si="5"/>
        <v>collected</v>
      </c>
      <c r="J559" s="16" t="str">
        <f t="shared" si="6"/>
        <v>N</v>
      </c>
      <c r="K559" s="16"/>
      <c r="L559" s="16"/>
    </row>
    <row r="560">
      <c r="A560" s="27" t="s">
        <v>997</v>
      </c>
      <c r="B560" s="10" t="str">
        <f t="shared" si="1"/>
        <v>isotope</v>
      </c>
      <c r="C560" s="49" t="str">
        <f t="shared" si="2"/>
        <v>S16666IS1</v>
      </c>
      <c r="D560" s="6">
        <v>28.0</v>
      </c>
      <c r="E560" s="10" t="str">
        <f t="shared" si="3"/>
        <v>BIS28</v>
      </c>
      <c r="F560" s="13">
        <v>76.0</v>
      </c>
      <c r="G560" s="10" t="str">
        <f t="shared" si="4"/>
        <v>BIS28-76</v>
      </c>
      <c r="H560" s="16"/>
      <c r="I560" s="16" t="str">
        <f t="shared" si="5"/>
        <v>collected</v>
      </c>
      <c r="J560" s="16" t="str">
        <f t="shared" si="6"/>
        <v>N</v>
      </c>
      <c r="K560" s="16"/>
      <c r="L560" s="16"/>
    </row>
    <row r="561">
      <c r="A561" s="27" t="s">
        <v>998</v>
      </c>
      <c r="B561" s="10" t="str">
        <f t="shared" si="1"/>
        <v>isotope</v>
      </c>
      <c r="C561" s="49" t="str">
        <f t="shared" si="2"/>
        <v>S16669IS1</v>
      </c>
      <c r="D561" s="6">
        <v>28.0</v>
      </c>
      <c r="E561" s="10" t="str">
        <f t="shared" si="3"/>
        <v>BIS28</v>
      </c>
      <c r="F561" s="13">
        <v>77.0</v>
      </c>
      <c r="G561" s="10" t="str">
        <f t="shared" si="4"/>
        <v>BIS28-77</v>
      </c>
      <c r="H561" s="16"/>
      <c r="I561" s="16" t="str">
        <f t="shared" si="5"/>
        <v>collected</v>
      </c>
      <c r="J561" s="16" t="str">
        <f t="shared" si="6"/>
        <v>N</v>
      </c>
      <c r="K561" s="16"/>
      <c r="L561" s="16"/>
    </row>
    <row r="562">
      <c r="A562" s="27" t="s">
        <v>1001</v>
      </c>
      <c r="B562" s="10" t="str">
        <f t="shared" si="1"/>
        <v>isotope</v>
      </c>
      <c r="C562" s="49" t="str">
        <f t="shared" si="2"/>
        <v>S16668IS1</v>
      </c>
      <c r="D562" s="6">
        <v>28.0</v>
      </c>
      <c r="E562" s="10" t="str">
        <f t="shared" si="3"/>
        <v>BIS28</v>
      </c>
      <c r="F562" s="13">
        <v>78.0</v>
      </c>
      <c r="G562" s="10" t="str">
        <f t="shared" si="4"/>
        <v>BIS28-78</v>
      </c>
      <c r="H562" s="16"/>
      <c r="I562" s="16" t="str">
        <f t="shared" si="5"/>
        <v>collected</v>
      </c>
      <c r="J562" s="16" t="str">
        <f t="shared" si="6"/>
        <v>N</v>
      </c>
      <c r="K562" s="16"/>
      <c r="L562" s="16"/>
    </row>
    <row r="563">
      <c r="A563" s="27" t="s">
        <v>1002</v>
      </c>
      <c r="B563" s="10" t="str">
        <f t="shared" si="1"/>
        <v>isotope</v>
      </c>
      <c r="C563" s="49" t="str">
        <f t="shared" si="2"/>
        <v>S16670IS1</v>
      </c>
      <c r="D563" s="6">
        <v>28.0</v>
      </c>
      <c r="E563" s="10" t="str">
        <f t="shared" si="3"/>
        <v>BIS28</v>
      </c>
      <c r="F563" s="13">
        <v>79.0</v>
      </c>
      <c r="G563" s="10" t="str">
        <f t="shared" si="4"/>
        <v>BIS28-79</v>
      </c>
      <c r="H563" s="16"/>
      <c r="I563" s="16" t="str">
        <f t="shared" si="5"/>
        <v>collected</v>
      </c>
      <c r="J563" s="16" t="str">
        <f t="shared" si="6"/>
        <v>N</v>
      </c>
      <c r="K563" s="16"/>
      <c r="L563" s="16"/>
    </row>
    <row r="564">
      <c r="A564" s="40" t="s">
        <v>1003</v>
      </c>
      <c r="B564" s="10" t="str">
        <f t="shared" si="1"/>
        <v>isotope</v>
      </c>
      <c r="C564" s="49" t="str">
        <f t="shared" si="2"/>
        <v>S16345IS1</v>
      </c>
      <c r="D564" s="6">
        <v>29.0</v>
      </c>
      <c r="E564" s="10" t="str">
        <f t="shared" si="3"/>
        <v>BIS29</v>
      </c>
      <c r="F564" s="13">
        <v>54.0</v>
      </c>
      <c r="G564" s="10" t="str">
        <f t="shared" si="4"/>
        <v>BIS29-54</v>
      </c>
      <c r="H564" s="16"/>
      <c r="I564" s="16" t="str">
        <f t="shared" si="5"/>
        <v>collected</v>
      </c>
      <c r="J564" s="16" t="str">
        <f t="shared" si="6"/>
        <v>N</v>
      </c>
      <c r="K564" s="16"/>
      <c r="L564" s="16"/>
    </row>
    <row r="565">
      <c r="A565" s="40" t="s">
        <v>1005</v>
      </c>
      <c r="B565" s="10" t="str">
        <f t="shared" si="1"/>
        <v>isotope</v>
      </c>
      <c r="C565" s="49" t="str">
        <f t="shared" si="2"/>
        <v>S16346IS1</v>
      </c>
      <c r="D565" s="6">
        <v>29.0</v>
      </c>
      <c r="E565" s="10" t="str">
        <f t="shared" si="3"/>
        <v>BIS29</v>
      </c>
      <c r="F565" s="13">
        <v>55.0</v>
      </c>
      <c r="G565" s="10" t="str">
        <f t="shared" si="4"/>
        <v>BIS29-55</v>
      </c>
      <c r="H565" s="16"/>
      <c r="I565" s="16" t="str">
        <f t="shared" si="5"/>
        <v>collected</v>
      </c>
      <c r="J565" s="16" t="str">
        <f t="shared" si="6"/>
        <v>N</v>
      </c>
      <c r="K565" s="16"/>
      <c r="L565" s="16"/>
    </row>
    <row r="566">
      <c r="A566" s="46" t="s">
        <v>1006</v>
      </c>
      <c r="B566" s="10" t="str">
        <f t="shared" si="1"/>
        <v>isotope</v>
      </c>
      <c r="C566" s="49" t="str">
        <f t="shared" si="2"/>
        <v>S16349IS1</v>
      </c>
      <c r="D566" s="6">
        <v>29.0</v>
      </c>
      <c r="E566" s="10" t="str">
        <f t="shared" si="3"/>
        <v>BIS29</v>
      </c>
      <c r="F566" s="13">
        <v>56.0</v>
      </c>
      <c r="G566" s="10" t="str">
        <f t="shared" si="4"/>
        <v>BIS29-56</v>
      </c>
      <c r="H566" s="16"/>
      <c r="I566" s="16" t="str">
        <f t="shared" si="5"/>
        <v>collected</v>
      </c>
      <c r="J566" s="16" t="str">
        <f t="shared" si="6"/>
        <v>N</v>
      </c>
      <c r="K566" s="16"/>
      <c r="L566" s="16"/>
    </row>
    <row r="567">
      <c r="A567" s="46" t="s">
        <v>1008</v>
      </c>
      <c r="B567" s="10" t="str">
        <f t="shared" si="1"/>
        <v>isotope</v>
      </c>
      <c r="C567" s="49" t="str">
        <f t="shared" si="2"/>
        <v>S16348IS1</v>
      </c>
      <c r="D567" s="6">
        <v>29.0</v>
      </c>
      <c r="E567" s="10" t="str">
        <f t="shared" si="3"/>
        <v>BIS29</v>
      </c>
      <c r="F567" s="13">
        <v>57.0</v>
      </c>
      <c r="G567" s="10" t="str">
        <f t="shared" si="4"/>
        <v>BIS29-57</v>
      </c>
      <c r="H567" s="16"/>
      <c r="I567" s="16" t="str">
        <f t="shared" si="5"/>
        <v>collected</v>
      </c>
      <c r="J567" s="16" t="str">
        <f t="shared" si="6"/>
        <v>N</v>
      </c>
      <c r="K567" s="16"/>
      <c r="L567" s="16"/>
    </row>
    <row r="568">
      <c r="A568" s="46" t="s">
        <v>1009</v>
      </c>
      <c r="B568" s="10" t="str">
        <f t="shared" si="1"/>
        <v>isotope</v>
      </c>
      <c r="C568" s="49" t="str">
        <f t="shared" si="2"/>
        <v>S16347IS1</v>
      </c>
      <c r="D568" s="6">
        <v>29.0</v>
      </c>
      <c r="E568" s="10" t="str">
        <f t="shared" si="3"/>
        <v>BIS29</v>
      </c>
      <c r="F568" s="13">
        <v>58.0</v>
      </c>
      <c r="G568" s="10" t="str">
        <f t="shared" si="4"/>
        <v>BIS29-58</v>
      </c>
      <c r="H568" s="16"/>
      <c r="I568" s="16" t="str">
        <f t="shared" si="5"/>
        <v>collected</v>
      </c>
      <c r="J568" s="16" t="str">
        <f t="shared" si="6"/>
        <v>N</v>
      </c>
      <c r="K568" s="16"/>
      <c r="L568" s="16"/>
    </row>
    <row r="569">
      <c r="A569" s="46" t="s">
        <v>1011</v>
      </c>
      <c r="B569" s="10" t="str">
        <f t="shared" si="1"/>
        <v>isotope</v>
      </c>
      <c r="C569" s="49" t="str">
        <f t="shared" si="2"/>
        <v>S16717IS1</v>
      </c>
      <c r="D569" s="6">
        <v>29.0</v>
      </c>
      <c r="E569" s="10" t="str">
        <f t="shared" si="3"/>
        <v>BIS29</v>
      </c>
      <c r="F569" s="13">
        <v>59.0</v>
      </c>
      <c r="G569" s="10" t="str">
        <f t="shared" si="4"/>
        <v>BIS29-59</v>
      </c>
      <c r="H569" s="16"/>
      <c r="I569" s="16" t="str">
        <f t="shared" si="5"/>
        <v>collected</v>
      </c>
      <c r="J569" s="16" t="str">
        <f t="shared" si="6"/>
        <v>N</v>
      </c>
      <c r="K569" s="16"/>
      <c r="L569" s="16"/>
    </row>
    <row r="570">
      <c r="A570" s="46" t="s">
        <v>1012</v>
      </c>
      <c r="B570" s="10" t="str">
        <f t="shared" si="1"/>
        <v>isotope</v>
      </c>
      <c r="C570" s="49" t="str">
        <f t="shared" si="2"/>
        <v>S16718IS1</v>
      </c>
      <c r="D570" s="6">
        <v>29.0</v>
      </c>
      <c r="E570" s="10" t="str">
        <f t="shared" si="3"/>
        <v>BIS29</v>
      </c>
      <c r="F570" s="13">
        <v>60.0</v>
      </c>
      <c r="G570" s="10" t="str">
        <f t="shared" si="4"/>
        <v>BIS29-60</v>
      </c>
      <c r="H570" s="16"/>
      <c r="I570" s="16" t="str">
        <f t="shared" si="5"/>
        <v>collected</v>
      </c>
      <c r="J570" s="16" t="str">
        <f t="shared" si="6"/>
        <v>N</v>
      </c>
      <c r="K570" s="16"/>
      <c r="L570" s="16"/>
    </row>
    <row r="571">
      <c r="A571" s="46" t="s">
        <v>1013</v>
      </c>
      <c r="B571" s="10" t="str">
        <f t="shared" si="1"/>
        <v>isotope</v>
      </c>
      <c r="C571" s="49" t="str">
        <f t="shared" si="2"/>
        <v>S16716IS1</v>
      </c>
      <c r="D571" s="6">
        <v>29.0</v>
      </c>
      <c r="E571" s="10" t="str">
        <f t="shared" si="3"/>
        <v>BIS29</v>
      </c>
      <c r="F571" s="13">
        <v>61.0</v>
      </c>
      <c r="G571" s="10" t="str">
        <f t="shared" si="4"/>
        <v>BIS29-61</v>
      </c>
      <c r="H571" s="16"/>
      <c r="I571" s="16" t="str">
        <f t="shared" si="5"/>
        <v>collected</v>
      </c>
      <c r="J571" s="16" t="str">
        <f t="shared" si="6"/>
        <v>N</v>
      </c>
      <c r="K571" s="16"/>
      <c r="L571" s="16"/>
    </row>
    <row r="572">
      <c r="A572" s="46" t="s">
        <v>1016</v>
      </c>
      <c r="B572" s="10" t="str">
        <f t="shared" si="1"/>
        <v>isotope</v>
      </c>
      <c r="C572" s="49" t="str">
        <f t="shared" si="2"/>
        <v>S16719IS1</v>
      </c>
      <c r="D572" s="6">
        <v>29.0</v>
      </c>
      <c r="E572" s="10" t="str">
        <f t="shared" si="3"/>
        <v>BIS29</v>
      </c>
      <c r="F572" s="13">
        <v>62.0</v>
      </c>
      <c r="G572" s="10" t="str">
        <f t="shared" si="4"/>
        <v>BIS29-62</v>
      </c>
      <c r="H572" s="16"/>
      <c r="I572" s="16" t="str">
        <f t="shared" si="5"/>
        <v>collected</v>
      </c>
      <c r="J572" s="16" t="str">
        <f t="shared" si="6"/>
        <v>N</v>
      </c>
      <c r="K572" s="16"/>
      <c r="L572" s="16"/>
    </row>
    <row r="573">
      <c r="A573" s="46" t="s">
        <v>1017</v>
      </c>
      <c r="B573" s="10" t="str">
        <f t="shared" si="1"/>
        <v>isotope</v>
      </c>
      <c r="C573" s="49" t="str">
        <f t="shared" si="2"/>
        <v>S16720IS1</v>
      </c>
      <c r="D573" s="6">
        <v>29.0</v>
      </c>
      <c r="E573" s="10" t="str">
        <f t="shared" si="3"/>
        <v>BIS29</v>
      </c>
      <c r="F573" s="13">
        <v>63.0</v>
      </c>
      <c r="G573" s="10" t="str">
        <f t="shared" si="4"/>
        <v>BIS29-63</v>
      </c>
      <c r="H573" s="16"/>
      <c r="I573" s="16" t="str">
        <f t="shared" si="5"/>
        <v>collected</v>
      </c>
      <c r="J573" s="16" t="str">
        <f t="shared" si="6"/>
        <v>N</v>
      </c>
      <c r="K573" s="16"/>
      <c r="L573" s="16"/>
    </row>
    <row r="574">
      <c r="A574" s="46" t="s">
        <v>1018</v>
      </c>
      <c r="B574" s="10" t="str">
        <f t="shared" si="1"/>
        <v>isotope</v>
      </c>
      <c r="C574" s="49" t="str">
        <f t="shared" si="2"/>
        <v>S16711IS1</v>
      </c>
      <c r="D574" s="6">
        <v>29.0</v>
      </c>
      <c r="E574" s="10" t="str">
        <f t="shared" si="3"/>
        <v>BIS29</v>
      </c>
      <c r="F574" s="13">
        <v>64.0</v>
      </c>
      <c r="G574" s="10" t="str">
        <f t="shared" si="4"/>
        <v>BIS29-64</v>
      </c>
      <c r="H574" s="16"/>
      <c r="I574" s="16" t="str">
        <f t="shared" si="5"/>
        <v>collected</v>
      </c>
      <c r="J574" s="16" t="str">
        <f t="shared" si="6"/>
        <v>N</v>
      </c>
      <c r="K574" s="16"/>
      <c r="L574" s="16"/>
    </row>
    <row r="575">
      <c r="A575" s="46" t="s">
        <v>1019</v>
      </c>
      <c r="B575" s="10" t="str">
        <f t="shared" si="1"/>
        <v>isotope</v>
      </c>
      <c r="C575" s="49" t="str">
        <f t="shared" si="2"/>
        <v>S16714IS1</v>
      </c>
      <c r="D575" s="6">
        <v>29.0</v>
      </c>
      <c r="E575" s="10" t="str">
        <f t="shared" si="3"/>
        <v>BIS29</v>
      </c>
      <c r="F575" s="13">
        <v>65.0</v>
      </c>
      <c r="G575" s="10" t="str">
        <f t="shared" si="4"/>
        <v>BIS29-65</v>
      </c>
      <c r="H575" s="16"/>
      <c r="I575" s="16" t="str">
        <f t="shared" si="5"/>
        <v>collected</v>
      </c>
      <c r="J575" s="16" t="str">
        <f t="shared" si="6"/>
        <v>N</v>
      </c>
      <c r="K575" s="16"/>
      <c r="L575" s="16"/>
    </row>
    <row r="576">
      <c r="A576" s="46" t="s">
        <v>1021</v>
      </c>
      <c r="B576" s="10" t="str">
        <f t="shared" si="1"/>
        <v>isotope</v>
      </c>
      <c r="C576" s="49" t="str">
        <f t="shared" si="2"/>
        <v>S16712IS1</v>
      </c>
      <c r="D576" s="6">
        <v>29.0</v>
      </c>
      <c r="E576" s="10" t="str">
        <f t="shared" si="3"/>
        <v>BIS29</v>
      </c>
      <c r="F576" s="13">
        <v>66.0</v>
      </c>
      <c r="G576" s="10" t="str">
        <f t="shared" si="4"/>
        <v>BIS29-66</v>
      </c>
      <c r="H576" s="16"/>
      <c r="I576" s="16" t="str">
        <f t="shared" si="5"/>
        <v>collected</v>
      </c>
      <c r="J576" s="16" t="str">
        <f t="shared" si="6"/>
        <v>N</v>
      </c>
      <c r="K576" s="16"/>
      <c r="L576" s="16"/>
    </row>
    <row r="577">
      <c r="A577" s="46" t="s">
        <v>1023</v>
      </c>
      <c r="B577" s="10" t="str">
        <f t="shared" si="1"/>
        <v>isotope</v>
      </c>
      <c r="C577" s="49" t="str">
        <f t="shared" si="2"/>
        <v>S16713IS1</v>
      </c>
      <c r="D577" s="6">
        <v>29.0</v>
      </c>
      <c r="E577" s="10" t="str">
        <f t="shared" si="3"/>
        <v>BIS29</v>
      </c>
      <c r="F577" s="13">
        <v>67.0</v>
      </c>
      <c r="G577" s="10" t="str">
        <f t="shared" si="4"/>
        <v>BIS29-67</v>
      </c>
      <c r="H577" s="16"/>
      <c r="I577" s="16" t="str">
        <f t="shared" si="5"/>
        <v>collected</v>
      </c>
      <c r="J577" s="16" t="str">
        <f t="shared" si="6"/>
        <v>N</v>
      </c>
      <c r="K577" s="16"/>
      <c r="L577" s="16"/>
    </row>
    <row r="578">
      <c r="A578" s="46" t="s">
        <v>1024</v>
      </c>
      <c r="B578" s="10" t="str">
        <f t="shared" si="1"/>
        <v>isotope</v>
      </c>
      <c r="C578" s="49" t="str">
        <f t="shared" si="2"/>
        <v>S16715IS1</v>
      </c>
      <c r="D578" s="6">
        <v>29.0</v>
      </c>
      <c r="E578" s="10" t="str">
        <f t="shared" si="3"/>
        <v>BIS29</v>
      </c>
      <c r="F578" s="13">
        <v>68.0</v>
      </c>
      <c r="G578" s="10" t="str">
        <f t="shared" si="4"/>
        <v>BIS29-68</v>
      </c>
      <c r="H578" s="16"/>
      <c r="I578" s="16" t="str">
        <f t="shared" si="5"/>
        <v>collected</v>
      </c>
      <c r="J578" s="16" t="str">
        <f t="shared" si="6"/>
        <v>N</v>
      </c>
      <c r="K578" s="16"/>
      <c r="L578" s="16"/>
    </row>
    <row r="579">
      <c r="A579" s="46" t="s">
        <v>1025</v>
      </c>
      <c r="B579" s="10" t="str">
        <f t="shared" si="1"/>
        <v>isotope</v>
      </c>
      <c r="C579" s="49" t="str">
        <f t="shared" si="2"/>
        <v>S16502IS1</v>
      </c>
      <c r="D579" s="6">
        <v>29.0</v>
      </c>
      <c r="E579" s="10" t="str">
        <f t="shared" si="3"/>
        <v>BIS29</v>
      </c>
      <c r="F579" s="13">
        <v>69.0</v>
      </c>
      <c r="G579" s="10" t="str">
        <f t="shared" si="4"/>
        <v>BIS29-69</v>
      </c>
      <c r="H579" s="16"/>
      <c r="I579" s="16" t="str">
        <f t="shared" si="5"/>
        <v>collected</v>
      </c>
      <c r="J579" s="16" t="str">
        <f t="shared" si="6"/>
        <v>N</v>
      </c>
      <c r="K579" s="16"/>
      <c r="L579" s="16"/>
    </row>
    <row r="580">
      <c r="A580" s="46" t="s">
        <v>1028</v>
      </c>
      <c r="B580" s="10" t="str">
        <f t="shared" si="1"/>
        <v>isotope</v>
      </c>
      <c r="C580" s="49" t="str">
        <f t="shared" si="2"/>
        <v>S16501IS1</v>
      </c>
      <c r="D580" s="6">
        <v>29.0</v>
      </c>
      <c r="E580" s="10" t="str">
        <f t="shared" si="3"/>
        <v>BIS29</v>
      </c>
      <c r="F580" s="13">
        <v>70.0</v>
      </c>
      <c r="G580" s="10" t="str">
        <f t="shared" si="4"/>
        <v>BIS29-70</v>
      </c>
      <c r="H580" s="16"/>
      <c r="I580" s="16" t="str">
        <f t="shared" si="5"/>
        <v>collected</v>
      </c>
      <c r="J580" s="16" t="str">
        <f t="shared" si="6"/>
        <v>N</v>
      </c>
      <c r="K580" s="16"/>
      <c r="L580" s="16"/>
    </row>
    <row r="581">
      <c r="A581" s="46" t="s">
        <v>1029</v>
      </c>
      <c r="B581" s="10" t="str">
        <f t="shared" si="1"/>
        <v>isotope</v>
      </c>
      <c r="C581" s="49" t="str">
        <f t="shared" si="2"/>
        <v>S16504IS1</v>
      </c>
      <c r="D581" s="6">
        <v>29.0</v>
      </c>
      <c r="E581" s="10" t="str">
        <f t="shared" si="3"/>
        <v>BIS29</v>
      </c>
      <c r="F581" s="13">
        <v>71.0</v>
      </c>
      <c r="G581" s="10" t="str">
        <f t="shared" si="4"/>
        <v>BIS29-71</v>
      </c>
      <c r="H581" s="16"/>
      <c r="I581" s="16" t="str">
        <f t="shared" si="5"/>
        <v>collected</v>
      </c>
      <c r="J581" s="16" t="str">
        <f t="shared" si="6"/>
        <v>N</v>
      </c>
      <c r="K581" s="16"/>
      <c r="L581" s="16"/>
    </row>
    <row r="582">
      <c r="A582" s="46" t="s">
        <v>1031</v>
      </c>
      <c r="B582" s="10" t="str">
        <f t="shared" si="1"/>
        <v>isotope</v>
      </c>
      <c r="C582" s="49" t="str">
        <f t="shared" si="2"/>
        <v>S16508IS1</v>
      </c>
      <c r="D582" s="6">
        <v>29.0</v>
      </c>
      <c r="E582" s="10" t="str">
        <f t="shared" si="3"/>
        <v>BIS29</v>
      </c>
      <c r="F582" s="13">
        <v>72.0</v>
      </c>
      <c r="G582" s="10" t="str">
        <f t="shared" si="4"/>
        <v>BIS29-72</v>
      </c>
      <c r="H582" s="16"/>
      <c r="I582" s="16" t="str">
        <f t="shared" si="5"/>
        <v>collected</v>
      </c>
      <c r="J582" s="16" t="str">
        <f t="shared" si="6"/>
        <v>N</v>
      </c>
      <c r="K582" s="16"/>
      <c r="L582" s="16"/>
    </row>
    <row r="583">
      <c r="A583" s="44" t="s">
        <v>1032</v>
      </c>
      <c r="B583" s="10" t="str">
        <f t="shared" si="1"/>
        <v>isotope</v>
      </c>
      <c r="C583" s="49" t="str">
        <f t="shared" si="2"/>
        <v>S16509IS1</v>
      </c>
      <c r="D583" s="6">
        <v>29.0</v>
      </c>
      <c r="E583" s="10" t="str">
        <f t="shared" si="3"/>
        <v>BIS29</v>
      </c>
      <c r="F583" s="13">
        <v>73.0</v>
      </c>
      <c r="G583" s="10" t="str">
        <f t="shared" si="4"/>
        <v>BIS29-73</v>
      </c>
      <c r="H583" s="16"/>
      <c r="I583" s="16" t="str">
        <f t="shared" si="5"/>
        <v>collected</v>
      </c>
      <c r="J583" s="16" t="str">
        <f t="shared" si="6"/>
        <v>N</v>
      </c>
      <c r="K583" s="16"/>
      <c r="L583" s="16"/>
    </row>
    <row r="584">
      <c r="A584" s="26" t="s">
        <v>1033</v>
      </c>
      <c r="B584" s="10" t="str">
        <f t="shared" si="1"/>
        <v>isotope</v>
      </c>
      <c r="C584" s="49" t="str">
        <f t="shared" si="2"/>
        <v>S16167IS1</v>
      </c>
      <c r="D584" s="6">
        <v>28.0</v>
      </c>
      <c r="E584" s="10" t="str">
        <f t="shared" si="3"/>
        <v>BIS28</v>
      </c>
      <c r="F584" s="13">
        <v>80.0</v>
      </c>
      <c r="G584" s="10" t="str">
        <f t="shared" si="4"/>
        <v>BIS28-80</v>
      </c>
      <c r="H584" s="16"/>
      <c r="I584" s="16" t="str">
        <f t="shared" si="5"/>
        <v>collected</v>
      </c>
      <c r="J584" s="16" t="str">
        <f t="shared" si="6"/>
        <v>N</v>
      </c>
      <c r="K584" s="16"/>
      <c r="L584" s="16"/>
    </row>
    <row r="585">
      <c r="A585" s="26" t="s">
        <v>1035</v>
      </c>
      <c r="B585" s="10" t="str">
        <f t="shared" si="1"/>
        <v>isotope</v>
      </c>
      <c r="C585" s="49" t="str">
        <f t="shared" si="2"/>
        <v>S16169IS1</v>
      </c>
      <c r="D585" s="6">
        <v>30.0</v>
      </c>
      <c r="E585" s="10" t="str">
        <f t="shared" si="3"/>
        <v>BIS30</v>
      </c>
      <c r="F585" s="13">
        <v>1.0</v>
      </c>
      <c r="G585" s="10" t="str">
        <f t="shared" si="4"/>
        <v>BIS30-1</v>
      </c>
      <c r="H585" s="16"/>
      <c r="I585" s="16" t="str">
        <f t="shared" si="5"/>
        <v>collected</v>
      </c>
      <c r="J585" s="16" t="str">
        <f t="shared" si="6"/>
        <v>N</v>
      </c>
      <c r="K585" s="16"/>
      <c r="L585" s="16"/>
    </row>
    <row r="586">
      <c r="A586" s="26" t="s">
        <v>1037</v>
      </c>
      <c r="B586" s="10" t="str">
        <f t="shared" si="1"/>
        <v>isotope</v>
      </c>
      <c r="C586" s="49" t="str">
        <f t="shared" si="2"/>
        <v>S16170IS1</v>
      </c>
      <c r="D586" s="6">
        <v>30.0</v>
      </c>
      <c r="E586" s="10" t="str">
        <f t="shared" si="3"/>
        <v>BIS30</v>
      </c>
      <c r="F586" s="13">
        <v>2.0</v>
      </c>
      <c r="G586" s="10" t="str">
        <f t="shared" si="4"/>
        <v>BIS30-2</v>
      </c>
      <c r="H586" s="16"/>
      <c r="I586" s="16" t="str">
        <f t="shared" si="5"/>
        <v>collected</v>
      </c>
      <c r="J586" s="16" t="str">
        <f t="shared" si="6"/>
        <v>N</v>
      </c>
      <c r="K586" s="16"/>
      <c r="L586" s="16"/>
    </row>
    <row r="587">
      <c r="A587" s="26" t="s">
        <v>1038</v>
      </c>
      <c r="B587" s="10" t="str">
        <f t="shared" si="1"/>
        <v>isotope</v>
      </c>
      <c r="C587" s="49" t="str">
        <f t="shared" si="2"/>
        <v>S16166IS1</v>
      </c>
      <c r="D587" s="6">
        <v>30.0</v>
      </c>
      <c r="E587" s="10" t="str">
        <f t="shared" si="3"/>
        <v>BIS30</v>
      </c>
      <c r="F587" s="13">
        <v>3.0</v>
      </c>
      <c r="G587" s="10" t="str">
        <f t="shared" si="4"/>
        <v>BIS30-3</v>
      </c>
      <c r="H587" s="16"/>
      <c r="I587" s="16" t="str">
        <f t="shared" si="5"/>
        <v>collected</v>
      </c>
      <c r="J587" s="16" t="str">
        <f t="shared" si="6"/>
        <v>N</v>
      </c>
      <c r="K587" s="16"/>
      <c r="L587" s="16"/>
    </row>
    <row r="588">
      <c r="A588" s="26" t="s">
        <v>1039</v>
      </c>
      <c r="B588" s="10" t="str">
        <f t="shared" si="1"/>
        <v>isotope</v>
      </c>
      <c r="C588" s="49" t="str">
        <f t="shared" si="2"/>
        <v>S16164IS1</v>
      </c>
      <c r="D588" s="6">
        <v>30.0</v>
      </c>
      <c r="E588" s="10" t="str">
        <f t="shared" si="3"/>
        <v>BIS30</v>
      </c>
      <c r="F588" s="13">
        <v>4.0</v>
      </c>
      <c r="G588" s="10" t="str">
        <f t="shared" si="4"/>
        <v>BIS30-4</v>
      </c>
      <c r="H588" s="16"/>
      <c r="I588" s="16" t="str">
        <f t="shared" si="5"/>
        <v>collected</v>
      </c>
      <c r="J588" s="16" t="str">
        <f t="shared" si="6"/>
        <v>N</v>
      </c>
      <c r="K588" s="16"/>
      <c r="L588" s="16"/>
    </row>
    <row r="589">
      <c r="A589" s="26" t="s">
        <v>1040</v>
      </c>
      <c r="B589" s="10" t="str">
        <f t="shared" si="1"/>
        <v>isotope</v>
      </c>
      <c r="C589" s="49" t="str">
        <f t="shared" si="2"/>
        <v>S16162IS1</v>
      </c>
      <c r="D589" s="6">
        <v>30.0</v>
      </c>
      <c r="E589" s="10" t="str">
        <f t="shared" si="3"/>
        <v>BIS30</v>
      </c>
      <c r="F589" s="13">
        <v>5.0</v>
      </c>
      <c r="G589" s="10" t="str">
        <f t="shared" si="4"/>
        <v>BIS30-5</v>
      </c>
      <c r="H589" s="16"/>
      <c r="I589" s="16" t="str">
        <f t="shared" si="5"/>
        <v>collected</v>
      </c>
      <c r="J589" s="16" t="str">
        <f t="shared" si="6"/>
        <v>N</v>
      </c>
      <c r="K589" s="16"/>
      <c r="L589" s="16"/>
    </row>
    <row r="590">
      <c r="A590" s="26" t="s">
        <v>1041</v>
      </c>
      <c r="B590" s="10" t="str">
        <f t="shared" si="1"/>
        <v>isotope</v>
      </c>
      <c r="C590" s="49" t="str">
        <f t="shared" si="2"/>
        <v>S16168IS1</v>
      </c>
      <c r="D590" s="6">
        <v>30.0</v>
      </c>
      <c r="E590" s="10" t="str">
        <f t="shared" si="3"/>
        <v>BIS30</v>
      </c>
      <c r="F590" s="13">
        <v>6.0</v>
      </c>
      <c r="G590" s="10" t="str">
        <f t="shared" si="4"/>
        <v>BIS30-6</v>
      </c>
      <c r="H590" s="16"/>
      <c r="I590" s="16" t="str">
        <f t="shared" si="5"/>
        <v>collected</v>
      </c>
      <c r="J590" s="16" t="str">
        <f t="shared" si="6"/>
        <v>N</v>
      </c>
      <c r="K590" s="16"/>
      <c r="L590" s="16"/>
    </row>
    <row r="591">
      <c r="A591" s="26" t="s">
        <v>1044</v>
      </c>
      <c r="B591" s="10" t="str">
        <f t="shared" si="1"/>
        <v>isotope</v>
      </c>
      <c r="C591" s="49" t="str">
        <f t="shared" si="2"/>
        <v>S16163IS1</v>
      </c>
      <c r="D591" s="6">
        <v>30.0</v>
      </c>
      <c r="E591" s="10" t="str">
        <f t="shared" si="3"/>
        <v>BIS30</v>
      </c>
      <c r="F591" s="13">
        <v>7.0</v>
      </c>
      <c r="G591" s="10" t="str">
        <f t="shared" si="4"/>
        <v>BIS30-7</v>
      </c>
      <c r="H591" s="16"/>
      <c r="I591" s="16" t="str">
        <f t="shared" si="5"/>
        <v>collected</v>
      </c>
      <c r="J591" s="16" t="str">
        <f t="shared" si="6"/>
        <v>N</v>
      </c>
      <c r="K591" s="16"/>
      <c r="L591" s="16"/>
    </row>
    <row r="592">
      <c r="A592" s="26" t="s">
        <v>1046</v>
      </c>
      <c r="B592" s="10" t="str">
        <f t="shared" si="1"/>
        <v>isotope</v>
      </c>
      <c r="C592" s="49" t="str">
        <f t="shared" si="2"/>
        <v>S16161IS1</v>
      </c>
      <c r="D592" s="6">
        <v>30.0</v>
      </c>
      <c r="E592" s="10" t="str">
        <f t="shared" si="3"/>
        <v>BIS30</v>
      </c>
      <c r="F592" s="13">
        <v>8.0</v>
      </c>
      <c r="G592" s="10" t="str">
        <f t="shared" si="4"/>
        <v>BIS30-8</v>
      </c>
      <c r="H592" s="16"/>
      <c r="I592" s="16" t="str">
        <f t="shared" si="5"/>
        <v>collected</v>
      </c>
      <c r="J592" s="16" t="str">
        <f t="shared" si="6"/>
        <v>N</v>
      </c>
      <c r="K592" s="16"/>
      <c r="L592" s="16"/>
    </row>
    <row r="593">
      <c r="A593" s="26" t="s">
        <v>1047</v>
      </c>
      <c r="B593" s="10" t="str">
        <f t="shared" si="1"/>
        <v>isotope</v>
      </c>
      <c r="C593" s="49" t="str">
        <f t="shared" si="2"/>
        <v>S16165IS1</v>
      </c>
      <c r="D593" s="6">
        <v>30.0</v>
      </c>
      <c r="E593" s="10" t="str">
        <f t="shared" si="3"/>
        <v>BIS30</v>
      </c>
      <c r="F593" s="13">
        <v>9.0</v>
      </c>
      <c r="G593" s="10" t="str">
        <f t="shared" si="4"/>
        <v>BIS30-9</v>
      </c>
      <c r="H593" s="16"/>
      <c r="I593" s="16" t="str">
        <f t="shared" si="5"/>
        <v>collected</v>
      </c>
      <c r="J593" s="16" t="str">
        <f t="shared" si="6"/>
        <v>N</v>
      </c>
      <c r="K593" s="16"/>
      <c r="L593" s="16"/>
    </row>
    <row r="594">
      <c r="A594" s="26" t="s">
        <v>1048</v>
      </c>
      <c r="B594" s="10" t="str">
        <f t="shared" si="1"/>
        <v>isotope</v>
      </c>
      <c r="C594" s="49" t="str">
        <f t="shared" si="2"/>
        <v>S16194IS1</v>
      </c>
      <c r="D594" s="6">
        <v>30.0</v>
      </c>
      <c r="E594" s="10" t="str">
        <f t="shared" si="3"/>
        <v>BIS30</v>
      </c>
      <c r="F594" s="13">
        <v>10.0</v>
      </c>
      <c r="G594" s="10" t="str">
        <f t="shared" si="4"/>
        <v>BIS30-10</v>
      </c>
      <c r="H594" s="16"/>
      <c r="I594" s="16" t="str">
        <f t="shared" si="5"/>
        <v>collected</v>
      </c>
      <c r="J594" s="16" t="str">
        <f t="shared" si="6"/>
        <v>N</v>
      </c>
      <c r="K594" s="16"/>
      <c r="L594" s="16"/>
    </row>
    <row r="595">
      <c r="A595" s="26" t="s">
        <v>1049</v>
      </c>
      <c r="B595" s="10" t="str">
        <f t="shared" si="1"/>
        <v>isotope</v>
      </c>
      <c r="C595" s="49" t="str">
        <f t="shared" si="2"/>
        <v>S16191IS1</v>
      </c>
      <c r="D595" s="6">
        <v>30.0</v>
      </c>
      <c r="E595" s="10" t="str">
        <f t="shared" si="3"/>
        <v>BIS30</v>
      </c>
      <c r="F595" s="13">
        <v>11.0</v>
      </c>
      <c r="G595" s="10" t="str">
        <f t="shared" si="4"/>
        <v>BIS30-11</v>
      </c>
      <c r="H595" s="16"/>
      <c r="I595" s="16" t="str">
        <f t="shared" si="5"/>
        <v>collected</v>
      </c>
      <c r="J595" s="16" t="str">
        <f t="shared" si="6"/>
        <v>N</v>
      </c>
      <c r="K595" s="16"/>
      <c r="L595" s="16"/>
    </row>
    <row r="596">
      <c r="A596" s="26" t="s">
        <v>1050</v>
      </c>
      <c r="B596" s="10" t="str">
        <f t="shared" si="1"/>
        <v>isotope</v>
      </c>
      <c r="C596" s="49" t="str">
        <f t="shared" si="2"/>
        <v>S16192IS1</v>
      </c>
      <c r="D596" s="6">
        <v>30.0</v>
      </c>
      <c r="E596" s="10" t="str">
        <f t="shared" si="3"/>
        <v>BIS30</v>
      </c>
      <c r="F596" s="13">
        <v>12.0</v>
      </c>
      <c r="G596" s="10" t="str">
        <f t="shared" si="4"/>
        <v>BIS30-12</v>
      </c>
      <c r="H596" s="16"/>
      <c r="I596" s="16" t="str">
        <f t="shared" si="5"/>
        <v>collected</v>
      </c>
      <c r="J596" s="16" t="str">
        <f t="shared" si="6"/>
        <v>N</v>
      </c>
      <c r="K596" s="16"/>
      <c r="L596" s="16"/>
    </row>
    <row r="597">
      <c r="A597" s="26" t="s">
        <v>1051</v>
      </c>
      <c r="B597" s="10" t="str">
        <f t="shared" si="1"/>
        <v>isotope</v>
      </c>
      <c r="C597" s="49" t="str">
        <f t="shared" si="2"/>
        <v>S16193IS1</v>
      </c>
      <c r="D597" s="6">
        <v>30.0</v>
      </c>
      <c r="E597" s="10" t="str">
        <f t="shared" si="3"/>
        <v>BIS30</v>
      </c>
      <c r="F597" s="13">
        <v>13.0</v>
      </c>
      <c r="G597" s="10" t="str">
        <f t="shared" si="4"/>
        <v>BIS30-13</v>
      </c>
      <c r="H597" s="16"/>
      <c r="I597" s="16" t="str">
        <f t="shared" si="5"/>
        <v>collected</v>
      </c>
      <c r="J597" s="16" t="str">
        <f t="shared" si="6"/>
        <v>N</v>
      </c>
      <c r="K597" s="16"/>
      <c r="L597" s="16"/>
    </row>
    <row r="598">
      <c r="A598" s="26" t="s">
        <v>1053</v>
      </c>
      <c r="B598" s="10" t="str">
        <f t="shared" si="1"/>
        <v>isotope</v>
      </c>
      <c r="C598" s="49" t="str">
        <f t="shared" si="2"/>
        <v>S16195IS1</v>
      </c>
      <c r="D598" s="6">
        <v>30.0</v>
      </c>
      <c r="E598" s="10" t="str">
        <f t="shared" si="3"/>
        <v>BIS30</v>
      </c>
      <c r="F598" s="13">
        <v>14.0</v>
      </c>
      <c r="G598" s="10" t="str">
        <f t="shared" si="4"/>
        <v>BIS30-14</v>
      </c>
      <c r="H598" s="16"/>
      <c r="I598" s="16" t="str">
        <f t="shared" si="5"/>
        <v>collected</v>
      </c>
      <c r="J598" s="16" t="str">
        <f t="shared" si="6"/>
        <v>N</v>
      </c>
      <c r="K598" s="16"/>
      <c r="L598" s="16"/>
    </row>
    <row r="599">
      <c r="A599" s="26" t="s">
        <v>1055</v>
      </c>
      <c r="B599" s="10" t="str">
        <f t="shared" si="1"/>
        <v>isotope</v>
      </c>
      <c r="C599" s="49" t="str">
        <f t="shared" si="2"/>
        <v>S16196IS1</v>
      </c>
      <c r="D599" s="6">
        <v>30.0</v>
      </c>
      <c r="E599" s="10" t="str">
        <f t="shared" si="3"/>
        <v>BIS30</v>
      </c>
      <c r="F599" s="13">
        <v>15.0</v>
      </c>
      <c r="G599" s="10" t="str">
        <f t="shared" si="4"/>
        <v>BIS30-15</v>
      </c>
      <c r="H599" s="16"/>
      <c r="I599" s="16" t="str">
        <f t="shared" si="5"/>
        <v>collected</v>
      </c>
      <c r="J599" s="16" t="str">
        <f t="shared" si="6"/>
        <v>N</v>
      </c>
      <c r="K599" s="16"/>
      <c r="L599" s="16"/>
    </row>
    <row r="600">
      <c r="A600" s="26" t="s">
        <v>1056</v>
      </c>
      <c r="B600" s="10" t="str">
        <f t="shared" si="1"/>
        <v>isotope</v>
      </c>
      <c r="C600" s="49" t="str">
        <f t="shared" si="2"/>
        <v>S16197IS1</v>
      </c>
      <c r="D600" s="6">
        <v>30.0</v>
      </c>
      <c r="E600" s="10" t="str">
        <f t="shared" si="3"/>
        <v>BIS30</v>
      </c>
      <c r="F600" s="13">
        <v>16.0</v>
      </c>
      <c r="G600" s="10" t="str">
        <f t="shared" si="4"/>
        <v>BIS30-16</v>
      </c>
      <c r="H600" s="16"/>
      <c r="I600" s="16" t="str">
        <f t="shared" si="5"/>
        <v>collected</v>
      </c>
      <c r="J600" s="16" t="str">
        <f t="shared" si="6"/>
        <v>N</v>
      </c>
      <c r="K600" s="16"/>
      <c r="L600" s="16"/>
    </row>
    <row r="601">
      <c r="A601" s="26" t="s">
        <v>1057</v>
      </c>
      <c r="B601" s="10" t="str">
        <f t="shared" si="1"/>
        <v>isotope</v>
      </c>
      <c r="C601" s="49" t="str">
        <f t="shared" si="2"/>
        <v>S16506IS1</v>
      </c>
      <c r="D601" s="6">
        <v>29.0</v>
      </c>
      <c r="E601" s="10" t="str">
        <f t="shared" si="3"/>
        <v>BIS29</v>
      </c>
      <c r="F601" s="13">
        <v>74.0</v>
      </c>
      <c r="G601" s="10" t="str">
        <f t="shared" si="4"/>
        <v>BIS29-74</v>
      </c>
      <c r="H601" s="16"/>
      <c r="I601" s="16" t="str">
        <f t="shared" si="5"/>
        <v>collected</v>
      </c>
      <c r="J601" s="16" t="str">
        <f t="shared" si="6"/>
        <v>N</v>
      </c>
      <c r="K601" s="16"/>
      <c r="L601" s="16"/>
    </row>
    <row r="602">
      <c r="A602" s="26" t="s">
        <v>1059</v>
      </c>
      <c r="B602" s="10" t="str">
        <f t="shared" si="1"/>
        <v>isotope</v>
      </c>
      <c r="C602" s="49" t="str">
        <f t="shared" si="2"/>
        <v>S16510IS1</v>
      </c>
      <c r="D602" s="6">
        <v>29.0</v>
      </c>
      <c r="E602" s="10" t="str">
        <f t="shared" si="3"/>
        <v>BIS29</v>
      </c>
      <c r="F602" s="13">
        <v>75.0</v>
      </c>
      <c r="G602" s="10" t="str">
        <f t="shared" si="4"/>
        <v>BIS29-75</v>
      </c>
      <c r="H602" s="16"/>
      <c r="I602" s="16" t="str">
        <f t="shared" si="5"/>
        <v>collected</v>
      </c>
      <c r="J602" s="16" t="str">
        <f t="shared" si="6"/>
        <v>N</v>
      </c>
      <c r="K602" s="16"/>
      <c r="L602" s="16"/>
    </row>
    <row r="603">
      <c r="A603" s="26" t="s">
        <v>1060</v>
      </c>
      <c r="B603" s="10" t="str">
        <f t="shared" si="1"/>
        <v>isotope</v>
      </c>
      <c r="C603" s="49" t="str">
        <f t="shared" si="2"/>
        <v>S16507IS1</v>
      </c>
      <c r="D603" s="6">
        <v>29.0</v>
      </c>
      <c r="E603" s="10" t="str">
        <f t="shared" si="3"/>
        <v>BIS29</v>
      </c>
      <c r="F603" s="13">
        <v>76.0</v>
      </c>
      <c r="G603" s="10" t="str">
        <f t="shared" si="4"/>
        <v>BIS29-76</v>
      </c>
      <c r="H603" s="16"/>
      <c r="I603" s="16" t="str">
        <f t="shared" si="5"/>
        <v>collected</v>
      </c>
      <c r="J603" s="16" t="str">
        <f t="shared" si="6"/>
        <v>N</v>
      </c>
      <c r="K603" s="16"/>
      <c r="L603" s="16"/>
    </row>
    <row r="604">
      <c r="A604" s="26" t="s">
        <v>1061</v>
      </c>
      <c r="B604" s="10" t="str">
        <f t="shared" si="1"/>
        <v>isotope</v>
      </c>
      <c r="C604" s="49" t="str">
        <f t="shared" si="2"/>
        <v>S16503IS1</v>
      </c>
      <c r="D604" s="6">
        <v>29.0</v>
      </c>
      <c r="E604" s="10" t="str">
        <f t="shared" si="3"/>
        <v>BIS29</v>
      </c>
      <c r="F604" s="13">
        <v>77.0</v>
      </c>
      <c r="G604" s="10" t="str">
        <f t="shared" si="4"/>
        <v>BIS29-77</v>
      </c>
      <c r="H604" s="16"/>
      <c r="I604" s="16" t="str">
        <f t="shared" si="5"/>
        <v>collected</v>
      </c>
      <c r="J604" s="16" t="str">
        <f t="shared" si="6"/>
        <v>N</v>
      </c>
      <c r="K604" s="16"/>
      <c r="L604" s="16"/>
    </row>
    <row r="605">
      <c r="A605" s="26" t="s">
        <v>1062</v>
      </c>
      <c r="B605" s="10" t="str">
        <f t="shared" si="1"/>
        <v>isotope</v>
      </c>
      <c r="C605" s="49" t="str">
        <f t="shared" si="2"/>
        <v>S16505IS1</v>
      </c>
      <c r="D605" s="6">
        <v>29.0</v>
      </c>
      <c r="E605" s="10" t="str">
        <f t="shared" si="3"/>
        <v>BIS29</v>
      </c>
      <c r="F605" s="13">
        <v>78.0</v>
      </c>
      <c r="G605" s="10" t="str">
        <f t="shared" si="4"/>
        <v>BIS29-78</v>
      </c>
      <c r="H605" s="16"/>
      <c r="I605" s="16" t="str">
        <f t="shared" si="5"/>
        <v>collected</v>
      </c>
      <c r="J605" s="16" t="str">
        <f t="shared" si="6"/>
        <v>N</v>
      </c>
      <c r="K605" s="16"/>
      <c r="L605" s="16"/>
    </row>
    <row r="606">
      <c r="A606" s="27" t="s">
        <v>1064</v>
      </c>
      <c r="B606" s="10" t="str">
        <f t="shared" si="1"/>
        <v>isotope</v>
      </c>
      <c r="C606" s="49" t="str">
        <f t="shared" si="2"/>
        <v>S16806IS1</v>
      </c>
      <c r="D606" s="6">
        <v>29.0</v>
      </c>
      <c r="E606" s="10" t="str">
        <f t="shared" si="3"/>
        <v>BIS29</v>
      </c>
      <c r="F606" s="13">
        <v>79.0</v>
      </c>
      <c r="G606" s="10" t="str">
        <f t="shared" si="4"/>
        <v>BIS29-79</v>
      </c>
      <c r="H606" s="16"/>
      <c r="I606" s="16" t="str">
        <f t="shared" si="5"/>
        <v>collected</v>
      </c>
      <c r="J606" s="16" t="str">
        <f t="shared" si="6"/>
        <v>N</v>
      </c>
      <c r="K606" s="16"/>
      <c r="L606" s="16"/>
    </row>
    <row r="607">
      <c r="A607" s="27" t="s">
        <v>1066</v>
      </c>
      <c r="B607" s="10" t="str">
        <f t="shared" si="1"/>
        <v>isotope</v>
      </c>
      <c r="C607" s="49" t="str">
        <f t="shared" si="2"/>
        <v>S16810IS1</v>
      </c>
      <c r="D607" s="6">
        <v>29.0</v>
      </c>
      <c r="E607" s="10" t="str">
        <f t="shared" si="3"/>
        <v>BIS29</v>
      </c>
      <c r="F607" s="13">
        <v>80.0</v>
      </c>
      <c r="G607" s="10" t="str">
        <f t="shared" si="4"/>
        <v>BIS29-80</v>
      </c>
      <c r="H607" s="16"/>
      <c r="I607" s="16" t="str">
        <f t="shared" si="5"/>
        <v>collected</v>
      </c>
      <c r="J607" s="16" t="str">
        <f t="shared" si="6"/>
        <v>N</v>
      </c>
      <c r="K607" s="16"/>
      <c r="L607" s="16"/>
    </row>
    <row r="608">
      <c r="A608" s="27" t="s">
        <v>1067</v>
      </c>
      <c r="B608" s="10" t="str">
        <f t="shared" si="1"/>
        <v>isotope</v>
      </c>
      <c r="C608" s="49" t="str">
        <f t="shared" si="2"/>
        <v>S16808IS1</v>
      </c>
      <c r="D608" s="6">
        <v>29.0</v>
      </c>
      <c r="E608" s="10" t="str">
        <f t="shared" si="3"/>
        <v>BIS29</v>
      </c>
      <c r="F608" s="13">
        <v>81.0</v>
      </c>
      <c r="G608" s="10" t="str">
        <f t="shared" si="4"/>
        <v>BIS29-81</v>
      </c>
      <c r="H608" s="16"/>
      <c r="I608" s="16" t="str">
        <f t="shared" si="5"/>
        <v>collected</v>
      </c>
      <c r="J608" s="16" t="str">
        <f t="shared" si="6"/>
        <v>N</v>
      </c>
      <c r="K608" s="16"/>
      <c r="L608" s="16"/>
    </row>
    <row r="609">
      <c r="A609" s="27" t="s">
        <v>1068</v>
      </c>
      <c r="B609" s="10" t="str">
        <f t="shared" si="1"/>
        <v>isotope</v>
      </c>
      <c r="C609" s="49" t="str">
        <f t="shared" si="2"/>
        <v>S16809IS1</v>
      </c>
      <c r="D609" s="6">
        <v>31.0</v>
      </c>
      <c r="E609" s="10" t="str">
        <f t="shared" si="3"/>
        <v>BIS31</v>
      </c>
      <c r="F609" s="13">
        <v>1.0</v>
      </c>
      <c r="G609" s="10" t="str">
        <f t="shared" si="4"/>
        <v>BIS31-1</v>
      </c>
      <c r="H609" s="16"/>
      <c r="I609" s="16" t="str">
        <f t="shared" si="5"/>
        <v>collected</v>
      </c>
      <c r="J609" s="16" t="str">
        <f t="shared" si="6"/>
        <v>N</v>
      </c>
      <c r="K609" s="16"/>
      <c r="L609" s="16"/>
    </row>
    <row r="610">
      <c r="A610" s="27" t="s">
        <v>1069</v>
      </c>
      <c r="B610" s="10" t="str">
        <f t="shared" si="1"/>
        <v>isotope</v>
      </c>
      <c r="C610" s="49" t="str">
        <f t="shared" si="2"/>
        <v>S16803IS1</v>
      </c>
      <c r="D610" s="6">
        <v>31.0</v>
      </c>
      <c r="E610" s="10" t="str">
        <f t="shared" si="3"/>
        <v>BIS31</v>
      </c>
      <c r="F610" s="13">
        <v>2.0</v>
      </c>
      <c r="G610" s="10" t="str">
        <f t="shared" si="4"/>
        <v>BIS31-2</v>
      </c>
      <c r="H610" s="16"/>
      <c r="I610" s="16" t="str">
        <f t="shared" si="5"/>
        <v>collected</v>
      </c>
      <c r="J610" s="16" t="str">
        <f t="shared" si="6"/>
        <v>N</v>
      </c>
      <c r="K610" s="16"/>
      <c r="L610" s="16"/>
    </row>
    <row r="611">
      <c r="A611" s="27" t="s">
        <v>1070</v>
      </c>
      <c r="B611" s="10" t="str">
        <f t="shared" si="1"/>
        <v>isotope</v>
      </c>
      <c r="C611" s="49" t="str">
        <f t="shared" si="2"/>
        <v>S16805IS1</v>
      </c>
      <c r="D611" s="6">
        <v>31.0</v>
      </c>
      <c r="E611" s="10" t="str">
        <f t="shared" si="3"/>
        <v>BIS31</v>
      </c>
      <c r="F611" s="13">
        <v>3.0</v>
      </c>
      <c r="G611" s="10" t="str">
        <f t="shared" si="4"/>
        <v>BIS31-3</v>
      </c>
      <c r="H611" s="16"/>
      <c r="I611" s="16" t="str">
        <f t="shared" si="5"/>
        <v>collected</v>
      </c>
      <c r="J611" s="16" t="str">
        <f t="shared" si="6"/>
        <v>N</v>
      </c>
      <c r="K611" s="16"/>
      <c r="L611" s="16"/>
    </row>
    <row r="612">
      <c r="A612" s="27" t="s">
        <v>1071</v>
      </c>
      <c r="B612" s="10" t="str">
        <f t="shared" si="1"/>
        <v>isotope</v>
      </c>
      <c r="C612" s="49" t="str">
        <f t="shared" si="2"/>
        <v>S16801IS1</v>
      </c>
      <c r="D612" s="6">
        <v>31.0</v>
      </c>
      <c r="E612" s="10" t="str">
        <f t="shared" si="3"/>
        <v>BIS31</v>
      </c>
      <c r="F612" s="13">
        <v>4.0</v>
      </c>
      <c r="G612" s="10" t="str">
        <f t="shared" si="4"/>
        <v>BIS31-4</v>
      </c>
      <c r="H612" s="16"/>
      <c r="I612" s="16" t="str">
        <f t="shared" si="5"/>
        <v>collected</v>
      </c>
      <c r="J612" s="16" t="str">
        <f t="shared" si="6"/>
        <v>N</v>
      </c>
      <c r="K612" s="16"/>
      <c r="L612" s="16"/>
    </row>
    <row r="613">
      <c r="A613" s="27" t="s">
        <v>1074</v>
      </c>
      <c r="B613" s="10" t="str">
        <f t="shared" si="1"/>
        <v>isotope</v>
      </c>
      <c r="C613" s="49" t="str">
        <f t="shared" si="2"/>
        <v>S16807IS1</v>
      </c>
      <c r="D613" s="6">
        <v>31.0</v>
      </c>
      <c r="E613" s="10" t="str">
        <f t="shared" si="3"/>
        <v>BIS31</v>
      </c>
      <c r="F613" s="13">
        <v>5.0</v>
      </c>
      <c r="G613" s="10" t="str">
        <f t="shared" si="4"/>
        <v>BIS31-5</v>
      </c>
      <c r="H613" s="16"/>
      <c r="I613" s="16" t="str">
        <f t="shared" si="5"/>
        <v>collected</v>
      </c>
      <c r="J613" s="16" t="str">
        <f t="shared" si="6"/>
        <v>N</v>
      </c>
      <c r="K613" s="16"/>
      <c r="L613" s="16"/>
    </row>
    <row r="614">
      <c r="A614" s="27" t="s">
        <v>1075</v>
      </c>
      <c r="B614" s="10" t="str">
        <f t="shared" si="1"/>
        <v>isotope</v>
      </c>
      <c r="C614" s="49" t="str">
        <f t="shared" si="2"/>
        <v>S16804IS1</v>
      </c>
      <c r="D614" s="6">
        <v>31.0</v>
      </c>
      <c r="E614" s="10" t="str">
        <f t="shared" si="3"/>
        <v>BIS31</v>
      </c>
      <c r="F614" s="13">
        <v>6.0</v>
      </c>
      <c r="G614" s="10" t="str">
        <f t="shared" si="4"/>
        <v>BIS31-6</v>
      </c>
      <c r="H614" s="16"/>
      <c r="I614" s="16" t="str">
        <f t="shared" si="5"/>
        <v>collected</v>
      </c>
      <c r="J614" s="16" t="str">
        <f t="shared" si="6"/>
        <v>N</v>
      </c>
      <c r="K614" s="16"/>
      <c r="L614" s="16"/>
    </row>
    <row r="615">
      <c r="A615" s="26" t="s">
        <v>1076</v>
      </c>
      <c r="B615" s="10" t="str">
        <f t="shared" si="1"/>
        <v>isotope</v>
      </c>
      <c r="C615" s="49" t="str">
        <f t="shared" si="2"/>
        <v>S16802IS1</v>
      </c>
      <c r="D615" s="6">
        <v>31.0</v>
      </c>
      <c r="E615" s="10" t="str">
        <f t="shared" si="3"/>
        <v>BIS31</v>
      </c>
      <c r="F615" s="13">
        <v>7.0</v>
      </c>
      <c r="G615" s="10" t="str">
        <f t="shared" si="4"/>
        <v>BIS31-7</v>
      </c>
      <c r="H615" s="16"/>
      <c r="I615" s="16" t="str">
        <f t="shared" si="5"/>
        <v>collected</v>
      </c>
      <c r="J615" s="16" t="str">
        <f t="shared" si="6"/>
        <v>N</v>
      </c>
      <c r="K615" s="16"/>
      <c r="L615" s="16"/>
    </row>
    <row r="616">
      <c r="A616" s="26" t="s">
        <v>1077</v>
      </c>
      <c r="B616" s="10" t="str">
        <f t="shared" si="1"/>
        <v>isotope</v>
      </c>
      <c r="C616" s="49" t="str">
        <f t="shared" si="2"/>
        <v>S16198IS1</v>
      </c>
      <c r="D616" s="6">
        <v>30.0</v>
      </c>
      <c r="E616" s="10" t="str">
        <f t="shared" si="3"/>
        <v>BIS30</v>
      </c>
      <c r="F616" s="13">
        <v>17.0</v>
      </c>
      <c r="G616" s="10" t="str">
        <f t="shared" si="4"/>
        <v>BIS30-17</v>
      </c>
      <c r="H616" s="16"/>
      <c r="I616" s="16" t="str">
        <f t="shared" si="5"/>
        <v>collected</v>
      </c>
      <c r="J616" s="16" t="str">
        <f t="shared" si="6"/>
        <v>N</v>
      </c>
      <c r="K616" s="16"/>
      <c r="L616" s="16"/>
    </row>
    <row r="617">
      <c r="A617" s="26" t="s">
        <v>1078</v>
      </c>
      <c r="B617" s="10" t="str">
        <f t="shared" si="1"/>
        <v>isotope</v>
      </c>
      <c r="C617" s="49" t="str">
        <f t="shared" si="2"/>
        <v>S16199IS1</v>
      </c>
      <c r="D617" s="6">
        <v>30.0</v>
      </c>
      <c r="E617" s="10" t="str">
        <f t="shared" si="3"/>
        <v>BIS30</v>
      </c>
      <c r="F617" s="13">
        <v>18.0</v>
      </c>
      <c r="G617" s="10" t="str">
        <f t="shared" si="4"/>
        <v>BIS30-18</v>
      </c>
      <c r="H617" s="16"/>
      <c r="I617" s="16" t="str">
        <f t="shared" si="5"/>
        <v>collected</v>
      </c>
      <c r="J617" s="16" t="str">
        <f t="shared" si="6"/>
        <v>N</v>
      </c>
      <c r="K617" s="16"/>
      <c r="L617" s="16"/>
    </row>
    <row r="618">
      <c r="A618" s="26" t="s">
        <v>1079</v>
      </c>
      <c r="B618" s="10" t="str">
        <f t="shared" si="1"/>
        <v>isotope</v>
      </c>
      <c r="C618" s="49" t="str">
        <f t="shared" si="2"/>
        <v>S16200IS1</v>
      </c>
      <c r="D618" s="6">
        <v>30.0</v>
      </c>
      <c r="E618" s="10" t="str">
        <f t="shared" si="3"/>
        <v>BIS30</v>
      </c>
      <c r="F618" s="13">
        <v>19.0</v>
      </c>
      <c r="G618" s="10" t="str">
        <f t="shared" si="4"/>
        <v>BIS30-19</v>
      </c>
      <c r="H618" s="16"/>
      <c r="I618" s="16" t="str">
        <f t="shared" si="5"/>
        <v>collected</v>
      </c>
      <c r="J618" s="16" t="str">
        <f t="shared" si="6"/>
        <v>N</v>
      </c>
      <c r="K618" s="16"/>
      <c r="L618" s="16"/>
    </row>
    <row r="619">
      <c r="A619" s="26" t="s">
        <v>1081</v>
      </c>
      <c r="B619" s="10" t="str">
        <f t="shared" si="1"/>
        <v>isotope</v>
      </c>
      <c r="C619" s="49" t="str">
        <f t="shared" si="2"/>
        <v>S16141IS1</v>
      </c>
      <c r="D619" s="6">
        <v>30.0</v>
      </c>
      <c r="E619" s="10" t="str">
        <f t="shared" si="3"/>
        <v>BIS30</v>
      </c>
      <c r="F619" s="13">
        <v>20.0</v>
      </c>
      <c r="G619" s="10" t="str">
        <f t="shared" si="4"/>
        <v>BIS30-20</v>
      </c>
      <c r="H619" s="16"/>
      <c r="I619" s="16" t="str">
        <f t="shared" si="5"/>
        <v>collected</v>
      </c>
      <c r="J619" s="16" t="str">
        <f t="shared" si="6"/>
        <v>N</v>
      </c>
      <c r="K619" s="16"/>
      <c r="L619" s="16"/>
    </row>
    <row r="620">
      <c r="A620" s="26" t="s">
        <v>1082</v>
      </c>
      <c r="B620" s="10" t="str">
        <f t="shared" si="1"/>
        <v>isotope</v>
      </c>
      <c r="C620" s="49" t="str">
        <f t="shared" si="2"/>
        <v>S16142IS1</v>
      </c>
      <c r="D620" s="6">
        <v>30.0</v>
      </c>
      <c r="E620" s="10" t="str">
        <f t="shared" si="3"/>
        <v>BIS30</v>
      </c>
      <c r="F620" s="13">
        <v>21.0</v>
      </c>
      <c r="G620" s="10" t="str">
        <f t="shared" si="4"/>
        <v>BIS30-21</v>
      </c>
      <c r="H620" s="16"/>
      <c r="I620" s="16" t="str">
        <f t="shared" si="5"/>
        <v>collected</v>
      </c>
      <c r="J620" s="16" t="str">
        <f t="shared" si="6"/>
        <v>N</v>
      </c>
      <c r="K620" s="16"/>
      <c r="L620" s="16"/>
    </row>
    <row r="621">
      <c r="A621" s="26" t="s">
        <v>1084</v>
      </c>
      <c r="B621" s="10" t="str">
        <f t="shared" si="1"/>
        <v>isotope</v>
      </c>
      <c r="C621" s="49" t="str">
        <f t="shared" si="2"/>
        <v>S16143IS1</v>
      </c>
      <c r="D621" s="6">
        <v>30.0</v>
      </c>
      <c r="E621" s="10" t="str">
        <f t="shared" si="3"/>
        <v>BIS30</v>
      </c>
      <c r="F621" s="13">
        <v>22.0</v>
      </c>
      <c r="G621" s="10" t="str">
        <f t="shared" si="4"/>
        <v>BIS30-22</v>
      </c>
      <c r="H621" s="6" t="s">
        <v>730</v>
      </c>
      <c r="I621" s="16" t="str">
        <f t="shared" si="5"/>
        <v>collected</v>
      </c>
      <c r="J621" s="16" t="str">
        <f t="shared" si="6"/>
        <v>N</v>
      </c>
      <c r="K621" s="16"/>
      <c r="L621" s="16"/>
    </row>
    <row r="622">
      <c r="A622" s="26" t="s">
        <v>1085</v>
      </c>
      <c r="B622" s="10" t="str">
        <f t="shared" si="1"/>
        <v>isotope</v>
      </c>
      <c r="C622" s="49" t="str">
        <f t="shared" si="2"/>
        <v>S16144IS1</v>
      </c>
      <c r="D622" s="6">
        <v>30.0</v>
      </c>
      <c r="E622" s="10" t="str">
        <f t="shared" si="3"/>
        <v>BIS30</v>
      </c>
      <c r="F622" s="13">
        <v>23.0</v>
      </c>
      <c r="G622" s="10" t="str">
        <f t="shared" si="4"/>
        <v>BIS30-23</v>
      </c>
      <c r="H622" s="16"/>
      <c r="I622" s="16" t="str">
        <f t="shared" si="5"/>
        <v>collected</v>
      </c>
      <c r="J622" s="16" t="str">
        <f t="shared" si="6"/>
        <v>N</v>
      </c>
      <c r="K622" s="16"/>
      <c r="L622" s="16"/>
    </row>
    <row r="623">
      <c r="A623" s="6" t="s">
        <v>1086</v>
      </c>
      <c r="B623" s="10" t="str">
        <f t="shared" si="1"/>
        <v>isotope</v>
      </c>
      <c r="C623" s="49" t="str">
        <f t="shared" si="2"/>
        <v>S16145IS1</v>
      </c>
      <c r="D623" s="6">
        <v>30.0</v>
      </c>
      <c r="E623" s="10" t="str">
        <f t="shared" si="3"/>
        <v>BIS30</v>
      </c>
      <c r="F623" s="13">
        <v>24.0</v>
      </c>
      <c r="G623" s="10" t="str">
        <f t="shared" si="4"/>
        <v>BIS30-24</v>
      </c>
      <c r="H623" s="16"/>
      <c r="I623" s="16" t="str">
        <f t="shared" si="5"/>
        <v>collected</v>
      </c>
      <c r="J623" s="16" t="str">
        <f t="shared" si="6"/>
        <v>N</v>
      </c>
      <c r="K623" s="16"/>
      <c r="L623" s="16"/>
    </row>
    <row r="624">
      <c r="A624" s="26" t="s">
        <v>1087</v>
      </c>
      <c r="B624" s="10" t="str">
        <f t="shared" si="1"/>
        <v>isotope</v>
      </c>
      <c r="C624" s="49" t="str">
        <f t="shared" si="2"/>
        <v>S16146IS1</v>
      </c>
      <c r="D624" s="6">
        <v>30.0</v>
      </c>
      <c r="E624" s="10" t="str">
        <f t="shared" si="3"/>
        <v>BIS30</v>
      </c>
      <c r="F624" s="13">
        <v>25.0</v>
      </c>
      <c r="G624" s="10" t="str">
        <f t="shared" si="4"/>
        <v>BIS30-25</v>
      </c>
      <c r="H624" s="16"/>
      <c r="I624" s="16" t="str">
        <f t="shared" si="5"/>
        <v>collected</v>
      </c>
      <c r="J624" s="16" t="str">
        <f t="shared" si="6"/>
        <v>N</v>
      </c>
      <c r="K624" s="16"/>
      <c r="L624" s="16"/>
    </row>
    <row r="625">
      <c r="A625" s="26" t="s">
        <v>1089</v>
      </c>
      <c r="B625" s="10" t="str">
        <f t="shared" si="1"/>
        <v>isotope</v>
      </c>
      <c r="C625" s="49" t="str">
        <f t="shared" si="2"/>
        <v>S16147IS1</v>
      </c>
      <c r="D625" s="6">
        <v>30.0</v>
      </c>
      <c r="E625" s="10" t="str">
        <f t="shared" si="3"/>
        <v>BIS30</v>
      </c>
      <c r="F625" s="13">
        <v>26.0</v>
      </c>
      <c r="G625" s="10" t="str">
        <f t="shared" si="4"/>
        <v>BIS30-26</v>
      </c>
      <c r="H625" s="16"/>
      <c r="I625" s="16" t="str">
        <f t="shared" si="5"/>
        <v>collected</v>
      </c>
      <c r="J625" s="16" t="str">
        <f t="shared" si="6"/>
        <v>N</v>
      </c>
      <c r="K625" s="16"/>
      <c r="L625" s="16"/>
    </row>
    <row r="626">
      <c r="A626" s="26" t="s">
        <v>1090</v>
      </c>
      <c r="B626" s="10" t="str">
        <f t="shared" si="1"/>
        <v>isotope</v>
      </c>
      <c r="C626" s="49" t="str">
        <f t="shared" si="2"/>
        <v>S16148IS1</v>
      </c>
      <c r="D626" s="6">
        <v>30.0</v>
      </c>
      <c r="E626" s="10" t="str">
        <f t="shared" si="3"/>
        <v>BIS30</v>
      </c>
      <c r="F626" s="13">
        <v>27.0</v>
      </c>
      <c r="G626" s="10" t="str">
        <f t="shared" si="4"/>
        <v>BIS30-27</v>
      </c>
      <c r="H626" s="16"/>
      <c r="I626" s="16" t="str">
        <f t="shared" si="5"/>
        <v>collected</v>
      </c>
      <c r="J626" s="16" t="str">
        <f t="shared" si="6"/>
        <v>N</v>
      </c>
      <c r="K626" s="16"/>
      <c r="L626" s="16"/>
    </row>
    <row r="627">
      <c r="A627" s="26" t="s">
        <v>1091</v>
      </c>
      <c r="B627" s="10" t="str">
        <f t="shared" si="1"/>
        <v>isotope</v>
      </c>
      <c r="C627" s="49" t="str">
        <f t="shared" si="2"/>
        <v>S16149IS1</v>
      </c>
      <c r="D627" s="6">
        <v>30.0</v>
      </c>
      <c r="E627" s="10" t="str">
        <f t="shared" si="3"/>
        <v>BIS30</v>
      </c>
      <c r="F627" s="13">
        <v>28.0</v>
      </c>
      <c r="G627" s="10" t="str">
        <f t="shared" si="4"/>
        <v>BIS30-28</v>
      </c>
      <c r="H627" s="16"/>
      <c r="I627" s="16" t="str">
        <f t="shared" si="5"/>
        <v>collected</v>
      </c>
      <c r="J627" s="16" t="str">
        <f t="shared" si="6"/>
        <v>N</v>
      </c>
      <c r="K627" s="16"/>
      <c r="L627" s="16"/>
    </row>
    <row r="628">
      <c r="A628" s="26" t="s">
        <v>1092</v>
      </c>
      <c r="B628" s="10" t="str">
        <f t="shared" si="1"/>
        <v>isotope</v>
      </c>
      <c r="C628" s="49" t="str">
        <f t="shared" si="2"/>
        <v>S16150IS1</v>
      </c>
      <c r="D628" s="6">
        <v>30.0</v>
      </c>
      <c r="E628" s="10" t="str">
        <f t="shared" si="3"/>
        <v>BIS30</v>
      </c>
      <c r="F628" s="13">
        <v>29.0</v>
      </c>
      <c r="G628" s="10" t="str">
        <f t="shared" si="4"/>
        <v>BIS30-29</v>
      </c>
      <c r="H628" s="16"/>
      <c r="I628" s="16" t="str">
        <f t="shared" si="5"/>
        <v>collected</v>
      </c>
      <c r="J628" s="16" t="str">
        <f t="shared" si="6"/>
        <v>N</v>
      </c>
      <c r="K628" s="16"/>
      <c r="L628" s="16"/>
    </row>
    <row r="629">
      <c r="A629" s="26" t="s">
        <v>1093</v>
      </c>
      <c r="B629" s="10" t="str">
        <f t="shared" si="1"/>
        <v>isotope</v>
      </c>
      <c r="C629" s="49" t="str">
        <f t="shared" si="2"/>
        <v>S16351IS1</v>
      </c>
      <c r="D629" s="6">
        <v>30.0</v>
      </c>
      <c r="E629" s="10" t="str">
        <f t="shared" si="3"/>
        <v>BIS30</v>
      </c>
      <c r="F629" s="13">
        <v>30.0</v>
      </c>
      <c r="G629" s="10" t="str">
        <f t="shared" si="4"/>
        <v>BIS30-30</v>
      </c>
      <c r="H629" s="16"/>
      <c r="I629" s="16" t="str">
        <f t="shared" si="5"/>
        <v>collected</v>
      </c>
      <c r="J629" s="16" t="str">
        <f t="shared" si="6"/>
        <v>N</v>
      </c>
      <c r="K629" s="16"/>
      <c r="L629" s="16"/>
    </row>
    <row r="630">
      <c r="A630" s="26" t="s">
        <v>1094</v>
      </c>
      <c r="B630" s="10" t="str">
        <f t="shared" si="1"/>
        <v>isotope</v>
      </c>
      <c r="C630" s="49" t="str">
        <f t="shared" si="2"/>
        <v>S16352IS1</v>
      </c>
      <c r="D630" s="6">
        <v>30.0</v>
      </c>
      <c r="E630" s="10" t="str">
        <f t="shared" si="3"/>
        <v>BIS30</v>
      </c>
      <c r="F630" s="13">
        <v>31.0</v>
      </c>
      <c r="G630" s="10" t="str">
        <f t="shared" si="4"/>
        <v>BIS30-31</v>
      </c>
      <c r="H630" s="16"/>
      <c r="I630" s="16" t="str">
        <f t="shared" si="5"/>
        <v>collected</v>
      </c>
      <c r="J630" s="16" t="str">
        <f t="shared" si="6"/>
        <v>N</v>
      </c>
      <c r="K630" s="16"/>
      <c r="L630" s="16"/>
    </row>
    <row r="631">
      <c r="A631" s="26" t="s">
        <v>1096</v>
      </c>
      <c r="B631" s="10" t="str">
        <f t="shared" si="1"/>
        <v>isotope</v>
      </c>
      <c r="C631" s="49" t="str">
        <f t="shared" si="2"/>
        <v>S16353IS1</v>
      </c>
      <c r="D631" s="6">
        <v>30.0</v>
      </c>
      <c r="E631" s="10" t="str">
        <f t="shared" si="3"/>
        <v>BIS30</v>
      </c>
      <c r="F631" s="13">
        <v>32.0</v>
      </c>
      <c r="G631" s="10" t="str">
        <f t="shared" si="4"/>
        <v>BIS30-32</v>
      </c>
      <c r="H631" s="16"/>
      <c r="I631" s="16" t="str">
        <f t="shared" si="5"/>
        <v>collected</v>
      </c>
      <c r="J631" s="16" t="str">
        <f t="shared" si="6"/>
        <v>N</v>
      </c>
      <c r="K631" s="16"/>
      <c r="L631" s="16"/>
    </row>
    <row r="632">
      <c r="A632" s="26" t="s">
        <v>1097</v>
      </c>
      <c r="B632" s="10" t="str">
        <f t="shared" si="1"/>
        <v>isotope</v>
      </c>
      <c r="C632" s="49" t="str">
        <f t="shared" si="2"/>
        <v>S16354IS1</v>
      </c>
      <c r="D632" s="6">
        <v>30.0</v>
      </c>
      <c r="E632" s="10" t="str">
        <f t="shared" si="3"/>
        <v>BIS30</v>
      </c>
      <c r="F632" s="13">
        <v>33.0</v>
      </c>
      <c r="G632" s="10" t="str">
        <f t="shared" si="4"/>
        <v>BIS30-33</v>
      </c>
      <c r="H632" s="16"/>
      <c r="I632" s="16" t="str">
        <f t="shared" si="5"/>
        <v>collected</v>
      </c>
      <c r="J632" s="16" t="str">
        <f t="shared" si="6"/>
        <v>N</v>
      </c>
      <c r="K632" s="16"/>
      <c r="L632" s="16"/>
    </row>
    <row r="633">
      <c r="A633" s="26" t="s">
        <v>1100</v>
      </c>
      <c r="B633" s="10" t="str">
        <f t="shared" si="1"/>
        <v>isotope</v>
      </c>
      <c r="C633" s="49" t="str">
        <f t="shared" si="2"/>
        <v>S16355IS1</v>
      </c>
      <c r="D633" s="6">
        <v>30.0</v>
      </c>
      <c r="E633" s="10" t="str">
        <f t="shared" si="3"/>
        <v>BIS30</v>
      </c>
      <c r="F633" s="13">
        <v>34.0</v>
      </c>
      <c r="G633" s="10" t="str">
        <f t="shared" si="4"/>
        <v>BIS30-34</v>
      </c>
      <c r="H633" s="16"/>
      <c r="I633" s="16" t="str">
        <f t="shared" si="5"/>
        <v>collected</v>
      </c>
      <c r="J633" s="16" t="str">
        <f t="shared" si="6"/>
        <v>N</v>
      </c>
      <c r="K633" s="16"/>
      <c r="L633" s="16"/>
    </row>
    <row r="634">
      <c r="A634" s="27" t="s">
        <v>1101</v>
      </c>
      <c r="B634" s="10" t="str">
        <f t="shared" si="1"/>
        <v>isotope</v>
      </c>
      <c r="C634" s="49" t="str">
        <f t="shared" si="2"/>
        <v>S16356IS1</v>
      </c>
      <c r="D634" s="6">
        <v>30.0</v>
      </c>
      <c r="E634" s="10" t="str">
        <f t="shared" si="3"/>
        <v>BIS30</v>
      </c>
      <c r="F634" s="13">
        <v>35.0</v>
      </c>
      <c r="G634" s="10" t="str">
        <f t="shared" si="4"/>
        <v>BIS30-35</v>
      </c>
      <c r="H634" s="16"/>
      <c r="I634" s="16" t="str">
        <f t="shared" si="5"/>
        <v>collected</v>
      </c>
      <c r="J634" s="16" t="str">
        <f t="shared" si="6"/>
        <v>N</v>
      </c>
      <c r="K634" s="16"/>
      <c r="L634" s="16"/>
    </row>
    <row r="635">
      <c r="A635" s="43" t="s">
        <v>1102</v>
      </c>
      <c r="B635" s="10" t="str">
        <f t="shared" si="1"/>
        <v>isotope</v>
      </c>
      <c r="C635" s="49" t="str">
        <f t="shared" si="2"/>
        <v>S16183IS1</v>
      </c>
      <c r="D635" s="6">
        <v>31.0</v>
      </c>
      <c r="E635" s="10" t="str">
        <f t="shared" si="3"/>
        <v>BIS31</v>
      </c>
      <c r="F635" s="13">
        <v>8.0</v>
      </c>
      <c r="G635" s="10" t="str">
        <f t="shared" si="4"/>
        <v>BIS31-8</v>
      </c>
      <c r="H635" s="16"/>
      <c r="I635" s="16" t="str">
        <f t="shared" si="5"/>
        <v>collected</v>
      </c>
      <c r="J635" s="16" t="str">
        <f t="shared" si="6"/>
        <v>N</v>
      </c>
      <c r="K635" s="16"/>
      <c r="L635" s="16"/>
    </row>
    <row r="636">
      <c r="A636" s="43" t="s">
        <v>1103</v>
      </c>
      <c r="B636" s="10" t="str">
        <f t="shared" si="1"/>
        <v>isotope</v>
      </c>
      <c r="C636" s="49" t="str">
        <f t="shared" si="2"/>
        <v>S16190IS1</v>
      </c>
      <c r="D636" s="6">
        <v>31.0</v>
      </c>
      <c r="E636" s="10" t="str">
        <f t="shared" si="3"/>
        <v>BIS31</v>
      </c>
      <c r="F636" s="13">
        <v>9.0</v>
      </c>
      <c r="G636" s="10" t="str">
        <f t="shared" si="4"/>
        <v>BIS31-9</v>
      </c>
      <c r="H636" s="16"/>
      <c r="I636" s="16" t="str">
        <f t="shared" si="5"/>
        <v>collected</v>
      </c>
      <c r="J636" s="16" t="str">
        <f t="shared" si="6"/>
        <v>N</v>
      </c>
      <c r="K636" s="16"/>
      <c r="L636" s="16"/>
    </row>
    <row r="637">
      <c r="A637" s="43" t="s">
        <v>1104</v>
      </c>
      <c r="B637" s="10" t="str">
        <f t="shared" si="1"/>
        <v>isotope</v>
      </c>
      <c r="C637" s="49" t="str">
        <f t="shared" si="2"/>
        <v>S16187IS1</v>
      </c>
      <c r="D637" s="6">
        <v>31.0</v>
      </c>
      <c r="E637" s="10" t="str">
        <f t="shared" si="3"/>
        <v>BIS31</v>
      </c>
      <c r="F637" s="13">
        <v>10.0</v>
      </c>
      <c r="G637" s="10" t="str">
        <f t="shared" si="4"/>
        <v>BIS31-10</v>
      </c>
      <c r="H637" s="16"/>
      <c r="I637" s="16" t="str">
        <f t="shared" si="5"/>
        <v>collected</v>
      </c>
      <c r="J637" s="16" t="str">
        <f t="shared" si="6"/>
        <v>N</v>
      </c>
      <c r="K637" s="16"/>
      <c r="L637" s="16"/>
    </row>
    <row r="638">
      <c r="A638" s="44" t="s">
        <v>1105</v>
      </c>
      <c r="B638" s="10" t="str">
        <f t="shared" si="1"/>
        <v>isotope</v>
      </c>
      <c r="C638" s="49" t="str">
        <f t="shared" si="2"/>
        <v>S16189IS1</v>
      </c>
      <c r="D638" s="6">
        <v>31.0</v>
      </c>
      <c r="E638" s="10" t="str">
        <f t="shared" si="3"/>
        <v>BIS31</v>
      </c>
      <c r="F638" s="13">
        <v>11.0</v>
      </c>
      <c r="G638" s="10" t="str">
        <f t="shared" si="4"/>
        <v>BIS31-11</v>
      </c>
      <c r="H638" s="16"/>
      <c r="I638" s="16" t="str">
        <f t="shared" si="5"/>
        <v>collected</v>
      </c>
      <c r="J638" s="16" t="str">
        <f t="shared" si="6"/>
        <v>N</v>
      </c>
      <c r="K638" s="16"/>
      <c r="L638" s="16"/>
    </row>
    <row r="639">
      <c r="A639" s="44" t="s">
        <v>1108</v>
      </c>
      <c r="B639" s="10" t="str">
        <f t="shared" si="1"/>
        <v>isotope</v>
      </c>
      <c r="C639" s="49" t="str">
        <f t="shared" si="2"/>
        <v>S16188IS1</v>
      </c>
      <c r="D639" s="6">
        <v>31.0</v>
      </c>
      <c r="E639" s="10" t="str">
        <f t="shared" si="3"/>
        <v>BIS31</v>
      </c>
      <c r="F639" s="13">
        <v>12.0</v>
      </c>
      <c r="G639" s="10" t="str">
        <f t="shared" si="4"/>
        <v>BIS31-12</v>
      </c>
      <c r="H639" s="16"/>
      <c r="I639" s="16" t="str">
        <f t="shared" si="5"/>
        <v>collected</v>
      </c>
      <c r="J639" s="16" t="str">
        <f t="shared" si="6"/>
        <v>N</v>
      </c>
      <c r="K639" s="16"/>
      <c r="L639" s="16"/>
    </row>
    <row r="640">
      <c r="A640" s="44" t="s">
        <v>1109</v>
      </c>
      <c r="B640" s="10" t="str">
        <f t="shared" si="1"/>
        <v>isotope</v>
      </c>
      <c r="C640" s="49" t="str">
        <f t="shared" si="2"/>
        <v>S16186IS1</v>
      </c>
      <c r="D640" s="6">
        <v>31.0</v>
      </c>
      <c r="E640" s="10" t="str">
        <f t="shared" si="3"/>
        <v>BIS31</v>
      </c>
      <c r="F640" s="13">
        <v>13.0</v>
      </c>
      <c r="G640" s="10" t="str">
        <f t="shared" si="4"/>
        <v>BIS31-13</v>
      </c>
      <c r="H640" s="16"/>
      <c r="I640" s="16" t="str">
        <f t="shared" si="5"/>
        <v>collected</v>
      </c>
      <c r="J640" s="16" t="str">
        <f t="shared" si="6"/>
        <v>N</v>
      </c>
      <c r="K640" s="16"/>
      <c r="L640" s="16"/>
    </row>
    <row r="641">
      <c r="A641" s="44" t="s">
        <v>1110</v>
      </c>
      <c r="B641" s="10" t="str">
        <f t="shared" si="1"/>
        <v>isotope</v>
      </c>
      <c r="C641" s="49" t="str">
        <f t="shared" si="2"/>
        <v>S16185IS1</v>
      </c>
      <c r="D641" s="6">
        <v>31.0</v>
      </c>
      <c r="E641" s="10" t="str">
        <f t="shared" si="3"/>
        <v>BIS31</v>
      </c>
      <c r="F641" s="13">
        <v>14.0</v>
      </c>
      <c r="G641" s="10" t="str">
        <f t="shared" si="4"/>
        <v>BIS31-14</v>
      </c>
      <c r="H641" s="16"/>
      <c r="I641" s="16" t="str">
        <f t="shared" si="5"/>
        <v>collected</v>
      </c>
      <c r="J641" s="16" t="str">
        <f t="shared" si="6"/>
        <v>N</v>
      </c>
      <c r="K641" s="16"/>
      <c r="L641" s="16"/>
    </row>
    <row r="642">
      <c r="A642" s="44" t="s">
        <v>1111</v>
      </c>
      <c r="B642" s="10" t="str">
        <f t="shared" si="1"/>
        <v>isotope</v>
      </c>
      <c r="C642" s="49" t="str">
        <f t="shared" si="2"/>
        <v>S16184IS1</v>
      </c>
      <c r="D642" s="6">
        <v>31.0</v>
      </c>
      <c r="E642" s="10" t="str">
        <f t="shared" si="3"/>
        <v>BIS31</v>
      </c>
      <c r="F642" s="13">
        <v>15.0</v>
      </c>
      <c r="G642" s="10" t="str">
        <f t="shared" si="4"/>
        <v>BIS31-15</v>
      </c>
      <c r="H642" s="16"/>
      <c r="I642" s="16" t="str">
        <f t="shared" si="5"/>
        <v>collected</v>
      </c>
      <c r="J642" s="16" t="str">
        <f t="shared" si="6"/>
        <v>N</v>
      </c>
      <c r="K642" s="16"/>
      <c r="L642" s="16"/>
    </row>
    <row r="643">
      <c r="A643" s="44" t="s">
        <v>1112</v>
      </c>
      <c r="B643" s="10" t="str">
        <f t="shared" si="1"/>
        <v>isotope</v>
      </c>
      <c r="C643" s="49" t="str">
        <f t="shared" si="2"/>
        <v>S16181IS1</v>
      </c>
      <c r="D643" s="6">
        <v>31.0</v>
      </c>
      <c r="E643" s="10" t="str">
        <f t="shared" si="3"/>
        <v>BIS31</v>
      </c>
      <c r="F643" s="13">
        <v>16.0</v>
      </c>
      <c r="G643" s="10" t="str">
        <f t="shared" si="4"/>
        <v>BIS31-16</v>
      </c>
      <c r="H643" s="16"/>
      <c r="I643" s="16" t="str">
        <f t="shared" si="5"/>
        <v>collected</v>
      </c>
      <c r="J643" s="16" t="str">
        <f t="shared" si="6"/>
        <v>N</v>
      </c>
      <c r="K643" s="16"/>
      <c r="L643" s="16"/>
    </row>
    <row r="644">
      <c r="A644" s="44" t="s">
        <v>1113</v>
      </c>
      <c r="B644" s="10" t="str">
        <f t="shared" si="1"/>
        <v>isotope</v>
      </c>
      <c r="C644" s="49" t="str">
        <f t="shared" si="2"/>
        <v>S16182IS1</v>
      </c>
      <c r="D644" s="6">
        <v>31.0</v>
      </c>
      <c r="E644" s="10" t="str">
        <f t="shared" si="3"/>
        <v>BIS31</v>
      </c>
      <c r="F644" s="13">
        <v>17.0</v>
      </c>
      <c r="G644" s="10" t="str">
        <f t="shared" si="4"/>
        <v>BIS31-17</v>
      </c>
      <c r="H644" s="16"/>
      <c r="I644" s="16" t="str">
        <f t="shared" si="5"/>
        <v>collected</v>
      </c>
      <c r="J644" s="16" t="str">
        <f t="shared" si="6"/>
        <v>N</v>
      </c>
      <c r="K644" s="16"/>
      <c r="L644" s="16"/>
    </row>
    <row r="645">
      <c r="A645" s="44" t="s">
        <v>1115</v>
      </c>
      <c r="B645" s="10" t="str">
        <f t="shared" si="1"/>
        <v>isotope</v>
      </c>
      <c r="C645" s="49" t="str">
        <f t="shared" si="2"/>
        <v>S16257IS1</v>
      </c>
      <c r="D645" s="6">
        <v>31.0</v>
      </c>
      <c r="E645" s="10" t="str">
        <f t="shared" si="3"/>
        <v>BIS31</v>
      </c>
      <c r="F645" s="13">
        <v>18.0</v>
      </c>
      <c r="G645" s="10" t="str">
        <f t="shared" si="4"/>
        <v>BIS31-18</v>
      </c>
      <c r="H645" s="16"/>
      <c r="I645" s="16" t="str">
        <f t="shared" si="5"/>
        <v>collected</v>
      </c>
      <c r="J645" s="16" t="str">
        <f t="shared" si="6"/>
        <v>N</v>
      </c>
      <c r="K645" s="16"/>
      <c r="L645" s="16"/>
    </row>
    <row r="646">
      <c r="A646" s="44" t="s">
        <v>1117</v>
      </c>
      <c r="B646" s="10" t="str">
        <f t="shared" si="1"/>
        <v>isotope</v>
      </c>
      <c r="C646" s="49" t="str">
        <f t="shared" si="2"/>
        <v>S16256IS1</v>
      </c>
      <c r="D646" s="6">
        <v>31.0</v>
      </c>
      <c r="E646" s="10" t="str">
        <f t="shared" si="3"/>
        <v>BIS31</v>
      </c>
      <c r="F646" s="13">
        <v>19.0</v>
      </c>
      <c r="G646" s="10" t="str">
        <f t="shared" si="4"/>
        <v>BIS31-19</v>
      </c>
      <c r="H646" s="16"/>
      <c r="I646" s="16" t="str">
        <f t="shared" si="5"/>
        <v>collected</v>
      </c>
      <c r="J646" s="16" t="str">
        <f t="shared" si="6"/>
        <v>N</v>
      </c>
      <c r="K646" s="16"/>
      <c r="L646" s="16"/>
    </row>
    <row r="647">
      <c r="A647" s="44" t="s">
        <v>1118</v>
      </c>
      <c r="B647" s="10" t="str">
        <f t="shared" si="1"/>
        <v>isotope</v>
      </c>
      <c r="C647" s="49" t="str">
        <f t="shared" si="2"/>
        <v>S16258IS1</v>
      </c>
      <c r="D647" s="6">
        <v>31.0</v>
      </c>
      <c r="E647" s="10" t="str">
        <f t="shared" si="3"/>
        <v>BIS31</v>
      </c>
      <c r="F647" s="13">
        <v>20.0</v>
      </c>
      <c r="G647" s="10" t="str">
        <f t="shared" si="4"/>
        <v>BIS31-20</v>
      </c>
      <c r="H647" s="16"/>
      <c r="I647" s="16" t="str">
        <f t="shared" si="5"/>
        <v>collected</v>
      </c>
      <c r="J647" s="16" t="str">
        <f t="shared" si="6"/>
        <v>N</v>
      </c>
      <c r="K647" s="16"/>
      <c r="L647" s="16"/>
    </row>
    <row r="648">
      <c r="A648" s="44" t="s">
        <v>1119</v>
      </c>
      <c r="B648" s="10" t="str">
        <f t="shared" si="1"/>
        <v>isotope</v>
      </c>
      <c r="C648" s="49" t="str">
        <f t="shared" si="2"/>
        <v>S16252IS1</v>
      </c>
      <c r="D648" s="6">
        <v>31.0</v>
      </c>
      <c r="E648" s="10" t="str">
        <f t="shared" si="3"/>
        <v>BIS31</v>
      </c>
      <c r="F648" s="13">
        <v>21.0</v>
      </c>
      <c r="G648" s="10" t="str">
        <f t="shared" si="4"/>
        <v>BIS31-21</v>
      </c>
      <c r="H648" s="16"/>
      <c r="I648" s="16" t="str">
        <f t="shared" si="5"/>
        <v>collected</v>
      </c>
      <c r="J648" s="16" t="str">
        <f t="shared" si="6"/>
        <v>N</v>
      </c>
      <c r="K648" s="16"/>
      <c r="L648" s="16"/>
    </row>
    <row r="649">
      <c r="A649" s="44" t="s">
        <v>1120</v>
      </c>
      <c r="B649" s="10" t="str">
        <f t="shared" si="1"/>
        <v>isotope</v>
      </c>
      <c r="C649" s="49" t="str">
        <f t="shared" si="2"/>
        <v>S16251IS1</v>
      </c>
      <c r="D649" s="6">
        <v>31.0</v>
      </c>
      <c r="E649" s="10" t="str">
        <f t="shared" si="3"/>
        <v>BIS31</v>
      </c>
      <c r="F649" s="13">
        <v>22.0</v>
      </c>
      <c r="G649" s="10" t="str">
        <f t="shared" si="4"/>
        <v>BIS31-22</v>
      </c>
      <c r="H649" s="16"/>
      <c r="I649" s="16" t="str">
        <f t="shared" si="5"/>
        <v>collected</v>
      </c>
      <c r="J649" s="16" t="str">
        <f t="shared" si="6"/>
        <v>N</v>
      </c>
      <c r="K649" s="16"/>
      <c r="L649" s="16"/>
    </row>
    <row r="650">
      <c r="A650" s="44" t="s">
        <v>1121</v>
      </c>
      <c r="B650" s="10" t="str">
        <f t="shared" si="1"/>
        <v>isotope</v>
      </c>
      <c r="C650" s="49" t="str">
        <f t="shared" si="2"/>
        <v>S16254IS1</v>
      </c>
      <c r="D650" s="6">
        <v>31.0</v>
      </c>
      <c r="E650" s="10" t="str">
        <f t="shared" si="3"/>
        <v>BIS31</v>
      </c>
      <c r="F650" s="13">
        <v>23.0</v>
      </c>
      <c r="G650" s="10" t="str">
        <f t="shared" si="4"/>
        <v>BIS31-23</v>
      </c>
      <c r="H650" s="16"/>
      <c r="I650" s="16" t="str">
        <f t="shared" si="5"/>
        <v>collected</v>
      </c>
      <c r="J650" s="16" t="str">
        <f t="shared" si="6"/>
        <v>N</v>
      </c>
      <c r="K650" s="16"/>
      <c r="L650" s="16"/>
    </row>
    <row r="651">
      <c r="A651" s="44" t="s">
        <v>1123</v>
      </c>
      <c r="B651" s="10" t="str">
        <f t="shared" si="1"/>
        <v>isotope</v>
      </c>
      <c r="C651" s="49" t="str">
        <f t="shared" si="2"/>
        <v>S16253IS1</v>
      </c>
      <c r="D651" s="6">
        <v>31.0</v>
      </c>
      <c r="E651" s="10" t="str">
        <f t="shared" si="3"/>
        <v>BIS31</v>
      </c>
      <c r="F651" s="13">
        <v>24.0</v>
      </c>
      <c r="G651" s="10" t="str">
        <f t="shared" si="4"/>
        <v>BIS31-24</v>
      </c>
      <c r="H651" s="16"/>
      <c r="I651" s="16" t="str">
        <f t="shared" si="5"/>
        <v>collected</v>
      </c>
      <c r="J651" s="16" t="str">
        <f t="shared" si="6"/>
        <v>N</v>
      </c>
      <c r="K651" s="16"/>
      <c r="L651" s="16"/>
    </row>
    <row r="652">
      <c r="A652" s="44" t="s">
        <v>1124</v>
      </c>
      <c r="B652" s="10" t="str">
        <f t="shared" si="1"/>
        <v>isotope</v>
      </c>
      <c r="C652" s="49" t="str">
        <f t="shared" si="2"/>
        <v>S16255IS1</v>
      </c>
      <c r="D652" s="6">
        <v>31.0</v>
      </c>
      <c r="E652" s="10" t="str">
        <f t="shared" si="3"/>
        <v>BIS31</v>
      </c>
      <c r="F652" s="13">
        <v>25.0</v>
      </c>
      <c r="G652" s="10" t="str">
        <f t="shared" si="4"/>
        <v>BIS31-25</v>
      </c>
      <c r="H652" s="16"/>
      <c r="I652" s="16" t="str">
        <f t="shared" si="5"/>
        <v>collected</v>
      </c>
      <c r="J652" s="16" t="str">
        <f t="shared" si="6"/>
        <v>N</v>
      </c>
      <c r="K652" s="16"/>
      <c r="L652" s="16"/>
    </row>
    <row r="653">
      <c r="A653" s="44" t="s">
        <v>1125</v>
      </c>
      <c r="B653" s="10" t="str">
        <f t="shared" si="1"/>
        <v>isotope</v>
      </c>
      <c r="C653" s="49" t="str">
        <f t="shared" si="2"/>
        <v>S16259IS1</v>
      </c>
      <c r="D653" s="6">
        <v>31.0</v>
      </c>
      <c r="E653" s="10" t="str">
        <f t="shared" si="3"/>
        <v>BIS31</v>
      </c>
      <c r="F653" s="13">
        <v>26.0</v>
      </c>
      <c r="G653" s="10" t="str">
        <f t="shared" si="4"/>
        <v>BIS31-26</v>
      </c>
      <c r="H653" s="16"/>
      <c r="I653" s="16" t="str">
        <f t="shared" si="5"/>
        <v>collected</v>
      </c>
      <c r="J653" s="16" t="str">
        <f t="shared" si="6"/>
        <v>N</v>
      </c>
      <c r="K653" s="16"/>
      <c r="L653" s="16"/>
    </row>
    <row r="654">
      <c r="A654" s="26" t="s">
        <v>1127</v>
      </c>
      <c r="B654" s="10" t="str">
        <f t="shared" si="1"/>
        <v>isotope</v>
      </c>
      <c r="C654" s="49" t="str">
        <f t="shared" si="2"/>
        <v>S16357IS1</v>
      </c>
      <c r="D654" s="6">
        <v>30.0</v>
      </c>
      <c r="E654" s="10" t="str">
        <f t="shared" si="3"/>
        <v>BIS30</v>
      </c>
      <c r="F654" s="13">
        <v>36.0</v>
      </c>
      <c r="G654" s="10" t="str">
        <f t="shared" si="4"/>
        <v>BIS30-36</v>
      </c>
      <c r="H654" s="16"/>
      <c r="I654" s="16" t="str">
        <f t="shared" si="5"/>
        <v>collected</v>
      </c>
      <c r="J654" s="16" t="str">
        <f t="shared" si="6"/>
        <v>N</v>
      </c>
      <c r="K654" s="16"/>
      <c r="L654" s="16"/>
    </row>
    <row r="655">
      <c r="A655" s="26" t="s">
        <v>1128</v>
      </c>
      <c r="B655" s="10" t="str">
        <f t="shared" si="1"/>
        <v>isotope</v>
      </c>
      <c r="C655" s="49" t="str">
        <f t="shared" si="2"/>
        <v>S16358IS1</v>
      </c>
      <c r="D655" s="6">
        <v>30.0</v>
      </c>
      <c r="E655" s="10" t="str">
        <f t="shared" si="3"/>
        <v>BIS30</v>
      </c>
      <c r="F655" s="13">
        <v>37.0</v>
      </c>
      <c r="G655" s="10" t="str">
        <f t="shared" si="4"/>
        <v>BIS30-37</v>
      </c>
      <c r="H655" s="16"/>
      <c r="I655" s="16" t="str">
        <f t="shared" si="5"/>
        <v>collected</v>
      </c>
      <c r="J655" s="16" t="str">
        <f t="shared" si="6"/>
        <v>N</v>
      </c>
      <c r="K655" s="16"/>
      <c r="L655" s="16"/>
    </row>
    <row r="656">
      <c r="A656" s="26" t="s">
        <v>1130</v>
      </c>
      <c r="B656" s="10" t="str">
        <f t="shared" si="1"/>
        <v>isotope</v>
      </c>
      <c r="C656" s="49" t="str">
        <f t="shared" si="2"/>
        <v>S16359IS1</v>
      </c>
      <c r="D656" s="6">
        <v>30.0</v>
      </c>
      <c r="E656" s="10" t="str">
        <f t="shared" si="3"/>
        <v>BIS30</v>
      </c>
      <c r="F656" s="13">
        <v>38.0</v>
      </c>
      <c r="G656" s="10" t="str">
        <f t="shared" si="4"/>
        <v>BIS30-38</v>
      </c>
      <c r="H656" s="16"/>
      <c r="I656" s="16" t="str">
        <f t="shared" si="5"/>
        <v>collected</v>
      </c>
      <c r="J656" s="16" t="str">
        <f t="shared" si="6"/>
        <v>N</v>
      </c>
      <c r="K656" s="16"/>
      <c r="L656" s="16"/>
    </row>
    <row r="657">
      <c r="A657" s="26" t="s">
        <v>1131</v>
      </c>
      <c r="B657" s="10" t="str">
        <f t="shared" si="1"/>
        <v>isotope</v>
      </c>
      <c r="C657" s="49" t="str">
        <f t="shared" si="2"/>
        <v>S16360IS1</v>
      </c>
      <c r="D657" s="6">
        <v>30.0</v>
      </c>
      <c r="E657" s="10" t="str">
        <f t="shared" si="3"/>
        <v>BIS30</v>
      </c>
      <c r="F657" s="13">
        <v>39.0</v>
      </c>
      <c r="G657" s="10" t="str">
        <f t="shared" si="4"/>
        <v>BIS30-39</v>
      </c>
      <c r="H657" s="16"/>
      <c r="I657" s="16" t="str">
        <f t="shared" si="5"/>
        <v>collected</v>
      </c>
      <c r="J657" s="16" t="str">
        <f t="shared" si="6"/>
        <v>N</v>
      </c>
      <c r="K657" s="16"/>
      <c r="L657" s="16"/>
    </row>
    <row r="658">
      <c r="A658" s="26" t="s">
        <v>1132</v>
      </c>
      <c r="B658" s="10" t="str">
        <f t="shared" si="1"/>
        <v>isotope</v>
      </c>
      <c r="C658" s="49" t="str">
        <f t="shared" si="2"/>
        <v>S16021IS1</v>
      </c>
      <c r="D658" s="6">
        <v>30.0</v>
      </c>
      <c r="E658" s="10" t="str">
        <f t="shared" si="3"/>
        <v>BIS30</v>
      </c>
      <c r="F658" s="13">
        <v>40.0</v>
      </c>
      <c r="G658" s="10" t="str">
        <f t="shared" si="4"/>
        <v>BIS30-40</v>
      </c>
      <c r="H658" s="16"/>
      <c r="I658" s="16" t="str">
        <f t="shared" si="5"/>
        <v>collected</v>
      </c>
      <c r="J658" s="16" t="str">
        <f t="shared" si="6"/>
        <v>N</v>
      </c>
      <c r="K658" s="16"/>
      <c r="L658" s="16"/>
    </row>
    <row r="659">
      <c r="A659" s="26" t="s">
        <v>1133</v>
      </c>
      <c r="B659" s="10" t="str">
        <f t="shared" si="1"/>
        <v>isotope</v>
      </c>
      <c r="C659" s="49" t="str">
        <f t="shared" si="2"/>
        <v>S16022IS1</v>
      </c>
      <c r="D659" s="6">
        <v>30.0</v>
      </c>
      <c r="E659" s="10" t="str">
        <f t="shared" si="3"/>
        <v>BIS30</v>
      </c>
      <c r="F659" s="13">
        <v>41.0</v>
      </c>
      <c r="G659" s="10" t="str">
        <f t="shared" si="4"/>
        <v>BIS30-41</v>
      </c>
      <c r="H659" s="16"/>
      <c r="I659" s="16" t="str">
        <f t="shared" si="5"/>
        <v>collected</v>
      </c>
      <c r="J659" s="16" t="str">
        <f t="shared" si="6"/>
        <v>N</v>
      </c>
      <c r="K659" s="16"/>
      <c r="L659" s="16"/>
    </row>
    <row r="660">
      <c r="A660" s="26" t="s">
        <v>1134</v>
      </c>
      <c r="B660" s="10" t="str">
        <f t="shared" si="1"/>
        <v>isotope</v>
      </c>
      <c r="C660" s="49" t="str">
        <f t="shared" si="2"/>
        <v>S16023IS1</v>
      </c>
      <c r="D660" s="6">
        <v>30.0</v>
      </c>
      <c r="E660" s="10" t="str">
        <f t="shared" si="3"/>
        <v>BIS30</v>
      </c>
      <c r="F660" s="13">
        <v>42.0</v>
      </c>
      <c r="G660" s="10" t="str">
        <f t="shared" si="4"/>
        <v>BIS30-42</v>
      </c>
      <c r="H660" s="16"/>
      <c r="I660" s="16" t="str">
        <f t="shared" si="5"/>
        <v>collected</v>
      </c>
      <c r="J660" s="16" t="str">
        <f t="shared" si="6"/>
        <v>N</v>
      </c>
      <c r="K660" s="16"/>
      <c r="L660" s="16"/>
    </row>
    <row r="661">
      <c r="A661" s="26" t="s">
        <v>1135</v>
      </c>
      <c r="B661" s="10" t="str">
        <f t="shared" si="1"/>
        <v>isotope</v>
      </c>
      <c r="C661" s="49" t="str">
        <f t="shared" si="2"/>
        <v>S16024IS1</v>
      </c>
      <c r="D661" s="6">
        <v>30.0</v>
      </c>
      <c r="E661" s="10" t="str">
        <f t="shared" si="3"/>
        <v>BIS30</v>
      </c>
      <c r="F661" s="13">
        <v>43.0</v>
      </c>
      <c r="G661" s="10" t="str">
        <f t="shared" si="4"/>
        <v>BIS30-43</v>
      </c>
      <c r="H661" s="6" t="s">
        <v>2177</v>
      </c>
      <c r="I661" s="16" t="str">
        <f t="shared" si="5"/>
        <v>collected</v>
      </c>
      <c r="J661" s="16" t="str">
        <f t="shared" si="6"/>
        <v>N</v>
      </c>
      <c r="K661" s="16"/>
      <c r="L661" s="16"/>
    </row>
    <row r="662">
      <c r="A662" s="26" t="s">
        <v>1137</v>
      </c>
      <c r="B662" s="10" t="str">
        <f t="shared" si="1"/>
        <v>isotope</v>
      </c>
      <c r="C662" s="49" t="str">
        <f t="shared" si="2"/>
        <v>S16781IS1</v>
      </c>
      <c r="D662" s="6">
        <v>30.0</v>
      </c>
      <c r="E662" s="10" t="str">
        <f t="shared" si="3"/>
        <v>BIS30</v>
      </c>
      <c r="F662" s="13">
        <v>44.0</v>
      </c>
      <c r="G662" s="10" t="str">
        <f t="shared" si="4"/>
        <v>BIS30-44</v>
      </c>
      <c r="H662" s="16"/>
      <c r="I662" s="16" t="str">
        <f t="shared" si="5"/>
        <v>collected</v>
      </c>
      <c r="J662" s="16" t="str">
        <f t="shared" si="6"/>
        <v>N</v>
      </c>
      <c r="K662" s="16"/>
      <c r="L662" s="16"/>
    </row>
    <row r="663">
      <c r="A663" s="26" t="s">
        <v>1139</v>
      </c>
      <c r="B663" s="10" t="str">
        <f t="shared" si="1"/>
        <v>isotope</v>
      </c>
      <c r="C663" s="49" t="str">
        <f t="shared" si="2"/>
        <v>S16782IS1</v>
      </c>
      <c r="D663" s="6">
        <v>30.0</v>
      </c>
      <c r="E663" s="10" t="str">
        <f t="shared" si="3"/>
        <v>BIS30</v>
      </c>
      <c r="F663" s="13">
        <v>45.0</v>
      </c>
      <c r="G663" s="10" t="str">
        <f t="shared" si="4"/>
        <v>BIS30-45</v>
      </c>
      <c r="H663" s="16"/>
      <c r="I663" s="16" t="str">
        <f t="shared" si="5"/>
        <v>collected</v>
      </c>
      <c r="J663" s="16" t="str">
        <f t="shared" si="6"/>
        <v>N</v>
      </c>
      <c r="K663" s="16"/>
      <c r="L663" s="16"/>
    </row>
    <row r="664">
      <c r="A664" s="26" t="s">
        <v>1140</v>
      </c>
      <c r="B664" s="10" t="str">
        <f t="shared" si="1"/>
        <v>isotope</v>
      </c>
      <c r="C664" s="49" t="str">
        <f t="shared" si="2"/>
        <v>S16783IS1</v>
      </c>
      <c r="D664" s="6">
        <v>30.0</v>
      </c>
      <c r="E664" s="10" t="str">
        <f t="shared" si="3"/>
        <v>BIS30</v>
      </c>
      <c r="F664" s="13">
        <v>46.0</v>
      </c>
      <c r="G664" s="10" t="str">
        <f t="shared" si="4"/>
        <v>BIS30-46</v>
      </c>
      <c r="H664" s="16"/>
      <c r="I664" s="16" t="str">
        <f t="shared" si="5"/>
        <v>collected</v>
      </c>
      <c r="J664" s="16" t="str">
        <f t="shared" si="6"/>
        <v>N</v>
      </c>
      <c r="K664" s="16"/>
      <c r="L664" s="16"/>
    </row>
    <row r="665">
      <c r="A665" s="26" t="s">
        <v>1141</v>
      </c>
      <c r="B665" s="10" t="str">
        <f t="shared" si="1"/>
        <v>isotope</v>
      </c>
      <c r="C665" s="49" t="str">
        <f t="shared" si="2"/>
        <v>S17891IS1</v>
      </c>
      <c r="D665" s="6">
        <v>30.0</v>
      </c>
      <c r="E665" s="10" t="str">
        <f t="shared" si="3"/>
        <v>BIS30</v>
      </c>
      <c r="F665" s="13">
        <v>47.0</v>
      </c>
      <c r="G665" s="10" t="str">
        <f t="shared" si="4"/>
        <v>BIS30-47</v>
      </c>
      <c r="H665" s="16"/>
      <c r="I665" s="16" t="str">
        <f t="shared" si="5"/>
        <v>collected</v>
      </c>
      <c r="J665" s="16" t="str">
        <f t="shared" si="6"/>
        <v>N</v>
      </c>
      <c r="K665" s="16"/>
      <c r="L665" s="16"/>
    </row>
    <row r="666">
      <c r="A666" s="26" t="s">
        <v>1142</v>
      </c>
      <c r="B666" s="10" t="str">
        <f t="shared" si="1"/>
        <v>isotope</v>
      </c>
      <c r="C666" s="49" t="str">
        <f t="shared" si="2"/>
        <v>S17291IS1</v>
      </c>
      <c r="D666" s="6">
        <v>30.0</v>
      </c>
      <c r="E666" s="10" t="str">
        <f t="shared" si="3"/>
        <v>BIS30</v>
      </c>
      <c r="F666" s="13">
        <v>48.0</v>
      </c>
      <c r="G666" s="10" t="str">
        <f t="shared" si="4"/>
        <v>BIS30-48</v>
      </c>
      <c r="H666" s="16"/>
      <c r="I666" s="16" t="str">
        <f t="shared" si="5"/>
        <v>collected</v>
      </c>
      <c r="J666" s="16" t="str">
        <f t="shared" si="6"/>
        <v>N</v>
      </c>
      <c r="K666" s="16"/>
      <c r="L666" s="16"/>
    </row>
    <row r="667">
      <c r="A667" s="26" t="s">
        <v>1143</v>
      </c>
      <c r="B667" s="10" t="str">
        <f t="shared" si="1"/>
        <v>isotope</v>
      </c>
      <c r="C667" s="49" t="str">
        <f t="shared" si="2"/>
        <v>S16541IS1</v>
      </c>
      <c r="D667" s="6">
        <v>30.0</v>
      </c>
      <c r="E667" s="10" t="str">
        <f t="shared" si="3"/>
        <v>BIS30</v>
      </c>
      <c r="F667" s="13">
        <v>49.0</v>
      </c>
      <c r="G667" s="10" t="str">
        <f t="shared" si="4"/>
        <v>BIS30-49</v>
      </c>
      <c r="H667" s="16"/>
      <c r="I667" s="16" t="str">
        <f t="shared" si="5"/>
        <v>collected</v>
      </c>
      <c r="J667" s="16" t="str">
        <f t="shared" si="6"/>
        <v>N</v>
      </c>
      <c r="K667" s="16"/>
      <c r="L667" s="16"/>
    </row>
    <row r="668">
      <c r="A668" s="26" t="s">
        <v>1145</v>
      </c>
      <c r="B668" s="10" t="str">
        <f t="shared" si="1"/>
        <v>isotope</v>
      </c>
      <c r="C668" s="49" t="str">
        <f t="shared" si="2"/>
        <v>S16542IS1</v>
      </c>
      <c r="D668" s="6">
        <v>30.0</v>
      </c>
      <c r="E668" s="10" t="str">
        <f t="shared" si="3"/>
        <v>BIS30</v>
      </c>
      <c r="F668" s="13">
        <v>50.0</v>
      </c>
      <c r="G668" s="10" t="str">
        <f t="shared" si="4"/>
        <v>BIS30-50</v>
      </c>
      <c r="H668" s="16"/>
      <c r="I668" s="16" t="str">
        <f t="shared" si="5"/>
        <v>collected</v>
      </c>
      <c r="J668" s="16" t="str">
        <f t="shared" si="6"/>
        <v>N</v>
      </c>
      <c r="K668" s="16"/>
      <c r="L668" s="16"/>
    </row>
    <row r="669">
      <c r="A669" s="26" t="s">
        <v>1146</v>
      </c>
      <c r="B669" s="10" t="str">
        <f t="shared" si="1"/>
        <v>isotope</v>
      </c>
      <c r="C669" s="49" t="str">
        <f t="shared" si="2"/>
        <v>S16543IS1</v>
      </c>
      <c r="D669" s="6">
        <v>30.0</v>
      </c>
      <c r="E669" s="10" t="str">
        <f t="shared" si="3"/>
        <v>BIS30</v>
      </c>
      <c r="F669" s="13">
        <v>51.0</v>
      </c>
      <c r="G669" s="10" t="str">
        <f t="shared" si="4"/>
        <v>BIS30-51</v>
      </c>
      <c r="H669" s="16"/>
      <c r="I669" s="16" t="str">
        <f t="shared" si="5"/>
        <v>collected</v>
      </c>
      <c r="J669" s="16" t="str">
        <f t="shared" si="6"/>
        <v>N</v>
      </c>
      <c r="K669" s="16"/>
      <c r="L669" s="16"/>
    </row>
    <row r="670">
      <c r="A670" s="44" t="s">
        <v>1147</v>
      </c>
      <c r="B670" s="10" t="str">
        <f t="shared" si="1"/>
        <v>isotope</v>
      </c>
      <c r="C670" s="49" t="str">
        <f t="shared" si="2"/>
        <v>S17277IS1</v>
      </c>
      <c r="D670" s="6">
        <v>31.0</v>
      </c>
      <c r="E670" s="10" t="str">
        <f t="shared" si="3"/>
        <v>BIS31</v>
      </c>
      <c r="F670" s="13">
        <v>27.0</v>
      </c>
      <c r="G670" s="10" t="str">
        <f t="shared" si="4"/>
        <v>BIS31-27</v>
      </c>
      <c r="H670" s="16"/>
      <c r="I670" s="16" t="str">
        <f t="shared" si="5"/>
        <v>collected</v>
      </c>
      <c r="J670" s="16" t="str">
        <f t="shared" si="6"/>
        <v>N</v>
      </c>
      <c r="K670" s="16"/>
      <c r="L670" s="16"/>
    </row>
    <row r="671">
      <c r="A671" s="44" t="s">
        <v>1148</v>
      </c>
      <c r="B671" s="10" t="str">
        <f t="shared" si="1"/>
        <v>isotope</v>
      </c>
      <c r="C671" s="49" t="str">
        <f t="shared" si="2"/>
        <v>S17271IS1</v>
      </c>
      <c r="D671" s="6">
        <v>31.0</v>
      </c>
      <c r="E671" s="10" t="str">
        <f t="shared" si="3"/>
        <v>BIS31</v>
      </c>
      <c r="F671" s="13">
        <v>28.0</v>
      </c>
      <c r="G671" s="10" t="str">
        <f t="shared" si="4"/>
        <v>BIS31-28</v>
      </c>
      <c r="H671" s="16"/>
      <c r="I671" s="16" t="str">
        <f t="shared" si="5"/>
        <v>collected</v>
      </c>
      <c r="J671" s="16" t="str">
        <f t="shared" si="6"/>
        <v>N</v>
      </c>
      <c r="K671" s="16"/>
      <c r="L671" s="16"/>
    </row>
    <row r="672">
      <c r="A672" s="44" t="s">
        <v>1149</v>
      </c>
      <c r="B672" s="10" t="str">
        <f t="shared" si="1"/>
        <v>isotope</v>
      </c>
      <c r="C672" s="49" t="str">
        <f t="shared" si="2"/>
        <v>S17276IS1</v>
      </c>
      <c r="D672" s="6">
        <v>31.0</v>
      </c>
      <c r="E672" s="10" t="str">
        <f t="shared" si="3"/>
        <v>BIS31</v>
      </c>
      <c r="F672" s="13">
        <v>29.0</v>
      </c>
      <c r="G672" s="10" t="str">
        <f t="shared" si="4"/>
        <v>BIS31-29</v>
      </c>
      <c r="H672" s="16"/>
      <c r="I672" s="16" t="str">
        <f t="shared" si="5"/>
        <v>collected</v>
      </c>
      <c r="J672" s="16" t="str">
        <f t="shared" si="6"/>
        <v>N</v>
      </c>
      <c r="K672" s="16"/>
      <c r="L672" s="16"/>
    </row>
    <row r="673">
      <c r="A673" s="44" t="s">
        <v>1151</v>
      </c>
      <c r="B673" s="10" t="str">
        <f t="shared" si="1"/>
        <v>isotope</v>
      </c>
      <c r="C673" s="49" t="str">
        <f t="shared" si="2"/>
        <v>S17280IS1</v>
      </c>
      <c r="D673" s="6">
        <v>31.0</v>
      </c>
      <c r="E673" s="10" t="str">
        <f t="shared" si="3"/>
        <v>BIS31</v>
      </c>
      <c r="F673" s="13">
        <v>30.0</v>
      </c>
      <c r="G673" s="10" t="str">
        <f t="shared" si="4"/>
        <v>BIS31-30</v>
      </c>
      <c r="H673" s="16"/>
      <c r="I673" s="16" t="str">
        <f t="shared" si="5"/>
        <v>collected</v>
      </c>
      <c r="J673" s="16" t="str">
        <f t="shared" si="6"/>
        <v>N</v>
      </c>
      <c r="K673" s="16"/>
      <c r="L673" s="16"/>
    </row>
    <row r="674">
      <c r="A674" s="44" t="s">
        <v>1153</v>
      </c>
      <c r="B674" s="10" t="str">
        <f t="shared" si="1"/>
        <v>isotope</v>
      </c>
      <c r="C674" s="49" t="str">
        <f t="shared" si="2"/>
        <v>S17273IS1</v>
      </c>
      <c r="D674" s="6">
        <v>31.0</v>
      </c>
      <c r="E674" s="10" t="str">
        <f t="shared" si="3"/>
        <v>BIS31</v>
      </c>
      <c r="F674" s="13">
        <v>31.0</v>
      </c>
      <c r="G674" s="10" t="str">
        <f t="shared" si="4"/>
        <v>BIS31-31</v>
      </c>
      <c r="H674" s="16"/>
      <c r="I674" s="16" t="str">
        <f t="shared" si="5"/>
        <v>collected</v>
      </c>
      <c r="J674" s="16" t="str">
        <f t="shared" si="6"/>
        <v>N</v>
      </c>
      <c r="K674" s="16"/>
      <c r="L674" s="16"/>
    </row>
    <row r="675">
      <c r="A675" s="44" t="s">
        <v>1154</v>
      </c>
      <c r="B675" s="10" t="str">
        <f t="shared" si="1"/>
        <v>isotope</v>
      </c>
      <c r="C675" s="49" t="str">
        <f t="shared" si="2"/>
        <v>S17274IS1</v>
      </c>
      <c r="D675" s="6">
        <v>31.0</v>
      </c>
      <c r="E675" s="10" t="str">
        <f t="shared" si="3"/>
        <v>BIS31</v>
      </c>
      <c r="F675" s="13">
        <v>32.0</v>
      </c>
      <c r="G675" s="10" t="str">
        <f t="shared" si="4"/>
        <v>BIS31-32</v>
      </c>
      <c r="H675" s="16"/>
      <c r="I675" s="16" t="str">
        <f t="shared" si="5"/>
        <v>collected</v>
      </c>
      <c r="J675" s="16" t="str">
        <f t="shared" si="6"/>
        <v>N</v>
      </c>
      <c r="K675" s="16"/>
      <c r="L675" s="16"/>
    </row>
    <row r="676">
      <c r="A676" s="44" t="s">
        <v>1155</v>
      </c>
      <c r="B676" s="10" t="str">
        <f t="shared" si="1"/>
        <v>isotope</v>
      </c>
      <c r="C676" s="49" t="str">
        <f t="shared" si="2"/>
        <v>S17275IS1</v>
      </c>
      <c r="D676" s="6">
        <v>31.0</v>
      </c>
      <c r="E676" s="10" t="str">
        <f t="shared" si="3"/>
        <v>BIS31</v>
      </c>
      <c r="F676" s="13">
        <v>33.0</v>
      </c>
      <c r="G676" s="10" t="str">
        <f t="shared" si="4"/>
        <v>BIS31-33</v>
      </c>
      <c r="H676" s="16"/>
      <c r="I676" s="16" t="str">
        <f t="shared" si="5"/>
        <v>collected</v>
      </c>
      <c r="J676" s="16" t="str">
        <f t="shared" si="6"/>
        <v>N</v>
      </c>
      <c r="K676" s="16"/>
      <c r="L676" s="16"/>
    </row>
    <row r="677">
      <c r="A677" s="44" t="s">
        <v>1156</v>
      </c>
      <c r="B677" s="10" t="str">
        <f t="shared" si="1"/>
        <v>isotope</v>
      </c>
      <c r="C677" s="49" t="str">
        <f t="shared" si="2"/>
        <v>S17272IS1</v>
      </c>
      <c r="D677" s="6">
        <v>31.0</v>
      </c>
      <c r="E677" s="10" t="str">
        <f t="shared" si="3"/>
        <v>BIS31</v>
      </c>
      <c r="F677" s="13">
        <v>34.0</v>
      </c>
      <c r="G677" s="10" t="str">
        <f t="shared" si="4"/>
        <v>BIS31-34</v>
      </c>
      <c r="H677" s="16"/>
      <c r="I677" s="16" t="str">
        <f t="shared" si="5"/>
        <v>collected</v>
      </c>
      <c r="J677" s="16" t="str">
        <f t="shared" si="6"/>
        <v>N</v>
      </c>
      <c r="K677" s="16"/>
      <c r="L677" s="16"/>
    </row>
    <row r="678">
      <c r="A678" s="44" t="s">
        <v>1157</v>
      </c>
      <c r="B678" s="10" t="str">
        <f t="shared" si="1"/>
        <v>isotope</v>
      </c>
      <c r="C678" s="49" t="str">
        <f t="shared" si="2"/>
        <v>S17279IS1</v>
      </c>
      <c r="D678" s="6">
        <v>31.0</v>
      </c>
      <c r="E678" s="10" t="str">
        <f t="shared" si="3"/>
        <v>BIS31</v>
      </c>
      <c r="F678" s="13">
        <v>35.0</v>
      </c>
      <c r="G678" s="10" t="str">
        <f t="shared" si="4"/>
        <v>BIS31-35</v>
      </c>
      <c r="H678" s="16"/>
      <c r="I678" s="16" t="str">
        <f t="shared" si="5"/>
        <v>collected</v>
      </c>
      <c r="J678" s="16" t="str">
        <f t="shared" si="6"/>
        <v>N</v>
      </c>
      <c r="K678" s="16"/>
      <c r="L678" s="16"/>
    </row>
    <row r="679">
      <c r="A679" s="44" t="s">
        <v>1159</v>
      </c>
      <c r="B679" s="10" t="str">
        <f t="shared" si="1"/>
        <v>isotope</v>
      </c>
      <c r="C679" s="49" t="str">
        <f t="shared" si="2"/>
        <v>S17278IS1</v>
      </c>
      <c r="D679" s="6">
        <v>31.0</v>
      </c>
      <c r="E679" s="10" t="str">
        <f t="shared" si="3"/>
        <v>BIS31</v>
      </c>
      <c r="F679" s="13">
        <v>36.0</v>
      </c>
      <c r="G679" s="10" t="str">
        <f t="shared" si="4"/>
        <v>BIS31-36</v>
      </c>
      <c r="H679" s="16"/>
      <c r="I679" s="16" t="str">
        <f t="shared" si="5"/>
        <v>collected</v>
      </c>
      <c r="J679" s="16" t="str">
        <f t="shared" si="6"/>
        <v>N</v>
      </c>
      <c r="K679" s="16"/>
      <c r="L679" s="16"/>
    </row>
    <row r="680">
      <c r="A680" s="44" t="s">
        <v>83</v>
      </c>
      <c r="B680" s="10" t="str">
        <f t="shared" si="1"/>
        <v>isotope</v>
      </c>
      <c r="C680" s="49" t="str">
        <f t="shared" si="2"/>
        <v>S17041IS1</v>
      </c>
      <c r="D680" s="6">
        <v>31.0</v>
      </c>
      <c r="E680" s="10" t="str">
        <f t="shared" si="3"/>
        <v>BIS31</v>
      </c>
      <c r="F680" s="13">
        <v>37.0</v>
      </c>
      <c r="G680" s="10" t="str">
        <f t="shared" si="4"/>
        <v>BIS31-37</v>
      </c>
      <c r="H680" s="16"/>
      <c r="I680" s="16" t="str">
        <f t="shared" si="5"/>
        <v>collected</v>
      </c>
      <c r="J680" s="16" t="str">
        <f t="shared" si="6"/>
        <v>N</v>
      </c>
      <c r="K680" s="16"/>
      <c r="L680" s="16"/>
    </row>
    <row r="681">
      <c r="A681" s="44" t="s">
        <v>1161</v>
      </c>
      <c r="B681" s="10" t="str">
        <f t="shared" si="1"/>
        <v>isotope</v>
      </c>
      <c r="C681" s="49" t="str">
        <f t="shared" si="2"/>
        <v>S17072IS1</v>
      </c>
      <c r="D681" s="6">
        <v>31.0</v>
      </c>
      <c r="E681" s="10" t="str">
        <f t="shared" si="3"/>
        <v>BIS31</v>
      </c>
      <c r="F681" s="13">
        <v>38.0</v>
      </c>
      <c r="G681" s="10" t="str">
        <f t="shared" si="4"/>
        <v>BIS31-38</v>
      </c>
      <c r="H681" s="16"/>
      <c r="I681" s="16" t="str">
        <f t="shared" si="5"/>
        <v>collected</v>
      </c>
      <c r="J681" s="16" t="str">
        <f t="shared" si="6"/>
        <v>N</v>
      </c>
      <c r="K681" s="16"/>
      <c r="L681" s="16"/>
    </row>
    <row r="682">
      <c r="A682" s="44" t="s">
        <v>1162</v>
      </c>
      <c r="B682" s="10" t="str">
        <f t="shared" si="1"/>
        <v>isotope</v>
      </c>
      <c r="C682" s="49" t="str">
        <f t="shared" si="2"/>
        <v>S17071IS1</v>
      </c>
      <c r="D682" s="6">
        <v>31.0</v>
      </c>
      <c r="E682" s="10" t="str">
        <f t="shared" si="3"/>
        <v>BIS31</v>
      </c>
      <c r="F682" s="13">
        <v>39.0</v>
      </c>
      <c r="G682" s="10" t="str">
        <f t="shared" si="4"/>
        <v>BIS31-39</v>
      </c>
      <c r="H682" s="16"/>
      <c r="I682" s="16" t="str">
        <f t="shared" si="5"/>
        <v>collected</v>
      </c>
      <c r="J682" s="16" t="str">
        <f t="shared" si="6"/>
        <v>N</v>
      </c>
      <c r="K682" s="16"/>
      <c r="L682" s="16"/>
    </row>
    <row r="683">
      <c r="A683" s="44" t="s">
        <v>1164</v>
      </c>
      <c r="B683" s="10" t="str">
        <f t="shared" si="1"/>
        <v>isotope</v>
      </c>
      <c r="C683" s="49" t="str">
        <f t="shared" si="2"/>
        <v>S16123IS1</v>
      </c>
      <c r="D683" s="6">
        <v>31.0</v>
      </c>
      <c r="E683" s="10" t="str">
        <f t="shared" si="3"/>
        <v>BIS31</v>
      </c>
      <c r="F683" s="13">
        <v>40.0</v>
      </c>
      <c r="G683" s="10" t="str">
        <f t="shared" si="4"/>
        <v>BIS31-40</v>
      </c>
      <c r="H683" s="16"/>
      <c r="I683" s="16" t="str">
        <f t="shared" si="5"/>
        <v>collected</v>
      </c>
      <c r="J683" s="16" t="str">
        <f t="shared" si="6"/>
        <v>N</v>
      </c>
      <c r="K683" s="16"/>
      <c r="L683" s="16"/>
    </row>
    <row r="684">
      <c r="A684" s="44" t="s">
        <v>1165</v>
      </c>
      <c r="B684" s="10" t="str">
        <f t="shared" si="1"/>
        <v>isotope</v>
      </c>
      <c r="C684" s="49" t="str">
        <f t="shared" si="2"/>
        <v>S16122IS1</v>
      </c>
      <c r="D684" s="6">
        <v>31.0</v>
      </c>
      <c r="E684" s="10" t="str">
        <f t="shared" si="3"/>
        <v>BIS31</v>
      </c>
      <c r="F684" s="13">
        <v>41.0</v>
      </c>
      <c r="G684" s="10" t="str">
        <f t="shared" si="4"/>
        <v>BIS31-41</v>
      </c>
      <c r="H684" s="16"/>
      <c r="I684" s="16" t="str">
        <f t="shared" si="5"/>
        <v>collected</v>
      </c>
      <c r="J684" s="16" t="str">
        <f t="shared" si="6"/>
        <v>N</v>
      </c>
      <c r="K684" s="16"/>
      <c r="L684" s="16"/>
    </row>
    <row r="685">
      <c r="A685" s="44" t="s">
        <v>1166</v>
      </c>
      <c r="B685" s="10" t="str">
        <f t="shared" si="1"/>
        <v>isotope</v>
      </c>
      <c r="C685" s="49" t="str">
        <f t="shared" si="2"/>
        <v>S16121IS1</v>
      </c>
      <c r="D685" s="6">
        <v>31.0</v>
      </c>
      <c r="E685" s="10" t="str">
        <f t="shared" si="3"/>
        <v>BIS31</v>
      </c>
      <c r="F685" s="13">
        <v>42.0</v>
      </c>
      <c r="G685" s="10" t="str">
        <f t="shared" si="4"/>
        <v>BIS31-42</v>
      </c>
      <c r="H685" s="16"/>
      <c r="I685" s="16" t="str">
        <f t="shared" si="5"/>
        <v>collected</v>
      </c>
      <c r="J685" s="16" t="str">
        <f t="shared" si="6"/>
        <v>N</v>
      </c>
      <c r="K685" s="16"/>
      <c r="L685" s="16"/>
    </row>
    <row r="686">
      <c r="A686" s="44" t="s">
        <v>1167</v>
      </c>
      <c r="B686" s="10" t="str">
        <f t="shared" si="1"/>
        <v>isotope</v>
      </c>
      <c r="C686" s="49" t="str">
        <f t="shared" si="2"/>
        <v>S16453IS1</v>
      </c>
      <c r="D686" s="6">
        <v>31.0</v>
      </c>
      <c r="E686" s="10" t="str">
        <f t="shared" si="3"/>
        <v>BIS31</v>
      </c>
      <c r="F686" s="13">
        <v>43.0</v>
      </c>
      <c r="G686" s="10" t="str">
        <f t="shared" si="4"/>
        <v>BIS31-43</v>
      </c>
      <c r="H686" s="16"/>
      <c r="I686" s="16" t="str">
        <f t="shared" si="5"/>
        <v>collected</v>
      </c>
      <c r="J686" s="16" t="str">
        <f t="shared" si="6"/>
        <v>N</v>
      </c>
      <c r="K686" s="16"/>
      <c r="L686" s="16"/>
    </row>
    <row r="687">
      <c r="A687" s="46" t="s">
        <v>1168</v>
      </c>
      <c r="B687" s="10" t="str">
        <f t="shared" si="1"/>
        <v>isotope</v>
      </c>
      <c r="C687" s="49" t="str">
        <f t="shared" si="2"/>
        <v>S16454IS1</v>
      </c>
      <c r="D687" s="6">
        <v>31.0</v>
      </c>
      <c r="E687" s="10" t="str">
        <f t="shared" si="3"/>
        <v>BIS31</v>
      </c>
      <c r="F687" s="13">
        <v>44.0</v>
      </c>
      <c r="G687" s="10" t="str">
        <f t="shared" si="4"/>
        <v>BIS31-44</v>
      </c>
      <c r="H687" s="16"/>
      <c r="I687" s="16" t="str">
        <f t="shared" si="5"/>
        <v>collected</v>
      </c>
      <c r="J687" s="16" t="str">
        <f t="shared" si="6"/>
        <v>N</v>
      </c>
      <c r="K687" s="16"/>
      <c r="L687" s="16"/>
    </row>
    <row r="688">
      <c r="A688" s="40" t="s">
        <v>1171</v>
      </c>
      <c r="B688" s="10" t="str">
        <f t="shared" si="1"/>
        <v>isotope</v>
      </c>
      <c r="C688" s="49" t="str">
        <f t="shared" si="2"/>
        <v>S16451IS1</v>
      </c>
      <c r="D688" s="6">
        <v>31.0</v>
      </c>
      <c r="E688" s="10" t="str">
        <f t="shared" si="3"/>
        <v>BIS31</v>
      </c>
      <c r="F688" s="13">
        <v>45.0</v>
      </c>
      <c r="G688" s="10" t="str">
        <f t="shared" si="4"/>
        <v>BIS31-45</v>
      </c>
      <c r="H688" s="16"/>
      <c r="I688" s="16" t="str">
        <f t="shared" si="5"/>
        <v>collected</v>
      </c>
      <c r="J688" s="16" t="str">
        <f t="shared" si="6"/>
        <v>N</v>
      </c>
      <c r="K688" s="16"/>
      <c r="L688" s="16"/>
    </row>
    <row r="689">
      <c r="A689" s="40" t="s">
        <v>1173</v>
      </c>
      <c r="B689" s="10" t="str">
        <f t="shared" si="1"/>
        <v>isotope</v>
      </c>
      <c r="C689" s="49" t="str">
        <f t="shared" si="2"/>
        <v>S16452IS1</v>
      </c>
      <c r="D689" s="6">
        <v>31.0</v>
      </c>
      <c r="E689" s="10" t="str">
        <f t="shared" si="3"/>
        <v>BIS31</v>
      </c>
      <c r="F689" s="13">
        <v>46.0</v>
      </c>
      <c r="G689" s="10" t="str">
        <f t="shared" si="4"/>
        <v>BIS31-46</v>
      </c>
      <c r="H689" s="16"/>
      <c r="I689" s="16" t="str">
        <f t="shared" si="5"/>
        <v>collected</v>
      </c>
      <c r="J689" s="16" t="str">
        <f t="shared" si="6"/>
        <v>N</v>
      </c>
      <c r="K689" s="16"/>
      <c r="L689" s="16"/>
    </row>
    <row r="690">
      <c r="A690" s="40" t="s">
        <v>1174</v>
      </c>
      <c r="B690" s="10" t="str">
        <f t="shared" si="1"/>
        <v>isotope</v>
      </c>
      <c r="C690" s="49" t="str">
        <f t="shared" si="2"/>
        <v>S16581IS1</v>
      </c>
      <c r="D690" s="6">
        <v>31.0</v>
      </c>
      <c r="E690" s="10" t="str">
        <f t="shared" si="3"/>
        <v>BIS31</v>
      </c>
      <c r="F690" s="13">
        <v>47.0</v>
      </c>
      <c r="G690" s="10" t="str">
        <f t="shared" si="4"/>
        <v>BIS31-47</v>
      </c>
      <c r="H690" s="16"/>
      <c r="I690" s="16" t="str">
        <f t="shared" si="5"/>
        <v>collected</v>
      </c>
      <c r="J690" s="16" t="str">
        <f t="shared" si="6"/>
        <v>N</v>
      </c>
      <c r="K690" s="16"/>
      <c r="L690" s="16"/>
    </row>
    <row r="691">
      <c r="A691" s="40" t="s">
        <v>1175</v>
      </c>
      <c r="B691" s="10" t="str">
        <f t="shared" si="1"/>
        <v>isotope</v>
      </c>
      <c r="C691" s="49" t="str">
        <f t="shared" si="2"/>
        <v>S16585IS1</v>
      </c>
      <c r="D691" s="6">
        <v>31.0</v>
      </c>
      <c r="E691" s="10" t="str">
        <f t="shared" si="3"/>
        <v>BIS31</v>
      </c>
      <c r="F691" s="13">
        <v>48.0</v>
      </c>
      <c r="G691" s="10" t="str">
        <f t="shared" si="4"/>
        <v>BIS31-48</v>
      </c>
      <c r="H691" s="16"/>
      <c r="I691" s="16" t="str">
        <f t="shared" si="5"/>
        <v>collected</v>
      </c>
      <c r="J691" s="16" t="str">
        <f t="shared" si="6"/>
        <v>N</v>
      </c>
      <c r="K691" s="16"/>
      <c r="L691" s="16"/>
    </row>
    <row r="692">
      <c r="A692" s="40" t="s">
        <v>1176</v>
      </c>
      <c r="B692" s="10" t="str">
        <f t="shared" si="1"/>
        <v>isotope</v>
      </c>
      <c r="C692" s="49" t="str">
        <f t="shared" si="2"/>
        <v>S16584IS1</v>
      </c>
      <c r="D692" s="6">
        <v>31.0</v>
      </c>
      <c r="E692" s="10" t="str">
        <f t="shared" si="3"/>
        <v>BIS31</v>
      </c>
      <c r="F692" s="13">
        <v>49.0</v>
      </c>
      <c r="G692" s="10" t="str">
        <f t="shared" si="4"/>
        <v>BIS31-49</v>
      </c>
      <c r="H692" s="16"/>
      <c r="I692" s="16" t="str">
        <f t="shared" si="5"/>
        <v>collected</v>
      </c>
      <c r="J692" s="16" t="str">
        <f t="shared" si="6"/>
        <v>N</v>
      </c>
      <c r="K692" s="16"/>
      <c r="L692" s="16"/>
    </row>
    <row r="693">
      <c r="A693" s="40" t="s">
        <v>97</v>
      </c>
      <c r="B693" s="10" t="str">
        <f t="shared" si="1"/>
        <v>isotope</v>
      </c>
      <c r="C693" s="49" t="str">
        <f t="shared" si="2"/>
        <v>S16583IS1</v>
      </c>
      <c r="D693" s="6">
        <v>31.0</v>
      </c>
      <c r="E693" s="10" t="str">
        <f t="shared" si="3"/>
        <v>BIS31</v>
      </c>
      <c r="F693" s="13">
        <v>50.0</v>
      </c>
      <c r="G693" s="10" t="str">
        <f t="shared" si="4"/>
        <v>BIS31-50</v>
      </c>
      <c r="H693" s="16"/>
      <c r="I693" s="16" t="str">
        <f t="shared" si="5"/>
        <v>collected</v>
      </c>
      <c r="J693" s="16" t="str">
        <f t="shared" si="6"/>
        <v>N</v>
      </c>
      <c r="K693" s="16"/>
      <c r="L693" s="16"/>
    </row>
    <row r="694">
      <c r="A694" s="40" t="s">
        <v>107</v>
      </c>
      <c r="B694" s="10" t="str">
        <f t="shared" si="1"/>
        <v>isotope</v>
      </c>
      <c r="C694" s="49" t="str">
        <f t="shared" si="2"/>
        <v>S16582IS1</v>
      </c>
      <c r="D694" s="6">
        <v>31.0</v>
      </c>
      <c r="E694" s="10" t="str">
        <f t="shared" si="3"/>
        <v>BIS31</v>
      </c>
      <c r="F694" s="13">
        <v>51.0</v>
      </c>
      <c r="G694" s="10" t="str">
        <f t="shared" si="4"/>
        <v>BIS31-51</v>
      </c>
      <c r="H694" s="16"/>
      <c r="I694" s="16" t="str">
        <f t="shared" si="5"/>
        <v>collected</v>
      </c>
      <c r="J694" s="16" t="str">
        <f t="shared" si="6"/>
        <v>N</v>
      </c>
      <c r="K694" s="16"/>
      <c r="L694" s="16"/>
    </row>
    <row r="695">
      <c r="A695" s="40" t="s">
        <v>115</v>
      </c>
      <c r="B695" s="10" t="str">
        <f t="shared" si="1"/>
        <v>isotope</v>
      </c>
      <c r="C695" s="49" t="str">
        <f t="shared" si="2"/>
        <v>S16901IS1</v>
      </c>
      <c r="D695" s="6">
        <v>31.0</v>
      </c>
      <c r="E695" s="10" t="str">
        <f t="shared" si="3"/>
        <v>BIS31</v>
      </c>
      <c r="F695" s="13">
        <v>52.0</v>
      </c>
      <c r="G695" s="10" t="str">
        <f t="shared" si="4"/>
        <v>BIS31-52</v>
      </c>
      <c r="H695" s="16"/>
      <c r="I695" s="16" t="str">
        <f t="shared" si="5"/>
        <v>collected</v>
      </c>
      <c r="J695" s="16" t="str">
        <f t="shared" si="6"/>
        <v>N</v>
      </c>
      <c r="K695" s="16"/>
      <c r="L695" s="16"/>
    </row>
    <row r="696">
      <c r="A696" s="40" t="s">
        <v>122</v>
      </c>
      <c r="B696" s="10" t="str">
        <f t="shared" si="1"/>
        <v>isotope</v>
      </c>
      <c r="C696" s="49" t="str">
        <f t="shared" si="2"/>
        <v>S17871IS1</v>
      </c>
      <c r="D696" s="6">
        <v>31.0</v>
      </c>
      <c r="E696" s="10" t="str">
        <f t="shared" si="3"/>
        <v>BIS31</v>
      </c>
      <c r="F696" s="13">
        <v>53.0</v>
      </c>
      <c r="G696" s="10" t="str">
        <f t="shared" si="4"/>
        <v>BIS31-53</v>
      </c>
      <c r="H696" s="16"/>
      <c r="I696" s="16" t="str">
        <f t="shared" si="5"/>
        <v>collected</v>
      </c>
      <c r="J696" s="16" t="str">
        <f t="shared" si="6"/>
        <v>N</v>
      </c>
      <c r="K696" s="16"/>
      <c r="L696" s="16"/>
    </row>
    <row r="697">
      <c r="A697" s="40" t="s">
        <v>132</v>
      </c>
      <c r="B697" s="10" t="str">
        <f t="shared" si="1"/>
        <v>isotope</v>
      </c>
      <c r="C697" s="49" t="str">
        <f t="shared" si="2"/>
        <v>S17661IS1</v>
      </c>
      <c r="D697" s="6">
        <v>31.0</v>
      </c>
      <c r="E697" s="10" t="str">
        <f t="shared" si="3"/>
        <v>BIS31</v>
      </c>
      <c r="F697" s="13">
        <v>54.0</v>
      </c>
      <c r="G697" s="10" t="str">
        <f t="shared" si="4"/>
        <v>BIS31-54</v>
      </c>
      <c r="H697" s="16"/>
      <c r="I697" s="16" t="str">
        <f t="shared" si="5"/>
        <v>collected</v>
      </c>
      <c r="J697" s="16" t="str">
        <f t="shared" si="6"/>
        <v>N</v>
      </c>
      <c r="K697" s="16"/>
      <c r="L697" s="16"/>
    </row>
    <row r="698">
      <c r="A698" s="40" t="s">
        <v>140</v>
      </c>
      <c r="B698" s="10" t="str">
        <f t="shared" si="1"/>
        <v>isotope</v>
      </c>
      <c r="C698" s="49" t="str">
        <f t="shared" si="2"/>
        <v>S17125IS1</v>
      </c>
      <c r="D698" s="6">
        <v>31.0</v>
      </c>
      <c r="E698" s="10" t="str">
        <f t="shared" si="3"/>
        <v>BIS31</v>
      </c>
      <c r="F698" s="13">
        <v>55.0</v>
      </c>
      <c r="G698" s="10" t="str">
        <f t="shared" si="4"/>
        <v>BIS31-55</v>
      </c>
      <c r="H698" s="16"/>
      <c r="I698" s="16" t="str">
        <f t="shared" si="5"/>
        <v>collected</v>
      </c>
      <c r="J698" s="16" t="str">
        <f t="shared" si="6"/>
        <v>N</v>
      </c>
      <c r="K698" s="16"/>
      <c r="L698" s="16"/>
    </row>
    <row r="699">
      <c r="A699" s="40" t="s">
        <v>147</v>
      </c>
      <c r="B699" s="10" t="str">
        <f t="shared" si="1"/>
        <v>isotope</v>
      </c>
      <c r="C699" s="49" t="str">
        <f t="shared" si="2"/>
        <v>S17123IS1</v>
      </c>
      <c r="D699" s="6">
        <v>31.0</v>
      </c>
      <c r="E699" s="10" t="str">
        <f t="shared" si="3"/>
        <v>BIS31</v>
      </c>
      <c r="F699" s="13">
        <v>56.0</v>
      </c>
      <c r="G699" s="10" t="str">
        <f t="shared" si="4"/>
        <v>BIS31-56</v>
      </c>
      <c r="H699" s="16"/>
      <c r="I699" s="16" t="str">
        <f t="shared" si="5"/>
        <v>collected</v>
      </c>
      <c r="J699" s="16" t="str">
        <f t="shared" si="6"/>
        <v>N</v>
      </c>
      <c r="K699" s="16"/>
      <c r="L699" s="16"/>
    </row>
    <row r="700">
      <c r="A700" s="40" t="s">
        <v>157</v>
      </c>
      <c r="B700" s="10" t="str">
        <f t="shared" si="1"/>
        <v>isotope</v>
      </c>
      <c r="C700" s="49" t="str">
        <f t="shared" si="2"/>
        <v>S17122IS1</v>
      </c>
      <c r="D700" s="6">
        <v>31.0</v>
      </c>
      <c r="E700" s="10" t="str">
        <f t="shared" si="3"/>
        <v>BIS31</v>
      </c>
      <c r="F700" s="13">
        <v>57.0</v>
      </c>
      <c r="G700" s="10" t="str">
        <f t="shared" si="4"/>
        <v>BIS31-57</v>
      </c>
      <c r="H700" s="16"/>
      <c r="I700" s="16" t="str">
        <f t="shared" si="5"/>
        <v>collected</v>
      </c>
      <c r="J700" s="16" t="str">
        <f t="shared" si="6"/>
        <v>N</v>
      </c>
      <c r="K700" s="16"/>
      <c r="L700" s="16"/>
    </row>
    <row r="701">
      <c r="A701" s="40" t="s">
        <v>165</v>
      </c>
      <c r="B701" s="10" t="str">
        <f t="shared" si="1"/>
        <v>isotope</v>
      </c>
      <c r="C701" s="49" t="str">
        <f t="shared" si="2"/>
        <v>S17124IS1</v>
      </c>
      <c r="D701" s="6">
        <v>31.0</v>
      </c>
      <c r="E701" s="10" t="str">
        <f t="shared" si="3"/>
        <v>BIS31</v>
      </c>
      <c r="F701" s="13">
        <v>58.0</v>
      </c>
      <c r="G701" s="10" t="str">
        <f t="shared" si="4"/>
        <v>BIS31-58</v>
      </c>
      <c r="H701" s="6"/>
      <c r="I701" s="16" t="str">
        <f t="shared" si="5"/>
        <v>collected</v>
      </c>
      <c r="J701" s="16" t="str">
        <f t="shared" si="6"/>
        <v>N</v>
      </c>
      <c r="K701" s="6"/>
      <c r="L701" s="6"/>
    </row>
    <row r="702">
      <c r="A702" s="6" t="s">
        <v>170</v>
      </c>
      <c r="B702" s="10" t="str">
        <f t="shared" si="1"/>
        <v>isotope</v>
      </c>
      <c r="C702" s="49" t="str">
        <f t="shared" si="2"/>
        <v>S16544IS1</v>
      </c>
      <c r="D702" s="6">
        <v>30.0</v>
      </c>
      <c r="E702" s="10" t="str">
        <f t="shared" si="3"/>
        <v>BIS30</v>
      </c>
      <c r="F702" s="13">
        <v>52.0</v>
      </c>
      <c r="G702" s="10" t="str">
        <f t="shared" si="4"/>
        <v>BIS30-52</v>
      </c>
      <c r="H702" s="16"/>
      <c r="I702" s="16" t="str">
        <f t="shared" si="5"/>
        <v>collected</v>
      </c>
      <c r="J702" s="16" t="str">
        <f t="shared" si="6"/>
        <v>N</v>
      </c>
      <c r="K702" s="16"/>
      <c r="L702" s="16"/>
    </row>
    <row r="703">
      <c r="A703" s="6" t="s">
        <v>178</v>
      </c>
      <c r="B703" s="10" t="str">
        <f t="shared" si="1"/>
        <v>isotope</v>
      </c>
      <c r="C703" s="49" t="str">
        <f t="shared" si="2"/>
        <v>S16545IS1</v>
      </c>
      <c r="D703" s="6">
        <v>30.0</v>
      </c>
      <c r="E703" s="10" t="str">
        <f t="shared" si="3"/>
        <v>BIS30</v>
      </c>
      <c r="F703" s="13">
        <v>53.0</v>
      </c>
      <c r="G703" s="10" t="str">
        <f t="shared" si="4"/>
        <v>BIS30-53</v>
      </c>
      <c r="H703" s="16"/>
      <c r="I703" s="16" t="str">
        <f t="shared" si="5"/>
        <v>collected</v>
      </c>
      <c r="J703" s="16" t="str">
        <f t="shared" si="6"/>
        <v>N</v>
      </c>
      <c r="K703" s="16"/>
      <c r="L703" s="16"/>
    </row>
    <row r="704">
      <c r="A704" s="6" t="s">
        <v>1183</v>
      </c>
      <c r="B704" s="10" t="str">
        <f t="shared" si="1"/>
        <v>isotope</v>
      </c>
      <c r="C704" s="49" t="str">
        <f t="shared" si="2"/>
        <v>S16546IS1</v>
      </c>
      <c r="D704" s="6">
        <v>30.0</v>
      </c>
      <c r="E704" s="10" t="str">
        <f t="shared" si="3"/>
        <v>BIS30</v>
      </c>
      <c r="F704" s="13">
        <v>54.0</v>
      </c>
      <c r="G704" s="10" t="str">
        <f t="shared" si="4"/>
        <v>BIS30-54</v>
      </c>
      <c r="H704" s="16"/>
      <c r="I704" s="16" t="str">
        <f t="shared" si="5"/>
        <v>collected</v>
      </c>
      <c r="J704" s="16" t="str">
        <f t="shared" si="6"/>
        <v>N</v>
      </c>
      <c r="K704" s="16"/>
      <c r="L704" s="16"/>
    </row>
    <row r="705">
      <c r="A705" s="6" t="s">
        <v>186</v>
      </c>
      <c r="B705" s="10" t="str">
        <f t="shared" si="1"/>
        <v>isotope</v>
      </c>
      <c r="C705" s="49" t="str">
        <f t="shared" si="2"/>
        <v>S16547IS1</v>
      </c>
      <c r="D705" s="6">
        <v>30.0</v>
      </c>
      <c r="E705" s="10" t="str">
        <f t="shared" si="3"/>
        <v>BIS30</v>
      </c>
      <c r="F705" s="13">
        <v>55.0</v>
      </c>
      <c r="G705" s="10" t="str">
        <f t="shared" si="4"/>
        <v>BIS30-55</v>
      </c>
      <c r="H705" s="16"/>
      <c r="I705" s="16" t="str">
        <f t="shared" si="5"/>
        <v>collected</v>
      </c>
      <c r="J705" s="16" t="str">
        <f t="shared" si="6"/>
        <v>N</v>
      </c>
      <c r="K705" s="16"/>
      <c r="L705" s="16"/>
    </row>
    <row r="706">
      <c r="A706" s="6" t="s">
        <v>192</v>
      </c>
      <c r="B706" s="10" t="str">
        <f t="shared" si="1"/>
        <v>isotope</v>
      </c>
      <c r="C706" s="49" t="str">
        <f t="shared" si="2"/>
        <v>S16548IS1</v>
      </c>
      <c r="D706" s="6">
        <v>30.0</v>
      </c>
      <c r="E706" s="10" t="str">
        <f t="shared" si="3"/>
        <v>BIS30</v>
      </c>
      <c r="F706" s="13">
        <v>56.0</v>
      </c>
      <c r="G706" s="10" t="str">
        <f t="shared" si="4"/>
        <v>BIS30-56</v>
      </c>
      <c r="H706" s="16"/>
      <c r="I706" s="16" t="str">
        <f t="shared" si="5"/>
        <v>collected</v>
      </c>
      <c r="J706" s="16" t="str">
        <f t="shared" si="6"/>
        <v>N</v>
      </c>
      <c r="K706" s="16"/>
      <c r="L706" s="16"/>
    </row>
    <row r="707">
      <c r="A707" s="6" t="s">
        <v>200</v>
      </c>
      <c r="B707" s="10" t="str">
        <f t="shared" si="1"/>
        <v>isotope</v>
      </c>
      <c r="C707" s="49" t="str">
        <f t="shared" si="2"/>
        <v>S16549IS1</v>
      </c>
      <c r="D707" s="6">
        <v>30.0</v>
      </c>
      <c r="E707" s="10" t="str">
        <f t="shared" si="3"/>
        <v>BIS30</v>
      </c>
      <c r="F707" s="13">
        <v>57.0</v>
      </c>
      <c r="G707" s="10" t="str">
        <f t="shared" si="4"/>
        <v>BIS30-57</v>
      </c>
      <c r="H707" s="16"/>
      <c r="I707" s="16" t="str">
        <f t="shared" si="5"/>
        <v>collected</v>
      </c>
      <c r="J707" s="16" t="str">
        <f t="shared" si="6"/>
        <v>N</v>
      </c>
      <c r="K707" s="16"/>
      <c r="L707" s="16"/>
    </row>
    <row r="708">
      <c r="A708" s="26" t="s">
        <v>208</v>
      </c>
      <c r="B708" s="10" t="str">
        <f t="shared" si="1"/>
        <v>isotope</v>
      </c>
      <c r="C708" s="49" t="str">
        <f t="shared" si="2"/>
        <v>S16550IS1</v>
      </c>
      <c r="D708" s="6">
        <v>30.0</v>
      </c>
      <c r="E708" s="10" t="str">
        <f t="shared" si="3"/>
        <v>BIS30</v>
      </c>
      <c r="F708" s="13">
        <v>58.0</v>
      </c>
      <c r="G708" s="10" t="str">
        <f t="shared" si="4"/>
        <v>BIS30-58</v>
      </c>
      <c r="H708" s="16"/>
      <c r="I708" s="16" t="str">
        <f t="shared" si="5"/>
        <v>collected</v>
      </c>
      <c r="J708" s="16" t="str">
        <f t="shared" si="6"/>
        <v>N</v>
      </c>
      <c r="K708" s="16"/>
      <c r="L708" s="16"/>
    </row>
    <row r="709">
      <c r="A709" s="26" t="s">
        <v>216</v>
      </c>
      <c r="B709" s="10" t="str">
        <f t="shared" si="1"/>
        <v>isotope</v>
      </c>
      <c r="C709" s="49" t="str">
        <f t="shared" si="2"/>
        <v>S16621IS1</v>
      </c>
      <c r="D709" s="6">
        <v>30.0</v>
      </c>
      <c r="E709" s="10" t="str">
        <f t="shared" si="3"/>
        <v>BIS30</v>
      </c>
      <c r="F709" s="13">
        <v>59.0</v>
      </c>
      <c r="G709" s="10" t="str">
        <f t="shared" si="4"/>
        <v>BIS30-59</v>
      </c>
      <c r="H709" s="16"/>
      <c r="I709" s="16" t="str">
        <f t="shared" si="5"/>
        <v>collected</v>
      </c>
      <c r="J709" s="16" t="str">
        <f t="shared" si="6"/>
        <v>N</v>
      </c>
      <c r="K709" s="16"/>
      <c r="L709" s="16"/>
    </row>
    <row r="710">
      <c r="A710" s="26" t="s">
        <v>224</v>
      </c>
      <c r="B710" s="10" t="str">
        <f t="shared" si="1"/>
        <v>isotope</v>
      </c>
      <c r="C710" s="49" t="str">
        <f t="shared" si="2"/>
        <v>S16622IS1</v>
      </c>
      <c r="D710" s="6">
        <v>30.0</v>
      </c>
      <c r="E710" s="10" t="str">
        <f t="shared" si="3"/>
        <v>BIS30</v>
      </c>
      <c r="F710" s="13">
        <v>60.0</v>
      </c>
      <c r="G710" s="10" t="str">
        <f t="shared" si="4"/>
        <v>BIS30-60</v>
      </c>
      <c r="H710" s="16"/>
      <c r="I710" s="16" t="str">
        <f t="shared" si="5"/>
        <v>collected</v>
      </c>
      <c r="J710" s="16" t="str">
        <f t="shared" si="6"/>
        <v>N</v>
      </c>
      <c r="K710" s="16"/>
      <c r="L710" s="16"/>
    </row>
    <row r="711">
      <c r="A711" s="26" t="s">
        <v>1188</v>
      </c>
      <c r="B711" s="10" t="str">
        <f t="shared" si="1"/>
        <v>isotope</v>
      </c>
      <c r="C711" s="49" t="str">
        <f t="shared" si="2"/>
        <v>S16623IS1</v>
      </c>
      <c r="D711" s="6">
        <v>30.0</v>
      </c>
      <c r="E711" s="10" t="str">
        <f t="shared" si="3"/>
        <v>BIS30</v>
      </c>
      <c r="F711" s="13">
        <v>61.0</v>
      </c>
      <c r="G711" s="10" t="str">
        <f t="shared" si="4"/>
        <v>BIS30-61</v>
      </c>
      <c r="H711" s="16"/>
      <c r="I711" s="16" t="str">
        <f t="shared" si="5"/>
        <v>collected</v>
      </c>
      <c r="J711" s="16" t="str">
        <f t="shared" si="6"/>
        <v>N</v>
      </c>
      <c r="K711" s="16"/>
      <c r="L711" s="16"/>
    </row>
    <row r="712">
      <c r="A712" s="26" t="s">
        <v>1189</v>
      </c>
      <c r="B712" s="10" t="str">
        <f t="shared" si="1"/>
        <v>isotope</v>
      </c>
      <c r="C712" s="49" t="str">
        <f t="shared" si="2"/>
        <v>S16624IS1</v>
      </c>
      <c r="D712" s="6">
        <v>30.0</v>
      </c>
      <c r="E712" s="10" t="str">
        <f t="shared" si="3"/>
        <v>BIS30</v>
      </c>
      <c r="F712" s="13">
        <v>62.0</v>
      </c>
      <c r="G712" s="10" t="str">
        <f t="shared" si="4"/>
        <v>BIS30-62</v>
      </c>
      <c r="H712" s="16"/>
      <c r="I712" s="16" t="str">
        <f t="shared" si="5"/>
        <v>collected</v>
      </c>
      <c r="J712" s="16" t="str">
        <f t="shared" si="6"/>
        <v>N</v>
      </c>
      <c r="K712" s="16"/>
      <c r="L712" s="16"/>
    </row>
    <row r="713">
      <c r="A713" s="26" t="s">
        <v>231</v>
      </c>
      <c r="B713" s="10" t="str">
        <f t="shared" si="1"/>
        <v>isotope</v>
      </c>
      <c r="C713" s="49" t="str">
        <f t="shared" si="2"/>
        <v>S16625IS1</v>
      </c>
      <c r="D713" s="6">
        <v>30.0</v>
      </c>
      <c r="E713" s="10" t="str">
        <f t="shared" si="3"/>
        <v>BIS30</v>
      </c>
      <c r="F713" s="13">
        <v>63.0</v>
      </c>
      <c r="G713" s="10" t="str">
        <f t="shared" si="4"/>
        <v>BIS30-63</v>
      </c>
      <c r="H713" s="16"/>
      <c r="I713" s="16" t="str">
        <f t="shared" si="5"/>
        <v>collected</v>
      </c>
      <c r="J713" s="16" t="str">
        <f t="shared" si="6"/>
        <v>N</v>
      </c>
      <c r="K713" s="16"/>
      <c r="L713" s="16"/>
    </row>
    <row r="714">
      <c r="A714" s="26" t="s">
        <v>236</v>
      </c>
      <c r="B714" s="10" t="str">
        <f t="shared" si="1"/>
        <v>isotope</v>
      </c>
      <c r="C714" s="49" t="str">
        <f t="shared" si="2"/>
        <v>S16626IS1</v>
      </c>
      <c r="D714" s="6">
        <v>30.0</v>
      </c>
      <c r="E714" s="10" t="str">
        <f t="shared" si="3"/>
        <v>BIS30</v>
      </c>
      <c r="F714" s="13">
        <v>64.0</v>
      </c>
      <c r="G714" s="10" t="str">
        <f t="shared" si="4"/>
        <v>BIS30-64</v>
      </c>
      <c r="H714" s="16"/>
      <c r="I714" s="16" t="str">
        <f t="shared" si="5"/>
        <v>collected</v>
      </c>
      <c r="J714" s="16" t="str">
        <f t="shared" si="6"/>
        <v>N</v>
      </c>
      <c r="K714" s="16"/>
      <c r="L714" s="16"/>
    </row>
    <row r="715">
      <c r="A715" s="26" t="s">
        <v>243</v>
      </c>
      <c r="B715" s="10" t="str">
        <f t="shared" si="1"/>
        <v>isotope</v>
      </c>
      <c r="C715" s="49" t="str">
        <f t="shared" si="2"/>
        <v>S16911IS1</v>
      </c>
      <c r="D715" s="6">
        <v>30.0</v>
      </c>
      <c r="E715" s="10" t="str">
        <f t="shared" si="3"/>
        <v>BIS30</v>
      </c>
      <c r="F715" s="13">
        <v>65.0</v>
      </c>
      <c r="G715" s="10" t="str">
        <f t="shared" si="4"/>
        <v>BIS30-65</v>
      </c>
      <c r="H715" s="16"/>
      <c r="I715" s="16" t="str">
        <f t="shared" si="5"/>
        <v>collected</v>
      </c>
      <c r="J715" s="16" t="str">
        <f t="shared" si="6"/>
        <v>N</v>
      </c>
      <c r="K715" s="16"/>
      <c r="L715" s="16"/>
    </row>
    <row r="716">
      <c r="A716" s="26" t="s">
        <v>251</v>
      </c>
      <c r="B716" s="10" t="str">
        <f t="shared" si="1"/>
        <v>isotope</v>
      </c>
      <c r="C716" s="49" t="str">
        <f t="shared" si="2"/>
        <v>S16912IS1</v>
      </c>
      <c r="D716" s="6">
        <v>30.0</v>
      </c>
      <c r="E716" s="10" t="str">
        <f t="shared" si="3"/>
        <v>BIS30</v>
      </c>
      <c r="F716" s="13">
        <v>66.0</v>
      </c>
      <c r="G716" s="10" t="str">
        <f t="shared" si="4"/>
        <v>BIS30-66</v>
      </c>
      <c r="H716" s="16"/>
      <c r="I716" s="16" t="str">
        <f t="shared" si="5"/>
        <v>collected</v>
      </c>
      <c r="J716" s="16" t="str">
        <f t="shared" si="6"/>
        <v>N</v>
      </c>
      <c r="K716" s="16"/>
      <c r="L716" s="16"/>
    </row>
    <row r="717">
      <c r="A717" s="26" t="s">
        <v>259</v>
      </c>
      <c r="B717" s="10" t="str">
        <f t="shared" si="1"/>
        <v>isotope</v>
      </c>
      <c r="C717" s="49" t="str">
        <f t="shared" si="2"/>
        <v>S16913IS1</v>
      </c>
      <c r="D717" s="6">
        <v>30.0</v>
      </c>
      <c r="E717" s="10" t="str">
        <f t="shared" si="3"/>
        <v>BIS30</v>
      </c>
      <c r="F717" s="13">
        <v>67.0</v>
      </c>
      <c r="G717" s="10" t="str">
        <f t="shared" si="4"/>
        <v>BIS30-67</v>
      </c>
      <c r="H717" s="16"/>
      <c r="I717" s="16" t="str">
        <f t="shared" si="5"/>
        <v>collected</v>
      </c>
      <c r="J717" s="16" t="str">
        <f t="shared" si="6"/>
        <v>N</v>
      </c>
      <c r="K717" s="16"/>
      <c r="L717" s="16"/>
    </row>
    <row r="718">
      <c r="A718" s="26" t="s">
        <v>265</v>
      </c>
      <c r="B718" s="10" t="str">
        <f t="shared" si="1"/>
        <v>isotope</v>
      </c>
      <c r="C718" s="49" t="str">
        <f t="shared" si="2"/>
        <v>S16914IS1</v>
      </c>
      <c r="D718" s="6">
        <v>30.0</v>
      </c>
      <c r="E718" s="10" t="str">
        <f t="shared" si="3"/>
        <v>BIS30</v>
      </c>
      <c r="F718" s="13">
        <v>68.0</v>
      </c>
      <c r="G718" s="10" t="str">
        <f t="shared" si="4"/>
        <v>BIS30-68</v>
      </c>
      <c r="H718" s="16"/>
      <c r="I718" s="16" t="str">
        <f t="shared" si="5"/>
        <v>collected</v>
      </c>
      <c r="J718" s="16" t="str">
        <f t="shared" si="6"/>
        <v>N</v>
      </c>
      <c r="K718" s="16"/>
      <c r="L718" s="16"/>
    </row>
    <row r="719">
      <c r="A719" s="26" t="s">
        <v>275</v>
      </c>
      <c r="B719" s="10" t="str">
        <f t="shared" si="1"/>
        <v>isotope</v>
      </c>
      <c r="C719" s="49" t="str">
        <f t="shared" si="2"/>
        <v>S16915IS1</v>
      </c>
      <c r="D719" s="6">
        <v>30.0</v>
      </c>
      <c r="E719" s="10" t="str">
        <f t="shared" si="3"/>
        <v>BIS30</v>
      </c>
      <c r="F719" s="13">
        <v>69.0</v>
      </c>
      <c r="G719" s="10" t="str">
        <f t="shared" si="4"/>
        <v>BIS30-69</v>
      </c>
      <c r="H719" s="16"/>
      <c r="I719" s="16" t="str">
        <f t="shared" si="5"/>
        <v>collected</v>
      </c>
      <c r="J719" s="16" t="str">
        <f t="shared" si="6"/>
        <v>N</v>
      </c>
      <c r="K719" s="16"/>
      <c r="L719" s="16"/>
    </row>
    <row r="720">
      <c r="A720" s="26" t="s">
        <v>283</v>
      </c>
      <c r="B720" s="10" t="str">
        <f t="shared" si="1"/>
        <v>isotope</v>
      </c>
      <c r="C720" s="49" t="str">
        <f t="shared" si="2"/>
        <v>S16916IS1</v>
      </c>
      <c r="D720" s="6">
        <v>30.0</v>
      </c>
      <c r="E720" s="10" t="str">
        <f t="shared" si="3"/>
        <v>BIS30</v>
      </c>
      <c r="F720" s="13">
        <v>70.0</v>
      </c>
      <c r="G720" s="10" t="str">
        <f t="shared" si="4"/>
        <v>BIS30-70</v>
      </c>
      <c r="H720" s="16"/>
      <c r="I720" s="16" t="str">
        <f t="shared" si="5"/>
        <v>collected</v>
      </c>
      <c r="J720" s="16" t="str">
        <f t="shared" si="6"/>
        <v>N</v>
      </c>
      <c r="K720" s="16"/>
      <c r="L720" s="16"/>
    </row>
    <row r="721">
      <c r="A721" s="26" t="s">
        <v>290</v>
      </c>
      <c r="B721" s="10" t="str">
        <f t="shared" si="1"/>
        <v>isotope</v>
      </c>
      <c r="C721" s="49" t="str">
        <f t="shared" si="2"/>
        <v>S16917IS1</v>
      </c>
      <c r="D721" s="6">
        <v>30.0</v>
      </c>
      <c r="E721" s="10" t="str">
        <f t="shared" si="3"/>
        <v>BIS30</v>
      </c>
      <c r="F721" s="13">
        <v>71.0</v>
      </c>
      <c r="G721" s="10" t="str">
        <f t="shared" si="4"/>
        <v>BIS30-71</v>
      </c>
      <c r="H721" s="16"/>
      <c r="I721" s="16" t="str">
        <f t="shared" si="5"/>
        <v>collected</v>
      </c>
      <c r="J721" s="16" t="str">
        <f t="shared" si="6"/>
        <v>N</v>
      </c>
      <c r="K721" s="16"/>
      <c r="L721" s="16"/>
    </row>
    <row r="722">
      <c r="A722" s="26" t="s">
        <v>299</v>
      </c>
      <c r="B722" s="10" t="str">
        <f t="shared" si="1"/>
        <v>isotope</v>
      </c>
      <c r="C722" s="49" t="str">
        <f t="shared" si="2"/>
        <v>S16918IS1</v>
      </c>
      <c r="D722" s="6">
        <v>30.0</v>
      </c>
      <c r="E722" s="10" t="str">
        <f t="shared" si="3"/>
        <v>BIS30</v>
      </c>
      <c r="F722" s="13">
        <v>72.0</v>
      </c>
      <c r="G722" s="10" t="str">
        <f t="shared" si="4"/>
        <v>BIS30-72</v>
      </c>
      <c r="H722" s="16"/>
      <c r="I722" s="16" t="str">
        <f t="shared" si="5"/>
        <v>collected</v>
      </c>
      <c r="J722" s="16" t="str">
        <f t="shared" si="6"/>
        <v>N</v>
      </c>
      <c r="K722" s="16"/>
      <c r="L722" s="16"/>
    </row>
    <row r="723">
      <c r="A723" s="26" t="s">
        <v>306</v>
      </c>
      <c r="B723" s="10" t="str">
        <f t="shared" si="1"/>
        <v>isotope</v>
      </c>
      <c r="C723" s="49" t="str">
        <f t="shared" si="2"/>
        <v>S16919IS1</v>
      </c>
      <c r="D723" s="6">
        <v>30.0</v>
      </c>
      <c r="E723" s="10" t="str">
        <f t="shared" si="3"/>
        <v>BIS30</v>
      </c>
      <c r="F723" s="13">
        <v>73.0</v>
      </c>
      <c r="G723" s="10" t="str">
        <f t="shared" si="4"/>
        <v>BIS30-73</v>
      </c>
      <c r="H723" s="16"/>
      <c r="I723" s="16" t="str">
        <f t="shared" si="5"/>
        <v>collected</v>
      </c>
      <c r="J723" s="16" t="str">
        <f t="shared" si="6"/>
        <v>N</v>
      </c>
      <c r="K723" s="16"/>
      <c r="L723" s="16"/>
    </row>
    <row r="724">
      <c r="A724" s="26" t="s">
        <v>313</v>
      </c>
      <c r="B724" s="10" t="str">
        <f t="shared" si="1"/>
        <v>isotope</v>
      </c>
      <c r="C724" s="49" t="str">
        <f t="shared" si="2"/>
        <v>S16920IS1</v>
      </c>
      <c r="D724" s="6">
        <v>30.0</v>
      </c>
      <c r="E724" s="10" t="str">
        <f t="shared" si="3"/>
        <v>BIS30</v>
      </c>
      <c r="F724" s="13">
        <v>74.0</v>
      </c>
      <c r="G724" s="10" t="str">
        <f t="shared" si="4"/>
        <v>BIS30-74</v>
      </c>
      <c r="H724" s="16"/>
      <c r="I724" s="16" t="str">
        <f t="shared" si="5"/>
        <v>collected</v>
      </c>
      <c r="J724" s="16" t="str">
        <f t="shared" si="6"/>
        <v>N</v>
      </c>
      <c r="K724" s="16"/>
      <c r="L724" s="16"/>
    </row>
    <row r="725">
      <c r="A725" s="26" t="s">
        <v>320</v>
      </c>
      <c r="B725" s="10" t="str">
        <f t="shared" si="1"/>
        <v>isotope</v>
      </c>
      <c r="C725" s="49" t="str">
        <f t="shared" si="2"/>
        <v>S17441IS1</v>
      </c>
      <c r="D725" s="6">
        <v>30.0</v>
      </c>
      <c r="E725" s="10" t="str">
        <f t="shared" si="3"/>
        <v>BIS30</v>
      </c>
      <c r="F725" s="13">
        <v>75.0</v>
      </c>
      <c r="G725" s="10" t="str">
        <f t="shared" si="4"/>
        <v>BIS30-75</v>
      </c>
      <c r="H725" s="16"/>
      <c r="I725" s="16" t="str">
        <f t="shared" si="5"/>
        <v>collected</v>
      </c>
      <c r="J725" s="16" t="str">
        <f t="shared" si="6"/>
        <v>N</v>
      </c>
      <c r="K725" s="16"/>
      <c r="L725" s="16"/>
    </row>
    <row r="726">
      <c r="A726" s="26" t="s">
        <v>325</v>
      </c>
      <c r="B726" s="10" t="str">
        <f t="shared" si="1"/>
        <v>isotope</v>
      </c>
      <c r="C726" s="49" t="str">
        <f t="shared" si="2"/>
        <v>S17442IS1</v>
      </c>
      <c r="D726" s="6">
        <v>30.0</v>
      </c>
      <c r="E726" s="10" t="str">
        <f t="shared" si="3"/>
        <v>BIS30</v>
      </c>
      <c r="F726" s="13">
        <v>76.0</v>
      </c>
      <c r="G726" s="10" t="str">
        <f t="shared" si="4"/>
        <v>BIS30-76</v>
      </c>
      <c r="H726" s="16"/>
      <c r="I726" s="16" t="str">
        <f t="shared" si="5"/>
        <v>collected</v>
      </c>
      <c r="J726" s="16" t="str">
        <f t="shared" si="6"/>
        <v>N</v>
      </c>
      <c r="K726" s="16"/>
      <c r="L726" s="16"/>
    </row>
    <row r="727">
      <c r="A727" s="26" t="s">
        <v>331</v>
      </c>
      <c r="B727" s="10" t="str">
        <f t="shared" si="1"/>
        <v>isotope</v>
      </c>
      <c r="C727" s="49" t="str">
        <f t="shared" si="2"/>
        <v>S17443IS1</v>
      </c>
      <c r="D727" s="6">
        <v>30.0</v>
      </c>
      <c r="E727" s="10" t="str">
        <f t="shared" si="3"/>
        <v>BIS30</v>
      </c>
      <c r="F727" s="13">
        <v>77.0</v>
      </c>
      <c r="G727" s="10" t="str">
        <f t="shared" si="4"/>
        <v>BIS30-77</v>
      </c>
      <c r="H727" s="16"/>
      <c r="I727" s="16" t="str">
        <f t="shared" si="5"/>
        <v>collected</v>
      </c>
      <c r="J727" s="16" t="str">
        <f t="shared" si="6"/>
        <v>N</v>
      </c>
      <c r="K727" s="16"/>
      <c r="L727" s="16"/>
    </row>
    <row r="728">
      <c r="A728" s="6" t="s">
        <v>337</v>
      </c>
      <c r="B728" s="10" t="str">
        <f t="shared" si="1"/>
        <v>isotope</v>
      </c>
      <c r="C728" s="49" t="str">
        <f t="shared" si="2"/>
        <v>S17444IS1</v>
      </c>
      <c r="D728" s="6">
        <v>30.0</v>
      </c>
      <c r="E728" s="10" t="str">
        <f t="shared" si="3"/>
        <v>BIS30</v>
      </c>
      <c r="F728" s="13">
        <v>78.0</v>
      </c>
      <c r="G728" s="10" t="str">
        <f t="shared" si="4"/>
        <v>BIS30-78</v>
      </c>
      <c r="H728" s="16"/>
      <c r="I728" s="16" t="str">
        <f t="shared" si="5"/>
        <v>collected</v>
      </c>
      <c r="J728" s="16" t="str">
        <f t="shared" si="6"/>
        <v>N</v>
      </c>
      <c r="K728" s="16"/>
      <c r="L728" s="16"/>
    </row>
    <row r="729">
      <c r="A729" s="6" t="s">
        <v>343</v>
      </c>
      <c r="B729" s="10" t="str">
        <f t="shared" si="1"/>
        <v>isotope</v>
      </c>
      <c r="C729" s="49" t="str">
        <f t="shared" si="2"/>
        <v>S17445IS1</v>
      </c>
      <c r="D729" s="6">
        <v>30.0</v>
      </c>
      <c r="E729" s="10" t="str">
        <f t="shared" si="3"/>
        <v>BIS30</v>
      </c>
      <c r="F729" s="13">
        <v>79.0</v>
      </c>
      <c r="G729" s="10" t="str">
        <f t="shared" si="4"/>
        <v>BIS30-79</v>
      </c>
      <c r="H729" s="16"/>
      <c r="I729" s="16" t="str">
        <f t="shared" si="5"/>
        <v>collected</v>
      </c>
      <c r="J729" s="16" t="str">
        <f t="shared" si="6"/>
        <v>N</v>
      </c>
      <c r="K729" s="16"/>
      <c r="L729" s="16"/>
    </row>
    <row r="730">
      <c r="A730" s="6" t="s">
        <v>350</v>
      </c>
      <c r="B730" s="10" t="str">
        <f t="shared" si="1"/>
        <v>isotope</v>
      </c>
      <c r="C730" s="49" t="str">
        <f t="shared" si="2"/>
        <v>S17446IS1</v>
      </c>
      <c r="D730" s="6">
        <v>30.0</v>
      </c>
      <c r="E730" s="10" t="str">
        <f t="shared" si="3"/>
        <v>BIS30</v>
      </c>
      <c r="F730" s="13">
        <v>80.0</v>
      </c>
      <c r="G730" s="10" t="str">
        <f t="shared" si="4"/>
        <v>BIS30-80</v>
      </c>
      <c r="H730" s="16"/>
      <c r="I730" s="16" t="str">
        <f t="shared" si="5"/>
        <v>collected</v>
      </c>
      <c r="J730" s="16" t="str">
        <f t="shared" si="6"/>
        <v>N</v>
      </c>
      <c r="K730" s="16"/>
      <c r="L730" s="16"/>
    </row>
    <row r="731">
      <c r="A731" s="6" t="s">
        <v>357</v>
      </c>
      <c r="B731" s="10" t="str">
        <f t="shared" si="1"/>
        <v>isotope</v>
      </c>
      <c r="C731" s="49" t="str">
        <f t="shared" si="2"/>
        <v>S17447IS1</v>
      </c>
      <c r="D731" s="6">
        <v>32.0</v>
      </c>
      <c r="E731" s="10" t="str">
        <f t="shared" si="3"/>
        <v>BIS32</v>
      </c>
      <c r="F731" s="13">
        <v>1.0</v>
      </c>
      <c r="G731" s="10" t="str">
        <f t="shared" si="4"/>
        <v>BIS32-1</v>
      </c>
      <c r="H731" s="16"/>
      <c r="I731" s="16" t="str">
        <f t="shared" si="5"/>
        <v>collected</v>
      </c>
      <c r="J731" s="16" t="str">
        <f t="shared" si="6"/>
        <v>N</v>
      </c>
      <c r="K731" s="16"/>
      <c r="L731" s="16"/>
    </row>
    <row r="732">
      <c r="A732" s="43" t="s">
        <v>364</v>
      </c>
      <c r="B732" s="10" t="str">
        <f t="shared" si="1"/>
        <v>isotope</v>
      </c>
      <c r="C732" s="49" t="str">
        <f t="shared" si="2"/>
        <v>S17121IS1</v>
      </c>
      <c r="D732" s="6">
        <v>31.0</v>
      </c>
      <c r="E732" s="10" t="str">
        <f t="shared" si="3"/>
        <v>BIS31</v>
      </c>
      <c r="F732" s="13">
        <v>59.0</v>
      </c>
      <c r="G732" s="10" t="str">
        <f t="shared" si="4"/>
        <v>BIS31-59</v>
      </c>
      <c r="H732" s="16"/>
      <c r="I732" s="16" t="str">
        <f t="shared" si="5"/>
        <v>collected</v>
      </c>
      <c r="J732" s="16" t="str">
        <f t="shared" si="6"/>
        <v>N</v>
      </c>
      <c r="K732" s="16"/>
      <c r="L732" s="16"/>
    </row>
    <row r="733">
      <c r="A733" s="43" t="s">
        <v>372</v>
      </c>
      <c r="B733" s="10" t="str">
        <f t="shared" si="1"/>
        <v>isotope</v>
      </c>
      <c r="C733" s="49" t="str">
        <f t="shared" si="2"/>
        <v>S17126IS1</v>
      </c>
      <c r="D733" s="6">
        <v>31.0</v>
      </c>
      <c r="E733" s="10" t="str">
        <f t="shared" si="3"/>
        <v>BIS31</v>
      </c>
      <c r="F733" s="13">
        <v>60.0</v>
      </c>
      <c r="G733" s="10" t="str">
        <f t="shared" si="4"/>
        <v>BIS31-60</v>
      </c>
      <c r="H733" s="16"/>
      <c r="I733" s="16" t="str">
        <f t="shared" si="5"/>
        <v>collected</v>
      </c>
      <c r="J733" s="16" t="str">
        <f t="shared" si="6"/>
        <v>N</v>
      </c>
      <c r="K733" s="16"/>
      <c r="L733" s="16"/>
    </row>
    <row r="734">
      <c r="A734" s="43" t="s">
        <v>379</v>
      </c>
      <c r="B734" s="10" t="str">
        <f t="shared" si="1"/>
        <v>isotope</v>
      </c>
      <c r="C734" s="49" t="str">
        <f t="shared" si="2"/>
        <v>S16832IS1</v>
      </c>
      <c r="D734" s="6">
        <v>31.0</v>
      </c>
      <c r="E734" s="10" t="str">
        <f t="shared" si="3"/>
        <v>BIS31</v>
      </c>
      <c r="F734" s="13">
        <v>61.0</v>
      </c>
      <c r="G734" s="10" t="str">
        <f t="shared" si="4"/>
        <v>BIS31-61</v>
      </c>
      <c r="H734" s="16"/>
      <c r="I734" s="16" t="str">
        <f t="shared" si="5"/>
        <v>collected</v>
      </c>
      <c r="J734" s="16" t="str">
        <f t="shared" si="6"/>
        <v>N</v>
      </c>
      <c r="K734" s="16"/>
      <c r="L734" s="16"/>
    </row>
    <row r="735">
      <c r="A735" s="43" t="s">
        <v>385</v>
      </c>
      <c r="B735" s="10" t="str">
        <f t="shared" si="1"/>
        <v>isotope</v>
      </c>
      <c r="C735" s="49" t="str">
        <f t="shared" si="2"/>
        <v>S16835IS1</v>
      </c>
      <c r="D735" s="6">
        <v>31.0</v>
      </c>
      <c r="E735" s="10" t="str">
        <f t="shared" si="3"/>
        <v>BIS31</v>
      </c>
      <c r="F735" s="13">
        <v>62.0</v>
      </c>
      <c r="G735" s="10" t="str">
        <f t="shared" si="4"/>
        <v>BIS31-62</v>
      </c>
      <c r="H735" s="16"/>
      <c r="I735" s="16" t="str">
        <f t="shared" si="5"/>
        <v>collected</v>
      </c>
      <c r="J735" s="16" t="str">
        <f t="shared" si="6"/>
        <v>N</v>
      </c>
      <c r="K735" s="16"/>
      <c r="L735" s="16"/>
    </row>
    <row r="736">
      <c r="A736" s="43" t="s">
        <v>390</v>
      </c>
      <c r="B736" s="10" t="str">
        <f t="shared" si="1"/>
        <v>isotope</v>
      </c>
      <c r="C736" s="49" t="str">
        <f t="shared" si="2"/>
        <v>S16837IS1</v>
      </c>
      <c r="D736" s="6">
        <v>31.0</v>
      </c>
      <c r="E736" s="10" t="str">
        <f t="shared" si="3"/>
        <v>BIS31</v>
      </c>
      <c r="F736" s="13">
        <v>63.0</v>
      </c>
      <c r="G736" s="10" t="str">
        <f t="shared" si="4"/>
        <v>BIS31-63</v>
      </c>
      <c r="H736" s="6"/>
      <c r="I736" s="16" t="str">
        <f t="shared" si="5"/>
        <v>collected</v>
      </c>
      <c r="J736" s="16" t="str">
        <f t="shared" si="6"/>
        <v>N</v>
      </c>
      <c r="K736" s="6"/>
      <c r="L736" s="16"/>
    </row>
    <row r="737">
      <c r="A737" s="43" t="s">
        <v>399</v>
      </c>
      <c r="B737" s="10" t="str">
        <f t="shared" si="1"/>
        <v>isotope</v>
      </c>
      <c r="C737" s="49" t="str">
        <f t="shared" si="2"/>
        <v>S16838IS1</v>
      </c>
      <c r="D737" s="6">
        <v>31.0</v>
      </c>
      <c r="E737" s="10" t="str">
        <f t="shared" si="3"/>
        <v>BIS31</v>
      </c>
      <c r="F737" s="13">
        <v>64.0</v>
      </c>
      <c r="G737" s="10" t="str">
        <f t="shared" si="4"/>
        <v>BIS31-64</v>
      </c>
      <c r="H737" s="16"/>
      <c r="I737" s="16" t="str">
        <f t="shared" si="5"/>
        <v>collected</v>
      </c>
      <c r="J737" s="16" t="str">
        <f t="shared" si="6"/>
        <v>N</v>
      </c>
      <c r="K737" s="16"/>
      <c r="L737" s="16"/>
    </row>
    <row r="738">
      <c r="A738" s="44" t="s">
        <v>406</v>
      </c>
      <c r="B738" s="10" t="str">
        <f t="shared" si="1"/>
        <v>isotope</v>
      </c>
      <c r="C738" s="49" t="str">
        <f t="shared" si="2"/>
        <v>S16836IS1</v>
      </c>
      <c r="D738" s="6">
        <v>31.0</v>
      </c>
      <c r="E738" s="10" t="str">
        <f t="shared" si="3"/>
        <v>BIS31</v>
      </c>
      <c r="F738" s="13">
        <v>65.0</v>
      </c>
      <c r="G738" s="10" t="str">
        <f t="shared" si="4"/>
        <v>BIS31-65</v>
      </c>
      <c r="H738" s="16"/>
      <c r="I738" s="16" t="str">
        <f t="shared" si="5"/>
        <v>collected</v>
      </c>
      <c r="J738" s="16" t="str">
        <f t="shared" si="6"/>
        <v>N</v>
      </c>
      <c r="K738" s="16"/>
      <c r="L738" s="16"/>
    </row>
    <row r="739">
      <c r="A739" s="44" t="s">
        <v>416</v>
      </c>
      <c r="B739" s="10" t="str">
        <f t="shared" si="1"/>
        <v>isotope</v>
      </c>
      <c r="C739" s="49" t="str">
        <f t="shared" si="2"/>
        <v>S16839IS1</v>
      </c>
      <c r="D739" s="6">
        <v>31.0</v>
      </c>
      <c r="E739" s="10" t="str">
        <f t="shared" si="3"/>
        <v>BIS31</v>
      </c>
      <c r="F739" s="13">
        <v>66.0</v>
      </c>
      <c r="G739" s="10" t="str">
        <f t="shared" si="4"/>
        <v>BIS31-66</v>
      </c>
      <c r="H739" s="16"/>
      <c r="I739" s="16" t="str">
        <f t="shared" si="5"/>
        <v>collected</v>
      </c>
      <c r="J739" s="16" t="str">
        <f t="shared" si="6"/>
        <v>N</v>
      </c>
      <c r="K739" s="16"/>
      <c r="L739" s="16"/>
    </row>
    <row r="740">
      <c r="A740" s="44" t="s">
        <v>426</v>
      </c>
      <c r="B740" s="10" t="str">
        <f t="shared" si="1"/>
        <v>isotope</v>
      </c>
      <c r="C740" s="49" t="str">
        <f t="shared" si="2"/>
        <v>S16840IS1</v>
      </c>
      <c r="D740" s="6">
        <v>31.0</v>
      </c>
      <c r="E740" s="10" t="str">
        <f t="shared" si="3"/>
        <v>BIS31</v>
      </c>
      <c r="F740" s="13">
        <v>67.0</v>
      </c>
      <c r="G740" s="10" t="str">
        <f t="shared" si="4"/>
        <v>BIS31-67</v>
      </c>
      <c r="H740" s="16"/>
      <c r="I740" s="16" t="str">
        <f t="shared" si="5"/>
        <v>collected</v>
      </c>
      <c r="J740" s="16" t="str">
        <f t="shared" si="6"/>
        <v>N</v>
      </c>
      <c r="K740" s="16"/>
      <c r="L740" s="16"/>
    </row>
    <row r="741">
      <c r="A741" s="44" t="s">
        <v>434</v>
      </c>
      <c r="B741" s="10" t="str">
        <f t="shared" si="1"/>
        <v>isotope</v>
      </c>
      <c r="C741" s="49" t="str">
        <f t="shared" si="2"/>
        <v>S16833IS1</v>
      </c>
      <c r="D741" s="6">
        <v>31.0</v>
      </c>
      <c r="E741" s="10" t="str">
        <f t="shared" si="3"/>
        <v>BIS31</v>
      </c>
      <c r="F741" s="13">
        <v>68.0</v>
      </c>
      <c r="G741" s="10" t="str">
        <f t="shared" si="4"/>
        <v>BIS31-68</v>
      </c>
      <c r="H741" s="16"/>
      <c r="I741" s="16" t="str">
        <f t="shared" si="5"/>
        <v>collected</v>
      </c>
      <c r="J741" s="16" t="str">
        <f t="shared" si="6"/>
        <v>N</v>
      </c>
      <c r="K741" s="16"/>
      <c r="L741" s="16"/>
    </row>
    <row r="742">
      <c r="A742" s="44" t="s">
        <v>442</v>
      </c>
      <c r="B742" s="10" t="str">
        <f t="shared" si="1"/>
        <v>isotope</v>
      </c>
      <c r="C742" s="49" t="str">
        <f t="shared" si="2"/>
        <v>S16834IS1</v>
      </c>
      <c r="D742" s="6">
        <v>31.0</v>
      </c>
      <c r="E742" s="10" t="str">
        <f t="shared" si="3"/>
        <v>BIS31</v>
      </c>
      <c r="F742" s="13">
        <v>69.0</v>
      </c>
      <c r="G742" s="10" t="str">
        <f t="shared" si="4"/>
        <v>BIS31-69</v>
      </c>
      <c r="H742" s="16"/>
      <c r="I742" s="16" t="str">
        <f t="shared" si="5"/>
        <v>collected</v>
      </c>
      <c r="J742" s="16" t="str">
        <f t="shared" si="6"/>
        <v>N</v>
      </c>
      <c r="K742" s="16"/>
      <c r="L742" s="16"/>
    </row>
    <row r="743">
      <c r="A743" s="44" t="s">
        <v>450</v>
      </c>
      <c r="B743" s="10" t="str">
        <f t="shared" si="1"/>
        <v>isotope</v>
      </c>
      <c r="C743" s="49" t="str">
        <f t="shared" si="2"/>
        <v>S16831IS1</v>
      </c>
      <c r="D743" s="6">
        <v>31.0</v>
      </c>
      <c r="E743" s="10" t="str">
        <f t="shared" si="3"/>
        <v>BIS31</v>
      </c>
      <c r="F743" s="13">
        <v>70.0</v>
      </c>
      <c r="G743" s="10" t="str">
        <f t="shared" si="4"/>
        <v>BIS31-70</v>
      </c>
      <c r="H743" s="16"/>
      <c r="I743" s="16" t="str">
        <f t="shared" si="5"/>
        <v>collected</v>
      </c>
      <c r="J743" s="16" t="str">
        <f t="shared" si="6"/>
        <v>N</v>
      </c>
      <c r="K743" s="16"/>
      <c r="L743" s="16"/>
    </row>
    <row r="744">
      <c r="A744" s="44" t="s">
        <v>458</v>
      </c>
      <c r="B744" s="10" t="str">
        <f t="shared" si="1"/>
        <v>isotope</v>
      </c>
      <c r="C744" s="49" t="str">
        <f t="shared" si="2"/>
        <v>S16948IS1</v>
      </c>
      <c r="D744" s="6">
        <v>31.0</v>
      </c>
      <c r="E744" s="10" t="str">
        <f t="shared" si="3"/>
        <v>BIS31</v>
      </c>
      <c r="F744" s="13">
        <v>71.0</v>
      </c>
      <c r="G744" s="10" t="str">
        <f t="shared" si="4"/>
        <v>BIS31-71</v>
      </c>
      <c r="H744" s="16"/>
      <c r="I744" s="16" t="str">
        <f t="shared" si="5"/>
        <v>collected</v>
      </c>
      <c r="J744" s="16" t="str">
        <f t="shared" si="6"/>
        <v>N</v>
      </c>
      <c r="K744" s="16"/>
      <c r="L744" s="16"/>
    </row>
    <row r="745">
      <c r="A745" s="44" t="s">
        <v>465</v>
      </c>
      <c r="B745" s="10" t="str">
        <f t="shared" si="1"/>
        <v>isotope</v>
      </c>
      <c r="C745" s="49" t="str">
        <f t="shared" si="2"/>
        <v>S16942IS1</v>
      </c>
      <c r="D745" s="6">
        <v>31.0</v>
      </c>
      <c r="E745" s="10" t="str">
        <f t="shared" si="3"/>
        <v>BIS31</v>
      </c>
      <c r="F745" s="13">
        <v>72.0</v>
      </c>
      <c r="G745" s="10" t="str">
        <f t="shared" si="4"/>
        <v>BIS31-72</v>
      </c>
      <c r="H745" s="16"/>
      <c r="I745" s="16" t="str">
        <f t="shared" si="5"/>
        <v>collected</v>
      </c>
      <c r="J745" s="16" t="str">
        <f t="shared" si="6"/>
        <v>N</v>
      </c>
      <c r="K745" s="16"/>
      <c r="L745" s="16"/>
    </row>
    <row r="746">
      <c r="A746" s="44" t="s">
        <v>472</v>
      </c>
      <c r="B746" s="10" t="str">
        <f t="shared" si="1"/>
        <v>isotope</v>
      </c>
      <c r="C746" s="49" t="str">
        <f t="shared" si="2"/>
        <v>S16950IS1</v>
      </c>
      <c r="D746" s="6">
        <v>31.0</v>
      </c>
      <c r="E746" s="10" t="str">
        <f t="shared" si="3"/>
        <v>BIS31</v>
      </c>
      <c r="F746" s="13">
        <v>73.0</v>
      </c>
      <c r="G746" s="10" t="str">
        <f t="shared" si="4"/>
        <v>BIS31-73</v>
      </c>
      <c r="H746" s="16"/>
      <c r="I746" s="16" t="str">
        <f t="shared" si="5"/>
        <v>collected</v>
      </c>
      <c r="J746" s="16" t="str">
        <f t="shared" si="6"/>
        <v>N</v>
      </c>
      <c r="K746" s="16"/>
      <c r="L746" s="16"/>
    </row>
    <row r="747">
      <c r="A747" s="44" t="s">
        <v>479</v>
      </c>
      <c r="B747" s="10" t="str">
        <f t="shared" si="1"/>
        <v>isotope</v>
      </c>
      <c r="C747" s="49" t="str">
        <f t="shared" si="2"/>
        <v>S16944IS1</v>
      </c>
      <c r="D747" s="6">
        <v>31.0</v>
      </c>
      <c r="E747" s="10" t="str">
        <f t="shared" si="3"/>
        <v>BIS31</v>
      </c>
      <c r="F747" s="13">
        <v>74.0</v>
      </c>
      <c r="G747" s="10" t="str">
        <f t="shared" si="4"/>
        <v>BIS31-74</v>
      </c>
      <c r="H747" s="16"/>
      <c r="I747" s="16" t="str">
        <f t="shared" si="5"/>
        <v>collected</v>
      </c>
      <c r="J747" s="16" t="str">
        <f t="shared" si="6"/>
        <v>N</v>
      </c>
      <c r="K747" s="16"/>
      <c r="L747" s="16"/>
    </row>
    <row r="748">
      <c r="A748" s="44" t="s">
        <v>486</v>
      </c>
      <c r="B748" s="10" t="str">
        <f t="shared" si="1"/>
        <v>isotope</v>
      </c>
      <c r="C748" s="49" t="str">
        <f t="shared" si="2"/>
        <v>S16945IS1</v>
      </c>
      <c r="D748" s="6">
        <v>31.0</v>
      </c>
      <c r="E748" s="10" t="str">
        <f t="shared" si="3"/>
        <v>BIS31</v>
      </c>
      <c r="F748" s="13">
        <v>75.0</v>
      </c>
      <c r="G748" s="10" t="str">
        <f t="shared" si="4"/>
        <v>BIS31-75</v>
      </c>
      <c r="H748" s="16"/>
      <c r="I748" s="16" t="str">
        <f t="shared" si="5"/>
        <v>collected</v>
      </c>
      <c r="J748" s="16" t="str">
        <f t="shared" si="6"/>
        <v>N</v>
      </c>
      <c r="K748" s="16"/>
      <c r="L748" s="16"/>
    </row>
    <row r="749">
      <c r="A749" s="44" t="s">
        <v>494</v>
      </c>
      <c r="B749" s="10" t="str">
        <f t="shared" si="1"/>
        <v>isotope</v>
      </c>
      <c r="C749" s="49" t="str">
        <f t="shared" si="2"/>
        <v>S16947IS1</v>
      </c>
      <c r="D749" s="6">
        <v>31.0</v>
      </c>
      <c r="E749" s="10" t="str">
        <f t="shared" si="3"/>
        <v>BIS31</v>
      </c>
      <c r="F749" s="13">
        <v>76.0</v>
      </c>
      <c r="G749" s="10" t="str">
        <f t="shared" si="4"/>
        <v>BIS31-76</v>
      </c>
      <c r="H749" s="16"/>
      <c r="I749" s="16" t="str">
        <f t="shared" si="5"/>
        <v>collected</v>
      </c>
      <c r="J749" s="16" t="str">
        <f t="shared" si="6"/>
        <v>N</v>
      </c>
      <c r="K749" s="16"/>
      <c r="L749" s="16"/>
    </row>
    <row r="750">
      <c r="A750" s="44" t="s">
        <v>502</v>
      </c>
      <c r="B750" s="10" t="str">
        <f t="shared" si="1"/>
        <v>isotope</v>
      </c>
      <c r="C750" s="49" t="str">
        <f t="shared" si="2"/>
        <v>S16946IS1</v>
      </c>
      <c r="D750" s="6">
        <v>31.0</v>
      </c>
      <c r="E750" s="10" t="str">
        <f t="shared" si="3"/>
        <v>BIS31</v>
      </c>
      <c r="F750" s="13">
        <v>77.0</v>
      </c>
      <c r="G750" s="10" t="str">
        <f t="shared" si="4"/>
        <v>BIS31-77</v>
      </c>
      <c r="H750" s="16"/>
      <c r="I750" s="16" t="str">
        <f t="shared" si="5"/>
        <v>collected</v>
      </c>
      <c r="J750" s="16" t="str">
        <f t="shared" si="6"/>
        <v>N</v>
      </c>
      <c r="K750" s="16"/>
      <c r="L750" s="16"/>
    </row>
    <row r="751">
      <c r="A751" s="44" t="s">
        <v>508</v>
      </c>
      <c r="B751" s="10" t="str">
        <f t="shared" si="1"/>
        <v>isotope</v>
      </c>
      <c r="C751" s="49" t="str">
        <f t="shared" si="2"/>
        <v>S16949IS1</v>
      </c>
      <c r="D751" s="6">
        <v>31.0</v>
      </c>
      <c r="E751" s="10" t="str">
        <f t="shared" si="3"/>
        <v>BIS31</v>
      </c>
      <c r="F751" s="13">
        <v>78.0</v>
      </c>
      <c r="G751" s="10" t="str">
        <f t="shared" si="4"/>
        <v>BIS31-78</v>
      </c>
      <c r="H751" s="16"/>
      <c r="I751" s="16" t="str">
        <f t="shared" si="5"/>
        <v>collected</v>
      </c>
      <c r="J751" s="16" t="str">
        <f t="shared" si="6"/>
        <v>N</v>
      </c>
      <c r="K751" s="16"/>
      <c r="L751" s="16"/>
    </row>
    <row r="752">
      <c r="A752" s="44" t="s">
        <v>517</v>
      </c>
      <c r="B752" s="10" t="str">
        <f t="shared" si="1"/>
        <v>isotope</v>
      </c>
      <c r="C752" s="49" t="str">
        <f t="shared" si="2"/>
        <v>S16943IS1</v>
      </c>
      <c r="D752" s="6">
        <v>31.0</v>
      </c>
      <c r="E752" s="10" t="str">
        <f t="shared" si="3"/>
        <v>BIS31</v>
      </c>
      <c r="F752" s="13">
        <v>79.0</v>
      </c>
      <c r="G752" s="10" t="str">
        <f t="shared" si="4"/>
        <v>BIS31-79</v>
      </c>
      <c r="I752" s="16" t="str">
        <f t="shared" si="5"/>
        <v>collected</v>
      </c>
      <c r="J752" s="16" t="str">
        <f t="shared" si="6"/>
        <v>N</v>
      </c>
      <c r="K752" s="16"/>
      <c r="L752" s="16"/>
    </row>
    <row r="753">
      <c r="A753" s="44" t="s">
        <v>525</v>
      </c>
      <c r="B753" s="10" t="str">
        <f t="shared" si="1"/>
        <v>isotope</v>
      </c>
      <c r="C753" s="49" t="str">
        <f t="shared" si="2"/>
        <v>S16941IS1</v>
      </c>
      <c r="D753" s="6">
        <v>31.0</v>
      </c>
      <c r="E753" s="10" t="str">
        <f t="shared" si="3"/>
        <v>BIS31</v>
      </c>
      <c r="F753" s="13">
        <v>80.0</v>
      </c>
      <c r="G753" s="10" t="str">
        <f t="shared" si="4"/>
        <v>BIS31-80</v>
      </c>
      <c r="I753" s="16" t="str">
        <f t="shared" si="5"/>
        <v>collected</v>
      </c>
      <c r="J753" s="16" t="str">
        <f t="shared" si="6"/>
        <v>N</v>
      </c>
      <c r="K753" s="16"/>
      <c r="L753" s="16"/>
    </row>
    <row r="754">
      <c r="A754" s="26" t="s">
        <v>533</v>
      </c>
      <c r="B754" s="10" t="str">
        <f t="shared" si="1"/>
        <v>isotope</v>
      </c>
      <c r="C754" s="49" t="str">
        <f t="shared" si="2"/>
        <v>S17448IS1</v>
      </c>
      <c r="D754" s="6">
        <v>32.0</v>
      </c>
      <c r="E754" s="10" t="str">
        <f t="shared" si="3"/>
        <v>BIS32</v>
      </c>
      <c r="F754" s="13">
        <v>2.0</v>
      </c>
      <c r="G754" s="10" t="str">
        <f t="shared" si="4"/>
        <v>BIS32-2</v>
      </c>
      <c r="I754" s="16" t="str">
        <f t="shared" si="5"/>
        <v>collected</v>
      </c>
      <c r="J754" s="16" t="str">
        <f t="shared" si="6"/>
        <v>N</v>
      </c>
      <c r="K754" s="16"/>
      <c r="L754" s="16"/>
    </row>
    <row r="755">
      <c r="A755" s="26" t="s">
        <v>542</v>
      </c>
      <c r="B755" s="10" t="str">
        <f t="shared" si="1"/>
        <v>isotope</v>
      </c>
      <c r="C755" s="49" t="str">
        <f t="shared" si="2"/>
        <v>S17449IS1</v>
      </c>
      <c r="D755" s="6">
        <v>32.0</v>
      </c>
      <c r="E755" s="10" t="str">
        <f t="shared" si="3"/>
        <v>BIS32</v>
      </c>
      <c r="F755" s="13">
        <v>3.0</v>
      </c>
      <c r="G755" s="10" t="str">
        <f t="shared" si="4"/>
        <v>BIS32-3</v>
      </c>
      <c r="I755" s="16" t="str">
        <f t="shared" si="5"/>
        <v>collected</v>
      </c>
      <c r="J755" s="16" t="str">
        <f t="shared" si="6"/>
        <v>N</v>
      </c>
      <c r="K755" s="16"/>
      <c r="L755" s="16"/>
    </row>
    <row r="756">
      <c r="A756" s="26" t="s">
        <v>551</v>
      </c>
      <c r="B756" s="10" t="str">
        <f t="shared" si="1"/>
        <v>isotope</v>
      </c>
      <c r="C756" s="49" t="str">
        <f t="shared" si="2"/>
        <v>S17450IS1</v>
      </c>
      <c r="D756" s="6">
        <v>32.0</v>
      </c>
      <c r="E756" s="10" t="str">
        <f t="shared" si="3"/>
        <v>BIS32</v>
      </c>
      <c r="F756" s="13">
        <v>4.0</v>
      </c>
      <c r="G756" s="10" t="str">
        <f t="shared" si="4"/>
        <v>BIS32-4</v>
      </c>
      <c r="I756" s="16" t="str">
        <f t="shared" si="5"/>
        <v>collected</v>
      </c>
      <c r="J756" s="16" t="str">
        <f t="shared" si="6"/>
        <v>N</v>
      </c>
      <c r="K756" s="16"/>
      <c r="L756" s="16"/>
    </row>
    <row r="757">
      <c r="A757" s="26" t="s">
        <v>557</v>
      </c>
      <c r="B757" s="10" t="str">
        <f t="shared" si="1"/>
        <v>isotope</v>
      </c>
      <c r="C757" s="49" t="str">
        <f t="shared" si="2"/>
        <v>S16821IS1</v>
      </c>
      <c r="D757" s="6">
        <v>32.0</v>
      </c>
      <c r="E757" s="10" t="str">
        <f t="shared" si="3"/>
        <v>BIS32</v>
      </c>
      <c r="F757" s="13">
        <v>5.0</v>
      </c>
      <c r="G757" s="10" t="str">
        <f t="shared" si="4"/>
        <v>BIS32-5</v>
      </c>
      <c r="I757" s="16" t="str">
        <f t="shared" si="5"/>
        <v>collected</v>
      </c>
      <c r="J757" s="16" t="str">
        <f t="shared" si="6"/>
        <v>N</v>
      </c>
      <c r="K757" s="16"/>
      <c r="L757" s="16"/>
    </row>
    <row r="758">
      <c r="A758" s="26" t="s">
        <v>565</v>
      </c>
      <c r="B758" s="10" t="str">
        <f t="shared" si="1"/>
        <v>isotope</v>
      </c>
      <c r="C758" s="49" t="str">
        <f t="shared" si="2"/>
        <v>S16822IS1</v>
      </c>
      <c r="D758" s="6">
        <v>32.0</v>
      </c>
      <c r="E758" s="10" t="str">
        <f t="shared" si="3"/>
        <v>BIS32</v>
      </c>
      <c r="F758" s="13">
        <v>6.0</v>
      </c>
      <c r="G758" s="10" t="str">
        <f t="shared" si="4"/>
        <v>BIS32-6</v>
      </c>
      <c r="I758" s="16" t="str">
        <f t="shared" si="5"/>
        <v>collected</v>
      </c>
      <c r="J758" s="16" t="str">
        <f t="shared" si="6"/>
        <v>N</v>
      </c>
      <c r="K758" s="16"/>
      <c r="L758" s="16"/>
    </row>
    <row r="759">
      <c r="A759" s="26" t="s">
        <v>573</v>
      </c>
      <c r="B759" s="10" t="str">
        <f t="shared" si="1"/>
        <v>isotope</v>
      </c>
      <c r="C759" s="49" t="str">
        <f t="shared" si="2"/>
        <v>S16823IS1</v>
      </c>
      <c r="D759" s="6">
        <v>32.0</v>
      </c>
      <c r="E759" s="10" t="str">
        <f t="shared" si="3"/>
        <v>BIS32</v>
      </c>
      <c r="F759" s="13">
        <v>7.0</v>
      </c>
      <c r="G759" s="10" t="str">
        <f t="shared" si="4"/>
        <v>BIS32-7</v>
      </c>
      <c r="I759" s="16" t="str">
        <f t="shared" si="5"/>
        <v>collected</v>
      </c>
      <c r="J759" s="16" t="str">
        <f t="shared" si="6"/>
        <v>N</v>
      </c>
      <c r="K759" s="16"/>
      <c r="L759" s="16"/>
    </row>
    <row r="760">
      <c r="A760" s="26" t="s">
        <v>579</v>
      </c>
      <c r="B760" s="10" t="str">
        <f t="shared" si="1"/>
        <v>isotope</v>
      </c>
      <c r="C760" s="49" t="str">
        <f t="shared" si="2"/>
        <v>S16824IS1</v>
      </c>
      <c r="D760" s="6">
        <v>32.0</v>
      </c>
      <c r="E760" s="10" t="str">
        <f t="shared" si="3"/>
        <v>BIS32</v>
      </c>
      <c r="F760" s="13">
        <v>8.0</v>
      </c>
      <c r="G760" s="10" t="str">
        <f t="shared" si="4"/>
        <v>BIS32-8</v>
      </c>
      <c r="I760" s="16" t="str">
        <f t="shared" si="5"/>
        <v>collected</v>
      </c>
      <c r="J760" s="16" t="str">
        <f t="shared" si="6"/>
        <v>N</v>
      </c>
      <c r="K760" s="16"/>
      <c r="L760" s="16"/>
    </row>
    <row r="761">
      <c r="A761" s="26" t="s">
        <v>589</v>
      </c>
      <c r="B761" s="10" t="str">
        <f t="shared" si="1"/>
        <v>isotope</v>
      </c>
      <c r="C761" s="49" t="str">
        <f t="shared" si="2"/>
        <v>S16825IS1</v>
      </c>
      <c r="D761" s="6">
        <v>32.0</v>
      </c>
      <c r="E761" s="10" t="str">
        <f t="shared" si="3"/>
        <v>BIS32</v>
      </c>
      <c r="F761" s="13">
        <v>9.0</v>
      </c>
      <c r="G761" s="10" t="str">
        <f t="shared" si="4"/>
        <v>BIS32-9</v>
      </c>
      <c r="I761" s="16" t="str">
        <f t="shared" si="5"/>
        <v>collected</v>
      </c>
      <c r="J761" s="16" t="str">
        <f t="shared" si="6"/>
        <v>N</v>
      </c>
      <c r="K761" s="16"/>
      <c r="L761" s="16"/>
    </row>
    <row r="762">
      <c r="A762" s="26" t="s">
        <v>594</v>
      </c>
      <c r="B762" s="10" t="str">
        <f t="shared" si="1"/>
        <v>isotope</v>
      </c>
      <c r="C762" s="49" t="str">
        <f t="shared" si="2"/>
        <v>S16826IS1</v>
      </c>
      <c r="D762" s="6">
        <v>32.0</v>
      </c>
      <c r="E762" s="10" t="str">
        <f t="shared" si="3"/>
        <v>BIS32</v>
      </c>
      <c r="F762" s="13">
        <v>10.0</v>
      </c>
      <c r="G762" s="10" t="str">
        <f t="shared" si="4"/>
        <v>BIS32-10</v>
      </c>
      <c r="I762" s="16" t="str">
        <f t="shared" si="5"/>
        <v>collected</v>
      </c>
      <c r="J762" s="16" t="str">
        <f t="shared" si="6"/>
        <v>N</v>
      </c>
      <c r="K762" s="16"/>
      <c r="L762" s="16"/>
    </row>
    <row r="763">
      <c r="A763" s="26" t="s">
        <v>599</v>
      </c>
      <c r="B763" s="10" t="str">
        <f t="shared" si="1"/>
        <v>isotope</v>
      </c>
      <c r="C763" s="49" t="str">
        <f t="shared" si="2"/>
        <v>S16827IS1</v>
      </c>
      <c r="D763" s="6">
        <v>32.0</v>
      </c>
      <c r="E763" s="10" t="str">
        <f t="shared" si="3"/>
        <v>BIS32</v>
      </c>
      <c r="F763" s="13">
        <v>11.0</v>
      </c>
      <c r="G763" s="10" t="str">
        <f t="shared" si="4"/>
        <v>BIS32-11</v>
      </c>
      <c r="I763" s="16" t="str">
        <f t="shared" si="5"/>
        <v>collected</v>
      </c>
      <c r="J763" s="16" t="str">
        <f t="shared" si="6"/>
        <v>N</v>
      </c>
      <c r="K763" s="16"/>
      <c r="L763" s="16"/>
    </row>
    <row r="764">
      <c r="A764" s="26" t="s">
        <v>605</v>
      </c>
      <c r="B764" s="10" t="str">
        <f t="shared" si="1"/>
        <v>isotope</v>
      </c>
      <c r="C764" s="49" t="str">
        <f t="shared" si="2"/>
        <v>S16828IS1</v>
      </c>
      <c r="D764" s="6">
        <v>32.0</v>
      </c>
      <c r="E764" s="10" t="str">
        <f t="shared" si="3"/>
        <v>BIS32</v>
      </c>
      <c r="F764" s="13">
        <v>12.0</v>
      </c>
      <c r="G764" s="10" t="str">
        <f t="shared" si="4"/>
        <v>BIS32-12</v>
      </c>
      <c r="I764" s="16" t="str">
        <f t="shared" si="5"/>
        <v>collected</v>
      </c>
      <c r="J764" s="16" t="str">
        <f t="shared" si="6"/>
        <v>N</v>
      </c>
      <c r="K764" s="16"/>
      <c r="L764" s="16"/>
    </row>
    <row r="765">
      <c r="A765" s="26" t="s">
        <v>609</v>
      </c>
      <c r="B765" s="10" t="str">
        <f t="shared" si="1"/>
        <v>isotope</v>
      </c>
      <c r="C765" s="49" t="str">
        <f t="shared" si="2"/>
        <v>S16829IS1</v>
      </c>
      <c r="D765" s="6">
        <v>32.0</v>
      </c>
      <c r="E765" s="10" t="str">
        <f t="shared" si="3"/>
        <v>BIS32</v>
      </c>
      <c r="F765" s="13">
        <v>13.0</v>
      </c>
      <c r="G765" s="10" t="str">
        <f t="shared" si="4"/>
        <v>BIS32-13</v>
      </c>
      <c r="I765" s="16" t="str">
        <f t="shared" si="5"/>
        <v>collected</v>
      </c>
      <c r="J765" s="16" t="str">
        <f t="shared" si="6"/>
        <v>N</v>
      </c>
      <c r="K765" s="16"/>
      <c r="L765" s="16"/>
    </row>
    <row r="766">
      <c r="A766" s="26" t="s">
        <v>617</v>
      </c>
      <c r="B766" s="10" t="str">
        <f t="shared" si="1"/>
        <v>isotope</v>
      </c>
      <c r="C766" s="49" t="str">
        <f t="shared" si="2"/>
        <v>S16830IS1</v>
      </c>
      <c r="D766" s="6">
        <v>32.0</v>
      </c>
      <c r="E766" s="10" t="str">
        <f t="shared" si="3"/>
        <v>BIS32</v>
      </c>
      <c r="F766" s="13">
        <v>14.0</v>
      </c>
      <c r="G766" s="10" t="str">
        <f t="shared" si="4"/>
        <v>BIS32-14</v>
      </c>
      <c r="I766" s="16" t="str">
        <f t="shared" si="5"/>
        <v>collected</v>
      </c>
      <c r="J766" s="16" t="str">
        <f t="shared" si="6"/>
        <v>N</v>
      </c>
      <c r="K766" s="16"/>
      <c r="L766" s="16"/>
    </row>
    <row r="767">
      <c r="A767" s="26" t="s">
        <v>623</v>
      </c>
      <c r="B767" s="10" t="str">
        <f t="shared" si="1"/>
        <v>isotope</v>
      </c>
      <c r="C767" s="49" t="str">
        <f t="shared" si="2"/>
        <v>S17051IS1</v>
      </c>
      <c r="D767" s="6">
        <v>32.0</v>
      </c>
      <c r="E767" s="10" t="str">
        <f t="shared" si="3"/>
        <v>BIS32</v>
      </c>
      <c r="F767" s="13">
        <v>15.0</v>
      </c>
      <c r="G767" s="10" t="str">
        <f t="shared" si="4"/>
        <v>BIS32-15</v>
      </c>
      <c r="I767" s="16" t="str">
        <f t="shared" si="5"/>
        <v>collected</v>
      </c>
      <c r="J767" s="16" t="str">
        <f t="shared" si="6"/>
        <v>N</v>
      </c>
      <c r="K767" s="16"/>
      <c r="L767" s="16"/>
    </row>
    <row r="768">
      <c r="A768" s="26" t="s">
        <v>631</v>
      </c>
      <c r="B768" s="10" t="str">
        <f t="shared" si="1"/>
        <v>isotope</v>
      </c>
      <c r="C768" s="49" t="str">
        <f t="shared" si="2"/>
        <v>S17052IS1</v>
      </c>
      <c r="D768" s="6">
        <v>32.0</v>
      </c>
      <c r="E768" s="10" t="str">
        <f t="shared" si="3"/>
        <v>BIS32</v>
      </c>
      <c r="F768" s="13">
        <v>16.0</v>
      </c>
      <c r="G768" s="10" t="str">
        <f t="shared" si="4"/>
        <v>BIS32-16</v>
      </c>
      <c r="I768" s="16" t="str">
        <f t="shared" si="5"/>
        <v>collected</v>
      </c>
      <c r="J768" s="16" t="str">
        <f t="shared" si="6"/>
        <v>N</v>
      </c>
      <c r="K768" s="16"/>
      <c r="L768" s="16"/>
    </row>
    <row r="769">
      <c r="A769" s="26" t="s">
        <v>639</v>
      </c>
      <c r="B769" s="10" t="str">
        <f t="shared" si="1"/>
        <v>isotope</v>
      </c>
      <c r="C769" s="49" t="str">
        <f t="shared" si="2"/>
        <v>S17053IS1</v>
      </c>
      <c r="D769" s="6">
        <v>32.0</v>
      </c>
      <c r="E769" s="10" t="str">
        <f t="shared" si="3"/>
        <v>BIS32</v>
      </c>
      <c r="F769" s="13">
        <v>17.0</v>
      </c>
      <c r="G769" s="10" t="str">
        <f t="shared" si="4"/>
        <v>BIS32-17</v>
      </c>
      <c r="I769" s="16" t="str">
        <f t="shared" si="5"/>
        <v>collected</v>
      </c>
      <c r="J769" s="16" t="str">
        <f t="shared" si="6"/>
        <v>N</v>
      </c>
      <c r="K769" s="16"/>
      <c r="L769" s="16"/>
    </row>
    <row r="770">
      <c r="A770" s="26" t="s">
        <v>646</v>
      </c>
      <c r="B770" s="10" t="str">
        <f t="shared" si="1"/>
        <v>isotope</v>
      </c>
      <c r="C770" s="49" t="str">
        <f t="shared" si="2"/>
        <v>S17054IS1</v>
      </c>
      <c r="D770" s="6">
        <v>32.0</v>
      </c>
      <c r="E770" s="10" t="str">
        <f t="shared" si="3"/>
        <v>BIS32</v>
      </c>
      <c r="F770" s="13">
        <v>18.0</v>
      </c>
      <c r="G770" s="10" t="str">
        <f t="shared" si="4"/>
        <v>BIS32-18</v>
      </c>
      <c r="I770" s="16" t="str">
        <f t="shared" si="5"/>
        <v>collected</v>
      </c>
      <c r="J770" s="16" t="str">
        <f t="shared" si="6"/>
        <v>N</v>
      </c>
      <c r="K770" s="16"/>
      <c r="L770" s="16"/>
    </row>
    <row r="771">
      <c r="A771" s="26" t="s">
        <v>652</v>
      </c>
      <c r="B771" s="10" t="str">
        <f t="shared" si="1"/>
        <v>isotope</v>
      </c>
      <c r="C771" s="49" t="str">
        <f t="shared" si="2"/>
        <v>S17055IS1</v>
      </c>
      <c r="D771" s="6">
        <v>32.0</v>
      </c>
      <c r="E771" s="10" t="str">
        <f t="shared" si="3"/>
        <v>BIS32</v>
      </c>
      <c r="F771" s="13">
        <v>19.0</v>
      </c>
      <c r="G771" s="10" t="str">
        <f t="shared" si="4"/>
        <v>BIS32-19</v>
      </c>
      <c r="H771" s="31"/>
      <c r="I771" s="16" t="str">
        <f t="shared" si="5"/>
        <v>collected</v>
      </c>
      <c r="J771" s="16" t="str">
        <f t="shared" si="6"/>
        <v>N</v>
      </c>
      <c r="K771" s="16"/>
      <c r="L771" s="16"/>
    </row>
    <row r="772">
      <c r="A772" s="26" t="s">
        <v>660</v>
      </c>
      <c r="B772" s="10" t="str">
        <f t="shared" si="1"/>
        <v>isotope</v>
      </c>
      <c r="C772" s="49" t="str">
        <f t="shared" si="2"/>
        <v>S17056IS1</v>
      </c>
      <c r="D772" s="6">
        <v>32.0</v>
      </c>
      <c r="E772" s="10" t="str">
        <f t="shared" si="3"/>
        <v>BIS32</v>
      </c>
      <c r="F772" s="13">
        <v>20.0</v>
      </c>
      <c r="G772" s="10" t="str">
        <f t="shared" si="4"/>
        <v>BIS32-20</v>
      </c>
      <c r="I772" s="16" t="str">
        <f t="shared" si="5"/>
        <v>collected</v>
      </c>
      <c r="J772" s="16" t="str">
        <f t="shared" si="6"/>
        <v>N</v>
      </c>
      <c r="K772" s="16"/>
      <c r="L772" s="16"/>
    </row>
    <row r="773">
      <c r="A773" s="26" t="s">
        <v>667</v>
      </c>
      <c r="B773" s="10" t="str">
        <f t="shared" si="1"/>
        <v>isotope</v>
      </c>
      <c r="C773" s="49" t="str">
        <f t="shared" si="2"/>
        <v>S17057IS1</v>
      </c>
      <c r="D773" s="6">
        <v>32.0</v>
      </c>
      <c r="E773" s="10" t="str">
        <f t="shared" si="3"/>
        <v>BIS32</v>
      </c>
      <c r="F773" s="13">
        <v>21.0</v>
      </c>
      <c r="G773" s="10" t="str">
        <f t="shared" si="4"/>
        <v>BIS32-21</v>
      </c>
      <c r="I773" s="16" t="str">
        <f t="shared" si="5"/>
        <v>collected</v>
      </c>
      <c r="J773" s="16" t="str">
        <f t="shared" si="6"/>
        <v>N</v>
      </c>
      <c r="K773" s="16"/>
      <c r="L773" s="16"/>
    </row>
    <row r="774">
      <c r="A774" s="44" t="s">
        <v>673</v>
      </c>
      <c r="B774" s="10" t="str">
        <f t="shared" si="1"/>
        <v>isotope</v>
      </c>
      <c r="C774" s="49" t="str">
        <f t="shared" si="2"/>
        <v>S17736IS1</v>
      </c>
      <c r="D774" s="6">
        <v>31.0</v>
      </c>
      <c r="E774" s="10" t="str">
        <f t="shared" si="3"/>
        <v>BIS31</v>
      </c>
      <c r="F774" s="13">
        <v>81.0</v>
      </c>
      <c r="G774" s="10" t="str">
        <f t="shared" si="4"/>
        <v>BIS31-81</v>
      </c>
      <c r="I774" s="16" t="str">
        <f t="shared" si="5"/>
        <v>collected</v>
      </c>
      <c r="J774" s="16" t="str">
        <f t="shared" si="6"/>
        <v>N</v>
      </c>
      <c r="K774" s="16"/>
      <c r="L774" s="16"/>
    </row>
    <row r="775">
      <c r="A775" s="44" t="s">
        <v>679</v>
      </c>
      <c r="B775" s="10" t="str">
        <f t="shared" si="1"/>
        <v>isotope</v>
      </c>
      <c r="C775" s="49" t="str">
        <f t="shared" si="2"/>
        <v>S17740IS1</v>
      </c>
      <c r="D775" s="6">
        <v>33.0</v>
      </c>
      <c r="E775" s="10" t="str">
        <f t="shared" si="3"/>
        <v>BIS33</v>
      </c>
      <c r="F775" s="13">
        <v>1.0</v>
      </c>
      <c r="G775" s="10" t="str">
        <f t="shared" si="4"/>
        <v>BIS33-1</v>
      </c>
      <c r="I775" s="16" t="str">
        <f t="shared" si="5"/>
        <v>collected</v>
      </c>
      <c r="J775" s="16" t="str">
        <f t="shared" si="6"/>
        <v>N</v>
      </c>
      <c r="K775" s="16"/>
      <c r="L775" s="16"/>
    </row>
    <row r="776">
      <c r="A776" s="44" t="s">
        <v>687</v>
      </c>
      <c r="B776" s="10" t="str">
        <f t="shared" si="1"/>
        <v>isotope</v>
      </c>
      <c r="C776" s="49" t="str">
        <f t="shared" si="2"/>
        <v>S17734IS1</v>
      </c>
      <c r="D776" s="6">
        <v>33.0</v>
      </c>
      <c r="E776" s="10" t="str">
        <f t="shared" si="3"/>
        <v>BIS33</v>
      </c>
      <c r="F776" s="13">
        <v>2.0</v>
      </c>
      <c r="G776" s="10" t="str">
        <f t="shared" si="4"/>
        <v>BIS33-2</v>
      </c>
      <c r="I776" s="16" t="str">
        <f t="shared" si="5"/>
        <v>collected</v>
      </c>
      <c r="J776" s="16" t="str">
        <f t="shared" si="6"/>
        <v>N</v>
      </c>
      <c r="K776" s="16"/>
      <c r="L776" s="16"/>
    </row>
    <row r="777">
      <c r="A777" s="44" t="s">
        <v>695</v>
      </c>
      <c r="B777" s="10" t="str">
        <f t="shared" si="1"/>
        <v>isotope</v>
      </c>
      <c r="C777" s="49" t="str">
        <f t="shared" si="2"/>
        <v>S17735IS1</v>
      </c>
      <c r="D777" s="6">
        <v>33.0</v>
      </c>
      <c r="E777" s="10" t="str">
        <f t="shared" si="3"/>
        <v>BIS33</v>
      </c>
      <c r="F777" s="13">
        <v>3.0</v>
      </c>
      <c r="G777" s="10" t="str">
        <f t="shared" si="4"/>
        <v>BIS33-3</v>
      </c>
      <c r="I777" s="16" t="str">
        <f t="shared" si="5"/>
        <v>collected</v>
      </c>
      <c r="J777" s="16" t="str">
        <f t="shared" si="6"/>
        <v>N</v>
      </c>
      <c r="K777" s="16"/>
      <c r="L777" s="16"/>
    </row>
    <row r="778">
      <c r="A778" s="44" t="s">
        <v>703</v>
      </c>
      <c r="B778" s="10" t="str">
        <f t="shared" si="1"/>
        <v>isotope</v>
      </c>
      <c r="C778" s="49" t="str">
        <f t="shared" si="2"/>
        <v>S17737IS1</v>
      </c>
      <c r="D778" s="6">
        <v>33.0</v>
      </c>
      <c r="E778" s="10" t="str">
        <f t="shared" si="3"/>
        <v>BIS33</v>
      </c>
      <c r="F778" s="13">
        <v>4.0</v>
      </c>
      <c r="G778" s="10" t="str">
        <f t="shared" si="4"/>
        <v>BIS33-4</v>
      </c>
      <c r="I778" s="16" t="str">
        <f t="shared" si="5"/>
        <v>collected</v>
      </c>
      <c r="J778" s="16" t="str">
        <f t="shared" si="6"/>
        <v>N</v>
      </c>
      <c r="K778" s="16"/>
      <c r="L778" s="16"/>
    </row>
    <row r="779">
      <c r="A779" s="43" t="s">
        <v>710</v>
      </c>
      <c r="B779" s="10" t="str">
        <f t="shared" si="1"/>
        <v>isotope</v>
      </c>
      <c r="C779" s="49" t="str">
        <f t="shared" si="2"/>
        <v>S17733IS1</v>
      </c>
      <c r="D779" s="6">
        <v>33.0</v>
      </c>
      <c r="E779" s="10" t="str">
        <f t="shared" si="3"/>
        <v>BIS33</v>
      </c>
      <c r="F779" s="13">
        <v>5.0</v>
      </c>
      <c r="G779" s="10" t="str">
        <f t="shared" si="4"/>
        <v>BIS33-5</v>
      </c>
      <c r="I779" s="16" t="str">
        <f t="shared" si="5"/>
        <v>collected</v>
      </c>
      <c r="J779" s="16" t="str">
        <f t="shared" si="6"/>
        <v>N</v>
      </c>
      <c r="K779" s="16"/>
      <c r="L779" s="16"/>
    </row>
    <row r="780">
      <c r="A780" s="43" t="s">
        <v>718</v>
      </c>
      <c r="B780" s="10" t="str">
        <f t="shared" si="1"/>
        <v>isotope</v>
      </c>
      <c r="C780" s="49" t="str">
        <f t="shared" si="2"/>
        <v>S17731IS1</v>
      </c>
      <c r="D780" s="6">
        <v>33.0</v>
      </c>
      <c r="E780" s="10" t="str">
        <f t="shared" si="3"/>
        <v>BIS33</v>
      </c>
      <c r="F780" s="13">
        <v>6.0</v>
      </c>
      <c r="G780" s="10" t="str">
        <f t="shared" si="4"/>
        <v>BIS33-6</v>
      </c>
      <c r="I780" s="16" t="str">
        <f t="shared" si="5"/>
        <v>collected</v>
      </c>
      <c r="J780" s="16" t="str">
        <f t="shared" si="6"/>
        <v>N</v>
      </c>
      <c r="K780" s="16"/>
      <c r="L780" s="16"/>
    </row>
    <row r="781">
      <c r="A781" s="43" t="s">
        <v>725</v>
      </c>
      <c r="B781" s="10" t="str">
        <f t="shared" si="1"/>
        <v>isotope</v>
      </c>
      <c r="C781" s="49" t="str">
        <f t="shared" si="2"/>
        <v>S17739IS1</v>
      </c>
      <c r="D781" s="6">
        <v>33.0</v>
      </c>
      <c r="E781" s="10" t="str">
        <f t="shared" si="3"/>
        <v>BIS33</v>
      </c>
      <c r="F781" s="13">
        <v>7.0</v>
      </c>
      <c r="G781" s="10" t="str">
        <f t="shared" si="4"/>
        <v>BIS33-7</v>
      </c>
      <c r="I781" s="16" t="str">
        <f t="shared" si="5"/>
        <v>collected</v>
      </c>
      <c r="J781" s="16" t="str">
        <f t="shared" si="6"/>
        <v>N</v>
      </c>
      <c r="K781" s="16"/>
      <c r="L781" s="16"/>
    </row>
    <row r="782">
      <c r="A782" s="43" t="s">
        <v>733</v>
      </c>
      <c r="B782" s="10" t="str">
        <f t="shared" si="1"/>
        <v>isotope</v>
      </c>
      <c r="C782" s="49" t="str">
        <f t="shared" si="2"/>
        <v>S17732IS1</v>
      </c>
      <c r="D782" s="6">
        <v>33.0</v>
      </c>
      <c r="E782" s="10" t="str">
        <f t="shared" si="3"/>
        <v>BIS33</v>
      </c>
      <c r="F782" s="13">
        <v>8.0</v>
      </c>
      <c r="G782" s="10" t="str">
        <f t="shared" si="4"/>
        <v>BIS33-8</v>
      </c>
      <c r="I782" s="16" t="str">
        <f t="shared" si="5"/>
        <v>collected</v>
      </c>
      <c r="J782" s="16" t="str">
        <f t="shared" si="6"/>
        <v>N</v>
      </c>
      <c r="K782" s="16"/>
      <c r="L782" s="16"/>
    </row>
    <row r="783">
      <c r="A783" s="43" t="s">
        <v>739</v>
      </c>
      <c r="B783" s="10" t="str">
        <f t="shared" si="1"/>
        <v>isotope</v>
      </c>
      <c r="C783" s="49" t="str">
        <f t="shared" si="2"/>
        <v>S17738IS1</v>
      </c>
      <c r="D783" s="6">
        <v>33.0</v>
      </c>
      <c r="E783" s="10" t="str">
        <f t="shared" si="3"/>
        <v>BIS33</v>
      </c>
      <c r="F783" s="13">
        <v>9.0</v>
      </c>
      <c r="G783" s="10" t="str">
        <f t="shared" si="4"/>
        <v>BIS33-9</v>
      </c>
      <c r="I783" s="16" t="str">
        <f t="shared" si="5"/>
        <v>collected</v>
      </c>
      <c r="J783" s="16" t="str">
        <f t="shared" si="6"/>
        <v>N</v>
      </c>
      <c r="K783" s="16"/>
      <c r="L783" s="16"/>
    </row>
    <row r="784">
      <c r="A784" s="43" t="s">
        <v>746</v>
      </c>
      <c r="B784" s="10" t="str">
        <f t="shared" si="1"/>
        <v>isotope</v>
      </c>
      <c r="C784" s="49" t="str">
        <f t="shared" si="2"/>
        <v>S16647IS1</v>
      </c>
      <c r="D784" s="6">
        <v>33.0</v>
      </c>
      <c r="E784" s="10" t="str">
        <f t="shared" si="3"/>
        <v>BIS33</v>
      </c>
      <c r="F784" s="13">
        <v>10.0</v>
      </c>
      <c r="G784" s="10" t="str">
        <f t="shared" si="4"/>
        <v>BIS33-10</v>
      </c>
      <c r="I784" s="16" t="str">
        <f t="shared" si="5"/>
        <v>collected</v>
      </c>
      <c r="J784" s="16" t="str">
        <f t="shared" si="6"/>
        <v>N</v>
      </c>
      <c r="K784" s="16"/>
      <c r="L784" s="16"/>
    </row>
    <row r="785">
      <c r="A785" s="43" t="s">
        <v>754</v>
      </c>
      <c r="B785" s="10" t="str">
        <f t="shared" si="1"/>
        <v>isotope</v>
      </c>
      <c r="C785" s="49" t="str">
        <f t="shared" si="2"/>
        <v>S16646IS1</v>
      </c>
      <c r="D785" s="6">
        <v>33.0</v>
      </c>
      <c r="E785" s="10" t="str">
        <f t="shared" si="3"/>
        <v>BIS33</v>
      </c>
      <c r="F785" s="13">
        <v>11.0</v>
      </c>
      <c r="G785" s="10" t="str">
        <f t="shared" si="4"/>
        <v>BIS33-11</v>
      </c>
      <c r="I785" s="16" t="str">
        <f t="shared" si="5"/>
        <v>collected</v>
      </c>
      <c r="J785" s="16" t="str">
        <f t="shared" si="6"/>
        <v>N</v>
      </c>
      <c r="K785" s="16"/>
      <c r="L785" s="16"/>
    </row>
    <row r="786">
      <c r="A786" s="43" t="s">
        <v>761</v>
      </c>
      <c r="B786" s="10" t="str">
        <f t="shared" si="1"/>
        <v>isotope</v>
      </c>
      <c r="C786" s="49" t="str">
        <f t="shared" si="2"/>
        <v>S16642IS1</v>
      </c>
      <c r="D786" s="6">
        <v>33.0</v>
      </c>
      <c r="E786" s="10" t="str">
        <f t="shared" si="3"/>
        <v>BIS33</v>
      </c>
      <c r="F786" s="13">
        <v>12.0</v>
      </c>
      <c r="G786" s="10" t="str">
        <f t="shared" si="4"/>
        <v>BIS33-12</v>
      </c>
      <c r="I786" s="16" t="str">
        <f t="shared" si="5"/>
        <v>collected</v>
      </c>
      <c r="J786" s="16" t="str">
        <f t="shared" si="6"/>
        <v>N</v>
      </c>
      <c r="K786" s="16"/>
      <c r="L786" s="16"/>
    </row>
    <row r="787">
      <c r="A787" s="43" t="s">
        <v>766</v>
      </c>
      <c r="B787" s="10" t="str">
        <f t="shared" si="1"/>
        <v>isotope</v>
      </c>
      <c r="C787" s="49" t="str">
        <f t="shared" si="2"/>
        <v>S16643IS1</v>
      </c>
      <c r="D787" s="6">
        <v>33.0</v>
      </c>
      <c r="E787" s="10" t="str">
        <f t="shared" si="3"/>
        <v>BIS33</v>
      </c>
      <c r="F787" s="13">
        <v>13.0</v>
      </c>
      <c r="G787" s="10" t="str">
        <f t="shared" si="4"/>
        <v>BIS33-13</v>
      </c>
      <c r="H787" s="9" t="s">
        <v>418</v>
      </c>
      <c r="I787" s="16" t="str">
        <f t="shared" si="5"/>
        <v>collected</v>
      </c>
      <c r="J787" s="16" t="str">
        <f t="shared" si="6"/>
        <v>N</v>
      </c>
      <c r="K787" s="16"/>
      <c r="L787" s="16"/>
    </row>
    <row r="788">
      <c r="A788" s="43" t="s">
        <v>769</v>
      </c>
      <c r="B788" s="10" t="str">
        <f t="shared" si="1"/>
        <v>isotope</v>
      </c>
      <c r="C788" s="49" t="str">
        <f t="shared" si="2"/>
        <v>S16641IS1</v>
      </c>
      <c r="D788" s="6">
        <v>33.0</v>
      </c>
      <c r="E788" s="10" t="str">
        <f t="shared" si="3"/>
        <v>BIS33</v>
      </c>
      <c r="F788" s="13">
        <v>14.0</v>
      </c>
      <c r="G788" s="10" t="str">
        <f t="shared" si="4"/>
        <v>BIS33-14</v>
      </c>
      <c r="I788" s="16" t="str">
        <f t="shared" si="5"/>
        <v>collected</v>
      </c>
      <c r="J788" s="16" t="str">
        <f t="shared" si="6"/>
        <v>N</v>
      </c>
      <c r="K788" s="16"/>
      <c r="L788" s="16"/>
    </row>
    <row r="789">
      <c r="A789" s="43" t="s">
        <v>772</v>
      </c>
      <c r="B789" s="10" t="str">
        <f t="shared" si="1"/>
        <v>isotope</v>
      </c>
      <c r="C789" s="49" t="str">
        <f t="shared" si="2"/>
        <v>S16648IS1</v>
      </c>
      <c r="D789" s="6">
        <v>33.0</v>
      </c>
      <c r="E789" s="10" t="str">
        <f t="shared" si="3"/>
        <v>BIS33</v>
      </c>
      <c r="F789" s="13">
        <v>15.0</v>
      </c>
      <c r="G789" s="10" t="str">
        <f t="shared" si="4"/>
        <v>BIS33-15</v>
      </c>
      <c r="I789" s="16" t="str">
        <f t="shared" si="5"/>
        <v>collected</v>
      </c>
      <c r="J789" s="16" t="str">
        <f t="shared" si="6"/>
        <v>N</v>
      </c>
      <c r="K789" s="16"/>
      <c r="L789" s="16"/>
    </row>
    <row r="790">
      <c r="A790" s="43" t="s">
        <v>779</v>
      </c>
      <c r="B790" s="10" t="str">
        <f t="shared" si="1"/>
        <v>isotope</v>
      </c>
      <c r="C790" s="49" t="str">
        <f t="shared" si="2"/>
        <v>S16645IS1</v>
      </c>
      <c r="D790" s="6">
        <v>33.0</v>
      </c>
      <c r="E790" s="10" t="str">
        <f t="shared" si="3"/>
        <v>BIS33</v>
      </c>
      <c r="F790" s="13">
        <v>16.0</v>
      </c>
      <c r="G790" s="10" t="str">
        <f t="shared" si="4"/>
        <v>BIS33-16</v>
      </c>
      <c r="I790" s="16" t="str">
        <f t="shared" si="5"/>
        <v>collected</v>
      </c>
      <c r="J790" s="16" t="str">
        <f t="shared" si="6"/>
        <v>N</v>
      </c>
      <c r="K790" s="16"/>
      <c r="L790" s="16"/>
    </row>
    <row r="791">
      <c r="A791" s="43" t="s">
        <v>786</v>
      </c>
      <c r="B791" s="10" t="str">
        <f t="shared" si="1"/>
        <v>isotope</v>
      </c>
      <c r="C791" s="49" t="str">
        <f t="shared" si="2"/>
        <v>S16644IS1</v>
      </c>
      <c r="D791" s="6">
        <v>33.0</v>
      </c>
      <c r="E791" s="10" t="str">
        <f t="shared" si="3"/>
        <v>BIS33</v>
      </c>
      <c r="F791" s="13">
        <v>17.0</v>
      </c>
      <c r="G791" s="10" t="str">
        <f t="shared" si="4"/>
        <v>BIS33-17</v>
      </c>
      <c r="I791" s="16" t="str">
        <f t="shared" si="5"/>
        <v>collected</v>
      </c>
      <c r="J791" s="16" t="str">
        <f t="shared" si="6"/>
        <v>N</v>
      </c>
      <c r="K791" s="16"/>
      <c r="L791" s="16"/>
    </row>
    <row r="792">
      <c r="A792" s="43" t="s">
        <v>793</v>
      </c>
      <c r="B792" s="10" t="str">
        <f t="shared" si="1"/>
        <v>isotope</v>
      </c>
      <c r="C792" s="49" t="str">
        <f t="shared" si="2"/>
        <v>S16649IS1</v>
      </c>
      <c r="D792" s="6">
        <v>33.0</v>
      </c>
      <c r="E792" s="10" t="str">
        <f t="shared" si="3"/>
        <v>BIS33</v>
      </c>
      <c r="F792" s="13">
        <v>18.0</v>
      </c>
      <c r="G792" s="10" t="str">
        <f t="shared" si="4"/>
        <v>BIS33-18</v>
      </c>
      <c r="H792" s="16"/>
      <c r="I792" s="16" t="str">
        <f t="shared" si="5"/>
        <v>collected</v>
      </c>
      <c r="J792" s="16" t="str">
        <f t="shared" si="6"/>
        <v>N</v>
      </c>
      <c r="K792" s="16"/>
      <c r="L792" s="16"/>
    </row>
    <row r="793">
      <c r="A793" s="43" t="s">
        <v>800</v>
      </c>
      <c r="B793" s="10" t="str">
        <f t="shared" si="1"/>
        <v>isotope</v>
      </c>
      <c r="C793" s="49" t="str">
        <f t="shared" si="2"/>
        <v>S16650IS1</v>
      </c>
      <c r="D793" s="6">
        <v>33.0</v>
      </c>
      <c r="E793" s="10" t="str">
        <f t="shared" si="3"/>
        <v>BIS33</v>
      </c>
      <c r="F793" s="13">
        <v>19.0</v>
      </c>
      <c r="G793" s="10" t="str">
        <f t="shared" si="4"/>
        <v>BIS33-19</v>
      </c>
      <c r="H793" s="16"/>
      <c r="I793" s="16" t="str">
        <f t="shared" si="5"/>
        <v>collected</v>
      </c>
      <c r="J793" s="16" t="str">
        <f t="shared" si="6"/>
        <v>N</v>
      </c>
      <c r="K793" s="16"/>
      <c r="L793" s="16"/>
    </row>
    <row r="794">
      <c r="A794" s="27" t="s">
        <v>808</v>
      </c>
      <c r="B794" s="10" t="str">
        <f t="shared" si="1"/>
        <v>isotope</v>
      </c>
      <c r="C794" s="49" t="str">
        <f t="shared" si="2"/>
        <v>S17089IS1</v>
      </c>
      <c r="D794" s="6">
        <v>33.0</v>
      </c>
      <c r="E794" s="10" t="str">
        <f t="shared" si="3"/>
        <v>BIS33</v>
      </c>
      <c r="F794" s="13">
        <v>20.0</v>
      </c>
      <c r="G794" s="10" t="str">
        <f t="shared" si="4"/>
        <v>BIS33-20</v>
      </c>
      <c r="H794" s="16"/>
      <c r="I794" s="16" t="str">
        <f t="shared" si="5"/>
        <v>collected</v>
      </c>
      <c r="J794" s="16" t="str">
        <f t="shared" si="6"/>
        <v>N</v>
      </c>
      <c r="K794" s="16"/>
      <c r="L794" s="16"/>
    </row>
    <row r="795">
      <c r="A795" s="27" t="s">
        <v>816</v>
      </c>
      <c r="B795" s="10" t="str">
        <f t="shared" si="1"/>
        <v>isotope</v>
      </c>
      <c r="C795" s="49" t="str">
        <f t="shared" si="2"/>
        <v>S17090IS1</v>
      </c>
      <c r="D795" s="6">
        <v>33.0</v>
      </c>
      <c r="E795" s="10" t="str">
        <f t="shared" si="3"/>
        <v>BIS33</v>
      </c>
      <c r="F795" s="13">
        <v>21.0</v>
      </c>
      <c r="G795" s="10" t="str">
        <f t="shared" si="4"/>
        <v>BIS33-21</v>
      </c>
      <c r="H795" s="16"/>
      <c r="I795" s="16" t="str">
        <f t="shared" si="5"/>
        <v>collected</v>
      </c>
      <c r="J795" s="16" t="str">
        <f t="shared" si="6"/>
        <v>N</v>
      </c>
      <c r="K795" s="16"/>
      <c r="L795" s="16"/>
    </row>
    <row r="796">
      <c r="A796" s="27" t="s">
        <v>824</v>
      </c>
      <c r="B796" s="10" t="str">
        <f t="shared" si="1"/>
        <v>isotope</v>
      </c>
      <c r="C796" s="49" t="str">
        <f t="shared" si="2"/>
        <v>S17088IS1</v>
      </c>
      <c r="D796" s="6">
        <v>33.0</v>
      </c>
      <c r="E796" s="10" t="str">
        <f t="shared" si="3"/>
        <v>BIS33</v>
      </c>
      <c r="F796" s="13">
        <v>22.0</v>
      </c>
      <c r="G796" s="10" t="str">
        <f t="shared" si="4"/>
        <v>BIS33-22</v>
      </c>
      <c r="H796" s="16"/>
      <c r="I796" s="16" t="str">
        <f t="shared" si="5"/>
        <v>collected</v>
      </c>
      <c r="J796" s="16" t="str">
        <f t="shared" si="6"/>
        <v>N</v>
      </c>
      <c r="K796" s="16"/>
      <c r="L796" s="16"/>
    </row>
    <row r="797">
      <c r="A797" s="27" t="s">
        <v>829</v>
      </c>
      <c r="B797" s="10" t="str">
        <f t="shared" si="1"/>
        <v>isotope</v>
      </c>
      <c r="C797" s="49" t="str">
        <f t="shared" si="2"/>
        <v>S17087IS1</v>
      </c>
      <c r="D797" s="6">
        <v>33.0</v>
      </c>
      <c r="E797" s="10" t="str">
        <f t="shared" si="3"/>
        <v>BIS33</v>
      </c>
      <c r="F797" s="13">
        <v>23.0</v>
      </c>
      <c r="G797" s="10" t="str">
        <f t="shared" si="4"/>
        <v>BIS33-23</v>
      </c>
      <c r="H797" s="16"/>
      <c r="I797" s="16" t="str">
        <f t="shared" si="5"/>
        <v>collected</v>
      </c>
      <c r="J797" s="16" t="str">
        <f t="shared" si="6"/>
        <v>N</v>
      </c>
      <c r="K797" s="16"/>
      <c r="L797" s="16"/>
    </row>
    <row r="798">
      <c r="A798" s="27" t="s">
        <v>835</v>
      </c>
      <c r="B798" s="10" t="str">
        <f t="shared" si="1"/>
        <v>isotope</v>
      </c>
      <c r="C798" s="49" t="str">
        <f t="shared" si="2"/>
        <v>S17086IS1</v>
      </c>
      <c r="D798" s="6">
        <v>33.0</v>
      </c>
      <c r="E798" s="10" t="str">
        <f t="shared" si="3"/>
        <v>BIS33</v>
      </c>
      <c r="F798" s="13">
        <v>24.0</v>
      </c>
      <c r="G798" s="10" t="str">
        <f t="shared" si="4"/>
        <v>BIS33-24</v>
      </c>
      <c r="H798" s="16"/>
      <c r="I798" s="16" t="str">
        <f t="shared" si="5"/>
        <v>collected</v>
      </c>
      <c r="J798" s="16" t="str">
        <f t="shared" si="6"/>
        <v>N</v>
      </c>
      <c r="K798" s="16"/>
      <c r="L798" s="16"/>
    </row>
    <row r="799">
      <c r="A799" s="27" t="s">
        <v>840</v>
      </c>
      <c r="B799" s="10" t="str">
        <f t="shared" si="1"/>
        <v>isotope</v>
      </c>
      <c r="C799" s="49" t="str">
        <f t="shared" si="2"/>
        <v>S17085IS1</v>
      </c>
      <c r="D799" s="6">
        <v>33.0</v>
      </c>
      <c r="E799" s="10" t="str">
        <f t="shared" si="3"/>
        <v>BIS33</v>
      </c>
      <c r="F799" s="13">
        <v>25.0</v>
      </c>
      <c r="G799" s="10" t="str">
        <f t="shared" si="4"/>
        <v>BIS33-25</v>
      </c>
      <c r="H799" s="16"/>
      <c r="I799" s="16" t="str">
        <f t="shared" si="5"/>
        <v>collected</v>
      </c>
      <c r="J799" s="16" t="str">
        <f t="shared" si="6"/>
        <v>N</v>
      </c>
      <c r="K799" s="16"/>
      <c r="L799" s="16"/>
    </row>
    <row r="800">
      <c r="A800" s="27" t="s">
        <v>845</v>
      </c>
      <c r="B800" s="10" t="str">
        <f t="shared" si="1"/>
        <v>isotope</v>
      </c>
      <c r="C800" s="49" t="str">
        <f t="shared" si="2"/>
        <v>S17084IS1</v>
      </c>
      <c r="D800" s="6">
        <v>33.0</v>
      </c>
      <c r="E800" s="10" t="str">
        <f t="shared" si="3"/>
        <v>BIS33</v>
      </c>
      <c r="F800" s="13">
        <v>26.0</v>
      </c>
      <c r="G800" s="10" t="str">
        <f t="shared" si="4"/>
        <v>BIS33-26</v>
      </c>
      <c r="H800" s="16"/>
      <c r="I800" s="16" t="str">
        <f t="shared" si="5"/>
        <v>collected</v>
      </c>
      <c r="J800" s="16" t="str">
        <f t="shared" si="6"/>
        <v>N</v>
      </c>
      <c r="K800" s="16"/>
      <c r="L800" s="16"/>
    </row>
    <row r="801">
      <c r="A801" s="26" t="s">
        <v>850</v>
      </c>
      <c r="B801" s="10" t="str">
        <f t="shared" si="1"/>
        <v>isotope</v>
      </c>
      <c r="C801" s="49" t="str">
        <f t="shared" si="2"/>
        <v>S17081IS1</v>
      </c>
      <c r="D801" s="6">
        <v>33.0</v>
      </c>
      <c r="E801" s="10" t="str">
        <f t="shared" si="3"/>
        <v>BIS33</v>
      </c>
      <c r="F801" s="13">
        <v>27.0</v>
      </c>
      <c r="G801" s="10" t="str">
        <f t="shared" si="4"/>
        <v>BIS33-27</v>
      </c>
      <c r="H801" s="16"/>
      <c r="I801" s="16" t="str">
        <f t="shared" si="5"/>
        <v>collected</v>
      </c>
      <c r="J801" s="16" t="str">
        <f t="shared" si="6"/>
        <v>N</v>
      </c>
      <c r="K801" s="16"/>
      <c r="L801" s="16"/>
    </row>
    <row r="802">
      <c r="A802" s="26" t="s">
        <v>856</v>
      </c>
      <c r="B802" s="10" t="str">
        <f t="shared" si="1"/>
        <v>isotope</v>
      </c>
      <c r="C802" s="49" t="str">
        <f t="shared" si="2"/>
        <v>S17082IS1</v>
      </c>
      <c r="D802" s="6">
        <v>33.0</v>
      </c>
      <c r="E802" s="10" t="str">
        <f t="shared" si="3"/>
        <v>BIS33</v>
      </c>
      <c r="F802" s="13">
        <v>28.0</v>
      </c>
      <c r="G802" s="10" t="str">
        <f t="shared" si="4"/>
        <v>BIS33-28</v>
      </c>
      <c r="H802" s="16"/>
      <c r="I802" s="16" t="str">
        <f t="shared" si="5"/>
        <v>collected</v>
      </c>
      <c r="J802" s="16" t="str">
        <f t="shared" si="6"/>
        <v>N</v>
      </c>
      <c r="K802" s="16"/>
      <c r="L802" s="16"/>
    </row>
    <row r="803">
      <c r="A803" s="26" t="s">
        <v>861</v>
      </c>
      <c r="B803" s="10" t="str">
        <f t="shared" si="1"/>
        <v>isotope</v>
      </c>
      <c r="C803" s="49" t="str">
        <f t="shared" si="2"/>
        <v>S17083IS1</v>
      </c>
      <c r="D803" s="6">
        <v>33.0</v>
      </c>
      <c r="E803" s="10" t="str">
        <f t="shared" si="3"/>
        <v>BIS33</v>
      </c>
      <c r="F803" s="13">
        <v>29.0</v>
      </c>
      <c r="G803" s="10" t="str">
        <f t="shared" si="4"/>
        <v>BIS33-29</v>
      </c>
      <c r="H803" s="16"/>
      <c r="I803" s="16" t="str">
        <f t="shared" si="5"/>
        <v>collected</v>
      </c>
      <c r="J803" s="16" t="str">
        <f t="shared" si="6"/>
        <v>N</v>
      </c>
      <c r="K803" s="16"/>
      <c r="L803" s="16"/>
    </row>
    <row r="804">
      <c r="A804" s="26" t="s">
        <v>869</v>
      </c>
      <c r="B804" s="10" t="str">
        <f t="shared" si="1"/>
        <v>isotope</v>
      </c>
      <c r="C804" s="49" t="str">
        <f t="shared" si="2"/>
        <v>S17341IS1</v>
      </c>
      <c r="D804" s="6">
        <v>33.0</v>
      </c>
      <c r="E804" s="10" t="str">
        <f t="shared" si="3"/>
        <v>BIS33</v>
      </c>
      <c r="F804" s="13">
        <v>30.0</v>
      </c>
      <c r="G804" s="10" t="str">
        <f t="shared" si="4"/>
        <v>BIS33-30</v>
      </c>
      <c r="H804" s="16"/>
      <c r="I804" s="16" t="str">
        <f t="shared" si="5"/>
        <v>collected</v>
      </c>
      <c r="J804" s="16" t="str">
        <f t="shared" si="6"/>
        <v>N</v>
      </c>
      <c r="K804" s="16"/>
      <c r="L804" s="16"/>
    </row>
    <row r="805">
      <c r="A805" s="26" t="s">
        <v>876</v>
      </c>
      <c r="B805" s="10" t="str">
        <f t="shared" si="1"/>
        <v>isotope</v>
      </c>
      <c r="C805" s="49" t="str">
        <f t="shared" si="2"/>
        <v>S17350IS1</v>
      </c>
      <c r="D805" s="6">
        <v>33.0</v>
      </c>
      <c r="E805" s="10" t="str">
        <f t="shared" si="3"/>
        <v>BIS33</v>
      </c>
      <c r="F805" s="13">
        <v>31.0</v>
      </c>
      <c r="G805" s="10" t="str">
        <f t="shared" ref="G805:G810" si="7">if(isblank(F804:F805),"",concatenate(E805,"-",F804:F805))</f>
        <v>BIS33-3031</v>
      </c>
      <c r="H805" s="16"/>
      <c r="I805" s="16" t="str">
        <f t="shared" si="5"/>
        <v>collected</v>
      </c>
      <c r="J805" s="16" t="str">
        <f t="shared" si="6"/>
        <v>N</v>
      </c>
      <c r="K805" s="16"/>
      <c r="L805" s="16"/>
    </row>
    <row r="806">
      <c r="A806" s="26" t="s">
        <v>880</v>
      </c>
      <c r="B806" s="10" t="str">
        <f t="shared" si="1"/>
        <v>isotope</v>
      </c>
      <c r="C806" s="49" t="str">
        <f t="shared" si="2"/>
        <v>S17348IS1</v>
      </c>
      <c r="D806" s="6">
        <v>33.0</v>
      </c>
      <c r="E806" s="10" t="str">
        <f t="shared" si="3"/>
        <v>BIS33</v>
      </c>
      <c r="F806" s="13">
        <v>32.0</v>
      </c>
      <c r="G806" s="10" t="str">
        <f t="shared" si="7"/>
        <v>BIS33-3132</v>
      </c>
      <c r="H806" s="16"/>
      <c r="I806" s="16" t="str">
        <f t="shared" si="5"/>
        <v>collected</v>
      </c>
      <c r="J806" s="16" t="str">
        <f t="shared" si="6"/>
        <v>N</v>
      </c>
      <c r="K806" s="16"/>
      <c r="L806" s="16"/>
    </row>
    <row r="807">
      <c r="A807" s="26" t="s">
        <v>890</v>
      </c>
      <c r="B807" s="10" t="str">
        <f t="shared" si="1"/>
        <v>isotope</v>
      </c>
      <c r="C807" s="49" t="str">
        <f t="shared" si="2"/>
        <v>S17347IS1</v>
      </c>
      <c r="D807" s="6">
        <v>33.0</v>
      </c>
      <c r="E807" s="10" t="str">
        <f t="shared" si="3"/>
        <v>BIS33</v>
      </c>
      <c r="F807" s="13">
        <v>33.0</v>
      </c>
      <c r="G807" s="10" t="str">
        <f t="shared" si="7"/>
        <v>BIS33-3233</v>
      </c>
      <c r="H807" s="16"/>
      <c r="I807" s="16" t="str">
        <f t="shared" si="5"/>
        <v>collected</v>
      </c>
      <c r="J807" s="16" t="str">
        <f t="shared" si="6"/>
        <v>N</v>
      </c>
      <c r="K807" s="16"/>
      <c r="L807" s="16"/>
    </row>
    <row r="808">
      <c r="A808" s="26" t="s">
        <v>900</v>
      </c>
      <c r="B808" s="10" t="str">
        <f t="shared" si="1"/>
        <v>isotope</v>
      </c>
      <c r="C808" s="49" t="str">
        <f t="shared" si="2"/>
        <v>S17349IS1</v>
      </c>
      <c r="D808" s="6">
        <v>33.0</v>
      </c>
      <c r="E808" s="10" t="str">
        <f t="shared" si="3"/>
        <v>BIS33</v>
      </c>
      <c r="F808" s="13">
        <v>34.0</v>
      </c>
      <c r="G808" s="10" t="str">
        <f t="shared" si="7"/>
        <v>BIS33-3334</v>
      </c>
      <c r="H808" s="16"/>
      <c r="I808" s="16" t="str">
        <f t="shared" si="5"/>
        <v>collected</v>
      </c>
      <c r="J808" s="16" t="str">
        <f t="shared" si="6"/>
        <v>N</v>
      </c>
      <c r="K808" s="16"/>
      <c r="L808" s="16"/>
    </row>
    <row r="809">
      <c r="A809" s="26" t="s">
        <v>912</v>
      </c>
      <c r="B809" s="10" t="str">
        <f t="shared" si="1"/>
        <v>isotope</v>
      </c>
      <c r="C809" s="49" t="str">
        <f t="shared" si="2"/>
        <v>S17343IS1</v>
      </c>
      <c r="D809" s="6">
        <v>33.0</v>
      </c>
      <c r="E809" s="10" t="str">
        <f t="shared" si="3"/>
        <v>BIS33</v>
      </c>
      <c r="F809" s="13">
        <v>35.0</v>
      </c>
      <c r="G809" s="10" t="str">
        <f t="shared" si="7"/>
        <v>BIS33-3435</v>
      </c>
      <c r="H809" s="16"/>
      <c r="I809" s="16" t="str">
        <f t="shared" si="5"/>
        <v>collected</v>
      </c>
      <c r="J809" s="16" t="str">
        <f t="shared" si="6"/>
        <v>N</v>
      </c>
      <c r="K809" s="16"/>
      <c r="L809" s="16"/>
    </row>
    <row r="810">
      <c r="A810" s="26" t="s">
        <v>919</v>
      </c>
      <c r="B810" s="10" t="str">
        <f t="shared" si="1"/>
        <v>isotope</v>
      </c>
      <c r="C810" s="49" t="str">
        <f t="shared" si="2"/>
        <v>S17342IS1</v>
      </c>
      <c r="D810" s="6">
        <v>33.0</v>
      </c>
      <c r="E810" s="10" t="str">
        <f t="shared" si="3"/>
        <v>BIS33</v>
      </c>
      <c r="F810" s="13">
        <v>36.0</v>
      </c>
      <c r="G810" s="10" t="str">
        <f t="shared" si="7"/>
        <v>BIS33-3536</v>
      </c>
      <c r="H810" s="16"/>
      <c r="I810" s="16" t="str">
        <f t="shared" si="5"/>
        <v>collected</v>
      </c>
      <c r="J810" s="16" t="str">
        <f t="shared" si="6"/>
        <v>N</v>
      </c>
      <c r="K810" s="16"/>
      <c r="L810" s="16"/>
    </row>
    <row r="811">
      <c r="A811" s="26" t="s">
        <v>928</v>
      </c>
      <c r="B811" s="10" t="str">
        <f t="shared" si="1"/>
        <v>isotope</v>
      </c>
      <c r="C811" s="49" t="str">
        <f t="shared" si="2"/>
        <v>S17345IS1</v>
      </c>
      <c r="D811" s="6">
        <v>33.0</v>
      </c>
      <c r="E811" s="10" t="str">
        <f t="shared" si="3"/>
        <v>BIS33</v>
      </c>
      <c r="F811" s="13">
        <v>37.0</v>
      </c>
      <c r="G811" s="10" t="str">
        <f>if(isblank(F810),"",concatenate(E811,"-",F810))</f>
        <v>BIS33-36</v>
      </c>
      <c r="H811" s="16"/>
      <c r="I811" s="16" t="str">
        <f t="shared" si="5"/>
        <v>collected</v>
      </c>
      <c r="J811" s="16" t="str">
        <f t="shared" si="6"/>
        <v>N</v>
      </c>
      <c r="K811" s="16"/>
      <c r="L811" s="16"/>
    </row>
    <row r="812">
      <c r="A812" s="26" t="s">
        <v>936</v>
      </c>
      <c r="B812" s="10" t="str">
        <f t="shared" si="1"/>
        <v>isotope</v>
      </c>
      <c r="C812" s="49" t="str">
        <f t="shared" si="2"/>
        <v>S17058IS1</v>
      </c>
      <c r="D812" s="6">
        <v>32.0</v>
      </c>
      <c r="E812" s="10" t="str">
        <f t="shared" si="3"/>
        <v>BIS32</v>
      </c>
      <c r="F812" s="13">
        <v>22.0</v>
      </c>
      <c r="G812" s="10" t="str">
        <f t="shared" ref="G812:G1558" si="8">if(isblank(F812),"",concatenate(E812,"-",F812))</f>
        <v>BIS32-22</v>
      </c>
      <c r="H812" s="16"/>
      <c r="I812" s="16" t="str">
        <f t="shared" si="5"/>
        <v>collected</v>
      </c>
      <c r="J812" s="16" t="str">
        <f t="shared" si="6"/>
        <v>N</v>
      </c>
      <c r="K812" s="16"/>
      <c r="L812" s="16"/>
    </row>
    <row r="813">
      <c r="A813" s="27" t="s">
        <v>944</v>
      </c>
      <c r="B813" s="10" t="str">
        <f t="shared" si="1"/>
        <v>isotope</v>
      </c>
      <c r="C813" s="49" t="str">
        <f t="shared" si="2"/>
        <v>S17059IS1</v>
      </c>
      <c r="D813" s="6">
        <v>32.0</v>
      </c>
      <c r="E813" s="10" t="str">
        <f t="shared" si="3"/>
        <v>BIS32</v>
      </c>
      <c r="F813" s="13">
        <v>23.0</v>
      </c>
      <c r="G813" s="10" t="str">
        <f t="shared" si="8"/>
        <v>BIS32-23</v>
      </c>
      <c r="H813" s="16"/>
      <c r="I813" s="16" t="str">
        <f t="shared" si="5"/>
        <v>collected</v>
      </c>
      <c r="J813" s="16" t="str">
        <f t="shared" si="6"/>
        <v>N</v>
      </c>
      <c r="K813" s="16"/>
      <c r="L813" s="16"/>
    </row>
    <row r="814">
      <c r="A814" s="27" t="s">
        <v>953</v>
      </c>
      <c r="B814" s="10" t="str">
        <f t="shared" si="1"/>
        <v>isotope</v>
      </c>
      <c r="C814" s="49" t="str">
        <f t="shared" si="2"/>
        <v>S17060IS1</v>
      </c>
      <c r="D814" s="6">
        <v>32.0</v>
      </c>
      <c r="E814" s="10" t="str">
        <f t="shared" si="3"/>
        <v>BIS32</v>
      </c>
      <c r="F814" s="13">
        <v>24.0</v>
      </c>
      <c r="G814" s="10" t="str">
        <f t="shared" si="8"/>
        <v>BIS32-24</v>
      </c>
      <c r="H814" s="16"/>
      <c r="I814" s="16" t="str">
        <f t="shared" si="5"/>
        <v>collected</v>
      </c>
      <c r="J814" s="16" t="str">
        <f t="shared" si="6"/>
        <v>N</v>
      </c>
      <c r="K814" s="16"/>
      <c r="L814" s="16"/>
    </row>
    <row r="815">
      <c r="A815" s="27" t="s">
        <v>961</v>
      </c>
      <c r="B815" s="10" t="str">
        <f t="shared" si="1"/>
        <v>isotope</v>
      </c>
      <c r="C815" s="49" t="str">
        <f t="shared" si="2"/>
        <v>S16081IS1</v>
      </c>
      <c r="D815" s="6">
        <v>32.0</v>
      </c>
      <c r="E815" s="10" t="str">
        <f t="shared" si="3"/>
        <v>BIS32</v>
      </c>
      <c r="F815" s="13">
        <v>25.0</v>
      </c>
      <c r="G815" s="10" t="str">
        <f t="shared" si="8"/>
        <v>BIS32-25</v>
      </c>
      <c r="H815" s="16"/>
      <c r="I815" s="16" t="str">
        <f t="shared" si="5"/>
        <v>collected</v>
      </c>
      <c r="J815" s="16" t="str">
        <f t="shared" si="6"/>
        <v>N</v>
      </c>
      <c r="K815" s="16"/>
      <c r="L815" s="16"/>
    </row>
    <row r="816">
      <c r="A816" s="27" t="s">
        <v>970</v>
      </c>
      <c r="B816" s="10" t="str">
        <f t="shared" si="1"/>
        <v>isotope</v>
      </c>
      <c r="C816" s="49" t="str">
        <f t="shared" si="2"/>
        <v>S16082IS1</v>
      </c>
      <c r="D816" s="6">
        <v>32.0</v>
      </c>
      <c r="E816" s="10" t="str">
        <f t="shared" si="3"/>
        <v>BIS32</v>
      </c>
      <c r="F816" s="13">
        <v>26.0</v>
      </c>
      <c r="G816" s="10" t="str">
        <f t="shared" si="8"/>
        <v>BIS32-26</v>
      </c>
      <c r="H816" s="16"/>
      <c r="I816" s="16" t="str">
        <f t="shared" si="5"/>
        <v>collected</v>
      </c>
      <c r="J816" s="16" t="str">
        <f t="shared" si="6"/>
        <v>N</v>
      </c>
      <c r="K816" s="16"/>
      <c r="L816" s="16"/>
    </row>
    <row r="817">
      <c r="A817" s="27" t="s">
        <v>977</v>
      </c>
      <c r="B817" s="10" t="str">
        <f t="shared" si="1"/>
        <v>isotope</v>
      </c>
      <c r="C817" s="49" t="str">
        <f t="shared" si="2"/>
        <v>S16083IS1</v>
      </c>
      <c r="D817" s="6">
        <v>32.0</v>
      </c>
      <c r="E817" s="10" t="str">
        <f t="shared" si="3"/>
        <v>BIS32</v>
      </c>
      <c r="F817" s="13">
        <v>27.0</v>
      </c>
      <c r="G817" s="10" t="str">
        <f t="shared" si="8"/>
        <v>BIS32-27</v>
      </c>
      <c r="H817" s="16"/>
      <c r="I817" s="16" t="str">
        <f t="shared" si="5"/>
        <v>collected</v>
      </c>
      <c r="J817" s="16" t="str">
        <f t="shared" si="6"/>
        <v>N</v>
      </c>
      <c r="K817" s="16"/>
      <c r="L817" s="16"/>
    </row>
    <row r="818">
      <c r="A818" s="27" t="s">
        <v>984</v>
      </c>
      <c r="B818" s="10" t="str">
        <f t="shared" si="1"/>
        <v>isotope</v>
      </c>
      <c r="C818" s="49" t="str">
        <f t="shared" si="2"/>
        <v>S16084IS1</v>
      </c>
      <c r="D818" s="6">
        <v>32.0</v>
      </c>
      <c r="E818" s="10" t="str">
        <f t="shared" si="3"/>
        <v>BIS32</v>
      </c>
      <c r="F818" s="13">
        <v>28.0</v>
      </c>
      <c r="G818" s="10" t="str">
        <f t="shared" si="8"/>
        <v>BIS32-28</v>
      </c>
      <c r="H818" s="16"/>
      <c r="I818" s="16" t="str">
        <f t="shared" si="5"/>
        <v>collected</v>
      </c>
      <c r="J818" s="16" t="str">
        <f t="shared" si="6"/>
        <v>N</v>
      </c>
      <c r="K818" s="16"/>
      <c r="L818" s="16"/>
    </row>
    <row r="819">
      <c r="A819" s="27" t="s">
        <v>992</v>
      </c>
      <c r="B819" s="10" t="str">
        <f t="shared" si="1"/>
        <v>isotope</v>
      </c>
      <c r="C819" s="49" t="str">
        <f t="shared" si="2"/>
        <v>S16085IS1</v>
      </c>
      <c r="D819" s="6">
        <v>32.0</v>
      </c>
      <c r="E819" s="10" t="str">
        <f t="shared" si="3"/>
        <v>BIS32</v>
      </c>
      <c r="F819" s="13">
        <v>29.0</v>
      </c>
      <c r="G819" s="10" t="str">
        <f t="shared" si="8"/>
        <v>BIS32-29</v>
      </c>
      <c r="H819" s="16"/>
      <c r="I819" s="16" t="str">
        <f t="shared" si="5"/>
        <v>collected</v>
      </c>
      <c r="J819" s="16" t="str">
        <f t="shared" si="6"/>
        <v>N</v>
      </c>
      <c r="K819" s="16"/>
      <c r="L819" s="16"/>
    </row>
    <row r="820">
      <c r="A820" s="27" t="s">
        <v>1000</v>
      </c>
      <c r="B820" s="10" t="str">
        <f t="shared" si="1"/>
        <v>isotope</v>
      </c>
      <c r="C820" s="49" t="str">
        <f t="shared" si="2"/>
        <v>S16086IS1</v>
      </c>
      <c r="D820" s="6">
        <v>32.0</v>
      </c>
      <c r="E820" s="10" t="str">
        <f t="shared" si="3"/>
        <v>BIS32</v>
      </c>
      <c r="F820" s="13">
        <v>30.0</v>
      </c>
      <c r="G820" s="10" t="str">
        <f t="shared" si="8"/>
        <v>BIS32-30</v>
      </c>
      <c r="H820" s="16"/>
      <c r="I820" s="16" t="str">
        <f t="shared" si="5"/>
        <v>collected</v>
      </c>
      <c r="J820" s="16" t="str">
        <f t="shared" si="6"/>
        <v>N</v>
      </c>
      <c r="K820" s="16"/>
      <c r="L820" s="16"/>
    </row>
    <row r="821">
      <c r="A821" s="27" t="s">
        <v>1007</v>
      </c>
      <c r="B821" s="10" t="str">
        <f t="shared" si="1"/>
        <v>isotope</v>
      </c>
      <c r="C821" s="49" t="str">
        <f t="shared" si="2"/>
        <v>S16087IS1</v>
      </c>
      <c r="D821" s="6">
        <v>32.0</v>
      </c>
      <c r="E821" s="10" t="str">
        <f t="shared" si="3"/>
        <v>BIS32</v>
      </c>
      <c r="F821" s="13">
        <v>31.0</v>
      </c>
      <c r="G821" s="10" t="str">
        <f t="shared" si="8"/>
        <v>BIS32-31</v>
      </c>
      <c r="H821" s="16"/>
      <c r="I821" s="16" t="str">
        <f t="shared" si="5"/>
        <v>collected</v>
      </c>
      <c r="J821" s="16" t="str">
        <f t="shared" si="6"/>
        <v>N</v>
      </c>
      <c r="K821" s="16"/>
      <c r="L821" s="16"/>
    </row>
    <row r="822">
      <c r="A822" s="26" t="s">
        <v>1014</v>
      </c>
      <c r="B822" s="10" t="str">
        <f t="shared" si="1"/>
        <v>isotope</v>
      </c>
      <c r="C822" s="49" t="str">
        <f t="shared" si="2"/>
        <v>S16088IS1</v>
      </c>
      <c r="D822" s="6">
        <v>32.0</v>
      </c>
      <c r="E822" s="10" t="str">
        <f t="shared" si="3"/>
        <v>BIS32</v>
      </c>
      <c r="F822" s="13">
        <v>32.0</v>
      </c>
      <c r="G822" s="10" t="str">
        <f t="shared" si="8"/>
        <v>BIS32-32</v>
      </c>
      <c r="H822" s="16"/>
      <c r="I822" s="16" t="str">
        <f t="shared" si="5"/>
        <v>collected</v>
      </c>
      <c r="J822" s="16" t="str">
        <f t="shared" si="6"/>
        <v>N</v>
      </c>
      <c r="K822" s="16"/>
      <c r="L822" s="16"/>
    </row>
    <row r="823">
      <c r="A823" s="26" t="s">
        <v>1022</v>
      </c>
      <c r="B823" s="10" t="str">
        <f t="shared" si="1"/>
        <v>isotope</v>
      </c>
      <c r="C823" s="49" t="str">
        <f t="shared" si="2"/>
        <v>S16089IS1</v>
      </c>
      <c r="D823" s="6">
        <v>32.0</v>
      </c>
      <c r="E823" s="10" t="str">
        <f t="shared" si="3"/>
        <v>BIS32</v>
      </c>
      <c r="F823" s="13">
        <v>33.0</v>
      </c>
      <c r="G823" s="10" t="str">
        <f t="shared" si="8"/>
        <v>BIS32-33</v>
      </c>
      <c r="H823" s="16"/>
      <c r="I823" s="16" t="str">
        <f t="shared" si="5"/>
        <v>collected</v>
      </c>
      <c r="J823" s="16" t="str">
        <f t="shared" si="6"/>
        <v>N</v>
      </c>
      <c r="K823" s="16"/>
      <c r="L823" s="16"/>
    </row>
    <row r="824">
      <c r="A824" s="26" t="s">
        <v>1027</v>
      </c>
      <c r="B824" s="10" t="str">
        <f t="shared" si="1"/>
        <v>isotope</v>
      </c>
      <c r="C824" s="49" t="str">
        <f t="shared" si="2"/>
        <v>S16090IS1</v>
      </c>
      <c r="D824" s="6">
        <v>32.0</v>
      </c>
      <c r="E824" s="10" t="str">
        <f t="shared" si="3"/>
        <v>BIS32</v>
      </c>
      <c r="F824" s="13">
        <v>34.0</v>
      </c>
      <c r="G824" s="10" t="str">
        <f t="shared" si="8"/>
        <v>BIS32-34</v>
      </c>
      <c r="H824" s="16"/>
      <c r="I824" s="16" t="str">
        <f t="shared" si="5"/>
        <v>collected</v>
      </c>
      <c r="J824" s="16" t="str">
        <f t="shared" si="6"/>
        <v>N</v>
      </c>
      <c r="K824" s="16"/>
      <c r="L824" s="16"/>
    </row>
    <row r="825">
      <c r="A825" s="26" t="s">
        <v>1034</v>
      </c>
      <c r="B825" s="10" t="str">
        <f t="shared" si="1"/>
        <v>isotope</v>
      </c>
      <c r="C825" s="49" t="str">
        <f t="shared" si="2"/>
        <v>S17141IS1</v>
      </c>
      <c r="D825" s="6">
        <v>32.0</v>
      </c>
      <c r="E825" s="10" t="str">
        <f t="shared" si="3"/>
        <v>BIS32</v>
      </c>
      <c r="F825" s="13">
        <v>35.0</v>
      </c>
      <c r="G825" s="10" t="str">
        <f t="shared" si="8"/>
        <v>BIS32-35</v>
      </c>
      <c r="H825" s="16"/>
      <c r="I825" s="16" t="str">
        <f t="shared" si="5"/>
        <v>collected</v>
      </c>
      <c r="J825" s="16" t="str">
        <f t="shared" si="6"/>
        <v>N</v>
      </c>
      <c r="K825" s="16"/>
      <c r="L825" s="16"/>
    </row>
    <row r="826">
      <c r="A826" s="26" t="s">
        <v>1043</v>
      </c>
      <c r="B826" s="10" t="str">
        <f t="shared" si="1"/>
        <v>isotope</v>
      </c>
      <c r="C826" s="49" t="str">
        <f t="shared" si="2"/>
        <v>S17142IS1</v>
      </c>
      <c r="D826" s="6">
        <v>32.0</v>
      </c>
      <c r="E826" s="10" t="str">
        <f t="shared" si="3"/>
        <v>BIS32</v>
      </c>
      <c r="F826" s="13">
        <v>36.0</v>
      </c>
      <c r="G826" s="10" t="str">
        <f t="shared" si="8"/>
        <v>BIS32-36</v>
      </c>
      <c r="H826" s="16"/>
      <c r="I826" s="16" t="str">
        <f t="shared" si="5"/>
        <v>collected</v>
      </c>
      <c r="J826" s="16" t="str">
        <f t="shared" si="6"/>
        <v>N</v>
      </c>
      <c r="K826" s="16"/>
      <c r="L826" s="16"/>
    </row>
    <row r="827">
      <c r="A827" s="26" t="s">
        <v>1054</v>
      </c>
      <c r="B827" s="10" t="str">
        <f t="shared" si="1"/>
        <v>isotope</v>
      </c>
      <c r="C827" s="49" t="str">
        <f t="shared" si="2"/>
        <v>S17143IS1</v>
      </c>
      <c r="D827" s="6">
        <v>32.0</v>
      </c>
      <c r="E827" s="10" t="str">
        <f t="shared" si="3"/>
        <v>BIS32</v>
      </c>
      <c r="F827" s="13">
        <v>37.0</v>
      </c>
      <c r="G827" s="10" t="str">
        <f t="shared" si="8"/>
        <v>BIS32-37</v>
      </c>
      <c r="H827" s="16"/>
      <c r="I827" s="16" t="str">
        <f t="shared" si="5"/>
        <v>collected</v>
      </c>
      <c r="J827" s="16" t="str">
        <f t="shared" si="6"/>
        <v>N</v>
      </c>
      <c r="K827" s="16"/>
      <c r="L827" s="16"/>
    </row>
    <row r="828">
      <c r="A828" s="26" t="s">
        <v>1063</v>
      </c>
      <c r="B828" s="10" t="str">
        <f t="shared" si="1"/>
        <v>isotope</v>
      </c>
      <c r="C828" s="49" t="str">
        <f t="shared" si="2"/>
        <v>S17144IS1</v>
      </c>
      <c r="D828" s="6">
        <v>32.0</v>
      </c>
      <c r="E828" s="10" t="str">
        <f t="shared" si="3"/>
        <v>BIS32</v>
      </c>
      <c r="F828" s="13">
        <v>38.0</v>
      </c>
      <c r="G828" s="10" t="str">
        <f t="shared" si="8"/>
        <v>BIS32-38</v>
      </c>
      <c r="H828" s="16"/>
      <c r="I828" s="16" t="str">
        <f t="shared" si="5"/>
        <v>collected</v>
      </c>
      <c r="J828" s="16" t="str">
        <f t="shared" si="6"/>
        <v>N</v>
      </c>
      <c r="K828" s="16"/>
      <c r="L828" s="16"/>
    </row>
    <row r="829">
      <c r="A829" s="26" t="s">
        <v>1073</v>
      </c>
      <c r="B829" s="10" t="str">
        <f t="shared" si="1"/>
        <v>isotope</v>
      </c>
      <c r="C829" s="49" t="str">
        <f t="shared" si="2"/>
        <v>S17145IS1</v>
      </c>
      <c r="D829" s="6">
        <v>32.0</v>
      </c>
      <c r="E829" s="10" t="str">
        <f t="shared" si="3"/>
        <v>BIS32</v>
      </c>
      <c r="F829" s="13">
        <v>39.0</v>
      </c>
      <c r="G829" s="10" t="str">
        <f t="shared" si="8"/>
        <v>BIS32-39</v>
      </c>
      <c r="H829" s="16"/>
      <c r="I829" s="16" t="str">
        <f t="shared" si="5"/>
        <v>collected</v>
      </c>
      <c r="J829" s="16" t="str">
        <f t="shared" si="6"/>
        <v>N</v>
      </c>
      <c r="K829" s="16"/>
      <c r="L829" s="16"/>
    </row>
    <row r="830">
      <c r="A830" s="26" t="s">
        <v>1083</v>
      </c>
      <c r="B830" s="10" t="str">
        <f t="shared" si="1"/>
        <v>isotope</v>
      </c>
      <c r="C830" s="49" t="str">
        <f t="shared" si="2"/>
        <v>S17146IS1</v>
      </c>
      <c r="D830" s="6">
        <v>32.0</v>
      </c>
      <c r="E830" s="10" t="str">
        <f t="shared" si="3"/>
        <v>BIS32</v>
      </c>
      <c r="F830" s="13">
        <v>40.0</v>
      </c>
      <c r="G830" s="10" t="str">
        <f t="shared" si="8"/>
        <v>BIS32-40</v>
      </c>
      <c r="H830" s="16"/>
      <c r="I830" s="16" t="str">
        <f t="shared" si="5"/>
        <v>collected</v>
      </c>
      <c r="J830" s="16" t="str">
        <f t="shared" si="6"/>
        <v>N</v>
      </c>
      <c r="K830" s="16"/>
      <c r="L830" s="16"/>
    </row>
    <row r="831">
      <c r="A831" s="26" t="s">
        <v>1095</v>
      </c>
      <c r="B831" s="10" t="str">
        <f t="shared" si="1"/>
        <v>isotope</v>
      </c>
      <c r="C831" s="49" t="str">
        <f t="shared" si="2"/>
        <v>S17147IS1</v>
      </c>
      <c r="D831" s="6">
        <v>32.0</v>
      </c>
      <c r="E831" s="10" t="str">
        <f t="shared" si="3"/>
        <v>BIS32</v>
      </c>
      <c r="F831" s="13">
        <v>41.0</v>
      </c>
      <c r="G831" s="10" t="str">
        <f t="shared" si="8"/>
        <v>BIS32-41</v>
      </c>
      <c r="H831" s="16"/>
      <c r="I831" s="16" t="str">
        <f t="shared" si="5"/>
        <v>collected</v>
      </c>
      <c r="J831" s="16" t="str">
        <f t="shared" si="6"/>
        <v>N</v>
      </c>
      <c r="K831" s="16"/>
      <c r="L831" s="16"/>
    </row>
    <row r="832">
      <c r="A832" s="26" t="s">
        <v>1106</v>
      </c>
      <c r="B832" s="10" t="str">
        <f t="shared" si="1"/>
        <v>isotope</v>
      </c>
      <c r="C832" s="49" t="str">
        <f t="shared" si="2"/>
        <v>S17148IS1</v>
      </c>
      <c r="D832" s="6">
        <v>32.0</v>
      </c>
      <c r="E832" s="10" t="str">
        <f t="shared" si="3"/>
        <v>BIS32</v>
      </c>
      <c r="F832" s="13">
        <v>42.0</v>
      </c>
      <c r="G832" s="10" t="str">
        <f t="shared" si="8"/>
        <v>BIS32-42</v>
      </c>
      <c r="H832" s="16"/>
      <c r="I832" s="16" t="str">
        <f t="shared" si="5"/>
        <v>collected</v>
      </c>
      <c r="J832" s="16" t="str">
        <f t="shared" si="6"/>
        <v>N</v>
      </c>
      <c r="K832" s="16"/>
      <c r="L832" s="16"/>
    </row>
    <row r="833">
      <c r="A833" s="26" t="s">
        <v>1116</v>
      </c>
      <c r="B833" s="10" t="str">
        <f t="shared" si="1"/>
        <v>isotope</v>
      </c>
      <c r="C833" s="49" t="str">
        <f t="shared" si="2"/>
        <v>S17149IS1</v>
      </c>
      <c r="D833" s="6">
        <v>32.0</v>
      </c>
      <c r="E833" s="10" t="str">
        <f t="shared" si="3"/>
        <v>BIS32</v>
      </c>
      <c r="F833" s="13">
        <v>43.0</v>
      </c>
      <c r="G833" s="10" t="str">
        <f t="shared" si="8"/>
        <v>BIS32-43</v>
      </c>
      <c r="H833" s="16"/>
      <c r="I833" s="16" t="str">
        <f t="shared" si="5"/>
        <v>collected</v>
      </c>
      <c r="J833" s="16" t="str">
        <f t="shared" si="6"/>
        <v>N</v>
      </c>
      <c r="K833" s="16"/>
      <c r="L833" s="16"/>
    </row>
    <row r="834">
      <c r="A834" s="26" t="s">
        <v>1126</v>
      </c>
      <c r="B834" s="10" t="str">
        <f t="shared" si="1"/>
        <v>isotope</v>
      </c>
      <c r="C834" s="49" t="str">
        <f t="shared" si="2"/>
        <v>S17150IS1</v>
      </c>
      <c r="D834" s="6">
        <v>32.0</v>
      </c>
      <c r="E834" s="10" t="str">
        <f t="shared" si="3"/>
        <v>BIS32</v>
      </c>
      <c r="F834" s="13">
        <v>44.0</v>
      </c>
      <c r="G834" s="10" t="str">
        <f t="shared" si="8"/>
        <v>BIS32-44</v>
      </c>
      <c r="H834" s="16"/>
      <c r="I834" s="16" t="str">
        <f t="shared" si="5"/>
        <v>collected</v>
      </c>
      <c r="J834" s="16" t="str">
        <f t="shared" si="6"/>
        <v>N</v>
      </c>
      <c r="K834" s="16"/>
      <c r="L834" s="16"/>
    </row>
    <row r="835">
      <c r="A835" s="26" t="s">
        <v>1138</v>
      </c>
      <c r="B835" s="10" t="str">
        <f t="shared" si="1"/>
        <v>isotope</v>
      </c>
      <c r="C835" s="49" t="str">
        <f t="shared" si="2"/>
        <v>S17321IS1</v>
      </c>
      <c r="D835" s="6">
        <v>32.0</v>
      </c>
      <c r="E835" s="10" t="str">
        <f t="shared" si="3"/>
        <v>BIS32</v>
      </c>
      <c r="F835" s="13">
        <v>45.0</v>
      </c>
      <c r="G835" s="10" t="str">
        <f t="shared" si="8"/>
        <v>BIS32-45</v>
      </c>
      <c r="H835" s="16"/>
      <c r="I835" s="16" t="str">
        <f t="shared" si="5"/>
        <v>collected</v>
      </c>
      <c r="J835" s="16" t="str">
        <f t="shared" si="6"/>
        <v>N</v>
      </c>
      <c r="K835" s="16"/>
      <c r="L835" s="16"/>
    </row>
    <row r="836">
      <c r="A836" s="26" t="s">
        <v>1150</v>
      </c>
      <c r="B836" s="10" t="str">
        <f t="shared" si="1"/>
        <v>isotope</v>
      </c>
      <c r="C836" s="49" t="str">
        <f t="shared" si="2"/>
        <v>S17322IS1</v>
      </c>
      <c r="D836" s="6">
        <v>32.0</v>
      </c>
      <c r="E836" s="10" t="str">
        <f t="shared" si="3"/>
        <v>BIS32</v>
      </c>
      <c r="F836" s="13">
        <v>46.0</v>
      </c>
      <c r="G836" s="10" t="str">
        <f t="shared" si="8"/>
        <v>BIS32-46</v>
      </c>
      <c r="H836" s="16"/>
      <c r="I836" s="16" t="str">
        <f t="shared" si="5"/>
        <v>collected</v>
      </c>
      <c r="J836" s="16" t="str">
        <f t="shared" si="6"/>
        <v>N</v>
      </c>
      <c r="K836" s="16"/>
      <c r="L836" s="16"/>
    </row>
    <row r="837">
      <c r="A837" s="26" t="s">
        <v>1160</v>
      </c>
      <c r="B837" s="10" t="str">
        <f t="shared" si="1"/>
        <v>isotope</v>
      </c>
      <c r="C837" s="49" t="str">
        <f t="shared" si="2"/>
        <v>S17323IS1</v>
      </c>
      <c r="D837" s="6">
        <v>32.0</v>
      </c>
      <c r="E837" s="10" t="str">
        <f t="shared" si="3"/>
        <v>BIS32</v>
      </c>
      <c r="F837" s="13">
        <v>47.0</v>
      </c>
      <c r="G837" s="10" t="str">
        <f t="shared" si="8"/>
        <v>BIS32-47</v>
      </c>
      <c r="H837" s="16"/>
      <c r="I837" s="16" t="str">
        <f t="shared" si="5"/>
        <v>collected</v>
      </c>
      <c r="J837" s="16" t="str">
        <f t="shared" si="6"/>
        <v>N</v>
      </c>
      <c r="K837" s="16"/>
      <c r="L837" s="16"/>
    </row>
    <row r="838">
      <c r="A838" s="26" t="s">
        <v>1169</v>
      </c>
      <c r="B838" s="10" t="str">
        <f t="shared" si="1"/>
        <v>isotope</v>
      </c>
      <c r="C838" s="49" t="str">
        <f t="shared" si="2"/>
        <v>S17324IS1</v>
      </c>
      <c r="D838" s="6">
        <v>32.0</v>
      </c>
      <c r="E838" s="10" t="str">
        <f t="shared" si="3"/>
        <v>BIS32</v>
      </c>
      <c r="F838" s="13">
        <v>48.0</v>
      </c>
      <c r="G838" s="10" t="str">
        <f t="shared" si="8"/>
        <v>BIS32-48</v>
      </c>
      <c r="H838" s="16"/>
      <c r="I838" s="16" t="str">
        <f t="shared" si="5"/>
        <v>collected</v>
      </c>
      <c r="J838" s="16" t="str">
        <f t="shared" si="6"/>
        <v>N</v>
      </c>
      <c r="K838" s="16"/>
      <c r="L838" s="16"/>
    </row>
    <row r="839">
      <c r="A839" s="26" t="s">
        <v>1178</v>
      </c>
      <c r="B839" s="10" t="str">
        <f t="shared" si="1"/>
        <v>isotope</v>
      </c>
      <c r="C839" s="49" t="str">
        <f t="shared" si="2"/>
        <v>S17325IS1</v>
      </c>
      <c r="D839" s="6">
        <v>32.0</v>
      </c>
      <c r="E839" s="10" t="str">
        <f t="shared" si="3"/>
        <v>BIS32</v>
      </c>
      <c r="F839" s="13">
        <v>49.0</v>
      </c>
      <c r="G839" s="10" t="str">
        <f t="shared" si="8"/>
        <v>BIS32-49</v>
      </c>
      <c r="H839" s="16"/>
      <c r="I839" s="16" t="str">
        <f t="shared" si="5"/>
        <v>collected</v>
      </c>
      <c r="J839" s="16" t="str">
        <f t="shared" si="6"/>
        <v>N</v>
      </c>
      <c r="K839" s="16"/>
      <c r="L839" s="16"/>
    </row>
    <row r="840">
      <c r="A840" s="44" t="s">
        <v>1180</v>
      </c>
      <c r="B840" s="10" t="str">
        <f t="shared" si="1"/>
        <v>isotope</v>
      </c>
      <c r="C840" s="49" t="str">
        <f t="shared" si="2"/>
        <v>S17346IS1</v>
      </c>
      <c r="D840" s="6">
        <v>33.0</v>
      </c>
      <c r="E840" s="10" t="str">
        <f t="shared" si="3"/>
        <v>BIS33</v>
      </c>
      <c r="F840" s="13">
        <v>38.0</v>
      </c>
      <c r="G840" s="10" t="str">
        <f t="shared" si="8"/>
        <v>BIS33-38</v>
      </c>
      <c r="H840" s="16"/>
      <c r="I840" s="16" t="str">
        <f t="shared" si="5"/>
        <v>collected</v>
      </c>
      <c r="J840" s="16" t="str">
        <f t="shared" si="6"/>
        <v>N</v>
      </c>
      <c r="K840" s="16"/>
      <c r="L840" s="16"/>
    </row>
    <row r="841">
      <c r="A841" s="44" t="s">
        <v>1182</v>
      </c>
      <c r="B841" s="10" t="str">
        <f t="shared" si="1"/>
        <v>isotope</v>
      </c>
      <c r="C841" s="49" t="str">
        <f t="shared" si="2"/>
        <v>S17344IS1</v>
      </c>
      <c r="D841" s="6">
        <v>33.0</v>
      </c>
      <c r="E841" s="10" t="str">
        <f t="shared" si="3"/>
        <v>BIS33</v>
      </c>
      <c r="F841" s="13">
        <v>39.0</v>
      </c>
      <c r="G841" s="10" t="str">
        <f t="shared" si="8"/>
        <v>BIS33-39</v>
      </c>
      <c r="H841" s="16"/>
      <c r="I841" s="16" t="str">
        <f t="shared" si="5"/>
        <v>collected</v>
      </c>
      <c r="J841" s="16" t="str">
        <f t="shared" si="6"/>
        <v>N</v>
      </c>
      <c r="K841" s="16"/>
      <c r="L841" s="16"/>
    </row>
    <row r="842">
      <c r="A842" s="43" t="s">
        <v>1186</v>
      </c>
      <c r="B842" s="10" t="str">
        <f t="shared" si="1"/>
        <v>isotope</v>
      </c>
      <c r="C842" s="49" t="str">
        <f t="shared" si="2"/>
        <v>S17218IS1</v>
      </c>
      <c r="D842" s="6">
        <v>33.0</v>
      </c>
      <c r="E842" s="10" t="str">
        <f t="shared" si="3"/>
        <v>BIS33</v>
      </c>
      <c r="F842" s="13">
        <v>40.0</v>
      </c>
      <c r="G842" s="10" t="str">
        <f t="shared" si="8"/>
        <v>BIS33-40</v>
      </c>
      <c r="H842" s="16"/>
      <c r="I842" s="16" t="str">
        <f t="shared" si="5"/>
        <v>collected</v>
      </c>
      <c r="J842" s="16" t="str">
        <f t="shared" si="6"/>
        <v>N</v>
      </c>
      <c r="K842" s="16"/>
      <c r="L842" s="16"/>
    </row>
    <row r="843">
      <c r="A843" s="46" t="s">
        <v>1190</v>
      </c>
      <c r="B843" s="10" t="str">
        <f t="shared" si="1"/>
        <v>isotope</v>
      </c>
      <c r="C843" s="49" t="str">
        <f t="shared" si="2"/>
        <v>S17215IS1</v>
      </c>
      <c r="D843" s="6">
        <v>33.0</v>
      </c>
      <c r="E843" s="10" t="str">
        <f t="shared" si="3"/>
        <v>BIS33</v>
      </c>
      <c r="F843" s="13">
        <v>41.0</v>
      </c>
      <c r="G843" s="10" t="str">
        <f t="shared" si="8"/>
        <v>BIS33-41</v>
      </c>
      <c r="H843" s="16"/>
      <c r="I843" s="16" t="str">
        <f t="shared" si="5"/>
        <v>collected</v>
      </c>
      <c r="J843" s="16" t="str">
        <f t="shared" si="6"/>
        <v>N</v>
      </c>
      <c r="K843" s="16"/>
      <c r="L843" s="16"/>
    </row>
    <row r="844">
      <c r="A844" s="46" t="s">
        <v>1192</v>
      </c>
      <c r="B844" s="10" t="str">
        <f t="shared" si="1"/>
        <v>isotope</v>
      </c>
      <c r="C844" s="49" t="str">
        <f t="shared" si="2"/>
        <v>S17219IS1</v>
      </c>
      <c r="D844" s="6">
        <v>33.0</v>
      </c>
      <c r="E844" s="10" t="str">
        <f t="shared" si="3"/>
        <v>BIS33</v>
      </c>
      <c r="F844" s="13">
        <v>42.0</v>
      </c>
      <c r="G844" s="10" t="str">
        <f t="shared" si="8"/>
        <v>BIS33-42</v>
      </c>
      <c r="H844" s="16"/>
      <c r="I844" s="16" t="str">
        <f t="shared" si="5"/>
        <v>collected</v>
      </c>
      <c r="J844" s="16" t="str">
        <f t="shared" si="6"/>
        <v>N</v>
      </c>
      <c r="K844" s="16"/>
      <c r="L844" s="16"/>
    </row>
    <row r="845">
      <c r="A845" s="46" t="s">
        <v>1195</v>
      </c>
      <c r="B845" s="10" t="str">
        <f t="shared" si="1"/>
        <v>isotope</v>
      </c>
      <c r="C845" s="49" t="str">
        <f t="shared" si="2"/>
        <v>S17220IS1</v>
      </c>
      <c r="D845" s="6">
        <v>33.0</v>
      </c>
      <c r="E845" s="10" t="str">
        <f t="shared" si="3"/>
        <v>BIS33</v>
      </c>
      <c r="F845" s="13">
        <v>43.0</v>
      </c>
      <c r="G845" s="10" t="str">
        <f t="shared" si="8"/>
        <v>BIS33-43</v>
      </c>
      <c r="H845" s="16"/>
      <c r="I845" s="16" t="str">
        <f t="shared" si="5"/>
        <v>collected</v>
      </c>
      <c r="J845" s="16" t="str">
        <f t="shared" si="6"/>
        <v>N</v>
      </c>
      <c r="K845" s="16"/>
      <c r="L845" s="16"/>
    </row>
    <row r="846">
      <c r="A846" s="46" t="s">
        <v>1197</v>
      </c>
      <c r="B846" s="10" t="str">
        <f t="shared" si="1"/>
        <v>isotope</v>
      </c>
      <c r="C846" s="49" t="str">
        <f t="shared" si="2"/>
        <v>S17211IS1</v>
      </c>
      <c r="D846" s="6">
        <v>33.0</v>
      </c>
      <c r="E846" s="10" t="str">
        <f t="shared" si="3"/>
        <v>BIS33</v>
      </c>
      <c r="F846" s="13">
        <v>44.0</v>
      </c>
      <c r="G846" s="10" t="str">
        <f t="shared" si="8"/>
        <v>BIS33-44</v>
      </c>
      <c r="H846" s="16"/>
      <c r="I846" s="16" t="str">
        <f t="shared" si="5"/>
        <v>collected</v>
      </c>
      <c r="J846" s="16" t="str">
        <f t="shared" si="6"/>
        <v>N</v>
      </c>
      <c r="K846" s="16"/>
      <c r="L846" s="16"/>
    </row>
    <row r="847">
      <c r="A847" s="46" t="s">
        <v>1200</v>
      </c>
      <c r="B847" s="10" t="str">
        <f t="shared" si="1"/>
        <v>isotope</v>
      </c>
      <c r="C847" s="49" t="str">
        <f t="shared" si="2"/>
        <v>S17217IS1</v>
      </c>
      <c r="D847" s="6">
        <v>33.0</v>
      </c>
      <c r="E847" s="10" t="str">
        <f t="shared" si="3"/>
        <v>BIS33</v>
      </c>
      <c r="F847" s="13">
        <v>45.0</v>
      </c>
      <c r="G847" s="10" t="str">
        <f t="shared" si="8"/>
        <v>BIS33-45</v>
      </c>
      <c r="H847" s="16"/>
      <c r="I847" s="16" t="str">
        <f t="shared" si="5"/>
        <v>collected</v>
      </c>
      <c r="J847" s="16" t="str">
        <f t="shared" si="6"/>
        <v>N</v>
      </c>
      <c r="K847" s="16"/>
      <c r="L847" s="16"/>
    </row>
    <row r="848">
      <c r="A848" s="46" t="s">
        <v>1202</v>
      </c>
      <c r="B848" s="10" t="str">
        <f t="shared" si="1"/>
        <v>isotope</v>
      </c>
      <c r="C848" s="49" t="str">
        <f t="shared" si="2"/>
        <v>S17213IS1</v>
      </c>
      <c r="D848" s="6">
        <v>33.0</v>
      </c>
      <c r="E848" s="10" t="str">
        <f t="shared" si="3"/>
        <v>BIS33</v>
      </c>
      <c r="F848" s="13">
        <v>46.0</v>
      </c>
      <c r="G848" s="10" t="str">
        <f t="shared" si="8"/>
        <v>BIS33-46</v>
      </c>
      <c r="H848" s="16"/>
      <c r="I848" s="16" t="str">
        <f t="shared" si="5"/>
        <v>collected</v>
      </c>
      <c r="J848" s="16" t="str">
        <f t="shared" si="6"/>
        <v>N</v>
      </c>
      <c r="K848" s="16"/>
      <c r="L848" s="16"/>
    </row>
    <row r="849">
      <c r="A849" s="46" t="s">
        <v>1204</v>
      </c>
      <c r="B849" s="10" t="str">
        <f t="shared" si="1"/>
        <v>isotope</v>
      </c>
      <c r="C849" s="49" t="str">
        <f t="shared" si="2"/>
        <v>S17212IS1</v>
      </c>
      <c r="D849" s="6">
        <v>33.0</v>
      </c>
      <c r="E849" s="10" t="str">
        <f t="shared" si="3"/>
        <v>BIS33</v>
      </c>
      <c r="F849" s="13">
        <v>47.0</v>
      </c>
      <c r="G849" s="10" t="str">
        <f t="shared" si="8"/>
        <v>BIS33-47</v>
      </c>
      <c r="H849" s="16"/>
      <c r="I849" s="16" t="str">
        <f t="shared" si="5"/>
        <v>collected</v>
      </c>
      <c r="J849" s="16" t="str">
        <f t="shared" si="6"/>
        <v>N</v>
      </c>
      <c r="K849" s="16"/>
      <c r="L849" s="16"/>
    </row>
    <row r="850">
      <c r="A850" s="46" t="s">
        <v>1208</v>
      </c>
      <c r="B850" s="10" t="str">
        <f t="shared" si="1"/>
        <v>isotope</v>
      </c>
      <c r="C850" s="49" t="str">
        <f t="shared" si="2"/>
        <v>S17216IS1</v>
      </c>
      <c r="D850" s="6">
        <v>33.0</v>
      </c>
      <c r="E850" s="10" t="str">
        <f t="shared" si="3"/>
        <v>BIS33</v>
      </c>
      <c r="F850" s="13">
        <v>48.0</v>
      </c>
      <c r="G850" s="10" t="str">
        <f t="shared" si="8"/>
        <v>BIS33-48</v>
      </c>
      <c r="H850" s="16"/>
      <c r="I850" s="16" t="str">
        <f t="shared" si="5"/>
        <v>collected</v>
      </c>
      <c r="J850" s="16" t="str">
        <f t="shared" si="6"/>
        <v>N</v>
      </c>
      <c r="K850" s="16"/>
      <c r="L850" s="16"/>
    </row>
    <row r="851">
      <c r="A851" s="46" t="s">
        <v>1209</v>
      </c>
      <c r="B851" s="10" t="str">
        <f t="shared" si="1"/>
        <v>isotope</v>
      </c>
      <c r="C851" s="49" t="str">
        <f t="shared" si="2"/>
        <v>S17214IS1</v>
      </c>
      <c r="D851" s="6">
        <v>33.0</v>
      </c>
      <c r="E851" s="10" t="str">
        <f t="shared" si="3"/>
        <v>BIS33</v>
      </c>
      <c r="F851" s="13">
        <v>49.0</v>
      </c>
      <c r="G851" s="10" t="str">
        <f t="shared" si="8"/>
        <v>BIS33-49</v>
      </c>
      <c r="H851" s="16"/>
      <c r="I851" s="16" t="str">
        <f t="shared" si="5"/>
        <v>collected</v>
      </c>
      <c r="J851" s="16" t="str">
        <f t="shared" si="6"/>
        <v>N</v>
      </c>
      <c r="K851" s="16"/>
      <c r="L851" s="16"/>
    </row>
    <row r="852">
      <c r="A852" s="46" t="s">
        <v>1211</v>
      </c>
      <c r="B852" s="10" t="str">
        <f t="shared" si="1"/>
        <v>isotope</v>
      </c>
      <c r="C852" s="49" t="str">
        <f t="shared" si="2"/>
        <v>S17170IS1</v>
      </c>
      <c r="D852" s="6">
        <v>33.0</v>
      </c>
      <c r="E852" s="10" t="str">
        <f t="shared" si="3"/>
        <v>BIS33</v>
      </c>
      <c r="F852" s="13">
        <v>50.0</v>
      </c>
      <c r="G852" s="10" t="str">
        <f t="shared" si="8"/>
        <v>BIS33-50</v>
      </c>
      <c r="H852" s="16"/>
      <c r="I852" s="16" t="str">
        <f t="shared" si="5"/>
        <v>collected</v>
      </c>
      <c r="J852" s="16" t="str">
        <f t="shared" si="6"/>
        <v>N</v>
      </c>
      <c r="K852" s="16"/>
      <c r="L852" s="16"/>
    </row>
    <row r="853">
      <c r="A853" s="46" t="s">
        <v>1230</v>
      </c>
      <c r="B853" s="10" t="str">
        <f t="shared" si="1"/>
        <v>isotope</v>
      </c>
      <c r="C853" s="49" t="str">
        <f t="shared" si="2"/>
        <v>S17161IS1</v>
      </c>
      <c r="D853" s="6">
        <v>33.0</v>
      </c>
      <c r="E853" s="10" t="str">
        <f t="shared" si="3"/>
        <v>BIS33</v>
      </c>
      <c r="F853" s="13">
        <v>51.0</v>
      </c>
      <c r="G853" s="10" t="str">
        <f t="shared" si="8"/>
        <v>BIS33-51</v>
      </c>
      <c r="H853" s="16"/>
      <c r="I853" s="16" t="str">
        <f t="shared" si="5"/>
        <v>collected</v>
      </c>
      <c r="J853" s="16" t="str">
        <f t="shared" si="6"/>
        <v>N</v>
      </c>
      <c r="K853" s="16"/>
      <c r="L853" s="16"/>
    </row>
    <row r="854">
      <c r="A854" s="46" t="s">
        <v>1232</v>
      </c>
      <c r="B854" s="10" t="str">
        <f t="shared" si="1"/>
        <v>isotope</v>
      </c>
      <c r="C854" s="49" t="str">
        <f t="shared" si="2"/>
        <v>S17165IS1</v>
      </c>
      <c r="D854" s="6">
        <v>33.0</v>
      </c>
      <c r="E854" s="10" t="str">
        <f t="shared" si="3"/>
        <v>BIS33</v>
      </c>
      <c r="F854" s="13">
        <v>52.0</v>
      </c>
      <c r="G854" s="10" t="str">
        <f t="shared" si="8"/>
        <v>BIS33-52</v>
      </c>
      <c r="H854" s="16"/>
      <c r="I854" s="16" t="str">
        <f t="shared" si="5"/>
        <v>collected</v>
      </c>
      <c r="J854" s="16" t="str">
        <f t="shared" si="6"/>
        <v>N</v>
      </c>
      <c r="K854" s="16"/>
      <c r="L854" s="16"/>
    </row>
    <row r="855">
      <c r="A855" s="46" t="s">
        <v>1236</v>
      </c>
      <c r="B855" s="10" t="str">
        <f t="shared" si="1"/>
        <v>isotope</v>
      </c>
      <c r="C855" s="49" t="str">
        <f t="shared" si="2"/>
        <v>S17166IS1</v>
      </c>
      <c r="D855" s="6">
        <v>33.0</v>
      </c>
      <c r="E855" s="10" t="str">
        <f t="shared" si="3"/>
        <v>BIS33</v>
      </c>
      <c r="F855" s="13">
        <v>53.0</v>
      </c>
      <c r="G855" s="10" t="str">
        <f t="shared" si="8"/>
        <v>BIS33-53</v>
      </c>
      <c r="H855" s="16"/>
      <c r="I855" s="16" t="str">
        <f t="shared" si="5"/>
        <v>collected</v>
      </c>
      <c r="J855" s="16" t="str">
        <f t="shared" si="6"/>
        <v>N</v>
      </c>
      <c r="K855" s="16"/>
      <c r="L855" s="16"/>
    </row>
    <row r="856">
      <c r="A856" s="40" t="s">
        <v>1238</v>
      </c>
      <c r="B856" s="10" t="str">
        <f t="shared" si="1"/>
        <v>isotope</v>
      </c>
      <c r="C856" s="49" t="str">
        <f t="shared" si="2"/>
        <v>S17167IS1</v>
      </c>
      <c r="D856" s="6">
        <v>33.0</v>
      </c>
      <c r="E856" s="10" t="str">
        <f t="shared" si="3"/>
        <v>BIS33</v>
      </c>
      <c r="F856" s="13">
        <v>54.0</v>
      </c>
      <c r="G856" s="10" t="str">
        <f t="shared" si="8"/>
        <v>BIS33-54</v>
      </c>
      <c r="H856" s="16"/>
      <c r="I856" s="16" t="str">
        <f t="shared" si="5"/>
        <v>collected</v>
      </c>
      <c r="J856" s="16" t="str">
        <f t="shared" si="6"/>
        <v>N</v>
      </c>
      <c r="K856" s="16"/>
      <c r="L856" s="16"/>
    </row>
    <row r="857">
      <c r="A857" s="40" t="s">
        <v>1240</v>
      </c>
      <c r="B857" s="10" t="str">
        <f t="shared" si="1"/>
        <v>isotope</v>
      </c>
      <c r="C857" s="49" t="str">
        <f t="shared" si="2"/>
        <v>S17169IS1</v>
      </c>
      <c r="D857" s="6">
        <v>33.0</v>
      </c>
      <c r="E857" s="10" t="str">
        <f t="shared" si="3"/>
        <v>BIS33</v>
      </c>
      <c r="F857" s="13">
        <v>55.0</v>
      </c>
      <c r="G857" s="10" t="str">
        <f t="shared" si="8"/>
        <v>BIS33-55</v>
      </c>
      <c r="H857" s="16"/>
      <c r="I857" s="16" t="str">
        <f t="shared" si="5"/>
        <v>collected</v>
      </c>
      <c r="J857" s="16" t="str">
        <f t="shared" si="6"/>
        <v>N</v>
      </c>
      <c r="K857" s="16"/>
      <c r="L857" s="16"/>
    </row>
    <row r="858">
      <c r="A858" s="40" t="s">
        <v>1244</v>
      </c>
      <c r="B858" s="10" t="str">
        <f t="shared" si="1"/>
        <v>isotope</v>
      </c>
      <c r="C858" s="49" t="str">
        <f t="shared" si="2"/>
        <v>S17168IS1</v>
      </c>
      <c r="D858" s="6">
        <v>33.0</v>
      </c>
      <c r="E858" s="10" t="str">
        <f t="shared" si="3"/>
        <v>BIS33</v>
      </c>
      <c r="F858" s="13">
        <v>56.0</v>
      </c>
      <c r="G858" s="10" t="str">
        <f t="shared" si="8"/>
        <v>BIS33-56</v>
      </c>
      <c r="H858" s="16"/>
      <c r="I858" s="16" t="str">
        <f t="shared" si="5"/>
        <v>collected</v>
      </c>
      <c r="J858" s="16" t="str">
        <f t="shared" si="6"/>
        <v>N</v>
      </c>
      <c r="K858" s="16"/>
      <c r="L858" s="16"/>
    </row>
    <row r="859">
      <c r="A859" s="40" t="s">
        <v>1246</v>
      </c>
      <c r="B859" s="10" t="str">
        <f t="shared" si="1"/>
        <v>isotope</v>
      </c>
      <c r="C859" s="49" t="str">
        <f t="shared" si="2"/>
        <v>S17164IS1</v>
      </c>
      <c r="D859" s="6">
        <v>33.0</v>
      </c>
      <c r="E859" s="10" t="str">
        <f t="shared" si="3"/>
        <v>BIS33</v>
      </c>
      <c r="F859" s="13">
        <v>57.0</v>
      </c>
      <c r="G859" s="10" t="str">
        <f t="shared" si="8"/>
        <v>BIS33-57</v>
      </c>
      <c r="H859" s="16"/>
      <c r="I859" s="16" t="str">
        <f t="shared" si="5"/>
        <v>collected</v>
      </c>
      <c r="J859" s="16" t="str">
        <f t="shared" si="6"/>
        <v>N</v>
      </c>
      <c r="K859" s="16"/>
      <c r="L859" s="16"/>
    </row>
    <row r="860">
      <c r="A860" s="27" t="s">
        <v>1249</v>
      </c>
      <c r="B860" s="10" t="str">
        <f t="shared" si="1"/>
        <v>isotope</v>
      </c>
      <c r="C860" s="49" t="str">
        <f t="shared" si="2"/>
        <v>S17326IS1</v>
      </c>
      <c r="D860" s="6">
        <v>32.0</v>
      </c>
      <c r="E860" s="10" t="str">
        <f t="shared" si="3"/>
        <v>BIS32</v>
      </c>
      <c r="F860" s="13">
        <v>50.0</v>
      </c>
      <c r="G860" s="10" t="str">
        <f t="shared" si="8"/>
        <v>BIS32-50</v>
      </c>
      <c r="H860" s="16"/>
      <c r="I860" s="16" t="str">
        <f t="shared" si="5"/>
        <v>collected</v>
      </c>
      <c r="J860" s="16" t="str">
        <f t="shared" si="6"/>
        <v>N</v>
      </c>
      <c r="K860" s="16"/>
      <c r="L860" s="16"/>
    </row>
    <row r="861">
      <c r="A861" s="27" t="s">
        <v>1251</v>
      </c>
      <c r="B861" s="10" t="str">
        <f t="shared" si="1"/>
        <v>isotope</v>
      </c>
      <c r="C861" s="49" t="str">
        <f t="shared" si="2"/>
        <v>S17327IS1</v>
      </c>
      <c r="D861" s="6">
        <v>32.0</v>
      </c>
      <c r="E861" s="10" t="str">
        <f t="shared" si="3"/>
        <v>BIS32</v>
      </c>
      <c r="F861" s="13">
        <v>51.0</v>
      </c>
      <c r="G861" s="10" t="str">
        <f t="shared" si="8"/>
        <v>BIS32-51</v>
      </c>
      <c r="H861" s="16"/>
      <c r="I861" s="16" t="str">
        <f t="shared" si="5"/>
        <v>collected</v>
      </c>
      <c r="J861" s="16" t="str">
        <f t="shared" si="6"/>
        <v>N</v>
      </c>
      <c r="K861" s="16"/>
      <c r="L861" s="16"/>
    </row>
    <row r="862">
      <c r="A862" s="27" t="s">
        <v>1254</v>
      </c>
      <c r="B862" s="10" t="str">
        <f t="shared" si="1"/>
        <v>isotope</v>
      </c>
      <c r="C862" s="49" t="str">
        <f t="shared" si="2"/>
        <v>S17328IS1</v>
      </c>
      <c r="D862" s="6">
        <v>32.0</v>
      </c>
      <c r="E862" s="10" t="str">
        <f t="shared" si="3"/>
        <v>BIS32</v>
      </c>
      <c r="F862" s="13">
        <v>52.0</v>
      </c>
      <c r="G862" s="10" t="str">
        <f t="shared" si="8"/>
        <v>BIS32-52</v>
      </c>
      <c r="H862" s="16"/>
      <c r="I862" s="16" t="str">
        <f t="shared" si="5"/>
        <v>collected</v>
      </c>
      <c r="J862" s="16" t="str">
        <f t="shared" si="6"/>
        <v>N</v>
      </c>
      <c r="K862" s="16"/>
      <c r="L862" s="16"/>
    </row>
    <row r="863">
      <c r="A863" s="27" t="s">
        <v>1256</v>
      </c>
      <c r="B863" s="10" t="str">
        <f t="shared" si="1"/>
        <v>isotope</v>
      </c>
      <c r="C863" s="49" t="str">
        <f t="shared" si="2"/>
        <v>S17329IS1</v>
      </c>
      <c r="D863" s="6">
        <v>32.0</v>
      </c>
      <c r="E863" s="10" t="str">
        <f t="shared" si="3"/>
        <v>BIS32</v>
      </c>
      <c r="F863" s="13">
        <v>53.0</v>
      </c>
      <c r="G863" s="10" t="str">
        <f t="shared" si="8"/>
        <v>BIS32-53</v>
      </c>
      <c r="H863" s="16"/>
      <c r="I863" s="16" t="str">
        <f t="shared" si="5"/>
        <v>collected</v>
      </c>
      <c r="J863" s="16" t="str">
        <f t="shared" si="6"/>
        <v>N</v>
      </c>
      <c r="K863" s="16"/>
      <c r="L863" s="16"/>
    </row>
    <row r="864">
      <c r="A864" s="27" t="s">
        <v>1259</v>
      </c>
      <c r="B864" s="10" t="str">
        <f t="shared" si="1"/>
        <v>isotope</v>
      </c>
      <c r="C864" s="49" t="str">
        <f t="shared" si="2"/>
        <v>S17330IS1</v>
      </c>
      <c r="D864" s="6">
        <v>32.0</v>
      </c>
      <c r="E864" s="10" t="str">
        <f t="shared" si="3"/>
        <v>BIS32</v>
      </c>
      <c r="F864" s="13">
        <v>54.0</v>
      </c>
      <c r="G864" s="10" t="str">
        <f t="shared" si="8"/>
        <v>BIS32-54</v>
      </c>
      <c r="H864" s="16"/>
      <c r="I864" s="16" t="str">
        <f t="shared" si="5"/>
        <v>collected</v>
      </c>
      <c r="J864" s="16" t="str">
        <f t="shared" si="6"/>
        <v>N</v>
      </c>
      <c r="K864" s="16"/>
      <c r="L864" s="16"/>
    </row>
    <row r="865">
      <c r="A865" s="27" t="s">
        <v>1262</v>
      </c>
      <c r="B865" s="10" t="str">
        <f t="shared" si="1"/>
        <v>isotope</v>
      </c>
      <c r="C865" s="49" t="str">
        <f t="shared" si="2"/>
        <v>S17021IS1</v>
      </c>
      <c r="D865" s="6">
        <v>32.0</v>
      </c>
      <c r="E865" s="10" t="str">
        <f t="shared" si="3"/>
        <v>BIS32</v>
      </c>
      <c r="F865" s="13">
        <v>55.0</v>
      </c>
      <c r="G865" s="10" t="str">
        <f t="shared" si="8"/>
        <v>BIS32-55</v>
      </c>
      <c r="H865" s="16"/>
      <c r="I865" s="16" t="str">
        <f t="shared" si="5"/>
        <v>collected</v>
      </c>
      <c r="J865" s="16" t="str">
        <f t="shared" si="6"/>
        <v>N</v>
      </c>
      <c r="K865" s="16"/>
      <c r="L865" s="16"/>
    </row>
    <row r="866">
      <c r="A866" s="27" t="s">
        <v>1264</v>
      </c>
      <c r="B866" s="10" t="str">
        <f t="shared" si="1"/>
        <v>isotope</v>
      </c>
      <c r="C866" s="49" t="str">
        <f t="shared" si="2"/>
        <v>S17022IS1</v>
      </c>
      <c r="D866" s="6">
        <v>32.0</v>
      </c>
      <c r="E866" s="10" t="str">
        <f t="shared" si="3"/>
        <v>BIS32</v>
      </c>
      <c r="F866" s="13">
        <v>56.0</v>
      </c>
      <c r="G866" s="10" t="str">
        <f t="shared" si="8"/>
        <v>BIS32-56</v>
      </c>
      <c r="H866" s="16"/>
      <c r="I866" s="16" t="str">
        <f t="shared" si="5"/>
        <v>collected</v>
      </c>
      <c r="J866" s="16" t="str">
        <f t="shared" si="6"/>
        <v>N</v>
      </c>
      <c r="K866" s="16"/>
      <c r="L866" s="16"/>
    </row>
    <row r="867">
      <c r="A867" s="27" t="s">
        <v>1266</v>
      </c>
      <c r="B867" s="10" t="str">
        <f t="shared" si="1"/>
        <v>isotope</v>
      </c>
      <c r="C867" s="49" t="str">
        <f t="shared" si="2"/>
        <v>S17023IS1</v>
      </c>
      <c r="D867" s="6">
        <v>32.0</v>
      </c>
      <c r="E867" s="10" t="str">
        <f t="shared" si="3"/>
        <v>BIS32</v>
      </c>
      <c r="F867" s="13">
        <v>57.0</v>
      </c>
      <c r="G867" s="10" t="str">
        <f t="shared" si="8"/>
        <v>BIS32-57</v>
      </c>
      <c r="H867" s="16"/>
      <c r="I867" s="16" t="str">
        <f t="shared" si="5"/>
        <v>collected</v>
      </c>
      <c r="J867" s="16" t="str">
        <f t="shared" si="6"/>
        <v>N</v>
      </c>
      <c r="K867" s="16"/>
      <c r="L867" s="16"/>
    </row>
    <row r="868">
      <c r="A868" s="27" t="s">
        <v>1269</v>
      </c>
      <c r="B868" s="10" t="str">
        <f t="shared" si="1"/>
        <v>isotope</v>
      </c>
      <c r="C868" s="49" t="str">
        <f t="shared" si="2"/>
        <v>S17024IS1</v>
      </c>
      <c r="D868" s="6">
        <v>32.0</v>
      </c>
      <c r="E868" s="10" t="str">
        <f t="shared" si="3"/>
        <v>BIS32</v>
      </c>
      <c r="F868" s="13">
        <v>58.0</v>
      </c>
      <c r="G868" s="10" t="str">
        <f t="shared" si="8"/>
        <v>BIS32-58</v>
      </c>
      <c r="H868" s="16"/>
      <c r="I868" s="16" t="str">
        <f t="shared" si="5"/>
        <v>collected</v>
      </c>
      <c r="J868" s="16" t="str">
        <f t="shared" si="6"/>
        <v>N</v>
      </c>
      <c r="K868" s="16"/>
      <c r="L868" s="16"/>
    </row>
    <row r="869">
      <c r="A869" s="27" t="s">
        <v>1273</v>
      </c>
      <c r="B869" s="10" t="str">
        <f t="shared" si="1"/>
        <v>isotope</v>
      </c>
      <c r="C869" s="49" t="str">
        <f t="shared" si="2"/>
        <v>S17026IS1</v>
      </c>
      <c r="D869" s="6">
        <v>32.0</v>
      </c>
      <c r="E869" s="10" t="str">
        <f t="shared" si="3"/>
        <v>BIS32</v>
      </c>
      <c r="F869" s="13">
        <v>59.0</v>
      </c>
      <c r="G869" s="10" t="str">
        <f t="shared" si="8"/>
        <v>BIS32-59</v>
      </c>
      <c r="H869" s="16"/>
      <c r="I869" s="16" t="str">
        <f t="shared" si="5"/>
        <v>collected</v>
      </c>
      <c r="J869" s="16" t="str">
        <f t="shared" si="6"/>
        <v>N</v>
      </c>
      <c r="K869" s="16"/>
      <c r="L869" s="16"/>
    </row>
    <row r="870">
      <c r="A870" s="27" t="s">
        <v>1275</v>
      </c>
      <c r="B870" s="10" t="str">
        <f t="shared" si="1"/>
        <v>isotope</v>
      </c>
      <c r="C870" s="49" t="str">
        <f t="shared" si="2"/>
        <v>S17025IS1</v>
      </c>
      <c r="D870" s="6">
        <v>32.0</v>
      </c>
      <c r="E870" s="10" t="str">
        <f t="shared" si="3"/>
        <v>BIS32</v>
      </c>
      <c r="F870" s="13">
        <v>60.0</v>
      </c>
      <c r="G870" s="10" t="str">
        <f t="shared" si="8"/>
        <v>BIS32-60</v>
      </c>
      <c r="H870" s="16"/>
      <c r="I870" s="16" t="str">
        <f t="shared" si="5"/>
        <v>collected</v>
      </c>
      <c r="J870" s="16" t="str">
        <f t="shared" si="6"/>
        <v>N</v>
      </c>
      <c r="K870" s="16"/>
      <c r="L870" s="16"/>
    </row>
    <row r="871">
      <c r="A871" s="27" t="s">
        <v>1276</v>
      </c>
      <c r="B871" s="10" t="str">
        <f t="shared" si="1"/>
        <v>isotope</v>
      </c>
      <c r="C871" s="49" t="str">
        <f t="shared" si="2"/>
        <v>S17027IS1</v>
      </c>
      <c r="D871" s="6">
        <v>32.0</v>
      </c>
      <c r="E871" s="10" t="str">
        <f t="shared" si="3"/>
        <v>BIS32</v>
      </c>
      <c r="F871" s="13">
        <v>61.0</v>
      </c>
      <c r="G871" s="10" t="str">
        <f t="shared" si="8"/>
        <v>BIS32-61</v>
      </c>
      <c r="H871" s="16"/>
      <c r="I871" s="16" t="str">
        <f t="shared" si="5"/>
        <v>collected</v>
      </c>
      <c r="J871" s="16" t="str">
        <f t="shared" si="6"/>
        <v>N</v>
      </c>
      <c r="K871" s="16"/>
      <c r="L871" s="16"/>
    </row>
    <row r="872">
      <c r="A872" s="27" t="s">
        <v>1278</v>
      </c>
      <c r="B872" s="10" t="str">
        <f t="shared" si="1"/>
        <v>isotope</v>
      </c>
      <c r="C872" s="49" t="str">
        <f t="shared" si="2"/>
        <v>S17028IS1</v>
      </c>
      <c r="D872" s="6">
        <v>32.0</v>
      </c>
      <c r="E872" s="10" t="str">
        <f t="shared" si="3"/>
        <v>BIS32</v>
      </c>
      <c r="F872" s="13">
        <v>62.0</v>
      </c>
      <c r="G872" s="10" t="str">
        <f t="shared" si="8"/>
        <v>BIS32-62</v>
      </c>
      <c r="H872" s="16"/>
      <c r="I872" s="16" t="str">
        <f t="shared" si="5"/>
        <v>collected</v>
      </c>
      <c r="J872" s="16" t="str">
        <f t="shared" si="6"/>
        <v>N</v>
      </c>
      <c r="K872" s="16"/>
      <c r="L872" s="16"/>
    </row>
    <row r="873">
      <c r="A873" s="27" t="s">
        <v>1279</v>
      </c>
      <c r="B873" s="10" t="str">
        <f t="shared" si="1"/>
        <v>isotope</v>
      </c>
      <c r="C873" s="49" t="str">
        <f t="shared" si="2"/>
        <v>S17029IS1</v>
      </c>
      <c r="D873" s="6">
        <v>32.0</v>
      </c>
      <c r="E873" s="10" t="str">
        <f t="shared" si="3"/>
        <v>BIS32</v>
      </c>
      <c r="F873" s="13">
        <v>63.0</v>
      </c>
      <c r="G873" s="10" t="str">
        <f t="shared" si="8"/>
        <v>BIS32-63</v>
      </c>
      <c r="H873" s="16"/>
      <c r="I873" s="16" t="str">
        <f t="shared" si="5"/>
        <v>collected</v>
      </c>
      <c r="J873" s="16" t="str">
        <f t="shared" si="6"/>
        <v>N</v>
      </c>
      <c r="K873" s="16"/>
      <c r="L873" s="16"/>
    </row>
    <row r="874">
      <c r="A874" s="27" t="s">
        <v>1280</v>
      </c>
      <c r="B874" s="10" t="str">
        <f t="shared" si="1"/>
        <v>isotope</v>
      </c>
      <c r="C874" s="49" t="str">
        <f t="shared" si="2"/>
        <v>S17030IS1</v>
      </c>
      <c r="D874" s="6">
        <v>32.0</v>
      </c>
      <c r="E874" s="10" t="str">
        <f t="shared" si="3"/>
        <v>BIS32</v>
      </c>
      <c r="F874" s="13">
        <v>64.0</v>
      </c>
      <c r="G874" s="10" t="str">
        <f t="shared" si="8"/>
        <v>BIS32-64</v>
      </c>
      <c r="H874" s="16"/>
      <c r="I874" s="16" t="str">
        <f t="shared" si="5"/>
        <v>collected</v>
      </c>
      <c r="J874" s="16" t="str">
        <f t="shared" si="6"/>
        <v>N</v>
      </c>
      <c r="K874" s="16"/>
      <c r="L874" s="16"/>
    </row>
    <row r="875">
      <c r="A875" s="27" t="s">
        <v>1282</v>
      </c>
      <c r="B875" s="10" t="str">
        <f t="shared" si="1"/>
        <v>isotope</v>
      </c>
      <c r="C875" s="49" t="str">
        <f t="shared" si="2"/>
        <v>S16461IS1</v>
      </c>
      <c r="D875" s="6">
        <v>32.0</v>
      </c>
      <c r="E875" s="10" t="str">
        <f t="shared" si="3"/>
        <v>BIS32</v>
      </c>
      <c r="F875" s="13">
        <v>65.0</v>
      </c>
      <c r="G875" s="10" t="str">
        <f t="shared" si="8"/>
        <v>BIS32-65</v>
      </c>
      <c r="H875" s="16"/>
      <c r="I875" s="16" t="str">
        <f t="shared" si="5"/>
        <v>collected</v>
      </c>
      <c r="J875" s="16" t="str">
        <f t="shared" si="6"/>
        <v>N</v>
      </c>
      <c r="K875" s="16"/>
      <c r="L875" s="16"/>
    </row>
    <row r="876">
      <c r="A876" s="27" t="s">
        <v>1283</v>
      </c>
      <c r="B876" s="10" t="str">
        <f t="shared" si="1"/>
        <v>isotope</v>
      </c>
      <c r="C876" s="49" t="str">
        <f t="shared" si="2"/>
        <v>S16462IS1</v>
      </c>
      <c r="D876" s="6">
        <v>32.0</v>
      </c>
      <c r="E876" s="10" t="str">
        <f t="shared" si="3"/>
        <v>BIS32</v>
      </c>
      <c r="F876" s="13">
        <v>66.0</v>
      </c>
      <c r="G876" s="10" t="str">
        <f t="shared" si="8"/>
        <v>BIS32-66</v>
      </c>
      <c r="H876" s="16"/>
      <c r="I876" s="16" t="str">
        <f t="shared" si="5"/>
        <v>collected</v>
      </c>
      <c r="J876" s="16" t="str">
        <f t="shared" si="6"/>
        <v>N</v>
      </c>
      <c r="K876" s="16"/>
      <c r="L876" s="16"/>
    </row>
    <row r="877">
      <c r="A877" s="27" t="s">
        <v>1284</v>
      </c>
      <c r="B877" s="10" t="str">
        <f t="shared" si="1"/>
        <v>isotope</v>
      </c>
      <c r="C877" s="49" t="str">
        <f t="shared" si="2"/>
        <v>S16463IS1</v>
      </c>
      <c r="D877" s="6">
        <v>32.0</v>
      </c>
      <c r="E877" s="10" t="str">
        <f t="shared" si="3"/>
        <v>BIS32</v>
      </c>
      <c r="F877" s="13">
        <v>67.0</v>
      </c>
      <c r="G877" s="10" t="str">
        <f t="shared" si="8"/>
        <v>BIS32-67</v>
      </c>
      <c r="H877" s="16"/>
      <c r="I877" s="16" t="str">
        <f t="shared" si="5"/>
        <v>collected</v>
      </c>
      <c r="J877" s="16" t="str">
        <f t="shared" si="6"/>
        <v>N</v>
      </c>
      <c r="K877" s="16"/>
      <c r="L877" s="16"/>
    </row>
    <row r="878">
      <c r="A878" s="27" t="s">
        <v>1286</v>
      </c>
      <c r="B878" s="10" t="str">
        <f t="shared" si="1"/>
        <v>isotope</v>
      </c>
      <c r="C878" s="49" t="str">
        <f t="shared" si="2"/>
        <v>S16464IS1</v>
      </c>
      <c r="D878" s="6">
        <v>32.0</v>
      </c>
      <c r="E878" s="10" t="str">
        <f t="shared" si="3"/>
        <v>BIS32</v>
      </c>
      <c r="F878" s="13">
        <v>68.0</v>
      </c>
      <c r="G878" s="10" t="str">
        <f t="shared" si="8"/>
        <v>BIS32-68</v>
      </c>
      <c r="H878" s="16"/>
      <c r="I878" s="16" t="str">
        <f t="shared" si="5"/>
        <v>collected</v>
      </c>
      <c r="J878" s="16" t="str">
        <f t="shared" si="6"/>
        <v>N</v>
      </c>
      <c r="K878" s="16"/>
      <c r="L878" s="16"/>
    </row>
    <row r="879">
      <c r="A879" s="27" t="s">
        <v>1287</v>
      </c>
      <c r="B879" s="10" t="str">
        <f t="shared" si="1"/>
        <v>isotope</v>
      </c>
      <c r="C879" s="49" t="str">
        <f t="shared" si="2"/>
        <v>S16465IS1</v>
      </c>
      <c r="D879" s="6">
        <v>32.0</v>
      </c>
      <c r="E879" s="10" t="str">
        <f t="shared" si="3"/>
        <v>BIS32</v>
      </c>
      <c r="F879" s="13">
        <v>69.0</v>
      </c>
      <c r="G879" s="10" t="str">
        <f t="shared" si="8"/>
        <v>BIS32-69</v>
      </c>
      <c r="H879" s="16"/>
      <c r="I879" s="16" t="str">
        <f t="shared" si="5"/>
        <v>collected</v>
      </c>
      <c r="J879" s="16" t="str">
        <f t="shared" si="6"/>
        <v>N</v>
      </c>
      <c r="K879" s="16"/>
      <c r="L879" s="16"/>
    </row>
    <row r="880">
      <c r="A880" s="40" t="s">
        <v>1289</v>
      </c>
      <c r="B880" s="10" t="str">
        <f t="shared" si="1"/>
        <v>isotope</v>
      </c>
      <c r="C880" s="49" t="str">
        <f t="shared" si="2"/>
        <v>S17163IS1</v>
      </c>
      <c r="D880" s="6">
        <v>33.0</v>
      </c>
      <c r="E880" s="10" t="str">
        <f t="shared" si="3"/>
        <v>BIS33</v>
      </c>
      <c r="F880" s="13">
        <v>58.0</v>
      </c>
      <c r="G880" s="10" t="str">
        <f t="shared" si="8"/>
        <v>BIS33-58</v>
      </c>
      <c r="H880" s="16"/>
      <c r="I880" s="16" t="str">
        <f t="shared" si="5"/>
        <v>collected</v>
      </c>
      <c r="J880" s="16" t="str">
        <f t="shared" si="6"/>
        <v>N</v>
      </c>
      <c r="K880" s="16"/>
      <c r="L880" s="16"/>
    </row>
    <row r="881">
      <c r="A881" s="40" t="s">
        <v>1290</v>
      </c>
      <c r="B881" s="10" t="str">
        <f t="shared" si="1"/>
        <v>isotope</v>
      </c>
      <c r="C881" s="49" t="str">
        <f t="shared" si="2"/>
        <v>S17162IS1</v>
      </c>
      <c r="D881" s="6">
        <v>33.0</v>
      </c>
      <c r="E881" s="10" t="str">
        <f t="shared" si="3"/>
        <v>BIS33</v>
      </c>
      <c r="F881" s="13">
        <v>59.0</v>
      </c>
      <c r="G881" s="10" t="str">
        <f t="shared" si="8"/>
        <v>BIS33-59</v>
      </c>
      <c r="H881" s="16"/>
      <c r="I881" s="16" t="str">
        <f t="shared" si="5"/>
        <v>collected</v>
      </c>
      <c r="J881" s="16" t="str">
        <f t="shared" si="6"/>
        <v>N</v>
      </c>
      <c r="K881" s="16"/>
      <c r="L881" s="16"/>
    </row>
    <row r="882">
      <c r="A882" s="40" t="s">
        <v>1291</v>
      </c>
      <c r="B882" s="10" t="str">
        <f t="shared" si="1"/>
        <v>isotope</v>
      </c>
      <c r="C882" s="49" t="str">
        <f t="shared" si="2"/>
        <v>S16261IS1</v>
      </c>
      <c r="D882" s="6">
        <v>33.0</v>
      </c>
      <c r="E882" s="10" t="str">
        <f t="shared" si="3"/>
        <v>BIS33</v>
      </c>
      <c r="F882" s="13">
        <v>60.0</v>
      </c>
      <c r="G882" s="10" t="str">
        <f t="shared" si="8"/>
        <v>BIS33-60</v>
      </c>
      <c r="H882" s="16"/>
      <c r="I882" s="16" t="str">
        <f t="shared" si="5"/>
        <v>collected</v>
      </c>
      <c r="J882" s="16" t="str">
        <f t="shared" si="6"/>
        <v>N</v>
      </c>
      <c r="K882" s="16"/>
      <c r="L882" s="16"/>
    </row>
    <row r="883">
      <c r="A883" s="40" t="s">
        <v>1292</v>
      </c>
      <c r="B883" s="10" t="str">
        <f t="shared" si="1"/>
        <v>isotope</v>
      </c>
      <c r="C883" s="49" t="str">
        <f t="shared" si="2"/>
        <v>S16262IS1</v>
      </c>
      <c r="D883" s="6">
        <v>33.0</v>
      </c>
      <c r="E883" s="10" t="str">
        <f t="shared" si="3"/>
        <v>BIS33</v>
      </c>
      <c r="F883" s="13">
        <v>61.0</v>
      </c>
      <c r="G883" s="10" t="str">
        <f t="shared" si="8"/>
        <v>BIS33-61</v>
      </c>
      <c r="H883" s="16"/>
      <c r="I883" s="16" t="str">
        <f t="shared" si="5"/>
        <v>collected</v>
      </c>
      <c r="J883" s="16" t="str">
        <f t="shared" si="6"/>
        <v>N</v>
      </c>
      <c r="K883" s="16"/>
      <c r="L883" s="16"/>
    </row>
    <row r="884">
      <c r="A884" s="40" t="s">
        <v>1294</v>
      </c>
      <c r="B884" s="10" t="str">
        <f t="shared" si="1"/>
        <v>isotope</v>
      </c>
      <c r="C884" s="49" t="str">
        <f t="shared" si="2"/>
        <v>S16263IS1</v>
      </c>
      <c r="D884" s="6">
        <v>33.0</v>
      </c>
      <c r="E884" s="10" t="str">
        <f t="shared" si="3"/>
        <v>BIS33</v>
      </c>
      <c r="F884" s="13">
        <v>62.0</v>
      </c>
      <c r="G884" s="10" t="str">
        <f t="shared" si="8"/>
        <v>BIS33-62</v>
      </c>
      <c r="H884" s="16"/>
      <c r="I884" s="16" t="str">
        <f t="shared" si="5"/>
        <v>collected</v>
      </c>
      <c r="J884" s="16" t="str">
        <f t="shared" si="6"/>
        <v>N</v>
      </c>
      <c r="K884" s="16"/>
      <c r="L884" s="16"/>
    </row>
    <row r="885">
      <c r="A885" s="27" t="s">
        <v>1295</v>
      </c>
      <c r="B885" s="10" t="str">
        <f t="shared" si="1"/>
        <v>isotope</v>
      </c>
      <c r="C885" s="49" t="str">
        <f t="shared" si="2"/>
        <v>S16466IS1</v>
      </c>
      <c r="D885" s="6">
        <v>32.0</v>
      </c>
      <c r="E885" s="10" t="str">
        <f t="shared" si="3"/>
        <v>BIS32</v>
      </c>
      <c r="F885" s="13">
        <v>70.0</v>
      </c>
      <c r="G885" s="10" t="str">
        <f t="shared" si="8"/>
        <v>BIS32-70</v>
      </c>
      <c r="H885" s="16"/>
      <c r="I885" s="16" t="str">
        <f t="shared" si="5"/>
        <v>collected</v>
      </c>
      <c r="J885" s="16" t="str">
        <f t="shared" si="6"/>
        <v>N</v>
      </c>
      <c r="K885" s="16"/>
      <c r="L885" s="16"/>
    </row>
    <row r="886">
      <c r="A886" s="27" t="s">
        <v>1296</v>
      </c>
      <c r="B886" s="10" t="str">
        <f t="shared" si="1"/>
        <v>isotope</v>
      </c>
      <c r="C886" s="49" t="str">
        <f t="shared" si="2"/>
        <v>S16467IS1</v>
      </c>
      <c r="D886" s="6">
        <v>32.0</v>
      </c>
      <c r="E886" s="10" t="str">
        <f t="shared" si="3"/>
        <v>BIS32</v>
      </c>
      <c r="F886" s="13">
        <v>71.0</v>
      </c>
      <c r="G886" s="10" t="str">
        <f t="shared" si="8"/>
        <v>BIS32-71</v>
      </c>
      <c r="H886" s="6"/>
      <c r="I886" s="16" t="str">
        <f t="shared" si="5"/>
        <v>collected</v>
      </c>
      <c r="J886" s="16" t="str">
        <f t="shared" si="6"/>
        <v>N</v>
      </c>
      <c r="K886" s="16"/>
      <c r="L886" s="16"/>
    </row>
    <row r="887">
      <c r="A887" s="27" t="s">
        <v>1297</v>
      </c>
      <c r="B887" s="10" t="str">
        <f t="shared" si="1"/>
        <v>isotope</v>
      </c>
      <c r="C887" s="49" t="str">
        <f t="shared" si="2"/>
        <v>S16468IS1</v>
      </c>
      <c r="D887" s="6">
        <v>32.0</v>
      </c>
      <c r="E887" s="10" t="str">
        <f t="shared" si="3"/>
        <v>BIS32</v>
      </c>
      <c r="F887" s="13">
        <v>72.0</v>
      </c>
      <c r="G887" s="10" t="str">
        <f t="shared" si="8"/>
        <v>BIS32-72</v>
      </c>
      <c r="H887" s="6"/>
      <c r="I887" s="16" t="str">
        <f t="shared" si="5"/>
        <v>collected</v>
      </c>
      <c r="J887" s="16" t="str">
        <f t="shared" si="6"/>
        <v>N</v>
      </c>
      <c r="K887" s="16"/>
      <c r="L887" s="16"/>
    </row>
    <row r="888">
      <c r="A888" s="27" t="s">
        <v>1299</v>
      </c>
      <c r="B888" s="10" t="str">
        <f t="shared" si="1"/>
        <v>isotope</v>
      </c>
      <c r="C888" s="49" t="str">
        <f t="shared" si="2"/>
        <v>S16469IS1</v>
      </c>
      <c r="D888" s="6">
        <v>32.0</v>
      </c>
      <c r="E888" s="10" t="str">
        <f t="shared" si="3"/>
        <v>BIS32</v>
      </c>
      <c r="F888" s="13">
        <v>73.0</v>
      </c>
      <c r="G888" s="10" t="str">
        <f t="shared" si="8"/>
        <v>BIS32-73</v>
      </c>
      <c r="H888" s="6"/>
      <c r="I888" s="16" t="str">
        <f t="shared" si="5"/>
        <v>collected</v>
      </c>
      <c r="J888" s="16" t="str">
        <f t="shared" si="6"/>
        <v>N</v>
      </c>
      <c r="K888" s="16"/>
      <c r="L888" s="16"/>
    </row>
    <row r="889">
      <c r="A889" s="27" t="s">
        <v>1300</v>
      </c>
      <c r="B889" s="10" t="str">
        <f t="shared" si="1"/>
        <v>isotope</v>
      </c>
      <c r="C889" s="49" t="str">
        <f t="shared" si="2"/>
        <v>S16470IS1</v>
      </c>
      <c r="D889" s="6">
        <v>32.0</v>
      </c>
      <c r="E889" s="10" t="str">
        <f t="shared" si="3"/>
        <v>BIS32</v>
      </c>
      <c r="F889" s="13">
        <v>74.0</v>
      </c>
      <c r="G889" s="10" t="str">
        <f t="shared" si="8"/>
        <v>BIS32-74</v>
      </c>
      <c r="H889" s="16"/>
      <c r="I889" s="16" t="str">
        <f t="shared" si="5"/>
        <v>collected</v>
      </c>
      <c r="J889" s="16" t="str">
        <f t="shared" si="6"/>
        <v>N</v>
      </c>
      <c r="K889" s="16"/>
      <c r="L889" s="16"/>
    </row>
    <row r="890">
      <c r="A890" s="27" t="s">
        <v>1301</v>
      </c>
      <c r="B890" s="10" t="str">
        <f t="shared" si="1"/>
        <v>isotope</v>
      </c>
      <c r="C890" s="49" t="str">
        <f t="shared" si="2"/>
        <v>S16437IS1</v>
      </c>
      <c r="D890" s="6">
        <v>32.0</v>
      </c>
      <c r="E890" s="10" t="str">
        <f t="shared" si="3"/>
        <v>BIS32</v>
      </c>
      <c r="F890" s="13">
        <v>75.0</v>
      </c>
      <c r="G890" s="10" t="str">
        <f t="shared" si="8"/>
        <v>BIS32-75</v>
      </c>
      <c r="H890" s="16"/>
      <c r="I890" s="16" t="str">
        <f t="shared" si="5"/>
        <v>collected</v>
      </c>
      <c r="J890" s="16" t="str">
        <f t="shared" si="6"/>
        <v>N</v>
      </c>
      <c r="K890" s="16"/>
      <c r="L890" s="16"/>
    </row>
    <row r="891">
      <c r="A891" s="27" t="s">
        <v>1302</v>
      </c>
      <c r="B891" s="10" t="str">
        <f t="shared" si="1"/>
        <v>isotope</v>
      </c>
      <c r="C891" s="49" t="str">
        <f t="shared" si="2"/>
        <v>S16440IS1</v>
      </c>
      <c r="D891" s="6">
        <v>32.0</v>
      </c>
      <c r="E891" s="10" t="str">
        <f t="shared" si="3"/>
        <v>BIS32</v>
      </c>
      <c r="F891" s="13">
        <v>76.0</v>
      </c>
      <c r="G891" s="10" t="str">
        <f t="shared" si="8"/>
        <v>BIS32-76</v>
      </c>
      <c r="H891" s="16"/>
      <c r="I891" s="16" t="str">
        <f t="shared" si="5"/>
        <v>collected</v>
      </c>
      <c r="J891" s="16" t="str">
        <f t="shared" si="6"/>
        <v>N</v>
      </c>
      <c r="K891" s="16"/>
      <c r="L891" s="16"/>
    </row>
    <row r="892">
      <c r="A892" s="27" t="s">
        <v>1304</v>
      </c>
      <c r="B892" s="10" t="str">
        <f t="shared" si="1"/>
        <v>isotope</v>
      </c>
      <c r="C892" s="49" t="str">
        <f t="shared" si="2"/>
        <v>S16438IS1</v>
      </c>
      <c r="D892" s="6">
        <v>32.0</v>
      </c>
      <c r="E892" s="10" t="str">
        <f t="shared" si="3"/>
        <v>BIS32</v>
      </c>
      <c r="F892" s="13">
        <v>77.0</v>
      </c>
      <c r="G892" s="10" t="str">
        <f t="shared" si="8"/>
        <v>BIS32-77</v>
      </c>
      <c r="H892" s="16"/>
      <c r="I892" s="16" t="str">
        <f t="shared" si="5"/>
        <v>collected</v>
      </c>
      <c r="J892" s="16" t="str">
        <f t="shared" si="6"/>
        <v>N</v>
      </c>
      <c r="K892" s="16"/>
      <c r="L892" s="16"/>
    </row>
    <row r="893">
      <c r="A893" s="27" t="s">
        <v>1305</v>
      </c>
      <c r="B893" s="10" t="str">
        <f t="shared" si="1"/>
        <v>isotope</v>
      </c>
      <c r="C893" s="49" t="str">
        <f t="shared" si="2"/>
        <v>S16436IS1</v>
      </c>
      <c r="D893" s="6">
        <v>32.0</v>
      </c>
      <c r="E893" s="10" t="str">
        <f t="shared" si="3"/>
        <v>BIS32</v>
      </c>
      <c r="F893" s="13">
        <v>78.0</v>
      </c>
      <c r="G893" s="10" t="str">
        <f t="shared" si="8"/>
        <v>BIS32-78</v>
      </c>
      <c r="H893" s="16"/>
      <c r="I893" s="16" t="str">
        <f t="shared" si="5"/>
        <v>collected</v>
      </c>
      <c r="J893" s="16" t="str">
        <f t="shared" si="6"/>
        <v>N</v>
      </c>
      <c r="K893" s="16"/>
      <c r="L893" s="16"/>
    </row>
    <row r="894">
      <c r="A894" s="27" t="s">
        <v>1306</v>
      </c>
      <c r="B894" s="10" t="str">
        <f t="shared" si="1"/>
        <v>isotope</v>
      </c>
      <c r="C894" s="49" t="str">
        <f t="shared" si="2"/>
        <v>S16435IS1</v>
      </c>
      <c r="D894" s="6">
        <v>32.0</v>
      </c>
      <c r="E894" s="10" t="str">
        <f t="shared" si="3"/>
        <v>BIS32</v>
      </c>
      <c r="F894" s="13">
        <v>79.0</v>
      </c>
      <c r="G894" s="10" t="str">
        <f t="shared" si="8"/>
        <v>BIS32-79</v>
      </c>
      <c r="H894" s="16"/>
      <c r="I894" s="16" t="str">
        <f t="shared" si="5"/>
        <v>collected</v>
      </c>
      <c r="J894" s="16" t="str">
        <f t="shared" si="6"/>
        <v>N</v>
      </c>
      <c r="K894" s="16"/>
      <c r="L894" s="16"/>
    </row>
    <row r="895">
      <c r="A895" s="27" t="s">
        <v>1307</v>
      </c>
      <c r="B895" s="10" t="str">
        <f t="shared" si="1"/>
        <v>isotope</v>
      </c>
      <c r="C895" s="49" t="str">
        <f t="shared" si="2"/>
        <v>S16439IS1</v>
      </c>
      <c r="D895" s="6">
        <v>32.0</v>
      </c>
      <c r="E895" s="10" t="str">
        <f t="shared" si="3"/>
        <v>BIS32</v>
      </c>
      <c r="F895" s="13">
        <v>80.0</v>
      </c>
      <c r="G895" s="10" t="str">
        <f t="shared" si="8"/>
        <v>BIS32-80</v>
      </c>
      <c r="H895" s="16"/>
      <c r="I895" s="16" t="str">
        <f t="shared" si="5"/>
        <v>collected</v>
      </c>
      <c r="J895" s="16" t="str">
        <f t="shared" si="6"/>
        <v>N</v>
      </c>
      <c r="K895" s="16"/>
      <c r="L895" s="16"/>
    </row>
    <row r="896">
      <c r="A896" s="27" t="s">
        <v>1309</v>
      </c>
      <c r="B896" s="10" t="str">
        <f t="shared" si="1"/>
        <v>isotope</v>
      </c>
      <c r="C896" s="49" t="str">
        <f t="shared" si="2"/>
        <v>S16433IS1</v>
      </c>
      <c r="D896" s="6">
        <v>34.0</v>
      </c>
      <c r="E896" s="10" t="str">
        <f t="shared" si="3"/>
        <v>BIS34</v>
      </c>
      <c r="F896" s="13">
        <v>1.0</v>
      </c>
      <c r="G896" s="10" t="str">
        <f t="shared" si="8"/>
        <v>BIS34-1</v>
      </c>
      <c r="H896" s="16"/>
      <c r="I896" s="16" t="str">
        <f t="shared" si="5"/>
        <v>collected</v>
      </c>
      <c r="J896" s="16" t="str">
        <f t="shared" si="6"/>
        <v>N</v>
      </c>
      <c r="K896" s="16"/>
      <c r="L896" s="16"/>
    </row>
    <row r="897">
      <c r="A897" s="43" t="s">
        <v>1310</v>
      </c>
      <c r="B897" s="10" t="str">
        <f t="shared" si="1"/>
        <v>isotope</v>
      </c>
      <c r="C897" s="49" t="str">
        <f t="shared" si="2"/>
        <v>S16264IS1</v>
      </c>
      <c r="D897" s="6">
        <v>33.0</v>
      </c>
      <c r="E897" s="10" t="str">
        <f t="shared" si="3"/>
        <v>BIS33</v>
      </c>
      <c r="F897" s="13">
        <v>63.0</v>
      </c>
      <c r="G897" s="10" t="str">
        <f t="shared" si="8"/>
        <v>BIS33-63</v>
      </c>
      <c r="H897" s="16"/>
      <c r="I897" s="16" t="str">
        <f t="shared" si="5"/>
        <v>collected</v>
      </c>
      <c r="J897" s="16" t="str">
        <f t="shared" si="6"/>
        <v>N</v>
      </c>
      <c r="K897" s="16"/>
      <c r="L897" s="16"/>
    </row>
    <row r="898">
      <c r="A898" s="43" t="s">
        <v>1311</v>
      </c>
      <c r="B898" s="10" t="str">
        <f t="shared" si="1"/>
        <v>isotope</v>
      </c>
      <c r="C898" s="49" t="str">
        <f t="shared" si="2"/>
        <v>S16265IS1</v>
      </c>
      <c r="D898" s="6">
        <v>33.0</v>
      </c>
      <c r="E898" s="10" t="str">
        <f t="shared" si="3"/>
        <v>BIS33</v>
      </c>
      <c r="F898" s="13">
        <v>64.0</v>
      </c>
      <c r="G898" s="10" t="str">
        <f t="shared" si="8"/>
        <v>BIS33-64</v>
      </c>
      <c r="H898" s="16"/>
      <c r="I898" s="16" t="str">
        <f t="shared" si="5"/>
        <v>collected</v>
      </c>
      <c r="J898" s="16" t="str">
        <f t="shared" si="6"/>
        <v>N</v>
      </c>
      <c r="K898" s="16"/>
      <c r="L898" s="16"/>
    </row>
    <row r="899">
      <c r="A899" s="43" t="s">
        <v>1312</v>
      </c>
      <c r="B899" s="10" t="str">
        <f t="shared" si="1"/>
        <v>isotope</v>
      </c>
      <c r="C899" s="49" t="str">
        <f t="shared" si="2"/>
        <v>S16268IS1</v>
      </c>
      <c r="D899" s="6">
        <v>33.0</v>
      </c>
      <c r="E899" s="10" t="str">
        <f t="shared" si="3"/>
        <v>BIS33</v>
      </c>
      <c r="F899" s="13">
        <v>65.0</v>
      </c>
      <c r="G899" s="10" t="str">
        <f t="shared" si="8"/>
        <v>BIS33-65</v>
      </c>
      <c r="H899" s="16"/>
      <c r="I899" s="16" t="str">
        <f t="shared" si="5"/>
        <v>collected</v>
      </c>
      <c r="J899" s="16" t="str">
        <f t="shared" si="6"/>
        <v>N</v>
      </c>
      <c r="K899" s="16"/>
      <c r="L899" s="16"/>
    </row>
    <row r="900">
      <c r="A900" s="43" t="s">
        <v>1313</v>
      </c>
      <c r="B900" s="10" t="str">
        <f t="shared" si="1"/>
        <v>isotope</v>
      </c>
      <c r="C900" s="49" t="str">
        <f t="shared" si="2"/>
        <v>S16269IS1</v>
      </c>
      <c r="D900" s="6">
        <v>33.0</v>
      </c>
      <c r="E900" s="10" t="str">
        <f t="shared" si="3"/>
        <v>BIS33</v>
      </c>
      <c r="F900" s="13">
        <v>66.0</v>
      </c>
      <c r="G900" s="10" t="str">
        <f t="shared" si="8"/>
        <v>BIS33-66</v>
      </c>
      <c r="H900" s="16"/>
      <c r="I900" s="16" t="str">
        <f t="shared" si="5"/>
        <v>collected</v>
      </c>
      <c r="J900" s="16" t="str">
        <f t="shared" si="6"/>
        <v>N</v>
      </c>
      <c r="K900" s="16"/>
      <c r="L900" s="16"/>
    </row>
    <row r="901">
      <c r="A901" s="43" t="s">
        <v>1315</v>
      </c>
      <c r="B901" s="10" t="str">
        <f t="shared" si="1"/>
        <v>isotope</v>
      </c>
      <c r="C901" s="49" t="str">
        <f t="shared" si="2"/>
        <v>S16266IS1</v>
      </c>
      <c r="D901" s="6">
        <v>33.0</v>
      </c>
      <c r="E901" s="10" t="str">
        <f t="shared" si="3"/>
        <v>BIS33</v>
      </c>
      <c r="F901" s="13">
        <v>67.0</v>
      </c>
      <c r="G901" s="10" t="str">
        <f t="shared" si="8"/>
        <v>BIS33-67</v>
      </c>
      <c r="H901" s="16"/>
      <c r="I901" s="16" t="str">
        <f t="shared" si="5"/>
        <v>collected</v>
      </c>
      <c r="J901" s="16" t="str">
        <f t="shared" si="6"/>
        <v>N</v>
      </c>
      <c r="K901" s="16"/>
      <c r="L901" s="16"/>
    </row>
    <row r="902">
      <c r="A902" s="43" t="s">
        <v>1317</v>
      </c>
      <c r="B902" s="10" t="str">
        <f t="shared" si="1"/>
        <v>isotope</v>
      </c>
      <c r="C902" s="49" t="str">
        <f t="shared" si="2"/>
        <v>S16270IS1</v>
      </c>
      <c r="D902" s="6">
        <v>33.0</v>
      </c>
      <c r="E902" s="10" t="str">
        <f t="shared" si="3"/>
        <v>BIS33</v>
      </c>
      <c r="F902" s="13">
        <v>68.0</v>
      </c>
      <c r="G902" s="10" t="str">
        <f t="shared" si="8"/>
        <v>BIS33-68</v>
      </c>
      <c r="H902" s="16"/>
      <c r="I902" s="16" t="str">
        <f t="shared" si="5"/>
        <v>collected</v>
      </c>
      <c r="J902" s="16" t="str">
        <f t="shared" si="6"/>
        <v>N</v>
      </c>
      <c r="K902" s="16"/>
      <c r="L902" s="16"/>
    </row>
    <row r="903">
      <c r="A903" s="43" t="s">
        <v>1318</v>
      </c>
      <c r="B903" s="10" t="str">
        <f t="shared" si="1"/>
        <v>isotope</v>
      </c>
      <c r="C903" s="49" t="str">
        <f t="shared" si="2"/>
        <v>S16267IS1</v>
      </c>
      <c r="D903" s="6">
        <v>33.0</v>
      </c>
      <c r="E903" s="10" t="str">
        <f t="shared" si="3"/>
        <v>BIS33</v>
      </c>
      <c r="F903" s="13">
        <v>69.0</v>
      </c>
      <c r="G903" s="10" t="str">
        <f t="shared" si="8"/>
        <v>BIS33-69</v>
      </c>
      <c r="H903" s="16"/>
      <c r="I903" s="16" t="str">
        <f t="shared" si="5"/>
        <v>collected</v>
      </c>
      <c r="J903" s="16" t="str">
        <f t="shared" si="6"/>
        <v>N</v>
      </c>
      <c r="K903" s="16"/>
      <c r="L903" s="16"/>
    </row>
    <row r="904">
      <c r="A904" s="43" t="s">
        <v>1320</v>
      </c>
      <c r="B904" s="10" t="str">
        <f t="shared" si="1"/>
        <v>isotope</v>
      </c>
      <c r="C904" s="49" t="str">
        <f t="shared" si="2"/>
        <v>S17382IS1</v>
      </c>
      <c r="D904" s="6">
        <v>33.0</v>
      </c>
      <c r="E904" s="10" t="str">
        <f t="shared" si="3"/>
        <v>BIS33</v>
      </c>
      <c r="F904" s="13">
        <v>70.0</v>
      </c>
      <c r="G904" s="10" t="str">
        <f t="shared" si="8"/>
        <v>BIS33-70</v>
      </c>
      <c r="H904" s="16"/>
      <c r="I904" s="16" t="str">
        <f t="shared" si="5"/>
        <v>collected</v>
      </c>
      <c r="J904" s="16" t="str">
        <f t="shared" si="6"/>
        <v>N</v>
      </c>
      <c r="K904" s="16"/>
      <c r="L904" s="16"/>
    </row>
    <row r="905">
      <c r="A905" s="43" t="s">
        <v>1322</v>
      </c>
      <c r="B905" s="10" t="str">
        <f t="shared" si="1"/>
        <v>isotope</v>
      </c>
      <c r="C905" s="49" t="str">
        <f t="shared" si="2"/>
        <v>S17381IS1</v>
      </c>
      <c r="D905" s="6">
        <v>33.0</v>
      </c>
      <c r="E905" s="10" t="str">
        <f t="shared" si="3"/>
        <v>BIS33</v>
      </c>
      <c r="F905" s="13">
        <v>71.0</v>
      </c>
      <c r="G905" s="10" t="str">
        <f t="shared" si="8"/>
        <v>BIS33-71</v>
      </c>
      <c r="H905" s="16"/>
      <c r="I905" s="16" t="str">
        <f t="shared" si="5"/>
        <v>collected</v>
      </c>
      <c r="J905" s="16" t="str">
        <f t="shared" si="6"/>
        <v>N</v>
      </c>
      <c r="K905" s="16"/>
      <c r="L905" s="16"/>
    </row>
    <row r="906">
      <c r="A906" s="40" t="s">
        <v>1324</v>
      </c>
      <c r="B906" s="10" t="str">
        <f t="shared" si="1"/>
        <v>isotope</v>
      </c>
      <c r="C906" s="49" t="str">
        <f t="shared" si="2"/>
        <v>S17383IS1</v>
      </c>
      <c r="D906" s="6">
        <v>33.0</v>
      </c>
      <c r="E906" s="10" t="str">
        <f t="shared" si="3"/>
        <v>BIS33</v>
      </c>
      <c r="F906" s="13">
        <v>72.0</v>
      </c>
      <c r="G906" s="10" t="str">
        <f t="shared" si="8"/>
        <v>BIS33-72</v>
      </c>
      <c r="H906" s="16"/>
      <c r="I906" s="16" t="str">
        <f t="shared" si="5"/>
        <v>collected</v>
      </c>
      <c r="J906" s="16" t="str">
        <f t="shared" si="6"/>
        <v>N</v>
      </c>
      <c r="K906" s="16"/>
      <c r="L906" s="16"/>
    </row>
    <row r="907">
      <c r="A907" s="43" t="s">
        <v>1325</v>
      </c>
      <c r="B907" s="10" t="str">
        <f t="shared" si="1"/>
        <v>isotope</v>
      </c>
      <c r="C907" s="49" t="str">
        <f t="shared" si="2"/>
        <v>S17384IS1</v>
      </c>
      <c r="D907" s="6">
        <v>33.0</v>
      </c>
      <c r="E907" s="10" t="str">
        <f t="shared" si="3"/>
        <v>BIS33</v>
      </c>
      <c r="F907" s="13">
        <v>73.0</v>
      </c>
      <c r="G907" s="10" t="str">
        <f t="shared" si="8"/>
        <v>BIS33-73</v>
      </c>
      <c r="H907" s="16"/>
      <c r="I907" s="16" t="str">
        <f t="shared" si="5"/>
        <v>collected</v>
      </c>
      <c r="J907" s="16" t="str">
        <f t="shared" si="6"/>
        <v>N</v>
      </c>
      <c r="K907" s="16"/>
      <c r="L907" s="16"/>
    </row>
    <row r="908">
      <c r="A908" s="43" t="s">
        <v>1326</v>
      </c>
      <c r="B908" s="10" t="str">
        <f t="shared" si="1"/>
        <v>isotope</v>
      </c>
      <c r="C908" s="49" t="str">
        <f t="shared" si="2"/>
        <v>S17385IS1</v>
      </c>
      <c r="D908" s="6">
        <v>33.0</v>
      </c>
      <c r="E908" s="10" t="str">
        <f t="shared" si="3"/>
        <v>BIS33</v>
      </c>
      <c r="F908" s="13">
        <v>74.0</v>
      </c>
      <c r="G908" s="10" t="str">
        <f t="shared" si="8"/>
        <v>BIS33-74</v>
      </c>
      <c r="H908" s="16"/>
      <c r="I908" s="16" t="str">
        <f t="shared" si="5"/>
        <v>collected</v>
      </c>
      <c r="J908" s="16" t="str">
        <f t="shared" si="6"/>
        <v>N</v>
      </c>
      <c r="K908" s="16"/>
      <c r="L908" s="16"/>
    </row>
    <row r="909">
      <c r="A909" s="33" t="s">
        <v>1327</v>
      </c>
      <c r="B909" s="10" t="str">
        <f t="shared" si="1"/>
        <v>isotope</v>
      </c>
      <c r="C909" s="49" t="str">
        <f t="shared" si="2"/>
        <v>S17386IS1</v>
      </c>
      <c r="D909" s="6">
        <v>33.0</v>
      </c>
      <c r="E909" s="10" t="str">
        <f t="shared" si="3"/>
        <v>BIS33</v>
      </c>
      <c r="F909" s="13">
        <v>75.0</v>
      </c>
      <c r="G909" s="10" t="str">
        <f t="shared" si="8"/>
        <v>BIS33-75</v>
      </c>
      <c r="H909" s="16"/>
      <c r="I909" s="16" t="str">
        <f t="shared" si="5"/>
        <v>collected</v>
      </c>
      <c r="J909" s="16" t="str">
        <f t="shared" si="6"/>
        <v>N</v>
      </c>
      <c r="K909" s="16"/>
      <c r="L909" s="16"/>
    </row>
    <row r="910">
      <c r="A910" s="43" t="s">
        <v>1328</v>
      </c>
      <c r="B910" s="10" t="str">
        <f t="shared" si="1"/>
        <v>isotope</v>
      </c>
      <c r="C910" s="49" t="str">
        <f t="shared" si="2"/>
        <v>S17388IS1</v>
      </c>
      <c r="D910" s="6">
        <v>33.0</v>
      </c>
      <c r="E910" s="10" t="str">
        <f t="shared" si="3"/>
        <v>BIS33</v>
      </c>
      <c r="F910" s="13">
        <v>76.0</v>
      </c>
      <c r="G910" s="10" t="str">
        <f t="shared" si="8"/>
        <v>BIS33-76</v>
      </c>
      <c r="H910" s="16"/>
      <c r="I910" s="16" t="str">
        <f t="shared" si="5"/>
        <v>collected</v>
      </c>
      <c r="J910" s="16" t="str">
        <f t="shared" si="6"/>
        <v>N</v>
      </c>
      <c r="K910" s="16"/>
      <c r="L910" s="16"/>
    </row>
    <row r="911">
      <c r="A911" s="43" t="s">
        <v>1329</v>
      </c>
      <c r="B911" s="10" t="str">
        <f t="shared" si="1"/>
        <v>isotope</v>
      </c>
      <c r="C911" s="49" t="str">
        <f t="shared" si="2"/>
        <v>S17389IS1</v>
      </c>
      <c r="D911" s="6">
        <v>33.0</v>
      </c>
      <c r="E911" s="10" t="str">
        <f t="shared" si="3"/>
        <v>BIS33</v>
      </c>
      <c r="F911" s="13">
        <v>77.0</v>
      </c>
      <c r="G911" s="10" t="str">
        <f t="shared" si="8"/>
        <v>BIS33-77</v>
      </c>
      <c r="H911" s="16"/>
      <c r="I911" s="16" t="str">
        <f t="shared" si="5"/>
        <v>collected</v>
      </c>
      <c r="J911" s="16" t="str">
        <f t="shared" si="6"/>
        <v>N</v>
      </c>
      <c r="K911" s="16"/>
      <c r="L911" s="16"/>
    </row>
    <row r="912">
      <c r="A912" s="43" t="s">
        <v>1330</v>
      </c>
      <c r="B912" s="10" t="str">
        <f t="shared" si="1"/>
        <v>isotope</v>
      </c>
      <c r="C912" s="49" t="str">
        <f t="shared" si="2"/>
        <v>S17387IS1</v>
      </c>
      <c r="D912" s="6">
        <v>33.0</v>
      </c>
      <c r="E912" s="10" t="str">
        <f t="shared" si="3"/>
        <v>BIS33</v>
      </c>
      <c r="F912" s="13">
        <v>78.0</v>
      </c>
      <c r="G912" s="10" t="str">
        <f t="shared" si="8"/>
        <v>BIS33-78</v>
      </c>
      <c r="H912" s="16"/>
      <c r="I912" s="16" t="str">
        <f t="shared" si="5"/>
        <v>collected</v>
      </c>
      <c r="J912" s="16" t="str">
        <f t="shared" si="6"/>
        <v>N</v>
      </c>
      <c r="K912" s="16"/>
      <c r="L912" s="16"/>
    </row>
    <row r="913">
      <c r="A913" s="43" t="s">
        <v>1331</v>
      </c>
      <c r="B913" s="10" t="str">
        <f t="shared" si="1"/>
        <v>isotope</v>
      </c>
      <c r="C913" s="49" t="str">
        <f t="shared" si="2"/>
        <v>S17390IS1</v>
      </c>
      <c r="D913" s="6">
        <v>33.0</v>
      </c>
      <c r="E913" s="10" t="str">
        <f t="shared" si="3"/>
        <v>BIS33</v>
      </c>
      <c r="F913" s="13">
        <v>79.0</v>
      </c>
      <c r="G913" s="10" t="str">
        <f t="shared" si="8"/>
        <v>BIS33-79</v>
      </c>
      <c r="H913" s="16"/>
      <c r="I913" s="16" t="str">
        <f t="shared" si="5"/>
        <v>collected</v>
      </c>
      <c r="J913" s="16" t="str">
        <f t="shared" si="6"/>
        <v>N</v>
      </c>
      <c r="K913" s="16"/>
      <c r="L913" s="16"/>
    </row>
    <row r="914">
      <c r="A914" s="43" t="s">
        <v>1332</v>
      </c>
      <c r="B914" s="10" t="str">
        <f t="shared" si="1"/>
        <v>isotope</v>
      </c>
      <c r="C914" s="49" t="str">
        <f t="shared" si="2"/>
        <v>S17711IS1</v>
      </c>
      <c r="D914" s="6">
        <v>33.0</v>
      </c>
      <c r="E914" s="10" t="str">
        <f t="shared" si="3"/>
        <v>BIS33</v>
      </c>
      <c r="F914" s="13">
        <v>80.0</v>
      </c>
      <c r="G914" s="10" t="str">
        <f t="shared" si="8"/>
        <v>BIS33-80</v>
      </c>
      <c r="H914" s="16"/>
      <c r="I914" s="16" t="str">
        <f t="shared" si="5"/>
        <v>collected</v>
      </c>
      <c r="J914" s="16" t="str">
        <f t="shared" si="6"/>
        <v>N</v>
      </c>
      <c r="K914" s="16"/>
      <c r="L914" s="16"/>
    </row>
    <row r="915">
      <c r="A915" s="43" t="s">
        <v>1333</v>
      </c>
      <c r="B915" s="10" t="str">
        <f t="shared" si="1"/>
        <v>isotope</v>
      </c>
      <c r="C915" s="49" t="str">
        <f t="shared" si="2"/>
        <v>S17715IS1</v>
      </c>
      <c r="D915" s="6">
        <v>33.0</v>
      </c>
      <c r="E915" s="10" t="str">
        <f t="shared" si="3"/>
        <v>BIS33</v>
      </c>
      <c r="F915" s="13">
        <v>81.0</v>
      </c>
      <c r="G915" s="10" t="str">
        <f t="shared" si="8"/>
        <v>BIS33-81</v>
      </c>
      <c r="H915" s="16"/>
      <c r="I915" s="16" t="str">
        <f t="shared" si="5"/>
        <v>collected</v>
      </c>
      <c r="J915" s="16" t="str">
        <f t="shared" si="6"/>
        <v>N</v>
      </c>
      <c r="K915" s="16"/>
      <c r="L915" s="16"/>
    </row>
    <row r="916">
      <c r="A916" s="43" t="s">
        <v>1334</v>
      </c>
      <c r="B916" s="10" t="str">
        <f t="shared" si="1"/>
        <v>isotope</v>
      </c>
      <c r="C916" s="49" t="str">
        <f t="shared" si="2"/>
        <v>S17717IS1</v>
      </c>
      <c r="D916" s="6">
        <v>35.0</v>
      </c>
      <c r="E916" s="10" t="str">
        <f t="shared" si="3"/>
        <v>BIS35</v>
      </c>
      <c r="F916" s="13">
        <v>1.0</v>
      </c>
      <c r="G916" s="10" t="str">
        <f t="shared" si="8"/>
        <v>BIS35-1</v>
      </c>
      <c r="H916" s="16"/>
      <c r="I916" s="16" t="str">
        <f t="shared" si="5"/>
        <v>collected</v>
      </c>
      <c r="J916" s="16" t="str">
        <f t="shared" si="6"/>
        <v>N</v>
      </c>
      <c r="K916" s="16"/>
      <c r="L916" s="16"/>
    </row>
    <row r="917">
      <c r="A917" s="43" t="s">
        <v>1335</v>
      </c>
      <c r="B917" s="10" t="str">
        <f t="shared" si="1"/>
        <v>isotope</v>
      </c>
      <c r="C917" s="49" t="str">
        <f t="shared" si="2"/>
        <v>S17719IS1</v>
      </c>
      <c r="D917" s="6">
        <v>35.0</v>
      </c>
      <c r="E917" s="10" t="str">
        <f t="shared" si="3"/>
        <v>BIS35</v>
      </c>
      <c r="F917" s="13">
        <v>2.0</v>
      </c>
      <c r="G917" s="10" t="str">
        <f t="shared" si="8"/>
        <v>BIS35-2</v>
      </c>
      <c r="H917" s="16"/>
      <c r="I917" s="16" t="str">
        <f t="shared" si="5"/>
        <v>collected</v>
      </c>
      <c r="J917" s="16" t="str">
        <f t="shared" si="6"/>
        <v>N</v>
      </c>
      <c r="K917" s="16"/>
      <c r="L917" s="16"/>
    </row>
    <row r="918">
      <c r="A918" s="43" t="s">
        <v>1336</v>
      </c>
      <c r="B918" s="10" t="str">
        <f t="shared" si="1"/>
        <v>isotope</v>
      </c>
      <c r="C918" s="49" t="str">
        <f t="shared" si="2"/>
        <v>S17713IS1</v>
      </c>
      <c r="D918" s="6">
        <v>35.0</v>
      </c>
      <c r="E918" s="10" t="str">
        <f t="shared" si="3"/>
        <v>BIS35</v>
      </c>
      <c r="F918" s="13">
        <v>3.0</v>
      </c>
      <c r="G918" s="10" t="str">
        <f t="shared" si="8"/>
        <v>BIS35-3</v>
      </c>
      <c r="H918" s="16"/>
      <c r="I918" s="16" t="str">
        <f t="shared" si="5"/>
        <v>collected</v>
      </c>
      <c r="J918" s="16" t="str">
        <f t="shared" si="6"/>
        <v>N</v>
      </c>
      <c r="K918" s="16"/>
      <c r="L918" s="16"/>
    </row>
    <row r="919">
      <c r="A919" s="43" t="s">
        <v>1337</v>
      </c>
      <c r="B919" s="10" t="str">
        <f t="shared" si="1"/>
        <v>isotope</v>
      </c>
      <c r="C919" s="49" t="str">
        <f t="shared" si="2"/>
        <v>S17720IS1</v>
      </c>
      <c r="D919" s="6">
        <v>35.0</v>
      </c>
      <c r="E919" s="10" t="str">
        <f t="shared" si="3"/>
        <v>BIS35</v>
      </c>
      <c r="F919" s="13">
        <v>4.0</v>
      </c>
      <c r="G919" s="10" t="str">
        <f t="shared" si="8"/>
        <v>BIS35-4</v>
      </c>
      <c r="H919" s="16"/>
      <c r="I919" s="16" t="str">
        <f t="shared" si="5"/>
        <v>collected</v>
      </c>
      <c r="J919" s="16" t="str">
        <f t="shared" si="6"/>
        <v>N</v>
      </c>
      <c r="K919" s="16"/>
      <c r="L919" s="16"/>
    </row>
    <row r="920">
      <c r="A920" s="40" t="s">
        <v>1338</v>
      </c>
      <c r="B920" s="10" t="str">
        <f t="shared" si="1"/>
        <v>isotope</v>
      </c>
      <c r="C920" s="49" t="str">
        <f t="shared" si="2"/>
        <v>S17716IS1</v>
      </c>
      <c r="D920" s="6">
        <v>35.0</v>
      </c>
      <c r="E920" s="10" t="str">
        <f t="shared" si="3"/>
        <v>BIS35</v>
      </c>
      <c r="F920" s="13">
        <v>5.0</v>
      </c>
      <c r="G920" s="10" t="str">
        <f t="shared" si="8"/>
        <v>BIS35-5</v>
      </c>
      <c r="H920" s="16"/>
      <c r="I920" s="16" t="str">
        <f t="shared" si="5"/>
        <v>collected</v>
      </c>
      <c r="J920" s="16" t="str">
        <f t="shared" si="6"/>
        <v>N</v>
      </c>
      <c r="K920" s="16"/>
      <c r="L920" s="16"/>
    </row>
    <row r="921">
      <c r="A921" s="40" t="s">
        <v>1339</v>
      </c>
      <c r="B921" s="10" t="str">
        <f t="shared" si="1"/>
        <v>isotope</v>
      </c>
      <c r="C921" s="49" t="str">
        <f t="shared" si="2"/>
        <v>S17718IS1</v>
      </c>
      <c r="D921" s="6">
        <v>35.0</v>
      </c>
      <c r="E921" s="10" t="str">
        <f t="shared" si="3"/>
        <v>BIS35</v>
      </c>
      <c r="F921" s="13">
        <v>6.0</v>
      </c>
      <c r="G921" s="10" t="str">
        <f t="shared" si="8"/>
        <v>BIS35-6</v>
      </c>
      <c r="H921" s="16"/>
      <c r="I921" s="16" t="str">
        <f t="shared" si="5"/>
        <v>collected</v>
      </c>
      <c r="J921" s="16" t="str">
        <f t="shared" si="6"/>
        <v>N</v>
      </c>
      <c r="K921" s="16"/>
      <c r="L921" s="16"/>
    </row>
    <row r="922">
      <c r="A922" s="40" t="s">
        <v>1340</v>
      </c>
      <c r="B922" s="10" t="str">
        <f t="shared" si="1"/>
        <v>isotope</v>
      </c>
      <c r="C922" s="49" t="str">
        <f t="shared" si="2"/>
        <v>S17712IS1</v>
      </c>
      <c r="D922" s="6">
        <v>35.0</v>
      </c>
      <c r="E922" s="10" t="str">
        <f t="shared" si="3"/>
        <v>BIS35</v>
      </c>
      <c r="F922" s="13">
        <v>7.0</v>
      </c>
      <c r="G922" s="10" t="str">
        <f t="shared" si="8"/>
        <v>BIS35-7</v>
      </c>
      <c r="H922" s="16"/>
      <c r="I922" s="16" t="str">
        <f t="shared" si="5"/>
        <v>collected</v>
      </c>
      <c r="J922" s="16" t="str">
        <f t="shared" si="6"/>
        <v>N</v>
      </c>
      <c r="K922" s="16"/>
      <c r="L922" s="16"/>
    </row>
    <row r="923">
      <c r="A923" s="27" t="s">
        <v>1341</v>
      </c>
      <c r="B923" s="10" t="str">
        <f t="shared" si="1"/>
        <v>isotope</v>
      </c>
      <c r="C923" s="49" t="str">
        <f t="shared" si="2"/>
        <v>S16432IS1</v>
      </c>
      <c r="D923" s="6">
        <v>34.0</v>
      </c>
      <c r="E923" s="10" t="str">
        <f t="shared" si="3"/>
        <v>BIS34</v>
      </c>
      <c r="F923" s="13">
        <v>2.0</v>
      </c>
      <c r="G923" s="10" t="str">
        <f t="shared" si="8"/>
        <v>BIS34-2</v>
      </c>
      <c r="H923" s="16"/>
      <c r="I923" s="16" t="str">
        <f t="shared" si="5"/>
        <v>collected</v>
      </c>
      <c r="J923" s="16" t="str">
        <f t="shared" si="6"/>
        <v>N</v>
      </c>
      <c r="K923" s="16"/>
      <c r="L923" s="16"/>
    </row>
    <row r="924">
      <c r="A924" s="27" t="s">
        <v>1342</v>
      </c>
      <c r="B924" s="10" t="str">
        <f t="shared" si="1"/>
        <v>isotope</v>
      </c>
      <c r="C924" s="49" t="str">
        <f t="shared" si="2"/>
        <v>S16434IS1</v>
      </c>
      <c r="D924" s="6">
        <v>34.0</v>
      </c>
      <c r="E924" s="10" t="str">
        <f t="shared" si="3"/>
        <v>BIS34</v>
      </c>
      <c r="F924" s="13">
        <v>3.0</v>
      </c>
      <c r="G924" s="10" t="str">
        <f t="shared" si="8"/>
        <v>BIS34-3</v>
      </c>
      <c r="H924" s="16"/>
      <c r="I924" s="16" t="str">
        <f t="shared" si="5"/>
        <v>collected</v>
      </c>
      <c r="J924" s="16" t="str">
        <f t="shared" si="6"/>
        <v>N</v>
      </c>
      <c r="K924" s="16"/>
      <c r="L924" s="16"/>
    </row>
    <row r="925">
      <c r="A925" s="27" t="s">
        <v>1343</v>
      </c>
      <c r="B925" s="10" t="str">
        <f t="shared" si="1"/>
        <v>isotope</v>
      </c>
      <c r="C925" s="49" t="str">
        <f t="shared" si="2"/>
        <v>S16431IS1</v>
      </c>
      <c r="D925" s="6">
        <v>34.0</v>
      </c>
      <c r="E925" s="10" t="str">
        <f t="shared" si="3"/>
        <v>BIS34</v>
      </c>
      <c r="F925" s="13">
        <v>4.0</v>
      </c>
      <c r="G925" s="10" t="str">
        <f t="shared" si="8"/>
        <v>BIS34-4</v>
      </c>
      <c r="H925" s="16"/>
      <c r="I925" s="16" t="str">
        <f t="shared" si="5"/>
        <v>collected</v>
      </c>
      <c r="J925" s="16" t="str">
        <f t="shared" si="6"/>
        <v>N</v>
      </c>
      <c r="K925" s="16"/>
      <c r="L925" s="16"/>
    </row>
    <row r="926">
      <c r="A926" s="27" t="s">
        <v>1344</v>
      </c>
      <c r="B926" s="10" t="str">
        <f t="shared" si="1"/>
        <v>isotope</v>
      </c>
      <c r="C926" s="49" t="str">
        <f t="shared" si="2"/>
        <v>S17971IS1</v>
      </c>
      <c r="D926" s="6">
        <v>34.0</v>
      </c>
      <c r="E926" s="10" t="str">
        <f t="shared" si="3"/>
        <v>BIS34</v>
      </c>
      <c r="F926" s="13">
        <v>5.0</v>
      </c>
      <c r="G926" s="10" t="str">
        <f t="shared" si="8"/>
        <v>BIS34-5</v>
      </c>
      <c r="H926" s="16"/>
      <c r="I926" s="16" t="str">
        <f t="shared" si="5"/>
        <v>collected</v>
      </c>
      <c r="J926" s="16" t="str">
        <f t="shared" si="6"/>
        <v>N</v>
      </c>
      <c r="K926" s="16"/>
      <c r="L926" s="16"/>
    </row>
    <row r="927">
      <c r="A927" s="27" t="s">
        <v>1345</v>
      </c>
      <c r="B927" s="10" t="str">
        <f t="shared" si="1"/>
        <v>isotope</v>
      </c>
      <c r="C927" s="49" t="str">
        <f t="shared" si="2"/>
        <v>S17972IS1</v>
      </c>
      <c r="D927" s="6">
        <v>34.0</v>
      </c>
      <c r="E927" s="10" t="str">
        <f t="shared" si="3"/>
        <v>BIS34</v>
      </c>
      <c r="F927" s="13">
        <v>6.0</v>
      </c>
      <c r="G927" s="10" t="str">
        <f t="shared" si="8"/>
        <v>BIS34-6</v>
      </c>
      <c r="H927" s="16"/>
      <c r="I927" s="16" t="str">
        <f t="shared" si="5"/>
        <v>collected</v>
      </c>
      <c r="J927" s="16" t="str">
        <f t="shared" si="6"/>
        <v>N</v>
      </c>
      <c r="K927" s="16"/>
      <c r="L927" s="16"/>
    </row>
    <row r="928">
      <c r="A928" s="27" t="s">
        <v>1346</v>
      </c>
      <c r="B928" s="10" t="str">
        <f t="shared" si="1"/>
        <v>isotope</v>
      </c>
      <c r="C928" s="49" t="str">
        <f t="shared" si="2"/>
        <v>S17973IS1</v>
      </c>
      <c r="D928" s="6">
        <v>34.0</v>
      </c>
      <c r="E928" s="10" t="str">
        <f t="shared" si="3"/>
        <v>BIS34</v>
      </c>
      <c r="F928" s="13">
        <v>7.0</v>
      </c>
      <c r="G928" s="10" t="str">
        <f t="shared" si="8"/>
        <v>BIS34-7</v>
      </c>
      <c r="H928" s="16"/>
      <c r="I928" s="16" t="str">
        <f t="shared" si="5"/>
        <v>collected</v>
      </c>
      <c r="J928" s="16" t="str">
        <f t="shared" si="6"/>
        <v>N</v>
      </c>
      <c r="K928" s="16"/>
      <c r="L928" s="16"/>
    </row>
    <row r="929">
      <c r="A929" s="27" t="s">
        <v>1347</v>
      </c>
      <c r="B929" s="10" t="str">
        <f t="shared" si="1"/>
        <v>isotope</v>
      </c>
      <c r="C929" s="49" t="str">
        <f t="shared" si="2"/>
        <v>S17974IS1</v>
      </c>
      <c r="D929" s="6">
        <v>34.0</v>
      </c>
      <c r="E929" s="10" t="str">
        <f t="shared" si="3"/>
        <v>BIS34</v>
      </c>
      <c r="F929" s="13">
        <v>8.0</v>
      </c>
      <c r="G929" s="10" t="str">
        <f t="shared" si="8"/>
        <v>BIS34-8</v>
      </c>
      <c r="H929" s="16"/>
      <c r="I929" s="16" t="str">
        <f t="shared" si="5"/>
        <v>collected</v>
      </c>
      <c r="J929" s="16" t="str">
        <f t="shared" si="6"/>
        <v>N</v>
      </c>
      <c r="K929" s="16"/>
      <c r="L929" s="16"/>
    </row>
    <row r="930">
      <c r="A930" s="27" t="s">
        <v>1348</v>
      </c>
      <c r="B930" s="10" t="str">
        <f t="shared" si="1"/>
        <v>isotope</v>
      </c>
      <c r="C930" s="49" t="str">
        <f t="shared" si="2"/>
        <v>S17975IS1</v>
      </c>
      <c r="D930" s="6">
        <v>34.0</v>
      </c>
      <c r="E930" s="10" t="str">
        <f t="shared" si="3"/>
        <v>BIS34</v>
      </c>
      <c r="F930" s="13">
        <v>9.0</v>
      </c>
      <c r="G930" s="10" t="str">
        <f t="shared" si="8"/>
        <v>BIS34-9</v>
      </c>
      <c r="H930" s="16"/>
      <c r="I930" s="16" t="str">
        <f t="shared" si="5"/>
        <v>collected</v>
      </c>
      <c r="J930" s="16" t="str">
        <f t="shared" si="6"/>
        <v>N</v>
      </c>
      <c r="K930" s="16"/>
      <c r="L930" s="16"/>
    </row>
    <row r="931">
      <c r="A931" s="27" t="s">
        <v>1350</v>
      </c>
      <c r="B931" s="10" t="str">
        <f t="shared" si="1"/>
        <v>isotope</v>
      </c>
      <c r="C931" s="49" t="str">
        <f t="shared" si="2"/>
        <v>S17976IS1</v>
      </c>
      <c r="D931" s="6">
        <v>34.0</v>
      </c>
      <c r="E931" s="10" t="str">
        <f t="shared" si="3"/>
        <v>BIS34</v>
      </c>
      <c r="F931" s="13">
        <v>10.0</v>
      </c>
      <c r="G931" s="10" t="str">
        <f t="shared" si="8"/>
        <v>BIS34-10</v>
      </c>
      <c r="H931" s="16"/>
      <c r="I931" s="16" t="str">
        <f t="shared" si="5"/>
        <v>collected</v>
      </c>
      <c r="J931" s="16" t="str">
        <f t="shared" si="6"/>
        <v>N</v>
      </c>
      <c r="K931" s="16"/>
      <c r="L931" s="16"/>
    </row>
    <row r="932">
      <c r="A932" s="27" t="s">
        <v>1351</v>
      </c>
      <c r="B932" s="10" t="str">
        <f t="shared" si="1"/>
        <v>isotope</v>
      </c>
      <c r="C932" s="49" t="str">
        <f t="shared" si="2"/>
        <v>S17977IS1</v>
      </c>
      <c r="D932" s="6">
        <v>34.0</v>
      </c>
      <c r="E932" s="10" t="str">
        <f t="shared" si="3"/>
        <v>BIS34</v>
      </c>
      <c r="F932" s="13">
        <v>11.0</v>
      </c>
      <c r="G932" s="10" t="str">
        <f t="shared" si="8"/>
        <v>BIS34-11</v>
      </c>
      <c r="H932" s="16"/>
      <c r="I932" s="16" t="str">
        <f t="shared" si="5"/>
        <v>collected</v>
      </c>
      <c r="J932" s="16" t="str">
        <f t="shared" si="6"/>
        <v>N</v>
      </c>
      <c r="K932" s="16"/>
      <c r="L932" s="16"/>
    </row>
    <row r="933">
      <c r="A933" s="27" t="s">
        <v>1352</v>
      </c>
      <c r="B933" s="10" t="str">
        <f t="shared" si="1"/>
        <v>isotope</v>
      </c>
      <c r="C933" s="49" t="str">
        <f t="shared" si="2"/>
        <v>S17978IS1</v>
      </c>
      <c r="D933" s="6">
        <v>34.0</v>
      </c>
      <c r="E933" s="10" t="str">
        <f t="shared" si="3"/>
        <v>BIS34</v>
      </c>
      <c r="F933" s="13">
        <v>12.0</v>
      </c>
      <c r="G933" s="10" t="str">
        <f t="shared" si="8"/>
        <v>BIS34-12</v>
      </c>
      <c r="H933" s="16"/>
      <c r="I933" s="16" t="str">
        <f t="shared" si="5"/>
        <v>collected</v>
      </c>
      <c r="J933" s="16" t="str">
        <f t="shared" si="6"/>
        <v>N</v>
      </c>
      <c r="K933" s="16"/>
      <c r="L933" s="16"/>
    </row>
    <row r="934">
      <c r="A934" s="27" t="s">
        <v>1353</v>
      </c>
      <c r="B934" s="10" t="str">
        <f t="shared" si="1"/>
        <v>isotope</v>
      </c>
      <c r="C934" s="49" t="str">
        <f t="shared" si="2"/>
        <v>S17979IS1</v>
      </c>
      <c r="D934" s="6">
        <v>34.0</v>
      </c>
      <c r="E934" s="10" t="str">
        <f t="shared" si="3"/>
        <v>BIS34</v>
      </c>
      <c r="F934" s="13">
        <v>13.0</v>
      </c>
      <c r="G934" s="10" t="str">
        <f t="shared" si="8"/>
        <v>BIS34-13</v>
      </c>
      <c r="H934" s="16"/>
      <c r="I934" s="16" t="str">
        <f t="shared" si="5"/>
        <v>collected</v>
      </c>
      <c r="J934" s="16" t="str">
        <f t="shared" si="6"/>
        <v>N</v>
      </c>
      <c r="K934" s="16"/>
      <c r="L934" s="16"/>
    </row>
    <row r="935">
      <c r="A935" s="27" t="s">
        <v>1355</v>
      </c>
      <c r="B935" s="10" t="str">
        <f t="shared" si="1"/>
        <v>isotope</v>
      </c>
      <c r="C935" s="49" t="str">
        <f t="shared" si="2"/>
        <v>S17980IS1</v>
      </c>
      <c r="D935" s="6">
        <v>34.0</v>
      </c>
      <c r="E935" s="10" t="str">
        <f t="shared" si="3"/>
        <v>BIS34</v>
      </c>
      <c r="F935" s="13">
        <v>14.0</v>
      </c>
      <c r="G935" s="10" t="str">
        <f t="shared" si="8"/>
        <v>BIS34-14</v>
      </c>
      <c r="H935" s="16"/>
      <c r="I935" s="16" t="str">
        <f t="shared" si="5"/>
        <v>collected</v>
      </c>
      <c r="J935" s="16" t="str">
        <f t="shared" si="6"/>
        <v>N</v>
      </c>
      <c r="K935" s="16"/>
      <c r="L935" s="16"/>
    </row>
    <row r="936">
      <c r="A936" s="27" t="s">
        <v>1356</v>
      </c>
      <c r="B936" s="10" t="str">
        <f t="shared" si="1"/>
        <v>isotope</v>
      </c>
      <c r="C936" s="49" t="str">
        <f t="shared" si="2"/>
        <v>S17561IS1</v>
      </c>
      <c r="D936" s="6">
        <v>34.0</v>
      </c>
      <c r="E936" s="10" t="str">
        <f t="shared" si="3"/>
        <v>BIS34</v>
      </c>
      <c r="F936" s="13">
        <v>15.0</v>
      </c>
      <c r="G936" s="10" t="str">
        <f t="shared" si="8"/>
        <v>BIS34-15</v>
      </c>
      <c r="H936" s="16"/>
      <c r="I936" s="16" t="str">
        <f t="shared" si="5"/>
        <v>collected</v>
      </c>
      <c r="J936" s="16" t="str">
        <f t="shared" si="6"/>
        <v>N</v>
      </c>
      <c r="K936" s="16"/>
      <c r="L936" s="16"/>
    </row>
    <row r="937">
      <c r="A937" s="27" t="s">
        <v>1357</v>
      </c>
      <c r="B937" s="10" t="str">
        <f t="shared" si="1"/>
        <v>isotope</v>
      </c>
      <c r="C937" s="49" t="str">
        <f t="shared" si="2"/>
        <v>S17562IS1</v>
      </c>
      <c r="D937" s="6">
        <v>34.0</v>
      </c>
      <c r="E937" s="10" t="str">
        <f t="shared" si="3"/>
        <v>BIS34</v>
      </c>
      <c r="F937" s="13">
        <v>16.0</v>
      </c>
      <c r="G937" s="10" t="str">
        <f t="shared" si="8"/>
        <v>BIS34-16</v>
      </c>
      <c r="H937" s="16"/>
      <c r="I937" s="16" t="str">
        <f t="shared" si="5"/>
        <v>collected</v>
      </c>
      <c r="J937" s="16" t="str">
        <f t="shared" si="6"/>
        <v>N</v>
      </c>
      <c r="K937" s="16"/>
      <c r="L937" s="16"/>
    </row>
    <row r="938">
      <c r="A938" s="27" t="s">
        <v>1358</v>
      </c>
      <c r="B938" s="10" t="str">
        <f t="shared" si="1"/>
        <v>isotope</v>
      </c>
      <c r="C938" s="49" t="str">
        <f t="shared" si="2"/>
        <v>S17563IS1</v>
      </c>
      <c r="D938" s="6">
        <v>34.0</v>
      </c>
      <c r="E938" s="10" t="str">
        <f t="shared" si="3"/>
        <v>BIS34</v>
      </c>
      <c r="F938" s="13">
        <v>17.0</v>
      </c>
      <c r="G938" s="10" t="str">
        <f t="shared" si="8"/>
        <v>BIS34-17</v>
      </c>
      <c r="H938" s="16"/>
      <c r="I938" s="16" t="str">
        <f t="shared" si="5"/>
        <v>collected</v>
      </c>
      <c r="J938" s="16" t="str">
        <f t="shared" si="6"/>
        <v>N</v>
      </c>
      <c r="K938" s="16"/>
      <c r="L938" s="16"/>
    </row>
    <row r="939">
      <c r="A939" s="27" t="s">
        <v>1359</v>
      </c>
      <c r="B939" s="10" t="str">
        <f t="shared" si="1"/>
        <v>isotope</v>
      </c>
      <c r="C939" s="49" t="str">
        <f t="shared" si="2"/>
        <v>S17564IS1</v>
      </c>
      <c r="D939" s="6">
        <v>34.0</v>
      </c>
      <c r="E939" s="10" t="str">
        <f t="shared" si="3"/>
        <v>BIS34</v>
      </c>
      <c r="F939" s="13">
        <v>18.0</v>
      </c>
      <c r="G939" s="10" t="str">
        <f t="shared" si="8"/>
        <v>BIS34-18</v>
      </c>
      <c r="H939" s="16"/>
      <c r="I939" s="16" t="str">
        <f t="shared" si="5"/>
        <v>collected</v>
      </c>
      <c r="J939" s="16" t="str">
        <f t="shared" si="6"/>
        <v>N</v>
      </c>
      <c r="K939" s="16"/>
      <c r="L939" s="16"/>
    </row>
    <row r="940">
      <c r="A940" s="27" t="s">
        <v>1360</v>
      </c>
      <c r="B940" s="10" t="str">
        <f t="shared" si="1"/>
        <v>isotope</v>
      </c>
      <c r="C940" s="49" t="str">
        <f t="shared" si="2"/>
        <v>S17565IS1</v>
      </c>
      <c r="D940" s="6">
        <v>34.0</v>
      </c>
      <c r="E940" s="10" t="str">
        <f t="shared" si="3"/>
        <v>BIS34</v>
      </c>
      <c r="F940" s="13">
        <v>19.0</v>
      </c>
      <c r="G940" s="10" t="str">
        <f t="shared" si="8"/>
        <v>BIS34-19</v>
      </c>
      <c r="H940" s="16"/>
      <c r="I940" s="16" t="str">
        <f t="shared" si="5"/>
        <v>collected</v>
      </c>
      <c r="J940" s="16" t="str">
        <f t="shared" si="6"/>
        <v>N</v>
      </c>
      <c r="K940" s="16"/>
      <c r="L940" s="16"/>
    </row>
    <row r="941">
      <c r="A941" s="27" t="s">
        <v>1361</v>
      </c>
      <c r="B941" s="10" t="str">
        <f t="shared" si="1"/>
        <v>isotope</v>
      </c>
      <c r="C941" s="49" t="str">
        <f t="shared" si="2"/>
        <v>S17566IS1</v>
      </c>
      <c r="D941" s="6">
        <v>34.0</v>
      </c>
      <c r="E941" s="10" t="str">
        <f t="shared" si="3"/>
        <v>BIS34</v>
      </c>
      <c r="F941" s="13">
        <v>20.0</v>
      </c>
      <c r="G941" s="10" t="str">
        <f t="shared" si="8"/>
        <v>BIS34-20</v>
      </c>
      <c r="H941" s="16"/>
      <c r="I941" s="16" t="str">
        <f t="shared" si="5"/>
        <v>collected</v>
      </c>
      <c r="J941" s="16" t="str">
        <f t="shared" si="6"/>
        <v>N</v>
      </c>
      <c r="K941" s="16"/>
      <c r="L941" s="16"/>
    </row>
    <row r="942">
      <c r="A942" s="27" t="s">
        <v>1362</v>
      </c>
      <c r="B942" s="10" t="str">
        <f t="shared" si="1"/>
        <v>isotope</v>
      </c>
      <c r="C942" s="49" t="str">
        <f t="shared" si="2"/>
        <v>S17568IS1</v>
      </c>
      <c r="D942" s="6">
        <v>34.0</v>
      </c>
      <c r="E942" s="10" t="str">
        <f t="shared" si="3"/>
        <v>BIS34</v>
      </c>
      <c r="F942" s="13">
        <v>21.0</v>
      </c>
      <c r="G942" s="10" t="str">
        <f t="shared" si="8"/>
        <v>BIS34-21</v>
      </c>
      <c r="H942" s="16"/>
      <c r="I942" s="16" t="str">
        <f t="shared" si="5"/>
        <v>collected</v>
      </c>
      <c r="J942" s="16" t="str">
        <f t="shared" si="6"/>
        <v>N</v>
      </c>
      <c r="K942" s="16"/>
      <c r="L942" s="16"/>
    </row>
    <row r="943">
      <c r="A943" s="27" t="s">
        <v>1363</v>
      </c>
      <c r="B943" s="10" t="str">
        <f t="shared" si="1"/>
        <v>isotope</v>
      </c>
      <c r="C943" s="49" t="str">
        <f t="shared" si="2"/>
        <v>S17567IS1</v>
      </c>
      <c r="D943" s="6">
        <v>34.0</v>
      </c>
      <c r="E943" s="10" t="str">
        <f t="shared" si="3"/>
        <v>BIS34</v>
      </c>
      <c r="F943" s="13">
        <v>22.0</v>
      </c>
      <c r="G943" s="10" t="str">
        <f t="shared" si="8"/>
        <v>BIS34-22</v>
      </c>
      <c r="H943" s="16"/>
      <c r="I943" s="16" t="str">
        <f t="shared" si="5"/>
        <v>collected</v>
      </c>
      <c r="J943" s="16" t="str">
        <f t="shared" si="6"/>
        <v>N</v>
      </c>
      <c r="K943" s="16"/>
      <c r="L943" s="16"/>
    </row>
    <row r="944">
      <c r="A944" s="27" t="s">
        <v>1364</v>
      </c>
      <c r="B944" s="10" t="str">
        <f t="shared" si="1"/>
        <v>isotope</v>
      </c>
      <c r="C944" s="49" t="str">
        <f t="shared" si="2"/>
        <v>S17569IS1</v>
      </c>
      <c r="D944" s="6">
        <v>34.0</v>
      </c>
      <c r="E944" s="10" t="str">
        <f t="shared" si="3"/>
        <v>BIS34</v>
      </c>
      <c r="F944" s="13">
        <v>23.0</v>
      </c>
      <c r="G944" s="10" t="str">
        <f t="shared" si="8"/>
        <v>BIS34-23</v>
      </c>
      <c r="H944" s="16"/>
      <c r="I944" s="16" t="str">
        <f t="shared" si="5"/>
        <v>collected</v>
      </c>
      <c r="J944" s="16" t="str">
        <f t="shared" si="6"/>
        <v>N</v>
      </c>
      <c r="K944" s="16"/>
      <c r="L944" s="16"/>
    </row>
    <row r="945">
      <c r="A945" s="27" t="s">
        <v>1365</v>
      </c>
      <c r="B945" s="10" t="str">
        <f t="shared" si="1"/>
        <v>isotope</v>
      </c>
      <c r="C945" s="49" t="str">
        <f t="shared" si="2"/>
        <v>S16065IS1</v>
      </c>
      <c r="D945" s="6">
        <v>36.0</v>
      </c>
      <c r="E945" s="10" t="str">
        <f t="shared" si="3"/>
        <v>BIS36</v>
      </c>
      <c r="F945" s="13">
        <v>1.0</v>
      </c>
      <c r="G945" s="10" t="str">
        <f t="shared" si="8"/>
        <v>BIS36-1</v>
      </c>
      <c r="H945" s="16"/>
      <c r="I945" s="16" t="str">
        <f t="shared" si="5"/>
        <v>collected</v>
      </c>
      <c r="J945" s="16" t="str">
        <f t="shared" si="6"/>
        <v>N</v>
      </c>
      <c r="K945" s="16"/>
      <c r="L945" s="16"/>
    </row>
    <row r="946">
      <c r="A946" s="27" t="s">
        <v>1366</v>
      </c>
      <c r="B946" s="10" t="str">
        <f t="shared" si="1"/>
        <v>isotope</v>
      </c>
      <c r="C946" s="49" t="str">
        <f t="shared" si="2"/>
        <v>S16069IS1</v>
      </c>
      <c r="D946" s="6">
        <v>36.0</v>
      </c>
      <c r="E946" s="10" t="str">
        <f t="shared" si="3"/>
        <v>BIS36</v>
      </c>
      <c r="F946" s="13">
        <v>2.0</v>
      </c>
      <c r="G946" s="10" t="str">
        <f t="shared" si="8"/>
        <v>BIS36-2</v>
      </c>
      <c r="H946" s="16"/>
      <c r="I946" s="16" t="str">
        <f t="shared" si="5"/>
        <v>collected</v>
      </c>
      <c r="J946" s="16" t="str">
        <f t="shared" si="6"/>
        <v>N</v>
      </c>
      <c r="K946" s="16"/>
      <c r="L946" s="16"/>
    </row>
    <row r="947">
      <c r="A947" s="27" t="s">
        <v>1367</v>
      </c>
      <c r="B947" s="10" t="str">
        <f t="shared" si="1"/>
        <v>isotope</v>
      </c>
      <c r="C947" s="49" t="str">
        <f t="shared" si="2"/>
        <v>S16064IS1</v>
      </c>
      <c r="D947" s="6">
        <v>36.0</v>
      </c>
      <c r="E947" s="10" t="str">
        <f t="shared" si="3"/>
        <v>BIS36</v>
      </c>
      <c r="F947" s="13">
        <v>3.0</v>
      </c>
      <c r="G947" s="10" t="str">
        <f t="shared" si="8"/>
        <v>BIS36-3</v>
      </c>
      <c r="H947" s="16"/>
      <c r="I947" s="16" t="str">
        <f t="shared" si="5"/>
        <v>collected</v>
      </c>
      <c r="J947" s="16" t="str">
        <f t="shared" si="6"/>
        <v>N</v>
      </c>
      <c r="K947" s="16"/>
      <c r="L947" s="16"/>
    </row>
    <row r="948">
      <c r="A948" s="27" t="s">
        <v>1368</v>
      </c>
      <c r="B948" s="10" t="str">
        <f t="shared" si="1"/>
        <v>isotope</v>
      </c>
      <c r="C948" s="49" t="str">
        <f t="shared" si="2"/>
        <v>S16068IS1</v>
      </c>
      <c r="D948" s="6">
        <v>36.0</v>
      </c>
      <c r="E948" s="10" t="str">
        <f t="shared" si="3"/>
        <v>BIS36</v>
      </c>
      <c r="F948" s="13">
        <v>4.0</v>
      </c>
      <c r="G948" s="10" t="str">
        <f t="shared" si="8"/>
        <v>BIS36-4</v>
      </c>
      <c r="H948" s="16"/>
      <c r="I948" s="16" t="str">
        <f t="shared" si="5"/>
        <v>collected</v>
      </c>
      <c r="J948" s="16" t="str">
        <f t="shared" si="6"/>
        <v>N</v>
      </c>
      <c r="K948" s="16"/>
      <c r="L948" s="16"/>
    </row>
    <row r="949">
      <c r="A949" s="27" t="s">
        <v>1369</v>
      </c>
      <c r="B949" s="10" t="str">
        <f t="shared" si="1"/>
        <v>isotope</v>
      </c>
      <c r="C949" s="49" t="str">
        <f t="shared" si="2"/>
        <v>S16062IS1</v>
      </c>
      <c r="D949" s="6">
        <v>36.0</v>
      </c>
      <c r="E949" s="10" t="str">
        <f t="shared" si="3"/>
        <v>BIS36</v>
      </c>
      <c r="F949" s="13">
        <v>5.0</v>
      </c>
      <c r="G949" s="10" t="str">
        <f t="shared" si="8"/>
        <v>BIS36-5</v>
      </c>
      <c r="H949" s="16"/>
      <c r="I949" s="16" t="str">
        <f t="shared" si="5"/>
        <v>collected</v>
      </c>
      <c r="J949" s="16" t="str">
        <f t="shared" si="6"/>
        <v>N</v>
      </c>
      <c r="K949" s="16"/>
      <c r="L949" s="16"/>
    </row>
    <row r="950">
      <c r="A950" s="27" t="s">
        <v>1370</v>
      </c>
      <c r="B950" s="10" t="str">
        <f t="shared" si="1"/>
        <v>isotope</v>
      </c>
      <c r="C950" s="49" t="str">
        <f t="shared" si="2"/>
        <v>S16070IS1</v>
      </c>
      <c r="D950" s="6">
        <v>36.0</v>
      </c>
      <c r="E950" s="10" t="str">
        <f t="shared" si="3"/>
        <v>BIS36</v>
      </c>
      <c r="F950" s="13">
        <v>6.0</v>
      </c>
      <c r="G950" s="10" t="str">
        <f t="shared" si="8"/>
        <v>BIS36-6</v>
      </c>
      <c r="H950" s="16"/>
      <c r="I950" s="16" t="str">
        <f t="shared" si="5"/>
        <v>collected</v>
      </c>
      <c r="J950" s="16" t="str">
        <f t="shared" si="6"/>
        <v>N</v>
      </c>
      <c r="K950" s="16"/>
      <c r="L950" s="16"/>
    </row>
    <row r="951">
      <c r="A951" s="27" t="s">
        <v>1371</v>
      </c>
      <c r="B951" s="10" t="str">
        <f t="shared" si="1"/>
        <v>isotope</v>
      </c>
      <c r="C951" s="49" t="str">
        <f t="shared" si="2"/>
        <v>S16066IS1</v>
      </c>
      <c r="D951" s="6">
        <v>36.0</v>
      </c>
      <c r="E951" s="10" t="str">
        <f t="shared" si="3"/>
        <v>BIS36</v>
      </c>
      <c r="F951" s="13">
        <v>7.0</v>
      </c>
      <c r="G951" s="10" t="str">
        <f t="shared" si="8"/>
        <v>BIS36-7</v>
      </c>
      <c r="H951" s="16"/>
      <c r="I951" s="16" t="str">
        <f t="shared" si="5"/>
        <v>collected</v>
      </c>
      <c r="J951" s="16" t="str">
        <f t="shared" si="6"/>
        <v>N</v>
      </c>
      <c r="K951" s="16"/>
      <c r="L951" s="16"/>
    </row>
    <row r="952">
      <c r="A952" s="27" t="s">
        <v>1372</v>
      </c>
      <c r="B952" s="10" t="str">
        <f t="shared" si="1"/>
        <v>isotope</v>
      </c>
      <c r="C952" s="49" t="str">
        <f t="shared" si="2"/>
        <v>S16063IS1</v>
      </c>
      <c r="D952" s="6">
        <v>36.0</v>
      </c>
      <c r="E952" s="10" t="str">
        <f t="shared" si="3"/>
        <v>BIS36</v>
      </c>
      <c r="F952" s="13">
        <v>8.0</v>
      </c>
      <c r="G952" s="10" t="str">
        <f t="shared" si="8"/>
        <v>BIS36-8</v>
      </c>
      <c r="H952" s="16"/>
      <c r="I952" s="16" t="str">
        <f t="shared" si="5"/>
        <v>collected</v>
      </c>
      <c r="J952" s="16" t="str">
        <f t="shared" si="6"/>
        <v>N</v>
      </c>
      <c r="K952" s="16"/>
      <c r="L952" s="16"/>
    </row>
    <row r="953">
      <c r="A953" s="27" t="s">
        <v>1374</v>
      </c>
      <c r="B953" s="10" t="str">
        <f t="shared" si="1"/>
        <v>isotope</v>
      </c>
      <c r="C953" s="49" t="str">
        <f t="shared" si="2"/>
        <v>S16067IS1</v>
      </c>
      <c r="D953" s="6">
        <v>36.0</v>
      </c>
      <c r="E953" s="10" t="str">
        <f t="shared" si="3"/>
        <v>BIS36</v>
      </c>
      <c r="F953" s="13">
        <v>9.0</v>
      </c>
      <c r="G953" s="10" t="str">
        <f t="shared" si="8"/>
        <v>BIS36-9</v>
      </c>
      <c r="H953" s="16"/>
      <c r="I953" s="16" t="str">
        <f t="shared" si="5"/>
        <v>collected</v>
      </c>
      <c r="J953" s="16" t="str">
        <f t="shared" si="6"/>
        <v>N</v>
      </c>
      <c r="K953" s="16"/>
      <c r="L953" s="16"/>
    </row>
    <row r="954">
      <c r="A954" s="27" t="s">
        <v>1375</v>
      </c>
      <c r="B954" s="10" t="str">
        <f t="shared" si="1"/>
        <v>isotope</v>
      </c>
      <c r="C954" s="49" t="str">
        <f t="shared" si="2"/>
        <v>S16061IS1</v>
      </c>
      <c r="D954" s="6">
        <v>36.0</v>
      </c>
      <c r="E954" s="10" t="str">
        <f t="shared" si="3"/>
        <v>BIS36</v>
      </c>
      <c r="F954" s="13">
        <v>10.0</v>
      </c>
      <c r="G954" s="10" t="str">
        <f t="shared" si="8"/>
        <v>BIS36-10</v>
      </c>
      <c r="H954" s="16"/>
      <c r="I954" s="16" t="str">
        <f t="shared" si="5"/>
        <v>collected</v>
      </c>
      <c r="J954" s="16" t="str">
        <f t="shared" si="6"/>
        <v>N</v>
      </c>
      <c r="K954" s="16"/>
      <c r="L954" s="16"/>
    </row>
    <row r="955">
      <c r="A955" s="40" t="s">
        <v>1376</v>
      </c>
      <c r="B955" s="10" t="str">
        <f t="shared" si="1"/>
        <v>isotope</v>
      </c>
      <c r="C955" s="49" t="str">
        <f t="shared" si="2"/>
        <v>S17714IS1</v>
      </c>
      <c r="D955" s="6">
        <v>35.0</v>
      </c>
      <c r="E955" s="10" t="str">
        <f t="shared" si="3"/>
        <v>BIS35</v>
      </c>
      <c r="F955" s="13">
        <v>8.0</v>
      </c>
      <c r="G955" s="10" t="str">
        <f t="shared" si="8"/>
        <v>BIS35-8</v>
      </c>
      <c r="H955" s="16"/>
      <c r="I955" s="16" t="str">
        <f t="shared" si="5"/>
        <v>collected</v>
      </c>
      <c r="J955" s="16" t="str">
        <f t="shared" si="6"/>
        <v>N</v>
      </c>
      <c r="K955" s="16"/>
      <c r="L955" s="16"/>
    </row>
    <row r="956">
      <c r="A956" s="40" t="s">
        <v>1377</v>
      </c>
      <c r="B956" s="10" t="str">
        <f t="shared" si="1"/>
        <v>isotope</v>
      </c>
      <c r="C956" s="49" t="str">
        <f t="shared" si="2"/>
        <v>S17116IS1</v>
      </c>
      <c r="D956" s="6">
        <v>35.0</v>
      </c>
      <c r="E956" s="10" t="str">
        <f t="shared" si="3"/>
        <v>BIS35</v>
      </c>
      <c r="F956" s="13">
        <v>9.0</v>
      </c>
      <c r="G956" s="10" t="str">
        <f t="shared" si="8"/>
        <v>BIS35-9</v>
      </c>
      <c r="H956" s="16"/>
      <c r="I956" s="16" t="str">
        <f t="shared" si="5"/>
        <v>collected</v>
      </c>
      <c r="J956" s="16" t="str">
        <f t="shared" si="6"/>
        <v>N</v>
      </c>
      <c r="K956" s="16"/>
      <c r="L956" s="16"/>
    </row>
    <row r="957">
      <c r="A957" s="40" t="s">
        <v>1379</v>
      </c>
      <c r="B957" s="10" t="str">
        <f t="shared" si="1"/>
        <v>isotope</v>
      </c>
      <c r="C957" s="49" t="str">
        <f t="shared" si="2"/>
        <v>S17115IS1</v>
      </c>
      <c r="D957" s="6">
        <v>35.0</v>
      </c>
      <c r="E957" s="10" t="str">
        <f t="shared" si="3"/>
        <v>BIS35</v>
      </c>
      <c r="F957" s="13">
        <v>10.0</v>
      </c>
      <c r="G957" s="10" t="str">
        <f t="shared" si="8"/>
        <v>BIS35-10</v>
      </c>
      <c r="H957" s="16"/>
      <c r="I957" s="16" t="str">
        <f t="shared" si="5"/>
        <v>collected</v>
      </c>
      <c r="J957" s="16" t="str">
        <f t="shared" si="6"/>
        <v>N</v>
      </c>
      <c r="K957" s="16"/>
      <c r="L957" s="16"/>
    </row>
    <row r="958">
      <c r="A958" s="40" t="s">
        <v>1380</v>
      </c>
      <c r="B958" s="10" t="str">
        <f t="shared" si="1"/>
        <v>isotope</v>
      </c>
      <c r="C958" s="49" t="str">
        <f t="shared" si="2"/>
        <v>S17119IS1</v>
      </c>
      <c r="D958" s="6">
        <v>35.0</v>
      </c>
      <c r="E958" s="10" t="str">
        <f t="shared" si="3"/>
        <v>BIS35</v>
      </c>
      <c r="F958" s="13">
        <v>11.0</v>
      </c>
      <c r="G958" s="10" t="str">
        <f t="shared" si="8"/>
        <v>BIS35-11</v>
      </c>
      <c r="H958" s="16"/>
      <c r="I958" s="16" t="str">
        <f t="shared" si="5"/>
        <v>collected</v>
      </c>
      <c r="J958" s="16" t="str">
        <f t="shared" si="6"/>
        <v>N</v>
      </c>
      <c r="K958" s="16"/>
      <c r="L958" s="16"/>
    </row>
    <row r="959">
      <c r="A959" s="40" t="s">
        <v>1381</v>
      </c>
      <c r="B959" s="10" t="str">
        <f t="shared" si="1"/>
        <v>isotope</v>
      </c>
      <c r="C959" s="49" t="str">
        <f t="shared" si="2"/>
        <v>S17117IS1</v>
      </c>
      <c r="D959" s="6">
        <v>35.0</v>
      </c>
      <c r="E959" s="10" t="str">
        <f t="shared" si="3"/>
        <v>BIS35</v>
      </c>
      <c r="F959" s="13">
        <v>12.0</v>
      </c>
      <c r="G959" s="10" t="str">
        <f t="shared" si="8"/>
        <v>BIS35-12</v>
      </c>
      <c r="H959" s="16"/>
      <c r="I959" s="16" t="str">
        <f t="shared" si="5"/>
        <v>collected</v>
      </c>
      <c r="J959" s="16" t="str">
        <f t="shared" si="6"/>
        <v>N</v>
      </c>
      <c r="K959" s="16"/>
      <c r="L959" s="16"/>
    </row>
    <row r="960">
      <c r="A960" s="40" t="s">
        <v>1382</v>
      </c>
      <c r="B960" s="10" t="str">
        <f t="shared" si="1"/>
        <v>isotope</v>
      </c>
      <c r="C960" s="49" t="str">
        <f t="shared" si="2"/>
        <v>S17111IS1</v>
      </c>
      <c r="D960" s="6">
        <v>35.0</v>
      </c>
      <c r="E960" s="10" t="str">
        <f t="shared" si="3"/>
        <v>BIS35</v>
      </c>
      <c r="F960" s="13">
        <v>13.0</v>
      </c>
      <c r="G960" s="10" t="str">
        <f t="shared" si="8"/>
        <v>BIS35-13</v>
      </c>
      <c r="H960" s="16"/>
      <c r="I960" s="16" t="str">
        <f t="shared" si="5"/>
        <v>collected</v>
      </c>
      <c r="J960" s="16" t="str">
        <f t="shared" si="6"/>
        <v>N</v>
      </c>
      <c r="K960" s="16"/>
      <c r="L960" s="16"/>
    </row>
    <row r="961">
      <c r="A961" s="40" t="s">
        <v>1383</v>
      </c>
      <c r="B961" s="10" t="str">
        <f t="shared" si="1"/>
        <v>isotope</v>
      </c>
      <c r="C961" s="49" t="str">
        <f t="shared" si="2"/>
        <v>S17113IS1</v>
      </c>
      <c r="D961" s="6">
        <v>35.0</v>
      </c>
      <c r="E961" s="10" t="str">
        <f t="shared" si="3"/>
        <v>BIS35</v>
      </c>
      <c r="F961" s="13">
        <v>14.0</v>
      </c>
      <c r="G961" s="10" t="str">
        <f t="shared" si="8"/>
        <v>BIS35-14</v>
      </c>
      <c r="H961" s="16"/>
      <c r="I961" s="16" t="str">
        <f t="shared" si="5"/>
        <v>collected</v>
      </c>
      <c r="J961" s="16" t="str">
        <f t="shared" si="6"/>
        <v>N</v>
      </c>
      <c r="K961" s="16"/>
      <c r="L961" s="16"/>
    </row>
    <row r="962">
      <c r="A962" s="40" t="s">
        <v>1385</v>
      </c>
      <c r="B962" s="10" t="str">
        <f t="shared" si="1"/>
        <v>isotope</v>
      </c>
      <c r="C962" s="49" t="str">
        <f t="shared" si="2"/>
        <v>S17114IS1</v>
      </c>
      <c r="D962" s="6">
        <v>35.0</v>
      </c>
      <c r="E962" s="10" t="str">
        <f t="shared" si="3"/>
        <v>BIS35</v>
      </c>
      <c r="F962" s="13">
        <v>15.0</v>
      </c>
      <c r="G962" s="10" t="str">
        <f t="shared" si="8"/>
        <v>BIS35-15</v>
      </c>
      <c r="H962" s="16"/>
      <c r="I962" s="16" t="str">
        <f t="shared" si="5"/>
        <v>collected</v>
      </c>
      <c r="J962" s="16" t="str">
        <f t="shared" si="6"/>
        <v>N</v>
      </c>
      <c r="K962" s="16"/>
      <c r="L962" s="16"/>
    </row>
    <row r="963">
      <c r="A963" s="40" t="s">
        <v>1386</v>
      </c>
      <c r="B963" s="10" t="str">
        <f t="shared" si="1"/>
        <v>isotope</v>
      </c>
      <c r="C963" s="49" t="str">
        <f t="shared" si="2"/>
        <v>S17120IS1</v>
      </c>
      <c r="D963" s="6">
        <v>35.0</v>
      </c>
      <c r="E963" s="10" t="str">
        <f t="shared" si="3"/>
        <v>BIS35</v>
      </c>
      <c r="F963" s="13">
        <v>16.0</v>
      </c>
      <c r="G963" s="10" t="str">
        <f t="shared" si="8"/>
        <v>BIS35-16</v>
      </c>
      <c r="H963" s="16"/>
      <c r="I963" s="16" t="str">
        <f t="shared" si="5"/>
        <v>collected</v>
      </c>
      <c r="J963" s="16" t="str">
        <f t="shared" si="6"/>
        <v>N</v>
      </c>
      <c r="K963" s="16"/>
      <c r="L963" s="16"/>
    </row>
    <row r="964">
      <c r="A964" s="40" t="s">
        <v>1387</v>
      </c>
      <c r="B964" s="10" t="str">
        <f t="shared" si="1"/>
        <v>isotope</v>
      </c>
      <c r="C964" s="49" t="str">
        <f t="shared" si="2"/>
        <v>S17118IS1</v>
      </c>
      <c r="D964" s="6">
        <v>35.0</v>
      </c>
      <c r="E964" s="10" t="str">
        <f t="shared" si="3"/>
        <v>BIS35</v>
      </c>
      <c r="F964" s="13">
        <v>17.0</v>
      </c>
      <c r="G964" s="10" t="str">
        <f t="shared" si="8"/>
        <v>BIS35-17</v>
      </c>
      <c r="H964" s="16"/>
      <c r="I964" s="16" t="str">
        <f t="shared" si="5"/>
        <v>collected</v>
      </c>
      <c r="J964" s="16" t="str">
        <f t="shared" si="6"/>
        <v>N</v>
      </c>
      <c r="K964" s="16"/>
      <c r="L964" s="16"/>
    </row>
    <row r="965">
      <c r="A965" s="40" t="s">
        <v>1389</v>
      </c>
      <c r="B965" s="10" t="str">
        <f t="shared" si="1"/>
        <v>isotope</v>
      </c>
      <c r="C965" s="49" t="str">
        <f t="shared" si="2"/>
        <v>S17112IS1</v>
      </c>
      <c r="D965" s="6">
        <v>35.0</v>
      </c>
      <c r="E965" s="10" t="str">
        <f t="shared" si="3"/>
        <v>BIS35</v>
      </c>
      <c r="F965" s="13">
        <v>18.0</v>
      </c>
      <c r="G965" s="10" t="str">
        <f t="shared" si="8"/>
        <v>BIS35-18</v>
      </c>
      <c r="H965" s="16"/>
      <c r="I965" s="16" t="str">
        <f t="shared" si="5"/>
        <v>collected</v>
      </c>
      <c r="J965" s="16" t="str">
        <f t="shared" si="6"/>
        <v>N</v>
      </c>
      <c r="K965" s="16"/>
      <c r="L965" s="16"/>
    </row>
    <row r="966">
      <c r="A966" s="27" t="s">
        <v>1390</v>
      </c>
      <c r="B966" s="10" t="str">
        <f t="shared" si="1"/>
        <v>isotope</v>
      </c>
      <c r="C966" s="49" t="str">
        <f t="shared" si="2"/>
        <v>S17570IS1</v>
      </c>
      <c r="D966" s="6">
        <v>34.0</v>
      </c>
      <c r="E966" s="10" t="str">
        <f t="shared" si="3"/>
        <v>BIS34</v>
      </c>
      <c r="F966" s="13">
        <v>24.0</v>
      </c>
      <c r="G966" s="10" t="str">
        <f t="shared" si="8"/>
        <v>BIS34-24</v>
      </c>
      <c r="H966" s="16"/>
      <c r="I966" s="16" t="str">
        <f t="shared" si="5"/>
        <v>collected</v>
      </c>
      <c r="J966" s="16" t="str">
        <f t="shared" si="6"/>
        <v>N</v>
      </c>
      <c r="K966" s="16"/>
      <c r="L966" s="16"/>
    </row>
    <row r="967">
      <c r="A967" s="27" t="s">
        <v>1391</v>
      </c>
      <c r="B967" s="10" t="str">
        <f t="shared" si="1"/>
        <v>isotope</v>
      </c>
      <c r="C967" s="49" t="str">
        <f t="shared" si="2"/>
        <v>S17631IS1</v>
      </c>
      <c r="D967" s="6">
        <v>34.0</v>
      </c>
      <c r="E967" s="10" t="str">
        <f t="shared" si="3"/>
        <v>BIS34</v>
      </c>
      <c r="F967" s="13">
        <v>25.0</v>
      </c>
      <c r="G967" s="10" t="str">
        <f t="shared" si="8"/>
        <v>BIS34-25</v>
      </c>
      <c r="H967" s="16"/>
      <c r="I967" s="16" t="str">
        <f t="shared" si="5"/>
        <v>collected</v>
      </c>
      <c r="J967" s="16" t="str">
        <f t="shared" si="6"/>
        <v>N</v>
      </c>
      <c r="K967" s="16"/>
      <c r="L967" s="16"/>
    </row>
    <row r="968">
      <c r="A968" s="27" t="s">
        <v>1392</v>
      </c>
      <c r="B968" s="10" t="str">
        <f t="shared" si="1"/>
        <v>isotope</v>
      </c>
      <c r="C968" s="49" t="str">
        <f t="shared" si="2"/>
        <v>S17632IS1</v>
      </c>
      <c r="D968" s="6">
        <v>34.0</v>
      </c>
      <c r="E968" s="10" t="str">
        <f t="shared" si="3"/>
        <v>BIS34</v>
      </c>
      <c r="F968" s="13">
        <v>26.0</v>
      </c>
      <c r="G968" s="10" t="str">
        <f t="shared" si="8"/>
        <v>BIS34-26</v>
      </c>
      <c r="H968" s="16"/>
      <c r="I968" s="16" t="str">
        <f t="shared" si="5"/>
        <v>collected</v>
      </c>
      <c r="J968" s="16" t="str">
        <f t="shared" si="6"/>
        <v>N</v>
      </c>
      <c r="K968" s="16"/>
      <c r="L968" s="16"/>
    </row>
    <row r="969">
      <c r="A969" s="27" t="s">
        <v>1395</v>
      </c>
      <c r="B969" s="10" t="str">
        <f t="shared" si="1"/>
        <v>isotope</v>
      </c>
      <c r="C969" s="49" t="str">
        <f t="shared" si="2"/>
        <v>S17633IS1</v>
      </c>
      <c r="D969" s="6">
        <v>34.0</v>
      </c>
      <c r="E969" s="10" t="str">
        <f t="shared" si="3"/>
        <v>BIS34</v>
      </c>
      <c r="F969" s="13">
        <v>27.0</v>
      </c>
      <c r="G969" s="10" t="str">
        <f t="shared" si="8"/>
        <v>BIS34-27</v>
      </c>
      <c r="H969" s="16"/>
      <c r="I969" s="16" t="str">
        <f t="shared" si="5"/>
        <v>collected</v>
      </c>
      <c r="J969" s="16" t="str">
        <f t="shared" si="6"/>
        <v>N</v>
      </c>
      <c r="K969" s="16"/>
      <c r="L969" s="16"/>
    </row>
    <row r="970">
      <c r="A970" s="27" t="s">
        <v>1396</v>
      </c>
      <c r="B970" s="10" t="str">
        <f t="shared" si="1"/>
        <v>isotope</v>
      </c>
      <c r="C970" s="49" t="str">
        <f t="shared" si="2"/>
        <v>S17634IS1</v>
      </c>
      <c r="D970" s="6">
        <v>34.0</v>
      </c>
      <c r="E970" s="10" t="str">
        <f t="shared" si="3"/>
        <v>BIS34</v>
      </c>
      <c r="F970" s="13">
        <v>28.0</v>
      </c>
      <c r="G970" s="10" t="str">
        <f t="shared" si="8"/>
        <v>BIS34-28</v>
      </c>
      <c r="H970" s="16"/>
      <c r="I970" s="16" t="str">
        <f t="shared" si="5"/>
        <v>collected</v>
      </c>
      <c r="J970" s="16" t="str">
        <f t="shared" si="6"/>
        <v>N</v>
      </c>
      <c r="K970" s="16"/>
      <c r="L970" s="16"/>
    </row>
    <row r="971">
      <c r="A971" s="27" t="s">
        <v>1397</v>
      </c>
      <c r="B971" s="10" t="str">
        <f t="shared" si="1"/>
        <v>isotope</v>
      </c>
      <c r="C971" s="49" t="str">
        <f t="shared" si="2"/>
        <v>S17635IS1</v>
      </c>
      <c r="D971" s="6">
        <v>34.0</v>
      </c>
      <c r="E971" s="10" t="str">
        <f t="shared" si="3"/>
        <v>BIS34</v>
      </c>
      <c r="F971" s="13">
        <v>29.0</v>
      </c>
      <c r="G971" s="10" t="str">
        <f t="shared" si="8"/>
        <v>BIS34-29</v>
      </c>
      <c r="H971" s="16"/>
      <c r="I971" s="16" t="str">
        <f t="shared" si="5"/>
        <v>collected</v>
      </c>
      <c r="J971" s="16" t="str">
        <f t="shared" si="6"/>
        <v>N</v>
      </c>
      <c r="K971" s="16"/>
      <c r="L971" s="16"/>
    </row>
    <row r="972">
      <c r="A972" s="27" t="s">
        <v>1398</v>
      </c>
      <c r="B972" s="10" t="str">
        <f t="shared" si="1"/>
        <v>isotope</v>
      </c>
      <c r="C972" s="49" t="str">
        <f t="shared" si="2"/>
        <v>S17636IS1</v>
      </c>
      <c r="D972" s="6">
        <v>34.0</v>
      </c>
      <c r="E972" s="10" t="str">
        <f t="shared" si="3"/>
        <v>BIS34</v>
      </c>
      <c r="F972" s="13">
        <v>30.0</v>
      </c>
      <c r="G972" s="10" t="str">
        <f t="shared" si="8"/>
        <v>BIS34-30</v>
      </c>
      <c r="H972" s="16"/>
      <c r="I972" s="16" t="str">
        <f t="shared" si="5"/>
        <v>collected</v>
      </c>
      <c r="J972" s="16" t="str">
        <f t="shared" si="6"/>
        <v>N</v>
      </c>
      <c r="K972" s="16"/>
      <c r="L972" s="16"/>
    </row>
    <row r="973">
      <c r="A973" s="27" t="s">
        <v>1399</v>
      </c>
      <c r="B973" s="10" t="str">
        <f t="shared" si="1"/>
        <v>isotope</v>
      </c>
      <c r="C973" s="49" t="str">
        <f t="shared" si="2"/>
        <v>S17637IS1</v>
      </c>
      <c r="D973" s="6">
        <v>34.0</v>
      </c>
      <c r="E973" s="10" t="str">
        <f t="shared" si="3"/>
        <v>BIS34</v>
      </c>
      <c r="F973" s="13">
        <v>31.0</v>
      </c>
      <c r="G973" s="10" t="str">
        <f t="shared" si="8"/>
        <v>BIS34-31</v>
      </c>
      <c r="H973" s="16"/>
      <c r="I973" s="16" t="str">
        <f t="shared" si="5"/>
        <v>collected</v>
      </c>
      <c r="J973" s="16" t="str">
        <f t="shared" si="6"/>
        <v>N</v>
      </c>
      <c r="K973" s="16"/>
      <c r="L973" s="16"/>
    </row>
    <row r="974">
      <c r="A974" s="27" t="s">
        <v>1400</v>
      </c>
      <c r="B974" s="10" t="str">
        <f t="shared" si="1"/>
        <v>isotope</v>
      </c>
      <c r="C974" s="49" t="str">
        <f t="shared" si="2"/>
        <v>S17638IS1</v>
      </c>
      <c r="D974" s="6">
        <v>34.0</v>
      </c>
      <c r="E974" s="10" t="str">
        <f t="shared" si="3"/>
        <v>BIS34</v>
      </c>
      <c r="F974" s="13">
        <v>32.0</v>
      </c>
      <c r="G974" s="10" t="str">
        <f t="shared" si="8"/>
        <v>BIS34-32</v>
      </c>
      <c r="H974" s="16"/>
      <c r="I974" s="16" t="str">
        <f t="shared" si="5"/>
        <v>collected</v>
      </c>
      <c r="J974" s="16" t="str">
        <f t="shared" si="6"/>
        <v>N</v>
      </c>
      <c r="K974" s="16"/>
      <c r="L974" s="16"/>
    </row>
    <row r="975">
      <c r="A975" s="27" t="s">
        <v>1401</v>
      </c>
      <c r="B975" s="10" t="str">
        <f t="shared" si="1"/>
        <v>isotope</v>
      </c>
      <c r="C975" s="49" t="str">
        <f t="shared" si="2"/>
        <v>S17639IS1</v>
      </c>
      <c r="D975" s="6">
        <v>34.0</v>
      </c>
      <c r="E975" s="10" t="str">
        <f t="shared" si="3"/>
        <v>BIS34</v>
      </c>
      <c r="F975" s="13">
        <v>33.0</v>
      </c>
      <c r="G975" s="10" t="str">
        <f t="shared" si="8"/>
        <v>BIS34-33</v>
      </c>
      <c r="H975" s="16"/>
      <c r="I975" s="16" t="str">
        <f t="shared" si="5"/>
        <v>collected</v>
      </c>
      <c r="J975" s="16" t="str">
        <f t="shared" si="6"/>
        <v>N</v>
      </c>
      <c r="K975" s="16"/>
      <c r="L975" s="16"/>
    </row>
    <row r="976">
      <c r="A976" s="27" t="s">
        <v>1402</v>
      </c>
      <c r="B976" s="10" t="str">
        <f t="shared" si="1"/>
        <v>isotope</v>
      </c>
      <c r="C976" s="49" t="str">
        <f t="shared" si="2"/>
        <v>S17640IS1</v>
      </c>
      <c r="D976" s="6">
        <v>34.0</v>
      </c>
      <c r="E976" s="10" t="str">
        <f t="shared" si="3"/>
        <v>BIS34</v>
      </c>
      <c r="F976" s="13">
        <v>34.0</v>
      </c>
      <c r="G976" s="10" t="str">
        <f t="shared" si="8"/>
        <v>BIS34-34</v>
      </c>
      <c r="H976" s="16"/>
      <c r="I976" s="16" t="str">
        <f t="shared" si="5"/>
        <v>collected</v>
      </c>
      <c r="J976" s="16" t="str">
        <f t="shared" si="6"/>
        <v>N</v>
      </c>
      <c r="K976" s="16"/>
      <c r="L976" s="16"/>
    </row>
    <row r="977">
      <c r="A977" s="26" t="s">
        <v>1403</v>
      </c>
      <c r="B977" s="10" t="str">
        <f t="shared" si="1"/>
        <v>isotope</v>
      </c>
      <c r="C977" s="49" t="str">
        <f t="shared" si="2"/>
        <v>S17317IS1</v>
      </c>
      <c r="D977" s="6">
        <v>35.0</v>
      </c>
      <c r="E977" s="10" t="str">
        <f t="shared" si="3"/>
        <v>BIS35</v>
      </c>
      <c r="F977" s="13">
        <v>19.0</v>
      </c>
      <c r="G977" s="10" t="str">
        <f t="shared" si="8"/>
        <v>BIS35-19</v>
      </c>
      <c r="H977" s="16"/>
      <c r="I977" s="16" t="str">
        <f t="shared" si="5"/>
        <v>collected</v>
      </c>
      <c r="J977" s="16" t="str">
        <f t="shared" si="6"/>
        <v>N</v>
      </c>
      <c r="K977" s="16"/>
      <c r="L977" s="16"/>
    </row>
    <row r="978">
      <c r="A978" s="26" t="s">
        <v>1404</v>
      </c>
      <c r="B978" s="10" t="str">
        <f t="shared" si="1"/>
        <v>isotope</v>
      </c>
      <c r="C978" s="49" t="str">
        <f t="shared" si="2"/>
        <v>S17315IS1</v>
      </c>
      <c r="D978" s="6">
        <v>35.0</v>
      </c>
      <c r="E978" s="10" t="str">
        <f t="shared" si="3"/>
        <v>BIS35</v>
      </c>
      <c r="F978" s="13">
        <v>20.0</v>
      </c>
      <c r="G978" s="10" t="str">
        <f t="shared" si="8"/>
        <v>BIS35-20</v>
      </c>
      <c r="H978" s="16"/>
      <c r="I978" s="16" t="str">
        <f t="shared" si="5"/>
        <v>collected</v>
      </c>
      <c r="J978" s="16" t="str">
        <f t="shared" si="6"/>
        <v>N</v>
      </c>
      <c r="K978" s="16"/>
      <c r="L978" s="16"/>
    </row>
    <row r="979">
      <c r="A979" s="26" t="s">
        <v>1405</v>
      </c>
      <c r="B979" s="10" t="str">
        <f t="shared" si="1"/>
        <v>isotope</v>
      </c>
      <c r="C979" s="49" t="str">
        <f t="shared" si="2"/>
        <v>S17316IS1</v>
      </c>
      <c r="D979" s="6">
        <v>35.0</v>
      </c>
      <c r="E979" s="10" t="str">
        <f t="shared" si="3"/>
        <v>BIS35</v>
      </c>
      <c r="F979" s="13">
        <v>21.0</v>
      </c>
      <c r="G979" s="10" t="str">
        <f t="shared" si="8"/>
        <v>BIS35-21</v>
      </c>
      <c r="H979" s="16"/>
      <c r="I979" s="16" t="str">
        <f t="shared" si="5"/>
        <v>collected</v>
      </c>
      <c r="J979" s="16" t="str">
        <f t="shared" si="6"/>
        <v>N</v>
      </c>
      <c r="K979" s="16"/>
      <c r="L979" s="16"/>
    </row>
    <row r="980">
      <c r="A980" s="26" t="s">
        <v>1406</v>
      </c>
      <c r="B980" s="10" t="str">
        <f t="shared" si="1"/>
        <v>isotope</v>
      </c>
      <c r="C980" s="49" t="str">
        <f t="shared" si="2"/>
        <v>S17319IS1</v>
      </c>
      <c r="D980" s="6">
        <v>35.0</v>
      </c>
      <c r="E980" s="10" t="str">
        <f t="shared" si="3"/>
        <v>BIS35</v>
      </c>
      <c r="F980" s="13">
        <v>22.0</v>
      </c>
      <c r="G980" s="10" t="str">
        <f t="shared" si="8"/>
        <v>BIS35-22</v>
      </c>
      <c r="H980" s="16"/>
      <c r="I980" s="16" t="str">
        <f t="shared" si="5"/>
        <v>collected</v>
      </c>
      <c r="J980" s="16" t="str">
        <f t="shared" si="6"/>
        <v>N</v>
      </c>
      <c r="K980" s="16"/>
      <c r="L980" s="16"/>
    </row>
    <row r="981">
      <c r="A981" s="26" t="s">
        <v>1407</v>
      </c>
      <c r="B981" s="10" t="str">
        <f t="shared" si="1"/>
        <v>isotope</v>
      </c>
      <c r="C981" s="49" t="str">
        <f t="shared" si="2"/>
        <v>S17318IS1</v>
      </c>
      <c r="D981" s="6">
        <v>35.0</v>
      </c>
      <c r="E981" s="10" t="str">
        <f t="shared" si="3"/>
        <v>BIS35</v>
      </c>
      <c r="F981" s="13">
        <v>23.0</v>
      </c>
      <c r="G981" s="10" t="str">
        <f t="shared" si="8"/>
        <v>BIS35-23</v>
      </c>
      <c r="H981" s="16"/>
      <c r="I981" s="16" t="str">
        <f t="shared" si="5"/>
        <v>collected</v>
      </c>
      <c r="J981" s="16" t="str">
        <f t="shared" si="6"/>
        <v>N</v>
      </c>
      <c r="K981" s="16"/>
      <c r="L981" s="16"/>
    </row>
    <row r="982">
      <c r="A982" s="26" t="s">
        <v>1408</v>
      </c>
      <c r="B982" s="10" t="str">
        <f t="shared" si="1"/>
        <v>isotope</v>
      </c>
      <c r="C982" s="49" t="str">
        <f t="shared" si="2"/>
        <v>S17311IS1</v>
      </c>
      <c r="D982" s="6">
        <v>35.0</v>
      </c>
      <c r="E982" s="10" t="str">
        <f t="shared" si="3"/>
        <v>BIS35</v>
      </c>
      <c r="F982" s="13">
        <v>24.0</v>
      </c>
      <c r="G982" s="10" t="str">
        <f t="shared" si="8"/>
        <v>BIS35-24</v>
      </c>
      <c r="H982" s="16"/>
      <c r="I982" s="16" t="str">
        <f t="shared" si="5"/>
        <v>collected</v>
      </c>
      <c r="J982" s="16" t="str">
        <f t="shared" si="6"/>
        <v>N</v>
      </c>
      <c r="K982" s="16"/>
      <c r="L982" s="16"/>
    </row>
    <row r="983">
      <c r="A983" s="26" t="s">
        <v>1409</v>
      </c>
      <c r="B983" s="10" t="str">
        <f t="shared" si="1"/>
        <v>isotope</v>
      </c>
      <c r="C983" s="49" t="str">
        <f t="shared" si="2"/>
        <v>S17312IS1</v>
      </c>
      <c r="D983" s="6">
        <v>35.0</v>
      </c>
      <c r="E983" s="10" t="str">
        <f t="shared" si="3"/>
        <v>BIS35</v>
      </c>
      <c r="F983" s="13">
        <v>25.0</v>
      </c>
      <c r="G983" s="10" t="str">
        <f t="shared" si="8"/>
        <v>BIS35-25</v>
      </c>
      <c r="H983" s="16"/>
      <c r="I983" s="16" t="str">
        <f t="shared" si="5"/>
        <v>collected</v>
      </c>
      <c r="J983" s="16" t="str">
        <f t="shared" si="6"/>
        <v>N</v>
      </c>
      <c r="K983" s="16"/>
      <c r="L983" s="16"/>
    </row>
    <row r="984">
      <c r="A984" s="26" t="s">
        <v>1411</v>
      </c>
      <c r="B984" s="10" t="str">
        <f t="shared" si="1"/>
        <v>isotope</v>
      </c>
      <c r="C984" s="49" t="str">
        <f t="shared" si="2"/>
        <v>S17313IS1</v>
      </c>
      <c r="D984" s="6">
        <v>35.0</v>
      </c>
      <c r="E984" s="10" t="str">
        <f t="shared" si="3"/>
        <v>BIS35</v>
      </c>
      <c r="F984" s="13">
        <v>26.0</v>
      </c>
      <c r="G984" s="10" t="str">
        <f t="shared" si="8"/>
        <v>BIS35-26</v>
      </c>
      <c r="H984" s="16"/>
      <c r="I984" s="16" t="str">
        <f t="shared" si="5"/>
        <v>collected</v>
      </c>
      <c r="J984" s="16" t="str">
        <f t="shared" si="6"/>
        <v>N</v>
      </c>
      <c r="K984" s="16"/>
      <c r="L984" s="16"/>
    </row>
    <row r="985">
      <c r="A985" s="26" t="s">
        <v>1412</v>
      </c>
      <c r="B985" s="10" t="str">
        <f t="shared" si="1"/>
        <v>isotope</v>
      </c>
      <c r="C985" s="49" t="str">
        <f t="shared" si="2"/>
        <v>S17320IS1</v>
      </c>
      <c r="D985" s="6">
        <v>35.0</v>
      </c>
      <c r="E985" s="10" t="str">
        <f t="shared" si="3"/>
        <v>BIS35</v>
      </c>
      <c r="F985" s="13">
        <v>27.0</v>
      </c>
      <c r="G985" s="10" t="str">
        <f t="shared" si="8"/>
        <v>BIS35-27</v>
      </c>
      <c r="H985" s="16"/>
      <c r="I985" s="16" t="str">
        <f t="shared" si="5"/>
        <v>collected</v>
      </c>
      <c r="J985" s="16" t="str">
        <f t="shared" si="6"/>
        <v>N</v>
      </c>
      <c r="K985" s="16"/>
      <c r="L985" s="16"/>
    </row>
    <row r="986">
      <c r="A986" s="26" t="s">
        <v>1413</v>
      </c>
      <c r="B986" s="10" t="str">
        <f t="shared" si="1"/>
        <v>isotope</v>
      </c>
      <c r="C986" s="49" t="str">
        <f t="shared" si="2"/>
        <v>S17314IS1</v>
      </c>
      <c r="D986" s="6">
        <v>35.0</v>
      </c>
      <c r="E986" s="10" t="str">
        <f t="shared" si="3"/>
        <v>BIS35</v>
      </c>
      <c r="F986" s="13">
        <v>28.0</v>
      </c>
      <c r="G986" s="10" t="str">
        <f t="shared" si="8"/>
        <v>BIS35-28</v>
      </c>
      <c r="H986" s="16"/>
      <c r="I986" s="16" t="str">
        <f t="shared" si="5"/>
        <v>collected</v>
      </c>
      <c r="J986" s="16" t="str">
        <f t="shared" si="6"/>
        <v>N</v>
      </c>
      <c r="K986" s="16"/>
      <c r="L986" s="16"/>
    </row>
    <row r="987">
      <c r="A987" s="26" t="s">
        <v>1414</v>
      </c>
      <c r="B987" s="10" t="str">
        <f t="shared" si="1"/>
        <v>isotope</v>
      </c>
      <c r="C987" s="49" t="str">
        <f t="shared" si="2"/>
        <v>S16117IS1</v>
      </c>
      <c r="D987" s="6">
        <v>35.0</v>
      </c>
      <c r="E987" s="10" t="str">
        <f t="shared" si="3"/>
        <v>BIS35</v>
      </c>
      <c r="F987" s="13">
        <v>29.0</v>
      </c>
      <c r="G987" s="10" t="str">
        <f t="shared" si="8"/>
        <v>BIS35-29</v>
      </c>
      <c r="H987" s="16"/>
      <c r="I987" s="16" t="str">
        <f t="shared" si="5"/>
        <v>collected</v>
      </c>
      <c r="J987" s="16" t="str">
        <f t="shared" si="6"/>
        <v>N</v>
      </c>
      <c r="K987" s="16"/>
      <c r="L987" s="16"/>
    </row>
    <row r="988">
      <c r="A988" s="26" t="s">
        <v>1415</v>
      </c>
      <c r="B988" s="10" t="str">
        <f t="shared" si="1"/>
        <v>isotope</v>
      </c>
      <c r="C988" s="49" t="str">
        <f t="shared" si="2"/>
        <v>S16114IS1</v>
      </c>
      <c r="D988" s="6">
        <v>35.0</v>
      </c>
      <c r="E988" s="10" t="str">
        <f t="shared" si="3"/>
        <v>BIS35</v>
      </c>
      <c r="F988" s="13">
        <v>30.0</v>
      </c>
      <c r="G988" s="10" t="str">
        <f t="shared" si="8"/>
        <v>BIS35-30</v>
      </c>
      <c r="H988" s="16"/>
      <c r="I988" s="16" t="str">
        <f t="shared" si="5"/>
        <v>collected</v>
      </c>
      <c r="J988" s="16" t="str">
        <f t="shared" si="6"/>
        <v>N</v>
      </c>
      <c r="K988" s="16"/>
      <c r="L988" s="16"/>
    </row>
    <row r="989">
      <c r="A989" s="26" t="s">
        <v>1416</v>
      </c>
      <c r="B989" s="10" t="str">
        <f t="shared" si="1"/>
        <v>isotope</v>
      </c>
      <c r="C989" s="49" t="str">
        <f t="shared" si="2"/>
        <v>S16115IS1</v>
      </c>
      <c r="D989" s="6">
        <v>35.0</v>
      </c>
      <c r="E989" s="10" t="str">
        <f t="shared" si="3"/>
        <v>BIS35</v>
      </c>
      <c r="F989" s="13">
        <v>31.0</v>
      </c>
      <c r="G989" s="10" t="str">
        <f t="shared" si="8"/>
        <v>BIS35-31</v>
      </c>
      <c r="H989" s="16"/>
      <c r="I989" s="16" t="str">
        <f t="shared" si="5"/>
        <v>collected</v>
      </c>
      <c r="J989" s="16" t="str">
        <f t="shared" si="6"/>
        <v>N</v>
      </c>
      <c r="K989" s="16"/>
      <c r="L989" s="16"/>
    </row>
    <row r="990">
      <c r="A990" s="26" t="s">
        <v>1417</v>
      </c>
      <c r="B990" s="10" t="str">
        <f t="shared" si="1"/>
        <v>isotope</v>
      </c>
      <c r="C990" s="49" t="str">
        <f t="shared" si="2"/>
        <v>S16116IS1</v>
      </c>
      <c r="D990" s="6">
        <v>35.0</v>
      </c>
      <c r="E990" s="10" t="str">
        <f t="shared" si="3"/>
        <v>BIS35</v>
      </c>
      <c r="F990" s="13">
        <v>32.0</v>
      </c>
      <c r="G990" s="10" t="str">
        <f t="shared" si="8"/>
        <v>BIS35-32</v>
      </c>
      <c r="H990" s="16"/>
      <c r="I990" s="16" t="str">
        <f t="shared" si="5"/>
        <v>collected</v>
      </c>
      <c r="J990" s="16" t="str">
        <f t="shared" si="6"/>
        <v>N</v>
      </c>
      <c r="K990" s="16"/>
      <c r="L990" s="16"/>
    </row>
    <row r="991">
      <c r="A991" s="26" t="s">
        <v>1418</v>
      </c>
      <c r="B991" s="10" t="str">
        <f t="shared" si="1"/>
        <v>isotope</v>
      </c>
      <c r="C991" s="49" t="str">
        <f t="shared" si="2"/>
        <v>S16118IS1</v>
      </c>
      <c r="D991" s="6">
        <v>35.0</v>
      </c>
      <c r="E991" s="10" t="str">
        <f t="shared" si="3"/>
        <v>BIS35</v>
      </c>
      <c r="F991" s="13">
        <v>33.0</v>
      </c>
      <c r="G991" s="10" t="str">
        <f t="shared" si="8"/>
        <v>BIS35-33</v>
      </c>
      <c r="H991" s="16"/>
      <c r="I991" s="16" t="str">
        <f t="shared" si="5"/>
        <v>collected</v>
      </c>
      <c r="J991" s="16" t="str">
        <f t="shared" si="6"/>
        <v>N</v>
      </c>
      <c r="K991" s="16"/>
      <c r="L991" s="16"/>
    </row>
    <row r="992">
      <c r="A992" s="26" t="s">
        <v>1420</v>
      </c>
      <c r="B992" s="10" t="str">
        <f t="shared" si="1"/>
        <v>isotope</v>
      </c>
      <c r="C992" s="49" t="str">
        <f t="shared" si="2"/>
        <v>S16112IS1</v>
      </c>
      <c r="D992" s="6">
        <v>35.0</v>
      </c>
      <c r="E992" s="10" t="str">
        <f t="shared" si="3"/>
        <v>BIS35</v>
      </c>
      <c r="F992" s="13">
        <v>34.0</v>
      </c>
      <c r="G992" s="10" t="str">
        <f t="shared" si="8"/>
        <v>BIS35-34</v>
      </c>
      <c r="H992" s="16"/>
      <c r="I992" s="16" t="str">
        <f t="shared" si="5"/>
        <v>collected</v>
      </c>
      <c r="J992" s="16" t="str">
        <f t="shared" si="6"/>
        <v>N</v>
      </c>
      <c r="K992" s="16"/>
      <c r="L992" s="16"/>
    </row>
    <row r="993">
      <c r="A993" s="40" t="s">
        <v>1421</v>
      </c>
      <c r="B993" s="10" t="str">
        <f t="shared" si="1"/>
        <v>isotope</v>
      </c>
      <c r="C993" s="49" t="str">
        <f t="shared" si="2"/>
        <v>S16113IS1</v>
      </c>
      <c r="D993" s="6">
        <v>35.0</v>
      </c>
      <c r="E993" s="10" t="str">
        <f t="shared" si="3"/>
        <v>BIS35</v>
      </c>
      <c r="F993" s="13">
        <v>35.0</v>
      </c>
      <c r="G993" s="10" t="str">
        <f t="shared" si="8"/>
        <v>BIS35-35</v>
      </c>
      <c r="H993" s="16"/>
      <c r="I993" s="16" t="str">
        <f t="shared" si="5"/>
        <v>collected</v>
      </c>
      <c r="J993" s="16" t="str">
        <f t="shared" si="6"/>
        <v>N</v>
      </c>
      <c r="K993" s="16"/>
      <c r="L993" s="16"/>
    </row>
    <row r="994">
      <c r="A994" s="40" t="s">
        <v>1422</v>
      </c>
      <c r="B994" s="10" t="str">
        <f t="shared" si="1"/>
        <v>isotope</v>
      </c>
      <c r="C994" s="49" t="str">
        <f t="shared" si="2"/>
        <v>S16111IS1</v>
      </c>
      <c r="D994" s="6">
        <v>35.0</v>
      </c>
      <c r="E994" s="10" t="str">
        <f t="shared" si="3"/>
        <v>BIS35</v>
      </c>
      <c r="F994" s="13">
        <v>36.0</v>
      </c>
      <c r="G994" s="10" t="str">
        <f t="shared" si="8"/>
        <v>BIS35-36</v>
      </c>
      <c r="H994" s="16"/>
      <c r="I994" s="16" t="str">
        <f t="shared" si="5"/>
        <v>collected</v>
      </c>
      <c r="J994" s="16" t="str">
        <f t="shared" si="6"/>
        <v>N</v>
      </c>
      <c r="K994" s="16"/>
      <c r="L994" s="16"/>
    </row>
    <row r="995">
      <c r="A995" s="40" t="s">
        <v>1423</v>
      </c>
      <c r="B995" s="10" t="str">
        <f t="shared" si="1"/>
        <v>isotope</v>
      </c>
      <c r="C995" s="49" t="str">
        <f t="shared" si="2"/>
        <v>S16602IS1</v>
      </c>
      <c r="D995" s="6">
        <v>35.0</v>
      </c>
      <c r="E995" s="10" t="str">
        <f t="shared" si="3"/>
        <v>BIS35</v>
      </c>
      <c r="F995" s="13">
        <v>37.0</v>
      </c>
      <c r="G995" s="10" t="str">
        <f t="shared" si="8"/>
        <v>BIS35-37</v>
      </c>
      <c r="H995" s="16"/>
      <c r="I995" s="16" t="str">
        <f t="shared" si="5"/>
        <v>collected</v>
      </c>
      <c r="J995" s="16" t="str">
        <f t="shared" si="6"/>
        <v>N</v>
      </c>
      <c r="K995" s="16"/>
      <c r="L995" s="16"/>
    </row>
    <row r="996">
      <c r="A996" s="40" t="s">
        <v>1424</v>
      </c>
      <c r="B996" s="10" t="str">
        <f t="shared" si="1"/>
        <v>isotope</v>
      </c>
      <c r="C996" s="49" t="str">
        <f t="shared" si="2"/>
        <v>S16610IS1</v>
      </c>
      <c r="D996" s="6">
        <v>35.0</v>
      </c>
      <c r="E996" s="10" t="str">
        <f t="shared" si="3"/>
        <v>BIS35</v>
      </c>
      <c r="F996" s="13">
        <v>38.0</v>
      </c>
      <c r="G996" s="10" t="str">
        <f t="shared" si="8"/>
        <v>BIS35-38</v>
      </c>
      <c r="H996" s="16"/>
      <c r="I996" s="16" t="str">
        <f t="shared" si="5"/>
        <v>collected</v>
      </c>
      <c r="J996" s="16" t="str">
        <f t="shared" si="6"/>
        <v>N</v>
      </c>
      <c r="K996" s="16"/>
      <c r="L996" s="16"/>
    </row>
    <row r="997">
      <c r="A997" s="40" t="s">
        <v>1425</v>
      </c>
      <c r="B997" s="10" t="str">
        <f t="shared" si="1"/>
        <v>isotope</v>
      </c>
      <c r="C997" s="49" t="str">
        <f t="shared" si="2"/>
        <v>S16608IS1</v>
      </c>
      <c r="D997" s="6">
        <v>35.0</v>
      </c>
      <c r="E997" s="10" t="str">
        <f t="shared" si="3"/>
        <v>BIS35</v>
      </c>
      <c r="F997" s="13">
        <v>39.0</v>
      </c>
      <c r="G997" s="10" t="str">
        <f t="shared" si="8"/>
        <v>BIS35-39</v>
      </c>
      <c r="H997" s="16"/>
      <c r="I997" s="16" t="str">
        <f t="shared" si="5"/>
        <v>collected</v>
      </c>
      <c r="J997" s="16" t="str">
        <f t="shared" si="6"/>
        <v>N</v>
      </c>
      <c r="K997" s="16"/>
      <c r="L997" s="16"/>
    </row>
    <row r="998">
      <c r="A998" s="40" t="s">
        <v>1426</v>
      </c>
      <c r="B998" s="10" t="str">
        <f t="shared" si="1"/>
        <v>isotope</v>
      </c>
      <c r="C998" s="49" t="str">
        <f t="shared" si="2"/>
        <v>S16601IS1</v>
      </c>
      <c r="D998" s="6">
        <v>35.0</v>
      </c>
      <c r="E998" s="10" t="str">
        <f t="shared" si="3"/>
        <v>BIS35</v>
      </c>
      <c r="F998" s="13">
        <v>40.0</v>
      </c>
      <c r="G998" s="10" t="str">
        <f t="shared" si="8"/>
        <v>BIS35-40</v>
      </c>
      <c r="H998" s="16"/>
      <c r="I998" s="16" t="str">
        <f t="shared" si="5"/>
        <v>collected</v>
      </c>
      <c r="J998" s="16" t="str">
        <f t="shared" si="6"/>
        <v>N</v>
      </c>
      <c r="K998" s="16"/>
      <c r="L998" s="16"/>
    </row>
    <row r="999">
      <c r="A999" s="40" t="s">
        <v>1429</v>
      </c>
      <c r="B999" s="10" t="str">
        <f t="shared" si="1"/>
        <v>isotope</v>
      </c>
      <c r="C999" s="49" t="str">
        <f t="shared" si="2"/>
        <v>S16605IS1</v>
      </c>
      <c r="D999" s="6">
        <v>35.0</v>
      </c>
      <c r="E999" s="10" t="str">
        <f t="shared" si="3"/>
        <v>BIS35</v>
      </c>
      <c r="F999" s="13">
        <v>41.0</v>
      </c>
      <c r="G999" s="10" t="str">
        <f t="shared" si="8"/>
        <v>BIS35-41</v>
      </c>
      <c r="H999" s="16"/>
      <c r="I999" s="16" t="str">
        <f t="shared" si="5"/>
        <v>collected</v>
      </c>
      <c r="J999" s="16" t="str">
        <f t="shared" si="6"/>
        <v>N</v>
      </c>
      <c r="K999" s="16"/>
      <c r="L999" s="16"/>
    </row>
    <row r="1000">
      <c r="A1000" s="40" t="s">
        <v>1430</v>
      </c>
      <c r="B1000" s="10" t="str">
        <f t="shared" si="1"/>
        <v>isotope</v>
      </c>
      <c r="C1000" s="49" t="str">
        <f t="shared" si="2"/>
        <v>S16604IS1</v>
      </c>
      <c r="D1000" s="6">
        <v>35.0</v>
      </c>
      <c r="E1000" s="10" t="str">
        <f t="shared" si="3"/>
        <v>BIS35</v>
      </c>
      <c r="F1000" s="13">
        <v>42.0</v>
      </c>
      <c r="G1000" s="10" t="str">
        <f t="shared" si="8"/>
        <v>BIS35-42</v>
      </c>
      <c r="H1000" s="16"/>
      <c r="I1000" s="16" t="str">
        <f t="shared" si="5"/>
        <v>collected</v>
      </c>
      <c r="J1000" s="16" t="str">
        <f t="shared" si="6"/>
        <v>N</v>
      </c>
      <c r="K1000" s="16"/>
      <c r="L1000" s="16"/>
    </row>
    <row r="1001">
      <c r="A1001" s="40" t="s">
        <v>1431</v>
      </c>
      <c r="B1001" s="10" t="str">
        <f t="shared" si="1"/>
        <v>isotope</v>
      </c>
      <c r="C1001" s="49" t="str">
        <f t="shared" si="2"/>
        <v>S16606IS1</v>
      </c>
      <c r="D1001" s="6">
        <v>35.0</v>
      </c>
      <c r="E1001" s="10" t="str">
        <f t="shared" si="3"/>
        <v>BIS35</v>
      </c>
      <c r="F1001" s="13">
        <v>43.0</v>
      </c>
      <c r="G1001" s="10" t="str">
        <f t="shared" si="8"/>
        <v>BIS35-43</v>
      </c>
      <c r="H1001" s="16"/>
      <c r="I1001" s="16" t="str">
        <f t="shared" si="5"/>
        <v>collected</v>
      </c>
      <c r="J1001" s="16" t="str">
        <f t="shared" si="6"/>
        <v>N</v>
      </c>
      <c r="K1001" s="16"/>
      <c r="L1001" s="16"/>
    </row>
    <row r="1002">
      <c r="A1002" s="40" t="s">
        <v>1432</v>
      </c>
      <c r="B1002" s="10" t="str">
        <f t="shared" si="1"/>
        <v>isotope</v>
      </c>
      <c r="C1002" s="49" t="str">
        <f t="shared" si="2"/>
        <v>S16603IS1</v>
      </c>
      <c r="D1002" s="6">
        <v>35.0</v>
      </c>
      <c r="E1002" s="10" t="str">
        <f t="shared" si="3"/>
        <v>BIS35</v>
      </c>
      <c r="F1002" s="13">
        <v>44.0</v>
      </c>
      <c r="G1002" s="10" t="str">
        <f t="shared" si="8"/>
        <v>BIS35-44</v>
      </c>
      <c r="H1002" s="16"/>
      <c r="I1002" s="16" t="str">
        <f t="shared" si="5"/>
        <v>collected</v>
      </c>
      <c r="J1002" s="16" t="str">
        <f t="shared" si="6"/>
        <v>N</v>
      </c>
      <c r="K1002" s="16"/>
      <c r="L1002" s="16"/>
    </row>
    <row r="1003">
      <c r="A1003" s="40" t="s">
        <v>1433</v>
      </c>
      <c r="B1003" s="10" t="str">
        <f t="shared" si="1"/>
        <v>isotope</v>
      </c>
      <c r="C1003" s="49" t="str">
        <f t="shared" si="2"/>
        <v>S16609IS1</v>
      </c>
      <c r="D1003" s="6">
        <v>35.0</v>
      </c>
      <c r="E1003" s="10" t="str">
        <f t="shared" si="3"/>
        <v>BIS35</v>
      </c>
      <c r="F1003" s="13">
        <v>45.0</v>
      </c>
      <c r="G1003" s="10" t="str">
        <f t="shared" si="8"/>
        <v>BIS35-45</v>
      </c>
      <c r="H1003" s="16"/>
      <c r="I1003" s="16" t="str">
        <f t="shared" si="5"/>
        <v>collected</v>
      </c>
      <c r="J1003" s="16" t="str">
        <f t="shared" si="6"/>
        <v>N</v>
      </c>
      <c r="K1003" s="16"/>
      <c r="L1003" s="16"/>
    </row>
    <row r="1004">
      <c r="A1004" s="40" t="s">
        <v>1435</v>
      </c>
      <c r="B1004" s="10" t="str">
        <f t="shared" si="1"/>
        <v>isotope</v>
      </c>
      <c r="C1004" s="49" t="str">
        <f t="shared" si="2"/>
        <v>S16607IS1</v>
      </c>
      <c r="D1004" s="6">
        <v>35.0</v>
      </c>
      <c r="E1004" s="10" t="str">
        <f t="shared" si="3"/>
        <v>BIS35</v>
      </c>
      <c r="F1004" s="13">
        <v>46.0</v>
      </c>
      <c r="G1004" s="10" t="str">
        <f t="shared" si="8"/>
        <v>BIS35-46</v>
      </c>
      <c r="H1004" s="16"/>
      <c r="I1004" s="16" t="str">
        <f t="shared" si="5"/>
        <v>collected</v>
      </c>
      <c r="J1004" s="16" t="str">
        <f t="shared" si="6"/>
        <v>N</v>
      </c>
      <c r="K1004" s="16"/>
      <c r="L1004" s="16"/>
    </row>
    <row r="1005">
      <c r="A1005" s="40" t="s">
        <v>1436</v>
      </c>
      <c r="B1005" s="10" t="str">
        <f t="shared" si="1"/>
        <v>isotope</v>
      </c>
      <c r="C1005" s="49" t="str">
        <f t="shared" si="2"/>
        <v>S16981IS1</v>
      </c>
      <c r="D1005" s="6">
        <v>35.0</v>
      </c>
      <c r="E1005" s="10" t="str">
        <f t="shared" si="3"/>
        <v>BIS35</v>
      </c>
      <c r="F1005" s="13">
        <v>47.0</v>
      </c>
      <c r="G1005" s="10" t="str">
        <f t="shared" si="8"/>
        <v>BIS35-47</v>
      </c>
      <c r="H1005" s="16"/>
      <c r="I1005" s="16" t="str">
        <f t="shared" si="5"/>
        <v>collected</v>
      </c>
      <c r="J1005" s="16" t="str">
        <f t="shared" si="6"/>
        <v>N</v>
      </c>
      <c r="K1005" s="16"/>
      <c r="L1005" s="16"/>
    </row>
    <row r="1006">
      <c r="A1006" s="40" t="s">
        <v>1438</v>
      </c>
      <c r="B1006" s="10" t="str">
        <f t="shared" si="1"/>
        <v>isotope</v>
      </c>
      <c r="C1006" s="49" t="str">
        <f t="shared" si="2"/>
        <v>S16982IS1</v>
      </c>
      <c r="D1006" s="6">
        <v>35.0</v>
      </c>
      <c r="E1006" s="10" t="str">
        <f t="shared" si="3"/>
        <v>BIS35</v>
      </c>
      <c r="F1006" s="13">
        <v>48.0</v>
      </c>
      <c r="G1006" s="10" t="str">
        <f t="shared" si="8"/>
        <v>BIS35-48</v>
      </c>
      <c r="H1006" s="16"/>
      <c r="I1006" s="16" t="str">
        <f t="shared" si="5"/>
        <v>collected</v>
      </c>
      <c r="J1006" s="16" t="str">
        <f t="shared" si="6"/>
        <v>N</v>
      </c>
      <c r="K1006" s="16"/>
      <c r="L1006" s="16"/>
    </row>
    <row r="1007">
      <c r="A1007" s="40" t="s">
        <v>1439</v>
      </c>
      <c r="B1007" s="10" t="str">
        <f t="shared" si="1"/>
        <v>isotope</v>
      </c>
      <c r="C1007" s="49" t="str">
        <f t="shared" si="2"/>
        <v>S16983IS1</v>
      </c>
      <c r="D1007" s="6">
        <v>35.0</v>
      </c>
      <c r="E1007" s="10" t="str">
        <f t="shared" si="3"/>
        <v>BIS35</v>
      </c>
      <c r="F1007" s="13">
        <v>49.0</v>
      </c>
      <c r="G1007" s="10" t="str">
        <f t="shared" si="8"/>
        <v>BIS35-49</v>
      </c>
      <c r="H1007" s="16"/>
      <c r="I1007" s="16" t="str">
        <f t="shared" si="5"/>
        <v>collected</v>
      </c>
      <c r="J1007" s="16" t="str">
        <f t="shared" si="6"/>
        <v>N</v>
      </c>
      <c r="K1007" s="16"/>
      <c r="L1007" s="16"/>
    </row>
    <row r="1008">
      <c r="A1008" s="40" t="s">
        <v>1440</v>
      </c>
      <c r="B1008" s="10" t="str">
        <f t="shared" si="1"/>
        <v>isotope</v>
      </c>
      <c r="C1008" s="49" t="str">
        <f t="shared" si="2"/>
        <v>S16984IS1</v>
      </c>
      <c r="D1008" s="6">
        <v>35.0</v>
      </c>
      <c r="E1008" s="10" t="str">
        <f t="shared" si="3"/>
        <v>BIS35</v>
      </c>
      <c r="F1008" s="13">
        <v>50.0</v>
      </c>
      <c r="G1008" s="10" t="str">
        <f t="shared" si="8"/>
        <v>BIS35-50</v>
      </c>
      <c r="H1008" s="16"/>
      <c r="I1008" s="16" t="str">
        <f t="shared" si="5"/>
        <v>collected</v>
      </c>
      <c r="J1008" s="16" t="str">
        <f t="shared" si="6"/>
        <v>N</v>
      </c>
      <c r="K1008" s="16"/>
      <c r="L1008" s="16"/>
    </row>
    <row r="1009">
      <c r="A1009" s="40" t="s">
        <v>1441</v>
      </c>
      <c r="B1009" s="10" t="str">
        <f t="shared" si="1"/>
        <v>isotope</v>
      </c>
      <c r="C1009" s="49" t="str">
        <f t="shared" si="2"/>
        <v>S16989IS1</v>
      </c>
      <c r="D1009" s="6">
        <v>35.0</v>
      </c>
      <c r="E1009" s="10" t="str">
        <f t="shared" si="3"/>
        <v>BIS35</v>
      </c>
      <c r="F1009" s="13">
        <v>51.0</v>
      </c>
      <c r="G1009" s="10" t="str">
        <f t="shared" si="8"/>
        <v>BIS35-51</v>
      </c>
      <c r="H1009" s="16"/>
      <c r="I1009" s="16" t="str">
        <f t="shared" si="5"/>
        <v>collected</v>
      </c>
      <c r="J1009" s="16" t="str">
        <f t="shared" si="6"/>
        <v>N</v>
      </c>
      <c r="K1009" s="16"/>
      <c r="L1009" s="16"/>
    </row>
    <row r="1010">
      <c r="A1010" s="40" t="s">
        <v>1443</v>
      </c>
      <c r="B1010" s="10" t="str">
        <f t="shared" si="1"/>
        <v>isotope</v>
      </c>
      <c r="C1010" s="49" t="str">
        <f t="shared" si="2"/>
        <v>S16987IS1</v>
      </c>
      <c r="D1010" s="6">
        <v>35.0</v>
      </c>
      <c r="E1010" s="10" t="str">
        <f t="shared" si="3"/>
        <v>BIS35</v>
      </c>
      <c r="F1010" s="13">
        <v>52.0</v>
      </c>
      <c r="G1010" s="10" t="str">
        <f t="shared" si="8"/>
        <v>BIS35-52</v>
      </c>
      <c r="H1010" s="16"/>
      <c r="I1010" s="16" t="str">
        <f t="shared" si="5"/>
        <v>collected</v>
      </c>
      <c r="J1010" s="16" t="str">
        <f t="shared" si="6"/>
        <v>N</v>
      </c>
      <c r="K1010" s="16"/>
      <c r="L1010" s="16"/>
    </row>
    <row r="1011">
      <c r="A1011" s="40" t="s">
        <v>1444</v>
      </c>
      <c r="B1011" s="10" t="str">
        <f t="shared" si="1"/>
        <v>isotope</v>
      </c>
      <c r="C1011" s="49" t="str">
        <f t="shared" si="2"/>
        <v>S16986IS1</v>
      </c>
      <c r="D1011" s="6">
        <v>35.0</v>
      </c>
      <c r="E1011" s="10" t="str">
        <f t="shared" si="3"/>
        <v>BIS35</v>
      </c>
      <c r="F1011" s="13">
        <v>53.0</v>
      </c>
      <c r="G1011" s="10" t="str">
        <f t="shared" si="8"/>
        <v>BIS35-53</v>
      </c>
      <c r="H1011" s="16"/>
      <c r="I1011" s="16" t="str">
        <f t="shared" si="5"/>
        <v>collected</v>
      </c>
      <c r="J1011" s="16" t="str">
        <f t="shared" si="6"/>
        <v>N</v>
      </c>
      <c r="K1011" s="16"/>
      <c r="L1011" s="16"/>
    </row>
    <row r="1012">
      <c r="A1012" s="40" t="s">
        <v>1446</v>
      </c>
      <c r="B1012" s="10" t="str">
        <f t="shared" si="1"/>
        <v>isotope</v>
      </c>
      <c r="C1012" s="49" t="str">
        <f t="shared" si="2"/>
        <v>S16990IS1</v>
      </c>
      <c r="D1012" s="6">
        <v>35.0</v>
      </c>
      <c r="E1012" s="10" t="str">
        <f t="shared" si="3"/>
        <v>BIS35</v>
      </c>
      <c r="F1012" s="13">
        <v>54.0</v>
      </c>
      <c r="G1012" s="10" t="str">
        <f t="shared" si="8"/>
        <v>BIS35-54</v>
      </c>
      <c r="H1012" s="16"/>
      <c r="I1012" s="16" t="str">
        <f t="shared" si="5"/>
        <v>collected</v>
      </c>
      <c r="J1012" s="16" t="str">
        <f t="shared" si="6"/>
        <v>N</v>
      </c>
      <c r="K1012" s="16"/>
      <c r="L1012" s="16"/>
    </row>
    <row r="1013">
      <c r="A1013" s="40" t="s">
        <v>1447</v>
      </c>
      <c r="B1013" s="10" t="str">
        <f t="shared" si="1"/>
        <v>isotope</v>
      </c>
      <c r="C1013" s="49" t="str">
        <f t="shared" si="2"/>
        <v>S16988IS1</v>
      </c>
      <c r="D1013" s="6">
        <v>35.0</v>
      </c>
      <c r="E1013" s="10" t="str">
        <f t="shared" si="3"/>
        <v>BIS35</v>
      </c>
      <c r="F1013" s="13">
        <v>55.0</v>
      </c>
      <c r="G1013" s="10" t="str">
        <f t="shared" si="8"/>
        <v>BIS35-55</v>
      </c>
      <c r="H1013" s="16"/>
      <c r="I1013" s="16" t="str">
        <f t="shared" si="5"/>
        <v>collected</v>
      </c>
      <c r="J1013" s="16" t="str">
        <f t="shared" si="6"/>
        <v>N</v>
      </c>
      <c r="K1013" s="16"/>
      <c r="L1013" s="16"/>
    </row>
    <row r="1014">
      <c r="A1014" s="40" t="s">
        <v>1448</v>
      </c>
      <c r="B1014" s="10" t="str">
        <f t="shared" si="1"/>
        <v>isotope</v>
      </c>
      <c r="C1014" s="49" t="str">
        <f t="shared" si="2"/>
        <v>S16985IS1</v>
      </c>
      <c r="D1014" s="6">
        <v>35.0</v>
      </c>
      <c r="E1014" s="10" t="str">
        <f t="shared" si="3"/>
        <v>BIS35</v>
      </c>
      <c r="F1014" s="13">
        <v>56.0</v>
      </c>
      <c r="G1014" s="10" t="str">
        <f t="shared" si="8"/>
        <v>BIS35-56</v>
      </c>
      <c r="H1014" s="16"/>
      <c r="I1014" s="16" t="str">
        <f t="shared" si="5"/>
        <v>collected</v>
      </c>
      <c r="J1014" s="16" t="str">
        <f t="shared" si="6"/>
        <v>N</v>
      </c>
      <c r="K1014" s="16"/>
      <c r="L1014" s="16"/>
    </row>
    <row r="1015">
      <c r="A1015" s="40" t="s">
        <v>1449</v>
      </c>
      <c r="B1015" s="10" t="str">
        <f t="shared" si="1"/>
        <v>isotope</v>
      </c>
      <c r="C1015" s="49" t="str">
        <f t="shared" si="2"/>
        <v>S16231IS1</v>
      </c>
      <c r="D1015" s="6">
        <v>35.0</v>
      </c>
      <c r="E1015" s="10" t="str">
        <f t="shared" si="3"/>
        <v>BIS35</v>
      </c>
      <c r="F1015" s="13">
        <v>57.0</v>
      </c>
      <c r="G1015" s="10" t="str">
        <f t="shared" si="8"/>
        <v>BIS35-57</v>
      </c>
      <c r="H1015" s="16"/>
      <c r="I1015" s="16" t="str">
        <f t="shared" si="5"/>
        <v>collected</v>
      </c>
      <c r="J1015" s="16" t="str">
        <f t="shared" si="6"/>
        <v>N</v>
      </c>
      <c r="K1015" s="16"/>
      <c r="L1015" s="16"/>
    </row>
    <row r="1016">
      <c r="A1016" s="40" t="s">
        <v>1451</v>
      </c>
      <c r="B1016" s="10" t="str">
        <f t="shared" si="1"/>
        <v>isotope</v>
      </c>
      <c r="C1016" s="49" t="str">
        <f t="shared" si="2"/>
        <v>S16232IS1</v>
      </c>
      <c r="D1016" s="6">
        <v>35.0</v>
      </c>
      <c r="E1016" s="10" t="str">
        <f t="shared" si="3"/>
        <v>BIS35</v>
      </c>
      <c r="F1016" s="13">
        <v>58.0</v>
      </c>
      <c r="G1016" s="10" t="str">
        <f t="shared" si="8"/>
        <v>BIS35-58</v>
      </c>
      <c r="H1016" s="16"/>
      <c r="I1016" s="16" t="str">
        <f t="shared" si="5"/>
        <v>collected</v>
      </c>
      <c r="J1016" s="16" t="str">
        <f t="shared" si="6"/>
        <v>N</v>
      </c>
      <c r="K1016" s="16"/>
      <c r="L1016" s="16"/>
    </row>
    <row r="1017">
      <c r="A1017" s="40" t="s">
        <v>1452</v>
      </c>
      <c r="B1017" s="10" t="str">
        <f t="shared" si="1"/>
        <v>isotope</v>
      </c>
      <c r="C1017" s="49" t="str">
        <f t="shared" si="2"/>
        <v>S16234IS1</v>
      </c>
      <c r="D1017" s="6">
        <v>35.0</v>
      </c>
      <c r="E1017" s="10" t="str">
        <f t="shared" si="3"/>
        <v>BIS35</v>
      </c>
      <c r="F1017" s="13">
        <v>59.0</v>
      </c>
      <c r="G1017" s="10" t="str">
        <f t="shared" si="8"/>
        <v>BIS35-59</v>
      </c>
      <c r="H1017" s="16"/>
      <c r="I1017" s="16" t="str">
        <f t="shared" si="5"/>
        <v>collected</v>
      </c>
      <c r="J1017" s="16" t="str">
        <f t="shared" si="6"/>
        <v>N</v>
      </c>
      <c r="K1017" s="16"/>
      <c r="L1017" s="16"/>
    </row>
    <row r="1018">
      <c r="A1018" s="40" t="s">
        <v>1453</v>
      </c>
      <c r="B1018" s="10" t="str">
        <f t="shared" si="1"/>
        <v>isotope</v>
      </c>
      <c r="C1018" s="49" t="str">
        <f t="shared" si="2"/>
        <v>S16233IS1</v>
      </c>
      <c r="D1018" s="6">
        <v>35.0</v>
      </c>
      <c r="E1018" s="10" t="str">
        <f t="shared" si="3"/>
        <v>BIS35</v>
      </c>
      <c r="F1018" s="13">
        <v>60.0</v>
      </c>
      <c r="G1018" s="10" t="str">
        <f t="shared" si="8"/>
        <v>BIS35-60</v>
      </c>
      <c r="H1018" s="16"/>
      <c r="I1018" s="16" t="str">
        <f t="shared" si="5"/>
        <v>collected</v>
      </c>
      <c r="J1018" s="16" t="str">
        <f t="shared" si="6"/>
        <v>N</v>
      </c>
      <c r="K1018" s="16"/>
      <c r="L1018" s="16"/>
    </row>
    <row r="1019">
      <c r="A1019" s="40" t="s">
        <v>1455</v>
      </c>
      <c r="B1019" s="10" t="str">
        <f t="shared" si="1"/>
        <v>isotope</v>
      </c>
      <c r="C1019" s="49" t="str">
        <f t="shared" si="2"/>
        <v>S16235IS1</v>
      </c>
      <c r="D1019" s="6">
        <v>35.0</v>
      </c>
      <c r="E1019" s="10" t="str">
        <f t="shared" si="3"/>
        <v>BIS35</v>
      </c>
      <c r="F1019" s="13">
        <v>61.0</v>
      </c>
      <c r="G1019" s="10" t="str">
        <f t="shared" si="8"/>
        <v>BIS35-61</v>
      </c>
      <c r="H1019" s="16"/>
      <c r="I1019" s="16" t="str">
        <f t="shared" si="5"/>
        <v>collected</v>
      </c>
      <c r="J1019" s="16" t="str">
        <f t="shared" si="6"/>
        <v>N</v>
      </c>
      <c r="K1019" s="16"/>
      <c r="L1019" s="16"/>
    </row>
    <row r="1020">
      <c r="A1020" s="40" t="s">
        <v>1458</v>
      </c>
      <c r="B1020" s="10" t="str">
        <f t="shared" si="1"/>
        <v>isotope</v>
      </c>
      <c r="C1020" s="49" t="str">
        <f t="shared" si="2"/>
        <v>S16236IS1</v>
      </c>
      <c r="D1020" s="6">
        <v>35.0</v>
      </c>
      <c r="E1020" s="10" t="str">
        <f t="shared" si="3"/>
        <v>BIS35</v>
      </c>
      <c r="F1020" s="13">
        <v>62.0</v>
      </c>
      <c r="G1020" s="10" t="str">
        <f t="shared" si="8"/>
        <v>BIS35-62</v>
      </c>
      <c r="H1020" s="16"/>
      <c r="I1020" s="16" t="str">
        <f t="shared" si="5"/>
        <v>collected</v>
      </c>
      <c r="J1020" s="16" t="str">
        <f t="shared" si="6"/>
        <v>N</v>
      </c>
      <c r="K1020" s="16"/>
      <c r="L1020" s="16"/>
    </row>
    <row r="1021">
      <c r="A1021" s="40" t="s">
        <v>1459</v>
      </c>
      <c r="B1021" s="10" t="str">
        <f t="shared" si="1"/>
        <v>isotope</v>
      </c>
      <c r="C1021" s="49" t="str">
        <f t="shared" si="2"/>
        <v>S16240IS1</v>
      </c>
      <c r="D1021" s="6">
        <v>35.0</v>
      </c>
      <c r="E1021" s="10" t="str">
        <f t="shared" si="3"/>
        <v>BIS35</v>
      </c>
      <c r="F1021" s="13">
        <v>63.0</v>
      </c>
      <c r="G1021" s="10" t="str">
        <f t="shared" si="8"/>
        <v>BIS35-63</v>
      </c>
      <c r="H1021" s="16"/>
      <c r="I1021" s="16" t="str">
        <f t="shared" si="5"/>
        <v>collected</v>
      </c>
      <c r="J1021" s="16" t="str">
        <f t="shared" si="6"/>
        <v>N</v>
      </c>
      <c r="K1021" s="16"/>
      <c r="L1021" s="16"/>
    </row>
    <row r="1022">
      <c r="A1022" s="40" t="s">
        <v>1461</v>
      </c>
      <c r="B1022" s="10" t="str">
        <f t="shared" si="1"/>
        <v>isotope</v>
      </c>
      <c r="C1022" s="49" t="str">
        <f t="shared" si="2"/>
        <v>S16238IS1</v>
      </c>
      <c r="D1022" s="6">
        <v>35.0</v>
      </c>
      <c r="E1022" s="10" t="str">
        <f t="shared" si="3"/>
        <v>BIS35</v>
      </c>
      <c r="F1022" s="13">
        <v>64.0</v>
      </c>
      <c r="G1022" s="10" t="str">
        <f t="shared" si="8"/>
        <v>BIS35-64</v>
      </c>
      <c r="H1022" s="16"/>
      <c r="I1022" s="16" t="str">
        <f t="shared" si="5"/>
        <v>collected</v>
      </c>
      <c r="J1022" s="16" t="str">
        <f t="shared" si="6"/>
        <v>N</v>
      </c>
      <c r="K1022" s="16"/>
      <c r="L1022" s="16"/>
    </row>
    <row r="1023">
      <c r="A1023" s="40" t="s">
        <v>1462</v>
      </c>
      <c r="B1023" s="10" t="str">
        <f t="shared" si="1"/>
        <v>isotope</v>
      </c>
      <c r="C1023" s="49" t="str">
        <f t="shared" si="2"/>
        <v>S16239IS1</v>
      </c>
      <c r="D1023" s="6">
        <v>35.0</v>
      </c>
      <c r="E1023" s="10" t="str">
        <f t="shared" si="3"/>
        <v>BIS35</v>
      </c>
      <c r="F1023" s="13">
        <v>65.0</v>
      </c>
      <c r="G1023" s="10" t="str">
        <f t="shared" si="8"/>
        <v>BIS35-65</v>
      </c>
      <c r="H1023" s="16"/>
      <c r="I1023" s="16" t="str">
        <f t="shared" si="5"/>
        <v>collected</v>
      </c>
      <c r="J1023" s="16" t="str">
        <f t="shared" si="6"/>
        <v>N</v>
      </c>
      <c r="K1023" s="16"/>
      <c r="L1023" s="16"/>
    </row>
    <row r="1024">
      <c r="A1024" s="40" t="s">
        <v>1464</v>
      </c>
      <c r="B1024" s="10" t="str">
        <f t="shared" si="1"/>
        <v>isotope</v>
      </c>
      <c r="C1024" s="49" t="str">
        <f t="shared" si="2"/>
        <v>S16237IS1</v>
      </c>
      <c r="D1024" s="6">
        <v>35.0</v>
      </c>
      <c r="E1024" s="10" t="str">
        <f t="shared" si="3"/>
        <v>BIS35</v>
      </c>
      <c r="F1024" s="13">
        <v>66.0</v>
      </c>
      <c r="G1024" s="10" t="str">
        <f t="shared" si="8"/>
        <v>BIS35-66</v>
      </c>
      <c r="H1024" s="16"/>
      <c r="I1024" s="16" t="str">
        <f t="shared" si="5"/>
        <v>collected</v>
      </c>
      <c r="J1024" s="16" t="str">
        <f t="shared" si="6"/>
        <v>N</v>
      </c>
      <c r="K1024" s="16"/>
      <c r="L1024" s="16"/>
    </row>
    <row r="1025">
      <c r="A1025" s="40" t="s">
        <v>1465</v>
      </c>
      <c r="B1025" s="10" t="str">
        <f t="shared" si="1"/>
        <v>isotope</v>
      </c>
      <c r="C1025" s="49" t="str">
        <f t="shared" si="2"/>
        <v>S16529IS1</v>
      </c>
      <c r="D1025" s="6">
        <v>35.0</v>
      </c>
      <c r="E1025" s="10" t="str">
        <f t="shared" si="3"/>
        <v>BIS35</v>
      </c>
      <c r="F1025" s="13">
        <v>67.0</v>
      </c>
      <c r="G1025" s="10" t="str">
        <f t="shared" si="8"/>
        <v>BIS35-67</v>
      </c>
      <c r="H1025" s="16"/>
      <c r="I1025" s="16" t="str">
        <f t="shared" si="5"/>
        <v>collected</v>
      </c>
      <c r="J1025" s="16" t="str">
        <f t="shared" si="6"/>
        <v>N</v>
      </c>
      <c r="K1025" s="16"/>
      <c r="L1025" s="16"/>
    </row>
    <row r="1026">
      <c r="A1026" s="40" t="s">
        <v>1468</v>
      </c>
      <c r="B1026" s="10" t="str">
        <f t="shared" si="1"/>
        <v>isotope</v>
      </c>
      <c r="C1026" s="49" t="str">
        <f t="shared" si="2"/>
        <v>S16525IS1</v>
      </c>
      <c r="D1026" s="6">
        <v>35.0</v>
      </c>
      <c r="E1026" s="10" t="str">
        <f t="shared" si="3"/>
        <v>BIS35</v>
      </c>
      <c r="F1026" s="13">
        <v>68.0</v>
      </c>
      <c r="G1026" s="10" t="str">
        <f t="shared" si="8"/>
        <v>BIS35-68</v>
      </c>
      <c r="H1026" s="16"/>
      <c r="I1026" s="16" t="str">
        <f t="shared" si="5"/>
        <v>collected</v>
      </c>
      <c r="J1026" s="16" t="str">
        <f t="shared" si="6"/>
        <v>N</v>
      </c>
      <c r="K1026" s="16"/>
      <c r="L1026" s="16"/>
    </row>
    <row r="1027">
      <c r="A1027" s="40" t="s">
        <v>1469</v>
      </c>
      <c r="B1027" s="10" t="str">
        <f t="shared" si="1"/>
        <v>isotope</v>
      </c>
      <c r="C1027" s="49" t="str">
        <f t="shared" si="2"/>
        <v>S16528IS1</v>
      </c>
      <c r="D1027" s="6">
        <v>35.0</v>
      </c>
      <c r="E1027" s="10" t="str">
        <f t="shared" si="3"/>
        <v>BIS35</v>
      </c>
      <c r="F1027" s="13">
        <v>69.0</v>
      </c>
      <c r="G1027" s="10" t="str">
        <f t="shared" si="8"/>
        <v>BIS35-69</v>
      </c>
      <c r="H1027" s="16"/>
      <c r="I1027" s="16" t="str">
        <f t="shared" si="5"/>
        <v>collected</v>
      </c>
      <c r="J1027" s="16" t="str">
        <f t="shared" si="6"/>
        <v>N</v>
      </c>
      <c r="K1027" s="16"/>
      <c r="L1027" s="16"/>
    </row>
    <row r="1028">
      <c r="A1028" s="40" t="s">
        <v>1471</v>
      </c>
      <c r="B1028" s="10" t="str">
        <f t="shared" si="1"/>
        <v>isotope</v>
      </c>
      <c r="C1028" s="49" t="str">
        <f t="shared" si="2"/>
        <v>S16527IS1</v>
      </c>
      <c r="D1028" s="6">
        <v>35.0</v>
      </c>
      <c r="E1028" s="10" t="str">
        <f t="shared" si="3"/>
        <v>BIS35</v>
      </c>
      <c r="F1028" s="13">
        <v>70.0</v>
      </c>
      <c r="G1028" s="10" t="str">
        <f t="shared" si="8"/>
        <v>BIS35-70</v>
      </c>
      <c r="H1028" s="16"/>
      <c r="I1028" s="16" t="str">
        <f t="shared" si="5"/>
        <v>collected</v>
      </c>
      <c r="J1028" s="16" t="str">
        <f t="shared" si="6"/>
        <v>N</v>
      </c>
      <c r="K1028" s="16"/>
      <c r="L1028" s="16"/>
    </row>
    <row r="1029">
      <c r="A1029" s="40" t="s">
        <v>1472</v>
      </c>
      <c r="B1029" s="10" t="str">
        <f t="shared" si="1"/>
        <v>isotope</v>
      </c>
      <c r="C1029" s="49" t="str">
        <f t="shared" si="2"/>
        <v>S16526IS1</v>
      </c>
      <c r="D1029" s="6">
        <v>35.0</v>
      </c>
      <c r="E1029" s="10" t="str">
        <f t="shared" si="3"/>
        <v>BIS35</v>
      </c>
      <c r="F1029" s="13">
        <v>71.0</v>
      </c>
      <c r="G1029" s="10" t="str">
        <f t="shared" si="8"/>
        <v>BIS35-71</v>
      </c>
      <c r="H1029" s="16"/>
      <c r="I1029" s="16" t="str">
        <f t="shared" si="5"/>
        <v>collected</v>
      </c>
      <c r="J1029" s="16" t="str">
        <f t="shared" si="6"/>
        <v>N</v>
      </c>
      <c r="K1029" s="16"/>
      <c r="L1029" s="16"/>
    </row>
    <row r="1030">
      <c r="A1030" s="40" t="s">
        <v>1473</v>
      </c>
      <c r="B1030" s="10" t="str">
        <f t="shared" si="1"/>
        <v>isotope</v>
      </c>
      <c r="C1030" s="49" t="str">
        <f t="shared" si="2"/>
        <v>S16523IS1</v>
      </c>
      <c r="D1030" s="6">
        <v>35.0</v>
      </c>
      <c r="E1030" s="10" t="str">
        <f t="shared" si="3"/>
        <v>BIS35</v>
      </c>
      <c r="F1030" s="13">
        <v>72.0</v>
      </c>
      <c r="G1030" s="10" t="str">
        <f t="shared" si="8"/>
        <v>BIS35-72</v>
      </c>
      <c r="H1030" s="16"/>
      <c r="I1030" s="16" t="str">
        <f t="shared" si="5"/>
        <v>collected</v>
      </c>
      <c r="J1030" s="16" t="str">
        <f t="shared" si="6"/>
        <v>N</v>
      </c>
      <c r="K1030" s="16"/>
      <c r="L1030" s="16"/>
    </row>
    <row r="1031">
      <c r="A1031" s="40" t="s">
        <v>1475</v>
      </c>
      <c r="B1031" s="10" t="str">
        <f t="shared" si="1"/>
        <v>isotope</v>
      </c>
      <c r="C1031" s="49" t="str">
        <f t="shared" si="2"/>
        <v>S16522IS1</v>
      </c>
      <c r="D1031" s="6">
        <v>35.0</v>
      </c>
      <c r="E1031" s="10" t="str">
        <f t="shared" si="3"/>
        <v>BIS35</v>
      </c>
      <c r="F1031" s="13">
        <v>73.0</v>
      </c>
      <c r="G1031" s="10" t="str">
        <f t="shared" si="8"/>
        <v>BIS35-73</v>
      </c>
      <c r="H1031" s="16"/>
      <c r="I1031" s="16" t="str">
        <f t="shared" si="5"/>
        <v>collected</v>
      </c>
      <c r="J1031" s="16" t="str">
        <f t="shared" si="6"/>
        <v>N</v>
      </c>
      <c r="K1031" s="16"/>
      <c r="L1031" s="16"/>
    </row>
    <row r="1032">
      <c r="A1032" s="40" t="s">
        <v>1476</v>
      </c>
      <c r="B1032" s="10" t="str">
        <f t="shared" si="1"/>
        <v>isotope</v>
      </c>
      <c r="C1032" s="49" t="str">
        <f t="shared" si="2"/>
        <v>S16524IS1</v>
      </c>
      <c r="D1032" s="6">
        <v>35.0</v>
      </c>
      <c r="E1032" s="10" t="str">
        <f t="shared" si="3"/>
        <v>BIS35</v>
      </c>
      <c r="F1032" s="13">
        <v>74.0</v>
      </c>
      <c r="G1032" s="10" t="str">
        <f t="shared" si="8"/>
        <v>BIS35-74</v>
      </c>
      <c r="H1032" s="16"/>
      <c r="I1032" s="16" t="str">
        <f t="shared" si="5"/>
        <v>collected</v>
      </c>
      <c r="J1032" s="16" t="str">
        <f t="shared" si="6"/>
        <v>N</v>
      </c>
      <c r="K1032" s="16"/>
      <c r="L1032" s="16"/>
    </row>
    <row r="1033">
      <c r="A1033" s="40" t="s">
        <v>1477</v>
      </c>
      <c r="B1033" s="10" t="str">
        <f t="shared" si="1"/>
        <v>isotope</v>
      </c>
      <c r="C1033" s="49" t="str">
        <f t="shared" si="2"/>
        <v>S16530IS1</v>
      </c>
      <c r="D1033" s="6">
        <v>35.0</v>
      </c>
      <c r="E1033" s="10" t="str">
        <f t="shared" si="3"/>
        <v>BIS35</v>
      </c>
      <c r="F1033" s="13">
        <v>75.0</v>
      </c>
      <c r="G1033" s="10" t="str">
        <f t="shared" si="8"/>
        <v>BIS35-75</v>
      </c>
      <c r="H1033" s="16"/>
      <c r="I1033" s="16" t="str">
        <f t="shared" si="5"/>
        <v>collected</v>
      </c>
      <c r="J1033" s="16" t="str">
        <f t="shared" si="6"/>
        <v>N</v>
      </c>
      <c r="K1033" s="16"/>
      <c r="L1033" s="16"/>
    </row>
    <row r="1034">
      <c r="A1034" s="40" t="s">
        <v>1478</v>
      </c>
      <c r="B1034" s="10" t="str">
        <f t="shared" si="1"/>
        <v>isotope</v>
      </c>
      <c r="C1034" s="49" t="str">
        <f t="shared" si="2"/>
        <v>S16521IS1</v>
      </c>
      <c r="D1034" s="6">
        <v>35.0</v>
      </c>
      <c r="E1034" s="10" t="str">
        <f t="shared" si="3"/>
        <v>BIS35</v>
      </c>
      <c r="F1034" s="13">
        <v>76.0</v>
      </c>
      <c r="G1034" s="10" t="str">
        <f t="shared" si="8"/>
        <v>BIS35-76</v>
      </c>
      <c r="H1034" s="16"/>
      <c r="I1034" s="16" t="str">
        <f t="shared" si="5"/>
        <v>collected</v>
      </c>
      <c r="J1034" s="16" t="str">
        <f t="shared" si="6"/>
        <v>N</v>
      </c>
      <c r="K1034" s="16"/>
      <c r="L1034" s="16"/>
    </row>
    <row r="1035">
      <c r="A1035" s="40" t="s">
        <v>1479</v>
      </c>
      <c r="B1035" s="10" t="str">
        <f t="shared" si="1"/>
        <v>isotope</v>
      </c>
      <c r="C1035" s="49" t="str">
        <f t="shared" si="2"/>
        <v>S16491IS1</v>
      </c>
      <c r="D1035" s="6">
        <v>35.0</v>
      </c>
      <c r="E1035" s="10" t="str">
        <f t="shared" si="3"/>
        <v>BIS35</v>
      </c>
      <c r="F1035" s="13">
        <v>77.0</v>
      </c>
      <c r="G1035" s="10" t="str">
        <f t="shared" si="8"/>
        <v>BIS35-77</v>
      </c>
      <c r="H1035" s="16"/>
      <c r="I1035" s="16" t="str">
        <f t="shared" si="5"/>
        <v>collected</v>
      </c>
      <c r="J1035" s="16" t="str">
        <f t="shared" si="6"/>
        <v>N</v>
      </c>
      <c r="K1035" s="16"/>
      <c r="L1035" s="16"/>
    </row>
    <row r="1036">
      <c r="A1036" s="40" t="s">
        <v>1481</v>
      </c>
      <c r="B1036" s="10" t="str">
        <f t="shared" si="1"/>
        <v>isotope</v>
      </c>
      <c r="C1036" s="49" t="str">
        <f t="shared" si="2"/>
        <v>S16500IS1</v>
      </c>
      <c r="D1036" s="6">
        <v>35.0</v>
      </c>
      <c r="E1036" s="10" t="str">
        <f t="shared" si="3"/>
        <v>BIS35</v>
      </c>
      <c r="F1036" s="13">
        <v>78.0</v>
      </c>
      <c r="G1036" s="10" t="str">
        <f t="shared" si="8"/>
        <v>BIS35-78</v>
      </c>
      <c r="H1036" s="16"/>
      <c r="I1036" s="16" t="str">
        <f t="shared" si="5"/>
        <v>collected</v>
      </c>
      <c r="J1036" s="16" t="str">
        <f t="shared" si="6"/>
        <v>N</v>
      </c>
      <c r="K1036" s="16"/>
      <c r="L1036" s="16"/>
    </row>
    <row r="1037">
      <c r="A1037" s="40" t="s">
        <v>1482</v>
      </c>
      <c r="B1037" s="10" t="str">
        <f t="shared" si="1"/>
        <v>isotope</v>
      </c>
      <c r="C1037" s="49" t="str">
        <f t="shared" si="2"/>
        <v>S16498IS1</v>
      </c>
      <c r="D1037" s="6">
        <v>35.0</v>
      </c>
      <c r="E1037" s="10" t="str">
        <f t="shared" si="3"/>
        <v>BIS35</v>
      </c>
      <c r="F1037" s="13">
        <v>79.0</v>
      </c>
      <c r="G1037" s="10" t="str">
        <f t="shared" si="8"/>
        <v>BIS35-79</v>
      </c>
      <c r="H1037" s="16"/>
      <c r="I1037" s="16" t="str">
        <f t="shared" si="5"/>
        <v>collected</v>
      </c>
      <c r="J1037" s="16" t="str">
        <f t="shared" si="6"/>
        <v>N</v>
      </c>
      <c r="K1037" s="16"/>
      <c r="L1037" s="16"/>
    </row>
    <row r="1038">
      <c r="A1038" s="40" t="s">
        <v>1483</v>
      </c>
      <c r="B1038" s="10" t="str">
        <f t="shared" si="1"/>
        <v>isotope</v>
      </c>
      <c r="C1038" s="49" t="str">
        <f t="shared" si="2"/>
        <v>S16499IS1</v>
      </c>
      <c r="D1038" s="6">
        <v>35.0</v>
      </c>
      <c r="E1038" s="10" t="str">
        <f t="shared" si="3"/>
        <v>BIS35</v>
      </c>
      <c r="F1038" s="13">
        <v>80.0</v>
      </c>
      <c r="G1038" s="10" t="str">
        <f t="shared" si="8"/>
        <v>BIS35-80</v>
      </c>
      <c r="H1038" s="16"/>
      <c r="I1038" s="16" t="str">
        <f t="shared" si="5"/>
        <v>collected</v>
      </c>
      <c r="J1038" s="16" t="str">
        <f t="shared" si="6"/>
        <v>N</v>
      </c>
      <c r="K1038" s="16"/>
      <c r="L1038" s="16"/>
    </row>
    <row r="1039">
      <c r="A1039" s="40" t="s">
        <v>1485</v>
      </c>
      <c r="B1039" s="10" t="str">
        <f t="shared" si="1"/>
        <v>isotope</v>
      </c>
      <c r="C1039" s="49" t="str">
        <f t="shared" si="2"/>
        <v>S16496IS1</v>
      </c>
      <c r="D1039" s="6">
        <v>35.0</v>
      </c>
      <c r="E1039" s="10" t="str">
        <f t="shared" si="3"/>
        <v>BIS35</v>
      </c>
      <c r="F1039" s="13">
        <v>81.0</v>
      </c>
      <c r="G1039" s="10" t="str">
        <f t="shared" si="8"/>
        <v>BIS35-81</v>
      </c>
      <c r="H1039" s="16"/>
      <c r="I1039" s="16" t="str">
        <f t="shared" si="5"/>
        <v>collected</v>
      </c>
      <c r="J1039" s="16" t="str">
        <f t="shared" si="6"/>
        <v>N</v>
      </c>
      <c r="K1039" s="16"/>
      <c r="L1039" s="16"/>
    </row>
    <row r="1040">
      <c r="A1040" s="27" t="s">
        <v>1486</v>
      </c>
      <c r="B1040" s="10" t="str">
        <f t="shared" si="1"/>
        <v>isotope</v>
      </c>
      <c r="C1040" s="49" t="str">
        <f t="shared" si="2"/>
        <v>S5450IS1</v>
      </c>
      <c r="D1040" s="6">
        <v>36.0</v>
      </c>
      <c r="E1040" s="10" t="str">
        <f t="shared" si="3"/>
        <v>BIS36</v>
      </c>
      <c r="F1040" s="13">
        <v>11.0</v>
      </c>
      <c r="G1040" s="10" t="str">
        <f t="shared" si="8"/>
        <v>BIS36-11</v>
      </c>
      <c r="H1040" s="16"/>
      <c r="I1040" s="16" t="str">
        <f t="shared" si="5"/>
        <v>collected</v>
      </c>
      <c r="J1040" s="16" t="str">
        <f t="shared" si="6"/>
        <v>N</v>
      </c>
      <c r="K1040" s="16"/>
      <c r="L1040" s="16"/>
    </row>
    <row r="1041">
      <c r="A1041" s="27" t="s">
        <v>1487</v>
      </c>
      <c r="B1041" s="10" t="str">
        <f t="shared" si="1"/>
        <v>isotope</v>
      </c>
      <c r="C1041" s="49" t="str">
        <f t="shared" si="2"/>
        <v>S5451IS1</v>
      </c>
      <c r="D1041" s="6">
        <v>36.0</v>
      </c>
      <c r="E1041" s="10" t="str">
        <f t="shared" si="3"/>
        <v>BIS36</v>
      </c>
      <c r="F1041" s="13">
        <v>12.0</v>
      </c>
      <c r="G1041" s="10" t="str">
        <f t="shared" si="8"/>
        <v>BIS36-12</v>
      </c>
      <c r="H1041" s="16"/>
      <c r="I1041" s="16" t="str">
        <f t="shared" si="5"/>
        <v>collected</v>
      </c>
      <c r="J1041" s="16" t="str">
        <f t="shared" si="6"/>
        <v>N</v>
      </c>
      <c r="K1041" s="16"/>
      <c r="L1041" s="16"/>
    </row>
    <row r="1042">
      <c r="A1042" s="27" t="s">
        <v>1489</v>
      </c>
      <c r="B1042" s="10" t="str">
        <f t="shared" si="1"/>
        <v>isotope</v>
      </c>
      <c r="C1042" s="49" t="str">
        <f t="shared" si="2"/>
        <v>S5452IS1</v>
      </c>
      <c r="D1042" s="6">
        <v>36.0</v>
      </c>
      <c r="E1042" s="10" t="str">
        <f t="shared" si="3"/>
        <v>BIS36</v>
      </c>
      <c r="F1042" s="13">
        <v>13.0</v>
      </c>
      <c r="G1042" s="10" t="str">
        <f t="shared" si="8"/>
        <v>BIS36-13</v>
      </c>
      <c r="H1042" s="16"/>
      <c r="I1042" s="16" t="str">
        <f t="shared" si="5"/>
        <v>collected</v>
      </c>
      <c r="J1042" s="16" t="str">
        <f t="shared" si="6"/>
        <v>N</v>
      </c>
      <c r="K1042" s="16"/>
      <c r="L1042" s="16"/>
    </row>
    <row r="1043">
      <c r="A1043" s="27" t="s">
        <v>1491</v>
      </c>
      <c r="B1043" s="10" t="str">
        <f t="shared" si="1"/>
        <v>isotope</v>
      </c>
      <c r="C1043" s="49" t="str">
        <f t="shared" si="2"/>
        <v>S5453IS1</v>
      </c>
      <c r="D1043" s="6">
        <v>36.0</v>
      </c>
      <c r="E1043" s="10" t="str">
        <f t="shared" si="3"/>
        <v>BIS36</v>
      </c>
      <c r="F1043" s="13">
        <v>14.0</v>
      </c>
      <c r="G1043" s="10" t="str">
        <f t="shared" si="8"/>
        <v>BIS36-14</v>
      </c>
      <c r="H1043" s="16"/>
      <c r="I1043" s="16" t="str">
        <f t="shared" si="5"/>
        <v>collected</v>
      </c>
      <c r="J1043" s="16" t="str">
        <f t="shared" si="6"/>
        <v>N</v>
      </c>
      <c r="K1043" s="16"/>
      <c r="L1043" s="16"/>
    </row>
    <row r="1044">
      <c r="A1044" s="27" t="s">
        <v>1492</v>
      </c>
      <c r="B1044" s="10" t="str">
        <f t="shared" si="1"/>
        <v>isotope</v>
      </c>
      <c r="C1044" s="49" t="str">
        <f t="shared" si="2"/>
        <v>S5454IS1</v>
      </c>
      <c r="D1044" s="6">
        <v>36.0</v>
      </c>
      <c r="E1044" s="10" t="str">
        <f t="shared" si="3"/>
        <v>BIS36</v>
      </c>
      <c r="F1044" s="13">
        <v>15.0</v>
      </c>
      <c r="G1044" s="10" t="str">
        <f t="shared" si="8"/>
        <v>BIS36-15</v>
      </c>
      <c r="H1044" s="16"/>
      <c r="I1044" s="16" t="str">
        <f t="shared" si="5"/>
        <v>collected</v>
      </c>
      <c r="J1044" s="16" t="str">
        <f t="shared" si="6"/>
        <v>N</v>
      </c>
      <c r="K1044" s="16"/>
      <c r="L1044" s="16"/>
    </row>
    <row r="1045">
      <c r="A1045" s="27" t="s">
        <v>1493</v>
      </c>
      <c r="B1045" s="10" t="str">
        <f t="shared" si="1"/>
        <v>isotope</v>
      </c>
      <c r="C1045" s="49" t="str">
        <f t="shared" si="2"/>
        <v>S5455IS1</v>
      </c>
      <c r="D1045" s="6">
        <v>36.0</v>
      </c>
      <c r="E1045" s="10" t="str">
        <f t="shared" si="3"/>
        <v>BIS36</v>
      </c>
      <c r="F1045" s="13">
        <v>16.0</v>
      </c>
      <c r="G1045" s="10" t="str">
        <f t="shared" si="8"/>
        <v>BIS36-16</v>
      </c>
      <c r="H1045" s="16"/>
      <c r="I1045" s="16" t="str">
        <f t="shared" si="5"/>
        <v>collected</v>
      </c>
      <c r="J1045" s="16" t="str">
        <f t="shared" si="6"/>
        <v>N</v>
      </c>
      <c r="K1045" s="16"/>
      <c r="L1045" s="16"/>
    </row>
    <row r="1046">
      <c r="A1046" s="27" t="s">
        <v>1494</v>
      </c>
      <c r="B1046" s="10" t="str">
        <f t="shared" si="1"/>
        <v>isotope</v>
      </c>
      <c r="C1046" s="49" t="str">
        <f t="shared" si="2"/>
        <v>S5456IS1</v>
      </c>
      <c r="D1046" s="6">
        <v>36.0</v>
      </c>
      <c r="E1046" s="10" t="str">
        <f t="shared" si="3"/>
        <v>BIS36</v>
      </c>
      <c r="F1046" s="13">
        <v>17.0</v>
      </c>
      <c r="G1046" s="10" t="str">
        <f t="shared" si="8"/>
        <v>BIS36-17</v>
      </c>
      <c r="H1046" s="16"/>
      <c r="I1046" s="16" t="str">
        <f t="shared" si="5"/>
        <v>collected</v>
      </c>
      <c r="J1046" s="16" t="str">
        <f t="shared" si="6"/>
        <v>N</v>
      </c>
      <c r="K1046" s="16"/>
      <c r="L1046" s="16"/>
    </row>
    <row r="1047">
      <c r="A1047" s="27" t="s">
        <v>1497</v>
      </c>
      <c r="B1047" s="10" t="str">
        <f t="shared" si="1"/>
        <v>isotope</v>
      </c>
      <c r="C1047" s="49" t="str">
        <f t="shared" si="2"/>
        <v>S5457IS1</v>
      </c>
      <c r="D1047" s="6">
        <v>36.0</v>
      </c>
      <c r="E1047" s="10" t="str">
        <f t="shared" si="3"/>
        <v>BIS36</v>
      </c>
      <c r="F1047" s="13">
        <v>18.0</v>
      </c>
      <c r="G1047" s="10" t="str">
        <f t="shared" si="8"/>
        <v>BIS36-18</v>
      </c>
      <c r="H1047" s="16"/>
      <c r="I1047" s="16" t="str">
        <f t="shared" si="5"/>
        <v>collected</v>
      </c>
      <c r="J1047" s="16" t="str">
        <f t="shared" si="6"/>
        <v>N</v>
      </c>
      <c r="K1047" s="16"/>
      <c r="L1047" s="16"/>
    </row>
    <row r="1048">
      <c r="A1048" s="27" t="s">
        <v>1498</v>
      </c>
      <c r="B1048" s="10" t="str">
        <f t="shared" si="1"/>
        <v>isotope</v>
      </c>
      <c r="C1048" s="49" t="str">
        <f t="shared" si="2"/>
        <v>S5458IS1</v>
      </c>
      <c r="D1048" s="6">
        <v>36.0</v>
      </c>
      <c r="E1048" s="10" t="str">
        <f t="shared" si="3"/>
        <v>BIS36</v>
      </c>
      <c r="F1048" s="13">
        <v>19.0</v>
      </c>
      <c r="G1048" s="10" t="str">
        <f t="shared" si="8"/>
        <v>BIS36-19</v>
      </c>
      <c r="H1048" s="16"/>
      <c r="I1048" s="16" t="str">
        <f t="shared" si="5"/>
        <v>collected</v>
      </c>
      <c r="J1048" s="16" t="str">
        <f t="shared" si="6"/>
        <v>N</v>
      </c>
      <c r="K1048" s="16"/>
      <c r="L1048" s="16"/>
    </row>
    <row r="1049">
      <c r="A1049" s="27" t="s">
        <v>1499</v>
      </c>
      <c r="B1049" s="10" t="str">
        <f t="shared" si="1"/>
        <v>isotope</v>
      </c>
      <c r="C1049" s="49" t="str">
        <f t="shared" si="2"/>
        <v>S5459IS1</v>
      </c>
      <c r="D1049" s="6">
        <v>36.0</v>
      </c>
      <c r="E1049" s="10" t="str">
        <f t="shared" si="3"/>
        <v>BIS36</v>
      </c>
      <c r="F1049" s="13">
        <v>20.0</v>
      </c>
      <c r="G1049" s="10" t="str">
        <f t="shared" si="8"/>
        <v>BIS36-20</v>
      </c>
      <c r="H1049" s="16"/>
      <c r="I1049" s="16" t="str">
        <f t="shared" si="5"/>
        <v>collected</v>
      </c>
      <c r="J1049" s="16" t="str">
        <f t="shared" si="6"/>
        <v>N</v>
      </c>
      <c r="K1049" s="16"/>
      <c r="L1049" s="16"/>
    </row>
    <row r="1050">
      <c r="A1050" s="27" t="s">
        <v>1501</v>
      </c>
      <c r="B1050" s="10" t="str">
        <f t="shared" si="1"/>
        <v>isotope</v>
      </c>
      <c r="C1050" s="49" t="str">
        <f t="shared" si="2"/>
        <v>S5460IS1</v>
      </c>
      <c r="D1050" s="6">
        <v>36.0</v>
      </c>
      <c r="E1050" s="10" t="str">
        <f t="shared" si="3"/>
        <v>BIS36</v>
      </c>
      <c r="F1050" s="13">
        <v>21.0</v>
      </c>
      <c r="G1050" s="10" t="str">
        <f t="shared" si="8"/>
        <v>BIS36-21</v>
      </c>
      <c r="H1050" s="16"/>
      <c r="I1050" s="16" t="str">
        <f t="shared" si="5"/>
        <v>collected</v>
      </c>
      <c r="J1050" s="16" t="str">
        <f t="shared" si="6"/>
        <v>N</v>
      </c>
      <c r="K1050" s="16"/>
      <c r="L1050" s="16"/>
    </row>
    <row r="1051">
      <c r="A1051" s="27" t="s">
        <v>1503</v>
      </c>
      <c r="B1051" s="10" t="str">
        <f t="shared" si="1"/>
        <v>isotope</v>
      </c>
      <c r="C1051" s="49" t="str">
        <f t="shared" si="2"/>
        <v>S5461IS1</v>
      </c>
      <c r="D1051" s="6">
        <v>36.0</v>
      </c>
      <c r="E1051" s="10" t="str">
        <f t="shared" si="3"/>
        <v>BIS36</v>
      </c>
      <c r="F1051" s="13">
        <v>22.0</v>
      </c>
      <c r="G1051" s="10" t="str">
        <f t="shared" si="8"/>
        <v>BIS36-22</v>
      </c>
      <c r="H1051" s="16"/>
      <c r="I1051" s="16" t="str">
        <f t="shared" si="5"/>
        <v>collected</v>
      </c>
      <c r="J1051" s="16" t="str">
        <f t="shared" si="6"/>
        <v>N</v>
      </c>
      <c r="K1051" s="16"/>
      <c r="L1051" s="16"/>
    </row>
    <row r="1052">
      <c r="A1052" s="40" t="s">
        <v>1504</v>
      </c>
      <c r="B1052" s="10" t="str">
        <f t="shared" si="1"/>
        <v>isotope</v>
      </c>
      <c r="C1052" s="49" t="str">
        <f t="shared" si="2"/>
        <v>S16495IS1</v>
      </c>
      <c r="D1052" s="6">
        <v>37.0</v>
      </c>
      <c r="E1052" s="10" t="str">
        <f t="shared" si="3"/>
        <v>BIS37</v>
      </c>
      <c r="F1052" s="13">
        <v>1.0</v>
      </c>
      <c r="G1052" s="10" t="str">
        <f t="shared" si="8"/>
        <v>BIS37-1</v>
      </c>
      <c r="H1052" s="16"/>
      <c r="I1052" s="16" t="str">
        <f t="shared" si="5"/>
        <v>collected</v>
      </c>
      <c r="J1052" s="16" t="str">
        <f t="shared" si="6"/>
        <v>N</v>
      </c>
      <c r="K1052" s="16"/>
      <c r="L1052" s="16"/>
    </row>
    <row r="1053">
      <c r="A1053" s="40" t="s">
        <v>1505</v>
      </c>
      <c r="B1053" s="10" t="str">
        <f t="shared" si="1"/>
        <v>isotope</v>
      </c>
      <c r="C1053" s="49" t="str">
        <f t="shared" si="2"/>
        <v>S16497IS1</v>
      </c>
      <c r="D1053" s="6">
        <v>37.0</v>
      </c>
      <c r="E1053" s="10" t="str">
        <f t="shared" si="3"/>
        <v>BIS37</v>
      </c>
      <c r="F1053" s="13">
        <v>2.0</v>
      </c>
      <c r="G1053" s="10" t="str">
        <f t="shared" si="8"/>
        <v>BIS37-2</v>
      </c>
      <c r="H1053" s="16"/>
      <c r="I1053" s="16" t="str">
        <f t="shared" si="5"/>
        <v>collected</v>
      </c>
      <c r="J1053" s="16" t="str">
        <f t="shared" si="6"/>
        <v>N</v>
      </c>
      <c r="K1053" s="16"/>
      <c r="L1053" s="16"/>
    </row>
    <row r="1054">
      <c r="A1054" s="40" t="s">
        <v>1508</v>
      </c>
      <c r="B1054" s="10" t="str">
        <f t="shared" si="1"/>
        <v>isotope</v>
      </c>
      <c r="C1054" s="49" t="str">
        <f t="shared" si="2"/>
        <v>S16493IS1</v>
      </c>
      <c r="D1054" s="6">
        <v>37.0</v>
      </c>
      <c r="E1054" s="10" t="str">
        <f t="shared" si="3"/>
        <v>BIS37</v>
      </c>
      <c r="F1054" s="13">
        <v>3.0</v>
      </c>
      <c r="G1054" s="10" t="str">
        <f t="shared" si="8"/>
        <v>BIS37-3</v>
      </c>
      <c r="H1054" s="16"/>
      <c r="I1054" s="16" t="str">
        <f t="shared" si="5"/>
        <v>collected</v>
      </c>
      <c r="J1054" s="16" t="str">
        <f t="shared" si="6"/>
        <v>N</v>
      </c>
      <c r="K1054" s="16"/>
      <c r="L1054" s="16"/>
    </row>
    <row r="1055">
      <c r="A1055" s="40" t="s">
        <v>1509</v>
      </c>
      <c r="B1055" s="10" t="str">
        <f t="shared" si="1"/>
        <v>isotope</v>
      </c>
      <c r="C1055" s="49" t="str">
        <f t="shared" si="2"/>
        <v>S16492IS1</v>
      </c>
      <c r="D1055" s="6">
        <v>37.0</v>
      </c>
      <c r="E1055" s="10" t="str">
        <f t="shared" si="3"/>
        <v>BIS37</v>
      </c>
      <c r="F1055" s="13">
        <v>4.0</v>
      </c>
      <c r="G1055" s="10" t="str">
        <f t="shared" si="8"/>
        <v>BIS37-4</v>
      </c>
      <c r="H1055" s="16"/>
      <c r="I1055" s="16" t="str">
        <f t="shared" si="5"/>
        <v>collected</v>
      </c>
      <c r="J1055" s="16" t="str">
        <f t="shared" si="6"/>
        <v>N</v>
      </c>
      <c r="K1055" s="16"/>
      <c r="L1055" s="16"/>
    </row>
    <row r="1056">
      <c r="A1056" s="40" t="s">
        <v>1510</v>
      </c>
      <c r="B1056" s="10" t="str">
        <f t="shared" si="1"/>
        <v>isotope</v>
      </c>
      <c r="C1056" s="49" t="str">
        <f t="shared" si="2"/>
        <v>S16494IS1</v>
      </c>
      <c r="D1056" s="6">
        <v>37.0</v>
      </c>
      <c r="E1056" s="10" t="str">
        <f t="shared" si="3"/>
        <v>BIS37</v>
      </c>
      <c r="F1056" s="13">
        <v>5.0</v>
      </c>
      <c r="G1056" s="10" t="str">
        <f t="shared" si="8"/>
        <v>BIS37-5</v>
      </c>
      <c r="H1056" s="16"/>
      <c r="I1056" s="16" t="str">
        <f t="shared" si="5"/>
        <v>collected</v>
      </c>
      <c r="J1056" s="16" t="str">
        <f t="shared" si="6"/>
        <v>N</v>
      </c>
      <c r="K1056" s="16"/>
      <c r="L1056" s="16"/>
    </row>
    <row r="1057">
      <c r="A1057" s="40" t="s">
        <v>1513</v>
      </c>
      <c r="B1057" s="10" t="str">
        <f t="shared" si="1"/>
        <v>isotope</v>
      </c>
      <c r="C1057" s="49" t="str">
        <f t="shared" si="2"/>
        <v>S16242IS1</v>
      </c>
      <c r="D1057" s="6">
        <v>37.0</v>
      </c>
      <c r="E1057" s="10" t="str">
        <f t="shared" si="3"/>
        <v>BIS37</v>
      </c>
      <c r="F1057" s="13">
        <v>6.0</v>
      </c>
      <c r="G1057" s="10" t="str">
        <f t="shared" si="8"/>
        <v>BIS37-6</v>
      </c>
      <c r="H1057" s="16"/>
      <c r="I1057" s="16" t="str">
        <f t="shared" si="5"/>
        <v>collected</v>
      </c>
      <c r="J1057" s="16" t="str">
        <f t="shared" si="6"/>
        <v>N</v>
      </c>
      <c r="K1057" s="16"/>
      <c r="L1057" s="16"/>
    </row>
    <row r="1058">
      <c r="A1058" s="40" t="s">
        <v>1514</v>
      </c>
      <c r="B1058" s="10" t="str">
        <f t="shared" si="1"/>
        <v>isotope</v>
      </c>
      <c r="C1058" s="49" t="str">
        <f t="shared" si="2"/>
        <v>S16246IS1</v>
      </c>
      <c r="D1058" s="6">
        <v>37.0</v>
      </c>
      <c r="E1058" s="10" t="str">
        <f t="shared" si="3"/>
        <v>BIS37</v>
      </c>
      <c r="F1058" s="13">
        <v>7.0</v>
      </c>
      <c r="G1058" s="10" t="str">
        <f t="shared" si="8"/>
        <v>BIS37-7</v>
      </c>
      <c r="H1058" s="16"/>
      <c r="I1058" s="16" t="str">
        <f t="shared" si="5"/>
        <v>collected</v>
      </c>
      <c r="J1058" s="16" t="str">
        <f t="shared" si="6"/>
        <v>N</v>
      </c>
      <c r="K1058" s="16"/>
      <c r="L1058" s="16"/>
    </row>
    <row r="1059">
      <c r="A1059" s="40" t="s">
        <v>1515</v>
      </c>
      <c r="B1059" s="10" t="str">
        <f t="shared" si="1"/>
        <v>isotope</v>
      </c>
      <c r="C1059" s="49" t="str">
        <f t="shared" si="2"/>
        <v>S16248IS1</v>
      </c>
      <c r="D1059" s="6">
        <v>37.0</v>
      </c>
      <c r="E1059" s="10" t="str">
        <f t="shared" si="3"/>
        <v>BIS37</v>
      </c>
      <c r="F1059" s="13">
        <v>8.0</v>
      </c>
      <c r="G1059" s="10" t="str">
        <f t="shared" si="8"/>
        <v>BIS37-8</v>
      </c>
      <c r="H1059" s="16"/>
      <c r="I1059" s="16" t="str">
        <f t="shared" si="5"/>
        <v>collected</v>
      </c>
      <c r="J1059" s="16" t="str">
        <f t="shared" si="6"/>
        <v>N</v>
      </c>
      <c r="K1059" s="16"/>
      <c r="L1059" s="16"/>
    </row>
    <row r="1060">
      <c r="A1060" s="40" t="s">
        <v>1516</v>
      </c>
      <c r="B1060" s="10" t="str">
        <f t="shared" si="1"/>
        <v>isotope</v>
      </c>
      <c r="C1060" s="49" t="str">
        <f t="shared" si="2"/>
        <v>S16249IS1</v>
      </c>
      <c r="D1060" s="6">
        <v>37.0</v>
      </c>
      <c r="E1060" s="10" t="str">
        <f t="shared" si="3"/>
        <v>BIS37</v>
      </c>
      <c r="F1060" s="13">
        <v>9.0</v>
      </c>
      <c r="G1060" s="10" t="str">
        <f t="shared" si="8"/>
        <v>BIS37-9</v>
      </c>
      <c r="H1060" s="16"/>
      <c r="I1060" s="16" t="str">
        <f t="shared" si="5"/>
        <v>collected</v>
      </c>
      <c r="J1060" s="16" t="str">
        <f t="shared" si="6"/>
        <v>N</v>
      </c>
      <c r="K1060" s="16"/>
      <c r="L1060" s="16"/>
    </row>
    <row r="1061">
      <c r="A1061" s="40" t="s">
        <v>1519</v>
      </c>
      <c r="B1061" s="10" t="str">
        <f t="shared" si="1"/>
        <v>isotope</v>
      </c>
      <c r="C1061" s="49" t="str">
        <f t="shared" si="2"/>
        <v>S16241IS1</v>
      </c>
      <c r="D1061" s="6">
        <v>37.0</v>
      </c>
      <c r="E1061" s="10" t="str">
        <f t="shared" si="3"/>
        <v>BIS37</v>
      </c>
      <c r="F1061" s="13">
        <v>10.0</v>
      </c>
      <c r="G1061" s="10" t="str">
        <f t="shared" si="8"/>
        <v>BIS37-10</v>
      </c>
      <c r="H1061" s="16"/>
      <c r="I1061" s="16" t="str">
        <f t="shared" si="5"/>
        <v>collected</v>
      </c>
      <c r="J1061" s="16" t="str">
        <f t="shared" si="6"/>
        <v>N</v>
      </c>
      <c r="K1061" s="16"/>
      <c r="L1061" s="16"/>
    </row>
    <row r="1062">
      <c r="A1062" s="40" t="s">
        <v>1520</v>
      </c>
      <c r="B1062" s="10" t="str">
        <f t="shared" si="1"/>
        <v>isotope</v>
      </c>
      <c r="C1062" s="49" t="str">
        <f t="shared" si="2"/>
        <v>S16244IS1</v>
      </c>
      <c r="D1062" s="6">
        <v>37.0</v>
      </c>
      <c r="E1062" s="10" t="str">
        <f t="shared" si="3"/>
        <v>BIS37</v>
      </c>
      <c r="F1062" s="13">
        <v>11.0</v>
      </c>
      <c r="G1062" s="10" t="str">
        <f t="shared" si="8"/>
        <v>BIS37-11</v>
      </c>
      <c r="H1062" s="16"/>
      <c r="I1062" s="16" t="str">
        <f t="shared" si="5"/>
        <v>collected</v>
      </c>
      <c r="J1062" s="16" t="str">
        <f t="shared" si="6"/>
        <v>N</v>
      </c>
      <c r="K1062" s="16"/>
      <c r="L1062" s="16"/>
    </row>
    <row r="1063">
      <c r="A1063" s="40" t="s">
        <v>1521</v>
      </c>
      <c r="B1063" s="10" t="str">
        <f t="shared" si="1"/>
        <v>isotope</v>
      </c>
      <c r="C1063" s="49" t="str">
        <f t="shared" si="2"/>
        <v>S16243IS1</v>
      </c>
      <c r="D1063" s="6">
        <v>37.0</v>
      </c>
      <c r="E1063" s="10" t="str">
        <f t="shared" si="3"/>
        <v>BIS37</v>
      </c>
      <c r="F1063" s="13">
        <v>12.0</v>
      </c>
      <c r="G1063" s="10" t="str">
        <f t="shared" si="8"/>
        <v>BIS37-12</v>
      </c>
      <c r="H1063" s="16"/>
      <c r="I1063" s="16" t="str">
        <f t="shared" si="5"/>
        <v>collected</v>
      </c>
      <c r="J1063" s="16" t="str">
        <f t="shared" si="6"/>
        <v>N</v>
      </c>
      <c r="K1063" s="16"/>
      <c r="L1063" s="16"/>
    </row>
    <row r="1064">
      <c r="A1064" s="40" t="s">
        <v>1524</v>
      </c>
      <c r="B1064" s="10" t="str">
        <f t="shared" si="1"/>
        <v>isotope</v>
      </c>
      <c r="C1064" s="49" t="str">
        <f t="shared" si="2"/>
        <v>S16247IS1</v>
      </c>
      <c r="D1064" s="6">
        <v>37.0</v>
      </c>
      <c r="E1064" s="10" t="str">
        <f t="shared" si="3"/>
        <v>BIS37</v>
      </c>
      <c r="F1064" s="13">
        <v>13.0</v>
      </c>
      <c r="G1064" s="10" t="str">
        <f t="shared" si="8"/>
        <v>BIS37-13</v>
      </c>
      <c r="H1064" s="16"/>
      <c r="I1064" s="16" t="str">
        <f t="shared" si="5"/>
        <v>collected</v>
      </c>
      <c r="J1064" s="16" t="str">
        <f t="shared" si="6"/>
        <v>N</v>
      </c>
      <c r="K1064" s="16"/>
      <c r="L1064" s="16"/>
    </row>
    <row r="1065">
      <c r="A1065" s="40" t="s">
        <v>1525</v>
      </c>
      <c r="B1065" s="10" t="str">
        <f t="shared" si="1"/>
        <v>isotope</v>
      </c>
      <c r="C1065" s="49" t="str">
        <f t="shared" si="2"/>
        <v>S16245IS1</v>
      </c>
      <c r="D1065" s="6">
        <v>37.0</v>
      </c>
      <c r="E1065" s="10" t="str">
        <f t="shared" si="3"/>
        <v>BIS37</v>
      </c>
      <c r="F1065" s="13">
        <v>14.0</v>
      </c>
      <c r="G1065" s="10" t="str">
        <f t="shared" si="8"/>
        <v>BIS37-14</v>
      </c>
      <c r="H1065" s="16"/>
      <c r="I1065" s="16" t="str">
        <f t="shared" si="5"/>
        <v>collected</v>
      </c>
      <c r="J1065" s="16" t="str">
        <f t="shared" si="6"/>
        <v>N</v>
      </c>
      <c r="K1065" s="16"/>
      <c r="L1065" s="16"/>
    </row>
    <row r="1066">
      <c r="A1066" s="40" t="s">
        <v>1526</v>
      </c>
      <c r="B1066" s="10" t="str">
        <f t="shared" si="1"/>
        <v>isotope</v>
      </c>
      <c r="C1066" s="49" t="str">
        <f t="shared" si="2"/>
        <v>S16102IS1</v>
      </c>
      <c r="D1066" s="6">
        <v>37.0</v>
      </c>
      <c r="E1066" s="10" t="str">
        <f t="shared" si="3"/>
        <v>BIS37</v>
      </c>
      <c r="F1066" s="13">
        <v>15.0</v>
      </c>
      <c r="G1066" s="10" t="str">
        <f t="shared" si="8"/>
        <v>BIS37-15</v>
      </c>
      <c r="H1066" s="16"/>
      <c r="I1066" s="16" t="str">
        <f t="shared" si="5"/>
        <v>collected</v>
      </c>
      <c r="J1066" s="16" t="str">
        <f t="shared" si="6"/>
        <v>N</v>
      </c>
      <c r="K1066" s="16"/>
      <c r="L1066" s="16"/>
    </row>
    <row r="1067">
      <c r="A1067" s="40" t="s">
        <v>1529</v>
      </c>
      <c r="B1067" s="10" t="str">
        <f t="shared" si="1"/>
        <v>isotope</v>
      </c>
      <c r="C1067" s="49" t="str">
        <f t="shared" si="2"/>
        <v>S16107IS1</v>
      </c>
      <c r="D1067" s="6">
        <v>37.0</v>
      </c>
      <c r="E1067" s="10" t="str">
        <f t="shared" si="3"/>
        <v>BIS37</v>
      </c>
      <c r="F1067" s="13">
        <v>16.0</v>
      </c>
      <c r="G1067" s="10" t="str">
        <f t="shared" si="8"/>
        <v>BIS37-16</v>
      </c>
      <c r="H1067" s="16"/>
      <c r="I1067" s="16" t="str">
        <f t="shared" si="5"/>
        <v>collected</v>
      </c>
      <c r="J1067" s="16" t="str">
        <f t="shared" si="6"/>
        <v>N</v>
      </c>
      <c r="K1067" s="16"/>
      <c r="L1067" s="16"/>
    </row>
    <row r="1068">
      <c r="A1068" s="40" t="s">
        <v>1530</v>
      </c>
      <c r="B1068" s="10" t="str">
        <f t="shared" si="1"/>
        <v>isotope</v>
      </c>
      <c r="C1068" s="49" t="str">
        <f t="shared" si="2"/>
        <v>S16106IS1</v>
      </c>
      <c r="D1068" s="6">
        <v>37.0</v>
      </c>
      <c r="E1068" s="10" t="str">
        <f t="shared" si="3"/>
        <v>BIS37</v>
      </c>
      <c r="F1068" s="13">
        <v>17.0</v>
      </c>
      <c r="G1068" s="10" t="str">
        <f t="shared" si="8"/>
        <v>BIS37-17</v>
      </c>
      <c r="H1068" s="16"/>
      <c r="I1068" s="16" t="str">
        <f t="shared" si="5"/>
        <v>collected</v>
      </c>
      <c r="J1068" s="16" t="str">
        <f t="shared" si="6"/>
        <v>N</v>
      </c>
      <c r="K1068" s="16"/>
      <c r="L1068" s="16"/>
    </row>
    <row r="1069">
      <c r="A1069" s="40" t="s">
        <v>1531</v>
      </c>
      <c r="B1069" s="10" t="str">
        <f t="shared" si="1"/>
        <v>isotope</v>
      </c>
      <c r="C1069" s="49" t="str">
        <f t="shared" si="2"/>
        <v>S16105IS1</v>
      </c>
      <c r="D1069" s="6">
        <v>37.0</v>
      </c>
      <c r="E1069" s="10" t="str">
        <f t="shared" si="3"/>
        <v>BIS37</v>
      </c>
      <c r="F1069" s="13">
        <v>18.0</v>
      </c>
      <c r="G1069" s="10" t="str">
        <f t="shared" si="8"/>
        <v>BIS37-18</v>
      </c>
      <c r="H1069" s="16"/>
      <c r="I1069" s="16" t="str">
        <f t="shared" si="5"/>
        <v>collected</v>
      </c>
      <c r="J1069" s="16" t="str">
        <f t="shared" si="6"/>
        <v>N</v>
      </c>
      <c r="K1069" s="16"/>
      <c r="L1069" s="16"/>
    </row>
    <row r="1070">
      <c r="A1070" s="40" t="s">
        <v>1532</v>
      </c>
      <c r="B1070" s="10" t="str">
        <f t="shared" si="1"/>
        <v>isotope</v>
      </c>
      <c r="C1070" s="49" t="str">
        <f t="shared" si="2"/>
        <v>S16101IS1</v>
      </c>
      <c r="D1070" s="6">
        <v>37.0</v>
      </c>
      <c r="E1070" s="10" t="str">
        <f t="shared" si="3"/>
        <v>BIS37</v>
      </c>
      <c r="F1070" s="13">
        <v>19.0</v>
      </c>
      <c r="G1070" s="10" t="str">
        <f t="shared" si="8"/>
        <v>BIS37-19</v>
      </c>
      <c r="H1070" s="16"/>
      <c r="I1070" s="16" t="str">
        <f t="shared" si="5"/>
        <v>collected</v>
      </c>
      <c r="J1070" s="16" t="str">
        <f t="shared" si="6"/>
        <v>N</v>
      </c>
      <c r="K1070" s="16"/>
      <c r="L1070" s="16"/>
    </row>
    <row r="1071">
      <c r="A1071" s="40" t="s">
        <v>1534</v>
      </c>
      <c r="B1071" s="10" t="str">
        <f t="shared" si="1"/>
        <v>isotope</v>
      </c>
      <c r="C1071" s="49" t="str">
        <f t="shared" si="2"/>
        <v>S16103IS1</v>
      </c>
      <c r="D1071" s="6">
        <v>37.0</v>
      </c>
      <c r="E1071" s="10" t="str">
        <f t="shared" si="3"/>
        <v>BIS37</v>
      </c>
      <c r="F1071" s="13">
        <v>20.0</v>
      </c>
      <c r="G1071" s="10" t="str">
        <f t="shared" si="8"/>
        <v>BIS37-20</v>
      </c>
      <c r="H1071" s="16"/>
      <c r="I1071" s="16" t="str">
        <f t="shared" si="5"/>
        <v>collected</v>
      </c>
      <c r="J1071" s="16" t="str">
        <f t="shared" si="6"/>
        <v>N</v>
      </c>
      <c r="K1071" s="16"/>
      <c r="L1071" s="16"/>
    </row>
    <row r="1072">
      <c r="A1072" s="40" t="s">
        <v>1536</v>
      </c>
      <c r="B1072" s="10" t="str">
        <f t="shared" si="1"/>
        <v>isotope</v>
      </c>
      <c r="C1072" s="49" t="str">
        <f t="shared" si="2"/>
        <v>S16104IS1</v>
      </c>
      <c r="D1072" s="6">
        <v>37.0</v>
      </c>
      <c r="E1072" s="10" t="str">
        <f t="shared" si="3"/>
        <v>BIS37</v>
      </c>
      <c r="F1072" s="13">
        <v>21.0</v>
      </c>
      <c r="G1072" s="10" t="str">
        <f t="shared" si="8"/>
        <v>BIS37-21</v>
      </c>
      <c r="H1072" s="16"/>
      <c r="I1072" s="16" t="str">
        <f t="shared" si="5"/>
        <v>collected</v>
      </c>
      <c r="J1072" s="16" t="str">
        <f t="shared" si="6"/>
        <v>N</v>
      </c>
      <c r="K1072" s="16"/>
      <c r="L1072" s="16"/>
    </row>
    <row r="1073">
      <c r="A1073" s="40" t="s">
        <v>1537</v>
      </c>
      <c r="B1073" s="10" t="str">
        <f t="shared" si="1"/>
        <v>isotope</v>
      </c>
      <c r="C1073" s="49" t="str">
        <f t="shared" si="2"/>
        <v>S16363IS1</v>
      </c>
      <c r="D1073" s="6">
        <v>37.0</v>
      </c>
      <c r="E1073" s="10" t="str">
        <f t="shared" si="3"/>
        <v>BIS37</v>
      </c>
      <c r="F1073" s="13">
        <v>22.0</v>
      </c>
      <c r="G1073" s="10" t="str">
        <f t="shared" si="8"/>
        <v>BIS37-22</v>
      </c>
      <c r="H1073" s="16"/>
      <c r="I1073" s="16" t="str">
        <f t="shared" si="5"/>
        <v>collected</v>
      </c>
      <c r="J1073" s="16" t="str">
        <f t="shared" si="6"/>
        <v>N</v>
      </c>
      <c r="K1073" s="16"/>
      <c r="L1073" s="16"/>
    </row>
    <row r="1074">
      <c r="A1074" s="40" t="s">
        <v>1538</v>
      </c>
      <c r="B1074" s="10" t="str">
        <f t="shared" si="1"/>
        <v>isotope</v>
      </c>
      <c r="C1074" s="49" t="str">
        <f t="shared" si="2"/>
        <v>S16362IS1</v>
      </c>
      <c r="D1074" s="6">
        <v>37.0</v>
      </c>
      <c r="E1074" s="10" t="str">
        <f t="shared" si="3"/>
        <v>BIS37</v>
      </c>
      <c r="F1074" s="13">
        <v>23.0</v>
      </c>
      <c r="G1074" s="10" t="str">
        <f t="shared" si="8"/>
        <v>BIS37-23</v>
      </c>
      <c r="H1074" s="16"/>
      <c r="I1074" s="16" t="str">
        <f t="shared" si="5"/>
        <v>collected</v>
      </c>
      <c r="J1074" s="16" t="str">
        <f t="shared" si="6"/>
        <v>N</v>
      </c>
      <c r="K1074" s="16"/>
      <c r="L1074" s="16"/>
    </row>
    <row r="1075">
      <c r="A1075" s="40" t="s">
        <v>1539</v>
      </c>
      <c r="B1075" s="10" t="str">
        <f t="shared" si="1"/>
        <v>isotope</v>
      </c>
      <c r="C1075" s="49" t="str">
        <f t="shared" si="2"/>
        <v>S16364IS1</v>
      </c>
      <c r="D1075" s="6">
        <v>37.0</v>
      </c>
      <c r="E1075" s="10" t="str">
        <f t="shared" si="3"/>
        <v>BIS37</v>
      </c>
      <c r="F1075" s="13">
        <v>24.0</v>
      </c>
      <c r="G1075" s="10" t="str">
        <f t="shared" si="8"/>
        <v>BIS37-24</v>
      </c>
      <c r="H1075" s="16"/>
      <c r="I1075" s="16" t="str">
        <f t="shared" si="5"/>
        <v>collected</v>
      </c>
      <c r="J1075" s="16" t="str">
        <f t="shared" si="6"/>
        <v>N</v>
      </c>
      <c r="K1075" s="16"/>
      <c r="L1075" s="16"/>
    </row>
    <row r="1076">
      <c r="A1076" s="40" t="s">
        <v>1540</v>
      </c>
      <c r="B1076" s="10" t="str">
        <f t="shared" si="1"/>
        <v>isotope</v>
      </c>
      <c r="C1076" s="49" t="str">
        <f t="shared" si="2"/>
        <v>S16361IS1</v>
      </c>
      <c r="D1076" s="6">
        <v>37.0</v>
      </c>
      <c r="E1076" s="10" t="str">
        <f t="shared" si="3"/>
        <v>BIS37</v>
      </c>
      <c r="F1076" s="13">
        <v>25.0</v>
      </c>
      <c r="G1076" s="10" t="str">
        <f t="shared" si="8"/>
        <v>BIS37-25</v>
      </c>
      <c r="H1076" s="16"/>
      <c r="I1076" s="16" t="str">
        <f t="shared" si="5"/>
        <v>collected</v>
      </c>
      <c r="J1076" s="16" t="str">
        <f t="shared" si="6"/>
        <v>N</v>
      </c>
      <c r="K1076" s="16"/>
      <c r="L1076" s="16"/>
    </row>
    <row r="1077">
      <c r="A1077" s="40" t="s">
        <v>1542</v>
      </c>
      <c r="B1077" s="10" t="str">
        <f t="shared" si="1"/>
        <v>isotope</v>
      </c>
      <c r="C1077" s="49" t="str">
        <f t="shared" si="2"/>
        <v>S17391IS1</v>
      </c>
      <c r="D1077" s="6">
        <v>37.0</v>
      </c>
      <c r="E1077" s="10" t="str">
        <f t="shared" si="3"/>
        <v>BIS37</v>
      </c>
      <c r="F1077" s="13">
        <v>26.0</v>
      </c>
      <c r="G1077" s="10" t="str">
        <f t="shared" si="8"/>
        <v>BIS37-26</v>
      </c>
      <c r="H1077" s="16"/>
      <c r="I1077" s="16" t="str">
        <f t="shared" si="5"/>
        <v>collected</v>
      </c>
      <c r="J1077" s="16" t="str">
        <f t="shared" si="6"/>
        <v>N</v>
      </c>
      <c r="K1077" s="16"/>
      <c r="L1077" s="16"/>
    </row>
    <row r="1078">
      <c r="A1078" s="40" t="s">
        <v>1544</v>
      </c>
      <c r="B1078" s="10" t="str">
        <f t="shared" si="1"/>
        <v>isotope</v>
      </c>
      <c r="C1078" s="49" t="str">
        <f t="shared" si="2"/>
        <v>S16391IS1</v>
      </c>
      <c r="D1078" s="6">
        <v>37.0</v>
      </c>
      <c r="E1078" s="10" t="str">
        <f t="shared" si="3"/>
        <v>BIS37</v>
      </c>
      <c r="F1078" s="13">
        <v>27.0</v>
      </c>
      <c r="G1078" s="10" t="str">
        <f t="shared" si="8"/>
        <v>BIS37-27</v>
      </c>
      <c r="H1078" s="16"/>
      <c r="I1078" s="16" t="str">
        <f t="shared" si="5"/>
        <v>collected</v>
      </c>
      <c r="J1078" s="16" t="str">
        <f t="shared" si="6"/>
        <v>N</v>
      </c>
      <c r="K1078" s="16"/>
      <c r="L1078" s="16"/>
    </row>
    <row r="1079">
      <c r="A1079" s="40" t="s">
        <v>1545</v>
      </c>
      <c r="B1079" s="10" t="str">
        <f t="shared" si="1"/>
        <v>isotope</v>
      </c>
      <c r="C1079" s="49" t="str">
        <f t="shared" si="2"/>
        <v>S17011IS1</v>
      </c>
      <c r="D1079" s="6">
        <v>37.0</v>
      </c>
      <c r="E1079" s="10" t="str">
        <f t="shared" si="3"/>
        <v>BIS37</v>
      </c>
      <c r="F1079" s="13">
        <v>28.0</v>
      </c>
      <c r="G1079" s="10" t="str">
        <f t="shared" si="8"/>
        <v>BIS37-28</v>
      </c>
      <c r="H1079" s="16"/>
      <c r="I1079" s="16" t="str">
        <f t="shared" si="5"/>
        <v>collected</v>
      </c>
      <c r="J1079" s="16" t="str">
        <f t="shared" si="6"/>
        <v>N</v>
      </c>
      <c r="K1079" s="16"/>
      <c r="L1079" s="16"/>
    </row>
    <row r="1080">
      <c r="A1080" s="40" t="s">
        <v>1547</v>
      </c>
      <c r="B1080" s="10" t="str">
        <f t="shared" si="1"/>
        <v>isotope</v>
      </c>
      <c r="C1080" s="49" t="str">
        <f t="shared" si="2"/>
        <v>S16811IS1</v>
      </c>
      <c r="D1080" s="6">
        <v>37.0</v>
      </c>
      <c r="E1080" s="10" t="str">
        <f t="shared" si="3"/>
        <v>BIS37</v>
      </c>
      <c r="F1080" s="13">
        <v>29.0</v>
      </c>
      <c r="G1080" s="10" t="str">
        <f t="shared" si="8"/>
        <v>BIS37-29</v>
      </c>
      <c r="H1080" s="16"/>
      <c r="I1080" s="16" t="str">
        <f t="shared" si="5"/>
        <v>collected</v>
      </c>
      <c r="J1080" s="16" t="str">
        <f t="shared" si="6"/>
        <v>N</v>
      </c>
      <c r="K1080" s="16"/>
      <c r="L1080" s="16"/>
    </row>
    <row r="1081">
      <c r="A1081" s="40" t="s">
        <v>1549</v>
      </c>
      <c r="B1081" s="10" t="str">
        <f t="shared" si="1"/>
        <v>isotope</v>
      </c>
      <c r="C1081" s="49" t="str">
        <f t="shared" si="2"/>
        <v>S16815IS1</v>
      </c>
      <c r="D1081" s="6">
        <v>37.0</v>
      </c>
      <c r="E1081" s="10" t="str">
        <f t="shared" si="3"/>
        <v>BIS37</v>
      </c>
      <c r="F1081" s="13">
        <v>30.0</v>
      </c>
      <c r="G1081" s="10" t="str">
        <f t="shared" si="8"/>
        <v>BIS37-30</v>
      </c>
      <c r="H1081" s="16"/>
      <c r="I1081" s="16" t="str">
        <f t="shared" si="5"/>
        <v>collected</v>
      </c>
      <c r="J1081" s="16" t="str">
        <f t="shared" si="6"/>
        <v>N</v>
      </c>
      <c r="K1081" s="16"/>
      <c r="L1081" s="16"/>
    </row>
    <row r="1082">
      <c r="A1082" s="40" t="s">
        <v>1550</v>
      </c>
      <c r="B1082" s="10" t="str">
        <f t="shared" si="1"/>
        <v>isotope</v>
      </c>
      <c r="C1082" s="49" t="str">
        <f t="shared" si="2"/>
        <v>S16818IS1</v>
      </c>
      <c r="D1082" s="6">
        <v>37.0</v>
      </c>
      <c r="E1082" s="10" t="str">
        <f t="shared" si="3"/>
        <v>BIS37</v>
      </c>
      <c r="F1082" s="13">
        <v>31.0</v>
      </c>
      <c r="G1082" s="10" t="str">
        <f t="shared" si="8"/>
        <v>BIS37-31</v>
      </c>
      <c r="H1082" s="16"/>
      <c r="I1082" s="16" t="str">
        <f t="shared" si="5"/>
        <v>collected</v>
      </c>
      <c r="J1082" s="16" t="str">
        <f t="shared" si="6"/>
        <v>N</v>
      </c>
      <c r="K1082" s="16"/>
      <c r="L1082" s="16"/>
    </row>
    <row r="1083">
      <c r="A1083" s="40" t="s">
        <v>1552</v>
      </c>
      <c r="B1083" s="10" t="str">
        <f t="shared" si="1"/>
        <v>isotope</v>
      </c>
      <c r="C1083" s="49" t="str">
        <f t="shared" si="2"/>
        <v>S16816IS1</v>
      </c>
      <c r="D1083" s="6">
        <v>37.0</v>
      </c>
      <c r="E1083" s="10" t="str">
        <f t="shared" si="3"/>
        <v>BIS37</v>
      </c>
      <c r="F1083" s="13">
        <v>32.0</v>
      </c>
      <c r="G1083" s="10" t="str">
        <f t="shared" si="8"/>
        <v>BIS37-32</v>
      </c>
      <c r="H1083" s="16"/>
      <c r="I1083" s="16" t="str">
        <f t="shared" si="5"/>
        <v>collected</v>
      </c>
      <c r="J1083" s="16" t="str">
        <f t="shared" si="6"/>
        <v>N</v>
      </c>
      <c r="K1083" s="16"/>
      <c r="L1083" s="16"/>
    </row>
    <row r="1084">
      <c r="A1084" s="40" t="s">
        <v>1554</v>
      </c>
      <c r="B1084" s="10" t="str">
        <f t="shared" si="1"/>
        <v>isotope</v>
      </c>
      <c r="C1084" s="49" t="str">
        <f t="shared" si="2"/>
        <v>S16820IS1</v>
      </c>
      <c r="D1084" s="6">
        <v>37.0</v>
      </c>
      <c r="E1084" s="10" t="str">
        <f t="shared" si="3"/>
        <v>BIS37</v>
      </c>
      <c r="F1084" s="13">
        <v>33.0</v>
      </c>
      <c r="G1084" s="10" t="str">
        <f t="shared" si="8"/>
        <v>BIS37-33</v>
      </c>
      <c r="H1084" s="16"/>
      <c r="I1084" s="16" t="str">
        <f t="shared" si="5"/>
        <v>collected</v>
      </c>
      <c r="J1084" s="16" t="str">
        <f t="shared" si="6"/>
        <v>N</v>
      </c>
      <c r="K1084" s="16"/>
      <c r="L1084" s="16"/>
    </row>
    <row r="1085">
      <c r="A1085" s="40" t="s">
        <v>1555</v>
      </c>
      <c r="B1085" s="10" t="str">
        <f t="shared" si="1"/>
        <v>isotope</v>
      </c>
      <c r="C1085" s="49" t="str">
        <f t="shared" si="2"/>
        <v>S16819IS1</v>
      </c>
      <c r="D1085" s="6">
        <v>37.0</v>
      </c>
      <c r="E1085" s="10" t="str">
        <f t="shared" si="3"/>
        <v>BIS37</v>
      </c>
      <c r="F1085" s="13">
        <v>34.0</v>
      </c>
      <c r="G1085" s="10" t="str">
        <f t="shared" si="8"/>
        <v>BIS37-34</v>
      </c>
      <c r="H1085" s="16"/>
      <c r="I1085" s="16" t="str">
        <f t="shared" si="5"/>
        <v>collected</v>
      </c>
      <c r="J1085" s="16" t="str">
        <f t="shared" si="6"/>
        <v>N</v>
      </c>
      <c r="K1085" s="16"/>
      <c r="L1085" s="16"/>
    </row>
    <row r="1086">
      <c r="A1086" s="40" t="s">
        <v>1556</v>
      </c>
      <c r="B1086" s="10" t="str">
        <f t="shared" si="1"/>
        <v>isotope</v>
      </c>
      <c r="C1086" s="49" t="str">
        <f t="shared" si="2"/>
        <v>S16813IS1</v>
      </c>
      <c r="D1086" s="6">
        <v>37.0</v>
      </c>
      <c r="E1086" s="10" t="str">
        <f t="shared" si="3"/>
        <v>BIS37</v>
      </c>
      <c r="F1086" s="13">
        <v>35.0</v>
      </c>
      <c r="G1086" s="10" t="str">
        <f t="shared" si="8"/>
        <v>BIS37-35</v>
      </c>
      <c r="H1086" s="16"/>
      <c r="I1086" s="16" t="str">
        <f t="shared" si="5"/>
        <v>collected</v>
      </c>
      <c r="J1086" s="16" t="str">
        <f t="shared" si="6"/>
        <v>N</v>
      </c>
      <c r="K1086" s="16"/>
      <c r="L1086" s="16"/>
    </row>
    <row r="1087">
      <c r="A1087" s="40" t="s">
        <v>1558</v>
      </c>
      <c r="B1087" s="10" t="str">
        <f t="shared" si="1"/>
        <v>isotope</v>
      </c>
      <c r="C1087" s="49" t="str">
        <f t="shared" si="2"/>
        <v>S16812IS1</v>
      </c>
      <c r="D1087" s="6">
        <v>37.0</v>
      </c>
      <c r="E1087" s="10" t="str">
        <f t="shared" si="3"/>
        <v>BIS37</v>
      </c>
      <c r="F1087" s="13">
        <v>36.0</v>
      </c>
      <c r="G1087" s="10" t="str">
        <f t="shared" si="8"/>
        <v>BIS37-36</v>
      </c>
      <c r="H1087" s="16"/>
      <c r="I1087" s="16" t="str">
        <f t="shared" si="5"/>
        <v>collected</v>
      </c>
      <c r="J1087" s="16" t="str">
        <f t="shared" si="6"/>
        <v>N</v>
      </c>
      <c r="K1087" s="16"/>
      <c r="L1087" s="16"/>
    </row>
    <row r="1088">
      <c r="A1088" s="40" t="s">
        <v>1560</v>
      </c>
      <c r="B1088" s="10" t="str">
        <f t="shared" si="1"/>
        <v>isotope</v>
      </c>
      <c r="C1088" s="49" t="str">
        <f t="shared" si="2"/>
        <v>S16817IS1</v>
      </c>
      <c r="D1088" s="6">
        <v>37.0</v>
      </c>
      <c r="E1088" s="10" t="str">
        <f t="shared" si="3"/>
        <v>BIS37</v>
      </c>
      <c r="F1088" s="13">
        <v>37.0</v>
      </c>
      <c r="G1088" s="10" t="str">
        <f t="shared" si="8"/>
        <v>BIS37-37</v>
      </c>
      <c r="H1088" s="16"/>
      <c r="I1088" s="16" t="str">
        <f t="shared" si="5"/>
        <v>collected</v>
      </c>
      <c r="J1088" s="16" t="str">
        <f t="shared" si="6"/>
        <v>N</v>
      </c>
      <c r="K1088" s="16"/>
      <c r="L1088" s="16"/>
    </row>
    <row r="1089">
      <c r="A1089" s="40" t="s">
        <v>1561</v>
      </c>
      <c r="B1089" s="10" t="str">
        <f t="shared" si="1"/>
        <v>isotope</v>
      </c>
      <c r="C1089" s="49" t="str">
        <f t="shared" si="2"/>
        <v>S16814IS1</v>
      </c>
      <c r="D1089" s="6">
        <v>37.0</v>
      </c>
      <c r="E1089" s="10" t="str">
        <f t="shared" si="3"/>
        <v>BIS37</v>
      </c>
      <c r="F1089" s="13">
        <v>38.0</v>
      </c>
      <c r="G1089" s="10" t="str">
        <f t="shared" si="8"/>
        <v>BIS37-38</v>
      </c>
      <c r="H1089" s="16"/>
      <c r="I1089" s="16" t="str">
        <f t="shared" si="5"/>
        <v>collected</v>
      </c>
      <c r="J1089" s="16" t="str">
        <f t="shared" si="6"/>
        <v>N</v>
      </c>
      <c r="K1089" s="16"/>
      <c r="L1089" s="16"/>
    </row>
    <row r="1090">
      <c r="A1090" s="40" t="s">
        <v>1563</v>
      </c>
      <c r="B1090" s="10" t="str">
        <f t="shared" si="1"/>
        <v>isotope</v>
      </c>
      <c r="C1090" s="49" t="str">
        <f t="shared" si="2"/>
        <v>S17138IS1</v>
      </c>
      <c r="D1090" s="6">
        <v>37.0</v>
      </c>
      <c r="E1090" s="10" t="str">
        <f t="shared" si="3"/>
        <v>BIS37</v>
      </c>
      <c r="F1090" s="13">
        <v>39.0</v>
      </c>
      <c r="G1090" s="10" t="str">
        <f t="shared" si="8"/>
        <v>BIS37-39</v>
      </c>
      <c r="H1090" s="16"/>
      <c r="I1090" s="16" t="str">
        <f t="shared" si="5"/>
        <v>collected</v>
      </c>
      <c r="J1090" s="16" t="str">
        <f t="shared" si="6"/>
        <v>N</v>
      </c>
      <c r="K1090" s="16"/>
      <c r="L1090" s="16"/>
    </row>
    <row r="1091">
      <c r="A1091" s="40" t="s">
        <v>1564</v>
      </c>
      <c r="B1091" s="10" t="str">
        <f t="shared" si="1"/>
        <v>isotope</v>
      </c>
      <c r="C1091" s="49" t="str">
        <f t="shared" si="2"/>
        <v>S17131IS1</v>
      </c>
      <c r="D1091" s="6">
        <v>37.0</v>
      </c>
      <c r="E1091" s="10" t="str">
        <f t="shared" si="3"/>
        <v>BIS37</v>
      </c>
      <c r="F1091" s="13">
        <v>40.0</v>
      </c>
      <c r="G1091" s="10" t="str">
        <f t="shared" si="8"/>
        <v>BIS37-40</v>
      </c>
      <c r="H1091" s="16"/>
      <c r="I1091" s="16" t="str">
        <f t="shared" si="5"/>
        <v>collected</v>
      </c>
      <c r="J1091" s="16" t="str">
        <f t="shared" si="6"/>
        <v>N</v>
      </c>
      <c r="K1091" s="16"/>
      <c r="L1091" s="16"/>
    </row>
    <row r="1092">
      <c r="A1092" s="40" t="s">
        <v>1565</v>
      </c>
      <c r="B1092" s="10" t="str">
        <f t="shared" si="1"/>
        <v>isotope</v>
      </c>
      <c r="C1092" s="49" t="str">
        <f t="shared" si="2"/>
        <v>S17133IS1</v>
      </c>
      <c r="D1092" s="6">
        <v>37.0</v>
      </c>
      <c r="E1092" s="10" t="str">
        <f t="shared" si="3"/>
        <v>BIS37</v>
      </c>
      <c r="F1092" s="13">
        <v>41.0</v>
      </c>
      <c r="G1092" s="10" t="str">
        <f t="shared" si="8"/>
        <v>BIS37-41</v>
      </c>
      <c r="H1092" s="16"/>
      <c r="I1092" s="16" t="str">
        <f t="shared" si="5"/>
        <v>collected</v>
      </c>
      <c r="J1092" s="16" t="str">
        <f t="shared" si="6"/>
        <v>N</v>
      </c>
      <c r="K1092" s="16"/>
      <c r="L1092" s="16"/>
    </row>
    <row r="1093">
      <c r="A1093" s="40" t="s">
        <v>1566</v>
      </c>
      <c r="B1093" s="10" t="str">
        <f t="shared" si="1"/>
        <v>isotope</v>
      </c>
      <c r="C1093" s="49" t="str">
        <f t="shared" si="2"/>
        <v>S17135IS1</v>
      </c>
      <c r="D1093" s="6">
        <v>37.0</v>
      </c>
      <c r="E1093" s="10" t="str">
        <f t="shared" si="3"/>
        <v>BIS37</v>
      </c>
      <c r="F1093" s="13">
        <v>42.0</v>
      </c>
      <c r="G1093" s="10" t="str">
        <f t="shared" si="8"/>
        <v>BIS37-42</v>
      </c>
      <c r="H1093" s="16"/>
      <c r="I1093" s="16" t="str">
        <f t="shared" si="5"/>
        <v>collected</v>
      </c>
      <c r="J1093" s="16" t="str">
        <f t="shared" si="6"/>
        <v>N</v>
      </c>
      <c r="K1093" s="16"/>
      <c r="L1093" s="16"/>
    </row>
    <row r="1094">
      <c r="A1094" s="40" t="s">
        <v>1567</v>
      </c>
      <c r="B1094" s="10" t="str">
        <f t="shared" si="1"/>
        <v>isotope</v>
      </c>
      <c r="C1094" s="49" t="str">
        <f t="shared" si="2"/>
        <v>S17136IS1</v>
      </c>
      <c r="D1094" s="6">
        <v>37.0</v>
      </c>
      <c r="E1094" s="10" t="str">
        <f t="shared" si="3"/>
        <v>BIS37</v>
      </c>
      <c r="F1094" s="13">
        <v>43.0</v>
      </c>
      <c r="G1094" s="10" t="str">
        <f t="shared" si="8"/>
        <v>BIS37-43</v>
      </c>
      <c r="H1094" s="16"/>
      <c r="I1094" s="16" t="str">
        <f t="shared" si="5"/>
        <v>collected</v>
      </c>
      <c r="J1094" s="16" t="str">
        <f t="shared" si="6"/>
        <v>N</v>
      </c>
      <c r="K1094" s="16"/>
      <c r="L1094" s="16"/>
    </row>
    <row r="1095">
      <c r="A1095" s="40" t="s">
        <v>1568</v>
      </c>
      <c r="B1095" s="10" t="str">
        <f t="shared" si="1"/>
        <v>isotope</v>
      </c>
      <c r="C1095" s="49" t="str">
        <f t="shared" si="2"/>
        <v>S17139IS1</v>
      </c>
      <c r="D1095" s="6">
        <v>37.0</v>
      </c>
      <c r="E1095" s="10" t="str">
        <f t="shared" si="3"/>
        <v>BIS37</v>
      </c>
      <c r="F1095" s="13">
        <v>44.0</v>
      </c>
      <c r="G1095" s="10" t="str">
        <f t="shared" si="8"/>
        <v>BIS37-44</v>
      </c>
      <c r="H1095" s="16"/>
      <c r="I1095" s="16" t="str">
        <f t="shared" si="5"/>
        <v>collected</v>
      </c>
      <c r="J1095" s="16" t="str">
        <f t="shared" si="6"/>
        <v>N</v>
      </c>
      <c r="K1095" s="16"/>
      <c r="L1095" s="16"/>
    </row>
    <row r="1096">
      <c r="A1096" s="40" t="s">
        <v>1571</v>
      </c>
      <c r="B1096" s="10" t="str">
        <f t="shared" si="1"/>
        <v>isotope</v>
      </c>
      <c r="C1096" s="49" t="str">
        <f t="shared" si="2"/>
        <v>S17140IS1</v>
      </c>
      <c r="D1096" s="6">
        <v>37.0</v>
      </c>
      <c r="E1096" s="10" t="str">
        <f t="shared" si="3"/>
        <v>BIS37</v>
      </c>
      <c r="F1096" s="13">
        <v>45.0</v>
      </c>
      <c r="G1096" s="10" t="str">
        <f t="shared" si="8"/>
        <v>BIS37-45</v>
      </c>
      <c r="H1096" s="16"/>
      <c r="I1096" s="16" t="str">
        <f t="shared" si="5"/>
        <v>collected</v>
      </c>
      <c r="J1096" s="16" t="str">
        <f t="shared" si="6"/>
        <v>N</v>
      </c>
      <c r="K1096" s="16"/>
      <c r="L1096" s="16"/>
    </row>
    <row r="1097">
      <c r="A1097" s="40" t="s">
        <v>1572</v>
      </c>
      <c r="B1097" s="10" t="str">
        <f t="shared" si="1"/>
        <v>isotope</v>
      </c>
      <c r="C1097" s="49" t="str">
        <f t="shared" si="2"/>
        <v>S17137IS1</v>
      </c>
      <c r="D1097" s="6">
        <v>37.0</v>
      </c>
      <c r="E1097" s="10" t="str">
        <f t="shared" si="3"/>
        <v>BIS37</v>
      </c>
      <c r="F1097" s="13">
        <v>46.0</v>
      </c>
      <c r="G1097" s="10" t="str">
        <f t="shared" si="8"/>
        <v>BIS37-46</v>
      </c>
      <c r="H1097" s="16"/>
      <c r="I1097" s="16" t="str">
        <f t="shared" si="5"/>
        <v>collected</v>
      </c>
      <c r="J1097" s="16" t="str">
        <f t="shared" si="6"/>
        <v>N</v>
      </c>
      <c r="K1097" s="16"/>
      <c r="L1097" s="16"/>
    </row>
    <row r="1098">
      <c r="A1098" s="40" t="s">
        <v>1574</v>
      </c>
      <c r="B1098" s="10" t="str">
        <f t="shared" si="1"/>
        <v>isotope</v>
      </c>
      <c r="C1098" s="49" t="str">
        <f t="shared" si="2"/>
        <v>S17134IS1</v>
      </c>
      <c r="D1098" s="6">
        <v>37.0</v>
      </c>
      <c r="E1098" s="10" t="str">
        <f t="shared" si="3"/>
        <v>BIS37</v>
      </c>
      <c r="F1098" s="13">
        <v>47.0</v>
      </c>
      <c r="G1098" s="10" t="str">
        <f t="shared" si="8"/>
        <v>BIS37-47</v>
      </c>
      <c r="H1098" s="16"/>
      <c r="I1098" s="16" t="str">
        <f t="shared" si="5"/>
        <v>collected</v>
      </c>
      <c r="J1098" s="16" t="str">
        <f t="shared" si="6"/>
        <v>N</v>
      </c>
      <c r="K1098" s="16"/>
      <c r="L1098" s="16"/>
    </row>
    <row r="1099">
      <c r="A1099" s="40" t="s">
        <v>1576</v>
      </c>
      <c r="B1099" s="10" t="str">
        <f t="shared" si="1"/>
        <v>isotope</v>
      </c>
      <c r="C1099" s="49" t="str">
        <f t="shared" si="2"/>
        <v>S17132IS1</v>
      </c>
      <c r="D1099" s="6">
        <v>37.0</v>
      </c>
      <c r="E1099" s="10" t="str">
        <f t="shared" si="3"/>
        <v>BIS37</v>
      </c>
      <c r="F1099" s="13">
        <v>48.0</v>
      </c>
      <c r="G1099" s="10" t="str">
        <f t="shared" si="8"/>
        <v>BIS37-48</v>
      </c>
      <c r="H1099" s="16"/>
      <c r="I1099" s="16" t="str">
        <f t="shared" si="5"/>
        <v>collected</v>
      </c>
      <c r="J1099" s="16" t="str">
        <f t="shared" si="6"/>
        <v>N</v>
      </c>
      <c r="K1099" s="16"/>
      <c r="L1099" s="16"/>
    </row>
    <row r="1100">
      <c r="A1100" s="40" t="s">
        <v>1578</v>
      </c>
      <c r="B1100" s="10" t="str">
        <f t="shared" si="1"/>
        <v>isotope</v>
      </c>
      <c r="C1100" s="49" t="str">
        <f t="shared" si="2"/>
        <v>S17227IS1</v>
      </c>
      <c r="D1100" s="6">
        <v>36.0</v>
      </c>
      <c r="E1100" s="10" t="str">
        <f t="shared" si="3"/>
        <v>BIS36</v>
      </c>
      <c r="F1100" s="13">
        <v>23.0</v>
      </c>
      <c r="G1100" s="10" t="str">
        <f t="shared" si="8"/>
        <v>BIS36-23</v>
      </c>
      <c r="H1100" s="16"/>
      <c r="I1100" s="16" t="str">
        <f t="shared" si="5"/>
        <v>collected</v>
      </c>
      <c r="J1100" s="16" t="str">
        <f t="shared" si="6"/>
        <v>N</v>
      </c>
      <c r="K1100" s="16"/>
      <c r="L1100" s="16"/>
    </row>
    <row r="1101">
      <c r="A1101" s="40" t="s">
        <v>1579</v>
      </c>
      <c r="B1101" s="10" t="str">
        <f t="shared" si="1"/>
        <v>isotope</v>
      </c>
      <c r="C1101" s="49" t="str">
        <f t="shared" si="2"/>
        <v>S17222IS1</v>
      </c>
      <c r="D1101" s="6">
        <v>36.0</v>
      </c>
      <c r="E1101" s="10" t="str">
        <f t="shared" si="3"/>
        <v>BIS36</v>
      </c>
      <c r="F1101" s="13">
        <v>24.0</v>
      </c>
      <c r="G1101" s="10" t="str">
        <f t="shared" si="8"/>
        <v>BIS36-24</v>
      </c>
      <c r="H1101" s="16"/>
      <c r="I1101" s="16" t="str">
        <f t="shared" si="5"/>
        <v>collected</v>
      </c>
      <c r="J1101" s="16" t="str">
        <f t="shared" si="6"/>
        <v>N</v>
      </c>
      <c r="K1101" s="16"/>
      <c r="L1101" s="16"/>
    </row>
    <row r="1102">
      <c r="A1102" s="40" t="s">
        <v>1580</v>
      </c>
      <c r="B1102" s="10" t="str">
        <f t="shared" si="1"/>
        <v>isotope</v>
      </c>
      <c r="C1102" s="49" t="str">
        <f t="shared" si="2"/>
        <v>S17221IS1</v>
      </c>
      <c r="D1102" s="6">
        <v>36.0</v>
      </c>
      <c r="E1102" s="10" t="str">
        <f t="shared" si="3"/>
        <v>BIS36</v>
      </c>
      <c r="F1102" s="13">
        <v>25.0</v>
      </c>
      <c r="G1102" s="10" t="str">
        <f t="shared" si="8"/>
        <v>BIS36-25</v>
      </c>
      <c r="H1102" s="16"/>
      <c r="I1102" s="16" t="str">
        <f t="shared" si="5"/>
        <v>collected</v>
      </c>
      <c r="J1102" s="16" t="str">
        <f t="shared" si="6"/>
        <v>N</v>
      </c>
      <c r="K1102" s="16"/>
      <c r="L1102" s="16"/>
    </row>
    <row r="1103">
      <c r="A1103" s="40" t="s">
        <v>1583</v>
      </c>
      <c r="B1103" s="10" t="str">
        <f t="shared" si="1"/>
        <v>isotope</v>
      </c>
      <c r="C1103" s="49" t="str">
        <f t="shared" si="2"/>
        <v>S17223IS1</v>
      </c>
      <c r="D1103" s="6">
        <v>36.0</v>
      </c>
      <c r="E1103" s="10" t="str">
        <f t="shared" si="3"/>
        <v>BIS36</v>
      </c>
      <c r="F1103" s="13">
        <v>26.0</v>
      </c>
      <c r="G1103" s="10" t="str">
        <f t="shared" si="8"/>
        <v>BIS36-26</v>
      </c>
      <c r="H1103" s="16"/>
      <c r="I1103" s="16" t="str">
        <f t="shared" si="5"/>
        <v>collected</v>
      </c>
      <c r="J1103" s="16" t="str">
        <f t="shared" si="6"/>
        <v>N</v>
      </c>
      <c r="K1103" s="16"/>
      <c r="L1103" s="16"/>
    </row>
    <row r="1104">
      <c r="A1104" s="40" t="s">
        <v>1585</v>
      </c>
      <c r="B1104" s="10" t="str">
        <f t="shared" si="1"/>
        <v>isotope</v>
      </c>
      <c r="C1104" s="49" t="str">
        <f t="shared" si="2"/>
        <v>S17224IS1</v>
      </c>
      <c r="D1104" s="6">
        <v>36.0</v>
      </c>
      <c r="E1104" s="10" t="str">
        <f t="shared" si="3"/>
        <v>BIS36</v>
      </c>
      <c r="F1104" s="13">
        <v>27.0</v>
      </c>
      <c r="G1104" s="10" t="str">
        <f t="shared" si="8"/>
        <v>BIS36-27</v>
      </c>
      <c r="H1104" s="16"/>
      <c r="I1104" s="16" t="str">
        <f t="shared" si="5"/>
        <v>collected</v>
      </c>
      <c r="J1104" s="16" t="str">
        <f t="shared" si="6"/>
        <v>N</v>
      </c>
      <c r="K1104" s="16"/>
      <c r="L1104" s="16"/>
    </row>
    <row r="1105">
      <c r="A1105" s="40" t="s">
        <v>1586</v>
      </c>
      <c r="B1105" s="10" t="str">
        <f t="shared" si="1"/>
        <v>isotope</v>
      </c>
      <c r="C1105" s="49" t="str">
        <f t="shared" si="2"/>
        <v>S17230IS1</v>
      </c>
      <c r="D1105" s="6">
        <v>36.0</v>
      </c>
      <c r="E1105" s="10" t="str">
        <f t="shared" si="3"/>
        <v>BIS36</v>
      </c>
      <c r="F1105" s="13">
        <v>28.0</v>
      </c>
      <c r="G1105" s="10" t="str">
        <f t="shared" si="8"/>
        <v>BIS36-28</v>
      </c>
      <c r="H1105" s="16"/>
      <c r="I1105" s="16" t="str">
        <f t="shared" si="5"/>
        <v>collected</v>
      </c>
      <c r="J1105" s="16" t="str">
        <f t="shared" si="6"/>
        <v>N</v>
      </c>
      <c r="K1105" s="16"/>
      <c r="L1105" s="16"/>
    </row>
    <row r="1106">
      <c r="A1106" s="40" t="s">
        <v>1587</v>
      </c>
      <c r="B1106" s="10" t="str">
        <f t="shared" si="1"/>
        <v>isotope</v>
      </c>
      <c r="C1106" s="49" t="str">
        <f t="shared" si="2"/>
        <v>S17225IS1</v>
      </c>
      <c r="D1106" s="6">
        <v>36.0</v>
      </c>
      <c r="E1106" s="10" t="str">
        <f t="shared" si="3"/>
        <v>BIS36</v>
      </c>
      <c r="F1106" s="13">
        <v>29.0</v>
      </c>
      <c r="G1106" s="10" t="str">
        <f t="shared" si="8"/>
        <v>BIS36-29</v>
      </c>
      <c r="H1106" s="16"/>
      <c r="I1106" s="16" t="str">
        <f t="shared" si="5"/>
        <v>collected</v>
      </c>
      <c r="J1106" s="16" t="str">
        <f t="shared" si="6"/>
        <v>N</v>
      </c>
      <c r="K1106" s="16"/>
      <c r="L1106" s="16"/>
    </row>
    <row r="1107">
      <c r="A1107" s="40" t="s">
        <v>1588</v>
      </c>
      <c r="B1107" s="10" t="str">
        <f t="shared" si="1"/>
        <v>isotope</v>
      </c>
      <c r="C1107" s="49" t="str">
        <f t="shared" si="2"/>
        <v>S17226IS1</v>
      </c>
      <c r="D1107" s="6">
        <v>36.0</v>
      </c>
      <c r="E1107" s="10" t="str">
        <f t="shared" si="3"/>
        <v>BIS36</v>
      </c>
      <c r="F1107" s="13">
        <v>30.0</v>
      </c>
      <c r="G1107" s="10" t="str">
        <f t="shared" si="8"/>
        <v>BIS36-30</v>
      </c>
      <c r="H1107" s="16"/>
      <c r="I1107" s="16" t="str">
        <f t="shared" si="5"/>
        <v>collected</v>
      </c>
      <c r="J1107" s="16" t="str">
        <f t="shared" si="6"/>
        <v>N</v>
      </c>
      <c r="K1107" s="16"/>
      <c r="L1107" s="16"/>
    </row>
    <row r="1108">
      <c r="A1108" s="40" t="s">
        <v>1589</v>
      </c>
      <c r="B1108" s="10" t="str">
        <f t="shared" si="1"/>
        <v>isotope</v>
      </c>
      <c r="C1108" s="49" t="str">
        <f t="shared" si="2"/>
        <v>S17228IS1</v>
      </c>
      <c r="D1108" s="6">
        <v>36.0</v>
      </c>
      <c r="E1108" s="10" t="str">
        <f t="shared" si="3"/>
        <v>BIS36</v>
      </c>
      <c r="F1108" s="13">
        <v>31.0</v>
      </c>
      <c r="G1108" s="10" t="str">
        <f t="shared" si="8"/>
        <v>BIS36-31</v>
      </c>
      <c r="H1108" s="16"/>
      <c r="I1108" s="16" t="str">
        <f t="shared" si="5"/>
        <v>collected</v>
      </c>
      <c r="J1108" s="16" t="str">
        <f t="shared" si="6"/>
        <v>N</v>
      </c>
      <c r="K1108" s="16"/>
      <c r="L1108" s="16"/>
    </row>
    <row r="1109">
      <c r="A1109" s="40" t="s">
        <v>1591</v>
      </c>
      <c r="B1109" s="10" t="str">
        <f t="shared" si="1"/>
        <v>isotope</v>
      </c>
      <c r="C1109" s="49" t="str">
        <f t="shared" si="2"/>
        <v>S16407IS1</v>
      </c>
      <c r="D1109" s="6">
        <v>37.0</v>
      </c>
      <c r="E1109" s="10" t="str">
        <f t="shared" si="3"/>
        <v>BIS37</v>
      </c>
      <c r="F1109" s="13">
        <v>49.0</v>
      </c>
      <c r="G1109" s="10" t="str">
        <f t="shared" si="8"/>
        <v>BIS37-49</v>
      </c>
      <c r="H1109" s="16"/>
      <c r="I1109" s="16" t="str">
        <f t="shared" si="5"/>
        <v>collected</v>
      </c>
      <c r="J1109" s="16" t="str">
        <f t="shared" si="6"/>
        <v>N</v>
      </c>
      <c r="K1109" s="16"/>
      <c r="L1109" s="16"/>
    </row>
    <row r="1110">
      <c r="A1110" s="40" t="s">
        <v>1592</v>
      </c>
      <c r="B1110" s="10" t="str">
        <f t="shared" si="1"/>
        <v>isotope</v>
      </c>
      <c r="C1110" s="49" t="str">
        <f t="shared" si="2"/>
        <v>S16410IS1</v>
      </c>
      <c r="D1110" s="6">
        <v>37.0</v>
      </c>
      <c r="E1110" s="10" t="str">
        <f t="shared" si="3"/>
        <v>BIS37</v>
      </c>
      <c r="F1110" s="13">
        <v>50.0</v>
      </c>
      <c r="G1110" s="10" t="str">
        <f t="shared" si="8"/>
        <v>BIS37-50</v>
      </c>
      <c r="H1110" s="16"/>
      <c r="I1110" s="16" t="str">
        <f t="shared" si="5"/>
        <v>collected</v>
      </c>
      <c r="J1110" s="16" t="str">
        <f t="shared" si="6"/>
        <v>N</v>
      </c>
      <c r="K1110" s="16"/>
      <c r="L1110" s="16"/>
    </row>
    <row r="1111">
      <c r="A1111" s="40" t="s">
        <v>1593</v>
      </c>
      <c r="B1111" s="10" t="str">
        <f t="shared" si="1"/>
        <v>isotope</v>
      </c>
      <c r="C1111" s="49" t="str">
        <f t="shared" si="2"/>
        <v>S16403IS1</v>
      </c>
      <c r="D1111" s="6">
        <v>37.0</v>
      </c>
      <c r="E1111" s="10" t="str">
        <f t="shared" si="3"/>
        <v>BIS37</v>
      </c>
      <c r="F1111" s="13">
        <v>51.0</v>
      </c>
      <c r="G1111" s="10" t="str">
        <f t="shared" si="8"/>
        <v>BIS37-51</v>
      </c>
      <c r="H1111" s="16"/>
      <c r="I1111" s="16" t="str">
        <f t="shared" si="5"/>
        <v>collected</v>
      </c>
      <c r="J1111" s="16" t="str">
        <f t="shared" si="6"/>
        <v>N</v>
      </c>
      <c r="K1111" s="16"/>
      <c r="L1111" s="16"/>
    </row>
    <row r="1112">
      <c r="A1112" s="40" t="s">
        <v>1594</v>
      </c>
      <c r="B1112" s="10" t="str">
        <f t="shared" si="1"/>
        <v>isotope</v>
      </c>
      <c r="C1112" s="49" t="str">
        <f t="shared" si="2"/>
        <v>S16402IS1</v>
      </c>
      <c r="D1112" s="6">
        <v>37.0</v>
      </c>
      <c r="E1112" s="10" t="str">
        <f t="shared" si="3"/>
        <v>BIS37</v>
      </c>
      <c r="F1112" s="13">
        <v>52.0</v>
      </c>
      <c r="G1112" s="10" t="str">
        <f t="shared" si="8"/>
        <v>BIS37-52</v>
      </c>
      <c r="H1112" s="16"/>
      <c r="I1112" s="16" t="str">
        <f t="shared" si="5"/>
        <v>collected</v>
      </c>
      <c r="J1112" s="16" t="str">
        <f t="shared" si="6"/>
        <v>N</v>
      </c>
      <c r="K1112" s="16"/>
      <c r="L1112" s="16"/>
    </row>
    <row r="1113">
      <c r="A1113" s="40" t="s">
        <v>1596</v>
      </c>
      <c r="B1113" s="10" t="str">
        <f t="shared" si="1"/>
        <v>isotope</v>
      </c>
      <c r="C1113" s="49" t="str">
        <f t="shared" si="2"/>
        <v>S16409IS1</v>
      </c>
      <c r="D1113" s="6">
        <v>37.0</v>
      </c>
      <c r="E1113" s="10" t="str">
        <f t="shared" si="3"/>
        <v>BIS37</v>
      </c>
      <c r="F1113" s="13">
        <v>53.0</v>
      </c>
      <c r="G1113" s="10" t="str">
        <f t="shared" si="8"/>
        <v>BIS37-53</v>
      </c>
      <c r="H1113" s="6" t="s">
        <v>1597</v>
      </c>
      <c r="I1113" s="16" t="str">
        <f t="shared" si="5"/>
        <v>collected</v>
      </c>
      <c r="J1113" s="16" t="str">
        <f t="shared" si="6"/>
        <v>N</v>
      </c>
      <c r="K1113" s="16"/>
      <c r="L1113" s="16"/>
    </row>
    <row r="1114">
      <c r="A1114" s="40" t="s">
        <v>1598</v>
      </c>
      <c r="B1114" s="10" t="str">
        <f t="shared" si="1"/>
        <v>isotope</v>
      </c>
      <c r="C1114" s="49" t="str">
        <f t="shared" si="2"/>
        <v>S16404IS1</v>
      </c>
      <c r="D1114" s="6">
        <v>37.0</v>
      </c>
      <c r="E1114" s="10" t="str">
        <f t="shared" si="3"/>
        <v>BIS37</v>
      </c>
      <c r="F1114" s="13">
        <v>54.0</v>
      </c>
      <c r="G1114" s="10" t="str">
        <f t="shared" si="8"/>
        <v>BIS37-54</v>
      </c>
      <c r="H1114" s="16"/>
      <c r="I1114" s="16" t="str">
        <f t="shared" si="5"/>
        <v>collected</v>
      </c>
      <c r="J1114" s="16" t="str">
        <f t="shared" si="6"/>
        <v>N</v>
      </c>
      <c r="K1114" s="16"/>
      <c r="L1114" s="16"/>
    </row>
    <row r="1115">
      <c r="A1115" s="40" t="s">
        <v>1599</v>
      </c>
      <c r="B1115" s="10" t="str">
        <f t="shared" si="1"/>
        <v>isotope</v>
      </c>
      <c r="C1115" s="49" t="str">
        <f t="shared" si="2"/>
        <v>S16401IS1</v>
      </c>
      <c r="D1115" s="6">
        <v>37.0</v>
      </c>
      <c r="E1115" s="10" t="str">
        <f t="shared" si="3"/>
        <v>BIS37</v>
      </c>
      <c r="F1115" s="13">
        <v>55.0</v>
      </c>
      <c r="G1115" s="10" t="str">
        <f t="shared" si="8"/>
        <v>BIS37-55</v>
      </c>
      <c r="H1115" s="16"/>
      <c r="I1115" s="16" t="str">
        <f t="shared" si="5"/>
        <v>collected</v>
      </c>
      <c r="J1115" s="16" t="str">
        <f t="shared" si="6"/>
        <v>N</v>
      </c>
      <c r="K1115" s="16"/>
      <c r="L1115" s="16"/>
    </row>
    <row r="1116">
      <c r="A1116" s="40" t="s">
        <v>1600</v>
      </c>
      <c r="B1116" s="10" t="str">
        <f t="shared" si="1"/>
        <v>isotope</v>
      </c>
      <c r="C1116" s="49" t="str">
        <f t="shared" si="2"/>
        <v>S16405IS1</v>
      </c>
      <c r="D1116" s="6">
        <v>37.0</v>
      </c>
      <c r="E1116" s="10" t="str">
        <f t="shared" si="3"/>
        <v>BIS37</v>
      </c>
      <c r="F1116" s="13">
        <v>56.0</v>
      </c>
      <c r="G1116" s="10" t="str">
        <f t="shared" si="8"/>
        <v>BIS37-56</v>
      </c>
      <c r="H1116" s="16"/>
      <c r="I1116" s="16" t="str">
        <f t="shared" si="5"/>
        <v>collected</v>
      </c>
      <c r="J1116" s="16" t="str">
        <f t="shared" si="6"/>
        <v>N</v>
      </c>
      <c r="K1116" s="16"/>
      <c r="L1116" s="16"/>
    </row>
    <row r="1117">
      <c r="A1117" s="40" t="s">
        <v>1602</v>
      </c>
      <c r="B1117" s="10" t="str">
        <f t="shared" si="1"/>
        <v>isotope</v>
      </c>
      <c r="C1117" s="49" t="str">
        <f t="shared" si="2"/>
        <v>S16408IS1</v>
      </c>
      <c r="D1117" s="6">
        <v>37.0</v>
      </c>
      <c r="E1117" s="10" t="str">
        <f t="shared" si="3"/>
        <v>BIS37</v>
      </c>
      <c r="F1117" s="13">
        <v>57.0</v>
      </c>
      <c r="G1117" s="10" t="str">
        <f t="shared" si="8"/>
        <v>BIS37-57</v>
      </c>
      <c r="H1117" s="16"/>
      <c r="I1117" s="16" t="str">
        <f t="shared" si="5"/>
        <v>collected</v>
      </c>
      <c r="J1117" s="16" t="str">
        <f t="shared" si="6"/>
        <v>N</v>
      </c>
      <c r="K1117" s="16"/>
      <c r="L1117" s="16"/>
    </row>
    <row r="1118">
      <c r="A1118" s="40" t="s">
        <v>1604</v>
      </c>
      <c r="B1118" s="10" t="str">
        <f t="shared" si="1"/>
        <v>isotope</v>
      </c>
      <c r="C1118" s="49" t="str">
        <f t="shared" si="2"/>
        <v>S16406IS1</v>
      </c>
      <c r="D1118" s="6">
        <v>37.0</v>
      </c>
      <c r="E1118" s="10" t="str">
        <f t="shared" si="3"/>
        <v>BIS37</v>
      </c>
      <c r="F1118" s="13">
        <v>58.0</v>
      </c>
      <c r="G1118" s="10" t="str">
        <f t="shared" si="8"/>
        <v>BIS37-58</v>
      </c>
      <c r="H1118" s="16"/>
      <c r="I1118" s="16" t="str">
        <f t="shared" si="5"/>
        <v>collected</v>
      </c>
      <c r="J1118" s="16" t="str">
        <f t="shared" si="6"/>
        <v>N</v>
      </c>
      <c r="K1118" s="16"/>
      <c r="L1118" s="16"/>
    </row>
    <row r="1119">
      <c r="A1119" s="40" t="s">
        <v>1606</v>
      </c>
      <c r="B1119" s="10" t="str">
        <f t="shared" si="1"/>
        <v>isotope</v>
      </c>
      <c r="C1119" s="49" t="str">
        <f t="shared" si="2"/>
        <v>S17610IS1</v>
      </c>
      <c r="D1119" s="6">
        <v>37.0</v>
      </c>
      <c r="E1119" s="10" t="str">
        <f t="shared" si="3"/>
        <v>BIS37</v>
      </c>
      <c r="F1119" s="13">
        <v>59.0</v>
      </c>
      <c r="G1119" s="10" t="str">
        <f t="shared" si="8"/>
        <v>BIS37-59</v>
      </c>
      <c r="H1119" s="16"/>
      <c r="I1119" s="16" t="str">
        <f t="shared" si="5"/>
        <v>collected</v>
      </c>
      <c r="J1119" s="16" t="str">
        <f t="shared" si="6"/>
        <v>N</v>
      </c>
      <c r="K1119" s="16"/>
      <c r="L1119" s="16"/>
    </row>
    <row r="1120">
      <c r="A1120" s="40" t="s">
        <v>1607</v>
      </c>
      <c r="B1120" s="10" t="str">
        <f t="shared" si="1"/>
        <v>isotope</v>
      </c>
      <c r="C1120" s="49" t="str">
        <f t="shared" si="2"/>
        <v>S17608IS1</v>
      </c>
      <c r="D1120" s="6">
        <v>37.0</v>
      </c>
      <c r="E1120" s="10" t="str">
        <f t="shared" si="3"/>
        <v>BIS37</v>
      </c>
      <c r="F1120" s="13">
        <v>60.0</v>
      </c>
      <c r="G1120" s="10" t="str">
        <f t="shared" si="8"/>
        <v>BIS37-60</v>
      </c>
      <c r="H1120" s="16"/>
      <c r="I1120" s="16" t="str">
        <f t="shared" si="5"/>
        <v>collected</v>
      </c>
      <c r="J1120" s="16" t="str">
        <f t="shared" si="6"/>
        <v>N</v>
      </c>
      <c r="K1120" s="16"/>
      <c r="L1120" s="16"/>
    </row>
    <row r="1121">
      <c r="A1121" s="40" t="s">
        <v>1608</v>
      </c>
      <c r="B1121" s="10" t="str">
        <f t="shared" si="1"/>
        <v>isotope</v>
      </c>
      <c r="C1121" s="49" t="str">
        <f t="shared" si="2"/>
        <v>S17604IS1</v>
      </c>
      <c r="D1121" s="6">
        <v>37.0</v>
      </c>
      <c r="E1121" s="10" t="str">
        <f t="shared" si="3"/>
        <v>BIS37</v>
      </c>
      <c r="F1121" s="13">
        <v>61.0</v>
      </c>
      <c r="G1121" s="10" t="str">
        <f t="shared" si="8"/>
        <v>BIS37-61</v>
      </c>
      <c r="H1121" s="16"/>
      <c r="I1121" s="16" t="str">
        <f t="shared" si="5"/>
        <v>collected</v>
      </c>
      <c r="J1121" s="16" t="str">
        <f t="shared" si="6"/>
        <v>N</v>
      </c>
      <c r="K1121" s="16"/>
      <c r="L1121" s="16"/>
    </row>
    <row r="1122">
      <c r="A1122" s="40" t="s">
        <v>1609</v>
      </c>
      <c r="B1122" s="10" t="str">
        <f t="shared" si="1"/>
        <v>isotope</v>
      </c>
      <c r="C1122" s="49" t="str">
        <f t="shared" si="2"/>
        <v>S17609IS1</v>
      </c>
      <c r="D1122" s="6">
        <v>37.0</v>
      </c>
      <c r="E1122" s="10" t="str">
        <f t="shared" si="3"/>
        <v>BIS37</v>
      </c>
      <c r="F1122" s="13">
        <v>62.0</v>
      </c>
      <c r="G1122" s="10" t="str">
        <f t="shared" si="8"/>
        <v>BIS37-62</v>
      </c>
      <c r="H1122" s="16"/>
      <c r="I1122" s="16" t="str">
        <f t="shared" si="5"/>
        <v>collected</v>
      </c>
      <c r="J1122" s="16" t="str">
        <f t="shared" si="6"/>
        <v>N</v>
      </c>
      <c r="K1122" s="16"/>
      <c r="L1122" s="16"/>
    </row>
    <row r="1123">
      <c r="A1123" s="40" t="s">
        <v>1610</v>
      </c>
      <c r="B1123" s="10" t="str">
        <f t="shared" si="1"/>
        <v>isotope</v>
      </c>
      <c r="C1123" s="49" t="str">
        <f t="shared" si="2"/>
        <v>S17605IS1</v>
      </c>
      <c r="D1123" s="6">
        <v>37.0</v>
      </c>
      <c r="E1123" s="10" t="str">
        <f t="shared" si="3"/>
        <v>BIS37</v>
      </c>
      <c r="F1123" s="13">
        <v>63.0</v>
      </c>
      <c r="G1123" s="10" t="str">
        <f t="shared" si="8"/>
        <v>BIS37-63</v>
      </c>
      <c r="H1123" s="16"/>
      <c r="I1123" s="16" t="str">
        <f t="shared" si="5"/>
        <v>collected</v>
      </c>
      <c r="J1123" s="16" t="str">
        <f t="shared" si="6"/>
        <v>N</v>
      </c>
      <c r="K1123" s="16"/>
      <c r="L1123" s="16"/>
    </row>
    <row r="1124">
      <c r="A1124" s="40" t="s">
        <v>1612</v>
      </c>
      <c r="B1124" s="10" t="str">
        <f t="shared" si="1"/>
        <v>isotope</v>
      </c>
      <c r="C1124" s="49" t="str">
        <f t="shared" si="2"/>
        <v>S17603IS1</v>
      </c>
      <c r="D1124" s="6">
        <v>37.0</v>
      </c>
      <c r="E1124" s="10" t="str">
        <f t="shared" si="3"/>
        <v>BIS37</v>
      </c>
      <c r="F1124" s="13">
        <v>64.0</v>
      </c>
      <c r="G1124" s="10" t="str">
        <f t="shared" si="8"/>
        <v>BIS37-64</v>
      </c>
      <c r="H1124" s="16"/>
      <c r="I1124" s="16" t="str">
        <f t="shared" si="5"/>
        <v>collected</v>
      </c>
      <c r="J1124" s="16" t="str">
        <f t="shared" si="6"/>
        <v>N</v>
      </c>
      <c r="K1124" s="16"/>
      <c r="L1124" s="16"/>
    </row>
    <row r="1125">
      <c r="A1125" s="40" t="s">
        <v>1613</v>
      </c>
      <c r="B1125" s="10" t="str">
        <f t="shared" si="1"/>
        <v>isotope</v>
      </c>
      <c r="C1125" s="49" t="str">
        <f t="shared" si="2"/>
        <v>S17606IS1</v>
      </c>
      <c r="D1125" s="6">
        <v>37.0</v>
      </c>
      <c r="E1125" s="10" t="str">
        <f t="shared" si="3"/>
        <v>BIS37</v>
      </c>
      <c r="F1125" s="13">
        <v>65.0</v>
      </c>
      <c r="G1125" s="10" t="str">
        <f t="shared" si="8"/>
        <v>BIS37-65</v>
      </c>
      <c r="H1125" s="16"/>
      <c r="I1125" s="16" t="str">
        <f t="shared" si="5"/>
        <v>collected</v>
      </c>
      <c r="J1125" s="16" t="str">
        <f t="shared" si="6"/>
        <v>N</v>
      </c>
      <c r="K1125" s="16"/>
      <c r="L1125" s="16"/>
    </row>
    <row r="1126">
      <c r="A1126" s="16" t="s">
        <v>1614</v>
      </c>
      <c r="B1126" s="10" t="str">
        <f t="shared" si="1"/>
        <v>isotope</v>
      </c>
      <c r="C1126" s="49" t="str">
        <f t="shared" si="2"/>
        <v>S17229IS1</v>
      </c>
      <c r="D1126" s="6">
        <v>36.0</v>
      </c>
      <c r="E1126" s="10" t="str">
        <f t="shared" si="3"/>
        <v>BIS36</v>
      </c>
      <c r="F1126" s="13">
        <v>32.0</v>
      </c>
      <c r="G1126" s="10" t="str">
        <f t="shared" si="8"/>
        <v>BIS36-32</v>
      </c>
      <c r="H1126" s="16"/>
      <c r="I1126" s="16" t="str">
        <f t="shared" si="5"/>
        <v>collected</v>
      </c>
      <c r="J1126" s="16" t="str">
        <f t="shared" si="6"/>
        <v>N</v>
      </c>
      <c r="K1126" s="16"/>
      <c r="L1126" s="16"/>
    </row>
    <row r="1127">
      <c r="A1127" s="16" t="s">
        <v>1615</v>
      </c>
      <c r="B1127" s="10" t="str">
        <f t="shared" si="1"/>
        <v>isotope</v>
      </c>
      <c r="C1127" s="49" t="str">
        <f t="shared" si="2"/>
        <v>S16880IS1</v>
      </c>
      <c r="D1127" s="6">
        <v>36.0</v>
      </c>
      <c r="E1127" s="10" t="str">
        <f t="shared" si="3"/>
        <v>BIS36</v>
      </c>
      <c r="F1127" s="13">
        <v>33.0</v>
      </c>
      <c r="G1127" s="10" t="str">
        <f t="shared" si="8"/>
        <v>BIS36-33</v>
      </c>
      <c r="H1127" s="16"/>
      <c r="I1127" s="16" t="str">
        <f t="shared" si="5"/>
        <v>collected</v>
      </c>
      <c r="J1127" s="16" t="str">
        <f t="shared" si="6"/>
        <v>N</v>
      </c>
      <c r="K1127" s="16"/>
      <c r="L1127" s="16"/>
    </row>
    <row r="1128">
      <c r="A1128" s="16" t="s">
        <v>1618</v>
      </c>
      <c r="B1128" s="10" t="str">
        <f t="shared" si="1"/>
        <v>isotope</v>
      </c>
      <c r="C1128" s="49" t="str">
        <f t="shared" si="2"/>
        <v>S16876IS1</v>
      </c>
      <c r="D1128" s="6">
        <v>36.0</v>
      </c>
      <c r="E1128" s="10" t="str">
        <f t="shared" si="3"/>
        <v>BIS36</v>
      </c>
      <c r="F1128" s="13">
        <v>34.0</v>
      </c>
      <c r="G1128" s="10" t="str">
        <f t="shared" si="8"/>
        <v>BIS36-34</v>
      </c>
      <c r="H1128" s="16"/>
      <c r="I1128" s="16" t="str">
        <f t="shared" si="5"/>
        <v>collected</v>
      </c>
      <c r="J1128" s="16" t="str">
        <f t="shared" si="6"/>
        <v>N</v>
      </c>
      <c r="K1128" s="16"/>
      <c r="L1128" s="16"/>
    </row>
    <row r="1129">
      <c r="A1129" s="16" t="s">
        <v>1619</v>
      </c>
      <c r="B1129" s="10" t="str">
        <f t="shared" si="1"/>
        <v>isotope</v>
      </c>
      <c r="C1129" s="49" t="str">
        <f t="shared" si="2"/>
        <v>S16877IS1</v>
      </c>
      <c r="D1129" s="6">
        <v>36.0</v>
      </c>
      <c r="E1129" s="10" t="str">
        <f t="shared" si="3"/>
        <v>BIS36</v>
      </c>
      <c r="F1129" s="13">
        <v>35.0</v>
      </c>
      <c r="G1129" s="10" t="str">
        <f t="shared" si="8"/>
        <v>BIS36-35</v>
      </c>
      <c r="H1129" s="16"/>
      <c r="I1129" s="16" t="str">
        <f t="shared" si="5"/>
        <v>collected</v>
      </c>
      <c r="J1129" s="16" t="str">
        <f t="shared" si="6"/>
        <v>N</v>
      </c>
      <c r="K1129" s="16"/>
      <c r="L1129" s="16"/>
    </row>
    <row r="1130">
      <c r="A1130" s="16" t="s">
        <v>1620</v>
      </c>
      <c r="B1130" s="10" t="str">
        <f t="shared" si="1"/>
        <v>isotope</v>
      </c>
      <c r="C1130" s="49" t="str">
        <f t="shared" si="2"/>
        <v>S16879IS1</v>
      </c>
      <c r="D1130" s="6">
        <v>36.0</v>
      </c>
      <c r="E1130" s="10" t="str">
        <f t="shared" si="3"/>
        <v>BIS36</v>
      </c>
      <c r="F1130" s="13">
        <v>36.0</v>
      </c>
      <c r="G1130" s="10" t="str">
        <f t="shared" si="8"/>
        <v>BIS36-36</v>
      </c>
      <c r="H1130" s="16"/>
      <c r="I1130" s="16" t="str">
        <f t="shared" si="5"/>
        <v>collected</v>
      </c>
      <c r="J1130" s="16" t="str">
        <f t="shared" si="6"/>
        <v>N</v>
      </c>
      <c r="K1130" s="16"/>
      <c r="L1130" s="16"/>
    </row>
    <row r="1131">
      <c r="A1131" s="16" t="s">
        <v>1621</v>
      </c>
      <c r="B1131" s="10" t="str">
        <f t="shared" si="1"/>
        <v>isotope</v>
      </c>
      <c r="C1131" s="49" t="str">
        <f t="shared" si="2"/>
        <v>S16875IS1</v>
      </c>
      <c r="D1131" s="6">
        <v>36.0</v>
      </c>
      <c r="E1131" s="10" t="str">
        <f t="shared" si="3"/>
        <v>BIS36</v>
      </c>
      <c r="F1131" s="13">
        <v>37.0</v>
      </c>
      <c r="G1131" s="10" t="str">
        <f t="shared" si="8"/>
        <v>BIS36-37</v>
      </c>
      <c r="H1131" s="16"/>
      <c r="I1131" s="16" t="str">
        <f t="shared" si="5"/>
        <v>collected</v>
      </c>
      <c r="J1131" s="16" t="str">
        <f t="shared" si="6"/>
        <v>N</v>
      </c>
      <c r="K1131" s="16"/>
      <c r="L1131" s="16"/>
    </row>
    <row r="1132">
      <c r="A1132" s="16" t="s">
        <v>1623</v>
      </c>
      <c r="B1132" s="10" t="str">
        <f t="shared" si="1"/>
        <v>isotope</v>
      </c>
      <c r="C1132" s="49" t="str">
        <f t="shared" si="2"/>
        <v>S16874IS1</v>
      </c>
      <c r="D1132" s="6">
        <v>36.0</v>
      </c>
      <c r="E1132" s="10" t="str">
        <f t="shared" si="3"/>
        <v>BIS36</v>
      </c>
      <c r="F1132" s="13">
        <v>38.0</v>
      </c>
      <c r="G1132" s="10" t="str">
        <f t="shared" si="8"/>
        <v>BIS36-38</v>
      </c>
      <c r="H1132" s="16"/>
      <c r="I1132" s="16" t="str">
        <f t="shared" si="5"/>
        <v>collected</v>
      </c>
      <c r="J1132" s="16" t="str">
        <f t="shared" si="6"/>
        <v>N</v>
      </c>
      <c r="K1132" s="16"/>
      <c r="L1132" s="16"/>
    </row>
    <row r="1133">
      <c r="A1133" s="16" t="s">
        <v>1624</v>
      </c>
      <c r="B1133" s="10" t="str">
        <f t="shared" si="1"/>
        <v>isotope</v>
      </c>
      <c r="C1133" s="49" t="str">
        <f t="shared" si="2"/>
        <v>S16878IS1</v>
      </c>
      <c r="D1133" s="6">
        <v>36.0</v>
      </c>
      <c r="E1133" s="10" t="str">
        <f t="shared" si="3"/>
        <v>BIS36</v>
      </c>
      <c r="F1133" s="13">
        <v>39.0</v>
      </c>
      <c r="G1133" s="10" t="str">
        <f t="shared" si="8"/>
        <v>BIS36-39</v>
      </c>
      <c r="H1133" s="16"/>
      <c r="I1133" s="16" t="str">
        <f t="shared" si="5"/>
        <v>collected</v>
      </c>
      <c r="J1133" s="16" t="str">
        <f t="shared" si="6"/>
        <v>N</v>
      </c>
      <c r="K1133" s="16"/>
      <c r="L1133" s="16"/>
    </row>
    <row r="1134">
      <c r="A1134" s="16" t="s">
        <v>1625</v>
      </c>
      <c r="B1134" s="10" t="str">
        <f t="shared" si="1"/>
        <v>isotope</v>
      </c>
      <c r="C1134" s="49" t="str">
        <f t="shared" si="2"/>
        <v>S16872IS1</v>
      </c>
      <c r="D1134" s="6">
        <v>36.0</v>
      </c>
      <c r="E1134" s="10" t="str">
        <f t="shared" si="3"/>
        <v>BIS36</v>
      </c>
      <c r="F1134" s="13">
        <v>40.0</v>
      </c>
      <c r="G1134" s="10" t="str">
        <f t="shared" si="8"/>
        <v>BIS36-40</v>
      </c>
      <c r="H1134" s="16"/>
      <c r="I1134" s="16" t="str">
        <f t="shared" si="5"/>
        <v>collected</v>
      </c>
      <c r="J1134" s="16" t="str">
        <f t="shared" si="6"/>
        <v>N</v>
      </c>
      <c r="K1134" s="16"/>
      <c r="L1134" s="16"/>
    </row>
    <row r="1135">
      <c r="A1135" s="16" t="s">
        <v>1626</v>
      </c>
      <c r="B1135" s="10" t="str">
        <f t="shared" si="1"/>
        <v>isotope</v>
      </c>
      <c r="C1135" s="49" t="str">
        <f t="shared" si="2"/>
        <v>S16873IS1</v>
      </c>
      <c r="D1135" s="6">
        <v>36.0</v>
      </c>
      <c r="E1135" s="10" t="str">
        <f t="shared" si="3"/>
        <v>BIS36</v>
      </c>
      <c r="F1135" s="13">
        <v>41.0</v>
      </c>
      <c r="G1135" s="10" t="str">
        <f t="shared" si="8"/>
        <v>BIS36-41</v>
      </c>
      <c r="H1135" s="16"/>
      <c r="I1135" s="16" t="str">
        <f t="shared" si="5"/>
        <v>collected</v>
      </c>
      <c r="J1135" s="16" t="str">
        <f t="shared" si="6"/>
        <v>N</v>
      </c>
      <c r="K1135" s="16"/>
      <c r="L1135" s="16"/>
    </row>
    <row r="1136">
      <c r="A1136" s="16" t="s">
        <v>1627</v>
      </c>
      <c r="B1136" s="10" t="str">
        <f t="shared" si="1"/>
        <v>isotope</v>
      </c>
      <c r="C1136" s="49" t="str">
        <f t="shared" si="2"/>
        <v>S16871IS1</v>
      </c>
      <c r="D1136" s="6">
        <v>36.0</v>
      </c>
      <c r="E1136" s="10" t="str">
        <f t="shared" si="3"/>
        <v>BIS36</v>
      </c>
      <c r="F1136" s="13">
        <v>42.0</v>
      </c>
      <c r="G1136" s="10" t="str">
        <f t="shared" si="8"/>
        <v>BIS36-42</v>
      </c>
      <c r="H1136" s="16"/>
      <c r="I1136" s="16" t="str">
        <f t="shared" si="5"/>
        <v>collected</v>
      </c>
      <c r="J1136" s="16" t="str">
        <f t="shared" si="6"/>
        <v>N</v>
      </c>
      <c r="K1136" s="16"/>
      <c r="L1136" s="16"/>
    </row>
    <row r="1137">
      <c r="A1137" s="16" t="s">
        <v>1629</v>
      </c>
      <c r="B1137" s="10" t="str">
        <f t="shared" si="1"/>
        <v>isotope</v>
      </c>
      <c r="C1137" s="49" t="str">
        <f t="shared" si="2"/>
        <v>S17560IS1</v>
      </c>
      <c r="D1137" s="6">
        <v>36.0</v>
      </c>
      <c r="E1137" s="10" t="str">
        <f t="shared" si="3"/>
        <v>BIS36</v>
      </c>
      <c r="F1137" s="13">
        <v>43.0</v>
      </c>
      <c r="G1137" s="10" t="str">
        <f t="shared" si="8"/>
        <v>BIS36-43</v>
      </c>
      <c r="H1137" s="16"/>
      <c r="I1137" s="16" t="str">
        <f t="shared" si="5"/>
        <v>collected</v>
      </c>
      <c r="J1137" s="16" t="str">
        <f t="shared" si="6"/>
        <v>N</v>
      </c>
      <c r="K1137" s="16"/>
      <c r="L1137" s="16"/>
    </row>
    <row r="1138">
      <c r="A1138" s="16" t="s">
        <v>1630</v>
      </c>
      <c r="B1138" s="10" t="str">
        <f t="shared" si="1"/>
        <v>isotope</v>
      </c>
      <c r="C1138" s="49" t="str">
        <f t="shared" si="2"/>
        <v>S17552IS1</v>
      </c>
      <c r="D1138" s="6">
        <v>36.0</v>
      </c>
      <c r="E1138" s="10" t="str">
        <f t="shared" si="3"/>
        <v>BIS36</v>
      </c>
      <c r="F1138" s="13">
        <v>44.0</v>
      </c>
      <c r="G1138" s="10" t="str">
        <f t="shared" si="8"/>
        <v>BIS36-44</v>
      </c>
      <c r="H1138" s="16"/>
      <c r="I1138" s="16" t="str">
        <f t="shared" si="5"/>
        <v>collected</v>
      </c>
      <c r="J1138" s="16" t="str">
        <f t="shared" si="6"/>
        <v>N</v>
      </c>
      <c r="K1138" s="16"/>
      <c r="L1138" s="16"/>
    </row>
    <row r="1139">
      <c r="A1139" s="16" t="s">
        <v>1632</v>
      </c>
      <c r="B1139" s="10" t="str">
        <f t="shared" si="1"/>
        <v>isotope</v>
      </c>
      <c r="C1139" s="49" t="str">
        <f t="shared" si="2"/>
        <v>S17551IS1</v>
      </c>
      <c r="D1139" s="6">
        <v>36.0</v>
      </c>
      <c r="E1139" s="10" t="str">
        <f t="shared" si="3"/>
        <v>BIS36</v>
      </c>
      <c r="F1139" s="13">
        <v>45.0</v>
      </c>
      <c r="G1139" s="10" t="str">
        <f t="shared" si="8"/>
        <v>BIS36-45</v>
      </c>
      <c r="H1139" s="16"/>
      <c r="I1139" s="16" t="str">
        <f t="shared" si="5"/>
        <v>collected</v>
      </c>
      <c r="J1139" s="16" t="str">
        <f t="shared" si="6"/>
        <v>N</v>
      </c>
      <c r="K1139" s="16"/>
      <c r="L1139" s="16"/>
    </row>
    <row r="1140">
      <c r="A1140" s="16" t="s">
        <v>1633</v>
      </c>
      <c r="B1140" s="10" t="str">
        <f t="shared" si="1"/>
        <v>isotope</v>
      </c>
      <c r="C1140" s="49" t="str">
        <f t="shared" si="2"/>
        <v>S17553IS1</v>
      </c>
      <c r="D1140" s="6">
        <v>36.0</v>
      </c>
      <c r="E1140" s="10" t="str">
        <f t="shared" si="3"/>
        <v>BIS36</v>
      </c>
      <c r="F1140" s="13">
        <v>46.0</v>
      </c>
      <c r="G1140" s="10" t="str">
        <f t="shared" si="8"/>
        <v>BIS36-46</v>
      </c>
      <c r="H1140" s="16"/>
      <c r="I1140" s="16" t="str">
        <f t="shared" si="5"/>
        <v>collected</v>
      </c>
      <c r="J1140" s="16" t="str">
        <f t="shared" si="6"/>
        <v>N</v>
      </c>
      <c r="K1140" s="16"/>
      <c r="L1140" s="16"/>
    </row>
    <row r="1141">
      <c r="A1141" s="16" t="s">
        <v>1635</v>
      </c>
      <c r="B1141" s="10" t="str">
        <f t="shared" si="1"/>
        <v>isotope</v>
      </c>
      <c r="C1141" s="49" t="str">
        <f t="shared" si="2"/>
        <v>S17556IS1</v>
      </c>
      <c r="D1141" s="6">
        <v>36.0</v>
      </c>
      <c r="E1141" s="10" t="str">
        <f t="shared" si="3"/>
        <v>BIS36</v>
      </c>
      <c r="F1141" s="13">
        <v>47.0</v>
      </c>
      <c r="G1141" s="10" t="str">
        <f t="shared" si="8"/>
        <v>BIS36-47</v>
      </c>
      <c r="H1141" s="16"/>
      <c r="I1141" s="16" t="str">
        <f t="shared" si="5"/>
        <v>collected</v>
      </c>
      <c r="J1141" s="16" t="str">
        <f t="shared" si="6"/>
        <v>N</v>
      </c>
      <c r="K1141" s="16"/>
      <c r="L1141" s="16"/>
    </row>
    <row r="1142">
      <c r="A1142" s="16" t="s">
        <v>1636</v>
      </c>
      <c r="B1142" s="10" t="str">
        <f t="shared" si="1"/>
        <v>isotope</v>
      </c>
      <c r="C1142" s="49" t="str">
        <f t="shared" si="2"/>
        <v>S17554IS1</v>
      </c>
      <c r="D1142" s="6">
        <v>36.0</v>
      </c>
      <c r="E1142" s="10" t="str">
        <f t="shared" si="3"/>
        <v>BIS36</v>
      </c>
      <c r="F1142" s="13">
        <v>48.0</v>
      </c>
      <c r="G1142" s="10" t="str">
        <f t="shared" si="8"/>
        <v>BIS36-48</v>
      </c>
      <c r="H1142" s="16"/>
      <c r="I1142" s="16" t="str">
        <f t="shared" si="5"/>
        <v>collected</v>
      </c>
      <c r="J1142" s="16" t="str">
        <f t="shared" si="6"/>
        <v>N</v>
      </c>
      <c r="K1142" s="16"/>
      <c r="L1142" s="16"/>
    </row>
    <row r="1143">
      <c r="A1143" s="40" t="s">
        <v>1638</v>
      </c>
      <c r="B1143" s="10" t="str">
        <f t="shared" si="1"/>
        <v>isotope</v>
      </c>
      <c r="C1143" s="49" t="str">
        <f t="shared" si="2"/>
        <v>S17601IS1</v>
      </c>
      <c r="D1143" s="6">
        <v>37.0</v>
      </c>
      <c r="E1143" s="10" t="str">
        <f t="shared" si="3"/>
        <v>BIS37</v>
      </c>
      <c r="F1143" s="13">
        <v>66.0</v>
      </c>
      <c r="G1143" s="10" t="str">
        <f t="shared" si="8"/>
        <v>BIS37-66</v>
      </c>
      <c r="H1143" s="16"/>
      <c r="I1143" s="16" t="str">
        <f t="shared" si="5"/>
        <v>collected</v>
      </c>
      <c r="J1143" s="16" t="str">
        <f t="shared" si="6"/>
        <v>N</v>
      </c>
      <c r="K1143" s="16"/>
      <c r="L1143" s="16"/>
    </row>
    <row r="1144">
      <c r="A1144" s="40" t="s">
        <v>1639</v>
      </c>
      <c r="B1144" s="10" t="str">
        <f t="shared" si="1"/>
        <v>isotope</v>
      </c>
      <c r="C1144" s="49" t="str">
        <f t="shared" si="2"/>
        <v>S17607IS1</v>
      </c>
      <c r="D1144" s="6">
        <v>37.0</v>
      </c>
      <c r="E1144" s="10" t="str">
        <f t="shared" si="3"/>
        <v>BIS37</v>
      </c>
      <c r="F1144" s="13">
        <v>67.0</v>
      </c>
      <c r="G1144" s="10" t="str">
        <f t="shared" si="8"/>
        <v>BIS37-67</v>
      </c>
      <c r="H1144" s="16"/>
      <c r="I1144" s="16" t="str">
        <f t="shared" si="5"/>
        <v>collected</v>
      </c>
      <c r="J1144" s="16" t="str">
        <f t="shared" si="6"/>
        <v>N</v>
      </c>
      <c r="K1144" s="16"/>
      <c r="L1144" s="16"/>
    </row>
    <row r="1145">
      <c r="A1145" s="40" t="s">
        <v>1641</v>
      </c>
      <c r="B1145" s="10" t="str">
        <f t="shared" si="1"/>
        <v>isotope</v>
      </c>
      <c r="C1145" s="49" t="str">
        <f t="shared" si="2"/>
        <v>S17602IS1</v>
      </c>
      <c r="D1145" s="6">
        <v>37.0</v>
      </c>
      <c r="E1145" s="10" t="str">
        <f t="shared" si="3"/>
        <v>BIS37</v>
      </c>
      <c r="F1145" s="13">
        <v>68.0</v>
      </c>
      <c r="G1145" s="10" t="str">
        <f t="shared" si="8"/>
        <v>BIS37-68</v>
      </c>
      <c r="H1145" s="16"/>
      <c r="I1145" s="16" t="str">
        <f t="shared" si="5"/>
        <v>collected</v>
      </c>
      <c r="J1145" s="16" t="str">
        <f t="shared" si="6"/>
        <v>N</v>
      </c>
      <c r="K1145" s="16"/>
      <c r="L1145" s="16"/>
    </row>
    <row r="1146">
      <c r="A1146" s="40" t="s">
        <v>1642</v>
      </c>
      <c r="B1146" s="10" t="str">
        <f t="shared" si="1"/>
        <v>isotope</v>
      </c>
      <c r="C1146" s="49" t="str">
        <f t="shared" si="2"/>
        <v>S16748IS1</v>
      </c>
      <c r="D1146" s="6">
        <v>37.0</v>
      </c>
      <c r="E1146" s="10" t="str">
        <f t="shared" si="3"/>
        <v>BIS37</v>
      </c>
      <c r="F1146" s="13">
        <v>69.0</v>
      </c>
      <c r="G1146" s="10" t="str">
        <f t="shared" si="8"/>
        <v>BIS37-69</v>
      </c>
      <c r="H1146" s="16"/>
      <c r="I1146" s="16" t="str">
        <f t="shared" si="5"/>
        <v>collected</v>
      </c>
      <c r="J1146" s="16" t="str">
        <f t="shared" si="6"/>
        <v>N</v>
      </c>
      <c r="K1146" s="16"/>
      <c r="L1146" s="16"/>
    </row>
    <row r="1147">
      <c r="A1147" s="40" t="s">
        <v>1643</v>
      </c>
      <c r="B1147" s="10" t="str">
        <f t="shared" si="1"/>
        <v>isotope</v>
      </c>
      <c r="C1147" s="49" t="str">
        <f t="shared" si="2"/>
        <v>S16750IS1</v>
      </c>
      <c r="D1147" s="6">
        <v>37.0</v>
      </c>
      <c r="E1147" s="10" t="str">
        <f t="shared" si="3"/>
        <v>BIS37</v>
      </c>
      <c r="F1147" s="13">
        <v>70.0</v>
      </c>
      <c r="G1147" s="10" t="str">
        <f t="shared" si="8"/>
        <v>BIS37-70</v>
      </c>
      <c r="H1147" s="16"/>
      <c r="I1147" s="16" t="str">
        <f t="shared" si="5"/>
        <v>collected</v>
      </c>
      <c r="J1147" s="16" t="str">
        <f t="shared" si="6"/>
        <v>N</v>
      </c>
      <c r="K1147" s="16"/>
      <c r="L1147" s="16"/>
    </row>
    <row r="1148">
      <c r="A1148" s="40" t="s">
        <v>1644</v>
      </c>
      <c r="B1148" s="10" t="str">
        <f t="shared" si="1"/>
        <v>isotope</v>
      </c>
      <c r="C1148" s="49" t="str">
        <f t="shared" si="2"/>
        <v>S16742IS1</v>
      </c>
      <c r="D1148" s="6">
        <v>37.0</v>
      </c>
      <c r="E1148" s="10" t="str">
        <f t="shared" si="3"/>
        <v>BIS37</v>
      </c>
      <c r="F1148" s="13">
        <v>71.0</v>
      </c>
      <c r="G1148" s="10" t="str">
        <f t="shared" si="8"/>
        <v>BIS37-71</v>
      </c>
      <c r="H1148" s="16"/>
      <c r="I1148" s="16" t="str">
        <f t="shared" si="5"/>
        <v>collected</v>
      </c>
      <c r="J1148" s="16" t="str">
        <f t="shared" si="6"/>
        <v>N</v>
      </c>
      <c r="K1148" s="16"/>
      <c r="L1148" s="16"/>
    </row>
    <row r="1149">
      <c r="A1149" s="40" t="s">
        <v>1646</v>
      </c>
      <c r="B1149" s="10" t="str">
        <f t="shared" si="1"/>
        <v>isotope</v>
      </c>
      <c r="C1149" s="49" t="str">
        <f t="shared" si="2"/>
        <v>S16745IS1</v>
      </c>
      <c r="D1149" s="6">
        <v>37.0</v>
      </c>
      <c r="E1149" s="10" t="str">
        <f t="shared" si="3"/>
        <v>BIS37</v>
      </c>
      <c r="F1149" s="13">
        <v>72.0</v>
      </c>
      <c r="G1149" s="10" t="str">
        <f t="shared" si="8"/>
        <v>BIS37-72</v>
      </c>
      <c r="H1149" s="16"/>
      <c r="I1149" s="16" t="str">
        <f t="shared" si="5"/>
        <v>collected</v>
      </c>
      <c r="J1149" s="16" t="str">
        <f t="shared" si="6"/>
        <v>N</v>
      </c>
      <c r="K1149" s="16"/>
      <c r="L1149" s="16"/>
    </row>
    <row r="1150">
      <c r="A1150" s="40" t="s">
        <v>1647</v>
      </c>
      <c r="B1150" s="10" t="str">
        <f t="shared" si="1"/>
        <v>isotope</v>
      </c>
      <c r="C1150" s="49" t="str">
        <f t="shared" si="2"/>
        <v>S16741IS1</v>
      </c>
      <c r="D1150" s="6">
        <v>37.0</v>
      </c>
      <c r="E1150" s="10" t="str">
        <f t="shared" si="3"/>
        <v>BIS37</v>
      </c>
      <c r="F1150" s="13">
        <v>73.0</v>
      </c>
      <c r="G1150" s="10" t="str">
        <f t="shared" si="8"/>
        <v>BIS37-73</v>
      </c>
      <c r="H1150" s="16"/>
      <c r="I1150" s="16" t="str">
        <f t="shared" si="5"/>
        <v>collected</v>
      </c>
      <c r="J1150" s="16" t="str">
        <f t="shared" si="6"/>
        <v>N</v>
      </c>
      <c r="K1150" s="16"/>
      <c r="L1150" s="16"/>
    </row>
    <row r="1151">
      <c r="A1151" s="40" t="s">
        <v>1648</v>
      </c>
      <c r="B1151" s="10" t="str">
        <f t="shared" si="1"/>
        <v>isotope</v>
      </c>
      <c r="C1151" s="49" t="str">
        <f t="shared" si="2"/>
        <v>S16744IS1</v>
      </c>
      <c r="D1151" s="6">
        <v>37.0</v>
      </c>
      <c r="E1151" s="10" t="str">
        <f t="shared" si="3"/>
        <v>BIS37</v>
      </c>
      <c r="F1151" s="13">
        <v>74.0</v>
      </c>
      <c r="G1151" s="10" t="str">
        <f t="shared" si="8"/>
        <v>BIS37-74</v>
      </c>
      <c r="H1151" s="16"/>
      <c r="I1151" s="16" t="str">
        <f t="shared" si="5"/>
        <v>collected</v>
      </c>
      <c r="J1151" s="16" t="str">
        <f t="shared" si="6"/>
        <v>N</v>
      </c>
      <c r="K1151" s="16"/>
      <c r="L1151" s="16"/>
    </row>
    <row r="1152">
      <c r="A1152" s="40" t="s">
        <v>1649</v>
      </c>
      <c r="B1152" s="10" t="str">
        <f t="shared" si="1"/>
        <v>isotope</v>
      </c>
      <c r="C1152" s="49" t="str">
        <f t="shared" si="2"/>
        <v>S16743IS1</v>
      </c>
      <c r="D1152" s="6">
        <v>37.0</v>
      </c>
      <c r="E1152" s="10" t="str">
        <f t="shared" si="3"/>
        <v>BIS37</v>
      </c>
      <c r="F1152" s="13">
        <v>75.0</v>
      </c>
      <c r="G1152" s="10" t="str">
        <f t="shared" si="8"/>
        <v>BIS37-75</v>
      </c>
      <c r="H1152" s="16"/>
      <c r="I1152" s="16" t="str">
        <f t="shared" si="5"/>
        <v>collected</v>
      </c>
      <c r="J1152" s="16" t="str">
        <f t="shared" si="6"/>
        <v>N</v>
      </c>
      <c r="K1152" s="16"/>
      <c r="L1152" s="16"/>
    </row>
    <row r="1153">
      <c r="A1153" s="40" t="s">
        <v>1650</v>
      </c>
      <c r="B1153" s="10" t="str">
        <f t="shared" si="1"/>
        <v>isotope</v>
      </c>
      <c r="C1153" s="49" t="str">
        <f t="shared" si="2"/>
        <v>S16747IS1</v>
      </c>
      <c r="D1153" s="6">
        <v>37.0</v>
      </c>
      <c r="E1153" s="10" t="str">
        <f t="shared" si="3"/>
        <v>BIS37</v>
      </c>
      <c r="F1153" s="13">
        <v>76.0</v>
      </c>
      <c r="G1153" s="10" t="str">
        <f t="shared" si="8"/>
        <v>BIS37-76</v>
      </c>
      <c r="H1153" s="16"/>
      <c r="I1153" s="16" t="str">
        <f t="shared" si="5"/>
        <v>collected</v>
      </c>
      <c r="J1153" s="16" t="str">
        <f t="shared" si="6"/>
        <v>N</v>
      </c>
      <c r="K1153" s="16"/>
      <c r="L1153" s="16"/>
    </row>
    <row r="1154">
      <c r="A1154" s="40" t="s">
        <v>1652</v>
      </c>
      <c r="B1154" s="10" t="str">
        <f t="shared" si="1"/>
        <v>isotope</v>
      </c>
      <c r="C1154" s="49" t="str">
        <f t="shared" si="2"/>
        <v>S16749IS1</v>
      </c>
      <c r="D1154" s="6">
        <v>37.0</v>
      </c>
      <c r="E1154" s="10" t="str">
        <f t="shared" si="3"/>
        <v>BIS37</v>
      </c>
      <c r="F1154" s="13">
        <v>77.0</v>
      </c>
      <c r="G1154" s="10" t="str">
        <f t="shared" si="8"/>
        <v>BIS37-77</v>
      </c>
      <c r="H1154" s="16"/>
      <c r="I1154" s="16" t="str">
        <f t="shared" si="5"/>
        <v>collected</v>
      </c>
      <c r="J1154" s="16" t="str">
        <f t="shared" si="6"/>
        <v>N</v>
      </c>
      <c r="K1154" s="16"/>
      <c r="L1154" s="16"/>
    </row>
    <row r="1155">
      <c r="A1155" s="40" t="s">
        <v>1653</v>
      </c>
      <c r="B1155" s="10" t="str">
        <f t="shared" si="1"/>
        <v>isotope</v>
      </c>
      <c r="C1155" s="49" t="str">
        <f t="shared" si="2"/>
        <v>S16746IS1</v>
      </c>
      <c r="D1155" s="6">
        <v>37.0</v>
      </c>
      <c r="E1155" s="10" t="str">
        <f t="shared" si="3"/>
        <v>BIS37</v>
      </c>
      <c r="F1155" s="13">
        <v>78.0</v>
      </c>
      <c r="G1155" s="10" t="str">
        <f t="shared" si="8"/>
        <v>BIS37-78</v>
      </c>
      <c r="H1155" s="16"/>
      <c r="I1155" s="16" t="str">
        <f t="shared" si="5"/>
        <v>collected</v>
      </c>
      <c r="J1155" s="16" t="str">
        <f t="shared" si="6"/>
        <v>N</v>
      </c>
      <c r="K1155" s="16"/>
      <c r="L1155" s="16"/>
    </row>
    <row r="1156">
      <c r="A1156" s="40" t="s">
        <v>1654</v>
      </c>
      <c r="B1156" s="10" t="str">
        <f t="shared" si="1"/>
        <v>isotope</v>
      </c>
      <c r="C1156" s="49" t="str">
        <f t="shared" si="2"/>
        <v>S16287IS1</v>
      </c>
      <c r="D1156" s="6">
        <v>37.0</v>
      </c>
      <c r="E1156" s="10" t="str">
        <f t="shared" si="3"/>
        <v>BIS37</v>
      </c>
      <c r="F1156" s="13">
        <v>79.0</v>
      </c>
      <c r="G1156" s="10" t="str">
        <f t="shared" si="8"/>
        <v>BIS37-79</v>
      </c>
      <c r="H1156" s="16"/>
      <c r="I1156" s="16" t="str">
        <f t="shared" si="5"/>
        <v>collected</v>
      </c>
      <c r="J1156" s="16" t="str">
        <f t="shared" si="6"/>
        <v>N</v>
      </c>
      <c r="K1156" s="16"/>
      <c r="L1156" s="16"/>
    </row>
    <row r="1157">
      <c r="A1157" s="40" t="s">
        <v>1655</v>
      </c>
      <c r="B1157" s="10" t="str">
        <f t="shared" si="1"/>
        <v>isotope</v>
      </c>
      <c r="C1157" s="49" t="str">
        <f t="shared" si="2"/>
        <v>S16286IS1</v>
      </c>
      <c r="D1157" s="6">
        <v>37.0</v>
      </c>
      <c r="E1157" s="10" t="str">
        <f t="shared" si="3"/>
        <v>BIS37</v>
      </c>
      <c r="F1157" s="13">
        <v>80.0</v>
      </c>
      <c r="G1157" s="10" t="str">
        <f t="shared" si="8"/>
        <v>BIS37-80</v>
      </c>
      <c r="H1157" s="16"/>
      <c r="I1157" s="16" t="str">
        <f t="shared" si="5"/>
        <v>collected</v>
      </c>
      <c r="J1157" s="16" t="str">
        <f t="shared" si="6"/>
        <v>N</v>
      </c>
      <c r="K1157" s="16"/>
      <c r="L1157" s="16"/>
    </row>
    <row r="1158">
      <c r="A1158" s="40" t="s">
        <v>1656</v>
      </c>
      <c r="B1158" s="10" t="str">
        <f t="shared" si="1"/>
        <v>isotope</v>
      </c>
      <c r="C1158" s="49" t="str">
        <f t="shared" si="2"/>
        <v>S16285IS1</v>
      </c>
      <c r="D1158" s="6">
        <v>37.0</v>
      </c>
      <c r="E1158" s="10" t="str">
        <f t="shared" si="3"/>
        <v>BIS37</v>
      </c>
      <c r="F1158" s="13">
        <v>81.0</v>
      </c>
      <c r="G1158" s="10" t="str">
        <f t="shared" si="8"/>
        <v>BIS37-81</v>
      </c>
      <c r="H1158" s="16"/>
      <c r="I1158" s="16" t="str">
        <f t="shared" si="5"/>
        <v>collected</v>
      </c>
      <c r="J1158" s="16" t="str">
        <f t="shared" si="6"/>
        <v>N</v>
      </c>
      <c r="K1158" s="16"/>
      <c r="L1158" s="16"/>
    </row>
    <row r="1159">
      <c r="A1159" s="40" t="s">
        <v>1658</v>
      </c>
      <c r="B1159" s="10" t="str">
        <f t="shared" si="1"/>
        <v>isotope</v>
      </c>
      <c r="C1159" s="49" t="str">
        <f t="shared" si="2"/>
        <v>S16288IS1</v>
      </c>
      <c r="D1159" s="6">
        <v>38.0</v>
      </c>
      <c r="E1159" s="10" t="str">
        <f t="shared" si="3"/>
        <v>BIS38</v>
      </c>
      <c r="F1159" s="13">
        <v>1.0</v>
      </c>
      <c r="G1159" s="10" t="str">
        <f t="shared" si="8"/>
        <v>BIS38-1</v>
      </c>
      <c r="H1159" s="16"/>
      <c r="I1159" s="16" t="str">
        <f t="shared" si="5"/>
        <v>collected</v>
      </c>
      <c r="J1159" s="16" t="str">
        <f t="shared" si="6"/>
        <v>N</v>
      </c>
      <c r="K1159" s="16"/>
      <c r="L1159" s="16"/>
    </row>
    <row r="1160">
      <c r="A1160" s="40" t="s">
        <v>1659</v>
      </c>
      <c r="B1160" s="10" t="str">
        <f t="shared" si="1"/>
        <v>isotope</v>
      </c>
      <c r="C1160" s="49" t="str">
        <f t="shared" si="2"/>
        <v>S16290IS1</v>
      </c>
      <c r="D1160" s="6">
        <v>38.0</v>
      </c>
      <c r="E1160" s="10" t="str">
        <f t="shared" si="3"/>
        <v>BIS38</v>
      </c>
      <c r="F1160" s="13">
        <v>2.0</v>
      </c>
      <c r="G1160" s="10" t="str">
        <f t="shared" si="8"/>
        <v>BIS38-2</v>
      </c>
      <c r="H1160" s="16"/>
      <c r="I1160" s="16" t="str">
        <f t="shared" si="5"/>
        <v>collected</v>
      </c>
      <c r="J1160" s="16" t="str">
        <f t="shared" si="6"/>
        <v>N</v>
      </c>
      <c r="K1160" s="16"/>
      <c r="L1160" s="16"/>
    </row>
    <row r="1161">
      <c r="A1161" s="40" t="s">
        <v>1660</v>
      </c>
      <c r="B1161" s="10" t="str">
        <f t="shared" si="1"/>
        <v>isotope</v>
      </c>
      <c r="C1161" s="49" t="str">
        <f t="shared" si="2"/>
        <v>S16281IS1</v>
      </c>
      <c r="D1161" s="6">
        <v>38.0</v>
      </c>
      <c r="E1161" s="10" t="str">
        <f t="shared" si="3"/>
        <v>BIS38</v>
      </c>
      <c r="F1161" s="13">
        <v>3.0</v>
      </c>
      <c r="G1161" s="10" t="str">
        <f t="shared" si="8"/>
        <v>BIS38-3</v>
      </c>
      <c r="H1161" s="16"/>
      <c r="I1161" s="16" t="str">
        <f t="shared" si="5"/>
        <v>collected</v>
      </c>
      <c r="J1161" s="16" t="str">
        <f t="shared" si="6"/>
        <v>N</v>
      </c>
      <c r="K1161" s="16"/>
      <c r="L1161" s="16"/>
    </row>
    <row r="1162">
      <c r="A1162" s="40" t="s">
        <v>1661</v>
      </c>
      <c r="B1162" s="10" t="str">
        <f t="shared" si="1"/>
        <v>isotope</v>
      </c>
      <c r="C1162" s="49" t="str">
        <f t="shared" si="2"/>
        <v>S16284IS1</v>
      </c>
      <c r="D1162" s="6">
        <v>38.0</v>
      </c>
      <c r="E1162" s="10" t="str">
        <f t="shared" si="3"/>
        <v>BIS38</v>
      </c>
      <c r="F1162" s="13">
        <v>4.0</v>
      </c>
      <c r="G1162" s="10" t="str">
        <f t="shared" si="8"/>
        <v>BIS38-4</v>
      </c>
      <c r="H1162" s="16"/>
      <c r="I1162" s="16" t="str">
        <f t="shared" si="5"/>
        <v>collected</v>
      </c>
      <c r="J1162" s="16" t="str">
        <f t="shared" si="6"/>
        <v>N</v>
      </c>
      <c r="K1162" s="16"/>
      <c r="L1162" s="16"/>
    </row>
    <row r="1163">
      <c r="A1163" s="40" t="s">
        <v>1663</v>
      </c>
      <c r="B1163" s="10" t="str">
        <f t="shared" si="1"/>
        <v>isotope</v>
      </c>
      <c r="C1163" s="49" t="str">
        <f t="shared" si="2"/>
        <v>S16282IS1</v>
      </c>
      <c r="D1163" s="6">
        <v>38.0</v>
      </c>
      <c r="E1163" s="10" t="str">
        <f t="shared" si="3"/>
        <v>BIS38</v>
      </c>
      <c r="F1163" s="13">
        <v>5.0</v>
      </c>
      <c r="G1163" s="10" t="str">
        <f t="shared" si="8"/>
        <v>BIS38-5</v>
      </c>
      <c r="H1163" s="16"/>
      <c r="I1163" s="16" t="str">
        <f t="shared" si="5"/>
        <v>collected</v>
      </c>
      <c r="J1163" s="16" t="str">
        <f t="shared" si="6"/>
        <v>N</v>
      </c>
      <c r="K1163" s="16"/>
      <c r="L1163" s="16"/>
    </row>
    <row r="1164">
      <c r="A1164" s="40" t="s">
        <v>1664</v>
      </c>
      <c r="B1164" s="10" t="str">
        <f t="shared" si="1"/>
        <v>isotope</v>
      </c>
      <c r="C1164" s="49" t="str">
        <f t="shared" si="2"/>
        <v>S16283IS1</v>
      </c>
      <c r="D1164" s="6">
        <v>38.0</v>
      </c>
      <c r="E1164" s="10" t="str">
        <f t="shared" si="3"/>
        <v>BIS38</v>
      </c>
      <c r="F1164" s="13">
        <v>6.0</v>
      </c>
      <c r="G1164" s="10" t="str">
        <f t="shared" si="8"/>
        <v>BIS38-6</v>
      </c>
      <c r="H1164" s="16"/>
      <c r="I1164" s="16" t="str">
        <f t="shared" si="5"/>
        <v>collected</v>
      </c>
      <c r="J1164" s="16" t="str">
        <f t="shared" si="6"/>
        <v>N</v>
      </c>
      <c r="K1164" s="16"/>
      <c r="L1164" s="16"/>
    </row>
    <row r="1165">
      <c r="A1165" s="40" t="s">
        <v>1665</v>
      </c>
      <c r="B1165" s="10" t="str">
        <f t="shared" si="1"/>
        <v>isotope</v>
      </c>
      <c r="C1165" s="49" t="str">
        <f t="shared" si="2"/>
        <v>S16289IS1</v>
      </c>
      <c r="D1165" s="6">
        <v>38.0</v>
      </c>
      <c r="E1165" s="10" t="str">
        <f t="shared" si="3"/>
        <v>BIS38</v>
      </c>
      <c r="F1165" s="13">
        <v>7.0</v>
      </c>
      <c r="G1165" s="10" t="str">
        <f t="shared" si="8"/>
        <v>BIS38-7</v>
      </c>
      <c r="H1165" s="16"/>
      <c r="I1165" s="16" t="str">
        <f t="shared" si="5"/>
        <v>collected</v>
      </c>
      <c r="J1165" s="16" t="str">
        <f t="shared" si="6"/>
        <v>N</v>
      </c>
      <c r="K1165" s="16"/>
      <c r="L1165" s="16"/>
    </row>
    <row r="1166">
      <c r="A1166" s="40" t="s">
        <v>1666</v>
      </c>
      <c r="B1166" s="10" t="str">
        <f t="shared" si="1"/>
        <v>isotope</v>
      </c>
      <c r="C1166" s="49" t="str">
        <f t="shared" si="2"/>
        <v>S16615IS1</v>
      </c>
      <c r="D1166" s="6">
        <v>38.0</v>
      </c>
      <c r="E1166" s="10" t="str">
        <f t="shared" si="3"/>
        <v>BIS38</v>
      </c>
      <c r="F1166" s="13">
        <v>8.0</v>
      </c>
      <c r="G1166" s="10" t="str">
        <f t="shared" si="8"/>
        <v>BIS38-8</v>
      </c>
      <c r="H1166" s="16"/>
      <c r="I1166" s="16" t="str">
        <f t="shared" si="5"/>
        <v>collected</v>
      </c>
      <c r="J1166" s="16" t="str">
        <f t="shared" si="6"/>
        <v>N</v>
      </c>
      <c r="K1166" s="16"/>
      <c r="L1166" s="16"/>
    </row>
    <row r="1167">
      <c r="A1167" s="40" t="s">
        <v>1667</v>
      </c>
      <c r="B1167" s="10" t="str">
        <f t="shared" si="1"/>
        <v>isotope</v>
      </c>
      <c r="C1167" s="49" t="str">
        <f t="shared" si="2"/>
        <v>S16620IS1</v>
      </c>
      <c r="D1167" s="6">
        <v>38.0</v>
      </c>
      <c r="E1167" s="10" t="str">
        <f t="shared" si="3"/>
        <v>BIS38</v>
      </c>
      <c r="F1167" s="13">
        <v>9.0</v>
      </c>
      <c r="G1167" s="10" t="str">
        <f t="shared" si="8"/>
        <v>BIS38-9</v>
      </c>
      <c r="H1167" s="16"/>
      <c r="I1167" s="16" t="str">
        <f t="shared" si="5"/>
        <v>collected</v>
      </c>
      <c r="J1167" s="16" t="str">
        <f t="shared" si="6"/>
        <v>N</v>
      </c>
      <c r="K1167" s="16"/>
      <c r="L1167" s="16"/>
    </row>
    <row r="1168">
      <c r="A1168" s="40" t="s">
        <v>1669</v>
      </c>
      <c r="B1168" s="10" t="str">
        <f t="shared" si="1"/>
        <v>isotope</v>
      </c>
      <c r="C1168" s="49" t="str">
        <f t="shared" si="2"/>
        <v>S16614IS1</v>
      </c>
      <c r="D1168" s="6">
        <v>38.0</v>
      </c>
      <c r="E1168" s="10" t="str">
        <f t="shared" si="3"/>
        <v>BIS38</v>
      </c>
      <c r="F1168" s="13">
        <v>10.0</v>
      </c>
      <c r="G1168" s="10" t="str">
        <f t="shared" si="8"/>
        <v>BIS38-10</v>
      </c>
      <c r="H1168" s="16"/>
      <c r="I1168" s="16" t="str">
        <f t="shared" si="5"/>
        <v>collected</v>
      </c>
      <c r="J1168" s="16" t="str">
        <f t="shared" si="6"/>
        <v>N</v>
      </c>
      <c r="K1168" s="16"/>
      <c r="L1168" s="16"/>
    </row>
    <row r="1169">
      <c r="A1169" s="40" t="s">
        <v>1670</v>
      </c>
      <c r="B1169" s="10" t="str">
        <f t="shared" si="1"/>
        <v>isotope</v>
      </c>
      <c r="C1169" s="49" t="str">
        <f t="shared" si="2"/>
        <v>S16613IS1</v>
      </c>
      <c r="D1169" s="6">
        <v>38.0</v>
      </c>
      <c r="E1169" s="10" t="str">
        <f t="shared" si="3"/>
        <v>BIS38</v>
      </c>
      <c r="F1169" s="13">
        <v>11.0</v>
      </c>
      <c r="G1169" s="10" t="str">
        <f t="shared" si="8"/>
        <v>BIS38-11</v>
      </c>
      <c r="H1169" s="16"/>
      <c r="I1169" s="16" t="str">
        <f t="shared" si="5"/>
        <v>collected</v>
      </c>
      <c r="J1169" s="16" t="str">
        <f t="shared" si="6"/>
        <v>N</v>
      </c>
      <c r="K1169" s="16"/>
      <c r="L1169" s="16"/>
    </row>
    <row r="1170">
      <c r="A1170" s="40" t="s">
        <v>1671</v>
      </c>
      <c r="B1170" s="10" t="str">
        <f t="shared" si="1"/>
        <v>isotope</v>
      </c>
      <c r="C1170" s="49" t="str">
        <f t="shared" si="2"/>
        <v>S16616IS1</v>
      </c>
      <c r="D1170" s="6">
        <v>38.0</v>
      </c>
      <c r="E1170" s="10" t="str">
        <f t="shared" si="3"/>
        <v>BIS38</v>
      </c>
      <c r="F1170" s="13">
        <v>12.0</v>
      </c>
      <c r="G1170" s="10" t="str">
        <f t="shared" si="8"/>
        <v>BIS38-12</v>
      </c>
      <c r="H1170" s="16"/>
      <c r="I1170" s="16" t="str">
        <f t="shared" si="5"/>
        <v>collected</v>
      </c>
      <c r="J1170" s="16" t="str">
        <f t="shared" si="6"/>
        <v>N</v>
      </c>
      <c r="K1170" s="16"/>
      <c r="L1170" s="16"/>
    </row>
    <row r="1171">
      <c r="A1171" s="40" t="s">
        <v>1672</v>
      </c>
      <c r="B1171" s="10" t="str">
        <f t="shared" si="1"/>
        <v>isotope</v>
      </c>
      <c r="C1171" s="49" t="str">
        <f t="shared" si="2"/>
        <v>S16618IS1</v>
      </c>
      <c r="D1171" s="6">
        <v>38.0</v>
      </c>
      <c r="E1171" s="10" t="str">
        <f t="shared" si="3"/>
        <v>BIS38</v>
      </c>
      <c r="F1171" s="13">
        <v>13.0</v>
      </c>
      <c r="G1171" s="10" t="str">
        <f t="shared" si="8"/>
        <v>BIS38-13</v>
      </c>
      <c r="H1171" s="16"/>
      <c r="I1171" s="16" t="str">
        <f t="shared" si="5"/>
        <v>collected</v>
      </c>
      <c r="J1171" s="16" t="str">
        <f t="shared" si="6"/>
        <v>N</v>
      </c>
      <c r="K1171" s="16"/>
      <c r="L1171" s="16"/>
    </row>
    <row r="1172">
      <c r="A1172" s="40" t="s">
        <v>1674</v>
      </c>
      <c r="B1172" s="10" t="str">
        <f t="shared" si="1"/>
        <v>isotope</v>
      </c>
      <c r="C1172" s="49" t="str">
        <f t="shared" si="2"/>
        <v>S16612IS1</v>
      </c>
      <c r="D1172" s="6">
        <v>38.0</v>
      </c>
      <c r="E1172" s="10" t="str">
        <f t="shared" si="3"/>
        <v>BIS38</v>
      </c>
      <c r="F1172" s="13">
        <v>14.0</v>
      </c>
      <c r="G1172" s="10" t="str">
        <f t="shared" si="8"/>
        <v>BIS38-14</v>
      </c>
      <c r="H1172" s="16"/>
      <c r="I1172" s="16" t="str">
        <f t="shared" si="5"/>
        <v>collected</v>
      </c>
      <c r="J1172" s="16" t="str">
        <f t="shared" si="6"/>
        <v>N</v>
      </c>
      <c r="K1172" s="16"/>
      <c r="L1172" s="16"/>
    </row>
    <row r="1173">
      <c r="A1173" s="40" t="s">
        <v>1675</v>
      </c>
      <c r="B1173" s="10" t="str">
        <f t="shared" si="1"/>
        <v>isotope</v>
      </c>
      <c r="C1173" s="49" t="str">
        <f t="shared" si="2"/>
        <v>S16617IS1</v>
      </c>
      <c r="D1173" s="6">
        <v>38.0</v>
      </c>
      <c r="E1173" s="10" t="str">
        <f t="shared" si="3"/>
        <v>BIS38</v>
      </c>
      <c r="F1173" s="13">
        <v>15.0</v>
      </c>
      <c r="G1173" s="10" t="str">
        <f t="shared" si="8"/>
        <v>BIS38-15</v>
      </c>
      <c r="H1173" s="16"/>
      <c r="I1173" s="16" t="str">
        <f t="shared" si="5"/>
        <v>collected</v>
      </c>
      <c r="J1173" s="16" t="str">
        <f t="shared" si="6"/>
        <v>N</v>
      </c>
      <c r="K1173" s="16"/>
      <c r="L1173" s="16"/>
    </row>
    <row r="1174">
      <c r="A1174" s="40" t="s">
        <v>1676</v>
      </c>
      <c r="B1174" s="10" t="str">
        <f t="shared" si="1"/>
        <v>isotope</v>
      </c>
      <c r="C1174" s="49" t="str">
        <f t="shared" si="2"/>
        <v>S16611IS1</v>
      </c>
      <c r="D1174" s="6">
        <v>38.0</v>
      </c>
      <c r="E1174" s="10" t="str">
        <f t="shared" si="3"/>
        <v>BIS38</v>
      </c>
      <c r="F1174" s="13">
        <v>16.0</v>
      </c>
      <c r="G1174" s="10" t="str">
        <f t="shared" si="8"/>
        <v>BIS38-16</v>
      </c>
      <c r="H1174" s="16"/>
      <c r="I1174" s="16" t="str">
        <f t="shared" si="5"/>
        <v>collected</v>
      </c>
      <c r="J1174" s="16" t="str">
        <f t="shared" si="6"/>
        <v>N</v>
      </c>
      <c r="K1174" s="16"/>
      <c r="L1174" s="16"/>
    </row>
    <row r="1175">
      <c r="A1175" s="40" t="s">
        <v>1677</v>
      </c>
      <c r="B1175" s="10" t="str">
        <f t="shared" si="1"/>
        <v>isotope</v>
      </c>
      <c r="C1175" s="49" t="str">
        <f t="shared" si="2"/>
        <v>S16619IS1</v>
      </c>
      <c r="D1175" s="6">
        <v>38.0</v>
      </c>
      <c r="E1175" s="10" t="str">
        <f t="shared" si="3"/>
        <v>BIS38</v>
      </c>
      <c r="F1175" s="13">
        <v>17.0</v>
      </c>
      <c r="G1175" s="10" t="str">
        <f t="shared" si="8"/>
        <v>BIS38-17</v>
      </c>
      <c r="H1175" s="16"/>
      <c r="I1175" s="16" t="str">
        <f t="shared" si="5"/>
        <v>collected</v>
      </c>
      <c r="J1175" s="16" t="str">
        <f t="shared" si="6"/>
        <v>N</v>
      </c>
      <c r="K1175" s="16"/>
      <c r="L1175" s="16"/>
    </row>
    <row r="1176">
      <c r="A1176" s="40" t="s">
        <v>1678</v>
      </c>
      <c r="B1176" s="10" t="str">
        <f t="shared" si="1"/>
        <v>isotope</v>
      </c>
      <c r="C1176" s="49" t="str">
        <f t="shared" si="2"/>
        <v>S16059IS1</v>
      </c>
      <c r="D1176" s="6">
        <v>38.0</v>
      </c>
      <c r="E1176" s="10" t="str">
        <f t="shared" si="3"/>
        <v>BIS38</v>
      </c>
      <c r="F1176" s="13">
        <v>18.0</v>
      </c>
      <c r="G1176" s="10" t="str">
        <f t="shared" si="8"/>
        <v>BIS38-18</v>
      </c>
      <c r="H1176" s="16"/>
      <c r="I1176" s="16" t="str">
        <f t="shared" si="5"/>
        <v>collected</v>
      </c>
      <c r="J1176" s="16" t="str">
        <f t="shared" si="6"/>
        <v>N</v>
      </c>
      <c r="K1176" s="16"/>
      <c r="L1176" s="16"/>
    </row>
    <row r="1177">
      <c r="A1177" s="40" t="s">
        <v>1680</v>
      </c>
      <c r="B1177" s="10" t="str">
        <f t="shared" si="1"/>
        <v>isotope</v>
      </c>
      <c r="C1177" s="49" t="str">
        <f t="shared" si="2"/>
        <v>S16057IS1</v>
      </c>
      <c r="D1177" s="6">
        <v>38.0</v>
      </c>
      <c r="E1177" s="10" t="str">
        <f t="shared" si="3"/>
        <v>BIS38</v>
      </c>
      <c r="F1177" s="13">
        <v>19.0</v>
      </c>
      <c r="G1177" s="10" t="str">
        <f t="shared" si="8"/>
        <v>BIS38-19</v>
      </c>
      <c r="H1177" s="16"/>
      <c r="I1177" s="16" t="str">
        <f t="shared" si="5"/>
        <v>collected</v>
      </c>
      <c r="J1177" s="16" t="str">
        <f t="shared" si="6"/>
        <v>N</v>
      </c>
      <c r="K1177" s="16"/>
      <c r="L1177" s="16"/>
    </row>
    <row r="1178">
      <c r="A1178" s="40" t="s">
        <v>1681</v>
      </c>
      <c r="B1178" s="10" t="str">
        <f t="shared" si="1"/>
        <v>isotope</v>
      </c>
      <c r="C1178" s="49" t="str">
        <f t="shared" si="2"/>
        <v>S16058IS1</v>
      </c>
      <c r="D1178" s="6">
        <v>38.0</v>
      </c>
      <c r="E1178" s="10" t="str">
        <f t="shared" si="3"/>
        <v>BIS38</v>
      </c>
      <c r="F1178" s="13">
        <v>20.0</v>
      </c>
      <c r="G1178" s="10" t="str">
        <f t="shared" si="8"/>
        <v>BIS38-20</v>
      </c>
      <c r="H1178" s="16"/>
      <c r="I1178" s="16" t="str">
        <f t="shared" si="5"/>
        <v>collected</v>
      </c>
      <c r="J1178" s="16" t="str">
        <f t="shared" si="6"/>
        <v>N</v>
      </c>
      <c r="K1178" s="16"/>
      <c r="L1178" s="16"/>
    </row>
    <row r="1179">
      <c r="A1179" s="40" t="s">
        <v>1682</v>
      </c>
      <c r="B1179" s="10" t="str">
        <f t="shared" si="1"/>
        <v>isotope</v>
      </c>
      <c r="C1179" s="49" t="str">
        <f t="shared" si="2"/>
        <v>S16052IS1</v>
      </c>
      <c r="D1179" s="6">
        <v>38.0</v>
      </c>
      <c r="E1179" s="10" t="str">
        <f t="shared" si="3"/>
        <v>BIS38</v>
      </c>
      <c r="F1179" s="13">
        <v>21.0</v>
      </c>
      <c r="G1179" s="10" t="str">
        <f t="shared" si="8"/>
        <v>BIS38-21</v>
      </c>
      <c r="H1179" s="16"/>
      <c r="I1179" s="16" t="str">
        <f t="shared" si="5"/>
        <v>collected</v>
      </c>
      <c r="J1179" s="16" t="str">
        <f t="shared" si="6"/>
        <v>N</v>
      </c>
      <c r="K1179" s="16"/>
      <c r="L1179" s="16"/>
    </row>
    <row r="1180">
      <c r="A1180" s="40" t="s">
        <v>1683</v>
      </c>
      <c r="B1180" s="10" t="str">
        <f t="shared" si="1"/>
        <v>isotope</v>
      </c>
      <c r="C1180" s="49" t="str">
        <f t="shared" si="2"/>
        <v>S16060IS1</v>
      </c>
      <c r="D1180" s="6">
        <v>38.0</v>
      </c>
      <c r="E1180" s="10" t="str">
        <f t="shared" si="3"/>
        <v>BIS38</v>
      </c>
      <c r="F1180" s="13">
        <v>22.0</v>
      </c>
      <c r="G1180" s="10" t="str">
        <f t="shared" si="8"/>
        <v>BIS38-22</v>
      </c>
      <c r="H1180" s="16"/>
      <c r="I1180" s="16" t="str">
        <f t="shared" si="5"/>
        <v>collected</v>
      </c>
      <c r="J1180" s="16" t="str">
        <f t="shared" si="6"/>
        <v>N</v>
      </c>
      <c r="K1180" s="16"/>
      <c r="L1180" s="16"/>
    </row>
    <row r="1181">
      <c r="A1181" s="40" t="s">
        <v>1684</v>
      </c>
      <c r="B1181" s="10" t="str">
        <f t="shared" si="1"/>
        <v>isotope</v>
      </c>
      <c r="C1181" s="49" t="str">
        <f t="shared" si="2"/>
        <v>S16055IS1</v>
      </c>
      <c r="D1181" s="6">
        <v>38.0</v>
      </c>
      <c r="E1181" s="10" t="str">
        <f t="shared" si="3"/>
        <v>BIS38</v>
      </c>
      <c r="F1181" s="13">
        <v>23.0</v>
      </c>
      <c r="G1181" s="10" t="str">
        <f t="shared" si="8"/>
        <v>BIS38-23</v>
      </c>
      <c r="H1181" s="16"/>
      <c r="I1181" s="16" t="str">
        <f t="shared" si="5"/>
        <v>collected</v>
      </c>
      <c r="J1181" s="16" t="str">
        <f t="shared" si="6"/>
        <v>N</v>
      </c>
      <c r="K1181" s="16"/>
      <c r="L1181" s="16"/>
    </row>
    <row r="1182">
      <c r="A1182" s="40" t="s">
        <v>1686</v>
      </c>
      <c r="B1182" s="10" t="str">
        <f t="shared" si="1"/>
        <v>isotope</v>
      </c>
      <c r="C1182" s="49" t="str">
        <f t="shared" si="2"/>
        <v>S16056IS1</v>
      </c>
      <c r="D1182" s="6">
        <v>38.0</v>
      </c>
      <c r="E1182" s="10" t="str">
        <f t="shared" si="3"/>
        <v>BIS38</v>
      </c>
      <c r="F1182" s="13">
        <v>24.0</v>
      </c>
      <c r="G1182" s="10" t="str">
        <f t="shared" si="8"/>
        <v>BIS38-24</v>
      </c>
      <c r="H1182" s="16"/>
      <c r="I1182" s="16" t="str">
        <f t="shared" si="5"/>
        <v>collected</v>
      </c>
      <c r="J1182" s="16" t="str">
        <f t="shared" si="6"/>
        <v>N</v>
      </c>
      <c r="K1182" s="16"/>
      <c r="L1182" s="16"/>
    </row>
    <row r="1183">
      <c r="A1183" s="40" t="s">
        <v>1687</v>
      </c>
      <c r="B1183" s="10" t="str">
        <f t="shared" si="1"/>
        <v>isotope</v>
      </c>
      <c r="C1183" s="49" t="str">
        <f t="shared" si="2"/>
        <v>S16053IS1</v>
      </c>
      <c r="D1183" s="6">
        <v>38.0</v>
      </c>
      <c r="E1183" s="10" t="str">
        <f t="shared" si="3"/>
        <v>BIS38</v>
      </c>
      <c r="F1183" s="13">
        <v>25.0</v>
      </c>
      <c r="G1183" s="10" t="str">
        <f t="shared" si="8"/>
        <v>BIS38-25</v>
      </c>
      <c r="H1183" s="16"/>
      <c r="I1183" s="16" t="str">
        <f t="shared" si="5"/>
        <v>collected</v>
      </c>
      <c r="J1183" s="16" t="str">
        <f t="shared" si="6"/>
        <v>N</v>
      </c>
      <c r="K1183" s="16"/>
      <c r="L1183" s="16"/>
    </row>
    <row r="1184">
      <c r="A1184" s="40" t="s">
        <v>1688</v>
      </c>
      <c r="B1184" s="10" t="str">
        <f t="shared" si="1"/>
        <v>isotope</v>
      </c>
      <c r="C1184" s="49" t="str">
        <f t="shared" si="2"/>
        <v>S16054IS1</v>
      </c>
      <c r="D1184" s="6">
        <v>38.0</v>
      </c>
      <c r="E1184" s="10" t="str">
        <f t="shared" si="3"/>
        <v>BIS38</v>
      </c>
      <c r="F1184" s="13">
        <v>26.0</v>
      </c>
      <c r="G1184" s="10" t="str">
        <f t="shared" si="8"/>
        <v>BIS38-26</v>
      </c>
      <c r="H1184" s="16"/>
      <c r="I1184" s="16" t="str">
        <f t="shared" si="5"/>
        <v>collected</v>
      </c>
      <c r="J1184" s="16" t="str">
        <f t="shared" si="6"/>
        <v>N</v>
      </c>
      <c r="K1184" s="16"/>
      <c r="L1184" s="16"/>
    </row>
    <row r="1185">
      <c r="A1185" s="40" t="s">
        <v>1690</v>
      </c>
      <c r="B1185" s="10" t="str">
        <f t="shared" si="1"/>
        <v>isotope</v>
      </c>
      <c r="C1185" s="49" t="str">
        <f t="shared" si="2"/>
        <v>S16051IS1</v>
      </c>
      <c r="D1185" s="6">
        <v>38.0</v>
      </c>
      <c r="E1185" s="10" t="str">
        <f t="shared" si="3"/>
        <v>BIS38</v>
      </c>
      <c r="F1185" s="13">
        <v>27.0</v>
      </c>
      <c r="G1185" s="10" t="str">
        <f t="shared" si="8"/>
        <v>BIS38-27</v>
      </c>
      <c r="H1185" s="16"/>
      <c r="I1185" s="16" t="str">
        <f t="shared" si="5"/>
        <v>collected</v>
      </c>
      <c r="J1185" s="16" t="str">
        <f t="shared" si="6"/>
        <v>N</v>
      </c>
      <c r="K1185" s="16"/>
      <c r="L1185" s="16"/>
    </row>
    <row r="1186">
      <c r="A1186" s="40" t="s">
        <v>1691</v>
      </c>
      <c r="B1186" s="10" t="str">
        <f t="shared" si="1"/>
        <v>isotope</v>
      </c>
      <c r="C1186" s="49" t="str">
        <f t="shared" si="2"/>
        <v>S16205IS1</v>
      </c>
      <c r="D1186" s="6">
        <v>38.0</v>
      </c>
      <c r="E1186" s="10" t="str">
        <f t="shared" si="3"/>
        <v>BIS38</v>
      </c>
      <c r="F1186" s="13">
        <v>28.0</v>
      </c>
      <c r="G1186" s="10" t="str">
        <f t="shared" si="8"/>
        <v>BIS38-28</v>
      </c>
      <c r="H1186" s="16"/>
      <c r="I1186" s="16" t="str">
        <f t="shared" si="5"/>
        <v>collected</v>
      </c>
      <c r="J1186" s="16" t="str">
        <f t="shared" si="6"/>
        <v>N</v>
      </c>
      <c r="K1186" s="16"/>
      <c r="L1186" s="16"/>
    </row>
    <row r="1187">
      <c r="A1187" s="40" t="s">
        <v>1692</v>
      </c>
      <c r="B1187" s="10" t="str">
        <f t="shared" si="1"/>
        <v>isotope</v>
      </c>
      <c r="C1187" s="49" t="str">
        <f t="shared" si="2"/>
        <v>S16201IS1</v>
      </c>
      <c r="D1187" s="6">
        <v>38.0</v>
      </c>
      <c r="E1187" s="10" t="str">
        <f t="shared" si="3"/>
        <v>BIS38</v>
      </c>
      <c r="F1187" s="13">
        <v>29.0</v>
      </c>
      <c r="G1187" s="10" t="str">
        <f t="shared" si="8"/>
        <v>BIS38-29</v>
      </c>
      <c r="H1187" s="16"/>
      <c r="I1187" s="16" t="str">
        <f t="shared" si="5"/>
        <v>collected</v>
      </c>
      <c r="J1187" s="16" t="str">
        <f t="shared" si="6"/>
        <v>N</v>
      </c>
      <c r="K1187" s="16"/>
      <c r="L1187" s="16"/>
    </row>
    <row r="1188">
      <c r="A1188" s="40" t="s">
        <v>1693</v>
      </c>
      <c r="B1188" s="10" t="str">
        <f t="shared" si="1"/>
        <v>isotope</v>
      </c>
      <c r="C1188" s="49" t="str">
        <f t="shared" si="2"/>
        <v>S16209IS1</v>
      </c>
      <c r="D1188" s="6">
        <v>38.0</v>
      </c>
      <c r="E1188" s="10" t="str">
        <f t="shared" si="3"/>
        <v>BIS38</v>
      </c>
      <c r="F1188" s="13">
        <v>30.0</v>
      </c>
      <c r="G1188" s="10" t="str">
        <f t="shared" si="8"/>
        <v>BIS38-30</v>
      </c>
      <c r="H1188" s="16"/>
      <c r="I1188" s="16" t="str">
        <f t="shared" si="5"/>
        <v>collected</v>
      </c>
      <c r="J1188" s="16" t="str">
        <f t="shared" si="6"/>
        <v>N</v>
      </c>
      <c r="K1188" s="16"/>
      <c r="L1188" s="16"/>
    </row>
    <row r="1189">
      <c r="A1189" s="40" t="s">
        <v>1695</v>
      </c>
      <c r="B1189" s="10" t="str">
        <f t="shared" si="1"/>
        <v>isotope</v>
      </c>
      <c r="C1189" s="49" t="str">
        <f t="shared" si="2"/>
        <v>S16203IS1</v>
      </c>
      <c r="D1189" s="6">
        <v>38.0</v>
      </c>
      <c r="E1189" s="10" t="str">
        <f t="shared" si="3"/>
        <v>BIS38</v>
      </c>
      <c r="F1189" s="13">
        <v>31.0</v>
      </c>
      <c r="G1189" s="10" t="str">
        <f t="shared" si="8"/>
        <v>BIS38-31</v>
      </c>
      <c r="H1189" s="16"/>
      <c r="I1189" s="16" t="str">
        <f t="shared" si="5"/>
        <v>collected</v>
      </c>
      <c r="J1189" s="16" t="str">
        <f t="shared" si="6"/>
        <v>N</v>
      </c>
      <c r="K1189" s="16"/>
      <c r="L1189" s="16"/>
    </row>
    <row r="1190">
      <c r="A1190" s="40" t="s">
        <v>1696</v>
      </c>
      <c r="B1190" s="10" t="str">
        <f t="shared" si="1"/>
        <v>isotope</v>
      </c>
      <c r="C1190" s="49" t="str">
        <f t="shared" si="2"/>
        <v>S17558IS1</v>
      </c>
      <c r="D1190" s="6">
        <v>36.0</v>
      </c>
      <c r="E1190" s="10" t="str">
        <f t="shared" si="3"/>
        <v>BIS36</v>
      </c>
      <c r="F1190" s="13">
        <v>49.0</v>
      </c>
      <c r="G1190" s="10" t="str">
        <f t="shared" si="8"/>
        <v>BIS36-49</v>
      </c>
      <c r="H1190" s="16"/>
      <c r="I1190" s="16" t="str">
        <f t="shared" si="5"/>
        <v>collected</v>
      </c>
      <c r="J1190" s="16" t="str">
        <f t="shared" si="6"/>
        <v>N</v>
      </c>
      <c r="K1190" s="16"/>
      <c r="L1190" s="16"/>
    </row>
    <row r="1191">
      <c r="A1191" s="40" t="s">
        <v>1697</v>
      </c>
      <c r="B1191" s="10" t="str">
        <f t="shared" si="1"/>
        <v>isotope</v>
      </c>
      <c r="C1191" s="49" t="str">
        <f t="shared" si="2"/>
        <v>S17557IS1</v>
      </c>
      <c r="D1191" s="6">
        <v>36.0</v>
      </c>
      <c r="E1191" s="10" t="str">
        <f t="shared" si="3"/>
        <v>BIS36</v>
      </c>
      <c r="F1191" s="13">
        <v>50.0</v>
      </c>
      <c r="G1191" s="10" t="str">
        <f t="shared" si="8"/>
        <v>BIS36-50</v>
      </c>
      <c r="H1191" s="16"/>
      <c r="I1191" s="16" t="str">
        <f t="shared" si="5"/>
        <v>collected</v>
      </c>
      <c r="J1191" s="16" t="str">
        <f t="shared" si="6"/>
        <v>N</v>
      </c>
      <c r="K1191" s="16"/>
      <c r="L1191" s="16"/>
    </row>
    <row r="1192">
      <c r="A1192" s="40" t="s">
        <v>1698</v>
      </c>
      <c r="B1192" s="10" t="str">
        <f t="shared" si="1"/>
        <v>isotope</v>
      </c>
      <c r="C1192" s="49" t="str">
        <f t="shared" si="2"/>
        <v>S17555IS1</v>
      </c>
      <c r="D1192" s="6">
        <v>36.0</v>
      </c>
      <c r="E1192" s="10" t="str">
        <f t="shared" si="3"/>
        <v>BIS36</v>
      </c>
      <c r="F1192" s="13">
        <v>51.0</v>
      </c>
      <c r="G1192" s="10" t="str">
        <f t="shared" si="8"/>
        <v>BIS36-51</v>
      </c>
      <c r="H1192" s="16"/>
      <c r="I1192" s="16" t="str">
        <f t="shared" si="5"/>
        <v>collected</v>
      </c>
      <c r="J1192" s="16" t="str">
        <f t="shared" si="6"/>
        <v>N</v>
      </c>
      <c r="K1192" s="16"/>
      <c r="L1192" s="16"/>
    </row>
    <row r="1193">
      <c r="A1193" s="40" t="s">
        <v>1699</v>
      </c>
      <c r="B1193" s="10" t="str">
        <f t="shared" si="1"/>
        <v>isotope</v>
      </c>
      <c r="C1193" s="49" t="str">
        <f t="shared" si="2"/>
        <v>S17559IS1</v>
      </c>
      <c r="D1193" s="6">
        <v>36.0</v>
      </c>
      <c r="E1193" s="10" t="str">
        <f t="shared" si="3"/>
        <v>BIS36</v>
      </c>
      <c r="F1193" s="13">
        <v>52.0</v>
      </c>
      <c r="G1193" s="10" t="str">
        <f t="shared" si="8"/>
        <v>BIS36-52</v>
      </c>
      <c r="H1193" s="16"/>
      <c r="I1193" s="16" t="str">
        <f t="shared" si="5"/>
        <v>collected</v>
      </c>
      <c r="J1193" s="16" t="str">
        <f t="shared" si="6"/>
        <v>N</v>
      </c>
      <c r="K1193" s="16"/>
      <c r="L1193" s="16"/>
    </row>
    <row r="1194">
      <c r="A1194" s="40" t="s">
        <v>1701</v>
      </c>
      <c r="B1194" s="10" t="str">
        <f t="shared" si="1"/>
        <v>isotope</v>
      </c>
      <c r="C1194" s="49" t="str">
        <f t="shared" si="2"/>
        <v>S17288IS1</v>
      </c>
      <c r="D1194" s="6">
        <v>36.0</v>
      </c>
      <c r="E1194" s="10" t="str">
        <f t="shared" si="3"/>
        <v>BIS36</v>
      </c>
      <c r="F1194" s="13">
        <v>53.0</v>
      </c>
      <c r="G1194" s="10" t="str">
        <f t="shared" si="8"/>
        <v>BIS36-53</v>
      </c>
      <c r="H1194" s="16"/>
      <c r="I1194" s="16" t="str">
        <f t="shared" si="5"/>
        <v>collected</v>
      </c>
      <c r="J1194" s="16" t="str">
        <f t="shared" si="6"/>
        <v>N</v>
      </c>
      <c r="K1194" s="16"/>
      <c r="L1194" s="16"/>
    </row>
    <row r="1195">
      <c r="A1195" s="40" t="s">
        <v>1702</v>
      </c>
      <c r="B1195" s="10" t="str">
        <f t="shared" si="1"/>
        <v>isotope</v>
      </c>
      <c r="C1195" s="49" t="str">
        <f t="shared" si="2"/>
        <v>S17285IS1</v>
      </c>
      <c r="D1195" s="6">
        <v>36.0</v>
      </c>
      <c r="E1195" s="10" t="str">
        <f t="shared" si="3"/>
        <v>BIS36</v>
      </c>
      <c r="F1195" s="13">
        <v>54.0</v>
      </c>
      <c r="G1195" s="10" t="str">
        <f t="shared" si="8"/>
        <v>BIS36-54</v>
      </c>
      <c r="H1195" s="16"/>
      <c r="I1195" s="16" t="str">
        <f t="shared" si="5"/>
        <v>collected</v>
      </c>
      <c r="J1195" s="16" t="str">
        <f t="shared" si="6"/>
        <v>N</v>
      </c>
      <c r="K1195" s="16"/>
      <c r="L1195" s="16"/>
    </row>
    <row r="1196">
      <c r="A1196" s="40" t="s">
        <v>1703</v>
      </c>
      <c r="B1196" s="10" t="str">
        <f t="shared" si="1"/>
        <v>isotope</v>
      </c>
      <c r="C1196" s="49" t="str">
        <f t="shared" si="2"/>
        <v>S17281IS1</v>
      </c>
      <c r="D1196" s="6">
        <v>36.0</v>
      </c>
      <c r="E1196" s="10" t="str">
        <f t="shared" si="3"/>
        <v>BIS36</v>
      </c>
      <c r="F1196" s="13">
        <v>55.0</v>
      </c>
      <c r="G1196" s="10" t="str">
        <f t="shared" si="8"/>
        <v>BIS36-55</v>
      </c>
      <c r="H1196" s="16"/>
      <c r="I1196" s="16" t="str">
        <f t="shared" si="5"/>
        <v>collected</v>
      </c>
      <c r="J1196" s="16" t="str">
        <f t="shared" si="6"/>
        <v>N</v>
      </c>
      <c r="K1196" s="16"/>
      <c r="L1196" s="16"/>
    </row>
    <row r="1197">
      <c r="A1197" s="40" t="s">
        <v>1704</v>
      </c>
      <c r="B1197" s="10" t="str">
        <f t="shared" si="1"/>
        <v>isotope</v>
      </c>
      <c r="C1197" s="49" t="str">
        <f t="shared" si="2"/>
        <v>S17287IS1</v>
      </c>
      <c r="D1197" s="6">
        <v>36.0</v>
      </c>
      <c r="E1197" s="10" t="str">
        <f t="shared" si="3"/>
        <v>BIS36</v>
      </c>
      <c r="F1197" s="13">
        <v>56.0</v>
      </c>
      <c r="G1197" s="10" t="str">
        <f t="shared" si="8"/>
        <v>BIS36-56</v>
      </c>
      <c r="H1197" s="16"/>
      <c r="I1197" s="16" t="str">
        <f t="shared" si="5"/>
        <v>collected</v>
      </c>
      <c r="J1197" s="16" t="str">
        <f t="shared" si="6"/>
        <v>N</v>
      </c>
      <c r="K1197" s="16"/>
      <c r="L1197" s="16"/>
    </row>
    <row r="1198">
      <c r="A1198" s="40" t="s">
        <v>1706</v>
      </c>
      <c r="B1198" s="10" t="str">
        <f t="shared" si="1"/>
        <v>isotope</v>
      </c>
      <c r="C1198" s="49" t="str">
        <f t="shared" si="2"/>
        <v>S17283IS1</v>
      </c>
      <c r="D1198" s="6">
        <v>36.0</v>
      </c>
      <c r="E1198" s="10" t="str">
        <f t="shared" si="3"/>
        <v>BIS36</v>
      </c>
      <c r="F1198" s="13">
        <v>57.0</v>
      </c>
      <c r="G1198" s="10" t="str">
        <f t="shared" si="8"/>
        <v>BIS36-57</v>
      </c>
      <c r="H1198" s="16"/>
      <c r="I1198" s="16" t="str">
        <f t="shared" si="5"/>
        <v>collected</v>
      </c>
      <c r="J1198" s="16" t="str">
        <f t="shared" si="6"/>
        <v>N</v>
      </c>
      <c r="K1198" s="16"/>
      <c r="L1198" s="16"/>
    </row>
    <row r="1199">
      <c r="A1199" s="40" t="s">
        <v>1707</v>
      </c>
      <c r="B1199" s="10" t="str">
        <f t="shared" si="1"/>
        <v>isotope</v>
      </c>
      <c r="C1199" s="49" t="str">
        <f t="shared" si="2"/>
        <v>S17290IS1</v>
      </c>
      <c r="D1199" s="6">
        <v>36.0</v>
      </c>
      <c r="E1199" s="10" t="str">
        <f t="shared" si="3"/>
        <v>BIS36</v>
      </c>
      <c r="F1199" s="13">
        <v>58.0</v>
      </c>
      <c r="G1199" s="10" t="str">
        <f t="shared" si="8"/>
        <v>BIS36-58</v>
      </c>
      <c r="H1199" s="16"/>
      <c r="I1199" s="16" t="str">
        <f t="shared" si="5"/>
        <v>collected</v>
      </c>
      <c r="J1199" s="16" t="str">
        <f t="shared" si="6"/>
        <v>N</v>
      </c>
      <c r="K1199" s="16"/>
      <c r="L1199" s="16"/>
    </row>
    <row r="1200">
      <c r="A1200" s="40" t="s">
        <v>1708</v>
      </c>
      <c r="B1200" s="10" t="str">
        <f t="shared" si="1"/>
        <v>isotope</v>
      </c>
      <c r="C1200" s="49" t="str">
        <f t="shared" si="2"/>
        <v>S17289IS1</v>
      </c>
      <c r="D1200" s="6">
        <v>36.0</v>
      </c>
      <c r="E1200" s="10" t="str">
        <f t="shared" si="3"/>
        <v>BIS36</v>
      </c>
      <c r="F1200" s="13">
        <v>59.0</v>
      </c>
      <c r="G1200" s="10" t="str">
        <f t="shared" si="8"/>
        <v>BIS36-59</v>
      </c>
      <c r="H1200" s="16"/>
      <c r="I1200" s="16" t="str">
        <f t="shared" si="5"/>
        <v>collected</v>
      </c>
      <c r="J1200" s="16" t="str">
        <f t="shared" si="6"/>
        <v>N</v>
      </c>
      <c r="K1200" s="16"/>
      <c r="L1200" s="16"/>
    </row>
    <row r="1201">
      <c r="A1201" s="40" t="s">
        <v>1709</v>
      </c>
      <c r="B1201" s="10" t="str">
        <f t="shared" si="1"/>
        <v>isotope</v>
      </c>
      <c r="C1201" s="49" t="str">
        <f t="shared" si="2"/>
        <v>S17286IS1</v>
      </c>
      <c r="D1201" s="6">
        <v>36.0</v>
      </c>
      <c r="E1201" s="10" t="str">
        <f t="shared" si="3"/>
        <v>BIS36</v>
      </c>
      <c r="F1201" s="13">
        <v>60.0</v>
      </c>
      <c r="G1201" s="10" t="str">
        <f t="shared" si="8"/>
        <v>BIS36-60</v>
      </c>
      <c r="H1201" s="16"/>
      <c r="I1201" s="16" t="str">
        <f t="shared" si="5"/>
        <v>collected</v>
      </c>
      <c r="J1201" s="16" t="str">
        <f t="shared" si="6"/>
        <v>N</v>
      </c>
      <c r="K1201" s="16"/>
      <c r="L1201" s="16"/>
    </row>
    <row r="1202">
      <c r="A1202" s="40" t="s">
        <v>1711</v>
      </c>
      <c r="B1202" s="10" t="str">
        <f t="shared" si="1"/>
        <v>isotope</v>
      </c>
      <c r="C1202" s="49" t="str">
        <f t="shared" si="2"/>
        <v>S17282IS1</v>
      </c>
      <c r="D1202" s="6">
        <v>36.0</v>
      </c>
      <c r="E1202" s="10" t="str">
        <f t="shared" si="3"/>
        <v>BIS36</v>
      </c>
      <c r="F1202" s="13">
        <v>61.0</v>
      </c>
      <c r="G1202" s="10" t="str">
        <f t="shared" si="8"/>
        <v>BIS36-61</v>
      </c>
      <c r="H1202" s="16"/>
      <c r="I1202" s="16" t="str">
        <f t="shared" si="5"/>
        <v>collected</v>
      </c>
      <c r="J1202" s="16" t="str">
        <f t="shared" si="6"/>
        <v>N</v>
      </c>
      <c r="K1202" s="16"/>
      <c r="L1202" s="16"/>
    </row>
    <row r="1203">
      <c r="A1203" s="40" t="s">
        <v>1712</v>
      </c>
      <c r="B1203" s="10" t="str">
        <f t="shared" si="1"/>
        <v>isotope</v>
      </c>
      <c r="C1203" s="49" t="str">
        <f t="shared" si="2"/>
        <v>S17284IS1</v>
      </c>
      <c r="D1203" s="6">
        <v>36.0</v>
      </c>
      <c r="E1203" s="10" t="str">
        <f t="shared" si="3"/>
        <v>BIS36</v>
      </c>
      <c r="F1203" s="13">
        <v>62.0</v>
      </c>
      <c r="G1203" s="10" t="str">
        <f t="shared" si="8"/>
        <v>BIS36-62</v>
      </c>
      <c r="H1203" s="16"/>
      <c r="I1203" s="16" t="str">
        <f t="shared" si="5"/>
        <v>collected</v>
      </c>
      <c r="J1203" s="16" t="str">
        <f t="shared" si="6"/>
        <v>N</v>
      </c>
      <c r="K1203" s="16"/>
      <c r="L1203" s="16"/>
    </row>
    <row r="1204">
      <c r="A1204" s="40" t="s">
        <v>1713</v>
      </c>
      <c r="B1204" s="10" t="str">
        <f t="shared" si="1"/>
        <v>isotope</v>
      </c>
      <c r="C1204" s="49" t="str">
        <f t="shared" si="2"/>
        <v>S17682IS1</v>
      </c>
      <c r="D1204" s="6">
        <v>36.0</v>
      </c>
      <c r="E1204" s="10" t="str">
        <f t="shared" si="3"/>
        <v>BIS36</v>
      </c>
      <c r="F1204" s="13">
        <v>63.0</v>
      </c>
      <c r="G1204" s="10" t="str">
        <f t="shared" si="8"/>
        <v>BIS36-63</v>
      </c>
      <c r="H1204" s="16"/>
      <c r="I1204" s="16" t="str">
        <f t="shared" si="5"/>
        <v>collected</v>
      </c>
      <c r="J1204" s="16" t="str">
        <f t="shared" si="6"/>
        <v>N</v>
      </c>
      <c r="K1204" s="16"/>
      <c r="L1204" s="16"/>
    </row>
    <row r="1205">
      <c r="A1205" s="40" t="s">
        <v>1714</v>
      </c>
      <c r="B1205" s="10" t="str">
        <f t="shared" si="1"/>
        <v>isotope</v>
      </c>
      <c r="C1205" s="49" t="str">
        <f t="shared" si="2"/>
        <v>S17686IS1</v>
      </c>
      <c r="D1205" s="6">
        <v>36.0</v>
      </c>
      <c r="E1205" s="10" t="str">
        <f t="shared" si="3"/>
        <v>BIS36</v>
      </c>
      <c r="F1205" s="13">
        <v>64.0</v>
      </c>
      <c r="G1205" s="10" t="str">
        <f t="shared" si="8"/>
        <v>BIS36-64</v>
      </c>
      <c r="H1205" s="16"/>
      <c r="I1205" s="16" t="str">
        <f t="shared" si="5"/>
        <v>collected</v>
      </c>
      <c r="J1205" s="16" t="str">
        <f t="shared" si="6"/>
        <v>N</v>
      </c>
      <c r="K1205" s="16"/>
      <c r="L1205" s="16"/>
    </row>
    <row r="1206">
      <c r="A1206" s="40" t="s">
        <v>1715</v>
      </c>
      <c r="B1206" s="10" t="str">
        <f t="shared" si="1"/>
        <v>isotope</v>
      </c>
      <c r="C1206" s="49" t="str">
        <f t="shared" si="2"/>
        <v>S17685IS1</v>
      </c>
      <c r="D1206" s="6">
        <v>36.0</v>
      </c>
      <c r="E1206" s="10" t="str">
        <f t="shared" si="3"/>
        <v>BIS36</v>
      </c>
      <c r="F1206" s="13">
        <v>65.0</v>
      </c>
      <c r="G1206" s="10" t="str">
        <f t="shared" si="8"/>
        <v>BIS36-65</v>
      </c>
      <c r="H1206" s="16"/>
      <c r="I1206" s="16" t="str">
        <f t="shared" si="5"/>
        <v>collected</v>
      </c>
      <c r="J1206" s="16" t="str">
        <f t="shared" si="6"/>
        <v>N</v>
      </c>
      <c r="K1206" s="16"/>
      <c r="L1206" s="16"/>
    </row>
    <row r="1207">
      <c r="A1207" s="40" t="s">
        <v>1717</v>
      </c>
      <c r="B1207" s="10" t="str">
        <f t="shared" si="1"/>
        <v>isotope</v>
      </c>
      <c r="C1207" s="49" t="str">
        <f t="shared" si="2"/>
        <v>S17688IS1</v>
      </c>
      <c r="D1207" s="6">
        <v>36.0</v>
      </c>
      <c r="E1207" s="10" t="str">
        <f t="shared" si="3"/>
        <v>BIS36</v>
      </c>
      <c r="F1207" s="13">
        <v>66.0</v>
      </c>
      <c r="G1207" s="10" t="str">
        <f t="shared" si="8"/>
        <v>BIS36-66</v>
      </c>
      <c r="H1207" s="16"/>
      <c r="I1207" s="16" t="str">
        <f t="shared" si="5"/>
        <v>collected</v>
      </c>
      <c r="J1207" s="16" t="str">
        <f t="shared" si="6"/>
        <v>N</v>
      </c>
      <c r="K1207" s="16"/>
      <c r="L1207" s="16"/>
    </row>
    <row r="1208">
      <c r="A1208" s="40" t="s">
        <v>1718</v>
      </c>
      <c r="B1208" s="10" t="str">
        <f t="shared" si="1"/>
        <v>isotope</v>
      </c>
      <c r="C1208" s="49" t="str">
        <f t="shared" si="2"/>
        <v>S17681IS1</v>
      </c>
      <c r="D1208" s="6">
        <v>36.0</v>
      </c>
      <c r="E1208" s="10" t="str">
        <f t="shared" si="3"/>
        <v>BIS36</v>
      </c>
      <c r="F1208" s="13">
        <v>67.0</v>
      </c>
      <c r="G1208" s="10" t="str">
        <f t="shared" si="8"/>
        <v>BIS36-67</v>
      </c>
      <c r="H1208" s="16"/>
      <c r="I1208" s="16" t="str">
        <f t="shared" si="5"/>
        <v>collected</v>
      </c>
      <c r="J1208" s="16" t="str">
        <f t="shared" si="6"/>
        <v>N</v>
      </c>
      <c r="K1208" s="16"/>
      <c r="L1208" s="16"/>
    </row>
    <row r="1209">
      <c r="A1209" s="40" t="s">
        <v>1719</v>
      </c>
      <c r="B1209" s="10" t="str">
        <f t="shared" si="1"/>
        <v>isotope</v>
      </c>
      <c r="C1209" s="49" t="str">
        <f t="shared" si="2"/>
        <v>S17687IS1</v>
      </c>
      <c r="D1209" s="6">
        <v>36.0</v>
      </c>
      <c r="E1209" s="10" t="str">
        <f t="shared" si="3"/>
        <v>BIS36</v>
      </c>
      <c r="F1209" s="13">
        <v>68.0</v>
      </c>
      <c r="G1209" s="10" t="str">
        <f t="shared" si="8"/>
        <v>BIS36-68</v>
      </c>
      <c r="H1209" s="16"/>
      <c r="I1209" s="16" t="str">
        <f t="shared" si="5"/>
        <v>collected</v>
      </c>
      <c r="J1209" s="16" t="str">
        <f t="shared" si="6"/>
        <v>N</v>
      </c>
      <c r="K1209" s="16"/>
      <c r="L1209" s="16"/>
    </row>
    <row r="1210">
      <c r="A1210" s="40" t="s">
        <v>1721</v>
      </c>
      <c r="B1210" s="10" t="str">
        <f t="shared" si="1"/>
        <v>isotope</v>
      </c>
      <c r="C1210" s="49" t="str">
        <f t="shared" si="2"/>
        <v>S17689IS1</v>
      </c>
      <c r="D1210" s="6">
        <v>36.0</v>
      </c>
      <c r="E1210" s="10" t="str">
        <f t="shared" si="3"/>
        <v>BIS36</v>
      </c>
      <c r="F1210" s="13">
        <v>69.0</v>
      </c>
      <c r="G1210" s="10" t="str">
        <f t="shared" si="8"/>
        <v>BIS36-69</v>
      </c>
      <c r="H1210" s="16"/>
      <c r="I1210" s="16" t="str">
        <f t="shared" si="5"/>
        <v>collected</v>
      </c>
      <c r="J1210" s="16" t="str">
        <f t="shared" si="6"/>
        <v>N</v>
      </c>
      <c r="K1210" s="16"/>
      <c r="L1210" s="16"/>
    </row>
    <row r="1211">
      <c r="A1211" s="40" t="s">
        <v>1722</v>
      </c>
      <c r="B1211" s="10" t="str">
        <f t="shared" si="1"/>
        <v>isotope</v>
      </c>
      <c r="C1211" s="49" t="str">
        <f t="shared" si="2"/>
        <v>S17684IS1</v>
      </c>
      <c r="D1211" s="6">
        <v>36.0</v>
      </c>
      <c r="E1211" s="10" t="str">
        <f t="shared" si="3"/>
        <v>BIS36</v>
      </c>
      <c r="F1211" s="13">
        <v>70.0</v>
      </c>
      <c r="G1211" s="10" t="str">
        <f t="shared" si="8"/>
        <v>BIS36-70</v>
      </c>
      <c r="H1211" s="16"/>
      <c r="I1211" s="16" t="str">
        <f t="shared" si="5"/>
        <v>collected</v>
      </c>
      <c r="J1211" s="16" t="str">
        <f t="shared" si="6"/>
        <v>N</v>
      </c>
      <c r="K1211" s="16"/>
      <c r="L1211" s="16"/>
    </row>
    <row r="1212">
      <c r="A1212" s="40" t="s">
        <v>1723</v>
      </c>
      <c r="B1212" s="10" t="str">
        <f t="shared" si="1"/>
        <v>isotope</v>
      </c>
      <c r="C1212" s="49" t="str">
        <f t="shared" si="2"/>
        <v>S17683IS1</v>
      </c>
      <c r="D1212" s="6">
        <v>36.0</v>
      </c>
      <c r="E1212" s="10" t="str">
        <f t="shared" si="3"/>
        <v>BIS36</v>
      </c>
      <c r="F1212" s="13">
        <v>71.0</v>
      </c>
      <c r="G1212" s="10" t="str">
        <f t="shared" si="8"/>
        <v>BIS36-71</v>
      </c>
      <c r="H1212" s="16"/>
      <c r="I1212" s="16" t="str">
        <f t="shared" si="5"/>
        <v>collected</v>
      </c>
      <c r="J1212" s="16" t="str">
        <f t="shared" si="6"/>
        <v>N</v>
      </c>
      <c r="K1212" s="16"/>
      <c r="L1212" s="16"/>
    </row>
    <row r="1213">
      <c r="A1213" s="40" t="s">
        <v>1724</v>
      </c>
      <c r="B1213" s="10" t="str">
        <f t="shared" si="1"/>
        <v>isotope</v>
      </c>
      <c r="C1213" s="49" t="str">
        <f t="shared" si="2"/>
        <v>S17690IS1</v>
      </c>
      <c r="D1213" s="6">
        <v>36.0</v>
      </c>
      <c r="E1213" s="10" t="str">
        <f t="shared" si="3"/>
        <v>BIS36</v>
      </c>
      <c r="F1213" s="13">
        <v>72.0</v>
      </c>
      <c r="G1213" s="10" t="str">
        <f t="shared" si="8"/>
        <v>BIS36-72</v>
      </c>
      <c r="H1213" s="16"/>
      <c r="I1213" s="16" t="str">
        <f t="shared" si="5"/>
        <v>collected</v>
      </c>
      <c r="J1213" s="16" t="str">
        <f t="shared" si="6"/>
        <v>N</v>
      </c>
      <c r="K1213" s="16"/>
      <c r="L1213" s="16"/>
    </row>
    <row r="1214">
      <c r="A1214" s="40" t="s">
        <v>1725</v>
      </c>
      <c r="B1214" s="10" t="str">
        <f t="shared" si="1"/>
        <v>isotope</v>
      </c>
      <c r="C1214" s="49" t="str">
        <f t="shared" si="2"/>
        <v>S16204IS1</v>
      </c>
      <c r="D1214" s="6">
        <v>38.0</v>
      </c>
      <c r="E1214" s="10" t="str">
        <f t="shared" si="3"/>
        <v>BIS38</v>
      </c>
      <c r="F1214" s="13">
        <v>32.0</v>
      </c>
      <c r="G1214" s="10" t="str">
        <f t="shared" si="8"/>
        <v>BIS38-32</v>
      </c>
      <c r="H1214" s="16"/>
      <c r="I1214" s="16" t="str">
        <f t="shared" si="5"/>
        <v>collected</v>
      </c>
      <c r="J1214" s="16" t="str">
        <f t="shared" si="6"/>
        <v>N</v>
      </c>
      <c r="K1214" s="16"/>
      <c r="L1214" s="16"/>
    </row>
    <row r="1215">
      <c r="A1215" s="40" t="s">
        <v>1726</v>
      </c>
      <c r="B1215" s="10" t="str">
        <f t="shared" si="1"/>
        <v>isotope</v>
      </c>
      <c r="C1215" s="49" t="str">
        <f t="shared" si="2"/>
        <v>S16202IS1</v>
      </c>
      <c r="D1215" s="6">
        <v>38.0</v>
      </c>
      <c r="E1215" s="10" t="str">
        <f t="shared" si="3"/>
        <v>BIS38</v>
      </c>
      <c r="F1215" s="13">
        <v>33.0</v>
      </c>
      <c r="G1215" s="10" t="str">
        <f t="shared" si="8"/>
        <v>BIS38-33</v>
      </c>
      <c r="H1215" s="16"/>
      <c r="I1215" s="16" t="str">
        <f t="shared" si="5"/>
        <v>collected</v>
      </c>
      <c r="J1215" s="16" t="str">
        <f t="shared" si="6"/>
        <v>N</v>
      </c>
      <c r="K1215" s="16"/>
      <c r="L1215" s="16"/>
    </row>
    <row r="1216">
      <c r="A1216" s="40" t="s">
        <v>1727</v>
      </c>
      <c r="B1216" s="10" t="str">
        <f t="shared" si="1"/>
        <v>isotope</v>
      </c>
      <c r="C1216" s="49" t="str">
        <f t="shared" si="2"/>
        <v>S16206IS1</v>
      </c>
      <c r="D1216" s="6">
        <v>38.0</v>
      </c>
      <c r="E1216" s="10" t="str">
        <f t="shared" si="3"/>
        <v>BIS38</v>
      </c>
      <c r="F1216" s="13">
        <v>34.0</v>
      </c>
      <c r="G1216" s="10" t="str">
        <f t="shared" si="8"/>
        <v>BIS38-34</v>
      </c>
      <c r="H1216" s="16"/>
      <c r="I1216" s="16" t="str">
        <f t="shared" si="5"/>
        <v>collected</v>
      </c>
      <c r="J1216" s="16" t="str">
        <f t="shared" si="6"/>
        <v>N</v>
      </c>
      <c r="K1216" s="16"/>
      <c r="L1216" s="16"/>
    </row>
    <row r="1217">
      <c r="A1217" s="40" t="s">
        <v>1728</v>
      </c>
      <c r="B1217" s="10" t="str">
        <f t="shared" si="1"/>
        <v>isotope</v>
      </c>
      <c r="C1217" s="49" t="str">
        <f t="shared" si="2"/>
        <v>S16207IS1</v>
      </c>
      <c r="D1217" s="6">
        <v>38.0</v>
      </c>
      <c r="E1217" s="10" t="str">
        <f t="shared" si="3"/>
        <v>BIS38</v>
      </c>
      <c r="F1217" s="13">
        <v>35.0</v>
      </c>
      <c r="G1217" s="10" t="str">
        <f t="shared" si="8"/>
        <v>BIS38-35</v>
      </c>
      <c r="H1217" s="16"/>
      <c r="I1217" s="16" t="str">
        <f t="shared" si="5"/>
        <v>collected</v>
      </c>
      <c r="J1217" s="16" t="str">
        <f t="shared" si="6"/>
        <v>N</v>
      </c>
      <c r="K1217" s="16"/>
      <c r="L1217" s="16"/>
    </row>
    <row r="1218">
      <c r="A1218" s="40" t="s">
        <v>1730</v>
      </c>
      <c r="B1218" s="10" t="str">
        <f t="shared" si="1"/>
        <v>isotope</v>
      </c>
      <c r="C1218" s="49" t="str">
        <f t="shared" si="2"/>
        <v>S16210IS1</v>
      </c>
      <c r="D1218" s="6">
        <v>38.0</v>
      </c>
      <c r="E1218" s="10" t="str">
        <f t="shared" si="3"/>
        <v>BIS38</v>
      </c>
      <c r="F1218" s="13">
        <v>36.0</v>
      </c>
      <c r="G1218" s="10" t="str">
        <f t="shared" si="8"/>
        <v>BIS38-36</v>
      </c>
      <c r="H1218" s="16"/>
      <c r="I1218" s="16" t="str">
        <f t="shared" si="5"/>
        <v>collected</v>
      </c>
      <c r="J1218" s="16" t="str">
        <f t="shared" si="6"/>
        <v>N</v>
      </c>
      <c r="K1218" s="16"/>
      <c r="L1218" s="16"/>
    </row>
    <row r="1219">
      <c r="A1219" s="40" t="s">
        <v>1731</v>
      </c>
      <c r="B1219" s="10" t="str">
        <f t="shared" si="1"/>
        <v>isotope</v>
      </c>
      <c r="C1219" s="49" t="str">
        <f t="shared" si="2"/>
        <v>S16208IS1</v>
      </c>
      <c r="D1219" s="6">
        <v>38.0</v>
      </c>
      <c r="E1219" s="10" t="str">
        <f t="shared" si="3"/>
        <v>BIS38</v>
      </c>
      <c r="F1219" s="13">
        <v>37.0</v>
      </c>
      <c r="G1219" s="10" t="str">
        <f t="shared" si="8"/>
        <v>BIS38-37</v>
      </c>
      <c r="H1219" s="16"/>
      <c r="I1219" s="16" t="str">
        <f t="shared" si="5"/>
        <v>collected</v>
      </c>
      <c r="J1219" s="16" t="str">
        <f t="shared" si="6"/>
        <v>N</v>
      </c>
      <c r="K1219" s="16"/>
      <c r="L1219" s="16"/>
    </row>
    <row r="1220">
      <c r="A1220" s="40" t="s">
        <v>1732</v>
      </c>
      <c r="B1220" s="10" t="str">
        <f t="shared" si="1"/>
        <v>isotope</v>
      </c>
      <c r="C1220" s="49" t="str">
        <f t="shared" si="2"/>
        <v>S17504IS1</v>
      </c>
      <c r="D1220" s="6">
        <v>38.0</v>
      </c>
      <c r="E1220" s="10" t="str">
        <f t="shared" si="3"/>
        <v>BIS38</v>
      </c>
      <c r="F1220" s="13">
        <v>38.0</v>
      </c>
      <c r="G1220" s="10" t="str">
        <f t="shared" si="8"/>
        <v>BIS38-38</v>
      </c>
      <c r="H1220" s="16"/>
      <c r="I1220" s="16" t="str">
        <f t="shared" si="5"/>
        <v>collected</v>
      </c>
      <c r="J1220" s="16" t="str">
        <f t="shared" si="6"/>
        <v>N</v>
      </c>
      <c r="K1220" s="16"/>
      <c r="L1220" s="16"/>
    </row>
    <row r="1221">
      <c r="A1221" s="40" t="s">
        <v>1733</v>
      </c>
      <c r="B1221" s="10" t="str">
        <f t="shared" si="1"/>
        <v>isotope</v>
      </c>
      <c r="C1221" s="49" t="str">
        <f t="shared" si="2"/>
        <v>S17509IS1</v>
      </c>
      <c r="D1221" s="6">
        <v>38.0</v>
      </c>
      <c r="E1221" s="10" t="str">
        <f t="shared" si="3"/>
        <v>BIS38</v>
      </c>
      <c r="F1221" s="13">
        <v>39.0</v>
      </c>
      <c r="G1221" s="10" t="str">
        <f t="shared" si="8"/>
        <v>BIS38-39</v>
      </c>
      <c r="H1221" s="16"/>
      <c r="I1221" s="16" t="str">
        <f t="shared" si="5"/>
        <v>collected</v>
      </c>
      <c r="J1221" s="16" t="str">
        <f t="shared" si="6"/>
        <v>N</v>
      </c>
      <c r="K1221" s="16"/>
      <c r="L1221" s="16"/>
    </row>
    <row r="1222">
      <c r="A1222" s="40" t="s">
        <v>1734</v>
      </c>
      <c r="B1222" s="10" t="str">
        <f t="shared" si="1"/>
        <v>isotope</v>
      </c>
      <c r="C1222" s="49" t="str">
        <f t="shared" si="2"/>
        <v>S17502IS1</v>
      </c>
      <c r="D1222" s="6">
        <v>38.0</v>
      </c>
      <c r="E1222" s="10" t="str">
        <f t="shared" si="3"/>
        <v>BIS38</v>
      </c>
      <c r="F1222" s="13">
        <v>40.0</v>
      </c>
      <c r="G1222" s="10" t="str">
        <f t="shared" si="8"/>
        <v>BIS38-40</v>
      </c>
      <c r="H1222" s="16"/>
      <c r="I1222" s="16" t="str">
        <f t="shared" si="5"/>
        <v>collected</v>
      </c>
      <c r="J1222" s="16" t="str">
        <f t="shared" si="6"/>
        <v>N</v>
      </c>
      <c r="K1222" s="16"/>
      <c r="L1222" s="16"/>
    </row>
    <row r="1223">
      <c r="A1223" s="40" t="s">
        <v>1735</v>
      </c>
      <c r="B1223" s="10" t="str">
        <f t="shared" si="1"/>
        <v>isotope</v>
      </c>
      <c r="C1223" s="49" t="str">
        <f t="shared" si="2"/>
        <v>S17507IS1</v>
      </c>
      <c r="D1223" s="6">
        <v>38.0</v>
      </c>
      <c r="E1223" s="10" t="str">
        <f t="shared" si="3"/>
        <v>BIS38</v>
      </c>
      <c r="F1223" s="13">
        <v>41.0</v>
      </c>
      <c r="G1223" s="10" t="str">
        <f t="shared" si="8"/>
        <v>BIS38-41</v>
      </c>
      <c r="H1223" s="16"/>
      <c r="I1223" s="16" t="str">
        <f t="shared" si="5"/>
        <v>collected</v>
      </c>
      <c r="J1223" s="16" t="str">
        <f t="shared" si="6"/>
        <v>N</v>
      </c>
      <c r="K1223" s="16"/>
      <c r="L1223" s="16"/>
    </row>
    <row r="1224">
      <c r="A1224" s="40" t="s">
        <v>1736</v>
      </c>
      <c r="B1224" s="10" t="str">
        <f t="shared" si="1"/>
        <v>isotope</v>
      </c>
      <c r="C1224" s="49" t="str">
        <f t="shared" si="2"/>
        <v>S17508IS1</v>
      </c>
      <c r="D1224" s="6">
        <v>38.0</v>
      </c>
      <c r="E1224" s="10" t="str">
        <f t="shared" si="3"/>
        <v>BIS38</v>
      </c>
      <c r="F1224" s="13">
        <v>42.0</v>
      </c>
      <c r="G1224" s="10" t="str">
        <f t="shared" si="8"/>
        <v>BIS38-42</v>
      </c>
      <c r="H1224" s="16"/>
      <c r="I1224" s="16" t="str">
        <f t="shared" si="5"/>
        <v>collected</v>
      </c>
      <c r="J1224" s="16" t="str">
        <f t="shared" si="6"/>
        <v>N</v>
      </c>
      <c r="K1224" s="16"/>
      <c r="L1224" s="16"/>
    </row>
    <row r="1225">
      <c r="A1225" s="40" t="s">
        <v>1737</v>
      </c>
      <c r="B1225" s="10" t="str">
        <f t="shared" si="1"/>
        <v>isotope</v>
      </c>
      <c r="C1225" s="49" t="str">
        <f t="shared" si="2"/>
        <v>S17505IS1</v>
      </c>
      <c r="D1225" s="6">
        <v>38.0</v>
      </c>
      <c r="E1225" s="10" t="str">
        <f t="shared" si="3"/>
        <v>BIS38</v>
      </c>
      <c r="F1225" s="13">
        <v>43.0</v>
      </c>
      <c r="G1225" s="10" t="str">
        <f t="shared" si="8"/>
        <v>BIS38-43</v>
      </c>
      <c r="H1225" s="16"/>
      <c r="I1225" s="16" t="str">
        <f t="shared" si="5"/>
        <v>collected</v>
      </c>
      <c r="J1225" s="16" t="str">
        <f t="shared" si="6"/>
        <v>N</v>
      </c>
      <c r="K1225" s="16"/>
      <c r="L1225" s="16"/>
    </row>
    <row r="1226">
      <c r="A1226" s="40" t="s">
        <v>1738</v>
      </c>
      <c r="B1226" s="10" t="str">
        <f t="shared" si="1"/>
        <v>isotope</v>
      </c>
      <c r="C1226" s="49" t="str">
        <f t="shared" si="2"/>
        <v>S17510IS1</v>
      </c>
      <c r="D1226" s="6">
        <v>38.0</v>
      </c>
      <c r="E1226" s="10" t="str">
        <f t="shared" si="3"/>
        <v>BIS38</v>
      </c>
      <c r="F1226" s="13">
        <v>44.0</v>
      </c>
      <c r="G1226" s="10" t="str">
        <f t="shared" si="8"/>
        <v>BIS38-44</v>
      </c>
      <c r="H1226" s="16"/>
      <c r="I1226" s="16" t="str">
        <f t="shared" si="5"/>
        <v>collected</v>
      </c>
      <c r="J1226" s="16" t="str">
        <f t="shared" si="6"/>
        <v>N</v>
      </c>
      <c r="K1226" s="16"/>
      <c r="L1226" s="16"/>
    </row>
    <row r="1227">
      <c r="A1227" s="40" t="s">
        <v>1739</v>
      </c>
      <c r="B1227" s="10" t="str">
        <f t="shared" si="1"/>
        <v>isotope</v>
      </c>
      <c r="C1227" s="49" t="str">
        <f t="shared" si="2"/>
        <v>S17506IS1</v>
      </c>
      <c r="D1227" s="6">
        <v>38.0</v>
      </c>
      <c r="E1227" s="10" t="str">
        <f t="shared" si="3"/>
        <v>BIS38</v>
      </c>
      <c r="F1227" s="13">
        <v>45.0</v>
      </c>
      <c r="G1227" s="10" t="str">
        <f t="shared" si="8"/>
        <v>BIS38-45</v>
      </c>
      <c r="H1227" s="16"/>
      <c r="I1227" s="16" t="str">
        <f t="shared" si="5"/>
        <v>collected</v>
      </c>
      <c r="J1227" s="16" t="str">
        <f t="shared" si="6"/>
        <v>N</v>
      </c>
      <c r="K1227" s="16"/>
      <c r="L1227" s="16"/>
    </row>
    <row r="1228">
      <c r="A1228" s="40" t="s">
        <v>1740</v>
      </c>
      <c r="B1228" s="10" t="str">
        <f t="shared" si="1"/>
        <v>isotope</v>
      </c>
      <c r="C1228" s="49" t="str">
        <f t="shared" si="2"/>
        <v>S17501IS1</v>
      </c>
      <c r="D1228" s="6">
        <v>38.0</v>
      </c>
      <c r="E1228" s="10" t="str">
        <f t="shared" si="3"/>
        <v>BIS38</v>
      </c>
      <c r="F1228" s="13">
        <v>46.0</v>
      </c>
      <c r="G1228" s="10" t="str">
        <f t="shared" si="8"/>
        <v>BIS38-46</v>
      </c>
      <c r="H1228" s="16"/>
      <c r="I1228" s="16" t="str">
        <f t="shared" si="5"/>
        <v>collected</v>
      </c>
      <c r="J1228" s="16" t="str">
        <f t="shared" si="6"/>
        <v>N</v>
      </c>
      <c r="K1228" s="16"/>
      <c r="L1228" s="16"/>
    </row>
    <row r="1229">
      <c r="A1229" s="40" t="s">
        <v>1741</v>
      </c>
      <c r="B1229" s="10" t="str">
        <f t="shared" si="1"/>
        <v>isotope</v>
      </c>
      <c r="C1229" s="49" t="str">
        <f t="shared" si="2"/>
        <v>S17503IS1</v>
      </c>
      <c r="D1229" s="6">
        <v>38.0</v>
      </c>
      <c r="E1229" s="10" t="str">
        <f t="shared" si="3"/>
        <v>BIS38</v>
      </c>
      <c r="F1229" s="13">
        <v>47.0</v>
      </c>
      <c r="G1229" s="10" t="str">
        <f t="shared" si="8"/>
        <v>BIS38-47</v>
      </c>
      <c r="H1229" s="16"/>
      <c r="I1229" s="16" t="str">
        <f t="shared" si="5"/>
        <v>collected</v>
      </c>
      <c r="J1229" s="16" t="str">
        <f t="shared" si="6"/>
        <v>N</v>
      </c>
      <c r="K1229" s="16"/>
      <c r="L1229" s="16"/>
    </row>
    <row r="1230">
      <c r="A1230" s="40" t="s">
        <v>1742</v>
      </c>
      <c r="B1230" s="10" t="str">
        <f t="shared" si="1"/>
        <v>isotope</v>
      </c>
      <c r="C1230" s="49" t="str">
        <f t="shared" si="2"/>
        <v>S17102IS1</v>
      </c>
      <c r="D1230" s="6">
        <v>38.0</v>
      </c>
      <c r="E1230" s="10" t="str">
        <f t="shared" si="3"/>
        <v>BIS38</v>
      </c>
      <c r="F1230" s="13">
        <v>48.0</v>
      </c>
      <c r="G1230" s="10" t="str">
        <f t="shared" si="8"/>
        <v>BIS38-48</v>
      </c>
      <c r="H1230" s="16"/>
      <c r="I1230" s="16" t="str">
        <f t="shared" si="5"/>
        <v>collected</v>
      </c>
      <c r="J1230" s="16" t="str">
        <f t="shared" si="6"/>
        <v>N</v>
      </c>
      <c r="K1230" s="16"/>
      <c r="L1230" s="16"/>
    </row>
    <row r="1231">
      <c r="A1231" s="40" t="s">
        <v>1743</v>
      </c>
      <c r="B1231" s="10" t="str">
        <f t="shared" si="1"/>
        <v>isotope</v>
      </c>
      <c r="C1231" s="49" t="str">
        <f t="shared" si="2"/>
        <v>S17107IS1</v>
      </c>
      <c r="D1231" s="6">
        <v>38.0</v>
      </c>
      <c r="E1231" s="10" t="str">
        <f t="shared" si="3"/>
        <v>BIS38</v>
      </c>
      <c r="F1231" s="13">
        <v>49.0</v>
      </c>
      <c r="G1231" s="10" t="str">
        <f t="shared" si="8"/>
        <v>BIS38-49</v>
      </c>
      <c r="H1231" s="16"/>
      <c r="I1231" s="16" t="str">
        <f t="shared" si="5"/>
        <v>collected</v>
      </c>
      <c r="J1231" s="16" t="str">
        <f t="shared" si="6"/>
        <v>N</v>
      </c>
      <c r="K1231" s="16"/>
      <c r="L1231" s="16"/>
    </row>
    <row r="1232">
      <c r="A1232" s="40" t="s">
        <v>1744</v>
      </c>
      <c r="B1232" s="10" t="str">
        <f t="shared" si="1"/>
        <v>isotope</v>
      </c>
      <c r="C1232" s="49" t="str">
        <f t="shared" si="2"/>
        <v>S17259IS1</v>
      </c>
      <c r="D1232" s="6">
        <v>36.0</v>
      </c>
      <c r="E1232" s="10" t="str">
        <f t="shared" si="3"/>
        <v>BIS36</v>
      </c>
      <c r="F1232" s="13">
        <v>73.0</v>
      </c>
      <c r="G1232" s="10" t="str">
        <f t="shared" si="8"/>
        <v>BIS36-73</v>
      </c>
      <c r="H1232" s="16"/>
      <c r="I1232" s="16" t="str">
        <f t="shared" si="5"/>
        <v>collected</v>
      </c>
      <c r="J1232" s="16" t="str">
        <f t="shared" si="6"/>
        <v>N</v>
      </c>
      <c r="K1232" s="16"/>
      <c r="L1232" s="16"/>
    </row>
    <row r="1233">
      <c r="A1233" s="40" t="s">
        <v>1745</v>
      </c>
      <c r="B1233" s="10" t="str">
        <f t="shared" si="1"/>
        <v>isotope</v>
      </c>
      <c r="C1233" s="49" t="str">
        <f t="shared" si="2"/>
        <v>S17260IS1</v>
      </c>
      <c r="D1233" s="6">
        <v>36.0</v>
      </c>
      <c r="E1233" s="10" t="str">
        <f t="shared" si="3"/>
        <v>BIS36</v>
      </c>
      <c r="F1233" s="13">
        <v>74.0</v>
      </c>
      <c r="G1233" s="10" t="str">
        <f t="shared" si="8"/>
        <v>BIS36-74</v>
      </c>
      <c r="H1233" s="16"/>
      <c r="I1233" s="16" t="str">
        <f t="shared" si="5"/>
        <v>collected</v>
      </c>
      <c r="J1233" s="16" t="str">
        <f t="shared" si="6"/>
        <v>N</v>
      </c>
      <c r="K1233" s="16"/>
      <c r="L1233" s="16"/>
    </row>
    <row r="1234">
      <c r="A1234" s="40" t="s">
        <v>1746</v>
      </c>
      <c r="B1234" s="10" t="str">
        <f t="shared" si="1"/>
        <v>isotope</v>
      </c>
      <c r="C1234" s="49" t="str">
        <f t="shared" si="2"/>
        <v>S17258IS1</v>
      </c>
      <c r="D1234" s="6">
        <v>36.0</v>
      </c>
      <c r="E1234" s="10" t="str">
        <f t="shared" si="3"/>
        <v>BIS36</v>
      </c>
      <c r="F1234" s="13">
        <v>75.0</v>
      </c>
      <c r="G1234" s="10" t="str">
        <f t="shared" si="8"/>
        <v>BIS36-75</v>
      </c>
      <c r="H1234" s="16"/>
      <c r="I1234" s="16" t="str">
        <f t="shared" si="5"/>
        <v>collected</v>
      </c>
      <c r="J1234" s="16" t="str">
        <f t="shared" si="6"/>
        <v>N</v>
      </c>
      <c r="K1234" s="16"/>
      <c r="L1234" s="16"/>
    </row>
    <row r="1235">
      <c r="A1235" s="40" t="s">
        <v>1747</v>
      </c>
      <c r="B1235" s="10" t="str">
        <f t="shared" si="1"/>
        <v>isotope</v>
      </c>
      <c r="C1235" s="49" t="str">
        <f t="shared" si="2"/>
        <v>S17256IS1</v>
      </c>
      <c r="D1235" s="6">
        <v>36.0</v>
      </c>
      <c r="E1235" s="10" t="str">
        <f t="shared" si="3"/>
        <v>BIS36</v>
      </c>
      <c r="F1235" s="13">
        <v>76.0</v>
      </c>
      <c r="G1235" s="10" t="str">
        <f t="shared" si="8"/>
        <v>BIS36-76</v>
      </c>
      <c r="H1235" s="16"/>
      <c r="I1235" s="16" t="str">
        <f t="shared" si="5"/>
        <v>collected</v>
      </c>
      <c r="J1235" s="16" t="str">
        <f t="shared" si="6"/>
        <v>N</v>
      </c>
      <c r="K1235" s="16"/>
      <c r="L1235" s="16"/>
    </row>
    <row r="1236">
      <c r="A1236" s="40" t="s">
        <v>1748</v>
      </c>
      <c r="B1236" s="10" t="str">
        <f t="shared" si="1"/>
        <v>isotope</v>
      </c>
      <c r="C1236" s="49" t="str">
        <f t="shared" si="2"/>
        <v>S17253IS1</v>
      </c>
      <c r="D1236" s="6">
        <v>36.0</v>
      </c>
      <c r="E1236" s="10" t="str">
        <f t="shared" si="3"/>
        <v>BIS36</v>
      </c>
      <c r="F1236" s="13">
        <v>77.0</v>
      </c>
      <c r="G1236" s="10" t="str">
        <f t="shared" si="8"/>
        <v>BIS36-77</v>
      </c>
      <c r="H1236" s="16"/>
      <c r="I1236" s="16" t="str">
        <f t="shared" si="5"/>
        <v>collected</v>
      </c>
      <c r="J1236" s="16" t="str">
        <f t="shared" si="6"/>
        <v>N</v>
      </c>
      <c r="K1236" s="16"/>
      <c r="L1236" s="16"/>
    </row>
    <row r="1237">
      <c r="A1237" s="40" t="s">
        <v>1749</v>
      </c>
      <c r="B1237" s="10" t="str">
        <f t="shared" si="1"/>
        <v>isotope</v>
      </c>
      <c r="C1237" s="49" t="str">
        <f t="shared" si="2"/>
        <v>S17257IS1</v>
      </c>
      <c r="D1237" s="6">
        <v>36.0</v>
      </c>
      <c r="E1237" s="10" t="str">
        <f t="shared" si="3"/>
        <v>BIS36</v>
      </c>
      <c r="F1237" s="13">
        <v>78.0</v>
      </c>
      <c r="G1237" s="10" t="str">
        <f t="shared" si="8"/>
        <v>BIS36-78</v>
      </c>
      <c r="H1237" s="16"/>
      <c r="I1237" s="16" t="str">
        <f t="shared" si="5"/>
        <v>collected</v>
      </c>
      <c r="J1237" s="16" t="str">
        <f t="shared" si="6"/>
        <v>N</v>
      </c>
      <c r="K1237" s="16"/>
      <c r="L1237" s="16"/>
    </row>
    <row r="1238">
      <c r="A1238" s="40" t="s">
        <v>1750</v>
      </c>
      <c r="B1238" s="10" t="str">
        <f t="shared" si="1"/>
        <v>isotope</v>
      </c>
      <c r="C1238" s="49" t="str">
        <f t="shared" si="2"/>
        <v>S17252IS1</v>
      </c>
      <c r="D1238" s="6">
        <v>36.0</v>
      </c>
      <c r="E1238" s="10" t="str">
        <f t="shared" si="3"/>
        <v>BIS36</v>
      </c>
      <c r="F1238" s="13">
        <v>79.0</v>
      </c>
      <c r="G1238" s="10" t="str">
        <f t="shared" si="8"/>
        <v>BIS36-79</v>
      </c>
      <c r="H1238" s="16"/>
      <c r="I1238" s="16" t="str">
        <f t="shared" si="5"/>
        <v>collected</v>
      </c>
      <c r="J1238" s="16" t="str">
        <f t="shared" si="6"/>
        <v>N</v>
      </c>
      <c r="K1238" s="16"/>
      <c r="L1238" s="16"/>
    </row>
    <row r="1239">
      <c r="A1239" s="40" t="s">
        <v>1751</v>
      </c>
      <c r="B1239" s="10" t="str">
        <f t="shared" si="1"/>
        <v>isotope</v>
      </c>
      <c r="C1239" s="49" t="str">
        <f t="shared" si="2"/>
        <v>S17255IS1</v>
      </c>
      <c r="D1239" s="6">
        <v>36.0</v>
      </c>
      <c r="E1239" s="10" t="str">
        <f t="shared" si="3"/>
        <v>BIS36</v>
      </c>
      <c r="F1239" s="13">
        <v>80.0</v>
      </c>
      <c r="G1239" s="10" t="str">
        <f t="shared" si="8"/>
        <v>BIS36-80</v>
      </c>
      <c r="H1239" s="16"/>
      <c r="I1239" s="16" t="str">
        <f t="shared" si="5"/>
        <v>collected</v>
      </c>
      <c r="J1239" s="16" t="str">
        <f t="shared" si="6"/>
        <v>N</v>
      </c>
      <c r="K1239" s="16"/>
      <c r="L1239" s="16"/>
    </row>
    <row r="1240">
      <c r="A1240" s="40" t="s">
        <v>1752</v>
      </c>
      <c r="B1240" s="10" t="str">
        <f t="shared" si="1"/>
        <v>isotope</v>
      </c>
      <c r="C1240" s="49" t="str">
        <f t="shared" si="2"/>
        <v>S17251IS1</v>
      </c>
      <c r="D1240" s="6">
        <v>36.0</v>
      </c>
      <c r="E1240" s="10" t="str">
        <f t="shared" si="3"/>
        <v>BIS36</v>
      </c>
      <c r="F1240" s="13">
        <v>81.0</v>
      </c>
      <c r="G1240" s="10" t="str">
        <f t="shared" si="8"/>
        <v>BIS36-81</v>
      </c>
      <c r="H1240" s="16"/>
      <c r="I1240" s="16" t="str">
        <f t="shared" si="5"/>
        <v>collected</v>
      </c>
      <c r="J1240" s="16" t="str">
        <f t="shared" si="6"/>
        <v>N</v>
      </c>
      <c r="K1240" s="16"/>
      <c r="L1240" s="16"/>
    </row>
    <row r="1241">
      <c r="A1241" s="40" t="s">
        <v>1753</v>
      </c>
      <c r="B1241" s="10" t="str">
        <f t="shared" si="1"/>
        <v>isotope</v>
      </c>
      <c r="C1241" s="49" t="str">
        <f t="shared" si="2"/>
        <v>S16675IS1</v>
      </c>
      <c r="D1241" s="6">
        <v>34.0</v>
      </c>
      <c r="E1241" s="10" t="str">
        <f t="shared" si="3"/>
        <v>BIS34</v>
      </c>
      <c r="F1241" s="13">
        <v>35.0</v>
      </c>
      <c r="G1241" s="10" t="str">
        <f t="shared" si="8"/>
        <v>BIS34-35</v>
      </c>
      <c r="H1241" s="16"/>
      <c r="I1241" s="16" t="str">
        <f t="shared" si="5"/>
        <v>collected</v>
      </c>
      <c r="J1241" s="16" t="str">
        <f t="shared" si="6"/>
        <v>N</v>
      </c>
      <c r="K1241" s="16"/>
      <c r="L1241" s="16"/>
    </row>
    <row r="1242">
      <c r="A1242" s="40" t="s">
        <v>1754</v>
      </c>
      <c r="B1242" s="10" t="str">
        <f t="shared" si="1"/>
        <v>isotope</v>
      </c>
      <c r="C1242" s="49" t="str">
        <f t="shared" si="2"/>
        <v>S16677IS1</v>
      </c>
      <c r="D1242" s="6">
        <v>34.0</v>
      </c>
      <c r="E1242" s="10" t="str">
        <f t="shared" si="3"/>
        <v>BIS34</v>
      </c>
      <c r="F1242" s="13">
        <v>36.0</v>
      </c>
      <c r="G1242" s="10" t="str">
        <f t="shared" si="8"/>
        <v>BIS34-36</v>
      </c>
      <c r="H1242" s="16"/>
      <c r="I1242" s="16" t="str">
        <f t="shared" si="5"/>
        <v>collected</v>
      </c>
      <c r="J1242" s="16" t="str">
        <f t="shared" si="6"/>
        <v>N</v>
      </c>
      <c r="K1242" s="16"/>
      <c r="L1242" s="16"/>
    </row>
    <row r="1243">
      <c r="A1243" s="40" t="s">
        <v>1755</v>
      </c>
      <c r="B1243" s="10" t="str">
        <f t="shared" si="1"/>
        <v>isotope</v>
      </c>
      <c r="C1243" s="49" t="str">
        <f t="shared" si="2"/>
        <v>S16673IS1</v>
      </c>
      <c r="D1243" s="6">
        <v>34.0</v>
      </c>
      <c r="E1243" s="10" t="str">
        <f t="shared" si="3"/>
        <v>BIS34</v>
      </c>
      <c r="F1243" s="13">
        <v>37.0</v>
      </c>
      <c r="G1243" s="10" t="str">
        <f t="shared" si="8"/>
        <v>BIS34-37</v>
      </c>
      <c r="H1243" s="16"/>
      <c r="I1243" s="16" t="str">
        <f t="shared" si="5"/>
        <v>collected</v>
      </c>
      <c r="J1243" s="16" t="str">
        <f t="shared" si="6"/>
        <v>N</v>
      </c>
      <c r="K1243" s="16"/>
      <c r="L1243" s="16"/>
    </row>
    <row r="1244">
      <c r="A1244" s="40" t="s">
        <v>1756</v>
      </c>
      <c r="B1244" s="10" t="str">
        <f t="shared" si="1"/>
        <v>isotope</v>
      </c>
      <c r="C1244" s="49" t="str">
        <f t="shared" si="2"/>
        <v>S16671IS1</v>
      </c>
      <c r="D1244" s="6">
        <v>34.0</v>
      </c>
      <c r="E1244" s="10" t="str">
        <f t="shared" si="3"/>
        <v>BIS34</v>
      </c>
      <c r="F1244" s="13">
        <v>38.0</v>
      </c>
      <c r="G1244" s="10" t="str">
        <f t="shared" si="8"/>
        <v>BIS34-38</v>
      </c>
      <c r="H1244" s="16"/>
      <c r="I1244" s="16" t="str">
        <f t="shared" si="5"/>
        <v>collected</v>
      </c>
      <c r="J1244" s="16" t="str">
        <f t="shared" si="6"/>
        <v>N</v>
      </c>
      <c r="K1244" s="16"/>
      <c r="L1244" s="16"/>
    </row>
    <row r="1245">
      <c r="A1245" s="40" t="s">
        <v>1757</v>
      </c>
      <c r="B1245" s="10" t="str">
        <f t="shared" si="1"/>
        <v>isotope</v>
      </c>
      <c r="C1245" s="49" t="str">
        <f t="shared" si="2"/>
        <v>S16679IS1</v>
      </c>
      <c r="D1245" s="6">
        <v>34.0</v>
      </c>
      <c r="E1245" s="10" t="str">
        <f t="shared" si="3"/>
        <v>BIS34</v>
      </c>
      <c r="F1245" s="13">
        <v>39.0</v>
      </c>
      <c r="G1245" s="10" t="str">
        <f t="shared" si="8"/>
        <v>BIS34-39</v>
      </c>
      <c r="H1245" s="16"/>
      <c r="I1245" s="16" t="str">
        <f t="shared" si="5"/>
        <v>collected</v>
      </c>
      <c r="J1245" s="16" t="str">
        <f t="shared" si="6"/>
        <v>N</v>
      </c>
      <c r="K1245" s="16"/>
      <c r="L1245" s="16"/>
    </row>
    <row r="1246">
      <c r="A1246" s="40" t="s">
        <v>1758</v>
      </c>
      <c r="B1246" s="10" t="str">
        <f t="shared" si="1"/>
        <v>isotope</v>
      </c>
      <c r="C1246" s="49" t="str">
        <f t="shared" si="2"/>
        <v>S16680IS1</v>
      </c>
      <c r="D1246" s="6">
        <v>34.0</v>
      </c>
      <c r="E1246" s="10" t="str">
        <f t="shared" si="3"/>
        <v>BIS34</v>
      </c>
      <c r="F1246" s="13">
        <v>40.0</v>
      </c>
      <c r="G1246" s="10" t="str">
        <f t="shared" si="8"/>
        <v>BIS34-40</v>
      </c>
      <c r="H1246" s="16"/>
      <c r="I1246" s="16" t="str">
        <f t="shared" si="5"/>
        <v>collected</v>
      </c>
      <c r="J1246" s="16" t="str">
        <f t="shared" si="6"/>
        <v>N</v>
      </c>
      <c r="K1246" s="16"/>
      <c r="L1246" s="16"/>
    </row>
    <row r="1247">
      <c r="A1247" s="40" t="s">
        <v>1759</v>
      </c>
      <c r="B1247" s="10" t="str">
        <f t="shared" si="1"/>
        <v>isotope</v>
      </c>
      <c r="C1247" s="49" t="str">
        <f t="shared" si="2"/>
        <v>S16674IS1</v>
      </c>
      <c r="D1247" s="6">
        <v>34.0</v>
      </c>
      <c r="E1247" s="10" t="str">
        <f t="shared" si="3"/>
        <v>BIS34</v>
      </c>
      <c r="F1247" s="13">
        <v>41.0</v>
      </c>
      <c r="G1247" s="10" t="str">
        <f t="shared" si="8"/>
        <v>BIS34-41</v>
      </c>
      <c r="H1247" s="16"/>
      <c r="I1247" s="16" t="str">
        <f t="shared" si="5"/>
        <v>collected</v>
      </c>
      <c r="J1247" s="16" t="str">
        <f t="shared" si="6"/>
        <v>N</v>
      </c>
      <c r="K1247" s="16"/>
      <c r="L1247" s="16"/>
    </row>
    <row r="1248">
      <c r="A1248" s="40" t="s">
        <v>1760</v>
      </c>
      <c r="B1248" s="10" t="str">
        <f t="shared" si="1"/>
        <v>isotope</v>
      </c>
      <c r="C1248" s="49" t="str">
        <f t="shared" si="2"/>
        <v>S16676IS1</v>
      </c>
      <c r="D1248" s="6">
        <v>34.0</v>
      </c>
      <c r="E1248" s="10" t="str">
        <f t="shared" si="3"/>
        <v>BIS34</v>
      </c>
      <c r="F1248" s="13">
        <v>42.0</v>
      </c>
      <c r="G1248" s="10" t="str">
        <f t="shared" si="8"/>
        <v>BIS34-42</v>
      </c>
      <c r="H1248" s="16"/>
      <c r="I1248" s="16" t="str">
        <f t="shared" si="5"/>
        <v>collected</v>
      </c>
      <c r="J1248" s="16" t="str">
        <f t="shared" si="6"/>
        <v>N</v>
      </c>
      <c r="K1248" s="16"/>
      <c r="L1248" s="16"/>
    </row>
    <row r="1249">
      <c r="A1249" s="40" t="s">
        <v>1761</v>
      </c>
      <c r="B1249" s="10" t="str">
        <f t="shared" si="1"/>
        <v>isotope</v>
      </c>
      <c r="C1249" s="49" t="str">
        <f t="shared" si="2"/>
        <v>S16678IS1</v>
      </c>
      <c r="D1249" s="6">
        <v>34.0</v>
      </c>
      <c r="E1249" s="10" t="str">
        <f t="shared" si="3"/>
        <v>BIS34</v>
      </c>
      <c r="F1249" s="13">
        <v>43.0</v>
      </c>
      <c r="G1249" s="10" t="str">
        <f t="shared" si="8"/>
        <v>BIS34-43</v>
      </c>
      <c r="H1249" s="16"/>
      <c r="I1249" s="16" t="str">
        <f t="shared" si="5"/>
        <v>collected</v>
      </c>
      <c r="J1249" s="16" t="str">
        <f t="shared" si="6"/>
        <v>N</v>
      </c>
      <c r="K1249" s="16"/>
      <c r="L1249" s="16"/>
    </row>
    <row r="1250">
      <c r="A1250" s="40" t="s">
        <v>1762</v>
      </c>
      <c r="B1250" s="10" t="str">
        <f t="shared" si="1"/>
        <v>isotope</v>
      </c>
      <c r="C1250" s="49" t="str">
        <f t="shared" si="2"/>
        <v>S16672IS1</v>
      </c>
      <c r="D1250" s="6">
        <v>34.0</v>
      </c>
      <c r="E1250" s="10" t="str">
        <f t="shared" si="3"/>
        <v>BIS34</v>
      </c>
      <c r="F1250" s="13">
        <v>44.0</v>
      </c>
      <c r="G1250" s="10" t="str">
        <f t="shared" si="8"/>
        <v>BIS34-44</v>
      </c>
      <c r="H1250" s="16"/>
      <c r="I1250" s="16" t="str">
        <f t="shared" si="5"/>
        <v>collected</v>
      </c>
      <c r="J1250" s="16" t="str">
        <f t="shared" si="6"/>
        <v>N</v>
      </c>
      <c r="K1250" s="16"/>
      <c r="L1250" s="16"/>
    </row>
    <row r="1251">
      <c r="A1251" s="40" t="s">
        <v>1763</v>
      </c>
      <c r="B1251" s="10" t="str">
        <f t="shared" si="1"/>
        <v>isotope</v>
      </c>
      <c r="C1251" s="49" t="str">
        <f t="shared" si="2"/>
        <v>S17254IS1</v>
      </c>
      <c r="D1251" s="6">
        <v>34.0</v>
      </c>
      <c r="E1251" s="10" t="str">
        <f t="shared" si="3"/>
        <v>BIS34</v>
      </c>
      <c r="F1251" s="13">
        <v>45.0</v>
      </c>
      <c r="G1251" s="10" t="str">
        <f t="shared" si="8"/>
        <v>BIS34-45</v>
      </c>
      <c r="H1251" s="16"/>
      <c r="I1251" s="16" t="str">
        <f t="shared" si="5"/>
        <v>collected</v>
      </c>
      <c r="J1251" s="16" t="str">
        <f t="shared" si="6"/>
        <v>N</v>
      </c>
      <c r="K1251" s="16"/>
      <c r="L1251" s="16"/>
    </row>
    <row r="1252">
      <c r="A1252" s="40" t="s">
        <v>1765</v>
      </c>
      <c r="B1252" s="10" t="str">
        <f t="shared" si="1"/>
        <v>isotope</v>
      </c>
      <c r="C1252" s="49" t="str">
        <f t="shared" si="2"/>
        <v>S17103IS1</v>
      </c>
      <c r="D1252" s="6">
        <v>38.0</v>
      </c>
      <c r="E1252" s="10" t="str">
        <f t="shared" si="3"/>
        <v>BIS38</v>
      </c>
      <c r="F1252" s="13">
        <v>50.0</v>
      </c>
      <c r="G1252" s="10" t="str">
        <f t="shared" si="8"/>
        <v>BIS38-50</v>
      </c>
      <c r="H1252" s="16"/>
      <c r="I1252" s="16" t="str">
        <f t="shared" si="5"/>
        <v>collected</v>
      </c>
      <c r="J1252" s="16" t="str">
        <f t="shared" si="6"/>
        <v>N</v>
      </c>
      <c r="K1252" s="16"/>
      <c r="L1252" s="16"/>
    </row>
    <row r="1253">
      <c r="A1253" s="40" t="s">
        <v>1766</v>
      </c>
      <c r="B1253" s="10" t="str">
        <f t="shared" si="1"/>
        <v>isotope</v>
      </c>
      <c r="C1253" s="49" t="str">
        <f t="shared" si="2"/>
        <v>S17101IS1</v>
      </c>
      <c r="D1253" s="6">
        <v>38.0</v>
      </c>
      <c r="E1253" s="10" t="str">
        <f t="shared" si="3"/>
        <v>BIS38</v>
      </c>
      <c r="F1253" s="13">
        <v>51.0</v>
      </c>
      <c r="G1253" s="10" t="str">
        <f t="shared" si="8"/>
        <v>BIS38-51</v>
      </c>
      <c r="H1253" s="16"/>
      <c r="I1253" s="16" t="str">
        <f t="shared" si="5"/>
        <v>collected</v>
      </c>
      <c r="J1253" s="16" t="str">
        <f t="shared" si="6"/>
        <v>N</v>
      </c>
      <c r="K1253" s="16"/>
      <c r="L1253" s="16"/>
    </row>
    <row r="1254">
      <c r="A1254" s="40" t="s">
        <v>1767</v>
      </c>
      <c r="B1254" s="10" t="str">
        <f t="shared" si="1"/>
        <v>isotope</v>
      </c>
      <c r="C1254" s="49" t="str">
        <f t="shared" si="2"/>
        <v>S17106IS1</v>
      </c>
      <c r="D1254" s="6">
        <v>38.0</v>
      </c>
      <c r="E1254" s="10" t="str">
        <f t="shared" si="3"/>
        <v>BIS38</v>
      </c>
      <c r="F1254" s="13">
        <v>52.0</v>
      </c>
      <c r="G1254" s="10" t="str">
        <f t="shared" si="8"/>
        <v>BIS38-52</v>
      </c>
      <c r="H1254" s="16"/>
      <c r="I1254" s="16" t="str">
        <f t="shared" si="5"/>
        <v>collected</v>
      </c>
      <c r="J1254" s="16" t="str">
        <f t="shared" si="6"/>
        <v>N</v>
      </c>
      <c r="K1254" s="16"/>
      <c r="L1254" s="16"/>
    </row>
    <row r="1255">
      <c r="A1255" s="40" t="s">
        <v>1768</v>
      </c>
      <c r="B1255" s="10" t="str">
        <f t="shared" si="1"/>
        <v>isotope</v>
      </c>
      <c r="C1255" s="49" t="str">
        <f t="shared" si="2"/>
        <v>S17104IS1</v>
      </c>
      <c r="D1255" s="6">
        <v>38.0</v>
      </c>
      <c r="E1255" s="10" t="str">
        <f t="shared" si="3"/>
        <v>BIS38</v>
      </c>
      <c r="F1255" s="13">
        <v>53.0</v>
      </c>
      <c r="G1255" s="10" t="str">
        <f t="shared" si="8"/>
        <v>BIS38-53</v>
      </c>
      <c r="H1255" s="16"/>
      <c r="I1255" s="16" t="str">
        <f t="shared" si="5"/>
        <v>collected</v>
      </c>
      <c r="J1255" s="16" t="str">
        <f t="shared" si="6"/>
        <v>N</v>
      </c>
      <c r="K1255" s="16"/>
      <c r="L1255" s="16"/>
    </row>
    <row r="1256">
      <c r="A1256" s="40" t="s">
        <v>1769</v>
      </c>
      <c r="B1256" s="10" t="str">
        <f t="shared" si="1"/>
        <v>isotope</v>
      </c>
      <c r="C1256" s="49" t="str">
        <f t="shared" si="2"/>
        <v>S17105IS1</v>
      </c>
      <c r="D1256" s="6">
        <v>38.0</v>
      </c>
      <c r="E1256" s="10" t="str">
        <f t="shared" si="3"/>
        <v>BIS38</v>
      </c>
      <c r="F1256" s="13">
        <v>54.0</v>
      </c>
      <c r="G1256" s="10" t="str">
        <f t="shared" si="8"/>
        <v>BIS38-54</v>
      </c>
      <c r="H1256" s="16"/>
      <c r="I1256" s="16" t="str">
        <f t="shared" si="5"/>
        <v>collected</v>
      </c>
      <c r="J1256" s="16" t="str">
        <f t="shared" si="6"/>
        <v>N</v>
      </c>
      <c r="K1256" s="16"/>
      <c r="L1256" s="16"/>
    </row>
    <row r="1257">
      <c r="A1257" s="40" t="s">
        <v>1770</v>
      </c>
      <c r="B1257" s="10" t="str">
        <f t="shared" si="1"/>
        <v>isotope</v>
      </c>
      <c r="C1257" s="49" t="str">
        <f t="shared" si="2"/>
        <v>S17109IS1</v>
      </c>
      <c r="D1257" s="6">
        <v>38.0</v>
      </c>
      <c r="E1257" s="10" t="str">
        <f t="shared" si="3"/>
        <v>BIS38</v>
      </c>
      <c r="F1257" s="13">
        <v>55.0</v>
      </c>
      <c r="G1257" s="10" t="str">
        <f t="shared" si="8"/>
        <v>BIS38-55</v>
      </c>
      <c r="H1257" s="16"/>
      <c r="I1257" s="16" t="str">
        <f t="shared" si="5"/>
        <v>collected</v>
      </c>
      <c r="J1257" s="16" t="str">
        <f t="shared" si="6"/>
        <v>N</v>
      </c>
      <c r="K1257" s="16"/>
      <c r="L1257" s="16"/>
    </row>
    <row r="1258">
      <c r="A1258" s="40" t="s">
        <v>1771</v>
      </c>
      <c r="B1258" s="10" t="str">
        <f t="shared" si="1"/>
        <v>isotope</v>
      </c>
      <c r="C1258" s="49" t="str">
        <f t="shared" si="2"/>
        <v>S17110IS1</v>
      </c>
      <c r="D1258" s="6">
        <v>38.0</v>
      </c>
      <c r="E1258" s="10" t="str">
        <f t="shared" si="3"/>
        <v>BIS38</v>
      </c>
      <c r="F1258" s="13">
        <v>56.0</v>
      </c>
      <c r="G1258" s="10" t="str">
        <f t="shared" si="8"/>
        <v>BIS38-56</v>
      </c>
      <c r="H1258" s="16"/>
      <c r="I1258" s="16" t="str">
        <f t="shared" si="5"/>
        <v>collected</v>
      </c>
      <c r="J1258" s="16" t="str">
        <f t="shared" si="6"/>
        <v>N</v>
      </c>
      <c r="K1258" s="16"/>
      <c r="L1258" s="16"/>
    </row>
    <row r="1259">
      <c r="A1259" s="40" t="s">
        <v>1772</v>
      </c>
      <c r="B1259" s="10" t="str">
        <f t="shared" si="1"/>
        <v>isotope</v>
      </c>
      <c r="C1259" s="49" t="str">
        <f t="shared" si="2"/>
        <v>S17108IS1</v>
      </c>
      <c r="D1259" s="6">
        <v>38.0</v>
      </c>
      <c r="E1259" s="10" t="str">
        <f t="shared" si="3"/>
        <v>BIS38</v>
      </c>
      <c r="F1259" s="13">
        <v>57.0</v>
      </c>
      <c r="G1259" s="10" t="str">
        <f t="shared" si="8"/>
        <v>BIS38-57</v>
      </c>
      <c r="H1259" s="16"/>
      <c r="I1259" s="16" t="str">
        <f t="shared" si="5"/>
        <v>collected</v>
      </c>
      <c r="J1259" s="16" t="str">
        <f t="shared" si="6"/>
        <v>N</v>
      </c>
      <c r="K1259" s="16"/>
      <c r="L1259" s="16"/>
    </row>
    <row r="1260">
      <c r="A1260" s="40" t="s">
        <v>1773</v>
      </c>
      <c r="B1260" s="10" t="str">
        <f t="shared" si="1"/>
        <v>isotope</v>
      </c>
      <c r="C1260" s="49" t="str">
        <f t="shared" si="2"/>
        <v>S16415IS1</v>
      </c>
      <c r="D1260" s="6">
        <v>38.0</v>
      </c>
      <c r="E1260" s="10" t="str">
        <f t="shared" si="3"/>
        <v>BIS38</v>
      </c>
      <c r="F1260" s="13">
        <v>58.0</v>
      </c>
      <c r="G1260" s="10" t="str">
        <f t="shared" si="8"/>
        <v>BIS38-58</v>
      </c>
      <c r="H1260" s="16"/>
      <c r="I1260" s="16" t="str">
        <f t="shared" si="5"/>
        <v>collected</v>
      </c>
      <c r="J1260" s="16" t="str">
        <f t="shared" si="6"/>
        <v>N</v>
      </c>
      <c r="K1260" s="16"/>
      <c r="L1260" s="16"/>
    </row>
    <row r="1261">
      <c r="A1261" s="40" t="s">
        <v>1774</v>
      </c>
      <c r="B1261" s="10" t="str">
        <f t="shared" si="1"/>
        <v>isotope</v>
      </c>
      <c r="C1261" s="49" t="str">
        <f t="shared" si="2"/>
        <v>S16418IS1</v>
      </c>
      <c r="D1261" s="6">
        <v>38.0</v>
      </c>
      <c r="E1261" s="10" t="str">
        <f t="shared" si="3"/>
        <v>BIS38</v>
      </c>
      <c r="F1261" s="13">
        <v>59.0</v>
      </c>
      <c r="G1261" s="10" t="str">
        <f t="shared" si="8"/>
        <v>BIS38-59</v>
      </c>
      <c r="H1261" s="16"/>
      <c r="I1261" s="16" t="str">
        <f t="shared" si="5"/>
        <v>collected</v>
      </c>
      <c r="J1261" s="16" t="str">
        <f t="shared" si="6"/>
        <v>N</v>
      </c>
      <c r="K1261" s="16"/>
      <c r="L1261" s="16"/>
    </row>
    <row r="1262">
      <c r="A1262" s="40" t="s">
        <v>1775</v>
      </c>
      <c r="B1262" s="10" t="str">
        <f t="shared" si="1"/>
        <v>isotope</v>
      </c>
      <c r="C1262" s="49" t="str">
        <f t="shared" si="2"/>
        <v>S16414IS1</v>
      </c>
      <c r="D1262" s="6">
        <v>38.0</v>
      </c>
      <c r="E1262" s="10" t="str">
        <f t="shared" si="3"/>
        <v>BIS38</v>
      </c>
      <c r="F1262" s="13">
        <v>60.0</v>
      </c>
      <c r="G1262" s="10" t="str">
        <f t="shared" si="8"/>
        <v>BIS38-60</v>
      </c>
      <c r="H1262" s="16"/>
      <c r="I1262" s="16" t="str">
        <f t="shared" si="5"/>
        <v>collected</v>
      </c>
      <c r="J1262" s="16" t="str">
        <f t="shared" si="6"/>
        <v>N</v>
      </c>
      <c r="K1262" s="16"/>
      <c r="L1262" s="16"/>
    </row>
    <row r="1263">
      <c r="A1263" s="40" t="s">
        <v>1776</v>
      </c>
      <c r="B1263" s="10" t="str">
        <f t="shared" si="1"/>
        <v>isotope</v>
      </c>
      <c r="C1263" s="49" t="str">
        <f t="shared" si="2"/>
        <v>S16412IS1</v>
      </c>
      <c r="D1263" s="6">
        <v>38.0</v>
      </c>
      <c r="E1263" s="10" t="str">
        <f t="shared" si="3"/>
        <v>BIS38</v>
      </c>
      <c r="F1263" s="13">
        <v>61.0</v>
      </c>
      <c r="G1263" s="10" t="str">
        <f t="shared" si="8"/>
        <v>BIS38-61</v>
      </c>
      <c r="H1263" s="16"/>
      <c r="I1263" s="16" t="str">
        <f t="shared" si="5"/>
        <v>collected</v>
      </c>
      <c r="J1263" s="16" t="str">
        <f t="shared" si="6"/>
        <v>N</v>
      </c>
      <c r="K1263" s="16"/>
      <c r="L1263" s="16"/>
    </row>
    <row r="1264">
      <c r="A1264" s="40" t="s">
        <v>1777</v>
      </c>
      <c r="B1264" s="10" t="str">
        <f t="shared" si="1"/>
        <v>isotope</v>
      </c>
      <c r="C1264" s="49" t="str">
        <f t="shared" si="2"/>
        <v>S16413IS1</v>
      </c>
      <c r="D1264" s="6">
        <v>38.0</v>
      </c>
      <c r="E1264" s="10" t="str">
        <f t="shared" si="3"/>
        <v>BIS38</v>
      </c>
      <c r="F1264" s="13">
        <v>62.0</v>
      </c>
      <c r="G1264" s="10" t="str">
        <f t="shared" si="8"/>
        <v>BIS38-62</v>
      </c>
      <c r="H1264" s="16"/>
      <c r="I1264" s="16" t="str">
        <f t="shared" si="5"/>
        <v>collected</v>
      </c>
      <c r="J1264" s="16" t="str">
        <f t="shared" si="6"/>
        <v>N</v>
      </c>
      <c r="K1264" s="16"/>
      <c r="L1264" s="16"/>
    </row>
    <row r="1265">
      <c r="A1265" s="40" t="s">
        <v>1778</v>
      </c>
      <c r="B1265" s="10" t="str">
        <f t="shared" si="1"/>
        <v>isotope</v>
      </c>
      <c r="C1265" s="49" t="str">
        <f t="shared" si="2"/>
        <v>S16411IS1</v>
      </c>
      <c r="D1265" s="6">
        <v>38.0</v>
      </c>
      <c r="E1265" s="10" t="str">
        <f t="shared" si="3"/>
        <v>BIS38</v>
      </c>
      <c r="F1265" s="13">
        <v>63.0</v>
      </c>
      <c r="G1265" s="10" t="str">
        <f t="shared" si="8"/>
        <v>BIS38-63</v>
      </c>
      <c r="H1265" s="16"/>
      <c r="I1265" s="16" t="str">
        <f t="shared" si="5"/>
        <v>collected</v>
      </c>
      <c r="J1265" s="16" t="str">
        <f t="shared" si="6"/>
        <v>N</v>
      </c>
      <c r="K1265" s="16"/>
      <c r="L1265" s="16"/>
    </row>
    <row r="1266">
      <c r="A1266" s="40" t="s">
        <v>1779</v>
      </c>
      <c r="B1266" s="10" t="str">
        <f t="shared" si="1"/>
        <v>isotope</v>
      </c>
      <c r="C1266" s="49" t="str">
        <f t="shared" si="2"/>
        <v>S16417IS1</v>
      </c>
      <c r="D1266" s="6">
        <v>38.0</v>
      </c>
      <c r="E1266" s="10" t="str">
        <f t="shared" si="3"/>
        <v>BIS38</v>
      </c>
      <c r="F1266" s="13">
        <v>64.0</v>
      </c>
      <c r="G1266" s="10" t="str">
        <f t="shared" si="8"/>
        <v>BIS38-64</v>
      </c>
      <c r="H1266" s="16"/>
      <c r="I1266" s="16" t="str">
        <f t="shared" si="5"/>
        <v>collected</v>
      </c>
      <c r="J1266" s="16" t="str">
        <f t="shared" si="6"/>
        <v>N</v>
      </c>
      <c r="K1266" s="16"/>
      <c r="L1266" s="16"/>
    </row>
    <row r="1267">
      <c r="A1267" s="40" t="s">
        <v>1781</v>
      </c>
      <c r="B1267" s="10" t="str">
        <f t="shared" si="1"/>
        <v>isotope</v>
      </c>
      <c r="C1267" s="49" t="str">
        <f t="shared" si="2"/>
        <v>S16419IS1</v>
      </c>
      <c r="D1267" s="6">
        <v>38.0</v>
      </c>
      <c r="E1267" s="10" t="str">
        <f t="shared" si="3"/>
        <v>BIS38</v>
      </c>
      <c r="F1267" s="13">
        <v>65.0</v>
      </c>
      <c r="G1267" s="10" t="str">
        <f t="shared" si="8"/>
        <v>BIS38-65</v>
      </c>
      <c r="H1267" s="16"/>
      <c r="I1267" s="16" t="str">
        <f t="shared" si="5"/>
        <v>collected</v>
      </c>
      <c r="J1267" s="16" t="str">
        <f t="shared" si="6"/>
        <v>N</v>
      </c>
      <c r="K1267" s="16"/>
      <c r="L1267" s="16"/>
    </row>
    <row r="1268">
      <c r="A1268" s="40" t="s">
        <v>1782</v>
      </c>
      <c r="B1268" s="10" t="str">
        <f t="shared" si="1"/>
        <v>isotope</v>
      </c>
      <c r="C1268" s="49" t="str">
        <f t="shared" si="2"/>
        <v>S16416IS1</v>
      </c>
      <c r="D1268" s="6">
        <v>38.0</v>
      </c>
      <c r="E1268" s="10" t="str">
        <f t="shared" si="3"/>
        <v>BIS38</v>
      </c>
      <c r="F1268" s="13">
        <v>66.0</v>
      </c>
      <c r="G1268" s="10" t="str">
        <f t="shared" si="8"/>
        <v>BIS38-66</v>
      </c>
      <c r="H1268" s="16"/>
      <c r="I1268" s="16" t="str">
        <f t="shared" si="5"/>
        <v>collected</v>
      </c>
      <c r="J1268" s="16" t="str">
        <f t="shared" si="6"/>
        <v>N</v>
      </c>
      <c r="K1268" s="16"/>
      <c r="L1268" s="16"/>
    </row>
    <row r="1269">
      <c r="A1269" s="40" t="s">
        <v>1784</v>
      </c>
      <c r="B1269" s="10" t="str">
        <f t="shared" si="1"/>
        <v>isotope</v>
      </c>
      <c r="C1269" s="49" t="str">
        <f t="shared" si="2"/>
        <v>S16420IS1</v>
      </c>
      <c r="D1269" s="6">
        <v>38.0</v>
      </c>
      <c r="E1269" s="10" t="str">
        <f t="shared" si="3"/>
        <v>BIS38</v>
      </c>
      <c r="F1269" s="13">
        <v>67.0</v>
      </c>
      <c r="G1269" s="10" t="str">
        <f t="shared" si="8"/>
        <v>BIS38-67</v>
      </c>
      <c r="H1269" s="16"/>
      <c r="I1269" s="16" t="str">
        <f t="shared" si="5"/>
        <v>collected</v>
      </c>
      <c r="J1269" s="16" t="str">
        <f t="shared" si="6"/>
        <v>N</v>
      </c>
      <c r="K1269" s="16"/>
      <c r="L1269" s="16"/>
    </row>
    <row r="1270">
      <c r="A1270" s="40" t="s">
        <v>1785</v>
      </c>
      <c r="B1270" s="10" t="str">
        <f t="shared" si="1"/>
        <v>isotope</v>
      </c>
      <c r="C1270" s="49" t="str">
        <f t="shared" si="2"/>
        <v>S17380IS1</v>
      </c>
      <c r="D1270" s="6">
        <v>38.0</v>
      </c>
      <c r="E1270" s="10" t="str">
        <f t="shared" si="3"/>
        <v>BIS38</v>
      </c>
      <c r="F1270" s="13">
        <v>68.0</v>
      </c>
      <c r="G1270" s="10" t="str">
        <f t="shared" si="8"/>
        <v>BIS38-68</v>
      </c>
      <c r="H1270" s="16"/>
      <c r="I1270" s="16" t="str">
        <f t="shared" si="5"/>
        <v>collected</v>
      </c>
      <c r="J1270" s="16" t="str">
        <f t="shared" si="6"/>
        <v>N</v>
      </c>
      <c r="K1270" s="16"/>
      <c r="L1270" s="16"/>
    </row>
    <row r="1271">
      <c r="A1271" s="40" t="s">
        <v>1786</v>
      </c>
      <c r="B1271" s="10" t="str">
        <f t="shared" si="1"/>
        <v>isotope</v>
      </c>
      <c r="C1271" s="49" t="str">
        <f t="shared" si="2"/>
        <v>S17375IS1</v>
      </c>
      <c r="D1271" s="6">
        <v>38.0</v>
      </c>
      <c r="E1271" s="10" t="str">
        <f t="shared" si="3"/>
        <v>BIS38</v>
      </c>
      <c r="F1271" s="13">
        <v>69.0</v>
      </c>
      <c r="G1271" s="10" t="str">
        <f t="shared" si="8"/>
        <v>BIS38-69</v>
      </c>
      <c r="H1271" s="16"/>
      <c r="I1271" s="16" t="str">
        <f t="shared" si="5"/>
        <v>collected</v>
      </c>
      <c r="J1271" s="16" t="str">
        <f t="shared" si="6"/>
        <v>N</v>
      </c>
      <c r="K1271" s="16"/>
      <c r="L1271" s="16"/>
    </row>
    <row r="1272">
      <c r="A1272" s="40" t="s">
        <v>1787</v>
      </c>
      <c r="B1272" s="10" t="str">
        <f t="shared" si="1"/>
        <v>isotope</v>
      </c>
      <c r="C1272" s="49" t="str">
        <f t="shared" si="2"/>
        <v>S17376IS1</v>
      </c>
      <c r="D1272" s="6">
        <v>38.0</v>
      </c>
      <c r="E1272" s="10" t="str">
        <f t="shared" si="3"/>
        <v>BIS38</v>
      </c>
      <c r="F1272" s="13">
        <v>70.0</v>
      </c>
      <c r="G1272" s="10" t="str">
        <f t="shared" si="8"/>
        <v>BIS38-70</v>
      </c>
      <c r="H1272" s="16"/>
      <c r="I1272" s="16" t="str">
        <f t="shared" si="5"/>
        <v>collected</v>
      </c>
      <c r="J1272" s="16" t="str">
        <f t="shared" si="6"/>
        <v>N</v>
      </c>
      <c r="K1272" s="16"/>
      <c r="L1272" s="16"/>
    </row>
    <row r="1273">
      <c r="A1273" s="40" t="s">
        <v>1788</v>
      </c>
      <c r="B1273" s="10" t="str">
        <f t="shared" si="1"/>
        <v>isotope</v>
      </c>
      <c r="C1273" s="49" t="str">
        <f t="shared" si="2"/>
        <v>S17377IS1</v>
      </c>
      <c r="D1273" s="6">
        <v>38.0</v>
      </c>
      <c r="E1273" s="10" t="str">
        <f t="shared" si="3"/>
        <v>BIS38</v>
      </c>
      <c r="F1273" s="13">
        <v>71.0</v>
      </c>
      <c r="G1273" s="10" t="str">
        <f t="shared" si="8"/>
        <v>BIS38-71</v>
      </c>
      <c r="H1273" s="16"/>
      <c r="I1273" s="16" t="str">
        <f t="shared" si="5"/>
        <v>collected</v>
      </c>
      <c r="J1273" s="16" t="str">
        <f t="shared" si="6"/>
        <v>N</v>
      </c>
      <c r="K1273" s="16"/>
      <c r="L1273" s="16"/>
    </row>
    <row r="1274">
      <c r="A1274" s="40" t="s">
        <v>1790</v>
      </c>
      <c r="B1274" s="10" t="str">
        <f t="shared" si="1"/>
        <v>isotope</v>
      </c>
      <c r="C1274" s="49" t="str">
        <f t="shared" si="2"/>
        <v>S17374IS1</v>
      </c>
      <c r="D1274" s="6">
        <v>38.0</v>
      </c>
      <c r="E1274" s="10" t="str">
        <f t="shared" si="3"/>
        <v>BIS38</v>
      </c>
      <c r="F1274" s="13">
        <v>72.0</v>
      </c>
      <c r="G1274" s="10" t="str">
        <f t="shared" si="8"/>
        <v>BIS38-72</v>
      </c>
      <c r="H1274" s="16"/>
      <c r="I1274" s="16" t="str">
        <f t="shared" si="5"/>
        <v>collected</v>
      </c>
      <c r="J1274" s="16" t="str">
        <f t="shared" si="6"/>
        <v>N</v>
      </c>
      <c r="K1274" s="16"/>
      <c r="L1274" s="16"/>
    </row>
    <row r="1275">
      <c r="A1275" s="40" t="s">
        <v>1791</v>
      </c>
      <c r="B1275" s="10" t="str">
        <f t="shared" si="1"/>
        <v>isotope</v>
      </c>
      <c r="C1275" s="49" t="str">
        <f t="shared" si="2"/>
        <v>S17378IS1</v>
      </c>
      <c r="D1275" s="6">
        <v>38.0</v>
      </c>
      <c r="E1275" s="10" t="str">
        <f t="shared" si="3"/>
        <v>BIS38</v>
      </c>
      <c r="F1275" s="13">
        <v>73.0</v>
      </c>
      <c r="G1275" s="10" t="str">
        <f t="shared" si="8"/>
        <v>BIS38-73</v>
      </c>
      <c r="H1275" s="16"/>
      <c r="I1275" s="16" t="str">
        <f t="shared" si="5"/>
        <v>collected</v>
      </c>
      <c r="J1275" s="16" t="str">
        <f t="shared" si="6"/>
        <v>N</v>
      </c>
      <c r="K1275" s="16"/>
      <c r="L1275" s="16"/>
    </row>
    <row r="1276">
      <c r="A1276" s="40" t="s">
        <v>1792</v>
      </c>
      <c r="B1276" s="10" t="str">
        <f t="shared" si="1"/>
        <v>isotope</v>
      </c>
      <c r="C1276" s="49" t="str">
        <f t="shared" si="2"/>
        <v>S17379IS1</v>
      </c>
      <c r="D1276" s="6">
        <v>38.0</v>
      </c>
      <c r="E1276" s="10" t="str">
        <f t="shared" si="3"/>
        <v>BIS38</v>
      </c>
      <c r="F1276" s="13">
        <v>74.0</v>
      </c>
      <c r="G1276" s="10" t="str">
        <f t="shared" si="8"/>
        <v>BIS38-74</v>
      </c>
      <c r="H1276" s="16"/>
      <c r="I1276" s="16" t="str">
        <f t="shared" si="5"/>
        <v>collected</v>
      </c>
      <c r="J1276" s="16" t="str">
        <f t="shared" si="6"/>
        <v>N</v>
      </c>
      <c r="K1276" s="16"/>
      <c r="L1276" s="16"/>
    </row>
    <row r="1277">
      <c r="A1277" s="40" t="s">
        <v>1793</v>
      </c>
      <c r="B1277" s="10" t="str">
        <f t="shared" si="1"/>
        <v>isotope</v>
      </c>
      <c r="C1277" s="49" t="str">
        <f t="shared" si="2"/>
        <v>S17371IS1</v>
      </c>
      <c r="D1277" s="6">
        <v>38.0</v>
      </c>
      <c r="E1277" s="10" t="str">
        <f t="shared" si="3"/>
        <v>BIS38</v>
      </c>
      <c r="F1277" s="13">
        <v>75.0</v>
      </c>
      <c r="G1277" s="10" t="str">
        <f t="shared" si="8"/>
        <v>BIS38-75</v>
      </c>
      <c r="H1277" s="16"/>
      <c r="I1277" s="16" t="str">
        <f t="shared" si="5"/>
        <v>collected</v>
      </c>
      <c r="J1277" s="16" t="str">
        <f t="shared" si="6"/>
        <v>N</v>
      </c>
      <c r="K1277" s="16"/>
      <c r="L1277" s="16"/>
    </row>
    <row r="1278">
      <c r="A1278" s="40" t="s">
        <v>1795</v>
      </c>
      <c r="B1278" s="10" t="str">
        <f t="shared" si="1"/>
        <v>isotope</v>
      </c>
      <c r="C1278" s="49" t="str">
        <f t="shared" si="2"/>
        <v>S17372IS1</v>
      </c>
      <c r="D1278" s="6">
        <v>38.0</v>
      </c>
      <c r="E1278" s="10" t="str">
        <f t="shared" si="3"/>
        <v>BIS38</v>
      </c>
      <c r="F1278" s="13">
        <v>76.0</v>
      </c>
      <c r="G1278" s="10" t="str">
        <f t="shared" si="8"/>
        <v>BIS38-76</v>
      </c>
      <c r="H1278" s="16"/>
      <c r="I1278" s="16" t="str">
        <f t="shared" si="5"/>
        <v>collected</v>
      </c>
      <c r="J1278" s="16" t="str">
        <f t="shared" si="6"/>
        <v>N</v>
      </c>
      <c r="K1278" s="16"/>
      <c r="L1278" s="16"/>
    </row>
    <row r="1279">
      <c r="A1279" s="40" t="s">
        <v>1796</v>
      </c>
      <c r="B1279" s="10" t="str">
        <f t="shared" si="1"/>
        <v>isotope</v>
      </c>
      <c r="C1279" s="49" t="str">
        <f t="shared" si="2"/>
        <v>S17373IS1</v>
      </c>
      <c r="D1279" s="6">
        <v>38.0</v>
      </c>
      <c r="E1279" s="10" t="str">
        <f t="shared" si="3"/>
        <v>BIS38</v>
      </c>
      <c r="F1279" s="13">
        <v>77.0</v>
      </c>
      <c r="G1279" s="10" t="str">
        <f t="shared" si="8"/>
        <v>BIS38-77</v>
      </c>
      <c r="H1279" s="16"/>
      <c r="I1279" s="16" t="str">
        <f t="shared" si="5"/>
        <v>collected</v>
      </c>
      <c r="J1279" s="16" t="str">
        <f t="shared" si="6"/>
        <v>N</v>
      </c>
      <c r="K1279" s="16"/>
      <c r="L1279" s="16"/>
    </row>
    <row r="1280">
      <c r="A1280" s="40" t="s">
        <v>1797</v>
      </c>
      <c r="B1280" s="10" t="str">
        <f t="shared" si="1"/>
        <v>isotope</v>
      </c>
      <c r="C1280" s="49" t="str">
        <f t="shared" si="2"/>
        <v>S17157IS1</v>
      </c>
      <c r="D1280" s="6">
        <v>34.0</v>
      </c>
      <c r="E1280" s="10" t="str">
        <f t="shared" si="3"/>
        <v>BIS34</v>
      </c>
      <c r="F1280" s="13">
        <v>46.0</v>
      </c>
      <c r="G1280" s="10" t="str">
        <f t="shared" si="8"/>
        <v>BIS34-46</v>
      </c>
      <c r="H1280" s="16"/>
      <c r="I1280" s="16" t="str">
        <f t="shared" si="5"/>
        <v>collected</v>
      </c>
      <c r="J1280" s="16" t="str">
        <f t="shared" si="6"/>
        <v>N</v>
      </c>
      <c r="K1280" s="16"/>
      <c r="L1280" s="16"/>
    </row>
    <row r="1281">
      <c r="A1281" s="40" t="s">
        <v>1798</v>
      </c>
      <c r="B1281" s="10" t="str">
        <f t="shared" si="1"/>
        <v>isotope</v>
      </c>
      <c r="C1281" s="49" t="str">
        <f t="shared" si="2"/>
        <v>S17160IS1</v>
      </c>
      <c r="D1281" s="6">
        <v>34.0</v>
      </c>
      <c r="E1281" s="10" t="str">
        <f t="shared" si="3"/>
        <v>BIS34</v>
      </c>
      <c r="F1281" s="13">
        <v>47.0</v>
      </c>
      <c r="G1281" s="10" t="str">
        <f t="shared" si="8"/>
        <v>BIS34-47</v>
      </c>
      <c r="H1281" s="16"/>
      <c r="I1281" s="16" t="str">
        <f t="shared" si="5"/>
        <v>collected</v>
      </c>
      <c r="J1281" s="16" t="str">
        <f t="shared" si="6"/>
        <v>N</v>
      </c>
      <c r="K1281" s="16"/>
      <c r="L1281" s="16"/>
    </row>
    <row r="1282">
      <c r="A1282" s="40" t="s">
        <v>1799</v>
      </c>
      <c r="B1282" s="10" t="str">
        <f t="shared" si="1"/>
        <v>isotope</v>
      </c>
      <c r="C1282" s="49" t="str">
        <f t="shared" si="2"/>
        <v>S17159IS1</v>
      </c>
      <c r="D1282" s="6">
        <v>34.0</v>
      </c>
      <c r="E1282" s="10" t="str">
        <f t="shared" si="3"/>
        <v>BIS34</v>
      </c>
      <c r="F1282" s="13">
        <v>48.0</v>
      </c>
      <c r="G1282" s="10" t="str">
        <f t="shared" si="8"/>
        <v>BIS34-48</v>
      </c>
      <c r="H1282" s="16"/>
      <c r="I1282" s="16" t="str">
        <f t="shared" si="5"/>
        <v>collected</v>
      </c>
      <c r="J1282" s="16" t="str">
        <f t="shared" si="6"/>
        <v>N</v>
      </c>
      <c r="K1282" s="16"/>
      <c r="L1282" s="16"/>
    </row>
    <row r="1283">
      <c r="A1283" s="40" t="s">
        <v>1801</v>
      </c>
      <c r="B1283" s="10" t="str">
        <f t="shared" si="1"/>
        <v>isotope</v>
      </c>
      <c r="C1283" s="49" t="str">
        <f t="shared" si="2"/>
        <v>S17155IS1</v>
      </c>
      <c r="D1283" s="6">
        <v>34.0</v>
      </c>
      <c r="E1283" s="10" t="str">
        <f t="shared" si="3"/>
        <v>BIS34</v>
      </c>
      <c r="F1283" s="13">
        <v>49.0</v>
      </c>
      <c r="G1283" s="10" t="str">
        <f t="shared" si="8"/>
        <v>BIS34-49</v>
      </c>
      <c r="H1283" s="16"/>
      <c r="I1283" s="16" t="str">
        <f t="shared" si="5"/>
        <v>collected</v>
      </c>
      <c r="J1283" s="16" t="str">
        <f t="shared" si="6"/>
        <v>N</v>
      </c>
      <c r="K1283" s="16"/>
      <c r="L1283" s="16"/>
    </row>
    <row r="1284">
      <c r="A1284" s="40" t="s">
        <v>1802</v>
      </c>
      <c r="B1284" s="10" t="str">
        <f t="shared" si="1"/>
        <v>isotope</v>
      </c>
      <c r="C1284" s="49" t="str">
        <f t="shared" si="2"/>
        <v>S17156IS1</v>
      </c>
      <c r="D1284" s="6">
        <v>34.0</v>
      </c>
      <c r="E1284" s="10" t="str">
        <f t="shared" si="3"/>
        <v>BIS34</v>
      </c>
      <c r="F1284" s="13">
        <v>50.0</v>
      </c>
      <c r="G1284" s="10" t="str">
        <f t="shared" si="8"/>
        <v>BIS34-50</v>
      </c>
      <c r="H1284" s="16"/>
      <c r="I1284" s="16" t="str">
        <f t="shared" si="5"/>
        <v>collected</v>
      </c>
      <c r="J1284" s="16" t="str">
        <f t="shared" si="6"/>
        <v>N</v>
      </c>
      <c r="K1284" s="16"/>
      <c r="L1284" s="16"/>
    </row>
    <row r="1285">
      <c r="A1285" s="40" t="s">
        <v>1803</v>
      </c>
      <c r="B1285" s="10" t="str">
        <f t="shared" si="1"/>
        <v>isotope</v>
      </c>
      <c r="C1285" s="49" t="str">
        <f t="shared" si="2"/>
        <v>S17154IS1</v>
      </c>
      <c r="D1285" s="6">
        <v>34.0</v>
      </c>
      <c r="E1285" s="10" t="str">
        <f t="shared" si="3"/>
        <v>BIS34</v>
      </c>
      <c r="F1285" s="13">
        <v>51.0</v>
      </c>
      <c r="G1285" s="10" t="str">
        <f t="shared" si="8"/>
        <v>BIS34-51</v>
      </c>
      <c r="H1285" s="16"/>
      <c r="I1285" s="16" t="str">
        <f t="shared" si="5"/>
        <v>collected</v>
      </c>
      <c r="J1285" s="16" t="str">
        <f t="shared" si="6"/>
        <v>N</v>
      </c>
      <c r="K1285" s="16"/>
      <c r="L1285" s="16"/>
    </row>
    <row r="1286">
      <c r="A1286" s="40" t="s">
        <v>1804</v>
      </c>
      <c r="B1286" s="10" t="str">
        <f t="shared" si="1"/>
        <v>isotope</v>
      </c>
      <c r="C1286" s="49" t="str">
        <f t="shared" si="2"/>
        <v>S17152IS1</v>
      </c>
      <c r="D1286" s="6">
        <v>34.0</v>
      </c>
      <c r="E1286" s="10" t="str">
        <f t="shared" si="3"/>
        <v>BIS34</v>
      </c>
      <c r="F1286" s="13">
        <v>52.0</v>
      </c>
      <c r="G1286" s="10" t="str">
        <f t="shared" si="8"/>
        <v>BIS34-52</v>
      </c>
      <c r="H1286" s="16"/>
      <c r="I1286" s="16" t="str">
        <f t="shared" si="5"/>
        <v>collected</v>
      </c>
      <c r="J1286" s="16" t="str">
        <f t="shared" si="6"/>
        <v>N</v>
      </c>
      <c r="K1286" s="16"/>
      <c r="L1286" s="16"/>
    </row>
    <row r="1287">
      <c r="A1287" s="40" t="s">
        <v>1805</v>
      </c>
      <c r="B1287" s="10" t="str">
        <f t="shared" si="1"/>
        <v>isotope</v>
      </c>
      <c r="C1287" s="49" t="str">
        <f t="shared" si="2"/>
        <v>S17158IS1</v>
      </c>
      <c r="D1287" s="6">
        <v>34.0</v>
      </c>
      <c r="E1287" s="10" t="str">
        <f t="shared" si="3"/>
        <v>BIS34</v>
      </c>
      <c r="F1287" s="13">
        <v>53.0</v>
      </c>
      <c r="G1287" s="10" t="str">
        <f t="shared" si="8"/>
        <v>BIS34-53</v>
      </c>
      <c r="H1287" s="16"/>
      <c r="I1287" s="16" t="str">
        <f t="shared" si="5"/>
        <v>collected</v>
      </c>
      <c r="J1287" s="16" t="str">
        <f t="shared" si="6"/>
        <v>N</v>
      </c>
      <c r="K1287" s="16"/>
      <c r="L1287" s="16"/>
    </row>
    <row r="1288">
      <c r="A1288" s="40" t="s">
        <v>1806</v>
      </c>
      <c r="B1288" s="10" t="str">
        <f t="shared" si="1"/>
        <v>isotope</v>
      </c>
      <c r="C1288" s="49" t="str">
        <f t="shared" si="2"/>
        <v>S17151IS1</v>
      </c>
      <c r="D1288" s="6">
        <v>34.0</v>
      </c>
      <c r="E1288" s="10" t="str">
        <f t="shared" si="3"/>
        <v>BIS34</v>
      </c>
      <c r="F1288" s="13">
        <v>54.0</v>
      </c>
      <c r="G1288" s="10" t="str">
        <f t="shared" si="8"/>
        <v>BIS34-54</v>
      </c>
      <c r="H1288" s="16"/>
      <c r="I1288" s="16" t="str">
        <f t="shared" si="5"/>
        <v>collected</v>
      </c>
      <c r="J1288" s="16" t="str">
        <f t="shared" si="6"/>
        <v>N</v>
      </c>
      <c r="K1288" s="16"/>
      <c r="L1288" s="16"/>
    </row>
    <row r="1289">
      <c r="A1289" s="40" t="s">
        <v>1808</v>
      </c>
      <c r="B1289" s="10" t="str">
        <f t="shared" si="1"/>
        <v>isotope</v>
      </c>
      <c r="C1289" s="49" t="str">
        <f t="shared" si="2"/>
        <v>S17153IS1</v>
      </c>
      <c r="D1289" s="6">
        <v>34.0</v>
      </c>
      <c r="E1289" s="10" t="str">
        <f t="shared" si="3"/>
        <v>BIS34</v>
      </c>
      <c r="F1289" s="13">
        <v>55.0</v>
      </c>
      <c r="G1289" s="10" t="str">
        <f t="shared" si="8"/>
        <v>BIS34-55</v>
      </c>
      <c r="H1289" s="16"/>
      <c r="I1289" s="16" t="str">
        <f t="shared" si="5"/>
        <v>collected</v>
      </c>
      <c r="J1289" s="16" t="str">
        <f t="shared" si="6"/>
        <v>N</v>
      </c>
      <c r="K1289" s="16"/>
      <c r="L1289" s="16"/>
    </row>
    <row r="1290">
      <c r="A1290" s="40" t="s">
        <v>1810</v>
      </c>
      <c r="B1290" s="10" t="str">
        <f t="shared" si="1"/>
        <v>isotope</v>
      </c>
      <c r="C1290" s="49" t="str">
        <f t="shared" si="2"/>
        <v>S16575IS1</v>
      </c>
      <c r="D1290" s="6">
        <v>34.0</v>
      </c>
      <c r="E1290" s="10" t="str">
        <f t="shared" si="3"/>
        <v>BIS34</v>
      </c>
      <c r="F1290" s="13">
        <v>56.0</v>
      </c>
      <c r="G1290" s="10" t="str">
        <f t="shared" si="8"/>
        <v>BIS34-56</v>
      </c>
      <c r="H1290" s="16"/>
      <c r="I1290" s="16" t="str">
        <f t="shared" si="5"/>
        <v>collected</v>
      </c>
      <c r="J1290" s="16" t="str">
        <f t="shared" si="6"/>
        <v>N</v>
      </c>
      <c r="K1290" s="16"/>
      <c r="L1290" s="16"/>
    </row>
    <row r="1291">
      <c r="A1291" s="40" t="s">
        <v>1811</v>
      </c>
      <c r="B1291" s="10" t="str">
        <f t="shared" si="1"/>
        <v>isotope</v>
      </c>
      <c r="C1291" s="49" t="str">
        <f t="shared" si="2"/>
        <v>S16573IS1</v>
      </c>
      <c r="D1291" s="6">
        <v>34.0</v>
      </c>
      <c r="E1291" s="10" t="str">
        <f t="shared" si="3"/>
        <v>BIS34</v>
      </c>
      <c r="F1291" s="13">
        <v>57.0</v>
      </c>
      <c r="G1291" s="10" t="str">
        <f t="shared" si="8"/>
        <v>BIS34-57</v>
      </c>
      <c r="H1291" s="16"/>
      <c r="I1291" s="16" t="str">
        <f t="shared" si="5"/>
        <v>collected</v>
      </c>
      <c r="J1291" s="16" t="str">
        <f t="shared" si="6"/>
        <v>N</v>
      </c>
      <c r="K1291" s="16"/>
      <c r="L1291" s="16"/>
    </row>
    <row r="1292">
      <c r="A1292" s="40" t="s">
        <v>1812</v>
      </c>
      <c r="B1292" s="10" t="str">
        <f t="shared" si="1"/>
        <v>isotope</v>
      </c>
      <c r="C1292" s="49" t="str">
        <f t="shared" si="2"/>
        <v>S16571IS1</v>
      </c>
      <c r="D1292" s="6">
        <v>34.0</v>
      </c>
      <c r="E1292" s="10" t="str">
        <f t="shared" si="3"/>
        <v>BIS34</v>
      </c>
      <c r="F1292" s="13">
        <v>58.0</v>
      </c>
      <c r="G1292" s="10" t="str">
        <f t="shared" si="8"/>
        <v>BIS34-58</v>
      </c>
      <c r="H1292" s="16"/>
      <c r="I1292" s="16" t="str">
        <f t="shared" si="5"/>
        <v>collected</v>
      </c>
      <c r="J1292" s="16" t="str">
        <f t="shared" si="6"/>
        <v>N</v>
      </c>
      <c r="K1292" s="16"/>
      <c r="L1292" s="16"/>
    </row>
    <row r="1293">
      <c r="A1293" s="40" t="s">
        <v>1814</v>
      </c>
      <c r="B1293" s="10" t="str">
        <f t="shared" si="1"/>
        <v>isotope</v>
      </c>
      <c r="C1293" s="49" t="str">
        <f t="shared" si="2"/>
        <v>S16580IS1</v>
      </c>
      <c r="D1293" s="6">
        <v>34.0</v>
      </c>
      <c r="E1293" s="10" t="str">
        <f t="shared" si="3"/>
        <v>BIS34</v>
      </c>
      <c r="F1293" s="13">
        <v>59.0</v>
      </c>
      <c r="G1293" s="10" t="str">
        <f t="shared" si="8"/>
        <v>BIS34-59</v>
      </c>
      <c r="H1293" s="16"/>
      <c r="I1293" s="16" t="str">
        <f t="shared" si="5"/>
        <v>collected</v>
      </c>
      <c r="J1293" s="16" t="str">
        <f t="shared" si="6"/>
        <v>N</v>
      </c>
      <c r="K1293" s="16"/>
      <c r="L1293" s="16"/>
    </row>
    <row r="1294">
      <c r="A1294" s="40" t="s">
        <v>1815</v>
      </c>
      <c r="B1294" s="10" t="str">
        <f t="shared" si="1"/>
        <v>isotope</v>
      </c>
      <c r="C1294" s="49" t="str">
        <f t="shared" si="2"/>
        <v>S16574IS1</v>
      </c>
      <c r="D1294" s="6">
        <v>34.0</v>
      </c>
      <c r="E1294" s="10" t="str">
        <f t="shared" si="3"/>
        <v>BIS34</v>
      </c>
      <c r="F1294" s="13">
        <v>60.0</v>
      </c>
      <c r="G1294" s="10" t="str">
        <f t="shared" si="8"/>
        <v>BIS34-60</v>
      </c>
      <c r="H1294" s="16"/>
      <c r="I1294" s="16" t="str">
        <f t="shared" si="5"/>
        <v>collected</v>
      </c>
      <c r="J1294" s="16" t="str">
        <f t="shared" si="6"/>
        <v>N</v>
      </c>
      <c r="K1294" s="16"/>
      <c r="L1294" s="16"/>
    </row>
    <row r="1295">
      <c r="A1295" s="40" t="s">
        <v>1816</v>
      </c>
      <c r="B1295" s="10" t="str">
        <f t="shared" si="1"/>
        <v>isotope</v>
      </c>
      <c r="C1295" s="49" t="str">
        <f t="shared" si="2"/>
        <v>S16577IS1</v>
      </c>
      <c r="D1295" s="6">
        <v>34.0</v>
      </c>
      <c r="E1295" s="10" t="str">
        <f t="shared" si="3"/>
        <v>BIS34</v>
      </c>
      <c r="F1295" s="13">
        <v>61.0</v>
      </c>
      <c r="G1295" s="10" t="str">
        <f t="shared" si="8"/>
        <v>BIS34-61</v>
      </c>
      <c r="H1295" s="16"/>
      <c r="I1295" s="16" t="str">
        <f t="shared" si="5"/>
        <v>collected</v>
      </c>
      <c r="J1295" s="16" t="str">
        <f t="shared" si="6"/>
        <v>N</v>
      </c>
      <c r="K1295" s="16"/>
      <c r="L1295" s="16"/>
    </row>
    <row r="1296">
      <c r="A1296" s="40" t="s">
        <v>1817</v>
      </c>
      <c r="B1296" s="10" t="str">
        <f t="shared" si="1"/>
        <v>isotope</v>
      </c>
      <c r="C1296" s="49" t="str">
        <f t="shared" si="2"/>
        <v>S16579IS1</v>
      </c>
      <c r="D1296" s="6">
        <v>34.0</v>
      </c>
      <c r="E1296" s="10" t="str">
        <f t="shared" si="3"/>
        <v>BIS34</v>
      </c>
      <c r="F1296" s="13">
        <v>62.0</v>
      </c>
      <c r="G1296" s="10" t="str">
        <f t="shared" si="8"/>
        <v>BIS34-62</v>
      </c>
      <c r="H1296" s="16"/>
      <c r="I1296" s="16" t="str">
        <f t="shared" si="5"/>
        <v>collected</v>
      </c>
      <c r="J1296" s="16" t="str">
        <f t="shared" si="6"/>
        <v>N</v>
      </c>
      <c r="K1296" s="16"/>
      <c r="L1296" s="16"/>
    </row>
    <row r="1297">
      <c r="A1297" s="40" t="s">
        <v>1818</v>
      </c>
      <c r="B1297" s="10" t="str">
        <f t="shared" si="1"/>
        <v>isotope</v>
      </c>
      <c r="C1297" s="49" t="str">
        <f t="shared" si="2"/>
        <v>S16576IS1</v>
      </c>
      <c r="D1297" s="6">
        <v>34.0</v>
      </c>
      <c r="E1297" s="10" t="str">
        <f t="shared" si="3"/>
        <v>BIS34</v>
      </c>
      <c r="F1297" s="13">
        <v>63.0</v>
      </c>
      <c r="G1297" s="10" t="str">
        <f t="shared" si="8"/>
        <v>BIS34-63</v>
      </c>
      <c r="H1297" s="16"/>
      <c r="I1297" s="16" t="str">
        <f t="shared" si="5"/>
        <v>collected</v>
      </c>
      <c r="J1297" s="16" t="str">
        <f t="shared" si="6"/>
        <v>N</v>
      </c>
      <c r="K1297" s="16"/>
      <c r="L1297" s="16"/>
    </row>
    <row r="1298">
      <c r="A1298" s="40" t="s">
        <v>1819</v>
      </c>
      <c r="B1298" s="10" t="str">
        <f t="shared" si="1"/>
        <v>isotope</v>
      </c>
      <c r="C1298" s="49" t="str">
        <f t="shared" si="2"/>
        <v>S16578IS1</v>
      </c>
      <c r="D1298" s="6">
        <v>34.0</v>
      </c>
      <c r="E1298" s="10" t="str">
        <f t="shared" si="3"/>
        <v>BIS34</v>
      </c>
      <c r="F1298" s="13">
        <v>64.0</v>
      </c>
      <c r="G1298" s="10" t="str">
        <f t="shared" si="8"/>
        <v>BIS34-64</v>
      </c>
      <c r="H1298" s="16"/>
      <c r="I1298" s="16" t="str">
        <f t="shared" si="5"/>
        <v>collected</v>
      </c>
      <c r="J1298" s="16" t="str">
        <f t="shared" si="6"/>
        <v>N</v>
      </c>
      <c r="K1298" s="16"/>
      <c r="L1298" s="16"/>
    </row>
    <row r="1299">
      <c r="A1299" s="40" t="s">
        <v>1821</v>
      </c>
      <c r="B1299" s="10" t="str">
        <f t="shared" si="1"/>
        <v>isotope</v>
      </c>
      <c r="C1299" s="49" t="str">
        <f t="shared" si="2"/>
        <v>S16572IS1</v>
      </c>
      <c r="D1299" s="6">
        <v>34.0</v>
      </c>
      <c r="E1299" s="10" t="str">
        <f t="shared" si="3"/>
        <v>BIS34</v>
      </c>
      <c r="F1299" s="13">
        <v>65.0</v>
      </c>
      <c r="G1299" s="10" t="str">
        <f t="shared" si="8"/>
        <v>BIS34-65</v>
      </c>
      <c r="H1299" s="16"/>
      <c r="I1299" s="16" t="str">
        <f t="shared" si="5"/>
        <v>collected</v>
      </c>
      <c r="J1299" s="16" t="str">
        <f t="shared" si="6"/>
        <v>N</v>
      </c>
      <c r="K1299" s="16"/>
      <c r="L1299" s="16"/>
    </row>
    <row r="1300">
      <c r="A1300" s="40" t="s">
        <v>1822</v>
      </c>
      <c r="B1300" s="10" t="str">
        <f t="shared" si="1"/>
        <v>isotope</v>
      </c>
      <c r="C1300" s="49" t="str">
        <f t="shared" si="2"/>
        <v>S16486IS1</v>
      </c>
      <c r="D1300" s="6">
        <v>38.0</v>
      </c>
      <c r="E1300" s="10" t="str">
        <f t="shared" si="3"/>
        <v>BIS38</v>
      </c>
      <c r="F1300" s="13">
        <v>78.0</v>
      </c>
      <c r="G1300" s="10" t="str">
        <f t="shared" si="8"/>
        <v>BIS38-78</v>
      </c>
      <c r="H1300" s="16"/>
      <c r="I1300" s="16" t="str">
        <f t="shared" si="5"/>
        <v>collected</v>
      </c>
      <c r="J1300" s="16" t="str">
        <f t="shared" si="6"/>
        <v>N</v>
      </c>
      <c r="K1300" s="16"/>
      <c r="L1300" s="16"/>
    </row>
    <row r="1301">
      <c r="A1301" s="40" t="s">
        <v>1823</v>
      </c>
      <c r="B1301" s="10" t="str">
        <f t="shared" si="1"/>
        <v>isotope</v>
      </c>
      <c r="C1301" s="49" t="str">
        <f t="shared" si="2"/>
        <v>S16490IS1</v>
      </c>
      <c r="D1301" s="6">
        <v>38.0</v>
      </c>
      <c r="E1301" s="10" t="str">
        <f t="shared" si="3"/>
        <v>BIS38</v>
      </c>
      <c r="F1301" s="13">
        <v>79.0</v>
      </c>
      <c r="G1301" s="10" t="str">
        <f t="shared" si="8"/>
        <v>BIS38-79</v>
      </c>
      <c r="H1301" s="16"/>
      <c r="I1301" s="16" t="str">
        <f t="shared" si="5"/>
        <v>collected</v>
      </c>
      <c r="J1301" s="16" t="str">
        <f t="shared" si="6"/>
        <v>N</v>
      </c>
      <c r="K1301" s="16"/>
      <c r="L1301" s="16"/>
    </row>
    <row r="1302">
      <c r="A1302" s="40" t="s">
        <v>1824</v>
      </c>
      <c r="B1302" s="10" t="str">
        <f t="shared" si="1"/>
        <v>isotope</v>
      </c>
      <c r="C1302" s="49" t="str">
        <f t="shared" si="2"/>
        <v>S16487IS1</v>
      </c>
      <c r="D1302" s="6">
        <v>38.0</v>
      </c>
      <c r="E1302" s="10" t="str">
        <f t="shared" si="3"/>
        <v>BIS38</v>
      </c>
      <c r="F1302" s="13">
        <v>80.0</v>
      </c>
      <c r="G1302" s="10" t="str">
        <f t="shared" si="8"/>
        <v>BIS38-80</v>
      </c>
      <c r="H1302" s="16"/>
      <c r="I1302" s="16" t="str">
        <f t="shared" si="5"/>
        <v>collected</v>
      </c>
      <c r="J1302" s="16" t="str">
        <f t="shared" si="6"/>
        <v>N</v>
      </c>
      <c r="K1302" s="16"/>
      <c r="L1302" s="16"/>
    </row>
    <row r="1303">
      <c r="A1303" s="40" t="s">
        <v>1825</v>
      </c>
      <c r="B1303" s="10" t="str">
        <f t="shared" si="1"/>
        <v>isotope</v>
      </c>
      <c r="C1303" s="49" t="str">
        <f t="shared" si="2"/>
        <v>S16488IS1</v>
      </c>
      <c r="D1303" s="6">
        <v>38.0</v>
      </c>
      <c r="E1303" s="10" t="str">
        <f t="shared" si="3"/>
        <v>BIS38</v>
      </c>
      <c r="F1303" s="13">
        <v>81.0</v>
      </c>
      <c r="G1303" s="10" t="str">
        <f t="shared" si="8"/>
        <v>BIS38-81</v>
      </c>
      <c r="H1303" s="16"/>
      <c r="I1303" s="16" t="str">
        <f t="shared" si="5"/>
        <v>collected</v>
      </c>
      <c r="J1303" s="16" t="str">
        <f t="shared" si="6"/>
        <v>N</v>
      </c>
      <c r="K1303" s="16"/>
      <c r="L1303" s="16"/>
    </row>
    <row r="1304">
      <c r="A1304" s="40" t="s">
        <v>1827</v>
      </c>
      <c r="B1304" s="10" t="str">
        <f t="shared" si="1"/>
        <v>isotope</v>
      </c>
      <c r="C1304" s="49" t="str">
        <f t="shared" si="2"/>
        <v>S16489IS1</v>
      </c>
      <c r="D1304" s="6">
        <v>39.0</v>
      </c>
      <c r="E1304" s="10" t="str">
        <f t="shared" si="3"/>
        <v>BIS39</v>
      </c>
      <c r="F1304" s="13">
        <v>1.0</v>
      </c>
      <c r="G1304" s="10" t="str">
        <f t="shared" si="8"/>
        <v>BIS39-1</v>
      </c>
      <c r="H1304" s="16"/>
      <c r="I1304" s="16" t="str">
        <f t="shared" si="5"/>
        <v>collected</v>
      </c>
      <c r="J1304" s="16" t="str">
        <f t="shared" si="6"/>
        <v>N</v>
      </c>
      <c r="K1304" s="16"/>
      <c r="L1304" s="16"/>
    </row>
    <row r="1305">
      <c r="A1305" s="40" t="s">
        <v>1828</v>
      </c>
      <c r="B1305" s="10" t="str">
        <f t="shared" si="1"/>
        <v>isotope</v>
      </c>
      <c r="C1305" s="49" t="str">
        <f t="shared" si="2"/>
        <v>S16484IS1</v>
      </c>
      <c r="D1305" s="6">
        <v>39.0</v>
      </c>
      <c r="E1305" s="10" t="str">
        <f t="shared" si="3"/>
        <v>BIS39</v>
      </c>
      <c r="F1305" s="13">
        <v>2.0</v>
      </c>
      <c r="G1305" s="10" t="str">
        <f t="shared" si="8"/>
        <v>BIS39-2</v>
      </c>
      <c r="H1305" s="16"/>
      <c r="I1305" s="16" t="str">
        <f t="shared" si="5"/>
        <v>collected</v>
      </c>
      <c r="J1305" s="16" t="str">
        <f t="shared" si="6"/>
        <v>N</v>
      </c>
      <c r="K1305" s="16"/>
      <c r="L1305" s="16"/>
    </row>
    <row r="1306">
      <c r="A1306" s="40" t="s">
        <v>1829</v>
      </c>
      <c r="B1306" s="10" t="str">
        <f t="shared" si="1"/>
        <v>isotope</v>
      </c>
      <c r="C1306" s="49" t="str">
        <f t="shared" si="2"/>
        <v>S16483IS1</v>
      </c>
      <c r="D1306" s="6">
        <v>39.0</v>
      </c>
      <c r="E1306" s="10" t="str">
        <f t="shared" si="3"/>
        <v>BIS39</v>
      </c>
      <c r="F1306" s="13">
        <v>3.0</v>
      </c>
      <c r="G1306" s="10" t="str">
        <f t="shared" si="8"/>
        <v>BIS39-3</v>
      </c>
      <c r="H1306" s="16"/>
      <c r="I1306" s="16" t="str">
        <f t="shared" si="5"/>
        <v>collected</v>
      </c>
      <c r="J1306" s="16" t="str">
        <f t="shared" si="6"/>
        <v>N</v>
      </c>
      <c r="K1306" s="16"/>
      <c r="L1306" s="16"/>
    </row>
    <row r="1307">
      <c r="A1307" s="40" t="s">
        <v>1830</v>
      </c>
      <c r="B1307" s="10" t="str">
        <f t="shared" si="1"/>
        <v>isotope</v>
      </c>
      <c r="C1307" s="49" t="str">
        <f t="shared" si="2"/>
        <v>S16482IS1</v>
      </c>
      <c r="D1307" s="6">
        <v>39.0</v>
      </c>
      <c r="E1307" s="10" t="str">
        <f t="shared" si="3"/>
        <v>BIS39</v>
      </c>
      <c r="F1307" s="13">
        <v>4.0</v>
      </c>
      <c r="G1307" s="10" t="str">
        <f t="shared" si="8"/>
        <v>BIS39-4</v>
      </c>
      <c r="H1307" s="16"/>
      <c r="I1307" s="16" t="str">
        <f t="shared" si="5"/>
        <v>collected</v>
      </c>
      <c r="J1307" s="16" t="str">
        <f t="shared" si="6"/>
        <v>N</v>
      </c>
      <c r="K1307" s="16"/>
      <c r="L1307" s="16"/>
    </row>
    <row r="1308">
      <c r="A1308" s="40" t="s">
        <v>1832</v>
      </c>
      <c r="B1308" s="10" t="str">
        <f t="shared" si="1"/>
        <v>isotope</v>
      </c>
      <c r="C1308" s="49" t="str">
        <f t="shared" si="2"/>
        <v>S16485IS1</v>
      </c>
      <c r="D1308" s="6">
        <v>39.0</v>
      </c>
      <c r="E1308" s="10" t="str">
        <f t="shared" si="3"/>
        <v>BIS39</v>
      </c>
      <c r="F1308" s="13">
        <v>5.0</v>
      </c>
      <c r="G1308" s="10" t="str">
        <f t="shared" si="8"/>
        <v>BIS39-5</v>
      </c>
      <c r="H1308" s="16"/>
      <c r="I1308" s="16" t="str">
        <f t="shared" si="5"/>
        <v>collected</v>
      </c>
      <c r="J1308" s="16" t="str">
        <f t="shared" si="6"/>
        <v>N</v>
      </c>
      <c r="K1308" s="16"/>
      <c r="L1308" s="16"/>
    </row>
    <row r="1309">
      <c r="A1309" s="40" t="s">
        <v>1833</v>
      </c>
      <c r="B1309" s="10" t="str">
        <f t="shared" si="1"/>
        <v>isotope</v>
      </c>
      <c r="C1309" s="49" t="str">
        <f t="shared" si="2"/>
        <v>S16481IS1</v>
      </c>
      <c r="D1309" s="6">
        <v>39.0</v>
      </c>
      <c r="E1309" s="10" t="str">
        <f t="shared" si="3"/>
        <v>BIS39</v>
      </c>
      <c r="F1309" s="13">
        <v>6.0</v>
      </c>
      <c r="G1309" s="10" t="str">
        <f t="shared" si="8"/>
        <v>BIS39-6</v>
      </c>
      <c r="H1309" s="16"/>
      <c r="I1309" s="16" t="str">
        <f t="shared" si="5"/>
        <v>collected</v>
      </c>
      <c r="J1309" s="16" t="str">
        <f t="shared" si="6"/>
        <v>N</v>
      </c>
      <c r="K1309" s="16"/>
      <c r="L1309" s="16"/>
    </row>
    <row r="1310">
      <c r="A1310" s="40" t="s">
        <v>1835</v>
      </c>
      <c r="B1310" s="10" t="str">
        <f t="shared" si="1"/>
        <v>isotope</v>
      </c>
      <c r="C1310" s="49" t="str">
        <f t="shared" si="2"/>
        <v>S17190IS1</v>
      </c>
      <c r="D1310" s="6">
        <v>39.0</v>
      </c>
      <c r="E1310" s="10" t="str">
        <f t="shared" si="3"/>
        <v>BIS39</v>
      </c>
      <c r="F1310" s="13">
        <v>7.0</v>
      </c>
      <c r="G1310" s="10" t="str">
        <f t="shared" si="8"/>
        <v>BIS39-7</v>
      </c>
      <c r="H1310" s="16"/>
      <c r="I1310" s="16" t="str">
        <f t="shared" si="5"/>
        <v>collected</v>
      </c>
      <c r="J1310" s="16" t="str">
        <f t="shared" si="6"/>
        <v>N</v>
      </c>
      <c r="K1310" s="16"/>
      <c r="L1310" s="16"/>
    </row>
    <row r="1311">
      <c r="A1311" s="40" t="s">
        <v>1836</v>
      </c>
      <c r="B1311" s="10" t="str">
        <f t="shared" si="1"/>
        <v>isotope</v>
      </c>
      <c r="C1311" s="49" t="str">
        <f t="shared" si="2"/>
        <v>S17189IS1</v>
      </c>
      <c r="D1311" s="6">
        <v>39.0</v>
      </c>
      <c r="E1311" s="10" t="str">
        <f t="shared" si="3"/>
        <v>BIS39</v>
      </c>
      <c r="F1311" s="13">
        <v>8.0</v>
      </c>
      <c r="G1311" s="10" t="str">
        <f t="shared" si="8"/>
        <v>BIS39-8</v>
      </c>
      <c r="H1311" s="16"/>
      <c r="I1311" s="16" t="str">
        <f t="shared" si="5"/>
        <v>collected</v>
      </c>
      <c r="J1311" s="16" t="str">
        <f t="shared" si="6"/>
        <v>N</v>
      </c>
      <c r="K1311" s="16"/>
      <c r="L1311" s="16"/>
    </row>
    <row r="1312">
      <c r="A1312" s="40" t="s">
        <v>1838</v>
      </c>
      <c r="B1312" s="10" t="str">
        <f t="shared" si="1"/>
        <v>isotope</v>
      </c>
      <c r="C1312" s="49" t="str">
        <f t="shared" si="2"/>
        <v>S17188IS1</v>
      </c>
      <c r="D1312" s="6">
        <v>39.0</v>
      </c>
      <c r="E1312" s="10" t="str">
        <f t="shared" si="3"/>
        <v>BIS39</v>
      </c>
      <c r="F1312" s="13">
        <v>9.0</v>
      </c>
      <c r="G1312" s="10" t="str">
        <f t="shared" si="8"/>
        <v>BIS39-9</v>
      </c>
      <c r="H1312" s="16"/>
      <c r="I1312" s="16" t="str">
        <f t="shared" si="5"/>
        <v>collected</v>
      </c>
      <c r="J1312" s="16" t="str">
        <f t="shared" si="6"/>
        <v>N</v>
      </c>
      <c r="K1312" s="16"/>
      <c r="L1312" s="16"/>
    </row>
    <row r="1313">
      <c r="A1313" s="40" t="s">
        <v>1840</v>
      </c>
      <c r="B1313" s="10" t="str">
        <f t="shared" si="1"/>
        <v>isotope</v>
      </c>
      <c r="C1313" s="49" t="str">
        <f t="shared" si="2"/>
        <v>S17187IS1</v>
      </c>
      <c r="D1313" s="6">
        <v>39.0</v>
      </c>
      <c r="E1313" s="10" t="str">
        <f t="shared" si="3"/>
        <v>BIS39</v>
      </c>
      <c r="F1313" s="13">
        <v>10.0</v>
      </c>
      <c r="G1313" s="10" t="str">
        <f t="shared" si="8"/>
        <v>BIS39-10</v>
      </c>
      <c r="H1313" s="16"/>
      <c r="I1313" s="16" t="str">
        <f t="shared" si="5"/>
        <v>collected</v>
      </c>
      <c r="J1313" s="16" t="str">
        <f t="shared" si="6"/>
        <v>N</v>
      </c>
      <c r="K1313" s="16"/>
      <c r="L1313" s="16"/>
    </row>
    <row r="1314">
      <c r="A1314" s="40" t="s">
        <v>1841</v>
      </c>
      <c r="B1314" s="10" t="str">
        <f t="shared" si="1"/>
        <v>isotope</v>
      </c>
      <c r="C1314" s="49" t="str">
        <f t="shared" si="2"/>
        <v>S17186IS1</v>
      </c>
      <c r="D1314" s="6">
        <v>39.0</v>
      </c>
      <c r="E1314" s="10" t="str">
        <f t="shared" si="3"/>
        <v>BIS39</v>
      </c>
      <c r="F1314" s="13">
        <v>11.0</v>
      </c>
      <c r="G1314" s="10" t="str">
        <f t="shared" si="8"/>
        <v>BIS39-11</v>
      </c>
      <c r="H1314" s="16"/>
      <c r="I1314" s="16" t="str">
        <f t="shared" si="5"/>
        <v>collected</v>
      </c>
      <c r="J1314" s="16" t="str">
        <f t="shared" si="6"/>
        <v>N</v>
      </c>
      <c r="K1314" s="16"/>
      <c r="L1314" s="16"/>
    </row>
    <row r="1315">
      <c r="A1315" s="40" t="s">
        <v>1843</v>
      </c>
      <c r="B1315" s="10" t="str">
        <f t="shared" si="1"/>
        <v>isotope</v>
      </c>
      <c r="C1315" s="49" t="str">
        <f t="shared" si="2"/>
        <v>S17185IS1</v>
      </c>
      <c r="D1315" s="6">
        <v>39.0</v>
      </c>
      <c r="E1315" s="10" t="str">
        <f t="shared" si="3"/>
        <v>BIS39</v>
      </c>
      <c r="F1315" s="13">
        <v>12.0</v>
      </c>
      <c r="G1315" s="10" t="str">
        <f t="shared" si="8"/>
        <v>BIS39-12</v>
      </c>
      <c r="H1315" s="16"/>
      <c r="I1315" s="16" t="str">
        <f t="shared" si="5"/>
        <v>collected</v>
      </c>
      <c r="J1315" s="16" t="str">
        <f t="shared" si="6"/>
        <v>N</v>
      </c>
      <c r="K1315" s="16"/>
      <c r="L1315" s="16"/>
    </row>
    <row r="1316">
      <c r="A1316" s="40" t="s">
        <v>1844</v>
      </c>
      <c r="B1316" s="10" t="str">
        <f t="shared" si="1"/>
        <v>isotope</v>
      </c>
      <c r="C1316" s="49" t="str">
        <f t="shared" si="2"/>
        <v>S17184IS1</v>
      </c>
      <c r="D1316" s="6">
        <v>39.0</v>
      </c>
      <c r="E1316" s="10" t="str">
        <f t="shared" si="3"/>
        <v>BIS39</v>
      </c>
      <c r="F1316" s="13">
        <v>13.0</v>
      </c>
      <c r="G1316" s="10" t="str">
        <f t="shared" si="8"/>
        <v>BIS39-13</v>
      </c>
      <c r="H1316" s="16"/>
      <c r="I1316" s="16" t="str">
        <f t="shared" si="5"/>
        <v>collected</v>
      </c>
      <c r="J1316" s="16" t="str">
        <f t="shared" si="6"/>
        <v>N</v>
      </c>
      <c r="K1316" s="16"/>
      <c r="L1316" s="16"/>
    </row>
    <row r="1317">
      <c r="A1317" s="40" t="s">
        <v>1845</v>
      </c>
      <c r="B1317" s="10" t="str">
        <f t="shared" si="1"/>
        <v>isotope</v>
      </c>
      <c r="C1317" s="49" t="str">
        <f t="shared" si="2"/>
        <v>S17181IS1</v>
      </c>
      <c r="D1317" s="6">
        <v>39.0</v>
      </c>
      <c r="E1317" s="10" t="str">
        <f t="shared" si="3"/>
        <v>BIS39</v>
      </c>
      <c r="F1317" s="13">
        <v>14.0</v>
      </c>
      <c r="G1317" s="10" t="str">
        <f t="shared" si="8"/>
        <v>BIS39-14</v>
      </c>
      <c r="H1317" s="16"/>
      <c r="I1317" s="16" t="str">
        <f t="shared" si="5"/>
        <v>collected</v>
      </c>
      <c r="J1317" s="16" t="str">
        <f t="shared" si="6"/>
        <v>N</v>
      </c>
      <c r="K1317" s="16"/>
      <c r="L1317" s="16"/>
    </row>
    <row r="1318">
      <c r="A1318" s="40" t="s">
        <v>1846</v>
      </c>
      <c r="B1318" s="10" t="str">
        <f t="shared" si="1"/>
        <v>isotope</v>
      </c>
      <c r="C1318" s="49" t="str">
        <f t="shared" si="2"/>
        <v>S17182IS1</v>
      </c>
      <c r="D1318" s="6">
        <v>39.0</v>
      </c>
      <c r="E1318" s="10" t="str">
        <f t="shared" si="3"/>
        <v>BIS39</v>
      </c>
      <c r="F1318" s="13">
        <v>15.0</v>
      </c>
      <c r="G1318" s="10" t="str">
        <f t="shared" si="8"/>
        <v>BIS39-15</v>
      </c>
      <c r="H1318" s="16"/>
      <c r="I1318" s="16" t="str">
        <f t="shared" si="5"/>
        <v>collected</v>
      </c>
      <c r="J1318" s="16" t="str">
        <f t="shared" si="6"/>
        <v>N</v>
      </c>
      <c r="K1318" s="16"/>
      <c r="L1318" s="16"/>
    </row>
    <row r="1319">
      <c r="A1319" s="40" t="s">
        <v>1847</v>
      </c>
      <c r="B1319" s="10" t="str">
        <f t="shared" si="1"/>
        <v>isotope</v>
      </c>
      <c r="C1319" s="49" t="str">
        <f t="shared" si="2"/>
        <v>S17183IS1</v>
      </c>
      <c r="D1319" s="6">
        <v>39.0</v>
      </c>
      <c r="E1319" s="10" t="str">
        <f t="shared" si="3"/>
        <v>BIS39</v>
      </c>
      <c r="F1319" s="13">
        <v>16.0</v>
      </c>
      <c r="G1319" s="10" t="str">
        <f t="shared" si="8"/>
        <v>BIS39-16</v>
      </c>
      <c r="H1319" s="16"/>
      <c r="I1319" s="16" t="str">
        <f t="shared" si="5"/>
        <v>collected</v>
      </c>
      <c r="J1319" s="16" t="str">
        <f t="shared" si="6"/>
        <v>N</v>
      </c>
      <c r="K1319" s="16"/>
      <c r="L1319" s="16"/>
    </row>
    <row r="1320">
      <c r="A1320" s="40" t="s">
        <v>1848</v>
      </c>
      <c r="B1320" s="10" t="str">
        <f t="shared" si="1"/>
        <v>isotope</v>
      </c>
      <c r="C1320" s="49" t="str">
        <f t="shared" si="2"/>
        <v>S16655IS1</v>
      </c>
      <c r="D1320" s="6">
        <v>34.0</v>
      </c>
      <c r="E1320" s="10" t="str">
        <f t="shared" si="3"/>
        <v>BIS34</v>
      </c>
      <c r="F1320" s="13">
        <v>66.0</v>
      </c>
      <c r="G1320" s="10" t="str">
        <f t="shared" si="8"/>
        <v>BIS34-66</v>
      </c>
      <c r="H1320" s="16"/>
      <c r="I1320" s="16" t="str">
        <f t="shared" si="5"/>
        <v>collected</v>
      </c>
      <c r="J1320" s="16" t="str">
        <f t="shared" si="6"/>
        <v>N</v>
      </c>
      <c r="K1320" s="16"/>
      <c r="L1320" s="16"/>
    </row>
    <row r="1321">
      <c r="A1321" s="40" t="s">
        <v>1849</v>
      </c>
      <c r="B1321" s="10" t="str">
        <f t="shared" si="1"/>
        <v>isotope</v>
      </c>
      <c r="C1321" s="49" t="str">
        <f t="shared" si="2"/>
        <v>S16652IS1</v>
      </c>
      <c r="D1321" s="6">
        <v>34.0</v>
      </c>
      <c r="E1321" s="10" t="str">
        <f t="shared" si="3"/>
        <v>BIS34</v>
      </c>
      <c r="F1321" s="13">
        <v>67.0</v>
      </c>
      <c r="G1321" s="10" t="str">
        <f t="shared" si="8"/>
        <v>BIS34-67</v>
      </c>
      <c r="H1321" s="16"/>
      <c r="I1321" s="16" t="str">
        <f t="shared" si="5"/>
        <v>collected</v>
      </c>
      <c r="J1321" s="16" t="str">
        <f t="shared" si="6"/>
        <v>N</v>
      </c>
      <c r="K1321" s="16"/>
      <c r="L1321" s="16"/>
    </row>
    <row r="1322">
      <c r="A1322" s="40" t="s">
        <v>1850</v>
      </c>
      <c r="B1322" s="10" t="str">
        <f t="shared" si="1"/>
        <v>isotope</v>
      </c>
      <c r="C1322" s="49" t="str">
        <f t="shared" si="2"/>
        <v>S16653IS1</v>
      </c>
      <c r="D1322" s="6">
        <v>34.0</v>
      </c>
      <c r="E1322" s="10" t="str">
        <f t="shared" si="3"/>
        <v>BIS34</v>
      </c>
      <c r="F1322" s="13">
        <v>68.0</v>
      </c>
      <c r="G1322" s="10" t="str">
        <f t="shared" si="8"/>
        <v>BIS34-68</v>
      </c>
      <c r="H1322" s="16"/>
      <c r="I1322" s="16" t="str">
        <f t="shared" si="5"/>
        <v>collected</v>
      </c>
      <c r="J1322" s="16" t="str">
        <f t="shared" si="6"/>
        <v>N</v>
      </c>
      <c r="K1322" s="16"/>
      <c r="L1322" s="16"/>
    </row>
    <row r="1323">
      <c r="A1323" s="40" t="s">
        <v>1852</v>
      </c>
      <c r="B1323" s="10" t="str">
        <f t="shared" si="1"/>
        <v>isotope</v>
      </c>
      <c r="C1323" s="49" t="str">
        <f t="shared" si="2"/>
        <v>S16658IS1</v>
      </c>
      <c r="D1323" s="6">
        <v>34.0</v>
      </c>
      <c r="E1323" s="10" t="str">
        <f t="shared" si="3"/>
        <v>BIS34</v>
      </c>
      <c r="F1323" s="13">
        <v>69.0</v>
      </c>
      <c r="G1323" s="10" t="str">
        <f t="shared" si="8"/>
        <v>BIS34-69</v>
      </c>
      <c r="H1323" s="16"/>
      <c r="I1323" s="16" t="str">
        <f t="shared" si="5"/>
        <v>collected</v>
      </c>
      <c r="J1323" s="16" t="str">
        <f t="shared" si="6"/>
        <v>N</v>
      </c>
      <c r="K1323" s="16"/>
      <c r="L1323" s="16"/>
    </row>
    <row r="1324">
      <c r="A1324" s="40" t="s">
        <v>1853</v>
      </c>
      <c r="B1324" s="10" t="str">
        <f t="shared" si="1"/>
        <v>isotope</v>
      </c>
      <c r="C1324" s="49" t="str">
        <f t="shared" si="2"/>
        <v>S16659IS1</v>
      </c>
      <c r="D1324" s="6">
        <v>34.0</v>
      </c>
      <c r="E1324" s="10" t="str">
        <f t="shared" si="3"/>
        <v>BIS34</v>
      </c>
      <c r="F1324" s="13">
        <v>70.0</v>
      </c>
      <c r="G1324" s="10" t="str">
        <f t="shared" si="8"/>
        <v>BIS34-70</v>
      </c>
      <c r="H1324" s="16"/>
      <c r="I1324" s="16" t="str">
        <f t="shared" si="5"/>
        <v>collected</v>
      </c>
      <c r="J1324" s="16" t="str">
        <f t="shared" si="6"/>
        <v>N</v>
      </c>
      <c r="K1324" s="16"/>
      <c r="L1324" s="16"/>
    </row>
    <row r="1325">
      <c r="A1325" s="40" t="s">
        <v>1854</v>
      </c>
      <c r="B1325" s="10" t="str">
        <f t="shared" si="1"/>
        <v>isotope</v>
      </c>
      <c r="C1325" s="49" t="str">
        <f t="shared" si="2"/>
        <v>S16656IS1</v>
      </c>
      <c r="D1325" s="6">
        <v>34.0</v>
      </c>
      <c r="E1325" s="10" t="str">
        <f t="shared" si="3"/>
        <v>BIS34</v>
      </c>
      <c r="F1325" s="13">
        <v>71.0</v>
      </c>
      <c r="G1325" s="10" t="str">
        <f t="shared" si="8"/>
        <v>BIS34-71</v>
      </c>
      <c r="H1325" s="16"/>
      <c r="I1325" s="16" t="str">
        <f t="shared" si="5"/>
        <v>collected</v>
      </c>
      <c r="J1325" s="16" t="str">
        <f t="shared" si="6"/>
        <v>N</v>
      </c>
      <c r="K1325" s="16"/>
      <c r="L1325" s="16"/>
    </row>
    <row r="1326">
      <c r="A1326" s="40" t="s">
        <v>1855</v>
      </c>
      <c r="B1326" s="10" t="str">
        <f t="shared" si="1"/>
        <v>isotope</v>
      </c>
      <c r="C1326" s="49" t="str">
        <f t="shared" si="2"/>
        <v>S16660IS1</v>
      </c>
      <c r="D1326" s="6">
        <v>34.0</v>
      </c>
      <c r="E1326" s="10" t="str">
        <f t="shared" si="3"/>
        <v>BIS34</v>
      </c>
      <c r="F1326" s="13">
        <v>72.0</v>
      </c>
      <c r="G1326" s="10" t="str">
        <f t="shared" si="8"/>
        <v>BIS34-72</v>
      </c>
      <c r="H1326" s="16"/>
      <c r="I1326" s="16" t="str">
        <f t="shared" si="5"/>
        <v>collected</v>
      </c>
      <c r="J1326" s="16" t="str">
        <f t="shared" si="6"/>
        <v>N</v>
      </c>
      <c r="K1326" s="16"/>
      <c r="L1326" s="16"/>
    </row>
    <row r="1327">
      <c r="A1327" s="40" t="s">
        <v>1857</v>
      </c>
      <c r="B1327" s="10" t="str">
        <f t="shared" si="1"/>
        <v>isotope</v>
      </c>
      <c r="C1327" s="49" t="str">
        <f t="shared" si="2"/>
        <v>S16657IS1</v>
      </c>
      <c r="D1327" s="6">
        <v>34.0</v>
      </c>
      <c r="E1327" s="10" t="str">
        <f t="shared" si="3"/>
        <v>BIS34</v>
      </c>
      <c r="F1327" s="13">
        <v>73.0</v>
      </c>
      <c r="G1327" s="10" t="str">
        <f t="shared" si="8"/>
        <v>BIS34-73</v>
      </c>
      <c r="H1327" s="16"/>
      <c r="I1327" s="16" t="str">
        <f t="shared" si="5"/>
        <v>collected</v>
      </c>
      <c r="J1327" s="16" t="str">
        <f t="shared" si="6"/>
        <v>N</v>
      </c>
      <c r="K1327" s="16"/>
      <c r="L1327" s="16"/>
    </row>
    <row r="1328">
      <c r="A1328" s="40" t="s">
        <v>1858</v>
      </c>
      <c r="B1328" s="10" t="str">
        <f t="shared" si="1"/>
        <v>isotope</v>
      </c>
      <c r="C1328" s="49" t="str">
        <f t="shared" si="2"/>
        <v>S16654IS1</v>
      </c>
      <c r="D1328" s="6">
        <v>34.0</v>
      </c>
      <c r="E1328" s="10" t="str">
        <f t="shared" si="3"/>
        <v>BIS34</v>
      </c>
      <c r="F1328" s="13">
        <v>74.0</v>
      </c>
      <c r="G1328" s="10" t="str">
        <f t="shared" si="8"/>
        <v>BIS34-74</v>
      </c>
      <c r="H1328" s="16"/>
      <c r="I1328" s="16" t="str">
        <f t="shared" si="5"/>
        <v>collected</v>
      </c>
      <c r="J1328" s="16" t="str">
        <f t="shared" si="6"/>
        <v>N</v>
      </c>
      <c r="K1328" s="16"/>
      <c r="L1328" s="16"/>
    </row>
    <row r="1329">
      <c r="A1329" s="40" t="s">
        <v>1859</v>
      </c>
      <c r="B1329" s="10" t="str">
        <f t="shared" si="1"/>
        <v>isotope</v>
      </c>
      <c r="C1329" s="49" t="str">
        <f t="shared" si="2"/>
        <v>S16651IS1</v>
      </c>
      <c r="D1329" s="6">
        <v>34.0</v>
      </c>
      <c r="E1329" s="10" t="str">
        <f t="shared" si="3"/>
        <v>BIS34</v>
      </c>
      <c r="F1329" s="13">
        <v>75.0</v>
      </c>
      <c r="G1329" s="10" t="str">
        <f t="shared" si="8"/>
        <v>BIS34-75</v>
      </c>
      <c r="H1329" s="16"/>
      <c r="I1329" s="16" t="str">
        <f t="shared" si="5"/>
        <v>collected</v>
      </c>
      <c r="J1329" s="16" t="str">
        <f t="shared" si="6"/>
        <v>N</v>
      </c>
      <c r="K1329" s="16"/>
      <c r="L1329" s="16"/>
    </row>
    <row r="1330">
      <c r="A1330" s="40" t="s">
        <v>1860</v>
      </c>
      <c r="B1330" s="10" t="str">
        <f t="shared" si="1"/>
        <v>isotope</v>
      </c>
      <c r="C1330" s="49" t="str">
        <f t="shared" si="2"/>
        <v>S17470IS1</v>
      </c>
      <c r="D1330" s="6">
        <v>34.0</v>
      </c>
      <c r="E1330" s="10" t="str">
        <f t="shared" si="3"/>
        <v>BIS34</v>
      </c>
      <c r="F1330" s="13">
        <v>76.0</v>
      </c>
      <c r="G1330" s="10" t="str">
        <f t="shared" si="8"/>
        <v>BIS34-76</v>
      </c>
      <c r="H1330" s="16"/>
      <c r="I1330" s="16" t="str">
        <f t="shared" si="5"/>
        <v>collected</v>
      </c>
      <c r="J1330" s="16" t="str">
        <f t="shared" si="6"/>
        <v>N</v>
      </c>
      <c r="K1330" s="16"/>
      <c r="L1330" s="16"/>
    </row>
    <row r="1331">
      <c r="A1331" s="40" t="s">
        <v>1861</v>
      </c>
      <c r="B1331" s="10" t="str">
        <f t="shared" si="1"/>
        <v>isotope</v>
      </c>
      <c r="C1331" s="49" t="str">
        <f t="shared" si="2"/>
        <v>S17469IS1</v>
      </c>
      <c r="D1331" s="6">
        <v>34.0</v>
      </c>
      <c r="E1331" s="10" t="str">
        <f t="shared" si="3"/>
        <v>BIS34</v>
      </c>
      <c r="F1331" s="13">
        <v>77.0</v>
      </c>
      <c r="G1331" s="10" t="str">
        <f t="shared" si="8"/>
        <v>BIS34-77</v>
      </c>
      <c r="H1331" s="16"/>
      <c r="I1331" s="16" t="str">
        <f t="shared" si="5"/>
        <v>collected</v>
      </c>
      <c r="J1331" s="16" t="str">
        <f t="shared" si="6"/>
        <v>N</v>
      </c>
      <c r="K1331" s="16"/>
      <c r="L1331" s="16"/>
    </row>
    <row r="1332">
      <c r="A1332" s="40" t="s">
        <v>1863</v>
      </c>
      <c r="B1332" s="10" t="str">
        <f t="shared" si="1"/>
        <v>isotope</v>
      </c>
      <c r="C1332" s="49" t="str">
        <f t="shared" si="2"/>
        <v>S17468IS1</v>
      </c>
      <c r="D1332" s="6">
        <v>34.0</v>
      </c>
      <c r="E1332" s="10" t="str">
        <f t="shared" si="3"/>
        <v>BIS34</v>
      </c>
      <c r="F1332" s="13">
        <v>78.0</v>
      </c>
      <c r="G1332" s="10" t="str">
        <f t="shared" si="8"/>
        <v>BIS34-78</v>
      </c>
      <c r="H1332" s="16"/>
      <c r="I1332" s="16" t="str">
        <f t="shared" si="5"/>
        <v>collected</v>
      </c>
      <c r="J1332" s="16" t="str">
        <f t="shared" si="6"/>
        <v>N</v>
      </c>
      <c r="K1332" s="16"/>
      <c r="L1332" s="16"/>
    </row>
    <row r="1333">
      <c r="A1333" s="40" t="s">
        <v>1864</v>
      </c>
      <c r="B1333" s="10" t="str">
        <f t="shared" si="1"/>
        <v>isotope</v>
      </c>
      <c r="C1333" s="49" t="str">
        <f t="shared" si="2"/>
        <v>S17467IS1</v>
      </c>
      <c r="D1333" s="6">
        <v>34.0</v>
      </c>
      <c r="E1333" s="10" t="str">
        <f t="shared" si="3"/>
        <v>BIS34</v>
      </c>
      <c r="F1333" s="13">
        <v>79.0</v>
      </c>
      <c r="G1333" s="10" t="str">
        <f t="shared" si="8"/>
        <v>BIS34-79</v>
      </c>
      <c r="H1333" s="16"/>
      <c r="I1333" s="16" t="str">
        <f t="shared" si="5"/>
        <v>collected</v>
      </c>
      <c r="J1333" s="16" t="str">
        <f t="shared" si="6"/>
        <v>N</v>
      </c>
      <c r="K1333" s="16"/>
      <c r="L1333" s="16"/>
    </row>
    <row r="1334">
      <c r="A1334" s="40" t="s">
        <v>1865</v>
      </c>
      <c r="B1334" s="10" t="str">
        <f t="shared" si="1"/>
        <v>isotope</v>
      </c>
      <c r="C1334" s="49" t="str">
        <f t="shared" si="2"/>
        <v>S17454IS1</v>
      </c>
      <c r="D1334" s="6">
        <v>39.0</v>
      </c>
      <c r="E1334" s="10" t="str">
        <f t="shared" si="3"/>
        <v>BIS39</v>
      </c>
      <c r="F1334" s="13">
        <v>17.0</v>
      </c>
      <c r="G1334" s="10" t="str">
        <f t="shared" si="8"/>
        <v>BIS39-17</v>
      </c>
      <c r="H1334" s="16"/>
      <c r="I1334" s="16" t="str">
        <f t="shared" si="5"/>
        <v>collected</v>
      </c>
      <c r="J1334" s="16" t="str">
        <f t="shared" si="6"/>
        <v>N</v>
      </c>
      <c r="K1334" s="16"/>
      <c r="L1334" s="16"/>
    </row>
    <row r="1335">
      <c r="A1335" s="40" t="s">
        <v>1866</v>
      </c>
      <c r="B1335" s="10" t="str">
        <f t="shared" si="1"/>
        <v>isotope</v>
      </c>
      <c r="C1335" s="49" t="str">
        <f t="shared" si="2"/>
        <v>S17458IS1</v>
      </c>
      <c r="D1335" s="6">
        <v>39.0</v>
      </c>
      <c r="E1335" s="10" t="str">
        <f t="shared" si="3"/>
        <v>BIS39</v>
      </c>
      <c r="F1335" s="13">
        <v>18.0</v>
      </c>
      <c r="G1335" s="10" t="str">
        <f t="shared" si="8"/>
        <v>BIS39-18</v>
      </c>
      <c r="H1335" s="16"/>
      <c r="I1335" s="16" t="str">
        <f t="shared" si="5"/>
        <v>collected</v>
      </c>
      <c r="J1335" s="16" t="str">
        <f t="shared" si="6"/>
        <v>N</v>
      </c>
      <c r="K1335" s="16"/>
      <c r="L1335" s="16"/>
    </row>
    <row r="1336">
      <c r="A1336" s="40" t="s">
        <v>1867</v>
      </c>
      <c r="B1336" s="10" t="str">
        <f t="shared" si="1"/>
        <v>isotope</v>
      </c>
      <c r="C1336" s="49" t="str">
        <f t="shared" si="2"/>
        <v>S17459IS1</v>
      </c>
      <c r="D1336" s="6">
        <v>39.0</v>
      </c>
      <c r="E1336" s="10" t="str">
        <f t="shared" si="3"/>
        <v>BIS39</v>
      </c>
      <c r="F1336" s="13">
        <v>19.0</v>
      </c>
      <c r="G1336" s="10" t="str">
        <f t="shared" si="8"/>
        <v>BIS39-19</v>
      </c>
      <c r="H1336" s="16"/>
      <c r="I1336" s="16" t="str">
        <f t="shared" si="5"/>
        <v>collected</v>
      </c>
      <c r="J1336" s="16" t="str">
        <f t="shared" si="6"/>
        <v>N</v>
      </c>
      <c r="K1336" s="16"/>
      <c r="L1336" s="16"/>
    </row>
    <row r="1337">
      <c r="A1337" s="40" t="s">
        <v>1869</v>
      </c>
      <c r="B1337" s="10" t="str">
        <f t="shared" si="1"/>
        <v>isotope</v>
      </c>
      <c r="C1337" s="49" t="str">
        <f t="shared" si="2"/>
        <v>S17456IS1</v>
      </c>
      <c r="D1337" s="6">
        <v>39.0</v>
      </c>
      <c r="E1337" s="10" t="str">
        <f t="shared" si="3"/>
        <v>BIS39</v>
      </c>
      <c r="F1337" s="13">
        <v>20.0</v>
      </c>
      <c r="G1337" s="10" t="str">
        <f t="shared" si="8"/>
        <v>BIS39-20</v>
      </c>
      <c r="H1337" s="16"/>
      <c r="I1337" s="16" t="str">
        <f t="shared" si="5"/>
        <v>collected</v>
      </c>
      <c r="J1337" s="16" t="str">
        <f t="shared" si="6"/>
        <v>N</v>
      </c>
      <c r="K1337" s="16"/>
      <c r="L1337" s="16"/>
    </row>
    <row r="1338">
      <c r="A1338" s="40" t="s">
        <v>1870</v>
      </c>
      <c r="B1338" s="10" t="str">
        <f t="shared" si="1"/>
        <v>isotope</v>
      </c>
      <c r="C1338" s="49" t="str">
        <f t="shared" si="2"/>
        <v>S17460IS1</v>
      </c>
      <c r="D1338" s="6">
        <v>39.0</v>
      </c>
      <c r="E1338" s="10" t="str">
        <f t="shared" si="3"/>
        <v>BIS39</v>
      </c>
      <c r="F1338" s="13">
        <v>21.0</v>
      </c>
      <c r="G1338" s="10" t="str">
        <f t="shared" si="8"/>
        <v>BIS39-21</v>
      </c>
      <c r="H1338" s="16"/>
      <c r="I1338" s="16" t="str">
        <f t="shared" si="5"/>
        <v>collected</v>
      </c>
      <c r="J1338" s="16" t="str">
        <f t="shared" si="6"/>
        <v>N</v>
      </c>
      <c r="K1338" s="16"/>
      <c r="L1338" s="16"/>
    </row>
    <row r="1339">
      <c r="A1339" s="40" t="s">
        <v>1871</v>
      </c>
      <c r="B1339" s="10" t="str">
        <f t="shared" si="1"/>
        <v>isotope</v>
      </c>
      <c r="C1339" s="49" t="str">
        <f t="shared" si="2"/>
        <v>S17455IS1</v>
      </c>
      <c r="D1339" s="6">
        <v>39.0</v>
      </c>
      <c r="E1339" s="10" t="str">
        <f t="shared" si="3"/>
        <v>BIS39</v>
      </c>
      <c r="F1339" s="13">
        <v>22.0</v>
      </c>
      <c r="G1339" s="10" t="str">
        <f t="shared" si="8"/>
        <v>BIS39-22</v>
      </c>
      <c r="H1339" s="16"/>
      <c r="I1339" s="16" t="str">
        <f t="shared" si="5"/>
        <v>collected</v>
      </c>
      <c r="J1339" s="16" t="str">
        <f t="shared" si="6"/>
        <v>N</v>
      </c>
      <c r="K1339" s="16"/>
      <c r="L1339" s="16"/>
    </row>
    <row r="1340">
      <c r="A1340" s="40" t="s">
        <v>1872</v>
      </c>
      <c r="B1340" s="10" t="str">
        <f t="shared" si="1"/>
        <v>isotope</v>
      </c>
      <c r="C1340" s="49" t="str">
        <f t="shared" si="2"/>
        <v>S17451IS1</v>
      </c>
      <c r="D1340" s="6">
        <v>39.0</v>
      </c>
      <c r="E1340" s="10" t="str">
        <f t="shared" si="3"/>
        <v>BIS39</v>
      </c>
      <c r="F1340" s="13">
        <v>23.0</v>
      </c>
      <c r="G1340" s="10" t="str">
        <f t="shared" si="8"/>
        <v>BIS39-23</v>
      </c>
      <c r="H1340" s="16"/>
      <c r="I1340" s="16" t="str">
        <f t="shared" si="5"/>
        <v>collected</v>
      </c>
      <c r="J1340" s="16" t="str">
        <f t="shared" si="6"/>
        <v>N</v>
      </c>
      <c r="K1340" s="16"/>
      <c r="L1340" s="16"/>
    </row>
    <row r="1341">
      <c r="A1341" s="40" t="s">
        <v>1874</v>
      </c>
      <c r="B1341" s="10" t="str">
        <f t="shared" si="1"/>
        <v>isotope</v>
      </c>
      <c r="C1341" s="49" t="str">
        <f t="shared" si="2"/>
        <v>S17452IS1</v>
      </c>
      <c r="D1341" s="6">
        <v>39.0</v>
      </c>
      <c r="E1341" s="10" t="str">
        <f t="shared" si="3"/>
        <v>BIS39</v>
      </c>
      <c r="F1341" s="13">
        <v>24.0</v>
      </c>
      <c r="G1341" s="10" t="str">
        <f t="shared" si="8"/>
        <v>BIS39-24</v>
      </c>
      <c r="H1341" s="16"/>
      <c r="I1341" s="16" t="str">
        <f t="shared" si="5"/>
        <v>collected</v>
      </c>
      <c r="J1341" s="16" t="str">
        <f t="shared" si="6"/>
        <v>N</v>
      </c>
      <c r="K1341" s="16"/>
      <c r="L1341" s="16"/>
    </row>
    <row r="1342">
      <c r="A1342" s="40" t="s">
        <v>1875</v>
      </c>
      <c r="B1342" s="10" t="str">
        <f t="shared" si="1"/>
        <v>isotope</v>
      </c>
      <c r="C1342" s="49" t="str">
        <f t="shared" si="2"/>
        <v>S17457IS1</v>
      </c>
      <c r="D1342" s="6">
        <v>39.0</v>
      </c>
      <c r="E1342" s="10" t="str">
        <f t="shared" si="3"/>
        <v>BIS39</v>
      </c>
      <c r="F1342" s="13">
        <v>25.0</v>
      </c>
      <c r="G1342" s="10" t="str">
        <f t="shared" si="8"/>
        <v>BIS39-25</v>
      </c>
      <c r="H1342" s="16"/>
      <c r="I1342" s="16" t="str">
        <f t="shared" si="5"/>
        <v>collected</v>
      </c>
      <c r="J1342" s="16" t="str">
        <f t="shared" si="6"/>
        <v>N</v>
      </c>
      <c r="K1342" s="16"/>
      <c r="L1342" s="16"/>
    </row>
    <row r="1343">
      <c r="A1343" s="40" t="s">
        <v>1876</v>
      </c>
      <c r="B1343" s="10" t="str">
        <f t="shared" si="1"/>
        <v>isotope</v>
      </c>
      <c r="C1343" s="49" t="str">
        <f t="shared" si="2"/>
        <v>S17453IS1</v>
      </c>
      <c r="D1343" s="6">
        <v>39.0</v>
      </c>
      <c r="E1343" s="10" t="str">
        <f t="shared" si="3"/>
        <v>BIS39</v>
      </c>
      <c r="F1343" s="13">
        <v>26.0</v>
      </c>
      <c r="G1343" s="10" t="str">
        <f t="shared" si="8"/>
        <v>BIS39-26</v>
      </c>
      <c r="H1343" s="16"/>
      <c r="I1343" s="16" t="str">
        <f t="shared" si="5"/>
        <v>collected</v>
      </c>
      <c r="J1343" s="16" t="str">
        <f t="shared" si="6"/>
        <v>N</v>
      </c>
      <c r="K1343" s="16"/>
      <c r="L1343" s="16"/>
    </row>
    <row r="1344">
      <c r="A1344" s="40" t="s">
        <v>1877</v>
      </c>
      <c r="B1344" s="10" t="str">
        <f t="shared" si="1"/>
        <v>isotope</v>
      </c>
      <c r="C1344" s="49" t="str">
        <f t="shared" si="2"/>
        <v>S16031IS1</v>
      </c>
      <c r="D1344" s="6">
        <v>39.0</v>
      </c>
      <c r="E1344" s="10" t="str">
        <f t="shared" si="3"/>
        <v>BIS39</v>
      </c>
      <c r="F1344" s="13">
        <v>27.0</v>
      </c>
      <c r="G1344" s="10" t="str">
        <f t="shared" si="8"/>
        <v>BIS39-27</v>
      </c>
      <c r="H1344" s="16"/>
      <c r="I1344" s="16" t="str">
        <f t="shared" si="5"/>
        <v>collected</v>
      </c>
      <c r="J1344" s="16" t="str">
        <f t="shared" si="6"/>
        <v>N</v>
      </c>
      <c r="K1344" s="16"/>
      <c r="L1344" s="16"/>
    </row>
    <row r="1345">
      <c r="A1345" s="40" t="s">
        <v>1878</v>
      </c>
      <c r="B1345" s="10" t="str">
        <f t="shared" si="1"/>
        <v>isotope</v>
      </c>
      <c r="C1345" s="49" t="str">
        <f t="shared" si="2"/>
        <v>S16037IS1</v>
      </c>
      <c r="D1345" s="6">
        <v>39.0</v>
      </c>
      <c r="E1345" s="10" t="str">
        <f t="shared" si="3"/>
        <v>BIS39</v>
      </c>
      <c r="F1345" s="13">
        <v>28.0</v>
      </c>
      <c r="G1345" s="10" t="str">
        <f t="shared" si="8"/>
        <v>BIS39-28</v>
      </c>
      <c r="H1345" s="16"/>
      <c r="I1345" s="16" t="str">
        <f t="shared" si="5"/>
        <v>collected</v>
      </c>
      <c r="J1345" s="16" t="str">
        <f t="shared" si="6"/>
        <v>N</v>
      </c>
      <c r="K1345" s="16"/>
      <c r="L1345" s="16"/>
    </row>
    <row r="1346">
      <c r="A1346" s="40" t="s">
        <v>1880</v>
      </c>
      <c r="B1346" s="10" t="str">
        <f t="shared" si="1"/>
        <v>isotope</v>
      </c>
      <c r="C1346" s="49" t="str">
        <f t="shared" si="2"/>
        <v>S16038IS1</v>
      </c>
      <c r="D1346" s="6">
        <v>39.0</v>
      </c>
      <c r="E1346" s="10" t="str">
        <f t="shared" si="3"/>
        <v>BIS39</v>
      </c>
      <c r="F1346" s="13">
        <v>29.0</v>
      </c>
      <c r="G1346" s="10" t="str">
        <f t="shared" si="8"/>
        <v>BIS39-29</v>
      </c>
      <c r="H1346" s="16"/>
      <c r="I1346" s="16" t="str">
        <f t="shared" si="5"/>
        <v>collected</v>
      </c>
      <c r="J1346" s="16" t="str">
        <f t="shared" si="6"/>
        <v>N</v>
      </c>
      <c r="K1346" s="16"/>
      <c r="L1346" s="16"/>
    </row>
    <row r="1347">
      <c r="A1347" s="40" t="s">
        <v>1881</v>
      </c>
      <c r="B1347" s="10" t="str">
        <f t="shared" si="1"/>
        <v>isotope</v>
      </c>
      <c r="C1347" s="49" t="str">
        <f t="shared" si="2"/>
        <v>S16034IS1</v>
      </c>
      <c r="D1347" s="6">
        <v>39.0</v>
      </c>
      <c r="E1347" s="10" t="str">
        <f t="shared" si="3"/>
        <v>BIS39</v>
      </c>
      <c r="F1347" s="13">
        <v>30.0</v>
      </c>
      <c r="G1347" s="10" t="str">
        <f t="shared" si="8"/>
        <v>BIS39-30</v>
      </c>
      <c r="H1347" s="16"/>
      <c r="I1347" s="16" t="str">
        <f t="shared" si="5"/>
        <v>collected</v>
      </c>
      <c r="J1347" s="16" t="str">
        <f t="shared" si="6"/>
        <v>N</v>
      </c>
      <c r="K1347" s="16"/>
      <c r="L1347" s="16"/>
    </row>
    <row r="1348">
      <c r="A1348" s="40" t="s">
        <v>1882</v>
      </c>
      <c r="B1348" s="10" t="str">
        <f t="shared" si="1"/>
        <v>isotope</v>
      </c>
      <c r="C1348" s="49" t="str">
        <f t="shared" si="2"/>
        <v>S16039IS1</v>
      </c>
      <c r="D1348" s="6">
        <v>39.0</v>
      </c>
      <c r="E1348" s="10" t="str">
        <f t="shared" si="3"/>
        <v>BIS39</v>
      </c>
      <c r="F1348" s="13">
        <v>31.0</v>
      </c>
      <c r="G1348" s="10" t="str">
        <f t="shared" si="8"/>
        <v>BIS39-31</v>
      </c>
      <c r="H1348" s="16"/>
      <c r="I1348" s="16" t="str">
        <f t="shared" si="5"/>
        <v>collected</v>
      </c>
      <c r="J1348" s="16" t="str">
        <f t="shared" si="6"/>
        <v>N</v>
      </c>
      <c r="K1348" s="16"/>
      <c r="L1348" s="16"/>
    </row>
    <row r="1349">
      <c r="A1349" s="40" t="s">
        <v>1883</v>
      </c>
      <c r="B1349" s="10" t="str">
        <f t="shared" si="1"/>
        <v>isotope</v>
      </c>
      <c r="C1349" s="49" t="str">
        <f t="shared" si="2"/>
        <v>S16035IS1</v>
      </c>
      <c r="D1349" s="6">
        <v>39.0</v>
      </c>
      <c r="E1349" s="10" t="str">
        <f t="shared" si="3"/>
        <v>BIS39</v>
      </c>
      <c r="F1349" s="13">
        <v>32.0</v>
      </c>
      <c r="G1349" s="10" t="str">
        <f t="shared" si="8"/>
        <v>BIS39-32</v>
      </c>
      <c r="H1349" s="16"/>
      <c r="I1349" s="16" t="str">
        <f t="shared" si="5"/>
        <v>collected</v>
      </c>
      <c r="J1349" s="16" t="str">
        <f t="shared" si="6"/>
        <v>N</v>
      </c>
      <c r="K1349" s="16"/>
      <c r="L1349" s="16"/>
    </row>
    <row r="1350">
      <c r="A1350" s="40" t="s">
        <v>1885</v>
      </c>
      <c r="B1350" s="10" t="str">
        <f t="shared" si="1"/>
        <v>isotope</v>
      </c>
      <c r="C1350" s="49" t="str">
        <f t="shared" si="2"/>
        <v>S16032IS1</v>
      </c>
      <c r="D1350" s="6">
        <v>39.0</v>
      </c>
      <c r="E1350" s="10" t="str">
        <f t="shared" si="3"/>
        <v>BIS39</v>
      </c>
      <c r="F1350" s="13">
        <v>33.0</v>
      </c>
      <c r="G1350" s="10" t="str">
        <f t="shared" si="8"/>
        <v>BIS39-33</v>
      </c>
      <c r="H1350" s="16"/>
      <c r="I1350" s="16" t="str">
        <f t="shared" si="5"/>
        <v>collected</v>
      </c>
      <c r="J1350" s="16" t="str">
        <f t="shared" si="6"/>
        <v>N</v>
      </c>
      <c r="K1350" s="16"/>
      <c r="L1350" s="16"/>
    </row>
    <row r="1351">
      <c r="A1351" s="40" t="s">
        <v>1886</v>
      </c>
      <c r="B1351" s="10" t="str">
        <f t="shared" si="1"/>
        <v>isotope</v>
      </c>
      <c r="C1351" s="49" t="str">
        <f t="shared" si="2"/>
        <v>S16040IS1</v>
      </c>
      <c r="D1351" s="6">
        <v>39.0</v>
      </c>
      <c r="E1351" s="10" t="str">
        <f t="shared" si="3"/>
        <v>BIS39</v>
      </c>
      <c r="F1351" s="13">
        <v>34.0</v>
      </c>
      <c r="G1351" s="10" t="str">
        <f t="shared" si="8"/>
        <v>BIS39-34</v>
      </c>
      <c r="H1351" s="16"/>
      <c r="I1351" s="16" t="str">
        <f t="shared" si="5"/>
        <v>collected</v>
      </c>
      <c r="J1351" s="16" t="str">
        <f t="shared" si="6"/>
        <v>N</v>
      </c>
      <c r="K1351" s="16"/>
      <c r="L1351" s="16"/>
    </row>
    <row r="1352">
      <c r="A1352" s="40" t="s">
        <v>1887</v>
      </c>
      <c r="B1352" s="10" t="str">
        <f t="shared" si="1"/>
        <v>isotope</v>
      </c>
      <c r="C1352" s="49" t="str">
        <f t="shared" si="2"/>
        <v>S16033IS1</v>
      </c>
      <c r="D1352" s="6">
        <v>39.0</v>
      </c>
      <c r="E1352" s="10" t="str">
        <f t="shared" si="3"/>
        <v>BIS39</v>
      </c>
      <c r="F1352" s="13">
        <v>35.0</v>
      </c>
      <c r="G1352" s="10" t="str">
        <f t="shared" si="8"/>
        <v>BIS39-35</v>
      </c>
      <c r="H1352" s="16"/>
      <c r="I1352" s="16" t="str">
        <f t="shared" si="5"/>
        <v>collected</v>
      </c>
      <c r="J1352" s="16" t="str">
        <f t="shared" si="6"/>
        <v>N</v>
      </c>
      <c r="K1352" s="16"/>
      <c r="L1352" s="16"/>
    </row>
    <row r="1353">
      <c r="A1353" s="40" t="s">
        <v>1888</v>
      </c>
      <c r="B1353" s="10" t="str">
        <f t="shared" si="1"/>
        <v>isotope</v>
      </c>
      <c r="C1353" s="49" t="str">
        <f t="shared" si="2"/>
        <v>S16036IS1</v>
      </c>
      <c r="D1353" s="6">
        <v>39.0</v>
      </c>
      <c r="E1353" s="10" t="str">
        <f t="shared" si="3"/>
        <v>BIS39</v>
      </c>
      <c r="F1353" s="13">
        <v>36.0</v>
      </c>
      <c r="G1353" s="10" t="str">
        <f t="shared" si="8"/>
        <v>BIS39-36</v>
      </c>
      <c r="H1353" s="16"/>
      <c r="I1353" s="16" t="str">
        <f t="shared" si="5"/>
        <v>collected</v>
      </c>
      <c r="J1353" s="16" t="str">
        <f t="shared" si="6"/>
        <v>N</v>
      </c>
      <c r="K1353" s="16"/>
      <c r="L1353" s="16"/>
    </row>
    <row r="1354">
      <c r="A1354" s="40" t="s">
        <v>1889</v>
      </c>
      <c r="B1354" s="10" t="str">
        <f t="shared" si="1"/>
        <v>isotope</v>
      </c>
      <c r="C1354" s="49" t="str">
        <f t="shared" si="2"/>
        <v>S17466IS1</v>
      </c>
      <c r="D1354" s="6">
        <v>34.0</v>
      </c>
      <c r="E1354" s="10" t="str">
        <f t="shared" si="3"/>
        <v>BIS34</v>
      </c>
      <c r="F1354" s="13">
        <v>80.0</v>
      </c>
      <c r="G1354" s="10" t="str">
        <f t="shared" si="8"/>
        <v>BIS34-80</v>
      </c>
      <c r="H1354" s="16"/>
      <c r="I1354" s="16" t="str">
        <f t="shared" si="5"/>
        <v>collected</v>
      </c>
      <c r="J1354" s="16" t="str">
        <f t="shared" si="6"/>
        <v>N</v>
      </c>
      <c r="K1354" s="16"/>
      <c r="L1354" s="16"/>
    </row>
    <row r="1355">
      <c r="A1355" s="40" t="s">
        <v>1891</v>
      </c>
      <c r="B1355" s="10" t="str">
        <f t="shared" si="1"/>
        <v>isotope</v>
      </c>
      <c r="C1355" s="49" t="str">
        <f t="shared" si="2"/>
        <v>S17465IS1</v>
      </c>
      <c r="D1355" s="6">
        <v>34.0</v>
      </c>
      <c r="E1355" s="10" t="str">
        <f t="shared" si="3"/>
        <v>BIS34</v>
      </c>
      <c r="F1355" s="13">
        <v>81.0</v>
      </c>
      <c r="G1355" s="10" t="str">
        <f t="shared" si="8"/>
        <v>BIS34-81</v>
      </c>
      <c r="H1355" s="16"/>
      <c r="I1355" s="16" t="str">
        <f t="shared" si="5"/>
        <v>collected</v>
      </c>
      <c r="J1355" s="16" t="str">
        <f t="shared" si="6"/>
        <v>N</v>
      </c>
      <c r="K1355" s="16"/>
      <c r="L1355" s="16"/>
    </row>
    <row r="1356">
      <c r="A1356" s="40" t="s">
        <v>1892</v>
      </c>
      <c r="B1356" s="10" t="str">
        <f t="shared" si="1"/>
        <v>isotope</v>
      </c>
      <c r="C1356" s="49" t="str">
        <f t="shared" si="2"/>
        <v>S17464IS1</v>
      </c>
      <c r="D1356" s="6">
        <v>40.0</v>
      </c>
      <c r="E1356" s="10" t="str">
        <f t="shared" si="3"/>
        <v>BIS40</v>
      </c>
      <c r="F1356" s="13">
        <v>1.0</v>
      </c>
      <c r="G1356" s="10" t="str">
        <f t="shared" si="8"/>
        <v>BIS40-1</v>
      </c>
      <c r="H1356" s="16"/>
      <c r="I1356" s="16" t="str">
        <f t="shared" si="5"/>
        <v>collected</v>
      </c>
      <c r="J1356" s="16" t="str">
        <f t="shared" si="6"/>
        <v>N</v>
      </c>
      <c r="K1356" s="16"/>
      <c r="L1356" s="16"/>
    </row>
    <row r="1357">
      <c r="A1357" s="40" t="s">
        <v>1893</v>
      </c>
      <c r="B1357" s="10" t="str">
        <f t="shared" si="1"/>
        <v>isotope</v>
      </c>
      <c r="C1357" s="49" t="str">
        <f t="shared" si="2"/>
        <v>S17463IS1</v>
      </c>
      <c r="D1357" s="6">
        <v>40.0</v>
      </c>
      <c r="E1357" s="10" t="str">
        <f t="shared" si="3"/>
        <v>BIS40</v>
      </c>
      <c r="F1357" s="13">
        <v>2.0</v>
      </c>
      <c r="G1357" s="10" t="str">
        <f t="shared" si="8"/>
        <v>BIS40-2</v>
      </c>
      <c r="H1357" s="16"/>
      <c r="I1357" s="16" t="str">
        <f t="shared" si="5"/>
        <v>collected</v>
      </c>
      <c r="J1357" s="16" t="str">
        <f t="shared" si="6"/>
        <v>N</v>
      </c>
      <c r="K1357" s="16"/>
      <c r="L1357" s="16"/>
    </row>
    <row r="1358">
      <c r="A1358" s="40" t="s">
        <v>1894</v>
      </c>
      <c r="B1358" s="10" t="str">
        <f t="shared" si="1"/>
        <v>isotope</v>
      </c>
      <c r="C1358" s="49" t="str">
        <f t="shared" si="2"/>
        <v>S17462IS1</v>
      </c>
      <c r="D1358" s="6">
        <v>40.0</v>
      </c>
      <c r="E1358" s="10" t="str">
        <f t="shared" si="3"/>
        <v>BIS40</v>
      </c>
      <c r="F1358" s="13">
        <v>3.0</v>
      </c>
      <c r="G1358" s="10" t="str">
        <f t="shared" si="8"/>
        <v>BIS40-3</v>
      </c>
      <c r="H1358" s="16"/>
      <c r="I1358" s="16" t="str">
        <f t="shared" si="5"/>
        <v>collected</v>
      </c>
      <c r="J1358" s="16" t="str">
        <f t="shared" si="6"/>
        <v>N</v>
      </c>
      <c r="K1358" s="16"/>
      <c r="L1358" s="16"/>
    </row>
    <row r="1359">
      <c r="A1359" s="40" t="s">
        <v>1895</v>
      </c>
      <c r="B1359" s="10" t="str">
        <f t="shared" si="1"/>
        <v>isotope</v>
      </c>
      <c r="C1359" s="49" t="str">
        <f t="shared" si="2"/>
        <v>S17461IS1</v>
      </c>
      <c r="D1359" s="6">
        <v>40.0</v>
      </c>
      <c r="E1359" s="10" t="str">
        <f t="shared" si="3"/>
        <v>BIS40</v>
      </c>
      <c r="F1359" s="13">
        <v>4.0</v>
      </c>
      <c r="G1359" s="10" t="str">
        <f t="shared" si="8"/>
        <v>BIS40-4</v>
      </c>
      <c r="H1359" s="16"/>
      <c r="I1359" s="16" t="str">
        <f t="shared" si="5"/>
        <v>collected</v>
      </c>
      <c r="J1359" s="16" t="str">
        <f t="shared" si="6"/>
        <v>N</v>
      </c>
      <c r="K1359" s="16"/>
      <c r="L1359" s="16"/>
    </row>
    <row r="1360">
      <c r="A1360" s="40" t="s">
        <v>1896</v>
      </c>
      <c r="B1360" s="10" t="str">
        <f t="shared" si="1"/>
        <v>isotope</v>
      </c>
      <c r="C1360" s="49" t="str">
        <f t="shared" si="2"/>
        <v>S16736IS1</v>
      </c>
      <c r="D1360" s="6">
        <v>40.0</v>
      </c>
      <c r="E1360" s="10" t="str">
        <f t="shared" si="3"/>
        <v>BIS40</v>
      </c>
      <c r="F1360" s="13">
        <v>5.0</v>
      </c>
      <c r="G1360" s="10" t="str">
        <f t="shared" si="8"/>
        <v>BIS40-5</v>
      </c>
      <c r="H1360" s="16"/>
      <c r="I1360" s="16" t="str">
        <f t="shared" si="5"/>
        <v>collected</v>
      </c>
      <c r="J1360" s="16" t="str">
        <f t="shared" si="6"/>
        <v>N</v>
      </c>
      <c r="K1360" s="16"/>
      <c r="L1360" s="16"/>
    </row>
    <row r="1361">
      <c r="A1361" s="40" t="s">
        <v>1897</v>
      </c>
      <c r="B1361" s="10" t="str">
        <f t="shared" si="1"/>
        <v>isotope</v>
      </c>
      <c r="C1361" s="49" t="str">
        <f t="shared" si="2"/>
        <v>S16738IS1</v>
      </c>
      <c r="D1361" s="6">
        <v>40.0</v>
      </c>
      <c r="E1361" s="10" t="str">
        <f t="shared" si="3"/>
        <v>BIS40</v>
      </c>
      <c r="F1361" s="13">
        <v>6.0</v>
      </c>
      <c r="G1361" s="10" t="str">
        <f t="shared" si="8"/>
        <v>BIS40-6</v>
      </c>
      <c r="H1361" s="16"/>
      <c r="I1361" s="16" t="str">
        <f t="shared" si="5"/>
        <v>collected</v>
      </c>
      <c r="J1361" s="16" t="str">
        <f t="shared" si="6"/>
        <v>N</v>
      </c>
      <c r="K1361" s="16"/>
      <c r="L1361" s="16"/>
    </row>
    <row r="1362">
      <c r="A1362" s="40" t="s">
        <v>1898</v>
      </c>
      <c r="B1362" s="10" t="str">
        <f t="shared" si="1"/>
        <v>isotope</v>
      </c>
      <c r="C1362" s="49" t="str">
        <f t="shared" si="2"/>
        <v>S16740IS1</v>
      </c>
      <c r="D1362" s="6">
        <v>40.0</v>
      </c>
      <c r="E1362" s="10" t="str">
        <f t="shared" si="3"/>
        <v>BIS40</v>
      </c>
      <c r="F1362" s="13">
        <v>7.0</v>
      </c>
      <c r="G1362" s="10" t="str">
        <f t="shared" si="8"/>
        <v>BIS40-7</v>
      </c>
      <c r="H1362" s="16"/>
      <c r="I1362" s="16" t="str">
        <f t="shared" si="5"/>
        <v>collected</v>
      </c>
      <c r="J1362" s="16" t="str">
        <f t="shared" si="6"/>
        <v>N</v>
      </c>
      <c r="K1362" s="16"/>
      <c r="L1362" s="16"/>
    </row>
    <row r="1363">
      <c r="A1363" s="40" t="s">
        <v>1900</v>
      </c>
      <c r="B1363" s="10" t="str">
        <f t="shared" si="1"/>
        <v>isotope</v>
      </c>
      <c r="C1363" s="49" t="str">
        <f t="shared" si="2"/>
        <v>S16735IS1</v>
      </c>
      <c r="D1363" s="6">
        <v>40.0</v>
      </c>
      <c r="E1363" s="10" t="str">
        <f t="shared" si="3"/>
        <v>BIS40</v>
      </c>
      <c r="F1363" s="13">
        <v>8.0</v>
      </c>
      <c r="G1363" s="10" t="str">
        <f t="shared" si="8"/>
        <v>BIS40-8</v>
      </c>
      <c r="H1363" s="16"/>
      <c r="I1363" s="16" t="str">
        <f t="shared" si="5"/>
        <v>collected</v>
      </c>
      <c r="J1363" s="16" t="str">
        <f t="shared" si="6"/>
        <v>N</v>
      </c>
      <c r="K1363" s="16"/>
      <c r="L1363" s="16"/>
    </row>
    <row r="1364">
      <c r="A1364" s="40" t="s">
        <v>1901</v>
      </c>
      <c r="B1364" s="10" t="str">
        <f t="shared" si="1"/>
        <v>isotope</v>
      </c>
      <c r="C1364" s="49" t="str">
        <f t="shared" si="2"/>
        <v>S16737IS1</v>
      </c>
      <c r="D1364" s="6">
        <v>40.0</v>
      </c>
      <c r="E1364" s="10" t="str">
        <f t="shared" si="3"/>
        <v>BIS40</v>
      </c>
      <c r="F1364" s="13">
        <v>9.0</v>
      </c>
      <c r="G1364" s="10" t="str">
        <f t="shared" si="8"/>
        <v>BIS40-9</v>
      </c>
      <c r="H1364" s="16"/>
      <c r="I1364" s="16" t="str">
        <f t="shared" si="5"/>
        <v>collected</v>
      </c>
      <c r="J1364" s="16" t="str">
        <f t="shared" si="6"/>
        <v>N</v>
      </c>
      <c r="K1364" s="16"/>
      <c r="L1364" s="16"/>
    </row>
    <row r="1365">
      <c r="A1365" s="40" t="s">
        <v>1902</v>
      </c>
      <c r="B1365" s="10" t="str">
        <f t="shared" si="1"/>
        <v>isotope</v>
      </c>
      <c r="C1365" s="49" t="str">
        <f t="shared" si="2"/>
        <v>S16733IS1</v>
      </c>
      <c r="D1365" s="6">
        <v>40.0</v>
      </c>
      <c r="E1365" s="10" t="str">
        <f t="shared" si="3"/>
        <v>BIS40</v>
      </c>
      <c r="F1365" s="13">
        <v>10.0</v>
      </c>
      <c r="G1365" s="10" t="str">
        <f t="shared" si="8"/>
        <v>BIS40-10</v>
      </c>
      <c r="H1365" s="16"/>
      <c r="I1365" s="16" t="str">
        <f t="shared" si="5"/>
        <v>collected</v>
      </c>
      <c r="J1365" s="16" t="str">
        <f t="shared" si="6"/>
        <v>N</v>
      </c>
      <c r="K1365" s="16"/>
      <c r="L1365" s="16"/>
    </row>
    <row r="1366">
      <c r="A1366" s="40" t="s">
        <v>1903</v>
      </c>
      <c r="B1366" s="10" t="str">
        <f t="shared" si="1"/>
        <v>isotope</v>
      </c>
      <c r="C1366" s="49" t="str">
        <f t="shared" si="2"/>
        <v>S16734IS1</v>
      </c>
      <c r="D1366" s="6">
        <v>40.0</v>
      </c>
      <c r="E1366" s="10" t="str">
        <f t="shared" si="3"/>
        <v>BIS40</v>
      </c>
      <c r="F1366" s="13">
        <v>11.0</v>
      </c>
      <c r="G1366" s="10" t="str">
        <f t="shared" si="8"/>
        <v>BIS40-11</v>
      </c>
      <c r="H1366" s="16"/>
      <c r="I1366" s="16" t="str">
        <f t="shared" si="5"/>
        <v>collected</v>
      </c>
      <c r="J1366" s="16" t="str">
        <f t="shared" si="6"/>
        <v>N</v>
      </c>
      <c r="K1366" s="16"/>
      <c r="L1366" s="16"/>
    </row>
    <row r="1367">
      <c r="A1367" s="40" t="s">
        <v>1904</v>
      </c>
      <c r="B1367" s="10" t="str">
        <f t="shared" si="1"/>
        <v>isotope</v>
      </c>
      <c r="C1367" s="49" t="str">
        <f t="shared" si="2"/>
        <v>S16731IS1</v>
      </c>
      <c r="D1367" s="6">
        <v>40.0</v>
      </c>
      <c r="E1367" s="10" t="str">
        <f t="shared" si="3"/>
        <v>BIS40</v>
      </c>
      <c r="F1367" s="13">
        <v>12.0</v>
      </c>
      <c r="G1367" s="10" t="str">
        <f t="shared" si="8"/>
        <v>BIS40-12</v>
      </c>
      <c r="H1367" s="16"/>
      <c r="I1367" s="16" t="str">
        <f t="shared" si="5"/>
        <v>collected</v>
      </c>
      <c r="J1367" s="16" t="str">
        <f t="shared" si="6"/>
        <v>N</v>
      </c>
      <c r="K1367" s="16"/>
      <c r="L1367" s="16"/>
    </row>
    <row r="1368">
      <c r="A1368" s="40" t="s">
        <v>1905</v>
      </c>
      <c r="B1368" s="10" t="str">
        <f t="shared" si="1"/>
        <v>isotope</v>
      </c>
      <c r="C1368" s="49" t="str">
        <f t="shared" si="2"/>
        <v>S16739IS1</v>
      </c>
      <c r="D1368" s="6">
        <v>40.0</v>
      </c>
      <c r="E1368" s="10" t="str">
        <f t="shared" si="3"/>
        <v>BIS40</v>
      </c>
      <c r="F1368" s="13">
        <v>13.0</v>
      </c>
      <c r="G1368" s="10" t="str">
        <f t="shared" si="8"/>
        <v>BIS40-13</v>
      </c>
      <c r="H1368" s="16"/>
      <c r="I1368" s="16" t="str">
        <f t="shared" si="5"/>
        <v>collected</v>
      </c>
      <c r="J1368" s="16" t="str">
        <f t="shared" si="6"/>
        <v>N</v>
      </c>
      <c r="K1368" s="16"/>
      <c r="L1368" s="16"/>
    </row>
    <row r="1369">
      <c r="A1369" s="40" t="s">
        <v>1906</v>
      </c>
      <c r="B1369" s="10" t="str">
        <f t="shared" si="1"/>
        <v>isotope</v>
      </c>
      <c r="C1369" s="49" t="str">
        <f t="shared" si="2"/>
        <v>S16732IS1</v>
      </c>
      <c r="D1369" s="6">
        <v>40.0</v>
      </c>
      <c r="E1369" s="10" t="str">
        <f t="shared" si="3"/>
        <v>BIS40</v>
      </c>
      <c r="F1369" s="13">
        <v>14.0</v>
      </c>
      <c r="G1369" s="10" t="str">
        <f t="shared" si="8"/>
        <v>BIS40-14</v>
      </c>
      <c r="H1369" s="16"/>
      <c r="I1369" s="16" t="str">
        <f t="shared" si="5"/>
        <v>collected</v>
      </c>
      <c r="J1369" s="16" t="str">
        <f t="shared" si="6"/>
        <v>N</v>
      </c>
      <c r="K1369" s="16"/>
      <c r="L1369" s="16"/>
    </row>
    <row r="1370">
      <c r="A1370" s="40" t="s">
        <v>1907</v>
      </c>
      <c r="B1370" s="10" t="str">
        <f t="shared" si="1"/>
        <v>isotope</v>
      </c>
      <c r="C1370" s="49" t="str">
        <f t="shared" si="2"/>
        <v>S17939IS1</v>
      </c>
      <c r="D1370" s="6">
        <v>40.0</v>
      </c>
      <c r="E1370" s="10" t="str">
        <f t="shared" si="3"/>
        <v>BIS40</v>
      </c>
      <c r="F1370" s="13">
        <v>15.0</v>
      </c>
      <c r="G1370" s="10" t="str">
        <f t="shared" si="8"/>
        <v>BIS40-15</v>
      </c>
      <c r="H1370" s="16"/>
      <c r="I1370" s="16" t="str">
        <f t="shared" si="5"/>
        <v>collected</v>
      </c>
      <c r="J1370" s="16" t="str">
        <f t="shared" si="6"/>
        <v>N</v>
      </c>
      <c r="K1370" s="16"/>
      <c r="L1370" s="16"/>
    </row>
    <row r="1371">
      <c r="A1371" s="40" t="s">
        <v>1908</v>
      </c>
      <c r="B1371" s="10" t="str">
        <f t="shared" si="1"/>
        <v>isotope</v>
      </c>
      <c r="C1371" s="49" t="str">
        <f t="shared" si="2"/>
        <v>S17936IS1</v>
      </c>
      <c r="D1371" s="6">
        <v>40.0</v>
      </c>
      <c r="E1371" s="10" t="str">
        <f t="shared" si="3"/>
        <v>BIS40</v>
      </c>
      <c r="F1371" s="13">
        <v>16.0</v>
      </c>
      <c r="G1371" s="10" t="str">
        <f t="shared" si="8"/>
        <v>BIS40-16</v>
      </c>
      <c r="H1371" s="16"/>
      <c r="I1371" s="16" t="str">
        <f t="shared" si="5"/>
        <v>collected</v>
      </c>
      <c r="J1371" s="16" t="str">
        <f t="shared" si="6"/>
        <v>N</v>
      </c>
      <c r="K1371" s="16"/>
      <c r="L1371" s="16"/>
    </row>
    <row r="1372">
      <c r="A1372" s="40" t="s">
        <v>1909</v>
      </c>
      <c r="B1372" s="10" t="str">
        <f t="shared" si="1"/>
        <v>isotope</v>
      </c>
      <c r="C1372" s="49" t="str">
        <f t="shared" si="2"/>
        <v>S17940IS1</v>
      </c>
      <c r="D1372" s="6">
        <v>40.0</v>
      </c>
      <c r="E1372" s="10" t="str">
        <f t="shared" si="3"/>
        <v>BIS40</v>
      </c>
      <c r="F1372" s="13">
        <v>17.0</v>
      </c>
      <c r="G1372" s="10" t="str">
        <f t="shared" si="8"/>
        <v>BIS40-17</v>
      </c>
      <c r="H1372" s="16"/>
      <c r="I1372" s="16" t="str">
        <f t="shared" si="5"/>
        <v>collected</v>
      </c>
      <c r="J1372" s="16" t="str">
        <f t="shared" si="6"/>
        <v>N</v>
      </c>
      <c r="K1372" s="16"/>
      <c r="L1372" s="16"/>
    </row>
    <row r="1373">
      <c r="A1373" s="27" t="s">
        <v>1910</v>
      </c>
      <c r="B1373" s="10" t="str">
        <f t="shared" si="1"/>
        <v>isotope</v>
      </c>
      <c r="C1373" s="49" t="str">
        <f t="shared" si="2"/>
        <v>S17932IS1</v>
      </c>
      <c r="D1373" s="6">
        <v>40.0</v>
      </c>
      <c r="E1373" s="10" t="str">
        <f t="shared" si="3"/>
        <v>BIS40</v>
      </c>
      <c r="F1373" s="13">
        <v>18.0</v>
      </c>
      <c r="G1373" s="10" t="str">
        <f t="shared" si="8"/>
        <v>BIS40-18</v>
      </c>
      <c r="H1373" s="16"/>
      <c r="I1373" s="16" t="str">
        <f t="shared" si="5"/>
        <v>collected</v>
      </c>
      <c r="J1373" s="16" t="str">
        <f t="shared" si="6"/>
        <v>N</v>
      </c>
      <c r="K1373" s="16"/>
      <c r="L1373" s="16"/>
    </row>
    <row r="1374">
      <c r="A1374" s="27" t="s">
        <v>1911</v>
      </c>
      <c r="B1374" s="10" t="str">
        <f t="shared" si="1"/>
        <v>isotope</v>
      </c>
      <c r="C1374" s="49" t="str">
        <f t="shared" si="2"/>
        <v>S17931IS1</v>
      </c>
      <c r="D1374" s="6">
        <v>40.0</v>
      </c>
      <c r="E1374" s="10" t="str">
        <f t="shared" si="3"/>
        <v>BIS40</v>
      </c>
      <c r="F1374" s="13">
        <v>19.0</v>
      </c>
      <c r="G1374" s="10" t="str">
        <f t="shared" si="8"/>
        <v>BIS40-19</v>
      </c>
      <c r="H1374" s="16"/>
      <c r="I1374" s="16" t="str">
        <f t="shared" si="5"/>
        <v>collected</v>
      </c>
      <c r="J1374" s="16" t="str">
        <f t="shared" si="6"/>
        <v>N</v>
      </c>
      <c r="K1374" s="16"/>
      <c r="L1374" s="16"/>
    </row>
    <row r="1375">
      <c r="A1375" s="6" t="s">
        <v>1912</v>
      </c>
      <c r="B1375" s="10" t="str">
        <f t="shared" si="1"/>
        <v>isotope</v>
      </c>
      <c r="C1375" s="49" t="str">
        <f t="shared" si="2"/>
        <v>S17934IS1</v>
      </c>
      <c r="D1375" s="6">
        <v>40.0</v>
      </c>
      <c r="E1375" s="10" t="str">
        <f t="shared" si="3"/>
        <v>BIS40</v>
      </c>
      <c r="F1375" s="13">
        <v>20.0</v>
      </c>
      <c r="G1375" s="10" t="str">
        <f t="shared" si="8"/>
        <v>BIS40-20</v>
      </c>
      <c r="H1375" s="16"/>
      <c r="I1375" s="16" t="str">
        <f t="shared" si="5"/>
        <v>collected</v>
      </c>
      <c r="J1375" s="16" t="str">
        <f t="shared" si="6"/>
        <v>N</v>
      </c>
      <c r="K1375" s="16"/>
      <c r="L1375" s="16"/>
    </row>
    <row r="1376">
      <c r="A1376" s="27" t="s">
        <v>1913</v>
      </c>
      <c r="B1376" s="10" t="str">
        <f t="shared" si="1"/>
        <v>isotope</v>
      </c>
      <c r="C1376" s="49" t="str">
        <f t="shared" si="2"/>
        <v>S17935IS1</v>
      </c>
      <c r="D1376" s="6">
        <v>40.0</v>
      </c>
      <c r="E1376" s="10" t="str">
        <f t="shared" si="3"/>
        <v>BIS40</v>
      </c>
      <c r="F1376" s="13">
        <v>21.0</v>
      </c>
      <c r="G1376" s="10" t="str">
        <f t="shared" si="8"/>
        <v>BIS40-21</v>
      </c>
      <c r="H1376" s="16"/>
      <c r="I1376" s="16" t="str">
        <f t="shared" si="5"/>
        <v>collected</v>
      </c>
      <c r="J1376" s="16" t="str">
        <f t="shared" si="6"/>
        <v>N</v>
      </c>
      <c r="K1376" s="16"/>
      <c r="L1376" s="16"/>
    </row>
    <row r="1377">
      <c r="A1377" s="27" t="s">
        <v>1915</v>
      </c>
      <c r="B1377" s="10" t="str">
        <f t="shared" si="1"/>
        <v>isotope</v>
      </c>
      <c r="C1377" s="49" t="str">
        <f t="shared" si="2"/>
        <v>S17937IS1</v>
      </c>
      <c r="D1377" s="6">
        <v>40.0</v>
      </c>
      <c r="E1377" s="10" t="str">
        <f t="shared" si="3"/>
        <v>BIS40</v>
      </c>
      <c r="F1377" s="13">
        <v>22.0</v>
      </c>
      <c r="G1377" s="10" t="str">
        <f t="shared" si="8"/>
        <v>BIS40-22</v>
      </c>
      <c r="H1377" s="16"/>
      <c r="I1377" s="16" t="str">
        <f t="shared" si="5"/>
        <v>collected</v>
      </c>
      <c r="J1377" s="16" t="str">
        <f t="shared" si="6"/>
        <v>N</v>
      </c>
      <c r="K1377" s="16"/>
      <c r="L1377" s="16"/>
    </row>
    <row r="1378">
      <c r="A1378" s="27" t="s">
        <v>1916</v>
      </c>
      <c r="B1378" s="10" t="str">
        <f t="shared" si="1"/>
        <v>isotope</v>
      </c>
      <c r="C1378" s="49" t="str">
        <f t="shared" si="2"/>
        <v>S17933IS1</v>
      </c>
      <c r="D1378" s="6">
        <v>40.0</v>
      </c>
      <c r="E1378" s="10" t="str">
        <f t="shared" si="3"/>
        <v>BIS40</v>
      </c>
      <c r="F1378" s="13">
        <v>23.0</v>
      </c>
      <c r="G1378" s="10" t="str">
        <f t="shared" si="8"/>
        <v>BIS40-23</v>
      </c>
      <c r="H1378" s="16"/>
      <c r="I1378" s="16" t="str">
        <f t="shared" si="5"/>
        <v>collected</v>
      </c>
      <c r="J1378" s="16" t="str">
        <f t="shared" si="6"/>
        <v>N</v>
      </c>
      <c r="K1378" s="16"/>
      <c r="L1378" s="16"/>
    </row>
    <row r="1379">
      <c r="A1379" s="27" t="s">
        <v>1918</v>
      </c>
      <c r="B1379" s="10" t="str">
        <f t="shared" si="1"/>
        <v>isotope</v>
      </c>
      <c r="C1379" s="49" t="str">
        <f t="shared" si="2"/>
        <v>S17938IS1</v>
      </c>
      <c r="D1379" s="6">
        <v>40.0</v>
      </c>
      <c r="E1379" s="10" t="str">
        <f t="shared" si="3"/>
        <v>BIS40</v>
      </c>
      <c r="F1379" s="13">
        <v>24.0</v>
      </c>
      <c r="G1379" s="10" t="str">
        <f t="shared" si="8"/>
        <v>BIS40-24</v>
      </c>
      <c r="H1379" s="16"/>
      <c r="I1379" s="16" t="str">
        <f t="shared" si="5"/>
        <v>collected</v>
      </c>
      <c r="J1379" s="16" t="str">
        <f t="shared" si="6"/>
        <v>N</v>
      </c>
      <c r="K1379" s="16"/>
      <c r="L1379" s="16"/>
    </row>
    <row r="1380">
      <c r="A1380" s="40" t="s">
        <v>1919</v>
      </c>
      <c r="B1380" s="10" t="str">
        <f t="shared" si="1"/>
        <v>isotope</v>
      </c>
      <c r="C1380" s="49" t="str">
        <f t="shared" si="2"/>
        <v>S16047IS1</v>
      </c>
      <c r="D1380" s="6">
        <v>39.0</v>
      </c>
      <c r="E1380" s="10" t="str">
        <f t="shared" si="3"/>
        <v>BIS39</v>
      </c>
      <c r="F1380" s="13">
        <v>37.0</v>
      </c>
      <c r="G1380" s="10" t="str">
        <f t="shared" si="8"/>
        <v>BIS39-37</v>
      </c>
      <c r="H1380" s="16"/>
      <c r="I1380" s="16" t="str">
        <f t="shared" si="5"/>
        <v>collected</v>
      </c>
      <c r="J1380" s="16" t="str">
        <f t="shared" si="6"/>
        <v>N</v>
      </c>
      <c r="K1380" s="16"/>
      <c r="L1380" s="16"/>
    </row>
    <row r="1381">
      <c r="A1381" s="40" t="s">
        <v>1920</v>
      </c>
      <c r="B1381" s="10" t="str">
        <f t="shared" si="1"/>
        <v>isotope</v>
      </c>
      <c r="C1381" s="49" t="str">
        <f t="shared" si="2"/>
        <v>S16043IS1</v>
      </c>
      <c r="D1381" s="6">
        <v>39.0</v>
      </c>
      <c r="E1381" s="10" t="str">
        <f t="shared" si="3"/>
        <v>BIS39</v>
      </c>
      <c r="F1381" s="13">
        <v>38.0</v>
      </c>
      <c r="G1381" s="10" t="str">
        <f t="shared" si="8"/>
        <v>BIS39-38</v>
      </c>
      <c r="H1381" s="16"/>
      <c r="I1381" s="16" t="str">
        <f t="shared" si="5"/>
        <v>collected</v>
      </c>
      <c r="J1381" s="16" t="str">
        <f t="shared" si="6"/>
        <v>N</v>
      </c>
      <c r="K1381" s="16"/>
      <c r="L1381" s="16"/>
    </row>
    <row r="1382">
      <c r="A1382" s="40" t="s">
        <v>1921</v>
      </c>
      <c r="B1382" s="10" t="str">
        <f t="shared" si="1"/>
        <v>isotope</v>
      </c>
      <c r="C1382" s="49" t="str">
        <f t="shared" si="2"/>
        <v>S16049IS1</v>
      </c>
      <c r="D1382" s="6">
        <v>39.0</v>
      </c>
      <c r="E1382" s="10" t="str">
        <f t="shared" si="3"/>
        <v>BIS39</v>
      </c>
      <c r="F1382" s="13">
        <v>39.0</v>
      </c>
      <c r="G1382" s="10" t="str">
        <f t="shared" si="8"/>
        <v>BIS39-39</v>
      </c>
      <c r="H1382" s="16"/>
      <c r="I1382" s="16" t="str">
        <f t="shared" si="5"/>
        <v>collected</v>
      </c>
      <c r="J1382" s="16" t="str">
        <f t="shared" si="6"/>
        <v>N</v>
      </c>
      <c r="K1382" s="16"/>
      <c r="L1382" s="16"/>
    </row>
    <row r="1383">
      <c r="A1383" s="40" t="s">
        <v>1922</v>
      </c>
      <c r="B1383" s="10" t="str">
        <f t="shared" si="1"/>
        <v>isotope</v>
      </c>
      <c r="C1383" s="49" t="str">
        <f t="shared" si="2"/>
        <v>S16050IS1</v>
      </c>
      <c r="D1383" s="6">
        <v>39.0</v>
      </c>
      <c r="E1383" s="10" t="str">
        <f t="shared" si="3"/>
        <v>BIS39</v>
      </c>
      <c r="F1383" s="13">
        <v>40.0</v>
      </c>
      <c r="G1383" s="10" t="str">
        <f t="shared" si="8"/>
        <v>BIS39-40</v>
      </c>
      <c r="H1383" s="16"/>
      <c r="I1383" s="16" t="str">
        <f t="shared" si="5"/>
        <v>collected</v>
      </c>
      <c r="J1383" s="16" t="str">
        <f t="shared" si="6"/>
        <v>N</v>
      </c>
      <c r="K1383" s="16"/>
      <c r="L1383" s="16"/>
    </row>
    <row r="1384">
      <c r="A1384" s="40" t="s">
        <v>1923</v>
      </c>
      <c r="B1384" s="10" t="str">
        <f t="shared" si="1"/>
        <v>isotope</v>
      </c>
      <c r="C1384" s="49" t="str">
        <f t="shared" si="2"/>
        <v>S16044IS1</v>
      </c>
      <c r="D1384" s="6">
        <v>39.0</v>
      </c>
      <c r="E1384" s="10" t="str">
        <f t="shared" si="3"/>
        <v>BIS39</v>
      </c>
      <c r="F1384" s="13">
        <v>41.0</v>
      </c>
      <c r="G1384" s="10" t="str">
        <f t="shared" si="8"/>
        <v>BIS39-41</v>
      </c>
      <c r="H1384" s="16"/>
      <c r="I1384" s="16" t="str">
        <f t="shared" si="5"/>
        <v>collected</v>
      </c>
      <c r="J1384" s="16" t="str">
        <f t="shared" si="6"/>
        <v>N</v>
      </c>
      <c r="K1384" s="16"/>
      <c r="L1384" s="16"/>
    </row>
    <row r="1385">
      <c r="A1385" s="40" t="s">
        <v>1924</v>
      </c>
      <c r="B1385" s="10" t="str">
        <f t="shared" si="1"/>
        <v>isotope</v>
      </c>
      <c r="C1385" s="49" t="str">
        <f t="shared" si="2"/>
        <v>S16045IS1</v>
      </c>
      <c r="D1385" s="6">
        <v>39.0</v>
      </c>
      <c r="E1385" s="10" t="str">
        <f t="shared" si="3"/>
        <v>BIS39</v>
      </c>
      <c r="F1385" s="13">
        <v>42.0</v>
      </c>
      <c r="G1385" s="10" t="str">
        <f t="shared" si="8"/>
        <v>BIS39-42</v>
      </c>
      <c r="H1385" s="16"/>
      <c r="I1385" s="16" t="str">
        <f t="shared" si="5"/>
        <v>collected</v>
      </c>
      <c r="J1385" s="16" t="str">
        <f t="shared" si="6"/>
        <v>N</v>
      </c>
      <c r="K1385" s="16"/>
      <c r="L1385" s="16"/>
    </row>
    <row r="1386">
      <c r="A1386" s="40" t="s">
        <v>1925</v>
      </c>
      <c r="B1386" s="10" t="str">
        <f t="shared" si="1"/>
        <v>isotope</v>
      </c>
      <c r="C1386" s="49" t="str">
        <f t="shared" si="2"/>
        <v>S16046IS1</v>
      </c>
      <c r="D1386" s="6">
        <v>39.0</v>
      </c>
      <c r="E1386" s="10" t="str">
        <f t="shared" si="3"/>
        <v>BIS39</v>
      </c>
      <c r="F1386" s="13">
        <v>43.0</v>
      </c>
      <c r="G1386" s="10" t="str">
        <f t="shared" si="8"/>
        <v>BIS39-43</v>
      </c>
      <c r="H1386" s="16"/>
      <c r="I1386" s="16" t="str">
        <f t="shared" si="5"/>
        <v>collected</v>
      </c>
      <c r="J1386" s="16" t="str">
        <f t="shared" si="6"/>
        <v>N</v>
      </c>
      <c r="K1386" s="16"/>
      <c r="L1386" s="16"/>
    </row>
    <row r="1387">
      <c r="A1387" s="40" t="s">
        <v>1926</v>
      </c>
      <c r="B1387" s="10" t="str">
        <f t="shared" si="1"/>
        <v>isotope</v>
      </c>
      <c r="C1387" s="49" t="str">
        <f t="shared" si="2"/>
        <v>S16048IS1</v>
      </c>
      <c r="D1387" s="6">
        <v>39.0</v>
      </c>
      <c r="E1387" s="10" t="str">
        <f t="shared" si="3"/>
        <v>BIS39</v>
      </c>
      <c r="F1387" s="13">
        <v>44.0</v>
      </c>
      <c r="G1387" s="10" t="str">
        <f t="shared" si="8"/>
        <v>BIS39-44</v>
      </c>
      <c r="H1387" s="16"/>
      <c r="I1387" s="16" t="str">
        <f t="shared" si="5"/>
        <v>collected</v>
      </c>
      <c r="J1387" s="16" t="str">
        <f t="shared" si="6"/>
        <v>N</v>
      </c>
      <c r="K1387" s="16"/>
      <c r="L1387" s="16"/>
    </row>
    <row r="1388">
      <c r="A1388" s="40" t="s">
        <v>1927</v>
      </c>
      <c r="B1388" s="10" t="str">
        <f t="shared" si="1"/>
        <v>isotope</v>
      </c>
      <c r="C1388" s="49" t="str">
        <f t="shared" si="2"/>
        <v>S16041IS1</v>
      </c>
      <c r="D1388" s="6">
        <v>39.0</v>
      </c>
      <c r="E1388" s="10" t="str">
        <f t="shared" si="3"/>
        <v>BIS39</v>
      </c>
      <c r="F1388" s="13">
        <v>45.0</v>
      </c>
      <c r="G1388" s="10" t="str">
        <f t="shared" si="8"/>
        <v>BIS39-45</v>
      </c>
      <c r="H1388" s="16"/>
      <c r="I1388" s="16" t="str">
        <f t="shared" si="5"/>
        <v>collected</v>
      </c>
      <c r="J1388" s="16" t="str">
        <f t="shared" si="6"/>
        <v>N</v>
      </c>
      <c r="K1388" s="16"/>
      <c r="L1388" s="16"/>
    </row>
    <row r="1389">
      <c r="A1389" s="40" t="s">
        <v>1928</v>
      </c>
      <c r="B1389" s="10" t="str">
        <f t="shared" si="1"/>
        <v>isotope</v>
      </c>
      <c r="C1389" s="49" t="str">
        <f t="shared" si="2"/>
        <v>S16042IS1</v>
      </c>
      <c r="D1389" s="6">
        <v>39.0</v>
      </c>
      <c r="E1389" s="10" t="str">
        <f t="shared" si="3"/>
        <v>BIS39</v>
      </c>
      <c r="F1389" s="13">
        <v>46.0</v>
      </c>
      <c r="G1389" s="10" t="str">
        <f t="shared" si="8"/>
        <v>BIS39-46</v>
      </c>
      <c r="H1389" s="16"/>
      <c r="I1389" s="16" t="str">
        <f t="shared" si="5"/>
        <v>collected</v>
      </c>
      <c r="J1389" s="16" t="str">
        <f t="shared" si="6"/>
        <v>N</v>
      </c>
      <c r="K1389" s="16"/>
      <c r="L1389" s="16"/>
    </row>
    <row r="1390">
      <c r="A1390" s="40" t="s">
        <v>1929</v>
      </c>
      <c r="B1390" s="10" t="str">
        <f t="shared" si="1"/>
        <v>isotope</v>
      </c>
      <c r="C1390" s="49" t="str">
        <f t="shared" si="2"/>
        <v>S16004IS1</v>
      </c>
      <c r="D1390" s="6">
        <v>39.0</v>
      </c>
      <c r="E1390" s="10" t="str">
        <f t="shared" si="3"/>
        <v>BIS39</v>
      </c>
      <c r="F1390" s="13">
        <v>47.0</v>
      </c>
      <c r="G1390" s="10" t="str">
        <f t="shared" si="8"/>
        <v>BIS39-47</v>
      </c>
      <c r="H1390" s="16"/>
      <c r="I1390" s="16" t="str">
        <f t="shared" si="5"/>
        <v>collected</v>
      </c>
      <c r="J1390" s="16" t="str">
        <f t="shared" si="6"/>
        <v>N</v>
      </c>
      <c r="K1390" s="16"/>
      <c r="L1390" s="16"/>
    </row>
    <row r="1391">
      <c r="A1391" s="40" t="s">
        <v>1930</v>
      </c>
      <c r="B1391" s="10" t="str">
        <f t="shared" si="1"/>
        <v>isotope</v>
      </c>
      <c r="C1391" s="49" t="str">
        <f t="shared" si="2"/>
        <v>S16002IS1</v>
      </c>
      <c r="D1391" s="6">
        <v>39.0</v>
      </c>
      <c r="E1391" s="10" t="str">
        <f t="shared" si="3"/>
        <v>BIS39</v>
      </c>
      <c r="F1391" s="13">
        <v>48.0</v>
      </c>
      <c r="G1391" s="10" t="str">
        <f t="shared" si="8"/>
        <v>BIS39-48</v>
      </c>
      <c r="H1391" s="16"/>
      <c r="I1391" s="16" t="str">
        <f t="shared" si="5"/>
        <v>collected</v>
      </c>
      <c r="J1391" s="16" t="str">
        <f t="shared" si="6"/>
        <v>N</v>
      </c>
      <c r="K1391" s="16"/>
      <c r="L1391" s="16"/>
    </row>
    <row r="1392">
      <c r="A1392" s="40" t="s">
        <v>1931</v>
      </c>
      <c r="B1392" s="10" t="str">
        <f t="shared" si="1"/>
        <v>isotope</v>
      </c>
      <c r="C1392" s="49" t="str">
        <f t="shared" si="2"/>
        <v>S16001IS1</v>
      </c>
      <c r="D1392" s="6">
        <v>39.0</v>
      </c>
      <c r="E1392" s="10" t="str">
        <f t="shared" si="3"/>
        <v>BIS39</v>
      </c>
      <c r="F1392" s="13">
        <v>49.0</v>
      </c>
      <c r="G1392" s="10" t="str">
        <f t="shared" si="8"/>
        <v>BIS39-49</v>
      </c>
      <c r="H1392" s="16"/>
      <c r="I1392" s="16" t="str">
        <f t="shared" si="5"/>
        <v>collected</v>
      </c>
      <c r="J1392" s="16" t="str">
        <f t="shared" si="6"/>
        <v>N</v>
      </c>
      <c r="K1392" s="16"/>
      <c r="L1392" s="16"/>
    </row>
    <row r="1393">
      <c r="A1393" s="40" t="s">
        <v>1932</v>
      </c>
      <c r="B1393" s="10" t="str">
        <f t="shared" si="1"/>
        <v>isotope</v>
      </c>
      <c r="C1393" s="49" t="str">
        <f t="shared" si="2"/>
        <v>S16005IS1</v>
      </c>
      <c r="D1393" s="6">
        <v>39.0</v>
      </c>
      <c r="E1393" s="10" t="str">
        <f t="shared" si="3"/>
        <v>BIS39</v>
      </c>
      <c r="F1393" s="13">
        <v>50.0</v>
      </c>
      <c r="G1393" s="10" t="str">
        <f t="shared" si="8"/>
        <v>BIS39-50</v>
      </c>
      <c r="H1393" s="16"/>
      <c r="I1393" s="16" t="str">
        <f t="shared" si="5"/>
        <v>collected</v>
      </c>
      <c r="J1393" s="16" t="str">
        <f t="shared" si="6"/>
        <v>N</v>
      </c>
      <c r="K1393" s="16"/>
      <c r="L1393" s="16"/>
    </row>
    <row r="1394">
      <c r="A1394" s="40" t="s">
        <v>1933</v>
      </c>
      <c r="B1394" s="10" t="str">
        <f t="shared" si="1"/>
        <v>isotope</v>
      </c>
      <c r="C1394" s="49" t="str">
        <f t="shared" si="2"/>
        <v>S16010IS1</v>
      </c>
      <c r="D1394" s="6">
        <v>39.0</v>
      </c>
      <c r="E1394" s="10" t="str">
        <f t="shared" si="3"/>
        <v>BIS39</v>
      </c>
      <c r="F1394" s="13">
        <v>51.0</v>
      </c>
      <c r="G1394" s="10" t="str">
        <f t="shared" si="8"/>
        <v>BIS39-51</v>
      </c>
      <c r="H1394" s="16"/>
      <c r="I1394" s="16" t="str">
        <f t="shared" si="5"/>
        <v>collected</v>
      </c>
      <c r="J1394" s="16" t="str">
        <f t="shared" si="6"/>
        <v>N</v>
      </c>
      <c r="K1394" s="16"/>
      <c r="L1394" s="16"/>
    </row>
    <row r="1395">
      <c r="A1395" s="40" t="s">
        <v>1934</v>
      </c>
      <c r="B1395" s="10" t="str">
        <f t="shared" si="1"/>
        <v>isotope</v>
      </c>
      <c r="C1395" s="49" t="str">
        <f t="shared" si="2"/>
        <v>S16006IS1</v>
      </c>
      <c r="D1395" s="6">
        <v>39.0</v>
      </c>
      <c r="E1395" s="10" t="str">
        <f t="shared" si="3"/>
        <v>BIS39</v>
      </c>
      <c r="F1395" s="13">
        <v>52.0</v>
      </c>
      <c r="G1395" s="10" t="str">
        <f t="shared" si="8"/>
        <v>BIS39-52</v>
      </c>
      <c r="H1395" s="16"/>
      <c r="I1395" s="16" t="str">
        <f t="shared" si="5"/>
        <v>collected</v>
      </c>
      <c r="J1395" s="16" t="str">
        <f t="shared" si="6"/>
        <v>N</v>
      </c>
      <c r="K1395" s="16"/>
      <c r="L1395" s="16"/>
    </row>
    <row r="1396">
      <c r="A1396" s="40" t="s">
        <v>1935</v>
      </c>
      <c r="B1396" s="10" t="str">
        <f t="shared" si="1"/>
        <v>isotope</v>
      </c>
      <c r="C1396" s="49" t="str">
        <f t="shared" si="2"/>
        <v>S16009IS1</v>
      </c>
      <c r="D1396" s="6">
        <v>39.0</v>
      </c>
      <c r="E1396" s="10" t="str">
        <f t="shared" si="3"/>
        <v>BIS39</v>
      </c>
      <c r="F1396" s="13">
        <v>53.0</v>
      </c>
      <c r="G1396" s="10" t="str">
        <f t="shared" si="8"/>
        <v>BIS39-53</v>
      </c>
      <c r="H1396" s="16"/>
      <c r="I1396" s="16" t="str">
        <f t="shared" si="5"/>
        <v>collected</v>
      </c>
      <c r="J1396" s="16" t="str">
        <f t="shared" si="6"/>
        <v>N</v>
      </c>
      <c r="K1396" s="16"/>
      <c r="L1396" s="16"/>
    </row>
    <row r="1397">
      <c r="A1397" s="40" t="s">
        <v>1936</v>
      </c>
      <c r="B1397" s="10" t="str">
        <f t="shared" si="1"/>
        <v>isotope</v>
      </c>
      <c r="C1397" s="49" t="str">
        <f t="shared" si="2"/>
        <v>S16008IS1</v>
      </c>
      <c r="D1397" s="6">
        <v>39.0</v>
      </c>
      <c r="E1397" s="10" t="str">
        <f t="shared" si="3"/>
        <v>BIS39</v>
      </c>
      <c r="F1397" s="13">
        <v>54.0</v>
      </c>
      <c r="G1397" s="10" t="str">
        <f t="shared" si="8"/>
        <v>BIS39-54</v>
      </c>
      <c r="H1397" s="16"/>
      <c r="I1397" s="16" t="str">
        <f t="shared" si="5"/>
        <v>collected</v>
      </c>
      <c r="J1397" s="16" t="str">
        <f t="shared" si="6"/>
        <v>N</v>
      </c>
      <c r="K1397" s="16"/>
      <c r="L1397" s="16"/>
    </row>
    <row r="1398">
      <c r="A1398" s="40" t="s">
        <v>1937</v>
      </c>
      <c r="B1398" s="10" t="str">
        <f t="shared" si="1"/>
        <v>isotope</v>
      </c>
      <c r="C1398" s="49" t="str">
        <f t="shared" si="2"/>
        <v>S16007IS1</v>
      </c>
      <c r="D1398" s="6">
        <v>39.0</v>
      </c>
      <c r="E1398" s="10" t="str">
        <f t="shared" si="3"/>
        <v>BIS39</v>
      </c>
      <c r="F1398" s="13">
        <v>55.0</v>
      </c>
      <c r="G1398" s="10" t="str">
        <f t="shared" si="8"/>
        <v>BIS39-55</v>
      </c>
      <c r="H1398" s="16"/>
      <c r="I1398" s="16" t="str">
        <f t="shared" si="5"/>
        <v>collected</v>
      </c>
      <c r="J1398" s="16" t="str">
        <f t="shared" si="6"/>
        <v>N</v>
      </c>
      <c r="K1398" s="16"/>
      <c r="L1398" s="16"/>
    </row>
    <row r="1399">
      <c r="A1399" s="40" t="s">
        <v>1938</v>
      </c>
      <c r="B1399" s="10" t="str">
        <f t="shared" si="1"/>
        <v>isotope</v>
      </c>
      <c r="C1399" s="49" t="str">
        <f t="shared" si="2"/>
        <v>S16003IS1</v>
      </c>
      <c r="D1399" s="6">
        <v>39.0</v>
      </c>
      <c r="E1399" s="10" t="str">
        <f t="shared" si="3"/>
        <v>BIS39</v>
      </c>
      <c r="F1399" s="13">
        <v>56.0</v>
      </c>
      <c r="G1399" s="10" t="str">
        <f t="shared" si="8"/>
        <v>BIS39-56</v>
      </c>
      <c r="H1399" s="16"/>
      <c r="I1399" s="16" t="str">
        <f t="shared" si="5"/>
        <v>collected</v>
      </c>
      <c r="J1399" s="16" t="str">
        <f t="shared" si="6"/>
        <v>N</v>
      </c>
      <c r="K1399" s="16"/>
      <c r="L1399" s="16"/>
    </row>
    <row r="1400">
      <c r="A1400" s="40" t="s">
        <v>1939</v>
      </c>
      <c r="B1400" s="10" t="str">
        <f t="shared" si="1"/>
        <v>isotope</v>
      </c>
      <c r="C1400" s="49" t="str">
        <f t="shared" si="2"/>
        <v>S16441IS1</v>
      </c>
      <c r="D1400" s="6">
        <v>39.0</v>
      </c>
      <c r="E1400" s="10" t="str">
        <f t="shared" si="3"/>
        <v>BIS39</v>
      </c>
      <c r="F1400" s="13">
        <v>57.0</v>
      </c>
      <c r="G1400" s="10" t="str">
        <f t="shared" si="8"/>
        <v>BIS39-57</v>
      </c>
      <c r="H1400" s="16"/>
      <c r="I1400" s="16" t="str">
        <f t="shared" si="5"/>
        <v>collected</v>
      </c>
      <c r="J1400" s="16" t="str">
        <f t="shared" si="6"/>
        <v>N</v>
      </c>
      <c r="K1400" s="16"/>
      <c r="L1400" s="16"/>
    </row>
    <row r="1401">
      <c r="A1401" s="40" t="s">
        <v>1940</v>
      </c>
      <c r="B1401" s="10" t="str">
        <f t="shared" si="1"/>
        <v>isotope</v>
      </c>
      <c r="C1401" s="49" t="str">
        <f t="shared" si="2"/>
        <v>S16442IS1</v>
      </c>
      <c r="D1401" s="6">
        <v>39.0</v>
      </c>
      <c r="E1401" s="10" t="str">
        <f t="shared" si="3"/>
        <v>BIS39</v>
      </c>
      <c r="F1401" s="13">
        <v>58.0</v>
      </c>
      <c r="G1401" s="10" t="str">
        <f t="shared" si="8"/>
        <v>BIS39-58</v>
      </c>
      <c r="H1401" s="16"/>
      <c r="I1401" s="16" t="str">
        <f t="shared" si="5"/>
        <v>collected</v>
      </c>
      <c r="J1401" s="16" t="str">
        <f t="shared" si="6"/>
        <v>N</v>
      </c>
      <c r="K1401" s="16"/>
      <c r="L1401" s="16"/>
    </row>
    <row r="1402">
      <c r="A1402" s="40" t="s">
        <v>1941</v>
      </c>
      <c r="B1402" s="10" t="str">
        <f t="shared" si="1"/>
        <v>isotope</v>
      </c>
      <c r="C1402" s="49" t="str">
        <f t="shared" si="2"/>
        <v>S16444IS1</v>
      </c>
      <c r="D1402" s="6">
        <v>39.0</v>
      </c>
      <c r="E1402" s="10" t="str">
        <f t="shared" si="3"/>
        <v>BIS39</v>
      </c>
      <c r="F1402" s="13">
        <v>59.0</v>
      </c>
      <c r="G1402" s="10" t="str">
        <f t="shared" si="8"/>
        <v>BIS39-59</v>
      </c>
      <c r="H1402" s="16"/>
      <c r="I1402" s="16" t="str">
        <f t="shared" si="5"/>
        <v>collected</v>
      </c>
      <c r="J1402" s="16" t="str">
        <f t="shared" si="6"/>
        <v>N</v>
      </c>
      <c r="K1402" s="16"/>
      <c r="L1402" s="16"/>
    </row>
    <row r="1403">
      <c r="A1403" s="40" t="s">
        <v>1942</v>
      </c>
      <c r="B1403" s="10" t="str">
        <f t="shared" si="1"/>
        <v>isotope</v>
      </c>
      <c r="C1403" s="49" t="str">
        <f t="shared" si="2"/>
        <v>S16443IS1</v>
      </c>
      <c r="D1403" s="6">
        <v>39.0</v>
      </c>
      <c r="E1403" s="10" t="str">
        <f t="shared" si="3"/>
        <v>BIS39</v>
      </c>
      <c r="F1403" s="13">
        <v>60.0</v>
      </c>
      <c r="G1403" s="10" t="str">
        <f t="shared" si="8"/>
        <v>BIS39-60</v>
      </c>
      <c r="H1403" s="16"/>
      <c r="I1403" s="16" t="str">
        <f t="shared" si="5"/>
        <v>collected</v>
      </c>
      <c r="J1403" s="16" t="str">
        <f t="shared" si="6"/>
        <v>N</v>
      </c>
      <c r="K1403" s="16"/>
      <c r="L1403" s="16"/>
    </row>
    <row r="1404">
      <c r="A1404" s="40" t="s">
        <v>1943</v>
      </c>
      <c r="B1404" s="10" t="str">
        <f t="shared" si="1"/>
        <v>isotope</v>
      </c>
      <c r="C1404" s="49" t="str">
        <f t="shared" si="2"/>
        <v>S16445IS1</v>
      </c>
      <c r="D1404" s="6">
        <v>39.0</v>
      </c>
      <c r="E1404" s="10" t="str">
        <f t="shared" si="3"/>
        <v>BIS39</v>
      </c>
      <c r="F1404" s="13">
        <v>61.0</v>
      </c>
      <c r="G1404" s="10" t="str">
        <f t="shared" si="8"/>
        <v>BIS39-61</v>
      </c>
      <c r="H1404" s="16"/>
      <c r="I1404" s="16" t="str">
        <f t="shared" si="5"/>
        <v>collected</v>
      </c>
      <c r="J1404" s="16" t="str">
        <f t="shared" si="6"/>
        <v>N</v>
      </c>
      <c r="K1404" s="16"/>
      <c r="L1404" s="16"/>
    </row>
    <row r="1405">
      <c r="A1405" s="40" t="s">
        <v>1944</v>
      </c>
      <c r="B1405" s="10" t="str">
        <f t="shared" si="1"/>
        <v>isotope</v>
      </c>
      <c r="C1405" s="49" t="str">
        <f t="shared" si="2"/>
        <v>S16450IS1</v>
      </c>
      <c r="D1405" s="6">
        <v>39.0</v>
      </c>
      <c r="E1405" s="10" t="str">
        <f t="shared" si="3"/>
        <v>BIS39</v>
      </c>
      <c r="F1405" s="13">
        <v>62.0</v>
      </c>
      <c r="G1405" s="10" t="str">
        <f t="shared" si="8"/>
        <v>BIS39-62</v>
      </c>
      <c r="H1405" s="16"/>
      <c r="I1405" s="16" t="str">
        <f t="shared" si="5"/>
        <v>collected</v>
      </c>
      <c r="J1405" s="16" t="str">
        <f t="shared" si="6"/>
        <v>N</v>
      </c>
      <c r="K1405" s="16"/>
      <c r="L1405" s="16"/>
    </row>
    <row r="1406">
      <c r="A1406" s="40" t="s">
        <v>1945</v>
      </c>
      <c r="B1406" s="10" t="str">
        <f t="shared" si="1"/>
        <v>isotope</v>
      </c>
      <c r="C1406" s="49" t="str">
        <f t="shared" si="2"/>
        <v>S16446IS1</v>
      </c>
      <c r="D1406" s="6">
        <v>39.0</v>
      </c>
      <c r="E1406" s="10" t="str">
        <f t="shared" si="3"/>
        <v>BIS39</v>
      </c>
      <c r="F1406" s="13">
        <v>63.0</v>
      </c>
      <c r="G1406" s="10" t="str">
        <f t="shared" si="8"/>
        <v>BIS39-63</v>
      </c>
      <c r="H1406" s="16"/>
      <c r="I1406" s="16" t="str">
        <f t="shared" si="5"/>
        <v>collected</v>
      </c>
      <c r="J1406" s="16" t="str">
        <f t="shared" si="6"/>
        <v>N</v>
      </c>
      <c r="K1406" s="16"/>
      <c r="L1406" s="16"/>
    </row>
    <row r="1407">
      <c r="A1407" s="40" t="s">
        <v>1946</v>
      </c>
      <c r="B1407" s="10" t="str">
        <f t="shared" si="1"/>
        <v>isotope</v>
      </c>
      <c r="C1407" s="49" t="str">
        <f t="shared" si="2"/>
        <v>S16447IS1</v>
      </c>
      <c r="D1407" s="6">
        <v>39.0</v>
      </c>
      <c r="E1407" s="10" t="str">
        <f t="shared" si="3"/>
        <v>BIS39</v>
      </c>
      <c r="F1407" s="13">
        <v>64.0</v>
      </c>
      <c r="G1407" s="10" t="str">
        <f t="shared" si="8"/>
        <v>BIS39-64</v>
      </c>
      <c r="H1407" s="16"/>
      <c r="I1407" s="16" t="str">
        <f t="shared" si="5"/>
        <v>collected</v>
      </c>
      <c r="J1407" s="16" t="str">
        <f t="shared" si="6"/>
        <v>N</v>
      </c>
      <c r="K1407" s="16"/>
      <c r="L1407" s="16"/>
    </row>
    <row r="1408">
      <c r="A1408" s="40" t="s">
        <v>1947</v>
      </c>
      <c r="B1408" s="10" t="str">
        <f t="shared" si="1"/>
        <v>isotope</v>
      </c>
      <c r="C1408" s="49" t="str">
        <f t="shared" si="2"/>
        <v>S16448IS1</v>
      </c>
      <c r="D1408" s="6">
        <v>39.0</v>
      </c>
      <c r="E1408" s="10" t="str">
        <f t="shared" si="3"/>
        <v>BIS39</v>
      </c>
      <c r="F1408" s="13">
        <v>65.0</v>
      </c>
      <c r="G1408" s="10" t="str">
        <f t="shared" si="8"/>
        <v>BIS39-65</v>
      </c>
      <c r="H1408" s="16"/>
      <c r="I1408" s="16" t="str">
        <f t="shared" si="5"/>
        <v>collected</v>
      </c>
      <c r="J1408" s="16" t="str">
        <f t="shared" si="6"/>
        <v>N</v>
      </c>
      <c r="K1408" s="16"/>
      <c r="L1408" s="16"/>
    </row>
    <row r="1409">
      <c r="A1409" s="40" t="s">
        <v>1948</v>
      </c>
      <c r="B1409" s="10" t="str">
        <f t="shared" si="1"/>
        <v>isotope</v>
      </c>
      <c r="C1409" s="49" t="str">
        <f t="shared" si="2"/>
        <v>S16449IS1</v>
      </c>
      <c r="D1409" s="6">
        <v>39.0</v>
      </c>
      <c r="E1409" s="10" t="str">
        <f t="shared" si="3"/>
        <v>BIS39</v>
      </c>
      <c r="F1409" s="13">
        <v>66.0</v>
      </c>
      <c r="G1409" s="10" t="str">
        <f t="shared" si="8"/>
        <v>BIS39-66</v>
      </c>
      <c r="H1409" s="16"/>
      <c r="I1409" s="16" t="str">
        <f t="shared" si="5"/>
        <v>collected</v>
      </c>
      <c r="J1409" s="16" t="str">
        <f t="shared" si="6"/>
        <v>N</v>
      </c>
      <c r="K1409" s="16"/>
      <c r="L1409" s="16"/>
    </row>
    <row r="1410">
      <c r="A1410" s="40" t="s">
        <v>1949</v>
      </c>
      <c r="B1410" s="10" t="str">
        <f t="shared" si="1"/>
        <v>isotope</v>
      </c>
      <c r="C1410" s="49" t="str">
        <f t="shared" si="2"/>
        <v>S16478IS1</v>
      </c>
      <c r="D1410" s="6">
        <v>39.0</v>
      </c>
      <c r="E1410" s="10" t="str">
        <f t="shared" si="3"/>
        <v>BIS39</v>
      </c>
      <c r="F1410" s="13">
        <v>67.0</v>
      </c>
      <c r="G1410" s="10" t="str">
        <f t="shared" si="8"/>
        <v>BIS39-67</v>
      </c>
      <c r="H1410" s="16"/>
      <c r="I1410" s="16" t="str">
        <f t="shared" si="5"/>
        <v>collected</v>
      </c>
      <c r="J1410" s="16" t="str">
        <f t="shared" si="6"/>
        <v>N</v>
      </c>
      <c r="K1410" s="16"/>
      <c r="L1410" s="16"/>
    </row>
    <row r="1411">
      <c r="A1411" s="40" t="s">
        <v>1950</v>
      </c>
      <c r="B1411" s="10" t="str">
        <f t="shared" si="1"/>
        <v>isotope</v>
      </c>
      <c r="C1411" s="49" t="str">
        <f t="shared" si="2"/>
        <v>S16477IS1</v>
      </c>
      <c r="D1411" s="6">
        <v>39.0</v>
      </c>
      <c r="E1411" s="10" t="str">
        <f t="shared" si="3"/>
        <v>BIS39</v>
      </c>
      <c r="F1411" s="13">
        <v>68.0</v>
      </c>
      <c r="G1411" s="10" t="str">
        <f t="shared" si="8"/>
        <v>BIS39-68</v>
      </c>
      <c r="H1411" s="16"/>
      <c r="I1411" s="16" t="str">
        <f t="shared" si="5"/>
        <v>collected</v>
      </c>
      <c r="J1411" s="16" t="str">
        <f t="shared" si="6"/>
        <v>N</v>
      </c>
      <c r="K1411" s="16"/>
      <c r="L1411" s="16"/>
    </row>
    <row r="1412">
      <c r="A1412" s="40" t="s">
        <v>1951</v>
      </c>
      <c r="B1412" s="10" t="str">
        <f t="shared" si="1"/>
        <v>isotope</v>
      </c>
      <c r="C1412" s="49" t="str">
        <f t="shared" si="2"/>
        <v>S16476IS1</v>
      </c>
      <c r="D1412" s="6">
        <v>39.0</v>
      </c>
      <c r="E1412" s="10" t="str">
        <f t="shared" si="3"/>
        <v>BIS39</v>
      </c>
      <c r="F1412" s="13">
        <v>69.0</v>
      </c>
      <c r="G1412" s="10" t="str">
        <f t="shared" si="8"/>
        <v>BIS39-69</v>
      </c>
      <c r="H1412" s="16"/>
      <c r="I1412" s="16" t="str">
        <f t="shared" si="5"/>
        <v>collected</v>
      </c>
      <c r="J1412" s="16" t="str">
        <f t="shared" si="6"/>
        <v>N</v>
      </c>
      <c r="K1412" s="16"/>
      <c r="L1412" s="16"/>
    </row>
    <row r="1413">
      <c r="A1413" s="40" t="s">
        <v>1952</v>
      </c>
      <c r="B1413" s="10" t="str">
        <f t="shared" si="1"/>
        <v>isotope</v>
      </c>
      <c r="C1413" s="49" t="str">
        <f t="shared" si="2"/>
        <v>S16475IS1</v>
      </c>
      <c r="D1413" s="6">
        <v>39.0</v>
      </c>
      <c r="E1413" s="10" t="str">
        <f t="shared" si="3"/>
        <v>BIS39</v>
      </c>
      <c r="F1413" s="13">
        <v>70.0</v>
      </c>
      <c r="G1413" s="10" t="str">
        <f t="shared" si="8"/>
        <v>BIS39-70</v>
      </c>
      <c r="H1413" s="16"/>
      <c r="I1413" s="16" t="str">
        <f t="shared" si="5"/>
        <v>collected</v>
      </c>
      <c r="J1413" s="16" t="str">
        <f t="shared" si="6"/>
        <v>N</v>
      </c>
      <c r="K1413" s="16"/>
      <c r="L1413" s="16"/>
    </row>
    <row r="1414">
      <c r="A1414" s="40" t="s">
        <v>1953</v>
      </c>
      <c r="B1414" s="10" t="str">
        <f t="shared" si="1"/>
        <v>isotope</v>
      </c>
      <c r="C1414" s="49" t="str">
        <f t="shared" si="2"/>
        <v>S17305IS1</v>
      </c>
      <c r="D1414" s="6">
        <v>40.0</v>
      </c>
      <c r="E1414" s="10" t="str">
        <f t="shared" si="3"/>
        <v>BIS40</v>
      </c>
      <c r="F1414" s="13">
        <v>25.0</v>
      </c>
      <c r="G1414" s="10" t="str">
        <f t="shared" si="8"/>
        <v>BIS40-25</v>
      </c>
      <c r="H1414" s="16"/>
      <c r="I1414" s="16" t="str">
        <f t="shared" si="5"/>
        <v>collected</v>
      </c>
      <c r="J1414" s="16" t="str">
        <f t="shared" si="6"/>
        <v>N</v>
      </c>
      <c r="K1414" s="16"/>
      <c r="L1414" s="16"/>
    </row>
    <row r="1415">
      <c r="A1415" s="40" t="s">
        <v>1954</v>
      </c>
      <c r="B1415" s="10" t="str">
        <f t="shared" si="1"/>
        <v>isotope</v>
      </c>
      <c r="C1415" s="49" t="str">
        <f t="shared" si="2"/>
        <v>S17308IS1</v>
      </c>
      <c r="D1415" s="6">
        <v>40.0</v>
      </c>
      <c r="E1415" s="10" t="str">
        <f t="shared" si="3"/>
        <v>BIS40</v>
      </c>
      <c r="F1415" s="13">
        <v>26.0</v>
      </c>
      <c r="G1415" s="10" t="str">
        <f t="shared" si="8"/>
        <v>BIS40-26</v>
      </c>
      <c r="H1415" s="16"/>
      <c r="I1415" s="16" t="str">
        <f t="shared" si="5"/>
        <v>collected</v>
      </c>
      <c r="J1415" s="16" t="str">
        <f t="shared" si="6"/>
        <v>N</v>
      </c>
      <c r="K1415" s="16"/>
      <c r="L1415" s="16"/>
    </row>
    <row r="1416">
      <c r="A1416" s="40" t="s">
        <v>1955</v>
      </c>
      <c r="B1416" s="10" t="str">
        <f t="shared" si="1"/>
        <v>isotope</v>
      </c>
      <c r="C1416" s="49" t="str">
        <f t="shared" si="2"/>
        <v>S17309IS1</v>
      </c>
      <c r="D1416" s="6">
        <v>40.0</v>
      </c>
      <c r="E1416" s="10" t="str">
        <f t="shared" si="3"/>
        <v>BIS40</v>
      </c>
      <c r="F1416" s="13">
        <v>27.0</v>
      </c>
      <c r="G1416" s="10" t="str">
        <f t="shared" si="8"/>
        <v>BIS40-27</v>
      </c>
      <c r="H1416" s="16"/>
      <c r="I1416" s="16" t="str">
        <f t="shared" si="5"/>
        <v>collected</v>
      </c>
      <c r="J1416" s="16" t="str">
        <f t="shared" si="6"/>
        <v>N</v>
      </c>
      <c r="K1416" s="16"/>
      <c r="L1416" s="16"/>
    </row>
    <row r="1417">
      <c r="A1417" s="40" t="s">
        <v>1956</v>
      </c>
      <c r="B1417" s="10" t="str">
        <f t="shared" si="1"/>
        <v>isotope</v>
      </c>
      <c r="C1417" s="49" t="str">
        <f t="shared" si="2"/>
        <v>S17310IS1</v>
      </c>
      <c r="D1417" s="6">
        <v>40.0</v>
      </c>
      <c r="E1417" s="10" t="str">
        <f t="shared" si="3"/>
        <v>BIS40</v>
      </c>
      <c r="F1417" s="13">
        <v>28.0</v>
      </c>
      <c r="G1417" s="10" t="str">
        <f t="shared" si="8"/>
        <v>BIS40-28</v>
      </c>
      <c r="H1417" s="16"/>
      <c r="I1417" s="16" t="str">
        <f t="shared" si="5"/>
        <v>collected</v>
      </c>
      <c r="J1417" s="16" t="str">
        <f t="shared" si="6"/>
        <v>N</v>
      </c>
      <c r="K1417" s="16"/>
      <c r="L1417" s="16"/>
    </row>
    <row r="1418">
      <c r="A1418" s="40" t="s">
        <v>1957</v>
      </c>
      <c r="B1418" s="10" t="str">
        <f t="shared" si="1"/>
        <v>isotope</v>
      </c>
      <c r="C1418" s="49" t="str">
        <f t="shared" si="2"/>
        <v>S17302IS1</v>
      </c>
      <c r="D1418" s="6">
        <v>40.0</v>
      </c>
      <c r="E1418" s="10" t="str">
        <f t="shared" si="3"/>
        <v>BIS40</v>
      </c>
      <c r="F1418" s="13">
        <v>29.0</v>
      </c>
      <c r="G1418" s="10" t="str">
        <f t="shared" si="8"/>
        <v>BIS40-29</v>
      </c>
      <c r="H1418" s="16"/>
      <c r="I1418" s="16" t="str">
        <f t="shared" si="5"/>
        <v>collected</v>
      </c>
      <c r="J1418" s="16" t="str">
        <f t="shared" si="6"/>
        <v>N</v>
      </c>
      <c r="K1418" s="16"/>
      <c r="L1418" s="16"/>
    </row>
    <row r="1419">
      <c r="A1419" s="40" t="s">
        <v>1958</v>
      </c>
      <c r="B1419" s="10" t="str">
        <f t="shared" si="1"/>
        <v>isotope</v>
      </c>
      <c r="C1419" s="49" t="str">
        <f t="shared" si="2"/>
        <v>S17301IS1</v>
      </c>
      <c r="D1419" s="6">
        <v>40.0</v>
      </c>
      <c r="E1419" s="10" t="str">
        <f t="shared" si="3"/>
        <v>BIS40</v>
      </c>
      <c r="F1419" s="13">
        <v>30.0</v>
      </c>
      <c r="G1419" s="10" t="str">
        <f t="shared" si="8"/>
        <v>BIS40-30</v>
      </c>
      <c r="H1419" s="16"/>
      <c r="I1419" s="16" t="str">
        <f t="shared" si="5"/>
        <v>collected</v>
      </c>
      <c r="J1419" s="16" t="str">
        <f t="shared" si="6"/>
        <v>N</v>
      </c>
      <c r="K1419" s="16"/>
      <c r="L1419" s="16"/>
    </row>
    <row r="1420">
      <c r="A1420" s="40" t="s">
        <v>1959</v>
      </c>
      <c r="B1420" s="10" t="str">
        <f t="shared" si="1"/>
        <v>isotope</v>
      </c>
      <c r="C1420" s="49" t="str">
        <f t="shared" si="2"/>
        <v>S17307IS1</v>
      </c>
      <c r="D1420" s="6">
        <v>40.0</v>
      </c>
      <c r="E1420" s="10" t="str">
        <f t="shared" si="3"/>
        <v>BIS40</v>
      </c>
      <c r="F1420" s="13">
        <v>31.0</v>
      </c>
      <c r="G1420" s="10" t="str">
        <f t="shared" si="8"/>
        <v>BIS40-31</v>
      </c>
      <c r="H1420" s="16"/>
      <c r="I1420" s="16" t="str">
        <f t="shared" si="5"/>
        <v>collected</v>
      </c>
      <c r="J1420" s="16" t="str">
        <f t="shared" si="6"/>
        <v>N</v>
      </c>
      <c r="K1420" s="16"/>
      <c r="L1420" s="16"/>
    </row>
    <row r="1421">
      <c r="A1421" s="40" t="s">
        <v>1960</v>
      </c>
      <c r="B1421" s="10" t="str">
        <f t="shared" si="1"/>
        <v>isotope</v>
      </c>
      <c r="C1421" s="49" t="str">
        <f t="shared" si="2"/>
        <v>S17303IS1</v>
      </c>
      <c r="D1421" s="6">
        <v>40.0</v>
      </c>
      <c r="E1421" s="10" t="str">
        <f t="shared" si="3"/>
        <v>BIS40</v>
      </c>
      <c r="F1421" s="13">
        <v>32.0</v>
      </c>
      <c r="G1421" s="10" t="str">
        <f t="shared" si="8"/>
        <v>BIS40-32</v>
      </c>
      <c r="H1421" s="16"/>
      <c r="I1421" s="16" t="str">
        <f t="shared" si="5"/>
        <v>collected</v>
      </c>
      <c r="J1421" s="16" t="str">
        <f t="shared" si="6"/>
        <v>N</v>
      </c>
      <c r="K1421" s="16"/>
      <c r="L1421" s="16"/>
    </row>
    <row r="1422">
      <c r="A1422" s="40" t="s">
        <v>1961</v>
      </c>
      <c r="B1422" s="10" t="str">
        <f t="shared" si="1"/>
        <v>isotope</v>
      </c>
      <c r="C1422" s="49" t="str">
        <f t="shared" si="2"/>
        <v>S17306IS1</v>
      </c>
      <c r="D1422" s="6">
        <v>40.0</v>
      </c>
      <c r="E1422" s="10" t="str">
        <f t="shared" si="3"/>
        <v>BIS40</v>
      </c>
      <c r="F1422" s="13">
        <v>33.0</v>
      </c>
      <c r="G1422" s="10" t="str">
        <f t="shared" si="8"/>
        <v>BIS40-33</v>
      </c>
      <c r="H1422" s="16"/>
      <c r="I1422" s="16" t="str">
        <f t="shared" si="5"/>
        <v>collected</v>
      </c>
      <c r="J1422" s="16" t="str">
        <f t="shared" si="6"/>
        <v>N</v>
      </c>
      <c r="K1422" s="16"/>
      <c r="L1422" s="16"/>
    </row>
    <row r="1423">
      <c r="A1423" s="40" t="s">
        <v>1962</v>
      </c>
      <c r="B1423" s="10" t="str">
        <f t="shared" si="1"/>
        <v>isotope</v>
      </c>
      <c r="C1423" s="49" t="str">
        <f t="shared" si="2"/>
        <v>S17304IS1</v>
      </c>
      <c r="D1423" s="6">
        <v>40.0</v>
      </c>
      <c r="E1423" s="10" t="str">
        <f t="shared" si="3"/>
        <v>BIS40</v>
      </c>
      <c r="F1423" s="13">
        <v>34.0</v>
      </c>
      <c r="G1423" s="10" t="str">
        <f t="shared" si="8"/>
        <v>BIS40-34</v>
      </c>
      <c r="H1423" s="16"/>
      <c r="I1423" s="16" t="str">
        <f t="shared" si="5"/>
        <v>collected</v>
      </c>
      <c r="J1423" s="16" t="str">
        <f t="shared" si="6"/>
        <v>N</v>
      </c>
      <c r="K1423" s="16"/>
      <c r="L1423" s="16"/>
    </row>
    <row r="1424">
      <c r="A1424" s="40" t="s">
        <v>1963</v>
      </c>
      <c r="B1424" s="10" t="str">
        <f t="shared" si="1"/>
        <v>isotope</v>
      </c>
      <c r="C1424" s="49" t="str">
        <f t="shared" si="2"/>
        <v>S17471IS1</v>
      </c>
      <c r="D1424" s="6">
        <v>40.0</v>
      </c>
      <c r="E1424" s="10" t="str">
        <f t="shared" si="3"/>
        <v>BIS40</v>
      </c>
      <c r="F1424" s="13">
        <v>35.0</v>
      </c>
      <c r="G1424" s="10" t="str">
        <f t="shared" si="8"/>
        <v>BIS40-35</v>
      </c>
      <c r="H1424" s="16"/>
      <c r="I1424" s="16" t="str">
        <f t="shared" si="5"/>
        <v>collected</v>
      </c>
      <c r="J1424" s="16" t="str">
        <f t="shared" si="6"/>
        <v>N</v>
      </c>
      <c r="K1424" s="16"/>
      <c r="L1424" s="16"/>
    </row>
    <row r="1425">
      <c r="A1425" s="40" t="s">
        <v>1964</v>
      </c>
      <c r="B1425" s="10" t="str">
        <f t="shared" si="1"/>
        <v>isotope</v>
      </c>
      <c r="C1425" s="49" t="str">
        <f t="shared" si="2"/>
        <v>S17480IS1</v>
      </c>
      <c r="D1425" s="6">
        <v>40.0</v>
      </c>
      <c r="E1425" s="10" t="str">
        <f t="shared" si="3"/>
        <v>BIS40</v>
      </c>
      <c r="F1425" s="13">
        <v>36.0</v>
      </c>
      <c r="G1425" s="10" t="str">
        <f t="shared" si="8"/>
        <v>BIS40-36</v>
      </c>
      <c r="H1425" s="16"/>
      <c r="I1425" s="16" t="str">
        <f t="shared" si="5"/>
        <v>collected</v>
      </c>
      <c r="J1425" s="16" t="str">
        <f t="shared" si="6"/>
        <v>N</v>
      </c>
      <c r="K1425" s="16"/>
      <c r="L1425" s="16"/>
    </row>
    <row r="1426">
      <c r="A1426" s="40" t="s">
        <v>1965</v>
      </c>
      <c r="B1426" s="10" t="str">
        <f t="shared" si="1"/>
        <v>isotope</v>
      </c>
      <c r="C1426" s="49" t="str">
        <f t="shared" si="2"/>
        <v>S17472IS1</v>
      </c>
      <c r="D1426" s="6">
        <v>40.0</v>
      </c>
      <c r="E1426" s="10" t="str">
        <f t="shared" si="3"/>
        <v>BIS40</v>
      </c>
      <c r="F1426" s="13">
        <v>37.0</v>
      </c>
      <c r="G1426" s="10" t="str">
        <f t="shared" si="8"/>
        <v>BIS40-37</v>
      </c>
      <c r="H1426" s="16"/>
      <c r="I1426" s="16" t="str">
        <f t="shared" si="5"/>
        <v>collected</v>
      </c>
      <c r="J1426" s="16" t="str">
        <f t="shared" si="6"/>
        <v>N</v>
      </c>
      <c r="K1426" s="16"/>
      <c r="L1426" s="16"/>
    </row>
    <row r="1427">
      <c r="A1427" s="40" t="s">
        <v>1966</v>
      </c>
      <c r="B1427" s="10" t="str">
        <f t="shared" si="1"/>
        <v>isotope</v>
      </c>
      <c r="C1427" s="49" t="str">
        <f t="shared" si="2"/>
        <v>S17479IS1</v>
      </c>
      <c r="D1427" s="6">
        <v>40.0</v>
      </c>
      <c r="E1427" s="10" t="str">
        <f t="shared" si="3"/>
        <v>BIS40</v>
      </c>
      <c r="F1427" s="13">
        <v>38.0</v>
      </c>
      <c r="G1427" s="10" t="str">
        <f t="shared" si="8"/>
        <v>BIS40-38</v>
      </c>
      <c r="H1427" s="16"/>
      <c r="I1427" s="16" t="str">
        <f t="shared" si="5"/>
        <v>collected</v>
      </c>
      <c r="J1427" s="16" t="str">
        <f t="shared" si="6"/>
        <v>N</v>
      </c>
      <c r="K1427" s="16"/>
      <c r="L1427" s="16"/>
    </row>
    <row r="1428">
      <c r="A1428" s="40" t="s">
        <v>1967</v>
      </c>
      <c r="B1428" s="10" t="str">
        <f t="shared" si="1"/>
        <v>isotope</v>
      </c>
      <c r="C1428" s="49" t="str">
        <f t="shared" si="2"/>
        <v>S17478IS1</v>
      </c>
      <c r="D1428" s="6">
        <v>40.0</v>
      </c>
      <c r="E1428" s="10" t="str">
        <f t="shared" si="3"/>
        <v>BIS40</v>
      </c>
      <c r="F1428" s="13">
        <v>39.0</v>
      </c>
      <c r="G1428" s="10" t="str">
        <f t="shared" si="8"/>
        <v>BIS40-39</v>
      </c>
      <c r="H1428" s="16"/>
      <c r="I1428" s="16" t="str">
        <f t="shared" si="5"/>
        <v>collected</v>
      </c>
      <c r="J1428" s="16" t="str">
        <f t="shared" si="6"/>
        <v>N</v>
      </c>
      <c r="K1428" s="16"/>
      <c r="L1428" s="16"/>
    </row>
    <row r="1429">
      <c r="A1429" s="40" t="s">
        <v>1968</v>
      </c>
      <c r="B1429" s="10" t="str">
        <f t="shared" si="1"/>
        <v>isotope</v>
      </c>
      <c r="C1429" s="49" t="str">
        <f t="shared" si="2"/>
        <v>S17475IS1</v>
      </c>
      <c r="D1429" s="6">
        <v>40.0</v>
      </c>
      <c r="E1429" s="10" t="str">
        <f t="shared" si="3"/>
        <v>BIS40</v>
      </c>
      <c r="F1429" s="13">
        <v>40.0</v>
      </c>
      <c r="G1429" s="10" t="str">
        <f t="shared" si="8"/>
        <v>BIS40-40</v>
      </c>
      <c r="H1429" s="16"/>
      <c r="I1429" s="16" t="str">
        <f t="shared" si="5"/>
        <v>collected</v>
      </c>
      <c r="J1429" s="16" t="str">
        <f t="shared" si="6"/>
        <v>N</v>
      </c>
      <c r="K1429" s="16"/>
      <c r="L1429" s="16"/>
    </row>
    <row r="1430">
      <c r="A1430" s="40" t="s">
        <v>1969</v>
      </c>
      <c r="B1430" s="10" t="str">
        <f t="shared" si="1"/>
        <v>isotope</v>
      </c>
      <c r="C1430" s="49" t="str">
        <f t="shared" si="2"/>
        <v>S17473IS1</v>
      </c>
      <c r="D1430" s="6">
        <v>40.0</v>
      </c>
      <c r="E1430" s="10" t="str">
        <f t="shared" si="3"/>
        <v>BIS40</v>
      </c>
      <c r="F1430" s="13">
        <v>41.0</v>
      </c>
      <c r="G1430" s="10" t="str">
        <f t="shared" si="8"/>
        <v>BIS40-41</v>
      </c>
      <c r="H1430" s="16"/>
      <c r="I1430" s="16" t="str">
        <f t="shared" si="5"/>
        <v>collected</v>
      </c>
      <c r="J1430" s="16" t="str">
        <f t="shared" si="6"/>
        <v>N</v>
      </c>
      <c r="K1430" s="16"/>
      <c r="L1430" s="16"/>
    </row>
    <row r="1431">
      <c r="A1431" s="40" t="s">
        <v>1970</v>
      </c>
      <c r="B1431" s="10" t="str">
        <f t="shared" si="1"/>
        <v>isotope</v>
      </c>
      <c r="C1431" s="49" t="str">
        <f t="shared" si="2"/>
        <v>S17474IS1</v>
      </c>
      <c r="D1431" s="6">
        <v>40.0</v>
      </c>
      <c r="E1431" s="10" t="str">
        <f t="shared" si="3"/>
        <v>BIS40</v>
      </c>
      <c r="F1431" s="13">
        <v>42.0</v>
      </c>
      <c r="G1431" s="10" t="str">
        <f t="shared" si="8"/>
        <v>BIS40-42</v>
      </c>
      <c r="H1431" s="16"/>
      <c r="I1431" s="16" t="str">
        <f t="shared" si="5"/>
        <v>collected</v>
      </c>
      <c r="J1431" s="16" t="str">
        <f t="shared" si="6"/>
        <v>N</v>
      </c>
      <c r="K1431" s="16"/>
      <c r="L1431" s="16"/>
    </row>
    <row r="1432">
      <c r="A1432" s="40" t="s">
        <v>1971</v>
      </c>
      <c r="B1432" s="10" t="str">
        <f t="shared" si="1"/>
        <v>isotope</v>
      </c>
      <c r="C1432" s="49" t="str">
        <f t="shared" si="2"/>
        <v>S17477IS1</v>
      </c>
      <c r="D1432" s="6">
        <v>40.0</v>
      </c>
      <c r="E1432" s="10" t="str">
        <f t="shared" si="3"/>
        <v>BIS40</v>
      </c>
      <c r="F1432" s="13">
        <v>43.0</v>
      </c>
      <c r="G1432" s="10" t="str">
        <f t="shared" si="8"/>
        <v>BIS40-43</v>
      </c>
      <c r="H1432" s="16"/>
      <c r="I1432" s="16" t="str">
        <f t="shared" si="5"/>
        <v>collected</v>
      </c>
      <c r="J1432" s="16" t="str">
        <f t="shared" si="6"/>
        <v>N</v>
      </c>
      <c r="K1432" s="16"/>
      <c r="L1432" s="16"/>
    </row>
    <row r="1433">
      <c r="A1433" s="40" t="s">
        <v>1972</v>
      </c>
      <c r="B1433" s="10" t="str">
        <f t="shared" si="1"/>
        <v>isotope</v>
      </c>
      <c r="C1433" s="49" t="str">
        <f t="shared" si="2"/>
        <v>S17476IS1</v>
      </c>
      <c r="D1433" s="6">
        <v>40.0</v>
      </c>
      <c r="E1433" s="10" t="str">
        <f t="shared" si="3"/>
        <v>BIS40</v>
      </c>
      <c r="F1433" s="13">
        <v>44.0</v>
      </c>
      <c r="G1433" s="10" t="str">
        <f t="shared" si="8"/>
        <v>BIS40-44</v>
      </c>
      <c r="H1433" s="16"/>
      <c r="I1433" s="16" t="str">
        <f t="shared" si="5"/>
        <v>collected</v>
      </c>
      <c r="J1433" s="16" t="str">
        <f t="shared" si="6"/>
        <v>N</v>
      </c>
      <c r="K1433" s="16"/>
      <c r="L1433" s="16"/>
    </row>
    <row r="1434">
      <c r="A1434" s="40" t="s">
        <v>1973</v>
      </c>
      <c r="B1434" s="10" t="str">
        <f t="shared" si="1"/>
        <v>isotope</v>
      </c>
      <c r="C1434" s="49" t="str">
        <f t="shared" si="2"/>
        <v>S17209IS1</v>
      </c>
      <c r="D1434" s="6">
        <v>40.0</v>
      </c>
      <c r="E1434" s="10" t="str">
        <f t="shared" si="3"/>
        <v>BIS40</v>
      </c>
      <c r="F1434" s="13">
        <v>45.0</v>
      </c>
      <c r="G1434" s="10" t="str">
        <f t="shared" si="8"/>
        <v>BIS40-45</v>
      </c>
      <c r="H1434" s="16"/>
      <c r="I1434" s="16" t="str">
        <f t="shared" si="5"/>
        <v>collected</v>
      </c>
      <c r="J1434" s="16" t="str">
        <f t="shared" si="6"/>
        <v>N</v>
      </c>
      <c r="K1434" s="16"/>
      <c r="L1434" s="16"/>
    </row>
    <row r="1435">
      <c r="A1435" s="40" t="s">
        <v>1974</v>
      </c>
      <c r="B1435" s="10" t="str">
        <f t="shared" si="1"/>
        <v>isotope</v>
      </c>
      <c r="C1435" s="49" t="str">
        <f t="shared" si="2"/>
        <v>S17207IS1</v>
      </c>
      <c r="D1435" s="6">
        <v>40.0</v>
      </c>
      <c r="E1435" s="10" t="str">
        <f t="shared" si="3"/>
        <v>BIS40</v>
      </c>
      <c r="F1435" s="13">
        <v>46.0</v>
      </c>
      <c r="G1435" s="10" t="str">
        <f t="shared" si="8"/>
        <v>BIS40-46</v>
      </c>
      <c r="H1435" s="16"/>
      <c r="I1435" s="16" t="str">
        <f t="shared" si="5"/>
        <v>collected</v>
      </c>
      <c r="J1435" s="16" t="str">
        <f t="shared" si="6"/>
        <v>N</v>
      </c>
      <c r="K1435" s="16"/>
      <c r="L1435" s="16"/>
    </row>
    <row r="1436">
      <c r="A1436" s="40" t="s">
        <v>1975</v>
      </c>
      <c r="B1436" s="10" t="str">
        <f t="shared" si="1"/>
        <v>isotope</v>
      </c>
      <c r="C1436" s="49" t="str">
        <f t="shared" si="2"/>
        <v>S17208IS1</v>
      </c>
      <c r="D1436" s="6">
        <v>40.0</v>
      </c>
      <c r="E1436" s="10" t="str">
        <f t="shared" si="3"/>
        <v>BIS40</v>
      </c>
      <c r="F1436" s="13">
        <v>47.0</v>
      </c>
      <c r="G1436" s="10" t="str">
        <f t="shared" si="8"/>
        <v>BIS40-47</v>
      </c>
      <c r="H1436" s="16"/>
      <c r="I1436" s="16" t="str">
        <f t="shared" si="5"/>
        <v>collected</v>
      </c>
      <c r="J1436" s="16" t="str">
        <f t="shared" si="6"/>
        <v>N</v>
      </c>
      <c r="K1436" s="16"/>
      <c r="L1436" s="16"/>
    </row>
    <row r="1437">
      <c r="A1437" s="40" t="s">
        <v>1976</v>
      </c>
      <c r="B1437" s="10" t="str">
        <f t="shared" si="1"/>
        <v>isotope</v>
      </c>
      <c r="C1437" s="49" t="str">
        <f t="shared" si="2"/>
        <v>S17205IS1</v>
      </c>
      <c r="D1437" s="6">
        <v>40.0</v>
      </c>
      <c r="E1437" s="10" t="str">
        <f t="shared" si="3"/>
        <v>BIS40</v>
      </c>
      <c r="F1437" s="13">
        <v>48.0</v>
      </c>
      <c r="G1437" s="10" t="str">
        <f t="shared" si="8"/>
        <v>BIS40-48</v>
      </c>
      <c r="H1437" s="16"/>
      <c r="I1437" s="16" t="str">
        <f t="shared" si="5"/>
        <v>collected</v>
      </c>
      <c r="J1437" s="16" t="str">
        <f t="shared" si="6"/>
        <v>N</v>
      </c>
      <c r="K1437" s="16"/>
      <c r="L1437" s="16"/>
    </row>
    <row r="1438">
      <c r="A1438" s="40" t="s">
        <v>1977</v>
      </c>
      <c r="B1438" s="10" t="str">
        <f t="shared" si="1"/>
        <v>isotope</v>
      </c>
      <c r="C1438" s="49" t="str">
        <f t="shared" si="2"/>
        <v>S17206IS1</v>
      </c>
      <c r="D1438" s="6">
        <v>40.0</v>
      </c>
      <c r="E1438" s="10" t="str">
        <f t="shared" si="3"/>
        <v>BIS40</v>
      </c>
      <c r="F1438" s="13">
        <v>49.0</v>
      </c>
      <c r="G1438" s="10" t="str">
        <f t="shared" si="8"/>
        <v>BIS40-49</v>
      </c>
      <c r="H1438" s="16"/>
      <c r="I1438" s="16" t="str">
        <f t="shared" si="5"/>
        <v>collected</v>
      </c>
      <c r="J1438" s="16" t="str">
        <f t="shared" si="6"/>
        <v>N</v>
      </c>
      <c r="K1438" s="16"/>
      <c r="L1438" s="16"/>
    </row>
    <row r="1439">
      <c r="A1439" s="40" t="s">
        <v>1978</v>
      </c>
      <c r="B1439" s="10" t="str">
        <f t="shared" si="1"/>
        <v>isotope</v>
      </c>
      <c r="C1439" s="49" t="str">
        <f t="shared" si="2"/>
        <v>S17202IS1</v>
      </c>
      <c r="D1439" s="6">
        <v>40.0</v>
      </c>
      <c r="E1439" s="10" t="str">
        <f t="shared" si="3"/>
        <v>BIS40</v>
      </c>
      <c r="F1439" s="13">
        <v>50.0</v>
      </c>
      <c r="G1439" s="10" t="str">
        <f t="shared" si="8"/>
        <v>BIS40-50</v>
      </c>
      <c r="H1439" s="16"/>
      <c r="I1439" s="16" t="str">
        <f t="shared" si="5"/>
        <v>collected</v>
      </c>
      <c r="J1439" s="16" t="str">
        <f t="shared" si="6"/>
        <v>N</v>
      </c>
      <c r="K1439" s="16"/>
      <c r="L1439" s="16"/>
    </row>
    <row r="1440">
      <c r="A1440" s="40" t="s">
        <v>1979</v>
      </c>
      <c r="B1440" s="10" t="str">
        <f t="shared" si="1"/>
        <v>isotope</v>
      </c>
      <c r="C1440" s="49" t="str">
        <f t="shared" si="2"/>
        <v>S17201IS1</v>
      </c>
      <c r="D1440" s="6">
        <v>40.0</v>
      </c>
      <c r="E1440" s="10" t="str">
        <f t="shared" si="3"/>
        <v>BIS40</v>
      </c>
      <c r="F1440" s="13">
        <v>51.0</v>
      </c>
      <c r="G1440" s="10" t="str">
        <f t="shared" si="8"/>
        <v>BIS40-51</v>
      </c>
      <c r="H1440" s="16"/>
      <c r="I1440" s="16" t="str">
        <f t="shared" si="5"/>
        <v>collected</v>
      </c>
      <c r="J1440" s="16" t="str">
        <f t="shared" si="6"/>
        <v>N</v>
      </c>
      <c r="K1440" s="16"/>
      <c r="L1440" s="16"/>
    </row>
    <row r="1441">
      <c r="A1441" s="40" t="s">
        <v>1980</v>
      </c>
      <c r="B1441" s="10" t="str">
        <f t="shared" si="1"/>
        <v>isotope</v>
      </c>
      <c r="C1441" s="49" t="str">
        <f t="shared" si="2"/>
        <v>S17203IS1</v>
      </c>
      <c r="D1441" s="6">
        <v>40.0</v>
      </c>
      <c r="E1441" s="10" t="str">
        <f t="shared" si="3"/>
        <v>BIS40</v>
      </c>
      <c r="F1441" s="13">
        <v>52.0</v>
      </c>
      <c r="G1441" s="10" t="str">
        <f t="shared" si="8"/>
        <v>BIS40-52</v>
      </c>
      <c r="H1441" s="16"/>
      <c r="I1441" s="16" t="str">
        <f t="shared" si="5"/>
        <v>collected</v>
      </c>
      <c r="J1441" s="16" t="str">
        <f t="shared" si="6"/>
        <v>N</v>
      </c>
      <c r="K1441" s="16"/>
      <c r="L1441" s="16"/>
    </row>
    <row r="1442">
      <c r="A1442" s="40" t="s">
        <v>1981</v>
      </c>
      <c r="B1442" s="10" t="str">
        <f t="shared" si="1"/>
        <v>isotope</v>
      </c>
      <c r="C1442" s="49" t="str">
        <f t="shared" si="2"/>
        <v>S17204IS1</v>
      </c>
      <c r="D1442" s="6">
        <v>40.0</v>
      </c>
      <c r="E1442" s="10" t="str">
        <f t="shared" si="3"/>
        <v>BIS40</v>
      </c>
      <c r="F1442" s="13">
        <v>53.0</v>
      </c>
      <c r="G1442" s="10" t="str">
        <f t="shared" si="8"/>
        <v>BIS40-53</v>
      </c>
      <c r="H1442" s="16"/>
      <c r="I1442" s="16" t="str">
        <f t="shared" si="5"/>
        <v>collected</v>
      </c>
      <c r="J1442" s="16" t="str">
        <f t="shared" si="6"/>
        <v>N</v>
      </c>
      <c r="K1442" s="16"/>
      <c r="L1442" s="16"/>
    </row>
    <row r="1443">
      <c r="A1443" s="40" t="s">
        <v>1982</v>
      </c>
      <c r="B1443" s="10" t="str">
        <f t="shared" si="1"/>
        <v>isotope</v>
      </c>
      <c r="C1443" s="49" t="str">
        <f t="shared" si="2"/>
        <v>S17210IS1</v>
      </c>
      <c r="D1443" s="6">
        <v>40.0</v>
      </c>
      <c r="E1443" s="10" t="str">
        <f t="shared" si="3"/>
        <v>BIS40</v>
      </c>
      <c r="F1443" s="13">
        <v>54.0</v>
      </c>
      <c r="G1443" s="10" t="str">
        <f t="shared" si="8"/>
        <v>BIS40-54</v>
      </c>
      <c r="H1443" s="16"/>
      <c r="I1443" s="16" t="str">
        <f t="shared" si="5"/>
        <v>collected</v>
      </c>
      <c r="J1443" s="16" t="str">
        <f t="shared" si="6"/>
        <v>N</v>
      </c>
      <c r="K1443" s="16"/>
      <c r="L1443" s="16"/>
    </row>
    <row r="1444">
      <c r="A1444" s="40" t="s">
        <v>1983</v>
      </c>
      <c r="B1444" s="10" t="str">
        <f t="shared" si="1"/>
        <v>isotope</v>
      </c>
      <c r="C1444" s="49" t="str">
        <f t="shared" si="2"/>
        <v>S17491IS1</v>
      </c>
      <c r="D1444" s="6">
        <v>40.0</v>
      </c>
      <c r="E1444" s="10" t="str">
        <f t="shared" si="3"/>
        <v>BIS40</v>
      </c>
      <c r="F1444" s="13">
        <v>55.0</v>
      </c>
      <c r="G1444" s="10" t="str">
        <f t="shared" si="8"/>
        <v>BIS40-55</v>
      </c>
      <c r="H1444" s="16"/>
      <c r="I1444" s="16" t="str">
        <f t="shared" si="5"/>
        <v>collected</v>
      </c>
      <c r="J1444" s="16" t="str">
        <f t="shared" si="6"/>
        <v>N</v>
      </c>
      <c r="K1444" s="16"/>
      <c r="L1444" s="16"/>
    </row>
    <row r="1445">
      <c r="A1445" s="40" t="s">
        <v>1984</v>
      </c>
      <c r="B1445" s="10" t="str">
        <f t="shared" si="1"/>
        <v>isotope</v>
      </c>
      <c r="C1445" s="49" t="str">
        <f t="shared" si="2"/>
        <v>S17496IS1</v>
      </c>
      <c r="D1445" s="6">
        <v>40.0</v>
      </c>
      <c r="E1445" s="10" t="str">
        <f t="shared" si="3"/>
        <v>BIS40</v>
      </c>
      <c r="F1445" s="13">
        <v>56.0</v>
      </c>
      <c r="G1445" s="10" t="str">
        <f t="shared" si="8"/>
        <v>BIS40-56</v>
      </c>
      <c r="H1445" s="16"/>
      <c r="I1445" s="16" t="str">
        <f t="shared" si="5"/>
        <v>collected</v>
      </c>
      <c r="J1445" s="16" t="str">
        <f t="shared" si="6"/>
        <v>N</v>
      </c>
      <c r="K1445" s="16"/>
      <c r="L1445" s="16"/>
    </row>
    <row r="1446">
      <c r="A1446" s="40" t="s">
        <v>1985</v>
      </c>
      <c r="B1446" s="10" t="str">
        <f t="shared" si="1"/>
        <v>isotope</v>
      </c>
      <c r="C1446" s="49" t="str">
        <f t="shared" si="2"/>
        <v>S17494IS1</v>
      </c>
      <c r="D1446" s="6">
        <v>40.0</v>
      </c>
      <c r="E1446" s="10" t="str">
        <f t="shared" si="3"/>
        <v>BIS40</v>
      </c>
      <c r="F1446" s="13">
        <v>57.0</v>
      </c>
      <c r="G1446" s="10" t="str">
        <f t="shared" si="8"/>
        <v>BIS40-57</v>
      </c>
      <c r="H1446" s="16"/>
      <c r="I1446" s="16" t="str">
        <f t="shared" si="5"/>
        <v>collected</v>
      </c>
      <c r="J1446" s="16" t="str">
        <f t="shared" si="6"/>
        <v>N</v>
      </c>
      <c r="K1446" s="16"/>
      <c r="L1446" s="16"/>
    </row>
    <row r="1447">
      <c r="A1447" s="40" t="s">
        <v>1987</v>
      </c>
      <c r="B1447" s="10" t="str">
        <f t="shared" si="1"/>
        <v>isotope</v>
      </c>
      <c r="C1447" s="49" t="str">
        <f t="shared" si="2"/>
        <v>S17495IS1</v>
      </c>
      <c r="D1447" s="6">
        <v>40.0</v>
      </c>
      <c r="E1447" s="10" t="str">
        <f t="shared" si="3"/>
        <v>BIS40</v>
      </c>
      <c r="F1447" s="13">
        <v>58.0</v>
      </c>
      <c r="G1447" s="10" t="str">
        <f t="shared" si="8"/>
        <v>BIS40-58</v>
      </c>
      <c r="H1447" s="16"/>
      <c r="I1447" s="16" t="str">
        <f t="shared" si="5"/>
        <v>collected</v>
      </c>
      <c r="J1447" s="16" t="str">
        <f t="shared" si="6"/>
        <v>N</v>
      </c>
      <c r="K1447" s="16"/>
      <c r="L1447" s="16"/>
    </row>
    <row r="1448">
      <c r="A1448" s="40" t="s">
        <v>1988</v>
      </c>
      <c r="B1448" s="10" t="str">
        <f t="shared" si="1"/>
        <v>isotope</v>
      </c>
      <c r="C1448" s="49" t="str">
        <f t="shared" si="2"/>
        <v>S17492IS1</v>
      </c>
      <c r="D1448" s="6">
        <v>40.0</v>
      </c>
      <c r="E1448" s="10" t="str">
        <f t="shared" si="3"/>
        <v>BIS40</v>
      </c>
      <c r="F1448" s="13">
        <v>59.0</v>
      </c>
      <c r="G1448" s="10" t="str">
        <f t="shared" si="8"/>
        <v>BIS40-59</v>
      </c>
      <c r="H1448" s="16"/>
      <c r="I1448" s="16" t="str">
        <f t="shared" si="5"/>
        <v>collected</v>
      </c>
      <c r="J1448" s="16" t="str">
        <f t="shared" si="6"/>
        <v>N</v>
      </c>
      <c r="K1448" s="16"/>
      <c r="L1448" s="16"/>
    </row>
    <row r="1449">
      <c r="A1449" s="40" t="s">
        <v>1989</v>
      </c>
      <c r="B1449" s="10" t="str">
        <f t="shared" si="1"/>
        <v>isotope</v>
      </c>
      <c r="C1449" s="49" t="str">
        <f t="shared" si="2"/>
        <v>S17493IS1</v>
      </c>
      <c r="D1449" s="6">
        <v>40.0</v>
      </c>
      <c r="E1449" s="10" t="str">
        <f t="shared" si="3"/>
        <v>BIS40</v>
      </c>
      <c r="F1449" s="13">
        <v>60.0</v>
      </c>
      <c r="G1449" s="10" t="str">
        <f t="shared" si="8"/>
        <v>BIS40-60</v>
      </c>
      <c r="H1449" s="16"/>
      <c r="I1449" s="16" t="str">
        <f t="shared" si="5"/>
        <v>collected</v>
      </c>
      <c r="J1449" s="16" t="str">
        <f t="shared" si="6"/>
        <v>N</v>
      </c>
      <c r="K1449" s="16"/>
      <c r="L1449" s="16"/>
    </row>
    <row r="1450">
      <c r="A1450" s="40" t="s">
        <v>1990</v>
      </c>
      <c r="B1450" s="10" t="str">
        <f t="shared" si="1"/>
        <v>isotope</v>
      </c>
      <c r="C1450" s="49" t="str">
        <f t="shared" si="2"/>
        <v>S16225IS1</v>
      </c>
      <c r="D1450" s="6">
        <v>40.0</v>
      </c>
      <c r="E1450" s="10" t="str">
        <f t="shared" si="3"/>
        <v>BIS40</v>
      </c>
      <c r="F1450" s="13">
        <v>61.0</v>
      </c>
      <c r="G1450" s="10" t="str">
        <f t="shared" si="8"/>
        <v>BIS40-61</v>
      </c>
      <c r="H1450" s="16"/>
      <c r="I1450" s="16" t="str">
        <f t="shared" si="5"/>
        <v>collected</v>
      </c>
      <c r="J1450" s="16" t="str">
        <f t="shared" si="6"/>
        <v>N</v>
      </c>
      <c r="K1450" s="16"/>
      <c r="L1450" s="16"/>
    </row>
    <row r="1451">
      <c r="A1451" s="40" t="s">
        <v>1991</v>
      </c>
      <c r="B1451" s="10" t="str">
        <f t="shared" si="1"/>
        <v>isotope</v>
      </c>
      <c r="C1451" s="49" t="str">
        <f t="shared" si="2"/>
        <v>S16223IS1</v>
      </c>
      <c r="D1451" s="6">
        <v>40.0</v>
      </c>
      <c r="E1451" s="10" t="str">
        <f t="shared" si="3"/>
        <v>BIS40</v>
      </c>
      <c r="F1451" s="13">
        <v>62.0</v>
      </c>
      <c r="G1451" s="10" t="str">
        <f t="shared" si="8"/>
        <v>BIS40-62</v>
      </c>
      <c r="H1451" s="16"/>
      <c r="I1451" s="16" t="str">
        <f t="shared" si="5"/>
        <v>collected</v>
      </c>
      <c r="J1451" s="16" t="str">
        <f t="shared" si="6"/>
        <v>N</v>
      </c>
      <c r="K1451" s="16"/>
      <c r="L1451" s="16"/>
    </row>
    <row r="1452">
      <c r="A1452" s="40" t="s">
        <v>1992</v>
      </c>
      <c r="B1452" s="10" t="str">
        <f t="shared" si="1"/>
        <v>isotope</v>
      </c>
      <c r="C1452" s="49" t="str">
        <f t="shared" si="2"/>
        <v>S16224IS1</v>
      </c>
      <c r="D1452" s="6">
        <v>40.0</v>
      </c>
      <c r="E1452" s="10" t="str">
        <f t="shared" si="3"/>
        <v>BIS40</v>
      </c>
      <c r="F1452" s="13">
        <v>63.0</v>
      </c>
      <c r="G1452" s="10" t="str">
        <f t="shared" si="8"/>
        <v>BIS40-63</v>
      </c>
      <c r="H1452" s="16"/>
      <c r="I1452" s="16" t="str">
        <f t="shared" si="5"/>
        <v>collected</v>
      </c>
      <c r="J1452" s="16" t="str">
        <f t="shared" si="6"/>
        <v>N</v>
      </c>
      <c r="K1452" s="16"/>
      <c r="L1452" s="16"/>
    </row>
    <row r="1453">
      <c r="A1453" s="40" t="s">
        <v>1993</v>
      </c>
      <c r="B1453" s="10" t="str">
        <f t="shared" si="1"/>
        <v>isotope</v>
      </c>
      <c r="C1453" s="49" t="str">
        <f t="shared" si="2"/>
        <v>S16221IS1</v>
      </c>
      <c r="D1453" s="6">
        <v>40.0</v>
      </c>
      <c r="E1453" s="10" t="str">
        <f t="shared" si="3"/>
        <v>BIS40</v>
      </c>
      <c r="F1453" s="13">
        <v>64.0</v>
      </c>
      <c r="G1453" s="10" t="str">
        <f t="shared" si="8"/>
        <v>BIS40-64</v>
      </c>
      <c r="H1453" s="16"/>
      <c r="I1453" s="16" t="str">
        <f t="shared" si="5"/>
        <v>collected</v>
      </c>
      <c r="J1453" s="16" t="str">
        <f t="shared" si="6"/>
        <v>N</v>
      </c>
      <c r="K1453" s="16"/>
      <c r="L1453" s="16"/>
    </row>
    <row r="1454">
      <c r="A1454" s="40" t="s">
        <v>1994</v>
      </c>
      <c r="B1454" s="10" t="str">
        <f t="shared" si="1"/>
        <v>isotope</v>
      </c>
      <c r="C1454" s="49" t="str">
        <f t="shared" si="2"/>
        <v>S16222IS1</v>
      </c>
      <c r="D1454" s="6">
        <v>40.0</v>
      </c>
      <c r="E1454" s="10" t="str">
        <f t="shared" si="3"/>
        <v>BIS40</v>
      </c>
      <c r="F1454" s="13">
        <v>65.0</v>
      </c>
      <c r="G1454" s="10" t="str">
        <f t="shared" si="8"/>
        <v>BIS40-65</v>
      </c>
      <c r="H1454" s="16"/>
      <c r="I1454" s="16" t="str">
        <f t="shared" si="5"/>
        <v>collected</v>
      </c>
      <c r="J1454" s="16" t="str">
        <f t="shared" si="6"/>
        <v>N</v>
      </c>
      <c r="K1454" s="16"/>
      <c r="L1454" s="16"/>
    </row>
    <row r="1455">
      <c r="A1455" s="40" t="s">
        <v>1995</v>
      </c>
      <c r="B1455" s="10" t="str">
        <f t="shared" si="1"/>
        <v>isotope</v>
      </c>
      <c r="C1455" s="49" t="str">
        <f t="shared" si="2"/>
        <v>S16474IS1</v>
      </c>
      <c r="D1455" s="6">
        <v>39.0</v>
      </c>
      <c r="E1455" s="10" t="str">
        <f t="shared" si="3"/>
        <v>BIS39</v>
      </c>
      <c r="F1455" s="13">
        <v>71.0</v>
      </c>
      <c r="G1455" s="10" t="str">
        <f t="shared" si="8"/>
        <v>BIS39-71</v>
      </c>
      <c r="H1455" s="16"/>
      <c r="I1455" s="16" t="str">
        <f t="shared" si="5"/>
        <v>collected</v>
      </c>
      <c r="J1455" s="16" t="str">
        <f t="shared" si="6"/>
        <v>N</v>
      </c>
      <c r="K1455" s="16"/>
      <c r="L1455" s="16"/>
    </row>
    <row r="1456">
      <c r="A1456" s="40" t="s">
        <v>1996</v>
      </c>
      <c r="B1456" s="10" t="str">
        <f t="shared" si="1"/>
        <v>isotope</v>
      </c>
      <c r="C1456" s="49" t="str">
        <f t="shared" si="2"/>
        <v>S16471IS1</v>
      </c>
      <c r="D1456" s="6">
        <v>39.0</v>
      </c>
      <c r="E1456" s="10" t="str">
        <f t="shared" si="3"/>
        <v>BIS39</v>
      </c>
      <c r="F1456" s="13">
        <v>72.0</v>
      </c>
      <c r="G1456" s="10" t="str">
        <f t="shared" si="8"/>
        <v>BIS39-72</v>
      </c>
      <c r="H1456" s="16"/>
      <c r="I1456" s="16" t="str">
        <f t="shared" si="5"/>
        <v>collected</v>
      </c>
      <c r="J1456" s="16" t="str">
        <f t="shared" si="6"/>
        <v>N</v>
      </c>
      <c r="K1456" s="16"/>
      <c r="L1456" s="16"/>
    </row>
    <row r="1457">
      <c r="A1457" s="40" t="s">
        <v>1997</v>
      </c>
      <c r="B1457" s="10" t="str">
        <f t="shared" si="1"/>
        <v>isotope</v>
      </c>
      <c r="C1457" s="49" t="str">
        <f t="shared" si="2"/>
        <v>S16473IS1</v>
      </c>
      <c r="D1457" s="6">
        <v>39.0</v>
      </c>
      <c r="E1457" s="10" t="str">
        <f t="shared" si="3"/>
        <v>BIS39</v>
      </c>
      <c r="F1457" s="13">
        <v>73.0</v>
      </c>
      <c r="G1457" s="10" t="str">
        <f t="shared" si="8"/>
        <v>BIS39-73</v>
      </c>
      <c r="H1457" s="16"/>
      <c r="I1457" s="16" t="str">
        <f t="shared" si="5"/>
        <v>collected</v>
      </c>
      <c r="J1457" s="16" t="str">
        <f t="shared" si="6"/>
        <v>N</v>
      </c>
      <c r="K1457" s="16"/>
      <c r="L1457" s="16"/>
    </row>
    <row r="1458">
      <c r="A1458" s="40" t="s">
        <v>1998</v>
      </c>
      <c r="B1458" s="10" t="str">
        <f t="shared" si="1"/>
        <v>isotope</v>
      </c>
      <c r="C1458" s="49" t="str">
        <f t="shared" si="2"/>
        <v>S16472IS1</v>
      </c>
      <c r="D1458" s="6">
        <v>39.0</v>
      </c>
      <c r="E1458" s="10" t="str">
        <f t="shared" si="3"/>
        <v>BIS39</v>
      </c>
      <c r="F1458" s="13">
        <v>74.0</v>
      </c>
      <c r="G1458" s="10" t="str">
        <f t="shared" si="8"/>
        <v>BIS39-74</v>
      </c>
      <c r="H1458" s="16"/>
      <c r="I1458" s="16" t="str">
        <f t="shared" si="5"/>
        <v>collected</v>
      </c>
      <c r="J1458" s="16" t="str">
        <f t="shared" si="6"/>
        <v>N</v>
      </c>
      <c r="K1458" s="16"/>
      <c r="L1458" s="16"/>
    </row>
    <row r="1459">
      <c r="A1459" s="40" t="s">
        <v>1999</v>
      </c>
      <c r="B1459" s="10" t="str">
        <f t="shared" si="1"/>
        <v>isotope</v>
      </c>
      <c r="C1459" s="49" t="str">
        <f t="shared" si="2"/>
        <v>S16841IS1</v>
      </c>
      <c r="D1459" s="6">
        <v>39.0</v>
      </c>
      <c r="E1459" s="10" t="str">
        <f t="shared" si="3"/>
        <v>BIS39</v>
      </c>
      <c r="F1459" s="13">
        <v>75.0</v>
      </c>
      <c r="G1459" s="10" t="str">
        <f t="shared" si="8"/>
        <v>BIS39-75</v>
      </c>
      <c r="H1459" s="16"/>
      <c r="I1459" s="16" t="str">
        <f t="shared" si="5"/>
        <v>collected</v>
      </c>
      <c r="J1459" s="16" t="str">
        <f t="shared" si="6"/>
        <v>N</v>
      </c>
      <c r="K1459" s="16"/>
      <c r="L1459" s="16"/>
    </row>
    <row r="1460">
      <c r="A1460" s="40" t="s">
        <v>2000</v>
      </c>
      <c r="B1460" s="10" t="str">
        <f t="shared" si="1"/>
        <v>isotope</v>
      </c>
      <c r="C1460" s="49" t="str">
        <f t="shared" si="2"/>
        <v>S16845IS1</v>
      </c>
      <c r="D1460" s="6">
        <v>39.0</v>
      </c>
      <c r="E1460" s="10" t="str">
        <f t="shared" si="3"/>
        <v>BIS39</v>
      </c>
      <c r="F1460" s="13">
        <v>76.0</v>
      </c>
      <c r="G1460" s="10" t="str">
        <f t="shared" si="8"/>
        <v>BIS39-76</v>
      </c>
      <c r="H1460" s="16"/>
      <c r="I1460" s="16" t="str">
        <f t="shared" si="5"/>
        <v>collected</v>
      </c>
      <c r="J1460" s="16" t="str">
        <f t="shared" si="6"/>
        <v>N</v>
      </c>
      <c r="K1460" s="16"/>
      <c r="L1460" s="16"/>
    </row>
    <row r="1461">
      <c r="A1461" s="40" t="s">
        <v>2001</v>
      </c>
      <c r="B1461" s="10" t="str">
        <f t="shared" si="1"/>
        <v>isotope</v>
      </c>
      <c r="C1461" s="49" t="str">
        <f t="shared" si="2"/>
        <v>S16844IS1</v>
      </c>
      <c r="D1461" s="6">
        <v>39.0</v>
      </c>
      <c r="E1461" s="10" t="str">
        <f t="shared" si="3"/>
        <v>BIS39</v>
      </c>
      <c r="F1461" s="13">
        <v>77.0</v>
      </c>
      <c r="G1461" s="10" t="str">
        <f t="shared" si="8"/>
        <v>BIS39-77</v>
      </c>
      <c r="H1461" s="16"/>
      <c r="I1461" s="16" t="str">
        <f t="shared" si="5"/>
        <v>collected</v>
      </c>
      <c r="J1461" s="16" t="str">
        <f t="shared" si="6"/>
        <v>N</v>
      </c>
      <c r="K1461" s="16"/>
      <c r="L1461" s="16"/>
    </row>
    <row r="1462">
      <c r="A1462" s="40" t="s">
        <v>2002</v>
      </c>
      <c r="B1462" s="10" t="str">
        <f t="shared" si="1"/>
        <v>isotope</v>
      </c>
      <c r="C1462" s="49" t="str">
        <f t="shared" si="2"/>
        <v>S16849IS1</v>
      </c>
      <c r="D1462" s="6">
        <v>39.0</v>
      </c>
      <c r="E1462" s="10" t="str">
        <f t="shared" si="3"/>
        <v>BIS39</v>
      </c>
      <c r="F1462" s="13">
        <v>78.0</v>
      </c>
      <c r="G1462" s="10" t="str">
        <f t="shared" si="8"/>
        <v>BIS39-78</v>
      </c>
      <c r="H1462" s="16"/>
      <c r="I1462" s="16" t="str">
        <f t="shared" si="5"/>
        <v>collected</v>
      </c>
      <c r="J1462" s="16" t="str">
        <f t="shared" si="6"/>
        <v>N</v>
      </c>
      <c r="K1462" s="16"/>
      <c r="L1462" s="16"/>
    </row>
    <row r="1463">
      <c r="A1463" s="40" t="s">
        <v>2003</v>
      </c>
      <c r="B1463" s="10" t="str">
        <f t="shared" si="1"/>
        <v>isotope</v>
      </c>
      <c r="C1463" s="49" t="str">
        <f t="shared" si="2"/>
        <v>S16847IS1</v>
      </c>
      <c r="D1463" s="6">
        <v>39.0</v>
      </c>
      <c r="E1463" s="10" t="str">
        <f t="shared" si="3"/>
        <v>BIS39</v>
      </c>
      <c r="F1463" s="13">
        <v>79.0</v>
      </c>
      <c r="G1463" s="10" t="str">
        <f t="shared" si="8"/>
        <v>BIS39-79</v>
      </c>
      <c r="H1463" s="16"/>
      <c r="I1463" s="16" t="str">
        <f t="shared" si="5"/>
        <v>collected</v>
      </c>
      <c r="J1463" s="16" t="str">
        <f t="shared" si="6"/>
        <v>N</v>
      </c>
      <c r="K1463" s="16"/>
      <c r="L1463" s="16"/>
    </row>
    <row r="1464">
      <c r="A1464" s="40" t="s">
        <v>2005</v>
      </c>
      <c r="B1464" s="10" t="str">
        <f t="shared" si="1"/>
        <v>isotope</v>
      </c>
      <c r="C1464" s="49" t="str">
        <f t="shared" si="2"/>
        <v>S16848IS1</v>
      </c>
      <c r="D1464" s="6">
        <v>39.0</v>
      </c>
      <c r="E1464" s="10" t="str">
        <f t="shared" si="3"/>
        <v>BIS39</v>
      </c>
      <c r="F1464" s="13">
        <v>80.0</v>
      </c>
      <c r="G1464" s="10" t="str">
        <f t="shared" si="8"/>
        <v>BIS39-80</v>
      </c>
      <c r="H1464" s="16"/>
      <c r="I1464" s="16" t="str">
        <f t="shared" si="5"/>
        <v>collected</v>
      </c>
      <c r="J1464" s="16" t="str">
        <f t="shared" si="6"/>
        <v>N</v>
      </c>
      <c r="K1464" s="16"/>
      <c r="L1464" s="16"/>
    </row>
    <row r="1465">
      <c r="A1465" s="40" t="s">
        <v>2007</v>
      </c>
      <c r="B1465" s="10" t="str">
        <f t="shared" si="1"/>
        <v>isotope</v>
      </c>
      <c r="C1465" s="49" t="str">
        <f t="shared" si="2"/>
        <v>S16850IS1</v>
      </c>
      <c r="D1465" s="6">
        <v>39.0</v>
      </c>
      <c r="E1465" s="10" t="str">
        <f t="shared" si="3"/>
        <v>BIS39</v>
      </c>
      <c r="F1465" s="13">
        <v>81.0</v>
      </c>
      <c r="G1465" s="10" t="str">
        <f t="shared" si="8"/>
        <v>BIS39-81</v>
      </c>
      <c r="H1465" s="16"/>
      <c r="I1465" s="16" t="str">
        <f t="shared" si="5"/>
        <v>collected</v>
      </c>
      <c r="J1465" s="16" t="str">
        <f t="shared" si="6"/>
        <v>N</v>
      </c>
      <c r="K1465" s="16"/>
      <c r="L1465" s="16"/>
    </row>
    <row r="1466">
      <c r="A1466" s="40" t="s">
        <v>2008</v>
      </c>
      <c r="B1466" s="10" t="str">
        <f t="shared" si="1"/>
        <v>isotope</v>
      </c>
      <c r="C1466" s="49" t="str">
        <f t="shared" si="2"/>
        <v>S16843IS1</v>
      </c>
      <c r="D1466" s="6">
        <v>41.0</v>
      </c>
      <c r="E1466" s="10" t="str">
        <f t="shared" si="3"/>
        <v>BIS41</v>
      </c>
      <c r="F1466" s="13">
        <v>1.0</v>
      </c>
      <c r="G1466" s="10" t="str">
        <f t="shared" si="8"/>
        <v>BIS41-1</v>
      </c>
      <c r="H1466" s="16"/>
      <c r="I1466" s="16" t="str">
        <f t="shared" si="5"/>
        <v>collected</v>
      </c>
      <c r="J1466" s="16" t="str">
        <f t="shared" si="6"/>
        <v>N</v>
      </c>
      <c r="K1466" s="16"/>
      <c r="L1466" s="16"/>
    </row>
    <row r="1467">
      <c r="A1467" s="40" t="s">
        <v>2009</v>
      </c>
      <c r="B1467" s="10" t="str">
        <f t="shared" si="1"/>
        <v>isotope</v>
      </c>
      <c r="C1467" s="49" t="str">
        <f t="shared" si="2"/>
        <v>S16846IS1</v>
      </c>
      <c r="D1467" s="6">
        <v>41.0</v>
      </c>
      <c r="E1467" s="10" t="str">
        <f t="shared" si="3"/>
        <v>BIS41</v>
      </c>
      <c r="F1467" s="13">
        <v>2.0</v>
      </c>
      <c r="G1467" s="10" t="str">
        <f t="shared" si="8"/>
        <v>BIS41-2</v>
      </c>
      <c r="H1467" s="16"/>
      <c r="I1467" s="16" t="str">
        <f t="shared" si="5"/>
        <v>collected</v>
      </c>
      <c r="J1467" s="16" t="str">
        <f t="shared" si="6"/>
        <v>N</v>
      </c>
      <c r="K1467" s="16"/>
      <c r="L1467" s="16"/>
    </row>
    <row r="1468">
      <c r="A1468" s="40" t="s">
        <v>2010</v>
      </c>
      <c r="B1468" s="10" t="str">
        <f t="shared" si="1"/>
        <v>isotope</v>
      </c>
      <c r="C1468" s="49" t="str">
        <f t="shared" si="2"/>
        <v>S16842IS1</v>
      </c>
      <c r="D1468" s="6">
        <v>41.0</v>
      </c>
      <c r="E1468" s="10" t="str">
        <f t="shared" si="3"/>
        <v>BIS41</v>
      </c>
      <c r="F1468" s="13">
        <v>3.0</v>
      </c>
      <c r="G1468" s="10" t="str">
        <f t="shared" si="8"/>
        <v>BIS41-3</v>
      </c>
      <c r="H1468" s="16"/>
      <c r="I1468" s="16" t="str">
        <f t="shared" si="5"/>
        <v>collected</v>
      </c>
      <c r="J1468" s="16" t="str">
        <f t="shared" si="6"/>
        <v>N</v>
      </c>
      <c r="K1468" s="16"/>
      <c r="L1468" s="16"/>
    </row>
    <row r="1469">
      <c r="A1469" s="40" t="s">
        <v>2012</v>
      </c>
      <c r="B1469" s="10" t="str">
        <f t="shared" si="1"/>
        <v>isotope</v>
      </c>
      <c r="C1469" s="49" t="str">
        <f t="shared" si="2"/>
        <v>S16771IS1</v>
      </c>
      <c r="D1469" s="6">
        <v>41.0</v>
      </c>
      <c r="E1469" s="10" t="str">
        <f t="shared" si="3"/>
        <v>BIS41</v>
      </c>
      <c r="F1469" s="13">
        <v>4.0</v>
      </c>
      <c r="G1469" s="10" t="str">
        <f t="shared" si="8"/>
        <v>BIS41-4</v>
      </c>
      <c r="H1469" s="16"/>
      <c r="I1469" s="16" t="str">
        <f t="shared" si="5"/>
        <v>collected</v>
      </c>
      <c r="J1469" s="16" t="str">
        <f t="shared" si="6"/>
        <v>N</v>
      </c>
      <c r="K1469" s="16"/>
      <c r="L1469" s="16"/>
    </row>
    <row r="1470">
      <c r="A1470" s="40" t="s">
        <v>2013</v>
      </c>
      <c r="B1470" s="10" t="str">
        <f t="shared" si="1"/>
        <v>isotope</v>
      </c>
      <c r="C1470" s="49" t="str">
        <f t="shared" si="2"/>
        <v>S16779IS1</v>
      </c>
      <c r="D1470" s="6">
        <v>41.0</v>
      </c>
      <c r="E1470" s="10" t="str">
        <f t="shared" si="3"/>
        <v>BIS41</v>
      </c>
      <c r="F1470" s="13">
        <v>5.0</v>
      </c>
      <c r="G1470" s="10" t="str">
        <f t="shared" si="8"/>
        <v>BIS41-5</v>
      </c>
      <c r="H1470" s="16"/>
      <c r="I1470" s="16" t="str">
        <f t="shared" si="5"/>
        <v>collected</v>
      </c>
      <c r="J1470" s="16" t="str">
        <f t="shared" si="6"/>
        <v>N</v>
      </c>
      <c r="K1470" s="16"/>
      <c r="L1470" s="16"/>
    </row>
    <row r="1471">
      <c r="A1471" s="40" t="s">
        <v>2014</v>
      </c>
      <c r="B1471" s="10" t="str">
        <f t="shared" si="1"/>
        <v>isotope</v>
      </c>
      <c r="C1471" s="49" t="str">
        <f t="shared" si="2"/>
        <v>S16776IS1</v>
      </c>
      <c r="D1471" s="6">
        <v>41.0</v>
      </c>
      <c r="E1471" s="10" t="str">
        <f t="shared" si="3"/>
        <v>BIS41</v>
      </c>
      <c r="F1471" s="13">
        <v>6.0</v>
      </c>
      <c r="G1471" s="10" t="str">
        <f t="shared" si="8"/>
        <v>BIS41-6</v>
      </c>
      <c r="H1471" s="16"/>
      <c r="I1471" s="16" t="str">
        <f t="shared" si="5"/>
        <v>collected</v>
      </c>
      <c r="J1471" s="16" t="str">
        <f t="shared" si="6"/>
        <v>N</v>
      </c>
      <c r="K1471" s="16"/>
      <c r="L1471" s="16"/>
    </row>
    <row r="1472">
      <c r="A1472" s="40" t="s">
        <v>2015</v>
      </c>
      <c r="B1472" s="10" t="str">
        <f t="shared" si="1"/>
        <v>isotope</v>
      </c>
      <c r="C1472" s="49" t="str">
        <f t="shared" si="2"/>
        <v>S16780IS1</v>
      </c>
      <c r="D1472" s="6">
        <v>41.0</v>
      </c>
      <c r="E1472" s="10" t="str">
        <f t="shared" si="3"/>
        <v>BIS41</v>
      </c>
      <c r="F1472" s="13">
        <v>7.0</v>
      </c>
      <c r="G1472" s="10" t="str">
        <f t="shared" si="8"/>
        <v>BIS41-7</v>
      </c>
      <c r="H1472" s="16"/>
      <c r="I1472" s="16" t="str">
        <f t="shared" si="5"/>
        <v>collected</v>
      </c>
      <c r="J1472" s="16" t="str">
        <f t="shared" si="6"/>
        <v>N</v>
      </c>
      <c r="K1472" s="16"/>
      <c r="L1472" s="16"/>
    </row>
    <row r="1473">
      <c r="A1473" s="40" t="s">
        <v>2016</v>
      </c>
      <c r="B1473" s="10" t="str">
        <f t="shared" si="1"/>
        <v>isotope</v>
      </c>
      <c r="C1473" s="49" t="str">
        <f t="shared" si="2"/>
        <v>S16774IS1</v>
      </c>
      <c r="D1473" s="6">
        <v>41.0</v>
      </c>
      <c r="E1473" s="10" t="str">
        <f t="shared" si="3"/>
        <v>BIS41</v>
      </c>
      <c r="F1473" s="13">
        <v>8.0</v>
      </c>
      <c r="G1473" s="10" t="str">
        <f t="shared" si="8"/>
        <v>BIS41-8</v>
      </c>
      <c r="H1473" s="16"/>
      <c r="I1473" s="16" t="str">
        <f t="shared" si="5"/>
        <v>collected</v>
      </c>
      <c r="J1473" s="16" t="str">
        <f t="shared" si="6"/>
        <v>N</v>
      </c>
      <c r="K1473" s="16"/>
      <c r="L1473" s="16"/>
    </row>
    <row r="1474">
      <c r="A1474" s="40" t="s">
        <v>2017</v>
      </c>
      <c r="B1474" s="10" t="str">
        <f t="shared" si="1"/>
        <v>isotope</v>
      </c>
      <c r="C1474" s="49" t="str">
        <f t="shared" si="2"/>
        <v>S16773IS1</v>
      </c>
      <c r="D1474" s="6">
        <v>41.0</v>
      </c>
      <c r="E1474" s="10" t="str">
        <f t="shared" si="3"/>
        <v>BIS41</v>
      </c>
      <c r="F1474" s="13">
        <v>9.0</v>
      </c>
      <c r="G1474" s="10" t="str">
        <f t="shared" si="8"/>
        <v>BIS41-9</v>
      </c>
      <c r="H1474" s="16"/>
      <c r="I1474" s="16" t="str">
        <f t="shared" si="5"/>
        <v>collected</v>
      </c>
      <c r="J1474" s="16" t="str">
        <f t="shared" si="6"/>
        <v>N</v>
      </c>
      <c r="K1474" s="16"/>
      <c r="L1474" s="16"/>
    </row>
    <row r="1475">
      <c r="A1475" s="40" t="s">
        <v>2018</v>
      </c>
      <c r="B1475" s="10" t="str">
        <f t="shared" si="1"/>
        <v>isotope</v>
      </c>
      <c r="C1475" s="49" t="str">
        <f t="shared" si="2"/>
        <v>S17179IS1</v>
      </c>
      <c r="D1475" s="6">
        <v>40.0</v>
      </c>
      <c r="E1475" s="10" t="str">
        <f t="shared" si="3"/>
        <v>BIS40</v>
      </c>
      <c r="F1475" s="13">
        <v>66.0</v>
      </c>
      <c r="G1475" s="10" t="str">
        <f t="shared" si="8"/>
        <v>BIS40-66</v>
      </c>
      <c r="H1475" s="16"/>
      <c r="I1475" s="16" t="str">
        <f t="shared" si="5"/>
        <v>collected</v>
      </c>
      <c r="J1475" s="16" t="str">
        <f t="shared" si="6"/>
        <v>N</v>
      </c>
      <c r="K1475" s="16"/>
      <c r="L1475" s="16"/>
    </row>
    <row r="1476">
      <c r="A1476" s="40" t="s">
        <v>2019</v>
      </c>
      <c r="B1476" s="10" t="str">
        <f t="shared" si="1"/>
        <v>isotope</v>
      </c>
      <c r="C1476" s="49" t="str">
        <f t="shared" si="2"/>
        <v>S17178IS1</v>
      </c>
      <c r="D1476" s="6">
        <v>40.0</v>
      </c>
      <c r="E1476" s="10" t="str">
        <f t="shared" si="3"/>
        <v>BIS40</v>
      </c>
      <c r="F1476" s="13">
        <v>67.0</v>
      </c>
      <c r="G1476" s="10" t="str">
        <f t="shared" si="8"/>
        <v>BIS40-67</v>
      </c>
      <c r="H1476" s="16"/>
      <c r="I1476" s="16" t="str">
        <f t="shared" si="5"/>
        <v>collected</v>
      </c>
      <c r="J1476" s="16" t="str">
        <f t="shared" si="6"/>
        <v>N</v>
      </c>
      <c r="K1476" s="16"/>
      <c r="L1476" s="16"/>
    </row>
    <row r="1477">
      <c r="A1477" s="40" t="s">
        <v>2020</v>
      </c>
      <c r="B1477" s="10" t="str">
        <f t="shared" si="1"/>
        <v>isotope</v>
      </c>
      <c r="C1477" s="49" t="str">
        <f t="shared" si="2"/>
        <v>S17171IS1</v>
      </c>
      <c r="D1477" s="6">
        <v>40.0</v>
      </c>
      <c r="E1477" s="10" t="str">
        <f t="shared" si="3"/>
        <v>BIS40</v>
      </c>
      <c r="F1477" s="13">
        <v>68.0</v>
      </c>
      <c r="G1477" s="10" t="str">
        <f t="shared" si="8"/>
        <v>BIS40-68</v>
      </c>
      <c r="H1477" s="16"/>
      <c r="I1477" s="16" t="str">
        <f t="shared" si="5"/>
        <v>collected</v>
      </c>
      <c r="J1477" s="16" t="str">
        <f t="shared" si="6"/>
        <v>N</v>
      </c>
      <c r="K1477" s="16"/>
      <c r="L1477" s="16"/>
    </row>
    <row r="1478">
      <c r="A1478" s="40" t="s">
        <v>2021</v>
      </c>
      <c r="B1478" s="10" t="str">
        <f t="shared" si="1"/>
        <v>isotope</v>
      </c>
      <c r="C1478" s="49" t="str">
        <f t="shared" si="2"/>
        <v>S17175IS1</v>
      </c>
      <c r="D1478" s="6">
        <v>40.0</v>
      </c>
      <c r="E1478" s="10" t="str">
        <f t="shared" si="3"/>
        <v>BIS40</v>
      </c>
      <c r="F1478" s="13">
        <v>69.0</v>
      </c>
      <c r="G1478" s="10" t="str">
        <f t="shared" si="8"/>
        <v>BIS40-69</v>
      </c>
      <c r="H1478" s="16"/>
      <c r="I1478" s="16" t="str">
        <f t="shared" si="5"/>
        <v>collected</v>
      </c>
      <c r="J1478" s="16" t="str">
        <f t="shared" si="6"/>
        <v>N</v>
      </c>
      <c r="K1478" s="16"/>
      <c r="L1478" s="16"/>
    </row>
    <row r="1479">
      <c r="A1479" s="40" t="s">
        <v>2022</v>
      </c>
      <c r="B1479" s="10" t="str">
        <f t="shared" si="1"/>
        <v>isotope</v>
      </c>
      <c r="C1479" s="49" t="str">
        <f t="shared" si="2"/>
        <v>S17174IS1</v>
      </c>
      <c r="D1479" s="6">
        <v>40.0</v>
      </c>
      <c r="E1479" s="10" t="str">
        <f t="shared" si="3"/>
        <v>BIS40</v>
      </c>
      <c r="F1479" s="13">
        <v>70.0</v>
      </c>
      <c r="G1479" s="10" t="str">
        <f t="shared" si="8"/>
        <v>BIS40-70</v>
      </c>
      <c r="H1479" s="16"/>
      <c r="I1479" s="16" t="str">
        <f t="shared" si="5"/>
        <v>collected</v>
      </c>
      <c r="J1479" s="16" t="str">
        <f t="shared" si="6"/>
        <v>N</v>
      </c>
      <c r="K1479" s="16"/>
      <c r="L1479" s="16"/>
    </row>
    <row r="1480">
      <c r="A1480" s="40" t="s">
        <v>2023</v>
      </c>
      <c r="B1480" s="10" t="str">
        <f t="shared" si="1"/>
        <v>isotope</v>
      </c>
      <c r="C1480" s="49" t="str">
        <f t="shared" si="2"/>
        <v>S17177IS1</v>
      </c>
      <c r="D1480" s="6">
        <v>40.0</v>
      </c>
      <c r="E1480" s="10" t="str">
        <f t="shared" si="3"/>
        <v>BIS40</v>
      </c>
      <c r="F1480" s="13">
        <v>71.0</v>
      </c>
      <c r="G1480" s="10" t="str">
        <f t="shared" si="8"/>
        <v>BIS40-71</v>
      </c>
      <c r="H1480" s="16"/>
      <c r="I1480" s="16" t="str">
        <f t="shared" si="5"/>
        <v>collected</v>
      </c>
      <c r="J1480" s="16" t="str">
        <f t="shared" si="6"/>
        <v>N</v>
      </c>
      <c r="K1480" s="16"/>
      <c r="L1480" s="16"/>
    </row>
    <row r="1481">
      <c r="A1481" s="40" t="s">
        <v>2024</v>
      </c>
      <c r="B1481" s="10" t="str">
        <f t="shared" si="1"/>
        <v>isotope</v>
      </c>
      <c r="C1481" s="49" t="str">
        <f t="shared" si="2"/>
        <v>S17176IS1</v>
      </c>
      <c r="D1481" s="6">
        <v>40.0</v>
      </c>
      <c r="E1481" s="10" t="str">
        <f t="shared" si="3"/>
        <v>BIS40</v>
      </c>
      <c r="F1481" s="13">
        <v>72.0</v>
      </c>
      <c r="G1481" s="10" t="str">
        <f t="shared" si="8"/>
        <v>BIS40-72</v>
      </c>
      <c r="H1481" s="16"/>
      <c r="I1481" s="16" t="str">
        <f t="shared" si="5"/>
        <v>collected</v>
      </c>
      <c r="J1481" s="16" t="str">
        <f t="shared" si="6"/>
        <v>N</v>
      </c>
      <c r="K1481" s="16"/>
      <c r="L1481" s="16"/>
    </row>
    <row r="1482">
      <c r="A1482" s="40" t="s">
        <v>2025</v>
      </c>
      <c r="B1482" s="10" t="str">
        <f t="shared" si="1"/>
        <v>isotope</v>
      </c>
      <c r="C1482" s="49" t="str">
        <f t="shared" si="2"/>
        <v>S17172IS1</v>
      </c>
      <c r="D1482" s="6">
        <v>40.0</v>
      </c>
      <c r="E1482" s="10" t="str">
        <f t="shared" si="3"/>
        <v>BIS40</v>
      </c>
      <c r="F1482" s="13">
        <v>73.0</v>
      </c>
      <c r="G1482" s="10" t="str">
        <f t="shared" si="8"/>
        <v>BIS40-73</v>
      </c>
      <c r="H1482" s="16"/>
      <c r="I1482" s="16" t="str">
        <f t="shared" si="5"/>
        <v>collected</v>
      </c>
      <c r="J1482" s="16" t="str">
        <f t="shared" si="6"/>
        <v>N</v>
      </c>
      <c r="K1482" s="16"/>
      <c r="L1482" s="16"/>
    </row>
    <row r="1483">
      <c r="A1483" s="40" t="s">
        <v>2026</v>
      </c>
      <c r="B1483" s="10" t="str">
        <f t="shared" si="1"/>
        <v>isotope</v>
      </c>
      <c r="C1483" s="49" t="str">
        <f t="shared" si="2"/>
        <v>S17173IS1</v>
      </c>
      <c r="D1483" s="6">
        <v>40.0</v>
      </c>
      <c r="E1483" s="10" t="str">
        <f t="shared" si="3"/>
        <v>BIS40</v>
      </c>
      <c r="F1483" s="13">
        <v>74.0</v>
      </c>
      <c r="G1483" s="10" t="str">
        <f t="shared" si="8"/>
        <v>BIS40-74</v>
      </c>
      <c r="H1483" s="16"/>
      <c r="I1483" s="16" t="str">
        <f t="shared" si="5"/>
        <v>collected</v>
      </c>
      <c r="J1483" s="16" t="str">
        <f t="shared" si="6"/>
        <v>N</v>
      </c>
      <c r="K1483" s="16"/>
      <c r="L1483" s="16"/>
    </row>
    <row r="1484">
      <c r="A1484" s="40" t="s">
        <v>2027</v>
      </c>
      <c r="B1484" s="10" t="str">
        <f t="shared" si="1"/>
        <v>isotope</v>
      </c>
      <c r="C1484" s="49" t="str">
        <f t="shared" si="2"/>
        <v>S16595IS1</v>
      </c>
      <c r="D1484" s="6">
        <v>40.0</v>
      </c>
      <c r="E1484" s="10" t="str">
        <f t="shared" si="3"/>
        <v>BIS40</v>
      </c>
      <c r="F1484" s="13">
        <v>75.0</v>
      </c>
      <c r="G1484" s="10" t="str">
        <f t="shared" si="8"/>
        <v>BIS40-75</v>
      </c>
      <c r="H1484" s="16"/>
      <c r="I1484" s="16" t="str">
        <f t="shared" si="5"/>
        <v>collected</v>
      </c>
      <c r="J1484" s="16" t="str">
        <f t="shared" si="6"/>
        <v>N</v>
      </c>
      <c r="K1484" s="16"/>
      <c r="L1484" s="16"/>
    </row>
    <row r="1485">
      <c r="A1485" s="40" t="s">
        <v>2028</v>
      </c>
      <c r="B1485" s="10" t="str">
        <f t="shared" si="1"/>
        <v>isotope</v>
      </c>
      <c r="C1485" s="49" t="str">
        <f t="shared" si="2"/>
        <v>S16591IS1</v>
      </c>
      <c r="D1485" s="6">
        <v>40.0</v>
      </c>
      <c r="E1485" s="10" t="str">
        <f t="shared" si="3"/>
        <v>BIS40</v>
      </c>
      <c r="F1485" s="13">
        <v>76.0</v>
      </c>
      <c r="G1485" s="10" t="str">
        <f t="shared" si="8"/>
        <v>BIS40-76</v>
      </c>
      <c r="H1485" s="16"/>
      <c r="I1485" s="16" t="str">
        <f t="shared" si="5"/>
        <v>collected</v>
      </c>
      <c r="J1485" s="16" t="str">
        <f t="shared" si="6"/>
        <v>N</v>
      </c>
      <c r="K1485" s="16"/>
      <c r="L1485" s="16"/>
    </row>
    <row r="1486">
      <c r="A1486" s="40" t="s">
        <v>2029</v>
      </c>
      <c r="B1486" s="10" t="str">
        <f t="shared" si="1"/>
        <v>isotope</v>
      </c>
      <c r="C1486" s="49" t="str">
        <f t="shared" si="2"/>
        <v>S16593IS1</v>
      </c>
      <c r="D1486" s="6">
        <v>40.0</v>
      </c>
      <c r="E1486" s="10" t="str">
        <f t="shared" si="3"/>
        <v>BIS40</v>
      </c>
      <c r="F1486" s="13">
        <v>77.0</v>
      </c>
      <c r="G1486" s="10" t="str">
        <f t="shared" si="8"/>
        <v>BIS40-77</v>
      </c>
      <c r="H1486" s="16"/>
      <c r="I1486" s="16" t="str">
        <f t="shared" si="5"/>
        <v>collected</v>
      </c>
      <c r="J1486" s="16" t="str">
        <f t="shared" si="6"/>
        <v>N</v>
      </c>
      <c r="K1486" s="16"/>
      <c r="L1486" s="16"/>
    </row>
    <row r="1487">
      <c r="A1487" s="40" t="s">
        <v>2030</v>
      </c>
      <c r="B1487" s="10" t="str">
        <f t="shared" si="1"/>
        <v>isotope</v>
      </c>
      <c r="C1487" s="49" t="str">
        <f t="shared" si="2"/>
        <v>S16594IS1</v>
      </c>
      <c r="D1487" s="6">
        <v>40.0</v>
      </c>
      <c r="E1487" s="10" t="str">
        <f t="shared" si="3"/>
        <v>BIS40</v>
      </c>
      <c r="F1487" s="13">
        <v>78.0</v>
      </c>
      <c r="G1487" s="10" t="str">
        <f t="shared" si="8"/>
        <v>BIS40-78</v>
      </c>
      <c r="H1487" s="16"/>
      <c r="I1487" s="16" t="str">
        <f t="shared" si="5"/>
        <v>collected</v>
      </c>
      <c r="J1487" s="16" t="str">
        <f t="shared" si="6"/>
        <v>N</v>
      </c>
      <c r="K1487" s="16"/>
      <c r="L1487" s="16"/>
    </row>
    <row r="1488">
      <c r="A1488" s="40" t="s">
        <v>2031</v>
      </c>
      <c r="B1488" s="10" t="str">
        <f t="shared" si="1"/>
        <v>isotope</v>
      </c>
      <c r="C1488" s="49" t="str">
        <f t="shared" si="2"/>
        <v>S16592IS1</v>
      </c>
      <c r="D1488" s="6">
        <v>40.0</v>
      </c>
      <c r="E1488" s="10" t="str">
        <f t="shared" si="3"/>
        <v>BIS40</v>
      </c>
      <c r="F1488" s="13">
        <v>79.0</v>
      </c>
      <c r="G1488" s="10" t="str">
        <f t="shared" si="8"/>
        <v>BIS40-79</v>
      </c>
      <c r="H1488" s="16"/>
      <c r="I1488" s="16" t="str">
        <f t="shared" si="5"/>
        <v>collected</v>
      </c>
      <c r="J1488" s="16" t="str">
        <f t="shared" si="6"/>
        <v>N</v>
      </c>
      <c r="K1488" s="16"/>
      <c r="L1488" s="16"/>
    </row>
    <row r="1489">
      <c r="A1489" s="40" t="s">
        <v>2032</v>
      </c>
      <c r="B1489" s="10" t="str">
        <f t="shared" si="1"/>
        <v>isotope</v>
      </c>
      <c r="C1489" s="49" t="str">
        <f t="shared" si="2"/>
        <v>S16635IS1</v>
      </c>
      <c r="D1489" s="6">
        <v>40.0</v>
      </c>
      <c r="E1489" s="10" t="str">
        <f t="shared" si="3"/>
        <v>BIS40</v>
      </c>
      <c r="F1489" s="13">
        <v>80.0</v>
      </c>
      <c r="G1489" s="10" t="str">
        <f t="shared" si="8"/>
        <v>BIS40-80</v>
      </c>
      <c r="H1489" s="16"/>
      <c r="I1489" s="16" t="str">
        <f t="shared" si="5"/>
        <v>collected</v>
      </c>
      <c r="J1489" s="16" t="str">
        <f t="shared" si="6"/>
        <v>N</v>
      </c>
      <c r="K1489" s="16"/>
      <c r="L1489" s="16"/>
    </row>
    <row r="1490">
      <c r="A1490" s="40" t="s">
        <v>2033</v>
      </c>
      <c r="B1490" s="10" t="str">
        <f t="shared" si="1"/>
        <v>isotope</v>
      </c>
      <c r="C1490" s="49" t="str">
        <f t="shared" si="2"/>
        <v>S16640IS1</v>
      </c>
      <c r="D1490" s="6">
        <v>40.0</v>
      </c>
      <c r="E1490" s="10" t="str">
        <f t="shared" si="3"/>
        <v>BIS40</v>
      </c>
      <c r="F1490" s="13">
        <v>81.0</v>
      </c>
      <c r="G1490" s="10" t="str">
        <f t="shared" si="8"/>
        <v>BIS40-81</v>
      </c>
      <c r="H1490" s="16"/>
      <c r="I1490" s="16" t="str">
        <f t="shared" si="5"/>
        <v>collected</v>
      </c>
      <c r="J1490" s="16" t="str">
        <f t="shared" si="6"/>
        <v>N</v>
      </c>
      <c r="K1490" s="16"/>
      <c r="L1490" s="16"/>
    </row>
    <row r="1491">
      <c r="A1491" s="40" t="s">
        <v>2034</v>
      </c>
      <c r="B1491" s="10" t="str">
        <f t="shared" si="1"/>
        <v>isotope</v>
      </c>
      <c r="C1491" s="49" t="str">
        <f t="shared" si="2"/>
        <v>S16639IS1</v>
      </c>
      <c r="D1491" s="6">
        <v>42.0</v>
      </c>
      <c r="E1491" s="10" t="str">
        <f t="shared" si="3"/>
        <v>BIS42</v>
      </c>
      <c r="F1491" s="13">
        <v>1.0</v>
      </c>
      <c r="G1491" s="10" t="str">
        <f t="shared" si="8"/>
        <v>BIS42-1</v>
      </c>
      <c r="H1491" s="16"/>
      <c r="I1491" s="16" t="str">
        <f t="shared" si="5"/>
        <v>collected</v>
      </c>
      <c r="J1491" s="16" t="str">
        <f t="shared" si="6"/>
        <v>N</v>
      </c>
      <c r="K1491" s="16"/>
      <c r="L1491" s="16"/>
    </row>
    <row r="1492">
      <c r="A1492" s="40" t="s">
        <v>2035</v>
      </c>
      <c r="B1492" s="10" t="str">
        <f t="shared" si="1"/>
        <v>isotope</v>
      </c>
      <c r="C1492" s="49" t="str">
        <f t="shared" si="2"/>
        <v>S16634IS1</v>
      </c>
      <c r="D1492" s="6">
        <v>42.0</v>
      </c>
      <c r="E1492" s="10" t="str">
        <f t="shared" si="3"/>
        <v>BIS42</v>
      </c>
      <c r="F1492" s="13">
        <v>2.0</v>
      </c>
      <c r="G1492" s="10" t="str">
        <f t="shared" si="8"/>
        <v>BIS42-2</v>
      </c>
      <c r="H1492" s="16"/>
      <c r="I1492" s="16" t="str">
        <f t="shared" si="5"/>
        <v>collected</v>
      </c>
      <c r="J1492" s="16" t="str">
        <f t="shared" si="6"/>
        <v>N</v>
      </c>
      <c r="K1492" s="16"/>
      <c r="L1492" s="16"/>
    </row>
    <row r="1493">
      <c r="A1493" s="40" t="s">
        <v>2036</v>
      </c>
      <c r="B1493" s="10" t="str">
        <f t="shared" si="1"/>
        <v>isotope</v>
      </c>
      <c r="C1493" s="49" t="str">
        <f t="shared" si="2"/>
        <v>S16631IS1</v>
      </c>
      <c r="D1493" s="6">
        <v>42.0</v>
      </c>
      <c r="E1493" s="10" t="str">
        <f t="shared" si="3"/>
        <v>BIS42</v>
      </c>
      <c r="F1493" s="13">
        <v>3.0</v>
      </c>
      <c r="G1493" s="10" t="str">
        <f t="shared" si="8"/>
        <v>BIS42-3</v>
      </c>
      <c r="H1493" s="16"/>
      <c r="I1493" s="16" t="str">
        <f t="shared" si="5"/>
        <v>collected</v>
      </c>
      <c r="J1493" s="16" t="str">
        <f t="shared" si="6"/>
        <v>N</v>
      </c>
      <c r="K1493" s="16"/>
      <c r="L1493" s="16"/>
    </row>
    <row r="1494">
      <c r="A1494" s="40" t="s">
        <v>2037</v>
      </c>
      <c r="B1494" s="10" t="str">
        <f t="shared" si="1"/>
        <v>isotope</v>
      </c>
      <c r="C1494" s="49" t="str">
        <f t="shared" si="2"/>
        <v>S16636IS1</v>
      </c>
      <c r="D1494" s="6">
        <v>42.0</v>
      </c>
      <c r="E1494" s="10" t="str">
        <f t="shared" si="3"/>
        <v>BIS42</v>
      </c>
      <c r="F1494" s="13">
        <v>4.0</v>
      </c>
      <c r="G1494" s="10" t="str">
        <f t="shared" si="8"/>
        <v>BIS42-4</v>
      </c>
      <c r="H1494" s="16"/>
      <c r="I1494" s="16" t="str">
        <f t="shared" si="5"/>
        <v>collected</v>
      </c>
      <c r="J1494" s="16" t="str">
        <f t="shared" si="6"/>
        <v>N</v>
      </c>
      <c r="K1494" s="16"/>
      <c r="L1494" s="16"/>
    </row>
    <row r="1495">
      <c r="A1495" s="40" t="s">
        <v>2038</v>
      </c>
      <c r="B1495" s="10" t="str">
        <f t="shared" si="1"/>
        <v>isotope</v>
      </c>
      <c r="C1495" s="49" t="str">
        <f t="shared" si="2"/>
        <v>S16632IS1</v>
      </c>
      <c r="D1495" s="6">
        <v>42.0</v>
      </c>
      <c r="E1495" s="10" t="str">
        <f t="shared" si="3"/>
        <v>BIS42</v>
      </c>
      <c r="F1495" s="13">
        <v>5.0</v>
      </c>
      <c r="G1495" s="10" t="str">
        <f t="shared" si="8"/>
        <v>BIS42-5</v>
      </c>
      <c r="H1495" s="16"/>
      <c r="I1495" s="16" t="str">
        <f t="shared" si="5"/>
        <v>collected</v>
      </c>
      <c r="J1495" s="16" t="str">
        <f t="shared" si="6"/>
        <v>N</v>
      </c>
      <c r="K1495" s="16"/>
      <c r="L1495" s="16"/>
    </row>
    <row r="1496">
      <c r="A1496" s="40" t="s">
        <v>2039</v>
      </c>
      <c r="B1496" s="10" t="str">
        <f t="shared" si="1"/>
        <v>isotope</v>
      </c>
      <c r="C1496" s="49" t="str">
        <f t="shared" si="2"/>
        <v>S16638IS1</v>
      </c>
      <c r="D1496" s="6">
        <v>42.0</v>
      </c>
      <c r="E1496" s="10" t="str">
        <f t="shared" si="3"/>
        <v>BIS42</v>
      </c>
      <c r="F1496" s="13">
        <v>6.0</v>
      </c>
      <c r="G1496" s="10" t="str">
        <f t="shared" si="8"/>
        <v>BIS42-6</v>
      </c>
      <c r="H1496" s="16"/>
      <c r="I1496" s="16" t="str">
        <f t="shared" si="5"/>
        <v>collected</v>
      </c>
      <c r="J1496" s="16" t="str">
        <f t="shared" si="6"/>
        <v>N</v>
      </c>
      <c r="K1496" s="16"/>
      <c r="L1496" s="16"/>
    </row>
    <row r="1497">
      <c r="A1497" s="40" t="s">
        <v>2040</v>
      </c>
      <c r="B1497" s="10" t="str">
        <f t="shared" si="1"/>
        <v>isotope</v>
      </c>
      <c r="C1497" s="49" t="str">
        <f t="shared" si="2"/>
        <v>S16775IS1</v>
      </c>
      <c r="D1497" s="6">
        <v>41.0</v>
      </c>
      <c r="E1497" s="10" t="str">
        <f t="shared" si="3"/>
        <v>BIS41</v>
      </c>
      <c r="F1497" s="13">
        <v>10.0</v>
      </c>
      <c r="G1497" s="10" t="str">
        <f t="shared" si="8"/>
        <v>BIS41-10</v>
      </c>
      <c r="H1497" s="16"/>
      <c r="I1497" s="16" t="str">
        <f t="shared" si="5"/>
        <v>collected</v>
      </c>
      <c r="J1497" s="16" t="str">
        <f t="shared" si="6"/>
        <v>N</v>
      </c>
      <c r="K1497" s="16"/>
      <c r="L1497" s="16"/>
    </row>
    <row r="1498">
      <c r="A1498" s="40" t="s">
        <v>2041</v>
      </c>
      <c r="B1498" s="10" t="str">
        <f t="shared" si="1"/>
        <v>isotope</v>
      </c>
      <c r="C1498" s="49" t="str">
        <f t="shared" si="2"/>
        <v>S16772IS1</v>
      </c>
      <c r="D1498" s="6">
        <v>41.0</v>
      </c>
      <c r="E1498" s="10" t="str">
        <f t="shared" si="3"/>
        <v>BIS41</v>
      </c>
      <c r="F1498" s="13">
        <v>11.0</v>
      </c>
      <c r="G1498" s="10" t="str">
        <f t="shared" si="8"/>
        <v>BIS41-11</v>
      </c>
      <c r="H1498" s="16"/>
      <c r="I1498" s="16" t="str">
        <f t="shared" si="5"/>
        <v>collected</v>
      </c>
      <c r="J1498" s="16" t="str">
        <f t="shared" si="6"/>
        <v>N</v>
      </c>
      <c r="K1498" s="16"/>
      <c r="L1498" s="16"/>
    </row>
    <row r="1499">
      <c r="A1499" s="40" t="s">
        <v>2042</v>
      </c>
      <c r="B1499" s="10" t="str">
        <f t="shared" si="1"/>
        <v>isotope</v>
      </c>
      <c r="C1499" s="49" t="str">
        <f t="shared" si="2"/>
        <v>S16778IS1</v>
      </c>
      <c r="D1499" s="6">
        <v>41.0</v>
      </c>
      <c r="E1499" s="10" t="str">
        <f t="shared" si="3"/>
        <v>BIS41</v>
      </c>
      <c r="F1499" s="13">
        <v>12.0</v>
      </c>
      <c r="G1499" s="10" t="str">
        <f t="shared" si="8"/>
        <v>BIS41-12</v>
      </c>
      <c r="H1499" s="16"/>
      <c r="I1499" s="16" t="str">
        <f t="shared" si="5"/>
        <v>collected</v>
      </c>
      <c r="J1499" s="16" t="str">
        <f t="shared" si="6"/>
        <v>N</v>
      </c>
      <c r="K1499" s="16"/>
      <c r="L1499" s="16"/>
    </row>
    <row r="1500">
      <c r="A1500" s="40" t="s">
        <v>2043</v>
      </c>
      <c r="B1500" s="10" t="str">
        <f t="shared" si="1"/>
        <v>isotope</v>
      </c>
      <c r="C1500" s="49" t="str">
        <f t="shared" si="2"/>
        <v>S16777IS1</v>
      </c>
      <c r="D1500" s="6">
        <v>41.0</v>
      </c>
      <c r="E1500" s="10" t="str">
        <f t="shared" si="3"/>
        <v>BIS41</v>
      </c>
      <c r="F1500" s="13">
        <v>13.0</v>
      </c>
      <c r="G1500" s="10" t="str">
        <f t="shared" si="8"/>
        <v>BIS41-13</v>
      </c>
      <c r="H1500" s="16"/>
      <c r="I1500" s="16" t="str">
        <f t="shared" si="5"/>
        <v>collected</v>
      </c>
      <c r="J1500" s="16" t="str">
        <f t="shared" si="6"/>
        <v>N</v>
      </c>
      <c r="K1500" s="16"/>
      <c r="L1500" s="16"/>
    </row>
    <row r="1501">
      <c r="A1501" s="40" t="s">
        <v>2044</v>
      </c>
      <c r="B1501" s="10" t="str">
        <f t="shared" si="1"/>
        <v>isotope</v>
      </c>
      <c r="C1501" s="49" t="str">
        <f t="shared" si="2"/>
        <v>S16091IS1</v>
      </c>
      <c r="D1501" s="6">
        <v>41.0</v>
      </c>
      <c r="E1501" s="10" t="str">
        <f t="shared" si="3"/>
        <v>BIS41</v>
      </c>
      <c r="F1501" s="13">
        <v>14.0</v>
      </c>
      <c r="G1501" s="10" t="str">
        <f t="shared" si="8"/>
        <v>BIS41-14</v>
      </c>
      <c r="H1501" s="16"/>
      <c r="I1501" s="16" t="str">
        <f t="shared" si="5"/>
        <v>collected</v>
      </c>
      <c r="J1501" s="16" t="str">
        <f t="shared" si="6"/>
        <v>N</v>
      </c>
      <c r="K1501" s="16"/>
      <c r="L1501" s="16"/>
    </row>
    <row r="1502">
      <c r="A1502" s="40" t="s">
        <v>2045</v>
      </c>
      <c r="B1502" s="10" t="str">
        <f t="shared" si="1"/>
        <v>isotope</v>
      </c>
      <c r="C1502" s="49" t="str">
        <f t="shared" si="2"/>
        <v>S16097IS1</v>
      </c>
      <c r="D1502" s="6">
        <v>41.0</v>
      </c>
      <c r="E1502" s="10" t="str">
        <f t="shared" si="3"/>
        <v>BIS41</v>
      </c>
      <c r="F1502" s="13">
        <v>15.0</v>
      </c>
      <c r="G1502" s="10" t="str">
        <f t="shared" si="8"/>
        <v>BIS41-15</v>
      </c>
      <c r="H1502" s="16"/>
      <c r="I1502" s="16" t="str">
        <f t="shared" si="5"/>
        <v>collected</v>
      </c>
      <c r="J1502" s="16" t="str">
        <f t="shared" si="6"/>
        <v>N</v>
      </c>
      <c r="K1502" s="16"/>
      <c r="L1502" s="16"/>
    </row>
    <row r="1503">
      <c r="A1503" s="40" t="s">
        <v>2046</v>
      </c>
      <c r="B1503" s="10" t="str">
        <f t="shared" si="1"/>
        <v>isotope</v>
      </c>
      <c r="C1503" s="49" t="str">
        <f t="shared" si="2"/>
        <v>S16093IS1</v>
      </c>
      <c r="D1503" s="6">
        <v>41.0</v>
      </c>
      <c r="E1503" s="10" t="str">
        <f t="shared" si="3"/>
        <v>BIS41</v>
      </c>
      <c r="F1503" s="13">
        <v>16.0</v>
      </c>
      <c r="G1503" s="10" t="str">
        <f t="shared" si="8"/>
        <v>BIS41-16</v>
      </c>
      <c r="H1503" s="16"/>
      <c r="I1503" s="16" t="str">
        <f t="shared" si="5"/>
        <v>collected</v>
      </c>
      <c r="J1503" s="16" t="str">
        <f t="shared" si="6"/>
        <v>N</v>
      </c>
      <c r="K1503" s="16"/>
      <c r="L1503" s="16"/>
    </row>
    <row r="1504">
      <c r="A1504" s="40" t="s">
        <v>2047</v>
      </c>
      <c r="B1504" s="10" t="str">
        <f t="shared" si="1"/>
        <v>isotope</v>
      </c>
      <c r="C1504" s="49" t="str">
        <f t="shared" si="2"/>
        <v>S16092IS1</v>
      </c>
      <c r="D1504" s="6">
        <v>41.0</v>
      </c>
      <c r="E1504" s="10" t="str">
        <f t="shared" si="3"/>
        <v>BIS41</v>
      </c>
      <c r="F1504" s="13">
        <v>17.0</v>
      </c>
      <c r="G1504" s="10" t="str">
        <f t="shared" si="8"/>
        <v>BIS41-17</v>
      </c>
      <c r="H1504" s="16"/>
      <c r="I1504" s="16" t="str">
        <f t="shared" si="5"/>
        <v>collected</v>
      </c>
      <c r="J1504" s="16" t="str">
        <f t="shared" si="6"/>
        <v>N</v>
      </c>
      <c r="K1504" s="16"/>
      <c r="L1504" s="16"/>
    </row>
    <row r="1505">
      <c r="A1505" s="40" t="s">
        <v>2048</v>
      </c>
      <c r="B1505" s="10" t="str">
        <f t="shared" si="1"/>
        <v>isotope</v>
      </c>
      <c r="C1505" s="49" t="str">
        <f t="shared" si="2"/>
        <v>S16095IS1</v>
      </c>
      <c r="D1505" s="6">
        <v>41.0</v>
      </c>
      <c r="E1505" s="10" t="str">
        <f t="shared" si="3"/>
        <v>BIS41</v>
      </c>
      <c r="F1505" s="13">
        <v>18.0</v>
      </c>
      <c r="G1505" s="10" t="str">
        <f t="shared" si="8"/>
        <v>BIS41-18</v>
      </c>
      <c r="H1505" s="16"/>
      <c r="I1505" s="16" t="str">
        <f t="shared" si="5"/>
        <v>collected</v>
      </c>
      <c r="J1505" s="16" t="str">
        <f t="shared" si="6"/>
        <v>N</v>
      </c>
      <c r="K1505" s="16"/>
      <c r="L1505" s="16"/>
    </row>
    <row r="1506">
      <c r="A1506" s="40" t="s">
        <v>2049</v>
      </c>
      <c r="B1506" s="10" t="str">
        <f t="shared" si="1"/>
        <v>isotope</v>
      </c>
      <c r="C1506" s="49" t="str">
        <f t="shared" si="2"/>
        <v>S16098IS1</v>
      </c>
      <c r="D1506" s="6">
        <v>41.0</v>
      </c>
      <c r="E1506" s="10" t="str">
        <f t="shared" si="3"/>
        <v>BIS41</v>
      </c>
      <c r="F1506" s="13">
        <v>19.0</v>
      </c>
      <c r="G1506" s="10" t="str">
        <f t="shared" si="8"/>
        <v>BIS41-19</v>
      </c>
      <c r="H1506" s="16"/>
      <c r="I1506" s="16" t="str">
        <f t="shared" si="5"/>
        <v>collected</v>
      </c>
      <c r="J1506" s="16" t="str">
        <f t="shared" si="6"/>
        <v>N</v>
      </c>
      <c r="K1506" s="16"/>
      <c r="L1506" s="16"/>
    </row>
    <row r="1507">
      <c r="A1507" s="40" t="s">
        <v>2050</v>
      </c>
      <c r="B1507" s="10" t="str">
        <f t="shared" si="1"/>
        <v>isotope</v>
      </c>
      <c r="C1507" s="49" t="str">
        <f t="shared" si="2"/>
        <v>S16100IS1</v>
      </c>
      <c r="D1507" s="6">
        <v>41.0</v>
      </c>
      <c r="E1507" s="10" t="str">
        <f t="shared" si="3"/>
        <v>BIS41</v>
      </c>
      <c r="F1507" s="13">
        <v>20.0</v>
      </c>
      <c r="G1507" s="10" t="str">
        <f t="shared" si="8"/>
        <v>BIS41-20</v>
      </c>
      <c r="H1507" s="16"/>
      <c r="I1507" s="16" t="str">
        <f t="shared" si="5"/>
        <v>collected</v>
      </c>
      <c r="J1507" s="16" t="str">
        <f t="shared" si="6"/>
        <v>N</v>
      </c>
      <c r="K1507" s="16"/>
      <c r="L1507" s="16"/>
    </row>
    <row r="1508">
      <c r="A1508" s="40" t="s">
        <v>2051</v>
      </c>
      <c r="B1508" s="10" t="str">
        <f t="shared" si="1"/>
        <v>isotope</v>
      </c>
      <c r="C1508" s="49" t="str">
        <f t="shared" si="2"/>
        <v>S16096IS1</v>
      </c>
      <c r="D1508" s="6">
        <v>41.0</v>
      </c>
      <c r="E1508" s="10" t="str">
        <f t="shared" si="3"/>
        <v>BIS41</v>
      </c>
      <c r="F1508" s="13">
        <v>21.0</v>
      </c>
      <c r="G1508" s="10" t="str">
        <f t="shared" si="8"/>
        <v>BIS41-21</v>
      </c>
      <c r="H1508" s="16"/>
      <c r="I1508" s="16" t="str">
        <f t="shared" si="5"/>
        <v>collected</v>
      </c>
      <c r="J1508" s="16" t="str">
        <f t="shared" si="6"/>
        <v>N</v>
      </c>
      <c r="K1508" s="16"/>
      <c r="L1508" s="16"/>
    </row>
    <row r="1509">
      <c r="A1509" s="40" t="s">
        <v>2052</v>
      </c>
      <c r="B1509" s="10" t="str">
        <f t="shared" si="1"/>
        <v>isotope</v>
      </c>
      <c r="C1509" s="49" t="str">
        <f t="shared" si="2"/>
        <v>S16099IS1</v>
      </c>
      <c r="D1509" s="6">
        <v>41.0</v>
      </c>
      <c r="E1509" s="10" t="str">
        <f t="shared" si="3"/>
        <v>BIS41</v>
      </c>
      <c r="F1509" s="13">
        <v>22.0</v>
      </c>
      <c r="G1509" s="10" t="str">
        <f t="shared" si="8"/>
        <v>BIS41-22</v>
      </c>
      <c r="H1509" s="16"/>
      <c r="I1509" s="16" t="str">
        <f t="shared" si="5"/>
        <v>collected</v>
      </c>
      <c r="J1509" s="16" t="str">
        <f t="shared" si="6"/>
        <v>N</v>
      </c>
      <c r="K1509" s="16"/>
      <c r="L1509" s="16"/>
    </row>
    <row r="1510">
      <c r="A1510" s="40" t="s">
        <v>2053</v>
      </c>
      <c r="B1510" s="10" t="str">
        <f t="shared" si="1"/>
        <v>isotope</v>
      </c>
      <c r="C1510" s="49" t="str">
        <f t="shared" si="2"/>
        <v>S16094IS1</v>
      </c>
      <c r="D1510" s="6">
        <v>41.0</v>
      </c>
      <c r="E1510" s="10" t="str">
        <f t="shared" si="3"/>
        <v>BIS41</v>
      </c>
      <c r="F1510" s="13">
        <v>23.0</v>
      </c>
      <c r="G1510" s="10" t="str">
        <f t="shared" si="8"/>
        <v>BIS41-23</v>
      </c>
      <c r="H1510" s="16"/>
      <c r="I1510" s="16" t="str">
        <f t="shared" si="5"/>
        <v>collected</v>
      </c>
      <c r="J1510" s="16" t="str">
        <f t="shared" si="6"/>
        <v>N</v>
      </c>
      <c r="K1510" s="16"/>
      <c r="L1510" s="16"/>
    </row>
    <row r="1511">
      <c r="A1511" s="40" t="s">
        <v>2054</v>
      </c>
      <c r="B1511" s="10" t="str">
        <f t="shared" si="1"/>
        <v>isotope</v>
      </c>
      <c r="C1511" s="49" t="str">
        <f t="shared" si="2"/>
        <v>S17921IS1</v>
      </c>
      <c r="D1511" s="6">
        <v>41.0</v>
      </c>
      <c r="E1511" s="10" t="str">
        <f t="shared" si="3"/>
        <v>BIS41</v>
      </c>
      <c r="F1511" s="13">
        <v>24.0</v>
      </c>
      <c r="G1511" s="10" t="str">
        <f t="shared" si="8"/>
        <v>BIS41-24</v>
      </c>
      <c r="H1511" s="16"/>
      <c r="I1511" s="16" t="str">
        <f t="shared" si="5"/>
        <v>collected</v>
      </c>
      <c r="J1511" s="16" t="str">
        <f t="shared" si="6"/>
        <v>N</v>
      </c>
      <c r="K1511" s="16"/>
      <c r="L1511" s="16"/>
    </row>
    <row r="1512">
      <c r="A1512" s="40" t="s">
        <v>2055</v>
      </c>
      <c r="B1512" s="10" t="str">
        <f t="shared" si="1"/>
        <v>isotope</v>
      </c>
      <c r="C1512" s="49" t="str">
        <f t="shared" si="2"/>
        <v>S16691IS1</v>
      </c>
      <c r="D1512" s="6">
        <v>41.0</v>
      </c>
      <c r="E1512" s="10" t="str">
        <f t="shared" si="3"/>
        <v>BIS41</v>
      </c>
      <c r="F1512" s="13">
        <v>25.0</v>
      </c>
      <c r="G1512" s="10" t="str">
        <f t="shared" si="8"/>
        <v>BIS41-25</v>
      </c>
      <c r="H1512" s="16"/>
      <c r="I1512" s="16" t="str">
        <f t="shared" si="5"/>
        <v>collected</v>
      </c>
      <c r="J1512" s="16" t="str">
        <f t="shared" si="6"/>
        <v>N</v>
      </c>
      <c r="K1512" s="16"/>
      <c r="L1512" s="16"/>
    </row>
    <row r="1513">
      <c r="A1513" s="40" t="s">
        <v>2056</v>
      </c>
      <c r="B1513" s="10" t="str">
        <f t="shared" si="1"/>
        <v>isotope</v>
      </c>
      <c r="C1513" s="49" t="str">
        <f t="shared" si="2"/>
        <v>S16421IS1</v>
      </c>
      <c r="D1513" s="6">
        <v>41.0</v>
      </c>
      <c r="E1513" s="10" t="str">
        <f t="shared" si="3"/>
        <v>BIS41</v>
      </c>
      <c r="F1513" s="13">
        <v>26.0</v>
      </c>
      <c r="G1513" s="10" t="str">
        <f t="shared" si="8"/>
        <v>BIS41-26</v>
      </c>
      <c r="H1513" s="16"/>
      <c r="I1513" s="16" t="str">
        <f t="shared" si="5"/>
        <v>collected</v>
      </c>
      <c r="J1513" s="16" t="str">
        <f t="shared" si="6"/>
        <v>N</v>
      </c>
      <c r="K1513" s="16"/>
      <c r="L1513" s="16"/>
    </row>
    <row r="1514">
      <c r="A1514" s="40" t="s">
        <v>2057</v>
      </c>
      <c r="B1514" s="10" t="str">
        <f t="shared" si="1"/>
        <v>isotope</v>
      </c>
      <c r="C1514" s="49" t="str">
        <f t="shared" si="2"/>
        <v>S16422IS1</v>
      </c>
      <c r="D1514" s="6">
        <v>41.0</v>
      </c>
      <c r="E1514" s="10" t="str">
        <f t="shared" si="3"/>
        <v>BIS41</v>
      </c>
      <c r="F1514" s="13">
        <v>27.0</v>
      </c>
      <c r="G1514" s="10" t="str">
        <f t="shared" si="8"/>
        <v>BIS41-27</v>
      </c>
      <c r="H1514" s="16"/>
      <c r="I1514" s="16" t="str">
        <f t="shared" si="5"/>
        <v>collected</v>
      </c>
      <c r="J1514" s="16" t="str">
        <f t="shared" si="6"/>
        <v>N</v>
      </c>
      <c r="K1514" s="16"/>
      <c r="L1514" s="16"/>
    </row>
    <row r="1515">
      <c r="A1515" s="40" t="s">
        <v>2058</v>
      </c>
      <c r="B1515" s="10" t="str">
        <f t="shared" si="1"/>
        <v>isotope</v>
      </c>
      <c r="C1515" s="49" t="str">
        <f t="shared" si="2"/>
        <v>S16862IS1</v>
      </c>
      <c r="D1515" s="6">
        <v>41.0</v>
      </c>
      <c r="E1515" s="10" t="str">
        <f t="shared" si="3"/>
        <v>BIS41</v>
      </c>
      <c r="F1515" s="13">
        <v>28.0</v>
      </c>
      <c r="G1515" s="10" t="str">
        <f t="shared" si="8"/>
        <v>BIS41-28</v>
      </c>
      <c r="H1515" s="16"/>
      <c r="I1515" s="16" t="str">
        <f t="shared" si="5"/>
        <v>collected</v>
      </c>
      <c r="J1515" s="16" t="str">
        <f t="shared" si="6"/>
        <v>N</v>
      </c>
      <c r="K1515" s="16"/>
      <c r="L1515" s="16"/>
    </row>
    <row r="1516">
      <c r="A1516" s="40" t="s">
        <v>2059</v>
      </c>
      <c r="B1516" s="10" t="str">
        <f t="shared" si="1"/>
        <v>isotope</v>
      </c>
      <c r="C1516" s="49" t="str">
        <f t="shared" si="2"/>
        <v>S16863IS1</v>
      </c>
      <c r="D1516" s="6">
        <v>41.0</v>
      </c>
      <c r="E1516" s="10" t="str">
        <f t="shared" si="3"/>
        <v>BIS41</v>
      </c>
      <c r="F1516" s="13">
        <v>29.0</v>
      </c>
      <c r="G1516" s="10" t="str">
        <f t="shared" si="8"/>
        <v>BIS41-29</v>
      </c>
      <c r="H1516" s="16"/>
      <c r="I1516" s="16" t="str">
        <f t="shared" si="5"/>
        <v>collected</v>
      </c>
      <c r="J1516" s="16" t="str">
        <f t="shared" si="6"/>
        <v>N</v>
      </c>
      <c r="K1516" s="16"/>
      <c r="L1516" s="16"/>
    </row>
    <row r="1517">
      <c r="A1517" s="40" t="s">
        <v>2060</v>
      </c>
      <c r="B1517" s="10" t="str">
        <f t="shared" si="1"/>
        <v>isotope</v>
      </c>
      <c r="C1517" s="49" t="str">
        <f t="shared" si="2"/>
        <v>S16861IS1</v>
      </c>
      <c r="D1517" s="6">
        <v>41.0</v>
      </c>
      <c r="E1517" s="10" t="str">
        <f t="shared" si="3"/>
        <v>BIS41</v>
      </c>
      <c r="F1517" s="13">
        <v>30.0</v>
      </c>
      <c r="G1517" s="10" t="str">
        <f t="shared" si="8"/>
        <v>BIS41-30</v>
      </c>
      <c r="H1517" s="16"/>
      <c r="I1517" s="16" t="str">
        <f t="shared" si="5"/>
        <v>collected</v>
      </c>
      <c r="J1517" s="16" t="str">
        <f t="shared" si="6"/>
        <v>N</v>
      </c>
      <c r="K1517" s="16"/>
      <c r="L1517" s="16"/>
    </row>
    <row r="1518">
      <c r="A1518" s="40" t="s">
        <v>2061</v>
      </c>
      <c r="B1518" s="10" t="str">
        <f t="shared" si="1"/>
        <v>isotope</v>
      </c>
      <c r="C1518" s="49" t="str">
        <f t="shared" si="2"/>
        <v>S16721IS1</v>
      </c>
      <c r="D1518" s="6">
        <v>41.0</v>
      </c>
      <c r="E1518" s="10" t="str">
        <f t="shared" si="3"/>
        <v>BIS41</v>
      </c>
      <c r="F1518" s="13">
        <v>31.0</v>
      </c>
      <c r="G1518" s="10" t="str">
        <f t="shared" si="8"/>
        <v>BIS41-31</v>
      </c>
      <c r="H1518" s="16"/>
      <c r="I1518" s="16" t="str">
        <f t="shared" si="5"/>
        <v>collected</v>
      </c>
      <c r="J1518" s="16" t="str">
        <f t="shared" si="6"/>
        <v>N</v>
      </c>
      <c r="K1518" s="16"/>
      <c r="L1518" s="16"/>
    </row>
    <row r="1519">
      <c r="A1519" s="40" t="s">
        <v>2062</v>
      </c>
      <c r="B1519" s="10" t="str">
        <f t="shared" si="1"/>
        <v>isotope</v>
      </c>
      <c r="C1519" s="49" t="str">
        <f t="shared" si="2"/>
        <v>S16131IS1</v>
      </c>
      <c r="D1519" s="6">
        <v>41.0</v>
      </c>
      <c r="E1519" s="10" t="str">
        <f t="shared" si="3"/>
        <v>BIS41</v>
      </c>
      <c r="F1519" s="13">
        <v>32.0</v>
      </c>
      <c r="G1519" s="10" t="str">
        <f t="shared" si="8"/>
        <v>BIS41-32</v>
      </c>
      <c r="H1519" s="16"/>
      <c r="I1519" s="16" t="str">
        <f t="shared" si="5"/>
        <v>collected</v>
      </c>
      <c r="J1519" s="16" t="str">
        <f t="shared" si="6"/>
        <v>N</v>
      </c>
      <c r="K1519" s="16"/>
      <c r="L1519" s="16"/>
    </row>
    <row r="1520">
      <c r="A1520" s="27" t="s">
        <v>2063</v>
      </c>
      <c r="B1520" s="10" t="str">
        <f t="shared" si="1"/>
        <v>isotope</v>
      </c>
      <c r="C1520" s="49" t="str">
        <f t="shared" si="2"/>
        <v>S17841IS1</v>
      </c>
      <c r="D1520" s="6">
        <v>41.0</v>
      </c>
      <c r="E1520" s="10" t="str">
        <f t="shared" si="3"/>
        <v>BIS41</v>
      </c>
      <c r="F1520" s="13">
        <v>33.0</v>
      </c>
      <c r="G1520" s="10" t="str">
        <f t="shared" si="8"/>
        <v>BIS41-33</v>
      </c>
      <c r="H1520" s="16"/>
      <c r="I1520" s="16" t="str">
        <f t="shared" si="5"/>
        <v>collected</v>
      </c>
      <c r="J1520" s="16" t="str">
        <f t="shared" si="6"/>
        <v>N</v>
      </c>
      <c r="K1520" s="16"/>
      <c r="L1520" s="16"/>
    </row>
    <row r="1521">
      <c r="A1521" s="27" t="s">
        <v>2064</v>
      </c>
      <c r="B1521" s="10" t="str">
        <f t="shared" si="1"/>
        <v>isotope</v>
      </c>
      <c r="C1521" s="49" t="str">
        <f t="shared" si="2"/>
        <v>S16331IS1</v>
      </c>
      <c r="D1521" s="6">
        <v>41.0</v>
      </c>
      <c r="E1521" s="10" t="str">
        <f t="shared" si="3"/>
        <v>BIS41</v>
      </c>
      <c r="F1521" s="13">
        <v>34.0</v>
      </c>
      <c r="G1521" s="10" t="str">
        <f t="shared" si="8"/>
        <v>BIS41-34</v>
      </c>
      <c r="H1521" s="16"/>
      <c r="I1521" s="16" t="str">
        <f t="shared" si="5"/>
        <v>collected</v>
      </c>
      <c r="J1521" s="16" t="str">
        <f t="shared" si="6"/>
        <v>N</v>
      </c>
      <c r="K1521" s="16"/>
      <c r="L1521" s="16"/>
    </row>
    <row r="1522">
      <c r="A1522" s="27" t="s">
        <v>2065</v>
      </c>
      <c r="B1522" s="10" t="str">
        <f t="shared" si="1"/>
        <v>isotope</v>
      </c>
      <c r="C1522" s="49" t="str">
        <f t="shared" si="2"/>
        <v>S17481IS1</v>
      </c>
      <c r="D1522" s="6">
        <v>41.0</v>
      </c>
      <c r="E1522" s="10" t="str">
        <f t="shared" si="3"/>
        <v>BIS41</v>
      </c>
      <c r="F1522" s="13">
        <v>35.0</v>
      </c>
      <c r="G1522" s="10" t="str">
        <f t="shared" si="8"/>
        <v>BIS41-35</v>
      </c>
      <c r="H1522" s="16"/>
      <c r="I1522" s="16" t="str">
        <f t="shared" si="5"/>
        <v>collected</v>
      </c>
      <c r="J1522" s="16" t="str">
        <f t="shared" si="6"/>
        <v>N</v>
      </c>
      <c r="K1522" s="16"/>
      <c r="L1522" s="16"/>
    </row>
    <row r="1523">
      <c r="A1523" s="27" t="s">
        <v>2066</v>
      </c>
      <c r="B1523" s="10" t="str">
        <f t="shared" si="1"/>
        <v>isotope</v>
      </c>
      <c r="C1523" s="49" t="str">
        <f t="shared" si="2"/>
        <v>S16071IS1</v>
      </c>
      <c r="D1523" s="6">
        <v>41.0</v>
      </c>
      <c r="E1523" s="10" t="str">
        <f t="shared" si="3"/>
        <v>BIS41</v>
      </c>
      <c r="F1523" s="13">
        <v>36.0</v>
      </c>
      <c r="G1523" s="10" t="str">
        <f t="shared" si="8"/>
        <v>BIS41-36</v>
      </c>
      <c r="H1523" s="16"/>
      <c r="I1523" s="16" t="str">
        <f t="shared" si="5"/>
        <v>collected</v>
      </c>
      <c r="J1523" s="16" t="str">
        <f t="shared" si="6"/>
        <v>N</v>
      </c>
      <c r="K1523" s="16"/>
      <c r="L1523" s="16"/>
    </row>
    <row r="1524">
      <c r="A1524" s="27" t="s">
        <v>2067</v>
      </c>
      <c r="B1524" s="10" t="str">
        <f t="shared" si="1"/>
        <v>isotope</v>
      </c>
      <c r="C1524" s="49" t="str">
        <f t="shared" si="2"/>
        <v>S17031IS1</v>
      </c>
      <c r="D1524" s="6">
        <v>41.0</v>
      </c>
      <c r="E1524" s="10" t="str">
        <f t="shared" si="3"/>
        <v>BIS41</v>
      </c>
      <c r="F1524" s="13">
        <v>37.0</v>
      </c>
      <c r="G1524" s="10" t="str">
        <f t="shared" si="8"/>
        <v>BIS41-37</v>
      </c>
      <c r="H1524" s="16"/>
      <c r="I1524" s="16" t="str">
        <f t="shared" si="5"/>
        <v>collected</v>
      </c>
      <c r="J1524" s="16" t="str">
        <f t="shared" si="6"/>
        <v>N</v>
      </c>
      <c r="K1524" s="16"/>
      <c r="L1524" s="16"/>
    </row>
    <row r="1525">
      <c r="A1525" s="27" t="s">
        <v>2068</v>
      </c>
      <c r="B1525" s="10" t="str">
        <f t="shared" si="1"/>
        <v>isotope</v>
      </c>
      <c r="C1525" s="49" t="str">
        <f t="shared" si="2"/>
        <v>S17061IS1</v>
      </c>
      <c r="D1525" s="6">
        <v>41.0</v>
      </c>
      <c r="E1525" s="10" t="str">
        <f t="shared" si="3"/>
        <v>BIS41</v>
      </c>
      <c r="F1525" s="13">
        <v>38.0</v>
      </c>
      <c r="G1525" s="10" t="str">
        <f t="shared" si="8"/>
        <v>BIS41-38</v>
      </c>
      <c r="H1525" s="16"/>
      <c r="I1525" s="16" t="str">
        <f t="shared" si="5"/>
        <v>collected</v>
      </c>
      <c r="J1525" s="16" t="str">
        <f t="shared" si="6"/>
        <v>N</v>
      </c>
      <c r="K1525" s="16"/>
      <c r="L1525" s="16"/>
    </row>
    <row r="1526">
      <c r="A1526" s="27" t="s">
        <v>2069</v>
      </c>
      <c r="B1526" s="10" t="str">
        <f t="shared" si="1"/>
        <v>isotope</v>
      </c>
      <c r="C1526" s="49" t="str">
        <f t="shared" si="2"/>
        <v>S16381IS1</v>
      </c>
      <c r="D1526" s="6">
        <v>41.0</v>
      </c>
      <c r="E1526" s="10" t="str">
        <f t="shared" si="3"/>
        <v>BIS41</v>
      </c>
      <c r="F1526" s="13">
        <v>39.0</v>
      </c>
      <c r="G1526" s="10" t="str">
        <f t="shared" si="8"/>
        <v>BIS41-39</v>
      </c>
      <c r="H1526" s="16"/>
      <c r="I1526" s="16" t="str">
        <f t="shared" si="5"/>
        <v>collected</v>
      </c>
      <c r="J1526" s="16" t="str">
        <f t="shared" si="6"/>
        <v>N</v>
      </c>
      <c r="K1526" s="16"/>
      <c r="L1526" s="16"/>
    </row>
    <row r="1527">
      <c r="A1527" s="27" t="s">
        <v>2070</v>
      </c>
      <c r="B1527" s="10" t="str">
        <f t="shared" si="1"/>
        <v>isotope</v>
      </c>
      <c r="C1527" s="49" t="str">
        <f t="shared" si="2"/>
        <v>S16311IS1</v>
      </c>
      <c r="D1527" s="6">
        <v>41.0</v>
      </c>
      <c r="E1527" s="10" t="str">
        <f t="shared" si="3"/>
        <v>BIS41</v>
      </c>
      <c r="F1527" s="13">
        <v>40.0</v>
      </c>
      <c r="G1527" s="10" t="str">
        <f t="shared" si="8"/>
        <v>BIS41-40</v>
      </c>
      <c r="H1527" s="16"/>
      <c r="I1527" s="16" t="str">
        <f t="shared" si="5"/>
        <v>collected</v>
      </c>
      <c r="J1527" s="16" t="str">
        <f t="shared" si="6"/>
        <v>N</v>
      </c>
      <c r="K1527" s="16"/>
      <c r="L1527" s="16"/>
    </row>
    <row r="1528">
      <c r="A1528" s="27" t="s">
        <v>2071</v>
      </c>
      <c r="B1528" s="10" t="str">
        <f t="shared" si="1"/>
        <v>isotope</v>
      </c>
      <c r="C1528" s="49" t="str">
        <f t="shared" si="2"/>
        <v>S16312IS1</v>
      </c>
      <c r="D1528" s="6">
        <v>41.0</v>
      </c>
      <c r="E1528" s="10" t="str">
        <f t="shared" si="3"/>
        <v>BIS41</v>
      </c>
      <c r="F1528" s="13">
        <v>41.0</v>
      </c>
      <c r="G1528" s="10" t="str">
        <f t="shared" si="8"/>
        <v>BIS41-41</v>
      </c>
      <c r="H1528" s="16"/>
      <c r="I1528" s="16" t="str">
        <f t="shared" si="5"/>
        <v>collected</v>
      </c>
      <c r="J1528" s="16" t="str">
        <f t="shared" si="6"/>
        <v>N</v>
      </c>
      <c r="K1528" s="16"/>
      <c r="L1528" s="16"/>
    </row>
    <row r="1529">
      <c r="A1529" s="27" t="s">
        <v>2072</v>
      </c>
      <c r="B1529" s="10" t="str">
        <f t="shared" si="1"/>
        <v>isotope</v>
      </c>
      <c r="C1529" s="49" t="str">
        <f t="shared" si="2"/>
        <v>S16371IS1</v>
      </c>
      <c r="D1529" s="6">
        <v>41.0</v>
      </c>
      <c r="E1529" s="10" t="str">
        <f t="shared" si="3"/>
        <v>BIS41</v>
      </c>
      <c r="F1529" s="13">
        <v>42.0</v>
      </c>
      <c r="G1529" s="10" t="str">
        <f t="shared" si="8"/>
        <v>BIS41-42</v>
      </c>
      <c r="H1529" s="16"/>
      <c r="I1529" s="16" t="str">
        <f t="shared" si="5"/>
        <v>collected</v>
      </c>
      <c r="J1529" s="16" t="str">
        <f t="shared" si="6"/>
        <v>N</v>
      </c>
      <c r="K1529" s="16"/>
      <c r="L1529" s="16"/>
    </row>
    <row r="1530">
      <c r="A1530" s="27" t="s">
        <v>2073</v>
      </c>
      <c r="B1530" s="10" t="str">
        <f t="shared" si="1"/>
        <v>isotope</v>
      </c>
      <c r="C1530" s="49" t="str">
        <f t="shared" si="2"/>
        <v>S16372IS1</v>
      </c>
      <c r="D1530" s="6">
        <v>41.0</v>
      </c>
      <c r="E1530" s="10" t="str">
        <f t="shared" si="3"/>
        <v>BIS41</v>
      </c>
      <c r="F1530" s="13">
        <v>43.0</v>
      </c>
      <c r="G1530" s="10" t="str">
        <f t="shared" si="8"/>
        <v>BIS41-43</v>
      </c>
      <c r="H1530" s="16"/>
      <c r="I1530" s="16" t="str">
        <f t="shared" si="5"/>
        <v>collected</v>
      </c>
      <c r="J1530" s="16" t="str">
        <f t="shared" si="6"/>
        <v>N</v>
      </c>
      <c r="K1530" s="16"/>
      <c r="L1530" s="16"/>
    </row>
    <row r="1531">
      <c r="A1531" s="27" t="s">
        <v>2074</v>
      </c>
      <c r="B1531" s="10" t="str">
        <f t="shared" si="1"/>
        <v>isotope</v>
      </c>
      <c r="C1531" s="49" t="str">
        <f t="shared" si="2"/>
        <v>S16171IS1</v>
      </c>
      <c r="D1531" s="6">
        <v>41.0</v>
      </c>
      <c r="E1531" s="10" t="str">
        <f t="shared" si="3"/>
        <v>BIS41</v>
      </c>
      <c r="F1531" s="13">
        <v>44.0</v>
      </c>
      <c r="G1531" s="10" t="str">
        <f t="shared" si="8"/>
        <v>BIS41-44</v>
      </c>
      <c r="H1531" s="16"/>
      <c r="I1531" s="16" t="str">
        <f t="shared" si="5"/>
        <v>collected</v>
      </c>
      <c r="J1531" s="16" t="str">
        <f t="shared" si="6"/>
        <v>N</v>
      </c>
      <c r="K1531" s="16"/>
      <c r="L1531" s="16"/>
    </row>
    <row r="1532">
      <c r="A1532" s="27" t="s">
        <v>2075</v>
      </c>
      <c r="B1532" s="10" t="str">
        <f t="shared" si="1"/>
        <v>isotope</v>
      </c>
      <c r="C1532" s="49" t="str">
        <f t="shared" si="2"/>
        <v>S16172IS1</v>
      </c>
      <c r="D1532" s="6">
        <v>41.0</v>
      </c>
      <c r="E1532" s="10" t="str">
        <f t="shared" si="3"/>
        <v>BIS41</v>
      </c>
      <c r="F1532" s="13">
        <v>45.0</v>
      </c>
      <c r="G1532" s="10" t="str">
        <f t="shared" si="8"/>
        <v>BIS41-45</v>
      </c>
      <c r="H1532" s="16"/>
      <c r="I1532" s="16" t="str">
        <f t="shared" si="5"/>
        <v>collected</v>
      </c>
      <c r="J1532" s="16" t="str">
        <f t="shared" si="6"/>
        <v>N</v>
      </c>
      <c r="K1532" s="16"/>
      <c r="L1532" s="16"/>
    </row>
    <row r="1533">
      <c r="A1533" s="27" t="s">
        <v>2076</v>
      </c>
      <c r="B1533" s="10" t="str">
        <f t="shared" si="1"/>
        <v>isotope</v>
      </c>
      <c r="C1533" s="49" t="str">
        <f t="shared" si="2"/>
        <v>S16216IS1</v>
      </c>
      <c r="D1533" s="6">
        <v>41.0</v>
      </c>
      <c r="E1533" s="10" t="str">
        <f t="shared" si="3"/>
        <v>BIS41</v>
      </c>
      <c r="F1533" s="13">
        <v>46.0</v>
      </c>
      <c r="G1533" s="10" t="str">
        <f t="shared" si="8"/>
        <v>BIS41-46</v>
      </c>
      <c r="H1533" s="16"/>
      <c r="I1533" s="16" t="str">
        <f t="shared" si="5"/>
        <v>collected</v>
      </c>
      <c r="J1533" s="16" t="str">
        <f t="shared" si="6"/>
        <v>N</v>
      </c>
      <c r="K1533" s="16"/>
      <c r="L1533" s="16"/>
    </row>
    <row r="1534">
      <c r="A1534" s="27" t="s">
        <v>2077</v>
      </c>
      <c r="B1534" s="10" t="str">
        <f t="shared" si="1"/>
        <v>isotope</v>
      </c>
      <c r="C1534" s="49" t="str">
        <f t="shared" si="2"/>
        <v>S16211IS1</v>
      </c>
      <c r="D1534" s="6">
        <v>41.0</v>
      </c>
      <c r="E1534" s="10" t="str">
        <f t="shared" si="3"/>
        <v>BIS41</v>
      </c>
      <c r="F1534" s="13">
        <v>47.0</v>
      </c>
      <c r="G1534" s="10" t="str">
        <f t="shared" si="8"/>
        <v>BIS41-47</v>
      </c>
      <c r="H1534" s="16"/>
      <c r="I1534" s="16" t="str">
        <f t="shared" si="5"/>
        <v>collected</v>
      </c>
      <c r="J1534" s="16" t="str">
        <f t="shared" si="6"/>
        <v>N</v>
      </c>
      <c r="K1534" s="16"/>
      <c r="L1534" s="16"/>
    </row>
    <row r="1535">
      <c r="A1535" s="27" t="s">
        <v>2078</v>
      </c>
      <c r="B1535" s="10" t="str">
        <f t="shared" si="1"/>
        <v>isotope</v>
      </c>
      <c r="C1535" s="49" t="str">
        <f t="shared" si="2"/>
        <v>S16212IS1</v>
      </c>
      <c r="D1535" s="6">
        <v>41.0</v>
      </c>
      <c r="E1535" s="10" t="str">
        <f t="shared" si="3"/>
        <v>BIS41</v>
      </c>
      <c r="F1535" s="13">
        <v>48.0</v>
      </c>
      <c r="G1535" s="10" t="str">
        <f t="shared" si="8"/>
        <v>BIS41-48</v>
      </c>
      <c r="H1535" s="16"/>
      <c r="I1535" s="16" t="str">
        <f t="shared" si="5"/>
        <v>collected</v>
      </c>
      <c r="J1535" s="16" t="str">
        <f t="shared" si="6"/>
        <v>N</v>
      </c>
      <c r="K1535" s="16"/>
      <c r="L1535" s="16"/>
    </row>
    <row r="1536">
      <c r="A1536" s="27" t="s">
        <v>2079</v>
      </c>
      <c r="B1536" s="10" t="str">
        <f t="shared" si="1"/>
        <v>isotope</v>
      </c>
      <c r="C1536" s="49" t="str">
        <f t="shared" si="2"/>
        <v>S16213IS1</v>
      </c>
      <c r="D1536" s="6">
        <v>41.0</v>
      </c>
      <c r="E1536" s="10" t="str">
        <f t="shared" si="3"/>
        <v>BIS41</v>
      </c>
      <c r="F1536" s="13">
        <v>49.0</v>
      </c>
      <c r="G1536" s="10" t="str">
        <f t="shared" si="8"/>
        <v>BIS41-49</v>
      </c>
      <c r="H1536" s="16"/>
      <c r="I1536" s="16" t="str">
        <f t="shared" si="5"/>
        <v>collected</v>
      </c>
      <c r="J1536" s="16" t="str">
        <f t="shared" si="6"/>
        <v>N</v>
      </c>
      <c r="K1536" s="16"/>
      <c r="L1536" s="16"/>
    </row>
    <row r="1537">
      <c r="A1537" s="27" t="s">
        <v>2080</v>
      </c>
      <c r="B1537" s="10" t="str">
        <f t="shared" si="1"/>
        <v>isotope</v>
      </c>
      <c r="C1537" s="49" t="str">
        <f t="shared" si="2"/>
        <v>S16215IS1</v>
      </c>
      <c r="D1537" s="6">
        <v>41.0</v>
      </c>
      <c r="E1537" s="10" t="str">
        <f t="shared" si="3"/>
        <v>BIS41</v>
      </c>
      <c r="F1537" s="13">
        <v>50.0</v>
      </c>
      <c r="G1537" s="10" t="str">
        <f t="shared" si="8"/>
        <v>BIS41-50</v>
      </c>
      <c r="H1537" s="16"/>
      <c r="I1537" s="16" t="str">
        <f t="shared" si="5"/>
        <v>collected</v>
      </c>
      <c r="J1537" s="16" t="str">
        <f t="shared" si="6"/>
        <v>N</v>
      </c>
      <c r="K1537" s="16"/>
      <c r="L1537" s="16"/>
    </row>
    <row r="1538">
      <c r="A1538" s="27" t="s">
        <v>2081</v>
      </c>
      <c r="B1538" s="10" t="str">
        <f t="shared" si="1"/>
        <v>isotope</v>
      </c>
      <c r="C1538" s="49" t="str">
        <f t="shared" si="2"/>
        <v>S16214IS1</v>
      </c>
      <c r="D1538" s="6">
        <v>41.0</v>
      </c>
      <c r="E1538" s="10" t="str">
        <f t="shared" si="3"/>
        <v>BIS41</v>
      </c>
      <c r="F1538" s="13">
        <v>51.0</v>
      </c>
      <c r="G1538" s="10" t="str">
        <f t="shared" si="8"/>
        <v>BIS41-51</v>
      </c>
      <c r="H1538" s="16"/>
      <c r="I1538" s="16" t="str">
        <f t="shared" si="5"/>
        <v>collected</v>
      </c>
      <c r="J1538" s="16" t="str">
        <f t="shared" si="6"/>
        <v>N</v>
      </c>
      <c r="K1538" s="16"/>
      <c r="L1538" s="16"/>
    </row>
    <row r="1539">
      <c r="A1539" s="27" t="s">
        <v>2082</v>
      </c>
      <c r="B1539" s="10" t="str">
        <f t="shared" si="1"/>
        <v>isotope</v>
      </c>
      <c r="C1539" s="49" t="str">
        <f t="shared" si="2"/>
        <v>S17641IS1</v>
      </c>
      <c r="D1539" s="6">
        <v>41.0</v>
      </c>
      <c r="E1539" s="10" t="str">
        <f t="shared" si="3"/>
        <v>BIS41</v>
      </c>
      <c r="F1539" s="13">
        <v>52.0</v>
      </c>
      <c r="G1539" s="10" t="str">
        <f t="shared" si="8"/>
        <v>BIS41-52</v>
      </c>
      <c r="H1539" s="16"/>
      <c r="I1539" s="16" t="str">
        <f t="shared" si="5"/>
        <v>collected</v>
      </c>
      <c r="J1539" s="16" t="str">
        <f t="shared" si="6"/>
        <v>N</v>
      </c>
      <c r="K1539" s="16"/>
      <c r="L1539" s="16"/>
    </row>
    <row r="1540">
      <c r="A1540" s="27" t="s">
        <v>2083</v>
      </c>
      <c r="B1540" s="10" t="str">
        <f t="shared" si="1"/>
        <v>isotope</v>
      </c>
      <c r="C1540" s="49" t="str">
        <f t="shared" si="2"/>
        <v>S16531IS1</v>
      </c>
      <c r="D1540" s="6">
        <v>41.0</v>
      </c>
      <c r="E1540" s="10" t="str">
        <f t="shared" si="3"/>
        <v>BIS41</v>
      </c>
      <c r="F1540" s="13">
        <v>53.0</v>
      </c>
      <c r="G1540" s="10" t="str">
        <f t="shared" si="8"/>
        <v>BIS41-53</v>
      </c>
      <c r="H1540" s="16"/>
      <c r="I1540" s="16" t="str">
        <f t="shared" si="5"/>
        <v>collected</v>
      </c>
      <c r="J1540" s="16" t="str">
        <f t="shared" si="6"/>
        <v>N</v>
      </c>
      <c r="K1540" s="16"/>
      <c r="L1540" s="16"/>
    </row>
    <row r="1541">
      <c r="A1541" s="27" t="s">
        <v>2084</v>
      </c>
      <c r="B1541" s="10" t="str">
        <f t="shared" si="1"/>
        <v>isotope</v>
      </c>
      <c r="C1541" s="49" t="str">
        <f t="shared" si="2"/>
        <v>S17431IS1</v>
      </c>
      <c r="D1541" s="6">
        <v>41.0</v>
      </c>
      <c r="E1541" s="10" t="str">
        <f t="shared" si="3"/>
        <v>BIS41</v>
      </c>
      <c r="F1541" s="13">
        <v>54.0</v>
      </c>
      <c r="G1541" s="10" t="str">
        <f t="shared" si="8"/>
        <v>BIS41-54</v>
      </c>
      <c r="H1541" s="16"/>
      <c r="I1541" s="16" t="str">
        <f t="shared" si="5"/>
        <v>collected</v>
      </c>
      <c r="J1541" s="16" t="str">
        <f t="shared" si="6"/>
        <v>N</v>
      </c>
      <c r="K1541" s="16"/>
      <c r="L1541" s="16"/>
    </row>
    <row r="1542">
      <c r="A1542" s="40" t="s">
        <v>2085</v>
      </c>
      <c r="B1542" s="10" t="str">
        <f t="shared" si="1"/>
        <v>isotope</v>
      </c>
      <c r="C1542" s="49" t="str">
        <f t="shared" si="2"/>
        <v>S16633IS1</v>
      </c>
      <c r="D1542" s="6">
        <v>42.0</v>
      </c>
      <c r="E1542" s="10" t="str">
        <f t="shared" si="3"/>
        <v>BIS42</v>
      </c>
      <c r="F1542" s="13">
        <v>7.0</v>
      </c>
      <c r="G1542" s="10" t="str">
        <f t="shared" si="8"/>
        <v>BIS42-7</v>
      </c>
      <c r="H1542" s="16"/>
      <c r="I1542" s="16" t="str">
        <f t="shared" si="5"/>
        <v>collected</v>
      </c>
      <c r="J1542" s="16" t="str">
        <f t="shared" si="6"/>
        <v>N</v>
      </c>
      <c r="K1542" s="16"/>
      <c r="L1542" s="16"/>
    </row>
    <row r="1543">
      <c r="A1543" s="40" t="s">
        <v>2086</v>
      </c>
      <c r="B1543" s="10" t="str">
        <f t="shared" si="1"/>
        <v>isotope</v>
      </c>
      <c r="C1543" s="49" t="str">
        <f t="shared" si="2"/>
        <v>S16637IS1</v>
      </c>
      <c r="D1543" s="6">
        <v>42.0</v>
      </c>
      <c r="E1543" s="10" t="str">
        <f t="shared" si="3"/>
        <v>BIS42</v>
      </c>
      <c r="F1543" s="13">
        <v>8.0</v>
      </c>
      <c r="G1543" s="10" t="str">
        <f t="shared" si="8"/>
        <v>BIS42-8</v>
      </c>
      <c r="H1543" s="16"/>
      <c r="I1543" s="16" t="str">
        <f t="shared" si="5"/>
        <v>collected</v>
      </c>
      <c r="J1543" s="16" t="str">
        <f t="shared" si="6"/>
        <v>N</v>
      </c>
      <c r="K1543" s="16"/>
      <c r="L1543" s="16"/>
    </row>
    <row r="1544">
      <c r="A1544" s="40" t="s">
        <v>2087</v>
      </c>
      <c r="B1544" s="10" t="str">
        <f t="shared" si="1"/>
        <v>isotope</v>
      </c>
      <c r="C1544" s="49" t="str">
        <f t="shared" si="2"/>
        <v>S17250IS1</v>
      </c>
      <c r="D1544" s="6">
        <v>42.0</v>
      </c>
      <c r="E1544" s="10" t="str">
        <f t="shared" si="3"/>
        <v>BIS42</v>
      </c>
      <c r="F1544" s="13">
        <v>9.0</v>
      </c>
      <c r="G1544" s="10" t="str">
        <f t="shared" si="8"/>
        <v>BIS42-9</v>
      </c>
      <c r="H1544" s="16"/>
      <c r="I1544" s="16" t="str">
        <f t="shared" si="5"/>
        <v>collected</v>
      </c>
      <c r="J1544" s="16" t="str">
        <f t="shared" si="6"/>
        <v>N</v>
      </c>
      <c r="K1544" s="16"/>
      <c r="L1544" s="16"/>
    </row>
    <row r="1545">
      <c r="A1545" s="40" t="s">
        <v>2088</v>
      </c>
      <c r="B1545" s="10" t="str">
        <f t="shared" si="1"/>
        <v>isotope</v>
      </c>
      <c r="C1545" s="49" t="str">
        <f t="shared" si="2"/>
        <v>S17249IS1</v>
      </c>
      <c r="D1545" s="6">
        <v>42.0</v>
      </c>
      <c r="E1545" s="10" t="str">
        <f t="shared" si="3"/>
        <v>BIS42</v>
      </c>
      <c r="F1545" s="13">
        <v>10.0</v>
      </c>
      <c r="G1545" s="10" t="str">
        <f t="shared" si="8"/>
        <v>BIS42-10</v>
      </c>
      <c r="H1545" s="16"/>
      <c r="I1545" s="16" t="str">
        <f t="shared" si="5"/>
        <v>collected</v>
      </c>
      <c r="J1545" s="16" t="str">
        <f t="shared" si="6"/>
        <v>N</v>
      </c>
      <c r="K1545" s="16"/>
      <c r="L1545" s="16"/>
    </row>
    <row r="1546">
      <c r="A1546" s="40" t="s">
        <v>2089</v>
      </c>
      <c r="B1546" s="10" t="str">
        <f t="shared" si="1"/>
        <v>isotope</v>
      </c>
      <c r="C1546" s="49" t="str">
        <f t="shared" si="2"/>
        <v>S17247IS1</v>
      </c>
      <c r="D1546" s="6">
        <v>42.0</v>
      </c>
      <c r="E1546" s="10" t="str">
        <f t="shared" si="3"/>
        <v>BIS42</v>
      </c>
      <c r="F1546" s="13">
        <v>11.0</v>
      </c>
      <c r="G1546" s="10" t="str">
        <f t="shared" si="8"/>
        <v>BIS42-11</v>
      </c>
      <c r="H1546" s="16"/>
      <c r="I1546" s="16" t="str">
        <f t="shared" si="5"/>
        <v>collected</v>
      </c>
      <c r="J1546" s="16" t="str">
        <f t="shared" si="6"/>
        <v>N</v>
      </c>
      <c r="K1546" s="16"/>
      <c r="L1546" s="16"/>
    </row>
    <row r="1547">
      <c r="A1547" s="40" t="s">
        <v>2090</v>
      </c>
      <c r="B1547" s="10" t="str">
        <f t="shared" si="1"/>
        <v>isotope</v>
      </c>
      <c r="C1547" s="49" t="str">
        <f t="shared" si="2"/>
        <v>S17248IS1</v>
      </c>
      <c r="D1547" s="6">
        <v>42.0</v>
      </c>
      <c r="E1547" s="10" t="str">
        <f t="shared" si="3"/>
        <v>BIS42</v>
      </c>
      <c r="F1547" s="13">
        <v>12.0</v>
      </c>
      <c r="G1547" s="10" t="str">
        <f t="shared" si="8"/>
        <v>BIS42-12</v>
      </c>
      <c r="H1547" s="16"/>
      <c r="I1547" s="16" t="str">
        <f t="shared" si="5"/>
        <v>collected</v>
      </c>
      <c r="J1547" s="16" t="str">
        <f t="shared" si="6"/>
        <v>N</v>
      </c>
      <c r="K1547" s="16"/>
      <c r="L1547" s="16"/>
    </row>
    <row r="1548">
      <c r="A1548" s="40" t="s">
        <v>2091</v>
      </c>
      <c r="B1548" s="10" t="str">
        <f t="shared" si="1"/>
        <v>isotope</v>
      </c>
      <c r="C1548" s="49" t="str">
        <f t="shared" si="2"/>
        <v>S17245IS1</v>
      </c>
      <c r="D1548" s="6">
        <v>42.0</v>
      </c>
      <c r="E1548" s="10" t="str">
        <f t="shared" si="3"/>
        <v>BIS42</v>
      </c>
      <c r="F1548" s="13">
        <v>13.0</v>
      </c>
      <c r="G1548" s="10" t="str">
        <f t="shared" si="8"/>
        <v>BIS42-13</v>
      </c>
      <c r="H1548" s="16"/>
      <c r="I1548" s="16" t="str">
        <f t="shared" si="5"/>
        <v>collected</v>
      </c>
      <c r="J1548" s="16" t="str">
        <f t="shared" si="6"/>
        <v>N</v>
      </c>
      <c r="K1548" s="16"/>
      <c r="L1548" s="16"/>
    </row>
    <row r="1549">
      <c r="A1549" s="40" t="s">
        <v>2092</v>
      </c>
      <c r="B1549" s="10" t="str">
        <f t="shared" si="1"/>
        <v>isotope</v>
      </c>
      <c r="C1549" s="49" t="str">
        <f t="shared" si="2"/>
        <v>S17246IS1</v>
      </c>
      <c r="D1549" s="6">
        <v>42.0</v>
      </c>
      <c r="E1549" s="10" t="str">
        <f t="shared" si="3"/>
        <v>BIS42</v>
      </c>
      <c r="F1549" s="13">
        <v>14.0</v>
      </c>
      <c r="G1549" s="10" t="str">
        <f t="shared" si="8"/>
        <v>BIS42-14</v>
      </c>
      <c r="H1549" s="16"/>
      <c r="I1549" s="16" t="str">
        <f t="shared" si="5"/>
        <v>collected</v>
      </c>
      <c r="J1549" s="16" t="str">
        <f t="shared" si="6"/>
        <v>N</v>
      </c>
      <c r="K1549" s="16"/>
      <c r="L1549" s="16"/>
    </row>
    <row r="1550">
      <c r="A1550" s="40" t="s">
        <v>2094</v>
      </c>
      <c r="B1550" s="10" t="str">
        <f t="shared" si="1"/>
        <v>isotope</v>
      </c>
      <c r="C1550" s="49" t="str">
        <f t="shared" si="2"/>
        <v>S17243IS1</v>
      </c>
      <c r="D1550" s="6">
        <v>42.0</v>
      </c>
      <c r="E1550" s="10" t="str">
        <f t="shared" si="3"/>
        <v>BIS42</v>
      </c>
      <c r="F1550" s="13">
        <v>15.0</v>
      </c>
      <c r="G1550" s="10" t="str">
        <f t="shared" si="8"/>
        <v>BIS42-15</v>
      </c>
      <c r="H1550" s="16"/>
      <c r="I1550" s="16" t="str">
        <f t="shared" si="5"/>
        <v>collected</v>
      </c>
      <c r="J1550" s="16" t="str">
        <f t="shared" si="6"/>
        <v>N</v>
      </c>
      <c r="K1550" s="16"/>
      <c r="L1550" s="16"/>
    </row>
    <row r="1551">
      <c r="A1551" s="40" t="s">
        <v>2095</v>
      </c>
      <c r="B1551" s="10" t="str">
        <f t="shared" si="1"/>
        <v>isotope</v>
      </c>
      <c r="C1551" s="49" t="str">
        <f t="shared" si="2"/>
        <v>S17244IS1</v>
      </c>
      <c r="D1551" s="6">
        <v>42.0</v>
      </c>
      <c r="E1551" s="10" t="str">
        <f t="shared" si="3"/>
        <v>BIS42</v>
      </c>
      <c r="F1551" s="13">
        <v>16.0</v>
      </c>
      <c r="G1551" s="10" t="str">
        <f t="shared" si="8"/>
        <v>BIS42-16</v>
      </c>
      <c r="H1551" s="16"/>
      <c r="I1551" s="16" t="str">
        <f t="shared" si="5"/>
        <v>collected</v>
      </c>
      <c r="J1551" s="16" t="str">
        <f t="shared" si="6"/>
        <v>N</v>
      </c>
      <c r="K1551" s="16"/>
      <c r="L1551" s="16"/>
    </row>
    <row r="1552">
      <c r="A1552" s="40" t="s">
        <v>2096</v>
      </c>
      <c r="B1552" s="10" t="str">
        <f t="shared" si="1"/>
        <v>isotope</v>
      </c>
      <c r="C1552" s="49" t="str">
        <f t="shared" si="2"/>
        <v>S17242IS1</v>
      </c>
      <c r="D1552" s="6">
        <v>42.0</v>
      </c>
      <c r="E1552" s="10" t="str">
        <f t="shared" si="3"/>
        <v>BIS42</v>
      </c>
      <c r="F1552" s="13">
        <v>17.0</v>
      </c>
      <c r="G1552" s="10" t="str">
        <f t="shared" si="8"/>
        <v>BIS42-17</v>
      </c>
      <c r="H1552" s="16"/>
      <c r="I1552" s="16" t="str">
        <f t="shared" si="5"/>
        <v>collected</v>
      </c>
      <c r="J1552" s="16" t="str">
        <f t="shared" si="6"/>
        <v>N</v>
      </c>
      <c r="K1552" s="16"/>
      <c r="L1552" s="16"/>
    </row>
    <row r="1553">
      <c r="A1553" s="40" t="s">
        <v>2097</v>
      </c>
      <c r="B1553" s="10" t="str">
        <f t="shared" si="1"/>
        <v>isotope</v>
      </c>
      <c r="C1553" s="49" t="str">
        <f t="shared" si="2"/>
        <v>S17241IS1</v>
      </c>
      <c r="D1553" s="6">
        <v>42.0</v>
      </c>
      <c r="E1553" s="10" t="str">
        <f t="shared" si="3"/>
        <v>BIS42</v>
      </c>
      <c r="F1553" s="13">
        <v>18.0</v>
      </c>
      <c r="G1553" s="10" t="str">
        <f t="shared" si="8"/>
        <v>BIS42-18</v>
      </c>
      <c r="H1553" s="16"/>
      <c r="I1553" s="16" t="str">
        <f t="shared" si="5"/>
        <v>collected</v>
      </c>
      <c r="J1553" s="16" t="str">
        <f t="shared" si="6"/>
        <v>N</v>
      </c>
      <c r="K1553" s="16"/>
      <c r="L1553" s="16"/>
    </row>
    <row r="1554">
      <c r="A1554" s="40" t="s">
        <v>2098</v>
      </c>
      <c r="B1554" s="10" t="str">
        <f t="shared" si="1"/>
        <v>isotope</v>
      </c>
      <c r="C1554" s="49" t="str">
        <f t="shared" si="2"/>
        <v>S16851IS1</v>
      </c>
      <c r="D1554" s="6">
        <v>42.0</v>
      </c>
      <c r="E1554" s="10" t="str">
        <f t="shared" si="3"/>
        <v>BIS42</v>
      </c>
      <c r="F1554" s="13">
        <v>19.0</v>
      </c>
      <c r="G1554" s="10" t="str">
        <f t="shared" si="8"/>
        <v>BIS42-19</v>
      </c>
      <c r="H1554" s="16"/>
      <c r="I1554" s="16" t="str">
        <f t="shared" si="5"/>
        <v>collected</v>
      </c>
      <c r="J1554" s="16" t="str">
        <f t="shared" si="6"/>
        <v>N</v>
      </c>
      <c r="K1554" s="16"/>
      <c r="L1554" s="16"/>
    </row>
    <row r="1555">
      <c r="A1555" s="40" t="s">
        <v>2099</v>
      </c>
      <c r="B1555" s="10" t="str">
        <f t="shared" si="1"/>
        <v>isotope</v>
      </c>
      <c r="C1555" s="49" t="str">
        <f t="shared" si="2"/>
        <v>S16855IS1</v>
      </c>
      <c r="D1555" s="6">
        <v>42.0</v>
      </c>
      <c r="E1555" s="10" t="str">
        <f t="shared" si="3"/>
        <v>BIS42</v>
      </c>
      <c r="F1555" s="13">
        <v>20.0</v>
      </c>
      <c r="G1555" s="10" t="str">
        <f t="shared" si="8"/>
        <v>BIS42-20</v>
      </c>
      <c r="H1555" s="16"/>
      <c r="I1555" s="16" t="str">
        <f t="shared" si="5"/>
        <v>collected</v>
      </c>
      <c r="J1555" s="16" t="str">
        <f t="shared" si="6"/>
        <v>N</v>
      </c>
      <c r="K1555" s="16"/>
      <c r="L1555" s="16"/>
    </row>
    <row r="1556">
      <c r="A1556" s="40" t="s">
        <v>2100</v>
      </c>
      <c r="B1556" s="10" t="str">
        <f t="shared" si="1"/>
        <v>isotope</v>
      </c>
      <c r="C1556" s="49" t="str">
        <f t="shared" si="2"/>
        <v>S16852IS1</v>
      </c>
      <c r="D1556" s="6">
        <v>42.0</v>
      </c>
      <c r="E1556" s="10" t="str">
        <f t="shared" si="3"/>
        <v>BIS42</v>
      </c>
      <c r="F1556" s="13">
        <v>21.0</v>
      </c>
      <c r="G1556" s="10" t="str">
        <f t="shared" si="8"/>
        <v>BIS42-21</v>
      </c>
      <c r="H1556" s="16"/>
      <c r="I1556" s="16" t="str">
        <f t="shared" si="5"/>
        <v>collected</v>
      </c>
      <c r="J1556" s="16" t="str">
        <f t="shared" si="6"/>
        <v>N</v>
      </c>
      <c r="K1556" s="16"/>
      <c r="L1556" s="16"/>
    </row>
    <row r="1557">
      <c r="A1557" s="40" t="s">
        <v>2101</v>
      </c>
      <c r="B1557" s="10" t="str">
        <f t="shared" si="1"/>
        <v>isotope</v>
      </c>
      <c r="C1557" s="49" t="str">
        <f t="shared" si="2"/>
        <v>S16854IS1</v>
      </c>
      <c r="D1557" s="6">
        <v>42.0</v>
      </c>
      <c r="E1557" s="10" t="str">
        <f t="shared" si="3"/>
        <v>BIS42</v>
      </c>
      <c r="F1557" s="13">
        <v>22.0</v>
      </c>
      <c r="G1557" s="10" t="str">
        <f t="shared" si="8"/>
        <v>BIS42-22</v>
      </c>
      <c r="H1557" s="16"/>
      <c r="I1557" s="16" t="str">
        <f t="shared" si="5"/>
        <v>collected</v>
      </c>
      <c r="J1557" s="16" t="str">
        <f t="shared" si="6"/>
        <v>N</v>
      </c>
      <c r="K1557" s="16"/>
      <c r="L1557" s="16"/>
    </row>
    <row r="1558">
      <c r="A1558" s="40" t="s">
        <v>2102</v>
      </c>
      <c r="B1558" s="10" t="str">
        <f t="shared" si="1"/>
        <v>isotope</v>
      </c>
      <c r="C1558" s="49" t="str">
        <f t="shared" si="2"/>
        <v>S16853IS1</v>
      </c>
      <c r="D1558" s="6">
        <v>42.0</v>
      </c>
      <c r="E1558" s="10" t="str">
        <f t="shared" si="3"/>
        <v>BIS42</v>
      </c>
      <c r="F1558" s="13">
        <v>23.0</v>
      </c>
      <c r="G1558" s="10" t="str">
        <f t="shared" si="8"/>
        <v>BIS42-23</v>
      </c>
      <c r="H1558" s="16"/>
      <c r="I1558" s="16" t="str">
        <f t="shared" si="5"/>
        <v>collected</v>
      </c>
      <c r="J1558" s="16" t="str">
        <f t="shared" si="6"/>
        <v>N</v>
      </c>
      <c r="K1558" s="16"/>
      <c r="L1558" s="16"/>
    </row>
  </sheetData>
  <autoFilter ref="$A$1:$L$1019"/>
  <conditionalFormatting sqref="J1:J1558">
    <cfRule type="cellIs" dxfId="0" priority="1" operator="equal">
      <formula>"Y"</formula>
    </cfRule>
  </conditionalFormatting>
  <dataValidations>
    <dataValidation type="decimal" allowBlank="1" showDropDown="1" showErrorMessage="1" sqref="F2:F563 F565 F567 F569 F571 F573 F575 F577 F579 F581 F583:F1558">
      <formula1>1.0</formula1>
      <formula2>100.0</formula2>
    </dataValidation>
    <dataValidation type="decimal" allowBlank="1" showDropDown="1" showErrorMessage="1" sqref="F564 F566 F568 F570 F572 F574 F576 F578 F580 F582">
      <formula1>1.0</formula1>
      <formula2>100.0</formula2>
    </dataValidation>
    <dataValidation type="list" allowBlank="1" showDropDown="1" showInputMessage="1" showErrorMessage="1" prompt="Ensure there are no duplicate UFNs" sqref="A1:A583 A601:A976 A993:A1558">
      <formula1>fish_lab_data!$C:$C</formula1>
    </dataValidation>
  </dataValidations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93C47D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8" max="8" width="25.14"/>
  </cols>
  <sheetData>
    <row r="1">
      <c r="A1" s="1" t="s">
        <v>0</v>
      </c>
      <c r="B1" s="4" t="s">
        <v>1</v>
      </c>
      <c r="C1" s="48" t="s">
        <v>16</v>
      </c>
      <c r="D1" s="1" t="s">
        <v>2190</v>
      </c>
      <c r="E1" s="4" t="s">
        <v>18</v>
      </c>
      <c r="F1" s="53" t="s">
        <v>21</v>
      </c>
      <c r="G1" s="4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</row>
    <row r="2">
      <c r="A2" s="6" t="s">
        <v>28</v>
      </c>
      <c r="B2" s="10" t="str">
        <f t="shared" ref="B2:B1558" si="1">if(isblank(A2),"","extra_muscle")</f>
        <v>extra_muscle</v>
      </c>
      <c r="C2" s="49" t="str">
        <f t="shared" ref="C2:C1558" si="2">if(isblank(A2),"",concatenate("S",mid(A2,2,5),"XM1"))</f>
        <v>S5471XM1</v>
      </c>
      <c r="D2" s="6">
        <v>22.0</v>
      </c>
      <c r="E2" s="10" t="str">
        <f t="shared" ref="E2:E1558" si="3">if(isblank(D2),"",concatenate("BXM",D2))</f>
        <v>BXM22</v>
      </c>
      <c r="F2" s="13">
        <v>85.0</v>
      </c>
      <c r="G2" s="10" t="str">
        <f t="shared" ref="G2:G563" si="4">if(isblank(F2),"",concatenate(E2,"-",F2))</f>
        <v>BXM22-85</v>
      </c>
      <c r="H2" s="18"/>
      <c r="I2" s="16" t="str">
        <f t="shared" ref="I2:I1558" si="5">if(G2="","","collected")</f>
        <v>collected</v>
      </c>
      <c r="J2" s="16" t="str">
        <f t="shared" ref="J2:J1558" si="6">if(G2="","",if(or(countif(A:A,A2)&gt;1,countif(G:G,G2)&gt;1),"Y","N"))</f>
        <v>N</v>
      </c>
      <c r="K2" s="16"/>
      <c r="L2" s="16"/>
    </row>
    <row r="3">
      <c r="A3" s="6" t="s">
        <v>55</v>
      </c>
      <c r="B3" s="10" t="str">
        <f t="shared" si="1"/>
        <v>extra_muscle</v>
      </c>
      <c r="C3" s="49" t="str">
        <f t="shared" si="2"/>
        <v>S5472XM1</v>
      </c>
      <c r="D3" s="6">
        <v>22.0</v>
      </c>
      <c r="E3" s="10" t="str">
        <f t="shared" si="3"/>
        <v>BXM22</v>
      </c>
      <c r="F3" s="13">
        <v>84.0</v>
      </c>
      <c r="G3" s="10" t="str">
        <f t="shared" si="4"/>
        <v>BXM22-84</v>
      </c>
      <c r="H3" s="18"/>
      <c r="I3" s="16" t="str">
        <f t="shared" si="5"/>
        <v>collected</v>
      </c>
      <c r="J3" s="16" t="str">
        <f t="shared" si="6"/>
        <v>N</v>
      </c>
      <c r="K3" s="16"/>
      <c r="L3" s="16"/>
    </row>
    <row r="4">
      <c r="A4" s="6" t="s">
        <v>59</v>
      </c>
      <c r="B4" s="10" t="str">
        <f t="shared" si="1"/>
        <v>extra_muscle</v>
      </c>
      <c r="C4" s="49" t="str">
        <f t="shared" si="2"/>
        <v>S5473XM1</v>
      </c>
      <c r="D4" s="6">
        <v>22.0</v>
      </c>
      <c r="E4" s="10" t="str">
        <f t="shared" si="3"/>
        <v>BXM22</v>
      </c>
      <c r="F4" s="13">
        <v>83.0</v>
      </c>
      <c r="G4" s="10" t="str">
        <f t="shared" si="4"/>
        <v>BXM22-83</v>
      </c>
      <c r="I4" s="16" t="str">
        <f t="shared" si="5"/>
        <v>collected</v>
      </c>
      <c r="J4" s="16" t="str">
        <f t="shared" si="6"/>
        <v>N</v>
      </c>
      <c r="K4" s="16"/>
      <c r="L4" s="16"/>
    </row>
    <row r="5">
      <c r="A5" s="6" t="s">
        <v>65</v>
      </c>
      <c r="B5" s="10" t="str">
        <f t="shared" si="1"/>
        <v>extra_muscle</v>
      </c>
      <c r="C5" s="49" t="str">
        <f t="shared" si="2"/>
        <v>S5474XM1</v>
      </c>
      <c r="D5" s="6">
        <v>22.0</v>
      </c>
      <c r="E5" s="10" t="str">
        <f t="shared" si="3"/>
        <v>BXM22</v>
      </c>
      <c r="F5" s="13">
        <v>82.0</v>
      </c>
      <c r="G5" s="10" t="str">
        <f t="shared" si="4"/>
        <v>BXM22-82</v>
      </c>
      <c r="I5" s="16" t="str">
        <f t="shared" si="5"/>
        <v>collected</v>
      </c>
      <c r="J5" s="16" t="str">
        <f t="shared" si="6"/>
        <v>N</v>
      </c>
      <c r="K5" s="16"/>
      <c r="L5" s="16"/>
    </row>
    <row r="6">
      <c r="A6" s="6" t="s">
        <v>67</v>
      </c>
      <c r="B6" s="10" t="str">
        <f t="shared" si="1"/>
        <v>extra_muscle</v>
      </c>
      <c r="C6" s="49" t="str">
        <f t="shared" si="2"/>
        <v>S5475XM1</v>
      </c>
      <c r="D6" s="6">
        <v>22.0</v>
      </c>
      <c r="E6" s="10" t="str">
        <f t="shared" si="3"/>
        <v>BXM22</v>
      </c>
      <c r="F6" s="13">
        <v>81.0</v>
      </c>
      <c r="G6" s="10" t="str">
        <f t="shared" si="4"/>
        <v>BXM22-81</v>
      </c>
      <c r="I6" s="16" t="str">
        <f t="shared" si="5"/>
        <v>collected</v>
      </c>
      <c r="J6" s="16" t="str">
        <f t="shared" si="6"/>
        <v>N</v>
      </c>
      <c r="K6" s="16"/>
      <c r="L6" s="16"/>
    </row>
    <row r="7">
      <c r="A7" s="6" t="s">
        <v>71</v>
      </c>
      <c r="B7" s="10" t="str">
        <f t="shared" si="1"/>
        <v>extra_muscle</v>
      </c>
      <c r="C7" s="49" t="str">
        <f t="shared" si="2"/>
        <v>S5476XM1</v>
      </c>
      <c r="D7" s="6">
        <v>22.0</v>
      </c>
      <c r="E7" s="10" t="str">
        <f t="shared" si="3"/>
        <v>BXM22</v>
      </c>
      <c r="F7" s="13">
        <v>80.0</v>
      </c>
      <c r="G7" s="10" t="str">
        <f t="shared" si="4"/>
        <v>BXM22-80</v>
      </c>
      <c r="H7" s="15"/>
      <c r="I7" s="16" t="str">
        <f t="shared" si="5"/>
        <v>collected</v>
      </c>
      <c r="J7" s="16" t="str">
        <f t="shared" si="6"/>
        <v>N</v>
      </c>
      <c r="K7" s="16"/>
      <c r="L7" s="16"/>
    </row>
    <row r="8">
      <c r="A8" s="6" t="s">
        <v>73</v>
      </c>
      <c r="B8" s="10" t="str">
        <f t="shared" si="1"/>
        <v>extra_muscle</v>
      </c>
      <c r="C8" s="49" t="str">
        <f t="shared" si="2"/>
        <v>S5477XM1</v>
      </c>
      <c r="D8" s="6">
        <v>22.0</v>
      </c>
      <c r="E8" s="10" t="str">
        <f t="shared" si="3"/>
        <v>BXM22</v>
      </c>
      <c r="F8" s="13">
        <v>79.0</v>
      </c>
      <c r="G8" s="10" t="str">
        <f t="shared" si="4"/>
        <v>BXM22-79</v>
      </c>
      <c r="H8" s="15"/>
      <c r="I8" s="16" t="str">
        <f t="shared" si="5"/>
        <v>collected</v>
      </c>
      <c r="J8" s="16" t="str">
        <f t="shared" si="6"/>
        <v>N</v>
      </c>
      <c r="K8" s="16"/>
      <c r="L8" s="16"/>
    </row>
    <row r="9">
      <c r="A9" s="6" t="s">
        <v>75</v>
      </c>
      <c r="B9" s="10" t="str">
        <f t="shared" si="1"/>
        <v>extra_muscle</v>
      </c>
      <c r="C9" s="49" t="str">
        <f t="shared" si="2"/>
        <v>S5478XM1</v>
      </c>
      <c r="D9" s="6">
        <v>22.0</v>
      </c>
      <c r="E9" s="10" t="str">
        <f t="shared" si="3"/>
        <v>BXM22</v>
      </c>
      <c r="F9" s="13">
        <v>78.0</v>
      </c>
      <c r="G9" s="10" t="str">
        <f t="shared" si="4"/>
        <v>BXM22-78</v>
      </c>
      <c r="H9" s="15"/>
      <c r="I9" s="16" t="str">
        <f t="shared" si="5"/>
        <v>collected</v>
      </c>
      <c r="J9" s="16" t="str">
        <f t="shared" si="6"/>
        <v>N</v>
      </c>
      <c r="K9" s="16"/>
      <c r="L9" s="16"/>
    </row>
    <row r="10">
      <c r="A10" s="6" t="s">
        <v>77</v>
      </c>
      <c r="B10" s="10" t="str">
        <f t="shared" si="1"/>
        <v>extra_muscle</v>
      </c>
      <c r="C10" s="49" t="str">
        <f t="shared" si="2"/>
        <v>S5479XM1</v>
      </c>
      <c r="D10" s="6">
        <v>22.0</v>
      </c>
      <c r="E10" s="10" t="str">
        <f t="shared" si="3"/>
        <v>BXM22</v>
      </c>
      <c r="F10" s="13">
        <v>77.0</v>
      </c>
      <c r="G10" s="10" t="str">
        <f t="shared" si="4"/>
        <v>BXM22-77</v>
      </c>
      <c r="H10" s="15"/>
      <c r="I10" s="16" t="str">
        <f t="shared" si="5"/>
        <v>collected</v>
      </c>
      <c r="J10" s="16" t="str">
        <f t="shared" si="6"/>
        <v>N</v>
      </c>
      <c r="K10" s="16"/>
      <c r="L10" s="16"/>
    </row>
    <row r="11">
      <c r="A11" s="6" t="s">
        <v>79</v>
      </c>
      <c r="B11" s="10" t="str">
        <f t="shared" si="1"/>
        <v>extra_muscle</v>
      </c>
      <c r="C11" s="49" t="str">
        <f t="shared" si="2"/>
        <v>S5480XM1</v>
      </c>
      <c r="D11" s="6">
        <v>22.0</v>
      </c>
      <c r="E11" s="10" t="str">
        <f t="shared" si="3"/>
        <v>BXM22</v>
      </c>
      <c r="F11" s="13">
        <v>75.0</v>
      </c>
      <c r="G11" s="10" t="str">
        <f t="shared" si="4"/>
        <v>BXM22-75</v>
      </c>
      <c r="H11" s="15"/>
      <c r="I11" s="16" t="str">
        <f t="shared" si="5"/>
        <v>collected</v>
      </c>
      <c r="J11" s="16" t="str">
        <f t="shared" si="6"/>
        <v>N</v>
      </c>
      <c r="K11" s="16"/>
      <c r="L11" s="16"/>
    </row>
    <row r="12">
      <c r="A12" s="6" t="s">
        <v>82</v>
      </c>
      <c r="B12" s="10" t="str">
        <f t="shared" si="1"/>
        <v>extra_muscle</v>
      </c>
      <c r="C12" s="49" t="str">
        <f t="shared" si="2"/>
        <v>S5481XM1</v>
      </c>
      <c r="D12" s="6">
        <v>22.0</v>
      </c>
      <c r="E12" s="10" t="str">
        <f t="shared" si="3"/>
        <v>BXM22</v>
      </c>
      <c r="F12" s="13">
        <v>74.0</v>
      </c>
      <c r="G12" s="10" t="str">
        <f t="shared" si="4"/>
        <v>BXM22-74</v>
      </c>
      <c r="H12" s="15"/>
      <c r="I12" s="16" t="str">
        <f t="shared" si="5"/>
        <v>collected</v>
      </c>
      <c r="J12" s="16" t="str">
        <f t="shared" si="6"/>
        <v>N</v>
      </c>
      <c r="K12" s="16"/>
      <c r="L12" s="16"/>
    </row>
    <row r="13">
      <c r="A13" s="6" t="s">
        <v>85</v>
      </c>
      <c r="B13" s="10" t="str">
        <f t="shared" si="1"/>
        <v>extra_muscle</v>
      </c>
      <c r="C13" s="49" t="str">
        <f t="shared" si="2"/>
        <v>S5482XM1</v>
      </c>
      <c r="D13" s="6">
        <v>22.0</v>
      </c>
      <c r="E13" s="10" t="str">
        <f t="shared" si="3"/>
        <v>BXM22</v>
      </c>
      <c r="F13" s="13">
        <v>73.0</v>
      </c>
      <c r="G13" s="10" t="str">
        <f t="shared" si="4"/>
        <v>BXM22-73</v>
      </c>
      <c r="H13" s="15"/>
      <c r="I13" s="16" t="str">
        <f t="shared" si="5"/>
        <v>collected</v>
      </c>
      <c r="J13" s="16" t="str">
        <f t="shared" si="6"/>
        <v>N</v>
      </c>
      <c r="K13" s="16"/>
      <c r="L13" s="16"/>
    </row>
    <row r="14">
      <c r="A14" s="6" t="s">
        <v>86</v>
      </c>
      <c r="B14" s="10" t="str">
        <f t="shared" si="1"/>
        <v>extra_muscle</v>
      </c>
      <c r="C14" s="49" t="str">
        <f t="shared" si="2"/>
        <v>S5483XM1</v>
      </c>
      <c r="D14" s="6">
        <v>22.0</v>
      </c>
      <c r="E14" s="10" t="str">
        <f t="shared" si="3"/>
        <v>BXM22</v>
      </c>
      <c r="F14" s="13">
        <v>72.0</v>
      </c>
      <c r="G14" s="10" t="str">
        <f t="shared" si="4"/>
        <v>BXM22-72</v>
      </c>
      <c r="H14" s="15"/>
      <c r="I14" s="16" t="str">
        <f t="shared" si="5"/>
        <v>collected</v>
      </c>
      <c r="J14" s="16" t="str">
        <f t="shared" si="6"/>
        <v>N</v>
      </c>
      <c r="K14" s="16"/>
      <c r="L14" s="16"/>
    </row>
    <row r="15">
      <c r="A15" s="6" t="s">
        <v>87</v>
      </c>
      <c r="B15" s="10" t="str">
        <f t="shared" si="1"/>
        <v>extra_muscle</v>
      </c>
      <c r="C15" s="49" t="str">
        <f t="shared" si="2"/>
        <v>S5484XM1</v>
      </c>
      <c r="D15" s="6">
        <v>22.0</v>
      </c>
      <c r="E15" s="10" t="str">
        <f t="shared" si="3"/>
        <v>BXM22</v>
      </c>
      <c r="F15" s="13">
        <v>71.0</v>
      </c>
      <c r="G15" s="10" t="str">
        <f t="shared" si="4"/>
        <v>BXM22-71</v>
      </c>
      <c r="H15" s="15"/>
      <c r="I15" s="16" t="str">
        <f t="shared" si="5"/>
        <v>collected</v>
      </c>
      <c r="J15" s="16" t="str">
        <f t="shared" si="6"/>
        <v>N</v>
      </c>
      <c r="K15" s="16"/>
      <c r="L15" s="16"/>
    </row>
    <row r="16">
      <c r="A16" s="6" t="s">
        <v>89</v>
      </c>
      <c r="B16" s="10" t="str">
        <f t="shared" si="1"/>
        <v>extra_muscle</v>
      </c>
      <c r="C16" s="49" t="str">
        <f t="shared" si="2"/>
        <v>S5115XM1</v>
      </c>
      <c r="D16" s="6">
        <v>22.0</v>
      </c>
      <c r="E16" s="10" t="str">
        <f t="shared" si="3"/>
        <v>BXM22</v>
      </c>
      <c r="F16" s="13">
        <v>70.0</v>
      </c>
      <c r="G16" s="10" t="str">
        <f t="shared" si="4"/>
        <v>BXM22-70</v>
      </c>
      <c r="H16" s="15"/>
      <c r="I16" s="16" t="str">
        <f t="shared" si="5"/>
        <v>collected</v>
      </c>
      <c r="J16" s="16" t="str">
        <f t="shared" si="6"/>
        <v>N</v>
      </c>
      <c r="K16" s="16"/>
      <c r="L16" s="16"/>
    </row>
    <row r="17">
      <c r="A17" s="6" t="s">
        <v>90</v>
      </c>
      <c r="B17" s="10" t="str">
        <f t="shared" si="1"/>
        <v>extra_muscle</v>
      </c>
      <c r="C17" s="49" t="str">
        <f t="shared" si="2"/>
        <v>S5485XM1</v>
      </c>
      <c r="D17" s="6">
        <v>22.0</v>
      </c>
      <c r="E17" s="10" t="str">
        <f t="shared" si="3"/>
        <v>BXM22</v>
      </c>
      <c r="F17" s="13">
        <v>69.0</v>
      </c>
      <c r="G17" s="10" t="str">
        <f t="shared" si="4"/>
        <v>BXM22-69</v>
      </c>
      <c r="H17" s="15"/>
      <c r="I17" s="16" t="str">
        <f t="shared" si="5"/>
        <v>collected</v>
      </c>
      <c r="J17" s="16" t="str">
        <f t="shared" si="6"/>
        <v>N</v>
      </c>
      <c r="K17" s="16"/>
      <c r="L17" s="16"/>
    </row>
    <row r="18">
      <c r="A18" s="6" t="s">
        <v>92</v>
      </c>
      <c r="B18" s="10" t="str">
        <f t="shared" si="1"/>
        <v>extra_muscle</v>
      </c>
      <c r="C18" s="49" t="str">
        <f t="shared" si="2"/>
        <v>S5486XM1</v>
      </c>
      <c r="D18" s="6">
        <v>22.0</v>
      </c>
      <c r="E18" s="10" t="str">
        <f t="shared" si="3"/>
        <v>BXM22</v>
      </c>
      <c r="F18" s="13">
        <v>68.0</v>
      </c>
      <c r="G18" s="10" t="str">
        <f t="shared" si="4"/>
        <v>BXM22-68</v>
      </c>
      <c r="H18" s="15"/>
      <c r="I18" s="16" t="str">
        <f t="shared" si="5"/>
        <v>collected</v>
      </c>
      <c r="J18" s="16" t="str">
        <f t="shared" si="6"/>
        <v>N</v>
      </c>
      <c r="K18" s="16"/>
      <c r="L18" s="16"/>
    </row>
    <row r="19">
      <c r="A19" s="6" t="s">
        <v>93</v>
      </c>
      <c r="B19" s="10" t="str">
        <f t="shared" si="1"/>
        <v>extra_muscle</v>
      </c>
      <c r="C19" s="49" t="str">
        <f t="shared" si="2"/>
        <v>S5487XM1</v>
      </c>
      <c r="D19" s="6">
        <v>22.0</v>
      </c>
      <c r="E19" s="10" t="str">
        <f t="shared" si="3"/>
        <v>BXM22</v>
      </c>
      <c r="F19" s="13">
        <v>67.0</v>
      </c>
      <c r="G19" s="10" t="str">
        <f t="shared" si="4"/>
        <v>BXM22-67</v>
      </c>
      <c r="H19" s="18"/>
      <c r="I19" s="16" t="str">
        <f t="shared" si="5"/>
        <v>collected</v>
      </c>
      <c r="J19" s="16" t="str">
        <f t="shared" si="6"/>
        <v>N</v>
      </c>
      <c r="K19" s="16"/>
      <c r="L19" s="16"/>
    </row>
    <row r="20">
      <c r="A20" s="6" t="s">
        <v>95</v>
      </c>
      <c r="B20" s="10" t="str">
        <f t="shared" si="1"/>
        <v>extra_muscle</v>
      </c>
      <c r="C20" s="49" t="str">
        <f t="shared" si="2"/>
        <v>S5488XM1</v>
      </c>
      <c r="D20" s="6">
        <v>22.0</v>
      </c>
      <c r="E20" s="10" t="str">
        <f t="shared" si="3"/>
        <v>BXM22</v>
      </c>
      <c r="F20" s="13">
        <v>65.0</v>
      </c>
      <c r="G20" s="10" t="str">
        <f t="shared" si="4"/>
        <v>BXM22-65</v>
      </c>
      <c r="H20" s="18"/>
      <c r="I20" s="16" t="str">
        <f t="shared" si="5"/>
        <v>collected</v>
      </c>
      <c r="J20" s="16" t="str">
        <f t="shared" si="6"/>
        <v>N</v>
      </c>
      <c r="K20" s="16"/>
      <c r="L20" s="16"/>
    </row>
    <row r="21">
      <c r="A21" s="6" t="s">
        <v>96</v>
      </c>
      <c r="B21" s="10" t="str">
        <f t="shared" si="1"/>
        <v>extra_muscle</v>
      </c>
      <c r="C21" s="49" t="str">
        <f t="shared" si="2"/>
        <v>S5489XM1</v>
      </c>
      <c r="D21" s="6">
        <v>22.0</v>
      </c>
      <c r="E21" s="10" t="str">
        <f t="shared" si="3"/>
        <v>BXM22</v>
      </c>
      <c r="F21" s="13">
        <v>64.0</v>
      </c>
      <c r="G21" s="10" t="str">
        <f t="shared" si="4"/>
        <v>BXM22-64</v>
      </c>
      <c r="H21" s="18"/>
      <c r="I21" s="16" t="str">
        <f t="shared" si="5"/>
        <v>collected</v>
      </c>
      <c r="J21" s="16" t="str">
        <f t="shared" si="6"/>
        <v>N</v>
      </c>
      <c r="K21" s="16"/>
      <c r="L21" s="16"/>
    </row>
    <row r="22">
      <c r="A22" s="6" t="s">
        <v>99</v>
      </c>
      <c r="B22" s="10" t="str">
        <f t="shared" si="1"/>
        <v>extra_muscle</v>
      </c>
      <c r="C22" s="49" t="str">
        <f t="shared" si="2"/>
        <v>S5490XM1</v>
      </c>
      <c r="D22" s="6">
        <v>14.0</v>
      </c>
      <c r="E22" s="10" t="str">
        <f t="shared" si="3"/>
        <v>BXM14</v>
      </c>
      <c r="F22" s="13">
        <v>17.0</v>
      </c>
      <c r="G22" s="10" t="str">
        <f t="shared" si="4"/>
        <v>BXM14-17</v>
      </c>
      <c r="H22" s="18"/>
      <c r="I22" s="16" t="str">
        <f t="shared" si="5"/>
        <v>collected</v>
      </c>
      <c r="J22" s="16" t="str">
        <f t="shared" si="6"/>
        <v>N</v>
      </c>
      <c r="K22" s="16"/>
      <c r="L22" s="16"/>
    </row>
    <row r="23">
      <c r="A23" s="6" t="s">
        <v>100</v>
      </c>
      <c r="B23" s="10" t="str">
        <f t="shared" si="1"/>
        <v>extra_muscle</v>
      </c>
      <c r="C23" s="49" t="str">
        <f t="shared" si="2"/>
        <v>S5491XM1</v>
      </c>
      <c r="D23" s="6">
        <v>14.0</v>
      </c>
      <c r="E23" s="10" t="str">
        <f t="shared" si="3"/>
        <v>BXM14</v>
      </c>
      <c r="F23" s="13">
        <v>22.0</v>
      </c>
      <c r="G23" s="10" t="str">
        <f t="shared" si="4"/>
        <v>BXM14-22</v>
      </c>
      <c r="H23" s="18"/>
      <c r="I23" s="16" t="str">
        <f t="shared" si="5"/>
        <v>collected</v>
      </c>
      <c r="J23" s="16" t="str">
        <f t="shared" si="6"/>
        <v>N</v>
      </c>
      <c r="K23" s="16"/>
      <c r="L23" s="16"/>
    </row>
    <row r="24">
      <c r="A24" s="6" t="s">
        <v>102</v>
      </c>
      <c r="B24" s="10" t="str">
        <f t="shared" si="1"/>
        <v>extra_muscle</v>
      </c>
      <c r="C24" s="49" t="str">
        <f t="shared" si="2"/>
        <v>S5492XM1</v>
      </c>
      <c r="D24" s="6">
        <v>14.0</v>
      </c>
      <c r="E24" s="10" t="str">
        <f t="shared" si="3"/>
        <v>BXM14</v>
      </c>
      <c r="F24" s="13">
        <v>28.0</v>
      </c>
      <c r="G24" s="10" t="str">
        <f t="shared" si="4"/>
        <v>BXM14-28</v>
      </c>
      <c r="H24" s="18"/>
      <c r="I24" s="16" t="str">
        <f t="shared" si="5"/>
        <v>collected</v>
      </c>
      <c r="J24" s="16" t="str">
        <f t="shared" si="6"/>
        <v>N</v>
      </c>
      <c r="K24" s="16"/>
      <c r="L24" s="16"/>
    </row>
    <row r="25">
      <c r="A25" s="6" t="s">
        <v>103</v>
      </c>
      <c r="B25" s="10" t="str">
        <f t="shared" si="1"/>
        <v>extra_muscle</v>
      </c>
      <c r="C25" s="49" t="str">
        <f t="shared" si="2"/>
        <v>S5493XM1</v>
      </c>
      <c r="D25" s="6">
        <v>14.0</v>
      </c>
      <c r="E25" s="10" t="str">
        <f t="shared" si="3"/>
        <v>BXM14</v>
      </c>
      <c r="F25" s="13">
        <v>31.0</v>
      </c>
      <c r="G25" s="10" t="str">
        <f t="shared" si="4"/>
        <v>BXM14-31</v>
      </c>
      <c r="H25" s="18"/>
      <c r="I25" s="16" t="str">
        <f t="shared" si="5"/>
        <v>collected</v>
      </c>
      <c r="J25" s="16" t="str">
        <f t="shared" si="6"/>
        <v>N</v>
      </c>
      <c r="K25" s="16"/>
      <c r="L25" s="16"/>
    </row>
    <row r="26">
      <c r="A26" s="6" t="s">
        <v>104</v>
      </c>
      <c r="B26" s="10" t="str">
        <f t="shared" si="1"/>
        <v>extra_muscle</v>
      </c>
      <c r="C26" s="49" t="str">
        <f t="shared" si="2"/>
        <v>S5494XM1</v>
      </c>
      <c r="D26" s="6">
        <v>14.0</v>
      </c>
      <c r="E26" s="10" t="str">
        <f t="shared" si="3"/>
        <v>BXM14</v>
      </c>
      <c r="F26" s="13">
        <v>33.0</v>
      </c>
      <c r="G26" s="10" t="str">
        <f t="shared" si="4"/>
        <v>BXM14-33</v>
      </c>
      <c r="H26" s="15"/>
      <c r="I26" s="16" t="str">
        <f t="shared" si="5"/>
        <v>collected</v>
      </c>
      <c r="J26" s="16" t="str">
        <f t="shared" si="6"/>
        <v>N</v>
      </c>
      <c r="K26" s="16"/>
      <c r="L26" s="16"/>
    </row>
    <row r="27">
      <c r="A27" s="6" t="s">
        <v>106</v>
      </c>
      <c r="B27" s="10" t="str">
        <f t="shared" si="1"/>
        <v>extra_muscle</v>
      </c>
      <c r="C27" s="49" t="str">
        <f t="shared" si="2"/>
        <v>S5495XM1</v>
      </c>
      <c r="D27" s="6">
        <v>14.0</v>
      </c>
      <c r="E27" s="10" t="str">
        <f t="shared" si="3"/>
        <v>BXM14</v>
      </c>
      <c r="F27" s="13">
        <v>24.0</v>
      </c>
      <c r="G27" s="10" t="str">
        <f t="shared" si="4"/>
        <v>BXM14-24</v>
      </c>
      <c r="H27" s="15"/>
      <c r="I27" s="16" t="str">
        <f t="shared" si="5"/>
        <v>collected</v>
      </c>
      <c r="J27" s="16" t="str">
        <f t="shared" si="6"/>
        <v>N</v>
      </c>
      <c r="K27" s="16"/>
      <c r="L27" s="16"/>
    </row>
    <row r="28">
      <c r="A28" s="6" t="s">
        <v>109</v>
      </c>
      <c r="B28" s="10" t="str">
        <f t="shared" si="1"/>
        <v>extra_muscle</v>
      </c>
      <c r="C28" s="49" t="str">
        <f t="shared" si="2"/>
        <v>S5496XM1</v>
      </c>
      <c r="D28" s="6">
        <v>14.0</v>
      </c>
      <c r="E28" s="10" t="str">
        <f t="shared" si="3"/>
        <v>BXM14</v>
      </c>
      <c r="F28" s="13">
        <v>37.0</v>
      </c>
      <c r="G28" s="10" t="str">
        <f t="shared" si="4"/>
        <v>BXM14-37</v>
      </c>
      <c r="H28" s="15"/>
      <c r="I28" s="16" t="str">
        <f t="shared" si="5"/>
        <v>collected</v>
      </c>
      <c r="J28" s="16" t="str">
        <f t="shared" si="6"/>
        <v>N</v>
      </c>
      <c r="K28" s="16"/>
      <c r="L28" s="16"/>
    </row>
    <row r="29">
      <c r="A29" s="6" t="s">
        <v>110</v>
      </c>
      <c r="B29" s="10" t="str">
        <f t="shared" si="1"/>
        <v>extra_muscle</v>
      </c>
      <c r="C29" s="49" t="str">
        <f t="shared" si="2"/>
        <v>S5497XM1</v>
      </c>
      <c r="D29" s="6">
        <v>14.0</v>
      </c>
      <c r="E29" s="10" t="str">
        <f t="shared" si="3"/>
        <v>BXM14</v>
      </c>
      <c r="F29" s="13">
        <v>30.0</v>
      </c>
      <c r="G29" s="10" t="str">
        <f t="shared" si="4"/>
        <v>BXM14-30</v>
      </c>
      <c r="H29" s="15"/>
      <c r="I29" s="16" t="str">
        <f t="shared" si="5"/>
        <v>collected</v>
      </c>
      <c r="J29" s="16" t="str">
        <f t="shared" si="6"/>
        <v>N</v>
      </c>
      <c r="K29" s="16"/>
      <c r="L29" s="16"/>
    </row>
    <row r="30">
      <c r="A30" s="6" t="s">
        <v>111</v>
      </c>
      <c r="B30" s="10" t="str">
        <f t="shared" si="1"/>
        <v>extra_muscle</v>
      </c>
      <c r="C30" s="49" t="str">
        <f t="shared" si="2"/>
        <v>S5498XM1</v>
      </c>
      <c r="D30" s="6">
        <v>14.0</v>
      </c>
      <c r="E30" s="10" t="str">
        <f t="shared" si="3"/>
        <v>BXM14</v>
      </c>
      <c r="F30" s="13">
        <v>39.0</v>
      </c>
      <c r="G30" s="10" t="str">
        <f t="shared" si="4"/>
        <v>BXM14-39</v>
      </c>
      <c r="H30" s="15"/>
      <c r="I30" s="16" t="str">
        <f t="shared" si="5"/>
        <v>collected</v>
      </c>
      <c r="J30" s="16" t="str">
        <f t="shared" si="6"/>
        <v>N</v>
      </c>
      <c r="K30" s="16"/>
      <c r="L30" s="16"/>
    </row>
    <row r="31">
      <c r="A31" s="6" t="s">
        <v>112</v>
      </c>
      <c r="B31" s="10" t="str">
        <f t="shared" si="1"/>
        <v>extra_muscle</v>
      </c>
      <c r="C31" s="49" t="str">
        <f t="shared" si="2"/>
        <v>S5499XM1</v>
      </c>
      <c r="D31" s="6">
        <v>14.0</v>
      </c>
      <c r="E31" s="10" t="str">
        <f t="shared" si="3"/>
        <v>BXM14</v>
      </c>
      <c r="F31" s="13">
        <v>42.0</v>
      </c>
      <c r="G31" s="10" t="str">
        <f t="shared" si="4"/>
        <v>BXM14-42</v>
      </c>
      <c r="H31" s="15"/>
      <c r="I31" s="16" t="str">
        <f t="shared" si="5"/>
        <v>collected</v>
      </c>
      <c r="J31" s="16" t="str">
        <f t="shared" si="6"/>
        <v>N</v>
      </c>
      <c r="K31" s="16"/>
      <c r="L31" s="16"/>
    </row>
    <row r="32">
      <c r="A32" s="6" t="s">
        <v>114</v>
      </c>
      <c r="B32" s="10" t="str">
        <f t="shared" si="1"/>
        <v>extra_muscle</v>
      </c>
      <c r="C32" s="49" t="str">
        <f t="shared" si="2"/>
        <v>S5500XM1</v>
      </c>
      <c r="D32" s="6">
        <v>14.0</v>
      </c>
      <c r="E32" s="10" t="str">
        <f t="shared" si="3"/>
        <v>BXM14</v>
      </c>
      <c r="F32" s="13">
        <v>48.0</v>
      </c>
      <c r="G32" s="10" t="str">
        <f t="shared" si="4"/>
        <v>BXM14-48</v>
      </c>
      <c r="H32" s="15"/>
      <c r="I32" s="16" t="str">
        <f t="shared" si="5"/>
        <v>collected</v>
      </c>
      <c r="J32" s="16" t="str">
        <f t="shared" si="6"/>
        <v>N</v>
      </c>
      <c r="K32" s="16"/>
      <c r="L32" s="16"/>
    </row>
    <row r="33">
      <c r="A33" s="6" t="s">
        <v>116</v>
      </c>
      <c r="B33" s="10" t="str">
        <f t="shared" si="1"/>
        <v>extra_muscle</v>
      </c>
      <c r="C33" s="49" t="str">
        <f t="shared" si="2"/>
        <v>S5132XM1</v>
      </c>
      <c r="D33" s="6">
        <v>14.0</v>
      </c>
      <c r="E33" s="10" t="str">
        <f t="shared" si="3"/>
        <v>BXM14</v>
      </c>
      <c r="F33" s="13">
        <v>50.0</v>
      </c>
      <c r="G33" s="10" t="str">
        <f t="shared" si="4"/>
        <v>BXM14-50</v>
      </c>
      <c r="H33" s="15"/>
      <c r="I33" s="16" t="str">
        <f t="shared" si="5"/>
        <v>collected</v>
      </c>
      <c r="J33" s="16" t="str">
        <f t="shared" si="6"/>
        <v>N</v>
      </c>
      <c r="K33" s="16"/>
      <c r="L33" s="16"/>
    </row>
    <row r="34">
      <c r="A34" s="6" t="s">
        <v>117</v>
      </c>
      <c r="B34" s="10" t="str">
        <f t="shared" si="1"/>
        <v>extra_muscle</v>
      </c>
      <c r="C34" s="49" t="str">
        <f t="shared" si="2"/>
        <v>S5133XM1</v>
      </c>
      <c r="D34" s="6">
        <v>14.0</v>
      </c>
      <c r="E34" s="10" t="str">
        <f t="shared" si="3"/>
        <v>BXM14</v>
      </c>
      <c r="F34" s="13">
        <v>44.0</v>
      </c>
      <c r="G34" s="10" t="str">
        <f t="shared" si="4"/>
        <v>BXM14-44</v>
      </c>
      <c r="H34" s="15"/>
      <c r="I34" s="16" t="str">
        <f t="shared" si="5"/>
        <v>collected</v>
      </c>
      <c r="J34" s="16" t="str">
        <f t="shared" si="6"/>
        <v>N</v>
      </c>
      <c r="K34" s="16"/>
      <c r="L34" s="16"/>
    </row>
    <row r="35">
      <c r="A35" s="6" t="s">
        <v>119</v>
      </c>
      <c r="B35" s="10" t="str">
        <f t="shared" si="1"/>
        <v>extra_muscle</v>
      </c>
      <c r="C35" s="49" t="str">
        <f t="shared" si="2"/>
        <v>S5134XM1</v>
      </c>
      <c r="D35" s="6">
        <v>14.0</v>
      </c>
      <c r="E35" s="10" t="str">
        <f t="shared" si="3"/>
        <v>BXM14</v>
      </c>
      <c r="F35" s="13">
        <v>51.0</v>
      </c>
      <c r="G35" s="10" t="str">
        <f t="shared" si="4"/>
        <v>BXM14-51</v>
      </c>
      <c r="H35" s="15"/>
      <c r="I35" s="16" t="str">
        <f t="shared" si="5"/>
        <v>collected</v>
      </c>
      <c r="J35" s="16" t="str">
        <f t="shared" si="6"/>
        <v>N</v>
      </c>
      <c r="K35" s="16"/>
      <c r="L35" s="16"/>
    </row>
    <row r="36">
      <c r="A36" s="6" t="s">
        <v>121</v>
      </c>
      <c r="B36" s="10" t="str">
        <f t="shared" si="1"/>
        <v>extra_muscle</v>
      </c>
      <c r="C36" s="49" t="str">
        <f t="shared" si="2"/>
        <v>S5135XM1</v>
      </c>
      <c r="D36" s="6">
        <v>14.0</v>
      </c>
      <c r="E36" s="10" t="str">
        <f t="shared" si="3"/>
        <v>BXM14</v>
      </c>
      <c r="F36" s="13">
        <v>53.0</v>
      </c>
      <c r="G36" s="10" t="str">
        <f t="shared" si="4"/>
        <v>BXM14-53</v>
      </c>
      <c r="H36" s="15"/>
      <c r="I36" s="16" t="str">
        <f t="shared" si="5"/>
        <v>collected</v>
      </c>
      <c r="J36" s="16" t="str">
        <f t="shared" si="6"/>
        <v>N</v>
      </c>
      <c r="K36" s="16"/>
      <c r="L36" s="16"/>
    </row>
    <row r="37">
      <c r="A37" s="6" t="s">
        <v>124</v>
      </c>
      <c r="B37" s="10" t="str">
        <f t="shared" si="1"/>
        <v>extra_muscle</v>
      </c>
      <c r="C37" s="49" t="str">
        <f t="shared" si="2"/>
        <v>S5136XM1</v>
      </c>
      <c r="D37" s="6">
        <v>14.0</v>
      </c>
      <c r="E37" s="10" t="str">
        <f t="shared" si="3"/>
        <v>BXM14</v>
      </c>
      <c r="F37" s="13">
        <v>59.0</v>
      </c>
      <c r="G37" s="10" t="str">
        <f t="shared" si="4"/>
        <v>BXM14-59</v>
      </c>
      <c r="H37" s="15"/>
      <c r="I37" s="16" t="str">
        <f t="shared" si="5"/>
        <v>collected</v>
      </c>
      <c r="J37" s="16" t="str">
        <f t="shared" si="6"/>
        <v>N</v>
      </c>
      <c r="K37" s="16"/>
      <c r="L37" s="16"/>
    </row>
    <row r="38">
      <c r="A38" s="6" t="s">
        <v>126</v>
      </c>
      <c r="B38" s="10" t="str">
        <f t="shared" si="1"/>
        <v>extra_muscle</v>
      </c>
      <c r="C38" s="49" t="str">
        <f t="shared" si="2"/>
        <v>S5137XM1</v>
      </c>
      <c r="D38" s="6">
        <v>14.0</v>
      </c>
      <c r="E38" s="10" t="str">
        <f t="shared" si="3"/>
        <v>BXM14</v>
      </c>
      <c r="F38" s="13">
        <v>62.0</v>
      </c>
      <c r="G38" s="10" t="str">
        <f t="shared" si="4"/>
        <v>BXM14-62</v>
      </c>
      <c r="H38" s="15"/>
      <c r="I38" s="16" t="str">
        <f t="shared" si="5"/>
        <v>collected</v>
      </c>
      <c r="J38" s="16" t="str">
        <f t="shared" si="6"/>
        <v>N</v>
      </c>
      <c r="K38" s="16"/>
      <c r="L38" s="16"/>
    </row>
    <row r="39">
      <c r="A39" s="6" t="s">
        <v>128</v>
      </c>
      <c r="B39" s="10" t="str">
        <f t="shared" si="1"/>
        <v>extra_muscle</v>
      </c>
      <c r="C39" s="49" t="str">
        <f t="shared" si="2"/>
        <v>S5138XM1</v>
      </c>
      <c r="D39" s="6">
        <v>14.0</v>
      </c>
      <c r="E39" s="10" t="str">
        <f t="shared" si="3"/>
        <v>BXM14</v>
      </c>
      <c r="F39" s="13">
        <v>64.0</v>
      </c>
      <c r="G39" s="10" t="str">
        <f t="shared" si="4"/>
        <v>BXM14-64</v>
      </c>
      <c r="H39" s="18"/>
      <c r="I39" s="16" t="str">
        <f t="shared" si="5"/>
        <v>collected</v>
      </c>
      <c r="J39" s="16" t="str">
        <f t="shared" si="6"/>
        <v>N</v>
      </c>
      <c r="K39" s="16"/>
      <c r="L39" s="16"/>
    </row>
    <row r="40">
      <c r="A40" s="6" t="s">
        <v>129</v>
      </c>
      <c r="B40" s="10" t="str">
        <f t="shared" si="1"/>
        <v>extra_muscle</v>
      </c>
      <c r="C40" s="49" t="str">
        <f t="shared" si="2"/>
        <v>S5139XM1</v>
      </c>
      <c r="D40" s="6">
        <v>14.0</v>
      </c>
      <c r="E40" s="10" t="str">
        <f t="shared" si="3"/>
        <v>BXM14</v>
      </c>
      <c r="F40" s="13">
        <v>68.0</v>
      </c>
      <c r="G40" s="10" t="str">
        <f t="shared" si="4"/>
        <v>BXM14-68</v>
      </c>
      <c r="H40" s="6"/>
      <c r="I40" s="16" t="str">
        <f t="shared" si="5"/>
        <v>collected</v>
      </c>
      <c r="J40" s="16" t="str">
        <f t="shared" si="6"/>
        <v>N</v>
      </c>
      <c r="K40" s="16"/>
      <c r="L40" s="16"/>
    </row>
    <row r="41">
      <c r="A41" s="6" t="s">
        <v>131</v>
      </c>
      <c r="B41" s="10" t="str">
        <f t="shared" si="1"/>
        <v>extra_muscle</v>
      </c>
      <c r="C41" s="49" t="str">
        <f t="shared" si="2"/>
        <v>S5140XM1</v>
      </c>
      <c r="D41" s="6">
        <v>14.0</v>
      </c>
      <c r="E41" s="10" t="str">
        <f t="shared" si="3"/>
        <v>BXM14</v>
      </c>
      <c r="F41" s="13">
        <v>70.0</v>
      </c>
      <c r="G41" s="10" t="str">
        <f t="shared" si="4"/>
        <v>BXM14-70</v>
      </c>
      <c r="H41" s="18"/>
      <c r="I41" s="16" t="str">
        <f t="shared" si="5"/>
        <v>collected</v>
      </c>
      <c r="J41" s="16" t="str">
        <f t="shared" si="6"/>
        <v>N</v>
      </c>
      <c r="K41" s="16"/>
      <c r="L41" s="16"/>
    </row>
    <row r="42">
      <c r="A42" s="6" t="s">
        <v>133</v>
      </c>
      <c r="B42" s="10" t="str">
        <f t="shared" si="1"/>
        <v>extra_muscle</v>
      </c>
      <c r="C42" s="49" t="str">
        <f t="shared" si="2"/>
        <v>S5141XM1</v>
      </c>
      <c r="D42" s="6">
        <v>14.0</v>
      </c>
      <c r="E42" s="10" t="str">
        <f t="shared" si="3"/>
        <v>BXM14</v>
      </c>
      <c r="F42" s="13">
        <v>82.0</v>
      </c>
      <c r="G42" s="10" t="str">
        <f t="shared" si="4"/>
        <v>BXM14-82</v>
      </c>
      <c r="H42" s="18"/>
      <c r="I42" s="16" t="str">
        <f t="shared" si="5"/>
        <v>collected</v>
      </c>
      <c r="J42" s="16" t="str">
        <f t="shared" si="6"/>
        <v>N</v>
      </c>
      <c r="K42" s="16"/>
      <c r="L42" s="16"/>
    </row>
    <row r="43">
      <c r="A43" s="6" t="s">
        <v>135</v>
      </c>
      <c r="B43" s="10" t="str">
        <f t="shared" si="1"/>
        <v>extra_muscle</v>
      </c>
      <c r="C43" s="49" t="str">
        <f t="shared" si="2"/>
        <v>S5142XM1</v>
      </c>
      <c r="D43" s="6">
        <v>14.0</v>
      </c>
      <c r="E43" s="10" t="str">
        <f t="shared" si="3"/>
        <v>BXM14</v>
      </c>
      <c r="F43" s="13">
        <v>84.0</v>
      </c>
      <c r="G43" s="10" t="str">
        <f t="shared" si="4"/>
        <v>BXM14-84</v>
      </c>
      <c r="H43" s="18"/>
      <c r="I43" s="16" t="str">
        <f t="shared" si="5"/>
        <v>collected</v>
      </c>
      <c r="J43" s="16" t="str">
        <f t="shared" si="6"/>
        <v>N</v>
      </c>
      <c r="K43" s="16"/>
      <c r="L43" s="16"/>
    </row>
    <row r="44">
      <c r="A44" s="6" t="s">
        <v>136</v>
      </c>
      <c r="B44" s="10" t="str">
        <f t="shared" si="1"/>
        <v>extra_muscle</v>
      </c>
      <c r="C44" s="49" t="str">
        <f t="shared" si="2"/>
        <v>S5143XM1</v>
      </c>
      <c r="D44" s="6">
        <v>14.0</v>
      </c>
      <c r="E44" s="10" t="str">
        <f t="shared" si="3"/>
        <v>BXM14</v>
      </c>
      <c r="F44" s="13">
        <v>88.0</v>
      </c>
      <c r="G44" s="10" t="str">
        <f t="shared" si="4"/>
        <v>BXM14-88</v>
      </c>
      <c r="H44" s="18"/>
      <c r="I44" s="16" t="str">
        <f t="shared" si="5"/>
        <v>collected</v>
      </c>
      <c r="J44" s="16" t="str">
        <f t="shared" si="6"/>
        <v>N</v>
      </c>
      <c r="K44" s="16"/>
      <c r="L44" s="16"/>
    </row>
    <row r="45">
      <c r="A45" s="6" t="s">
        <v>138</v>
      </c>
      <c r="B45" s="10" t="str">
        <f t="shared" si="1"/>
        <v>extra_muscle</v>
      </c>
      <c r="C45" s="49" t="str">
        <f t="shared" si="2"/>
        <v>S5144XM1</v>
      </c>
      <c r="D45" s="6">
        <v>14.0</v>
      </c>
      <c r="E45" s="10" t="str">
        <f t="shared" si="3"/>
        <v>BXM14</v>
      </c>
      <c r="F45" s="13">
        <v>91.0</v>
      </c>
      <c r="G45" s="10" t="str">
        <f t="shared" si="4"/>
        <v>BXM14-91</v>
      </c>
      <c r="H45" s="18"/>
      <c r="I45" s="16" t="str">
        <f t="shared" si="5"/>
        <v>collected</v>
      </c>
      <c r="J45" s="16" t="str">
        <f t="shared" si="6"/>
        <v>N</v>
      </c>
      <c r="K45" s="16"/>
      <c r="L45" s="16"/>
    </row>
    <row r="46">
      <c r="A46" s="6" t="s">
        <v>139</v>
      </c>
      <c r="B46" s="10" t="str">
        <f t="shared" si="1"/>
        <v>extra_muscle</v>
      </c>
      <c r="C46" s="49" t="str">
        <f t="shared" si="2"/>
        <v>S5145XM1</v>
      </c>
      <c r="D46" s="6">
        <v>14.0</v>
      </c>
      <c r="E46" s="10" t="str">
        <f t="shared" si="3"/>
        <v>BXM14</v>
      </c>
      <c r="F46" s="13">
        <v>93.0</v>
      </c>
      <c r="G46" s="10" t="str">
        <f t="shared" si="4"/>
        <v>BXM14-93</v>
      </c>
      <c r="H46" s="18"/>
      <c r="I46" s="16" t="str">
        <f t="shared" si="5"/>
        <v>collected</v>
      </c>
      <c r="J46" s="16" t="str">
        <f t="shared" si="6"/>
        <v>N</v>
      </c>
      <c r="K46" s="16"/>
      <c r="L46" s="16"/>
    </row>
    <row r="47">
      <c r="A47" s="6" t="s">
        <v>141</v>
      </c>
      <c r="B47" s="10" t="str">
        <f t="shared" si="1"/>
        <v>extra_muscle</v>
      </c>
      <c r="C47" s="49" t="str">
        <f t="shared" si="2"/>
        <v>S5146XM1</v>
      </c>
      <c r="D47" s="6">
        <v>14.0</v>
      </c>
      <c r="E47" s="10" t="str">
        <f t="shared" si="3"/>
        <v>BXM14</v>
      </c>
      <c r="F47" s="13">
        <v>96.0</v>
      </c>
      <c r="G47" s="10" t="str">
        <f t="shared" si="4"/>
        <v>BXM14-96</v>
      </c>
      <c r="I47" s="16" t="str">
        <f t="shared" si="5"/>
        <v>collected</v>
      </c>
      <c r="J47" s="16" t="str">
        <f t="shared" si="6"/>
        <v>N</v>
      </c>
      <c r="K47" s="16"/>
      <c r="L47" s="16"/>
    </row>
    <row r="48">
      <c r="A48" s="6" t="s">
        <v>143</v>
      </c>
      <c r="B48" s="10" t="str">
        <f t="shared" si="1"/>
        <v>extra_muscle</v>
      </c>
      <c r="C48" s="49" t="str">
        <f t="shared" si="2"/>
        <v>S5147XM1</v>
      </c>
      <c r="D48" s="6">
        <v>22.0</v>
      </c>
      <c r="E48" s="10" t="str">
        <f t="shared" si="3"/>
        <v>BXM22</v>
      </c>
      <c r="F48" s="13">
        <v>5.0</v>
      </c>
      <c r="G48" s="10" t="str">
        <f t="shared" si="4"/>
        <v>BXM22-5</v>
      </c>
      <c r="I48" s="16" t="str">
        <f t="shared" si="5"/>
        <v>collected</v>
      </c>
      <c r="J48" s="16" t="str">
        <f t="shared" si="6"/>
        <v>N</v>
      </c>
      <c r="K48" s="16"/>
      <c r="L48" s="16"/>
    </row>
    <row r="49">
      <c r="A49" s="6" t="s">
        <v>144</v>
      </c>
      <c r="B49" s="10" t="str">
        <f t="shared" si="1"/>
        <v>extra_muscle</v>
      </c>
      <c r="C49" s="49" t="str">
        <f t="shared" si="2"/>
        <v>S5148XM1</v>
      </c>
      <c r="D49" s="6">
        <v>22.0</v>
      </c>
      <c r="E49" s="10" t="str">
        <f t="shared" si="3"/>
        <v>BXM22</v>
      </c>
      <c r="F49" s="13">
        <v>7.0</v>
      </c>
      <c r="G49" s="10" t="str">
        <f t="shared" si="4"/>
        <v>BXM22-7</v>
      </c>
      <c r="I49" s="16" t="str">
        <f t="shared" si="5"/>
        <v>collected</v>
      </c>
      <c r="J49" s="16" t="str">
        <f t="shared" si="6"/>
        <v>N</v>
      </c>
      <c r="K49" s="16"/>
      <c r="L49" s="16"/>
    </row>
    <row r="50">
      <c r="A50" s="6" t="s">
        <v>146</v>
      </c>
      <c r="B50" s="10" t="str">
        <f t="shared" si="1"/>
        <v>extra_muscle</v>
      </c>
      <c r="C50" s="49" t="str">
        <f t="shared" si="2"/>
        <v>S5149XM1</v>
      </c>
      <c r="D50" s="6">
        <v>22.0</v>
      </c>
      <c r="E50" s="10" t="str">
        <f t="shared" si="3"/>
        <v>BXM22</v>
      </c>
      <c r="F50" s="13">
        <v>8.0</v>
      </c>
      <c r="G50" s="10" t="str">
        <f t="shared" si="4"/>
        <v>BXM22-8</v>
      </c>
      <c r="I50" s="16" t="str">
        <f t="shared" si="5"/>
        <v>collected</v>
      </c>
      <c r="J50" s="16" t="str">
        <f t="shared" si="6"/>
        <v>N</v>
      </c>
      <c r="K50" s="16"/>
      <c r="L50" s="16"/>
    </row>
    <row r="51">
      <c r="A51" s="6" t="s">
        <v>149</v>
      </c>
      <c r="B51" s="10" t="str">
        <f t="shared" si="1"/>
        <v>extra_muscle</v>
      </c>
      <c r="C51" s="49" t="str">
        <f t="shared" si="2"/>
        <v>S5150XM1</v>
      </c>
      <c r="D51" s="6">
        <v>22.0</v>
      </c>
      <c r="E51" s="10" t="str">
        <f t="shared" si="3"/>
        <v>BXM22</v>
      </c>
      <c r="F51" s="13">
        <v>9.0</v>
      </c>
      <c r="G51" s="10" t="str">
        <f t="shared" si="4"/>
        <v>BXM22-9</v>
      </c>
      <c r="I51" s="16" t="str">
        <f t="shared" si="5"/>
        <v>collected</v>
      </c>
      <c r="J51" s="16" t="str">
        <f t="shared" si="6"/>
        <v>N</v>
      </c>
      <c r="K51" s="16"/>
      <c r="L51" s="16"/>
    </row>
    <row r="52">
      <c r="A52" s="6" t="s">
        <v>151</v>
      </c>
      <c r="B52" s="10" t="str">
        <f t="shared" si="1"/>
        <v>extra_muscle</v>
      </c>
      <c r="C52" s="49" t="str">
        <f t="shared" si="2"/>
        <v>S5161XM1</v>
      </c>
      <c r="D52" s="6">
        <v>22.0</v>
      </c>
      <c r="E52" s="10" t="str">
        <f t="shared" si="3"/>
        <v>BXM22</v>
      </c>
      <c r="F52" s="13">
        <v>10.0</v>
      </c>
      <c r="G52" s="10" t="str">
        <f t="shared" si="4"/>
        <v>BXM22-10</v>
      </c>
      <c r="I52" s="16" t="str">
        <f t="shared" si="5"/>
        <v>collected</v>
      </c>
      <c r="J52" s="16" t="str">
        <f t="shared" si="6"/>
        <v>N</v>
      </c>
      <c r="K52" s="16"/>
      <c r="L52" s="16"/>
    </row>
    <row r="53">
      <c r="A53" s="6" t="s">
        <v>153</v>
      </c>
      <c r="B53" s="10" t="str">
        <f t="shared" si="1"/>
        <v>extra_muscle</v>
      </c>
      <c r="C53" s="49" t="str">
        <f t="shared" si="2"/>
        <v>S5162XM1</v>
      </c>
      <c r="D53" s="6">
        <v>22.0</v>
      </c>
      <c r="E53" s="10" t="str">
        <f t="shared" si="3"/>
        <v>BXM22</v>
      </c>
      <c r="F53" s="13">
        <v>11.0</v>
      </c>
      <c r="G53" s="10" t="str">
        <f t="shared" si="4"/>
        <v>BXM22-11</v>
      </c>
      <c r="I53" s="16" t="str">
        <f t="shared" si="5"/>
        <v>collected</v>
      </c>
      <c r="J53" s="16" t="str">
        <f t="shared" si="6"/>
        <v>N</v>
      </c>
      <c r="K53" s="16"/>
      <c r="L53" s="16"/>
    </row>
    <row r="54">
      <c r="A54" s="6" t="s">
        <v>154</v>
      </c>
      <c r="B54" s="10" t="str">
        <f t="shared" si="1"/>
        <v>extra_muscle</v>
      </c>
      <c r="C54" s="49" t="str">
        <f t="shared" si="2"/>
        <v>S5163XM1</v>
      </c>
      <c r="D54" s="6">
        <v>22.0</v>
      </c>
      <c r="E54" s="10" t="str">
        <f t="shared" si="3"/>
        <v>BXM22</v>
      </c>
      <c r="F54" s="13">
        <v>12.0</v>
      </c>
      <c r="G54" s="10" t="str">
        <f t="shared" si="4"/>
        <v>BXM22-12</v>
      </c>
      <c r="H54" s="15"/>
      <c r="I54" s="16" t="str">
        <f t="shared" si="5"/>
        <v>collected</v>
      </c>
      <c r="J54" s="16" t="str">
        <f t="shared" si="6"/>
        <v>N</v>
      </c>
      <c r="K54" s="16"/>
      <c r="L54" s="16"/>
    </row>
    <row r="55">
      <c r="A55" s="6" t="s">
        <v>156</v>
      </c>
      <c r="B55" s="10" t="str">
        <f t="shared" si="1"/>
        <v>extra_muscle</v>
      </c>
      <c r="C55" s="49" t="str">
        <f t="shared" si="2"/>
        <v>S5164XM1</v>
      </c>
      <c r="D55" s="6">
        <v>22.0</v>
      </c>
      <c r="E55" s="10" t="str">
        <f t="shared" si="3"/>
        <v>BXM22</v>
      </c>
      <c r="F55" s="13">
        <v>13.0</v>
      </c>
      <c r="G55" s="10" t="str">
        <f t="shared" si="4"/>
        <v>BXM22-13</v>
      </c>
      <c r="H55" s="15"/>
      <c r="I55" s="16" t="str">
        <f t="shared" si="5"/>
        <v>collected</v>
      </c>
      <c r="J55" s="16" t="str">
        <f t="shared" si="6"/>
        <v>N</v>
      </c>
      <c r="K55" s="16"/>
      <c r="L55" s="16"/>
    </row>
    <row r="56">
      <c r="A56" s="6" t="s">
        <v>158</v>
      </c>
      <c r="B56" s="10" t="str">
        <f t="shared" si="1"/>
        <v>extra_muscle</v>
      </c>
      <c r="C56" s="49" t="str">
        <f t="shared" si="2"/>
        <v>S5165XM1</v>
      </c>
      <c r="D56" s="6">
        <v>22.0</v>
      </c>
      <c r="E56" s="10" t="str">
        <f t="shared" si="3"/>
        <v>BXM22</v>
      </c>
      <c r="F56" s="13">
        <v>14.0</v>
      </c>
      <c r="G56" s="10" t="str">
        <f t="shared" si="4"/>
        <v>BXM22-14</v>
      </c>
      <c r="H56" s="15"/>
      <c r="I56" s="16" t="str">
        <f t="shared" si="5"/>
        <v>collected</v>
      </c>
      <c r="J56" s="16" t="str">
        <f t="shared" si="6"/>
        <v>N</v>
      </c>
      <c r="K56" s="16"/>
      <c r="L56" s="16"/>
    </row>
    <row r="57">
      <c r="A57" s="6" t="s">
        <v>160</v>
      </c>
      <c r="B57" s="10" t="str">
        <f t="shared" si="1"/>
        <v>extra_muscle</v>
      </c>
      <c r="C57" s="49" t="str">
        <f t="shared" si="2"/>
        <v>S5166XM1</v>
      </c>
      <c r="D57" s="6">
        <v>22.0</v>
      </c>
      <c r="E57" s="10" t="str">
        <f t="shared" si="3"/>
        <v>BXM22</v>
      </c>
      <c r="F57" s="13">
        <v>15.0</v>
      </c>
      <c r="G57" s="10" t="str">
        <f t="shared" si="4"/>
        <v>BXM22-15</v>
      </c>
      <c r="H57" s="15"/>
      <c r="I57" s="16" t="str">
        <f t="shared" si="5"/>
        <v>collected</v>
      </c>
      <c r="J57" s="16" t="str">
        <f t="shared" si="6"/>
        <v>N</v>
      </c>
      <c r="K57" s="16"/>
      <c r="L57" s="16"/>
    </row>
    <row r="58">
      <c r="A58" s="6" t="s">
        <v>161</v>
      </c>
      <c r="B58" s="10" t="str">
        <f t="shared" si="1"/>
        <v>extra_muscle</v>
      </c>
      <c r="C58" s="49" t="str">
        <f t="shared" si="2"/>
        <v>S5167XM1</v>
      </c>
      <c r="D58" s="6">
        <v>22.0</v>
      </c>
      <c r="E58" s="10" t="str">
        <f t="shared" si="3"/>
        <v>BXM22</v>
      </c>
      <c r="F58" s="13">
        <v>17.0</v>
      </c>
      <c r="G58" s="10" t="str">
        <f t="shared" si="4"/>
        <v>BXM22-17</v>
      </c>
      <c r="H58" s="15"/>
      <c r="I58" s="16" t="str">
        <f t="shared" si="5"/>
        <v>collected</v>
      </c>
      <c r="J58" s="16" t="str">
        <f t="shared" si="6"/>
        <v>N</v>
      </c>
      <c r="K58" s="16"/>
      <c r="L58" s="16"/>
    </row>
    <row r="59">
      <c r="A59" s="6" t="s">
        <v>163</v>
      </c>
      <c r="B59" s="10" t="str">
        <f t="shared" si="1"/>
        <v>extra_muscle</v>
      </c>
      <c r="C59" s="49" t="str">
        <f t="shared" si="2"/>
        <v>S5168XM1</v>
      </c>
      <c r="D59" s="6">
        <v>22.0</v>
      </c>
      <c r="E59" s="10" t="str">
        <f t="shared" si="3"/>
        <v>BXM22</v>
      </c>
      <c r="F59" s="13">
        <v>18.0</v>
      </c>
      <c r="G59" s="10" t="str">
        <f t="shared" si="4"/>
        <v>BXM22-18</v>
      </c>
      <c r="H59" s="15"/>
      <c r="I59" s="16" t="str">
        <f t="shared" si="5"/>
        <v>collected</v>
      </c>
      <c r="J59" s="16" t="str">
        <f t="shared" si="6"/>
        <v>N</v>
      </c>
      <c r="K59" s="16"/>
      <c r="L59" s="16"/>
    </row>
    <row r="60">
      <c r="A60" s="6" t="s">
        <v>166</v>
      </c>
      <c r="B60" s="10" t="str">
        <f t="shared" si="1"/>
        <v>extra_muscle</v>
      </c>
      <c r="C60" s="49" t="str">
        <f t="shared" si="2"/>
        <v>S5169XM1</v>
      </c>
      <c r="D60" s="6">
        <v>22.0</v>
      </c>
      <c r="E60" s="10" t="str">
        <f t="shared" si="3"/>
        <v>BXM22</v>
      </c>
      <c r="F60" s="13">
        <v>19.0</v>
      </c>
      <c r="G60" s="10" t="str">
        <f t="shared" si="4"/>
        <v>BXM22-19</v>
      </c>
      <c r="H60" s="15"/>
      <c r="I60" s="16" t="str">
        <f t="shared" si="5"/>
        <v>collected</v>
      </c>
      <c r="J60" s="16" t="str">
        <f t="shared" si="6"/>
        <v>N</v>
      </c>
      <c r="K60" s="16"/>
      <c r="L60" s="16"/>
    </row>
    <row r="61">
      <c r="A61" s="6" t="s">
        <v>167</v>
      </c>
      <c r="B61" s="10" t="str">
        <f t="shared" si="1"/>
        <v>extra_muscle</v>
      </c>
      <c r="C61" s="49" t="str">
        <f t="shared" si="2"/>
        <v>S5170XM1</v>
      </c>
      <c r="D61" s="6">
        <v>22.0</v>
      </c>
      <c r="E61" s="10" t="str">
        <f t="shared" si="3"/>
        <v>BXM22</v>
      </c>
      <c r="F61" s="13">
        <v>20.0</v>
      </c>
      <c r="G61" s="10" t="str">
        <f t="shared" si="4"/>
        <v>BXM22-20</v>
      </c>
      <c r="H61" s="15"/>
      <c r="I61" s="16" t="str">
        <f t="shared" si="5"/>
        <v>collected</v>
      </c>
      <c r="J61" s="16" t="str">
        <f t="shared" si="6"/>
        <v>N</v>
      </c>
      <c r="K61" s="16"/>
      <c r="L61" s="16"/>
    </row>
    <row r="62">
      <c r="A62" s="6" t="s">
        <v>168</v>
      </c>
      <c r="B62" s="10" t="str">
        <f t="shared" si="1"/>
        <v>extra_muscle</v>
      </c>
      <c r="C62" s="49" t="str">
        <f t="shared" si="2"/>
        <v>S5151XM1</v>
      </c>
      <c r="D62" s="6">
        <v>16.0</v>
      </c>
      <c r="E62" s="10" t="str">
        <f t="shared" si="3"/>
        <v>BXM16</v>
      </c>
      <c r="F62" s="13">
        <v>33.0</v>
      </c>
      <c r="G62" s="10" t="str">
        <f t="shared" si="4"/>
        <v>BXM16-33</v>
      </c>
      <c r="H62" s="15"/>
      <c r="I62" s="16" t="str">
        <f t="shared" si="5"/>
        <v>collected</v>
      </c>
      <c r="J62" s="16" t="str">
        <f t="shared" si="6"/>
        <v>N</v>
      </c>
      <c r="K62" s="16"/>
      <c r="L62" s="16"/>
    </row>
    <row r="63">
      <c r="A63" s="6" t="s">
        <v>171</v>
      </c>
      <c r="B63" s="10" t="str">
        <f t="shared" si="1"/>
        <v>extra_muscle</v>
      </c>
      <c r="C63" s="49" t="str">
        <f t="shared" si="2"/>
        <v>S5152XM1</v>
      </c>
      <c r="D63" s="6">
        <v>16.0</v>
      </c>
      <c r="E63" s="10" t="str">
        <f t="shared" si="3"/>
        <v>BXM16</v>
      </c>
      <c r="F63" s="13">
        <v>34.0</v>
      </c>
      <c r="G63" s="10" t="str">
        <f t="shared" si="4"/>
        <v>BXM16-34</v>
      </c>
      <c r="H63" s="15"/>
      <c r="I63" s="16" t="str">
        <f t="shared" si="5"/>
        <v>collected</v>
      </c>
      <c r="J63" s="16" t="str">
        <f t="shared" si="6"/>
        <v>N</v>
      </c>
      <c r="K63" s="16"/>
      <c r="L63" s="16"/>
    </row>
    <row r="64">
      <c r="A64" s="6" t="s">
        <v>173</v>
      </c>
      <c r="B64" s="10" t="str">
        <f t="shared" si="1"/>
        <v>extra_muscle</v>
      </c>
      <c r="C64" s="49" t="str">
        <f t="shared" si="2"/>
        <v>S5153XM1</v>
      </c>
      <c r="D64" s="6">
        <v>16.0</v>
      </c>
      <c r="E64" s="10" t="str">
        <f t="shared" si="3"/>
        <v>BXM16</v>
      </c>
      <c r="F64" s="13">
        <v>36.0</v>
      </c>
      <c r="G64" s="10" t="str">
        <f t="shared" si="4"/>
        <v>BXM16-36</v>
      </c>
      <c r="H64" s="15"/>
      <c r="I64" s="16" t="str">
        <f t="shared" si="5"/>
        <v>collected</v>
      </c>
      <c r="J64" s="16" t="str">
        <f t="shared" si="6"/>
        <v>N</v>
      </c>
      <c r="K64" s="16"/>
      <c r="L64" s="16"/>
    </row>
    <row r="65">
      <c r="A65" s="6" t="s">
        <v>175</v>
      </c>
      <c r="B65" s="10" t="str">
        <f t="shared" si="1"/>
        <v>extra_muscle</v>
      </c>
      <c r="C65" s="49" t="str">
        <f t="shared" si="2"/>
        <v>S5154XM1</v>
      </c>
      <c r="D65" s="6">
        <v>16.0</v>
      </c>
      <c r="E65" s="10" t="str">
        <f t="shared" si="3"/>
        <v>BXM16</v>
      </c>
      <c r="F65" s="13">
        <v>37.0</v>
      </c>
      <c r="G65" s="10" t="str">
        <f t="shared" si="4"/>
        <v>BXM16-37</v>
      </c>
      <c r="H65" s="15"/>
      <c r="I65" s="16" t="str">
        <f t="shared" si="5"/>
        <v>collected</v>
      </c>
      <c r="J65" s="16" t="str">
        <f t="shared" si="6"/>
        <v>N</v>
      </c>
      <c r="K65" s="16"/>
      <c r="L65" s="16"/>
    </row>
    <row r="66">
      <c r="A66" s="6" t="s">
        <v>177</v>
      </c>
      <c r="B66" s="10" t="str">
        <f t="shared" si="1"/>
        <v>extra_muscle</v>
      </c>
      <c r="C66" s="49" t="str">
        <f t="shared" si="2"/>
        <v>S5155XM1</v>
      </c>
      <c r="D66" s="6">
        <v>16.0</v>
      </c>
      <c r="E66" s="10" t="str">
        <f t="shared" si="3"/>
        <v>BXM16</v>
      </c>
      <c r="F66" s="13">
        <v>38.0</v>
      </c>
      <c r="G66" s="10" t="str">
        <f t="shared" si="4"/>
        <v>BXM16-38</v>
      </c>
      <c r="H66" s="15"/>
      <c r="I66" s="16" t="str">
        <f t="shared" si="5"/>
        <v>collected</v>
      </c>
      <c r="J66" s="16" t="str">
        <f t="shared" si="6"/>
        <v>N</v>
      </c>
      <c r="K66" s="16"/>
      <c r="L66" s="16"/>
    </row>
    <row r="67">
      <c r="A67" s="6" t="s">
        <v>179</v>
      </c>
      <c r="B67" s="10" t="str">
        <f t="shared" si="1"/>
        <v>extra_muscle</v>
      </c>
      <c r="C67" s="49" t="str">
        <f t="shared" si="2"/>
        <v>S5156XM1</v>
      </c>
      <c r="D67" s="6">
        <v>16.0</v>
      </c>
      <c r="E67" s="10" t="str">
        <f t="shared" si="3"/>
        <v>BXM16</v>
      </c>
      <c r="F67" s="13">
        <v>39.0</v>
      </c>
      <c r="G67" s="10" t="str">
        <f t="shared" si="4"/>
        <v>BXM16-39</v>
      </c>
      <c r="H67" s="15"/>
      <c r="I67" s="16" t="str">
        <f t="shared" si="5"/>
        <v>collected</v>
      </c>
      <c r="J67" s="16" t="str">
        <f t="shared" si="6"/>
        <v>N</v>
      </c>
      <c r="K67" s="16"/>
      <c r="L67" s="16"/>
    </row>
    <row r="68">
      <c r="A68" s="6" t="s">
        <v>180</v>
      </c>
      <c r="B68" s="10" t="str">
        <f t="shared" si="1"/>
        <v>extra_muscle</v>
      </c>
      <c r="C68" s="49" t="str">
        <f t="shared" si="2"/>
        <v>S5157XM1</v>
      </c>
      <c r="D68" s="6">
        <v>16.0</v>
      </c>
      <c r="E68" s="10" t="str">
        <f t="shared" si="3"/>
        <v>BXM16</v>
      </c>
      <c r="F68" s="13">
        <v>40.0</v>
      </c>
      <c r="G68" s="10" t="str">
        <f t="shared" si="4"/>
        <v>BXM16-40</v>
      </c>
      <c r="H68" s="15"/>
      <c r="I68" s="16" t="str">
        <f t="shared" si="5"/>
        <v>collected</v>
      </c>
      <c r="J68" s="16" t="str">
        <f t="shared" si="6"/>
        <v>N</v>
      </c>
      <c r="K68" s="16"/>
      <c r="L68" s="16"/>
    </row>
    <row r="69">
      <c r="A69" s="6" t="s">
        <v>184</v>
      </c>
      <c r="B69" s="10" t="str">
        <f t="shared" si="1"/>
        <v>extra_muscle</v>
      </c>
      <c r="C69" s="49" t="str">
        <f t="shared" si="2"/>
        <v>S5158XM1</v>
      </c>
      <c r="D69" s="6">
        <v>16.0</v>
      </c>
      <c r="E69" s="10" t="str">
        <f t="shared" si="3"/>
        <v>BXM16</v>
      </c>
      <c r="F69" s="13">
        <v>41.0</v>
      </c>
      <c r="G69" s="10" t="str">
        <f t="shared" si="4"/>
        <v>BXM16-41</v>
      </c>
      <c r="H69" s="15"/>
      <c r="I69" s="16" t="str">
        <f t="shared" si="5"/>
        <v>collected</v>
      </c>
      <c r="J69" s="16" t="str">
        <f t="shared" si="6"/>
        <v>N</v>
      </c>
      <c r="K69" s="16"/>
      <c r="L69" s="16"/>
    </row>
    <row r="70">
      <c r="A70" s="6" t="s">
        <v>185</v>
      </c>
      <c r="B70" s="10" t="str">
        <f t="shared" si="1"/>
        <v>extra_muscle</v>
      </c>
      <c r="C70" s="49" t="str">
        <f t="shared" si="2"/>
        <v>S5159XM1</v>
      </c>
      <c r="D70" s="6">
        <v>16.0</v>
      </c>
      <c r="E70" s="10" t="str">
        <f t="shared" si="3"/>
        <v>BXM16</v>
      </c>
      <c r="F70" s="13">
        <v>42.0</v>
      </c>
      <c r="G70" s="10" t="str">
        <f t="shared" si="4"/>
        <v>BXM16-42</v>
      </c>
      <c r="H70" s="15"/>
      <c r="I70" s="16" t="str">
        <f t="shared" si="5"/>
        <v>collected</v>
      </c>
      <c r="J70" s="16" t="str">
        <f t="shared" si="6"/>
        <v>N</v>
      </c>
      <c r="K70" s="16"/>
      <c r="L70" s="16"/>
    </row>
    <row r="71">
      <c r="A71" s="6" t="s">
        <v>187</v>
      </c>
      <c r="B71" s="10" t="str">
        <f t="shared" si="1"/>
        <v>extra_muscle</v>
      </c>
      <c r="C71" s="49" t="str">
        <f t="shared" si="2"/>
        <v>S5160XM1</v>
      </c>
      <c r="D71" s="6">
        <v>16.0</v>
      </c>
      <c r="E71" s="10" t="str">
        <f t="shared" si="3"/>
        <v>BXM16</v>
      </c>
      <c r="F71" s="13">
        <v>43.0</v>
      </c>
      <c r="G71" s="10" t="str">
        <f t="shared" si="4"/>
        <v>BXM16-43</v>
      </c>
      <c r="H71" s="15"/>
      <c r="I71" s="16" t="str">
        <f t="shared" si="5"/>
        <v>collected</v>
      </c>
      <c r="J71" s="16" t="str">
        <f t="shared" si="6"/>
        <v>N</v>
      </c>
      <c r="K71" s="16"/>
      <c r="L71" s="16"/>
    </row>
    <row r="72">
      <c r="A72" s="6" t="s">
        <v>189</v>
      </c>
      <c r="B72" s="10" t="str">
        <f t="shared" si="1"/>
        <v>extra_muscle</v>
      </c>
      <c r="C72" s="49" t="str">
        <f t="shared" si="2"/>
        <v>S5179XM1</v>
      </c>
      <c r="D72" s="6">
        <v>16.0</v>
      </c>
      <c r="E72" s="10" t="str">
        <f t="shared" si="3"/>
        <v>BXM16</v>
      </c>
      <c r="F72" s="13">
        <v>44.0</v>
      </c>
      <c r="G72" s="10" t="str">
        <f t="shared" si="4"/>
        <v>BXM16-44</v>
      </c>
      <c r="H72" s="15"/>
      <c r="I72" s="16" t="str">
        <f t="shared" si="5"/>
        <v>collected</v>
      </c>
      <c r="J72" s="16" t="str">
        <f t="shared" si="6"/>
        <v>N</v>
      </c>
      <c r="K72" s="16"/>
      <c r="L72" s="16"/>
    </row>
    <row r="73">
      <c r="A73" s="6" t="s">
        <v>191</v>
      </c>
      <c r="B73" s="10" t="str">
        <f t="shared" si="1"/>
        <v>extra_muscle</v>
      </c>
      <c r="C73" s="49" t="str">
        <f t="shared" si="2"/>
        <v>S5180XM1</v>
      </c>
      <c r="D73" s="6">
        <v>16.0</v>
      </c>
      <c r="E73" s="10" t="str">
        <f t="shared" si="3"/>
        <v>BXM16</v>
      </c>
      <c r="F73" s="13">
        <v>46.0</v>
      </c>
      <c r="G73" s="10" t="str">
        <f t="shared" si="4"/>
        <v>BXM16-46</v>
      </c>
      <c r="H73" s="15"/>
      <c r="I73" s="16" t="str">
        <f t="shared" si="5"/>
        <v>collected</v>
      </c>
      <c r="J73" s="16" t="str">
        <f t="shared" si="6"/>
        <v>N</v>
      </c>
      <c r="K73" s="16"/>
      <c r="L73" s="16"/>
    </row>
    <row r="74">
      <c r="A74" s="6" t="s">
        <v>194</v>
      </c>
      <c r="B74" s="10" t="str">
        <f t="shared" si="1"/>
        <v>extra_muscle</v>
      </c>
      <c r="C74" s="49" t="str">
        <f t="shared" si="2"/>
        <v>S5181XM1</v>
      </c>
      <c r="D74" s="6">
        <v>16.0</v>
      </c>
      <c r="E74" s="10" t="str">
        <f t="shared" si="3"/>
        <v>BXM16</v>
      </c>
      <c r="F74" s="13">
        <v>47.0</v>
      </c>
      <c r="G74" s="10" t="str">
        <f t="shared" si="4"/>
        <v>BXM16-47</v>
      </c>
      <c r="H74" s="15"/>
      <c r="I74" s="16" t="str">
        <f t="shared" si="5"/>
        <v>collected</v>
      </c>
      <c r="J74" s="16" t="str">
        <f t="shared" si="6"/>
        <v>N</v>
      </c>
      <c r="K74" s="16"/>
      <c r="L74" s="16"/>
    </row>
    <row r="75">
      <c r="A75" s="6" t="s">
        <v>195</v>
      </c>
      <c r="B75" s="10" t="str">
        <f t="shared" si="1"/>
        <v>extra_muscle</v>
      </c>
      <c r="C75" s="49" t="str">
        <f t="shared" si="2"/>
        <v>S5182XM1</v>
      </c>
      <c r="D75" s="6">
        <v>16.0</v>
      </c>
      <c r="E75" s="10" t="str">
        <f t="shared" si="3"/>
        <v>BXM16</v>
      </c>
      <c r="F75" s="13">
        <v>48.0</v>
      </c>
      <c r="G75" s="10" t="str">
        <f t="shared" si="4"/>
        <v>BXM16-48</v>
      </c>
      <c r="H75" s="15"/>
      <c r="I75" s="16" t="str">
        <f t="shared" si="5"/>
        <v>collected</v>
      </c>
      <c r="J75" s="16" t="str">
        <f t="shared" si="6"/>
        <v>N</v>
      </c>
      <c r="K75" s="16"/>
      <c r="L75" s="16"/>
    </row>
    <row r="76">
      <c r="A76" s="6" t="s">
        <v>196</v>
      </c>
      <c r="B76" s="10" t="str">
        <f t="shared" si="1"/>
        <v>extra_muscle</v>
      </c>
      <c r="C76" s="49" t="str">
        <f t="shared" si="2"/>
        <v>S5183XM1</v>
      </c>
      <c r="D76" s="6">
        <v>16.0</v>
      </c>
      <c r="E76" s="10" t="str">
        <f t="shared" si="3"/>
        <v>BXM16</v>
      </c>
      <c r="F76" s="13">
        <v>49.0</v>
      </c>
      <c r="G76" s="10" t="str">
        <f t="shared" si="4"/>
        <v>BXM16-49</v>
      </c>
      <c r="H76" s="15"/>
      <c r="I76" s="16" t="str">
        <f t="shared" si="5"/>
        <v>collected</v>
      </c>
      <c r="J76" s="16" t="str">
        <f t="shared" si="6"/>
        <v>N</v>
      </c>
      <c r="K76" s="16"/>
      <c r="L76" s="16"/>
    </row>
    <row r="77">
      <c r="A77" s="6" t="s">
        <v>198</v>
      </c>
      <c r="B77" s="10" t="str">
        <f t="shared" si="1"/>
        <v>extra_muscle</v>
      </c>
      <c r="C77" s="49" t="str">
        <f t="shared" si="2"/>
        <v>S5184XM1</v>
      </c>
      <c r="D77" s="6">
        <v>16.0</v>
      </c>
      <c r="E77" s="10" t="str">
        <f t="shared" si="3"/>
        <v>BXM16</v>
      </c>
      <c r="F77" s="13">
        <v>50.0</v>
      </c>
      <c r="G77" s="10" t="str">
        <f t="shared" si="4"/>
        <v>BXM16-50</v>
      </c>
      <c r="H77" s="15"/>
      <c r="I77" s="16" t="str">
        <f t="shared" si="5"/>
        <v>collected</v>
      </c>
      <c r="J77" s="16" t="str">
        <f t="shared" si="6"/>
        <v>N</v>
      </c>
      <c r="K77" s="16"/>
      <c r="L77" s="16"/>
    </row>
    <row r="78">
      <c r="A78" s="6" t="s">
        <v>199</v>
      </c>
      <c r="B78" s="10" t="str">
        <f t="shared" si="1"/>
        <v>extra_muscle</v>
      </c>
      <c r="C78" s="49" t="str">
        <f t="shared" si="2"/>
        <v>S5171XM1</v>
      </c>
      <c r="D78" s="6">
        <v>22.0</v>
      </c>
      <c r="E78" s="10" t="str">
        <f t="shared" si="3"/>
        <v>BXM22</v>
      </c>
      <c r="F78" s="13">
        <v>21.0</v>
      </c>
      <c r="G78" s="10" t="str">
        <f t="shared" si="4"/>
        <v>BXM22-21</v>
      </c>
      <c r="H78" s="16"/>
      <c r="I78" s="16" t="str">
        <f t="shared" si="5"/>
        <v>collected</v>
      </c>
      <c r="J78" s="16" t="str">
        <f t="shared" si="6"/>
        <v>N</v>
      </c>
      <c r="K78" s="16"/>
      <c r="L78" s="16"/>
    </row>
    <row r="79">
      <c r="A79" s="6" t="s">
        <v>202</v>
      </c>
      <c r="B79" s="10" t="str">
        <f t="shared" si="1"/>
        <v>extra_muscle</v>
      </c>
      <c r="C79" s="49" t="str">
        <f t="shared" si="2"/>
        <v>S5172XM1</v>
      </c>
      <c r="D79" s="6">
        <v>22.0</v>
      </c>
      <c r="E79" s="10" t="str">
        <f t="shared" si="3"/>
        <v>BXM22</v>
      </c>
      <c r="F79" s="13">
        <v>22.0</v>
      </c>
      <c r="G79" s="10" t="str">
        <f t="shared" si="4"/>
        <v>BXM22-22</v>
      </c>
      <c r="H79" s="16"/>
      <c r="I79" s="16" t="str">
        <f t="shared" si="5"/>
        <v>collected</v>
      </c>
      <c r="J79" s="16" t="str">
        <f t="shared" si="6"/>
        <v>N</v>
      </c>
      <c r="K79" s="16"/>
      <c r="L79" s="16"/>
    </row>
    <row r="80">
      <c r="A80" s="6" t="s">
        <v>204</v>
      </c>
      <c r="B80" s="10" t="str">
        <f t="shared" si="1"/>
        <v>extra_muscle</v>
      </c>
      <c r="C80" s="49" t="str">
        <f t="shared" si="2"/>
        <v>S5173XM1</v>
      </c>
      <c r="D80" s="6">
        <v>22.0</v>
      </c>
      <c r="E80" s="10" t="str">
        <f t="shared" si="3"/>
        <v>BXM22</v>
      </c>
      <c r="F80" s="13">
        <v>23.0</v>
      </c>
      <c r="G80" s="10" t="str">
        <f t="shared" si="4"/>
        <v>BXM22-23</v>
      </c>
      <c r="H80" s="16"/>
      <c r="I80" s="16" t="str">
        <f t="shared" si="5"/>
        <v>collected</v>
      </c>
      <c r="J80" s="16" t="str">
        <f t="shared" si="6"/>
        <v>N</v>
      </c>
      <c r="K80" s="16"/>
      <c r="L80" s="16"/>
    </row>
    <row r="81">
      <c r="A81" s="6" t="s">
        <v>205</v>
      </c>
      <c r="B81" s="10" t="str">
        <f t="shared" si="1"/>
        <v>extra_muscle</v>
      </c>
      <c r="C81" s="49" t="str">
        <f t="shared" si="2"/>
        <v>S5174XM1</v>
      </c>
      <c r="D81" s="6">
        <v>22.0</v>
      </c>
      <c r="E81" s="10" t="str">
        <f t="shared" si="3"/>
        <v>BXM22</v>
      </c>
      <c r="F81" s="13">
        <v>24.0</v>
      </c>
      <c r="G81" s="10" t="str">
        <f t="shared" si="4"/>
        <v>BXM22-24</v>
      </c>
      <c r="H81" s="16"/>
      <c r="I81" s="16" t="str">
        <f t="shared" si="5"/>
        <v>collected</v>
      </c>
      <c r="J81" s="16" t="str">
        <f t="shared" si="6"/>
        <v>N</v>
      </c>
      <c r="K81" s="16"/>
      <c r="L81" s="16"/>
    </row>
    <row r="82">
      <c r="A82" s="25" t="s">
        <v>209</v>
      </c>
      <c r="B82" s="10" t="str">
        <f t="shared" si="1"/>
        <v>extra_muscle</v>
      </c>
      <c r="C82" s="49" t="str">
        <f t="shared" si="2"/>
        <v>S5175XM1</v>
      </c>
      <c r="D82" s="6">
        <v>22.0</v>
      </c>
      <c r="E82" s="10" t="str">
        <f t="shared" si="3"/>
        <v>BXM22</v>
      </c>
      <c r="F82" s="13">
        <v>25.0</v>
      </c>
      <c r="G82" s="10" t="str">
        <f t="shared" si="4"/>
        <v>BXM22-25</v>
      </c>
      <c r="H82" s="16"/>
      <c r="I82" s="16" t="str">
        <f t="shared" si="5"/>
        <v>collected</v>
      </c>
      <c r="J82" s="16" t="str">
        <f t="shared" si="6"/>
        <v>N</v>
      </c>
      <c r="K82" s="16"/>
      <c r="L82" s="16"/>
    </row>
    <row r="83">
      <c r="A83" s="25" t="s">
        <v>210</v>
      </c>
      <c r="B83" s="10" t="str">
        <f t="shared" si="1"/>
        <v>extra_muscle</v>
      </c>
      <c r="C83" s="49" t="str">
        <f t="shared" si="2"/>
        <v>S5176XM1</v>
      </c>
      <c r="D83" s="6">
        <v>22.0</v>
      </c>
      <c r="E83" s="10" t="str">
        <f t="shared" si="3"/>
        <v>BXM22</v>
      </c>
      <c r="F83" s="13">
        <v>27.0</v>
      </c>
      <c r="G83" s="10" t="str">
        <f t="shared" si="4"/>
        <v>BXM22-27</v>
      </c>
      <c r="H83" s="16"/>
      <c r="I83" s="16" t="str">
        <f t="shared" si="5"/>
        <v>collected</v>
      </c>
      <c r="J83" s="16" t="str">
        <f t="shared" si="6"/>
        <v>N</v>
      </c>
      <c r="K83" s="16"/>
      <c r="L83" s="16"/>
    </row>
    <row r="84">
      <c r="A84" s="25" t="s">
        <v>212</v>
      </c>
      <c r="B84" s="10" t="str">
        <f t="shared" si="1"/>
        <v>extra_muscle</v>
      </c>
      <c r="C84" s="49" t="str">
        <f t="shared" si="2"/>
        <v>S5177XM1</v>
      </c>
      <c r="D84" s="6">
        <v>22.0</v>
      </c>
      <c r="E84" s="10" t="str">
        <f t="shared" si="3"/>
        <v>BXM22</v>
      </c>
      <c r="F84" s="13">
        <v>28.0</v>
      </c>
      <c r="G84" s="10" t="str">
        <f t="shared" si="4"/>
        <v>BXM22-28</v>
      </c>
      <c r="H84" s="16"/>
      <c r="I84" s="16" t="str">
        <f t="shared" si="5"/>
        <v>collected</v>
      </c>
      <c r="J84" s="16" t="str">
        <f t="shared" si="6"/>
        <v>N</v>
      </c>
      <c r="K84" s="16"/>
      <c r="L84" s="16"/>
    </row>
    <row r="85">
      <c r="A85" s="25" t="s">
        <v>215</v>
      </c>
      <c r="B85" s="10" t="str">
        <f t="shared" si="1"/>
        <v>extra_muscle</v>
      </c>
      <c r="C85" s="49" t="str">
        <f t="shared" si="2"/>
        <v>S5178XM1</v>
      </c>
      <c r="D85" s="6">
        <v>22.0</v>
      </c>
      <c r="E85" s="10" t="str">
        <f t="shared" si="3"/>
        <v>BXM22</v>
      </c>
      <c r="F85" s="13">
        <v>29.0</v>
      </c>
      <c r="G85" s="10" t="str">
        <f t="shared" si="4"/>
        <v>BXM22-29</v>
      </c>
      <c r="H85" s="16"/>
      <c r="I85" s="16" t="str">
        <f t="shared" si="5"/>
        <v>collected</v>
      </c>
      <c r="J85" s="16" t="str">
        <f t="shared" si="6"/>
        <v>N</v>
      </c>
      <c r="K85" s="16"/>
      <c r="L85" s="16"/>
    </row>
    <row r="86">
      <c r="A86" s="25" t="s">
        <v>217</v>
      </c>
      <c r="B86" s="10" t="str">
        <f t="shared" si="1"/>
        <v>extra_muscle</v>
      </c>
      <c r="C86" s="49" t="str">
        <f t="shared" si="2"/>
        <v>S5194XM1</v>
      </c>
      <c r="D86" s="6">
        <v>22.0</v>
      </c>
      <c r="E86" s="10" t="str">
        <f t="shared" si="3"/>
        <v>BXM22</v>
      </c>
      <c r="F86" s="13">
        <v>30.0</v>
      </c>
      <c r="G86" s="10" t="str">
        <f t="shared" si="4"/>
        <v>BXM22-30</v>
      </c>
      <c r="H86" s="6" t="s">
        <v>2191</v>
      </c>
      <c r="I86" s="16" t="str">
        <f t="shared" si="5"/>
        <v>collected</v>
      </c>
      <c r="J86" s="16" t="str">
        <f t="shared" si="6"/>
        <v>N</v>
      </c>
      <c r="K86" s="16"/>
      <c r="L86" s="16"/>
    </row>
    <row r="87">
      <c r="A87" s="25" t="s">
        <v>220</v>
      </c>
      <c r="B87" s="10" t="str">
        <f t="shared" si="1"/>
        <v>extra_muscle</v>
      </c>
      <c r="C87" s="49" t="str">
        <f t="shared" si="2"/>
        <v>S5195XM1</v>
      </c>
      <c r="D87" s="6">
        <v>22.0</v>
      </c>
      <c r="E87" s="10" t="str">
        <f t="shared" si="3"/>
        <v>BXM22</v>
      </c>
      <c r="F87" s="13">
        <v>31.0</v>
      </c>
      <c r="G87" s="10" t="str">
        <f t="shared" si="4"/>
        <v>BXM22-31</v>
      </c>
      <c r="H87" s="16"/>
      <c r="I87" s="16" t="str">
        <f t="shared" si="5"/>
        <v>collected</v>
      </c>
      <c r="J87" s="16" t="str">
        <f t="shared" si="6"/>
        <v>N</v>
      </c>
      <c r="K87" s="16"/>
      <c r="L87" s="16"/>
    </row>
    <row r="88">
      <c r="A88" s="25" t="s">
        <v>222</v>
      </c>
      <c r="B88" s="10" t="str">
        <f t="shared" si="1"/>
        <v>extra_muscle</v>
      </c>
      <c r="C88" s="49" t="str">
        <f t="shared" si="2"/>
        <v>S5196XM1</v>
      </c>
      <c r="D88" s="6">
        <v>22.0</v>
      </c>
      <c r="E88" s="10" t="str">
        <f t="shared" si="3"/>
        <v>BXM22</v>
      </c>
      <c r="F88" s="13">
        <v>32.0</v>
      </c>
      <c r="G88" s="10" t="str">
        <f t="shared" si="4"/>
        <v>BXM22-32</v>
      </c>
      <c r="H88" s="16"/>
      <c r="I88" s="16" t="str">
        <f t="shared" si="5"/>
        <v>collected</v>
      </c>
      <c r="J88" s="16" t="str">
        <f t="shared" si="6"/>
        <v>N</v>
      </c>
      <c r="K88" s="16"/>
      <c r="L88" s="16"/>
    </row>
    <row r="89">
      <c r="A89" s="25" t="s">
        <v>225</v>
      </c>
      <c r="B89" s="10" t="str">
        <f t="shared" si="1"/>
        <v>extra_muscle</v>
      </c>
      <c r="C89" s="49" t="str">
        <f t="shared" si="2"/>
        <v>S5197XM1</v>
      </c>
      <c r="D89" s="6">
        <v>22.0</v>
      </c>
      <c r="E89" s="10" t="str">
        <f t="shared" si="3"/>
        <v>BXM22</v>
      </c>
      <c r="F89" s="13">
        <v>33.0</v>
      </c>
      <c r="G89" s="10" t="str">
        <f t="shared" si="4"/>
        <v>BXM22-33</v>
      </c>
      <c r="H89" s="16"/>
      <c r="I89" s="16" t="str">
        <f t="shared" si="5"/>
        <v>collected</v>
      </c>
      <c r="J89" s="16" t="str">
        <f t="shared" si="6"/>
        <v>N</v>
      </c>
      <c r="K89" s="16"/>
      <c r="L89" s="16"/>
    </row>
    <row r="90">
      <c r="A90" s="25" t="s">
        <v>226</v>
      </c>
      <c r="B90" s="10" t="str">
        <f t="shared" si="1"/>
        <v>extra_muscle</v>
      </c>
      <c r="C90" s="49" t="str">
        <f t="shared" si="2"/>
        <v>S5198XM1</v>
      </c>
      <c r="D90" s="6">
        <v>22.0</v>
      </c>
      <c r="E90" s="10" t="str">
        <f t="shared" si="3"/>
        <v>BXM22</v>
      </c>
      <c r="F90" s="13">
        <v>34.0</v>
      </c>
      <c r="G90" s="10" t="str">
        <f t="shared" si="4"/>
        <v>BXM22-34</v>
      </c>
      <c r="H90" s="16"/>
      <c r="I90" s="16" t="str">
        <f t="shared" si="5"/>
        <v>collected</v>
      </c>
      <c r="J90" s="16" t="str">
        <f t="shared" si="6"/>
        <v>N</v>
      </c>
      <c r="K90" s="16"/>
      <c r="L90" s="16"/>
    </row>
    <row r="91">
      <c r="A91" s="25" t="s">
        <v>228</v>
      </c>
      <c r="B91" s="10" t="str">
        <f t="shared" si="1"/>
        <v>extra_muscle</v>
      </c>
      <c r="C91" s="49" t="str">
        <f t="shared" si="2"/>
        <v>S5199XM1</v>
      </c>
      <c r="D91" s="6">
        <v>22.0</v>
      </c>
      <c r="E91" s="10" t="str">
        <f t="shared" si="3"/>
        <v>BXM22</v>
      </c>
      <c r="F91" s="13">
        <v>35.0</v>
      </c>
      <c r="G91" s="10" t="str">
        <f t="shared" si="4"/>
        <v>BXM22-35</v>
      </c>
      <c r="H91" s="16"/>
      <c r="I91" s="16" t="str">
        <f t="shared" si="5"/>
        <v>collected</v>
      </c>
      <c r="J91" s="16" t="str">
        <f t="shared" si="6"/>
        <v>N</v>
      </c>
      <c r="K91" s="16"/>
      <c r="L91" s="16"/>
    </row>
    <row r="92">
      <c r="A92" s="25" t="s">
        <v>230</v>
      </c>
      <c r="B92" s="10" t="str">
        <f t="shared" si="1"/>
        <v>extra_muscle</v>
      </c>
      <c r="C92" s="49" t="str">
        <f t="shared" si="2"/>
        <v>S5200XM1</v>
      </c>
      <c r="D92" s="6">
        <v>22.0</v>
      </c>
      <c r="E92" s="10" t="str">
        <f t="shared" si="3"/>
        <v>BXM22</v>
      </c>
      <c r="F92" s="13">
        <v>37.0</v>
      </c>
      <c r="G92" s="10" t="str">
        <f t="shared" si="4"/>
        <v>BXM22-37</v>
      </c>
      <c r="H92" s="16"/>
      <c r="I92" s="16" t="str">
        <f t="shared" si="5"/>
        <v>collected</v>
      </c>
      <c r="J92" s="16" t="str">
        <f t="shared" si="6"/>
        <v>N</v>
      </c>
      <c r="K92" s="16"/>
      <c r="L92" s="16"/>
    </row>
    <row r="93">
      <c r="A93" s="25" t="s">
        <v>232</v>
      </c>
      <c r="B93" s="10" t="str">
        <f t="shared" si="1"/>
        <v>extra_muscle</v>
      </c>
      <c r="C93" s="49" t="str">
        <f t="shared" si="2"/>
        <v>S5201XM1</v>
      </c>
      <c r="D93" s="6">
        <v>22.0</v>
      </c>
      <c r="E93" s="10" t="str">
        <f t="shared" si="3"/>
        <v>BXM22</v>
      </c>
      <c r="F93" s="13">
        <v>38.0</v>
      </c>
      <c r="G93" s="10" t="str">
        <f t="shared" si="4"/>
        <v>BXM22-38</v>
      </c>
      <c r="H93" s="18"/>
      <c r="I93" s="16" t="str">
        <f t="shared" si="5"/>
        <v>collected</v>
      </c>
      <c r="J93" s="16" t="str">
        <f t="shared" si="6"/>
        <v>N</v>
      </c>
      <c r="K93" s="16"/>
      <c r="L93" s="16"/>
    </row>
    <row r="94">
      <c r="A94" s="25" t="s">
        <v>234</v>
      </c>
      <c r="B94" s="10" t="str">
        <f t="shared" si="1"/>
        <v>extra_muscle</v>
      </c>
      <c r="C94" s="49" t="str">
        <f t="shared" si="2"/>
        <v>S5202XM1</v>
      </c>
      <c r="D94" s="6">
        <v>22.0</v>
      </c>
      <c r="E94" s="10" t="str">
        <f t="shared" si="3"/>
        <v>BXM22</v>
      </c>
      <c r="F94" s="13">
        <v>39.0</v>
      </c>
      <c r="G94" s="10" t="str">
        <f t="shared" si="4"/>
        <v>BXM22-39</v>
      </c>
      <c r="H94" s="18"/>
      <c r="I94" s="16" t="str">
        <f t="shared" si="5"/>
        <v>collected</v>
      </c>
      <c r="J94" s="16" t="str">
        <f t="shared" si="6"/>
        <v>N</v>
      </c>
      <c r="K94" s="16"/>
      <c r="L94" s="16"/>
    </row>
    <row r="95">
      <c r="A95" s="25" t="s">
        <v>235</v>
      </c>
      <c r="B95" s="10" t="str">
        <f t="shared" si="1"/>
        <v>extra_muscle</v>
      </c>
      <c r="C95" s="49" t="str">
        <f t="shared" si="2"/>
        <v>S5203XM1</v>
      </c>
      <c r="D95" s="6">
        <v>22.0</v>
      </c>
      <c r="E95" s="10" t="str">
        <f t="shared" si="3"/>
        <v>BXM22</v>
      </c>
      <c r="F95" s="13">
        <v>40.0</v>
      </c>
      <c r="G95" s="10" t="str">
        <f t="shared" si="4"/>
        <v>BXM22-40</v>
      </c>
      <c r="H95" s="18"/>
      <c r="I95" s="16" t="str">
        <f t="shared" si="5"/>
        <v>collected</v>
      </c>
      <c r="J95" s="16" t="str">
        <f t="shared" si="6"/>
        <v>N</v>
      </c>
      <c r="K95" s="16"/>
      <c r="L95" s="16"/>
    </row>
    <row r="96">
      <c r="A96" s="25" t="s">
        <v>238</v>
      </c>
      <c r="B96" s="10" t="str">
        <f t="shared" si="1"/>
        <v>extra_muscle</v>
      </c>
      <c r="C96" s="49" t="str">
        <f t="shared" si="2"/>
        <v>S5204XM1</v>
      </c>
      <c r="D96" s="6">
        <v>22.0</v>
      </c>
      <c r="E96" s="10" t="str">
        <f t="shared" si="3"/>
        <v>BXM22</v>
      </c>
      <c r="F96" s="13">
        <v>41.0</v>
      </c>
      <c r="G96" s="10" t="str">
        <f t="shared" si="4"/>
        <v>BXM22-41</v>
      </c>
      <c r="H96" s="18"/>
      <c r="I96" s="16" t="str">
        <f t="shared" si="5"/>
        <v>collected</v>
      </c>
      <c r="J96" s="16" t="str">
        <f t="shared" si="6"/>
        <v>N</v>
      </c>
      <c r="K96" s="16"/>
      <c r="L96" s="16"/>
    </row>
    <row r="97">
      <c r="A97" s="25" t="s">
        <v>239</v>
      </c>
      <c r="B97" s="10" t="str">
        <f t="shared" si="1"/>
        <v>extra_muscle</v>
      </c>
      <c r="C97" s="49" t="str">
        <f t="shared" si="2"/>
        <v>S5205XM1</v>
      </c>
      <c r="D97" s="6">
        <v>22.0</v>
      </c>
      <c r="E97" s="10" t="str">
        <f t="shared" si="3"/>
        <v>BXM22</v>
      </c>
      <c r="F97" s="13">
        <v>42.0</v>
      </c>
      <c r="G97" s="10" t="str">
        <f t="shared" si="4"/>
        <v>BXM22-42</v>
      </c>
      <c r="H97" s="18"/>
      <c r="I97" s="16" t="str">
        <f t="shared" si="5"/>
        <v>collected</v>
      </c>
      <c r="J97" s="16" t="str">
        <f t="shared" si="6"/>
        <v>N</v>
      </c>
      <c r="K97" s="16"/>
      <c r="L97" s="16"/>
    </row>
    <row r="98">
      <c r="A98" s="26" t="s">
        <v>241</v>
      </c>
      <c r="B98" s="10" t="str">
        <f t="shared" si="1"/>
        <v>extra_muscle</v>
      </c>
      <c r="C98" s="49" t="str">
        <f t="shared" si="2"/>
        <v>S5206XM1</v>
      </c>
      <c r="D98" s="6">
        <v>22.0</v>
      </c>
      <c r="E98" s="10" t="str">
        <f t="shared" si="3"/>
        <v>BXM22</v>
      </c>
      <c r="F98" s="13">
        <v>43.0</v>
      </c>
      <c r="G98" s="10" t="str">
        <f t="shared" si="4"/>
        <v>BXM22-43</v>
      </c>
      <c r="H98" s="16"/>
      <c r="I98" s="16" t="str">
        <f t="shared" si="5"/>
        <v>collected</v>
      </c>
      <c r="J98" s="16" t="str">
        <f t="shared" si="6"/>
        <v>N</v>
      </c>
      <c r="K98" s="16"/>
      <c r="L98" s="16"/>
    </row>
    <row r="99">
      <c r="A99" s="26" t="s">
        <v>245</v>
      </c>
      <c r="B99" s="10" t="str">
        <f t="shared" si="1"/>
        <v>extra_muscle</v>
      </c>
      <c r="C99" s="49" t="str">
        <f t="shared" si="2"/>
        <v>S5207XM1</v>
      </c>
      <c r="D99" s="6">
        <v>22.0</v>
      </c>
      <c r="E99" s="10" t="str">
        <f t="shared" si="3"/>
        <v>BXM22</v>
      </c>
      <c r="F99" s="13">
        <v>44.0</v>
      </c>
      <c r="G99" s="10" t="str">
        <f t="shared" si="4"/>
        <v>BXM22-44</v>
      </c>
      <c r="H99" s="16"/>
      <c r="I99" s="16" t="str">
        <f t="shared" si="5"/>
        <v>collected</v>
      </c>
      <c r="J99" s="16" t="str">
        <f t="shared" si="6"/>
        <v>N</v>
      </c>
      <c r="K99" s="16"/>
      <c r="L99" s="16"/>
    </row>
    <row r="100">
      <c r="A100" s="26" t="s">
        <v>247</v>
      </c>
      <c r="B100" s="10" t="str">
        <f t="shared" si="1"/>
        <v>extra_muscle</v>
      </c>
      <c r="C100" s="49" t="str">
        <f t="shared" si="2"/>
        <v>S5208XM1</v>
      </c>
      <c r="D100" s="6">
        <v>22.0</v>
      </c>
      <c r="E100" s="10" t="str">
        <f t="shared" si="3"/>
        <v>BXM22</v>
      </c>
      <c r="F100" s="13">
        <v>45.0</v>
      </c>
      <c r="G100" s="10" t="str">
        <f t="shared" si="4"/>
        <v>BXM22-45</v>
      </c>
      <c r="H100" s="16"/>
      <c r="I100" s="16" t="str">
        <f t="shared" si="5"/>
        <v>collected</v>
      </c>
      <c r="J100" s="16" t="str">
        <f t="shared" si="6"/>
        <v>N</v>
      </c>
      <c r="K100" s="16"/>
      <c r="L100" s="16"/>
    </row>
    <row r="101">
      <c r="A101" s="26" t="s">
        <v>248</v>
      </c>
      <c r="B101" s="10" t="str">
        <f t="shared" si="1"/>
        <v>extra_muscle</v>
      </c>
      <c r="C101" s="49" t="str">
        <f t="shared" si="2"/>
        <v>S5209XM1</v>
      </c>
      <c r="D101" s="6">
        <v>22.0</v>
      </c>
      <c r="E101" s="10" t="str">
        <f t="shared" si="3"/>
        <v>BXM22</v>
      </c>
      <c r="F101" s="13">
        <v>47.0</v>
      </c>
      <c r="G101" s="10" t="str">
        <f t="shared" si="4"/>
        <v>BXM22-47</v>
      </c>
      <c r="H101" s="16"/>
      <c r="I101" s="16" t="str">
        <f t="shared" si="5"/>
        <v>collected</v>
      </c>
      <c r="J101" s="16" t="str">
        <f t="shared" si="6"/>
        <v>N</v>
      </c>
      <c r="K101" s="16"/>
      <c r="L101" s="16"/>
    </row>
    <row r="102">
      <c r="A102" s="26" t="s">
        <v>250</v>
      </c>
      <c r="B102" s="10" t="str">
        <f t="shared" si="1"/>
        <v>extra_muscle</v>
      </c>
      <c r="C102" s="49" t="str">
        <f t="shared" si="2"/>
        <v>S5210XM1</v>
      </c>
      <c r="D102" s="6">
        <v>22.0</v>
      </c>
      <c r="E102" s="10" t="str">
        <f t="shared" si="3"/>
        <v>BXM22</v>
      </c>
      <c r="F102" s="13">
        <v>48.0</v>
      </c>
      <c r="G102" s="10" t="str">
        <f t="shared" si="4"/>
        <v>BXM22-48</v>
      </c>
      <c r="H102" s="16"/>
      <c r="I102" s="16" t="str">
        <f t="shared" si="5"/>
        <v>collected</v>
      </c>
      <c r="J102" s="16" t="str">
        <f t="shared" si="6"/>
        <v>N</v>
      </c>
      <c r="K102" s="16"/>
      <c r="L102" s="16"/>
    </row>
    <row r="103">
      <c r="A103" s="26" t="s">
        <v>252</v>
      </c>
      <c r="B103" s="10" t="str">
        <f t="shared" si="1"/>
        <v>extra_muscle</v>
      </c>
      <c r="C103" s="49" t="str">
        <f t="shared" si="2"/>
        <v>S5211XM1</v>
      </c>
      <c r="D103" s="6">
        <v>22.0</v>
      </c>
      <c r="E103" s="10" t="str">
        <f t="shared" si="3"/>
        <v>BXM22</v>
      </c>
      <c r="F103" s="13">
        <v>49.0</v>
      </c>
      <c r="G103" s="10" t="str">
        <f t="shared" si="4"/>
        <v>BXM22-49</v>
      </c>
      <c r="H103" s="16"/>
      <c r="I103" s="16" t="str">
        <f t="shared" si="5"/>
        <v>collected</v>
      </c>
      <c r="J103" s="16" t="str">
        <f t="shared" si="6"/>
        <v>N</v>
      </c>
      <c r="K103" s="16"/>
      <c r="L103" s="16"/>
    </row>
    <row r="104">
      <c r="A104" s="26" t="s">
        <v>254</v>
      </c>
      <c r="B104" s="10" t="str">
        <f t="shared" si="1"/>
        <v>extra_muscle</v>
      </c>
      <c r="C104" s="49" t="str">
        <f t="shared" si="2"/>
        <v>S5185XM1</v>
      </c>
      <c r="D104" s="6">
        <v>16.0</v>
      </c>
      <c r="E104" s="10" t="str">
        <f t="shared" si="3"/>
        <v>BXM16</v>
      </c>
      <c r="F104" s="13">
        <v>51.0</v>
      </c>
      <c r="G104" s="10" t="str">
        <f t="shared" si="4"/>
        <v>BXM16-51</v>
      </c>
      <c r="H104" s="16"/>
      <c r="I104" s="16" t="str">
        <f t="shared" si="5"/>
        <v>collected</v>
      </c>
      <c r="J104" s="16" t="str">
        <f t="shared" si="6"/>
        <v>N</v>
      </c>
      <c r="K104" s="16"/>
      <c r="L104" s="16"/>
    </row>
    <row r="105">
      <c r="A105" s="26" t="s">
        <v>256</v>
      </c>
      <c r="B105" s="10" t="str">
        <f t="shared" si="1"/>
        <v>extra_muscle</v>
      </c>
      <c r="C105" s="49" t="str">
        <f t="shared" si="2"/>
        <v>S5186XM1</v>
      </c>
      <c r="D105" s="6">
        <v>16.0</v>
      </c>
      <c r="E105" s="10" t="str">
        <f t="shared" si="3"/>
        <v>BXM16</v>
      </c>
      <c r="F105" s="13">
        <v>52.0</v>
      </c>
      <c r="G105" s="10" t="str">
        <f t="shared" si="4"/>
        <v>BXM16-52</v>
      </c>
      <c r="H105" s="16"/>
      <c r="I105" s="16" t="str">
        <f t="shared" si="5"/>
        <v>collected</v>
      </c>
      <c r="J105" s="16" t="str">
        <f t="shared" si="6"/>
        <v>N</v>
      </c>
      <c r="K105" s="16"/>
      <c r="L105" s="16"/>
    </row>
    <row r="106">
      <c r="A106" s="26" t="s">
        <v>258</v>
      </c>
      <c r="B106" s="10" t="str">
        <f t="shared" si="1"/>
        <v>extra_muscle</v>
      </c>
      <c r="C106" s="49" t="str">
        <f t="shared" si="2"/>
        <v>S5187XM1</v>
      </c>
      <c r="D106" s="6">
        <v>16.0</v>
      </c>
      <c r="E106" s="10" t="str">
        <f t="shared" si="3"/>
        <v>BXM16</v>
      </c>
      <c r="F106" s="13">
        <v>53.0</v>
      </c>
      <c r="G106" s="10" t="str">
        <f t="shared" si="4"/>
        <v>BXM16-53</v>
      </c>
      <c r="H106" s="16"/>
      <c r="I106" s="16" t="str">
        <f t="shared" si="5"/>
        <v>collected</v>
      </c>
      <c r="J106" s="16" t="str">
        <f t="shared" si="6"/>
        <v>N</v>
      </c>
      <c r="K106" s="16"/>
      <c r="L106" s="16"/>
    </row>
    <row r="107">
      <c r="A107" s="27" t="s">
        <v>260</v>
      </c>
      <c r="B107" s="10" t="str">
        <f t="shared" si="1"/>
        <v>extra_muscle</v>
      </c>
      <c r="C107" s="49" t="str">
        <f t="shared" si="2"/>
        <v>S5188XM1</v>
      </c>
      <c r="D107" s="6">
        <v>16.0</v>
      </c>
      <c r="E107" s="10" t="str">
        <f t="shared" si="3"/>
        <v>BXM16</v>
      </c>
      <c r="F107" s="13">
        <v>54.0</v>
      </c>
      <c r="G107" s="10" t="str">
        <f t="shared" si="4"/>
        <v>BXM16-54</v>
      </c>
      <c r="H107" s="18"/>
      <c r="I107" s="16" t="str">
        <f t="shared" si="5"/>
        <v>collected</v>
      </c>
      <c r="J107" s="16" t="str">
        <f t="shared" si="6"/>
        <v>N</v>
      </c>
      <c r="K107" s="16"/>
      <c r="L107" s="16"/>
    </row>
    <row r="108">
      <c r="A108" s="27" t="s">
        <v>262</v>
      </c>
      <c r="B108" s="10" t="str">
        <f t="shared" si="1"/>
        <v>extra_muscle</v>
      </c>
      <c r="C108" s="49" t="str">
        <f t="shared" si="2"/>
        <v>S5189XM1</v>
      </c>
      <c r="D108" s="6">
        <v>16.0</v>
      </c>
      <c r="E108" s="10" t="str">
        <f t="shared" si="3"/>
        <v>BXM16</v>
      </c>
      <c r="F108" s="13">
        <v>56.0</v>
      </c>
      <c r="G108" s="10" t="str">
        <f t="shared" si="4"/>
        <v>BXM16-56</v>
      </c>
      <c r="H108" s="18"/>
      <c r="I108" s="16" t="str">
        <f t="shared" si="5"/>
        <v>collected</v>
      </c>
      <c r="J108" s="16" t="str">
        <f t="shared" si="6"/>
        <v>N</v>
      </c>
      <c r="K108" s="16"/>
      <c r="L108" s="16"/>
    </row>
    <row r="109">
      <c r="A109" s="27" t="s">
        <v>264</v>
      </c>
      <c r="B109" s="10" t="str">
        <f t="shared" si="1"/>
        <v>extra_muscle</v>
      </c>
      <c r="C109" s="49" t="str">
        <f t="shared" si="2"/>
        <v>S5190XM1</v>
      </c>
      <c r="D109" s="6">
        <v>16.0</v>
      </c>
      <c r="E109" s="10" t="str">
        <f t="shared" si="3"/>
        <v>BXM16</v>
      </c>
      <c r="F109" s="13">
        <v>57.0</v>
      </c>
      <c r="G109" s="10" t="str">
        <f t="shared" si="4"/>
        <v>BXM16-57</v>
      </c>
      <c r="H109" s="18"/>
      <c r="I109" s="16" t="str">
        <f t="shared" si="5"/>
        <v>collected</v>
      </c>
      <c r="J109" s="16" t="str">
        <f t="shared" si="6"/>
        <v>N</v>
      </c>
      <c r="K109" s="16"/>
      <c r="L109" s="16"/>
    </row>
    <row r="110">
      <c r="A110" s="27" t="s">
        <v>266</v>
      </c>
      <c r="B110" s="10" t="str">
        <f t="shared" si="1"/>
        <v>extra_muscle</v>
      </c>
      <c r="C110" s="49" t="str">
        <f t="shared" si="2"/>
        <v>S5191XM1</v>
      </c>
      <c r="D110" s="6">
        <v>16.0</v>
      </c>
      <c r="E110" s="10" t="str">
        <f t="shared" si="3"/>
        <v>BXM16</v>
      </c>
      <c r="F110" s="13">
        <v>58.0</v>
      </c>
      <c r="G110" s="10" t="str">
        <f t="shared" si="4"/>
        <v>BXM16-58</v>
      </c>
      <c r="H110" s="18"/>
      <c r="I110" s="16" t="str">
        <f t="shared" si="5"/>
        <v>collected</v>
      </c>
      <c r="J110" s="16" t="str">
        <f t="shared" si="6"/>
        <v>N</v>
      </c>
      <c r="K110" s="16"/>
      <c r="L110" s="16"/>
    </row>
    <row r="111">
      <c r="A111" s="27" t="s">
        <v>269</v>
      </c>
      <c r="B111" s="10" t="str">
        <f t="shared" si="1"/>
        <v>extra_muscle</v>
      </c>
      <c r="C111" s="49" t="str">
        <f t="shared" si="2"/>
        <v>S5192XM1</v>
      </c>
      <c r="D111" s="6">
        <v>16.0</v>
      </c>
      <c r="E111" s="10" t="str">
        <f t="shared" si="3"/>
        <v>BXM16</v>
      </c>
      <c r="F111" s="13">
        <v>59.0</v>
      </c>
      <c r="G111" s="10" t="str">
        <f t="shared" si="4"/>
        <v>BXM16-59</v>
      </c>
      <c r="H111" s="18"/>
      <c r="I111" s="16" t="str">
        <f t="shared" si="5"/>
        <v>collected</v>
      </c>
      <c r="J111" s="16" t="str">
        <f t="shared" si="6"/>
        <v>N</v>
      </c>
      <c r="K111" s="16"/>
      <c r="L111" s="16"/>
    </row>
    <row r="112">
      <c r="A112" s="27" t="s">
        <v>271</v>
      </c>
      <c r="B112" s="10" t="str">
        <f t="shared" si="1"/>
        <v>extra_muscle</v>
      </c>
      <c r="C112" s="49" t="str">
        <f t="shared" si="2"/>
        <v>S5193XM1</v>
      </c>
      <c r="D112" s="6">
        <v>16.0</v>
      </c>
      <c r="E112" s="10" t="str">
        <f t="shared" si="3"/>
        <v>BXM16</v>
      </c>
      <c r="F112" s="13">
        <v>60.0</v>
      </c>
      <c r="G112" s="10" t="str">
        <f t="shared" si="4"/>
        <v>BXM16-60</v>
      </c>
      <c r="H112" s="18"/>
      <c r="I112" s="16" t="str">
        <f t="shared" si="5"/>
        <v>collected</v>
      </c>
      <c r="J112" s="16" t="str">
        <f t="shared" si="6"/>
        <v>N</v>
      </c>
      <c r="K112" s="16"/>
      <c r="L112" s="16"/>
    </row>
    <row r="113">
      <c r="A113" s="27" t="s">
        <v>272</v>
      </c>
      <c r="B113" s="10" t="str">
        <f t="shared" si="1"/>
        <v>extra_muscle</v>
      </c>
      <c r="C113" s="49" t="str">
        <f t="shared" si="2"/>
        <v>S5232XM1</v>
      </c>
      <c r="D113" s="6">
        <v>16.0</v>
      </c>
      <c r="E113" s="10" t="str">
        <f t="shared" si="3"/>
        <v>BXM16</v>
      </c>
      <c r="F113" s="13">
        <v>71.0</v>
      </c>
      <c r="G113" s="10" t="str">
        <f t="shared" si="4"/>
        <v>BXM16-71</v>
      </c>
      <c r="H113" s="18"/>
      <c r="I113" s="16" t="str">
        <f t="shared" si="5"/>
        <v>collected</v>
      </c>
      <c r="J113" s="16" t="str">
        <f t="shared" si="6"/>
        <v>N</v>
      </c>
      <c r="K113" s="16"/>
      <c r="L113" s="16"/>
    </row>
    <row r="114">
      <c r="A114" s="27" t="s">
        <v>274</v>
      </c>
      <c r="B114" s="10" t="str">
        <f t="shared" si="1"/>
        <v>extra_muscle</v>
      </c>
      <c r="C114" s="49" t="str">
        <f t="shared" si="2"/>
        <v>S5233XM1</v>
      </c>
      <c r="D114" s="6">
        <v>16.0</v>
      </c>
      <c r="E114" s="10" t="str">
        <f t="shared" si="3"/>
        <v>BXM16</v>
      </c>
      <c r="F114" s="13">
        <v>72.0</v>
      </c>
      <c r="G114" s="10" t="str">
        <f t="shared" si="4"/>
        <v>BXM16-72</v>
      </c>
      <c r="H114" s="18"/>
      <c r="I114" s="16" t="str">
        <f t="shared" si="5"/>
        <v>collected</v>
      </c>
      <c r="J114" s="16" t="str">
        <f t="shared" si="6"/>
        <v>N</v>
      </c>
      <c r="K114" s="16"/>
      <c r="L114" s="16"/>
    </row>
    <row r="115">
      <c r="A115" s="27" t="s">
        <v>276</v>
      </c>
      <c r="B115" s="10" t="str">
        <f t="shared" si="1"/>
        <v>extra_muscle</v>
      </c>
      <c r="C115" s="49" t="str">
        <f t="shared" si="2"/>
        <v>S5234XM1</v>
      </c>
      <c r="D115" s="6">
        <v>16.0</v>
      </c>
      <c r="E115" s="10" t="str">
        <f t="shared" si="3"/>
        <v>BXM16</v>
      </c>
      <c r="F115" s="13">
        <v>73.0</v>
      </c>
      <c r="G115" s="10" t="str">
        <f t="shared" si="4"/>
        <v>BXM16-73</v>
      </c>
      <c r="H115" s="18"/>
      <c r="I115" s="16" t="str">
        <f t="shared" si="5"/>
        <v>collected</v>
      </c>
      <c r="J115" s="16" t="str">
        <f t="shared" si="6"/>
        <v>N</v>
      </c>
      <c r="K115" s="16"/>
      <c r="L115" s="16"/>
    </row>
    <row r="116">
      <c r="A116" s="26" t="s">
        <v>278</v>
      </c>
      <c r="B116" s="10" t="str">
        <f t="shared" si="1"/>
        <v>extra_muscle</v>
      </c>
      <c r="C116" s="49" t="str">
        <f t="shared" si="2"/>
        <v>S5235XM1</v>
      </c>
      <c r="D116" s="6">
        <v>16.0</v>
      </c>
      <c r="E116" s="10" t="str">
        <f t="shared" si="3"/>
        <v>BXM16</v>
      </c>
      <c r="F116" s="13">
        <v>74.0</v>
      </c>
      <c r="G116" s="10" t="str">
        <f t="shared" si="4"/>
        <v>BXM16-74</v>
      </c>
      <c r="H116" s="16"/>
      <c r="I116" s="16" t="str">
        <f t="shared" si="5"/>
        <v>collected</v>
      </c>
      <c r="J116" s="16" t="str">
        <f t="shared" si="6"/>
        <v>N</v>
      </c>
      <c r="K116" s="16"/>
      <c r="L116" s="16"/>
    </row>
    <row r="117">
      <c r="A117" s="26" t="s">
        <v>279</v>
      </c>
      <c r="B117" s="10" t="str">
        <f t="shared" si="1"/>
        <v>extra_muscle</v>
      </c>
      <c r="C117" s="49" t="str">
        <f t="shared" si="2"/>
        <v>S5236XM1</v>
      </c>
      <c r="D117" s="6">
        <v>16.0</v>
      </c>
      <c r="E117" s="10" t="str">
        <f t="shared" si="3"/>
        <v>BXM16</v>
      </c>
      <c r="F117" s="13">
        <v>76.0</v>
      </c>
      <c r="G117" s="10" t="str">
        <f t="shared" si="4"/>
        <v>BXM16-76</v>
      </c>
      <c r="H117" s="16"/>
      <c r="I117" s="16" t="str">
        <f t="shared" si="5"/>
        <v>collected</v>
      </c>
      <c r="J117" s="16" t="str">
        <f t="shared" si="6"/>
        <v>N</v>
      </c>
      <c r="K117" s="16"/>
      <c r="L117" s="16"/>
    </row>
    <row r="118">
      <c r="A118" s="26" t="s">
        <v>280</v>
      </c>
      <c r="B118" s="10" t="str">
        <f t="shared" si="1"/>
        <v>extra_muscle</v>
      </c>
      <c r="C118" s="49" t="str">
        <f t="shared" si="2"/>
        <v>S5212XM1</v>
      </c>
      <c r="D118" s="6">
        <v>22.0</v>
      </c>
      <c r="E118" s="10" t="str">
        <f t="shared" si="3"/>
        <v>BXM22</v>
      </c>
      <c r="F118" s="13">
        <v>50.0</v>
      </c>
      <c r="G118" s="10" t="str">
        <f t="shared" si="4"/>
        <v>BXM22-50</v>
      </c>
      <c r="H118" s="16"/>
      <c r="I118" s="16" t="str">
        <f t="shared" si="5"/>
        <v>collected</v>
      </c>
      <c r="J118" s="16" t="str">
        <f t="shared" si="6"/>
        <v>N</v>
      </c>
      <c r="K118" s="16"/>
      <c r="L118" s="16"/>
    </row>
    <row r="119">
      <c r="A119" s="26" t="s">
        <v>286</v>
      </c>
      <c r="B119" s="10" t="str">
        <f t="shared" si="1"/>
        <v>extra_muscle</v>
      </c>
      <c r="C119" s="49" t="str">
        <f t="shared" si="2"/>
        <v>S5213XM1</v>
      </c>
      <c r="D119" s="6">
        <v>22.0</v>
      </c>
      <c r="E119" s="10" t="str">
        <f t="shared" si="3"/>
        <v>BXM22</v>
      </c>
      <c r="F119" s="13">
        <v>61.0</v>
      </c>
      <c r="G119" s="10" t="str">
        <f t="shared" si="4"/>
        <v>BXM22-61</v>
      </c>
      <c r="H119" s="16"/>
      <c r="I119" s="16" t="str">
        <f t="shared" si="5"/>
        <v>collected</v>
      </c>
      <c r="J119" s="16" t="str">
        <f t="shared" si="6"/>
        <v>N</v>
      </c>
      <c r="K119" s="16"/>
      <c r="L119" s="16"/>
    </row>
    <row r="120">
      <c r="A120" s="26" t="s">
        <v>287</v>
      </c>
      <c r="B120" s="10" t="str">
        <f t="shared" si="1"/>
        <v>extra_muscle</v>
      </c>
      <c r="C120" s="49" t="str">
        <f t="shared" si="2"/>
        <v>S5214XM1</v>
      </c>
      <c r="D120" s="6">
        <v>22.0</v>
      </c>
      <c r="E120" s="10" t="str">
        <f t="shared" si="3"/>
        <v>BXM22</v>
      </c>
      <c r="F120" s="13">
        <v>62.0</v>
      </c>
      <c r="G120" s="10" t="str">
        <f t="shared" si="4"/>
        <v>BXM22-62</v>
      </c>
      <c r="H120" s="16"/>
      <c r="I120" s="16" t="str">
        <f t="shared" si="5"/>
        <v>collected</v>
      </c>
      <c r="J120" s="16" t="str">
        <f t="shared" si="6"/>
        <v>N</v>
      </c>
      <c r="K120" s="16"/>
      <c r="L120" s="16"/>
    </row>
    <row r="121">
      <c r="A121" s="26" t="s">
        <v>289</v>
      </c>
      <c r="B121" s="10" t="str">
        <f t="shared" si="1"/>
        <v>extra_muscle</v>
      </c>
      <c r="C121" s="49" t="str">
        <f t="shared" si="2"/>
        <v>S5215XM1</v>
      </c>
      <c r="D121" s="6">
        <v>22.0</v>
      </c>
      <c r="E121" s="10" t="str">
        <f t="shared" si="3"/>
        <v>BXM22</v>
      </c>
      <c r="F121" s="13">
        <v>63.0</v>
      </c>
      <c r="G121" s="10" t="str">
        <f t="shared" si="4"/>
        <v>BXM22-63</v>
      </c>
      <c r="H121" s="16"/>
      <c r="I121" s="16" t="str">
        <f t="shared" si="5"/>
        <v>collected</v>
      </c>
      <c r="J121" s="16" t="str">
        <f t="shared" si="6"/>
        <v>N</v>
      </c>
      <c r="K121" s="16"/>
      <c r="L121" s="16"/>
    </row>
    <row r="122">
      <c r="A122" s="26" t="s">
        <v>291</v>
      </c>
      <c r="B122" s="10" t="str">
        <f t="shared" si="1"/>
        <v>extra_muscle</v>
      </c>
      <c r="C122" s="49" t="str">
        <f t="shared" si="2"/>
        <v>S5216XM1</v>
      </c>
      <c r="D122" s="6">
        <v>23.0</v>
      </c>
      <c r="E122" s="10" t="str">
        <f t="shared" si="3"/>
        <v>BXM23</v>
      </c>
      <c r="F122" s="13">
        <v>1.0</v>
      </c>
      <c r="G122" s="10" t="str">
        <f t="shared" si="4"/>
        <v>BXM23-1</v>
      </c>
      <c r="H122" s="16"/>
      <c r="I122" s="16" t="str">
        <f t="shared" si="5"/>
        <v>collected</v>
      </c>
      <c r="J122" s="16" t="str">
        <f t="shared" si="6"/>
        <v>N</v>
      </c>
      <c r="K122" s="16"/>
      <c r="L122" s="16"/>
    </row>
    <row r="123">
      <c r="A123" s="26" t="s">
        <v>292</v>
      </c>
      <c r="B123" s="10" t="str">
        <f t="shared" si="1"/>
        <v>extra_muscle</v>
      </c>
      <c r="C123" s="49" t="str">
        <f t="shared" si="2"/>
        <v>S5217XM1</v>
      </c>
      <c r="D123" s="6">
        <v>23.0</v>
      </c>
      <c r="E123" s="10" t="str">
        <f t="shared" si="3"/>
        <v>BXM23</v>
      </c>
      <c r="F123" s="13">
        <v>2.0</v>
      </c>
      <c r="G123" s="10" t="str">
        <f t="shared" si="4"/>
        <v>BXM23-2</v>
      </c>
      <c r="H123" s="16"/>
      <c r="I123" s="16" t="str">
        <f t="shared" si="5"/>
        <v>collected</v>
      </c>
      <c r="J123" s="16" t="str">
        <f t="shared" si="6"/>
        <v>N</v>
      </c>
      <c r="K123" s="16"/>
      <c r="L123" s="16"/>
    </row>
    <row r="124">
      <c r="A124" s="26" t="s">
        <v>294</v>
      </c>
      <c r="B124" s="10" t="str">
        <f t="shared" si="1"/>
        <v>extra_muscle</v>
      </c>
      <c r="C124" s="49" t="str">
        <f t="shared" si="2"/>
        <v>S5218XM1</v>
      </c>
      <c r="D124" s="6">
        <v>23.0</v>
      </c>
      <c r="E124" s="10" t="str">
        <f t="shared" si="3"/>
        <v>BXM23</v>
      </c>
      <c r="F124" s="13">
        <v>3.0</v>
      </c>
      <c r="G124" s="10" t="str">
        <f t="shared" si="4"/>
        <v>BXM23-3</v>
      </c>
      <c r="H124" s="16"/>
      <c r="I124" s="16" t="str">
        <f t="shared" si="5"/>
        <v>collected</v>
      </c>
      <c r="J124" s="16" t="str">
        <f t="shared" si="6"/>
        <v>N</v>
      </c>
      <c r="K124" s="16"/>
      <c r="L124" s="16"/>
    </row>
    <row r="125">
      <c r="A125" s="26" t="s">
        <v>295</v>
      </c>
      <c r="B125" s="10" t="str">
        <f t="shared" si="1"/>
        <v>extra_muscle</v>
      </c>
      <c r="C125" s="49" t="str">
        <f t="shared" si="2"/>
        <v>S5219XM1</v>
      </c>
      <c r="D125" s="6">
        <v>23.0</v>
      </c>
      <c r="E125" s="10" t="str">
        <f t="shared" si="3"/>
        <v>BXM23</v>
      </c>
      <c r="F125" s="13">
        <v>4.0</v>
      </c>
      <c r="G125" s="10" t="str">
        <f t="shared" si="4"/>
        <v>BXM23-4</v>
      </c>
      <c r="H125" s="16"/>
      <c r="I125" s="16" t="str">
        <f t="shared" si="5"/>
        <v>collected</v>
      </c>
      <c r="J125" s="16" t="str">
        <f t="shared" si="6"/>
        <v>N</v>
      </c>
      <c r="K125" s="16"/>
      <c r="L125" s="16"/>
    </row>
    <row r="126">
      <c r="A126" s="6" t="s">
        <v>297</v>
      </c>
      <c r="B126" s="10" t="str">
        <f t="shared" si="1"/>
        <v>extra_muscle</v>
      </c>
      <c r="C126" s="49" t="str">
        <f t="shared" si="2"/>
        <v>S5220XM1</v>
      </c>
      <c r="D126" s="6">
        <v>23.0</v>
      </c>
      <c r="E126" s="10" t="str">
        <f t="shared" si="3"/>
        <v>BXM23</v>
      </c>
      <c r="F126" s="13">
        <v>5.0</v>
      </c>
      <c r="G126" s="10" t="str">
        <f t="shared" si="4"/>
        <v>BXM23-5</v>
      </c>
      <c r="H126" s="16"/>
      <c r="I126" s="16" t="str">
        <f t="shared" si="5"/>
        <v>collected</v>
      </c>
      <c r="J126" s="16" t="str">
        <f t="shared" si="6"/>
        <v>N</v>
      </c>
      <c r="K126" s="16"/>
      <c r="L126" s="16"/>
    </row>
    <row r="127">
      <c r="A127" s="6" t="s">
        <v>298</v>
      </c>
      <c r="B127" s="10" t="str">
        <f t="shared" si="1"/>
        <v>extra_muscle</v>
      </c>
      <c r="C127" s="49" t="str">
        <f t="shared" si="2"/>
        <v>S5221XM1</v>
      </c>
      <c r="D127" s="6">
        <v>23.0</v>
      </c>
      <c r="E127" s="10" t="str">
        <f t="shared" si="3"/>
        <v>BXM23</v>
      </c>
      <c r="F127" s="13">
        <v>7.0</v>
      </c>
      <c r="G127" s="10" t="str">
        <f t="shared" si="4"/>
        <v>BXM23-7</v>
      </c>
      <c r="H127" s="16"/>
      <c r="I127" s="16" t="str">
        <f t="shared" si="5"/>
        <v>collected</v>
      </c>
      <c r="J127" s="16" t="str">
        <f t="shared" si="6"/>
        <v>N</v>
      </c>
      <c r="K127" s="16"/>
      <c r="L127" s="16"/>
    </row>
    <row r="128">
      <c r="A128" s="27" t="s">
        <v>301</v>
      </c>
      <c r="B128" s="10" t="str">
        <f t="shared" si="1"/>
        <v>extra_muscle</v>
      </c>
      <c r="C128" s="49" t="str">
        <f t="shared" si="2"/>
        <v>S5222XM1</v>
      </c>
      <c r="D128" s="6">
        <v>23.0</v>
      </c>
      <c r="E128" s="10" t="str">
        <f t="shared" si="3"/>
        <v>BXM23</v>
      </c>
      <c r="F128" s="13">
        <v>8.0</v>
      </c>
      <c r="G128" s="10" t="str">
        <f t="shared" si="4"/>
        <v>BXM23-8</v>
      </c>
      <c r="H128" s="16"/>
      <c r="I128" s="16" t="str">
        <f t="shared" si="5"/>
        <v>collected</v>
      </c>
      <c r="J128" s="16" t="str">
        <f t="shared" si="6"/>
        <v>N</v>
      </c>
      <c r="K128" s="16"/>
      <c r="L128" s="16"/>
    </row>
    <row r="129">
      <c r="A129" s="27" t="s">
        <v>302</v>
      </c>
      <c r="B129" s="10" t="str">
        <f t="shared" si="1"/>
        <v>extra_muscle</v>
      </c>
      <c r="C129" s="49" t="str">
        <f t="shared" si="2"/>
        <v>S5223XM1</v>
      </c>
      <c r="D129" s="6">
        <v>23.0</v>
      </c>
      <c r="E129" s="10" t="str">
        <f t="shared" si="3"/>
        <v>BXM23</v>
      </c>
      <c r="F129" s="13">
        <v>9.0</v>
      </c>
      <c r="G129" s="10" t="str">
        <f t="shared" si="4"/>
        <v>BXM23-9</v>
      </c>
      <c r="H129" s="16"/>
      <c r="I129" s="16" t="str">
        <f t="shared" si="5"/>
        <v>collected</v>
      </c>
      <c r="J129" s="16" t="str">
        <f t="shared" si="6"/>
        <v>N</v>
      </c>
      <c r="K129" s="16"/>
      <c r="L129" s="16"/>
    </row>
    <row r="130">
      <c r="A130" s="27" t="s">
        <v>304</v>
      </c>
      <c r="B130" s="10" t="str">
        <f t="shared" si="1"/>
        <v>extra_muscle</v>
      </c>
      <c r="C130" s="49" t="str">
        <f t="shared" si="2"/>
        <v>S5224XM1</v>
      </c>
      <c r="D130" s="6">
        <v>23.0</v>
      </c>
      <c r="E130" s="10" t="str">
        <f t="shared" si="3"/>
        <v>BXM23</v>
      </c>
      <c r="F130" s="13">
        <v>10.0</v>
      </c>
      <c r="G130" s="10" t="str">
        <f t="shared" si="4"/>
        <v>BXM23-10</v>
      </c>
      <c r="H130" s="16"/>
      <c r="I130" s="16" t="str">
        <f t="shared" si="5"/>
        <v>collected</v>
      </c>
      <c r="J130" s="16" t="str">
        <f t="shared" si="6"/>
        <v>N</v>
      </c>
      <c r="K130" s="16"/>
      <c r="L130" s="16"/>
    </row>
    <row r="131">
      <c r="A131" s="27" t="s">
        <v>305</v>
      </c>
      <c r="B131" s="10" t="str">
        <f t="shared" si="1"/>
        <v>extra_muscle</v>
      </c>
      <c r="C131" s="49" t="str">
        <f t="shared" si="2"/>
        <v>S5225XM1</v>
      </c>
      <c r="D131" s="6">
        <v>23.0</v>
      </c>
      <c r="E131" s="10" t="str">
        <f t="shared" si="3"/>
        <v>BXM23</v>
      </c>
      <c r="F131" s="13">
        <v>11.0</v>
      </c>
      <c r="G131" s="10" t="str">
        <f t="shared" si="4"/>
        <v>BXM23-11</v>
      </c>
      <c r="H131" s="16"/>
      <c r="I131" s="16" t="str">
        <f t="shared" si="5"/>
        <v>collected</v>
      </c>
      <c r="J131" s="16" t="str">
        <f t="shared" si="6"/>
        <v>N</v>
      </c>
      <c r="K131" s="16"/>
      <c r="L131" s="16"/>
    </row>
    <row r="132">
      <c r="A132" s="27" t="s">
        <v>307</v>
      </c>
      <c r="B132" s="10" t="str">
        <f t="shared" si="1"/>
        <v>extra_muscle</v>
      </c>
      <c r="C132" s="49" t="str">
        <f t="shared" si="2"/>
        <v>S5226XM1</v>
      </c>
      <c r="D132" s="6">
        <v>23.0</v>
      </c>
      <c r="E132" s="10" t="str">
        <f t="shared" si="3"/>
        <v>BXM23</v>
      </c>
      <c r="F132" s="13">
        <v>12.0</v>
      </c>
      <c r="G132" s="10" t="str">
        <f t="shared" si="4"/>
        <v>BXM23-12</v>
      </c>
      <c r="H132" s="16"/>
      <c r="I132" s="16" t="str">
        <f t="shared" si="5"/>
        <v>collected</v>
      </c>
      <c r="J132" s="16" t="str">
        <f t="shared" si="6"/>
        <v>N</v>
      </c>
      <c r="K132" s="16"/>
      <c r="L132" s="16"/>
    </row>
    <row r="133">
      <c r="A133" s="27" t="s">
        <v>309</v>
      </c>
      <c r="B133" s="10" t="str">
        <f t="shared" si="1"/>
        <v>extra_muscle</v>
      </c>
      <c r="C133" s="49" t="str">
        <f t="shared" si="2"/>
        <v>S5227XM1</v>
      </c>
      <c r="D133" s="6">
        <v>23.0</v>
      </c>
      <c r="E133" s="10" t="str">
        <f t="shared" si="3"/>
        <v>BXM23</v>
      </c>
      <c r="F133" s="13">
        <v>13.0</v>
      </c>
      <c r="G133" s="10" t="str">
        <f t="shared" si="4"/>
        <v>BXM23-13</v>
      </c>
      <c r="H133" s="16"/>
      <c r="I133" s="16" t="str">
        <f t="shared" si="5"/>
        <v>collected</v>
      </c>
      <c r="J133" s="16" t="str">
        <f t="shared" si="6"/>
        <v>N</v>
      </c>
      <c r="K133" s="16"/>
      <c r="L133" s="16"/>
    </row>
    <row r="134">
      <c r="A134" s="27" t="s">
        <v>310</v>
      </c>
      <c r="B134" s="10" t="str">
        <f t="shared" si="1"/>
        <v>extra_muscle</v>
      </c>
      <c r="C134" s="49" t="str">
        <f t="shared" si="2"/>
        <v>S5228XM1</v>
      </c>
      <c r="D134" s="6">
        <v>23.0</v>
      </c>
      <c r="E134" s="10" t="str">
        <f t="shared" si="3"/>
        <v>BXM23</v>
      </c>
      <c r="F134" s="13">
        <v>14.0</v>
      </c>
      <c r="G134" s="10" t="str">
        <f t="shared" si="4"/>
        <v>BXM23-14</v>
      </c>
      <c r="H134" s="16"/>
      <c r="I134" s="16" t="str">
        <f t="shared" si="5"/>
        <v>collected</v>
      </c>
      <c r="J134" s="16" t="str">
        <f t="shared" si="6"/>
        <v>N</v>
      </c>
      <c r="K134" s="16"/>
      <c r="L134" s="16"/>
    </row>
    <row r="135">
      <c r="A135" s="44" t="s">
        <v>312</v>
      </c>
      <c r="B135" s="10" t="str">
        <f t="shared" si="1"/>
        <v>extra_muscle</v>
      </c>
      <c r="C135" s="49" t="str">
        <f t="shared" si="2"/>
        <v>S5229XM1</v>
      </c>
      <c r="D135" s="6">
        <v>23.0</v>
      </c>
      <c r="E135" s="10" t="str">
        <f t="shared" si="3"/>
        <v>BXM23</v>
      </c>
      <c r="F135" s="13">
        <v>15.0</v>
      </c>
      <c r="G135" s="10" t="str">
        <f t="shared" si="4"/>
        <v>BXM23-15</v>
      </c>
      <c r="H135" s="6"/>
      <c r="I135" s="16" t="str">
        <f t="shared" si="5"/>
        <v>collected</v>
      </c>
      <c r="J135" s="16" t="str">
        <f t="shared" si="6"/>
        <v>N</v>
      </c>
      <c r="K135" s="16"/>
      <c r="L135" s="16"/>
    </row>
    <row r="136">
      <c r="A136" s="44" t="s">
        <v>314</v>
      </c>
      <c r="B136" s="10" t="str">
        <f t="shared" si="1"/>
        <v>extra_muscle</v>
      </c>
      <c r="C136" s="49" t="str">
        <f t="shared" si="2"/>
        <v>S5230XM1</v>
      </c>
      <c r="D136" s="6">
        <v>23.0</v>
      </c>
      <c r="E136" s="10" t="str">
        <f t="shared" si="3"/>
        <v>BXM23</v>
      </c>
      <c r="F136" s="13">
        <v>17.0</v>
      </c>
      <c r="G136" s="10" t="str">
        <f t="shared" si="4"/>
        <v>BXM23-17</v>
      </c>
      <c r="H136" s="6"/>
      <c r="I136" s="16" t="str">
        <f t="shared" si="5"/>
        <v>collected</v>
      </c>
      <c r="J136" s="16" t="str">
        <f t="shared" si="6"/>
        <v>N</v>
      </c>
      <c r="K136" s="16"/>
      <c r="L136" s="16"/>
    </row>
    <row r="137">
      <c r="A137" s="44" t="s">
        <v>316</v>
      </c>
      <c r="B137" s="10" t="str">
        <f t="shared" si="1"/>
        <v>extra_muscle</v>
      </c>
      <c r="C137" s="49" t="str">
        <f t="shared" si="2"/>
        <v>S5231XM1</v>
      </c>
      <c r="D137" s="6">
        <v>23.0</v>
      </c>
      <c r="E137" s="10" t="str">
        <f t="shared" si="3"/>
        <v>BXM23</v>
      </c>
      <c r="F137" s="13">
        <v>18.0</v>
      </c>
      <c r="G137" s="10" t="str">
        <f t="shared" si="4"/>
        <v>BXM23-18</v>
      </c>
      <c r="H137" s="6"/>
      <c r="I137" s="16" t="str">
        <f t="shared" si="5"/>
        <v>collected</v>
      </c>
      <c r="J137" s="16" t="str">
        <f t="shared" si="6"/>
        <v>N</v>
      </c>
      <c r="K137" s="16"/>
      <c r="L137" s="16"/>
    </row>
    <row r="138">
      <c r="A138" s="44" t="s">
        <v>317</v>
      </c>
      <c r="B138" s="10" t="str">
        <f t="shared" si="1"/>
        <v>extra_muscle</v>
      </c>
      <c r="C138" s="49" t="str">
        <f t="shared" si="2"/>
        <v>S5245XM1</v>
      </c>
      <c r="D138" s="6">
        <v>23.0</v>
      </c>
      <c r="E138" s="10" t="str">
        <f t="shared" si="3"/>
        <v>BXM23</v>
      </c>
      <c r="F138" s="13">
        <v>19.0</v>
      </c>
      <c r="G138" s="10" t="str">
        <f t="shared" si="4"/>
        <v>BXM23-19</v>
      </c>
      <c r="H138" s="6"/>
      <c r="I138" s="16" t="str">
        <f t="shared" si="5"/>
        <v>collected</v>
      </c>
      <c r="J138" s="16" t="str">
        <f t="shared" si="6"/>
        <v>N</v>
      </c>
      <c r="K138" s="16"/>
      <c r="L138" s="16"/>
    </row>
    <row r="139">
      <c r="A139" s="44" t="s">
        <v>318</v>
      </c>
      <c r="B139" s="10" t="str">
        <f t="shared" si="1"/>
        <v>extra_muscle</v>
      </c>
      <c r="C139" s="49" t="str">
        <f t="shared" si="2"/>
        <v>S5246XM1</v>
      </c>
      <c r="D139" s="6">
        <v>23.0</v>
      </c>
      <c r="E139" s="10" t="str">
        <f t="shared" si="3"/>
        <v>BXM23</v>
      </c>
      <c r="F139" s="13">
        <v>20.0</v>
      </c>
      <c r="G139" s="10" t="str">
        <f t="shared" si="4"/>
        <v>BXM23-20</v>
      </c>
      <c r="H139" s="6" t="s">
        <v>2177</v>
      </c>
      <c r="I139" s="16" t="str">
        <f t="shared" si="5"/>
        <v>collected</v>
      </c>
      <c r="J139" s="16" t="str">
        <f t="shared" si="6"/>
        <v>N</v>
      </c>
      <c r="K139" s="16"/>
      <c r="L139" s="16"/>
    </row>
    <row r="140">
      <c r="A140" s="44" t="s">
        <v>322</v>
      </c>
      <c r="B140" s="10" t="str">
        <f t="shared" si="1"/>
        <v>extra_muscle</v>
      </c>
      <c r="C140" s="49" t="str">
        <f t="shared" si="2"/>
        <v>S5247XM1</v>
      </c>
      <c r="D140" s="6">
        <v>23.0</v>
      </c>
      <c r="E140" s="10" t="str">
        <f t="shared" si="3"/>
        <v>BXM23</v>
      </c>
      <c r="F140" s="13">
        <v>21.0</v>
      </c>
      <c r="G140" s="10" t="str">
        <f t="shared" si="4"/>
        <v>BXM23-21</v>
      </c>
      <c r="H140" s="16"/>
      <c r="I140" s="16" t="str">
        <f t="shared" si="5"/>
        <v>collected</v>
      </c>
      <c r="J140" s="16" t="str">
        <f t="shared" si="6"/>
        <v>N</v>
      </c>
      <c r="K140" s="16"/>
      <c r="L140" s="16"/>
    </row>
    <row r="141">
      <c r="A141" s="44" t="s">
        <v>327</v>
      </c>
      <c r="B141" s="10" t="str">
        <f t="shared" si="1"/>
        <v>extra_muscle</v>
      </c>
      <c r="C141" s="49" t="str">
        <f t="shared" si="2"/>
        <v>S5248XM1</v>
      </c>
      <c r="D141" s="6">
        <v>23.0</v>
      </c>
      <c r="E141" s="10" t="str">
        <f t="shared" si="3"/>
        <v>BXM23</v>
      </c>
      <c r="F141" s="13">
        <v>22.0</v>
      </c>
      <c r="G141" s="10" t="str">
        <f t="shared" si="4"/>
        <v>BXM23-22</v>
      </c>
      <c r="H141" s="16"/>
      <c r="I141" s="16" t="str">
        <f t="shared" si="5"/>
        <v>collected</v>
      </c>
      <c r="J141" s="16" t="str">
        <f t="shared" si="6"/>
        <v>N</v>
      </c>
      <c r="K141" s="16"/>
      <c r="L141" s="16"/>
    </row>
    <row r="142">
      <c r="A142" s="40" t="s">
        <v>328</v>
      </c>
      <c r="B142" s="10" t="str">
        <f t="shared" si="1"/>
        <v>extra_muscle</v>
      </c>
      <c r="C142" s="49" t="str">
        <f t="shared" si="2"/>
        <v>S5249XM1</v>
      </c>
      <c r="D142" s="6">
        <v>23.0</v>
      </c>
      <c r="E142" s="10" t="str">
        <f t="shared" si="3"/>
        <v>BXM23</v>
      </c>
      <c r="F142" s="13">
        <v>23.0</v>
      </c>
      <c r="G142" s="10" t="str">
        <f t="shared" si="4"/>
        <v>BXM23-23</v>
      </c>
      <c r="H142" s="18"/>
      <c r="I142" s="16" t="str">
        <f t="shared" si="5"/>
        <v>collected</v>
      </c>
      <c r="J142" s="16" t="str">
        <f t="shared" si="6"/>
        <v>N</v>
      </c>
      <c r="K142" s="16"/>
      <c r="L142" s="16"/>
    </row>
    <row r="143">
      <c r="A143" s="40" t="s">
        <v>332</v>
      </c>
      <c r="B143" s="10" t="str">
        <f t="shared" si="1"/>
        <v>extra_muscle</v>
      </c>
      <c r="C143" s="49" t="str">
        <f t="shared" si="2"/>
        <v>S5250XM1</v>
      </c>
      <c r="D143" s="6">
        <v>23.0</v>
      </c>
      <c r="E143" s="10" t="str">
        <f t="shared" si="3"/>
        <v>BXM23</v>
      </c>
      <c r="F143" s="13">
        <v>24.0</v>
      </c>
      <c r="G143" s="10" t="str">
        <f t="shared" si="4"/>
        <v>BXM23-24</v>
      </c>
      <c r="H143" s="18"/>
      <c r="I143" s="16" t="str">
        <f t="shared" si="5"/>
        <v>collected</v>
      </c>
      <c r="J143" s="16" t="str">
        <f t="shared" si="6"/>
        <v>N</v>
      </c>
      <c r="K143" s="16"/>
      <c r="L143" s="16"/>
    </row>
    <row r="144">
      <c r="A144" s="40" t="s">
        <v>334</v>
      </c>
      <c r="B144" s="10" t="str">
        <f t="shared" si="1"/>
        <v>extra_muscle</v>
      </c>
      <c r="C144" s="49" t="str">
        <f t="shared" si="2"/>
        <v>S5251XM1</v>
      </c>
      <c r="D144" s="6">
        <v>23.0</v>
      </c>
      <c r="E144" s="10" t="str">
        <f t="shared" si="3"/>
        <v>BXM23</v>
      </c>
      <c r="F144" s="13">
        <v>25.0</v>
      </c>
      <c r="G144" s="10" t="str">
        <f t="shared" si="4"/>
        <v>BXM23-25</v>
      </c>
      <c r="H144" s="18"/>
      <c r="I144" s="16" t="str">
        <f t="shared" si="5"/>
        <v>collected</v>
      </c>
      <c r="J144" s="16" t="str">
        <f t="shared" si="6"/>
        <v>N</v>
      </c>
      <c r="K144" s="16"/>
      <c r="L144" s="16"/>
    </row>
    <row r="145">
      <c r="A145" s="40" t="s">
        <v>335</v>
      </c>
      <c r="B145" s="10" t="str">
        <f t="shared" si="1"/>
        <v>extra_muscle</v>
      </c>
      <c r="C145" s="49" t="str">
        <f t="shared" si="2"/>
        <v>S5252XM1</v>
      </c>
      <c r="D145" s="6">
        <v>23.0</v>
      </c>
      <c r="E145" s="10" t="str">
        <f t="shared" si="3"/>
        <v>BXM23</v>
      </c>
      <c r="F145" s="13">
        <v>27.0</v>
      </c>
      <c r="G145" s="10" t="str">
        <f t="shared" si="4"/>
        <v>BXM23-27</v>
      </c>
      <c r="H145" s="18"/>
      <c r="I145" s="16" t="str">
        <f t="shared" si="5"/>
        <v>collected</v>
      </c>
      <c r="J145" s="16" t="str">
        <f t="shared" si="6"/>
        <v>N</v>
      </c>
      <c r="K145" s="16"/>
      <c r="L145" s="16"/>
    </row>
    <row r="146">
      <c r="A146" s="40" t="s">
        <v>336</v>
      </c>
      <c r="B146" s="10" t="str">
        <f t="shared" si="1"/>
        <v>extra_muscle</v>
      </c>
      <c r="C146" s="49" t="str">
        <f t="shared" si="2"/>
        <v>S5253XM1</v>
      </c>
      <c r="D146" s="6">
        <v>23.0</v>
      </c>
      <c r="E146" s="10" t="str">
        <f t="shared" si="3"/>
        <v>BXM23</v>
      </c>
      <c r="F146" s="13">
        <v>28.0</v>
      </c>
      <c r="G146" s="10" t="str">
        <f t="shared" si="4"/>
        <v>BXM23-28</v>
      </c>
      <c r="H146" s="18"/>
      <c r="I146" s="16" t="str">
        <f t="shared" si="5"/>
        <v>collected</v>
      </c>
      <c r="J146" s="16" t="str">
        <f t="shared" si="6"/>
        <v>N</v>
      </c>
      <c r="K146" s="16"/>
      <c r="L146" s="16"/>
    </row>
    <row r="147">
      <c r="A147" s="40" t="s">
        <v>338</v>
      </c>
      <c r="B147" s="10" t="str">
        <f t="shared" si="1"/>
        <v>extra_muscle</v>
      </c>
      <c r="C147" s="49" t="str">
        <f t="shared" si="2"/>
        <v>S5254XM1</v>
      </c>
      <c r="D147" s="6">
        <v>23.0</v>
      </c>
      <c r="E147" s="10" t="str">
        <f t="shared" si="3"/>
        <v>BXM23</v>
      </c>
      <c r="F147" s="9">
        <v>29.0</v>
      </c>
      <c r="G147" s="10" t="str">
        <f t="shared" si="4"/>
        <v>BXM23-29</v>
      </c>
      <c r="H147" s="18"/>
      <c r="I147" s="16" t="str">
        <f t="shared" si="5"/>
        <v>collected</v>
      </c>
      <c r="J147" s="16" t="str">
        <f t="shared" si="6"/>
        <v>N</v>
      </c>
      <c r="K147" s="16"/>
      <c r="L147" s="16"/>
    </row>
    <row r="148">
      <c r="A148" s="40" t="s">
        <v>339</v>
      </c>
      <c r="B148" s="10" t="str">
        <f t="shared" si="1"/>
        <v>extra_muscle</v>
      </c>
      <c r="C148" s="49" t="str">
        <f t="shared" si="2"/>
        <v>S5255XM1</v>
      </c>
      <c r="D148" s="6">
        <v>23.0</v>
      </c>
      <c r="E148" s="10" t="str">
        <f t="shared" si="3"/>
        <v>BXM23</v>
      </c>
      <c r="F148" s="13">
        <v>30.0</v>
      </c>
      <c r="G148" s="10" t="str">
        <f t="shared" si="4"/>
        <v>BXM23-30</v>
      </c>
      <c r="H148" s="18"/>
      <c r="I148" s="16" t="str">
        <f t="shared" si="5"/>
        <v>collected</v>
      </c>
      <c r="J148" s="16" t="str">
        <f t="shared" si="6"/>
        <v>N</v>
      </c>
      <c r="K148" s="16"/>
      <c r="L148" s="16"/>
    </row>
    <row r="149">
      <c r="A149" s="40" t="s">
        <v>340</v>
      </c>
      <c r="B149" s="10" t="str">
        <f t="shared" si="1"/>
        <v>extra_muscle</v>
      </c>
      <c r="C149" s="49" t="str">
        <f t="shared" si="2"/>
        <v>S5256XM1</v>
      </c>
      <c r="D149" s="6">
        <v>23.0</v>
      </c>
      <c r="E149" s="10" t="str">
        <f t="shared" si="3"/>
        <v>BXM23</v>
      </c>
      <c r="F149" s="13">
        <v>31.0</v>
      </c>
      <c r="G149" s="10" t="str">
        <f t="shared" si="4"/>
        <v>BXM23-31</v>
      </c>
      <c r="H149" s="18"/>
      <c r="I149" s="16" t="str">
        <f t="shared" si="5"/>
        <v>collected</v>
      </c>
      <c r="J149" s="16" t="str">
        <f t="shared" si="6"/>
        <v>N</v>
      </c>
      <c r="K149" s="16"/>
      <c r="L149" s="16"/>
    </row>
    <row r="150">
      <c r="A150" s="40" t="s">
        <v>341</v>
      </c>
      <c r="B150" s="10" t="str">
        <f t="shared" si="1"/>
        <v>extra_muscle</v>
      </c>
      <c r="C150" s="49" t="str">
        <f t="shared" si="2"/>
        <v>S5257XM1</v>
      </c>
      <c r="D150" s="6">
        <v>23.0</v>
      </c>
      <c r="E150" s="10" t="str">
        <f t="shared" si="3"/>
        <v>BXM23</v>
      </c>
      <c r="F150" s="13">
        <v>32.0</v>
      </c>
      <c r="G150" s="10" t="str">
        <f t="shared" si="4"/>
        <v>BXM23-32</v>
      </c>
      <c r="H150" s="18"/>
      <c r="I150" s="16" t="str">
        <f t="shared" si="5"/>
        <v>collected</v>
      </c>
      <c r="J150" s="16" t="str">
        <f t="shared" si="6"/>
        <v>N</v>
      </c>
      <c r="K150" s="16"/>
      <c r="L150" s="16"/>
    </row>
    <row r="151">
      <c r="A151" s="26" t="s">
        <v>342</v>
      </c>
      <c r="B151" s="10" t="str">
        <f t="shared" si="1"/>
        <v>extra_muscle</v>
      </c>
      <c r="C151" s="49" t="str">
        <f t="shared" si="2"/>
        <v>S5262XM1</v>
      </c>
      <c r="D151" s="6">
        <v>24.0</v>
      </c>
      <c r="E151" s="10" t="str">
        <f t="shared" si="3"/>
        <v>BXM24</v>
      </c>
      <c r="F151" s="39">
        <v>1.0</v>
      </c>
      <c r="G151" s="10" t="str">
        <f t="shared" si="4"/>
        <v>BXM24-1</v>
      </c>
      <c r="H151" s="16"/>
      <c r="I151" s="16" t="str">
        <f t="shared" si="5"/>
        <v>collected</v>
      </c>
      <c r="J151" s="16" t="str">
        <f t="shared" si="6"/>
        <v>N</v>
      </c>
      <c r="K151" s="16"/>
      <c r="L151" s="16"/>
    </row>
    <row r="152">
      <c r="A152" s="26" t="s">
        <v>344</v>
      </c>
      <c r="B152" s="10" t="str">
        <f t="shared" si="1"/>
        <v>extra_muscle</v>
      </c>
      <c r="C152" s="49" t="str">
        <f t="shared" si="2"/>
        <v>S5263XM1</v>
      </c>
      <c r="D152" s="6">
        <v>24.0</v>
      </c>
      <c r="E152" s="10" t="str">
        <f t="shared" si="3"/>
        <v>BXM24</v>
      </c>
      <c r="F152" s="13">
        <v>2.0</v>
      </c>
      <c r="G152" s="10" t="str">
        <f t="shared" si="4"/>
        <v>BXM24-2</v>
      </c>
      <c r="H152" s="16"/>
      <c r="I152" s="16" t="str">
        <f t="shared" si="5"/>
        <v>collected</v>
      </c>
      <c r="J152" s="16" t="str">
        <f t="shared" si="6"/>
        <v>N</v>
      </c>
      <c r="K152" s="16"/>
      <c r="L152" s="16"/>
    </row>
    <row r="153">
      <c r="A153" s="26" t="s">
        <v>345</v>
      </c>
      <c r="B153" s="10" t="str">
        <f t="shared" si="1"/>
        <v>extra_muscle</v>
      </c>
      <c r="C153" s="49" t="str">
        <f t="shared" si="2"/>
        <v>S5264XM1</v>
      </c>
      <c r="D153" s="6">
        <v>24.0</v>
      </c>
      <c r="E153" s="10" t="str">
        <f t="shared" si="3"/>
        <v>BXM24</v>
      </c>
      <c r="F153" s="13">
        <v>3.0</v>
      </c>
      <c r="G153" s="10" t="str">
        <f t="shared" si="4"/>
        <v>BXM24-3</v>
      </c>
      <c r="H153" s="16"/>
      <c r="I153" s="16" t="str">
        <f t="shared" si="5"/>
        <v>collected</v>
      </c>
      <c r="J153" s="16" t="str">
        <f t="shared" si="6"/>
        <v>N</v>
      </c>
      <c r="K153" s="16"/>
      <c r="L153" s="16"/>
    </row>
    <row r="154">
      <c r="A154" s="26" t="s">
        <v>347</v>
      </c>
      <c r="B154" s="10" t="str">
        <f t="shared" si="1"/>
        <v>extra_muscle</v>
      </c>
      <c r="C154" s="49" t="str">
        <f t="shared" si="2"/>
        <v>S5265XM1</v>
      </c>
      <c r="D154" s="6">
        <v>24.0</v>
      </c>
      <c r="E154" s="10" t="str">
        <f t="shared" si="3"/>
        <v>BXM24</v>
      </c>
      <c r="F154" s="13">
        <v>4.0</v>
      </c>
      <c r="G154" s="10" t="str">
        <f t="shared" si="4"/>
        <v>BXM24-4</v>
      </c>
      <c r="H154" s="16"/>
      <c r="I154" s="16" t="str">
        <f t="shared" si="5"/>
        <v>collected</v>
      </c>
      <c r="J154" s="16" t="str">
        <f t="shared" si="6"/>
        <v>N</v>
      </c>
      <c r="K154" s="16"/>
      <c r="L154" s="16"/>
    </row>
    <row r="155">
      <c r="A155" s="26" t="s">
        <v>348</v>
      </c>
      <c r="B155" s="10" t="str">
        <f t="shared" si="1"/>
        <v>extra_muscle</v>
      </c>
      <c r="C155" s="49" t="str">
        <f t="shared" si="2"/>
        <v>S5266XM1</v>
      </c>
      <c r="D155" s="6">
        <v>24.0</v>
      </c>
      <c r="E155" s="10" t="str">
        <f t="shared" si="3"/>
        <v>BXM24</v>
      </c>
      <c r="F155" s="13">
        <v>5.0</v>
      </c>
      <c r="G155" s="10" t="str">
        <f t="shared" si="4"/>
        <v>BXM24-5</v>
      </c>
      <c r="H155" s="16"/>
      <c r="I155" s="16" t="str">
        <f t="shared" si="5"/>
        <v>collected</v>
      </c>
      <c r="J155" s="16" t="str">
        <f t="shared" si="6"/>
        <v>N</v>
      </c>
      <c r="K155" s="16"/>
      <c r="L155" s="16"/>
    </row>
    <row r="156">
      <c r="A156" s="26" t="s">
        <v>349</v>
      </c>
      <c r="B156" s="10" t="str">
        <f t="shared" si="1"/>
        <v>extra_muscle</v>
      </c>
      <c r="C156" s="49" t="str">
        <f t="shared" si="2"/>
        <v>S5267XM1</v>
      </c>
      <c r="D156" s="6">
        <v>24.0</v>
      </c>
      <c r="E156" s="10" t="str">
        <f t="shared" si="3"/>
        <v>BXM24</v>
      </c>
      <c r="F156" s="13">
        <v>6.0</v>
      </c>
      <c r="G156" s="10" t="str">
        <f t="shared" si="4"/>
        <v>BXM24-6</v>
      </c>
      <c r="H156" s="16"/>
      <c r="I156" s="16" t="str">
        <f t="shared" si="5"/>
        <v>collected</v>
      </c>
      <c r="J156" s="16" t="str">
        <f t="shared" si="6"/>
        <v>N</v>
      </c>
      <c r="K156" s="16"/>
      <c r="L156" s="16"/>
    </row>
    <row r="157">
      <c r="A157" s="26" t="s">
        <v>351</v>
      </c>
      <c r="B157" s="10" t="str">
        <f t="shared" si="1"/>
        <v>extra_muscle</v>
      </c>
      <c r="C157" s="49" t="str">
        <f t="shared" si="2"/>
        <v>S5268XM1</v>
      </c>
      <c r="D157" s="6">
        <v>24.0</v>
      </c>
      <c r="E157" s="10" t="str">
        <f t="shared" si="3"/>
        <v>BXM24</v>
      </c>
      <c r="F157" s="13">
        <v>7.0</v>
      </c>
      <c r="G157" s="10" t="str">
        <f t="shared" si="4"/>
        <v>BXM24-7</v>
      </c>
      <c r="H157" s="16"/>
      <c r="I157" s="16" t="str">
        <f t="shared" si="5"/>
        <v>collected</v>
      </c>
      <c r="J157" s="16" t="str">
        <f t="shared" si="6"/>
        <v>N</v>
      </c>
      <c r="K157" s="16"/>
      <c r="L157" s="16"/>
    </row>
    <row r="158">
      <c r="A158" s="26" t="s">
        <v>353</v>
      </c>
      <c r="B158" s="10" t="str">
        <f t="shared" si="1"/>
        <v>extra_muscle</v>
      </c>
      <c r="C158" s="49" t="str">
        <f t="shared" si="2"/>
        <v>S5269XM1</v>
      </c>
      <c r="D158" s="6">
        <v>24.0</v>
      </c>
      <c r="E158" s="10" t="str">
        <f t="shared" si="3"/>
        <v>BXM24</v>
      </c>
      <c r="F158" s="13">
        <v>8.0</v>
      </c>
      <c r="G158" s="10" t="str">
        <f t="shared" si="4"/>
        <v>BXM24-8</v>
      </c>
      <c r="H158" s="16"/>
      <c r="I158" s="16" t="str">
        <f t="shared" si="5"/>
        <v>collected</v>
      </c>
      <c r="J158" s="16" t="str">
        <f t="shared" si="6"/>
        <v>N</v>
      </c>
      <c r="K158" s="16"/>
      <c r="L158" s="16"/>
    </row>
    <row r="159">
      <c r="A159" s="26" t="s">
        <v>354</v>
      </c>
      <c r="B159" s="10" t="str">
        <f t="shared" si="1"/>
        <v>extra_muscle</v>
      </c>
      <c r="C159" s="49" t="str">
        <f t="shared" si="2"/>
        <v>S5270XM1</v>
      </c>
      <c r="D159" s="6">
        <v>24.0</v>
      </c>
      <c r="E159" s="10" t="str">
        <f t="shared" si="3"/>
        <v>BXM24</v>
      </c>
      <c r="F159" s="13">
        <v>9.0</v>
      </c>
      <c r="G159" s="10" t="str">
        <f t="shared" si="4"/>
        <v>BXM24-9</v>
      </c>
      <c r="H159" s="16"/>
      <c r="I159" s="16" t="str">
        <f t="shared" si="5"/>
        <v>collected</v>
      </c>
      <c r="J159" s="16" t="str">
        <f t="shared" si="6"/>
        <v>N</v>
      </c>
      <c r="K159" s="16"/>
      <c r="L159" s="16"/>
    </row>
    <row r="160">
      <c r="A160" s="26" t="s">
        <v>355</v>
      </c>
      <c r="B160" s="10" t="str">
        <f t="shared" si="1"/>
        <v>extra_muscle</v>
      </c>
      <c r="C160" s="49" t="str">
        <f t="shared" si="2"/>
        <v>S5271XM1</v>
      </c>
      <c r="D160" s="6">
        <v>24.0</v>
      </c>
      <c r="E160" s="10" t="str">
        <f t="shared" si="3"/>
        <v>BXM24</v>
      </c>
      <c r="F160" s="13">
        <v>10.0</v>
      </c>
      <c r="G160" s="10" t="str">
        <f t="shared" si="4"/>
        <v>BXM24-10</v>
      </c>
      <c r="H160" s="16"/>
      <c r="I160" s="16" t="str">
        <f t="shared" si="5"/>
        <v>collected</v>
      </c>
      <c r="J160" s="16" t="str">
        <f t="shared" si="6"/>
        <v>N</v>
      </c>
      <c r="K160" s="16"/>
      <c r="L160" s="16"/>
    </row>
    <row r="161">
      <c r="A161" s="26" t="s">
        <v>356</v>
      </c>
      <c r="B161" s="10" t="str">
        <f t="shared" si="1"/>
        <v>extra_muscle</v>
      </c>
      <c r="C161" s="49" t="str">
        <f t="shared" si="2"/>
        <v>S5272XM1</v>
      </c>
      <c r="D161" s="6">
        <v>24.0</v>
      </c>
      <c r="E161" s="10" t="str">
        <f t="shared" si="3"/>
        <v>BXM24</v>
      </c>
      <c r="F161" s="13">
        <v>11.0</v>
      </c>
      <c r="G161" s="10" t="str">
        <f t="shared" si="4"/>
        <v>BXM24-11</v>
      </c>
      <c r="H161" s="16"/>
      <c r="I161" s="16" t="str">
        <f t="shared" si="5"/>
        <v>collected</v>
      </c>
      <c r="J161" s="16" t="str">
        <f t="shared" si="6"/>
        <v>N</v>
      </c>
      <c r="K161" s="16"/>
      <c r="L161" s="16"/>
    </row>
    <row r="162">
      <c r="A162" s="26" t="s">
        <v>359</v>
      </c>
      <c r="B162" s="10" t="str">
        <f t="shared" si="1"/>
        <v>extra_muscle</v>
      </c>
      <c r="C162" s="49" t="str">
        <f t="shared" si="2"/>
        <v>S5273XM1</v>
      </c>
      <c r="D162" s="6">
        <v>24.0</v>
      </c>
      <c r="E162" s="10" t="str">
        <f t="shared" si="3"/>
        <v>BXM24</v>
      </c>
      <c r="F162" s="13">
        <v>12.0</v>
      </c>
      <c r="G162" s="10" t="str">
        <f t="shared" si="4"/>
        <v>BXM24-12</v>
      </c>
      <c r="H162" s="16"/>
      <c r="I162" s="16" t="str">
        <f t="shared" si="5"/>
        <v>collected</v>
      </c>
      <c r="J162" s="16" t="str">
        <f t="shared" si="6"/>
        <v>N</v>
      </c>
      <c r="K162" s="16"/>
      <c r="L162" s="16"/>
    </row>
    <row r="163">
      <c r="A163" s="26" t="s">
        <v>360</v>
      </c>
      <c r="B163" s="10" t="str">
        <f t="shared" si="1"/>
        <v>extra_muscle</v>
      </c>
      <c r="C163" s="49" t="str">
        <f t="shared" si="2"/>
        <v>S5237XM1</v>
      </c>
      <c r="D163" s="6">
        <v>24.0</v>
      </c>
      <c r="E163" s="10" t="str">
        <f t="shared" si="3"/>
        <v>BXM24</v>
      </c>
      <c r="F163" s="13">
        <v>13.0</v>
      </c>
      <c r="G163" s="10" t="str">
        <f t="shared" si="4"/>
        <v>BXM24-13</v>
      </c>
      <c r="H163" s="16"/>
      <c r="I163" s="16" t="str">
        <f t="shared" si="5"/>
        <v>collected</v>
      </c>
      <c r="J163" s="16" t="str">
        <f t="shared" si="6"/>
        <v>N</v>
      </c>
      <c r="K163" s="16"/>
      <c r="L163" s="16"/>
    </row>
    <row r="164">
      <c r="A164" s="26" t="s">
        <v>361</v>
      </c>
      <c r="B164" s="10" t="str">
        <f t="shared" si="1"/>
        <v>extra_muscle</v>
      </c>
      <c r="C164" s="49" t="str">
        <f t="shared" si="2"/>
        <v>S5238XM1</v>
      </c>
      <c r="D164" s="6">
        <v>24.0</v>
      </c>
      <c r="E164" s="10" t="str">
        <f t="shared" si="3"/>
        <v>BXM24</v>
      </c>
      <c r="F164" s="13">
        <v>14.0</v>
      </c>
      <c r="G164" s="10" t="str">
        <f t="shared" si="4"/>
        <v>BXM24-14</v>
      </c>
      <c r="H164" s="16"/>
      <c r="I164" s="16" t="str">
        <f t="shared" si="5"/>
        <v>collected</v>
      </c>
      <c r="J164" s="16" t="str">
        <f t="shared" si="6"/>
        <v>N</v>
      </c>
      <c r="K164" s="16"/>
      <c r="L164" s="16"/>
    </row>
    <row r="165">
      <c r="A165" s="26" t="s">
        <v>362</v>
      </c>
      <c r="B165" s="10" t="str">
        <f t="shared" si="1"/>
        <v>extra_muscle</v>
      </c>
      <c r="C165" s="49" t="str">
        <f t="shared" si="2"/>
        <v>S5239XM1</v>
      </c>
      <c r="D165" s="6">
        <v>24.0</v>
      </c>
      <c r="E165" s="10" t="str">
        <f t="shared" si="3"/>
        <v>BXM24</v>
      </c>
      <c r="F165" s="13">
        <v>15.0</v>
      </c>
      <c r="G165" s="10" t="str">
        <f t="shared" si="4"/>
        <v>BXM24-15</v>
      </c>
      <c r="H165" s="16"/>
      <c r="I165" s="16" t="str">
        <f t="shared" si="5"/>
        <v>collected</v>
      </c>
      <c r="J165" s="16" t="str">
        <f t="shared" si="6"/>
        <v>N</v>
      </c>
      <c r="K165" s="16"/>
      <c r="L165" s="16"/>
    </row>
    <row r="166">
      <c r="A166" s="26" t="s">
        <v>365</v>
      </c>
      <c r="B166" s="10" t="str">
        <f t="shared" si="1"/>
        <v>extra_muscle</v>
      </c>
      <c r="C166" s="49" t="str">
        <f t="shared" si="2"/>
        <v>S5240XM1</v>
      </c>
      <c r="D166" s="6">
        <v>24.0</v>
      </c>
      <c r="E166" s="10" t="str">
        <f t="shared" si="3"/>
        <v>BXM24</v>
      </c>
      <c r="F166" s="13">
        <v>16.0</v>
      </c>
      <c r="G166" s="10" t="str">
        <f t="shared" si="4"/>
        <v>BXM24-16</v>
      </c>
      <c r="H166" s="16"/>
      <c r="I166" s="16" t="str">
        <f t="shared" si="5"/>
        <v>collected</v>
      </c>
      <c r="J166" s="16" t="str">
        <f t="shared" si="6"/>
        <v>N</v>
      </c>
      <c r="K166" s="16"/>
      <c r="L166" s="16"/>
    </row>
    <row r="167">
      <c r="A167" s="27" t="s">
        <v>367</v>
      </c>
      <c r="B167" s="10" t="str">
        <f t="shared" si="1"/>
        <v>extra_muscle</v>
      </c>
      <c r="C167" s="49" t="str">
        <f t="shared" si="2"/>
        <v>S5241XM1</v>
      </c>
      <c r="D167" s="6">
        <v>24.0</v>
      </c>
      <c r="E167" s="10" t="str">
        <f t="shared" si="3"/>
        <v>BXM24</v>
      </c>
      <c r="F167" s="13">
        <v>17.0</v>
      </c>
      <c r="G167" s="10" t="str">
        <f t="shared" si="4"/>
        <v>BXM24-17</v>
      </c>
      <c r="H167" s="18"/>
      <c r="I167" s="16" t="str">
        <f t="shared" si="5"/>
        <v>collected</v>
      </c>
      <c r="J167" s="16" t="str">
        <f t="shared" si="6"/>
        <v>N</v>
      </c>
      <c r="K167" s="16"/>
      <c r="L167" s="16"/>
    </row>
    <row r="168">
      <c r="A168" s="27" t="s">
        <v>368</v>
      </c>
      <c r="B168" s="10" t="str">
        <f t="shared" si="1"/>
        <v>extra_muscle</v>
      </c>
      <c r="C168" s="49" t="str">
        <f t="shared" si="2"/>
        <v>S5242XM1</v>
      </c>
      <c r="D168" s="6">
        <v>24.0</v>
      </c>
      <c r="E168" s="10" t="str">
        <f t="shared" si="3"/>
        <v>BXM24</v>
      </c>
      <c r="F168" s="13">
        <v>18.0</v>
      </c>
      <c r="G168" s="10" t="str">
        <f t="shared" si="4"/>
        <v>BXM24-18</v>
      </c>
      <c r="H168" s="18"/>
      <c r="I168" s="16" t="str">
        <f t="shared" si="5"/>
        <v>collected</v>
      </c>
      <c r="J168" s="16" t="str">
        <f t="shared" si="6"/>
        <v>N</v>
      </c>
      <c r="K168" s="16"/>
      <c r="L168" s="16"/>
    </row>
    <row r="169">
      <c r="A169" s="27" t="s">
        <v>369</v>
      </c>
      <c r="B169" s="10" t="str">
        <f t="shared" si="1"/>
        <v>extra_muscle</v>
      </c>
      <c r="C169" s="49" t="str">
        <f t="shared" si="2"/>
        <v>S5243XM1</v>
      </c>
      <c r="D169" s="6">
        <v>24.0</v>
      </c>
      <c r="E169" s="10" t="str">
        <f t="shared" si="3"/>
        <v>BXM24</v>
      </c>
      <c r="F169" s="13">
        <v>19.0</v>
      </c>
      <c r="G169" s="10" t="str">
        <f t="shared" si="4"/>
        <v>BXM24-19</v>
      </c>
      <c r="H169" s="18"/>
      <c r="I169" s="16" t="str">
        <f t="shared" si="5"/>
        <v>collected</v>
      </c>
      <c r="J169" s="16" t="str">
        <f t="shared" si="6"/>
        <v>N</v>
      </c>
      <c r="K169" s="16"/>
      <c r="L169" s="16"/>
    </row>
    <row r="170">
      <c r="A170" s="27" t="s">
        <v>371</v>
      </c>
      <c r="B170" s="10" t="str">
        <f t="shared" si="1"/>
        <v>extra_muscle</v>
      </c>
      <c r="C170" s="49" t="str">
        <f t="shared" si="2"/>
        <v>S5244XM1</v>
      </c>
      <c r="D170" s="6">
        <v>24.0</v>
      </c>
      <c r="E170" s="10" t="str">
        <f t="shared" si="3"/>
        <v>BXM24</v>
      </c>
      <c r="F170" s="13">
        <v>20.0</v>
      </c>
      <c r="G170" s="10" t="str">
        <f t="shared" si="4"/>
        <v>BXM24-20</v>
      </c>
      <c r="H170" s="18"/>
      <c r="I170" s="16" t="str">
        <f t="shared" si="5"/>
        <v>collected</v>
      </c>
      <c r="J170" s="16" t="str">
        <f t="shared" si="6"/>
        <v>N</v>
      </c>
      <c r="K170" s="16"/>
      <c r="L170" s="16"/>
    </row>
    <row r="171">
      <c r="A171" s="27" t="s">
        <v>373</v>
      </c>
      <c r="B171" s="10" t="str">
        <f t="shared" si="1"/>
        <v>extra_muscle</v>
      </c>
      <c r="C171" s="49" t="str">
        <f t="shared" si="2"/>
        <v>S5287XM1</v>
      </c>
      <c r="D171" s="6">
        <v>24.0</v>
      </c>
      <c r="E171" s="10" t="str">
        <f t="shared" si="3"/>
        <v>BXM24</v>
      </c>
      <c r="F171" s="13">
        <v>21.0</v>
      </c>
      <c r="G171" s="10" t="str">
        <f t="shared" si="4"/>
        <v>BXM24-21</v>
      </c>
      <c r="H171" s="18"/>
      <c r="I171" s="16" t="str">
        <f t="shared" si="5"/>
        <v>collected</v>
      </c>
      <c r="J171" s="16" t="str">
        <f t="shared" si="6"/>
        <v>N</v>
      </c>
      <c r="K171" s="16"/>
      <c r="L171" s="16"/>
    </row>
    <row r="172">
      <c r="A172" s="27" t="s">
        <v>374</v>
      </c>
      <c r="B172" s="10" t="str">
        <f t="shared" si="1"/>
        <v>extra_muscle</v>
      </c>
      <c r="C172" s="49" t="str">
        <f t="shared" si="2"/>
        <v>S5288XM1</v>
      </c>
      <c r="D172" s="6">
        <v>24.0</v>
      </c>
      <c r="E172" s="10" t="str">
        <f t="shared" si="3"/>
        <v>BXM24</v>
      </c>
      <c r="F172" s="13">
        <v>22.0</v>
      </c>
      <c r="G172" s="10" t="str">
        <f t="shared" si="4"/>
        <v>BXM24-22</v>
      </c>
      <c r="H172" s="18"/>
      <c r="I172" s="16" t="str">
        <f t="shared" si="5"/>
        <v>collected</v>
      </c>
      <c r="J172" s="16" t="str">
        <f t="shared" si="6"/>
        <v>N</v>
      </c>
      <c r="K172" s="16"/>
      <c r="L172" s="16"/>
    </row>
    <row r="173">
      <c r="A173" s="27" t="s">
        <v>375</v>
      </c>
      <c r="B173" s="10" t="str">
        <f t="shared" si="1"/>
        <v>extra_muscle</v>
      </c>
      <c r="C173" s="49" t="str">
        <f t="shared" si="2"/>
        <v>S5289XM1</v>
      </c>
      <c r="D173" s="6">
        <v>24.0</v>
      </c>
      <c r="E173" s="10" t="str">
        <f t="shared" si="3"/>
        <v>BXM24</v>
      </c>
      <c r="F173" s="13">
        <v>23.0</v>
      </c>
      <c r="G173" s="10" t="str">
        <f t="shared" si="4"/>
        <v>BXM24-23</v>
      </c>
      <c r="H173" s="18"/>
      <c r="I173" s="16" t="str">
        <f t="shared" si="5"/>
        <v>collected</v>
      </c>
      <c r="J173" s="16" t="str">
        <f t="shared" si="6"/>
        <v>N</v>
      </c>
      <c r="K173" s="16"/>
      <c r="L173" s="16"/>
    </row>
    <row r="174">
      <c r="A174" s="27" t="s">
        <v>377</v>
      </c>
      <c r="B174" s="10" t="str">
        <f t="shared" si="1"/>
        <v>extra_muscle</v>
      </c>
      <c r="C174" s="49" t="str">
        <f t="shared" si="2"/>
        <v>S5290XM1</v>
      </c>
      <c r="D174" s="6">
        <v>24.0</v>
      </c>
      <c r="E174" s="10" t="str">
        <f t="shared" si="3"/>
        <v>BXM24</v>
      </c>
      <c r="F174" s="13">
        <v>24.0</v>
      </c>
      <c r="G174" s="10" t="str">
        <f t="shared" si="4"/>
        <v>BXM24-24</v>
      </c>
      <c r="H174" s="18"/>
      <c r="I174" s="16" t="str">
        <f t="shared" si="5"/>
        <v>collected</v>
      </c>
      <c r="J174" s="16" t="str">
        <f t="shared" si="6"/>
        <v>N</v>
      </c>
      <c r="K174" s="16"/>
      <c r="L174" s="16"/>
    </row>
    <row r="175">
      <c r="A175" s="6" t="s">
        <v>382</v>
      </c>
      <c r="B175" s="10" t="str">
        <f t="shared" si="1"/>
        <v>extra_muscle</v>
      </c>
      <c r="C175" s="49" t="str">
        <f t="shared" si="2"/>
        <v>S5291XM1</v>
      </c>
      <c r="D175" s="6">
        <v>24.0</v>
      </c>
      <c r="E175" s="10" t="str">
        <f t="shared" si="3"/>
        <v>BXM24</v>
      </c>
      <c r="F175" s="13">
        <v>25.0</v>
      </c>
      <c r="G175" s="10" t="str">
        <f t="shared" si="4"/>
        <v>BXM24-25</v>
      </c>
      <c r="H175" s="18"/>
      <c r="I175" s="16" t="str">
        <f t="shared" si="5"/>
        <v>collected</v>
      </c>
      <c r="J175" s="16" t="str">
        <f t="shared" si="6"/>
        <v>N</v>
      </c>
      <c r="K175" s="16"/>
      <c r="L175" s="16"/>
    </row>
    <row r="176">
      <c r="A176" s="6" t="s">
        <v>384</v>
      </c>
      <c r="B176" s="10" t="str">
        <f t="shared" si="1"/>
        <v>extra_muscle</v>
      </c>
      <c r="C176" s="49" t="str">
        <f t="shared" si="2"/>
        <v>S5292XM1</v>
      </c>
      <c r="D176" s="6">
        <v>24.0</v>
      </c>
      <c r="E176" s="10" t="str">
        <f t="shared" si="3"/>
        <v>BXM24</v>
      </c>
      <c r="F176" s="13">
        <v>26.0</v>
      </c>
      <c r="G176" s="10" t="str">
        <f t="shared" si="4"/>
        <v>BXM24-26</v>
      </c>
      <c r="H176" s="16"/>
      <c r="I176" s="16" t="str">
        <f t="shared" si="5"/>
        <v>collected</v>
      </c>
      <c r="J176" s="16" t="str">
        <f t="shared" si="6"/>
        <v>N</v>
      </c>
      <c r="K176" s="16"/>
      <c r="L176" s="16"/>
    </row>
    <row r="177">
      <c r="A177" s="6" t="s">
        <v>387</v>
      </c>
      <c r="B177" s="10" t="str">
        <f t="shared" si="1"/>
        <v>extra_muscle</v>
      </c>
      <c r="C177" s="49" t="str">
        <f t="shared" si="2"/>
        <v>S5293XM1</v>
      </c>
      <c r="D177" s="6">
        <v>24.0</v>
      </c>
      <c r="E177" s="10" t="str">
        <f t="shared" si="3"/>
        <v>BXM24</v>
      </c>
      <c r="F177" s="13">
        <v>27.0</v>
      </c>
      <c r="G177" s="10" t="str">
        <f t="shared" si="4"/>
        <v>BXM24-27</v>
      </c>
      <c r="H177" s="16"/>
      <c r="I177" s="16" t="str">
        <f t="shared" si="5"/>
        <v>collected</v>
      </c>
      <c r="J177" s="16" t="str">
        <f t="shared" si="6"/>
        <v>N</v>
      </c>
      <c r="K177" s="16"/>
      <c r="L177" s="16"/>
    </row>
    <row r="178">
      <c r="A178" s="6" t="s">
        <v>389</v>
      </c>
      <c r="B178" s="10" t="str">
        <f t="shared" si="1"/>
        <v>extra_muscle</v>
      </c>
      <c r="C178" s="49" t="str">
        <f t="shared" si="2"/>
        <v>S5294XM1</v>
      </c>
      <c r="D178" s="6">
        <v>24.0</v>
      </c>
      <c r="E178" s="10" t="str">
        <f t="shared" si="3"/>
        <v>BXM24</v>
      </c>
      <c r="F178" s="13">
        <v>28.0</v>
      </c>
      <c r="G178" s="10" t="str">
        <f t="shared" si="4"/>
        <v>BXM24-28</v>
      </c>
      <c r="H178" s="16"/>
      <c r="I178" s="16" t="str">
        <f t="shared" si="5"/>
        <v>collected</v>
      </c>
      <c r="J178" s="16" t="str">
        <f t="shared" si="6"/>
        <v>N</v>
      </c>
      <c r="K178" s="16"/>
      <c r="L178" s="16"/>
    </row>
    <row r="179">
      <c r="A179" s="6" t="s">
        <v>391</v>
      </c>
      <c r="B179" s="10" t="str">
        <f t="shared" si="1"/>
        <v>extra_muscle</v>
      </c>
      <c r="C179" s="49" t="str">
        <f t="shared" si="2"/>
        <v>S5295XM1</v>
      </c>
      <c r="D179" s="6">
        <v>24.0</v>
      </c>
      <c r="E179" s="10" t="str">
        <f t="shared" si="3"/>
        <v>BXM24</v>
      </c>
      <c r="F179" s="13">
        <v>29.0</v>
      </c>
      <c r="G179" s="10" t="str">
        <f t="shared" si="4"/>
        <v>BXM24-29</v>
      </c>
      <c r="H179" s="16"/>
      <c r="I179" s="16" t="str">
        <f t="shared" si="5"/>
        <v>collected</v>
      </c>
      <c r="J179" s="16" t="str">
        <f t="shared" si="6"/>
        <v>N</v>
      </c>
      <c r="K179" s="16"/>
      <c r="L179" s="16"/>
    </row>
    <row r="180">
      <c r="A180" s="6" t="s">
        <v>392</v>
      </c>
      <c r="B180" s="10" t="str">
        <f t="shared" si="1"/>
        <v>extra_muscle</v>
      </c>
      <c r="C180" s="49" t="str">
        <f t="shared" si="2"/>
        <v>S5296XM1</v>
      </c>
      <c r="D180" s="6">
        <v>24.0</v>
      </c>
      <c r="E180" s="10" t="str">
        <f t="shared" si="3"/>
        <v>BXM24</v>
      </c>
      <c r="F180" s="13">
        <v>30.0</v>
      </c>
      <c r="G180" s="10" t="str">
        <f t="shared" si="4"/>
        <v>BXM24-30</v>
      </c>
      <c r="H180" s="16"/>
      <c r="I180" s="16" t="str">
        <f t="shared" si="5"/>
        <v>collected</v>
      </c>
      <c r="J180" s="16" t="str">
        <f t="shared" si="6"/>
        <v>N</v>
      </c>
      <c r="K180" s="16"/>
      <c r="L180" s="16"/>
    </row>
    <row r="181">
      <c r="A181" s="6" t="s">
        <v>394</v>
      </c>
      <c r="B181" s="10" t="str">
        <f t="shared" si="1"/>
        <v>extra_muscle</v>
      </c>
      <c r="C181" s="49" t="str">
        <f t="shared" si="2"/>
        <v>S5258XM1</v>
      </c>
      <c r="D181" s="6">
        <v>23.0</v>
      </c>
      <c r="E181" s="10" t="str">
        <f t="shared" si="3"/>
        <v>BXM23</v>
      </c>
      <c r="F181" s="13">
        <v>33.0</v>
      </c>
      <c r="G181" s="10" t="str">
        <f t="shared" si="4"/>
        <v>BXM23-33</v>
      </c>
      <c r="H181" s="16"/>
      <c r="I181" s="16" t="str">
        <f t="shared" si="5"/>
        <v>collected</v>
      </c>
      <c r="J181" s="16" t="str">
        <f t="shared" si="6"/>
        <v>N</v>
      </c>
      <c r="K181" s="16"/>
      <c r="L181" s="16"/>
    </row>
    <row r="182">
      <c r="A182" s="26" t="s">
        <v>395</v>
      </c>
      <c r="B182" s="10" t="str">
        <f t="shared" si="1"/>
        <v>extra_muscle</v>
      </c>
      <c r="C182" s="49" t="str">
        <f t="shared" si="2"/>
        <v>S5259XM1</v>
      </c>
      <c r="D182" s="6">
        <v>23.0</v>
      </c>
      <c r="E182" s="10" t="str">
        <f t="shared" si="3"/>
        <v>BXM23</v>
      </c>
      <c r="F182" s="13">
        <v>34.0</v>
      </c>
      <c r="G182" s="10" t="str">
        <f t="shared" si="4"/>
        <v>BXM23-34</v>
      </c>
      <c r="H182" s="16"/>
      <c r="I182" s="16" t="str">
        <f t="shared" si="5"/>
        <v>collected</v>
      </c>
      <c r="J182" s="16" t="str">
        <f t="shared" si="6"/>
        <v>N</v>
      </c>
      <c r="K182" s="16"/>
      <c r="L182" s="16"/>
    </row>
    <row r="183">
      <c r="A183" s="26" t="s">
        <v>396</v>
      </c>
      <c r="B183" s="10" t="str">
        <f t="shared" si="1"/>
        <v>extra_muscle</v>
      </c>
      <c r="C183" s="49" t="str">
        <f t="shared" si="2"/>
        <v>S5260XM1</v>
      </c>
      <c r="D183" s="6">
        <v>23.0</v>
      </c>
      <c r="E183" s="10" t="str">
        <f t="shared" si="3"/>
        <v>BXM23</v>
      </c>
      <c r="F183" s="13">
        <v>35.0</v>
      </c>
      <c r="G183" s="10" t="str">
        <f t="shared" si="4"/>
        <v>BXM23-35</v>
      </c>
      <c r="H183" s="16"/>
      <c r="I183" s="16" t="str">
        <f t="shared" si="5"/>
        <v>collected</v>
      </c>
      <c r="J183" s="16" t="str">
        <f t="shared" si="6"/>
        <v>N</v>
      </c>
      <c r="K183" s="16"/>
      <c r="L183" s="16"/>
    </row>
    <row r="184">
      <c r="A184" s="26" t="s">
        <v>397</v>
      </c>
      <c r="B184" s="10" t="str">
        <f t="shared" si="1"/>
        <v>extra_muscle</v>
      </c>
      <c r="C184" s="49" t="str">
        <f t="shared" si="2"/>
        <v>S5261XM1</v>
      </c>
      <c r="D184" s="6">
        <v>23.0</v>
      </c>
      <c r="E184" s="10" t="str">
        <f t="shared" si="3"/>
        <v>BXM23</v>
      </c>
      <c r="F184" s="13">
        <v>37.0</v>
      </c>
      <c r="G184" s="10" t="str">
        <f t="shared" si="4"/>
        <v>BXM23-37</v>
      </c>
      <c r="H184" s="16"/>
      <c r="I184" s="16" t="str">
        <f t="shared" si="5"/>
        <v>collected</v>
      </c>
      <c r="J184" s="16" t="str">
        <f t="shared" si="6"/>
        <v>N</v>
      </c>
      <c r="K184" s="16"/>
      <c r="L184" s="16"/>
    </row>
    <row r="185">
      <c r="A185" s="26" t="s">
        <v>400</v>
      </c>
      <c r="B185" s="10" t="str">
        <f t="shared" si="1"/>
        <v>extra_muscle</v>
      </c>
      <c r="C185" s="49" t="str">
        <f t="shared" si="2"/>
        <v>S5274XM1</v>
      </c>
      <c r="D185" s="6">
        <v>23.0</v>
      </c>
      <c r="E185" s="10" t="str">
        <f t="shared" si="3"/>
        <v>BXM23</v>
      </c>
      <c r="F185" s="13">
        <v>38.0</v>
      </c>
      <c r="G185" s="10" t="str">
        <f t="shared" si="4"/>
        <v>BXM23-38</v>
      </c>
      <c r="H185" s="16"/>
      <c r="I185" s="16" t="str">
        <f t="shared" si="5"/>
        <v>collected</v>
      </c>
      <c r="J185" s="16" t="str">
        <f t="shared" si="6"/>
        <v>N</v>
      </c>
      <c r="K185" s="16"/>
      <c r="L185" s="16"/>
    </row>
    <row r="186">
      <c r="A186" s="26" t="s">
        <v>401</v>
      </c>
      <c r="B186" s="10" t="str">
        <f t="shared" si="1"/>
        <v>extra_muscle</v>
      </c>
      <c r="C186" s="49" t="str">
        <f t="shared" si="2"/>
        <v>S5275XM1</v>
      </c>
      <c r="D186" s="6">
        <v>23.0</v>
      </c>
      <c r="E186" s="10" t="str">
        <f t="shared" si="3"/>
        <v>BXM23</v>
      </c>
      <c r="F186" s="13">
        <v>39.0</v>
      </c>
      <c r="G186" s="10" t="str">
        <f t="shared" si="4"/>
        <v>BXM23-39</v>
      </c>
      <c r="H186" s="16"/>
      <c r="I186" s="16" t="str">
        <f t="shared" si="5"/>
        <v>collected</v>
      </c>
      <c r="J186" s="16" t="str">
        <f t="shared" si="6"/>
        <v>N</v>
      </c>
      <c r="K186" s="16"/>
      <c r="L186" s="16"/>
    </row>
    <row r="187">
      <c r="A187" s="26" t="s">
        <v>402</v>
      </c>
      <c r="B187" s="10" t="str">
        <f t="shared" si="1"/>
        <v>extra_muscle</v>
      </c>
      <c r="C187" s="49" t="str">
        <f t="shared" si="2"/>
        <v>S5276XM1</v>
      </c>
      <c r="D187" s="6">
        <v>23.0</v>
      </c>
      <c r="E187" s="10" t="str">
        <f t="shared" si="3"/>
        <v>BXM23</v>
      </c>
      <c r="F187" s="13">
        <v>40.0</v>
      </c>
      <c r="G187" s="10" t="str">
        <f t="shared" si="4"/>
        <v>BXM23-40</v>
      </c>
      <c r="H187" s="16"/>
      <c r="I187" s="16" t="str">
        <f t="shared" si="5"/>
        <v>collected</v>
      </c>
      <c r="J187" s="16" t="str">
        <f t="shared" si="6"/>
        <v>N</v>
      </c>
      <c r="K187" s="16"/>
      <c r="L187" s="16"/>
    </row>
    <row r="188">
      <c r="A188" s="26" t="s">
        <v>404</v>
      </c>
      <c r="B188" s="10" t="str">
        <f t="shared" si="1"/>
        <v>extra_muscle</v>
      </c>
      <c r="C188" s="49" t="str">
        <f t="shared" si="2"/>
        <v>S5277XM1</v>
      </c>
      <c r="D188" s="6">
        <v>23.0</v>
      </c>
      <c r="E188" s="10" t="str">
        <f t="shared" si="3"/>
        <v>BXM23</v>
      </c>
      <c r="F188" s="13">
        <v>41.0</v>
      </c>
      <c r="G188" s="10" t="str">
        <f t="shared" si="4"/>
        <v>BXM23-41</v>
      </c>
      <c r="H188" s="16"/>
      <c r="I188" s="16" t="str">
        <f t="shared" si="5"/>
        <v>collected</v>
      </c>
      <c r="J188" s="16" t="str">
        <f t="shared" si="6"/>
        <v>N</v>
      </c>
      <c r="K188" s="16"/>
      <c r="L188" s="16"/>
    </row>
    <row r="189">
      <c r="A189" s="26" t="s">
        <v>405</v>
      </c>
      <c r="B189" s="10" t="str">
        <f t="shared" si="1"/>
        <v>extra_muscle</v>
      </c>
      <c r="C189" s="49" t="str">
        <f t="shared" si="2"/>
        <v>S5278XM1</v>
      </c>
      <c r="D189" s="6">
        <v>23.0</v>
      </c>
      <c r="E189" s="10" t="str">
        <f t="shared" si="3"/>
        <v>BXM23</v>
      </c>
      <c r="F189" s="13">
        <v>42.0</v>
      </c>
      <c r="G189" s="10" t="str">
        <f t="shared" si="4"/>
        <v>BXM23-42</v>
      </c>
      <c r="H189" s="16"/>
      <c r="I189" s="16" t="str">
        <f t="shared" si="5"/>
        <v>collected</v>
      </c>
      <c r="J189" s="16" t="str">
        <f t="shared" si="6"/>
        <v>N</v>
      </c>
      <c r="K189" s="16"/>
      <c r="L189" s="16"/>
    </row>
    <row r="190">
      <c r="A190" s="26" t="s">
        <v>408</v>
      </c>
      <c r="B190" s="10" t="str">
        <f t="shared" si="1"/>
        <v>extra_muscle</v>
      </c>
      <c r="C190" s="49" t="str">
        <f t="shared" si="2"/>
        <v>S5279XM1</v>
      </c>
      <c r="D190" s="6">
        <v>23.0</v>
      </c>
      <c r="E190" s="10" t="str">
        <f t="shared" si="3"/>
        <v>BXM23</v>
      </c>
      <c r="F190" s="13">
        <v>43.0</v>
      </c>
      <c r="G190" s="10" t="str">
        <f t="shared" si="4"/>
        <v>BXM23-43</v>
      </c>
      <c r="H190" s="16"/>
      <c r="I190" s="16" t="str">
        <f t="shared" si="5"/>
        <v>collected</v>
      </c>
      <c r="J190" s="16" t="str">
        <f t="shared" si="6"/>
        <v>N</v>
      </c>
      <c r="K190" s="16"/>
      <c r="L190" s="16"/>
    </row>
    <row r="191">
      <c r="A191" s="6" t="s">
        <v>409</v>
      </c>
      <c r="B191" s="10" t="str">
        <f t="shared" si="1"/>
        <v>extra_muscle</v>
      </c>
      <c r="C191" s="49" t="str">
        <f t="shared" si="2"/>
        <v>S5280XM1</v>
      </c>
      <c r="D191" s="6">
        <v>23.0</v>
      </c>
      <c r="E191" s="10" t="str">
        <f t="shared" si="3"/>
        <v>BXM23</v>
      </c>
      <c r="F191" s="13">
        <v>44.0</v>
      </c>
      <c r="G191" s="10" t="str">
        <f t="shared" si="4"/>
        <v>BXM23-44</v>
      </c>
      <c r="H191" s="16"/>
      <c r="I191" s="16" t="str">
        <f t="shared" si="5"/>
        <v>collected</v>
      </c>
      <c r="J191" s="16" t="str">
        <f t="shared" si="6"/>
        <v>N</v>
      </c>
      <c r="K191" s="16"/>
      <c r="L191" s="16"/>
    </row>
    <row r="192">
      <c r="A192" s="6" t="s">
        <v>410</v>
      </c>
      <c r="B192" s="10" t="str">
        <f t="shared" si="1"/>
        <v>extra_muscle</v>
      </c>
      <c r="C192" s="49" t="str">
        <f t="shared" si="2"/>
        <v>S5281XM1</v>
      </c>
      <c r="D192" s="6">
        <v>23.0</v>
      </c>
      <c r="E192" s="10" t="str">
        <f t="shared" si="3"/>
        <v>BXM23</v>
      </c>
      <c r="F192" s="13">
        <v>45.0</v>
      </c>
      <c r="G192" s="10" t="str">
        <f t="shared" si="4"/>
        <v>BXM23-45</v>
      </c>
      <c r="H192" s="16"/>
      <c r="I192" s="16" t="str">
        <f t="shared" si="5"/>
        <v>collected</v>
      </c>
      <c r="J192" s="16" t="str">
        <f t="shared" si="6"/>
        <v>N</v>
      </c>
      <c r="K192" s="16"/>
      <c r="L192" s="16"/>
    </row>
    <row r="193">
      <c r="A193" s="26" t="s">
        <v>412</v>
      </c>
      <c r="B193" s="10" t="str">
        <f t="shared" si="1"/>
        <v>extra_muscle</v>
      </c>
      <c r="C193" s="49" t="str">
        <f t="shared" si="2"/>
        <v>S5282XM1</v>
      </c>
      <c r="D193" s="6">
        <v>23.0</v>
      </c>
      <c r="E193" s="10" t="str">
        <f t="shared" si="3"/>
        <v>BXM23</v>
      </c>
      <c r="F193" s="13">
        <v>47.0</v>
      </c>
      <c r="G193" s="10" t="str">
        <f t="shared" si="4"/>
        <v>BXM23-47</v>
      </c>
      <c r="H193" s="16"/>
      <c r="I193" s="16" t="str">
        <f t="shared" si="5"/>
        <v>collected</v>
      </c>
      <c r="J193" s="16" t="str">
        <f t="shared" si="6"/>
        <v>N</v>
      </c>
      <c r="K193" s="16"/>
      <c r="L193" s="16"/>
    </row>
    <row r="194">
      <c r="A194" s="26" t="s">
        <v>413</v>
      </c>
      <c r="B194" s="10" t="str">
        <f t="shared" si="1"/>
        <v>extra_muscle</v>
      </c>
      <c r="C194" s="49" t="str">
        <f t="shared" si="2"/>
        <v>S5283XM1</v>
      </c>
      <c r="D194" s="6">
        <v>23.0</v>
      </c>
      <c r="E194" s="10" t="str">
        <f t="shared" si="3"/>
        <v>BXM23</v>
      </c>
      <c r="F194" s="13">
        <v>48.0</v>
      </c>
      <c r="G194" s="10" t="str">
        <f t="shared" si="4"/>
        <v>BXM23-48</v>
      </c>
      <c r="H194" s="16"/>
      <c r="I194" s="16" t="str">
        <f t="shared" si="5"/>
        <v>collected</v>
      </c>
      <c r="J194" s="16" t="str">
        <f t="shared" si="6"/>
        <v>N</v>
      </c>
      <c r="K194" s="16"/>
      <c r="L194" s="16"/>
    </row>
    <row r="195">
      <c r="A195" s="26" t="s">
        <v>415</v>
      </c>
      <c r="B195" s="10" t="str">
        <f t="shared" si="1"/>
        <v>extra_muscle</v>
      </c>
      <c r="C195" s="49" t="str">
        <f t="shared" si="2"/>
        <v>S5284XM1</v>
      </c>
      <c r="D195" s="6">
        <v>23.0</v>
      </c>
      <c r="E195" s="10" t="str">
        <f t="shared" si="3"/>
        <v>BXM23</v>
      </c>
      <c r="F195" s="13">
        <v>49.0</v>
      </c>
      <c r="G195" s="10" t="str">
        <f t="shared" si="4"/>
        <v>BXM23-49</v>
      </c>
      <c r="H195" s="16"/>
      <c r="I195" s="16" t="str">
        <f t="shared" si="5"/>
        <v>collected</v>
      </c>
      <c r="J195" s="16" t="str">
        <f t="shared" si="6"/>
        <v>N</v>
      </c>
      <c r="K195" s="16"/>
      <c r="L195" s="16"/>
    </row>
    <row r="196">
      <c r="A196" s="26" t="s">
        <v>417</v>
      </c>
      <c r="B196" s="10" t="str">
        <f t="shared" si="1"/>
        <v>extra_muscle</v>
      </c>
      <c r="C196" s="49" t="str">
        <f t="shared" si="2"/>
        <v>S5285XM1</v>
      </c>
      <c r="D196" s="6">
        <v>23.0</v>
      </c>
      <c r="E196" s="10" t="str">
        <f t="shared" si="3"/>
        <v>BXM23</v>
      </c>
      <c r="F196" s="13">
        <v>50.0</v>
      </c>
      <c r="G196" s="10" t="str">
        <f t="shared" si="4"/>
        <v>BXM23-50</v>
      </c>
      <c r="H196" s="16"/>
      <c r="I196" s="16" t="str">
        <f t="shared" si="5"/>
        <v>collected</v>
      </c>
      <c r="J196" s="16" t="str">
        <f t="shared" si="6"/>
        <v>N</v>
      </c>
      <c r="K196" s="16"/>
      <c r="L196" s="16"/>
    </row>
    <row r="197">
      <c r="A197" s="26" t="s">
        <v>419</v>
      </c>
      <c r="B197" s="10" t="str">
        <f t="shared" si="1"/>
        <v>extra_muscle</v>
      </c>
      <c r="C197" s="49" t="str">
        <f t="shared" si="2"/>
        <v>S5286XM1</v>
      </c>
      <c r="D197" s="6">
        <v>23.0</v>
      </c>
      <c r="E197" s="10" t="str">
        <f t="shared" si="3"/>
        <v>BXM23</v>
      </c>
      <c r="F197" s="13">
        <v>51.0</v>
      </c>
      <c r="G197" s="10" t="str">
        <f t="shared" si="4"/>
        <v>BXM23-51</v>
      </c>
      <c r="H197" s="16"/>
      <c r="I197" s="16" t="str">
        <f t="shared" si="5"/>
        <v>collected</v>
      </c>
      <c r="J197" s="16" t="str">
        <f t="shared" si="6"/>
        <v>N</v>
      </c>
      <c r="K197" s="16"/>
      <c r="L197" s="16"/>
    </row>
    <row r="198">
      <c r="A198" s="26" t="s">
        <v>421</v>
      </c>
      <c r="B198" s="10" t="str">
        <f t="shared" si="1"/>
        <v>extra_muscle</v>
      </c>
      <c r="C198" s="49" t="str">
        <f t="shared" si="2"/>
        <v>S5337XM1</v>
      </c>
      <c r="D198" s="6">
        <v>23.0</v>
      </c>
      <c r="E198" s="10" t="str">
        <f t="shared" si="3"/>
        <v>BXM23</v>
      </c>
      <c r="F198" s="13">
        <v>52.0</v>
      </c>
      <c r="G198" s="10" t="str">
        <f t="shared" si="4"/>
        <v>BXM23-52</v>
      </c>
      <c r="H198" s="16"/>
      <c r="I198" s="16" t="str">
        <f t="shared" si="5"/>
        <v>collected</v>
      </c>
      <c r="J198" s="16" t="str">
        <f t="shared" si="6"/>
        <v>N</v>
      </c>
      <c r="K198" s="16"/>
      <c r="L198" s="16"/>
    </row>
    <row r="199">
      <c r="A199" s="26" t="s">
        <v>422</v>
      </c>
      <c r="B199" s="10" t="str">
        <f t="shared" si="1"/>
        <v>extra_muscle</v>
      </c>
      <c r="C199" s="49" t="str">
        <f t="shared" si="2"/>
        <v>S5338XM1</v>
      </c>
      <c r="D199" s="6">
        <v>23.0</v>
      </c>
      <c r="E199" s="10" t="str">
        <f t="shared" si="3"/>
        <v>BXM23</v>
      </c>
      <c r="F199" s="13">
        <v>53.0</v>
      </c>
      <c r="G199" s="10" t="str">
        <f t="shared" si="4"/>
        <v>BXM23-53</v>
      </c>
      <c r="H199" s="16"/>
      <c r="I199" s="16" t="str">
        <f t="shared" si="5"/>
        <v>collected</v>
      </c>
      <c r="J199" s="16" t="str">
        <f t="shared" si="6"/>
        <v>N</v>
      </c>
      <c r="K199" s="16"/>
      <c r="L199" s="16"/>
    </row>
    <row r="200">
      <c r="A200" s="26" t="s">
        <v>423</v>
      </c>
      <c r="B200" s="10" t="str">
        <f t="shared" si="1"/>
        <v>extra_muscle</v>
      </c>
      <c r="C200" s="49" t="str">
        <f t="shared" si="2"/>
        <v>S5339XM1</v>
      </c>
      <c r="D200" s="6">
        <v>23.0</v>
      </c>
      <c r="E200" s="10" t="str">
        <f t="shared" si="3"/>
        <v>BXM23</v>
      </c>
      <c r="F200" s="13">
        <v>54.0</v>
      </c>
      <c r="G200" s="10" t="str">
        <f t="shared" si="4"/>
        <v>BXM23-54</v>
      </c>
      <c r="H200" s="16"/>
      <c r="I200" s="16" t="str">
        <f t="shared" si="5"/>
        <v>collected</v>
      </c>
      <c r="J200" s="16" t="str">
        <f t="shared" si="6"/>
        <v>N</v>
      </c>
      <c r="K200" s="16"/>
      <c r="L200" s="16"/>
    </row>
    <row r="201">
      <c r="A201" s="26" t="s">
        <v>427</v>
      </c>
      <c r="B201" s="10" t="str">
        <f t="shared" si="1"/>
        <v>extra_muscle</v>
      </c>
      <c r="C201" s="49" t="str">
        <f t="shared" si="2"/>
        <v>S5340XM1</v>
      </c>
      <c r="D201" s="6">
        <v>23.0</v>
      </c>
      <c r="E201" s="10" t="str">
        <f t="shared" si="3"/>
        <v>BXM23</v>
      </c>
      <c r="F201" s="13">
        <v>55.0</v>
      </c>
      <c r="G201" s="10" t="str">
        <f t="shared" si="4"/>
        <v>BXM23-55</v>
      </c>
      <c r="H201" s="16"/>
      <c r="I201" s="16" t="str">
        <f t="shared" si="5"/>
        <v>collected</v>
      </c>
      <c r="J201" s="16" t="str">
        <f t="shared" si="6"/>
        <v>N</v>
      </c>
      <c r="K201" s="16"/>
      <c r="L201" s="16"/>
    </row>
    <row r="202">
      <c r="A202" s="26" t="s">
        <v>428</v>
      </c>
      <c r="B202" s="10" t="str">
        <f t="shared" si="1"/>
        <v>extra_muscle</v>
      </c>
      <c r="C202" s="49" t="str">
        <f t="shared" si="2"/>
        <v>S5297XM1</v>
      </c>
      <c r="D202" s="6">
        <v>24.0</v>
      </c>
      <c r="E202" s="10" t="str">
        <f t="shared" si="3"/>
        <v>BXM24</v>
      </c>
      <c r="F202" s="13">
        <v>31.0</v>
      </c>
      <c r="G202" s="10" t="str">
        <f t="shared" si="4"/>
        <v>BXM24-31</v>
      </c>
      <c r="H202" s="16"/>
      <c r="I202" s="16" t="str">
        <f t="shared" si="5"/>
        <v>collected</v>
      </c>
      <c r="J202" s="16" t="str">
        <f t="shared" si="6"/>
        <v>N</v>
      </c>
      <c r="K202" s="16"/>
      <c r="L202" s="16"/>
    </row>
    <row r="203">
      <c r="A203" s="26" t="s">
        <v>430</v>
      </c>
      <c r="B203" s="10" t="str">
        <f t="shared" si="1"/>
        <v>extra_muscle</v>
      </c>
      <c r="C203" s="49" t="str">
        <f t="shared" si="2"/>
        <v>S5298XM1</v>
      </c>
      <c r="D203" s="6">
        <v>24.0</v>
      </c>
      <c r="E203" s="10" t="str">
        <f t="shared" si="3"/>
        <v>BXM24</v>
      </c>
      <c r="F203" s="13">
        <v>32.0</v>
      </c>
      <c r="G203" s="10" t="str">
        <f t="shared" si="4"/>
        <v>BXM24-32</v>
      </c>
      <c r="H203" s="16"/>
      <c r="I203" s="16" t="str">
        <f t="shared" si="5"/>
        <v>collected</v>
      </c>
      <c r="J203" s="16" t="str">
        <f t="shared" si="6"/>
        <v>N</v>
      </c>
      <c r="K203" s="16"/>
      <c r="L203" s="16"/>
    </row>
    <row r="204">
      <c r="A204" s="26" t="s">
        <v>431</v>
      </c>
      <c r="B204" s="10" t="str">
        <f t="shared" si="1"/>
        <v>extra_muscle</v>
      </c>
      <c r="C204" s="49" t="str">
        <f t="shared" si="2"/>
        <v>S5299XM1</v>
      </c>
      <c r="D204" s="6">
        <v>24.0</v>
      </c>
      <c r="E204" s="10" t="str">
        <f t="shared" si="3"/>
        <v>BXM24</v>
      </c>
      <c r="F204" s="13">
        <v>33.0</v>
      </c>
      <c r="G204" s="10" t="str">
        <f t="shared" si="4"/>
        <v>BXM24-33</v>
      </c>
      <c r="H204" s="6"/>
      <c r="I204" s="16" t="str">
        <f t="shared" si="5"/>
        <v>collected</v>
      </c>
      <c r="J204" s="16" t="str">
        <f t="shared" si="6"/>
        <v>N</v>
      </c>
      <c r="K204" s="16"/>
      <c r="L204" s="16"/>
    </row>
    <row r="205">
      <c r="A205" s="28" t="s">
        <v>432</v>
      </c>
      <c r="B205" s="10" t="str">
        <f t="shared" si="1"/>
        <v>extra_muscle</v>
      </c>
      <c r="C205" s="49" t="str">
        <f t="shared" si="2"/>
        <v>S5300XM1</v>
      </c>
      <c r="D205" s="6">
        <v>24.0</v>
      </c>
      <c r="E205" s="10" t="str">
        <f t="shared" si="3"/>
        <v>BXM24</v>
      </c>
      <c r="F205" s="13">
        <v>34.0</v>
      </c>
      <c r="G205" s="10" t="str">
        <f t="shared" si="4"/>
        <v>BXM24-34</v>
      </c>
      <c r="H205" s="18"/>
      <c r="I205" s="16" t="str">
        <f t="shared" si="5"/>
        <v>collected</v>
      </c>
      <c r="J205" s="16" t="str">
        <f t="shared" si="6"/>
        <v>N</v>
      </c>
      <c r="K205" s="16"/>
      <c r="L205" s="16"/>
    </row>
    <row r="206">
      <c r="A206" s="28" t="s">
        <v>435</v>
      </c>
      <c r="B206" s="10" t="str">
        <f t="shared" si="1"/>
        <v>extra_muscle</v>
      </c>
      <c r="C206" s="49" t="str">
        <f t="shared" si="2"/>
        <v>S5301XM1</v>
      </c>
      <c r="D206" s="6">
        <v>24.0</v>
      </c>
      <c r="E206" s="10" t="str">
        <f t="shared" si="3"/>
        <v>BXM24</v>
      </c>
      <c r="F206" s="13">
        <v>35.0</v>
      </c>
      <c r="G206" s="10" t="str">
        <f t="shared" si="4"/>
        <v>BXM24-35</v>
      </c>
      <c r="H206" s="18"/>
      <c r="I206" s="16" t="str">
        <f t="shared" si="5"/>
        <v>collected</v>
      </c>
      <c r="J206" s="16" t="str">
        <f t="shared" si="6"/>
        <v>N</v>
      </c>
      <c r="K206" s="16"/>
      <c r="L206" s="16"/>
    </row>
    <row r="207">
      <c r="A207" s="28" t="s">
        <v>436</v>
      </c>
      <c r="B207" s="10" t="str">
        <f t="shared" si="1"/>
        <v>extra_muscle</v>
      </c>
      <c r="C207" s="49" t="str">
        <f t="shared" si="2"/>
        <v>S5327XM1</v>
      </c>
      <c r="D207" s="6">
        <v>24.0</v>
      </c>
      <c r="E207" s="10" t="str">
        <f t="shared" si="3"/>
        <v>BXM24</v>
      </c>
      <c r="F207" s="13">
        <v>36.0</v>
      </c>
      <c r="G207" s="10" t="str">
        <f t="shared" si="4"/>
        <v>BXM24-36</v>
      </c>
      <c r="H207" s="18"/>
      <c r="I207" s="16" t="str">
        <f t="shared" si="5"/>
        <v>collected</v>
      </c>
      <c r="J207" s="16" t="str">
        <f t="shared" si="6"/>
        <v>N</v>
      </c>
      <c r="K207" s="16"/>
      <c r="L207" s="16"/>
    </row>
    <row r="208">
      <c r="A208" s="28" t="s">
        <v>438</v>
      </c>
      <c r="B208" s="10" t="str">
        <f t="shared" si="1"/>
        <v>extra_muscle</v>
      </c>
      <c r="C208" s="49" t="str">
        <f t="shared" si="2"/>
        <v>S5328XM1</v>
      </c>
      <c r="D208" s="6">
        <v>24.0</v>
      </c>
      <c r="E208" s="10" t="str">
        <f t="shared" si="3"/>
        <v>BXM24</v>
      </c>
      <c r="F208" s="13">
        <v>37.0</v>
      </c>
      <c r="G208" s="10" t="str">
        <f t="shared" si="4"/>
        <v>BXM24-37</v>
      </c>
      <c r="H208" s="18"/>
      <c r="I208" s="16" t="str">
        <f t="shared" si="5"/>
        <v>collected</v>
      </c>
      <c r="J208" s="16" t="str">
        <f t="shared" si="6"/>
        <v>N</v>
      </c>
      <c r="K208" s="16"/>
      <c r="L208" s="16"/>
    </row>
    <row r="209">
      <c r="A209" s="28" t="s">
        <v>440</v>
      </c>
      <c r="B209" s="10" t="str">
        <f t="shared" si="1"/>
        <v>extra_muscle</v>
      </c>
      <c r="C209" s="49" t="str">
        <f t="shared" si="2"/>
        <v>S5329XM1</v>
      </c>
      <c r="D209" s="6">
        <v>24.0</v>
      </c>
      <c r="E209" s="10" t="str">
        <f t="shared" si="3"/>
        <v>BXM24</v>
      </c>
      <c r="F209" s="13">
        <v>38.0</v>
      </c>
      <c r="G209" s="10" t="str">
        <f t="shared" si="4"/>
        <v>BXM24-38</v>
      </c>
      <c r="H209" s="18"/>
      <c r="I209" s="16" t="str">
        <f t="shared" si="5"/>
        <v>collected</v>
      </c>
      <c r="J209" s="16" t="str">
        <f t="shared" si="6"/>
        <v>N</v>
      </c>
      <c r="K209" s="16"/>
      <c r="L209" s="16"/>
    </row>
    <row r="210">
      <c r="A210" s="28" t="s">
        <v>441</v>
      </c>
      <c r="B210" s="10" t="str">
        <f t="shared" si="1"/>
        <v>extra_muscle</v>
      </c>
      <c r="C210" s="49" t="str">
        <f t="shared" si="2"/>
        <v>S5330XM1</v>
      </c>
      <c r="D210" s="6">
        <v>24.0</v>
      </c>
      <c r="E210" s="10" t="str">
        <f t="shared" si="3"/>
        <v>BXM24</v>
      </c>
      <c r="F210" s="13">
        <v>39.0</v>
      </c>
      <c r="G210" s="10" t="str">
        <f t="shared" si="4"/>
        <v>BXM24-39</v>
      </c>
      <c r="H210" s="18"/>
      <c r="I210" s="16" t="str">
        <f t="shared" si="5"/>
        <v>collected</v>
      </c>
      <c r="J210" s="16" t="str">
        <f t="shared" si="6"/>
        <v>N</v>
      </c>
      <c r="K210" s="16"/>
      <c r="L210" s="16"/>
    </row>
    <row r="211">
      <c r="A211" s="28" t="s">
        <v>444</v>
      </c>
      <c r="B211" s="10" t="str">
        <f t="shared" si="1"/>
        <v>extra_muscle</v>
      </c>
      <c r="C211" s="49" t="str">
        <f t="shared" si="2"/>
        <v>S5331XM1</v>
      </c>
      <c r="D211" s="6">
        <v>24.0</v>
      </c>
      <c r="E211" s="10" t="str">
        <f t="shared" si="3"/>
        <v>BXM24</v>
      </c>
      <c r="F211" s="13">
        <v>40.0</v>
      </c>
      <c r="G211" s="10" t="str">
        <f t="shared" si="4"/>
        <v>BXM24-40</v>
      </c>
      <c r="H211" s="18"/>
      <c r="I211" s="16" t="str">
        <f t="shared" si="5"/>
        <v>collected</v>
      </c>
      <c r="J211" s="16" t="str">
        <f t="shared" si="6"/>
        <v>N</v>
      </c>
      <c r="K211" s="16"/>
      <c r="L211" s="16"/>
    </row>
    <row r="212">
      <c r="A212" s="28" t="s">
        <v>445</v>
      </c>
      <c r="B212" s="10" t="str">
        <f t="shared" si="1"/>
        <v>extra_muscle</v>
      </c>
      <c r="C212" s="49" t="str">
        <f t="shared" si="2"/>
        <v>S5332XM1</v>
      </c>
      <c r="D212" s="6">
        <v>24.0</v>
      </c>
      <c r="E212" s="10" t="str">
        <f t="shared" si="3"/>
        <v>BXM24</v>
      </c>
      <c r="F212" s="13">
        <v>41.0</v>
      </c>
      <c r="G212" s="10" t="str">
        <f t="shared" si="4"/>
        <v>BXM24-41</v>
      </c>
      <c r="H212" s="18"/>
      <c r="I212" s="16" t="str">
        <f t="shared" si="5"/>
        <v>collected</v>
      </c>
      <c r="J212" s="16" t="str">
        <f t="shared" si="6"/>
        <v>N</v>
      </c>
      <c r="K212" s="16"/>
      <c r="L212" s="16"/>
    </row>
    <row r="213">
      <c r="A213" s="28" t="s">
        <v>446</v>
      </c>
      <c r="B213" s="10" t="str">
        <f t="shared" si="1"/>
        <v>extra_muscle</v>
      </c>
      <c r="C213" s="49" t="str">
        <f t="shared" si="2"/>
        <v>S5333XM1</v>
      </c>
      <c r="D213" s="6">
        <v>24.0</v>
      </c>
      <c r="E213" s="10" t="str">
        <f t="shared" si="3"/>
        <v>BXM24</v>
      </c>
      <c r="F213" s="13">
        <v>42.0</v>
      </c>
      <c r="G213" s="10" t="str">
        <f t="shared" si="4"/>
        <v>BXM24-42</v>
      </c>
      <c r="H213" s="18"/>
      <c r="I213" s="16" t="str">
        <f t="shared" si="5"/>
        <v>collected</v>
      </c>
      <c r="J213" s="16" t="str">
        <f t="shared" si="6"/>
        <v>N</v>
      </c>
      <c r="K213" s="16"/>
      <c r="L213" s="16"/>
    </row>
    <row r="214">
      <c r="A214" s="28" t="s">
        <v>448</v>
      </c>
      <c r="B214" s="10" t="str">
        <f t="shared" si="1"/>
        <v>extra_muscle</v>
      </c>
      <c r="C214" s="49" t="str">
        <f t="shared" si="2"/>
        <v>S5334XM1</v>
      </c>
      <c r="D214" s="6">
        <v>24.0</v>
      </c>
      <c r="E214" s="10" t="str">
        <f t="shared" si="3"/>
        <v>BXM24</v>
      </c>
      <c r="F214" s="13">
        <v>43.0</v>
      </c>
      <c r="G214" s="10" t="str">
        <f t="shared" si="4"/>
        <v>BXM24-43</v>
      </c>
      <c r="H214" s="18"/>
      <c r="I214" s="16" t="str">
        <f t="shared" si="5"/>
        <v>collected</v>
      </c>
      <c r="J214" s="16" t="str">
        <f t="shared" si="6"/>
        <v>N</v>
      </c>
      <c r="K214" s="16"/>
      <c r="L214" s="16"/>
    </row>
    <row r="215">
      <c r="A215" s="28" t="s">
        <v>449</v>
      </c>
      <c r="B215" s="10" t="str">
        <f t="shared" si="1"/>
        <v>extra_muscle</v>
      </c>
      <c r="C215" s="49" t="str">
        <f t="shared" si="2"/>
        <v>S5335XM1</v>
      </c>
      <c r="D215" s="6">
        <v>24.0</v>
      </c>
      <c r="E215" s="10" t="str">
        <f t="shared" si="3"/>
        <v>BXM24</v>
      </c>
      <c r="F215" s="13">
        <v>44.0</v>
      </c>
      <c r="G215" s="10" t="str">
        <f t="shared" si="4"/>
        <v>BXM24-44</v>
      </c>
      <c r="H215" s="18"/>
      <c r="I215" s="16" t="str">
        <f t="shared" si="5"/>
        <v>collected</v>
      </c>
      <c r="J215" s="16" t="str">
        <f t="shared" si="6"/>
        <v>N</v>
      </c>
      <c r="K215" s="16"/>
      <c r="L215" s="16"/>
    </row>
    <row r="216">
      <c r="A216" s="27" t="s">
        <v>451</v>
      </c>
      <c r="B216" s="10" t="str">
        <f t="shared" si="1"/>
        <v>extra_muscle</v>
      </c>
      <c r="C216" s="49" t="str">
        <f t="shared" si="2"/>
        <v>S5336XM1</v>
      </c>
      <c r="D216" s="6">
        <v>24.0</v>
      </c>
      <c r="E216" s="10" t="str">
        <f t="shared" si="3"/>
        <v>BXM24</v>
      </c>
      <c r="F216" s="13">
        <v>45.0</v>
      </c>
      <c r="G216" s="10" t="str">
        <f t="shared" si="4"/>
        <v>BXM24-45</v>
      </c>
      <c r="H216" s="16"/>
      <c r="I216" s="16" t="str">
        <f t="shared" si="5"/>
        <v>collected</v>
      </c>
      <c r="J216" s="16" t="str">
        <f t="shared" si="6"/>
        <v>N</v>
      </c>
      <c r="K216" s="16"/>
      <c r="L216" s="16"/>
    </row>
    <row r="217">
      <c r="A217" s="27" t="s">
        <v>452</v>
      </c>
      <c r="B217" s="10" t="str">
        <f t="shared" si="1"/>
        <v>extra_muscle</v>
      </c>
      <c r="C217" s="49" t="str">
        <f t="shared" si="2"/>
        <v>S5362XM1</v>
      </c>
      <c r="D217" s="6">
        <v>24.0</v>
      </c>
      <c r="E217" s="10" t="str">
        <f t="shared" si="3"/>
        <v>BXM24</v>
      </c>
      <c r="F217" s="13">
        <v>46.0</v>
      </c>
      <c r="G217" s="10" t="str">
        <f t="shared" si="4"/>
        <v>BXM24-46</v>
      </c>
      <c r="H217" s="16"/>
      <c r="I217" s="16" t="str">
        <f t="shared" si="5"/>
        <v>collected</v>
      </c>
      <c r="J217" s="16" t="str">
        <f t="shared" si="6"/>
        <v>N</v>
      </c>
      <c r="K217" s="16"/>
      <c r="L217" s="16"/>
    </row>
    <row r="218">
      <c r="A218" s="27" t="s">
        <v>454</v>
      </c>
      <c r="B218" s="10" t="str">
        <f t="shared" si="1"/>
        <v>extra_muscle</v>
      </c>
      <c r="C218" s="49" t="str">
        <f t="shared" si="2"/>
        <v>S5363XM1</v>
      </c>
      <c r="D218" s="6">
        <v>24.0</v>
      </c>
      <c r="E218" s="10" t="str">
        <f t="shared" si="3"/>
        <v>BXM24</v>
      </c>
      <c r="F218" s="13">
        <v>47.0</v>
      </c>
      <c r="G218" s="10" t="str">
        <f t="shared" si="4"/>
        <v>BXM24-47</v>
      </c>
      <c r="H218" s="16"/>
      <c r="I218" s="16" t="str">
        <f t="shared" si="5"/>
        <v>collected</v>
      </c>
      <c r="J218" s="16" t="str">
        <f t="shared" si="6"/>
        <v>N</v>
      </c>
      <c r="K218" s="16"/>
      <c r="L218" s="16"/>
    </row>
    <row r="219">
      <c r="A219" s="27" t="s">
        <v>455</v>
      </c>
      <c r="B219" s="10" t="str">
        <f t="shared" si="1"/>
        <v>extra_muscle</v>
      </c>
      <c r="C219" s="49" t="str">
        <f t="shared" si="2"/>
        <v>S5364XM1</v>
      </c>
      <c r="D219" s="6">
        <v>24.0</v>
      </c>
      <c r="E219" s="10" t="str">
        <f t="shared" si="3"/>
        <v>BXM24</v>
      </c>
      <c r="F219" s="13">
        <v>48.0</v>
      </c>
      <c r="G219" s="10" t="str">
        <f t="shared" si="4"/>
        <v>BXM24-48</v>
      </c>
      <c r="H219" s="16"/>
      <c r="I219" s="16" t="str">
        <f t="shared" si="5"/>
        <v>collected</v>
      </c>
      <c r="J219" s="16" t="str">
        <f t="shared" si="6"/>
        <v>N</v>
      </c>
      <c r="K219" s="16"/>
      <c r="L219" s="16"/>
    </row>
    <row r="220">
      <c r="A220" s="27" t="s">
        <v>456</v>
      </c>
      <c r="B220" s="10" t="str">
        <f t="shared" si="1"/>
        <v>extra_muscle</v>
      </c>
      <c r="C220" s="49" t="str">
        <f t="shared" si="2"/>
        <v>S5365XM1</v>
      </c>
      <c r="D220" s="6">
        <v>24.0</v>
      </c>
      <c r="E220" s="10" t="str">
        <f t="shared" si="3"/>
        <v>BXM24</v>
      </c>
      <c r="F220" s="13">
        <v>49.0</v>
      </c>
      <c r="G220" s="10" t="str">
        <f t="shared" si="4"/>
        <v>BXM24-49</v>
      </c>
      <c r="H220" s="16"/>
      <c r="I220" s="16" t="str">
        <f t="shared" si="5"/>
        <v>collected</v>
      </c>
      <c r="J220" s="16" t="str">
        <f t="shared" si="6"/>
        <v>N</v>
      </c>
      <c r="K220" s="16"/>
      <c r="L220" s="16"/>
    </row>
    <row r="221">
      <c r="A221" s="27" t="s">
        <v>457</v>
      </c>
      <c r="B221" s="10" t="str">
        <f t="shared" si="1"/>
        <v>extra_muscle</v>
      </c>
      <c r="C221" s="49" t="str">
        <f t="shared" si="2"/>
        <v>S5366XM1</v>
      </c>
      <c r="D221" s="6">
        <v>24.0</v>
      </c>
      <c r="E221" s="10" t="str">
        <f t="shared" si="3"/>
        <v>BXM24</v>
      </c>
      <c r="F221" s="13">
        <v>50.0</v>
      </c>
      <c r="G221" s="10" t="str">
        <f t="shared" si="4"/>
        <v>BXM24-50</v>
      </c>
      <c r="H221" s="16"/>
      <c r="I221" s="16" t="str">
        <f t="shared" si="5"/>
        <v>collected</v>
      </c>
      <c r="J221" s="16" t="str">
        <f t="shared" si="6"/>
        <v>N</v>
      </c>
      <c r="K221" s="16"/>
      <c r="L221" s="16"/>
    </row>
    <row r="222">
      <c r="A222" s="27" t="s">
        <v>459</v>
      </c>
      <c r="B222" s="10" t="str">
        <f t="shared" si="1"/>
        <v>extra_muscle</v>
      </c>
      <c r="C222" s="49" t="str">
        <f t="shared" si="2"/>
        <v>S5367XM1</v>
      </c>
      <c r="D222" s="6">
        <v>24.0</v>
      </c>
      <c r="E222" s="10" t="str">
        <f t="shared" si="3"/>
        <v>BXM24</v>
      </c>
      <c r="F222" s="13">
        <v>51.0</v>
      </c>
      <c r="G222" s="10" t="str">
        <f t="shared" si="4"/>
        <v>BXM24-51</v>
      </c>
      <c r="H222" s="16"/>
      <c r="I222" s="16" t="str">
        <f t="shared" si="5"/>
        <v>collected</v>
      </c>
      <c r="J222" s="16" t="str">
        <f t="shared" si="6"/>
        <v>N</v>
      </c>
      <c r="K222" s="16"/>
      <c r="L222" s="16"/>
    </row>
    <row r="223">
      <c r="A223" s="27" t="s">
        <v>461</v>
      </c>
      <c r="B223" s="10" t="str">
        <f t="shared" si="1"/>
        <v>extra_muscle</v>
      </c>
      <c r="C223" s="49" t="str">
        <f t="shared" si="2"/>
        <v>S5368XM1</v>
      </c>
      <c r="D223" s="6">
        <v>24.0</v>
      </c>
      <c r="E223" s="10" t="str">
        <f t="shared" si="3"/>
        <v>BXM24</v>
      </c>
      <c r="F223" s="13">
        <v>52.0</v>
      </c>
      <c r="G223" s="10" t="str">
        <f t="shared" si="4"/>
        <v>BXM24-52</v>
      </c>
      <c r="H223" s="16"/>
      <c r="I223" s="16" t="str">
        <f t="shared" si="5"/>
        <v>collected</v>
      </c>
      <c r="J223" s="16" t="str">
        <f t="shared" si="6"/>
        <v>N</v>
      </c>
      <c r="K223" s="16"/>
      <c r="L223" s="16"/>
    </row>
    <row r="224">
      <c r="A224" s="27" t="s">
        <v>462</v>
      </c>
      <c r="B224" s="10" t="str">
        <f t="shared" si="1"/>
        <v>extra_muscle</v>
      </c>
      <c r="C224" s="49" t="str">
        <f t="shared" si="2"/>
        <v>S5369XM1</v>
      </c>
      <c r="D224" s="6">
        <v>24.0</v>
      </c>
      <c r="E224" s="10" t="str">
        <f t="shared" si="3"/>
        <v>BXM24</v>
      </c>
      <c r="F224" s="13">
        <v>53.0</v>
      </c>
      <c r="G224" s="10" t="str">
        <f t="shared" si="4"/>
        <v>BXM24-53</v>
      </c>
      <c r="H224" s="16"/>
      <c r="I224" s="16" t="str">
        <f t="shared" si="5"/>
        <v>collected</v>
      </c>
      <c r="J224" s="16" t="str">
        <f t="shared" si="6"/>
        <v>N</v>
      </c>
      <c r="K224" s="16"/>
      <c r="L224" s="16"/>
    </row>
    <row r="225">
      <c r="A225" s="27" t="s">
        <v>463</v>
      </c>
      <c r="B225" s="10" t="str">
        <f t="shared" si="1"/>
        <v>extra_muscle</v>
      </c>
      <c r="C225" s="49" t="str">
        <f t="shared" si="2"/>
        <v>S5370XM1</v>
      </c>
      <c r="D225" s="6">
        <v>24.0</v>
      </c>
      <c r="E225" s="10" t="str">
        <f t="shared" si="3"/>
        <v>BXM24</v>
      </c>
      <c r="F225" s="13">
        <v>54.0</v>
      </c>
      <c r="G225" s="10" t="str">
        <f t="shared" si="4"/>
        <v>BXM24-54</v>
      </c>
      <c r="H225" s="16"/>
      <c r="I225" s="16" t="str">
        <f t="shared" si="5"/>
        <v>collected</v>
      </c>
      <c r="J225" s="16" t="str">
        <f t="shared" si="6"/>
        <v>N</v>
      </c>
      <c r="K225" s="16"/>
      <c r="L225" s="16"/>
    </row>
    <row r="226">
      <c r="A226" s="27" t="s">
        <v>466</v>
      </c>
      <c r="B226" s="10" t="str">
        <f t="shared" si="1"/>
        <v>extra_muscle</v>
      </c>
      <c r="C226" s="49" t="str">
        <f t="shared" si="2"/>
        <v>S5371XM1</v>
      </c>
      <c r="D226" s="6">
        <v>24.0</v>
      </c>
      <c r="E226" s="10" t="str">
        <f t="shared" si="3"/>
        <v>BXM24</v>
      </c>
      <c r="F226" s="13">
        <v>55.0</v>
      </c>
      <c r="G226" s="10" t="str">
        <f t="shared" si="4"/>
        <v>BXM24-55</v>
      </c>
      <c r="H226" s="16"/>
      <c r="I226" s="16" t="str">
        <f t="shared" si="5"/>
        <v>collected</v>
      </c>
      <c r="J226" s="16" t="str">
        <f t="shared" si="6"/>
        <v>N</v>
      </c>
      <c r="K226" s="16"/>
      <c r="L226" s="16"/>
    </row>
    <row r="227">
      <c r="A227" s="27" t="s">
        <v>467</v>
      </c>
      <c r="B227" s="10" t="str">
        <f t="shared" si="1"/>
        <v>extra_muscle</v>
      </c>
      <c r="C227" s="49" t="str">
        <f t="shared" si="2"/>
        <v>S5372XM1</v>
      </c>
      <c r="D227" s="6">
        <v>24.0</v>
      </c>
      <c r="E227" s="10" t="str">
        <f t="shared" si="3"/>
        <v>BXM24</v>
      </c>
      <c r="F227" s="13">
        <v>56.0</v>
      </c>
      <c r="G227" s="10" t="str">
        <f t="shared" si="4"/>
        <v>BXM24-56</v>
      </c>
      <c r="H227" s="16"/>
      <c r="I227" s="16" t="str">
        <f t="shared" si="5"/>
        <v>collected</v>
      </c>
      <c r="J227" s="16" t="str">
        <f t="shared" si="6"/>
        <v>N</v>
      </c>
      <c r="K227" s="16"/>
      <c r="L227" s="16"/>
    </row>
    <row r="228">
      <c r="A228" s="27" t="s">
        <v>468</v>
      </c>
      <c r="B228" s="10" t="str">
        <f t="shared" si="1"/>
        <v>extra_muscle</v>
      </c>
      <c r="C228" s="49" t="str">
        <f t="shared" si="2"/>
        <v>S5373XM1</v>
      </c>
      <c r="D228" s="6">
        <v>24.0</v>
      </c>
      <c r="E228" s="10" t="str">
        <f t="shared" si="3"/>
        <v>BXM24</v>
      </c>
      <c r="F228" s="13">
        <v>57.0</v>
      </c>
      <c r="G228" s="10" t="str">
        <f t="shared" si="4"/>
        <v>BXM24-57</v>
      </c>
      <c r="H228" s="16"/>
      <c r="I228" s="16" t="str">
        <f t="shared" si="5"/>
        <v>collected</v>
      </c>
      <c r="J228" s="16" t="str">
        <f t="shared" si="6"/>
        <v>N</v>
      </c>
      <c r="K228" s="16"/>
      <c r="L228" s="16"/>
    </row>
    <row r="229">
      <c r="A229" s="6" t="s">
        <v>470</v>
      </c>
      <c r="B229" s="10" t="str">
        <f t="shared" si="1"/>
        <v>extra_muscle</v>
      </c>
      <c r="C229" s="49" t="str">
        <f t="shared" si="2"/>
        <v>S5374XM1</v>
      </c>
      <c r="D229" s="6">
        <v>24.0</v>
      </c>
      <c r="E229" s="10" t="str">
        <f t="shared" si="3"/>
        <v>BXM24</v>
      </c>
      <c r="F229" s="13">
        <v>58.0</v>
      </c>
      <c r="G229" s="10" t="str">
        <f t="shared" si="4"/>
        <v>BXM24-58</v>
      </c>
      <c r="H229" s="16"/>
      <c r="I229" s="16" t="str">
        <f t="shared" si="5"/>
        <v>collected</v>
      </c>
      <c r="J229" s="16" t="str">
        <f t="shared" si="6"/>
        <v>N</v>
      </c>
      <c r="K229" s="16"/>
      <c r="L229" s="16"/>
    </row>
    <row r="230">
      <c r="A230" s="27" t="s">
        <v>471</v>
      </c>
      <c r="B230" s="10" t="str">
        <f t="shared" si="1"/>
        <v>extra_muscle</v>
      </c>
      <c r="C230" s="49" t="str">
        <f t="shared" si="2"/>
        <v>S5375XM1</v>
      </c>
      <c r="D230" s="6">
        <v>24.0</v>
      </c>
      <c r="E230" s="10" t="str">
        <f t="shared" si="3"/>
        <v>BXM24</v>
      </c>
      <c r="F230" s="13">
        <v>59.0</v>
      </c>
      <c r="G230" s="10" t="str">
        <f t="shared" si="4"/>
        <v>BXM24-59</v>
      </c>
      <c r="H230" s="16"/>
      <c r="I230" s="16" t="str">
        <f t="shared" si="5"/>
        <v>collected</v>
      </c>
      <c r="J230" s="16" t="str">
        <f t="shared" si="6"/>
        <v>N</v>
      </c>
      <c r="K230" s="16"/>
      <c r="L230" s="16"/>
    </row>
    <row r="231">
      <c r="A231" s="27" t="s">
        <v>476</v>
      </c>
      <c r="B231" s="10" t="str">
        <f t="shared" si="1"/>
        <v>extra_muscle</v>
      </c>
      <c r="C231" s="49" t="str">
        <f t="shared" si="2"/>
        <v>S5376XM1</v>
      </c>
      <c r="D231" s="6">
        <v>24.0</v>
      </c>
      <c r="E231" s="10" t="str">
        <f t="shared" si="3"/>
        <v>BXM24</v>
      </c>
      <c r="F231" s="13">
        <v>60.0</v>
      </c>
      <c r="G231" s="10" t="str">
        <f t="shared" si="4"/>
        <v>BXM24-60</v>
      </c>
      <c r="H231" s="18"/>
      <c r="I231" s="16" t="str">
        <f t="shared" si="5"/>
        <v>collected</v>
      </c>
      <c r="J231" s="16" t="str">
        <f t="shared" si="6"/>
        <v>N</v>
      </c>
      <c r="K231" s="16"/>
      <c r="L231" s="16"/>
    </row>
    <row r="232">
      <c r="A232" s="27" t="s">
        <v>478</v>
      </c>
      <c r="B232" s="10" t="str">
        <f t="shared" si="1"/>
        <v>extra_muscle</v>
      </c>
      <c r="C232" s="49" t="str">
        <f t="shared" si="2"/>
        <v>S5377XM1</v>
      </c>
      <c r="D232" s="6">
        <v>24.0</v>
      </c>
      <c r="E232" s="10" t="str">
        <f t="shared" si="3"/>
        <v>BXM24</v>
      </c>
      <c r="F232" s="13">
        <v>61.0</v>
      </c>
      <c r="G232" s="10" t="str">
        <f t="shared" si="4"/>
        <v>BXM24-61</v>
      </c>
      <c r="H232" s="18"/>
      <c r="I232" s="16" t="str">
        <f t="shared" si="5"/>
        <v>collected</v>
      </c>
      <c r="J232" s="16" t="str">
        <f t="shared" si="6"/>
        <v>N</v>
      </c>
      <c r="K232" s="16"/>
      <c r="L232" s="16"/>
    </row>
    <row r="233">
      <c r="A233" s="27" t="s">
        <v>480</v>
      </c>
      <c r="B233" s="10" t="str">
        <f t="shared" si="1"/>
        <v>extra_muscle</v>
      </c>
      <c r="C233" s="49" t="str">
        <f t="shared" si="2"/>
        <v>S5378XM1</v>
      </c>
      <c r="D233" s="6">
        <v>24.0</v>
      </c>
      <c r="E233" s="10" t="str">
        <f t="shared" si="3"/>
        <v>BXM24</v>
      </c>
      <c r="F233" s="13">
        <v>62.0</v>
      </c>
      <c r="G233" s="10" t="str">
        <f t="shared" si="4"/>
        <v>BXM24-62</v>
      </c>
      <c r="H233" s="18"/>
      <c r="I233" s="16" t="str">
        <f t="shared" si="5"/>
        <v>collected</v>
      </c>
      <c r="J233" s="16" t="str">
        <f t="shared" si="6"/>
        <v>N</v>
      </c>
      <c r="K233" s="16"/>
      <c r="L233" s="16"/>
    </row>
    <row r="234">
      <c r="A234" s="27" t="s">
        <v>482</v>
      </c>
      <c r="B234" s="10" t="str">
        <f t="shared" si="1"/>
        <v>extra_muscle</v>
      </c>
      <c r="C234" s="49" t="str">
        <f t="shared" si="2"/>
        <v>S5379XM1</v>
      </c>
      <c r="D234" s="6">
        <v>24.0</v>
      </c>
      <c r="E234" s="10" t="str">
        <f t="shared" si="3"/>
        <v>BXM24</v>
      </c>
      <c r="F234" s="13">
        <v>63.0</v>
      </c>
      <c r="G234" s="10" t="str">
        <f t="shared" si="4"/>
        <v>BXM24-63</v>
      </c>
      <c r="H234" s="18"/>
      <c r="I234" s="16" t="str">
        <f t="shared" si="5"/>
        <v>collected</v>
      </c>
      <c r="J234" s="16" t="str">
        <f t="shared" si="6"/>
        <v>N</v>
      </c>
      <c r="K234" s="16"/>
      <c r="L234" s="16"/>
    </row>
    <row r="235">
      <c r="A235" s="27" t="s">
        <v>483</v>
      </c>
      <c r="B235" s="10" t="str">
        <f t="shared" si="1"/>
        <v>extra_muscle</v>
      </c>
      <c r="C235" s="49" t="str">
        <f t="shared" si="2"/>
        <v>S5380XM1</v>
      </c>
      <c r="D235" s="6">
        <v>24.0</v>
      </c>
      <c r="E235" s="10" t="str">
        <f t="shared" si="3"/>
        <v>BXM24</v>
      </c>
      <c r="F235" s="13">
        <v>64.0</v>
      </c>
      <c r="G235" s="10" t="str">
        <f t="shared" si="4"/>
        <v>BXM24-64</v>
      </c>
      <c r="H235" s="18"/>
      <c r="I235" s="16" t="str">
        <f t="shared" si="5"/>
        <v>collected</v>
      </c>
      <c r="J235" s="16" t="str">
        <f t="shared" si="6"/>
        <v>N</v>
      </c>
      <c r="K235" s="16"/>
      <c r="L235" s="16"/>
    </row>
    <row r="236">
      <c r="A236" s="27" t="s">
        <v>484</v>
      </c>
      <c r="B236" s="10" t="str">
        <f t="shared" si="1"/>
        <v>extra_muscle</v>
      </c>
      <c r="C236" s="49" t="str">
        <f t="shared" si="2"/>
        <v>S5381XM1</v>
      </c>
      <c r="D236" s="6">
        <v>24.0</v>
      </c>
      <c r="E236" s="10" t="str">
        <f t="shared" si="3"/>
        <v>BXM24</v>
      </c>
      <c r="F236" s="13">
        <v>65.0</v>
      </c>
      <c r="G236" s="10" t="str">
        <f t="shared" si="4"/>
        <v>BXM24-65</v>
      </c>
      <c r="H236" s="18"/>
      <c r="I236" s="16" t="str">
        <f t="shared" si="5"/>
        <v>collected</v>
      </c>
      <c r="J236" s="16" t="str">
        <f t="shared" si="6"/>
        <v>N</v>
      </c>
      <c r="K236" s="16"/>
      <c r="L236" s="16"/>
    </row>
    <row r="237">
      <c r="A237" s="27" t="s">
        <v>487</v>
      </c>
      <c r="B237" s="10" t="str">
        <f t="shared" si="1"/>
        <v>extra_muscle</v>
      </c>
      <c r="C237" s="49" t="str">
        <f t="shared" si="2"/>
        <v>S5382XM1</v>
      </c>
      <c r="D237" s="6">
        <v>24.0</v>
      </c>
      <c r="E237" s="10" t="str">
        <f t="shared" si="3"/>
        <v>BXM24</v>
      </c>
      <c r="F237" s="13">
        <v>66.0</v>
      </c>
      <c r="G237" s="10" t="str">
        <f t="shared" si="4"/>
        <v>BXM24-66</v>
      </c>
      <c r="H237" s="6"/>
      <c r="I237" s="16" t="str">
        <f t="shared" si="5"/>
        <v>collected</v>
      </c>
      <c r="J237" s="16" t="str">
        <f t="shared" si="6"/>
        <v>N</v>
      </c>
      <c r="K237" s="16"/>
      <c r="L237" s="16"/>
    </row>
    <row r="238">
      <c r="A238" s="27" t="s">
        <v>488</v>
      </c>
      <c r="B238" s="10" t="str">
        <f t="shared" si="1"/>
        <v>extra_muscle</v>
      </c>
      <c r="C238" s="49" t="str">
        <f t="shared" si="2"/>
        <v>S5383XM1</v>
      </c>
      <c r="D238" s="6">
        <v>24.0</v>
      </c>
      <c r="E238" s="10" t="str">
        <f t="shared" si="3"/>
        <v>BXM24</v>
      </c>
      <c r="F238" s="13">
        <v>67.0</v>
      </c>
      <c r="G238" s="10" t="str">
        <f t="shared" si="4"/>
        <v>BXM24-67</v>
      </c>
      <c r="H238" s="6"/>
      <c r="I238" s="16" t="str">
        <f t="shared" si="5"/>
        <v>collected</v>
      </c>
      <c r="J238" s="16" t="str">
        <f t="shared" si="6"/>
        <v>N</v>
      </c>
      <c r="K238" s="16"/>
      <c r="L238" s="16"/>
    </row>
    <row r="239">
      <c r="A239" s="27" t="s">
        <v>490</v>
      </c>
      <c r="B239" s="10" t="str">
        <f t="shared" si="1"/>
        <v>extra_muscle</v>
      </c>
      <c r="C239" s="49" t="str">
        <f t="shared" si="2"/>
        <v>S5384XM1</v>
      </c>
      <c r="D239" s="6">
        <v>24.0</v>
      </c>
      <c r="E239" s="10" t="str">
        <f t="shared" si="3"/>
        <v>BXM24</v>
      </c>
      <c r="F239" s="13">
        <v>68.0</v>
      </c>
      <c r="G239" s="10" t="str">
        <f t="shared" si="4"/>
        <v>BXM24-68</v>
      </c>
      <c r="H239" s="18"/>
      <c r="I239" s="16" t="str">
        <f t="shared" si="5"/>
        <v>collected</v>
      </c>
      <c r="J239" s="16" t="str">
        <f t="shared" si="6"/>
        <v>N</v>
      </c>
      <c r="K239" s="16"/>
      <c r="L239" s="16"/>
    </row>
    <row r="240">
      <c r="A240" s="27" t="s">
        <v>492</v>
      </c>
      <c r="B240" s="10" t="str">
        <f t="shared" si="1"/>
        <v>extra_muscle</v>
      </c>
      <c r="C240" s="49" t="str">
        <f t="shared" si="2"/>
        <v>S5385XM1</v>
      </c>
      <c r="D240" s="6">
        <v>24.0</v>
      </c>
      <c r="E240" s="10" t="str">
        <f t="shared" si="3"/>
        <v>BXM24</v>
      </c>
      <c r="F240" s="13">
        <v>69.0</v>
      </c>
      <c r="G240" s="10" t="str">
        <f t="shared" si="4"/>
        <v>BXM24-69</v>
      </c>
      <c r="H240" s="18"/>
      <c r="I240" s="16" t="str">
        <f t="shared" si="5"/>
        <v>collected</v>
      </c>
      <c r="J240" s="16" t="str">
        <f t="shared" si="6"/>
        <v>N</v>
      </c>
      <c r="K240" s="16"/>
      <c r="L240" s="16"/>
    </row>
    <row r="241">
      <c r="A241" s="27" t="s">
        <v>493</v>
      </c>
      <c r="B241" s="10" t="str">
        <f t="shared" si="1"/>
        <v>extra_muscle</v>
      </c>
      <c r="C241" s="49" t="str">
        <f t="shared" si="2"/>
        <v>S5386XM1</v>
      </c>
      <c r="D241" s="6">
        <v>24.0</v>
      </c>
      <c r="E241" s="10" t="str">
        <f t="shared" si="3"/>
        <v>BXM24</v>
      </c>
      <c r="F241" s="13">
        <v>70.0</v>
      </c>
      <c r="G241" s="10" t="str">
        <f t="shared" si="4"/>
        <v>BXM24-70</v>
      </c>
      <c r="H241" s="18"/>
      <c r="I241" s="16" t="str">
        <f t="shared" si="5"/>
        <v>collected</v>
      </c>
      <c r="J241" s="16" t="str">
        <f t="shared" si="6"/>
        <v>N</v>
      </c>
      <c r="K241" s="16"/>
      <c r="L241" s="16"/>
    </row>
    <row r="242">
      <c r="A242" s="27" t="s">
        <v>495</v>
      </c>
      <c r="B242" s="10" t="str">
        <f t="shared" si="1"/>
        <v>extra_muscle</v>
      </c>
      <c r="C242" s="49" t="str">
        <f t="shared" si="2"/>
        <v>S5387XM1</v>
      </c>
      <c r="D242" s="6">
        <v>24.0</v>
      </c>
      <c r="E242" s="10" t="str">
        <f t="shared" si="3"/>
        <v>BXM24</v>
      </c>
      <c r="F242" s="13">
        <v>71.0</v>
      </c>
      <c r="G242" s="10" t="str">
        <f t="shared" si="4"/>
        <v>BXM24-71</v>
      </c>
      <c r="H242" s="16"/>
      <c r="I242" s="16" t="str">
        <f t="shared" si="5"/>
        <v>collected</v>
      </c>
      <c r="J242" s="16" t="str">
        <f t="shared" si="6"/>
        <v>N</v>
      </c>
      <c r="K242" s="16"/>
      <c r="L242" s="16"/>
    </row>
    <row r="243">
      <c r="A243" s="27" t="s">
        <v>498</v>
      </c>
      <c r="B243" s="10" t="str">
        <f t="shared" si="1"/>
        <v>extra_muscle</v>
      </c>
      <c r="C243" s="49" t="str">
        <f t="shared" si="2"/>
        <v>S5388XM1</v>
      </c>
      <c r="D243" s="6">
        <v>24.0</v>
      </c>
      <c r="E243" s="10" t="str">
        <f t="shared" si="3"/>
        <v>BXM24</v>
      </c>
      <c r="F243" s="13">
        <v>72.0</v>
      </c>
      <c r="G243" s="10" t="str">
        <f t="shared" si="4"/>
        <v>BXM24-72</v>
      </c>
      <c r="H243" s="16"/>
      <c r="I243" s="16" t="str">
        <f t="shared" si="5"/>
        <v>collected</v>
      </c>
      <c r="J243" s="16" t="str">
        <f t="shared" si="6"/>
        <v>N</v>
      </c>
      <c r="K243" s="16"/>
      <c r="L243" s="16"/>
    </row>
    <row r="244">
      <c r="A244" s="27" t="s">
        <v>500</v>
      </c>
      <c r="B244" s="10" t="str">
        <f t="shared" si="1"/>
        <v>extra_muscle</v>
      </c>
      <c r="C244" s="49" t="str">
        <f t="shared" si="2"/>
        <v>S5341XM1</v>
      </c>
      <c r="D244" s="6">
        <v>23.0</v>
      </c>
      <c r="E244" s="10" t="str">
        <f t="shared" si="3"/>
        <v>BXM23</v>
      </c>
      <c r="F244" s="13">
        <v>67.0</v>
      </c>
      <c r="G244" s="10" t="str">
        <f t="shared" si="4"/>
        <v>BXM23-67</v>
      </c>
      <c r="H244" s="16"/>
      <c r="I244" s="16" t="str">
        <f t="shared" si="5"/>
        <v>collected</v>
      </c>
      <c r="J244" s="16" t="str">
        <f t="shared" si="6"/>
        <v>N</v>
      </c>
      <c r="K244" s="16"/>
      <c r="L244" s="16"/>
    </row>
    <row r="245">
      <c r="A245" s="27" t="s">
        <v>501</v>
      </c>
      <c r="B245" s="10" t="str">
        <f t="shared" si="1"/>
        <v>extra_muscle</v>
      </c>
      <c r="C245" s="49" t="str">
        <f t="shared" si="2"/>
        <v>S5342XM1</v>
      </c>
      <c r="D245" s="6">
        <v>23.0</v>
      </c>
      <c r="E245" s="10" t="str">
        <f t="shared" si="3"/>
        <v>BXM23</v>
      </c>
      <c r="F245" s="13">
        <v>68.0</v>
      </c>
      <c r="G245" s="10" t="str">
        <f t="shared" si="4"/>
        <v>BXM23-68</v>
      </c>
      <c r="H245" s="16"/>
      <c r="I245" s="16" t="str">
        <f t="shared" si="5"/>
        <v>collected</v>
      </c>
      <c r="J245" s="16" t="str">
        <f t="shared" si="6"/>
        <v>N</v>
      </c>
      <c r="K245" s="16"/>
      <c r="L245" s="16"/>
    </row>
    <row r="246">
      <c r="A246" s="29" t="s">
        <v>504</v>
      </c>
      <c r="B246" s="10" t="str">
        <f t="shared" si="1"/>
        <v>extra_muscle</v>
      </c>
      <c r="C246" s="49" t="str">
        <f t="shared" si="2"/>
        <v>S5343XM1</v>
      </c>
      <c r="D246" s="6">
        <v>23.0</v>
      </c>
      <c r="E246" s="10" t="str">
        <f t="shared" si="3"/>
        <v>BXM23</v>
      </c>
      <c r="F246" s="13">
        <v>69.0</v>
      </c>
      <c r="G246" s="10" t="str">
        <f t="shared" si="4"/>
        <v>BXM23-69</v>
      </c>
      <c r="H246" s="16"/>
      <c r="I246" s="16" t="str">
        <f t="shared" si="5"/>
        <v>collected</v>
      </c>
      <c r="J246" s="16" t="str">
        <f t="shared" si="6"/>
        <v>N</v>
      </c>
      <c r="K246" s="16"/>
      <c r="L246" s="16"/>
    </row>
    <row r="247">
      <c r="A247" s="29" t="s">
        <v>506</v>
      </c>
      <c r="B247" s="10" t="str">
        <f t="shared" si="1"/>
        <v>extra_muscle</v>
      </c>
      <c r="C247" s="49" t="str">
        <f t="shared" si="2"/>
        <v>S5344XM1</v>
      </c>
      <c r="D247" s="6">
        <v>23.0</v>
      </c>
      <c r="E247" s="10" t="str">
        <f t="shared" si="3"/>
        <v>BXM23</v>
      </c>
      <c r="F247" s="13">
        <v>70.0</v>
      </c>
      <c r="G247" s="10" t="str">
        <f t="shared" si="4"/>
        <v>BXM23-70</v>
      </c>
      <c r="H247" s="16"/>
      <c r="I247" s="16" t="str">
        <f t="shared" si="5"/>
        <v>collected</v>
      </c>
      <c r="J247" s="16" t="str">
        <f t="shared" si="6"/>
        <v>N</v>
      </c>
      <c r="K247" s="16"/>
      <c r="L247" s="16"/>
    </row>
    <row r="248">
      <c r="A248" s="29" t="s">
        <v>507</v>
      </c>
      <c r="B248" s="10" t="str">
        <f t="shared" si="1"/>
        <v>extra_muscle</v>
      </c>
      <c r="C248" s="49" t="str">
        <f t="shared" si="2"/>
        <v>S5345XM1</v>
      </c>
      <c r="D248" s="6">
        <v>23.0</v>
      </c>
      <c r="E248" s="10" t="str">
        <f t="shared" si="3"/>
        <v>BXM23</v>
      </c>
      <c r="F248" s="13">
        <v>71.0</v>
      </c>
      <c r="G248" s="10" t="str">
        <f t="shared" si="4"/>
        <v>BXM23-71</v>
      </c>
      <c r="H248" s="16"/>
      <c r="I248" s="16" t="str">
        <f t="shared" si="5"/>
        <v>collected</v>
      </c>
      <c r="J248" s="16" t="str">
        <f t="shared" si="6"/>
        <v>N</v>
      </c>
      <c r="K248" s="16"/>
      <c r="L248" s="16"/>
    </row>
    <row r="249">
      <c r="A249" s="29" t="s">
        <v>509</v>
      </c>
      <c r="B249" s="10" t="str">
        <f t="shared" si="1"/>
        <v>extra_muscle</v>
      </c>
      <c r="C249" s="49" t="str">
        <f t="shared" si="2"/>
        <v>S5346XM1</v>
      </c>
      <c r="D249" s="6">
        <v>23.0</v>
      </c>
      <c r="E249" s="10" t="str">
        <f t="shared" si="3"/>
        <v>BXM23</v>
      </c>
      <c r="F249" s="13">
        <v>72.0</v>
      </c>
      <c r="G249" s="10" t="str">
        <f t="shared" si="4"/>
        <v>BXM23-72</v>
      </c>
      <c r="H249" s="16"/>
      <c r="I249" s="16" t="str">
        <f t="shared" si="5"/>
        <v>collected</v>
      </c>
      <c r="J249" s="16" t="str">
        <f t="shared" si="6"/>
        <v>N</v>
      </c>
      <c r="K249" s="16"/>
      <c r="L249" s="16"/>
    </row>
    <row r="250">
      <c r="A250" s="26" t="s">
        <v>511</v>
      </c>
      <c r="B250" s="10" t="str">
        <f t="shared" si="1"/>
        <v>extra_muscle</v>
      </c>
      <c r="C250" s="49" t="str">
        <f t="shared" si="2"/>
        <v>S5347XM1</v>
      </c>
      <c r="D250" s="6">
        <v>23.0</v>
      </c>
      <c r="E250" s="10" t="str">
        <f t="shared" si="3"/>
        <v>BXM23</v>
      </c>
      <c r="F250" s="13">
        <v>73.0</v>
      </c>
      <c r="G250" s="10" t="str">
        <f t="shared" si="4"/>
        <v>BXM23-73</v>
      </c>
      <c r="H250" s="16"/>
      <c r="I250" s="16" t="str">
        <f t="shared" si="5"/>
        <v>collected</v>
      </c>
      <c r="J250" s="16" t="str">
        <f t="shared" si="6"/>
        <v>N</v>
      </c>
      <c r="K250" s="16"/>
      <c r="L250" s="16"/>
    </row>
    <row r="251">
      <c r="A251" s="26" t="s">
        <v>512</v>
      </c>
      <c r="B251" s="10" t="str">
        <f t="shared" si="1"/>
        <v>extra_muscle</v>
      </c>
      <c r="C251" s="49" t="str">
        <f t="shared" si="2"/>
        <v>S5348XM1</v>
      </c>
      <c r="D251" s="6">
        <v>23.0</v>
      </c>
      <c r="E251" s="10" t="str">
        <f t="shared" si="3"/>
        <v>BXM23</v>
      </c>
      <c r="F251" s="13">
        <v>74.0</v>
      </c>
      <c r="G251" s="10" t="str">
        <f t="shared" si="4"/>
        <v>BXM23-74</v>
      </c>
      <c r="H251" s="16"/>
      <c r="I251" s="16" t="str">
        <f t="shared" si="5"/>
        <v>collected</v>
      </c>
      <c r="J251" s="16" t="str">
        <f t="shared" si="6"/>
        <v>N</v>
      </c>
      <c r="K251" s="16"/>
      <c r="L251" s="16"/>
    </row>
    <row r="252">
      <c r="A252" s="26" t="s">
        <v>514</v>
      </c>
      <c r="B252" s="10" t="str">
        <f t="shared" si="1"/>
        <v>extra_muscle</v>
      </c>
      <c r="C252" s="49" t="str">
        <f t="shared" si="2"/>
        <v>S5349XM1</v>
      </c>
      <c r="D252" s="6">
        <v>23.0</v>
      </c>
      <c r="E252" s="10" t="str">
        <f t="shared" si="3"/>
        <v>BXM23</v>
      </c>
      <c r="F252" s="13">
        <v>75.0</v>
      </c>
      <c r="G252" s="10" t="str">
        <f t="shared" si="4"/>
        <v>BXM23-75</v>
      </c>
      <c r="H252" s="16"/>
      <c r="I252" s="16" t="str">
        <f t="shared" si="5"/>
        <v>collected</v>
      </c>
      <c r="J252" s="16" t="str">
        <f t="shared" si="6"/>
        <v>N</v>
      </c>
      <c r="K252" s="16"/>
      <c r="L252" s="16"/>
    </row>
    <row r="253">
      <c r="A253" s="26" t="s">
        <v>515</v>
      </c>
      <c r="B253" s="10" t="str">
        <f t="shared" si="1"/>
        <v>extra_muscle</v>
      </c>
      <c r="C253" s="49" t="str">
        <f t="shared" si="2"/>
        <v>S5350XM1</v>
      </c>
      <c r="D253" s="6">
        <v>23.0</v>
      </c>
      <c r="E253" s="10" t="str">
        <f t="shared" si="3"/>
        <v>BXM23</v>
      </c>
      <c r="F253" s="13">
        <v>77.0</v>
      </c>
      <c r="G253" s="10" t="str">
        <f t="shared" si="4"/>
        <v>BXM23-77</v>
      </c>
      <c r="H253" s="6"/>
      <c r="I253" s="16" t="str">
        <f t="shared" si="5"/>
        <v>collected</v>
      </c>
      <c r="J253" s="16" t="str">
        <f t="shared" si="6"/>
        <v>N</v>
      </c>
      <c r="K253" s="16"/>
      <c r="L253" s="16"/>
    </row>
    <row r="254">
      <c r="A254" s="26" t="s">
        <v>516</v>
      </c>
      <c r="B254" s="10" t="str">
        <f t="shared" si="1"/>
        <v>extra_muscle</v>
      </c>
      <c r="C254" s="49" t="str">
        <f t="shared" si="2"/>
        <v>S5351XM1</v>
      </c>
      <c r="D254" s="6">
        <v>23.0</v>
      </c>
      <c r="E254" s="10" t="str">
        <f t="shared" si="3"/>
        <v>BXM23</v>
      </c>
      <c r="F254" s="13">
        <v>78.0</v>
      </c>
      <c r="G254" s="10" t="str">
        <f t="shared" si="4"/>
        <v>BXM23-78</v>
      </c>
      <c r="H254" s="16"/>
      <c r="I254" s="16" t="str">
        <f t="shared" si="5"/>
        <v>collected</v>
      </c>
      <c r="J254" s="16" t="str">
        <f t="shared" si="6"/>
        <v>N</v>
      </c>
      <c r="K254" s="16"/>
      <c r="L254" s="16"/>
    </row>
    <row r="255">
      <c r="A255" s="26" t="s">
        <v>519</v>
      </c>
      <c r="B255" s="10" t="str">
        <f t="shared" si="1"/>
        <v>extra_muscle</v>
      </c>
      <c r="C255" s="49" t="str">
        <f t="shared" si="2"/>
        <v>S5352XM1</v>
      </c>
      <c r="D255" s="6">
        <v>23.0</v>
      </c>
      <c r="E255" s="10" t="str">
        <f t="shared" si="3"/>
        <v>BXM23</v>
      </c>
      <c r="F255" s="13">
        <v>79.0</v>
      </c>
      <c r="G255" s="10" t="str">
        <f t="shared" si="4"/>
        <v>BXM23-79</v>
      </c>
      <c r="H255" s="16"/>
      <c r="I255" s="16" t="str">
        <f t="shared" si="5"/>
        <v>collected</v>
      </c>
      <c r="J255" s="16" t="str">
        <f t="shared" si="6"/>
        <v>N</v>
      </c>
      <c r="K255" s="16"/>
      <c r="L255" s="16"/>
    </row>
    <row r="256">
      <c r="A256" s="26" t="s">
        <v>520</v>
      </c>
      <c r="B256" s="10" t="str">
        <f t="shared" si="1"/>
        <v>extra_muscle</v>
      </c>
      <c r="C256" s="49" t="str">
        <f t="shared" si="2"/>
        <v>S5353XM1</v>
      </c>
      <c r="D256" s="6">
        <v>23.0</v>
      </c>
      <c r="E256" s="10" t="str">
        <f t="shared" si="3"/>
        <v>BXM23</v>
      </c>
      <c r="F256" s="13">
        <v>80.0</v>
      </c>
      <c r="G256" s="10" t="str">
        <f t="shared" si="4"/>
        <v>BXM23-80</v>
      </c>
      <c r="H256" s="16"/>
      <c r="I256" s="16" t="str">
        <f t="shared" si="5"/>
        <v>collected</v>
      </c>
      <c r="J256" s="16" t="str">
        <f t="shared" si="6"/>
        <v>N</v>
      </c>
      <c r="K256" s="16"/>
      <c r="L256" s="16"/>
    </row>
    <row r="257">
      <c r="A257" s="26" t="s">
        <v>522</v>
      </c>
      <c r="B257" s="10" t="str">
        <f t="shared" si="1"/>
        <v>extra_muscle</v>
      </c>
      <c r="C257" s="49" t="str">
        <f t="shared" si="2"/>
        <v>S5354XM1</v>
      </c>
      <c r="D257" s="6">
        <v>23.0</v>
      </c>
      <c r="E257" s="10" t="str">
        <f t="shared" si="3"/>
        <v>BXM23</v>
      </c>
      <c r="F257" s="13">
        <v>81.0</v>
      </c>
      <c r="G257" s="10" t="str">
        <f t="shared" si="4"/>
        <v>BXM23-81</v>
      </c>
      <c r="H257" s="16"/>
      <c r="I257" s="16" t="str">
        <f t="shared" si="5"/>
        <v>collected</v>
      </c>
      <c r="J257" s="16" t="str">
        <f t="shared" si="6"/>
        <v>N</v>
      </c>
      <c r="K257" s="16"/>
      <c r="L257" s="16"/>
    </row>
    <row r="258">
      <c r="A258" s="26" t="s">
        <v>523</v>
      </c>
      <c r="B258" s="10" t="str">
        <f t="shared" si="1"/>
        <v>extra_muscle</v>
      </c>
      <c r="C258" s="49" t="str">
        <f t="shared" si="2"/>
        <v>S5355XM1</v>
      </c>
      <c r="D258" s="6">
        <v>23.0</v>
      </c>
      <c r="E258" s="10" t="str">
        <f t="shared" si="3"/>
        <v>BXM23</v>
      </c>
      <c r="F258" s="13">
        <v>82.0</v>
      </c>
      <c r="G258" s="10" t="str">
        <f t="shared" si="4"/>
        <v>BXM23-82</v>
      </c>
      <c r="H258" s="16"/>
      <c r="I258" s="16" t="str">
        <f t="shared" si="5"/>
        <v>collected</v>
      </c>
      <c r="J258" s="16" t="str">
        <f t="shared" si="6"/>
        <v>N</v>
      </c>
      <c r="K258" s="16"/>
      <c r="L258" s="16"/>
    </row>
    <row r="259">
      <c r="A259" s="26" t="s">
        <v>524</v>
      </c>
      <c r="B259" s="10" t="str">
        <f t="shared" si="1"/>
        <v>extra_muscle</v>
      </c>
      <c r="C259" s="49" t="str">
        <f t="shared" si="2"/>
        <v>S5356XM1</v>
      </c>
      <c r="D259" s="6">
        <v>23.0</v>
      </c>
      <c r="E259" s="10" t="str">
        <f t="shared" si="3"/>
        <v>BXM23</v>
      </c>
      <c r="F259" s="13">
        <v>83.0</v>
      </c>
      <c r="G259" s="10" t="str">
        <f t="shared" si="4"/>
        <v>BXM23-83</v>
      </c>
      <c r="H259" s="16"/>
      <c r="I259" s="16" t="str">
        <f t="shared" si="5"/>
        <v>collected</v>
      </c>
      <c r="J259" s="16" t="str">
        <f t="shared" si="6"/>
        <v>N</v>
      </c>
      <c r="K259" s="16"/>
      <c r="L259" s="16"/>
    </row>
    <row r="260">
      <c r="A260" s="26" t="s">
        <v>527</v>
      </c>
      <c r="B260" s="10" t="str">
        <f t="shared" si="1"/>
        <v>extra_muscle</v>
      </c>
      <c r="C260" s="49" t="str">
        <f t="shared" si="2"/>
        <v>S5302XM1</v>
      </c>
      <c r="D260" s="6">
        <v>16.0</v>
      </c>
      <c r="E260" s="10" t="str">
        <f t="shared" si="3"/>
        <v>BXM16</v>
      </c>
      <c r="F260" s="13">
        <v>77.0</v>
      </c>
      <c r="G260" s="10" t="str">
        <f t="shared" si="4"/>
        <v>BXM16-77</v>
      </c>
      <c r="H260" s="16"/>
      <c r="I260" s="16" t="str">
        <f t="shared" si="5"/>
        <v>collected</v>
      </c>
      <c r="J260" s="16" t="str">
        <f t="shared" si="6"/>
        <v>N</v>
      </c>
      <c r="K260" s="16"/>
      <c r="L260" s="16"/>
    </row>
    <row r="261">
      <c r="A261" s="26" t="s">
        <v>528</v>
      </c>
      <c r="B261" s="10" t="str">
        <f t="shared" si="1"/>
        <v>extra_muscle</v>
      </c>
      <c r="C261" s="49" t="str">
        <f t="shared" si="2"/>
        <v>S5303XM1</v>
      </c>
      <c r="D261" s="6">
        <v>16.0</v>
      </c>
      <c r="E261" s="10" t="str">
        <f t="shared" si="3"/>
        <v>BXM16</v>
      </c>
      <c r="F261" s="13">
        <v>78.0</v>
      </c>
      <c r="G261" s="10" t="str">
        <f t="shared" si="4"/>
        <v>BXM16-78</v>
      </c>
      <c r="H261" s="16"/>
      <c r="I261" s="16" t="str">
        <f t="shared" si="5"/>
        <v>collected</v>
      </c>
      <c r="J261" s="16" t="str">
        <f t="shared" si="6"/>
        <v>N</v>
      </c>
      <c r="K261" s="16"/>
      <c r="L261" s="16"/>
    </row>
    <row r="262">
      <c r="A262" s="26" t="s">
        <v>529</v>
      </c>
      <c r="B262" s="10" t="str">
        <f t="shared" si="1"/>
        <v>extra_muscle</v>
      </c>
      <c r="C262" s="49" t="str">
        <f t="shared" si="2"/>
        <v>S5304XM1</v>
      </c>
      <c r="D262" s="6">
        <v>16.0</v>
      </c>
      <c r="E262" s="10" t="str">
        <f t="shared" si="3"/>
        <v>BXM16</v>
      </c>
      <c r="F262" s="13">
        <v>79.0</v>
      </c>
      <c r="G262" s="10" t="str">
        <f t="shared" si="4"/>
        <v>BXM16-79</v>
      </c>
      <c r="H262" s="16"/>
      <c r="I262" s="16" t="str">
        <f t="shared" si="5"/>
        <v>collected</v>
      </c>
      <c r="J262" s="16" t="str">
        <f t="shared" si="6"/>
        <v>N</v>
      </c>
      <c r="K262" s="16"/>
      <c r="L262" s="16"/>
    </row>
    <row r="263">
      <c r="A263" s="26" t="s">
        <v>530</v>
      </c>
      <c r="B263" s="10" t="str">
        <f t="shared" si="1"/>
        <v>extra_muscle</v>
      </c>
      <c r="C263" s="49" t="str">
        <f t="shared" si="2"/>
        <v>S5305XM1</v>
      </c>
      <c r="D263" s="6">
        <v>16.0</v>
      </c>
      <c r="E263" s="10" t="str">
        <f t="shared" si="3"/>
        <v>BXM16</v>
      </c>
      <c r="F263" s="13">
        <v>80.0</v>
      </c>
      <c r="G263" s="10" t="str">
        <f t="shared" si="4"/>
        <v>BXM16-80</v>
      </c>
      <c r="H263" s="16"/>
      <c r="I263" s="16" t="str">
        <f t="shared" si="5"/>
        <v>collected</v>
      </c>
      <c r="J263" s="16" t="str">
        <f t="shared" si="6"/>
        <v>N</v>
      </c>
      <c r="K263" s="16"/>
      <c r="L263" s="16"/>
    </row>
    <row r="264">
      <c r="A264" s="26" t="s">
        <v>531</v>
      </c>
      <c r="B264" s="10" t="str">
        <f t="shared" si="1"/>
        <v>extra_muscle</v>
      </c>
      <c r="C264" s="49" t="str">
        <f t="shared" si="2"/>
        <v>S5306XM1</v>
      </c>
      <c r="D264" s="6">
        <v>16.0</v>
      </c>
      <c r="E264" s="10" t="str">
        <f t="shared" si="3"/>
        <v>BXM16</v>
      </c>
      <c r="F264" s="13">
        <v>81.0</v>
      </c>
      <c r="G264" s="10" t="str">
        <f t="shared" si="4"/>
        <v>BXM16-81</v>
      </c>
      <c r="H264" s="16"/>
      <c r="I264" s="16" t="str">
        <f t="shared" si="5"/>
        <v>collected</v>
      </c>
      <c r="J264" s="16" t="str">
        <f t="shared" si="6"/>
        <v>N</v>
      </c>
      <c r="K264" s="16"/>
      <c r="L264" s="16"/>
    </row>
    <row r="265">
      <c r="A265" s="26" t="s">
        <v>534</v>
      </c>
      <c r="B265" s="10" t="str">
        <f t="shared" si="1"/>
        <v>extra_muscle</v>
      </c>
      <c r="C265" s="49" t="str">
        <f t="shared" si="2"/>
        <v>S5307XM1</v>
      </c>
      <c r="D265" s="6">
        <v>16.0</v>
      </c>
      <c r="E265" s="10" t="str">
        <f t="shared" si="3"/>
        <v>BXM16</v>
      </c>
      <c r="F265" s="13">
        <v>82.0</v>
      </c>
      <c r="G265" s="10" t="str">
        <f t="shared" si="4"/>
        <v>BXM16-82</v>
      </c>
      <c r="H265" s="16"/>
      <c r="I265" s="16" t="str">
        <f t="shared" si="5"/>
        <v>collected</v>
      </c>
      <c r="J265" s="16" t="str">
        <f t="shared" si="6"/>
        <v>N</v>
      </c>
      <c r="K265" s="16"/>
      <c r="L265" s="16"/>
    </row>
    <row r="266">
      <c r="A266" s="26" t="s">
        <v>535</v>
      </c>
      <c r="B266" s="10" t="str">
        <f t="shared" si="1"/>
        <v>extra_muscle</v>
      </c>
      <c r="C266" s="49" t="str">
        <f t="shared" si="2"/>
        <v>S5308XM1</v>
      </c>
      <c r="D266" s="6">
        <v>16.0</v>
      </c>
      <c r="E266" s="10" t="str">
        <f t="shared" si="3"/>
        <v>BXM16</v>
      </c>
      <c r="F266" s="13">
        <v>83.0</v>
      </c>
      <c r="G266" s="10" t="str">
        <f t="shared" si="4"/>
        <v>BXM16-83</v>
      </c>
      <c r="H266" s="16"/>
      <c r="I266" s="16" t="str">
        <f t="shared" si="5"/>
        <v>collected</v>
      </c>
      <c r="J266" s="16" t="str">
        <f t="shared" si="6"/>
        <v>N</v>
      </c>
      <c r="K266" s="16"/>
      <c r="L266" s="16"/>
    </row>
    <row r="267">
      <c r="A267" s="26" t="s">
        <v>537</v>
      </c>
      <c r="B267" s="10" t="str">
        <f t="shared" si="1"/>
        <v>extra_muscle</v>
      </c>
      <c r="C267" s="49" t="str">
        <f t="shared" si="2"/>
        <v>S5309XM1</v>
      </c>
      <c r="D267" s="6">
        <v>16.0</v>
      </c>
      <c r="E267" s="10" t="str">
        <f t="shared" si="3"/>
        <v>BXM16</v>
      </c>
      <c r="F267" s="13">
        <v>84.0</v>
      </c>
      <c r="G267" s="10" t="str">
        <f t="shared" si="4"/>
        <v>BXM16-84</v>
      </c>
      <c r="H267" s="6"/>
      <c r="I267" s="16" t="str">
        <f t="shared" si="5"/>
        <v>collected</v>
      </c>
      <c r="J267" s="16" t="str">
        <f t="shared" si="6"/>
        <v>N</v>
      </c>
      <c r="K267" s="16"/>
      <c r="L267" s="16"/>
    </row>
    <row r="268">
      <c r="A268" s="26" t="s">
        <v>539</v>
      </c>
      <c r="B268" s="10" t="str">
        <f t="shared" si="1"/>
        <v>extra_muscle</v>
      </c>
      <c r="C268" s="49" t="str">
        <f t="shared" si="2"/>
        <v>S5310XM1</v>
      </c>
      <c r="D268" s="6">
        <v>16.0</v>
      </c>
      <c r="E268" s="10" t="str">
        <f t="shared" si="3"/>
        <v>BXM16</v>
      </c>
      <c r="F268" s="13">
        <v>86.0</v>
      </c>
      <c r="G268" s="10" t="str">
        <f t="shared" si="4"/>
        <v>BXM16-86</v>
      </c>
      <c r="H268" s="16"/>
      <c r="I268" s="16" t="str">
        <f t="shared" si="5"/>
        <v>collected</v>
      </c>
      <c r="J268" s="16" t="str">
        <f t="shared" si="6"/>
        <v>N</v>
      </c>
      <c r="K268" s="16"/>
      <c r="L268" s="16"/>
    </row>
    <row r="269">
      <c r="A269" s="26" t="s">
        <v>540</v>
      </c>
      <c r="B269" s="10" t="str">
        <f t="shared" si="1"/>
        <v>extra_muscle</v>
      </c>
      <c r="C269" s="49" t="str">
        <f t="shared" si="2"/>
        <v>S5311XM1</v>
      </c>
      <c r="D269" s="6">
        <v>16.0</v>
      </c>
      <c r="E269" s="10" t="str">
        <f t="shared" si="3"/>
        <v>BXM16</v>
      </c>
      <c r="F269" s="13">
        <v>87.0</v>
      </c>
      <c r="G269" s="10" t="str">
        <f t="shared" si="4"/>
        <v>BXM16-87</v>
      </c>
      <c r="H269" s="16"/>
      <c r="I269" s="16" t="str">
        <f t="shared" si="5"/>
        <v>collected</v>
      </c>
      <c r="J269" s="16" t="str">
        <f t="shared" si="6"/>
        <v>N</v>
      </c>
      <c r="K269" s="16"/>
      <c r="L269" s="16"/>
    </row>
    <row r="270">
      <c r="A270" s="26" t="s">
        <v>543</v>
      </c>
      <c r="B270" s="10" t="str">
        <f t="shared" si="1"/>
        <v>extra_muscle</v>
      </c>
      <c r="C270" s="49" t="str">
        <f t="shared" si="2"/>
        <v>S5312XM1</v>
      </c>
      <c r="D270" s="6">
        <v>16.0</v>
      </c>
      <c r="E270" s="10" t="str">
        <f t="shared" si="3"/>
        <v>BXM16</v>
      </c>
      <c r="F270" s="13">
        <v>88.0</v>
      </c>
      <c r="G270" s="10" t="str">
        <f t="shared" si="4"/>
        <v>BXM16-88</v>
      </c>
      <c r="H270" s="16"/>
      <c r="I270" s="16" t="str">
        <f t="shared" si="5"/>
        <v>collected</v>
      </c>
      <c r="J270" s="16" t="str">
        <f t="shared" si="6"/>
        <v>N</v>
      </c>
      <c r="K270" s="16"/>
      <c r="L270" s="16"/>
    </row>
    <row r="271">
      <c r="A271" s="26" t="s">
        <v>544</v>
      </c>
      <c r="B271" s="10" t="str">
        <f t="shared" si="1"/>
        <v>extra_muscle</v>
      </c>
      <c r="C271" s="49" t="str">
        <f t="shared" si="2"/>
        <v>S5313XM1</v>
      </c>
      <c r="D271" s="6">
        <v>16.0</v>
      </c>
      <c r="E271" s="10" t="str">
        <f t="shared" si="3"/>
        <v>BXM16</v>
      </c>
      <c r="F271" s="13">
        <v>89.0</v>
      </c>
      <c r="G271" s="10" t="str">
        <f t="shared" si="4"/>
        <v>BXM16-89</v>
      </c>
      <c r="H271" s="16"/>
      <c r="I271" s="16" t="str">
        <f t="shared" si="5"/>
        <v>collected</v>
      </c>
      <c r="J271" s="16" t="str">
        <f t="shared" si="6"/>
        <v>N</v>
      </c>
      <c r="K271" s="16"/>
      <c r="L271" s="16"/>
    </row>
    <row r="272">
      <c r="A272" s="26" t="s">
        <v>546</v>
      </c>
      <c r="B272" s="10" t="str">
        <f t="shared" si="1"/>
        <v>extra_muscle</v>
      </c>
      <c r="C272" s="49" t="str">
        <f t="shared" si="2"/>
        <v>S5314XM1</v>
      </c>
      <c r="D272" s="6">
        <v>16.0</v>
      </c>
      <c r="E272" s="10" t="str">
        <f t="shared" si="3"/>
        <v>BXM16</v>
      </c>
      <c r="F272" s="13">
        <v>90.0</v>
      </c>
      <c r="G272" s="10" t="str">
        <f t="shared" si="4"/>
        <v>BXM16-90</v>
      </c>
      <c r="H272" s="16"/>
      <c r="I272" s="16" t="str">
        <f t="shared" si="5"/>
        <v>collected</v>
      </c>
      <c r="J272" s="16" t="str">
        <f t="shared" si="6"/>
        <v>N</v>
      </c>
      <c r="K272" s="16"/>
      <c r="L272" s="16"/>
    </row>
    <row r="273">
      <c r="A273" s="44" t="s">
        <v>547</v>
      </c>
      <c r="B273" s="10" t="str">
        <f t="shared" si="1"/>
        <v>extra_muscle</v>
      </c>
      <c r="C273" s="49" t="str">
        <f t="shared" si="2"/>
        <v>S5357XM1</v>
      </c>
      <c r="D273" s="6">
        <v>23.0</v>
      </c>
      <c r="E273" s="10" t="str">
        <f t="shared" si="3"/>
        <v>BXM23</v>
      </c>
      <c r="F273" s="13">
        <v>84.0</v>
      </c>
      <c r="G273" s="10" t="str">
        <f t="shared" si="4"/>
        <v>BXM23-84</v>
      </c>
      <c r="H273" s="16"/>
      <c r="I273" s="16" t="str">
        <f t="shared" si="5"/>
        <v>collected</v>
      </c>
      <c r="J273" s="16" t="str">
        <f t="shared" si="6"/>
        <v>N</v>
      </c>
      <c r="K273" s="16"/>
      <c r="L273" s="16"/>
    </row>
    <row r="274">
      <c r="A274" s="44" t="s">
        <v>548</v>
      </c>
      <c r="B274" s="10" t="str">
        <f t="shared" si="1"/>
        <v>extra_muscle</v>
      </c>
      <c r="C274" s="49" t="str">
        <f t="shared" si="2"/>
        <v>S5358XM1</v>
      </c>
      <c r="D274" s="6">
        <v>23.0</v>
      </c>
      <c r="E274" s="10" t="str">
        <f t="shared" si="3"/>
        <v>BXM23</v>
      </c>
      <c r="F274" s="13">
        <v>85.0</v>
      </c>
      <c r="G274" s="10" t="str">
        <f t="shared" si="4"/>
        <v>BXM23-85</v>
      </c>
      <c r="H274" s="16"/>
      <c r="I274" s="16" t="str">
        <f t="shared" si="5"/>
        <v>collected</v>
      </c>
      <c r="J274" s="16" t="str">
        <f t="shared" si="6"/>
        <v>N</v>
      </c>
      <c r="K274" s="16"/>
      <c r="L274" s="16"/>
    </row>
    <row r="275">
      <c r="A275" s="44" t="s">
        <v>549</v>
      </c>
      <c r="B275" s="10" t="str">
        <f t="shared" si="1"/>
        <v>extra_muscle</v>
      </c>
      <c r="C275" s="49" t="str">
        <f t="shared" si="2"/>
        <v>S5359XM1</v>
      </c>
      <c r="D275" s="6">
        <v>23.0</v>
      </c>
      <c r="E275" s="10" t="str">
        <f t="shared" si="3"/>
        <v>BXM23</v>
      </c>
      <c r="F275" s="13">
        <v>87.0</v>
      </c>
      <c r="G275" s="10" t="str">
        <f t="shared" si="4"/>
        <v>BXM23-87</v>
      </c>
      <c r="H275" s="16"/>
      <c r="I275" s="16" t="str">
        <f t="shared" si="5"/>
        <v>collected</v>
      </c>
      <c r="J275" s="16" t="str">
        <f t="shared" si="6"/>
        <v>N</v>
      </c>
      <c r="K275" s="16"/>
      <c r="L275" s="16"/>
    </row>
    <row r="276">
      <c r="A276" s="44" t="s">
        <v>552</v>
      </c>
      <c r="B276" s="10" t="str">
        <f t="shared" si="1"/>
        <v>extra_muscle</v>
      </c>
      <c r="C276" s="49" t="str">
        <f t="shared" si="2"/>
        <v>S5360XM1</v>
      </c>
      <c r="D276" s="6">
        <v>23.0</v>
      </c>
      <c r="E276" s="10" t="str">
        <f t="shared" si="3"/>
        <v>BXM23</v>
      </c>
      <c r="F276" s="13">
        <v>88.0</v>
      </c>
      <c r="G276" s="10" t="str">
        <f t="shared" si="4"/>
        <v>BXM23-88</v>
      </c>
      <c r="H276" s="16"/>
      <c r="I276" s="16" t="str">
        <f t="shared" si="5"/>
        <v>collected</v>
      </c>
      <c r="J276" s="16" t="str">
        <f t="shared" si="6"/>
        <v>N</v>
      </c>
      <c r="K276" s="16"/>
      <c r="L276" s="16"/>
    </row>
    <row r="277">
      <c r="A277" s="44" t="s">
        <v>553</v>
      </c>
      <c r="B277" s="10" t="str">
        <f t="shared" si="1"/>
        <v>extra_muscle</v>
      </c>
      <c r="C277" s="49" t="str">
        <f t="shared" si="2"/>
        <v>S5361XM1</v>
      </c>
      <c r="D277" s="6">
        <v>23.0</v>
      </c>
      <c r="E277" s="10" t="str">
        <f t="shared" si="3"/>
        <v>BXM23</v>
      </c>
      <c r="F277" s="13">
        <v>89.0</v>
      </c>
      <c r="G277" s="10" t="str">
        <f t="shared" si="4"/>
        <v>BXM23-89</v>
      </c>
      <c r="H277" s="16"/>
      <c r="I277" s="16" t="str">
        <f t="shared" si="5"/>
        <v>collected</v>
      </c>
      <c r="J277" s="16" t="str">
        <f t="shared" si="6"/>
        <v>N</v>
      </c>
      <c r="K277" s="16"/>
      <c r="L277" s="16"/>
    </row>
    <row r="278">
      <c r="A278" s="44" t="s">
        <v>554</v>
      </c>
      <c r="B278" s="10" t="str">
        <f t="shared" si="1"/>
        <v>extra_muscle</v>
      </c>
      <c r="C278" s="49" t="str">
        <f t="shared" si="2"/>
        <v>S5412XM1</v>
      </c>
      <c r="D278" s="6">
        <v>23.0</v>
      </c>
      <c r="E278" s="10" t="str">
        <f t="shared" si="3"/>
        <v>BXM23</v>
      </c>
      <c r="F278" s="13">
        <v>90.0</v>
      </c>
      <c r="G278" s="10" t="str">
        <f t="shared" si="4"/>
        <v>BXM23-90</v>
      </c>
      <c r="H278" s="16"/>
      <c r="I278" s="16" t="str">
        <f t="shared" si="5"/>
        <v>collected</v>
      </c>
      <c r="J278" s="16" t="str">
        <f t="shared" si="6"/>
        <v>N</v>
      </c>
      <c r="K278" s="16"/>
      <c r="L278" s="16"/>
    </row>
    <row r="279">
      <c r="A279" s="44" t="s">
        <v>556</v>
      </c>
      <c r="B279" s="10" t="str">
        <f t="shared" si="1"/>
        <v>extra_muscle</v>
      </c>
      <c r="C279" s="49" t="str">
        <f t="shared" si="2"/>
        <v>S5413XM1</v>
      </c>
      <c r="D279" s="6">
        <v>23.0</v>
      </c>
      <c r="E279" s="10" t="str">
        <f t="shared" si="3"/>
        <v>BXM23</v>
      </c>
      <c r="F279" s="13">
        <v>91.0</v>
      </c>
      <c r="G279" s="10" t="str">
        <f t="shared" si="4"/>
        <v>BXM23-91</v>
      </c>
      <c r="H279" s="16"/>
      <c r="I279" s="16" t="str">
        <f t="shared" si="5"/>
        <v>collected</v>
      </c>
      <c r="J279" s="16" t="str">
        <f t="shared" si="6"/>
        <v>N</v>
      </c>
      <c r="K279" s="16"/>
      <c r="L279" s="16"/>
    </row>
    <row r="280">
      <c r="A280" s="44" t="s">
        <v>558</v>
      </c>
      <c r="B280" s="10" t="str">
        <f t="shared" si="1"/>
        <v>extra_muscle</v>
      </c>
      <c r="C280" s="49" t="str">
        <f t="shared" si="2"/>
        <v>S5414XM1</v>
      </c>
      <c r="D280" s="6">
        <v>23.0</v>
      </c>
      <c r="E280" s="10" t="str">
        <f t="shared" si="3"/>
        <v>BXM23</v>
      </c>
      <c r="F280" s="13">
        <v>92.0</v>
      </c>
      <c r="G280" s="10" t="str">
        <f t="shared" si="4"/>
        <v>BXM23-92</v>
      </c>
      <c r="H280" s="16"/>
      <c r="I280" s="16" t="str">
        <f t="shared" si="5"/>
        <v>collected</v>
      </c>
      <c r="J280" s="16" t="str">
        <f t="shared" si="6"/>
        <v>N</v>
      </c>
      <c r="K280" s="16"/>
      <c r="L280" s="16"/>
    </row>
    <row r="281">
      <c r="A281" s="44" t="s">
        <v>559</v>
      </c>
      <c r="B281" s="10" t="str">
        <f t="shared" si="1"/>
        <v>extra_muscle</v>
      </c>
      <c r="C281" s="49" t="str">
        <f t="shared" si="2"/>
        <v>S5415XM1</v>
      </c>
      <c r="D281" s="6">
        <v>23.0</v>
      </c>
      <c r="E281" s="10" t="str">
        <f t="shared" si="3"/>
        <v>BXM23</v>
      </c>
      <c r="F281" s="13">
        <v>93.0</v>
      </c>
      <c r="G281" s="10" t="str">
        <f t="shared" si="4"/>
        <v>BXM23-93</v>
      </c>
      <c r="H281" s="16"/>
      <c r="I281" s="16" t="str">
        <f t="shared" si="5"/>
        <v>collected</v>
      </c>
      <c r="J281" s="16" t="str">
        <f t="shared" si="6"/>
        <v>N</v>
      </c>
      <c r="K281" s="16"/>
      <c r="L281" s="16"/>
    </row>
    <row r="282">
      <c r="A282" s="44" t="s">
        <v>561</v>
      </c>
      <c r="B282" s="10" t="str">
        <f t="shared" si="1"/>
        <v>extra_muscle</v>
      </c>
      <c r="C282" s="49" t="str">
        <f t="shared" si="2"/>
        <v>S5416XM1</v>
      </c>
      <c r="D282" s="6">
        <v>23.0</v>
      </c>
      <c r="E282" s="10" t="str">
        <f t="shared" si="3"/>
        <v>BXM23</v>
      </c>
      <c r="F282" s="13">
        <v>94.0</v>
      </c>
      <c r="G282" s="10" t="str">
        <f t="shared" si="4"/>
        <v>BXM23-94</v>
      </c>
      <c r="H282" s="16"/>
      <c r="I282" s="16" t="str">
        <f t="shared" si="5"/>
        <v>collected</v>
      </c>
      <c r="J282" s="16" t="str">
        <f t="shared" si="6"/>
        <v>N</v>
      </c>
      <c r="K282" s="16"/>
      <c r="L282" s="16"/>
    </row>
    <row r="283">
      <c r="A283" s="44" t="s">
        <v>562</v>
      </c>
      <c r="B283" s="10" t="str">
        <f t="shared" si="1"/>
        <v>extra_muscle</v>
      </c>
      <c r="C283" s="49" t="str">
        <f t="shared" si="2"/>
        <v>S5417XM1</v>
      </c>
      <c r="D283" s="6">
        <v>23.0</v>
      </c>
      <c r="E283" s="10" t="str">
        <f t="shared" si="3"/>
        <v>BXM23</v>
      </c>
      <c r="F283" s="13">
        <v>95.0</v>
      </c>
      <c r="G283" s="10" t="str">
        <f t="shared" si="4"/>
        <v>BXM23-95</v>
      </c>
      <c r="H283" s="16"/>
      <c r="I283" s="16" t="str">
        <f t="shared" si="5"/>
        <v>collected</v>
      </c>
      <c r="J283" s="16" t="str">
        <f t="shared" si="6"/>
        <v>N</v>
      </c>
      <c r="K283" s="16"/>
      <c r="L283" s="16"/>
    </row>
    <row r="284">
      <c r="A284" s="44" t="s">
        <v>564</v>
      </c>
      <c r="B284" s="10" t="str">
        <f t="shared" si="1"/>
        <v>extra_muscle</v>
      </c>
      <c r="C284" s="49" t="str">
        <f t="shared" si="2"/>
        <v>S5418XM1</v>
      </c>
      <c r="D284" s="6">
        <v>23.0</v>
      </c>
      <c r="E284" s="10" t="str">
        <f t="shared" si="3"/>
        <v>BXM23</v>
      </c>
      <c r="F284" s="13">
        <v>97.0</v>
      </c>
      <c r="G284" s="10" t="str">
        <f t="shared" si="4"/>
        <v>BXM23-97</v>
      </c>
      <c r="H284" s="16"/>
      <c r="I284" s="16" t="str">
        <f t="shared" si="5"/>
        <v>collected</v>
      </c>
      <c r="J284" s="16" t="str">
        <f t="shared" si="6"/>
        <v>N</v>
      </c>
      <c r="K284" s="16"/>
      <c r="L284" s="16"/>
    </row>
    <row r="285">
      <c r="A285" s="44" t="s">
        <v>566</v>
      </c>
      <c r="B285" s="10" t="str">
        <f t="shared" si="1"/>
        <v>extra_muscle</v>
      </c>
      <c r="C285" s="49" t="str">
        <f t="shared" si="2"/>
        <v>S5419XM1</v>
      </c>
      <c r="D285" s="6">
        <v>23.0</v>
      </c>
      <c r="E285" s="10" t="str">
        <f t="shared" si="3"/>
        <v>BXM23</v>
      </c>
      <c r="F285" s="13">
        <v>98.0</v>
      </c>
      <c r="G285" s="10" t="str">
        <f t="shared" si="4"/>
        <v>BXM23-98</v>
      </c>
      <c r="H285" s="16"/>
      <c r="I285" s="16" t="str">
        <f t="shared" si="5"/>
        <v>collected</v>
      </c>
      <c r="J285" s="16" t="str">
        <f t="shared" si="6"/>
        <v>N</v>
      </c>
      <c r="K285" s="16"/>
      <c r="L285" s="16"/>
    </row>
    <row r="286">
      <c r="A286" s="44" t="s">
        <v>567</v>
      </c>
      <c r="B286" s="10" t="str">
        <f t="shared" si="1"/>
        <v>extra_muscle</v>
      </c>
      <c r="C286" s="49" t="str">
        <f t="shared" si="2"/>
        <v>S5420XM1</v>
      </c>
      <c r="D286" s="6">
        <v>23.0</v>
      </c>
      <c r="E286" s="10" t="str">
        <f t="shared" si="3"/>
        <v>BXM23</v>
      </c>
      <c r="F286" s="13">
        <v>99.0</v>
      </c>
      <c r="G286" s="10" t="str">
        <f t="shared" si="4"/>
        <v>BXM23-99</v>
      </c>
      <c r="H286" s="16"/>
      <c r="I286" s="16" t="str">
        <f t="shared" si="5"/>
        <v>collected</v>
      </c>
      <c r="J286" s="16" t="str">
        <f t="shared" si="6"/>
        <v>N</v>
      </c>
      <c r="K286" s="16"/>
      <c r="L286" s="16"/>
    </row>
    <row r="287">
      <c r="A287" s="44" t="s">
        <v>569</v>
      </c>
      <c r="B287" s="10" t="str">
        <f t="shared" si="1"/>
        <v>extra_muscle</v>
      </c>
      <c r="C287" s="49" t="str">
        <f t="shared" si="2"/>
        <v>S5421XM1</v>
      </c>
      <c r="D287" s="6">
        <v>23.0</v>
      </c>
      <c r="E287" s="10" t="str">
        <f t="shared" si="3"/>
        <v>BXM23</v>
      </c>
      <c r="F287" s="13">
        <v>100.0</v>
      </c>
      <c r="G287" s="10" t="str">
        <f t="shared" si="4"/>
        <v>BXM23-100</v>
      </c>
      <c r="H287" s="16"/>
      <c r="I287" s="16" t="str">
        <f t="shared" si="5"/>
        <v>collected</v>
      </c>
      <c r="J287" s="16" t="str">
        <f t="shared" si="6"/>
        <v>N</v>
      </c>
      <c r="K287" s="16"/>
      <c r="L287" s="16"/>
    </row>
    <row r="288">
      <c r="A288" s="26" t="s">
        <v>570</v>
      </c>
      <c r="B288" s="10" t="str">
        <f t="shared" si="1"/>
        <v>extra_muscle</v>
      </c>
      <c r="C288" s="49" t="str">
        <f t="shared" si="2"/>
        <v>S5389XM1</v>
      </c>
      <c r="D288" s="6">
        <v>24.0</v>
      </c>
      <c r="E288" s="10" t="str">
        <f t="shared" si="3"/>
        <v>BXM24</v>
      </c>
      <c r="F288" s="13">
        <v>73.0</v>
      </c>
      <c r="G288" s="10" t="str">
        <f t="shared" si="4"/>
        <v>BXM24-73</v>
      </c>
      <c r="H288" s="16"/>
      <c r="I288" s="16" t="str">
        <f t="shared" si="5"/>
        <v>collected</v>
      </c>
      <c r="J288" s="16" t="str">
        <f t="shared" si="6"/>
        <v>N</v>
      </c>
      <c r="K288" s="16"/>
      <c r="L288" s="16"/>
    </row>
    <row r="289">
      <c r="A289" s="26" t="s">
        <v>571</v>
      </c>
      <c r="B289" s="10" t="str">
        <f t="shared" si="1"/>
        <v>extra_muscle</v>
      </c>
      <c r="C289" s="49" t="str">
        <f t="shared" si="2"/>
        <v>S5390XM1</v>
      </c>
      <c r="D289" s="6">
        <v>24.0</v>
      </c>
      <c r="E289" s="10" t="str">
        <f t="shared" si="3"/>
        <v>BXM24</v>
      </c>
      <c r="F289" s="13">
        <v>74.0</v>
      </c>
      <c r="G289" s="10" t="str">
        <f t="shared" si="4"/>
        <v>BXM24-74</v>
      </c>
      <c r="H289" s="16"/>
      <c r="I289" s="16" t="str">
        <f t="shared" si="5"/>
        <v>collected</v>
      </c>
      <c r="J289" s="16" t="str">
        <f t="shared" si="6"/>
        <v>N</v>
      </c>
      <c r="K289" s="16"/>
      <c r="L289" s="16"/>
    </row>
    <row r="290">
      <c r="A290" s="26" t="s">
        <v>574</v>
      </c>
      <c r="B290" s="10" t="str">
        <f t="shared" si="1"/>
        <v>extra_muscle</v>
      </c>
      <c r="C290" s="49" t="str">
        <f t="shared" si="2"/>
        <v>S5391XM1</v>
      </c>
      <c r="D290" s="6">
        <v>24.0</v>
      </c>
      <c r="E290" s="10" t="str">
        <f t="shared" si="3"/>
        <v>BXM24</v>
      </c>
      <c r="F290" s="13">
        <v>75.0</v>
      </c>
      <c r="G290" s="10" t="str">
        <f t="shared" si="4"/>
        <v>BXM24-75</v>
      </c>
      <c r="H290" s="16"/>
      <c r="I290" s="16" t="str">
        <f t="shared" si="5"/>
        <v>collected</v>
      </c>
      <c r="J290" s="16" t="str">
        <f t="shared" si="6"/>
        <v>N</v>
      </c>
      <c r="K290" s="16"/>
      <c r="L290" s="16"/>
    </row>
    <row r="291">
      <c r="A291" s="26" t="s">
        <v>575</v>
      </c>
      <c r="B291" s="10" t="str">
        <f t="shared" si="1"/>
        <v>extra_muscle</v>
      </c>
      <c r="C291" s="49" t="str">
        <f t="shared" si="2"/>
        <v>S5392XM1</v>
      </c>
      <c r="D291" s="6">
        <v>24.0</v>
      </c>
      <c r="E291" s="10" t="str">
        <f t="shared" si="3"/>
        <v>BXM24</v>
      </c>
      <c r="F291" s="13">
        <v>76.0</v>
      </c>
      <c r="G291" s="10" t="str">
        <f t="shared" si="4"/>
        <v>BXM24-76</v>
      </c>
      <c r="H291" s="16"/>
      <c r="I291" s="16" t="str">
        <f t="shared" si="5"/>
        <v>collected</v>
      </c>
      <c r="J291" s="16" t="str">
        <f t="shared" si="6"/>
        <v>N</v>
      </c>
      <c r="K291" s="16"/>
      <c r="L291" s="16"/>
    </row>
    <row r="292">
      <c r="A292" s="27" t="s">
        <v>577</v>
      </c>
      <c r="B292" s="10" t="str">
        <f t="shared" si="1"/>
        <v>extra_muscle</v>
      </c>
      <c r="C292" s="49" t="str">
        <f t="shared" si="2"/>
        <v>S5393XM1</v>
      </c>
      <c r="D292" s="6">
        <v>24.0</v>
      </c>
      <c r="E292" s="10" t="str">
        <f t="shared" si="3"/>
        <v>BXM24</v>
      </c>
      <c r="F292" s="13">
        <v>77.0</v>
      </c>
      <c r="G292" s="10" t="str">
        <f t="shared" si="4"/>
        <v>BXM24-77</v>
      </c>
      <c r="H292" s="6"/>
      <c r="I292" s="16" t="str">
        <f t="shared" si="5"/>
        <v>collected</v>
      </c>
      <c r="J292" s="16" t="str">
        <f t="shared" si="6"/>
        <v>N</v>
      </c>
      <c r="K292" s="16"/>
      <c r="L292" s="16"/>
    </row>
    <row r="293">
      <c r="A293" s="27" t="s">
        <v>578</v>
      </c>
      <c r="B293" s="10" t="str">
        <f t="shared" si="1"/>
        <v>extra_muscle</v>
      </c>
      <c r="C293" s="49" t="str">
        <f t="shared" si="2"/>
        <v>S5394XM1</v>
      </c>
      <c r="D293" s="6">
        <v>24.0</v>
      </c>
      <c r="E293" s="10" t="str">
        <f t="shared" si="3"/>
        <v>BXM24</v>
      </c>
      <c r="F293" s="13">
        <v>78.0</v>
      </c>
      <c r="G293" s="10" t="str">
        <f t="shared" si="4"/>
        <v>BXM24-78</v>
      </c>
      <c r="H293" s="6"/>
      <c r="I293" s="16" t="str">
        <f t="shared" si="5"/>
        <v>collected</v>
      </c>
      <c r="J293" s="16" t="str">
        <f t="shared" si="6"/>
        <v>N</v>
      </c>
      <c r="K293" s="16"/>
      <c r="L293" s="16"/>
    </row>
    <row r="294">
      <c r="A294" s="27" t="s">
        <v>580</v>
      </c>
      <c r="B294" s="10" t="str">
        <f t="shared" si="1"/>
        <v>extra_muscle</v>
      </c>
      <c r="C294" s="49" t="str">
        <f t="shared" si="2"/>
        <v>S5395XM1</v>
      </c>
      <c r="D294" s="6">
        <v>24.0</v>
      </c>
      <c r="E294" s="10" t="str">
        <f t="shared" si="3"/>
        <v>BXM24</v>
      </c>
      <c r="F294" s="13">
        <v>79.0</v>
      </c>
      <c r="G294" s="10" t="str">
        <f t="shared" si="4"/>
        <v>BXM24-79</v>
      </c>
      <c r="H294" s="6"/>
      <c r="I294" s="16" t="str">
        <f t="shared" si="5"/>
        <v>collected</v>
      </c>
      <c r="J294" s="16" t="str">
        <f t="shared" si="6"/>
        <v>N</v>
      </c>
      <c r="K294" s="16"/>
      <c r="L294" s="16"/>
    </row>
    <row r="295">
      <c r="A295" s="27" t="s">
        <v>581</v>
      </c>
      <c r="B295" s="10" t="str">
        <f t="shared" si="1"/>
        <v>extra_muscle</v>
      </c>
      <c r="C295" s="49" t="str">
        <f t="shared" si="2"/>
        <v>S5396XM1</v>
      </c>
      <c r="D295" s="6">
        <v>24.0</v>
      </c>
      <c r="E295" s="10" t="str">
        <f t="shared" si="3"/>
        <v>BXM24</v>
      </c>
      <c r="F295" s="13">
        <v>80.0</v>
      </c>
      <c r="G295" s="10" t="str">
        <f t="shared" si="4"/>
        <v>BXM24-80</v>
      </c>
      <c r="H295" s="16"/>
      <c r="I295" s="16" t="str">
        <f t="shared" si="5"/>
        <v>collected</v>
      </c>
      <c r="J295" s="16" t="str">
        <f t="shared" si="6"/>
        <v>N</v>
      </c>
      <c r="K295" s="16"/>
      <c r="L295" s="16"/>
    </row>
    <row r="296">
      <c r="A296" s="27" t="s">
        <v>583</v>
      </c>
      <c r="B296" s="10" t="str">
        <f t="shared" si="1"/>
        <v>extra_muscle</v>
      </c>
      <c r="C296" s="49" t="str">
        <f t="shared" si="2"/>
        <v>S5397XM1</v>
      </c>
      <c r="D296" s="6">
        <v>24.0</v>
      </c>
      <c r="E296" s="10" t="str">
        <f t="shared" si="3"/>
        <v>BXM24</v>
      </c>
      <c r="F296" s="13">
        <v>81.0</v>
      </c>
      <c r="G296" s="10" t="str">
        <f t="shared" si="4"/>
        <v>BXM24-81</v>
      </c>
      <c r="H296" s="16"/>
      <c r="I296" s="16" t="str">
        <f t="shared" si="5"/>
        <v>collected</v>
      </c>
      <c r="J296" s="16" t="str">
        <f t="shared" si="6"/>
        <v>N</v>
      </c>
      <c r="K296" s="16"/>
      <c r="L296" s="16"/>
    </row>
    <row r="297">
      <c r="A297" s="27" t="s">
        <v>584</v>
      </c>
      <c r="B297" s="10" t="str">
        <f t="shared" si="1"/>
        <v>extra_muscle</v>
      </c>
      <c r="C297" s="49" t="str">
        <f t="shared" si="2"/>
        <v>S5398XM1</v>
      </c>
      <c r="D297" s="6">
        <v>25.0</v>
      </c>
      <c r="E297" s="10" t="str">
        <f t="shared" si="3"/>
        <v>BXM25</v>
      </c>
      <c r="F297" s="13">
        <v>1.0</v>
      </c>
      <c r="G297" s="10" t="str">
        <f t="shared" si="4"/>
        <v>BXM25-1</v>
      </c>
      <c r="H297" s="16"/>
      <c r="I297" s="16" t="str">
        <f t="shared" si="5"/>
        <v>collected</v>
      </c>
      <c r="J297" s="16" t="str">
        <f t="shared" si="6"/>
        <v>N</v>
      </c>
      <c r="K297" s="16"/>
      <c r="L297" s="16"/>
    </row>
    <row r="298">
      <c r="A298" s="27" t="s">
        <v>585</v>
      </c>
      <c r="B298" s="10" t="str">
        <f t="shared" si="1"/>
        <v>extra_muscle</v>
      </c>
      <c r="C298" s="49" t="str">
        <f t="shared" si="2"/>
        <v>S5399XM1</v>
      </c>
      <c r="D298" s="6">
        <v>25.0</v>
      </c>
      <c r="E298" s="10" t="str">
        <f t="shared" si="3"/>
        <v>BXM25</v>
      </c>
      <c r="F298" s="13">
        <v>2.0</v>
      </c>
      <c r="G298" s="10" t="str">
        <f t="shared" si="4"/>
        <v>BXM25-2</v>
      </c>
      <c r="H298" s="16"/>
      <c r="I298" s="16" t="str">
        <f t="shared" si="5"/>
        <v>collected</v>
      </c>
      <c r="J298" s="16" t="str">
        <f t="shared" si="6"/>
        <v>N</v>
      </c>
      <c r="K298" s="16"/>
      <c r="L298" s="16"/>
    </row>
    <row r="299">
      <c r="A299" s="27" t="s">
        <v>588</v>
      </c>
      <c r="B299" s="10" t="str">
        <f t="shared" si="1"/>
        <v>extra_muscle</v>
      </c>
      <c r="C299" s="49" t="str">
        <f t="shared" si="2"/>
        <v>S5400XM1</v>
      </c>
      <c r="D299" s="6">
        <v>25.0</v>
      </c>
      <c r="E299" s="10" t="str">
        <f t="shared" si="3"/>
        <v>BXM25</v>
      </c>
      <c r="F299" s="13">
        <v>3.0</v>
      </c>
      <c r="G299" s="10" t="str">
        <f t="shared" si="4"/>
        <v>BXM25-3</v>
      </c>
      <c r="H299" s="16"/>
      <c r="I299" s="16" t="str">
        <f t="shared" si="5"/>
        <v>collected</v>
      </c>
      <c r="J299" s="16" t="str">
        <f t="shared" si="6"/>
        <v>N</v>
      </c>
      <c r="K299" s="16"/>
      <c r="L299" s="16"/>
    </row>
    <row r="300">
      <c r="A300" s="27" t="s">
        <v>590</v>
      </c>
      <c r="B300" s="10" t="str">
        <f t="shared" si="1"/>
        <v>extra_muscle</v>
      </c>
      <c r="C300" s="49" t="str">
        <f t="shared" si="2"/>
        <v>S5401XM1</v>
      </c>
      <c r="D300" s="6">
        <v>25.0</v>
      </c>
      <c r="E300" s="10" t="str">
        <f t="shared" si="3"/>
        <v>BXM25</v>
      </c>
      <c r="F300" s="13">
        <v>4.0</v>
      </c>
      <c r="G300" s="10" t="str">
        <f t="shared" si="4"/>
        <v>BXM25-4</v>
      </c>
      <c r="H300" s="16"/>
      <c r="I300" s="16" t="str">
        <f t="shared" si="5"/>
        <v>collected</v>
      </c>
      <c r="J300" s="16" t="str">
        <f t="shared" si="6"/>
        <v>N</v>
      </c>
      <c r="K300" s="16"/>
      <c r="L300" s="16"/>
    </row>
    <row r="301">
      <c r="A301" s="27" t="s">
        <v>591</v>
      </c>
      <c r="B301" s="10" t="str">
        <f t="shared" si="1"/>
        <v>extra_muscle</v>
      </c>
      <c r="C301" s="49" t="str">
        <f t="shared" si="2"/>
        <v>S5402XM1</v>
      </c>
      <c r="D301" s="6">
        <v>25.0</v>
      </c>
      <c r="E301" s="10" t="str">
        <f t="shared" si="3"/>
        <v>BXM25</v>
      </c>
      <c r="F301" s="13">
        <v>5.0</v>
      </c>
      <c r="G301" s="10" t="str">
        <f t="shared" si="4"/>
        <v>BXM25-5</v>
      </c>
      <c r="H301" s="16"/>
      <c r="I301" s="16" t="str">
        <f t="shared" si="5"/>
        <v>collected</v>
      </c>
      <c r="J301" s="16" t="str">
        <f t="shared" si="6"/>
        <v>N</v>
      </c>
      <c r="K301" s="16"/>
      <c r="L301" s="16"/>
    </row>
    <row r="302">
      <c r="A302" s="27" t="s">
        <v>592</v>
      </c>
      <c r="B302" s="10" t="str">
        <f t="shared" si="1"/>
        <v>extra_muscle</v>
      </c>
      <c r="C302" s="49" t="str">
        <f t="shared" si="2"/>
        <v>S5403XM1</v>
      </c>
      <c r="D302" s="6">
        <v>25.0</v>
      </c>
      <c r="E302" s="10" t="str">
        <f t="shared" si="3"/>
        <v>BXM25</v>
      </c>
      <c r="F302" s="13">
        <v>6.0</v>
      </c>
      <c r="G302" s="10" t="str">
        <f t="shared" si="4"/>
        <v>BXM25-6</v>
      </c>
      <c r="H302" s="16"/>
      <c r="I302" s="16" t="str">
        <f t="shared" si="5"/>
        <v>collected</v>
      </c>
      <c r="J302" s="16" t="str">
        <f t="shared" si="6"/>
        <v>N</v>
      </c>
      <c r="K302" s="16"/>
      <c r="L302" s="16"/>
    </row>
    <row r="303">
      <c r="A303" s="27" t="s">
        <v>593</v>
      </c>
      <c r="B303" s="10" t="str">
        <f t="shared" si="1"/>
        <v>extra_muscle</v>
      </c>
      <c r="C303" s="49" t="str">
        <f t="shared" si="2"/>
        <v>S5404XM1</v>
      </c>
      <c r="D303" s="6">
        <v>25.0</v>
      </c>
      <c r="E303" s="10" t="str">
        <f t="shared" si="3"/>
        <v>BXM25</v>
      </c>
      <c r="F303" s="13">
        <v>7.0</v>
      </c>
      <c r="G303" s="10" t="str">
        <f t="shared" si="4"/>
        <v>BXM25-7</v>
      </c>
      <c r="H303" s="16"/>
      <c r="I303" s="16" t="str">
        <f t="shared" si="5"/>
        <v>collected</v>
      </c>
      <c r="J303" s="16" t="str">
        <f t="shared" si="6"/>
        <v>N</v>
      </c>
      <c r="K303" s="16"/>
      <c r="L303" s="16"/>
    </row>
    <row r="304">
      <c r="A304" s="27" t="s">
        <v>595</v>
      </c>
      <c r="B304" s="10" t="str">
        <f t="shared" si="1"/>
        <v>extra_muscle</v>
      </c>
      <c r="C304" s="49" t="str">
        <f t="shared" si="2"/>
        <v>S5405XM1</v>
      </c>
      <c r="D304" s="6">
        <v>25.0</v>
      </c>
      <c r="E304" s="10" t="str">
        <f t="shared" si="3"/>
        <v>BXM25</v>
      </c>
      <c r="F304" s="13">
        <v>8.0</v>
      </c>
      <c r="G304" s="10" t="str">
        <f t="shared" si="4"/>
        <v>BXM25-8</v>
      </c>
      <c r="H304" s="16"/>
      <c r="I304" s="16" t="str">
        <f t="shared" si="5"/>
        <v>collected</v>
      </c>
      <c r="J304" s="16" t="str">
        <f t="shared" si="6"/>
        <v>N</v>
      </c>
      <c r="K304" s="16"/>
      <c r="L304" s="16"/>
    </row>
    <row r="305">
      <c r="A305" s="28" t="s">
        <v>596</v>
      </c>
      <c r="B305" s="10" t="str">
        <f t="shared" si="1"/>
        <v>extra_muscle</v>
      </c>
      <c r="C305" s="49" t="str">
        <f t="shared" si="2"/>
        <v>S5315XM1</v>
      </c>
      <c r="D305" s="6">
        <v>16.0</v>
      </c>
      <c r="E305" s="10" t="str">
        <f t="shared" si="3"/>
        <v>BXM16</v>
      </c>
      <c r="F305" s="13">
        <v>91.0</v>
      </c>
      <c r="G305" s="10" t="str">
        <f t="shared" si="4"/>
        <v>BXM16-91</v>
      </c>
      <c r="H305" s="16"/>
      <c r="I305" s="16" t="str">
        <f t="shared" si="5"/>
        <v>collected</v>
      </c>
      <c r="J305" s="16" t="str">
        <f t="shared" si="6"/>
        <v>N</v>
      </c>
      <c r="K305" s="16"/>
      <c r="L305" s="16"/>
    </row>
    <row r="306">
      <c r="A306" s="28" t="s">
        <v>597</v>
      </c>
      <c r="B306" s="10" t="str">
        <f t="shared" si="1"/>
        <v>extra_muscle</v>
      </c>
      <c r="C306" s="49" t="str">
        <f t="shared" si="2"/>
        <v>S5316XM1</v>
      </c>
      <c r="D306" s="6">
        <v>16.0</v>
      </c>
      <c r="E306" s="10" t="str">
        <f t="shared" si="3"/>
        <v>BXM16</v>
      </c>
      <c r="F306" s="13">
        <v>92.0</v>
      </c>
      <c r="G306" s="10" t="str">
        <f t="shared" si="4"/>
        <v>BXM16-92</v>
      </c>
      <c r="H306" s="16"/>
      <c r="I306" s="16" t="str">
        <f t="shared" si="5"/>
        <v>collected</v>
      </c>
      <c r="J306" s="16" t="str">
        <f t="shared" si="6"/>
        <v>N</v>
      </c>
      <c r="K306" s="16"/>
      <c r="L306" s="16"/>
    </row>
    <row r="307">
      <c r="A307" s="29" t="s">
        <v>598</v>
      </c>
      <c r="B307" s="10" t="str">
        <f t="shared" si="1"/>
        <v>extra_muscle</v>
      </c>
      <c r="C307" s="49" t="str">
        <f t="shared" si="2"/>
        <v>S5317XM1</v>
      </c>
      <c r="D307" s="6">
        <v>16.0</v>
      </c>
      <c r="E307" s="10" t="str">
        <f t="shared" si="3"/>
        <v>BXM16</v>
      </c>
      <c r="F307" s="13">
        <v>94.0</v>
      </c>
      <c r="G307" s="10" t="str">
        <f t="shared" si="4"/>
        <v>BXM16-94</v>
      </c>
      <c r="H307" s="16"/>
      <c r="I307" s="16" t="str">
        <f t="shared" si="5"/>
        <v>collected</v>
      </c>
      <c r="J307" s="16" t="str">
        <f t="shared" si="6"/>
        <v>N</v>
      </c>
      <c r="K307" s="16"/>
      <c r="L307" s="16"/>
    </row>
    <row r="308">
      <c r="A308" s="29" t="s">
        <v>600</v>
      </c>
      <c r="B308" s="10" t="str">
        <f t="shared" si="1"/>
        <v>extra_muscle</v>
      </c>
      <c r="C308" s="49" t="str">
        <f t="shared" si="2"/>
        <v>S5318XM1</v>
      </c>
      <c r="D308" s="6">
        <v>16.0</v>
      </c>
      <c r="E308" s="10" t="str">
        <f t="shared" si="3"/>
        <v>BXM16</v>
      </c>
      <c r="F308" s="13">
        <v>95.0</v>
      </c>
      <c r="G308" s="10" t="str">
        <f t="shared" si="4"/>
        <v>BXM16-95</v>
      </c>
      <c r="H308" s="16"/>
      <c r="I308" s="16" t="str">
        <f t="shared" si="5"/>
        <v>collected</v>
      </c>
      <c r="J308" s="16" t="str">
        <f t="shared" si="6"/>
        <v>N</v>
      </c>
      <c r="K308" s="16"/>
      <c r="L308" s="16"/>
    </row>
    <row r="309">
      <c r="A309" s="29" t="s">
        <v>601</v>
      </c>
      <c r="B309" s="10" t="str">
        <f t="shared" si="1"/>
        <v>extra_muscle</v>
      </c>
      <c r="C309" s="49" t="str">
        <f t="shared" si="2"/>
        <v>S5319XM1</v>
      </c>
      <c r="D309" s="6">
        <v>16.0</v>
      </c>
      <c r="E309" s="10" t="str">
        <f t="shared" si="3"/>
        <v>BXM16</v>
      </c>
      <c r="F309" s="13">
        <v>96.0</v>
      </c>
      <c r="G309" s="10" t="str">
        <f t="shared" si="4"/>
        <v>BXM16-96</v>
      </c>
      <c r="H309" s="16"/>
      <c r="I309" s="16" t="str">
        <f t="shared" si="5"/>
        <v>collected</v>
      </c>
      <c r="J309" s="16" t="str">
        <f t="shared" si="6"/>
        <v>N</v>
      </c>
      <c r="K309" s="16"/>
      <c r="L309" s="16"/>
    </row>
    <row r="310">
      <c r="A310" s="29" t="s">
        <v>603</v>
      </c>
      <c r="B310" s="10" t="str">
        <f t="shared" si="1"/>
        <v>extra_muscle</v>
      </c>
      <c r="C310" s="49" t="str">
        <f t="shared" si="2"/>
        <v>S5320XM1</v>
      </c>
      <c r="D310" s="6">
        <v>16.0</v>
      </c>
      <c r="E310" s="10" t="str">
        <f t="shared" si="3"/>
        <v>BXM16</v>
      </c>
      <c r="F310" s="13">
        <v>97.0</v>
      </c>
      <c r="G310" s="10" t="str">
        <f t="shared" si="4"/>
        <v>BXM16-97</v>
      </c>
      <c r="H310" s="16"/>
      <c r="I310" s="16" t="str">
        <f t="shared" si="5"/>
        <v>collected</v>
      </c>
      <c r="J310" s="16" t="str">
        <f t="shared" si="6"/>
        <v>N</v>
      </c>
      <c r="K310" s="16"/>
      <c r="L310" s="16"/>
    </row>
    <row r="311">
      <c r="A311" s="29" t="s">
        <v>604</v>
      </c>
      <c r="B311" s="10" t="str">
        <f t="shared" si="1"/>
        <v>extra_muscle</v>
      </c>
      <c r="C311" s="49" t="str">
        <f t="shared" si="2"/>
        <v>S5321XM1</v>
      </c>
      <c r="D311" s="6">
        <v>16.0</v>
      </c>
      <c r="E311" s="10" t="str">
        <f t="shared" si="3"/>
        <v>BXM16</v>
      </c>
      <c r="F311" s="13">
        <v>98.0</v>
      </c>
      <c r="G311" s="10" t="str">
        <f t="shared" si="4"/>
        <v>BXM16-98</v>
      </c>
      <c r="H311" s="16"/>
      <c r="I311" s="16" t="str">
        <f t="shared" si="5"/>
        <v>collected</v>
      </c>
      <c r="J311" s="16" t="str">
        <f t="shared" si="6"/>
        <v>N</v>
      </c>
      <c r="K311" s="16"/>
      <c r="L311" s="16"/>
    </row>
    <row r="312">
      <c r="A312" s="27" t="s">
        <v>606</v>
      </c>
      <c r="B312" s="10" t="str">
        <f t="shared" si="1"/>
        <v>extra_muscle</v>
      </c>
      <c r="C312" s="49" t="str">
        <f t="shared" si="2"/>
        <v>S5406XM1</v>
      </c>
      <c r="D312" s="6">
        <v>25.0</v>
      </c>
      <c r="E312" s="10" t="str">
        <f t="shared" si="3"/>
        <v>BXM25</v>
      </c>
      <c r="F312" s="13">
        <v>9.0</v>
      </c>
      <c r="G312" s="10" t="str">
        <f t="shared" si="4"/>
        <v>BXM25-9</v>
      </c>
      <c r="H312" s="16"/>
      <c r="I312" s="16" t="str">
        <f t="shared" si="5"/>
        <v>collected</v>
      </c>
      <c r="J312" s="16" t="str">
        <f t="shared" si="6"/>
        <v>N</v>
      </c>
      <c r="K312" s="16"/>
      <c r="L312" s="16"/>
    </row>
    <row r="313">
      <c r="A313" s="27" t="s">
        <v>607</v>
      </c>
      <c r="B313" s="10" t="str">
        <f t="shared" si="1"/>
        <v>extra_muscle</v>
      </c>
      <c r="C313" s="49" t="str">
        <f t="shared" si="2"/>
        <v>S5407XM1</v>
      </c>
      <c r="D313" s="6">
        <v>25.0</v>
      </c>
      <c r="E313" s="10" t="str">
        <f t="shared" si="3"/>
        <v>BXM25</v>
      </c>
      <c r="F313" s="13">
        <v>10.0</v>
      </c>
      <c r="G313" s="10" t="str">
        <f t="shared" si="4"/>
        <v>BXM25-10</v>
      </c>
      <c r="H313" s="16"/>
      <c r="I313" s="16" t="str">
        <f t="shared" si="5"/>
        <v>collected</v>
      </c>
      <c r="J313" s="16" t="str">
        <f t="shared" si="6"/>
        <v>N</v>
      </c>
      <c r="K313" s="16"/>
      <c r="L313" s="16"/>
    </row>
    <row r="314">
      <c r="A314" s="27" t="s">
        <v>608</v>
      </c>
      <c r="B314" s="10" t="str">
        <f t="shared" si="1"/>
        <v>extra_muscle</v>
      </c>
      <c r="C314" s="49" t="str">
        <f t="shared" si="2"/>
        <v>S5408XM1</v>
      </c>
      <c r="D314" s="6">
        <v>25.0</v>
      </c>
      <c r="E314" s="10" t="str">
        <f t="shared" si="3"/>
        <v>BXM25</v>
      </c>
      <c r="F314" s="13">
        <v>11.0</v>
      </c>
      <c r="G314" s="10" t="str">
        <f t="shared" si="4"/>
        <v>BXM25-11</v>
      </c>
      <c r="H314" s="16"/>
      <c r="I314" s="16" t="str">
        <f t="shared" si="5"/>
        <v>collected</v>
      </c>
      <c r="J314" s="16" t="str">
        <f t="shared" si="6"/>
        <v>N</v>
      </c>
      <c r="K314" s="16"/>
      <c r="L314" s="16"/>
    </row>
    <row r="315">
      <c r="A315" s="27" t="s">
        <v>610</v>
      </c>
      <c r="B315" s="10" t="str">
        <f t="shared" si="1"/>
        <v>extra_muscle</v>
      </c>
      <c r="C315" s="49" t="str">
        <f t="shared" si="2"/>
        <v>S5409XM1</v>
      </c>
      <c r="D315" s="6">
        <v>25.0</v>
      </c>
      <c r="E315" s="10" t="str">
        <f t="shared" si="3"/>
        <v>BXM25</v>
      </c>
      <c r="F315" s="13">
        <v>12.0</v>
      </c>
      <c r="G315" s="10" t="str">
        <f t="shared" si="4"/>
        <v>BXM25-12</v>
      </c>
      <c r="H315" s="16"/>
      <c r="I315" s="16" t="str">
        <f t="shared" si="5"/>
        <v>collected</v>
      </c>
      <c r="J315" s="16" t="str">
        <f t="shared" si="6"/>
        <v>N</v>
      </c>
      <c r="K315" s="16"/>
      <c r="L315" s="16"/>
    </row>
    <row r="316">
      <c r="A316" s="27" t="s">
        <v>611</v>
      </c>
      <c r="B316" s="10" t="str">
        <f t="shared" si="1"/>
        <v>extra_muscle</v>
      </c>
      <c r="C316" s="49" t="str">
        <f t="shared" si="2"/>
        <v>S5410XM1</v>
      </c>
      <c r="D316" s="6">
        <v>25.0</v>
      </c>
      <c r="E316" s="10" t="str">
        <f t="shared" si="3"/>
        <v>BXM25</v>
      </c>
      <c r="F316" s="13">
        <v>13.0</v>
      </c>
      <c r="G316" s="10" t="str">
        <f t="shared" si="4"/>
        <v>BXM25-13</v>
      </c>
      <c r="H316" s="16"/>
      <c r="I316" s="16" t="str">
        <f t="shared" si="5"/>
        <v>collected</v>
      </c>
      <c r="J316" s="16" t="str">
        <f t="shared" si="6"/>
        <v>N</v>
      </c>
      <c r="K316" s="16"/>
      <c r="L316" s="16"/>
    </row>
    <row r="317">
      <c r="A317" s="27" t="s">
        <v>613</v>
      </c>
      <c r="B317" s="10" t="str">
        <f t="shared" si="1"/>
        <v>extra_muscle</v>
      </c>
      <c r="C317" s="49" t="str">
        <f t="shared" si="2"/>
        <v>S5411XM1</v>
      </c>
      <c r="D317" s="6">
        <v>25.0</v>
      </c>
      <c r="E317" s="10" t="str">
        <f t="shared" si="3"/>
        <v>BXM25</v>
      </c>
      <c r="F317" s="13">
        <v>14.0</v>
      </c>
      <c r="G317" s="10" t="str">
        <f t="shared" si="4"/>
        <v>BXM25-14</v>
      </c>
      <c r="H317" s="16"/>
      <c r="I317" s="16" t="str">
        <f t="shared" si="5"/>
        <v>collected</v>
      </c>
      <c r="J317" s="16" t="str">
        <f t="shared" si="6"/>
        <v>N</v>
      </c>
      <c r="K317" s="16"/>
      <c r="L317" s="16"/>
    </row>
    <row r="318">
      <c r="A318" s="27" t="s">
        <v>614</v>
      </c>
      <c r="B318" s="10" t="str">
        <f t="shared" si="1"/>
        <v>extra_muscle</v>
      </c>
      <c r="C318" s="49" t="str">
        <f t="shared" si="2"/>
        <v>S5437XM1</v>
      </c>
      <c r="D318" s="6">
        <v>25.0</v>
      </c>
      <c r="E318" s="10" t="str">
        <f t="shared" si="3"/>
        <v>BXM25</v>
      </c>
      <c r="F318" s="13">
        <v>15.0</v>
      </c>
      <c r="G318" s="10" t="str">
        <f t="shared" si="4"/>
        <v>BXM25-15</v>
      </c>
      <c r="H318" s="16"/>
      <c r="I318" s="16" t="str">
        <f t="shared" si="5"/>
        <v>collected</v>
      </c>
      <c r="J318" s="16" t="str">
        <f t="shared" si="6"/>
        <v>N</v>
      </c>
      <c r="K318" s="16"/>
      <c r="L318" s="16"/>
    </row>
    <row r="319">
      <c r="A319" s="26" t="s">
        <v>615</v>
      </c>
      <c r="B319" s="10" t="str">
        <f t="shared" si="1"/>
        <v>extra_muscle</v>
      </c>
      <c r="C319" s="49" t="str">
        <f t="shared" si="2"/>
        <v>S5438XM1</v>
      </c>
      <c r="D319" s="6">
        <v>25.0</v>
      </c>
      <c r="E319" s="10" t="str">
        <f t="shared" si="3"/>
        <v>BXM25</v>
      </c>
      <c r="F319" s="13">
        <v>16.0</v>
      </c>
      <c r="G319" s="10" t="str">
        <f t="shared" si="4"/>
        <v>BXM25-16</v>
      </c>
      <c r="H319" s="16"/>
      <c r="I319" s="16" t="str">
        <f t="shared" si="5"/>
        <v>collected</v>
      </c>
      <c r="J319" s="16" t="str">
        <f t="shared" si="6"/>
        <v>N</v>
      </c>
      <c r="K319" s="16"/>
      <c r="L319" s="16"/>
    </row>
    <row r="320">
      <c r="A320" s="26" t="s">
        <v>618</v>
      </c>
      <c r="B320" s="10" t="str">
        <f t="shared" si="1"/>
        <v>extra_muscle</v>
      </c>
      <c r="C320" s="49" t="str">
        <f t="shared" si="2"/>
        <v>S5439XM1</v>
      </c>
      <c r="D320" s="6">
        <v>25.0</v>
      </c>
      <c r="E320" s="10" t="str">
        <f t="shared" si="3"/>
        <v>BXM25</v>
      </c>
      <c r="F320" s="13">
        <v>17.0</v>
      </c>
      <c r="G320" s="10" t="str">
        <f t="shared" si="4"/>
        <v>BXM25-17</v>
      </c>
      <c r="H320" s="16"/>
      <c r="I320" s="16" t="str">
        <f t="shared" si="5"/>
        <v>collected</v>
      </c>
      <c r="J320" s="16" t="str">
        <f t="shared" si="6"/>
        <v>N</v>
      </c>
      <c r="K320" s="16"/>
      <c r="L320" s="16"/>
    </row>
    <row r="321">
      <c r="A321" s="26" t="s">
        <v>619</v>
      </c>
      <c r="B321" s="10" t="str">
        <f t="shared" si="1"/>
        <v>extra_muscle</v>
      </c>
      <c r="C321" s="49" t="str">
        <f t="shared" si="2"/>
        <v>S5440XM1</v>
      </c>
      <c r="D321" s="6">
        <v>25.0</v>
      </c>
      <c r="E321" s="10" t="str">
        <f t="shared" si="3"/>
        <v>BXM25</v>
      </c>
      <c r="F321" s="13">
        <v>18.0</v>
      </c>
      <c r="G321" s="10" t="str">
        <f t="shared" si="4"/>
        <v>BXM25-18</v>
      </c>
      <c r="H321" s="16"/>
      <c r="I321" s="16" t="str">
        <f t="shared" si="5"/>
        <v>collected</v>
      </c>
      <c r="J321" s="16" t="str">
        <f t="shared" si="6"/>
        <v>N</v>
      </c>
      <c r="K321" s="16"/>
      <c r="L321" s="16"/>
    </row>
    <row r="322">
      <c r="A322" s="26" t="s">
        <v>621</v>
      </c>
      <c r="B322" s="10" t="str">
        <f t="shared" si="1"/>
        <v>extra_muscle</v>
      </c>
      <c r="C322" s="49" t="str">
        <f t="shared" si="2"/>
        <v>S5441XM1</v>
      </c>
      <c r="D322" s="6">
        <v>25.0</v>
      </c>
      <c r="E322" s="10" t="str">
        <f t="shared" si="3"/>
        <v>BXM25</v>
      </c>
      <c r="F322" s="13">
        <v>19.0</v>
      </c>
      <c r="G322" s="10" t="str">
        <f t="shared" si="4"/>
        <v>BXM25-19</v>
      </c>
      <c r="H322" s="16"/>
      <c r="I322" s="16" t="str">
        <f t="shared" si="5"/>
        <v>collected</v>
      </c>
      <c r="J322" s="16" t="str">
        <f t="shared" si="6"/>
        <v>N</v>
      </c>
      <c r="K322" s="16"/>
      <c r="L322" s="16"/>
    </row>
    <row r="323">
      <c r="A323" s="26" t="s">
        <v>622</v>
      </c>
      <c r="B323" s="10" t="str">
        <f t="shared" si="1"/>
        <v>extra_muscle</v>
      </c>
      <c r="C323" s="49" t="str">
        <f t="shared" si="2"/>
        <v>S5442XM1</v>
      </c>
      <c r="D323" s="6">
        <v>25.0</v>
      </c>
      <c r="E323" s="10" t="str">
        <f t="shared" si="3"/>
        <v>BXM25</v>
      </c>
      <c r="F323" s="13">
        <v>20.0</v>
      </c>
      <c r="G323" s="10" t="str">
        <f t="shared" si="4"/>
        <v>BXM25-20</v>
      </c>
      <c r="H323" s="16"/>
      <c r="I323" s="16" t="str">
        <f t="shared" si="5"/>
        <v>collected</v>
      </c>
      <c r="J323" s="16" t="str">
        <f t="shared" si="6"/>
        <v>N</v>
      </c>
      <c r="K323" s="16"/>
      <c r="L323" s="16"/>
    </row>
    <row r="324">
      <c r="A324" s="26" t="s">
        <v>624</v>
      </c>
      <c r="B324" s="10" t="str">
        <f t="shared" si="1"/>
        <v>extra_muscle</v>
      </c>
      <c r="C324" s="49" t="str">
        <f t="shared" si="2"/>
        <v>S5443XM1</v>
      </c>
      <c r="D324" s="6">
        <v>25.0</v>
      </c>
      <c r="E324" s="10" t="str">
        <f t="shared" si="3"/>
        <v>BXM25</v>
      </c>
      <c r="F324" s="13">
        <v>21.0</v>
      </c>
      <c r="G324" s="10" t="str">
        <f t="shared" si="4"/>
        <v>BXM25-21</v>
      </c>
      <c r="H324" s="16"/>
      <c r="I324" s="16" t="str">
        <f t="shared" si="5"/>
        <v>collected</v>
      </c>
      <c r="J324" s="16" t="str">
        <f t="shared" si="6"/>
        <v>N</v>
      </c>
      <c r="K324" s="16"/>
      <c r="L324" s="16"/>
    </row>
    <row r="325">
      <c r="A325" s="26" t="s">
        <v>626</v>
      </c>
      <c r="B325" s="10" t="str">
        <f t="shared" si="1"/>
        <v>extra_muscle</v>
      </c>
      <c r="C325" s="49" t="str">
        <f t="shared" si="2"/>
        <v>S5444XM1</v>
      </c>
      <c r="D325" s="6">
        <v>25.0</v>
      </c>
      <c r="E325" s="10" t="str">
        <f t="shared" si="3"/>
        <v>BXM25</v>
      </c>
      <c r="F325" s="13">
        <v>22.0</v>
      </c>
      <c r="G325" s="10" t="str">
        <f t="shared" si="4"/>
        <v>BXM25-22</v>
      </c>
      <c r="H325" s="16"/>
      <c r="I325" s="16" t="str">
        <f t="shared" si="5"/>
        <v>collected</v>
      </c>
      <c r="J325" s="16" t="str">
        <f t="shared" si="6"/>
        <v>N</v>
      </c>
      <c r="K325" s="16"/>
      <c r="L325" s="16"/>
    </row>
    <row r="326">
      <c r="A326" s="26" t="s">
        <v>627</v>
      </c>
      <c r="B326" s="10" t="str">
        <f t="shared" si="1"/>
        <v>extra_muscle</v>
      </c>
      <c r="C326" s="49" t="str">
        <f t="shared" si="2"/>
        <v>S5445XM1</v>
      </c>
      <c r="D326" s="6">
        <v>25.0</v>
      </c>
      <c r="E326" s="10" t="str">
        <f t="shared" si="3"/>
        <v>BXM25</v>
      </c>
      <c r="F326" s="13">
        <v>23.0</v>
      </c>
      <c r="G326" s="10" t="str">
        <f t="shared" si="4"/>
        <v>BXM25-23</v>
      </c>
      <c r="H326" s="16"/>
      <c r="I326" s="16" t="str">
        <f t="shared" si="5"/>
        <v>collected</v>
      </c>
      <c r="J326" s="16" t="str">
        <f t="shared" si="6"/>
        <v>N</v>
      </c>
      <c r="K326" s="16"/>
      <c r="L326" s="16"/>
    </row>
    <row r="327">
      <c r="A327" s="26" t="s">
        <v>628</v>
      </c>
      <c r="B327" s="10" t="str">
        <f t="shared" si="1"/>
        <v>extra_muscle</v>
      </c>
      <c r="C327" s="49" t="str">
        <f t="shared" si="2"/>
        <v>S5446XM1</v>
      </c>
      <c r="D327" s="6">
        <v>25.0</v>
      </c>
      <c r="E327" s="10" t="str">
        <f t="shared" si="3"/>
        <v>BXM25</v>
      </c>
      <c r="F327" s="13">
        <v>24.0</v>
      </c>
      <c r="G327" s="10" t="str">
        <f t="shared" si="4"/>
        <v>BXM25-24</v>
      </c>
      <c r="H327" s="16"/>
      <c r="I327" s="16" t="str">
        <f t="shared" si="5"/>
        <v>collected</v>
      </c>
      <c r="J327" s="16" t="str">
        <f t="shared" si="6"/>
        <v>N</v>
      </c>
      <c r="K327" s="16"/>
      <c r="L327" s="16"/>
    </row>
    <row r="328">
      <c r="A328" s="26" t="s">
        <v>632</v>
      </c>
      <c r="B328" s="10" t="str">
        <f t="shared" si="1"/>
        <v>extra_muscle</v>
      </c>
      <c r="C328" s="49" t="str">
        <f t="shared" si="2"/>
        <v>S5447XM1</v>
      </c>
      <c r="D328" s="6">
        <v>25.0</v>
      </c>
      <c r="E328" s="10" t="str">
        <f t="shared" si="3"/>
        <v>BXM25</v>
      </c>
      <c r="F328" s="13">
        <v>25.0</v>
      </c>
      <c r="G328" s="10" t="str">
        <f t="shared" si="4"/>
        <v>BXM25-25</v>
      </c>
      <c r="H328" s="16"/>
      <c r="I328" s="16" t="str">
        <f t="shared" si="5"/>
        <v>collected</v>
      </c>
      <c r="J328" s="16" t="str">
        <f t="shared" si="6"/>
        <v>N</v>
      </c>
      <c r="K328" s="16"/>
      <c r="L328" s="16"/>
    </row>
    <row r="329">
      <c r="A329" s="26" t="s">
        <v>633</v>
      </c>
      <c r="B329" s="10" t="str">
        <f t="shared" si="1"/>
        <v>extra_muscle</v>
      </c>
      <c r="C329" s="49" t="str">
        <f t="shared" si="2"/>
        <v>S5448XM1</v>
      </c>
      <c r="D329" s="6">
        <v>25.0</v>
      </c>
      <c r="E329" s="10" t="str">
        <f t="shared" si="3"/>
        <v>BXM25</v>
      </c>
      <c r="F329" s="13">
        <v>26.0</v>
      </c>
      <c r="G329" s="10" t="str">
        <f t="shared" si="4"/>
        <v>BXM25-26</v>
      </c>
      <c r="H329" s="16"/>
      <c r="I329" s="16" t="str">
        <f t="shared" si="5"/>
        <v>collected</v>
      </c>
      <c r="J329" s="16" t="str">
        <f t="shared" si="6"/>
        <v>N</v>
      </c>
      <c r="K329" s="16"/>
      <c r="L329" s="16"/>
    </row>
    <row r="330">
      <c r="A330" s="26" t="s">
        <v>634</v>
      </c>
      <c r="B330" s="10" t="str">
        <f t="shared" si="1"/>
        <v>extra_muscle</v>
      </c>
      <c r="C330" s="49" t="str">
        <f t="shared" si="2"/>
        <v>S5449XM1</v>
      </c>
      <c r="D330" s="6">
        <v>25.0</v>
      </c>
      <c r="E330" s="10" t="str">
        <f t="shared" si="3"/>
        <v>BXM25</v>
      </c>
      <c r="F330" s="13">
        <v>27.0</v>
      </c>
      <c r="G330" s="10" t="str">
        <f t="shared" si="4"/>
        <v>BXM25-27</v>
      </c>
      <c r="H330" s="16"/>
      <c r="I330" s="16" t="str">
        <f t="shared" si="5"/>
        <v>collected</v>
      </c>
      <c r="J330" s="16" t="str">
        <f t="shared" si="6"/>
        <v>N</v>
      </c>
      <c r="K330" s="16"/>
      <c r="L330" s="16"/>
    </row>
    <row r="331">
      <c r="A331" s="44" t="s">
        <v>635</v>
      </c>
      <c r="B331" s="10" t="str">
        <f t="shared" si="1"/>
        <v>extra_muscle</v>
      </c>
      <c r="C331" s="49" t="str">
        <f t="shared" si="2"/>
        <v>S16798XM1</v>
      </c>
      <c r="D331" s="6">
        <v>25.0</v>
      </c>
      <c r="E331" s="10" t="str">
        <f t="shared" si="3"/>
        <v>BXM25</v>
      </c>
      <c r="F331" s="13">
        <v>28.0</v>
      </c>
      <c r="G331" s="10" t="str">
        <f t="shared" si="4"/>
        <v>BXM25-28</v>
      </c>
      <c r="H331" s="16"/>
      <c r="I331" s="16" t="str">
        <f t="shared" si="5"/>
        <v>collected</v>
      </c>
      <c r="J331" s="16" t="str">
        <f t="shared" si="6"/>
        <v>N</v>
      </c>
      <c r="K331" s="16"/>
      <c r="L331" s="16"/>
    </row>
    <row r="332">
      <c r="A332" s="44" t="s">
        <v>637</v>
      </c>
      <c r="B332" s="10" t="str">
        <f t="shared" si="1"/>
        <v>extra_muscle</v>
      </c>
      <c r="C332" s="49" t="str">
        <f t="shared" si="2"/>
        <v>S16797XM1</v>
      </c>
      <c r="D332" s="6">
        <v>25.0</v>
      </c>
      <c r="E332" s="10" t="str">
        <f t="shared" si="3"/>
        <v>BXM25</v>
      </c>
      <c r="F332" s="13">
        <v>29.0</v>
      </c>
      <c r="G332" s="10" t="str">
        <f t="shared" si="4"/>
        <v>BXM25-29</v>
      </c>
      <c r="H332" s="16"/>
      <c r="I332" s="16" t="str">
        <f t="shared" si="5"/>
        <v>collected</v>
      </c>
      <c r="J332" s="16" t="str">
        <f t="shared" si="6"/>
        <v>N</v>
      </c>
      <c r="K332" s="16"/>
      <c r="L332" s="16"/>
    </row>
    <row r="333">
      <c r="A333" s="40" t="s">
        <v>640</v>
      </c>
      <c r="B333" s="10" t="str">
        <f t="shared" si="1"/>
        <v>extra_muscle</v>
      </c>
      <c r="C333" s="49" t="str">
        <f t="shared" si="2"/>
        <v>S16800XM1</v>
      </c>
      <c r="D333" s="6">
        <v>25.0</v>
      </c>
      <c r="E333" s="10" t="str">
        <f t="shared" si="3"/>
        <v>BXM25</v>
      </c>
      <c r="F333" s="13">
        <v>30.0</v>
      </c>
      <c r="G333" s="10" t="str">
        <f t="shared" si="4"/>
        <v>BXM25-30</v>
      </c>
      <c r="H333" s="16"/>
      <c r="I333" s="16" t="str">
        <f t="shared" si="5"/>
        <v>collected</v>
      </c>
      <c r="J333" s="16" t="str">
        <f t="shared" si="6"/>
        <v>N</v>
      </c>
      <c r="K333" s="16"/>
      <c r="L333" s="16"/>
    </row>
    <row r="334">
      <c r="A334" s="40" t="s">
        <v>642</v>
      </c>
      <c r="B334" s="10" t="str">
        <f t="shared" si="1"/>
        <v>extra_muscle</v>
      </c>
      <c r="C334" s="49" t="str">
        <f t="shared" si="2"/>
        <v>S16795XM1</v>
      </c>
      <c r="D334" s="6">
        <v>25.0</v>
      </c>
      <c r="E334" s="10" t="str">
        <f t="shared" si="3"/>
        <v>BXM25</v>
      </c>
      <c r="F334" s="13">
        <v>31.0</v>
      </c>
      <c r="G334" s="10" t="str">
        <f t="shared" si="4"/>
        <v>BXM25-31</v>
      </c>
      <c r="H334" s="16"/>
      <c r="I334" s="16" t="str">
        <f t="shared" si="5"/>
        <v>collected</v>
      </c>
      <c r="J334" s="16" t="str">
        <f t="shared" si="6"/>
        <v>N</v>
      </c>
      <c r="K334" s="16"/>
      <c r="L334" s="16"/>
    </row>
    <row r="335">
      <c r="A335" s="40" t="s">
        <v>643</v>
      </c>
      <c r="B335" s="10" t="str">
        <f t="shared" si="1"/>
        <v>extra_muscle</v>
      </c>
      <c r="C335" s="49" t="str">
        <f t="shared" si="2"/>
        <v>S16793XM1</v>
      </c>
      <c r="D335" s="6">
        <v>25.0</v>
      </c>
      <c r="E335" s="10" t="str">
        <f t="shared" si="3"/>
        <v>BXM25</v>
      </c>
      <c r="F335" s="13">
        <v>32.0</v>
      </c>
      <c r="G335" s="10" t="str">
        <f t="shared" si="4"/>
        <v>BXM25-32</v>
      </c>
      <c r="H335" s="16"/>
      <c r="I335" s="16" t="str">
        <f t="shared" si="5"/>
        <v>collected</v>
      </c>
      <c r="J335" s="16" t="str">
        <f t="shared" si="6"/>
        <v>N</v>
      </c>
      <c r="K335" s="16"/>
      <c r="L335" s="16"/>
    </row>
    <row r="336">
      <c r="A336" s="40" t="s">
        <v>644</v>
      </c>
      <c r="B336" s="10" t="str">
        <f t="shared" si="1"/>
        <v>extra_muscle</v>
      </c>
      <c r="C336" s="49" t="str">
        <f t="shared" si="2"/>
        <v>S16796XM1</v>
      </c>
      <c r="D336" s="6">
        <v>25.0</v>
      </c>
      <c r="E336" s="10" t="str">
        <f t="shared" si="3"/>
        <v>BXM25</v>
      </c>
      <c r="F336" s="13">
        <v>33.0</v>
      </c>
      <c r="G336" s="10" t="str">
        <f t="shared" si="4"/>
        <v>BXM25-33</v>
      </c>
      <c r="H336" s="16"/>
      <c r="I336" s="16" t="str">
        <f t="shared" si="5"/>
        <v>collected</v>
      </c>
      <c r="J336" s="16" t="str">
        <f t="shared" si="6"/>
        <v>N</v>
      </c>
      <c r="K336" s="16"/>
      <c r="L336" s="16"/>
    </row>
    <row r="337">
      <c r="A337" s="40" t="s">
        <v>647</v>
      </c>
      <c r="B337" s="10" t="str">
        <f t="shared" si="1"/>
        <v>extra_muscle</v>
      </c>
      <c r="C337" s="49" t="str">
        <f t="shared" si="2"/>
        <v>S16799XM1</v>
      </c>
      <c r="D337" s="6">
        <v>25.0</v>
      </c>
      <c r="E337" s="10" t="str">
        <f t="shared" si="3"/>
        <v>BXM25</v>
      </c>
      <c r="F337" s="13">
        <v>34.0</v>
      </c>
      <c r="G337" s="10" t="str">
        <f t="shared" si="4"/>
        <v>BXM25-34</v>
      </c>
      <c r="H337" s="16"/>
      <c r="I337" s="16" t="str">
        <f t="shared" si="5"/>
        <v>collected</v>
      </c>
      <c r="J337" s="16" t="str">
        <f t="shared" si="6"/>
        <v>N</v>
      </c>
      <c r="K337" s="16"/>
      <c r="L337" s="16"/>
    </row>
    <row r="338">
      <c r="A338" s="40" t="s">
        <v>648</v>
      </c>
      <c r="B338" s="10" t="str">
        <f t="shared" si="1"/>
        <v>extra_muscle</v>
      </c>
      <c r="C338" s="49" t="str">
        <f t="shared" si="2"/>
        <v>S16794XM1</v>
      </c>
      <c r="D338" s="6">
        <v>25.0</v>
      </c>
      <c r="E338" s="10" t="str">
        <f t="shared" si="3"/>
        <v>BXM25</v>
      </c>
      <c r="F338" s="13">
        <v>35.0</v>
      </c>
      <c r="G338" s="10" t="str">
        <f t="shared" si="4"/>
        <v>BXM25-35</v>
      </c>
      <c r="H338" s="16"/>
      <c r="I338" s="16" t="str">
        <f t="shared" si="5"/>
        <v>collected</v>
      </c>
      <c r="J338" s="16" t="str">
        <f t="shared" si="6"/>
        <v>N</v>
      </c>
      <c r="K338" s="16"/>
      <c r="L338" s="16"/>
    </row>
    <row r="339">
      <c r="A339" s="40" t="s">
        <v>650</v>
      </c>
      <c r="B339" s="10" t="str">
        <f t="shared" si="1"/>
        <v>extra_muscle</v>
      </c>
      <c r="C339" s="49" t="str">
        <f t="shared" si="2"/>
        <v>S16792XM1</v>
      </c>
      <c r="D339" s="6">
        <v>25.0</v>
      </c>
      <c r="E339" s="10" t="str">
        <f t="shared" si="3"/>
        <v>BXM25</v>
      </c>
      <c r="F339" s="13">
        <v>36.0</v>
      </c>
      <c r="G339" s="10" t="str">
        <f t="shared" si="4"/>
        <v>BXM25-36</v>
      </c>
      <c r="H339" s="16"/>
      <c r="I339" s="16" t="str">
        <f t="shared" si="5"/>
        <v>collected</v>
      </c>
      <c r="J339" s="16" t="str">
        <f t="shared" si="6"/>
        <v>N</v>
      </c>
      <c r="K339" s="16"/>
      <c r="L339" s="16"/>
    </row>
    <row r="340">
      <c r="A340" s="44" t="s">
        <v>651</v>
      </c>
      <c r="B340" s="10" t="str">
        <f t="shared" si="1"/>
        <v>extra_muscle</v>
      </c>
      <c r="C340" s="49" t="str">
        <f t="shared" si="2"/>
        <v>S16791XM1</v>
      </c>
      <c r="D340" s="6">
        <v>25.0</v>
      </c>
      <c r="E340" s="10" t="str">
        <f t="shared" si="3"/>
        <v>BXM25</v>
      </c>
      <c r="F340" s="13">
        <v>37.0</v>
      </c>
      <c r="G340" s="10" t="str">
        <f t="shared" si="4"/>
        <v>BXM25-37</v>
      </c>
      <c r="H340" s="16"/>
      <c r="I340" s="16" t="str">
        <f t="shared" si="5"/>
        <v>collected</v>
      </c>
      <c r="J340" s="16" t="str">
        <f t="shared" si="6"/>
        <v>N</v>
      </c>
      <c r="K340" s="16"/>
      <c r="L340" s="16"/>
    </row>
    <row r="341">
      <c r="A341" s="26" t="s">
        <v>653</v>
      </c>
      <c r="B341" s="10" t="str">
        <f t="shared" si="1"/>
        <v>extra_muscle</v>
      </c>
      <c r="C341" s="49" t="str">
        <f t="shared" si="2"/>
        <v>S5422XM1</v>
      </c>
      <c r="D341" s="6">
        <v>26.0</v>
      </c>
      <c r="E341" s="10" t="str">
        <f t="shared" si="3"/>
        <v>BXM26</v>
      </c>
      <c r="F341" s="13">
        <v>1.0</v>
      </c>
      <c r="G341" s="10" t="str">
        <f t="shared" si="4"/>
        <v>BXM26-1</v>
      </c>
      <c r="H341" s="16"/>
      <c r="I341" s="16" t="str">
        <f t="shared" si="5"/>
        <v>collected</v>
      </c>
      <c r="J341" s="16" t="str">
        <f t="shared" si="6"/>
        <v>N</v>
      </c>
      <c r="K341" s="16"/>
      <c r="L341" s="16"/>
    </row>
    <row r="342">
      <c r="A342" s="26" t="s">
        <v>656</v>
      </c>
      <c r="B342" s="10" t="str">
        <f t="shared" si="1"/>
        <v>extra_muscle</v>
      </c>
      <c r="C342" s="49" t="str">
        <f t="shared" si="2"/>
        <v>S5423XM1</v>
      </c>
      <c r="D342" s="6">
        <v>26.0</v>
      </c>
      <c r="E342" s="10" t="str">
        <f t="shared" si="3"/>
        <v>BXM26</v>
      </c>
      <c r="F342" s="13">
        <v>2.0</v>
      </c>
      <c r="G342" s="10" t="str">
        <f t="shared" si="4"/>
        <v>BXM26-2</v>
      </c>
      <c r="H342" s="16"/>
      <c r="I342" s="16" t="str">
        <f t="shared" si="5"/>
        <v>collected</v>
      </c>
      <c r="J342" s="16" t="str">
        <f t="shared" si="6"/>
        <v>N</v>
      </c>
      <c r="K342" s="16"/>
      <c r="L342" s="16"/>
    </row>
    <row r="343">
      <c r="A343" s="26" t="s">
        <v>657</v>
      </c>
      <c r="B343" s="10" t="str">
        <f t="shared" si="1"/>
        <v>extra_muscle</v>
      </c>
      <c r="C343" s="49" t="str">
        <f t="shared" si="2"/>
        <v>S5424XM1</v>
      </c>
      <c r="D343" s="6">
        <v>26.0</v>
      </c>
      <c r="E343" s="10" t="str">
        <f t="shared" si="3"/>
        <v>BXM26</v>
      </c>
      <c r="F343" s="13">
        <v>3.0</v>
      </c>
      <c r="G343" s="10" t="str">
        <f t="shared" si="4"/>
        <v>BXM26-3</v>
      </c>
      <c r="H343" s="16"/>
      <c r="I343" s="16" t="str">
        <f t="shared" si="5"/>
        <v>collected</v>
      </c>
      <c r="J343" s="16" t="str">
        <f t="shared" si="6"/>
        <v>N</v>
      </c>
      <c r="K343" s="16"/>
      <c r="L343" s="16"/>
    </row>
    <row r="344">
      <c r="A344" s="26" t="s">
        <v>658</v>
      </c>
      <c r="B344" s="10" t="str">
        <f t="shared" si="1"/>
        <v>extra_muscle</v>
      </c>
      <c r="C344" s="49" t="str">
        <f t="shared" si="2"/>
        <v>S5425XM1</v>
      </c>
      <c r="D344" s="6">
        <v>26.0</v>
      </c>
      <c r="E344" s="10" t="str">
        <f t="shared" si="3"/>
        <v>BXM26</v>
      </c>
      <c r="F344" s="13">
        <v>4.0</v>
      </c>
      <c r="G344" s="10" t="str">
        <f t="shared" si="4"/>
        <v>BXM26-4</v>
      </c>
      <c r="H344" s="16"/>
      <c r="I344" s="16" t="str">
        <f t="shared" si="5"/>
        <v>collected</v>
      </c>
      <c r="J344" s="16" t="str">
        <f t="shared" si="6"/>
        <v>N</v>
      </c>
      <c r="K344" s="16"/>
      <c r="L344" s="16"/>
    </row>
    <row r="345">
      <c r="A345" s="26" t="s">
        <v>659</v>
      </c>
      <c r="B345" s="10" t="str">
        <f t="shared" si="1"/>
        <v>extra_muscle</v>
      </c>
      <c r="C345" s="49" t="str">
        <f t="shared" si="2"/>
        <v>S5426XM1</v>
      </c>
      <c r="D345" s="6">
        <v>26.0</v>
      </c>
      <c r="E345" s="10" t="str">
        <f t="shared" si="3"/>
        <v>BXM26</v>
      </c>
      <c r="F345" s="13">
        <v>5.0</v>
      </c>
      <c r="G345" s="10" t="str">
        <f t="shared" si="4"/>
        <v>BXM26-5</v>
      </c>
      <c r="H345" s="16"/>
      <c r="I345" s="16" t="str">
        <f t="shared" si="5"/>
        <v>collected</v>
      </c>
      <c r="J345" s="16" t="str">
        <f t="shared" si="6"/>
        <v>N</v>
      </c>
      <c r="K345" s="16"/>
      <c r="L345" s="16"/>
    </row>
    <row r="346">
      <c r="A346" s="26" t="s">
        <v>661</v>
      </c>
      <c r="B346" s="10" t="str">
        <f t="shared" si="1"/>
        <v>extra_muscle</v>
      </c>
      <c r="C346" s="49" t="str">
        <f t="shared" si="2"/>
        <v>S5427XM1</v>
      </c>
      <c r="D346" s="6">
        <v>26.0</v>
      </c>
      <c r="E346" s="10" t="str">
        <f t="shared" si="3"/>
        <v>BXM26</v>
      </c>
      <c r="F346" s="13">
        <v>6.0</v>
      </c>
      <c r="G346" s="10" t="str">
        <f t="shared" si="4"/>
        <v>BXM26-6</v>
      </c>
      <c r="H346" s="16"/>
      <c r="I346" s="16" t="str">
        <f t="shared" si="5"/>
        <v>collected</v>
      </c>
      <c r="J346" s="16" t="str">
        <f t="shared" si="6"/>
        <v>N</v>
      </c>
      <c r="K346" s="16"/>
      <c r="L346" s="16"/>
    </row>
    <row r="347">
      <c r="A347" s="25" t="s">
        <v>662</v>
      </c>
      <c r="B347" s="10" t="str">
        <f t="shared" si="1"/>
        <v>extra_muscle</v>
      </c>
      <c r="C347" s="49" t="str">
        <f t="shared" si="2"/>
        <v>S5428XM1</v>
      </c>
      <c r="D347" s="6">
        <v>26.0</v>
      </c>
      <c r="E347" s="10" t="str">
        <f t="shared" si="3"/>
        <v>BXM26</v>
      </c>
      <c r="F347" s="13">
        <v>7.0</v>
      </c>
      <c r="G347" s="10" t="str">
        <f t="shared" si="4"/>
        <v>BXM26-7</v>
      </c>
      <c r="H347" s="16"/>
      <c r="I347" s="16" t="str">
        <f t="shared" si="5"/>
        <v>collected</v>
      </c>
      <c r="J347" s="16" t="str">
        <f t="shared" si="6"/>
        <v>N</v>
      </c>
      <c r="K347" s="16"/>
      <c r="L347" s="16"/>
    </row>
    <row r="348">
      <c r="A348" s="27" t="s">
        <v>664</v>
      </c>
      <c r="B348" s="10" t="str">
        <f t="shared" si="1"/>
        <v>extra_muscle</v>
      </c>
      <c r="C348" s="49" t="str">
        <f t="shared" si="2"/>
        <v>S5429XM1</v>
      </c>
      <c r="D348" s="6">
        <v>26.0</v>
      </c>
      <c r="E348" s="10" t="str">
        <f t="shared" si="3"/>
        <v>BXM26</v>
      </c>
      <c r="F348" s="13">
        <v>8.0</v>
      </c>
      <c r="G348" s="10" t="str">
        <f t="shared" si="4"/>
        <v>BXM26-8</v>
      </c>
      <c r="H348" s="16"/>
      <c r="I348" s="16" t="str">
        <f t="shared" si="5"/>
        <v>collected</v>
      </c>
      <c r="J348" s="16" t="str">
        <f t="shared" si="6"/>
        <v>N</v>
      </c>
      <c r="K348" s="16"/>
      <c r="L348" s="16"/>
    </row>
    <row r="349">
      <c r="A349" s="27" t="s">
        <v>665</v>
      </c>
      <c r="B349" s="10" t="str">
        <f t="shared" si="1"/>
        <v>extra_muscle</v>
      </c>
      <c r="C349" s="49" t="str">
        <f t="shared" si="2"/>
        <v>S5430XM1</v>
      </c>
      <c r="D349" s="6">
        <v>26.0</v>
      </c>
      <c r="E349" s="10" t="str">
        <f t="shared" si="3"/>
        <v>BXM26</v>
      </c>
      <c r="F349" s="13">
        <v>9.0</v>
      </c>
      <c r="G349" s="10" t="str">
        <f t="shared" si="4"/>
        <v>BXM26-9</v>
      </c>
      <c r="H349" s="16"/>
      <c r="I349" s="16" t="str">
        <f t="shared" si="5"/>
        <v>collected</v>
      </c>
      <c r="J349" s="16" t="str">
        <f t="shared" si="6"/>
        <v>N</v>
      </c>
      <c r="K349" s="16"/>
      <c r="L349" s="16"/>
    </row>
    <row r="350">
      <c r="A350" s="27" t="s">
        <v>666</v>
      </c>
      <c r="B350" s="10" t="str">
        <f t="shared" si="1"/>
        <v>extra_muscle</v>
      </c>
      <c r="C350" s="49" t="str">
        <f t="shared" si="2"/>
        <v>S5431XM1</v>
      </c>
      <c r="D350" s="6">
        <v>26.0</v>
      </c>
      <c r="E350" s="10" t="str">
        <f t="shared" si="3"/>
        <v>BXM26</v>
      </c>
      <c r="F350" s="13">
        <v>10.0</v>
      </c>
      <c r="G350" s="10" t="str">
        <f t="shared" si="4"/>
        <v>BXM26-10</v>
      </c>
      <c r="H350" s="16"/>
      <c r="I350" s="16" t="str">
        <f t="shared" si="5"/>
        <v>collected</v>
      </c>
      <c r="J350" s="16" t="str">
        <f t="shared" si="6"/>
        <v>N</v>
      </c>
      <c r="K350" s="16"/>
      <c r="L350" s="16"/>
    </row>
    <row r="351">
      <c r="A351" s="27" t="s">
        <v>668</v>
      </c>
      <c r="B351" s="10" t="str">
        <f t="shared" si="1"/>
        <v>extra_muscle</v>
      </c>
      <c r="C351" s="49" t="str">
        <f t="shared" si="2"/>
        <v>S5432XM1</v>
      </c>
      <c r="D351" s="6">
        <v>26.0</v>
      </c>
      <c r="E351" s="10" t="str">
        <f t="shared" si="3"/>
        <v>BXM26</v>
      </c>
      <c r="F351" s="13">
        <v>11.0</v>
      </c>
      <c r="G351" s="10" t="str">
        <f t="shared" si="4"/>
        <v>BXM26-11</v>
      </c>
      <c r="H351" s="16"/>
      <c r="I351" s="16" t="str">
        <f t="shared" si="5"/>
        <v>collected</v>
      </c>
      <c r="J351" s="16" t="str">
        <f t="shared" si="6"/>
        <v>N</v>
      </c>
      <c r="K351" s="16"/>
      <c r="L351" s="16"/>
    </row>
    <row r="352">
      <c r="A352" s="27" t="s">
        <v>670</v>
      </c>
      <c r="B352" s="10" t="str">
        <f t="shared" si="1"/>
        <v>extra_muscle</v>
      </c>
      <c r="C352" s="49" t="str">
        <f t="shared" si="2"/>
        <v>S5433XM1</v>
      </c>
      <c r="D352" s="6">
        <v>26.0</v>
      </c>
      <c r="E352" s="10" t="str">
        <f t="shared" si="3"/>
        <v>BXM26</v>
      </c>
      <c r="F352" s="13">
        <v>12.0</v>
      </c>
      <c r="G352" s="10" t="str">
        <f t="shared" si="4"/>
        <v>BXM26-12</v>
      </c>
      <c r="H352" s="16"/>
      <c r="I352" s="16" t="str">
        <f t="shared" si="5"/>
        <v>collected</v>
      </c>
      <c r="J352" s="16" t="str">
        <f t="shared" si="6"/>
        <v>N</v>
      </c>
      <c r="K352" s="16"/>
      <c r="L352" s="16"/>
    </row>
    <row r="353">
      <c r="A353" s="27" t="s">
        <v>671</v>
      </c>
      <c r="B353" s="10" t="str">
        <f t="shared" si="1"/>
        <v>extra_muscle</v>
      </c>
      <c r="C353" s="49" t="str">
        <f t="shared" si="2"/>
        <v>S5434XM1</v>
      </c>
      <c r="D353" s="6">
        <v>26.0</v>
      </c>
      <c r="E353" s="10" t="str">
        <f t="shared" si="3"/>
        <v>BXM26</v>
      </c>
      <c r="F353" s="13">
        <v>13.0</v>
      </c>
      <c r="G353" s="10" t="str">
        <f t="shared" si="4"/>
        <v>BXM26-13</v>
      </c>
      <c r="H353" s="16"/>
      <c r="I353" s="16" t="str">
        <f t="shared" si="5"/>
        <v>collected</v>
      </c>
      <c r="J353" s="16" t="str">
        <f t="shared" si="6"/>
        <v>N</v>
      </c>
      <c r="K353" s="16"/>
      <c r="L353" s="16"/>
    </row>
    <row r="354">
      <c r="A354" s="27" t="s">
        <v>674</v>
      </c>
      <c r="B354" s="10" t="str">
        <f t="shared" si="1"/>
        <v>extra_muscle</v>
      </c>
      <c r="C354" s="49" t="str">
        <f t="shared" si="2"/>
        <v>S5435XM1</v>
      </c>
      <c r="D354" s="6">
        <v>26.0</v>
      </c>
      <c r="E354" s="10" t="str">
        <f t="shared" si="3"/>
        <v>BXM26</v>
      </c>
      <c r="F354" s="13">
        <v>14.0</v>
      </c>
      <c r="G354" s="10" t="str">
        <f t="shared" si="4"/>
        <v>BXM26-14</v>
      </c>
      <c r="H354" s="16"/>
      <c r="I354" s="16" t="str">
        <f t="shared" si="5"/>
        <v>collected</v>
      </c>
      <c r="J354" s="16" t="str">
        <f t="shared" si="6"/>
        <v>N</v>
      </c>
      <c r="K354" s="16"/>
      <c r="L354" s="16"/>
    </row>
    <row r="355">
      <c r="A355" s="6" t="s">
        <v>676</v>
      </c>
      <c r="B355" s="10" t="str">
        <f t="shared" si="1"/>
        <v>extra_muscle</v>
      </c>
      <c r="C355" s="49" t="str">
        <f t="shared" si="2"/>
        <v>S5436XM1</v>
      </c>
      <c r="D355" s="6">
        <v>26.0</v>
      </c>
      <c r="E355" s="10" t="str">
        <f t="shared" si="3"/>
        <v>BXM26</v>
      </c>
      <c r="F355" s="13">
        <v>15.0</v>
      </c>
      <c r="G355" s="10" t="str">
        <f t="shared" si="4"/>
        <v>BXM26-15</v>
      </c>
      <c r="H355" s="16"/>
      <c r="I355" s="16" t="str">
        <f t="shared" si="5"/>
        <v>collected</v>
      </c>
      <c r="J355" s="16" t="str">
        <f t="shared" si="6"/>
        <v>N</v>
      </c>
      <c r="K355" s="16"/>
      <c r="L355" s="16"/>
    </row>
    <row r="356">
      <c r="A356" s="27" t="s">
        <v>677</v>
      </c>
      <c r="B356" s="10" t="str">
        <f t="shared" si="1"/>
        <v>extra_muscle</v>
      </c>
      <c r="C356" s="49" t="str">
        <f t="shared" si="2"/>
        <v>S5462XM1</v>
      </c>
      <c r="D356" s="6">
        <v>26.0</v>
      </c>
      <c r="E356" s="10" t="str">
        <f t="shared" si="3"/>
        <v>BXM26</v>
      </c>
      <c r="F356" s="13">
        <v>16.0</v>
      </c>
      <c r="G356" s="10" t="str">
        <f t="shared" si="4"/>
        <v>BXM26-16</v>
      </c>
      <c r="H356" s="16"/>
      <c r="I356" s="16" t="str">
        <f t="shared" si="5"/>
        <v>collected</v>
      </c>
      <c r="J356" s="16" t="str">
        <f t="shared" si="6"/>
        <v>N</v>
      </c>
      <c r="K356" s="16"/>
      <c r="L356" s="16"/>
    </row>
    <row r="357">
      <c r="A357" s="27" t="s">
        <v>678</v>
      </c>
      <c r="B357" s="10" t="str">
        <f t="shared" si="1"/>
        <v>extra_muscle</v>
      </c>
      <c r="C357" s="49" t="str">
        <f t="shared" si="2"/>
        <v>S5463XM1</v>
      </c>
      <c r="D357" s="6">
        <v>26.0</v>
      </c>
      <c r="E357" s="10" t="str">
        <f t="shared" si="3"/>
        <v>BXM26</v>
      </c>
      <c r="F357" s="13">
        <v>17.0</v>
      </c>
      <c r="G357" s="10" t="str">
        <f t="shared" si="4"/>
        <v>BXM26-17</v>
      </c>
      <c r="H357" s="16"/>
      <c r="I357" s="16" t="str">
        <f t="shared" si="5"/>
        <v>collected</v>
      </c>
      <c r="J357" s="16" t="str">
        <f t="shared" si="6"/>
        <v>N</v>
      </c>
      <c r="K357" s="16"/>
      <c r="L357" s="16"/>
    </row>
    <row r="358">
      <c r="A358" s="27" t="s">
        <v>681</v>
      </c>
      <c r="B358" s="10" t="str">
        <f t="shared" si="1"/>
        <v>extra_muscle</v>
      </c>
      <c r="C358" s="49" t="str">
        <f t="shared" si="2"/>
        <v>S5464XM1</v>
      </c>
      <c r="D358" s="6">
        <v>26.0</v>
      </c>
      <c r="E358" s="10" t="str">
        <f t="shared" si="3"/>
        <v>BXM26</v>
      </c>
      <c r="F358" s="13">
        <v>18.0</v>
      </c>
      <c r="G358" s="10" t="str">
        <f t="shared" si="4"/>
        <v>BXM26-18</v>
      </c>
      <c r="H358" s="16"/>
      <c r="I358" s="16" t="str">
        <f t="shared" si="5"/>
        <v>collected</v>
      </c>
      <c r="J358" s="16" t="str">
        <f t="shared" si="6"/>
        <v>N</v>
      </c>
      <c r="K358" s="16"/>
      <c r="L358" s="16"/>
    </row>
    <row r="359">
      <c r="A359" s="27" t="s">
        <v>682</v>
      </c>
      <c r="B359" s="10" t="str">
        <f t="shared" si="1"/>
        <v>extra_muscle</v>
      </c>
      <c r="C359" s="49" t="str">
        <f t="shared" si="2"/>
        <v>S5465XM1</v>
      </c>
      <c r="D359" s="6">
        <v>26.0</v>
      </c>
      <c r="E359" s="10" t="str">
        <f t="shared" si="3"/>
        <v>BXM26</v>
      </c>
      <c r="F359" s="13">
        <v>19.0</v>
      </c>
      <c r="G359" s="10" t="str">
        <f t="shared" si="4"/>
        <v>BXM26-19</v>
      </c>
      <c r="H359" s="16"/>
      <c r="I359" s="16" t="str">
        <f t="shared" si="5"/>
        <v>collected</v>
      </c>
      <c r="J359" s="16" t="str">
        <f t="shared" si="6"/>
        <v>N</v>
      </c>
      <c r="K359" s="16"/>
      <c r="L359" s="16"/>
    </row>
    <row r="360">
      <c r="A360" s="27" t="s">
        <v>683</v>
      </c>
      <c r="B360" s="10" t="str">
        <f t="shared" si="1"/>
        <v>extra_muscle</v>
      </c>
      <c r="C360" s="49" t="str">
        <f t="shared" si="2"/>
        <v>S5466XM1</v>
      </c>
      <c r="D360" s="6">
        <v>26.0</v>
      </c>
      <c r="E360" s="10" t="str">
        <f t="shared" si="3"/>
        <v>BXM26</v>
      </c>
      <c r="F360" s="13">
        <v>20.0</v>
      </c>
      <c r="G360" s="10" t="str">
        <f t="shared" si="4"/>
        <v>BXM26-20</v>
      </c>
      <c r="H360" s="16"/>
      <c r="I360" s="16" t="str">
        <f t="shared" si="5"/>
        <v>collected</v>
      </c>
      <c r="J360" s="16" t="str">
        <f t="shared" si="6"/>
        <v>N</v>
      </c>
      <c r="K360" s="16"/>
      <c r="L360" s="16"/>
    </row>
    <row r="361">
      <c r="A361" s="27" t="s">
        <v>685</v>
      </c>
      <c r="B361" s="10" t="str">
        <f t="shared" si="1"/>
        <v>extra_muscle</v>
      </c>
      <c r="C361" s="49" t="str">
        <f t="shared" si="2"/>
        <v>S16753XM1</v>
      </c>
      <c r="D361" s="6">
        <v>26.0</v>
      </c>
      <c r="E361" s="10" t="str">
        <f t="shared" si="3"/>
        <v>BXM26</v>
      </c>
      <c r="F361" s="13">
        <v>21.0</v>
      </c>
      <c r="G361" s="10" t="str">
        <f t="shared" si="4"/>
        <v>BXM26-21</v>
      </c>
      <c r="H361" s="16"/>
      <c r="I361" s="16" t="str">
        <f t="shared" si="5"/>
        <v>collected</v>
      </c>
      <c r="J361" s="16" t="str">
        <f t="shared" si="6"/>
        <v>N</v>
      </c>
      <c r="K361" s="16"/>
      <c r="L361" s="16"/>
    </row>
    <row r="362">
      <c r="A362" s="27" t="s">
        <v>686</v>
      </c>
      <c r="B362" s="10" t="str">
        <f t="shared" si="1"/>
        <v>extra_muscle</v>
      </c>
      <c r="C362" s="49" t="str">
        <f t="shared" si="2"/>
        <v>S16751XM1</v>
      </c>
      <c r="D362" s="6">
        <v>26.0</v>
      </c>
      <c r="E362" s="10" t="str">
        <f t="shared" si="3"/>
        <v>BXM26</v>
      </c>
      <c r="F362" s="13">
        <v>22.0</v>
      </c>
      <c r="G362" s="10" t="str">
        <f t="shared" si="4"/>
        <v>BXM26-22</v>
      </c>
      <c r="H362" s="16"/>
      <c r="I362" s="16" t="str">
        <f t="shared" si="5"/>
        <v>collected</v>
      </c>
      <c r="J362" s="16" t="str">
        <f t="shared" si="6"/>
        <v>N</v>
      </c>
      <c r="K362" s="16"/>
      <c r="L362" s="16"/>
    </row>
    <row r="363">
      <c r="A363" s="27" t="s">
        <v>689</v>
      </c>
      <c r="B363" s="10" t="str">
        <f t="shared" si="1"/>
        <v>extra_muscle</v>
      </c>
      <c r="C363" s="49" t="str">
        <f t="shared" si="2"/>
        <v>S16752XM1</v>
      </c>
      <c r="D363" s="6">
        <v>26.0</v>
      </c>
      <c r="E363" s="10" t="str">
        <f t="shared" si="3"/>
        <v>BXM26</v>
      </c>
      <c r="F363" s="13">
        <v>23.0</v>
      </c>
      <c r="G363" s="10" t="str">
        <f t="shared" si="4"/>
        <v>BXM26-23</v>
      </c>
      <c r="H363" s="16"/>
      <c r="I363" s="16" t="str">
        <f t="shared" si="5"/>
        <v>collected</v>
      </c>
      <c r="J363" s="16" t="str">
        <f t="shared" si="6"/>
        <v>N</v>
      </c>
      <c r="K363" s="16"/>
      <c r="L363" s="16"/>
    </row>
    <row r="364">
      <c r="A364" s="27" t="s">
        <v>690</v>
      </c>
      <c r="B364" s="10" t="str">
        <f t="shared" si="1"/>
        <v>extra_muscle</v>
      </c>
      <c r="C364" s="49" t="str">
        <f t="shared" si="2"/>
        <v>S16756XM1</v>
      </c>
      <c r="D364" s="6">
        <v>26.0</v>
      </c>
      <c r="E364" s="10" t="str">
        <f t="shared" si="3"/>
        <v>BXM26</v>
      </c>
      <c r="F364" s="13">
        <v>24.0</v>
      </c>
      <c r="G364" s="10" t="str">
        <f t="shared" si="4"/>
        <v>BXM26-24</v>
      </c>
      <c r="H364" s="16"/>
      <c r="I364" s="16" t="str">
        <f t="shared" si="5"/>
        <v>collected</v>
      </c>
      <c r="J364" s="16" t="str">
        <f t="shared" si="6"/>
        <v>N</v>
      </c>
      <c r="K364" s="16"/>
      <c r="L364" s="16"/>
    </row>
    <row r="365">
      <c r="A365" s="27" t="s">
        <v>691</v>
      </c>
      <c r="B365" s="10" t="str">
        <f t="shared" si="1"/>
        <v>extra_muscle</v>
      </c>
      <c r="C365" s="49" t="str">
        <f t="shared" si="2"/>
        <v>S16754XM1</v>
      </c>
      <c r="D365" s="6">
        <v>26.0</v>
      </c>
      <c r="E365" s="10" t="str">
        <f t="shared" si="3"/>
        <v>BXM26</v>
      </c>
      <c r="F365" s="13">
        <v>25.0</v>
      </c>
      <c r="G365" s="10" t="str">
        <f t="shared" si="4"/>
        <v>BXM26-25</v>
      </c>
      <c r="H365" s="16"/>
      <c r="I365" s="16" t="str">
        <f t="shared" si="5"/>
        <v>collected</v>
      </c>
      <c r="J365" s="16" t="str">
        <f t="shared" si="6"/>
        <v>N</v>
      </c>
      <c r="K365" s="16"/>
      <c r="L365" s="16"/>
    </row>
    <row r="366">
      <c r="A366" s="27" t="s">
        <v>693</v>
      </c>
      <c r="B366" s="10" t="str">
        <f t="shared" si="1"/>
        <v>extra_muscle</v>
      </c>
      <c r="C366" s="49" t="str">
        <f t="shared" si="2"/>
        <v>S16755XM1</v>
      </c>
      <c r="D366" s="6">
        <v>26.0</v>
      </c>
      <c r="E366" s="10" t="str">
        <f t="shared" si="3"/>
        <v>BXM26</v>
      </c>
      <c r="F366" s="13">
        <v>26.0</v>
      </c>
      <c r="G366" s="10" t="str">
        <f t="shared" si="4"/>
        <v>BXM26-26</v>
      </c>
      <c r="H366" s="16"/>
      <c r="I366" s="16" t="str">
        <f t="shared" si="5"/>
        <v>collected</v>
      </c>
      <c r="J366" s="16" t="str">
        <f t="shared" si="6"/>
        <v>N</v>
      </c>
      <c r="K366" s="16"/>
      <c r="L366" s="16"/>
    </row>
    <row r="367">
      <c r="A367" s="27" t="s">
        <v>694</v>
      </c>
      <c r="B367" s="10" t="str">
        <f t="shared" si="1"/>
        <v>extra_muscle</v>
      </c>
      <c r="C367" s="49" t="str">
        <f t="shared" si="2"/>
        <v>S16757XM1</v>
      </c>
      <c r="D367" s="6">
        <v>26.0</v>
      </c>
      <c r="E367" s="10" t="str">
        <f t="shared" si="3"/>
        <v>BXM26</v>
      </c>
      <c r="F367" s="13">
        <v>27.0</v>
      </c>
      <c r="G367" s="10" t="str">
        <f t="shared" si="4"/>
        <v>BXM26-27</v>
      </c>
      <c r="H367" s="16"/>
      <c r="I367" s="16" t="str">
        <f t="shared" si="5"/>
        <v>collected</v>
      </c>
      <c r="J367" s="16" t="str">
        <f t="shared" si="6"/>
        <v>N</v>
      </c>
      <c r="K367" s="16"/>
      <c r="L367" s="16"/>
    </row>
    <row r="368">
      <c r="A368" s="26" t="s">
        <v>698</v>
      </c>
      <c r="B368" s="10" t="str">
        <f t="shared" si="1"/>
        <v>extra_muscle</v>
      </c>
      <c r="C368" s="49" t="str">
        <f t="shared" si="2"/>
        <v>S16758XM1</v>
      </c>
      <c r="D368" s="6">
        <v>26.0</v>
      </c>
      <c r="E368" s="10" t="str">
        <f t="shared" si="3"/>
        <v>BXM26</v>
      </c>
      <c r="F368" s="13">
        <v>28.0</v>
      </c>
      <c r="G368" s="10" t="str">
        <f t="shared" si="4"/>
        <v>BXM26-28</v>
      </c>
      <c r="H368" s="6" t="s">
        <v>730</v>
      </c>
      <c r="I368" s="16" t="str">
        <f t="shared" si="5"/>
        <v>collected</v>
      </c>
      <c r="J368" s="16" t="str">
        <f t="shared" si="6"/>
        <v>N</v>
      </c>
      <c r="K368" s="16"/>
      <c r="L368" s="16"/>
    </row>
    <row r="369">
      <c r="A369" s="26" t="s">
        <v>699</v>
      </c>
      <c r="B369" s="10" t="str">
        <f t="shared" si="1"/>
        <v>extra_muscle</v>
      </c>
      <c r="C369" s="49" t="str">
        <f t="shared" si="2"/>
        <v>S16701XM1</v>
      </c>
      <c r="D369" s="6">
        <v>26.0</v>
      </c>
      <c r="E369" s="10" t="str">
        <f t="shared" si="3"/>
        <v>BXM26</v>
      </c>
      <c r="F369" s="13">
        <v>29.0</v>
      </c>
      <c r="G369" s="10" t="str">
        <f t="shared" si="4"/>
        <v>BXM26-29</v>
      </c>
      <c r="H369" s="16"/>
      <c r="I369" s="16" t="str">
        <f t="shared" si="5"/>
        <v>collected</v>
      </c>
      <c r="J369" s="16" t="str">
        <f t="shared" si="6"/>
        <v>N</v>
      </c>
      <c r="K369" s="16"/>
      <c r="L369" s="16"/>
    </row>
    <row r="370">
      <c r="A370" s="26" t="s">
        <v>700</v>
      </c>
      <c r="B370" s="10" t="str">
        <f t="shared" si="1"/>
        <v>extra_muscle</v>
      </c>
      <c r="C370" s="49" t="str">
        <f t="shared" si="2"/>
        <v>S16702XM1</v>
      </c>
      <c r="D370" s="6">
        <v>26.0</v>
      </c>
      <c r="E370" s="10" t="str">
        <f t="shared" si="3"/>
        <v>BXM26</v>
      </c>
      <c r="F370" s="13">
        <v>30.0</v>
      </c>
      <c r="G370" s="10" t="str">
        <f t="shared" si="4"/>
        <v>BXM26-30</v>
      </c>
      <c r="H370" s="16"/>
      <c r="I370" s="16" t="str">
        <f t="shared" si="5"/>
        <v>collected</v>
      </c>
      <c r="J370" s="16" t="str">
        <f t="shared" si="6"/>
        <v>N</v>
      </c>
      <c r="K370" s="16"/>
      <c r="L370" s="16"/>
    </row>
    <row r="371">
      <c r="A371" s="26" t="s">
        <v>702</v>
      </c>
      <c r="B371" s="10" t="str">
        <f t="shared" si="1"/>
        <v>extra_muscle</v>
      </c>
      <c r="C371" s="49" t="str">
        <f t="shared" si="2"/>
        <v>S16703XM1</v>
      </c>
      <c r="D371" s="6">
        <v>26.0</v>
      </c>
      <c r="E371" s="10" t="str">
        <f t="shared" si="3"/>
        <v>BXM26</v>
      </c>
      <c r="F371" s="13">
        <v>31.0</v>
      </c>
      <c r="G371" s="10" t="str">
        <f t="shared" si="4"/>
        <v>BXM26-31</v>
      </c>
      <c r="H371" s="16"/>
      <c r="I371" s="16" t="str">
        <f t="shared" si="5"/>
        <v>collected</v>
      </c>
      <c r="J371" s="16" t="str">
        <f t="shared" si="6"/>
        <v>N</v>
      </c>
      <c r="K371" s="16"/>
      <c r="L371" s="16"/>
    </row>
    <row r="372">
      <c r="A372" s="26" t="s">
        <v>704</v>
      </c>
      <c r="B372" s="10" t="str">
        <f t="shared" si="1"/>
        <v>extra_muscle</v>
      </c>
      <c r="C372" s="49" t="str">
        <f t="shared" si="2"/>
        <v>S16705XM1</v>
      </c>
      <c r="D372" s="6">
        <v>26.0</v>
      </c>
      <c r="E372" s="10" t="str">
        <f t="shared" si="3"/>
        <v>BXM26</v>
      </c>
      <c r="F372" s="13">
        <v>32.0</v>
      </c>
      <c r="G372" s="10" t="str">
        <f t="shared" si="4"/>
        <v>BXM26-32</v>
      </c>
      <c r="H372" s="16"/>
      <c r="I372" s="16" t="str">
        <f t="shared" si="5"/>
        <v>collected</v>
      </c>
      <c r="J372" s="16" t="str">
        <f t="shared" si="6"/>
        <v>N</v>
      </c>
      <c r="K372" s="16"/>
      <c r="L372" s="16"/>
    </row>
    <row r="373">
      <c r="A373" s="26" t="s">
        <v>706</v>
      </c>
      <c r="B373" s="10" t="str">
        <f t="shared" si="1"/>
        <v>extra_muscle</v>
      </c>
      <c r="C373" s="49" t="str">
        <f t="shared" si="2"/>
        <v>S16704XM1</v>
      </c>
      <c r="D373" s="6">
        <v>26.0</v>
      </c>
      <c r="E373" s="10" t="str">
        <f t="shared" si="3"/>
        <v>BXM26</v>
      </c>
      <c r="F373" s="13">
        <v>33.0</v>
      </c>
      <c r="G373" s="10" t="str">
        <f t="shared" si="4"/>
        <v>BXM26-33</v>
      </c>
      <c r="H373" s="16"/>
      <c r="I373" s="16" t="str">
        <f t="shared" si="5"/>
        <v>collected</v>
      </c>
      <c r="J373" s="16" t="str">
        <f t="shared" si="6"/>
        <v>N</v>
      </c>
      <c r="K373" s="16"/>
      <c r="L373" s="16"/>
    </row>
    <row r="374">
      <c r="A374" s="26" t="s">
        <v>707</v>
      </c>
      <c r="B374" s="10" t="str">
        <f t="shared" si="1"/>
        <v>extra_muscle</v>
      </c>
      <c r="C374" s="49" t="str">
        <f t="shared" si="2"/>
        <v>S16706XM1</v>
      </c>
      <c r="D374" s="6">
        <v>26.0</v>
      </c>
      <c r="E374" s="10" t="str">
        <f t="shared" si="3"/>
        <v>BXM26</v>
      </c>
      <c r="F374" s="13">
        <v>34.0</v>
      </c>
      <c r="G374" s="10" t="str">
        <f t="shared" si="4"/>
        <v>BXM26-34</v>
      </c>
      <c r="H374" s="16"/>
      <c r="I374" s="16" t="str">
        <f t="shared" si="5"/>
        <v>collected</v>
      </c>
      <c r="J374" s="16" t="str">
        <f t="shared" si="6"/>
        <v>N</v>
      </c>
      <c r="K374" s="16"/>
      <c r="L374" s="16"/>
    </row>
    <row r="375">
      <c r="A375" s="44" t="s">
        <v>709</v>
      </c>
      <c r="B375" s="10" t="str">
        <f t="shared" si="1"/>
        <v>extra_muscle</v>
      </c>
      <c r="C375" s="49" t="str">
        <f t="shared" si="2"/>
        <v>S16893XM1</v>
      </c>
      <c r="D375" s="6">
        <v>25.0</v>
      </c>
      <c r="E375" s="10" t="str">
        <f t="shared" si="3"/>
        <v>BXM25</v>
      </c>
      <c r="F375" s="13">
        <v>38.0</v>
      </c>
      <c r="G375" s="10" t="str">
        <f t="shared" si="4"/>
        <v>BXM25-38</v>
      </c>
      <c r="H375" s="16"/>
      <c r="I375" s="16" t="str">
        <f t="shared" si="5"/>
        <v>collected</v>
      </c>
      <c r="J375" s="16" t="str">
        <f t="shared" si="6"/>
        <v>N</v>
      </c>
      <c r="K375" s="16"/>
      <c r="L375" s="16"/>
    </row>
    <row r="376">
      <c r="A376" s="44" t="s">
        <v>711</v>
      </c>
      <c r="B376" s="10" t="str">
        <f t="shared" si="1"/>
        <v>extra_muscle</v>
      </c>
      <c r="C376" s="49" t="str">
        <f t="shared" si="2"/>
        <v>S16897XM1</v>
      </c>
      <c r="D376" s="6">
        <v>25.0</v>
      </c>
      <c r="E376" s="10" t="str">
        <f t="shared" si="3"/>
        <v>BXM25</v>
      </c>
      <c r="F376" s="13">
        <v>39.0</v>
      </c>
      <c r="G376" s="10" t="str">
        <f t="shared" si="4"/>
        <v>BXM25-39</v>
      </c>
      <c r="H376" s="16"/>
      <c r="I376" s="16" t="str">
        <f t="shared" si="5"/>
        <v>collected</v>
      </c>
      <c r="J376" s="16" t="str">
        <f t="shared" si="6"/>
        <v>N</v>
      </c>
      <c r="K376" s="16"/>
      <c r="L376" s="16"/>
    </row>
    <row r="377">
      <c r="A377" s="44" t="s">
        <v>712</v>
      </c>
      <c r="B377" s="10" t="str">
        <f t="shared" si="1"/>
        <v>extra_muscle</v>
      </c>
      <c r="C377" s="49" t="str">
        <f t="shared" si="2"/>
        <v>S16891XM1</v>
      </c>
      <c r="D377" s="6">
        <v>25.0</v>
      </c>
      <c r="E377" s="10" t="str">
        <f t="shared" si="3"/>
        <v>BXM25</v>
      </c>
      <c r="F377" s="13">
        <v>40.0</v>
      </c>
      <c r="G377" s="10" t="str">
        <f t="shared" si="4"/>
        <v>BXM25-40</v>
      </c>
      <c r="H377" s="16"/>
      <c r="I377" s="16" t="str">
        <f t="shared" si="5"/>
        <v>collected</v>
      </c>
      <c r="J377" s="16" t="str">
        <f t="shared" si="6"/>
        <v>N</v>
      </c>
      <c r="K377" s="16"/>
      <c r="L377" s="16"/>
    </row>
    <row r="378">
      <c r="A378" s="44" t="s">
        <v>714</v>
      </c>
      <c r="B378" s="10" t="str">
        <f t="shared" si="1"/>
        <v>extra_muscle</v>
      </c>
      <c r="C378" s="49" t="str">
        <f t="shared" si="2"/>
        <v>S16892XM1</v>
      </c>
      <c r="D378" s="6">
        <v>25.0</v>
      </c>
      <c r="E378" s="10" t="str">
        <f t="shared" si="3"/>
        <v>BXM25</v>
      </c>
      <c r="F378" s="13">
        <v>41.0</v>
      </c>
      <c r="G378" s="10" t="str">
        <f t="shared" si="4"/>
        <v>BXM25-41</v>
      </c>
      <c r="H378" s="16"/>
      <c r="I378" s="16" t="str">
        <f t="shared" si="5"/>
        <v>collected</v>
      </c>
      <c r="J378" s="16" t="str">
        <f t="shared" si="6"/>
        <v>N</v>
      </c>
      <c r="K378" s="16"/>
      <c r="L378" s="16"/>
    </row>
    <row r="379">
      <c r="A379" s="44" t="s">
        <v>715</v>
      </c>
      <c r="B379" s="10" t="str">
        <f t="shared" si="1"/>
        <v>extra_muscle</v>
      </c>
      <c r="C379" s="49" t="str">
        <f t="shared" si="2"/>
        <v>S16899XM1</v>
      </c>
      <c r="D379" s="6">
        <v>25.0</v>
      </c>
      <c r="E379" s="10" t="str">
        <f t="shared" si="3"/>
        <v>BXM25</v>
      </c>
      <c r="F379" s="13">
        <v>42.0</v>
      </c>
      <c r="G379" s="10" t="str">
        <f t="shared" si="4"/>
        <v>BXM25-42</v>
      </c>
      <c r="H379" s="16"/>
      <c r="I379" s="16" t="str">
        <f t="shared" si="5"/>
        <v>collected</v>
      </c>
      <c r="J379" s="16" t="str">
        <f t="shared" si="6"/>
        <v>N</v>
      </c>
      <c r="K379" s="16"/>
      <c r="L379" s="16"/>
    </row>
    <row r="380">
      <c r="A380" s="44" t="s">
        <v>716</v>
      </c>
      <c r="B380" s="10" t="str">
        <f t="shared" si="1"/>
        <v>extra_muscle</v>
      </c>
      <c r="C380" s="49" t="str">
        <f t="shared" si="2"/>
        <v>S16900XM1</v>
      </c>
      <c r="D380" s="6">
        <v>25.0</v>
      </c>
      <c r="E380" s="10" t="str">
        <f t="shared" si="3"/>
        <v>BXM25</v>
      </c>
      <c r="F380" s="13">
        <v>43.0</v>
      </c>
      <c r="G380" s="10" t="str">
        <f t="shared" si="4"/>
        <v>BXM25-43</v>
      </c>
      <c r="H380" s="16"/>
      <c r="I380" s="16" t="str">
        <f t="shared" si="5"/>
        <v>collected</v>
      </c>
      <c r="J380" s="16" t="str">
        <f t="shared" si="6"/>
        <v>N</v>
      </c>
      <c r="K380" s="16"/>
      <c r="L380" s="16"/>
    </row>
    <row r="381">
      <c r="A381" s="44" t="s">
        <v>717</v>
      </c>
      <c r="B381" s="10" t="str">
        <f t="shared" si="1"/>
        <v>extra_muscle</v>
      </c>
      <c r="C381" s="49" t="str">
        <f t="shared" si="2"/>
        <v>S16896XM1</v>
      </c>
      <c r="D381" s="6">
        <v>25.0</v>
      </c>
      <c r="E381" s="10" t="str">
        <f t="shared" si="3"/>
        <v>BXM25</v>
      </c>
      <c r="F381" s="13">
        <v>44.0</v>
      </c>
      <c r="G381" s="10" t="str">
        <f t="shared" si="4"/>
        <v>BXM25-44</v>
      </c>
      <c r="H381" s="16"/>
      <c r="I381" s="16" t="str">
        <f t="shared" si="5"/>
        <v>collected</v>
      </c>
      <c r="J381" s="16" t="str">
        <f t="shared" si="6"/>
        <v>N</v>
      </c>
      <c r="K381" s="16"/>
      <c r="L381" s="16"/>
    </row>
    <row r="382">
      <c r="A382" s="44" t="s">
        <v>720</v>
      </c>
      <c r="B382" s="10" t="str">
        <f t="shared" si="1"/>
        <v>extra_muscle</v>
      </c>
      <c r="C382" s="49" t="str">
        <f t="shared" si="2"/>
        <v>S16894XM1</v>
      </c>
      <c r="D382" s="6">
        <v>25.0</v>
      </c>
      <c r="E382" s="10" t="str">
        <f t="shared" si="3"/>
        <v>BXM25</v>
      </c>
      <c r="F382" s="13">
        <v>45.0</v>
      </c>
      <c r="G382" s="10" t="str">
        <f t="shared" si="4"/>
        <v>BXM25-45</v>
      </c>
      <c r="H382" s="16"/>
      <c r="I382" s="16" t="str">
        <f t="shared" si="5"/>
        <v>collected</v>
      </c>
      <c r="J382" s="16" t="str">
        <f t="shared" si="6"/>
        <v>N</v>
      </c>
      <c r="K382" s="16"/>
      <c r="L382" s="16"/>
    </row>
    <row r="383">
      <c r="A383" s="44" t="s">
        <v>721</v>
      </c>
      <c r="B383" s="10" t="str">
        <f t="shared" si="1"/>
        <v>extra_muscle</v>
      </c>
      <c r="C383" s="49" t="str">
        <f t="shared" si="2"/>
        <v>S16895XM1</v>
      </c>
      <c r="D383" s="6">
        <v>25.0</v>
      </c>
      <c r="E383" s="10" t="str">
        <f t="shared" si="3"/>
        <v>BXM25</v>
      </c>
      <c r="F383" s="13">
        <v>46.0</v>
      </c>
      <c r="G383" s="10" t="str">
        <f t="shared" si="4"/>
        <v>BXM25-46</v>
      </c>
      <c r="H383" s="16"/>
      <c r="I383" s="16" t="str">
        <f t="shared" si="5"/>
        <v>collected</v>
      </c>
      <c r="J383" s="16" t="str">
        <f t="shared" si="6"/>
        <v>N</v>
      </c>
      <c r="K383" s="16"/>
      <c r="L383" s="16"/>
    </row>
    <row r="384">
      <c r="A384" s="44" t="s">
        <v>722</v>
      </c>
      <c r="B384" s="10" t="str">
        <f t="shared" si="1"/>
        <v>extra_muscle</v>
      </c>
      <c r="C384" s="49" t="str">
        <f t="shared" si="2"/>
        <v>S16898XM1</v>
      </c>
      <c r="D384" s="6">
        <v>25.0</v>
      </c>
      <c r="E384" s="10" t="str">
        <f t="shared" si="3"/>
        <v>BXM25</v>
      </c>
      <c r="F384" s="13">
        <v>47.0</v>
      </c>
      <c r="G384" s="10" t="str">
        <f t="shared" si="4"/>
        <v>BXM25-47</v>
      </c>
      <c r="H384" s="16"/>
      <c r="I384" s="16" t="str">
        <f t="shared" si="5"/>
        <v>collected</v>
      </c>
      <c r="J384" s="16" t="str">
        <f t="shared" si="6"/>
        <v>N</v>
      </c>
      <c r="K384" s="16"/>
      <c r="L384" s="16"/>
    </row>
    <row r="385">
      <c r="A385" s="44" t="s">
        <v>723</v>
      </c>
      <c r="B385" s="10" t="str">
        <f t="shared" si="1"/>
        <v>extra_muscle</v>
      </c>
      <c r="C385" s="49" t="str">
        <f t="shared" si="2"/>
        <v>S16761XM1</v>
      </c>
      <c r="D385" s="6">
        <v>25.0</v>
      </c>
      <c r="E385" s="10" t="str">
        <f t="shared" si="3"/>
        <v>BXM25</v>
      </c>
      <c r="F385" s="13">
        <v>48.0</v>
      </c>
      <c r="G385" s="10" t="str">
        <f t="shared" si="4"/>
        <v>BXM25-48</v>
      </c>
      <c r="H385" s="16"/>
      <c r="I385" s="16" t="str">
        <f t="shared" si="5"/>
        <v>collected</v>
      </c>
      <c r="J385" s="16" t="str">
        <f t="shared" si="6"/>
        <v>N</v>
      </c>
      <c r="K385" s="16"/>
      <c r="L385" s="16"/>
    </row>
    <row r="386">
      <c r="A386" s="44" t="s">
        <v>724</v>
      </c>
      <c r="B386" s="10" t="str">
        <f t="shared" si="1"/>
        <v>extra_muscle</v>
      </c>
      <c r="C386" s="49" t="str">
        <f t="shared" si="2"/>
        <v>S16766XM1</v>
      </c>
      <c r="D386" s="6">
        <v>25.0</v>
      </c>
      <c r="E386" s="10" t="str">
        <f t="shared" si="3"/>
        <v>BXM25</v>
      </c>
      <c r="F386" s="13">
        <v>49.0</v>
      </c>
      <c r="G386" s="10" t="str">
        <f t="shared" si="4"/>
        <v>BXM25-49</v>
      </c>
      <c r="H386" s="16"/>
      <c r="I386" s="16" t="str">
        <f t="shared" si="5"/>
        <v>collected</v>
      </c>
      <c r="J386" s="16" t="str">
        <f t="shared" si="6"/>
        <v>N</v>
      </c>
      <c r="K386" s="16"/>
      <c r="L386" s="16"/>
    </row>
    <row r="387">
      <c r="A387" s="44" t="s">
        <v>726</v>
      </c>
      <c r="B387" s="10" t="str">
        <f t="shared" si="1"/>
        <v>extra_muscle</v>
      </c>
      <c r="C387" s="49" t="str">
        <f t="shared" si="2"/>
        <v>S16763XM1</v>
      </c>
      <c r="D387" s="6">
        <v>25.0</v>
      </c>
      <c r="E387" s="10" t="str">
        <f t="shared" si="3"/>
        <v>BXM25</v>
      </c>
      <c r="F387" s="13">
        <v>50.0</v>
      </c>
      <c r="G387" s="10" t="str">
        <f t="shared" si="4"/>
        <v>BXM25-50</v>
      </c>
      <c r="H387" s="16"/>
      <c r="I387" s="16" t="str">
        <f t="shared" si="5"/>
        <v>collected</v>
      </c>
      <c r="J387" s="16" t="str">
        <f t="shared" si="6"/>
        <v>N</v>
      </c>
      <c r="K387" s="16"/>
      <c r="L387" s="16"/>
    </row>
    <row r="388">
      <c r="A388" s="44" t="s">
        <v>728</v>
      </c>
      <c r="B388" s="10" t="str">
        <f t="shared" si="1"/>
        <v>extra_muscle</v>
      </c>
      <c r="C388" s="49" t="str">
        <f t="shared" si="2"/>
        <v>S16765XM1</v>
      </c>
      <c r="D388" s="6">
        <v>25.0</v>
      </c>
      <c r="E388" s="10" t="str">
        <f t="shared" si="3"/>
        <v>BXM25</v>
      </c>
      <c r="F388" s="13">
        <v>51.0</v>
      </c>
      <c r="G388" s="10" t="str">
        <f t="shared" si="4"/>
        <v>BXM25-51</v>
      </c>
      <c r="H388" s="16"/>
      <c r="I388" s="16" t="str">
        <f t="shared" si="5"/>
        <v>collected</v>
      </c>
      <c r="J388" s="16" t="str">
        <f t="shared" si="6"/>
        <v>N</v>
      </c>
      <c r="K388" s="16"/>
      <c r="L388" s="16"/>
    </row>
    <row r="389">
      <c r="A389" s="44" t="s">
        <v>729</v>
      </c>
      <c r="B389" s="10" t="str">
        <f t="shared" si="1"/>
        <v>extra_muscle</v>
      </c>
      <c r="C389" s="49" t="str">
        <f t="shared" si="2"/>
        <v>S16767XM1</v>
      </c>
      <c r="D389" s="6">
        <v>25.0</v>
      </c>
      <c r="E389" s="10" t="str">
        <f t="shared" si="3"/>
        <v>BXM25</v>
      </c>
      <c r="F389" s="13">
        <v>52.0</v>
      </c>
      <c r="G389" s="10" t="str">
        <f t="shared" si="4"/>
        <v>BXM25-52</v>
      </c>
      <c r="H389" s="16"/>
      <c r="I389" s="16" t="str">
        <f t="shared" si="5"/>
        <v>collected</v>
      </c>
      <c r="J389" s="16" t="str">
        <f t="shared" si="6"/>
        <v>N</v>
      </c>
      <c r="K389" s="16"/>
      <c r="L389" s="16"/>
    </row>
    <row r="390">
      <c r="A390" s="44" t="s">
        <v>731</v>
      </c>
      <c r="B390" s="10" t="str">
        <f t="shared" si="1"/>
        <v>extra_muscle</v>
      </c>
      <c r="C390" s="49" t="str">
        <f t="shared" si="2"/>
        <v>S16762XM1</v>
      </c>
      <c r="D390" s="6">
        <v>25.0</v>
      </c>
      <c r="E390" s="10" t="str">
        <f t="shared" si="3"/>
        <v>BXM25</v>
      </c>
      <c r="F390" s="13">
        <v>53.0</v>
      </c>
      <c r="G390" s="10" t="str">
        <f t="shared" si="4"/>
        <v>BXM25-53</v>
      </c>
      <c r="H390" s="16"/>
      <c r="I390" s="16" t="str">
        <f t="shared" si="5"/>
        <v>collected</v>
      </c>
      <c r="J390" s="16" t="str">
        <f t="shared" si="6"/>
        <v>N</v>
      </c>
      <c r="K390" s="16"/>
      <c r="L390" s="16"/>
    </row>
    <row r="391">
      <c r="A391" s="44" t="s">
        <v>734</v>
      </c>
      <c r="B391" s="10" t="str">
        <f t="shared" si="1"/>
        <v>extra_muscle</v>
      </c>
      <c r="C391" s="49" t="str">
        <f t="shared" si="2"/>
        <v>S16764XM1</v>
      </c>
      <c r="D391" s="6">
        <v>25.0</v>
      </c>
      <c r="E391" s="10" t="str">
        <f t="shared" si="3"/>
        <v>BXM25</v>
      </c>
      <c r="F391" s="13">
        <v>54.0</v>
      </c>
      <c r="G391" s="10" t="str">
        <f t="shared" si="4"/>
        <v>BXM25-54</v>
      </c>
      <c r="H391" s="16"/>
      <c r="I391" s="16" t="str">
        <f t="shared" si="5"/>
        <v>collected</v>
      </c>
      <c r="J391" s="16" t="str">
        <f t="shared" si="6"/>
        <v>N</v>
      </c>
      <c r="K391" s="16"/>
      <c r="L391" s="16"/>
    </row>
    <row r="392">
      <c r="A392" s="6" t="s">
        <v>735</v>
      </c>
      <c r="B392" s="10" t="str">
        <f t="shared" si="1"/>
        <v>extra_muscle</v>
      </c>
      <c r="C392" s="49" t="str">
        <f t="shared" si="2"/>
        <v>S16707XM1</v>
      </c>
      <c r="D392" s="6">
        <v>26.0</v>
      </c>
      <c r="E392" s="10" t="str">
        <f t="shared" si="3"/>
        <v>BXM26</v>
      </c>
      <c r="F392" s="13">
        <v>35.0</v>
      </c>
      <c r="G392" s="10" t="str">
        <f t="shared" si="4"/>
        <v>BXM26-35</v>
      </c>
      <c r="H392" s="16"/>
      <c r="I392" s="16" t="str">
        <f t="shared" si="5"/>
        <v>collected</v>
      </c>
      <c r="J392" s="16" t="str">
        <f t="shared" si="6"/>
        <v>N</v>
      </c>
      <c r="K392" s="16"/>
      <c r="L392" s="16"/>
    </row>
    <row r="393">
      <c r="A393" s="6" t="s">
        <v>736</v>
      </c>
      <c r="B393" s="10" t="str">
        <f t="shared" si="1"/>
        <v>extra_muscle</v>
      </c>
      <c r="C393" s="49" t="str">
        <f t="shared" si="2"/>
        <v>S16708XM1</v>
      </c>
      <c r="D393" s="6">
        <v>26.0</v>
      </c>
      <c r="E393" s="10" t="str">
        <f t="shared" si="3"/>
        <v>BXM26</v>
      </c>
      <c r="F393" s="13">
        <v>36.0</v>
      </c>
      <c r="G393" s="10" t="str">
        <f t="shared" si="4"/>
        <v>BXM26-36</v>
      </c>
      <c r="H393" s="16"/>
      <c r="I393" s="16" t="str">
        <f t="shared" si="5"/>
        <v>collected</v>
      </c>
      <c r="J393" s="16" t="str">
        <f t="shared" si="6"/>
        <v>N</v>
      </c>
      <c r="K393" s="16"/>
      <c r="L393" s="16"/>
    </row>
    <row r="394">
      <c r="A394" s="6" t="s">
        <v>738</v>
      </c>
      <c r="B394" s="10" t="str">
        <f t="shared" si="1"/>
        <v>extra_muscle</v>
      </c>
      <c r="C394" s="49" t="str">
        <f t="shared" si="2"/>
        <v>S16709XM1</v>
      </c>
      <c r="D394" s="6">
        <v>26.0</v>
      </c>
      <c r="E394" s="10" t="str">
        <f t="shared" si="3"/>
        <v>BXM26</v>
      </c>
      <c r="F394" s="13">
        <v>37.0</v>
      </c>
      <c r="G394" s="10" t="str">
        <f t="shared" si="4"/>
        <v>BXM26-37</v>
      </c>
      <c r="H394" s="16"/>
      <c r="I394" s="16" t="str">
        <f t="shared" si="5"/>
        <v>collected</v>
      </c>
      <c r="J394" s="16" t="str">
        <f t="shared" si="6"/>
        <v>N</v>
      </c>
      <c r="K394" s="16"/>
      <c r="L394" s="16"/>
    </row>
    <row r="395">
      <c r="A395" s="6" t="s">
        <v>740</v>
      </c>
      <c r="B395" s="10" t="str">
        <f t="shared" si="1"/>
        <v>extra_muscle</v>
      </c>
      <c r="C395" s="49" t="str">
        <f t="shared" si="2"/>
        <v>S16710XM1</v>
      </c>
      <c r="D395" s="6">
        <v>26.0</v>
      </c>
      <c r="E395" s="10" t="str">
        <f t="shared" si="3"/>
        <v>BXM26</v>
      </c>
      <c r="F395" s="13">
        <v>38.0</v>
      </c>
      <c r="G395" s="10" t="str">
        <f t="shared" si="4"/>
        <v>BXM26-38</v>
      </c>
      <c r="H395" s="16"/>
      <c r="I395" s="16" t="str">
        <f t="shared" si="5"/>
        <v>collected</v>
      </c>
      <c r="J395" s="16" t="str">
        <f t="shared" si="6"/>
        <v>N</v>
      </c>
      <c r="K395" s="16"/>
      <c r="L395" s="16"/>
    </row>
    <row r="396">
      <c r="A396" s="6" t="s">
        <v>741</v>
      </c>
      <c r="B396" s="10" t="str">
        <f t="shared" si="1"/>
        <v>extra_muscle</v>
      </c>
      <c r="C396" s="49" t="str">
        <f t="shared" si="2"/>
        <v>S16921XM1</v>
      </c>
      <c r="D396" s="6">
        <v>26.0</v>
      </c>
      <c r="E396" s="10" t="str">
        <f t="shared" si="3"/>
        <v>BXM26</v>
      </c>
      <c r="F396" s="13">
        <v>39.0</v>
      </c>
      <c r="G396" s="10" t="str">
        <f t="shared" si="4"/>
        <v>BXM26-39</v>
      </c>
      <c r="H396" s="16"/>
      <c r="I396" s="16" t="str">
        <f t="shared" si="5"/>
        <v>collected</v>
      </c>
      <c r="J396" s="16" t="str">
        <f t="shared" si="6"/>
        <v>N</v>
      </c>
      <c r="K396" s="16"/>
      <c r="L396" s="16"/>
    </row>
    <row r="397">
      <c r="A397" s="26" t="s">
        <v>743</v>
      </c>
      <c r="B397" s="10" t="str">
        <f t="shared" si="1"/>
        <v>extra_muscle</v>
      </c>
      <c r="C397" s="49" t="str">
        <f t="shared" si="2"/>
        <v>S16922XM1</v>
      </c>
      <c r="D397" s="6">
        <v>26.0</v>
      </c>
      <c r="E397" s="10" t="str">
        <f t="shared" si="3"/>
        <v>BXM26</v>
      </c>
      <c r="F397" s="13">
        <v>40.0</v>
      </c>
      <c r="G397" s="10" t="str">
        <f t="shared" si="4"/>
        <v>BXM26-40</v>
      </c>
      <c r="H397" s="16"/>
      <c r="I397" s="16" t="str">
        <f t="shared" si="5"/>
        <v>collected</v>
      </c>
      <c r="J397" s="16" t="str">
        <f t="shared" si="6"/>
        <v>N</v>
      </c>
      <c r="K397" s="16"/>
      <c r="L397" s="16"/>
    </row>
    <row r="398">
      <c r="A398" s="26" t="s">
        <v>744</v>
      </c>
      <c r="B398" s="10" t="str">
        <f t="shared" si="1"/>
        <v>extra_muscle</v>
      </c>
      <c r="C398" s="49" t="str">
        <f t="shared" si="2"/>
        <v>S16923XM1</v>
      </c>
      <c r="D398" s="6">
        <v>26.0</v>
      </c>
      <c r="E398" s="10" t="str">
        <f t="shared" si="3"/>
        <v>BXM26</v>
      </c>
      <c r="F398" s="13">
        <v>41.0</v>
      </c>
      <c r="G398" s="10" t="str">
        <f t="shared" si="4"/>
        <v>BXM26-41</v>
      </c>
      <c r="H398" s="16"/>
      <c r="I398" s="16" t="str">
        <f t="shared" si="5"/>
        <v>collected</v>
      </c>
      <c r="J398" s="16" t="str">
        <f t="shared" si="6"/>
        <v>N</v>
      </c>
      <c r="K398" s="16"/>
      <c r="L398" s="16"/>
    </row>
    <row r="399">
      <c r="A399" s="26" t="s">
        <v>745</v>
      </c>
      <c r="B399" s="10" t="str">
        <f t="shared" si="1"/>
        <v>extra_muscle</v>
      </c>
      <c r="C399" s="49" t="str">
        <f t="shared" si="2"/>
        <v>S17351XM1</v>
      </c>
      <c r="D399" s="6">
        <v>26.0</v>
      </c>
      <c r="E399" s="10" t="str">
        <f t="shared" si="3"/>
        <v>BXM26</v>
      </c>
      <c r="F399" s="13">
        <v>42.0</v>
      </c>
      <c r="G399" s="10" t="str">
        <f t="shared" si="4"/>
        <v>BXM26-42</v>
      </c>
      <c r="H399" s="16"/>
      <c r="I399" s="16" t="str">
        <f t="shared" si="5"/>
        <v>collected</v>
      </c>
      <c r="J399" s="16" t="str">
        <f t="shared" si="6"/>
        <v>N</v>
      </c>
      <c r="K399" s="16"/>
      <c r="L399" s="16"/>
    </row>
    <row r="400">
      <c r="A400" s="26" t="s">
        <v>747</v>
      </c>
      <c r="B400" s="10" t="str">
        <f t="shared" si="1"/>
        <v>extra_muscle</v>
      </c>
      <c r="C400" s="49" t="str">
        <f t="shared" si="2"/>
        <v>S17352XM1</v>
      </c>
      <c r="D400" s="6">
        <v>26.0</v>
      </c>
      <c r="E400" s="10" t="str">
        <f t="shared" si="3"/>
        <v>BXM26</v>
      </c>
      <c r="F400" s="13">
        <v>43.0</v>
      </c>
      <c r="G400" s="10" t="str">
        <f t="shared" si="4"/>
        <v>BXM26-43</v>
      </c>
      <c r="H400" s="16"/>
      <c r="I400" s="16" t="str">
        <f t="shared" si="5"/>
        <v>collected</v>
      </c>
      <c r="J400" s="16" t="str">
        <f t="shared" si="6"/>
        <v>N</v>
      </c>
      <c r="K400" s="16"/>
      <c r="L400" s="16"/>
    </row>
    <row r="401">
      <c r="A401" s="26" t="s">
        <v>749</v>
      </c>
      <c r="B401" s="10" t="str">
        <f t="shared" si="1"/>
        <v>extra_muscle</v>
      </c>
      <c r="C401" s="49" t="str">
        <f t="shared" si="2"/>
        <v>S17353XM1</v>
      </c>
      <c r="D401" s="6">
        <v>26.0</v>
      </c>
      <c r="E401" s="10" t="str">
        <f t="shared" si="3"/>
        <v>BXM26</v>
      </c>
      <c r="F401" s="13">
        <v>44.0</v>
      </c>
      <c r="G401" s="10" t="str">
        <f t="shared" si="4"/>
        <v>BXM26-44</v>
      </c>
      <c r="H401" s="16"/>
      <c r="I401" s="16" t="str">
        <f t="shared" si="5"/>
        <v>collected</v>
      </c>
      <c r="J401" s="16" t="str">
        <f t="shared" si="6"/>
        <v>N</v>
      </c>
      <c r="K401" s="16"/>
      <c r="L401" s="16"/>
    </row>
    <row r="402">
      <c r="A402" s="26" t="s">
        <v>751</v>
      </c>
      <c r="B402" s="10" t="str">
        <f t="shared" si="1"/>
        <v>extra_muscle</v>
      </c>
      <c r="C402" s="49" t="str">
        <f t="shared" si="2"/>
        <v>S17354XM1</v>
      </c>
      <c r="D402" s="6">
        <v>26.0</v>
      </c>
      <c r="E402" s="10" t="str">
        <f t="shared" si="3"/>
        <v>BXM26</v>
      </c>
      <c r="F402" s="13">
        <v>45.0</v>
      </c>
      <c r="G402" s="10" t="str">
        <f t="shared" si="4"/>
        <v>BXM26-45</v>
      </c>
      <c r="H402" s="16"/>
      <c r="I402" s="16" t="str">
        <f t="shared" si="5"/>
        <v>collected</v>
      </c>
      <c r="J402" s="16" t="str">
        <f t="shared" si="6"/>
        <v>N</v>
      </c>
      <c r="K402" s="16"/>
      <c r="L402" s="16"/>
    </row>
    <row r="403">
      <c r="A403" s="26" t="s">
        <v>753</v>
      </c>
      <c r="B403" s="10" t="str">
        <f t="shared" si="1"/>
        <v>extra_muscle</v>
      </c>
      <c r="C403" s="49" t="str">
        <f t="shared" si="2"/>
        <v>S17355XM1</v>
      </c>
      <c r="D403" s="6">
        <v>26.0</v>
      </c>
      <c r="E403" s="10" t="str">
        <f t="shared" si="3"/>
        <v>BXM26</v>
      </c>
      <c r="F403" s="13">
        <v>46.0</v>
      </c>
      <c r="G403" s="10" t="str">
        <f t="shared" si="4"/>
        <v>BXM26-46</v>
      </c>
      <c r="H403" s="16"/>
      <c r="I403" s="16" t="str">
        <f t="shared" si="5"/>
        <v>collected</v>
      </c>
      <c r="J403" s="16" t="str">
        <f t="shared" si="6"/>
        <v>N</v>
      </c>
      <c r="K403" s="16"/>
      <c r="L403" s="16"/>
    </row>
    <row r="404">
      <c r="A404" s="27" t="s">
        <v>755</v>
      </c>
      <c r="B404" s="10" t="str">
        <f t="shared" si="1"/>
        <v>extra_muscle</v>
      </c>
      <c r="C404" s="49" t="str">
        <f t="shared" si="2"/>
        <v>S17356XM1</v>
      </c>
      <c r="D404" s="6">
        <v>26.0</v>
      </c>
      <c r="E404" s="10" t="str">
        <f t="shared" si="3"/>
        <v>BXM26</v>
      </c>
      <c r="F404" s="13">
        <v>47.0</v>
      </c>
      <c r="G404" s="10" t="str">
        <f t="shared" si="4"/>
        <v>BXM26-47</v>
      </c>
      <c r="H404" s="16"/>
      <c r="I404" s="16" t="str">
        <f t="shared" si="5"/>
        <v>collected</v>
      </c>
      <c r="J404" s="16" t="str">
        <f t="shared" si="6"/>
        <v>N</v>
      </c>
      <c r="K404" s="16"/>
      <c r="L404" s="16"/>
    </row>
    <row r="405">
      <c r="A405" s="27" t="s">
        <v>757</v>
      </c>
      <c r="B405" s="10" t="str">
        <f t="shared" si="1"/>
        <v>extra_muscle</v>
      </c>
      <c r="C405" s="49" t="str">
        <f t="shared" si="2"/>
        <v>S17357XM1</v>
      </c>
      <c r="D405" s="6">
        <v>26.0</v>
      </c>
      <c r="E405" s="10" t="str">
        <f t="shared" si="3"/>
        <v>BXM26</v>
      </c>
      <c r="F405" s="13">
        <v>48.0</v>
      </c>
      <c r="G405" s="10" t="str">
        <f t="shared" si="4"/>
        <v>BXM26-48</v>
      </c>
      <c r="H405" s="16"/>
      <c r="I405" s="16" t="str">
        <f t="shared" si="5"/>
        <v>collected</v>
      </c>
      <c r="J405" s="16" t="str">
        <f t="shared" si="6"/>
        <v>N</v>
      </c>
      <c r="K405" s="16"/>
      <c r="L405" s="16"/>
    </row>
    <row r="406">
      <c r="A406" s="27" t="s">
        <v>758</v>
      </c>
      <c r="B406" s="10" t="str">
        <f t="shared" si="1"/>
        <v>extra_muscle</v>
      </c>
      <c r="C406" s="49" t="str">
        <f t="shared" si="2"/>
        <v>S17358XM1</v>
      </c>
      <c r="D406" s="6">
        <v>26.0</v>
      </c>
      <c r="E406" s="10" t="str">
        <f t="shared" si="3"/>
        <v>BXM26</v>
      </c>
      <c r="F406" s="13">
        <v>49.0</v>
      </c>
      <c r="G406" s="10" t="str">
        <f t="shared" si="4"/>
        <v>BXM26-49</v>
      </c>
      <c r="H406" s="16"/>
      <c r="I406" s="16" t="str">
        <f t="shared" si="5"/>
        <v>collected</v>
      </c>
      <c r="J406" s="16" t="str">
        <f t="shared" si="6"/>
        <v>N</v>
      </c>
      <c r="K406" s="16"/>
      <c r="L406" s="16"/>
    </row>
    <row r="407">
      <c r="A407" s="27" t="s">
        <v>760</v>
      </c>
      <c r="B407" s="10" t="str">
        <f t="shared" si="1"/>
        <v>extra_muscle</v>
      </c>
      <c r="C407" s="49" t="str">
        <f t="shared" si="2"/>
        <v>S17359XM1</v>
      </c>
      <c r="D407" s="6">
        <v>26.0</v>
      </c>
      <c r="E407" s="10" t="str">
        <f t="shared" si="3"/>
        <v>BXM26</v>
      </c>
      <c r="F407" s="13">
        <v>50.0</v>
      </c>
      <c r="G407" s="10" t="str">
        <f t="shared" si="4"/>
        <v>BXM26-50</v>
      </c>
      <c r="H407" s="16"/>
      <c r="I407" s="16" t="str">
        <f t="shared" si="5"/>
        <v>collected</v>
      </c>
      <c r="J407" s="16" t="str">
        <f t="shared" si="6"/>
        <v>N</v>
      </c>
      <c r="K407" s="16"/>
      <c r="L407" s="16"/>
    </row>
    <row r="408">
      <c r="A408" s="27" t="s">
        <v>762</v>
      </c>
      <c r="B408" s="10" t="str">
        <f t="shared" si="1"/>
        <v>extra_muscle</v>
      </c>
      <c r="C408" s="49" t="str">
        <f t="shared" si="2"/>
        <v>S17360XM1</v>
      </c>
      <c r="D408" s="6">
        <v>26.0</v>
      </c>
      <c r="E408" s="10" t="str">
        <f t="shared" si="3"/>
        <v>BXM26</v>
      </c>
      <c r="F408" s="13">
        <v>51.0</v>
      </c>
      <c r="G408" s="10" t="str">
        <f t="shared" si="4"/>
        <v>BXM26-51</v>
      </c>
      <c r="H408" s="16"/>
      <c r="I408" s="16" t="str">
        <f t="shared" si="5"/>
        <v>collected</v>
      </c>
      <c r="J408" s="16" t="str">
        <f t="shared" si="6"/>
        <v>N</v>
      </c>
      <c r="K408" s="16"/>
      <c r="L408" s="16"/>
    </row>
    <row r="409">
      <c r="A409" s="40" t="s">
        <v>763</v>
      </c>
      <c r="B409" s="10" t="str">
        <f t="shared" si="1"/>
        <v>extra_muscle</v>
      </c>
      <c r="C409" s="49" t="str">
        <f t="shared" si="2"/>
        <v>S16954XM1</v>
      </c>
      <c r="D409" s="6">
        <v>25.0</v>
      </c>
      <c r="E409" s="10" t="str">
        <f t="shared" si="3"/>
        <v>BXM25</v>
      </c>
      <c r="F409" s="13">
        <v>55.0</v>
      </c>
      <c r="G409" s="10" t="str">
        <f t="shared" si="4"/>
        <v>BXM25-55</v>
      </c>
      <c r="H409" s="16"/>
      <c r="I409" s="16" t="str">
        <f t="shared" si="5"/>
        <v>collected</v>
      </c>
      <c r="J409" s="16" t="str">
        <f t="shared" si="6"/>
        <v>N</v>
      </c>
      <c r="K409" s="16"/>
      <c r="L409" s="16"/>
    </row>
    <row r="410">
      <c r="A410" s="40" t="s">
        <v>764</v>
      </c>
      <c r="B410" s="10" t="str">
        <f t="shared" si="1"/>
        <v>extra_muscle</v>
      </c>
      <c r="C410" s="49" t="str">
        <f t="shared" si="2"/>
        <v>S16953XM1</v>
      </c>
      <c r="D410" s="6">
        <v>25.0</v>
      </c>
      <c r="E410" s="10" t="str">
        <f t="shared" si="3"/>
        <v>BXM25</v>
      </c>
      <c r="F410" s="13">
        <v>56.0</v>
      </c>
      <c r="G410" s="10" t="str">
        <f t="shared" si="4"/>
        <v>BXM25-56</v>
      </c>
      <c r="H410" s="16"/>
      <c r="I410" s="16" t="str">
        <f t="shared" si="5"/>
        <v>collected</v>
      </c>
      <c r="J410" s="16" t="str">
        <f t="shared" si="6"/>
        <v>N</v>
      </c>
      <c r="K410" s="16"/>
      <c r="L410" s="16"/>
    </row>
    <row r="411">
      <c r="A411" s="40" t="s">
        <v>767</v>
      </c>
      <c r="B411" s="10" t="str">
        <f t="shared" si="1"/>
        <v>extra_muscle</v>
      </c>
      <c r="C411" s="49" t="str">
        <f t="shared" si="2"/>
        <v>S16952XM1</v>
      </c>
      <c r="D411" s="6">
        <v>25.0</v>
      </c>
      <c r="E411" s="10" t="str">
        <f t="shared" si="3"/>
        <v>BXM25</v>
      </c>
      <c r="F411" s="13">
        <v>57.0</v>
      </c>
      <c r="G411" s="10" t="str">
        <f t="shared" si="4"/>
        <v>BXM25-57</v>
      </c>
      <c r="H411" s="16"/>
      <c r="I411" s="16" t="str">
        <f t="shared" si="5"/>
        <v>collected</v>
      </c>
      <c r="J411" s="16" t="str">
        <f t="shared" si="6"/>
        <v>N</v>
      </c>
      <c r="K411" s="16"/>
      <c r="L411" s="16"/>
    </row>
    <row r="412">
      <c r="A412" s="40" t="s">
        <v>768</v>
      </c>
      <c r="B412" s="10" t="str">
        <f t="shared" si="1"/>
        <v>extra_muscle</v>
      </c>
      <c r="C412" s="49" t="str">
        <f t="shared" si="2"/>
        <v>S16951XM1</v>
      </c>
      <c r="D412" s="6">
        <v>25.0</v>
      </c>
      <c r="E412" s="10" t="str">
        <f t="shared" si="3"/>
        <v>BXM25</v>
      </c>
      <c r="F412" s="13">
        <v>58.0</v>
      </c>
      <c r="G412" s="10" t="str">
        <f t="shared" si="4"/>
        <v>BXM25-58</v>
      </c>
      <c r="H412" s="16"/>
      <c r="I412" s="16" t="str">
        <f t="shared" si="5"/>
        <v>collected</v>
      </c>
      <c r="J412" s="16" t="str">
        <f t="shared" si="6"/>
        <v>N</v>
      </c>
      <c r="K412" s="16"/>
      <c r="L412" s="16"/>
    </row>
    <row r="413">
      <c r="A413" s="40" t="s">
        <v>770</v>
      </c>
      <c r="B413" s="10" t="str">
        <f t="shared" si="1"/>
        <v>extra_muscle</v>
      </c>
      <c r="C413" s="49" t="str">
        <f t="shared" si="2"/>
        <v>S16955XM1</v>
      </c>
      <c r="D413" s="6">
        <v>25.0</v>
      </c>
      <c r="E413" s="10" t="str">
        <f t="shared" si="3"/>
        <v>BXM25</v>
      </c>
      <c r="F413" s="13">
        <v>59.0</v>
      </c>
      <c r="G413" s="10" t="str">
        <f t="shared" si="4"/>
        <v>BXM25-59</v>
      </c>
      <c r="H413" s="16"/>
      <c r="I413" s="16" t="str">
        <f t="shared" si="5"/>
        <v>collected</v>
      </c>
      <c r="J413" s="16" t="str">
        <f t="shared" si="6"/>
        <v>N</v>
      </c>
      <c r="K413" s="16"/>
      <c r="L413" s="16"/>
    </row>
    <row r="414">
      <c r="A414" s="40" t="s">
        <v>771</v>
      </c>
      <c r="B414" s="10" t="str">
        <f t="shared" si="1"/>
        <v>extra_muscle</v>
      </c>
      <c r="C414" s="49" t="str">
        <f t="shared" si="2"/>
        <v>S17429XM1</v>
      </c>
      <c r="D414" s="6">
        <v>25.0</v>
      </c>
      <c r="E414" s="10" t="str">
        <f t="shared" si="3"/>
        <v>BXM25</v>
      </c>
      <c r="F414" s="13">
        <v>60.0</v>
      </c>
      <c r="G414" s="10" t="str">
        <f t="shared" si="4"/>
        <v>BXM25-60</v>
      </c>
      <c r="H414" s="16"/>
      <c r="I414" s="16" t="str">
        <f t="shared" si="5"/>
        <v>collected</v>
      </c>
      <c r="J414" s="16" t="str">
        <f t="shared" si="6"/>
        <v>N</v>
      </c>
      <c r="K414" s="16"/>
      <c r="L414" s="16"/>
    </row>
    <row r="415">
      <c r="A415" s="43" t="s">
        <v>773</v>
      </c>
      <c r="B415" s="10" t="str">
        <f t="shared" si="1"/>
        <v>extra_muscle</v>
      </c>
      <c r="C415" s="49" t="str">
        <f t="shared" si="2"/>
        <v>S17425XM1</v>
      </c>
      <c r="D415" s="6">
        <v>25.0</v>
      </c>
      <c r="E415" s="10" t="str">
        <f t="shared" si="3"/>
        <v>BXM25</v>
      </c>
      <c r="F415" s="13">
        <v>61.0</v>
      </c>
      <c r="G415" s="10" t="str">
        <f t="shared" si="4"/>
        <v>BXM25-61</v>
      </c>
      <c r="H415" s="16"/>
      <c r="I415" s="16" t="str">
        <f t="shared" si="5"/>
        <v>collected</v>
      </c>
      <c r="J415" s="16" t="str">
        <f t="shared" si="6"/>
        <v>N</v>
      </c>
      <c r="K415" s="16"/>
      <c r="L415" s="16"/>
    </row>
    <row r="416">
      <c r="A416" s="43" t="s">
        <v>775</v>
      </c>
      <c r="B416" s="10" t="str">
        <f t="shared" si="1"/>
        <v>extra_muscle</v>
      </c>
      <c r="C416" s="49" t="str">
        <f t="shared" si="2"/>
        <v>S17422XM1</v>
      </c>
      <c r="D416" s="6">
        <v>25.0</v>
      </c>
      <c r="E416" s="10" t="str">
        <f t="shared" si="3"/>
        <v>BXM25</v>
      </c>
      <c r="F416" s="13">
        <v>62.0</v>
      </c>
      <c r="G416" s="10" t="str">
        <f t="shared" si="4"/>
        <v>BXM25-62</v>
      </c>
      <c r="H416" s="16"/>
      <c r="I416" s="16" t="str">
        <f t="shared" si="5"/>
        <v>collected</v>
      </c>
      <c r="J416" s="16" t="str">
        <f t="shared" si="6"/>
        <v>N</v>
      </c>
      <c r="K416" s="16"/>
      <c r="L416" s="16"/>
    </row>
    <row r="417">
      <c r="A417" s="43" t="s">
        <v>777</v>
      </c>
      <c r="B417" s="10" t="str">
        <f t="shared" si="1"/>
        <v>extra_muscle</v>
      </c>
      <c r="C417" s="49" t="str">
        <f t="shared" si="2"/>
        <v>S17423XM1</v>
      </c>
      <c r="D417" s="6">
        <v>25.0</v>
      </c>
      <c r="E417" s="10" t="str">
        <f t="shared" si="3"/>
        <v>BXM25</v>
      </c>
      <c r="F417" s="13">
        <v>63.0</v>
      </c>
      <c r="G417" s="10" t="str">
        <f t="shared" si="4"/>
        <v>BXM25-63</v>
      </c>
      <c r="H417" s="16"/>
      <c r="I417" s="16" t="str">
        <f t="shared" si="5"/>
        <v>collected</v>
      </c>
      <c r="J417" s="16" t="str">
        <f t="shared" si="6"/>
        <v>N</v>
      </c>
      <c r="K417" s="16"/>
      <c r="L417" s="16"/>
    </row>
    <row r="418">
      <c r="A418" s="40" t="s">
        <v>778</v>
      </c>
      <c r="B418" s="10" t="str">
        <f t="shared" si="1"/>
        <v>extra_muscle</v>
      </c>
      <c r="C418" s="49" t="str">
        <f t="shared" si="2"/>
        <v>S17426XM1</v>
      </c>
      <c r="D418" s="6">
        <v>25.0</v>
      </c>
      <c r="E418" s="10" t="str">
        <f t="shared" si="3"/>
        <v>BXM25</v>
      </c>
      <c r="F418" s="13">
        <v>64.0</v>
      </c>
      <c r="G418" s="10" t="str">
        <f t="shared" si="4"/>
        <v>BXM25-64</v>
      </c>
      <c r="H418" s="16"/>
      <c r="I418" s="16" t="str">
        <f t="shared" si="5"/>
        <v>collected</v>
      </c>
      <c r="J418" s="16" t="str">
        <f t="shared" si="6"/>
        <v>N</v>
      </c>
      <c r="K418" s="16"/>
      <c r="L418" s="16"/>
    </row>
    <row r="419">
      <c r="A419" s="40" t="s">
        <v>781</v>
      </c>
      <c r="B419" s="10" t="str">
        <f t="shared" si="1"/>
        <v>extra_muscle</v>
      </c>
      <c r="C419" s="49" t="str">
        <f t="shared" si="2"/>
        <v>S17421XM1</v>
      </c>
      <c r="D419" s="6">
        <v>25.0</v>
      </c>
      <c r="E419" s="10" t="str">
        <f t="shared" si="3"/>
        <v>BXM25</v>
      </c>
      <c r="F419" s="13">
        <v>65.0</v>
      </c>
      <c r="G419" s="10" t="str">
        <f t="shared" si="4"/>
        <v>BXM25-65</v>
      </c>
      <c r="H419" s="16"/>
      <c r="I419" s="16" t="str">
        <f t="shared" si="5"/>
        <v>collected</v>
      </c>
      <c r="J419" s="16" t="str">
        <f t="shared" si="6"/>
        <v>N</v>
      </c>
      <c r="K419" s="16"/>
      <c r="L419" s="16"/>
    </row>
    <row r="420">
      <c r="A420" s="40" t="s">
        <v>782</v>
      </c>
      <c r="B420" s="10" t="str">
        <f t="shared" si="1"/>
        <v>extra_muscle</v>
      </c>
      <c r="C420" s="49" t="str">
        <f t="shared" si="2"/>
        <v>S17430XM1</v>
      </c>
      <c r="D420" s="6">
        <v>25.0</v>
      </c>
      <c r="E420" s="10" t="str">
        <f t="shared" si="3"/>
        <v>BXM25</v>
      </c>
      <c r="F420" s="13">
        <v>66.0</v>
      </c>
      <c r="G420" s="10" t="str">
        <f t="shared" si="4"/>
        <v>BXM25-66</v>
      </c>
      <c r="H420" s="16"/>
      <c r="I420" s="16" t="str">
        <f t="shared" si="5"/>
        <v>collected</v>
      </c>
      <c r="J420" s="16" t="str">
        <f t="shared" si="6"/>
        <v>N</v>
      </c>
      <c r="K420" s="16"/>
      <c r="L420" s="16"/>
    </row>
    <row r="421">
      <c r="A421" s="40" t="s">
        <v>783</v>
      </c>
      <c r="B421" s="10" t="str">
        <f t="shared" si="1"/>
        <v>extra_muscle</v>
      </c>
      <c r="C421" s="49" t="str">
        <f t="shared" si="2"/>
        <v>S17424XM1</v>
      </c>
      <c r="D421" s="6">
        <v>25.0</v>
      </c>
      <c r="E421" s="10" t="str">
        <f t="shared" si="3"/>
        <v>BXM25</v>
      </c>
      <c r="F421" s="13">
        <v>67.0</v>
      </c>
      <c r="G421" s="10" t="str">
        <f t="shared" si="4"/>
        <v>BXM25-67</v>
      </c>
      <c r="H421" s="16"/>
      <c r="I421" s="16" t="str">
        <f t="shared" si="5"/>
        <v>collected</v>
      </c>
      <c r="J421" s="16" t="str">
        <f t="shared" si="6"/>
        <v>N</v>
      </c>
      <c r="K421" s="16"/>
      <c r="L421" s="16"/>
    </row>
    <row r="422">
      <c r="A422" s="43" t="s">
        <v>785</v>
      </c>
      <c r="B422" s="10" t="str">
        <f t="shared" si="1"/>
        <v>extra_muscle</v>
      </c>
      <c r="C422" s="49" t="str">
        <f t="shared" si="2"/>
        <v>S17427XM1</v>
      </c>
      <c r="D422" s="6">
        <v>25.0</v>
      </c>
      <c r="E422" s="10" t="str">
        <f t="shared" si="3"/>
        <v>BXM25</v>
      </c>
      <c r="F422" s="13">
        <v>68.0</v>
      </c>
      <c r="G422" s="10" t="str">
        <f t="shared" si="4"/>
        <v>BXM25-68</v>
      </c>
      <c r="H422" s="16"/>
      <c r="I422" s="16" t="str">
        <f t="shared" si="5"/>
        <v>collected</v>
      </c>
      <c r="J422" s="16" t="str">
        <f t="shared" si="6"/>
        <v>N</v>
      </c>
      <c r="K422" s="16"/>
      <c r="L422" s="16"/>
    </row>
    <row r="423">
      <c r="A423" s="43" t="s">
        <v>787</v>
      </c>
      <c r="B423" s="10" t="str">
        <f t="shared" si="1"/>
        <v>extra_muscle</v>
      </c>
      <c r="C423" s="49" t="str">
        <f t="shared" si="2"/>
        <v>S17428XM1</v>
      </c>
      <c r="D423" s="6">
        <v>25.0</v>
      </c>
      <c r="E423" s="10" t="str">
        <f t="shared" si="3"/>
        <v>BXM25</v>
      </c>
      <c r="F423" s="13">
        <v>69.0</v>
      </c>
      <c r="G423" s="10" t="str">
        <f t="shared" si="4"/>
        <v>BXM25-69</v>
      </c>
      <c r="H423" s="16"/>
      <c r="I423" s="16" t="str">
        <f t="shared" si="5"/>
        <v>collected</v>
      </c>
      <c r="J423" s="16" t="str">
        <f t="shared" si="6"/>
        <v>N</v>
      </c>
      <c r="K423" s="16"/>
      <c r="L423" s="16"/>
    </row>
    <row r="424">
      <c r="A424" s="43" t="s">
        <v>789</v>
      </c>
      <c r="B424" s="10" t="str">
        <f t="shared" si="1"/>
        <v>extra_muscle</v>
      </c>
      <c r="C424" s="49" t="str">
        <f t="shared" si="2"/>
        <v>S17197XM1</v>
      </c>
      <c r="D424" s="6">
        <v>25.0</v>
      </c>
      <c r="E424" s="10" t="str">
        <f t="shared" si="3"/>
        <v>BXM25</v>
      </c>
      <c r="F424" s="13">
        <v>70.0</v>
      </c>
      <c r="G424" s="10" t="str">
        <f t="shared" si="4"/>
        <v>BXM25-70</v>
      </c>
      <c r="H424" s="16"/>
      <c r="I424" s="16" t="str">
        <f t="shared" si="5"/>
        <v>collected</v>
      </c>
      <c r="J424" s="16" t="str">
        <f t="shared" si="6"/>
        <v>N</v>
      </c>
      <c r="K424" s="16"/>
      <c r="L424" s="16"/>
    </row>
    <row r="425">
      <c r="A425" s="43" t="s">
        <v>790</v>
      </c>
      <c r="B425" s="10" t="str">
        <f t="shared" si="1"/>
        <v>extra_muscle</v>
      </c>
      <c r="C425" s="49" t="str">
        <f t="shared" si="2"/>
        <v>S17198XM1</v>
      </c>
      <c r="D425" s="6">
        <v>25.0</v>
      </c>
      <c r="E425" s="10" t="str">
        <f t="shared" si="3"/>
        <v>BXM25</v>
      </c>
      <c r="F425" s="13">
        <v>71.0</v>
      </c>
      <c r="G425" s="10" t="str">
        <f t="shared" si="4"/>
        <v>BXM25-71</v>
      </c>
      <c r="H425" s="16"/>
      <c r="I425" s="16" t="str">
        <f t="shared" si="5"/>
        <v>collected</v>
      </c>
      <c r="J425" s="16" t="str">
        <f t="shared" si="6"/>
        <v>N</v>
      </c>
      <c r="K425" s="16"/>
      <c r="L425" s="16"/>
    </row>
    <row r="426">
      <c r="A426" s="43" t="s">
        <v>791</v>
      </c>
      <c r="B426" s="10" t="str">
        <f t="shared" si="1"/>
        <v>extra_muscle</v>
      </c>
      <c r="C426" s="49" t="str">
        <f t="shared" si="2"/>
        <v>S17199XM1</v>
      </c>
      <c r="D426" s="6">
        <v>25.0</v>
      </c>
      <c r="E426" s="10" t="str">
        <f t="shared" si="3"/>
        <v>BXM25</v>
      </c>
      <c r="F426" s="13">
        <v>72.0</v>
      </c>
      <c r="G426" s="10" t="str">
        <f t="shared" si="4"/>
        <v>BXM25-72</v>
      </c>
      <c r="H426" s="16"/>
      <c r="I426" s="16" t="str">
        <f t="shared" si="5"/>
        <v>collected</v>
      </c>
      <c r="J426" s="16" t="str">
        <f t="shared" si="6"/>
        <v>N</v>
      </c>
      <c r="K426" s="16"/>
      <c r="L426" s="16"/>
    </row>
    <row r="427">
      <c r="A427" s="43" t="s">
        <v>794</v>
      </c>
      <c r="B427" s="10" t="str">
        <f t="shared" si="1"/>
        <v>extra_muscle</v>
      </c>
      <c r="C427" s="49" t="str">
        <f t="shared" si="2"/>
        <v>S17192XM1</v>
      </c>
      <c r="D427" s="6">
        <v>25.0</v>
      </c>
      <c r="E427" s="10" t="str">
        <f t="shared" si="3"/>
        <v>BXM25</v>
      </c>
      <c r="F427" s="13">
        <v>73.0</v>
      </c>
      <c r="G427" s="10" t="str">
        <f t="shared" si="4"/>
        <v>BXM25-73</v>
      </c>
      <c r="H427" s="16"/>
      <c r="I427" s="16" t="str">
        <f t="shared" si="5"/>
        <v>collected</v>
      </c>
      <c r="J427" s="16" t="str">
        <f t="shared" si="6"/>
        <v>N</v>
      </c>
      <c r="K427" s="16"/>
      <c r="L427" s="16"/>
    </row>
    <row r="428">
      <c r="A428" s="43" t="s">
        <v>795</v>
      </c>
      <c r="B428" s="10" t="str">
        <f t="shared" si="1"/>
        <v>extra_muscle</v>
      </c>
      <c r="C428" s="49" t="str">
        <f t="shared" si="2"/>
        <v>S17191XM1</v>
      </c>
      <c r="D428" s="6">
        <v>25.0</v>
      </c>
      <c r="E428" s="10" t="str">
        <f t="shared" si="3"/>
        <v>BXM25</v>
      </c>
      <c r="F428" s="13">
        <v>74.0</v>
      </c>
      <c r="G428" s="10" t="str">
        <f t="shared" si="4"/>
        <v>BXM25-74</v>
      </c>
      <c r="H428" s="16"/>
      <c r="I428" s="16" t="str">
        <f t="shared" si="5"/>
        <v>collected</v>
      </c>
      <c r="J428" s="16" t="str">
        <f t="shared" si="6"/>
        <v>N</v>
      </c>
      <c r="K428" s="16"/>
      <c r="L428" s="16"/>
    </row>
    <row r="429">
      <c r="A429" s="43" t="s">
        <v>797</v>
      </c>
      <c r="B429" s="10" t="str">
        <f t="shared" si="1"/>
        <v>extra_muscle</v>
      </c>
      <c r="C429" s="49" t="str">
        <f t="shared" si="2"/>
        <v>S17193XM1</v>
      </c>
      <c r="D429" s="6">
        <v>25.0</v>
      </c>
      <c r="E429" s="10" t="str">
        <f t="shared" si="3"/>
        <v>BXM25</v>
      </c>
      <c r="F429" s="13">
        <v>75.0</v>
      </c>
      <c r="G429" s="10" t="str">
        <f t="shared" si="4"/>
        <v>BXM25-75</v>
      </c>
      <c r="H429" s="16"/>
      <c r="I429" s="16" t="str">
        <f t="shared" si="5"/>
        <v>collected</v>
      </c>
      <c r="J429" s="16" t="str">
        <f t="shared" si="6"/>
        <v>N</v>
      </c>
      <c r="K429" s="16"/>
      <c r="L429" s="16"/>
    </row>
    <row r="430">
      <c r="A430" s="43" t="s">
        <v>798</v>
      </c>
      <c r="B430" s="10" t="str">
        <f t="shared" si="1"/>
        <v>extra_muscle</v>
      </c>
      <c r="C430" s="49" t="str">
        <f t="shared" si="2"/>
        <v>S17196XM1</v>
      </c>
      <c r="D430" s="6">
        <v>25.0</v>
      </c>
      <c r="E430" s="10" t="str">
        <f t="shared" si="3"/>
        <v>BXM25</v>
      </c>
      <c r="F430" s="13">
        <v>76.0</v>
      </c>
      <c r="G430" s="10" t="str">
        <f t="shared" si="4"/>
        <v>BXM25-76</v>
      </c>
      <c r="H430" s="16"/>
      <c r="I430" s="16" t="str">
        <f t="shared" si="5"/>
        <v>collected</v>
      </c>
      <c r="J430" s="16" t="str">
        <f t="shared" si="6"/>
        <v>N</v>
      </c>
      <c r="K430" s="16"/>
      <c r="L430" s="16"/>
    </row>
    <row r="431">
      <c r="A431" s="43" t="s">
        <v>799</v>
      </c>
      <c r="B431" s="10" t="str">
        <f t="shared" si="1"/>
        <v>extra_muscle</v>
      </c>
      <c r="C431" s="49" t="str">
        <f t="shared" si="2"/>
        <v>S17195XM1</v>
      </c>
      <c r="D431" s="6">
        <v>25.0</v>
      </c>
      <c r="E431" s="10" t="str">
        <f t="shared" si="3"/>
        <v>BXM25</v>
      </c>
      <c r="F431" s="13">
        <v>77.0</v>
      </c>
      <c r="G431" s="10" t="str">
        <f t="shared" si="4"/>
        <v>BXM25-77</v>
      </c>
      <c r="H431" s="16"/>
      <c r="I431" s="16" t="str">
        <f t="shared" si="5"/>
        <v>collected</v>
      </c>
      <c r="J431" s="16" t="str">
        <f t="shared" si="6"/>
        <v>N</v>
      </c>
      <c r="K431" s="16"/>
      <c r="L431" s="16"/>
    </row>
    <row r="432">
      <c r="A432" s="43" t="s">
        <v>802</v>
      </c>
      <c r="B432" s="10" t="str">
        <f t="shared" si="1"/>
        <v>extra_muscle</v>
      </c>
      <c r="C432" s="49" t="str">
        <f t="shared" si="2"/>
        <v>S17194XM1</v>
      </c>
      <c r="D432" s="6">
        <v>25.0</v>
      </c>
      <c r="E432" s="10" t="str">
        <f t="shared" si="3"/>
        <v>BXM25</v>
      </c>
      <c r="F432" s="13">
        <v>78.0</v>
      </c>
      <c r="G432" s="10" t="str">
        <f t="shared" si="4"/>
        <v>BXM25-78</v>
      </c>
      <c r="H432" s="16"/>
      <c r="I432" s="16" t="str">
        <f t="shared" si="5"/>
        <v>collected</v>
      </c>
      <c r="J432" s="16" t="str">
        <f t="shared" si="6"/>
        <v>N</v>
      </c>
      <c r="K432" s="16"/>
      <c r="L432" s="16"/>
    </row>
    <row r="433">
      <c r="A433" s="43" t="s">
        <v>803</v>
      </c>
      <c r="B433" s="10" t="str">
        <f t="shared" si="1"/>
        <v>extra_muscle</v>
      </c>
      <c r="C433" s="49" t="str">
        <f t="shared" si="2"/>
        <v>S17200XM1</v>
      </c>
      <c r="D433" s="6">
        <v>25.0</v>
      </c>
      <c r="E433" s="10" t="str">
        <f t="shared" si="3"/>
        <v>BXM25</v>
      </c>
      <c r="F433" s="13">
        <v>79.0</v>
      </c>
      <c r="G433" s="10" t="str">
        <f t="shared" si="4"/>
        <v>BXM25-79</v>
      </c>
      <c r="H433" s="16"/>
      <c r="I433" s="16" t="str">
        <f t="shared" si="5"/>
        <v>collected</v>
      </c>
      <c r="J433" s="16" t="str">
        <f t="shared" si="6"/>
        <v>N</v>
      </c>
      <c r="K433" s="16"/>
      <c r="L433" s="16"/>
    </row>
    <row r="434">
      <c r="A434" s="40" t="s">
        <v>804</v>
      </c>
      <c r="B434" s="10" t="str">
        <f t="shared" si="1"/>
        <v>extra_muscle</v>
      </c>
      <c r="C434" s="49" t="str">
        <f t="shared" si="2"/>
        <v>S16992XM1</v>
      </c>
      <c r="D434" s="6">
        <v>25.0</v>
      </c>
      <c r="E434" s="10" t="str">
        <f t="shared" si="3"/>
        <v>BXM25</v>
      </c>
      <c r="F434" s="13">
        <v>80.0</v>
      </c>
      <c r="G434" s="10" t="str">
        <f t="shared" si="4"/>
        <v>BXM25-80</v>
      </c>
      <c r="H434" s="16"/>
      <c r="I434" s="16" t="str">
        <f t="shared" si="5"/>
        <v>collected</v>
      </c>
      <c r="J434" s="16" t="str">
        <f t="shared" si="6"/>
        <v>N</v>
      </c>
      <c r="K434" s="16"/>
      <c r="L434" s="16"/>
    </row>
    <row r="435">
      <c r="A435" s="40" t="s">
        <v>806</v>
      </c>
      <c r="B435" s="10" t="str">
        <f t="shared" si="1"/>
        <v>extra_muscle</v>
      </c>
      <c r="C435" s="49" t="str">
        <f t="shared" si="2"/>
        <v>S16993XM1</v>
      </c>
      <c r="D435" s="6">
        <v>25.0</v>
      </c>
      <c r="E435" s="10" t="str">
        <f t="shared" si="3"/>
        <v>BXM25</v>
      </c>
      <c r="F435" s="13">
        <v>81.0</v>
      </c>
      <c r="G435" s="10" t="str">
        <f t="shared" si="4"/>
        <v>BXM25-81</v>
      </c>
      <c r="H435" s="16"/>
      <c r="I435" s="16" t="str">
        <f t="shared" si="5"/>
        <v>collected</v>
      </c>
      <c r="J435" s="16" t="str">
        <f t="shared" si="6"/>
        <v>N</v>
      </c>
      <c r="K435" s="16"/>
      <c r="L435" s="16"/>
    </row>
    <row r="436">
      <c r="A436" s="30" t="s">
        <v>839</v>
      </c>
      <c r="B436" s="10" t="str">
        <f t="shared" si="1"/>
        <v>extra_muscle</v>
      </c>
      <c r="C436" s="49" t="str">
        <f t="shared" si="2"/>
        <v>S16931XM1</v>
      </c>
      <c r="D436" s="6">
        <v>26.0</v>
      </c>
      <c r="E436" s="10" t="str">
        <f t="shared" si="3"/>
        <v>BXM26</v>
      </c>
      <c r="F436" s="13">
        <v>52.0</v>
      </c>
      <c r="G436" s="10" t="str">
        <f t="shared" si="4"/>
        <v>BXM26-52</v>
      </c>
      <c r="H436" s="16"/>
      <c r="I436" s="16" t="str">
        <f t="shared" si="5"/>
        <v>collected</v>
      </c>
      <c r="J436" s="16" t="str">
        <f t="shared" si="6"/>
        <v>N</v>
      </c>
      <c r="K436" s="16"/>
      <c r="L436" s="16"/>
    </row>
    <row r="437">
      <c r="A437" s="30" t="s">
        <v>841</v>
      </c>
      <c r="B437" s="10" t="str">
        <f t="shared" si="1"/>
        <v>extra_muscle</v>
      </c>
      <c r="C437" s="49" t="str">
        <f t="shared" si="2"/>
        <v>S16932XM1</v>
      </c>
      <c r="D437" s="6">
        <v>26.0</v>
      </c>
      <c r="E437" s="10" t="str">
        <f t="shared" si="3"/>
        <v>BXM26</v>
      </c>
      <c r="F437" s="13">
        <v>53.0</v>
      </c>
      <c r="G437" s="10" t="str">
        <f t="shared" si="4"/>
        <v>BXM26-53</v>
      </c>
      <c r="H437" s="16"/>
      <c r="I437" s="16" t="str">
        <f t="shared" si="5"/>
        <v>collected</v>
      </c>
      <c r="J437" s="16" t="str">
        <f t="shared" si="6"/>
        <v>N</v>
      </c>
      <c r="K437" s="16"/>
      <c r="L437" s="16"/>
    </row>
    <row r="438">
      <c r="A438" s="30" t="s">
        <v>843</v>
      </c>
      <c r="B438" s="10" t="str">
        <f t="shared" si="1"/>
        <v>extra_muscle</v>
      </c>
      <c r="C438" s="49" t="str">
        <f t="shared" si="2"/>
        <v>S16933XM1</v>
      </c>
      <c r="D438" s="6">
        <v>26.0</v>
      </c>
      <c r="E438" s="10" t="str">
        <f t="shared" si="3"/>
        <v>BXM26</v>
      </c>
      <c r="F438" s="13">
        <v>54.0</v>
      </c>
      <c r="G438" s="10" t="str">
        <f t="shared" si="4"/>
        <v>BXM26-54</v>
      </c>
      <c r="H438" s="6" t="s">
        <v>730</v>
      </c>
      <c r="I438" s="16" t="str">
        <f t="shared" si="5"/>
        <v>collected</v>
      </c>
      <c r="J438" s="16" t="str">
        <f t="shared" si="6"/>
        <v>N</v>
      </c>
      <c r="K438" s="16"/>
      <c r="L438" s="16"/>
    </row>
    <row r="439">
      <c r="A439" s="30" t="s">
        <v>846</v>
      </c>
      <c r="B439" s="10" t="str">
        <f t="shared" si="1"/>
        <v>extra_muscle</v>
      </c>
      <c r="C439" s="49" t="str">
        <f t="shared" si="2"/>
        <v>S16934XM1</v>
      </c>
      <c r="D439" s="6">
        <v>26.0</v>
      </c>
      <c r="E439" s="10" t="str">
        <f t="shared" si="3"/>
        <v>BXM26</v>
      </c>
      <c r="F439" s="13">
        <v>55.0</v>
      </c>
      <c r="G439" s="10" t="str">
        <f t="shared" si="4"/>
        <v>BXM26-55</v>
      </c>
      <c r="H439" s="16"/>
      <c r="I439" s="16" t="str">
        <f t="shared" si="5"/>
        <v>collected</v>
      </c>
      <c r="J439" s="16" t="str">
        <f t="shared" si="6"/>
        <v>N</v>
      </c>
      <c r="K439" s="16"/>
      <c r="L439" s="16"/>
    </row>
    <row r="440">
      <c r="A440" s="30" t="s">
        <v>847</v>
      </c>
      <c r="B440" s="10" t="str">
        <f t="shared" si="1"/>
        <v>extra_muscle</v>
      </c>
      <c r="C440" s="49" t="str">
        <f t="shared" si="2"/>
        <v>S16935XM1</v>
      </c>
      <c r="D440" s="6">
        <v>26.0</v>
      </c>
      <c r="E440" s="10" t="str">
        <f t="shared" si="3"/>
        <v>BXM26</v>
      </c>
      <c r="F440" s="13">
        <v>56.0</v>
      </c>
      <c r="G440" s="10" t="str">
        <f t="shared" si="4"/>
        <v>BXM26-56</v>
      </c>
      <c r="H440" s="16"/>
      <c r="I440" s="16" t="str">
        <f t="shared" si="5"/>
        <v>collected</v>
      </c>
      <c r="J440" s="16" t="str">
        <f t="shared" si="6"/>
        <v>N</v>
      </c>
      <c r="K440" s="16"/>
      <c r="L440" s="16"/>
    </row>
    <row r="441">
      <c r="A441" s="30" t="s">
        <v>849</v>
      </c>
      <c r="B441" s="10" t="str">
        <f t="shared" si="1"/>
        <v>extra_muscle</v>
      </c>
      <c r="C441" s="49" t="str">
        <f t="shared" si="2"/>
        <v>S16936XM1</v>
      </c>
      <c r="D441" s="6">
        <v>26.0</v>
      </c>
      <c r="E441" s="10" t="str">
        <f t="shared" si="3"/>
        <v>BXM26</v>
      </c>
      <c r="F441" s="13">
        <v>57.0</v>
      </c>
      <c r="G441" s="10" t="str">
        <f t="shared" si="4"/>
        <v>BXM26-57</v>
      </c>
      <c r="H441" s="16"/>
      <c r="I441" s="16" t="str">
        <f t="shared" si="5"/>
        <v>collected</v>
      </c>
      <c r="J441" s="16" t="str">
        <f t="shared" si="6"/>
        <v>N</v>
      </c>
      <c r="K441" s="16"/>
      <c r="L441" s="16"/>
    </row>
    <row r="442">
      <c r="A442" s="30" t="s">
        <v>851</v>
      </c>
      <c r="B442" s="10" t="str">
        <f t="shared" si="1"/>
        <v>extra_muscle</v>
      </c>
      <c r="C442" s="49" t="str">
        <f t="shared" si="2"/>
        <v>S16937XM1</v>
      </c>
      <c r="D442" s="6">
        <v>26.0</v>
      </c>
      <c r="E442" s="10" t="str">
        <f t="shared" si="3"/>
        <v>BXM26</v>
      </c>
      <c r="F442" s="13">
        <v>58.0</v>
      </c>
      <c r="G442" s="10" t="str">
        <f t="shared" si="4"/>
        <v>BXM26-58</v>
      </c>
      <c r="H442" s="16"/>
      <c r="I442" s="16" t="str">
        <f t="shared" si="5"/>
        <v>collected</v>
      </c>
      <c r="J442" s="16" t="str">
        <f t="shared" si="6"/>
        <v>N</v>
      </c>
      <c r="K442" s="16"/>
      <c r="L442" s="16"/>
    </row>
    <row r="443">
      <c r="A443" s="30" t="s">
        <v>852</v>
      </c>
      <c r="B443" s="10" t="str">
        <f t="shared" si="1"/>
        <v>extra_muscle</v>
      </c>
      <c r="C443" s="49" t="str">
        <f t="shared" si="2"/>
        <v>S17941XM1</v>
      </c>
      <c r="D443" s="6">
        <v>26.0</v>
      </c>
      <c r="E443" s="10" t="str">
        <f t="shared" si="3"/>
        <v>BXM26</v>
      </c>
      <c r="F443" s="13">
        <v>59.0</v>
      </c>
      <c r="G443" s="10" t="str">
        <f t="shared" si="4"/>
        <v>BXM26-59</v>
      </c>
      <c r="H443" s="16"/>
      <c r="I443" s="16" t="str">
        <f t="shared" si="5"/>
        <v>collected</v>
      </c>
      <c r="J443" s="16" t="str">
        <f t="shared" si="6"/>
        <v>N</v>
      </c>
      <c r="K443" s="16"/>
      <c r="L443" s="16"/>
    </row>
    <row r="444">
      <c r="A444" s="30" t="s">
        <v>853</v>
      </c>
      <c r="B444" s="10" t="str">
        <f t="shared" si="1"/>
        <v>extra_muscle</v>
      </c>
      <c r="C444" s="49" t="str">
        <f t="shared" si="2"/>
        <v>S17942XM1</v>
      </c>
      <c r="D444" s="6">
        <v>26.0</v>
      </c>
      <c r="E444" s="10" t="str">
        <f t="shared" si="3"/>
        <v>BXM26</v>
      </c>
      <c r="F444" s="13">
        <v>60.0</v>
      </c>
      <c r="G444" s="10" t="str">
        <f t="shared" si="4"/>
        <v>BXM26-60</v>
      </c>
      <c r="H444" s="16"/>
      <c r="I444" s="16" t="str">
        <f t="shared" si="5"/>
        <v>collected</v>
      </c>
      <c r="J444" s="16" t="str">
        <f t="shared" si="6"/>
        <v>N</v>
      </c>
      <c r="K444" s="16"/>
      <c r="L444" s="16"/>
    </row>
    <row r="445">
      <c r="A445" s="30" t="s">
        <v>854</v>
      </c>
      <c r="B445" s="10" t="str">
        <f t="shared" si="1"/>
        <v>extra_muscle</v>
      </c>
      <c r="C445" s="49" t="str">
        <f t="shared" si="2"/>
        <v>S17943XM1</v>
      </c>
      <c r="D445" s="6">
        <v>26.0</v>
      </c>
      <c r="E445" s="10" t="str">
        <f t="shared" si="3"/>
        <v>BXM26</v>
      </c>
      <c r="F445" s="13">
        <v>61.0</v>
      </c>
      <c r="G445" s="10" t="str">
        <f t="shared" si="4"/>
        <v>BXM26-61</v>
      </c>
      <c r="H445" s="16"/>
      <c r="I445" s="16" t="str">
        <f t="shared" si="5"/>
        <v>collected</v>
      </c>
      <c r="J445" s="16" t="str">
        <f t="shared" si="6"/>
        <v>N</v>
      </c>
      <c r="K445" s="16"/>
      <c r="L445" s="16"/>
    </row>
    <row r="446">
      <c r="A446" s="30" t="s">
        <v>857</v>
      </c>
      <c r="B446" s="10" t="str">
        <f t="shared" si="1"/>
        <v>extra_muscle</v>
      </c>
      <c r="C446" s="49" t="str">
        <f t="shared" si="2"/>
        <v>S17944XM1</v>
      </c>
      <c r="D446" s="6">
        <v>26.0</v>
      </c>
      <c r="E446" s="10" t="str">
        <f t="shared" si="3"/>
        <v>BXM26</v>
      </c>
      <c r="F446" s="13">
        <v>62.0</v>
      </c>
      <c r="G446" s="10" t="str">
        <f t="shared" si="4"/>
        <v>BXM26-62</v>
      </c>
      <c r="H446" s="16"/>
      <c r="I446" s="16" t="str">
        <f t="shared" si="5"/>
        <v>collected</v>
      </c>
      <c r="J446" s="16" t="str">
        <f t="shared" si="6"/>
        <v>N</v>
      </c>
      <c r="K446" s="16"/>
      <c r="L446" s="16"/>
    </row>
    <row r="447">
      <c r="A447" s="30" t="s">
        <v>858</v>
      </c>
      <c r="B447" s="10" t="str">
        <f t="shared" si="1"/>
        <v>extra_muscle</v>
      </c>
      <c r="C447" s="49" t="str">
        <f t="shared" si="2"/>
        <v>S17411XM1</v>
      </c>
      <c r="D447" s="6">
        <v>26.0</v>
      </c>
      <c r="E447" s="10" t="str">
        <f t="shared" si="3"/>
        <v>BXM26</v>
      </c>
      <c r="F447" s="13">
        <v>63.0</v>
      </c>
      <c r="G447" s="10" t="str">
        <f t="shared" si="4"/>
        <v>BXM26-63</v>
      </c>
      <c r="H447" s="16"/>
      <c r="I447" s="16" t="str">
        <f t="shared" si="5"/>
        <v>collected</v>
      </c>
      <c r="J447" s="16" t="str">
        <f t="shared" si="6"/>
        <v>N</v>
      </c>
      <c r="K447" s="16"/>
      <c r="L447" s="16"/>
    </row>
    <row r="448">
      <c r="A448" s="30" t="s">
        <v>859</v>
      </c>
      <c r="B448" s="10" t="str">
        <f t="shared" si="1"/>
        <v>extra_muscle</v>
      </c>
      <c r="C448" s="49" t="str">
        <f t="shared" si="2"/>
        <v>S17412XM1</v>
      </c>
      <c r="D448" s="6">
        <v>26.0</v>
      </c>
      <c r="E448" s="10" t="str">
        <f t="shared" si="3"/>
        <v>BXM26</v>
      </c>
      <c r="F448" s="13">
        <v>64.0</v>
      </c>
      <c r="G448" s="10" t="str">
        <f t="shared" si="4"/>
        <v>BXM26-64</v>
      </c>
      <c r="H448" s="16"/>
      <c r="I448" s="16" t="str">
        <f t="shared" si="5"/>
        <v>collected</v>
      </c>
      <c r="J448" s="16" t="str">
        <f t="shared" si="6"/>
        <v>N</v>
      </c>
      <c r="K448" s="16"/>
      <c r="L448" s="16"/>
    </row>
    <row r="449">
      <c r="A449" s="30" t="s">
        <v>860</v>
      </c>
      <c r="B449" s="10" t="str">
        <f t="shared" si="1"/>
        <v>extra_muscle</v>
      </c>
      <c r="C449" s="49" t="str">
        <f t="shared" si="2"/>
        <v>S17413XM1</v>
      </c>
      <c r="D449" s="6">
        <v>26.0</v>
      </c>
      <c r="E449" s="10" t="str">
        <f t="shared" si="3"/>
        <v>BXM26</v>
      </c>
      <c r="F449" s="13">
        <v>65.0</v>
      </c>
      <c r="G449" s="10" t="str">
        <f t="shared" si="4"/>
        <v>BXM26-65</v>
      </c>
      <c r="H449" s="16"/>
      <c r="I449" s="16" t="str">
        <f t="shared" si="5"/>
        <v>collected</v>
      </c>
      <c r="J449" s="16" t="str">
        <f t="shared" si="6"/>
        <v>N</v>
      </c>
      <c r="K449" s="16"/>
      <c r="L449" s="16"/>
    </row>
    <row r="450">
      <c r="A450" s="30" t="s">
        <v>863</v>
      </c>
      <c r="B450" s="10" t="str">
        <f t="shared" si="1"/>
        <v>extra_muscle</v>
      </c>
      <c r="C450" s="49" t="str">
        <f t="shared" si="2"/>
        <v>S17414XM1</v>
      </c>
      <c r="D450" s="6">
        <v>26.0</v>
      </c>
      <c r="E450" s="10" t="str">
        <f t="shared" si="3"/>
        <v>BXM26</v>
      </c>
      <c r="F450" s="13">
        <v>66.0</v>
      </c>
      <c r="G450" s="10" t="str">
        <f t="shared" si="4"/>
        <v>BXM26-66</v>
      </c>
      <c r="H450" s="16"/>
      <c r="I450" s="16" t="str">
        <f t="shared" si="5"/>
        <v>collected</v>
      </c>
      <c r="J450" s="16" t="str">
        <f t="shared" si="6"/>
        <v>N</v>
      </c>
      <c r="K450" s="16"/>
      <c r="L450" s="16"/>
    </row>
    <row r="451">
      <c r="A451" s="30" t="s">
        <v>864</v>
      </c>
      <c r="B451" s="10" t="str">
        <f t="shared" si="1"/>
        <v>extra_muscle</v>
      </c>
      <c r="C451" s="49" t="str">
        <f t="shared" si="2"/>
        <v>S17415XM1</v>
      </c>
      <c r="D451" s="6">
        <v>26.0</v>
      </c>
      <c r="E451" s="10" t="str">
        <f t="shared" si="3"/>
        <v>BXM26</v>
      </c>
      <c r="F451" s="13">
        <v>67.0</v>
      </c>
      <c r="G451" s="10" t="str">
        <f t="shared" si="4"/>
        <v>BXM26-67</v>
      </c>
      <c r="H451" s="16"/>
      <c r="I451" s="16" t="str">
        <f t="shared" si="5"/>
        <v>collected</v>
      </c>
      <c r="J451" s="16" t="str">
        <f t="shared" si="6"/>
        <v>N</v>
      </c>
      <c r="K451" s="16"/>
      <c r="L451" s="16"/>
    </row>
    <row r="452">
      <c r="A452" s="30" t="s">
        <v>865</v>
      </c>
      <c r="B452" s="10" t="str">
        <f t="shared" si="1"/>
        <v>extra_muscle</v>
      </c>
      <c r="C452" s="49" t="str">
        <f t="shared" si="2"/>
        <v>S17416XM1</v>
      </c>
      <c r="D452" s="6">
        <v>26.0</v>
      </c>
      <c r="E452" s="10" t="str">
        <f t="shared" si="3"/>
        <v>BXM26</v>
      </c>
      <c r="F452" s="13">
        <v>68.0</v>
      </c>
      <c r="G452" s="10" t="str">
        <f t="shared" si="4"/>
        <v>BXM26-68</v>
      </c>
      <c r="H452" s="16"/>
      <c r="I452" s="16" t="str">
        <f t="shared" si="5"/>
        <v>collected</v>
      </c>
      <c r="J452" s="16" t="str">
        <f t="shared" si="6"/>
        <v>N</v>
      </c>
      <c r="K452" s="16"/>
      <c r="L452" s="16"/>
    </row>
    <row r="453">
      <c r="A453" s="30" t="s">
        <v>866</v>
      </c>
      <c r="B453" s="10" t="str">
        <f t="shared" si="1"/>
        <v>extra_muscle</v>
      </c>
      <c r="C453" s="49" t="str">
        <f t="shared" si="2"/>
        <v>S16881XM1</v>
      </c>
      <c r="D453" s="6">
        <v>26.0</v>
      </c>
      <c r="E453" s="10" t="str">
        <f t="shared" si="3"/>
        <v>BXM26</v>
      </c>
      <c r="F453" s="13">
        <v>69.0</v>
      </c>
      <c r="G453" s="10" t="str">
        <f t="shared" si="4"/>
        <v>BXM26-69</v>
      </c>
      <c r="H453" s="16"/>
      <c r="I453" s="16" t="str">
        <f t="shared" si="5"/>
        <v>collected</v>
      </c>
      <c r="J453" s="16" t="str">
        <f t="shared" si="6"/>
        <v>N</v>
      </c>
      <c r="K453" s="16"/>
      <c r="L453" s="16"/>
    </row>
    <row r="454">
      <c r="A454" s="16" t="s">
        <v>870</v>
      </c>
      <c r="B454" s="10" t="str">
        <f t="shared" si="1"/>
        <v>extra_muscle</v>
      </c>
      <c r="C454" s="49" t="str">
        <f t="shared" si="2"/>
        <v>S16882XM1</v>
      </c>
      <c r="D454" s="6">
        <v>26.0</v>
      </c>
      <c r="E454" s="10" t="str">
        <f t="shared" si="3"/>
        <v>BXM26</v>
      </c>
      <c r="F454" s="13">
        <v>70.0</v>
      </c>
      <c r="G454" s="10" t="str">
        <f t="shared" si="4"/>
        <v>BXM26-70</v>
      </c>
      <c r="H454" s="16"/>
      <c r="I454" s="16" t="str">
        <f t="shared" si="5"/>
        <v>collected</v>
      </c>
      <c r="J454" s="16" t="str">
        <f t="shared" si="6"/>
        <v>N</v>
      </c>
      <c r="K454" s="16"/>
      <c r="L454" s="16"/>
    </row>
    <row r="455">
      <c r="A455" s="44" t="s">
        <v>807</v>
      </c>
      <c r="B455" s="10" t="str">
        <f t="shared" si="1"/>
        <v>extra_muscle</v>
      </c>
      <c r="C455" s="49" t="str">
        <f t="shared" si="2"/>
        <v>S16998XM1</v>
      </c>
      <c r="D455" s="6">
        <v>27.0</v>
      </c>
      <c r="E455" s="10" t="str">
        <f t="shared" si="3"/>
        <v>BXM27</v>
      </c>
      <c r="F455" s="13">
        <v>1.0</v>
      </c>
      <c r="G455" s="10" t="str">
        <f t="shared" si="4"/>
        <v>BXM27-1</v>
      </c>
      <c r="H455" s="16"/>
      <c r="I455" s="16" t="str">
        <f t="shared" si="5"/>
        <v>collected</v>
      </c>
      <c r="J455" s="16" t="str">
        <f t="shared" si="6"/>
        <v>N</v>
      </c>
      <c r="K455" s="16"/>
      <c r="L455" s="16"/>
    </row>
    <row r="456">
      <c r="A456" s="44" t="s">
        <v>809</v>
      </c>
      <c r="B456" s="10" t="str">
        <f t="shared" si="1"/>
        <v>extra_muscle</v>
      </c>
      <c r="C456" s="49" t="str">
        <f t="shared" si="2"/>
        <v>S17000XM1</v>
      </c>
      <c r="D456" s="6">
        <v>27.0</v>
      </c>
      <c r="E456" s="10" t="str">
        <f t="shared" si="3"/>
        <v>BXM27</v>
      </c>
      <c r="F456" s="13">
        <v>2.0</v>
      </c>
      <c r="G456" s="10" t="str">
        <f t="shared" si="4"/>
        <v>BXM27-2</v>
      </c>
      <c r="H456" s="16"/>
      <c r="I456" s="16" t="str">
        <f t="shared" si="5"/>
        <v>collected</v>
      </c>
      <c r="J456" s="16" t="str">
        <f t="shared" si="6"/>
        <v>N</v>
      </c>
      <c r="K456" s="16"/>
      <c r="L456" s="16"/>
    </row>
    <row r="457">
      <c r="A457" s="44" t="s">
        <v>810</v>
      </c>
      <c r="B457" s="10" t="str">
        <f t="shared" si="1"/>
        <v>extra_muscle</v>
      </c>
      <c r="C457" s="49" t="str">
        <f t="shared" si="2"/>
        <v>S16996XM1</v>
      </c>
      <c r="D457" s="6">
        <v>27.0</v>
      </c>
      <c r="E457" s="10" t="str">
        <f t="shared" si="3"/>
        <v>BXM27</v>
      </c>
      <c r="F457" s="13">
        <v>3.0</v>
      </c>
      <c r="G457" s="10" t="str">
        <f t="shared" si="4"/>
        <v>BXM27-3</v>
      </c>
      <c r="H457" s="16"/>
      <c r="I457" s="16" t="str">
        <f t="shared" si="5"/>
        <v>collected</v>
      </c>
      <c r="J457" s="16" t="str">
        <f t="shared" si="6"/>
        <v>N</v>
      </c>
      <c r="K457" s="16"/>
      <c r="L457" s="16"/>
    </row>
    <row r="458">
      <c r="A458" s="44" t="s">
        <v>812</v>
      </c>
      <c r="B458" s="10" t="str">
        <f t="shared" si="1"/>
        <v>extra_muscle</v>
      </c>
      <c r="C458" s="49" t="str">
        <f t="shared" si="2"/>
        <v>S16994XM1</v>
      </c>
      <c r="D458" s="6">
        <v>27.0</v>
      </c>
      <c r="E458" s="10" t="str">
        <f t="shared" si="3"/>
        <v>BXM27</v>
      </c>
      <c r="F458" s="13">
        <v>4.0</v>
      </c>
      <c r="G458" s="10" t="str">
        <f t="shared" si="4"/>
        <v>BXM27-4</v>
      </c>
      <c r="H458" s="16"/>
      <c r="I458" s="16" t="str">
        <f t="shared" si="5"/>
        <v>collected</v>
      </c>
      <c r="J458" s="16" t="str">
        <f t="shared" si="6"/>
        <v>N</v>
      </c>
      <c r="K458" s="16"/>
      <c r="L458" s="16"/>
    </row>
    <row r="459">
      <c r="A459" s="44" t="s">
        <v>813</v>
      </c>
      <c r="B459" s="10" t="str">
        <f t="shared" si="1"/>
        <v>extra_muscle</v>
      </c>
      <c r="C459" s="49" t="str">
        <f t="shared" si="2"/>
        <v>S16999XM1</v>
      </c>
      <c r="D459" s="6">
        <v>27.0</v>
      </c>
      <c r="E459" s="10" t="str">
        <f t="shared" si="3"/>
        <v>BXM27</v>
      </c>
      <c r="F459" s="13">
        <v>5.0</v>
      </c>
      <c r="G459" s="10" t="str">
        <f t="shared" si="4"/>
        <v>BXM27-5</v>
      </c>
      <c r="H459" s="16"/>
      <c r="I459" s="16" t="str">
        <f t="shared" si="5"/>
        <v>collected</v>
      </c>
      <c r="J459" s="16" t="str">
        <f t="shared" si="6"/>
        <v>N</v>
      </c>
      <c r="K459" s="16"/>
      <c r="L459" s="16"/>
    </row>
    <row r="460">
      <c r="A460" s="44" t="s">
        <v>815</v>
      </c>
      <c r="B460" s="10" t="str">
        <f t="shared" si="1"/>
        <v>extra_muscle</v>
      </c>
      <c r="C460" s="49" t="str">
        <f t="shared" si="2"/>
        <v>S16997XM1</v>
      </c>
      <c r="D460" s="6">
        <v>27.0</v>
      </c>
      <c r="E460" s="10" t="str">
        <f t="shared" si="3"/>
        <v>BXM27</v>
      </c>
      <c r="F460" s="13">
        <v>6.0</v>
      </c>
      <c r="G460" s="10" t="str">
        <f t="shared" si="4"/>
        <v>BXM27-6</v>
      </c>
      <c r="H460" s="16"/>
      <c r="I460" s="16" t="str">
        <f t="shared" si="5"/>
        <v>collected</v>
      </c>
      <c r="J460" s="16" t="str">
        <f t="shared" si="6"/>
        <v>N</v>
      </c>
      <c r="K460" s="16"/>
      <c r="L460" s="16"/>
    </row>
    <row r="461">
      <c r="A461" s="44" t="s">
        <v>817</v>
      </c>
      <c r="B461" s="10" t="str">
        <f t="shared" si="1"/>
        <v>extra_muscle</v>
      </c>
      <c r="C461" s="49" t="str">
        <f t="shared" si="2"/>
        <v>S16991XM1</v>
      </c>
      <c r="D461" s="6">
        <v>27.0</v>
      </c>
      <c r="E461" s="10" t="str">
        <f t="shared" si="3"/>
        <v>BXM27</v>
      </c>
      <c r="F461" s="13">
        <v>7.0</v>
      </c>
      <c r="G461" s="10" t="str">
        <f t="shared" si="4"/>
        <v>BXM27-7</v>
      </c>
      <c r="H461" s="16"/>
      <c r="I461" s="16" t="str">
        <f t="shared" si="5"/>
        <v>collected</v>
      </c>
      <c r="J461" s="16" t="str">
        <f t="shared" si="6"/>
        <v>N</v>
      </c>
      <c r="K461" s="16"/>
      <c r="L461" s="16"/>
    </row>
    <row r="462">
      <c r="A462" s="44" t="s">
        <v>820</v>
      </c>
      <c r="B462" s="10" t="str">
        <f t="shared" si="1"/>
        <v>extra_muscle</v>
      </c>
      <c r="C462" s="49" t="str">
        <f t="shared" si="2"/>
        <v>S16995XM1</v>
      </c>
      <c r="D462" s="6">
        <v>27.0</v>
      </c>
      <c r="E462" s="10" t="str">
        <f t="shared" si="3"/>
        <v>BXM27</v>
      </c>
      <c r="F462" s="13">
        <v>8.0</v>
      </c>
      <c r="G462" s="10" t="str">
        <f t="shared" si="4"/>
        <v>BXM27-8</v>
      </c>
      <c r="H462" s="16"/>
      <c r="I462" s="16" t="str">
        <f t="shared" si="5"/>
        <v>collected</v>
      </c>
      <c r="J462" s="16" t="str">
        <f t="shared" si="6"/>
        <v>N</v>
      </c>
      <c r="K462" s="16"/>
      <c r="L462" s="16"/>
    </row>
    <row r="463">
      <c r="A463" s="44" t="s">
        <v>821</v>
      </c>
      <c r="B463" s="10" t="str">
        <f t="shared" si="1"/>
        <v>extra_muscle</v>
      </c>
      <c r="C463" s="49" t="str">
        <f t="shared" si="2"/>
        <v>S17265XM1</v>
      </c>
      <c r="D463" s="6">
        <v>27.0</v>
      </c>
      <c r="E463" s="10" t="str">
        <f t="shared" si="3"/>
        <v>BXM27</v>
      </c>
      <c r="F463" s="13">
        <v>9.0</v>
      </c>
      <c r="G463" s="10" t="str">
        <f t="shared" si="4"/>
        <v>BXM27-9</v>
      </c>
      <c r="H463" s="16"/>
      <c r="I463" s="16" t="str">
        <f t="shared" si="5"/>
        <v>collected</v>
      </c>
      <c r="J463" s="16" t="str">
        <f t="shared" si="6"/>
        <v>N</v>
      </c>
      <c r="K463" s="16"/>
      <c r="L463" s="16"/>
    </row>
    <row r="464">
      <c r="A464" s="44" t="s">
        <v>822</v>
      </c>
      <c r="B464" s="10" t="str">
        <f t="shared" si="1"/>
        <v>extra_muscle</v>
      </c>
      <c r="C464" s="49" t="str">
        <f t="shared" si="2"/>
        <v>S17264XM1</v>
      </c>
      <c r="D464" s="6">
        <v>27.0</v>
      </c>
      <c r="E464" s="10" t="str">
        <f t="shared" si="3"/>
        <v>BXM27</v>
      </c>
      <c r="F464" s="13">
        <v>10.0</v>
      </c>
      <c r="G464" s="10" t="str">
        <f t="shared" si="4"/>
        <v>BXM27-10</v>
      </c>
      <c r="H464" s="16"/>
      <c r="I464" s="16" t="str">
        <f t="shared" si="5"/>
        <v>collected</v>
      </c>
      <c r="J464" s="16" t="str">
        <f t="shared" si="6"/>
        <v>N</v>
      </c>
      <c r="K464" s="16"/>
      <c r="L464" s="16"/>
    </row>
    <row r="465">
      <c r="A465" s="44" t="s">
        <v>825</v>
      </c>
      <c r="B465" s="10" t="str">
        <f t="shared" si="1"/>
        <v>extra_muscle</v>
      </c>
      <c r="C465" s="49" t="str">
        <f t="shared" si="2"/>
        <v>S17263XM1</v>
      </c>
      <c r="D465" s="6">
        <v>27.0</v>
      </c>
      <c r="E465" s="10" t="str">
        <f t="shared" si="3"/>
        <v>BXM27</v>
      </c>
      <c r="F465" s="13">
        <v>11.0</v>
      </c>
      <c r="G465" s="10" t="str">
        <f t="shared" si="4"/>
        <v>BXM27-11</v>
      </c>
      <c r="H465" s="16"/>
      <c r="I465" s="16" t="str">
        <f t="shared" si="5"/>
        <v>collected</v>
      </c>
      <c r="J465" s="16" t="str">
        <f t="shared" si="6"/>
        <v>N</v>
      </c>
      <c r="K465" s="16"/>
      <c r="L465" s="16"/>
    </row>
    <row r="466">
      <c r="A466" s="44" t="s">
        <v>826</v>
      </c>
      <c r="B466" s="10" t="str">
        <f t="shared" si="1"/>
        <v>extra_muscle</v>
      </c>
      <c r="C466" s="49" t="str">
        <f t="shared" si="2"/>
        <v>S17270XM1</v>
      </c>
      <c r="D466" s="6">
        <v>27.0</v>
      </c>
      <c r="E466" s="10" t="str">
        <f t="shared" si="3"/>
        <v>BXM27</v>
      </c>
      <c r="F466" s="13">
        <v>12.0</v>
      </c>
      <c r="G466" s="10" t="str">
        <f t="shared" si="4"/>
        <v>BXM27-12</v>
      </c>
      <c r="H466" s="16"/>
      <c r="I466" s="16" t="str">
        <f t="shared" si="5"/>
        <v>collected</v>
      </c>
      <c r="J466" s="16" t="str">
        <f t="shared" si="6"/>
        <v>N</v>
      </c>
      <c r="K466" s="16"/>
      <c r="L466" s="16"/>
    </row>
    <row r="467">
      <c r="A467" s="44" t="s">
        <v>828</v>
      </c>
      <c r="B467" s="10" t="str">
        <f t="shared" si="1"/>
        <v>extra_muscle</v>
      </c>
      <c r="C467" s="49" t="str">
        <f t="shared" si="2"/>
        <v>S17262XM1</v>
      </c>
      <c r="D467" s="6">
        <v>27.0</v>
      </c>
      <c r="E467" s="10" t="str">
        <f t="shared" si="3"/>
        <v>BXM27</v>
      </c>
      <c r="F467" s="13">
        <v>13.0</v>
      </c>
      <c r="G467" s="10" t="str">
        <f t="shared" si="4"/>
        <v>BXM27-13</v>
      </c>
      <c r="H467" s="16"/>
      <c r="I467" s="16" t="str">
        <f t="shared" si="5"/>
        <v>collected</v>
      </c>
      <c r="J467" s="16" t="str">
        <f t="shared" si="6"/>
        <v>N</v>
      </c>
      <c r="K467" s="16"/>
      <c r="L467" s="16"/>
    </row>
    <row r="468">
      <c r="A468" s="44" t="s">
        <v>830</v>
      </c>
      <c r="B468" s="10" t="str">
        <f t="shared" si="1"/>
        <v>extra_muscle</v>
      </c>
      <c r="C468" s="49" t="str">
        <f t="shared" si="2"/>
        <v>S17261XM1</v>
      </c>
      <c r="D468" s="6">
        <v>27.0</v>
      </c>
      <c r="E468" s="10" t="str">
        <f t="shared" si="3"/>
        <v>BXM27</v>
      </c>
      <c r="F468" s="13">
        <v>14.0</v>
      </c>
      <c r="G468" s="10" t="str">
        <f t="shared" si="4"/>
        <v>BXM27-14</v>
      </c>
      <c r="H468" s="16"/>
      <c r="I468" s="16" t="str">
        <f t="shared" si="5"/>
        <v>collected</v>
      </c>
      <c r="J468" s="16" t="str">
        <f t="shared" si="6"/>
        <v>N</v>
      </c>
      <c r="K468" s="16"/>
      <c r="L468" s="16"/>
    </row>
    <row r="469">
      <c r="A469" s="44" t="s">
        <v>832</v>
      </c>
      <c r="B469" s="10" t="str">
        <f t="shared" si="1"/>
        <v>extra_muscle</v>
      </c>
      <c r="C469" s="49" t="str">
        <f t="shared" si="2"/>
        <v>S17266XM1</v>
      </c>
      <c r="D469" s="6">
        <v>27.0</v>
      </c>
      <c r="E469" s="10" t="str">
        <f t="shared" si="3"/>
        <v>BXM27</v>
      </c>
      <c r="F469" s="13">
        <v>15.0</v>
      </c>
      <c r="G469" s="10" t="str">
        <f t="shared" si="4"/>
        <v>BXM27-15</v>
      </c>
      <c r="H469" s="16"/>
      <c r="I469" s="16" t="str">
        <f t="shared" si="5"/>
        <v>collected</v>
      </c>
      <c r="J469" s="16" t="str">
        <f t="shared" si="6"/>
        <v>N</v>
      </c>
      <c r="K469" s="16"/>
      <c r="L469" s="16"/>
    </row>
    <row r="470">
      <c r="A470" s="44" t="s">
        <v>833</v>
      </c>
      <c r="B470" s="10" t="str">
        <f t="shared" si="1"/>
        <v>extra_muscle</v>
      </c>
      <c r="C470" s="49" t="str">
        <f t="shared" si="2"/>
        <v>S17267XM1</v>
      </c>
      <c r="D470" s="6">
        <v>27.0</v>
      </c>
      <c r="E470" s="10" t="str">
        <f t="shared" si="3"/>
        <v>BXM27</v>
      </c>
      <c r="F470" s="13">
        <v>16.0</v>
      </c>
      <c r="G470" s="10" t="str">
        <f t="shared" si="4"/>
        <v>BXM27-16</v>
      </c>
      <c r="H470" s="16"/>
      <c r="I470" s="16" t="str">
        <f t="shared" si="5"/>
        <v>collected</v>
      </c>
      <c r="J470" s="16" t="str">
        <f t="shared" si="6"/>
        <v>N</v>
      </c>
      <c r="K470" s="16"/>
      <c r="L470" s="16"/>
    </row>
    <row r="471">
      <c r="A471" s="44" t="s">
        <v>834</v>
      </c>
      <c r="B471" s="10" t="str">
        <f t="shared" si="1"/>
        <v>extra_muscle</v>
      </c>
      <c r="C471" s="49" t="str">
        <f t="shared" si="2"/>
        <v>S17268XM1</v>
      </c>
      <c r="D471" s="6">
        <v>27.0</v>
      </c>
      <c r="E471" s="10" t="str">
        <f t="shared" si="3"/>
        <v>BXM27</v>
      </c>
      <c r="F471" s="13">
        <v>17.0</v>
      </c>
      <c r="G471" s="10" t="str">
        <f t="shared" si="4"/>
        <v>BXM27-17</v>
      </c>
      <c r="H471" s="16"/>
      <c r="I471" s="16" t="str">
        <f t="shared" si="5"/>
        <v>collected</v>
      </c>
      <c r="J471" s="16" t="str">
        <f t="shared" si="6"/>
        <v>N</v>
      </c>
      <c r="K471" s="16"/>
      <c r="L471" s="16"/>
    </row>
    <row r="472">
      <c r="A472" s="46" t="s">
        <v>837</v>
      </c>
      <c r="B472" s="10" t="str">
        <f t="shared" si="1"/>
        <v>extra_muscle</v>
      </c>
      <c r="C472" s="49" t="str">
        <f t="shared" si="2"/>
        <v>S17269XM1</v>
      </c>
      <c r="D472" s="6">
        <v>27.0</v>
      </c>
      <c r="E472" s="10" t="str">
        <f t="shared" si="3"/>
        <v>BXM27</v>
      </c>
      <c r="F472" s="13">
        <v>18.0</v>
      </c>
      <c r="G472" s="10" t="str">
        <f t="shared" si="4"/>
        <v>BXM27-18</v>
      </c>
      <c r="H472" s="16"/>
      <c r="I472" s="16" t="str">
        <f t="shared" si="5"/>
        <v>collected</v>
      </c>
      <c r="J472" s="16" t="str">
        <f t="shared" si="6"/>
        <v>N</v>
      </c>
      <c r="K472" s="16"/>
      <c r="L472" s="16"/>
    </row>
    <row r="473">
      <c r="A473" s="46" t="s">
        <v>838</v>
      </c>
      <c r="B473" s="10" t="str">
        <f t="shared" si="1"/>
        <v>extra_muscle</v>
      </c>
      <c r="C473" s="49" t="str">
        <f t="shared" si="2"/>
        <v>S17233XM1</v>
      </c>
      <c r="D473" s="6">
        <v>27.0</v>
      </c>
      <c r="E473" s="10" t="str">
        <f t="shared" si="3"/>
        <v>BXM27</v>
      </c>
      <c r="F473" s="13">
        <v>19.0</v>
      </c>
      <c r="G473" s="10" t="str">
        <f t="shared" si="4"/>
        <v>BXM27-19</v>
      </c>
      <c r="H473" s="16"/>
      <c r="I473" s="16" t="str">
        <f t="shared" si="5"/>
        <v>collected</v>
      </c>
      <c r="J473" s="16" t="str">
        <f t="shared" si="6"/>
        <v>N</v>
      </c>
      <c r="K473" s="16"/>
      <c r="L473" s="16"/>
    </row>
    <row r="474">
      <c r="A474" s="27" t="s">
        <v>871</v>
      </c>
      <c r="B474" s="10" t="str">
        <f t="shared" si="1"/>
        <v>extra_muscle</v>
      </c>
      <c r="C474" s="49" t="str">
        <f t="shared" si="2"/>
        <v>S16883XM1</v>
      </c>
      <c r="D474" s="6">
        <v>26.0</v>
      </c>
      <c r="E474" s="10" t="str">
        <f t="shared" si="3"/>
        <v>BXM26</v>
      </c>
      <c r="F474" s="13">
        <v>71.0</v>
      </c>
      <c r="G474" s="10" t="str">
        <f t="shared" si="4"/>
        <v>BXM26-71</v>
      </c>
      <c r="H474" s="16"/>
      <c r="I474" s="16" t="str">
        <f t="shared" si="5"/>
        <v>collected</v>
      </c>
      <c r="J474" s="16" t="str">
        <f t="shared" si="6"/>
        <v>N</v>
      </c>
      <c r="K474" s="16"/>
      <c r="L474" s="16"/>
    </row>
    <row r="475">
      <c r="A475" s="27" t="s">
        <v>872</v>
      </c>
      <c r="B475" s="10" t="str">
        <f t="shared" si="1"/>
        <v>extra_muscle</v>
      </c>
      <c r="C475" s="49" t="str">
        <f t="shared" si="2"/>
        <v>S16884XM1</v>
      </c>
      <c r="D475" s="6">
        <v>26.0</v>
      </c>
      <c r="E475" s="10" t="str">
        <f t="shared" si="3"/>
        <v>BXM26</v>
      </c>
      <c r="F475" s="13">
        <v>72.0</v>
      </c>
      <c r="G475" s="10" t="str">
        <f t="shared" si="4"/>
        <v>BXM26-72</v>
      </c>
      <c r="H475" s="16"/>
      <c r="I475" s="16" t="str">
        <f t="shared" si="5"/>
        <v>collected</v>
      </c>
      <c r="J475" s="16" t="str">
        <f t="shared" si="6"/>
        <v>N</v>
      </c>
      <c r="K475" s="16"/>
      <c r="L475" s="16"/>
    </row>
    <row r="476">
      <c r="A476" s="27" t="s">
        <v>873</v>
      </c>
      <c r="B476" s="10" t="str">
        <f t="shared" si="1"/>
        <v>extra_muscle</v>
      </c>
      <c r="C476" s="49" t="str">
        <f t="shared" si="2"/>
        <v>S16885XM1</v>
      </c>
      <c r="D476" s="6">
        <v>26.0</v>
      </c>
      <c r="E476" s="10" t="str">
        <f t="shared" si="3"/>
        <v>BXM26</v>
      </c>
      <c r="F476" s="13">
        <v>73.0</v>
      </c>
      <c r="G476" s="10" t="str">
        <f t="shared" si="4"/>
        <v>BXM26-73</v>
      </c>
      <c r="H476" s="16"/>
      <c r="I476" s="16" t="str">
        <f t="shared" si="5"/>
        <v>collected</v>
      </c>
      <c r="J476" s="16" t="str">
        <f t="shared" si="6"/>
        <v>N</v>
      </c>
      <c r="K476" s="16"/>
      <c r="L476" s="16"/>
    </row>
    <row r="477">
      <c r="A477" s="27" t="s">
        <v>875</v>
      </c>
      <c r="B477" s="10" t="str">
        <f t="shared" si="1"/>
        <v>extra_muscle</v>
      </c>
      <c r="C477" s="49" t="str">
        <f t="shared" si="2"/>
        <v>S16889XM1</v>
      </c>
      <c r="D477" s="6">
        <v>26.0</v>
      </c>
      <c r="E477" s="10" t="str">
        <f t="shared" si="3"/>
        <v>BXM26</v>
      </c>
      <c r="F477" s="13">
        <v>74.0</v>
      </c>
      <c r="G477" s="10" t="str">
        <f t="shared" si="4"/>
        <v>BXM26-74</v>
      </c>
      <c r="H477" s="16"/>
      <c r="I477" s="16" t="str">
        <f t="shared" si="5"/>
        <v>collected</v>
      </c>
      <c r="J477" s="16" t="str">
        <f t="shared" si="6"/>
        <v>N</v>
      </c>
      <c r="K477" s="16"/>
      <c r="L477" s="16"/>
    </row>
    <row r="478">
      <c r="A478" s="27" t="s">
        <v>877</v>
      </c>
      <c r="B478" s="10" t="str">
        <f t="shared" si="1"/>
        <v>extra_muscle</v>
      </c>
      <c r="C478" s="49" t="str">
        <f t="shared" si="2"/>
        <v>S16886XM1</v>
      </c>
      <c r="D478" s="6">
        <v>26.0</v>
      </c>
      <c r="E478" s="10" t="str">
        <f t="shared" si="3"/>
        <v>BXM26</v>
      </c>
      <c r="F478" s="13">
        <v>75.0</v>
      </c>
      <c r="G478" s="10" t="str">
        <f t="shared" si="4"/>
        <v>BXM26-75</v>
      </c>
      <c r="H478" s="16"/>
      <c r="I478" s="16" t="str">
        <f t="shared" si="5"/>
        <v>collected</v>
      </c>
      <c r="J478" s="16" t="str">
        <f t="shared" si="6"/>
        <v>N</v>
      </c>
      <c r="K478" s="16"/>
      <c r="L478" s="16"/>
    </row>
    <row r="479">
      <c r="A479" s="27" t="s">
        <v>878</v>
      </c>
      <c r="B479" s="10" t="str">
        <f t="shared" si="1"/>
        <v>extra_muscle</v>
      </c>
      <c r="C479" s="49" t="str">
        <f t="shared" si="2"/>
        <v>S16887XM1</v>
      </c>
      <c r="D479" s="6">
        <v>26.0</v>
      </c>
      <c r="E479" s="10" t="str">
        <f t="shared" si="3"/>
        <v>BXM26</v>
      </c>
      <c r="F479" s="13">
        <v>76.0</v>
      </c>
      <c r="G479" s="10" t="str">
        <f t="shared" si="4"/>
        <v>BXM26-76</v>
      </c>
      <c r="H479" s="16"/>
      <c r="I479" s="16" t="str">
        <f t="shared" si="5"/>
        <v>collected</v>
      </c>
      <c r="J479" s="16" t="str">
        <f t="shared" si="6"/>
        <v>N</v>
      </c>
      <c r="K479" s="16"/>
      <c r="L479" s="16"/>
    </row>
    <row r="480">
      <c r="A480" s="27" t="s">
        <v>881</v>
      </c>
      <c r="B480" s="10" t="str">
        <f t="shared" si="1"/>
        <v>extra_muscle</v>
      </c>
      <c r="C480" s="49" t="str">
        <f t="shared" si="2"/>
        <v>S16888XM1</v>
      </c>
      <c r="D480" s="6">
        <v>26.0</v>
      </c>
      <c r="E480" s="10" t="str">
        <f t="shared" si="3"/>
        <v>BXM26</v>
      </c>
      <c r="F480" s="13">
        <v>77.0</v>
      </c>
      <c r="G480" s="10" t="str">
        <f t="shared" si="4"/>
        <v>BXM26-77</v>
      </c>
      <c r="H480" s="16"/>
      <c r="I480" s="16" t="str">
        <f t="shared" si="5"/>
        <v>collected</v>
      </c>
      <c r="J480" s="16" t="str">
        <f t="shared" si="6"/>
        <v>N</v>
      </c>
      <c r="K480" s="16"/>
      <c r="L480" s="16"/>
    </row>
    <row r="481">
      <c r="A481" s="27" t="s">
        <v>882</v>
      </c>
      <c r="B481" s="10" t="str">
        <f t="shared" si="1"/>
        <v>extra_muscle</v>
      </c>
      <c r="C481" s="49" t="str">
        <f t="shared" si="2"/>
        <v>S16890XM1</v>
      </c>
      <c r="D481" s="6">
        <v>26.0</v>
      </c>
      <c r="E481" s="10" t="str">
        <f t="shared" si="3"/>
        <v>BXM26</v>
      </c>
      <c r="F481" s="13">
        <v>78.0</v>
      </c>
      <c r="G481" s="10" t="str">
        <f t="shared" si="4"/>
        <v>BXM26-78</v>
      </c>
      <c r="H481" s="16"/>
      <c r="I481" s="16" t="str">
        <f t="shared" si="5"/>
        <v>collected</v>
      </c>
      <c r="J481" s="16" t="str">
        <f t="shared" si="6"/>
        <v>N</v>
      </c>
      <c r="K481" s="16"/>
      <c r="L481" s="16"/>
    </row>
    <row r="482">
      <c r="A482" s="27" t="s">
        <v>884</v>
      </c>
      <c r="B482" s="10" t="str">
        <f t="shared" si="1"/>
        <v>extra_muscle</v>
      </c>
      <c r="C482" s="49" t="str">
        <f t="shared" si="2"/>
        <v>S16291XM1</v>
      </c>
      <c r="D482" s="6">
        <v>26.0</v>
      </c>
      <c r="E482" s="10" t="str">
        <f t="shared" si="3"/>
        <v>BXM26</v>
      </c>
      <c r="F482" s="13">
        <v>79.0</v>
      </c>
      <c r="G482" s="10" t="str">
        <f t="shared" si="4"/>
        <v>BXM26-79</v>
      </c>
      <c r="H482" s="16"/>
      <c r="I482" s="16" t="str">
        <f t="shared" si="5"/>
        <v>collected</v>
      </c>
      <c r="J482" s="16" t="str">
        <f t="shared" si="6"/>
        <v>N</v>
      </c>
      <c r="K482" s="16"/>
      <c r="L482" s="16"/>
    </row>
    <row r="483">
      <c r="A483" s="27" t="s">
        <v>885</v>
      </c>
      <c r="B483" s="10" t="str">
        <f t="shared" si="1"/>
        <v>extra_muscle</v>
      </c>
      <c r="C483" s="49" t="str">
        <f t="shared" si="2"/>
        <v>S16292XM1</v>
      </c>
      <c r="D483" s="6">
        <v>26.0</v>
      </c>
      <c r="E483" s="10" t="str">
        <f t="shared" si="3"/>
        <v>BXM26</v>
      </c>
      <c r="F483" s="13">
        <v>80.0</v>
      </c>
      <c r="G483" s="10" t="str">
        <f t="shared" si="4"/>
        <v>BXM26-80</v>
      </c>
      <c r="H483" s="16"/>
      <c r="I483" s="16" t="str">
        <f t="shared" si="5"/>
        <v>collected</v>
      </c>
      <c r="J483" s="16" t="str">
        <f t="shared" si="6"/>
        <v>N</v>
      </c>
      <c r="K483" s="16"/>
      <c r="L483" s="16"/>
    </row>
    <row r="484">
      <c r="A484" s="27" t="s">
        <v>886</v>
      </c>
      <c r="B484" s="10" t="str">
        <f t="shared" si="1"/>
        <v>extra_muscle</v>
      </c>
      <c r="C484" s="49" t="str">
        <f t="shared" si="2"/>
        <v>S16293XM1</v>
      </c>
      <c r="D484" s="6">
        <v>26.0</v>
      </c>
      <c r="E484" s="10" t="str">
        <f t="shared" si="3"/>
        <v>BXM26</v>
      </c>
      <c r="F484" s="13">
        <v>81.0</v>
      </c>
      <c r="G484" s="10" t="str">
        <f t="shared" si="4"/>
        <v>BXM26-81</v>
      </c>
      <c r="H484" s="16"/>
      <c r="I484" s="16" t="str">
        <f t="shared" si="5"/>
        <v>collected</v>
      </c>
      <c r="J484" s="16" t="str">
        <f t="shared" si="6"/>
        <v>N</v>
      </c>
      <c r="K484" s="16"/>
      <c r="L484" s="16"/>
    </row>
    <row r="485">
      <c r="A485" s="27" t="s">
        <v>887</v>
      </c>
      <c r="B485" s="10" t="str">
        <f t="shared" si="1"/>
        <v>extra_muscle</v>
      </c>
      <c r="C485" s="49" t="str">
        <f t="shared" si="2"/>
        <v>S16294XM1</v>
      </c>
      <c r="D485" s="6">
        <v>28.0</v>
      </c>
      <c r="E485" s="10" t="str">
        <f t="shared" si="3"/>
        <v>BXM28</v>
      </c>
      <c r="F485" s="13">
        <v>1.0</v>
      </c>
      <c r="G485" s="10" t="str">
        <f t="shared" si="4"/>
        <v>BXM28-1</v>
      </c>
      <c r="H485" s="16"/>
      <c r="I485" s="16" t="str">
        <f t="shared" si="5"/>
        <v>collected</v>
      </c>
      <c r="J485" s="16" t="str">
        <f t="shared" si="6"/>
        <v>N</v>
      </c>
      <c r="K485" s="16"/>
      <c r="L485" s="16"/>
    </row>
    <row r="486">
      <c r="A486" s="27" t="s">
        <v>889</v>
      </c>
      <c r="B486" s="10" t="str">
        <f t="shared" si="1"/>
        <v>extra_muscle</v>
      </c>
      <c r="C486" s="49" t="str">
        <f t="shared" si="2"/>
        <v>S16295XM1</v>
      </c>
      <c r="D486" s="6">
        <v>28.0</v>
      </c>
      <c r="E486" s="10" t="str">
        <f t="shared" si="3"/>
        <v>BXM28</v>
      </c>
      <c r="F486" s="13">
        <v>2.0</v>
      </c>
      <c r="G486" s="10" t="str">
        <f t="shared" si="4"/>
        <v>BXM28-2</v>
      </c>
      <c r="H486" s="16"/>
      <c r="I486" s="16" t="str">
        <f t="shared" si="5"/>
        <v>collected</v>
      </c>
      <c r="J486" s="16" t="str">
        <f t="shared" si="6"/>
        <v>N</v>
      </c>
      <c r="K486" s="16"/>
      <c r="L486" s="16"/>
    </row>
    <row r="487">
      <c r="A487" s="27" t="s">
        <v>891</v>
      </c>
      <c r="B487" s="10" t="str">
        <f t="shared" si="1"/>
        <v>extra_muscle</v>
      </c>
      <c r="C487" s="49" t="str">
        <f t="shared" si="2"/>
        <v>S16296XM1</v>
      </c>
      <c r="D487" s="6">
        <v>28.0</v>
      </c>
      <c r="E487" s="10" t="str">
        <f t="shared" si="3"/>
        <v>BXM28</v>
      </c>
      <c r="F487" s="13">
        <v>3.0</v>
      </c>
      <c r="G487" s="10" t="str">
        <f t="shared" si="4"/>
        <v>BXM28-3</v>
      </c>
      <c r="H487" s="16"/>
      <c r="I487" s="16" t="str">
        <f t="shared" si="5"/>
        <v>collected</v>
      </c>
      <c r="J487" s="16" t="str">
        <f t="shared" si="6"/>
        <v>N</v>
      </c>
      <c r="K487" s="16"/>
      <c r="L487" s="16"/>
    </row>
    <row r="488">
      <c r="A488" s="27" t="s">
        <v>892</v>
      </c>
      <c r="B488" s="10" t="str">
        <f t="shared" si="1"/>
        <v>extra_muscle</v>
      </c>
      <c r="C488" s="49" t="str">
        <f t="shared" si="2"/>
        <v>S16297XM1</v>
      </c>
      <c r="D488" s="6">
        <v>28.0</v>
      </c>
      <c r="E488" s="10" t="str">
        <f t="shared" si="3"/>
        <v>BXM28</v>
      </c>
      <c r="F488" s="13">
        <v>4.0</v>
      </c>
      <c r="G488" s="10" t="str">
        <f t="shared" si="4"/>
        <v>BXM28-4</v>
      </c>
      <c r="H488" s="16"/>
      <c r="I488" s="16" t="str">
        <f t="shared" si="5"/>
        <v>collected</v>
      </c>
      <c r="J488" s="16" t="str">
        <f t="shared" si="6"/>
        <v>N</v>
      </c>
      <c r="K488" s="16"/>
      <c r="L488" s="16"/>
    </row>
    <row r="489">
      <c r="A489" s="27" t="s">
        <v>893</v>
      </c>
      <c r="B489" s="10" t="str">
        <f t="shared" si="1"/>
        <v>extra_muscle</v>
      </c>
      <c r="C489" s="49" t="str">
        <f t="shared" si="2"/>
        <v>S16298XM1</v>
      </c>
      <c r="D489" s="6">
        <v>28.0</v>
      </c>
      <c r="E489" s="10" t="str">
        <f t="shared" si="3"/>
        <v>BXM28</v>
      </c>
      <c r="F489" s="13">
        <v>5.0</v>
      </c>
      <c r="G489" s="10" t="str">
        <f t="shared" si="4"/>
        <v>BXM28-5</v>
      </c>
      <c r="H489" s="16"/>
      <c r="I489" s="16" t="str">
        <f t="shared" si="5"/>
        <v>collected</v>
      </c>
      <c r="J489" s="16" t="str">
        <f t="shared" si="6"/>
        <v>N</v>
      </c>
      <c r="K489" s="16"/>
      <c r="L489" s="16"/>
    </row>
    <row r="490">
      <c r="A490" s="27" t="s">
        <v>894</v>
      </c>
      <c r="B490" s="10" t="str">
        <f t="shared" si="1"/>
        <v>extra_muscle</v>
      </c>
      <c r="C490" s="49" t="str">
        <f t="shared" si="2"/>
        <v>S16511XM1</v>
      </c>
      <c r="D490" s="6">
        <v>28.0</v>
      </c>
      <c r="E490" s="10" t="str">
        <f t="shared" si="3"/>
        <v>BXM28</v>
      </c>
      <c r="F490" s="13">
        <v>7.0</v>
      </c>
      <c r="G490" s="10" t="str">
        <f t="shared" si="4"/>
        <v>BXM28-7</v>
      </c>
      <c r="H490" s="16"/>
      <c r="I490" s="16" t="str">
        <f t="shared" si="5"/>
        <v>collected</v>
      </c>
      <c r="J490" s="16" t="str">
        <f t="shared" si="6"/>
        <v>N</v>
      </c>
      <c r="K490" s="16"/>
      <c r="L490" s="16"/>
    </row>
    <row r="491">
      <c r="A491" s="27" t="s">
        <v>895</v>
      </c>
      <c r="B491" s="10" t="str">
        <f t="shared" si="1"/>
        <v>extra_muscle</v>
      </c>
      <c r="C491" s="49" t="str">
        <f t="shared" si="2"/>
        <v>S16512XM1</v>
      </c>
      <c r="D491" s="6">
        <v>28.0</v>
      </c>
      <c r="E491" s="10" t="str">
        <f t="shared" si="3"/>
        <v>BXM28</v>
      </c>
      <c r="F491" s="13">
        <v>8.0</v>
      </c>
      <c r="G491" s="10" t="str">
        <f t="shared" si="4"/>
        <v>BXM28-8</v>
      </c>
      <c r="H491" s="16"/>
      <c r="I491" s="16" t="str">
        <f t="shared" si="5"/>
        <v>collected</v>
      </c>
      <c r="J491" s="16" t="str">
        <f t="shared" si="6"/>
        <v>N</v>
      </c>
      <c r="K491" s="16"/>
      <c r="L491" s="16"/>
    </row>
    <row r="492">
      <c r="A492" s="40" t="s">
        <v>897</v>
      </c>
      <c r="B492" s="10" t="str">
        <f t="shared" si="1"/>
        <v>extra_muscle</v>
      </c>
      <c r="C492" s="49" t="str">
        <f t="shared" si="2"/>
        <v>S17231XM1</v>
      </c>
      <c r="D492" s="6">
        <v>27.0</v>
      </c>
      <c r="E492" s="10" t="str">
        <f t="shared" si="3"/>
        <v>BXM27</v>
      </c>
      <c r="F492" s="13">
        <v>20.0</v>
      </c>
      <c r="G492" s="10" t="str">
        <f t="shared" si="4"/>
        <v>BXM27-20</v>
      </c>
      <c r="H492" s="16"/>
      <c r="I492" s="16" t="str">
        <f t="shared" si="5"/>
        <v>collected</v>
      </c>
      <c r="J492" s="16" t="str">
        <f t="shared" si="6"/>
        <v>N</v>
      </c>
      <c r="K492" s="16"/>
      <c r="L492" s="16"/>
    </row>
    <row r="493">
      <c r="A493" s="43" t="s">
        <v>898</v>
      </c>
      <c r="B493" s="10" t="str">
        <f t="shared" si="1"/>
        <v>extra_muscle</v>
      </c>
      <c r="C493" s="49" t="str">
        <f t="shared" si="2"/>
        <v>S17235XM1</v>
      </c>
      <c r="D493" s="6">
        <v>27.0</v>
      </c>
      <c r="E493" s="10" t="str">
        <f t="shared" si="3"/>
        <v>BXM27</v>
      </c>
      <c r="F493" s="13">
        <v>21.0</v>
      </c>
      <c r="G493" s="10" t="str">
        <f t="shared" si="4"/>
        <v>BXM27-21</v>
      </c>
      <c r="H493" s="16"/>
      <c r="I493" s="16" t="str">
        <f t="shared" si="5"/>
        <v>collected</v>
      </c>
      <c r="J493" s="16" t="str">
        <f t="shared" si="6"/>
        <v>N</v>
      </c>
      <c r="K493" s="16"/>
      <c r="L493" s="16"/>
    </row>
    <row r="494">
      <c r="A494" s="44" t="s">
        <v>899</v>
      </c>
      <c r="B494" s="10" t="str">
        <f t="shared" si="1"/>
        <v>extra_muscle</v>
      </c>
      <c r="C494" s="49" t="str">
        <f t="shared" si="2"/>
        <v>S17237XM1</v>
      </c>
      <c r="D494" s="6">
        <v>27.0</v>
      </c>
      <c r="E494" s="10" t="str">
        <f t="shared" si="3"/>
        <v>BXM27</v>
      </c>
      <c r="F494" s="13">
        <v>22.0</v>
      </c>
      <c r="G494" s="10" t="str">
        <f t="shared" si="4"/>
        <v>BXM27-22</v>
      </c>
      <c r="H494" s="16"/>
      <c r="I494" s="16" t="str">
        <f t="shared" si="5"/>
        <v>collected</v>
      </c>
      <c r="J494" s="16" t="str">
        <f t="shared" si="6"/>
        <v>N</v>
      </c>
      <c r="K494" s="16"/>
      <c r="L494" s="16"/>
    </row>
    <row r="495">
      <c r="A495" s="44" t="s">
        <v>901</v>
      </c>
      <c r="B495" s="10" t="str">
        <f t="shared" si="1"/>
        <v>extra_muscle</v>
      </c>
      <c r="C495" s="49" t="str">
        <f t="shared" si="2"/>
        <v>S17238XM1</v>
      </c>
      <c r="D495" s="6">
        <v>27.0</v>
      </c>
      <c r="E495" s="10" t="str">
        <f t="shared" si="3"/>
        <v>BXM27</v>
      </c>
      <c r="F495" s="13">
        <v>23.0</v>
      </c>
      <c r="G495" s="10" t="str">
        <f t="shared" si="4"/>
        <v>BXM27-23</v>
      </c>
      <c r="H495" s="16"/>
      <c r="I495" s="16" t="str">
        <f t="shared" si="5"/>
        <v>collected</v>
      </c>
      <c r="J495" s="16" t="str">
        <f t="shared" si="6"/>
        <v>N</v>
      </c>
      <c r="K495" s="16"/>
      <c r="L495" s="16"/>
    </row>
    <row r="496">
      <c r="A496" s="44" t="s">
        <v>903</v>
      </c>
      <c r="B496" s="10" t="str">
        <f t="shared" si="1"/>
        <v>extra_muscle</v>
      </c>
      <c r="C496" s="49" t="str">
        <f t="shared" si="2"/>
        <v>S17234XM1</v>
      </c>
      <c r="D496" s="6">
        <v>27.0</v>
      </c>
      <c r="E496" s="10" t="str">
        <f t="shared" si="3"/>
        <v>BXM27</v>
      </c>
      <c r="F496" s="13">
        <v>24.0</v>
      </c>
      <c r="G496" s="10" t="str">
        <f t="shared" si="4"/>
        <v>BXM27-24</v>
      </c>
      <c r="H496" s="16"/>
      <c r="I496" s="16" t="str">
        <f t="shared" si="5"/>
        <v>collected</v>
      </c>
      <c r="J496" s="16" t="str">
        <f t="shared" si="6"/>
        <v>N</v>
      </c>
      <c r="K496" s="16"/>
      <c r="L496" s="16"/>
    </row>
    <row r="497">
      <c r="A497" s="44" t="s">
        <v>904</v>
      </c>
      <c r="B497" s="10" t="str">
        <f t="shared" si="1"/>
        <v>extra_muscle</v>
      </c>
      <c r="C497" s="49" t="str">
        <f t="shared" si="2"/>
        <v>S17232XM1</v>
      </c>
      <c r="D497" s="6">
        <v>27.0</v>
      </c>
      <c r="E497" s="10" t="str">
        <f t="shared" si="3"/>
        <v>BXM27</v>
      </c>
      <c r="F497" s="13">
        <v>25.0</v>
      </c>
      <c r="G497" s="10" t="str">
        <f t="shared" si="4"/>
        <v>BXM27-25</v>
      </c>
      <c r="H497" s="16"/>
      <c r="I497" s="16" t="str">
        <f t="shared" si="5"/>
        <v>collected</v>
      </c>
      <c r="J497" s="16" t="str">
        <f t="shared" si="6"/>
        <v>N</v>
      </c>
      <c r="K497" s="16"/>
      <c r="L497" s="16"/>
    </row>
    <row r="498">
      <c r="A498" s="44" t="s">
        <v>905</v>
      </c>
      <c r="B498" s="10" t="str">
        <f t="shared" si="1"/>
        <v>extra_muscle</v>
      </c>
      <c r="C498" s="49" t="str">
        <f t="shared" si="2"/>
        <v>S17240XM1</v>
      </c>
      <c r="D498" s="6">
        <v>27.0</v>
      </c>
      <c r="E498" s="10" t="str">
        <f t="shared" si="3"/>
        <v>BXM27</v>
      </c>
      <c r="F498" s="13">
        <v>26.0</v>
      </c>
      <c r="G498" s="10" t="str">
        <f t="shared" si="4"/>
        <v>BXM27-26</v>
      </c>
      <c r="H498" s="16"/>
      <c r="I498" s="16" t="str">
        <f t="shared" si="5"/>
        <v>collected</v>
      </c>
      <c r="J498" s="16" t="str">
        <f t="shared" si="6"/>
        <v>N</v>
      </c>
      <c r="K498" s="16"/>
      <c r="L498" s="16"/>
    </row>
    <row r="499">
      <c r="A499" s="44" t="s">
        <v>906</v>
      </c>
      <c r="B499" s="10" t="str">
        <f t="shared" si="1"/>
        <v>extra_muscle</v>
      </c>
      <c r="C499" s="49" t="str">
        <f t="shared" si="2"/>
        <v>S17239XM1</v>
      </c>
      <c r="D499" s="6">
        <v>27.0</v>
      </c>
      <c r="E499" s="10" t="str">
        <f t="shared" si="3"/>
        <v>BXM27</v>
      </c>
      <c r="F499" s="13">
        <v>27.0</v>
      </c>
      <c r="G499" s="10" t="str">
        <f t="shared" si="4"/>
        <v>BXM27-27</v>
      </c>
      <c r="H499" s="16"/>
      <c r="I499" s="16" t="str">
        <f t="shared" si="5"/>
        <v>collected</v>
      </c>
      <c r="J499" s="16" t="str">
        <f t="shared" si="6"/>
        <v>N</v>
      </c>
      <c r="K499" s="16"/>
      <c r="L499" s="16"/>
    </row>
    <row r="500">
      <c r="A500" s="44" t="s">
        <v>907</v>
      </c>
      <c r="B500" s="10" t="str">
        <f t="shared" si="1"/>
        <v>extra_muscle</v>
      </c>
      <c r="C500" s="49" t="str">
        <f t="shared" si="2"/>
        <v>S17236XM1</v>
      </c>
      <c r="D500" s="6">
        <v>27.0</v>
      </c>
      <c r="E500" s="10" t="str">
        <f t="shared" si="3"/>
        <v>BXM27</v>
      </c>
      <c r="F500" s="13">
        <v>28.0</v>
      </c>
      <c r="G500" s="10" t="str">
        <f t="shared" si="4"/>
        <v>BXM27-28</v>
      </c>
      <c r="H500" s="16"/>
      <c r="I500" s="16" t="str">
        <f t="shared" si="5"/>
        <v>collected</v>
      </c>
      <c r="J500" s="16" t="str">
        <f t="shared" si="6"/>
        <v>N</v>
      </c>
      <c r="K500" s="16"/>
      <c r="L500" s="16"/>
    </row>
    <row r="501">
      <c r="A501" s="44" t="s">
        <v>908</v>
      </c>
      <c r="B501" s="10" t="str">
        <f t="shared" si="1"/>
        <v>extra_muscle</v>
      </c>
      <c r="C501" s="49" t="str">
        <f t="shared" si="2"/>
        <v>S17092XM1</v>
      </c>
      <c r="D501" s="6">
        <v>27.0</v>
      </c>
      <c r="E501" s="10" t="str">
        <f t="shared" si="3"/>
        <v>BXM27</v>
      </c>
      <c r="F501" s="13">
        <v>29.0</v>
      </c>
      <c r="G501" s="10" t="str">
        <f t="shared" si="4"/>
        <v>BXM27-29</v>
      </c>
      <c r="H501" s="16"/>
      <c r="I501" s="16" t="str">
        <f t="shared" si="5"/>
        <v>collected</v>
      </c>
      <c r="J501" s="16" t="str">
        <f t="shared" si="6"/>
        <v>N</v>
      </c>
      <c r="K501" s="16"/>
      <c r="L501" s="16"/>
    </row>
    <row r="502">
      <c r="A502" s="44" t="s">
        <v>910</v>
      </c>
      <c r="B502" s="10" t="str">
        <f t="shared" si="1"/>
        <v>extra_muscle</v>
      </c>
      <c r="C502" s="49" t="str">
        <f t="shared" si="2"/>
        <v>S17099XM1</v>
      </c>
      <c r="D502" s="6">
        <v>27.0</v>
      </c>
      <c r="E502" s="10" t="str">
        <f t="shared" si="3"/>
        <v>BXM27</v>
      </c>
      <c r="F502" s="13">
        <v>30.0</v>
      </c>
      <c r="G502" s="10" t="str">
        <f t="shared" si="4"/>
        <v>BXM27-30</v>
      </c>
      <c r="H502" s="16"/>
      <c r="I502" s="16" t="str">
        <f t="shared" si="5"/>
        <v>collected</v>
      </c>
      <c r="J502" s="16" t="str">
        <f t="shared" si="6"/>
        <v>N</v>
      </c>
      <c r="K502" s="16"/>
      <c r="L502" s="16"/>
    </row>
    <row r="503">
      <c r="A503" s="46" t="s">
        <v>911</v>
      </c>
      <c r="B503" s="10" t="str">
        <f t="shared" si="1"/>
        <v>extra_muscle</v>
      </c>
      <c r="C503" s="49" t="str">
        <f t="shared" si="2"/>
        <v>S17100XM1</v>
      </c>
      <c r="D503" s="6">
        <v>27.0</v>
      </c>
      <c r="E503" s="10" t="str">
        <f t="shared" si="3"/>
        <v>BXM27</v>
      </c>
      <c r="F503" s="13">
        <v>31.0</v>
      </c>
      <c r="G503" s="10" t="str">
        <f t="shared" si="4"/>
        <v>BXM27-31</v>
      </c>
      <c r="H503" s="16"/>
      <c r="I503" s="16" t="str">
        <f t="shared" si="5"/>
        <v>collected</v>
      </c>
      <c r="J503" s="16" t="str">
        <f t="shared" si="6"/>
        <v>N</v>
      </c>
      <c r="K503" s="16"/>
      <c r="L503" s="16"/>
    </row>
    <row r="504">
      <c r="A504" s="40" t="s">
        <v>913</v>
      </c>
      <c r="B504" s="10" t="str">
        <f t="shared" si="1"/>
        <v>extra_muscle</v>
      </c>
      <c r="C504" s="49" t="str">
        <f t="shared" si="2"/>
        <v>S17097XM1</v>
      </c>
      <c r="D504" s="6">
        <v>27.0</v>
      </c>
      <c r="E504" s="10" t="str">
        <f t="shared" si="3"/>
        <v>BXM27</v>
      </c>
      <c r="F504" s="13">
        <v>32.0</v>
      </c>
      <c r="G504" s="10" t="str">
        <f t="shared" si="4"/>
        <v>BXM27-32</v>
      </c>
      <c r="H504" s="16"/>
      <c r="I504" s="16" t="str">
        <f t="shared" si="5"/>
        <v>collected</v>
      </c>
      <c r="J504" s="16" t="str">
        <f t="shared" si="6"/>
        <v>N</v>
      </c>
      <c r="K504" s="16"/>
      <c r="L504" s="16"/>
    </row>
    <row r="505">
      <c r="A505" s="40" t="s">
        <v>914</v>
      </c>
      <c r="B505" s="10" t="str">
        <f t="shared" si="1"/>
        <v>extra_muscle</v>
      </c>
      <c r="C505" s="49" t="str">
        <f t="shared" si="2"/>
        <v>S17098XM1</v>
      </c>
      <c r="D505" s="6">
        <v>27.0</v>
      </c>
      <c r="E505" s="10" t="str">
        <f t="shared" si="3"/>
        <v>BXM27</v>
      </c>
      <c r="F505" s="13">
        <v>33.0</v>
      </c>
      <c r="G505" s="10" t="str">
        <f t="shared" si="4"/>
        <v>BXM27-33</v>
      </c>
      <c r="H505" s="16"/>
      <c r="I505" s="16" t="str">
        <f t="shared" si="5"/>
        <v>collected</v>
      </c>
      <c r="J505" s="16" t="str">
        <f t="shared" si="6"/>
        <v>N</v>
      </c>
      <c r="K505" s="16"/>
      <c r="L505" s="16"/>
    </row>
    <row r="506">
      <c r="A506" s="40" t="s">
        <v>916</v>
      </c>
      <c r="B506" s="10" t="str">
        <f t="shared" si="1"/>
        <v>extra_muscle</v>
      </c>
      <c r="C506" s="49" t="str">
        <f t="shared" si="2"/>
        <v>S17091XM1</v>
      </c>
      <c r="D506" s="6">
        <v>27.0</v>
      </c>
      <c r="E506" s="10" t="str">
        <f t="shared" si="3"/>
        <v>BXM27</v>
      </c>
      <c r="F506" s="13">
        <v>34.0</v>
      </c>
      <c r="G506" s="10" t="str">
        <f t="shared" si="4"/>
        <v>BXM27-34</v>
      </c>
      <c r="H506" s="16"/>
      <c r="I506" s="16" t="str">
        <f t="shared" si="5"/>
        <v>collected</v>
      </c>
      <c r="J506" s="16" t="str">
        <f t="shared" si="6"/>
        <v>N</v>
      </c>
      <c r="K506" s="16"/>
      <c r="L506" s="16"/>
    </row>
    <row r="507">
      <c r="A507" s="6" t="s">
        <v>917</v>
      </c>
      <c r="B507" s="10" t="str">
        <f t="shared" si="1"/>
        <v>extra_muscle</v>
      </c>
      <c r="C507" s="49" t="str">
        <f t="shared" si="2"/>
        <v>S16513XM1</v>
      </c>
      <c r="D507" s="6">
        <v>28.0</v>
      </c>
      <c r="E507" s="10" t="str">
        <f t="shared" si="3"/>
        <v>BXM28</v>
      </c>
      <c r="F507" s="13">
        <v>9.0</v>
      </c>
      <c r="G507" s="10" t="str">
        <f t="shared" si="4"/>
        <v>BXM28-9</v>
      </c>
      <c r="H507" s="16"/>
      <c r="I507" s="16" t="str">
        <f t="shared" si="5"/>
        <v>collected</v>
      </c>
      <c r="J507" s="16" t="str">
        <f t="shared" si="6"/>
        <v>N</v>
      </c>
      <c r="K507" s="16"/>
      <c r="L507" s="16"/>
    </row>
    <row r="508">
      <c r="A508" s="27" t="s">
        <v>918</v>
      </c>
      <c r="B508" s="10" t="str">
        <f t="shared" si="1"/>
        <v>extra_muscle</v>
      </c>
      <c r="C508" s="49" t="str">
        <f t="shared" si="2"/>
        <v>S16514XM1</v>
      </c>
      <c r="D508" s="6">
        <v>28.0</v>
      </c>
      <c r="E508" s="10" t="str">
        <f t="shared" si="3"/>
        <v>BXM28</v>
      </c>
      <c r="F508" s="13">
        <v>10.0</v>
      </c>
      <c r="G508" s="10" t="str">
        <f t="shared" si="4"/>
        <v>BXM28-10</v>
      </c>
      <c r="H508" s="16"/>
      <c r="I508" s="16" t="str">
        <f t="shared" si="5"/>
        <v>collected</v>
      </c>
      <c r="J508" s="16" t="str">
        <f t="shared" si="6"/>
        <v>N</v>
      </c>
      <c r="K508" s="16"/>
      <c r="L508" s="16"/>
    </row>
    <row r="509">
      <c r="A509" s="27" t="s">
        <v>921</v>
      </c>
      <c r="B509" s="10" t="str">
        <f t="shared" si="1"/>
        <v>extra_muscle</v>
      </c>
      <c r="C509" s="49" t="str">
        <f t="shared" si="2"/>
        <v>S16515XM1</v>
      </c>
      <c r="D509" s="6">
        <v>28.0</v>
      </c>
      <c r="E509" s="10" t="str">
        <f t="shared" si="3"/>
        <v>BXM28</v>
      </c>
      <c r="F509" s="13">
        <v>11.0</v>
      </c>
      <c r="G509" s="10" t="str">
        <f t="shared" si="4"/>
        <v>BXM28-11</v>
      </c>
      <c r="H509" s="16"/>
      <c r="I509" s="16" t="str">
        <f t="shared" si="5"/>
        <v>collected</v>
      </c>
      <c r="J509" s="16" t="str">
        <f t="shared" si="6"/>
        <v>N</v>
      </c>
      <c r="K509" s="16"/>
      <c r="L509" s="16"/>
    </row>
    <row r="510">
      <c r="A510" s="27" t="s">
        <v>922</v>
      </c>
      <c r="B510" s="10" t="str">
        <f t="shared" si="1"/>
        <v>extra_muscle</v>
      </c>
      <c r="C510" s="49" t="str">
        <f t="shared" si="2"/>
        <v>S16516XM1</v>
      </c>
      <c r="D510" s="6">
        <v>28.0</v>
      </c>
      <c r="E510" s="10" t="str">
        <f t="shared" si="3"/>
        <v>BXM28</v>
      </c>
      <c r="F510" s="13">
        <v>12.0</v>
      </c>
      <c r="G510" s="10" t="str">
        <f t="shared" si="4"/>
        <v>BXM28-12</v>
      </c>
      <c r="H510" s="16"/>
      <c r="I510" s="16" t="str">
        <f t="shared" si="5"/>
        <v>collected</v>
      </c>
      <c r="J510" s="16" t="str">
        <f t="shared" si="6"/>
        <v>N</v>
      </c>
      <c r="K510" s="16"/>
      <c r="L510" s="16"/>
    </row>
    <row r="511">
      <c r="A511" s="27" t="s">
        <v>923</v>
      </c>
      <c r="B511" s="10" t="str">
        <f t="shared" si="1"/>
        <v>extra_muscle</v>
      </c>
      <c r="C511" s="49" t="str">
        <f t="shared" si="2"/>
        <v>S16517XM1</v>
      </c>
      <c r="D511" s="6">
        <v>28.0</v>
      </c>
      <c r="E511" s="10" t="str">
        <f t="shared" si="3"/>
        <v>BXM28</v>
      </c>
      <c r="F511" s="13">
        <v>13.0</v>
      </c>
      <c r="G511" s="10" t="str">
        <f t="shared" si="4"/>
        <v>BXM28-13</v>
      </c>
      <c r="H511" s="6"/>
      <c r="I511" s="16" t="str">
        <f t="shared" si="5"/>
        <v>collected</v>
      </c>
      <c r="J511" s="16" t="str">
        <f t="shared" si="6"/>
        <v>N</v>
      </c>
      <c r="K511" s="16"/>
      <c r="L511" s="16"/>
    </row>
    <row r="512">
      <c r="A512" s="27" t="s">
        <v>924</v>
      </c>
      <c r="B512" s="10" t="str">
        <f t="shared" si="1"/>
        <v>extra_muscle</v>
      </c>
      <c r="C512" s="49" t="str">
        <f t="shared" si="2"/>
        <v>S16518XM1</v>
      </c>
      <c r="D512" s="6">
        <v>28.0</v>
      </c>
      <c r="E512" s="10" t="str">
        <f t="shared" si="3"/>
        <v>BXM28</v>
      </c>
      <c r="F512" s="13">
        <v>14.0</v>
      </c>
      <c r="G512" s="10" t="str">
        <f t="shared" si="4"/>
        <v>BXM28-14</v>
      </c>
      <c r="H512" s="16"/>
      <c r="I512" s="16" t="str">
        <f t="shared" si="5"/>
        <v>collected</v>
      </c>
      <c r="J512" s="16" t="str">
        <f t="shared" si="6"/>
        <v>N</v>
      </c>
      <c r="K512" s="16"/>
      <c r="L512" s="16"/>
    </row>
    <row r="513">
      <c r="A513" s="27" t="s">
        <v>927</v>
      </c>
      <c r="B513" s="10" t="str">
        <f t="shared" si="1"/>
        <v>extra_muscle</v>
      </c>
      <c r="C513" s="49" t="str">
        <f t="shared" si="2"/>
        <v>S16519XM1</v>
      </c>
      <c r="D513" s="6">
        <v>28.0</v>
      </c>
      <c r="E513" s="10" t="str">
        <f t="shared" si="3"/>
        <v>BXM28</v>
      </c>
      <c r="F513" s="13">
        <v>15.0</v>
      </c>
      <c r="G513" s="10" t="str">
        <f t="shared" si="4"/>
        <v>BXM28-15</v>
      </c>
      <c r="H513" s="16"/>
      <c r="I513" s="16" t="str">
        <f t="shared" si="5"/>
        <v>collected</v>
      </c>
      <c r="J513" s="16" t="str">
        <f t="shared" si="6"/>
        <v>N</v>
      </c>
      <c r="K513" s="16"/>
      <c r="L513" s="16"/>
    </row>
    <row r="514">
      <c r="A514" s="27" t="s">
        <v>929</v>
      </c>
      <c r="B514" s="10" t="str">
        <f t="shared" si="1"/>
        <v>extra_muscle</v>
      </c>
      <c r="C514" s="49" t="str">
        <f t="shared" si="2"/>
        <v>S16520XM1</v>
      </c>
      <c r="D514" s="6">
        <v>28.0</v>
      </c>
      <c r="E514" s="10" t="str">
        <f t="shared" si="3"/>
        <v>BXM28</v>
      </c>
      <c r="F514" s="13">
        <v>17.0</v>
      </c>
      <c r="G514" s="10" t="str">
        <f t="shared" si="4"/>
        <v>BXM28-17</v>
      </c>
      <c r="H514" s="16"/>
      <c r="I514" s="16" t="str">
        <f t="shared" si="5"/>
        <v>collected</v>
      </c>
      <c r="J514" s="16" t="str">
        <f t="shared" si="6"/>
        <v>N</v>
      </c>
      <c r="K514" s="16"/>
      <c r="L514" s="16"/>
    </row>
    <row r="515">
      <c r="A515" s="27" t="s">
        <v>930</v>
      </c>
      <c r="B515" s="10" t="str">
        <f t="shared" si="1"/>
        <v>extra_muscle</v>
      </c>
      <c r="C515" s="49" t="str">
        <f t="shared" si="2"/>
        <v>S16011XM1</v>
      </c>
      <c r="D515" s="6">
        <v>28.0</v>
      </c>
      <c r="E515" s="10" t="str">
        <f t="shared" si="3"/>
        <v>BXM28</v>
      </c>
      <c r="F515" s="13">
        <v>18.0</v>
      </c>
      <c r="G515" s="10" t="str">
        <f t="shared" si="4"/>
        <v>BXM28-18</v>
      </c>
      <c r="H515" s="16"/>
      <c r="I515" s="16" t="str">
        <f t="shared" si="5"/>
        <v>collected</v>
      </c>
      <c r="J515" s="16" t="str">
        <f t="shared" si="6"/>
        <v>N</v>
      </c>
      <c r="K515" s="16"/>
      <c r="L515" s="16"/>
    </row>
    <row r="516">
      <c r="A516" s="27" t="s">
        <v>931</v>
      </c>
      <c r="B516" s="10" t="str">
        <f t="shared" si="1"/>
        <v>extra_muscle</v>
      </c>
      <c r="C516" s="49" t="str">
        <f t="shared" si="2"/>
        <v>S16012XM1</v>
      </c>
      <c r="D516" s="6">
        <v>28.0</v>
      </c>
      <c r="E516" s="10" t="str">
        <f t="shared" si="3"/>
        <v>BXM28</v>
      </c>
      <c r="F516" s="13">
        <v>19.0</v>
      </c>
      <c r="G516" s="10" t="str">
        <f t="shared" si="4"/>
        <v>BXM28-19</v>
      </c>
      <c r="H516" s="16"/>
      <c r="I516" s="16" t="str">
        <f t="shared" si="5"/>
        <v>collected</v>
      </c>
      <c r="J516" s="16" t="str">
        <f t="shared" si="6"/>
        <v>N</v>
      </c>
      <c r="K516" s="16"/>
      <c r="L516" s="16"/>
    </row>
    <row r="517">
      <c r="A517" s="27" t="s">
        <v>933</v>
      </c>
      <c r="B517" s="10" t="str">
        <f t="shared" si="1"/>
        <v>extra_muscle</v>
      </c>
      <c r="C517" s="49" t="str">
        <f t="shared" si="2"/>
        <v>S16013XM1</v>
      </c>
      <c r="D517" s="6">
        <v>28.0</v>
      </c>
      <c r="E517" s="10" t="str">
        <f t="shared" si="3"/>
        <v>BXM28</v>
      </c>
      <c r="F517" s="13">
        <v>20.0</v>
      </c>
      <c r="G517" s="10" t="str">
        <f t="shared" si="4"/>
        <v>BXM28-20</v>
      </c>
      <c r="H517" s="16"/>
      <c r="I517" s="16" t="str">
        <f t="shared" si="5"/>
        <v>collected</v>
      </c>
      <c r="J517" s="16" t="str">
        <f t="shared" si="6"/>
        <v>N</v>
      </c>
      <c r="K517" s="16"/>
      <c r="L517" s="16"/>
    </row>
    <row r="518">
      <c r="A518" s="27" t="s">
        <v>934</v>
      </c>
      <c r="B518" s="10" t="str">
        <f t="shared" si="1"/>
        <v>extra_muscle</v>
      </c>
      <c r="C518" s="49" t="str">
        <f t="shared" si="2"/>
        <v>S16014XM1</v>
      </c>
      <c r="D518" s="6">
        <v>28.0</v>
      </c>
      <c r="E518" s="10" t="str">
        <f t="shared" si="3"/>
        <v>BXM28</v>
      </c>
      <c r="F518" s="13">
        <v>21.0</v>
      </c>
      <c r="G518" s="10" t="str">
        <f t="shared" si="4"/>
        <v>BXM28-21</v>
      </c>
      <c r="H518" s="16"/>
      <c r="I518" s="16" t="str">
        <f t="shared" si="5"/>
        <v>collected</v>
      </c>
      <c r="J518" s="16" t="str">
        <f t="shared" si="6"/>
        <v>N</v>
      </c>
      <c r="K518" s="16"/>
      <c r="L518" s="16"/>
    </row>
    <row r="519">
      <c r="A519" s="27" t="s">
        <v>935</v>
      </c>
      <c r="B519" s="10" t="str">
        <f t="shared" si="1"/>
        <v>extra_muscle</v>
      </c>
      <c r="C519" s="49" t="str">
        <f t="shared" si="2"/>
        <v>S16015XM1</v>
      </c>
      <c r="D519" s="6">
        <v>28.0</v>
      </c>
      <c r="E519" s="10" t="str">
        <f t="shared" si="3"/>
        <v>BXM28</v>
      </c>
      <c r="F519" s="13">
        <v>22.0</v>
      </c>
      <c r="G519" s="10" t="str">
        <f t="shared" si="4"/>
        <v>BXM28-22</v>
      </c>
      <c r="H519" s="16"/>
      <c r="I519" s="16" t="str">
        <f t="shared" si="5"/>
        <v>collected</v>
      </c>
      <c r="J519" s="16" t="str">
        <f t="shared" si="6"/>
        <v>N</v>
      </c>
      <c r="K519" s="16"/>
      <c r="L519" s="16"/>
    </row>
    <row r="520">
      <c r="A520" s="27" t="s">
        <v>937</v>
      </c>
      <c r="B520" s="10" t="str">
        <f t="shared" si="1"/>
        <v>extra_muscle</v>
      </c>
      <c r="C520" s="49" t="str">
        <f t="shared" si="2"/>
        <v>S16016XM1</v>
      </c>
      <c r="D520" s="6">
        <v>28.0</v>
      </c>
      <c r="E520" s="10" t="str">
        <f t="shared" si="3"/>
        <v>BXM28</v>
      </c>
      <c r="F520" s="13">
        <v>23.0</v>
      </c>
      <c r="G520" s="10" t="str">
        <f t="shared" si="4"/>
        <v>BXM28-23</v>
      </c>
      <c r="H520" s="16"/>
      <c r="I520" s="16" t="str">
        <f t="shared" si="5"/>
        <v>collected</v>
      </c>
      <c r="J520" s="16" t="str">
        <f t="shared" si="6"/>
        <v>N</v>
      </c>
      <c r="K520" s="16"/>
      <c r="L520" s="16"/>
    </row>
    <row r="521">
      <c r="A521" s="27" t="s">
        <v>938</v>
      </c>
      <c r="B521" s="10" t="str">
        <f t="shared" si="1"/>
        <v>extra_muscle</v>
      </c>
      <c r="C521" s="49" t="str">
        <f t="shared" si="2"/>
        <v>S16017XM1</v>
      </c>
      <c r="D521" s="6">
        <v>28.0</v>
      </c>
      <c r="E521" s="10" t="str">
        <f t="shared" si="3"/>
        <v>BXM28</v>
      </c>
      <c r="F521" s="13">
        <v>24.0</v>
      </c>
      <c r="G521" s="10" t="str">
        <f t="shared" si="4"/>
        <v>BXM28-24</v>
      </c>
      <c r="H521" s="16"/>
      <c r="I521" s="16" t="str">
        <f t="shared" si="5"/>
        <v>collected</v>
      </c>
      <c r="J521" s="16" t="str">
        <f t="shared" si="6"/>
        <v>N</v>
      </c>
      <c r="K521" s="16"/>
      <c r="L521" s="16"/>
    </row>
    <row r="522">
      <c r="A522" s="27" t="s">
        <v>940</v>
      </c>
      <c r="B522" s="10" t="str">
        <f t="shared" si="1"/>
        <v>extra_muscle</v>
      </c>
      <c r="C522" s="49" t="str">
        <f t="shared" si="2"/>
        <v>S16018XM1</v>
      </c>
      <c r="D522" s="6">
        <v>28.0</v>
      </c>
      <c r="E522" s="10" t="str">
        <f t="shared" si="3"/>
        <v>BXM28</v>
      </c>
      <c r="F522" s="13">
        <v>25.0</v>
      </c>
      <c r="G522" s="10" t="str">
        <f t="shared" si="4"/>
        <v>BXM28-25</v>
      </c>
      <c r="H522" s="16"/>
      <c r="I522" s="16" t="str">
        <f t="shared" si="5"/>
        <v>collected</v>
      </c>
      <c r="J522" s="16" t="str">
        <f t="shared" si="6"/>
        <v>N</v>
      </c>
      <c r="K522" s="16"/>
      <c r="L522" s="16"/>
    </row>
    <row r="523">
      <c r="A523" s="27" t="s">
        <v>941</v>
      </c>
      <c r="B523" s="10" t="str">
        <f t="shared" si="1"/>
        <v>extra_muscle</v>
      </c>
      <c r="C523" s="49" t="str">
        <f t="shared" si="2"/>
        <v>S16019XM1</v>
      </c>
      <c r="D523" s="6">
        <v>28.0</v>
      </c>
      <c r="E523" s="10" t="str">
        <f t="shared" si="3"/>
        <v>BXM28</v>
      </c>
      <c r="F523" s="13">
        <v>27.0</v>
      </c>
      <c r="G523" s="10" t="str">
        <f t="shared" si="4"/>
        <v>BXM28-27</v>
      </c>
      <c r="H523" s="16"/>
      <c r="I523" s="16" t="str">
        <f t="shared" si="5"/>
        <v>collected</v>
      </c>
      <c r="J523" s="16" t="str">
        <f t="shared" si="6"/>
        <v>N</v>
      </c>
      <c r="K523" s="16"/>
      <c r="L523" s="16"/>
    </row>
    <row r="524">
      <c r="A524" s="27" t="s">
        <v>942</v>
      </c>
      <c r="B524" s="10" t="str">
        <f t="shared" si="1"/>
        <v>extra_muscle</v>
      </c>
      <c r="C524" s="49" t="str">
        <f t="shared" si="2"/>
        <v>S16020XM1</v>
      </c>
      <c r="D524" s="6">
        <v>28.0</v>
      </c>
      <c r="E524" s="10" t="str">
        <f t="shared" si="3"/>
        <v>BXM28</v>
      </c>
      <c r="F524" s="13">
        <v>28.0</v>
      </c>
      <c r="G524" s="10" t="str">
        <f t="shared" si="4"/>
        <v>BXM28-28</v>
      </c>
      <c r="H524" s="16"/>
      <c r="I524" s="16" t="str">
        <f t="shared" si="5"/>
        <v>collected</v>
      </c>
      <c r="J524" s="16" t="str">
        <f t="shared" si="6"/>
        <v>N</v>
      </c>
      <c r="K524" s="16"/>
      <c r="L524" s="16"/>
    </row>
    <row r="525">
      <c r="A525" s="40" t="s">
        <v>943</v>
      </c>
      <c r="B525" s="10" t="str">
        <f t="shared" si="1"/>
        <v>extra_muscle</v>
      </c>
      <c r="C525" s="49" t="str">
        <f t="shared" si="2"/>
        <v>S17095XM1</v>
      </c>
      <c r="D525" s="6">
        <v>27.0</v>
      </c>
      <c r="E525" s="10" t="str">
        <f t="shared" si="3"/>
        <v>BXM27</v>
      </c>
      <c r="F525" s="13">
        <v>35.0</v>
      </c>
      <c r="G525" s="10" t="str">
        <f t="shared" si="4"/>
        <v>BXM27-35</v>
      </c>
      <c r="H525" s="16"/>
      <c r="I525" s="16" t="str">
        <f t="shared" si="5"/>
        <v>collected</v>
      </c>
      <c r="J525" s="16" t="str">
        <f t="shared" si="6"/>
        <v>N</v>
      </c>
      <c r="K525" s="16"/>
      <c r="L525" s="16"/>
    </row>
    <row r="526">
      <c r="A526" s="40" t="s">
        <v>946</v>
      </c>
      <c r="B526" s="10" t="str">
        <f t="shared" si="1"/>
        <v>extra_muscle</v>
      </c>
      <c r="C526" s="49" t="str">
        <f t="shared" si="2"/>
        <v>S17096XM1</v>
      </c>
      <c r="D526" s="6">
        <v>27.0</v>
      </c>
      <c r="E526" s="10" t="str">
        <f t="shared" si="3"/>
        <v>BXM27</v>
      </c>
      <c r="F526" s="13">
        <v>36.0</v>
      </c>
      <c r="G526" s="10" t="str">
        <f t="shared" si="4"/>
        <v>BXM27-36</v>
      </c>
      <c r="H526" s="16"/>
      <c r="I526" s="16" t="str">
        <f t="shared" si="5"/>
        <v>collected</v>
      </c>
      <c r="J526" s="16" t="str">
        <f t="shared" si="6"/>
        <v>N</v>
      </c>
      <c r="K526" s="16"/>
      <c r="L526" s="16"/>
    </row>
    <row r="527">
      <c r="A527" s="40" t="s">
        <v>947</v>
      </c>
      <c r="B527" s="10" t="str">
        <f t="shared" si="1"/>
        <v>extra_muscle</v>
      </c>
      <c r="C527" s="49" t="str">
        <f t="shared" si="2"/>
        <v>S17094XM1</v>
      </c>
      <c r="D527" s="6">
        <v>27.0</v>
      </c>
      <c r="E527" s="10" t="str">
        <f t="shared" si="3"/>
        <v>BXM27</v>
      </c>
      <c r="F527" s="13">
        <v>37.0</v>
      </c>
      <c r="G527" s="10" t="str">
        <f t="shared" si="4"/>
        <v>BXM27-37</v>
      </c>
      <c r="H527" s="16"/>
      <c r="I527" s="16" t="str">
        <f t="shared" si="5"/>
        <v>collected</v>
      </c>
      <c r="J527" s="16" t="str">
        <f t="shared" si="6"/>
        <v>N</v>
      </c>
      <c r="K527" s="16"/>
      <c r="L527" s="16"/>
    </row>
    <row r="528">
      <c r="A528" s="40" t="s">
        <v>948</v>
      </c>
      <c r="B528" s="10" t="str">
        <f t="shared" si="1"/>
        <v>extra_muscle</v>
      </c>
      <c r="C528" s="49" t="str">
        <f t="shared" si="2"/>
        <v>S17093XM1</v>
      </c>
      <c r="D528" s="6">
        <v>27.0</v>
      </c>
      <c r="E528" s="10" t="str">
        <f t="shared" si="3"/>
        <v>BXM27</v>
      </c>
      <c r="F528" s="13">
        <v>38.0</v>
      </c>
      <c r="G528" s="10" t="str">
        <f t="shared" si="4"/>
        <v>BXM27-38</v>
      </c>
      <c r="H528" s="16"/>
      <c r="I528" s="16" t="str">
        <f t="shared" si="5"/>
        <v>collected</v>
      </c>
      <c r="J528" s="16" t="str">
        <f t="shared" si="6"/>
        <v>N</v>
      </c>
      <c r="K528" s="16"/>
      <c r="L528" s="16"/>
    </row>
    <row r="529">
      <c r="A529" s="43" t="s">
        <v>949</v>
      </c>
      <c r="B529" s="10" t="str">
        <f t="shared" si="1"/>
        <v>extra_muscle</v>
      </c>
      <c r="C529" s="49" t="str">
        <f t="shared" si="2"/>
        <v>S16151XM1</v>
      </c>
      <c r="D529" s="6">
        <v>27.0</v>
      </c>
      <c r="E529" s="10" t="str">
        <f t="shared" si="3"/>
        <v>BXM27</v>
      </c>
      <c r="F529" s="13">
        <v>39.0</v>
      </c>
      <c r="G529" s="10" t="str">
        <f t="shared" si="4"/>
        <v>BXM27-39</v>
      </c>
      <c r="H529" s="16"/>
      <c r="I529" s="16" t="str">
        <f t="shared" si="5"/>
        <v>collected</v>
      </c>
      <c r="J529" s="16" t="str">
        <f t="shared" si="6"/>
        <v>N</v>
      </c>
      <c r="K529" s="16"/>
      <c r="L529" s="16"/>
    </row>
    <row r="530">
      <c r="A530" s="44" t="s">
        <v>950</v>
      </c>
      <c r="B530" s="10" t="str">
        <f t="shared" si="1"/>
        <v>extra_muscle</v>
      </c>
      <c r="C530" s="49" t="str">
        <f t="shared" si="2"/>
        <v>S16157XM1</v>
      </c>
      <c r="D530" s="6">
        <v>27.0</v>
      </c>
      <c r="E530" s="10" t="str">
        <f t="shared" si="3"/>
        <v>BXM27</v>
      </c>
      <c r="F530" s="13">
        <v>40.0</v>
      </c>
      <c r="G530" s="10" t="str">
        <f t="shared" si="4"/>
        <v>BXM27-40</v>
      </c>
      <c r="H530" s="16"/>
      <c r="I530" s="16" t="str">
        <f t="shared" si="5"/>
        <v>collected</v>
      </c>
      <c r="J530" s="16" t="str">
        <f t="shared" si="6"/>
        <v>N</v>
      </c>
      <c r="K530" s="16"/>
      <c r="L530" s="16"/>
    </row>
    <row r="531">
      <c r="A531" s="44" t="s">
        <v>952</v>
      </c>
      <c r="B531" s="10" t="str">
        <f t="shared" si="1"/>
        <v>extra_muscle</v>
      </c>
      <c r="C531" s="49" t="str">
        <f t="shared" si="2"/>
        <v>S16158XM1</v>
      </c>
      <c r="D531" s="6">
        <v>27.0</v>
      </c>
      <c r="E531" s="10" t="str">
        <f t="shared" si="3"/>
        <v>BXM27</v>
      </c>
      <c r="F531" s="13">
        <v>41.0</v>
      </c>
      <c r="G531" s="10" t="str">
        <f t="shared" si="4"/>
        <v>BXM27-41</v>
      </c>
      <c r="H531" s="16"/>
      <c r="I531" s="16" t="str">
        <f t="shared" si="5"/>
        <v>collected</v>
      </c>
      <c r="J531" s="16" t="str">
        <f t="shared" si="6"/>
        <v>N</v>
      </c>
      <c r="K531" s="16"/>
      <c r="L531" s="16"/>
    </row>
    <row r="532">
      <c r="A532" s="44" t="s">
        <v>954</v>
      </c>
      <c r="B532" s="10" t="str">
        <f t="shared" si="1"/>
        <v>extra_muscle</v>
      </c>
      <c r="C532" s="49" t="str">
        <f t="shared" si="2"/>
        <v>S16159XM1</v>
      </c>
      <c r="D532" s="6">
        <v>27.0</v>
      </c>
      <c r="E532" s="10" t="str">
        <f t="shared" si="3"/>
        <v>BXM27</v>
      </c>
      <c r="F532" s="13">
        <v>42.0</v>
      </c>
      <c r="G532" s="10" t="str">
        <f t="shared" si="4"/>
        <v>BXM27-42</v>
      </c>
      <c r="H532" s="16"/>
      <c r="I532" s="16" t="str">
        <f t="shared" si="5"/>
        <v>collected</v>
      </c>
      <c r="J532" s="16" t="str">
        <f t="shared" si="6"/>
        <v>N</v>
      </c>
      <c r="K532" s="16"/>
      <c r="L532" s="16"/>
    </row>
    <row r="533">
      <c r="A533" s="44" t="s">
        <v>955</v>
      </c>
      <c r="B533" s="10" t="str">
        <f t="shared" si="1"/>
        <v>extra_muscle</v>
      </c>
      <c r="C533" s="49" t="str">
        <f t="shared" si="2"/>
        <v>S16152XM1</v>
      </c>
      <c r="D533" s="6">
        <v>27.0</v>
      </c>
      <c r="E533" s="10" t="str">
        <f t="shared" si="3"/>
        <v>BXM27</v>
      </c>
      <c r="F533" s="13">
        <v>43.0</v>
      </c>
      <c r="G533" s="10" t="str">
        <f t="shared" si="4"/>
        <v>BXM27-43</v>
      </c>
      <c r="H533" s="16"/>
      <c r="I533" s="16" t="str">
        <f t="shared" si="5"/>
        <v>collected</v>
      </c>
      <c r="J533" s="16" t="str">
        <f t="shared" si="6"/>
        <v>N</v>
      </c>
      <c r="K533" s="16"/>
      <c r="L533" s="16"/>
    </row>
    <row r="534">
      <c r="A534" s="44" t="s">
        <v>956</v>
      </c>
      <c r="B534" s="10" t="str">
        <f t="shared" si="1"/>
        <v>extra_muscle</v>
      </c>
      <c r="C534" s="49" t="str">
        <f t="shared" si="2"/>
        <v>S16160XM1</v>
      </c>
      <c r="D534" s="6">
        <v>27.0</v>
      </c>
      <c r="E534" s="10" t="str">
        <f t="shared" si="3"/>
        <v>BXM27</v>
      </c>
      <c r="F534" s="13">
        <v>44.0</v>
      </c>
      <c r="G534" s="10" t="str">
        <f t="shared" si="4"/>
        <v>BXM27-44</v>
      </c>
      <c r="H534" s="16"/>
      <c r="I534" s="16" t="str">
        <f t="shared" si="5"/>
        <v>collected</v>
      </c>
      <c r="J534" s="16" t="str">
        <f t="shared" si="6"/>
        <v>N</v>
      </c>
      <c r="K534" s="16"/>
      <c r="L534" s="16"/>
    </row>
    <row r="535">
      <c r="A535" s="44" t="s">
        <v>958</v>
      </c>
      <c r="B535" s="10" t="str">
        <f t="shared" si="1"/>
        <v>extra_muscle</v>
      </c>
      <c r="C535" s="49" t="str">
        <f t="shared" si="2"/>
        <v>S16153XM1</v>
      </c>
      <c r="D535" s="6">
        <v>27.0</v>
      </c>
      <c r="E535" s="10" t="str">
        <f t="shared" si="3"/>
        <v>BXM27</v>
      </c>
      <c r="F535" s="13">
        <v>45.0</v>
      </c>
      <c r="G535" s="10" t="str">
        <f t="shared" si="4"/>
        <v>BXM27-45</v>
      </c>
      <c r="H535" s="16"/>
      <c r="I535" s="16" t="str">
        <f t="shared" si="5"/>
        <v>collected</v>
      </c>
      <c r="J535" s="16" t="str">
        <f t="shared" si="6"/>
        <v>N</v>
      </c>
      <c r="K535" s="16"/>
      <c r="L535" s="16"/>
    </row>
    <row r="536">
      <c r="A536" s="44" t="s">
        <v>959</v>
      </c>
      <c r="B536" s="10" t="str">
        <f t="shared" si="1"/>
        <v>extra_muscle</v>
      </c>
      <c r="C536" s="49" t="str">
        <f t="shared" si="2"/>
        <v>S16156XM1</v>
      </c>
      <c r="D536" s="6">
        <v>27.0</v>
      </c>
      <c r="E536" s="10" t="str">
        <f t="shared" si="3"/>
        <v>BXM27</v>
      </c>
      <c r="F536" s="13">
        <v>46.0</v>
      </c>
      <c r="G536" s="10" t="str">
        <f t="shared" si="4"/>
        <v>BXM27-46</v>
      </c>
      <c r="H536" s="16"/>
      <c r="I536" s="16" t="str">
        <f t="shared" si="5"/>
        <v>collected</v>
      </c>
      <c r="J536" s="16" t="str">
        <f t="shared" si="6"/>
        <v>N</v>
      </c>
      <c r="K536" s="16"/>
      <c r="L536" s="16"/>
    </row>
    <row r="537">
      <c r="A537" s="44" t="s">
        <v>960</v>
      </c>
      <c r="B537" s="10" t="str">
        <f t="shared" si="1"/>
        <v>extra_muscle</v>
      </c>
      <c r="C537" s="49" t="str">
        <f t="shared" si="2"/>
        <v>S16155XM1</v>
      </c>
      <c r="D537" s="6">
        <v>27.0</v>
      </c>
      <c r="E537" s="10" t="str">
        <f t="shared" si="3"/>
        <v>BXM27</v>
      </c>
      <c r="F537" s="13">
        <v>47.0</v>
      </c>
      <c r="G537" s="10" t="str">
        <f t="shared" si="4"/>
        <v>BXM27-47</v>
      </c>
      <c r="H537" s="16"/>
      <c r="I537" s="16" t="str">
        <f t="shared" si="5"/>
        <v>collected</v>
      </c>
      <c r="J537" s="16" t="str">
        <f t="shared" si="6"/>
        <v>N</v>
      </c>
      <c r="K537" s="16"/>
      <c r="L537" s="16"/>
    </row>
    <row r="538">
      <c r="A538" s="46" t="s">
        <v>963</v>
      </c>
      <c r="B538" s="10" t="str">
        <f t="shared" si="1"/>
        <v>extra_muscle</v>
      </c>
      <c r="C538" s="49" t="str">
        <f t="shared" si="2"/>
        <v>S16154XM1</v>
      </c>
      <c r="D538" s="6">
        <v>27.0</v>
      </c>
      <c r="E538" s="10" t="str">
        <f t="shared" si="3"/>
        <v>BXM27</v>
      </c>
      <c r="F538" s="13">
        <v>48.0</v>
      </c>
      <c r="G538" s="10" t="str">
        <f t="shared" si="4"/>
        <v>BXM27-48</v>
      </c>
      <c r="H538" s="16"/>
      <c r="I538" s="16" t="str">
        <f t="shared" si="5"/>
        <v>collected</v>
      </c>
      <c r="J538" s="16" t="str">
        <f t="shared" si="6"/>
        <v>N</v>
      </c>
      <c r="K538" s="16"/>
      <c r="L538" s="16"/>
    </row>
    <row r="539">
      <c r="A539" s="40" t="s">
        <v>966</v>
      </c>
      <c r="B539" s="10" t="str">
        <f t="shared" si="1"/>
        <v>extra_muscle</v>
      </c>
      <c r="C539" s="49" t="str">
        <f t="shared" si="2"/>
        <v>S16342XM1</v>
      </c>
      <c r="D539" s="6">
        <v>27.0</v>
      </c>
      <c r="E539" s="10" t="str">
        <f t="shared" si="3"/>
        <v>BXM27</v>
      </c>
      <c r="F539" s="13">
        <v>49.0</v>
      </c>
      <c r="G539" s="10" t="str">
        <f t="shared" si="4"/>
        <v>BXM27-49</v>
      </c>
      <c r="H539" s="16"/>
      <c r="I539" s="16" t="str">
        <f t="shared" si="5"/>
        <v>collected</v>
      </c>
      <c r="J539" s="16" t="str">
        <f t="shared" si="6"/>
        <v>N</v>
      </c>
      <c r="K539" s="16"/>
      <c r="L539" s="16"/>
    </row>
    <row r="540">
      <c r="A540" s="40" t="s">
        <v>967</v>
      </c>
      <c r="B540" s="10" t="str">
        <f t="shared" si="1"/>
        <v>extra_muscle</v>
      </c>
      <c r="C540" s="49" t="str">
        <f t="shared" si="2"/>
        <v>S16350XM1</v>
      </c>
      <c r="D540" s="6">
        <v>27.0</v>
      </c>
      <c r="E540" s="10" t="str">
        <f t="shared" si="3"/>
        <v>BXM27</v>
      </c>
      <c r="F540" s="13">
        <v>50.0</v>
      </c>
      <c r="G540" s="10" t="str">
        <f t="shared" si="4"/>
        <v>BXM27-50</v>
      </c>
      <c r="H540" s="16"/>
      <c r="I540" s="16" t="str">
        <f t="shared" si="5"/>
        <v>collected</v>
      </c>
      <c r="J540" s="16" t="str">
        <f t="shared" si="6"/>
        <v>N</v>
      </c>
      <c r="K540" s="16"/>
      <c r="L540" s="16"/>
    </row>
    <row r="541">
      <c r="A541" s="40" t="s">
        <v>969</v>
      </c>
      <c r="B541" s="10" t="str">
        <f t="shared" si="1"/>
        <v>extra_muscle</v>
      </c>
      <c r="C541" s="49" t="str">
        <f t="shared" si="2"/>
        <v>S16344XM1</v>
      </c>
      <c r="D541" s="6">
        <v>27.0</v>
      </c>
      <c r="E541" s="10" t="str">
        <f t="shared" si="3"/>
        <v>BXM27</v>
      </c>
      <c r="F541" s="13">
        <v>51.0</v>
      </c>
      <c r="G541" s="10" t="str">
        <f t="shared" si="4"/>
        <v>BXM27-51</v>
      </c>
      <c r="H541" s="16"/>
      <c r="I541" s="16" t="str">
        <f t="shared" si="5"/>
        <v>collected</v>
      </c>
      <c r="J541" s="16" t="str">
        <f t="shared" si="6"/>
        <v>N</v>
      </c>
      <c r="K541" s="16"/>
      <c r="L541" s="16"/>
    </row>
    <row r="542">
      <c r="A542" s="40" t="s">
        <v>971</v>
      </c>
      <c r="B542" s="10" t="str">
        <f t="shared" si="1"/>
        <v>extra_muscle</v>
      </c>
      <c r="C542" s="49" t="str">
        <f t="shared" si="2"/>
        <v>S16341XM1</v>
      </c>
      <c r="D542" s="6">
        <v>27.0</v>
      </c>
      <c r="E542" s="10" t="str">
        <f t="shared" si="3"/>
        <v>BXM27</v>
      </c>
      <c r="F542" s="13">
        <v>52.0</v>
      </c>
      <c r="G542" s="10" t="str">
        <f t="shared" si="4"/>
        <v>BXM27-52</v>
      </c>
      <c r="H542" s="16"/>
      <c r="I542" s="16" t="str">
        <f t="shared" si="5"/>
        <v>collected</v>
      </c>
      <c r="J542" s="16" t="str">
        <f t="shared" si="6"/>
        <v>N</v>
      </c>
      <c r="K542" s="16"/>
      <c r="L542" s="16"/>
    </row>
    <row r="543">
      <c r="A543" s="40" t="s">
        <v>972</v>
      </c>
      <c r="B543" s="10" t="str">
        <f t="shared" si="1"/>
        <v>extra_muscle</v>
      </c>
      <c r="C543" s="49" t="str">
        <f t="shared" si="2"/>
        <v>S16343XM1</v>
      </c>
      <c r="D543" s="6">
        <v>27.0</v>
      </c>
      <c r="E543" s="10" t="str">
        <f t="shared" si="3"/>
        <v>BXM27</v>
      </c>
      <c r="F543" s="13">
        <v>53.0</v>
      </c>
      <c r="G543" s="10" t="str">
        <f t="shared" si="4"/>
        <v>BXM27-53</v>
      </c>
      <c r="H543" s="16"/>
      <c r="I543" s="16" t="str">
        <f t="shared" si="5"/>
        <v>collected</v>
      </c>
      <c r="J543" s="16" t="str">
        <f t="shared" si="6"/>
        <v>N</v>
      </c>
      <c r="K543" s="16"/>
      <c r="L543" s="16"/>
    </row>
    <row r="544">
      <c r="A544" s="27" t="s">
        <v>974</v>
      </c>
      <c r="B544" s="10" t="str">
        <f t="shared" si="1"/>
        <v>extra_muscle</v>
      </c>
      <c r="C544" s="49" t="str">
        <f t="shared" si="2"/>
        <v>S16971XM1</v>
      </c>
      <c r="D544" s="6">
        <v>28.0</v>
      </c>
      <c r="E544" s="10" t="str">
        <f t="shared" si="3"/>
        <v>BXM28</v>
      </c>
      <c r="F544" s="13">
        <v>29.0</v>
      </c>
      <c r="G544" s="10" t="str">
        <f t="shared" si="4"/>
        <v>BXM28-29</v>
      </c>
      <c r="H544" s="16"/>
      <c r="I544" s="16" t="str">
        <f t="shared" si="5"/>
        <v>collected</v>
      </c>
      <c r="J544" s="16" t="str">
        <f t="shared" si="6"/>
        <v>N</v>
      </c>
      <c r="K544" s="16"/>
      <c r="L544" s="16"/>
    </row>
    <row r="545">
      <c r="A545" s="27" t="s">
        <v>975</v>
      </c>
      <c r="B545" s="10" t="str">
        <f t="shared" si="1"/>
        <v>extra_muscle</v>
      </c>
      <c r="C545" s="49" t="str">
        <f t="shared" si="2"/>
        <v>S16972XM1</v>
      </c>
      <c r="D545" s="6">
        <v>28.0</v>
      </c>
      <c r="E545" s="10" t="str">
        <f t="shared" si="3"/>
        <v>BXM28</v>
      </c>
      <c r="F545" s="13">
        <v>30.0</v>
      </c>
      <c r="G545" s="10" t="str">
        <f t="shared" si="4"/>
        <v>BXM28-30</v>
      </c>
      <c r="H545" s="16"/>
      <c r="I545" s="16" t="str">
        <f t="shared" si="5"/>
        <v>collected</v>
      </c>
      <c r="J545" s="16" t="str">
        <f t="shared" si="6"/>
        <v>N</v>
      </c>
      <c r="K545" s="16"/>
      <c r="L545" s="16"/>
    </row>
    <row r="546">
      <c r="A546" s="27" t="s">
        <v>976</v>
      </c>
      <c r="B546" s="10" t="str">
        <f t="shared" si="1"/>
        <v>extra_muscle</v>
      </c>
      <c r="C546" s="49" t="str">
        <f t="shared" si="2"/>
        <v>S16973XM1</v>
      </c>
      <c r="D546" s="6">
        <v>28.0</v>
      </c>
      <c r="E546" s="10" t="str">
        <f t="shared" si="3"/>
        <v>BXM28</v>
      </c>
      <c r="F546" s="13">
        <v>31.0</v>
      </c>
      <c r="G546" s="10" t="str">
        <f t="shared" si="4"/>
        <v>BXM28-31</v>
      </c>
      <c r="H546" s="16"/>
      <c r="I546" s="16" t="str">
        <f t="shared" si="5"/>
        <v>collected</v>
      </c>
      <c r="J546" s="16" t="str">
        <f t="shared" si="6"/>
        <v>N</v>
      </c>
      <c r="K546" s="16"/>
      <c r="L546" s="16"/>
    </row>
    <row r="547">
      <c r="A547" s="27" t="s">
        <v>978</v>
      </c>
      <c r="B547" s="10" t="str">
        <f t="shared" si="1"/>
        <v>extra_muscle</v>
      </c>
      <c r="C547" s="49" t="str">
        <f t="shared" si="2"/>
        <v>S16974XM1</v>
      </c>
      <c r="D547" s="6">
        <v>28.0</v>
      </c>
      <c r="E547" s="10" t="str">
        <f t="shared" si="3"/>
        <v>BXM28</v>
      </c>
      <c r="F547" s="13">
        <v>32.0</v>
      </c>
      <c r="G547" s="10" t="str">
        <f t="shared" si="4"/>
        <v>BXM28-32</v>
      </c>
      <c r="H547" s="16"/>
      <c r="I547" s="16" t="str">
        <f t="shared" si="5"/>
        <v>collected</v>
      </c>
      <c r="J547" s="16" t="str">
        <f t="shared" si="6"/>
        <v>N</v>
      </c>
      <c r="K547" s="16"/>
      <c r="L547" s="16"/>
    </row>
    <row r="548">
      <c r="A548" s="27" t="s">
        <v>979</v>
      </c>
      <c r="B548" s="10" t="str">
        <f t="shared" si="1"/>
        <v>extra_muscle</v>
      </c>
      <c r="C548" s="49" t="str">
        <f t="shared" si="2"/>
        <v>S16979XM1</v>
      </c>
      <c r="D548" s="6">
        <v>28.0</v>
      </c>
      <c r="E548" s="10" t="str">
        <f t="shared" si="3"/>
        <v>BXM28</v>
      </c>
      <c r="F548" s="9">
        <v>33.0</v>
      </c>
      <c r="G548" s="10" t="str">
        <f t="shared" si="4"/>
        <v>BXM28-33</v>
      </c>
      <c r="H548" s="6"/>
      <c r="I548" s="16" t="str">
        <f t="shared" si="5"/>
        <v>collected</v>
      </c>
      <c r="J548" s="16" t="str">
        <f t="shared" si="6"/>
        <v>N</v>
      </c>
      <c r="K548" s="16"/>
      <c r="L548" s="16"/>
    </row>
    <row r="549">
      <c r="A549" s="27" t="s">
        <v>981</v>
      </c>
      <c r="B549" s="10" t="str">
        <f t="shared" si="1"/>
        <v>extra_muscle</v>
      </c>
      <c r="C549" s="49" t="str">
        <f t="shared" si="2"/>
        <v>S16975XM1</v>
      </c>
      <c r="D549" s="6">
        <v>28.0</v>
      </c>
      <c r="E549" s="10" t="str">
        <f t="shared" si="3"/>
        <v>BXM28</v>
      </c>
      <c r="F549" s="13">
        <v>34.0</v>
      </c>
      <c r="G549" s="10" t="str">
        <f t="shared" si="4"/>
        <v>BXM28-34</v>
      </c>
      <c r="H549" s="16"/>
      <c r="I549" s="16" t="str">
        <f t="shared" si="5"/>
        <v>collected</v>
      </c>
      <c r="J549" s="16" t="str">
        <f t="shared" si="6"/>
        <v>N</v>
      </c>
      <c r="K549" s="16"/>
      <c r="L549" s="16"/>
    </row>
    <row r="550">
      <c r="A550" s="27" t="s">
        <v>982</v>
      </c>
      <c r="B550" s="10" t="str">
        <f t="shared" si="1"/>
        <v>extra_muscle</v>
      </c>
      <c r="C550" s="49" t="str">
        <f t="shared" si="2"/>
        <v>S16976XM1</v>
      </c>
      <c r="D550" s="6">
        <v>28.0</v>
      </c>
      <c r="E550" s="10" t="str">
        <f t="shared" si="3"/>
        <v>BXM28</v>
      </c>
      <c r="F550" s="13">
        <v>35.0</v>
      </c>
      <c r="G550" s="10" t="str">
        <f t="shared" si="4"/>
        <v>BXM28-35</v>
      </c>
      <c r="H550" s="16"/>
      <c r="I550" s="16" t="str">
        <f t="shared" si="5"/>
        <v>collected</v>
      </c>
      <c r="J550" s="16" t="str">
        <f t="shared" si="6"/>
        <v>N</v>
      </c>
      <c r="K550" s="16"/>
      <c r="L550" s="16"/>
    </row>
    <row r="551">
      <c r="A551" s="27" t="s">
        <v>983</v>
      </c>
      <c r="B551" s="10" t="str">
        <f t="shared" si="1"/>
        <v>extra_muscle</v>
      </c>
      <c r="C551" s="49" t="str">
        <f t="shared" si="2"/>
        <v>S16977XM1</v>
      </c>
      <c r="D551" s="6">
        <v>28.0</v>
      </c>
      <c r="E551" s="10" t="str">
        <f t="shared" si="3"/>
        <v>BXM28</v>
      </c>
      <c r="F551" s="13">
        <v>37.0</v>
      </c>
      <c r="G551" s="10" t="str">
        <f t="shared" si="4"/>
        <v>BXM28-37</v>
      </c>
      <c r="H551" s="16"/>
      <c r="I551" s="16" t="str">
        <f t="shared" si="5"/>
        <v>collected</v>
      </c>
      <c r="J551" s="16" t="str">
        <f t="shared" si="6"/>
        <v>N</v>
      </c>
      <c r="K551" s="16"/>
      <c r="L551" s="16"/>
    </row>
    <row r="552">
      <c r="A552" s="27" t="s">
        <v>985</v>
      </c>
      <c r="B552" s="10" t="str">
        <f t="shared" si="1"/>
        <v>extra_muscle</v>
      </c>
      <c r="C552" s="49" t="str">
        <f t="shared" si="2"/>
        <v>S16980XM1</v>
      </c>
      <c r="D552" s="6">
        <v>28.0</v>
      </c>
      <c r="E552" s="10" t="str">
        <f t="shared" si="3"/>
        <v>BXM28</v>
      </c>
      <c r="F552" s="13">
        <v>38.0</v>
      </c>
      <c r="G552" s="10" t="str">
        <f t="shared" si="4"/>
        <v>BXM28-38</v>
      </c>
      <c r="H552" s="16"/>
      <c r="I552" s="16" t="str">
        <f t="shared" si="5"/>
        <v>collected</v>
      </c>
      <c r="J552" s="16" t="str">
        <f t="shared" si="6"/>
        <v>N</v>
      </c>
      <c r="K552" s="16"/>
      <c r="L552" s="16"/>
    </row>
    <row r="553">
      <c r="A553" s="27" t="s">
        <v>986</v>
      </c>
      <c r="B553" s="10" t="str">
        <f t="shared" si="1"/>
        <v>extra_muscle</v>
      </c>
      <c r="C553" s="49" t="str">
        <f t="shared" si="2"/>
        <v>S16978XM1</v>
      </c>
      <c r="D553" s="6">
        <v>28.0</v>
      </c>
      <c r="E553" s="10" t="str">
        <f t="shared" si="3"/>
        <v>BXM28</v>
      </c>
      <c r="F553" s="13">
        <v>39.0</v>
      </c>
      <c r="G553" s="10" t="str">
        <f t="shared" si="4"/>
        <v>BXM28-39</v>
      </c>
      <c r="H553" s="16"/>
      <c r="I553" s="16" t="str">
        <f t="shared" si="5"/>
        <v>collected</v>
      </c>
      <c r="J553" s="16" t="str">
        <f t="shared" si="6"/>
        <v>N</v>
      </c>
      <c r="K553" s="16"/>
      <c r="L553" s="16"/>
    </row>
    <row r="554">
      <c r="A554" s="27" t="s">
        <v>988</v>
      </c>
      <c r="B554" s="10" t="str">
        <f t="shared" si="1"/>
        <v>extra_muscle</v>
      </c>
      <c r="C554" s="49" t="str">
        <f t="shared" si="2"/>
        <v>S16661XM1</v>
      </c>
      <c r="D554" s="6">
        <v>28.0</v>
      </c>
      <c r="E554" s="10" t="str">
        <f t="shared" si="3"/>
        <v>BXM28</v>
      </c>
      <c r="F554" s="13">
        <v>40.0</v>
      </c>
      <c r="G554" s="10" t="str">
        <f t="shared" si="4"/>
        <v>BXM28-40</v>
      </c>
      <c r="H554" s="16"/>
      <c r="I554" s="16" t="str">
        <f t="shared" si="5"/>
        <v>collected</v>
      </c>
      <c r="J554" s="16" t="str">
        <f t="shared" si="6"/>
        <v>N</v>
      </c>
      <c r="K554" s="16"/>
      <c r="L554" s="16"/>
    </row>
    <row r="555">
      <c r="A555" s="27" t="s">
        <v>990</v>
      </c>
      <c r="B555" s="10" t="str">
        <f t="shared" si="1"/>
        <v>extra_muscle</v>
      </c>
      <c r="C555" s="49" t="str">
        <f t="shared" si="2"/>
        <v>S16662XM1</v>
      </c>
      <c r="D555" s="6">
        <v>28.0</v>
      </c>
      <c r="E555" s="10" t="str">
        <f t="shared" si="3"/>
        <v>BXM28</v>
      </c>
      <c r="F555" s="13">
        <v>41.0</v>
      </c>
      <c r="G555" s="10" t="str">
        <f t="shared" si="4"/>
        <v>BXM28-41</v>
      </c>
      <c r="H555" s="16"/>
      <c r="I555" s="16" t="str">
        <f t="shared" si="5"/>
        <v>collected</v>
      </c>
      <c r="J555" s="16" t="str">
        <f t="shared" si="6"/>
        <v>N</v>
      </c>
      <c r="K555" s="16"/>
      <c r="L555" s="16"/>
    </row>
    <row r="556">
      <c r="A556" s="27" t="s">
        <v>991</v>
      </c>
      <c r="B556" s="10" t="str">
        <f t="shared" si="1"/>
        <v>extra_muscle</v>
      </c>
      <c r="C556" s="49" t="str">
        <f t="shared" si="2"/>
        <v>S16663XM1</v>
      </c>
      <c r="D556" s="6">
        <v>28.0</v>
      </c>
      <c r="E556" s="10" t="str">
        <f t="shared" si="3"/>
        <v>BXM28</v>
      </c>
      <c r="F556" s="13">
        <v>42.0</v>
      </c>
      <c r="G556" s="10" t="str">
        <f t="shared" si="4"/>
        <v>BXM28-42</v>
      </c>
      <c r="H556" s="16"/>
      <c r="I556" s="16" t="str">
        <f t="shared" si="5"/>
        <v>collected</v>
      </c>
      <c r="J556" s="16" t="str">
        <f t="shared" si="6"/>
        <v>N</v>
      </c>
      <c r="K556" s="16"/>
      <c r="L556" s="16"/>
    </row>
    <row r="557">
      <c r="A557" s="27" t="s">
        <v>993</v>
      </c>
      <c r="B557" s="10" t="str">
        <f t="shared" si="1"/>
        <v>extra_muscle</v>
      </c>
      <c r="C557" s="49" t="str">
        <f t="shared" si="2"/>
        <v>S16667XM1</v>
      </c>
      <c r="D557" s="6">
        <v>28.0</v>
      </c>
      <c r="E557" s="10" t="str">
        <f t="shared" si="3"/>
        <v>BXM28</v>
      </c>
      <c r="F557" s="13">
        <v>43.0</v>
      </c>
      <c r="G557" s="10" t="str">
        <f t="shared" si="4"/>
        <v>BXM28-43</v>
      </c>
      <c r="H557" s="16"/>
      <c r="I557" s="16" t="str">
        <f t="shared" si="5"/>
        <v>collected</v>
      </c>
      <c r="J557" s="16" t="str">
        <f t="shared" si="6"/>
        <v>N</v>
      </c>
      <c r="K557" s="16"/>
      <c r="L557" s="16"/>
    </row>
    <row r="558">
      <c r="A558" s="27" t="s">
        <v>995</v>
      </c>
      <c r="B558" s="10" t="str">
        <f t="shared" si="1"/>
        <v>extra_muscle</v>
      </c>
      <c r="C558" s="49" t="str">
        <f t="shared" si="2"/>
        <v>S16664XM1</v>
      </c>
      <c r="D558" s="6">
        <v>28.0</v>
      </c>
      <c r="E558" s="10" t="str">
        <f t="shared" si="3"/>
        <v>BXM28</v>
      </c>
      <c r="F558" s="13">
        <v>44.0</v>
      </c>
      <c r="G558" s="10" t="str">
        <f t="shared" si="4"/>
        <v>BXM28-44</v>
      </c>
      <c r="H558" s="16"/>
      <c r="I558" s="16" t="str">
        <f t="shared" si="5"/>
        <v>collected</v>
      </c>
      <c r="J558" s="16" t="str">
        <f t="shared" si="6"/>
        <v>N</v>
      </c>
      <c r="K558" s="16"/>
      <c r="L558" s="16"/>
    </row>
    <row r="559">
      <c r="A559" s="27" t="s">
        <v>996</v>
      </c>
      <c r="B559" s="10" t="str">
        <f t="shared" si="1"/>
        <v>extra_muscle</v>
      </c>
      <c r="C559" s="49" t="str">
        <f t="shared" si="2"/>
        <v>S16665XM1</v>
      </c>
      <c r="D559" s="6">
        <v>28.0</v>
      </c>
      <c r="E559" s="10" t="str">
        <f t="shared" si="3"/>
        <v>BXM28</v>
      </c>
      <c r="F559" s="13">
        <v>45.0</v>
      </c>
      <c r="G559" s="10" t="str">
        <f t="shared" si="4"/>
        <v>BXM28-45</v>
      </c>
      <c r="H559" s="16"/>
      <c r="I559" s="16" t="str">
        <f t="shared" si="5"/>
        <v>collected</v>
      </c>
      <c r="J559" s="16" t="str">
        <f t="shared" si="6"/>
        <v>N</v>
      </c>
      <c r="K559" s="16"/>
      <c r="L559" s="16"/>
    </row>
    <row r="560">
      <c r="A560" s="27" t="s">
        <v>997</v>
      </c>
      <c r="B560" s="10" t="str">
        <f t="shared" si="1"/>
        <v>extra_muscle</v>
      </c>
      <c r="C560" s="49" t="str">
        <f t="shared" si="2"/>
        <v>S16666XM1</v>
      </c>
      <c r="D560" s="6">
        <v>28.0</v>
      </c>
      <c r="E560" s="10" t="str">
        <f t="shared" si="3"/>
        <v>BXM28</v>
      </c>
      <c r="F560" s="13">
        <v>47.0</v>
      </c>
      <c r="G560" s="10" t="str">
        <f t="shared" si="4"/>
        <v>BXM28-47</v>
      </c>
      <c r="H560" s="16"/>
      <c r="I560" s="16" t="str">
        <f t="shared" si="5"/>
        <v>collected</v>
      </c>
      <c r="J560" s="16" t="str">
        <f t="shared" si="6"/>
        <v>N</v>
      </c>
      <c r="K560" s="16"/>
      <c r="L560" s="16"/>
    </row>
    <row r="561">
      <c r="A561" s="27" t="s">
        <v>998</v>
      </c>
      <c r="B561" s="10" t="str">
        <f t="shared" si="1"/>
        <v>extra_muscle</v>
      </c>
      <c r="C561" s="49" t="str">
        <f t="shared" si="2"/>
        <v>S16669XM1</v>
      </c>
      <c r="D561" s="6">
        <v>28.0</v>
      </c>
      <c r="E561" s="10" t="str">
        <f t="shared" si="3"/>
        <v>BXM28</v>
      </c>
      <c r="F561" s="13">
        <v>48.0</v>
      </c>
      <c r="G561" s="10" t="str">
        <f t="shared" si="4"/>
        <v>BXM28-48</v>
      </c>
      <c r="H561" s="16"/>
      <c r="I561" s="16" t="str">
        <f t="shared" si="5"/>
        <v>collected</v>
      </c>
      <c r="J561" s="16" t="str">
        <f t="shared" si="6"/>
        <v>N</v>
      </c>
      <c r="K561" s="16"/>
      <c r="L561" s="16"/>
    </row>
    <row r="562">
      <c r="A562" s="27" t="s">
        <v>1001</v>
      </c>
      <c r="B562" s="10" t="str">
        <f t="shared" si="1"/>
        <v>extra_muscle</v>
      </c>
      <c r="C562" s="49" t="str">
        <f t="shared" si="2"/>
        <v>S16668XM1</v>
      </c>
      <c r="D562" s="6">
        <v>28.0</v>
      </c>
      <c r="E562" s="10" t="str">
        <f t="shared" si="3"/>
        <v>BXM28</v>
      </c>
      <c r="F562" s="13">
        <v>49.0</v>
      </c>
      <c r="G562" s="10" t="str">
        <f t="shared" si="4"/>
        <v>BXM28-49</v>
      </c>
      <c r="H562" s="6" t="s">
        <v>730</v>
      </c>
      <c r="I562" s="16" t="str">
        <f t="shared" si="5"/>
        <v>collected</v>
      </c>
      <c r="J562" s="16" t="str">
        <f t="shared" si="6"/>
        <v>N</v>
      </c>
      <c r="K562" s="16"/>
      <c r="L562" s="16"/>
    </row>
    <row r="563">
      <c r="A563" s="27" t="s">
        <v>1002</v>
      </c>
      <c r="B563" s="10" t="str">
        <f t="shared" si="1"/>
        <v>extra_muscle</v>
      </c>
      <c r="C563" s="49" t="str">
        <f t="shared" si="2"/>
        <v>S16670XM1</v>
      </c>
      <c r="D563" s="6">
        <v>28.0</v>
      </c>
      <c r="E563" s="10" t="str">
        <f t="shared" si="3"/>
        <v>BXM28</v>
      </c>
      <c r="F563" s="13">
        <v>50.0</v>
      </c>
      <c r="G563" s="10" t="str">
        <f t="shared" si="4"/>
        <v>BXM28-50</v>
      </c>
      <c r="H563" s="16"/>
      <c r="I563" s="16" t="str">
        <f t="shared" si="5"/>
        <v>collected</v>
      </c>
      <c r="J563" s="16" t="str">
        <f t="shared" si="6"/>
        <v>N</v>
      </c>
      <c r="K563" s="16"/>
      <c r="L563" s="16"/>
    </row>
    <row r="564">
      <c r="A564" s="40" t="s">
        <v>1003</v>
      </c>
      <c r="B564" s="10" t="str">
        <f t="shared" si="1"/>
        <v>extra_muscle</v>
      </c>
      <c r="C564" s="49" t="str">
        <f t="shared" si="2"/>
        <v>S16345XM1</v>
      </c>
      <c r="D564" s="6">
        <v>27.0</v>
      </c>
      <c r="E564" s="10" t="str">
        <f t="shared" si="3"/>
        <v>BXM27</v>
      </c>
      <c r="F564" s="13">
        <v>54.0</v>
      </c>
      <c r="G564" s="10" t="str">
        <f>if(isblank(F564:F565),"",concatenate(E564,"-",F564:F565))</f>
        <v>BXM27-5455</v>
      </c>
      <c r="H564" s="16"/>
      <c r="I564" s="16" t="str">
        <f t="shared" si="5"/>
        <v>collected</v>
      </c>
      <c r="J564" s="16" t="str">
        <f t="shared" si="6"/>
        <v>N</v>
      </c>
      <c r="K564" s="16"/>
      <c r="L564" s="16"/>
    </row>
    <row r="565">
      <c r="A565" s="43" t="s">
        <v>1005</v>
      </c>
      <c r="B565" s="10" t="str">
        <f t="shared" si="1"/>
        <v>extra_muscle</v>
      </c>
      <c r="C565" s="49" t="str">
        <f t="shared" si="2"/>
        <v>S16346XM1</v>
      </c>
      <c r="D565" s="6">
        <v>27.0</v>
      </c>
      <c r="E565" s="10" t="str">
        <f t="shared" si="3"/>
        <v>BXM27</v>
      </c>
      <c r="F565" s="13">
        <v>55.0</v>
      </c>
      <c r="G565" s="10" t="str">
        <f t="shared" ref="G565:G1558" si="7">if(isblank(F565),"",concatenate(E565,"-",F565))</f>
        <v>BXM27-55</v>
      </c>
      <c r="H565" s="16"/>
      <c r="I565" s="16" t="str">
        <f t="shared" si="5"/>
        <v>collected</v>
      </c>
      <c r="J565" s="16" t="str">
        <f t="shared" si="6"/>
        <v>N</v>
      </c>
      <c r="K565" s="16"/>
      <c r="L565" s="16"/>
    </row>
    <row r="566">
      <c r="A566" s="44" t="s">
        <v>1006</v>
      </c>
      <c r="B566" s="10" t="str">
        <f t="shared" si="1"/>
        <v>extra_muscle</v>
      </c>
      <c r="C566" s="49" t="str">
        <f t="shared" si="2"/>
        <v>S16349XM1</v>
      </c>
      <c r="D566" s="6">
        <v>27.0</v>
      </c>
      <c r="E566" s="10" t="str">
        <f t="shared" si="3"/>
        <v>BXM27</v>
      </c>
      <c r="F566" s="13">
        <v>56.0</v>
      </c>
      <c r="G566" s="10" t="str">
        <f t="shared" si="7"/>
        <v>BXM27-56</v>
      </c>
      <c r="H566" s="16"/>
      <c r="I566" s="16" t="str">
        <f t="shared" si="5"/>
        <v>collected</v>
      </c>
      <c r="J566" s="16" t="str">
        <f t="shared" si="6"/>
        <v>N</v>
      </c>
      <c r="K566" s="16"/>
      <c r="L566" s="16"/>
    </row>
    <row r="567">
      <c r="A567" s="44" t="s">
        <v>1008</v>
      </c>
      <c r="B567" s="10" t="str">
        <f t="shared" si="1"/>
        <v>extra_muscle</v>
      </c>
      <c r="C567" s="49" t="str">
        <f t="shared" si="2"/>
        <v>S16348XM1</v>
      </c>
      <c r="D567" s="6">
        <v>27.0</v>
      </c>
      <c r="E567" s="10" t="str">
        <f t="shared" si="3"/>
        <v>BXM27</v>
      </c>
      <c r="F567" s="13">
        <v>57.0</v>
      </c>
      <c r="G567" s="10" t="str">
        <f t="shared" si="7"/>
        <v>BXM27-57</v>
      </c>
      <c r="H567" s="16"/>
      <c r="I567" s="16" t="str">
        <f t="shared" si="5"/>
        <v>collected</v>
      </c>
      <c r="J567" s="16" t="str">
        <f t="shared" si="6"/>
        <v>N</v>
      </c>
      <c r="K567" s="16"/>
      <c r="L567" s="16"/>
    </row>
    <row r="568">
      <c r="A568" s="44" t="s">
        <v>1009</v>
      </c>
      <c r="B568" s="10" t="str">
        <f t="shared" si="1"/>
        <v>extra_muscle</v>
      </c>
      <c r="C568" s="49" t="str">
        <f t="shared" si="2"/>
        <v>S16347XM1</v>
      </c>
      <c r="D568" s="6">
        <v>27.0</v>
      </c>
      <c r="E568" s="10" t="str">
        <f t="shared" si="3"/>
        <v>BXM27</v>
      </c>
      <c r="F568" s="13">
        <v>58.0</v>
      </c>
      <c r="G568" s="10" t="str">
        <f t="shared" si="7"/>
        <v>BXM27-58</v>
      </c>
      <c r="H568" s="16"/>
      <c r="I568" s="16" t="str">
        <f t="shared" si="5"/>
        <v>collected</v>
      </c>
      <c r="J568" s="16" t="str">
        <f t="shared" si="6"/>
        <v>N</v>
      </c>
      <c r="K568" s="16"/>
      <c r="L568" s="16"/>
    </row>
    <row r="569">
      <c r="A569" s="44" t="s">
        <v>1011</v>
      </c>
      <c r="B569" s="10" t="str">
        <f t="shared" si="1"/>
        <v>extra_muscle</v>
      </c>
      <c r="C569" s="49" t="str">
        <f t="shared" si="2"/>
        <v>S16717XM1</v>
      </c>
      <c r="D569" s="6">
        <v>27.0</v>
      </c>
      <c r="E569" s="10" t="str">
        <f t="shared" si="3"/>
        <v>BXM27</v>
      </c>
      <c r="F569" s="13">
        <v>59.0</v>
      </c>
      <c r="G569" s="10" t="str">
        <f t="shared" si="7"/>
        <v>BXM27-59</v>
      </c>
      <c r="H569" s="16"/>
      <c r="I569" s="16" t="str">
        <f t="shared" si="5"/>
        <v>collected</v>
      </c>
      <c r="J569" s="16" t="str">
        <f t="shared" si="6"/>
        <v>N</v>
      </c>
      <c r="K569" s="16"/>
      <c r="L569" s="16"/>
    </row>
    <row r="570">
      <c r="A570" s="44" t="s">
        <v>1012</v>
      </c>
      <c r="B570" s="10" t="str">
        <f t="shared" si="1"/>
        <v>extra_muscle</v>
      </c>
      <c r="C570" s="49" t="str">
        <f t="shared" si="2"/>
        <v>S16718XM1</v>
      </c>
      <c r="D570" s="6">
        <v>27.0</v>
      </c>
      <c r="E570" s="10" t="str">
        <f t="shared" si="3"/>
        <v>BXM27</v>
      </c>
      <c r="F570" s="13">
        <v>60.0</v>
      </c>
      <c r="G570" s="10" t="str">
        <f t="shared" si="7"/>
        <v>BXM27-60</v>
      </c>
      <c r="H570" s="16"/>
      <c r="I570" s="16" t="str">
        <f t="shared" si="5"/>
        <v>collected</v>
      </c>
      <c r="J570" s="16" t="str">
        <f t="shared" si="6"/>
        <v>N</v>
      </c>
      <c r="K570" s="16"/>
      <c r="L570" s="16"/>
    </row>
    <row r="571">
      <c r="A571" s="44" t="s">
        <v>1013</v>
      </c>
      <c r="B571" s="10" t="str">
        <f t="shared" si="1"/>
        <v>extra_muscle</v>
      </c>
      <c r="C571" s="49" t="str">
        <f t="shared" si="2"/>
        <v>S16716XM1</v>
      </c>
      <c r="D571" s="6">
        <v>27.0</v>
      </c>
      <c r="E571" s="10" t="str">
        <f t="shared" si="3"/>
        <v>BXM27</v>
      </c>
      <c r="F571" s="13">
        <v>61.0</v>
      </c>
      <c r="G571" s="10" t="str">
        <f t="shared" si="7"/>
        <v>BXM27-61</v>
      </c>
      <c r="H571" s="16"/>
      <c r="I571" s="16" t="str">
        <f t="shared" si="5"/>
        <v>collected</v>
      </c>
      <c r="J571" s="16" t="str">
        <f t="shared" si="6"/>
        <v>N</v>
      </c>
      <c r="K571" s="16"/>
      <c r="L571" s="16"/>
    </row>
    <row r="572">
      <c r="A572" s="44" t="s">
        <v>1016</v>
      </c>
      <c r="B572" s="10" t="str">
        <f t="shared" si="1"/>
        <v>extra_muscle</v>
      </c>
      <c r="C572" s="49" t="str">
        <f t="shared" si="2"/>
        <v>S16719XM1</v>
      </c>
      <c r="D572" s="6">
        <v>27.0</v>
      </c>
      <c r="E572" s="10" t="str">
        <f t="shared" si="3"/>
        <v>BXM27</v>
      </c>
      <c r="F572" s="13">
        <v>62.0</v>
      </c>
      <c r="G572" s="10" t="str">
        <f t="shared" si="7"/>
        <v>BXM27-62</v>
      </c>
      <c r="H572" s="16"/>
      <c r="I572" s="16" t="str">
        <f t="shared" si="5"/>
        <v>collected</v>
      </c>
      <c r="J572" s="16" t="str">
        <f t="shared" si="6"/>
        <v>N</v>
      </c>
      <c r="K572" s="16"/>
      <c r="L572" s="16"/>
    </row>
    <row r="573">
      <c r="A573" s="44" t="s">
        <v>1017</v>
      </c>
      <c r="B573" s="10" t="str">
        <f t="shared" si="1"/>
        <v>extra_muscle</v>
      </c>
      <c r="C573" s="49" t="str">
        <f t="shared" si="2"/>
        <v>S16720XM1</v>
      </c>
      <c r="D573" s="6">
        <v>27.0</v>
      </c>
      <c r="E573" s="10" t="str">
        <f t="shared" si="3"/>
        <v>BXM27</v>
      </c>
      <c r="F573" s="13">
        <v>63.0</v>
      </c>
      <c r="G573" s="10" t="str">
        <f t="shared" si="7"/>
        <v>BXM27-63</v>
      </c>
      <c r="H573" s="16"/>
      <c r="I573" s="16" t="str">
        <f t="shared" si="5"/>
        <v>collected</v>
      </c>
      <c r="J573" s="16" t="str">
        <f t="shared" si="6"/>
        <v>N</v>
      </c>
      <c r="K573" s="16"/>
      <c r="L573" s="16"/>
    </row>
    <row r="574">
      <c r="A574" s="44" t="s">
        <v>1018</v>
      </c>
      <c r="B574" s="10" t="str">
        <f t="shared" si="1"/>
        <v>extra_muscle</v>
      </c>
      <c r="C574" s="49" t="str">
        <f t="shared" si="2"/>
        <v>S16711XM1</v>
      </c>
      <c r="D574" s="6">
        <v>27.0</v>
      </c>
      <c r="E574" s="10" t="str">
        <f t="shared" si="3"/>
        <v>BXM27</v>
      </c>
      <c r="F574" s="13">
        <v>64.0</v>
      </c>
      <c r="G574" s="10" t="str">
        <f t="shared" si="7"/>
        <v>BXM27-64</v>
      </c>
      <c r="H574" s="16"/>
      <c r="I574" s="16" t="str">
        <f t="shared" si="5"/>
        <v>collected</v>
      </c>
      <c r="J574" s="16" t="str">
        <f t="shared" si="6"/>
        <v>N</v>
      </c>
      <c r="K574" s="16"/>
      <c r="L574" s="16"/>
    </row>
    <row r="575">
      <c r="A575" s="44" t="s">
        <v>1019</v>
      </c>
      <c r="B575" s="10" t="str">
        <f t="shared" si="1"/>
        <v>extra_muscle</v>
      </c>
      <c r="C575" s="49" t="str">
        <f t="shared" si="2"/>
        <v>S16714XM1</v>
      </c>
      <c r="D575" s="6">
        <v>27.0</v>
      </c>
      <c r="E575" s="10" t="str">
        <f t="shared" si="3"/>
        <v>BXM27</v>
      </c>
      <c r="F575" s="13">
        <v>65.0</v>
      </c>
      <c r="G575" s="10" t="str">
        <f t="shared" si="7"/>
        <v>BXM27-65</v>
      </c>
      <c r="H575" s="16"/>
      <c r="I575" s="16" t="str">
        <f t="shared" si="5"/>
        <v>collected</v>
      </c>
      <c r="J575" s="16" t="str">
        <f t="shared" si="6"/>
        <v>N</v>
      </c>
      <c r="K575" s="16"/>
      <c r="L575" s="16"/>
    </row>
    <row r="576">
      <c r="A576" s="44" t="s">
        <v>1021</v>
      </c>
      <c r="B576" s="10" t="str">
        <f t="shared" si="1"/>
        <v>extra_muscle</v>
      </c>
      <c r="C576" s="49" t="str">
        <f t="shared" si="2"/>
        <v>S16712XM1</v>
      </c>
      <c r="D576" s="6">
        <v>27.0</v>
      </c>
      <c r="E576" s="10" t="str">
        <f t="shared" si="3"/>
        <v>BXM27</v>
      </c>
      <c r="F576" s="13">
        <v>66.0</v>
      </c>
      <c r="G576" s="10" t="str">
        <f t="shared" si="7"/>
        <v>BXM27-66</v>
      </c>
      <c r="H576" s="16"/>
      <c r="I576" s="16" t="str">
        <f t="shared" si="5"/>
        <v>collected</v>
      </c>
      <c r="J576" s="16" t="str">
        <f t="shared" si="6"/>
        <v>N</v>
      </c>
      <c r="K576" s="16"/>
      <c r="L576" s="16"/>
    </row>
    <row r="577">
      <c r="A577" s="44" t="s">
        <v>1023</v>
      </c>
      <c r="B577" s="10" t="str">
        <f t="shared" si="1"/>
        <v>extra_muscle</v>
      </c>
      <c r="C577" s="49" t="str">
        <f t="shared" si="2"/>
        <v>S16713XM1</v>
      </c>
      <c r="D577" s="6">
        <v>27.0</v>
      </c>
      <c r="E577" s="10" t="str">
        <f t="shared" si="3"/>
        <v>BXM27</v>
      </c>
      <c r="F577" s="13">
        <v>67.0</v>
      </c>
      <c r="G577" s="10" t="str">
        <f t="shared" si="7"/>
        <v>BXM27-67</v>
      </c>
      <c r="H577" s="16"/>
      <c r="I577" s="16" t="str">
        <f t="shared" si="5"/>
        <v>collected</v>
      </c>
      <c r="J577" s="16" t="str">
        <f t="shared" si="6"/>
        <v>N</v>
      </c>
      <c r="K577" s="16"/>
      <c r="L577" s="16"/>
    </row>
    <row r="578">
      <c r="A578" s="44" t="s">
        <v>1024</v>
      </c>
      <c r="B578" s="10" t="str">
        <f t="shared" si="1"/>
        <v>extra_muscle</v>
      </c>
      <c r="C578" s="49" t="str">
        <f t="shared" si="2"/>
        <v>S16715XM1</v>
      </c>
      <c r="D578" s="6">
        <v>27.0</v>
      </c>
      <c r="E578" s="10" t="str">
        <f t="shared" si="3"/>
        <v>BXM27</v>
      </c>
      <c r="F578" s="13">
        <v>68.0</v>
      </c>
      <c r="G578" s="10" t="str">
        <f t="shared" si="7"/>
        <v>BXM27-68</v>
      </c>
      <c r="H578" s="16"/>
      <c r="I578" s="16" t="str">
        <f t="shared" si="5"/>
        <v>collected</v>
      </c>
      <c r="J578" s="16" t="str">
        <f t="shared" si="6"/>
        <v>N</v>
      </c>
      <c r="K578" s="16"/>
      <c r="L578" s="16"/>
    </row>
    <row r="579">
      <c r="A579" s="44" t="s">
        <v>1025</v>
      </c>
      <c r="B579" s="10" t="str">
        <f t="shared" si="1"/>
        <v>extra_muscle</v>
      </c>
      <c r="C579" s="49" t="str">
        <f t="shared" si="2"/>
        <v>S16502XM1</v>
      </c>
      <c r="D579" s="6">
        <v>27.0</v>
      </c>
      <c r="E579" s="10" t="str">
        <f t="shared" si="3"/>
        <v>BXM27</v>
      </c>
      <c r="F579" s="13">
        <v>69.0</v>
      </c>
      <c r="G579" s="10" t="str">
        <f t="shared" si="7"/>
        <v>BXM27-69</v>
      </c>
      <c r="H579" s="16"/>
      <c r="I579" s="16" t="str">
        <f t="shared" si="5"/>
        <v>collected</v>
      </c>
      <c r="J579" s="16" t="str">
        <f t="shared" si="6"/>
        <v>N</v>
      </c>
      <c r="K579" s="16"/>
      <c r="L579" s="16"/>
    </row>
    <row r="580">
      <c r="A580" s="44" t="s">
        <v>1028</v>
      </c>
      <c r="B580" s="10" t="str">
        <f t="shared" si="1"/>
        <v>extra_muscle</v>
      </c>
      <c r="C580" s="49" t="str">
        <f t="shared" si="2"/>
        <v>S16501XM1</v>
      </c>
      <c r="D580" s="6">
        <v>27.0</v>
      </c>
      <c r="E580" s="10" t="str">
        <f t="shared" si="3"/>
        <v>BXM27</v>
      </c>
      <c r="F580" s="13">
        <v>70.0</v>
      </c>
      <c r="G580" s="10" t="str">
        <f t="shared" si="7"/>
        <v>BXM27-70</v>
      </c>
      <c r="H580" s="16"/>
      <c r="I580" s="16" t="str">
        <f t="shared" si="5"/>
        <v>collected</v>
      </c>
      <c r="J580" s="16" t="str">
        <f t="shared" si="6"/>
        <v>N</v>
      </c>
      <c r="K580" s="16"/>
      <c r="L580" s="16"/>
    </row>
    <row r="581">
      <c r="A581" s="44" t="s">
        <v>1029</v>
      </c>
      <c r="B581" s="10" t="str">
        <f t="shared" si="1"/>
        <v>extra_muscle</v>
      </c>
      <c r="C581" s="49" t="str">
        <f t="shared" si="2"/>
        <v>S16504XM1</v>
      </c>
      <c r="D581" s="6">
        <v>27.0</v>
      </c>
      <c r="E581" s="10" t="str">
        <f t="shared" si="3"/>
        <v>BXM27</v>
      </c>
      <c r="F581" s="13">
        <v>71.0</v>
      </c>
      <c r="G581" s="10" t="str">
        <f t="shared" si="7"/>
        <v>BXM27-71</v>
      </c>
      <c r="H581" s="16"/>
      <c r="I581" s="16" t="str">
        <f t="shared" si="5"/>
        <v>collected</v>
      </c>
      <c r="J581" s="16" t="str">
        <f t="shared" si="6"/>
        <v>N</v>
      </c>
      <c r="K581" s="16"/>
      <c r="L581" s="16"/>
    </row>
    <row r="582">
      <c r="A582" s="44" t="s">
        <v>1031</v>
      </c>
      <c r="B582" s="10" t="str">
        <f t="shared" si="1"/>
        <v>extra_muscle</v>
      </c>
      <c r="C582" s="49" t="str">
        <f t="shared" si="2"/>
        <v>S16508XM1</v>
      </c>
      <c r="D582" s="6">
        <v>27.0</v>
      </c>
      <c r="E582" s="10" t="str">
        <f t="shared" si="3"/>
        <v>BXM27</v>
      </c>
      <c r="F582" s="13">
        <v>72.0</v>
      </c>
      <c r="G582" s="10" t="str">
        <f t="shared" si="7"/>
        <v>BXM27-72</v>
      </c>
      <c r="H582" s="16"/>
      <c r="I582" s="16" t="str">
        <f t="shared" si="5"/>
        <v>collected</v>
      </c>
      <c r="J582" s="16" t="str">
        <f t="shared" si="6"/>
        <v>N</v>
      </c>
      <c r="K582" s="16"/>
      <c r="L582" s="16"/>
    </row>
    <row r="583">
      <c r="A583" s="44" t="s">
        <v>1032</v>
      </c>
      <c r="B583" s="10" t="str">
        <f t="shared" si="1"/>
        <v>extra_muscle</v>
      </c>
      <c r="C583" s="49" t="str">
        <f t="shared" si="2"/>
        <v>S16509XM1</v>
      </c>
      <c r="D583" s="6">
        <v>27.0</v>
      </c>
      <c r="E583" s="10" t="str">
        <f t="shared" si="3"/>
        <v>BXM27</v>
      </c>
      <c r="F583" s="13">
        <v>73.0</v>
      </c>
      <c r="G583" s="10" t="str">
        <f t="shared" si="7"/>
        <v>BXM27-73</v>
      </c>
      <c r="H583" s="16"/>
      <c r="I583" s="16" t="str">
        <f t="shared" si="5"/>
        <v>collected</v>
      </c>
      <c r="J583" s="16" t="str">
        <f t="shared" si="6"/>
        <v>N</v>
      </c>
      <c r="K583" s="16"/>
      <c r="L583" s="16"/>
    </row>
    <row r="584">
      <c r="A584" s="26" t="s">
        <v>1033</v>
      </c>
      <c r="B584" s="10" t="str">
        <f t="shared" si="1"/>
        <v>extra_muscle</v>
      </c>
      <c r="C584" s="49" t="str">
        <f t="shared" si="2"/>
        <v>S16167XM1</v>
      </c>
      <c r="D584" s="6">
        <v>28.0</v>
      </c>
      <c r="E584" s="10" t="str">
        <f t="shared" si="3"/>
        <v>BXM28</v>
      </c>
      <c r="F584" s="13">
        <v>61.0</v>
      </c>
      <c r="G584" s="10" t="str">
        <f t="shared" si="7"/>
        <v>BXM28-61</v>
      </c>
      <c r="H584" s="16"/>
      <c r="I584" s="16" t="str">
        <f t="shared" si="5"/>
        <v>collected</v>
      </c>
      <c r="J584" s="16" t="str">
        <f t="shared" si="6"/>
        <v>N</v>
      </c>
      <c r="K584" s="16"/>
      <c r="L584" s="16"/>
    </row>
    <row r="585">
      <c r="A585" s="26" t="s">
        <v>1035</v>
      </c>
      <c r="B585" s="10" t="str">
        <f t="shared" si="1"/>
        <v>extra_muscle</v>
      </c>
      <c r="C585" s="49" t="str">
        <f t="shared" si="2"/>
        <v>S16169XM1</v>
      </c>
      <c r="D585" s="6">
        <v>28.0</v>
      </c>
      <c r="E585" s="10" t="str">
        <f t="shared" si="3"/>
        <v>BXM28</v>
      </c>
      <c r="F585" s="13">
        <v>62.0</v>
      </c>
      <c r="G585" s="10" t="str">
        <f t="shared" si="7"/>
        <v>BXM28-62</v>
      </c>
      <c r="H585" s="16"/>
      <c r="I585" s="16" t="str">
        <f t="shared" si="5"/>
        <v>collected</v>
      </c>
      <c r="J585" s="16" t="str">
        <f t="shared" si="6"/>
        <v>N</v>
      </c>
      <c r="K585" s="16"/>
      <c r="L585" s="16"/>
    </row>
    <row r="586">
      <c r="A586" s="26" t="s">
        <v>1037</v>
      </c>
      <c r="B586" s="10" t="str">
        <f t="shared" si="1"/>
        <v>extra_muscle</v>
      </c>
      <c r="C586" s="49" t="str">
        <f t="shared" si="2"/>
        <v>S16170XM1</v>
      </c>
      <c r="D586" s="6">
        <v>28.0</v>
      </c>
      <c r="E586" s="10" t="str">
        <f t="shared" si="3"/>
        <v>BXM28</v>
      </c>
      <c r="F586" s="13">
        <v>63.0</v>
      </c>
      <c r="G586" s="10" t="str">
        <f t="shared" si="7"/>
        <v>BXM28-63</v>
      </c>
      <c r="H586" s="16"/>
      <c r="I586" s="16" t="str">
        <f t="shared" si="5"/>
        <v>collected</v>
      </c>
      <c r="J586" s="16" t="str">
        <f t="shared" si="6"/>
        <v>N</v>
      </c>
      <c r="K586" s="16"/>
      <c r="L586" s="16"/>
    </row>
    <row r="587">
      <c r="A587" s="26" t="s">
        <v>1038</v>
      </c>
      <c r="B587" s="10" t="str">
        <f t="shared" si="1"/>
        <v>extra_muscle</v>
      </c>
      <c r="C587" s="49" t="str">
        <f t="shared" si="2"/>
        <v>S16166XM1</v>
      </c>
      <c r="D587" s="6">
        <v>28.0</v>
      </c>
      <c r="E587" s="10" t="str">
        <f t="shared" si="3"/>
        <v>BXM28</v>
      </c>
      <c r="F587" s="13">
        <v>64.0</v>
      </c>
      <c r="G587" s="10" t="str">
        <f t="shared" si="7"/>
        <v>BXM28-64</v>
      </c>
      <c r="H587" s="16"/>
      <c r="I587" s="16" t="str">
        <f t="shared" si="5"/>
        <v>collected</v>
      </c>
      <c r="J587" s="16" t="str">
        <f t="shared" si="6"/>
        <v>N</v>
      </c>
      <c r="K587" s="16"/>
      <c r="L587" s="16"/>
    </row>
    <row r="588">
      <c r="A588" s="26" t="s">
        <v>1039</v>
      </c>
      <c r="B588" s="10" t="str">
        <f t="shared" si="1"/>
        <v>extra_muscle</v>
      </c>
      <c r="C588" s="49" t="str">
        <f t="shared" si="2"/>
        <v>S16164XM1</v>
      </c>
      <c r="D588" s="6">
        <v>28.0</v>
      </c>
      <c r="E588" s="10" t="str">
        <f t="shared" si="3"/>
        <v>BXM28</v>
      </c>
      <c r="F588" s="13">
        <v>65.0</v>
      </c>
      <c r="G588" s="10" t="str">
        <f t="shared" si="7"/>
        <v>BXM28-65</v>
      </c>
      <c r="H588" s="16"/>
      <c r="I588" s="16" t="str">
        <f t="shared" si="5"/>
        <v>collected</v>
      </c>
      <c r="J588" s="16" t="str">
        <f t="shared" si="6"/>
        <v>N</v>
      </c>
      <c r="K588" s="16"/>
      <c r="L588" s="16"/>
    </row>
    <row r="589">
      <c r="A589" s="26" t="s">
        <v>1040</v>
      </c>
      <c r="B589" s="10" t="str">
        <f t="shared" si="1"/>
        <v>extra_muscle</v>
      </c>
      <c r="C589" s="49" t="str">
        <f t="shared" si="2"/>
        <v>S16162XM1</v>
      </c>
      <c r="D589" s="6">
        <v>28.0</v>
      </c>
      <c r="E589" s="10" t="str">
        <f t="shared" si="3"/>
        <v>BXM28</v>
      </c>
      <c r="F589" s="13">
        <v>67.0</v>
      </c>
      <c r="G589" s="10" t="str">
        <f t="shared" si="7"/>
        <v>BXM28-67</v>
      </c>
      <c r="H589" s="16"/>
      <c r="I589" s="16" t="str">
        <f t="shared" si="5"/>
        <v>collected</v>
      </c>
      <c r="J589" s="16" t="str">
        <f t="shared" si="6"/>
        <v>N</v>
      </c>
      <c r="K589" s="16"/>
      <c r="L589" s="16"/>
    </row>
    <row r="590">
      <c r="A590" s="26" t="s">
        <v>1041</v>
      </c>
      <c r="B590" s="10" t="str">
        <f t="shared" si="1"/>
        <v>extra_muscle</v>
      </c>
      <c r="C590" s="49" t="str">
        <f t="shared" si="2"/>
        <v>S16168XM1</v>
      </c>
      <c r="D590" s="6">
        <v>28.0</v>
      </c>
      <c r="E590" s="10" t="str">
        <f t="shared" si="3"/>
        <v>BXM28</v>
      </c>
      <c r="F590" s="13">
        <v>68.0</v>
      </c>
      <c r="G590" s="10" t="str">
        <f t="shared" si="7"/>
        <v>BXM28-68</v>
      </c>
      <c r="H590" s="16"/>
      <c r="I590" s="16" t="str">
        <f t="shared" si="5"/>
        <v>collected</v>
      </c>
      <c r="J590" s="16" t="str">
        <f t="shared" si="6"/>
        <v>N</v>
      </c>
      <c r="K590" s="16"/>
      <c r="L590" s="16"/>
    </row>
    <row r="591">
      <c r="A591" s="26" t="s">
        <v>1044</v>
      </c>
      <c r="B591" s="10" t="str">
        <f t="shared" si="1"/>
        <v>extra_muscle</v>
      </c>
      <c r="C591" s="49" t="str">
        <f t="shared" si="2"/>
        <v>S16163XM1</v>
      </c>
      <c r="D591" s="6">
        <v>28.0</v>
      </c>
      <c r="E591" s="10" t="str">
        <f t="shared" si="3"/>
        <v>BXM28</v>
      </c>
      <c r="F591" s="13">
        <v>69.0</v>
      </c>
      <c r="G591" s="10" t="str">
        <f t="shared" si="7"/>
        <v>BXM28-69</v>
      </c>
      <c r="H591" s="16"/>
      <c r="I591" s="16" t="str">
        <f t="shared" si="5"/>
        <v>collected</v>
      </c>
      <c r="J591" s="16" t="str">
        <f t="shared" si="6"/>
        <v>N</v>
      </c>
      <c r="K591" s="16"/>
      <c r="L591" s="16"/>
    </row>
    <row r="592">
      <c r="A592" s="26" t="s">
        <v>1046</v>
      </c>
      <c r="B592" s="10" t="str">
        <f t="shared" si="1"/>
        <v>extra_muscle</v>
      </c>
      <c r="C592" s="49" t="str">
        <f t="shared" si="2"/>
        <v>S16161XM1</v>
      </c>
      <c r="D592" s="6">
        <v>28.0</v>
      </c>
      <c r="E592" s="10" t="str">
        <f t="shared" si="3"/>
        <v>BXM28</v>
      </c>
      <c r="F592" s="13">
        <v>70.0</v>
      </c>
      <c r="G592" s="10" t="str">
        <f t="shared" si="7"/>
        <v>BXM28-70</v>
      </c>
      <c r="H592" s="16"/>
      <c r="I592" s="16" t="str">
        <f t="shared" si="5"/>
        <v>collected</v>
      </c>
      <c r="J592" s="16" t="str">
        <f t="shared" si="6"/>
        <v>N</v>
      </c>
      <c r="K592" s="16"/>
      <c r="L592" s="16"/>
    </row>
    <row r="593">
      <c r="A593" s="26" t="s">
        <v>1047</v>
      </c>
      <c r="B593" s="10" t="str">
        <f t="shared" si="1"/>
        <v>extra_muscle</v>
      </c>
      <c r="C593" s="49" t="str">
        <f t="shared" si="2"/>
        <v>S16165XM1</v>
      </c>
      <c r="D593" s="6">
        <v>28.0</v>
      </c>
      <c r="E593" s="10" t="str">
        <f t="shared" si="3"/>
        <v>BXM28</v>
      </c>
      <c r="F593" s="13">
        <v>71.0</v>
      </c>
      <c r="G593" s="10" t="str">
        <f t="shared" si="7"/>
        <v>BXM28-71</v>
      </c>
      <c r="H593" s="16"/>
      <c r="I593" s="16" t="str">
        <f t="shared" si="5"/>
        <v>collected</v>
      </c>
      <c r="J593" s="16" t="str">
        <f t="shared" si="6"/>
        <v>N</v>
      </c>
      <c r="K593" s="16"/>
      <c r="L593" s="16"/>
    </row>
    <row r="594">
      <c r="A594" s="26" t="s">
        <v>1048</v>
      </c>
      <c r="B594" s="10" t="str">
        <f t="shared" si="1"/>
        <v>extra_muscle</v>
      </c>
      <c r="C594" s="49" t="str">
        <f t="shared" si="2"/>
        <v>S16194XM1</v>
      </c>
      <c r="D594" s="6">
        <v>28.0</v>
      </c>
      <c r="E594" s="10" t="str">
        <f t="shared" si="3"/>
        <v>BXM28</v>
      </c>
      <c r="F594" s="13">
        <v>72.0</v>
      </c>
      <c r="G594" s="10" t="str">
        <f t="shared" si="7"/>
        <v>BXM28-72</v>
      </c>
      <c r="H594" s="16"/>
      <c r="I594" s="16" t="str">
        <f t="shared" si="5"/>
        <v>collected</v>
      </c>
      <c r="J594" s="16" t="str">
        <f t="shared" si="6"/>
        <v>N</v>
      </c>
      <c r="K594" s="16"/>
      <c r="L594" s="16"/>
    </row>
    <row r="595">
      <c r="A595" s="26" t="s">
        <v>1049</v>
      </c>
      <c r="B595" s="10" t="str">
        <f t="shared" si="1"/>
        <v>extra_muscle</v>
      </c>
      <c r="C595" s="49" t="str">
        <f t="shared" si="2"/>
        <v>S16191XM1</v>
      </c>
      <c r="D595" s="6">
        <v>28.0</v>
      </c>
      <c r="E595" s="10" t="str">
        <f t="shared" si="3"/>
        <v>BXM28</v>
      </c>
      <c r="F595" s="13">
        <v>73.0</v>
      </c>
      <c r="G595" s="10" t="str">
        <f t="shared" si="7"/>
        <v>BXM28-73</v>
      </c>
      <c r="H595" s="16"/>
      <c r="I595" s="16" t="str">
        <f t="shared" si="5"/>
        <v>collected</v>
      </c>
      <c r="J595" s="16" t="str">
        <f t="shared" si="6"/>
        <v>N</v>
      </c>
      <c r="K595" s="16"/>
      <c r="L595" s="16"/>
    </row>
    <row r="596">
      <c r="A596" s="26" t="s">
        <v>1050</v>
      </c>
      <c r="B596" s="10" t="str">
        <f t="shared" si="1"/>
        <v>extra_muscle</v>
      </c>
      <c r="C596" s="49" t="str">
        <f t="shared" si="2"/>
        <v>S16192XM1</v>
      </c>
      <c r="D596" s="6">
        <v>28.0</v>
      </c>
      <c r="E596" s="10" t="str">
        <f t="shared" si="3"/>
        <v>BXM28</v>
      </c>
      <c r="F596" s="13">
        <v>74.0</v>
      </c>
      <c r="G596" s="10" t="str">
        <f t="shared" si="7"/>
        <v>BXM28-74</v>
      </c>
      <c r="H596" s="16"/>
      <c r="I596" s="16" t="str">
        <f t="shared" si="5"/>
        <v>collected</v>
      </c>
      <c r="J596" s="16" t="str">
        <f t="shared" si="6"/>
        <v>N</v>
      </c>
      <c r="K596" s="16"/>
      <c r="L596" s="16"/>
    </row>
    <row r="597">
      <c r="A597" s="26" t="s">
        <v>1051</v>
      </c>
      <c r="B597" s="10" t="str">
        <f t="shared" si="1"/>
        <v>extra_muscle</v>
      </c>
      <c r="C597" s="49" t="str">
        <f t="shared" si="2"/>
        <v>S16193XM1</v>
      </c>
      <c r="D597" s="6">
        <v>28.0</v>
      </c>
      <c r="E597" s="10" t="str">
        <f t="shared" si="3"/>
        <v>BXM28</v>
      </c>
      <c r="F597" s="13">
        <v>75.0</v>
      </c>
      <c r="G597" s="10" t="str">
        <f t="shared" si="7"/>
        <v>BXM28-75</v>
      </c>
      <c r="H597" s="16"/>
      <c r="I597" s="16" t="str">
        <f t="shared" si="5"/>
        <v>collected</v>
      </c>
      <c r="J597" s="16" t="str">
        <f t="shared" si="6"/>
        <v>N</v>
      </c>
      <c r="K597" s="16"/>
      <c r="L597" s="16"/>
    </row>
    <row r="598">
      <c r="A598" s="26" t="s">
        <v>1053</v>
      </c>
      <c r="B598" s="10" t="str">
        <f t="shared" si="1"/>
        <v>extra_muscle</v>
      </c>
      <c r="C598" s="49" t="str">
        <f t="shared" si="2"/>
        <v>S16195XM1</v>
      </c>
      <c r="D598" s="6">
        <v>28.0</v>
      </c>
      <c r="E598" s="10" t="str">
        <f t="shared" si="3"/>
        <v>BXM28</v>
      </c>
      <c r="F598" s="13">
        <v>77.0</v>
      </c>
      <c r="G598" s="10" t="str">
        <f t="shared" si="7"/>
        <v>BXM28-77</v>
      </c>
      <c r="H598" s="16"/>
      <c r="I598" s="16" t="str">
        <f t="shared" si="5"/>
        <v>collected</v>
      </c>
      <c r="J598" s="16" t="str">
        <f t="shared" si="6"/>
        <v>N</v>
      </c>
      <c r="K598" s="16"/>
      <c r="L598" s="16"/>
    </row>
    <row r="599">
      <c r="A599" s="26" t="s">
        <v>1055</v>
      </c>
      <c r="B599" s="10" t="str">
        <f t="shared" si="1"/>
        <v>extra_muscle</v>
      </c>
      <c r="C599" s="49" t="str">
        <f t="shared" si="2"/>
        <v>S16196XM1</v>
      </c>
      <c r="D599" s="6">
        <v>28.0</v>
      </c>
      <c r="E599" s="10" t="str">
        <f t="shared" si="3"/>
        <v>BXM28</v>
      </c>
      <c r="F599" s="13">
        <v>78.0</v>
      </c>
      <c r="G599" s="10" t="str">
        <f t="shared" si="7"/>
        <v>BXM28-78</v>
      </c>
      <c r="H599" s="16"/>
      <c r="I599" s="16" t="str">
        <f t="shared" si="5"/>
        <v>collected</v>
      </c>
      <c r="J599" s="16" t="str">
        <f t="shared" si="6"/>
        <v>N</v>
      </c>
      <c r="K599" s="16"/>
      <c r="L599" s="16"/>
    </row>
    <row r="600">
      <c r="A600" s="26" t="s">
        <v>1056</v>
      </c>
      <c r="B600" s="10" t="str">
        <f t="shared" si="1"/>
        <v>extra_muscle</v>
      </c>
      <c r="C600" s="49" t="str">
        <f t="shared" si="2"/>
        <v>S16197XM1</v>
      </c>
      <c r="D600" s="6">
        <v>28.0</v>
      </c>
      <c r="E600" s="10" t="str">
        <f t="shared" si="3"/>
        <v>BXM28</v>
      </c>
      <c r="F600" s="9">
        <v>79.0</v>
      </c>
      <c r="G600" s="10" t="str">
        <f t="shared" si="7"/>
        <v>BXM28-79</v>
      </c>
      <c r="H600" s="16"/>
      <c r="I600" s="16" t="str">
        <f t="shared" si="5"/>
        <v>collected</v>
      </c>
      <c r="J600" s="16" t="str">
        <f t="shared" si="6"/>
        <v>N</v>
      </c>
      <c r="K600" s="16"/>
      <c r="L600" s="16"/>
    </row>
    <row r="601">
      <c r="A601" s="26" t="s">
        <v>1057</v>
      </c>
      <c r="B601" s="10" t="str">
        <f t="shared" si="1"/>
        <v>extra_muscle</v>
      </c>
      <c r="C601" s="49" t="str">
        <f t="shared" si="2"/>
        <v>S16506XM1</v>
      </c>
      <c r="D601" s="6">
        <v>27.0</v>
      </c>
      <c r="E601" s="10" t="str">
        <f t="shared" si="3"/>
        <v>BXM27</v>
      </c>
      <c r="F601" s="13">
        <v>74.0</v>
      </c>
      <c r="G601" s="10" t="str">
        <f t="shared" si="7"/>
        <v>BXM27-74</v>
      </c>
      <c r="H601" s="16"/>
      <c r="I601" s="16" t="str">
        <f t="shared" si="5"/>
        <v>collected</v>
      </c>
      <c r="J601" s="16" t="str">
        <f t="shared" si="6"/>
        <v>N</v>
      </c>
      <c r="K601" s="16"/>
      <c r="L601" s="16"/>
    </row>
    <row r="602">
      <c r="A602" s="26" t="s">
        <v>1059</v>
      </c>
      <c r="B602" s="10" t="str">
        <f t="shared" si="1"/>
        <v>extra_muscle</v>
      </c>
      <c r="C602" s="49" t="str">
        <f t="shared" si="2"/>
        <v>S16510XM1</v>
      </c>
      <c r="D602" s="6">
        <v>27.0</v>
      </c>
      <c r="E602" s="10" t="str">
        <f t="shared" si="3"/>
        <v>BXM27</v>
      </c>
      <c r="F602" s="13">
        <v>75.0</v>
      </c>
      <c r="G602" s="10" t="str">
        <f t="shared" si="7"/>
        <v>BXM27-75</v>
      </c>
      <c r="H602" s="16"/>
      <c r="I602" s="16" t="str">
        <f t="shared" si="5"/>
        <v>collected</v>
      </c>
      <c r="J602" s="16" t="str">
        <f t="shared" si="6"/>
        <v>N</v>
      </c>
      <c r="K602" s="16"/>
      <c r="L602" s="16"/>
    </row>
    <row r="603">
      <c r="A603" s="26" t="s">
        <v>1060</v>
      </c>
      <c r="B603" s="10" t="str">
        <f t="shared" si="1"/>
        <v>extra_muscle</v>
      </c>
      <c r="C603" s="49" t="str">
        <f t="shared" si="2"/>
        <v>S16507XM1</v>
      </c>
      <c r="D603" s="6">
        <v>27.0</v>
      </c>
      <c r="E603" s="10" t="str">
        <f t="shared" si="3"/>
        <v>BXM27</v>
      </c>
      <c r="F603" s="13">
        <v>76.0</v>
      </c>
      <c r="G603" s="10" t="str">
        <f t="shared" si="7"/>
        <v>BXM27-76</v>
      </c>
      <c r="H603" s="16"/>
      <c r="I603" s="16" t="str">
        <f t="shared" si="5"/>
        <v>collected</v>
      </c>
      <c r="J603" s="16" t="str">
        <f t="shared" si="6"/>
        <v>N</v>
      </c>
      <c r="K603" s="16"/>
      <c r="L603" s="16"/>
    </row>
    <row r="604">
      <c r="A604" s="26" t="s">
        <v>1061</v>
      </c>
      <c r="B604" s="10" t="str">
        <f t="shared" si="1"/>
        <v>extra_muscle</v>
      </c>
      <c r="C604" s="49" t="str">
        <f t="shared" si="2"/>
        <v>S16503XM1</v>
      </c>
      <c r="D604" s="6">
        <v>27.0</v>
      </c>
      <c r="E604" s="10" t="str">
        <f t="shared" si="3"/>
        <v>BXM27</v>
      </c>
      <c r="F604" s="13">
        <v>77.0</v>
      </c>
      <c r="G604" s="10" t="str">
        <f t="shared" si="7"/>
        <v>BXM27-77</v>
      </c>
      <c r="H604" s="16"/>
      <c r="I604" s="16" t="str">
        <f t="shared" si="5"/>
        <v>collected</v>
      </c>
      <c r="J604" s="16" t="str">
        <f t="shared" si="6"/>
        <v>N</v>
      </c>
      <c r="K604" s="16"/>
      <c r="L604" s="16"/>
    </row>
    <row r="605">
      <c r="A605" s="26" t="s">
        <v>1062</v>
      </c>
      <c r="B605" s="10" t="str">
        <f t="shared" si="1"/>
        <v>extra_muscle</v>
      </c>
      <c r="C605" s="49" t="str">
        <f t="shared" si="2"/>
        <v>S16505XM1</v>
      </c>
      <c r="D605" s="6">
        <v>27.0</v>
      </c>
      <c r="E605" s="10" t="str">
        <f t="shared" si="3"/>
        <v>BXM27</v>
      </c>
      <c r="F605" s="13">
        <v>78.0</v>
      </c>
      <c r="G605" s="10" t="str">
        <f t="shared" si="7"/>
        <v>BXM27-78</v>
      </c>
      <c r="H605" s="16"/>
      <c r="I605" s="16" t="str">
        <f t="shared" si="5"/>
        <v>collected</v>
      </c>
      <c r="J605" s="16" t="str">
        <f t="shared" si="6"/>
        <v>N</v>
      </c>
      <c r="K605" s="16"/>
      <c r="L605" s="16"/>
    </row>
    <row r="606">
      <c r="A606" s="27" t="s">
        <v>1064</v>
      </c>
      <c r="B606" s="10" t="str">
        <f t="shared" si="1"/>
        <v>extra_muscle</v>
      </c>
      <c r="C606" s="49" t="str">
        <f t="shared" si="2"/>
        <v>S16806XM1</v>
      </c>
      <c r="D606" s="6">
        <v>27.0</v>
      </c>
      <c r="E606" s="10" t="str">
        <f t="shared" si="3"/>
        <v>BXM27</v>
      </c>
      <c r="F606" s="13">
        <v>79.0</v>
      </c>
      <c r="G606" s="10" t="str">
        <f t="shared" si="7"/>
        <v>BXM27-79</v>
      </c>
      <c r="H606" s="16"/>
      <c r="I606" s="16" t="str">
        <f t="shared" si="5"/>
        <v>collected</v>
      </c>
      <c r="J606" s="16" t="str">
        <f t="shared" si="6"/>
        <v>N</v>
      </c>
      <c r="K606" s="16"/>
      <c r="L606" s="16"/>
    </row>
    <row r="607">
      <c r="A607" s="27" t="s">
        <v>1066</v>
      </c>
      <c r="B607" s="10" t="str">
        <f t="shared" si="1"/>
        <v>extra_muscle</v>
      </c>
      <c r="C607" s="49" t="str">
        <f t="shared" si="2"/>
        <v>S16810XM1</v>
      </c>
      <c r="D607" s="6">
        <v>27.0</v>
      </c>
      <c r="E607" s="10" t="str">
        <f t="shared" si="3"/>
        <v>BXM27</v>
      </c>
      <c r="F607" s="13">
        <v>80.0</v>
      </c>
      <c r="G607" s="10" t="str">
        <f t="shared" si="7"/>
        <v>BXM27-80</v>
      </c>
      <c r="H607" s="16"/>
      <c r="I607" s="16" t="str">
        <f t="shared" si="5"/>
        <v>collected</v>
      </c>
      <c r="J607" s="16" t="str">
        <f t="shared" si="6"/>
        <v>N</v>
      </c>
      <c r="K607" s="16"/>
      <c r="L607" s="16"/>
    </row>
    <row r="608">
      <c r="A608" s="27" t="s">
        <v>1067</v>
      </c>
      <c r="B608" s="10" t="str">
        <f t="shared" si="1"/>
        <v>extra_muscle</v>
      </c>
      <c r="C608" s="49" t="str">
        <f t="shared" si="2"/>
        <v>S16808XM1</v>
      </c>
      <c r="D608" s="6">
        <v>27.0</v>
      </c>
      <c r="E608" s="10" t="str">
        <f t="shared" si="3"/>
        <v>BXM27</v>
      </c>
      <c r="F608" s="13">
        <v>81.0</v>
      </c>
      <c r="G608" s="10" t="str">
        <f t="shared" si="7"/>
        <v>BXM27-81</v>
      </c>
      <c r="H608" s="16"/>
      <c r="I608" s="16" t="str">
        <f t="shared" si="5"/>
        <v>collected</v>
      </c>
      <c r="J608" s="16" t="str">
        <f t="shared" si="6"/>
        <v>N</v>
      </c>
      <c r="K608" s="16"/>
      <c r="L608" s="16"/>
    </row>
    <row r="609">
      <c r="A609" s="27" t="s">
        <v>1068</v>
      </c>
      <c r="B609" s="10" t="str">
        <f t="shared" si="1"/>
        <v>extra_muscle</v>
      </c>
      <c r="C609" s="49" t="str">
        <f t="shared" si="2"/>
        <v>S16809XM1</v>
      </c>
      <c r="D609" s="6">
        <v>29.0</v>
      </c>
      <c r="E609" s="10" t="str">
        <f t="shared" si="3"/>
        <v>BXM29</v>
      </c>
      <c r="F609" s="13">
        <v>1.0</v>
      </c>
      <c r="G609" s="10" t="str">
        <f t="shared" si="7"/>
        <v>BXM29-1</v>
      </c>
      <c r="H609" s="16"/>
      <c r="I609" s="16" t="str">
        <f t="shared" si="5"/>
        <v>collected</v>
      </c>
      <c r="J609" s="16" t="str">
        <f t="shared" si="6"/>
        <v>N</v>
      </c>
      <c r="K609" s="16"/>
      <c r="L609" s="16"/>
    </row>
    <row r="610">
      <c r="A610" s="27" t="s">
        <v>1069</v>
      </c>
      <c r="B610" s="10" t="str">
        <f t="shared" si="1"/>
        <v>extra_muscle</v>
      </c>
      <c r="C610" s="49" t="str">
        <f t="shared" si="2"/>
        <v>S16803XM1</v>
      </c>
      <c r="D610" s="6">
        <v>29.0</v>
      </c>
      <c r="E610" s="10" t="str">
        <f t="shared" si="3"/>
        <v>BXM29</v>
      </c>
      <c r="F610" s="13">
        <v>2.0</v>
      </c>
      <c r="G610" s="10" t="str">
        <f t="shared" si="7"/>
        <v>BXM29-2</v>
      </c>
      <c r="H610" s="16"/>
      <c r="I610" s="16" t="str">
        <f t="shared" si="5"/>
        <v>collected</v>
      </c>
      <c r="J610" s="16" t="str">
        <f t="shared" si="6"/>
        <v>N</v>
      </c>
      <c r="K610" s="16"/>
      <c r="L610" s="16"/>
    </row>
    <row r="611">
      <c r="A611" s="27" t="s">
        <v>1070</v>
      </c>
      <c r="B611" s="10" t="str">
        <f t="shared" si="1"/>
        <v>extra_muscle</v>
      </c>
      <c r="C611" s="49" t="str">
        <f t="shared" si="2"/>
        <v>S16805XM1</v>
      </c>
      <c r="D611" s="6">
        <v>29.0</v>
      </c>
      <c r="E611" s="10" t="str">
        <f t="shared" si="3"/>
        <v>BXM29</v>
      </c>
      <c r="F611" s="13">
        <v>3.0</v>
      </c>
      <c r="G611" s="10" t="str">
        <f t="shared" si="7"/>
        <v>BXM29-3</v>
      </c>
      <c r="H611" s="16"/>
      <c r="I611" s="16" t="str">
        <f t="shared" si="5"/>
        <v>collected</v>
      </c>
      <c r="J611" s="16" t="str">
        <f t="shared" si="6"/>
        <v>N</v>
      </c>
      <c r="K611" s="16"/>
      <c r="L611" s="16"/>
    </row>
    <row r="612">
      <c r="A612" s="27" t="s">
        <v>1071</v>
      </c>
      <c r="B612" s="10" t="str">
        <f t="shared" si="1"/>
        <v>extra_muscle</v>
      </c>
      <c r="C612" s="49" t="str">
        <f t="shared" si="2"/>
        <v>S16801XM1</v>
      </c>
      <c r="D612" s="6">
        <v>29.0</v>
      </c>
      <c r="E612" s="10" t="str">
        <f t="shared" si="3"/>
        <v>BXM29</v>
      </c>
      <c r="F612" s="13">
        <v>4.0</v>
      </c>
      <c r="G612" s="10" t="str">
        <f t="shared" si="7"/>
        <v>BXM29-4</v>
      </c>
      <c r="H612" s="16"/>
      <c r="I612" s="16" t="str">
        <f t="shared" si="5"/>
        <v>collected</v>
      </c>
      <c r="J612" s="16" t="str">
        <f t="shared" si="6"/>
        <v>N</v>
      </c>
      <c r="K612" s="16"/>
      <c r="L612" s="16"/>
    </row>
    <row r="613">
      <c r="A613" s="27" t="s">
        <v>1074</v>
      </c>
      <c r="B613" s="10" t="str">
        <f t="shared" si="1"/>
        <v>extra_muscle</v>
      </c>
      <c r="C613" s="49" t="str">
        <f t="shared" si="2"/>
        <v>S16807XM1</v>
      </c>
      <c r="D613" s="6">
        <v>29.0</v>
      </c>
      <c r="E613" s="10" t="str">
        <f t="shared" si="3"/>
        <v>BXM29</v>
      </c>
      <c r="F613" s="13">
        <v>5.0</v>
      </c>
      <c r="G613" s="10" t="str">
        <f t="shared" si="7"/>
        <v>BXM29-5</v>
      </c>
      <c r="H613" s="16"/>
      <c r="I613" s="16" t="str">
        <f t="shared" si="5"/>
        <v>collected</v>
      </c>
      <c r="J613" s="16" t="str">
        <f t="shared" si="6"/>
        <v>N</v>
      </c>
      <c r="K613" s="16"/>
      <c r="L613" s="16"/>
    </row>
    <row r="614">
      <c r="A614" s="27" t="s">
        <v>1075</v>
      </c>
      <c r="B614" s="10" t="str">
        <f t="shared" si="1"/>
        <v>extra_muscle</v>
      </c>
      <c r="C614" s="49" t="str">
        <f t="shared" si="2"/>
        <v>S16804XM1</v>
      </c>
      <c r="D614" s="6">
        <v>29.0</v>
      </c>
      <c r="E614" s="10" t="str">
        <f t="shared" si="3"/>
        <v>BXM29</v>
      </c>
      <c r="F614" s="13">
        <v>6.0</v>
      </c>
      <c r="G614" s="10" t="str">
        <f t="shared" si="7"/>
        <v>BXM29-6</v>
      </c>
      <c r="H614" s="16"/>
      <c r="I614" s="16" t="str">
        <f t="shared" si="5"/>
        <v>collected</v>
      </c>
      <c r="J614" s="16" t="str">
        <f t="shared" si="6"/>
        <v>N</v>
      </c>
      <c r="K614" s="16"/>
      <c r="L614" s="16"/>
    </row>
    <row r="615">
      <c r="A615" s="26" t="s">
        <v>1076</v>
      </c>
      <c r="B615" s="10" t="str">
        <f t="shared" si="1"/>
        <v>extra_muscle</v>
      </c>
      <c r="C615" s="49" t="str">
        <f t="shared" si="2"/>
        <v>S16802XM1</v>
      </c>
      <c r="D615" s="6">
        <v>29.0</v>
      </c>
      <c r="E615" s="10" t="str">
        <f t="shared" si="3"/>
        <v>BXM29</v>
      </c>
      <c r="F615" s="13">
        <v>7.0</v>
      </c>
      <c r="G615" s="10" t="str">
        <f t="shared" si="7"/>
        <v>BXM29-7</v>
      </c>
      <c r="H615" s="16"/>
      <c r="I615" s="16" t="str">
        <f t="shared" si="5"/>
        <v>collected</v>
      </c>
      <c r="J615" s="16" t="str">
        <f t="shared" si="6"/>
        <v>N</v>
      </c>
      <c r="K615" s="16"/>
      <c r="L615" s="16"/>
    </row>
    <row r="616">
      <c r="A616" s="26" t="s">
        <v>1077</v>
      </c>
      <c r="B616" s="10" t="str">
        <f t="shared" si="1"/>
        <v>extra_muscle</v>
      </c>
      <c r="C616" s="49" t="str">
        <f t="shared" si="2"/>
        <v>S16198XM1</v>
      </c>
      <c r="D616" s="6">
        <v>28.0</v>
      </c>
      <c r="E616" s="10" t="str">
        <f t="shared" si="3"/>
        <v>BXM28</v>
      </c>
      <c r="F616" s="13">
        <v>80.0</v>
      </c>
      <c r="G616" s="10" t="str">
        <f t="shared" si="7"/>
        <v>BXM28-80</v>
      </c>
      <c r="H616" s="16"/>
      <c r="I616" s="16" t="str">
        <f t="shared" si="5"/>
        <v>collected</v>
      </c>
      <c r="J616" s="16" t="str">
        <f t="shared" si="6"/>
        <v>N</v>
      </c>
      <c r="K616" s="16"/>
      <c r="L616" s="16"/>
    </row>
    <row r="617">
      <c r="A617" s="26" t="s">
        <v>1078</v>
      </c>
      <c r="B617" s="10" t="str">
        <f t="shared" si="1"/>
        <v>extra_muscle</v>
      </c>
      <c r="C617" s="49" t="str">
        <f t="shared" si="2"/>
        <v>S16199XM1</v>
      </c>
      <c r="D617" s="6">
        <v>28.0</v>
      </c>
      <c r="E617" s="10" t="str">
        <f t="shared" si="3"/>
        <v>BXM28</v>
      </c>
      <c r="F617" s="13">
        <v>81.0</v>
      </c>
      <c r="G617" s="10" t="str">
        <f t="shared" si="7"/>
        <v>BXM28-81</v>
      </c>
      <c r="H617" s="16"/>
      <c r="I617" s="16" t="str">
        <f t="shared" si="5"/>
        <v>collected</v>
      </c>
      <c r="J617" s="16" t="str">
        <f t="shared" si="6"/>
        <v>N</v>
      </c>
      <c r="K617" s="16"/>
      <c r="L617" s="16"/>
    </row>
    <row r="618">
      <c r="A618" s="26" t="s">
        <v>1079</v>
      </c>
      <c r="B618" s="10" t="str">
        <f t="shared" si="1"/>
        <v>extra_muscle</v>
      </c>
      <c r="C618" s="49" t="str">
        <f t="shared" si="2"/>
        <v>S16200XM1</v>
      </c>
      <c r="D618" s="6">
        <v>28.0</v>
      </c>
      <c r="E618" s="10" t="str">
        <f t="shared" si="3"/>
        <v>BXM28</v>
      </c>
      <c r="F618" s="13">
        <v>82.0</v>
      </c>
      <c r="G618" s="10" t="str">
        <f t="shared" si="7"/>
        <v>BXM28-82</v>
      </c>
      <c r="H618" s="16"/>
      <c r="I618" s="16" t="str">
        <f t="shared" si="5"/>
        <v>collected</v>
      </c>
      <c r="J618" s="16" t="str">
        <f t="shared" si="6"/>
        <v>N</v>
      </c>
      <c r="K618" s="16"/>
      <c r="L618" s="16"/>
    </row>
    <row r="619">
      <c r="A619" s="26" t="s">
        <v>1081</v>
      </c>
      <c r="B619" s="10" t="str">
        <f t="shared" si="1"/>
        <v>extra_muscle</v>
      </c>
      <c r="C619" s="49" t="str">
        <f t="shared" si="2"/>
        <v>S16141XM1</v>
      </c>
      <c r="D619" s="6">
        <v>28.0</v>
      </c>
      <c r="E619" s="10" t="str">
        <f t="shared" si="3"/>
        <v>BXM28</v>
      </c>
      <c r="F619" s="13">
        <v>83.0</v>
      </c>
      <c r="G619" s="10" t="str">
        <f t="shared" si="7"/>
        <v>BXM28-83</v>
      </c>
      <c r="H619" s="16"/>
      <c r="I619" s="16" t="str">
        <f t="shared" si="5"/>
        <v>collected</v>
      </c>
      <c r="J619" s="16" t="str">
        <f t="shared" si="6"/>
        <v>N</v>
      </c>
      <c r="K619" s="16"/>
      <c r="L619" s="16"/>
    </row>
    <row r="620">
      <c r="A620" s="26" t="s">
        <v>1082</v>
      </c>
      <c r="B620" s="10" t="str">
        <f t="shared" si="1"/>
        <v>extra_muscle</v>
      </c>
      <c r="C620" s="49" t="str">
        <f t="shared" si="2"/>
        <v>S16142XM1</v>
      </c>
      <c r="D620" s="6">
        <v>28.0</v>
      </c>
      <c r="E620" s="10" t="str">
        <f t="shared" si="3"/>
        <v>BXM28</v>
      </c>
      <c r="F620" s="13">
        <v>84.0</v>
      </c>
      <c r="G620" s="10" t="str">
        <f t="shared" si="7"/>
        <v>BXM28-84</v>
      </c>
      <c r="H620" s="16"/>
      <c r="I620" s="16" t="str">
        <f t="shared" si="5"/>
        <v>collected</v>
      </c>
      <c r="J620" s="16" t="str">
        <f t="shared" si="6"/>
        <v>N</v>
      </c>
      <c r="K620" s="16"/>
      <c r="L620" s="16"/>
    </row>
    <row r="621">
      <c r="A621" s="26" t="s">
        <v>1084</v>
      </c>
      <c r="B621" s="10" t="str">
        <f t="shared" si="1"/>
        <v>extra_muscle</v>
      </c>
      <c r="C621" s="49" t="str">
        <f t="shared" si="2"/>
        <v>S16143XM1</v>
      </c>
      <c r="D621" s="6">
        <v>28.0</v>
      </c>
      <c r="E621" s="10" t="str">
        <f t="shared" si="3"/>
        <v>BXM28</v>
      </c>
      <c r="F621" s="13">
        <v>85.0</v>
      </c>
      <c r="G621" s="10" t="str">
        <f t="shared" si="7"/>
        <v>BXM28-85</v>
      </c>
      <c r="H621" s="16"/>
      <c r="I621" s="16" t="str">
        <f t="shared" si="5"/>
        <v>collected</v>
      </c>
      <c r="J621" s="16" t="str">
        <f t="shared" si="6"/>
        <v>N</v>
      </c>
      <c r="K621" s="16"/>
      <c r="L621" s="16"/>
    </row>
    <row r="622">
      <c r="A622" s="26" t="s">
        <v>1085</v>
      </c>
      <c r="B622" s="10" t="str">
        <f t="shared" si="1"/>
        <v>extra_muscle</v>
      </c>
      <c r="C622" s="49" t="str">
        <f t="shared" si="2"/>
        <v>S16144XM1</v>
      </c>
      <c r="D622" s="6">
        <v>28.0</v>
      </c>
      <c r="E622" s="10" t="str">
        <f t="shared" si="3"/>
        <v>BXM28</v>
      </c>
      <c r="F622" s="13">
        <v>87.0</v>
      </c>
      <c r="G622" s="10" t="str">
        <f t="shared" si="7"/>
        <v>BXM28-87</v>
      </c>
      <c r="H622" s="16"/>
      <c r="I622" s="16" t="str">
        <f t="shared" si="5"/>
        <v>collected</v>
      </c>
      <c r="J622" s="16" t="str">
        <f t="shared" si="6"/>
        <v>N</v>
      </c>
      <c r="K622" s="16"/>
      <c r="L622" s="16"/>
    </row>
    <row r="623">
      <c r="A623" s="6" t="s">
        <v>1086</v>
      </c>
      <c r="B623" s="10" t="str">
        <f t="shared" si="1"/>
        <v>extra_muscle</v>
      </c>
      <c r="C623" s="49" t="str">
        <f t="shared" si="2"/>
        <v>S16145XM1</v>
      </c>
      <c r="D623" s="6">
        <v>28.0</v>
      </c>
      <c r="E623" s="10" t="str">
        <f t="shared" si="3"/>
        <v>BXM28</v>
      </c>
      <c r="F623" s="13">
        <v>88.0</v>
      </c>
      <c r="G623" s="10" t="str">
        <f t="shared" si="7"/>
        <v>BXM28-88</v>
      </c>
      <c r="H623" s="16"/>
      <c r="I623" s="16" t="str">
        <f t="shared" si="5"/>
        <v>collected</v>
      </c>
      <c r="J623" s="16" t="str">
        <f t="shared" si="6"/>
        <v>N</v>
      </c>
      <c r="K623" s="16"/>
      <c r="L623" s="16"/>
    </row>
    <row r="624">
      <c r="A624" s="26" t="s">
        <v>1087</v>
      </c>
      <c r="B624" s="10" t="str">
        <f t="shared" si="1"/>
        <v>extra_muscle</v>
      </c>
      <c r="C624" s="49" t="str">
        <f t="shared" si="2"/>
        <v>S16146XM1</v>
      </c>
      <c r="D624" s="6">
        <v>28.0</v>
      </c>
      <c r="E624" s="10" t="str">
        <f t="shared" si="3"/>
        <v>BXM28</v>
      </c>
      <c r="F624" s="13">
        <v>89.0</v>
      </c>
      <c r="G624" s="10" t="str">
        <f t="shared" si="7"/>
        <v>BXM28-89</v>
      </c>
      <c r="H624" s="16"/>
      <c r="I624" s="16" t="str">
        <f t="shared" si="5"/>
        <v>collected</v>
      </c>
      <c r="J624" s="16" t="str">
        <f t="shared" si="6"/>
        <v>N</v>
      </c>
      <c r="K624" s="16"/>
      <c r="L624" s="16"/>
    </row>
    <row r="625">
      <c r="A625" s="26" t="s">
        <v>1089</v>
      </c>
      <c r="B625" s="10" t="str">
        <f t="shared" si="1"/>
        <v>extra_muscle</v>
      </c>
      <c r="C625" s="49" t="str">
        <f t="shared" si="2"/>
        <v>S16147XM1</v>
      </c>
      <c r="D625" s="6">
        <v>28.0</v>
      </c>
      <c r="E625" s="10" t="str">
        <f t="shared" si="3"/>
        <v>BXM28</v>
      </c>
      <c r="F625" s="13">
        <v>90.0</v>
      </c>
      <c r="G625" s="10" t="str">
        <f t="shared" si="7"/>
        <v>BXM28-90</v>
      </c>
      <c r="H625" s="16"/>
      <c r="I625" s="16" t="str">
        <f t="shared" si="5"/>
        <v>collected</v>
      </c>
      <c r="J625" s="16" t="str">
        <f t="shared" si="6"/>
        <v>N</v>
      </c>
      <c r="K625" s="16"/>
      <c r="L625" s="16"/>
    </row>
    <row r="626">
      <c r="A626" s="26" t="s">
        <v>1090</v>
      </c>
      <c r="B626" s="10" t="str">
        <f t="shared" si="1"/>
        <v>extra_muscle</v>
      </c>
      <c r="C626" s="49" t="str">
        <f t="shared" si="2"/>
        <v>S16148XM1</v>
      </c>
      <c r="D626" s="6">
        <v>28.0</v>
      </c>
      <c r="E626" s="10" t="str">
        <f t="shared" si="3"/>
        <v>BXM28</v>
      </c>
      <c r="F626" s="13">
        <v>91.0</v>
      </c>
      <c r="G626" s="10" t="str">
        <f t="shared" si="7"/>
        <v>BXM28-91</v>
      </c>
      <c r="H626" s="16"/>
      <c r="I626" s="16" t="str">
        <f t="shared" si="5"/>
        <v>collected</v>
      </c>
      <c r="J626" s="16" t="str">
        <f t="shared" si="6"/>
        <v>N</v>
      </c>
      <c r="K626" s="16"/>
      <c r="L626" s="16"/>
    </row>
    <row r="627">
      <c r="A627" s="26" t="s">
        <v>1091</v>
      </c>
      <c r="B627" s="10" t="str">
        <f t="shared" si="1"/>
        <v>extra_muscle</v>
      </c>
      <c r="C627" s="49" t="str">
        <f t="shared" si="2"/>
        <v>S16149XM1</v>
      </c>
      <c r="D627" s="6">
        <v>28.0</v>
      </c>
      <c r="E627" s="10" t="str">
        <f t="shared" si="3"/>
        <v>BXM28</v>
      </c>
      <c r="F627" s="13">
        <v>92.0</v>
      </c>
      <c r="G627" s="10" t="str">
        <f t="shared" si="7"/>
        <v>BXM28-92</v>
      </c>
      <c r="H627" s="16"/>
      <c r="I627" s="16" t="str">
        <f t="shared" si="5"/>
        <v>collected</v>
      </c>
      <c r="J627" s="16" t="str">
        <f t="shared" si="6"/>
        <v>N</v>
      </c>
      <c r="K627" s="16"/>
      <c r="L627" s="16"/>
    </row>
    <row r="628">
      <c r="A628" s="26" t="s">
        <v>1092</v>
      </c>
      <c r="B628" s="10" t="str">
        <f t="shared" si="1"/>
        <v>extra_muscle</v>
      </c>
      <c r="C628" s="49" t="str">
        <f t="shared" si="2"/>
        <v>S16150XM1</v>
      </c>
      <c r="D628" s="6">
        <v>28.0</v>
      </c>
      <c r="E628" s="10" t="str">
        <f t="shared" si="3"/>
        <v>BXM28</v>
      </c>
      <c r="F628" s="13">
        <v>93.0</v>
      </c>
      <c r="G628" s="10" t="str">
        <f t="shared" si="7"/>
        <v>BXM28-93</v>
      </c>
      <c r="H628" s="16"/>
      <c r="I628" s="16" t="str">
        <f t="shared" si="5"/>
        <v>collected</v>
      </c>
      <c r="J628" s="16" t="str">
        <f t="shared" si="6"/>
        <v>N</v>
      </c>
      <c r="K628" s="16"/>
      <c r="L628" s="16"/>
    </row>
    <row r="629">
      <c r="A629" s="26" t="s">
        <v>1093</v>
      </c>
      <c r="B629" s="10" t="str">
        <f t="shared" si="1"/>
        <v>extra_muscle</v>
      </c>
      <c r="C629" s="49" t="str">
        <f t="shared" si="2"/>
        <v>S16351XM1</v>
      </c>
      <c r="D629" s="6">
        <v>28.0</v>
      </c>
      <c r="E629" s="10" t="str">
        <f t="shared" si="3"/>
        <v>BXM28</v>
      </c>
      <c r="F629" s="13">
        <v>94.0</v>
      </c>
      <c r="G629" s="10" t="str">
        <f t="shared" si="7"/>
        <v>BXM28-94</v>
      </c>
      <c r="H629" s="16"/>
      <c r="I629" s="16" t="str">
        <f t="shared" si="5"/>
        <v>collected</v>
      </c>
      <c r="J629" s="16" t="str">
        <f t="shared" si="6"/>
        <v>N</v>
      </c>
      <c r="K629" s="16"/>
      <c r="L629" s="16"/>
    </row>
    <row r="630">
      <c r="A630" s="26" t="s">
        <v>1094</v>
      </c>
      <c r="B630" s="10" t="str">
        <f t="shared" si="1"/>
        <v>extra_muscle</v>
      </c>
      <c r="C630" s="49" t="str">
        <f t="shared" si="2"/>
        <v>S16352XM1</v>
      </c>
      <c r="D630" s="6">
        <v>28.0</v>
      </c>
      <c r="E630" s="10" t="str">
        <f t="shared" si="3"/>
        <v>BXM28</v>
      </c>
      <c r="F630" s="13">
        <v>95.0</v>
      </c>
      <c r="G630" s="10" t="str">
        <f t="shared" si="7"/>
        <v>BXM28-95</v>
      </c>
      <c r="H630" s="16"/>
      <c r="I630" s="16" t="str">
        <f t="shared" si="5"/>
        <v>collected</v>
      </c>
      <c r="J630" s="16" t="str">
        <f t="shared" si="6"/>
        <v>N</v>
      </c>
      <c r="K630" s="16"/>
      <c r="L630" s="16"/>
    </row>
    <row r="631">
      <c r="A631" s="26" t="s">
        <v>1096</v>
      </c>
      <c r="B631" s="10" t="str">
        <f t="shared" si="1"/>
        <v>extra_muscle</v>
      </c>
      <c r="C631" s="49" t="str">
        <f t="shared" si="2"/>
        <v>S16353XM1</v>
      </c>
      <c r="D631" s="6">
        <v>28.0</v>
      </c>
      <c r="E631" s="10" t="str">
        <f t="shared" si="3"/>
        <v>BXM28</v>
      </c>
      <c r="F631" s="13">
        <v>97.0</v>
      </c>
      <c r="G631" s="10" t="str">
        <f t="shared" si="7"/>
        <v>BXM28-97</v>
      </c>
      <c r="H631" s="16"/>
      <c r="I631" s="16" t="str">
        <f t="shared" si="5"/>
        <v>collected</v>
      </c>
      <c r="J631" s="16" t="str">
        <f t="shared" si="6"/>
        <v>N</v>
      </c>
      <c r="K631" s="16"/>
      <c r="L631" s="16"/>
    </row>
    <row r="632">
      <c r="A632" s="26" t="s">
        <v>1097</v>
      </c>
      <c r="B632" s="10" t="str">
        <f t="shared" si="1"/>
        <v>extra_muscle</v>
      </c>
      <c r="C632" s="49" t="str">
        <f t="shared" si="2"/>
        <v>S16354XM1</v>
      </c>
      <c r="D632" s="6">
        <v>28.0</v>
      </c>
      <c r="E632" s="10" t="str">
        <f t="shared" si="3"/>
        <v>BXM28</v>
      </c>
      <c r="F632" s="13">
        <v>98.0</v>
      </c>
      <c r="G632" s="10" t="str">
        <f t="shared" si="7"/>
        <v>BXM28-98</v>
      </c>
      <c r="H632" s="16"/>
      <c r="I632" s="16" t="str">
        <f t="shared" si="5"/>
        <v>collected</v>
      </c>
      <c r="J632" s="16" t="str">
        <f t="shared" si="6"/>
        <v>N</v>
      </c>
      <c r="K632" s="16"/>
      <c r="L632" s="16"/>
    </row>
    <row r="633">
      <c r="A633" s="26" t="s">
        <v>1100</v>
      </c>
      <c r="B633" s="10" t="str">
        <f t="shared" si="1"/>
        <v>extra_muscle</v>
      </c>
      <c r="C633" s="49" t="str">
        <f t="shared" si="2"/>
        <v>S16355XM1</v>
      </c>
      <c r="D633" s="6">
        <v>28.0</v>
      </c>
      <c r="E633" s="10" t="str">
        <f t="shared" si="3"/>
        <v>BXM28</v>
      </c>
      <c r="F633" s="13">
        <v>99.0</v>
      </c>
      <c r="G633" s="10" t="str">
        <f t="shared" si="7"/>
        <v>BXM28-99</v>
      </c>
      <c r="H633" s="16"/>
      <c r="I633" s="16" t="str">
        <f t="shared" si="5"/>
        <v>collected</v>
      </c>
      <c r="J633" s="16" t="str">
        <f t="shared" si="6"/>
        <v>N</v>
      </c>
      <c r="K633" s="16"/>
      <c r="L633" s="16"/>
    </row>
    <row r="634">
      <c r="A634" s="27" t="s">
        <v>1101</v>
      </c>
      <c r="B634" s="10" t="str">
        <f t="shared" si="1"/>
        <v>extra_muscle</v>
      </c>
      <c r="C634" s="49" t="str">
        <f t="shared" si="2"/>
        <v>S16356XM1</v>
      </c>
      <c r="D634" s="6">
        <v>28.0</v>
      </c>
      <c r="E634" s="10" t="str">
        <f t="shared" si="3"/>
        <v>BXM28</v>
      </c>
      <c r="F634" s="13">
        <v>100.0</v>
      </c>
      <c r="G634" s="10" t="str">
        <f t="shared" si="7"/>
        <v>BXM28-100</v>
      </c>
      <c r="H634" s="16"/>
      <c r="I634" s="16" t="str">
        <f t="shared" si="5"/>
        <v>collected</v>
      </c>
      <c r="J634" s="16" t="str">
        <f t="shared" si="6"/>
        <v>N</v>
      </c>
      <c r="K634" s="16"/>
      <c r="L634" s="16"/>
    </row>
    <row r="635">
      <c r="A635" s="40" t="s">
        <v>1102</v>
      </c>
      <c r="B635" s="10" t="str">
        <f t="shared" si="1"/>
        <v>extra_muscle</v>
      </c>
      <c r="C635" s="49" t="str">
        <f t="shared" si="2"/>
        <v>S16183XM1</v>
      </c>
      <c r="D635" s="6">
        <v>29.0</v>
      </c>
      <c r="E635" s="10" t="str">
        <f t="shared" si="3"/>
        <v>BXM29</v>
      </c>
      <c r="F635" s="13">
        <v>8.0</v>
      </c>
      <c r="G635" s="10" t="str">
        <f t="shared" si="7"/>
        <v>BXM29-8</v>
      </c>
      <c r="H635" s="16"/>
      <c r="I635" s="16" t="str">
        <f t="shared" si="5"/>
        <v>collected</v>
      </c>
      <c r="J635" s="16" t="str">
        <f t="shared" si="6"/>
        <v>N</v>
      </c>
      <c r="K635" s="16"/>
      <c r="L635" s="16"/>
    </row>
    <row r="636">
      <c r="A636" s="40" t="s">
        <v>1103</v>
      </c>
      <c r="B636" s="10" t="str">
        <f t="shared" si="1"/>
        <v>extra_muscle</v>
      </c>
      <c r="C636" s="49" t="str">
        <f t="shared" si="2"/>
        <v>S16190XM1</v>
      </c>
      <c r="D636" s="6">
        <v>29.0</v>
      </c>
      <c r="E636" s="10" t="str">
        <f t="shared" si="3"/>
        <v>BXM29</v>
      </c>
      <c r="F636" s="13">
        <v>9.0</v>
      </c>
      <c r="G636" s="10" t="str">
        <f t="shared" si="7"/>
        <v>BXM29-9</v>
      </c>
      <c r="H636" s="16"/>
      <c r="I636" s="16" t="str">
        <f t="shared" si="5"/>
        <v>collected</v>
      </c>
      <c r="J636" s="16" t="str">
        <f t="shared" si="6"/>
        <v>N</v>
      </c>
      <c r="K636" s="16"/>
      <c r="L636" s="16"/>
    </row>
    <row r="637">
      <c r="A637" s="43" t="s">
        <v>1104</v>
      </c>
      <c r="B637" s="10" t="str">
        <f t="shared" si="1"/>
        <v>extra_muscle</v>
      </c>
      <c r="C637" s="49" t="str">
        <f t="shared" si="2"/>
        <v>S16187XM1</v>
      </c>
      <c r="D637" s="6">
        <v>29.0</v>
      </c>
      <c r="E637" s="10" t="str">
        <f t="shared" si="3"/>
        <v>BXM29</v>
      </c>
      <c r="F637" s="13">
        <v>10.0</v>
      </c>
      <c r="G637" s="10" t="str">
        <f t="shared" si="7"/>
        <v>BXM29-10</v>
      </c>
      <c r="H637" s="16"/>
      <c r="I637" s="16" t="str">
        <f t="shared" si="5"/>
        <v>collected</v>
      </c>
      <c r="J637" s="16" t="str">
        <f t="shared" si="6"/>
        <v>N</v>
      </c>
      <c r="K637" s="16"/>
      <c r="L637" s="16"/>
    </row>
    <row r="638">
      <c r="A638" s="44" t="s">
        <v>1105</v>
      </c>
      <c r="B638" s="10" t="str">
        <f t="shared" si="1"/>
        <v>extra_muscle</v>
      </c>
      <c r="C638" s="49" t="str">
        <f t="shared" si="2"/>
        <v>S16189XM1</v>
      </c>
      <c r="D638" s="6">
        <v>29.0</v>
      </c>
      <c r="E638" s="10" t="str">
        <f t="shared" si="3"/>
        <v>BXM29</v>
      </c>
      <c r="F638" s="13">
        <v>11.0</v>
      </c>
      <c r="G638" s="10" t="str">
        <f t="shared" si="7"/>
        <v>BXM29-11</v>
      </c>
      <c r="H638" s="16"/>
      <c r="I638" s="16" t="str">
        <f t="shared" si="5"/>
        <v>collected</v>
      </c>
      <c r="J638" s="16" t="str">
        <f t="shared" si="6"/>
        <v>N</v>
      </c>
      <c r="K638" s="16"/>
      <c r="L638" s="16"/>
    </row>
    <row r="639">
      <c r="A639" s="44" t="s">
        <v>1108</v>
      </c>
      <c r="B639" s="10" t="str">
        <f t="shared" si="1"/>
        <v>extra_muscle</v>
      </c>
      <c r="C639" s="49" t="str">
        <f t="shared" si="2"/>
        <v>S16188XM1</v>
      </c>
      <c r="D639" s="6">
        <v>29.0</v>
      </c>
      <c r="E639" s="10" t="str">
        <f t="shared" si="3"/>
        <v>BXM29</v>
      </c>
      <c r="F639" s="13">
        <v>12.0</v>
      </c>
      <c r="G639" s="10" t="str">
        <f t="shared" si="7"/>
        <v>BXM29-12</v>
      </c>
      <c r="H639" s="16"/>
      <c r="I639" s="16" t="str">
        <f t="shared" si="5"/>
        <v>collected</v>
      </c>
      <c r="J639" s="16" t="str">
        <f t="shared" si="6"/>
        <v>N</v>
      </c>
      <c r="K639" s="16"/>
      <c r="L639" s="16"/>
    </row>
    <row r="640">
      <c r="A640" s="44" t="s">
        <v>1109</v>
      </c>
      <c r="B640" s="10" t="str">
        <f t="shared" si="1"/>
        <v>extra_muscle</v>
      </c>
      <c r="C640" s="49" t="str">
        <f t="shared" si="2"/>
        <v>S16186XM1</v>
      </c>
      <c r="D640" s="6">
        <v>29.0</v>
      </c>
      <c r="E640" s="10" t="str">
        <f t="shared" si="3"/>
        <v>BXM29</v>
      </c>
      <c r="F640" s="13">
        <v>13.0</v>
      </c>
      <c r="G640" s="10" t="str">
        <f t="shared" si="7"/>
        <v>BXM29-13</v>
      </c>
      <c r="H640" s="16"/>
      <c r="I640" s="16" t="str">
        <f t="shared" si="5"/>
        <v>collected</v>
      </c>
      <c r="J640" s="16" t="str">
        <f t="shared" si="6"/>
        <v>N</v>
      </c>
      <c r="K640" s="16"/>
      <c r="L640" s="16"/>
    </row>
    <row r="641">
      <c r="A641" s="44" t="s">
        <v>1110</v>
      </c>
      <c r="B641" s="10" t="str">
        <f t="shared" si="1"/>
        <v>extra_muscle</v>
      </c>
      <c r="C641" s="49" t="str">
        <f t="shared" si="2"/>
        <v>S16185XM1</v>
      </c>
      <c r="D641" s="6">
        <v>29.0</v>
      </c>
      <c r="E641" s="10" t="str">
        <f t="shared" si="3"/>
        <v>BXM29</v>
      </c>
      <c r="F641" s="13">
        <v>14.0</v>
      </c>
      <c r="G641" s="10" t="str">
        <f t="shared" si="7"/>
        <v>BXM29-14</v>
      </c>
      <c r="H641" s="16"/>
      <c r="I641" s="16" t="str">
        <f t="shared" si="5"/>
        <v>collected</v>
      </c>
      <c r="J641" s="16" t="str">
        <f t="shared" si="6"/>
        <v>N</v>
      </c>
      <c r="K641" s="16"/>
      <c r="L641" s="16"/>
    </row>
    <row r="642">
      <c r="A642" s="44" t="s">
        <v>1111</v>
      </c>
      <c r="B642" s="10" t="str">
        <f t="shared" si="1"/>
        <v>extra_muscle</v>
      </c>
      <c r="C642" s="49" t="str">
        <f t="shared" si="2"/>
        <v>S16184XM1</v>
      </c>
      <c r="D642" s="6">
        <v>29.0</v>
      </c>
      <c r="E642" s="10" t="str">
        <f t="shared" si="3"/>
        <v>BXM29</v>
      </c>
      <c r="F642" s="13">
        <v>15.0</v>
      </c>
      <c r="G642" s="10" t="str">
        <f t="shared" si="7"/>
        <v>BXM29-15</v>
      </c>
      <c r="H642" s="16"/>
      <c r="I642" s="16" t="str">
        <f t="shared" si="5"/>
        <v>collected</v>
      </c>
      <c r="J642" s="16" t="str">
        <f t="shared" si="6"/>
        <v>N</v>
      </c>
      <c r="K642" s="16"/>
      <c r="L642" s="16"/>
    </row>
    <row r="643">
      <c r="A643" s="44" t="s">
        <v>1112</v>
      </c>
      <c r="B643" s="10" t="str">
        <f t="shared" si="1"/>
        <v>extra_muscle</v>
      </c>
      <c r="C643" s="49" t="str">
        <f t="shared" si="2"/>
        <v>S16181XM1</v>
      </c>
      <c r="D643" s="6">
        <v>29.0</v>
      </c>
      <c r="E643" s="10" t="str">
        <f t="shared" si="3"/>
        <v>BXM29</v>
      </c>
      <c r="F643" s="13">
        <v>16.0</v>
      </c>
      <c r="G643" s="10" t="str">
        <f t="shared" si="7"/>
        <v>BXM29-16</v>
      </c>
      <c r="H643" s="16"/>
      <c r="I643" s="16" t="str">
        <f t="shared" si="5"/>
        <v>collected</v>
      </c>
      <c r="J643" s="16" t="str">
        <f t="shared" si="6"/>
        <v>N</v>
      </c>
      <c r="K643" s="16"/>
      <c r="L643" s="16"/>
    </row>
    <row r="644">
      <c r="A644" s="44" t="s">
        <v>1113</v>
      </c>
      <c r="B644" s="10" t="str">
        <f t="shared" si="1"/>
        <v>extra_muscle</v>
      </c>
      <c r="C644" s="49" t="str">
        <f t="shared" si="2"/>
        <v>S16182XM1</v>
      </c>
      <c r="D644" s="6">
        <v>29.0</v>
      </c>
      <c r="E644" s="10" t="str">
        <f t="shared" si="3"/>
        <v>BXM29</v>
      </c>
      <c r="F644" s="13">
        <v>17.0</v>
      </c>
      <c r="G644" s="10" t="str">
        <f t="shared" si="7"/>
        <v>BXM29-17</v>
      </c>
      <c r="H644" s="16"/>
      <c r="I644" s="16" t="str">
        <f t="shared" si="5"/>
        <v>collected</v>
      </c>
      <c r="J644" s="16" t="str">
        <f t="shared" si="6"/>
        <v>N</v>
      </c>
      <c r="K644" s="16"/>
      <c r="L644" s="16"/>
    </row>
    <row r="645">
      <c r="A645" s="44" t="s">
        <v>1115</v>
      </c>
      <c r="B645" s="10" t="str">
        <f t="shared" si="1"/>
        <v>extra_muscle</v>
      </c>
      <c r="C645" s="49" t="str">
        <f t="shared" si="2"/>
        <v>S16257XM1</v>
      </c>
      <c r="D645" s="6">
        <v>29.0</v>
      </c>
      <c r="E645" s="10" t="str">
        <f t="shared" si="3"/>
        <v>BXM29</v>
      </c>
      <c r="F645" s="13">
        <v>18.0</v>
      </c>
      <c r="G645" s="10" t="str">
        <f t="shared" si="7"/>
        <v>BXM29-18</v>
      </c>
      <c r="H645" s="16"/>
      <c r="I645" s="16" t="str">
        <f t="shared" si="5"/>
        <v>collected</v>
      </c>
      <c r="J645" s="16" t="str">
        <f t="shared" si="6"/>
        <v>N</v>
      </c>
      <c r="K645" s="16"/>
      <c r="L645" s="16"/>
    </row>
    <row r="646">
      <c r="A646" s="44" t="s">
        <v>1117</v>
      </c>
      <c r="B646" s="10" t="str">
        <f t="shared" si="1"/>
        <v>extra_muscle</v>
      </c>
      <c r="C646" s="49" t="str">
        <f t="shared" si="2"/>
        <v>S16256XM1</v>
      </c>
      <c r="D646" s="6">
        <v>29.0</v>
      </c>
      <c r="E646" s="10" t="str">
        <f t="shared" si="3"/>
        <v>BXM29</v>
      </c>
      <c r="F646" s="13">
        <v>19.0</v>
      </c>
      <c r="G646" s="10" t="str">
        <f t="shared" si="7"/>
        <v>BXM29-19</v>
      </c>
      <c r="H646" s="16"/>
      <c r="I646" s="16" t="str">
        <f t="shared" si="5"/>
        <v>collected</v>
      </c>
      <c r="J646" s="16" t="str">
        <f t="shared" si="6"/>
        <v>N</v>
      </c>
      <c r="K646" s="16"/>
      <c r="L646" s="16"/>
    </row>
    <row r="647">
      <c r="A647" s="44" t="s">
        <v>1118</v>
      </c>
      <c r="B647" s="10" t="str">
        <f t="shared" si="1"/>
        <v>extra_muscle</v>
      </c>
      <c r="C647" s="49" t="str">
        <f t="shared" si="2"/>
        <v>S16258XM1</v>
      </c>
      <c r="D647" s="6">
        <v>29.0</v>
      </c>
      <c r="E647" s="10" t="str">
        <f t="shared" si="3"/>
        <v>BXM29</v>
      </c>
      <c r="F647" s="13">
        <v>20.0</v>
      </c>
      <c r="G647" s="10" t="str">
        <f t="shared" si="7"/>
        <v>BXM29-20</v>
      </c>
      <c r="H647" s="16"/>
      <c r="I647" s="16" t="str">
        <f t="shared" si="5"/>
        <v>collected</v>
      </c>
      <c r="J647" s="16" t="str">
        <f t="shared" si="6"/>
        <v>N</v>
      </c>
      <c r="K647" s="16"/>
      <c r="L647" s="16"/>
    </row>
    <row r="648">
      <c r="A648" s="44" t="s">
        <v>1119</v>
      </c>
      <c r="B648" s="10" t="str">
        <f t="shared" si="1"/>
        <v>extra_muscle</v>
      </c>
      <c r="C648" s="49" t="str">
        <f t="shared" si="2"/>
        <v>S16252XM1</v>
      </c>
      <c r="D648" s="6">
        <v>29.0</v>
      </c>
      <c r="E648" s="10" t="str">
        <f t="shared" si="3"/>
        <v>BXM29</v>
      </c>
      <c r="F648" s="13">
        <v>21.0</v>
      </c>
      <c r="G648" s="10" t="str">
        <f t="shared" si="7"/>
        <v>BXM29-21</v>
      </c>
      <c r="H648" s="16"/>
      <c r="I648" s="16" t="str">
        <f t="shared" si="5"/>
        <v>collected</v>
      </c>
      <c r="J648" s="16" t="str">
        <f t="shared" si="6"/>
        <v>N</v>
      </c>
      <c r="K648" s="16"/>
      <c r="L648" s="16"/>
    </row>
    <row r="649">
      <c r="A649" s="44" t="s">
        <v>1120</v>
      </c>
      <c r="B649" s="10" t="str">
        <f t="shared" si="1"/>
        <v>extra_muscle</v>
      </c>
      <c r="C649" s="49" t="str">
        <f t="shared" si="2"/>
        <v>S16251XM1</v>
      </c>
      <c r="D649" s="6">
        <v>29.0</v>
      </c>
      <c r="E649" s="10" t="str">
        <f t="shared" si="3"/>
        <v>BXM29</v>
      </c>
      <c r="F649" s="13">
        <v>22.0</v>
      </c>
      <c r="G649" s="10" t="str">
        <f t="shared" si="7"/>
        <v>BXM29-22</v>
      </c>
      <c r="H649" s="16"/>
      <c r="I649" s="16" t="str">
        <f t="shared" si="5"/>
        <v>collected</v>
      </c>
      <c r="J649" s="16" t="str">
        <f t="shared" si="6"/>
        <v>N</v>
      </c>
      <c r="K649" s="16"/>
      <c r="L649" s="16"/>
    </row>
    <row r="650">
      <c r="A650" s="44" t="s">
        <v>1121</v>
      </c>
      <c r="B650" s="10" t="str">
        <f t="shared" si="1"/>
        <v>extra_muscle</v>
      </c>
      <c r="C650" s="49" t="str">
        <f t="shared" si="2"/>
        <v>S16254XM1</v>
      </c>
      <c r="D650" s="6">
        <v>29.0</v>
      </c>
      <c r="E650" s="10" t="str">
        <f t="shared" si="3"/>
        <v>BXM29</v>
      </c>
      <c r="F650" s="13">
        <v>23.0</v>
      </c>
      <c r="G650" s="10" t="str">
        <f t="shared" si="7"/>
        <v>BXM29-23</v>
      </c>
      <c r="H650" s="16"/>
      <c r="I650" s="16" t="str">
        <f t="shared" si="5"/>
        <v>collected</v>
      </c>
      <c r="J650" s="16" t="str">
        <f t="shared" si="6"/>
        <v>N</v>
      </c>
      <c r="K650" s="16"/>
      <c r="L650" s="16"/>
    </row>
    <row r="651">
      <c r="A651" s="44" t="s">
        <v>1123</v>
      </c>
      <c r="B651" s="10" t="str">
        <f t="shared" si="1"/>
        <v>extra_muscle</v>
      </c>
      <c r="C651" s="49" t="str">
        <f t="shared" si="2"/>
        <v>S16253XM1</v>
      </c>
      <c r="D651" s="6">
        <v>29.0</v>
      </c>
      <c r="E651" s="10" t="str">
        <f t="shared" si="3"/>
        <v>BXM29</v>
      </c>
      <c r="F651" s="13">
        <v>24.0</v>
      </c>
      <c r="G651" s="10" t="str">
        <f t="shared" si="7"/>
        <v>BXM29-24</v>
      </c>
      <c r="H651" s="16"/>
      <c r="I651" s="16" t="str">
        <f t="shared" si="5"/>
        <v>collected</v>
      </c>
      <c r="J651" s="16" t="str">
        <f t="shared" si="6"/>
        <v>N</v>
      </c>
      <c r="K651" s="16"/>
      <c r="L651" s="16"/>
    </row>
    <row r="652">
      <c r="A652" s="44" t="s">
        <v>1124</v>
      </c>
      <c r="B652" s="10" t="str">
        <f t="shared" si="1"/>
        <v>extra_muscle</v>
      </c>
      <c r="C652" s="49" t="str">
        <f t="shared" si="2"/>
        <v>S16255XM1</v>
      </c>
      <c r="D652" s="6">
        <v>29.0</v>
      </c>
      <c r="E652" s="10" t="str">
        <f t="shared" si="3"/>
        <v>BXM29</v>
      </c>
      <c r="F652" s="13">
        <v>25.0</v>
      </c>
      <c r="G652" s="10" t="str">
        <f t="shared" si="7"/>
        <v>BXM29-25</v>
      </c>
      <c r="H652" s="16"/>
      <c r="I652" s="16" t="str">
        <f t="shared" si="5"/>
        <v>collected</v>
      </c>
      <c r="J652" s="16" t="str">
        <f t="shared" si="6"/>
        <v>N</v>
      </c>
      <c r="K652" s="16"/>
      <c r="L652" s="16"/>
    </row>
    <row r="653">
      <c r="A653" s="44" t="s">
        <v>1125</v>
      </c>
      <c r="B653" s="10" t="str">
        <f t="shared" si="1"/>
        <v>extra_muscle</v>
      </c>
      <c r="C653" s="49" t="str">
        <f t="shared" si="2"/>
        <v>S16259XM1</v>
      </c>
      <c r="D653" s="6">
        <v>29.0</v>
      </c>
      <c r="E653" s="10" t="str">
        <f t="shared" si="3"/>
        <v>BXM29</v>
      </c>
      <c r="F653" s="13">
        <v>26.0</v>
      </c>
      <c r="G653" s="10" t="str">
        <f t="shared" si="7"/>
        <v>BXM29-26</v>
      </c>
      <c r="H653" s="16"/>
      <c r="I653" s="16" t="str">
        <f t="shared" si="5"/>
        <v>collected</v>
      </c>
      <c r="J653" s="16" t="str">
        <f t="shared" si="6"/>
        <v>N</v>
      </c>
      <c r="K653" s="16"/>
      <c r="L653" s="16"/>
    </row>
    <row r="654">
      <c r="A654" s="26" t="s">
        <v>1127</v>
      </c>
      <c r="B654" s="10" t="str">
        <f t="shared" si="1"/>
        <v>extra_muscle</v>
      </c>
      <c r="C654" s="49" t="str">
        <f t="shared" si="2"/>
        <v>S16357XM1</v>
      </c>
      <c r="D654" s="6">
        <v>30.0</v>
      </c>
      <c r="E654" s="10" t="str">
        <f t="shared" si="3"/>
        <v>BXM30</v>
      </c>
      <c r="F654" s="13">
        <v>1.0</v>
      </c>
      <c r="G654" s="10" t="str">
        <f t="shared" si="7"/>
        <v>BXM30-1</v>
      </c>
      <c r="H654" s="16"/>
      <c r="I654" s="16" t="str">
        <f t="shared" si="5"/>
        <v>collected</v>
      </c>
      <c r="J654" s="16" t="str">
        <f t="shared" si="6"/>
        <v>N</v>
      </c>
      <c r="K654" s="16"/>
      <c r="L654" s="16"/>
    </row>
    <row r="655">
      <c r="A655" s="26" t="s">
        <v>1128</v>
      </c>
      <c r="B655" s="10" t="str">
        <f t="shared" si="1"/>
        <v>extra_muscle</v>
      </c>
      <c r="C655" s="49" t="str">
        <f t="shared" si="2"/>
        <v>S16358XM1</v>
      </c>
      <c r="D655" s="6">
        <v>30.0</v>
      </c>
      <c r="E655" s="10" t="str">
        <f t="shared" si="3"/>
        <v>BXM30</v>
      </c>
      <c r="F655" s="13">
        <v>2.0</v>
      </c>
      <c r="G655" s="10" t="str">
        <f t="shared" si="7"/>
        <v>BXM30-2</v>
      </c>
      <c r="H655" s="16"/>
      <c r="I655" s="16" t="str">
        <f t="shared" si="5"/>
        <v>collected</v>
      </c>
      <c r="J655" s="16" t="str">
        <f t="shared" si="6"/>
        <v>N</v>
      </c>
      <c r="K655" s="16"/>
      <c r="L655" s="16"/>
    </row>
    <row r="656">
      <c r="A656" s="26" t="s">
        <v>1130</v>
      </c>
      <c r="B656" s="10" t="str">
        <f t="shared" si="1"/>
        <v>extra_muscle</v>
      </c>
      <c r="C656" s="49" t="str">
        <f t="shared" si="2"/>
        <v>S16359XM1</v>
      </c>
      <c r="D656" s="6">
        <v>30.0</v>
      </c>
      <c r="E656" s="10" t="str">
        <f t="shared" si="3"/>
        <v>BXM30</v>
      </c>
      <c r="F656" s="13">
        <v>3.0</v>
      </c>
      <c r="G656" s="10" t="str">
        <f t="shared" si="7"/>
        <v>BXM30-3</v>
      </c>
      <c r="H656" s="16"/>
      <c r="I656" s="16" t="str">
        <f t="shared" si="5"/>
        <v>collected</v>
      </c>
      <c r="J656" s="16" t="str">
        <f t="shared" si="6"/>
        <v>N</v>
      </c>
      <c r="K656" s="16"/>
      <c r="L656" s="16"/>
    </row>
    <row r="657">
      <c r="A657" s="26" t="s">
        <v>1131</v>
      </c>
      <c r="B657" s="10" t="str">
        <f t="shared" si="1"/>
        <v>extra_muscle</v>
      </c>
      <c r="C657" s="49" t="str">
        <f t="shared" si="2"/>
        <v>S16360XM1</v>
      </c>
      <c r="D657" s="6">
        <v>30.0</v>
      </c>
      <c r="E657" s="10" t="str">
        <f t="shared" si="3"/>
        <v>BXM30</v>
      </c>
      <c r="F657" s="13">
        <v>4.0</v>
      </c>
      <c r="G657" s="10" t="str">
        <f t="shared" si="7"/>
        <v>BXM30-4</v>
      </c>
      <c r="H657" s="16"/>
      <c r="I657" s="16" t="str">
        <f t="shared" si="5"/>
        <v>collected</v>
      </c>
      <c r="J657" s="16" t="str">
        <f t="shared" si="6"/>
        <v>N</v>
      </c>
      <c r="K657" s="16"/>
      <c r="L657" s="16"/>
    </row>
    <row r="658">
      <c r="A658" s="26" t="s">
        <v>1132</v>
      </c>
      <c r="B658" s="10" t="str">
        <f t="shared" si="1"/>
        <v>extra_muscle</v>
      </c>
      <c r="C658" s="49" t="str">
        <f t="shared" si="2"/>
        <v>S16021XM1</v>
      </c>
      <c r="D658" s="6">
        <v>30.0</v>
      </c>
      <c r="E658" s="10" t="str">
        <f t="shared" si="3"/>
        <v>BXM30</v>
      </c>
      <c r="F658" s="13">
        <v>5.0</v>
      </c>
      <c r="G658" s="10" t="str">
        <f t="shared" si="7"/>
        <v>BXM30-5</v>
      </c>
      <c r="H658" s="16"/>
      <c r="I658" s="16" t="str">
        <f t="shared" si="5"/>
        <v>collected</v>
      </c>
      <c r="J658" s="16" t="str">
        <f t="shared" si="6"/>
        <v>N</v>
      </c>
      <c r="K658" s="16"/>
      <c r="L658" s="16"/>
    </row>
    <row r="659">
      <c r="A659" s="26" t="s">
        <v>1133</v>
      </c>
      <c r="B659" s="10" t="str">
        <f t="shared" si="1"/>
        <v>extra_muscle</v>
      </c>
      <c r="C659" s="49" t="str">
        <f t="shared" si="2"/>
        <v>S16022XM1</v>
      </c>
      <c r="D659" s="6">
        <v>30.0</v>
      </c>
      <c r="E659" s="10" t="str">
        <f t="shared" si="3"/>
        <v>BXM30</v>
      </c>
      <c r="F659" s="13">
        <v>6.0</v>
      </c>
      <c r="G659" s="10" t="str">
        <f t="shared" si="7"/>
        <v>BXM30-6</v>
      </c>
      <c r="H659" s="16"/>
      <c r="I659" s="16" t="str">
        <f t="shared" si="5"/>
        <v>collected</v>
      </c>
      <c r="J659" s="16" t="str">
        <f t="shared" si="6"/>
        <v>N</v>
      </c>
      <c r="K659" s="16"/>
      <c r="L659" s="16"/>
    </row>
    <row r="660">
      <c r="A660" s="26" t="s">
        <v>1134</v>
      </c>
      <c r="B660" s="10" t="str">
        <f t="shared" si="1"/>
        <v>extra_muscle</v>
      </c>
      <c r="C660" s="49" t="str">
        <f t="shared" si="2"/>
        <v>S16023XM1</v>
      </c>
      <c r="D660" s="6">
        <v>30.0</v>
      </c>
      <c r="E660" s="10" t="str">
        <f t="shared" si="3"/>
        <v>BXM30</v>
      </c>
      <c r="F660" s="13">
        <v>7.0</v>
      </c>
      <c r="G660" s="10" t="str">
        <f t="shared" si="7"/>
        <v>BXM30-7</v>
      </c>
      <c r="H660" s="16"/>
      <c r="I660" s="16" t="str">
        <f t="shared" si="5"/>
        <v>collected</v>
      </c>
      <c r="J660" s="16" t="str">
        <f t="shared" si="6"/>
        <v>N</v>
      </c>
      <c r="K660" s="16"/>
      <c r="L660" s="16"/>
    </row>
    <row r="661">
      <c r="A661" s="26" t="s">
        <v>1135</v>
      </c>
      <c r="B661" s="10" t="str">
        <f t="shared" si="1"/>
        <v>extra_muscle</v>
      </c>
      <c r="C661" s="49" t="str">
        <f t="shared" si="2"/>
        <v>S16024XM1</v>
      </c>
      <c r="D661" s="6">
        <v>30.0</v>
      </c>
      <c r="E661" s="10" t="str">
        <f t="shared" si="3"/>
        <v>BXM30</v>
      </c>
      <c r="F661" s="13">
        <v>8.0</v>
      </c>
      <c r="G661" s="10" t="str">
        <f t="shared" si="7"/>
        <v>BXM30-8</v>
      </c>
      <c r="H661" s="16"/>
      <c r="I661" s="16" t="str">
        <f t="shared" si="5"/>
        <v>collected</v>
      </c>
      <c r="J661" s="16" t="str">
        <f t="shared" si="6"/>
        <v>N</v>
      </c>
      <c r="K661" s="16"/>
      <c r="L661" s="16"/>
    </row>
    <row r="662">
      <c r="A662" s="26" t="s">
        <v>1137</v>
      </c>
      <c r="B662" s="10" t="str">
        <f t="shared" si="1"/>
        <v>extra_muscle</v>
      </c>
      <c r="C662" s="49" t="str">
        <f t="shared" si="2"/>
        <v>S16781XM1</v>
      </c>
      <c r="D662" s="6">
        <v>30.0</v>
      </c>
      <c r="E662" s="10" t="str">
        <f t="shared" si="3"/>
        <v>BXM30</v>
      </c>
      <c r="F662" s="13">
        <v>9.0</v>
      </c>
      <c r="G662" s="10" t="str">
        <f t="shared" si="7"/>
        <v>BXM30-9</v>
      </c>
      <c r="H662" s="16"/>
      <c r="I662" s="16" t="str">
        <f t="shared" si="5"/>
        <v>collected</v>
      </c>
      <c r="J662" s="16" t="str">
        <f t="shared" si="6"/>
        <v>N</v>
      </c>
      <c r="K662" s="16"/>
      <c r="L662" s="16"/>
    </row>
    <row r="663">
      <c r="A663" s="26" t="s">
        <v>1139</v>
      </c>
      <c r="B663" s="10" t="str">
        <f t="shared" si="1"/>
        <v>extra_muscle</v>
      </c>
      <c r="C663" s="49" t="str">
        <f t="shared" si="2"/>
        <v>S16782XM1</v>
      </c>
      <c r="D663" s="6">
        <v>30.0</v>
      </c>
      <c r="E663" s="10" t="str">
        <f t="shared" si="3"/>
        <v>BXM30</v>
      </c>
      <c r="F663" s="13">
        <v>10.0</v>
      </c>
      <c r="G663" s="10" t="str">
        <f t="shared" si="7"/>
        <v>BXM30-10</v>
      </c>
      <c r="H663" s="16"/>
      <c r="I663" s="16" t="str">
        <f t="shared" si="5"/>
        <v>collected</v>
      </c>
      <c r="J663" s="16" t="str">
        <f t="shared" si="6"/>
        <v>N</v>
      </c>
      <c r="K663" s="16"/>
      <c r="L663" s="16"/>
    </row>
    <row r="664">
      <c r="A664" s="26" t="s">
        <v>1140</v>
      </c>
      <c r="B664" s="10" t="str">
        <f t="shared" si="1"/>
        <v>extra_muscle</v>
      </c>
      <c r="C664" s="49" t="str">
        <f t="shared" si="2"/>
        <v>S16783XM1</v>
      </c>
      <c r="D664" s="6">
        <v>30.0</v>
      </c>
      <c r="E664" s="10" t="str">
        <f t="shared" si="3"/>
        <v>BXM30</v>
      </c>
      <c r="F664" s="13">
        <v>11.0</v>
      </c>
      <c r="G664" s="10" t="str">
        <f t="shared" si="7"/>
        <v>BXM30-11</v>
      </c>
      <c r="H664" s="16"/>
      <c r="I664" s="16" t="str">
        <f t="shared" si="5"/>
        <v>collected</v>
      </c>
      <c r="J664" s="16" t="str">
        <f t="shared" si="6"/>
        <v>N</v>
      </c>
      <c r="K664" s="16"/>
      <c r="L664" s="16"/>
    </row>
    <row r="665">
      <c r="A665" s="26" t="s">
        <v>1141</v>
      </c>
      <c r="B665" s="10" t="str">
        <f t="shared" si="1"/>
        <v>extra_muscle</v>
      </c>
      <c r="C665" s="49" t="str">
        <f t="shared" si="2"/>
        <v>S17891XM1</v>
      </c>
      <c r="D665" s="6">
        <v>30.0</v>
      </c>
      <c r="E665" s="10" t="str">
        <f t="shared" si="3"/>
        <v>BXM30</v>
      </c>
      <c r="F665" s="13">
        <v>12.0</v>
      </c>
      <c r="G665" s="10" t="str">
        <f t="shared" si="7"/>
        <v>BXM30-12</v>
      </c>
      <c r="H665" s="16"/>
      <c r="I665" s="16" t="str">
        <f t="shared" si="5"/>
        <v>collected</v>
      </c>
      <c r="J665" s="16" t="str">
        <f t="shared" si="6"/>
        <v>N</v>
      </c>
      <c r="K665" s="16"/>
      <c r="L665" s="16"/>
    </row>
    <row r="666">
      <c r="A666" s="26" t="s">
        <v>1142</v>
      </c>
      <c r="B666" s="10" t="str">
        <f t="shared" si="1"/>
        <v>extra_muscle</v>
      </c>
      <c r="C666" s="49" t="str">
        <f t="shared" si="2"/>
        <v>S17291XM1</v>
      </c>
      <c r="D666" s="6">
        <v>30.0</v>
      </c>
      <c r="E666" s="10" t="str">
        <f t="shared" si="3"/>
        <v>BXM30</v>
      </c>
      <c r="F666" s="13">
        <v>13.0</v>
      </c>
      <c r="G666" s="10" t="str">
        <f t="shared" si="7"/>
        <v>BXM30-13</v>
      </c>
      <c r="H666" s="16"/>
      <c r="I666" s="16" t="str">
        <f t="shared" si="5"/>
        <v>collected</v>
      </c>
      <c r="J666" s="16" t="str">
        <f t="shared" si="6"/>
        <v>N</v>
      </c>
      <c r="K666" s="16"/>
      <c r="L666" s="16"/>
    </row>
    <row r="667">
      <c r="A667" s="26" t="s">
        <v>1143</v>
      </c>
      <c r="B667" s="10" t="str">
        <f t="shared" si="1"/>
        <v>extra_muscle</v>
      </c>
      <c r="C667" s="49" t="str">
        <f t="shared" si="2"/>
        <v>S16541XM1</v>
      </c>
      <c r="D667" s="6">
        <v>30.0</v>
      </c>
      <c r="E667" s="10" t="str">
        <f t="shared" si="3"/>
        <v>BXM30</v>
      </c>
      <c r="F667" s="13">
        <v>14.0</v>
      </c>
      <c r="G667" s="10" t="str">
        <f t="shared" si="7"/>
        <v>BXM30-14</v>
      </c>
      <c r="H667" s="16"/>
      <c r="I667" s="16" t="str">
        <f t="shared" si="5"/>
        <v>collected</v>
      </c>
      <c r="J667" s="16" t="str">
        <f t="shared" si="6"/>
        <v>N</v>
      </c>
      <c r="K667" s="16"/>
      <c r="L667" s="16"/>
    </row>
    <row r="668">
      <c r="A668" s="26" t="s">
        <v>1145</v>
      </c>
      <c r="B668" s="10" t="str">
        <f t="shared" si="1"/>
        <v>extra_muscle</v>
      </c>
      <c r="C668" s="49" t="str">
        <f t="shared" si="2"/>
        <v>S16542XM1</v>
      </c>
      <c r="D668" s="6">
        <v>30.0</v>
      </c>
      <c r="E668" s="10" t="str">
        <f t="shared" si="3"/>
        <v>BXM30</v>
      </c>
      <c r="F668" s="13">
        <v>15.0</v>
      </c>
      <c r="G668" s="10" t="str">
        <f t="shared" si="7"/>
        <v>BXM30-15</v>
      </c>
      <c r="H668" s="16"/>
      <c r="I668" s="16" t="str">
        <f t="shared" si="5"/>
        <v>collected</v>
      </c>
      <c r="J668" s="16" t="str">
        <f t="shared" si="6"/>
        <v>N</v>
      </c>
      <c r="K668" s="16"/>
      <c r="L668" s="16"/>
    </row>
    <row r="669">
      <c r="A669" s="26" t="s">
        <v>1146</v>
      </c>
      <c r="B669" s="10" t="str">
        <f t="shared" si="1"/>
        <v>extra_muscle</v>
      </c>
      <c r="C669" s="49" t="str">
        <f t="shared" si="2"/>
        <v>S16543XM1</v>
      </c>
      <c r="D669" s="6">
        <v>30.0</v>
      </c>
      <c r="E669" s="10" t="str">
        <f t="shared" si="3"/>
        <v>BXM30</v>
      </c>
      <c r="F669" s="13">
        <v>16.0</v>
      </c>
      <c r="G669" s="10" t="str">
        <f t="shared" si="7"/>
        <v>BXM30-16</v>
      </c>
      <c r="H669" s="16"/>
      <c r="I669" s="16" t="str">
        <f t="shared" si="5"/>
        <v>collected</v>
      </c>
      <c r="J669" s="16" t="str">
        <f t="shared" si="6"/>
        <v>N</v>
      </c>
      <c r="K669" s="16"/>
      <c r="L669" s="16"/>
    </row>
    <row r="670">
      <c r="A670" s="44" t="s">
        <v>1147</v>
      </c>
      <c r="B670" s="10" t="str">
        <f t="shared" si="1"/>
        <v>extra_muscle</v>
      </c>
      <c r="C670" s="49" t="str">
        <f t="shared" si="2"/>
        <v>S17277XM1</v>
      </c>
      <c r="D670" s="6">
        <v>29.0</v>
      </c>
      <c r="E670" s="10" t="str">
        <f t="shared" si="3"/>
        <v>BXM29</v>
      </c>
      <c r="F670" s="13">
        <v>27.0</v>
      </c>
      <c r="G670" s="10" t="str">
        <f t="shared" si="7"/>
        <v>BXM29-27</v>
      </c>
      <c r="H670" s="16"/>
      <c r="I670" s="16" t="str">
        <f t="shared" si="5"/>
        <v>collected</v>
      </c>
      <c r="J670" s="16" t="str">
        <f t="shared" si="6"/>
        <v>N</v>
      </c>
      <c r="K670" s="16"/>
      <c r="L670" s="16"/>
    </row>
    <row r="671">
      <c r="A671" s="44" t="s">
        <v>1148</v>
      </c>
      <c r="B671" s="10" t="str">
        <f t="shared" si="1"/>
        <v>extra_muscle</v>
      </c>
      <c r="C671" s="49" t="str">
        <f t="shared" si="2"/>
        <v>S17271XM1</v>
      </c>
      <c r="D671" s="6">
        <v>29.0</v>
      </c>
      <c r="E671" s="10" t="str">
        <f t="shared" si="3"/>
        <v>BXM29</v>
      </c>
      <c r="F671" s="13">
        <v>28.0</v>
      </c>
      <c r="G671" s="10" t="str">
        <f t="shared" si="7"/>
        <v>BXM29-28</v>
      </c>
      <c r="H671" s="16"/>
      <c r="I671" s="16" t="str">
        <f t="shared" si="5"/>
        <v>collected</v>
      </c>
      <c r="J671" s="16" t="str">
        <f t="shared" si="6"/>
        <v>N</v>
      </c>
      <c r="K671" s="16"/>
      <c r="L671" s="16"/>
    </row>
    <row r="672">
      <c r="A672" s="44" t="s">
        <v>1149</v>
      </c>
      <c r="B672" s="10" t="str">
        <f t="shared" si="1"/>
        <v>extra_muscle</v>
      </c>
      <c r="C672" s="49" t="str">
        <f t="shared" si="2"/>
        <v>S17276XM1</v>
      </c>
      <c r="D672" s="6">
        <v>29.0</v>
      </c>
      <c r="E672" s="10" t="str">
        <f t="shared" si="3"/>
        <v>BXM29</v>
      </c>
      <c r="F672" s="13">
        <v>29.0</v>
      </c>
      <c r="G672" s="10" t="str">
        <f t="shared" si="7"/>
        <v>BXM29-29</v>
      </c>
      <c r="H672" s="16"/>
      <c r="I672" s="16" t="str">
        <f t="shared" si="5"/>
        <v>collected</v>
      </c>
      <c r="J672" s="16" t="str">
        <f t="shared" si="6"/>
        <v>N</v>
      </c>
      <c r="K672" s="16"/>
      <c r="L672" s="16"/>
    </row>
    <row r="673">
      <c r="A673" s="44" t="s">
        <v>1151</v>
      </c>
      <c r="B673" s="10" t="str">
        <f t="shared" si="1"/>
        <v>extra_muscle</v>
      </c>
      <c r="C673" s="49" t="str">
        <f t="shared" si="2"/>
        <v>S17280XM1</v>
      </c>
      <c r="D673" s="6">
        <v>29.0</v>
      </c>
      <c r="E673" s="10" t="str">
        <f t="shared" si="3"/>
        <v>BXM29</v>
      </c>
      <c r="F673" s="13">
        <v>30.0</v>
      </c>
      <c r="G673" s="10" t="str">
        <f t="shared" si="7"/>
        <v>BXM29-30</v>
      </c>
      <c r="H673" s="16"/>
      <c r="I673" s="16" t="str">
        <f t="shared" si="5"/>
        <v>collected</v>
      </c>
      <c r="J673" s="16" t="str">
        <f t="shared" si="6"/>
        <v>N</v>
      </c>
      <c r="K673" s="16"/>
      <c r="L673" s="16"/>
    </row>
    <row r="674">
      <c r="A674" s="44" t="s">
        <v>1153</v>
      </c>
      <c r="B674" s="10" t="str">
        <f t="shared" si="1"/>
        <v>extra_muscle</v>
      </c>
      <c r="C674" s="49" t="str">
        <f t="shared" si="2"/>
        <v>S17273XM1</v>
      </c>
      <c r="D674" s="6">
        <v>29.0</v>
      </c>
      <c r="E674" s="10" t="str">
        <f t="shared" si="3"/>
        <v>BXM29</v>
      </c>
      <c r="F674" s="13">
        <v>31.0</v>
      </c>
      <c r="G674" s="10" t="str">
        <f t="shared" si="7"/>
        <v>BXM29-31</v>
      </c>
      <c r="H674" s="16"/>
      <c r="I674" s="16" t="str">
        <f t="shared" si="5"/>
        <v>collected</v>
      </c>
      <c r="J674" s="16" t="str">
        <f t="shared" si="6"/>
        <v>N</v>
      </c>
      <c r="K674" s="16"/>
      <c r="L674" s="16"/>
    </row>
    <row r="675">
      <c r="A675" s="44" t="s">
        <v>1154</v>
      </c>
      <c r="B675" s="10" t="str">
        <f t="shared" si="1"/>
        <v>extra_muscle</v>
      </c>
      <c r="C675" s="49" t="str">
        <f t="shared" si="2"/>
        <v>S17274XM1</v>
      </c>
      <c r="D675" s="6">
        <v>29.0</v>
      </c>
      <c r="E675" s="10" t="str">
        <f t="shared" si="3"/>
        <v>BXM29</v>
      </c>
      <c r="F675" s="13">
        <v>32.0</v>
      </c>
      <c r="G675" s="10" t="str">
        <f t="shared" si="7"/>
        <v>BXM29-32</v>
      </c>
      <c r="H675" s="16"/>
      <c r="I675" s="16" t="str">
        <f t="shared" si="5"/>
        <v>collected</v>
      </c>
      <c r="J675" s="16" t="str">
        <f t="shared" si="6"/>
        <v>N</v>
      </c>
      <c r="K675" s="16"/>
      <c r="L675" s="16"/>
    </row>
    <row r="676">
      <c r="A676" s="44" t="s">
        <v>1155</v>
      </c>
      <c r="B676" s="10" t="str">
        <f t="shared" si="1"/>
        <v>extra_muscle</v>
      </c>
      <c r="C676" s="49" t="str">
        <f t="shared" si="2"/>
        <v>S17275XM1</v>
      </c>
      <c r="D676" s="6">
        <v>29.0</v>
      </c>
      <c r="E676" s="10" t="str">
        <f t="shared" si="3"/>
        <v>BXM29</v>
      </c>
      <c r="F676" s="13">
        <v>33.0</v>
      </c>
      <c r="G676" s="10" t="str">
        <f t="shared" si="7"/>
        <v>BXM29-33</v>
      </c>
      <c r="H676" s="16"/>
      <c r="I676" s="16" t="str">
        <f t="shared" si="5"/>
        <v>collected</v>
      </c>
      <c r="J676" s="16" t="str">
        <f t="shared" si="6"/>
        <v>N</v>
      </c>
      <c r="K676" s="16"/>
      <c r="L676" s="16"/>
    </row>
    <row r="677">
      <c r="A677" s="44" t="s">
        <v>1156</v>
      </c>
      <c r="B677" s="10" t="str">
        <f t="shared" si="1"/>
        <v>extra_muscle</v>
      </c>
      <c r="C677" s="49" t="str">
        <f t="shared" si="2"/>
        <v>S17272XM1</v>
      </c>
      <c r="D677" s="6">
        <v>29.0</v>
      </c>
      <c r="E677" s="10" t="str">
        <f t="shared" si="3"/>
        <v>BXM29</v>
      </c>
      <c r="F677" s="13">
        <v>34.0</v>
      </c>
      <c r="G677" s="10" t="str">
        <f t="shared" si="7"/>
        <v>BXM29-34</v>
      </c>
      <c r="H677" s="16"/>
      <c r="I677" s="16" t="str">
        <f t="shared" si="5"/>
        <v>collected</v>
      </c>
      <c r="J677" s="16" t="str">
        <f t="shared" si="6"/>
        <v>N</v>
      </c>
      <c r="K677" s="16"/>
      <c r="L677" s="16"/>
    </row>
    <row r="678">
      <c r="A678" s="44" t="s">
        <v>1157</v>
      </c>
      <c r="B678" s="10" t="str">
        <f t="shared" si="1"/>
        <v>extra_muscle</v>
      </c>
      <c r="C678" s="49" t="str">
        <f t="shared" si="2"/>
        <v>S17279XM1</v>
      </c>
      <c r="D678" s="6">
        <v>29.0</v>
      </c>
      <c r="E678" s="10" t="str">
        <f t="shared" si="3"/>
        <v>BXM29</v>
      </c>
      <c r="F678" s="13">
        <v>35.0</v>
      </c>
      <c r="G678" s="10" t="str">
        <f t="shared" si="7"/>
        <v>BXM29-35</v>
      </c>
      <c r="H678" s="16"/>
      <c r="I678" s="16" t="str">
        <f t="shared" si="5"/>
        <v>collected</v>
      </c>
      <c r="J678" s="16" t="str">
        <f t="shared" si="6"/>
        <v>N</v>
      </c>
      <c r="K678" s="16"/>
      <c r="L678" s="16"/>
    </row>
    <row r="679">
      <c r="A679" s="44" t="s">
        <v>1159</v>
      </c>
      <c r="B679" s="10" t="str">
        <f t="shared" si="1"/>
        <v>extra_muscle</v>
      </c>
      <c r="C679" s="49" t="str">
        <f t="shared" si="2"/>
        <v>S17278XM1</v>
      </c>
      <c r="D679" s="6">
        <v>29.0</v>
      </c>
      <c r="E679" s="10" t="str">
        <f t="shared" si="3"/>
        <v>BXM29</v>
      </c>
      <c r="F679" s="13">
        <v>36.0</v>
      </c>
      <c r="G679" s="10" t="str">
        <f t="shared" si="7"/>
        <v>BXM29-36</v>
      </c>
      <c r="H679" s="16"/>
      <c r="I679" s="16" t="str">
        <f t="shared" si="5"/>
        <v>collected</v>
      </c>
      <c r="J679" s="16" t="str">
        <f t="shared" si="6"/>
        <v>N</v>
      </c>
      <c r="K679" s="16"/>
      <c r="L679" s="16"/>
    </row>
    <row r="680">
      <c r="A680" s="44" t="s">
        <v>83</v>
      </c>
      <c r="B680" s="10" t="str">
        <f t="shared" si="1"/>
        <v>extra_muscle</v>
      </c>
      <c r="C680" s="49" t="str">
        <f t="shared" si="2"/>
        <v>S17041XM1</v>
      </c>
      <c r="D680" s="6">
        <v>29.0</v>
      </c>
      <c r="E680" s="10" t="str">
        <f t="shared" si="3"/>
        <v>BXM29</v>
      </c>
      <c r="F680" s="13">
        <v>37.0</v>
      </c>
      <c r="G680" s="10" t="str">
        <f t="shared" si="7"/>
        <v>BXM29-37</v>
      </c>
      <c r="H680" s="16"/>
      <c r="I680" s="16" t="str">
        <f t="shared" si="5"/>
        <v>collected</v>
      </c>
      <c r="J680" s="16" t="str">
        <f t="shared" si="6"/>
        <v>N</v>
      </c>
      <c r="K680" s="16"/>
      <c r="L680" s="16"/>
    </row>
    <row r="681">
      <c r="A681" s="44" t="s">
        <v>1161</v>
      </c>
      <c r="B681" s="10" t="str">
        <f t="shared" si="1"/>
        <v>extra_muscle</v>
      </c>
      <c r="C681" s="49" t="str">
        <f t="shared" si="2"/>
        <v>S17072XM1</v>
      </c>
      <c r="D681" s="6">
        <v>29.0</v>
      </c>
      <c r="E681" s="10" t="str">
        <f t="shared" si="3"/>
        <v>BXM29</v>
      </c>
      <c r="F681" s="13">
        <v>38.0</v>
      </c>
      <c r="G681" s="10" t="str">
        <f t="shared" si="7"/>
        <v>BXM29-38</v>
      </c>
      <c r="H681" s="16"/>
      <c r="I681" s="16" t="str">
        <f t="shared" si="5"/>
        <v>collected</v>
      </c>
      <c r="J681" s="16" t="str">
        <f t="shared" si="6"/>
        <v>N</v>
      </c>
      <c r="K681" s="16"/>
      <c r="L681" s="16"/>
    </row>
    <row r="682">
      <c r="A682" s="44" t="s">
        <v>1162</v>
      </c>
      <c r="B682" s="10" t="str">
        <f t="shared" si="1"/>
        <v>extra_muscle</v>
      </c>
      <c r="C682" s="49" t="str">
        <f t="shared" si="2"/>
        <v>S17071XM1</v>
      </c>
      <c r="D682" s="6">
        <v>29.0</v>
      </c>
      <c r="E682" s="10" t="str">
        <f t="shared" si="3"/>
        <v>BXM29</v>
      </c>
      <c r="F682" s="13">
        <v>39.0</v>
      </c>
      <c r="G682" s="10" t="str">
        <f t="shared" si="7"/>
        <v>BXM29-39</v>
      </c>
      <c r="H682" s="16"/>
      <c r="I682" s="16" t="str">
        <f t="shared" si="5"/>
        <v>collected</v>
      </c>
      <c r="J682" s="16" t="str">
        <f t="shared" si="6"/>
        <v>N</v>
      </c>
      <c r="K682" s="16"/>
      <c r="L682" s="16"/>
    </row>
    <row r="683">
      <c r="A683" s="44" t="s">
        <v>1164</v>
      </c>
      <c r="B683" s="10" t="str">
        <f t="shared" si="1"/>
        <v>extra_muscle</v>
      </c>
      <c r="C683" s="49" t="str">
        <f t="shared" si="2"/>
        <v>S16123XM1</v>
      </c>
      <c r="D683" s="6">
        <v>29.0</v>
      </c>
      <c r="E683" s="10" t="str">
        <f t="shared" si="3"/>
        <v>BXM29</v>
      </c>
      <c r="F683" s="13">
        <v>40.0</v>
      </c>
      <c r="G683" s="10" t="str">
        <f t="shared" si="7"/>
        <v>BXM29-40</v>
      </c>
      <c r="H683" s="16"/>
      <c r="I683" s="16" t="str">
        <f t="shared" si="5"/>
        <v>collected</v>
      </c>
      <c r="J683" s="16" t="str">
        <f t="shared" si="6"/>
        <v>N</v>
      </c>
      <c r="K683" s="16"/>
      <c r="L683" s="16"/>
    </row>
    <row r="684">
      <c r="A684" s="44" t="s">
        <v>1165</v>
      </c>
      <c r="B684" s="10" t="str">
        <f t="shared" si="1"/>
        <v>extra_muscle</v>
      </c>
      <c r="C684" s="49" t="str">
        <f t="shared" si="2"/>
        <v>S16122XM1</v>
      </c>
      <c r="D684" s="6">
        <v>29.0</v>
      </c>
      <c r="E684" s="10" t="str">
        <f t="shared" si="3"/>
        <v>BXM29</v>
      </c>
      <c r="F684" s="13">
        <v>41.0</v>
      </c>
      <c r="G684" s="10" t="str">
        <f t="shared" si="7"/>
        <v>BXM29-41</v>
      </c>
      <c r="H684" s="16"/>
      <c r="I684" s="16" t="str">
        <f t="shared" si="5"/>
        <v>collected</v>
      </c>
      <c r="J684" s="16" t="str">
        <f t="shared" si="6"/>
        <v>N</v>
      </c>
      <c r="K684" s="16"/>
      <c r="L684" s="16"/>
    </row>
    <row r="685">
      <c r="A685" s="44" t="s">
        <v>1166</v>
      </c>
      <c r="B685" s="10" t="str">
        <f t="shared" si="1"/>
        <v>extra_muscle</v>
      </c>
      <c r="C685" s="49" t="str">
        <f t="shared" si="2"/>
        <v>S16121XM1</v>
      </c>
      <c r="D685" s="6">
        <v>29.0</v>
      </c>
      <c r="E685" s="10" t="str">
        <f t="shared" si="3"/>
        <v>BXM29</v>
      </c>
      <c r="F685" s="13">
        <v>42.0</v>
      </c>
      <c r="G685" s="10" t="str">
        <f t="shared" si="7"/>
        <v>BXM29-42</v>
      </c>
      <c r="H685" s="16"/>
      <c r="I685" s="16" t="str">
        <f t="shared" si="5"/>
        <v>collected</v>
      </c>
      <c r="J685" s="16" t="str">
        <f t="shared" si="6"/>
        <v>N</v>
      </c>
      <c r="K685" s="16"/>
      <c r="L685" s="16"/>
    </row>
    <row r="686">
      <c r="A686" s="44" t="s">
        <v>1167</v>
      </c>
      <c r="B686" s="10" t="str">
        <f t="shared" si="1"/>
        <v>extra_muscle</v>
      </c>
      <c r="C686" s="49" t="str">
        <f t="shared" si="2"/>
        <v>S16453XM1</v>
      </c>
      <c r="D686" s="6">
        <v>29.0</v>
      </c>
      <c r="E686" s="10" t="str">
        <f t="shared" si="3"/>
        <v>BXM29</v>
      </c>
      <c r="F686" s="13">
        <v>43.0</v>
      </c>
      <c r="G686" s="10" t="str">
        <f t="shared" si="7"/>
        <v>BXM29-43</v>
      </c>
      <c r="H686" s="16"/>
      <c r="I686" s="16" t="str">
        <f t="shared" si="5"/>
        <v>collected</v>
      </c>
      <c r="J686" s="16" t="str">
        <f t="shared" si="6"/>
        <v>N</v>
      </c>
      <c r="K686" s="16"/>
      <c r="L686" s="16"/>
    </row>
    <row r="687">
      <c r="A687" s="44" t="s">
        <v>1168</v>
      </c>
      <c r="B687" s="10" t="str">
        <f t="shared" si="1"/>
        <v>extra_muscle</v>
      </c>
      <c r="C687" s="49" t="str">
        <f t="shared" si="2"/>
        <v>S16454XM1</v>
      </c>
      <c r="D687" s="6">
        <v>29.0</v>
      </c>
      <c r="E687" s="10" t="str">
        <f t="shared" si="3"/>
        <v>BXM29</v>
      </c>
      <c r="F687" s="13">
        <v>44.0</v>
      </c>
      <c r="G687" s="10" t="str">
        <f t="shared" si="7"/>
        <v>BXM29-44</v>
      </c>
      <c r="I687" s="16" t="str">
        <f t="shared" si="5"/>
        <v>collected</v>
      </c>
      <c r="J687" s="16" t="str">
        <f t="shared" si="6"/>
        <v>N</v>
      </c>
      <c r="K687" s="16"/>
      <c r="L687" s="16"/>
    </row>
    <row r="688">
      <c r="A688" s="43" t="s">
        <v>1171</v>
      </c>
      <c r="B688" s="10" t="str">
        <f t="shared" si="1"/>
        <v>extra_muscle</v>
      </c>
      <c r="C688" s="49" t="str">
        <f t="shared" si="2"/>
        <v>S16451XM1</v>
      </c>
      <c r="D688" s="6">
        <v>29.0</v>
      </c>
      <c r="E688" s="10" t="str">
        <f t="shared" si="3"/>
        <v>BXM29</v>
      </c>
      <c r="F688" s="13">
        <v>45.0</v>
      </c>
      <c r="G688" s="10" t="str">
        <f t="shared" si="7"/>
        <v>BXM29-45</v>
      </c>
      <c r="I688" s="16" t="str">
        <f t="shared" si="5"/>
        <v>collected</v>
      </c>
      <c r="J688" s="16" t="str">
        <f t="shared" si="6"/>
        <v>N</v>
      </c>
      <c r="K688" s="16"/>
      <c r="L688" s="16"/>
    </row>
    <row r="689">
      <c r="A689" s="43" t="s">
        <v>1173</v>
      </c>
      <c r="B689" s="10" t="str">
        <f t="shared" si="1"/>
        <v>extra_muscle</v>
      </c>
      <c r="C689" s="49" t="str">
        <f t="shared" si="2"/>
        <v>S16452XM1</v>
      </c>
      <c r="D689" s="6">
        <v>29.0</v>
      </c>
      <c r="E689" s="10" t="str">
        <f t="shared" si="3"/>
        <v>BXM29</v>
      </c>
      <c r="F689" s="13">
        <v>46.0</v>
      </c>
      <c r="G689" s="10" t="str">
        <f t="shared" si="7"/>
        <v>BXM29-46</v>
      </c>
      <c r="I689" s="16" t="str">
        <f t="shared" si="5"/>
        <v>collected</v>
      </c>
      <c r="J689" s="16" t="str">
        <f t="shared" si="6"/>
        <v>N</v>
      </c>
      <c r="K689" s="16"/>
      <c r="L689" s="16"/>
    </row>
    <row r="690">
      <c r="A690" s="43" t="s">
        <v>1174</v>
      </c>
      <c r="B690" s="10" t="str">
        <f t="shared" si="1"/>
        <v>extra_muscle</v>
      </c>
      <c r="C690" s="49" t="str">
        <f t="shared" si="2"/>
        <v>S16581XM1</v>
      </c>
      <c r="D690" s="6">
        <v>29.0</v>
      </c>
      <c r="E690" s="10" t="str">
        <f t="shared" si="3"/>
        <v>BXM29</v>
      </c>
      <c r="F690" s="13">
        <v>47.0</v>
      </c>
      <c r="G690" s="10" t="str">
        <f t="shared" si="7"/>
        <v>BXM29-47</v>
      </c>
      <c r="I690" s="16" t="str">
        <f t="shared" si="5"/>
        <v>collected</v>
      </c>
      <c r="J690" s="16" t="str">
        <f t="shared" si="6"/>
        <v>N</v>
      </c>
      <c r="K690" s="16"/>
      <c r="L690" s="16"/>
    </row>
    <row r="691">
      <c r="A691" s="43" t="s">
        <v>1175</v>
      </c>
      <c r="B691" s="10" t="str">
        <f t="shared" si="1"/>
        <v>extra_muscle</v>
      </c>
      <c r="C691" s="49" t="str">
        <f t="shared" si="2"/>
        <v>S16585XM1</v>
      </c>
      <c r="D691" s="6">
        <v>29.0</v>
      </c>
      <c r="E691" s="10" t="str">
        <f t="shared" si="3"/>
        <v>BXM29</v>
      </c>
      <c r="F691" s="13">
        <v>48.0</v>
      </c>
      <c r="G691" s="10" t="str">
        <f t="shared" si="7"/>
        <v>BXM29-48</v>
      </c>
      <c r="I691" s="16" t="str">
        <f t="shared" si="5"/>
        <v>collected</v>
      </c>
      <c r="J691" s="16" t="str">
        <f t="shared" si="6"/>
        <v>N</v>
      </c>
      <c r="K691" s="16"/>
      <c r="L691" s="16"/>
    </row>
    <row r="692">
      <c r="A692" s="43" t="s">
        <v>1176</v>
      </c>
      <c r="B692" s="10" t="str">
        <f t="shared" si="1"/>
        <v>extra_muscle</v>
      </c>
      <c r="C692" s="49" t="str">
        <f t="shared" si="2"/>
        <v>S16584XM1</v>
      </c>
      <c r="D692" s="6">
        <v>29.0</v>
      </c>
      <c r="E692" s="10" t="str">
        <f t="shared" si="3"/>
        <v>BXM29</v>
      </c>
      <c r="F692" s="13">
        <v>49.0</v>
      </c>
      <c r="G692" s="10" t="str">
        <f t="shared" si="7"/>
        <v>BXM29-49</v>
      </c>
      <c r="I692" s="16" t="str">
        <f t="shared" si="5"/>
        <v>collected</v>
      </c>
      <c r="J692" s="16" t="str">
        <f t="shared" si="6"/>
        <v>N</v>
      </c>
      <c r="K692" s="16"/>
      <c r="L692" s="16"/>
    </row>
    <row r="693">
      <c r="A693" s="43" t="s">
        <v>97</v>
      </c>
      <c r="B693" s="10" t="str">
        <f t="shared" si="1"/>
        <v>extra_muscle</v>
      </c>
      <c r="C693" s="49" t="str">
        <f t="shared" si="2"/>
        <v>S16583XM1</v>
      </c>
      <c r="D693" s="6">
        <v>29.0</v>
      </c>
      <c r="E693" s="10" t="str">
        <f t="shared" si="3"/>
        <v>BXM29</v>
      </c>
      <c r="F693" s="13">
        <v>50.0</v>
      </c>
      <c r="G693" s="10" t="str">
        <f t="shared" si="7"/>
        <v>BXM29-50</v>
      </c>
      <c r="I693" s="16" t="str">
        <f t="shared" si="5"/>
        <v>collected</v>
      </c>
      <c r="J693" s="16" t="str">
        <f t="shared" si="6"/>
        <v>N</v>
      </c>
      <c r="K693" s="16"/>
      <c r="L693" s="16"/>
    </row>
    <row r="694">
      <c r="A694" s="43" t="s">
        <v>107</v>
      </c>
      <c r="B694" s="10" t="str">
        <f t="shared" si="1"/>
        <v>extra_muscle</v>
      </c>
      <c r="C694" s="49" t="str">
        <f t="shared" si="2"/>
        <v>S16582XM1</v>
      </c>
      <c r="D694" s="6">
        <v>29.0</v>
      </c>
      <c r="E694" s="10" t="str">
        <f t="shared" si="3"/>
        <v>BXM29</v>
      </c>
      <c r="F694" s="13">
        <v>51.0</v>
      </c>
      <c r="G694" s="10" t="str">
        <f t="shared" si="7"/>
        <v>BXM29-51</v>
      </c>
      <c r="I694" s="16" t="str">
        <f t="shared" si="5"/>
        <v>collected</v>
      </c>
      <c r="J694" s="16" t="str">
        <f t="shared" si="6"/>
        <v>N</v>
      </c>
      <c r="K694" s="16"/>
      <c r="L694" s="16"/>
    </row>
    <row r="695">
      <c r="A695" s="43" t="s">
        <v>115</v>
      </c>
      <c r="B695" s="10" t="str">
        <f t="shared" si="1"/>
        <v>extra_muscle</v>
      </c>
      <c r="C695" s="49" t="str">
        <f t="shared" si="2"/>
        <v>S16901XM1</v>
      </c>
      <c r="D695" s="6">
        <v>29.0</v>
      </c>
      <c r="E695" s="10" t="str">
        <f t="shared" si="3"/>
        <v>BXM29</v>
      </c>
      <c r="F695" s="13">
        <v>52.0</v>
      </c>
      <c r="G695" s="10" t="str">
        <f t="shared" si="7"/>
        <v>BXM29-52</v>
      </c>
      <c r="I695" s="16" t="str">
        <f t="shared" si="5"/>
        <v>collected</v>
      </c>
      <c r="J695" s="16" t="str">
        <f t="shared" si="6"/>
        <v>N</v>
      </c>
      <c r="K695" s="16"/>
      <c r="L695" s="16"/>
    </row>
    <row r="696">
      <c r="A696" s="43" t="s">
        <v>122</v>
      </c>
      <c r="B696" s="10" t="str">
        <f t="shared" si="1"/>
        <v>extra_muscle</v>
      </c>
      <c r="C696" s="49" t="str">
        <f t="shared" si="2"/>
        <v>S17871XM1</v>
      </c>
      <c r="D696" s="6">
        <v>29.0</v>
      </c>
      <c r="E696" s="10" t="str">
        <f t="shared" si="3"/>
        <v>BXM29</v>
      </c>
      <c r="F696" s="13">
        <v>53.0</v>
      </c>
      <c r="G696" s="10" t="str">
        <f t="shared" si="7"/>
        <v>BXM29-53</v>
      </c>
      <c r="I696" s="16" t="str">
        <f t="shared" si="5"/>
        <v>collected</v>
      </c>
      <c r="J696" s="16" t="str">
        <f t="shared" si="6"/>
        <v>N</v>
      </c>
      <c r="K696" s="16"/>
      <c r="L696" s="16"/>
    </row>
    <row r="697">
      <c r="A697" s="43" t="s">
        <v>132</v>
      </c>
      <c r="B697" s="10" t="str">
        <f t="shared" si="1"/>
        <v>extra_muscle</v>
      </c>
      <c r="C697" s="49" t="str">
        <f t="shared" si="2"/>
        <v>S17661XM1</v>
      </c>
      <c r="D697" s="6">
        <v>29.0</v>
      </c>
      <c r="E697" s="10" t="str">
        <f t="shared" si="3"/>
        <v>BXM29</v>
      </c>
      <c r="F697" s="13">
        <v>54.0</v>
      </c>
      <c r="G697" s="10" t="str">
        <f t="shared" si="7"/>
        <v>BXM29-54</v>
      </c>
      <c r="I697" s="16" t="str">
        <f t="shared" si="5"/>
        <v>collected</v>
      </c>
      <c r="J697" s="16" t="str">
        <f t="shared" si="6"/>
        <v>N</v>
      </c>
      <c r="K697" s="16"/>
      <c r="L697" s="16"/>
    </row>
    <row r="698">
      <c r="A698" s="43" t="s">
        <v>140</v>
      </c>
      <c r="B698" s="10" t="str">
        <f t="shared" si="1"/>
        <v>extra_muscle</v>
      </c>
      <c r="C698" s="49" t="str">
        <f t="shared" si="2"/>
        <v>S17125XM1</v>
      </c>
      <c r="D698" s="6">
        <v>29.0</v>
      </c>
      <c r="E698" s="10" t="str">
        <f t="shared" si="3"/>
        <v>BXM29</v>
      </c>
      <c r="F698" s="13">
        <v>55.0</v>
      </c>
      <c r="G698" s="10" t="str">
        <f t="shared" si="7"/>
        <v>BXM29-55</v>
      </c>
      <c r="I698" s="16" t="str">
        <f t="shared" si="5"/>
        <v>collected</v>
      </c>
      <c r="J698" s="16" t="str">
        <f t="shared" si="6"/>
        <v>N</v>
      </c>
      <c r="K698" s="16"/>
      <c r="L698" s="16"/>
    </row>
    <row r="699">
      <c r="A699" s="43" t="s">
        <v>147</v>
      </c>
      <c r="B699" s="10" t="str">
        <f t="shared" si="1"/>
        <v>extra_muscle</v>
      </c>
      <c r="C699" s="49" t="str">
        <f t="shared" si="2"/>
        <v>S17123XM1</v>
      </c>
      <c r="D699" s="6">
        <v>29.0</v>
      </c>
      <c r="E699" s="10" t="str">
        <f t="shared" si="3"/>
        <v>BXM29</v>
      </c>
      <c r="F699" s="13">
        <v>56.0</v>
      </c>
      <c r="G699" s="10" t="str">
        <f t="shared" si="7"/>
        <v>BXM29-56</v>
      </c>
      <c r="I699" s="16" t="str">
        <f t="shared" si="5"/>
        <v>collected</v>
      </c>
      <c r="J699" s="16" t="str">
        <f t="shared" si="6"/>
        <v>N</v>
      </c>
      <c r="K699" s="16"/>
      <c r="L699" s="16"/>
    </row>
    <row r="700">
      <c r="A700" s="43" t="s">
        <v>157</v>
      </c>
      <c r="B700" s="10" t="str">
        <f t="shared" si="1"/>
        <v>extra_muscle</v>
      </c>
      <c r="C700" s="49" t="str">
        <f t="shared" si="2"/>
        <v>S17122XM1</v>
      </c>
      <c r="D700" s="6">
        <v>29.0</v>
      </c>
      <c r="E700" s="10" t="str">
        <f t="shared" si="3"/>
        <v>BXM29</v>
      </c>
      <c r="F700" s="13">
        <v>57.0</v>
      </c>
      <c r="G700" s="10" t="str">
        <f t="shared" si="7"/>
        <v>BXM29-57</v>
      </c>
      <c r="I700" s="16" t="str">
        <f t="shared" si="5"/>
        <v>collected</v>
      </c>
      <c r="J700" s="16" t="str">
        <f t="shared" si="6"/>
        <v>N</v>
      </c>
      <c r="K700" s="16"/>
      <c r="L700" s="16"/>
    </row>
    <row r="701">
      <c r="A701" s="43" t="s">
        <v>165</v>
      </c>
      <c r="B701" s="10" t="str">
        <f t="shared" si="1"/>
        <v>extra_muscle</v>
      </c>
      <c r="C701" s="49" t="str">
        <f t="shared" si="2"/>
        <v>S17124XM1</v>
      </c>
      <c r="D701" s="6">
        <v>29.0</v>
      </c>
      <c r="E701" s="10" t="str">
        <f t="shared" si="3"/>
        <v>BXM29</v>
      </c>
      <c r="F701" s="13">
        <v>58.0</v>
      </c>
      <c r="G701" s="10" t="str">
        <f t="shared" si="7"/>
        <v>BXM29-58</v>
      </c>
      <c r="I701" s="16" t="str">
        <f t="shared" si="5"/>
        <v>collected</v>
      </c>
      <c r="J701" s="16" t="str">
        <f t="shared" si="6"/>
        <v>N</v>
      </c>
      <c r="K701" s="16"/>
      <c r="L701" s="16"/>
    </row>
    <row r="702">
      <c r="A702" s="6" t="s">
        <v>170</v>
      </c>
      <c r="B702" s="10" t="str">
        <f t="shared" si="1"/>
        <v>extra_muscle</v>
      </c>
      <c r="C702" s="49" t="str">
        <f t="shared" si="2"/>
        <v>S16544XM1</v>
      </c>
      <c r="D702" s="6">
        <v>30.0</v>
      </c>
      <c r="E702" s="10" t="str">
        <f t="shared" si="3"/>
        <v>BXM30</v>
      </c>
      <c r="F702" s="13">
        <v>17.0</v>
      </c>
      <c r="G702" s="10" t="str">
        <f t="shared" si="7"/>
        <v>BXM30-17</v>
      </c>
      <c r="I702" s="16" t="str">
        <f t="shared" si="5"/>
        <v>collected</v>
      </c>
      <c r="J702" s="16" t="str">
        <f t="shared" si="6"/>
        <v>N</v>
      </c>
      <c r="K702" s="16"/>
      <c r="L702" s="16"/>
    </row>
    <row r="703">
      <c r="A703" s="6" t="s">
        <v>178</v>
      </c>
      <c r="B703" s="10" t="str">
        <f t="shared" si="1"/>
        <v>extra_muscle</v>
      </c>
      <c r="C703" s="49" t="str">
        <f t="shared" si="2"/>
        <v>S16545XM1</v>
      </c>
      <c r="D703" s="6">
        <v>30.0</v>
      </c>
      <c r="E703" s="10" t="str">
        <f t="shared" si="3"/>
        <v>BXM30</v>
      </c>
      <c r="F703" s="13">
        <v>18.0</v>
      </c>
      <c r="G703" s="10" t="str">
        <f t="shared" si="7"/>
        <v>BXM30-18</v>
      </c>
      <c r="I703" s="16" t="str">
        <f t="shared" si="5"/>
        <v>collected</v>
      </c>
      <c r="J703" s="16" t="str">
        <f t="shared" si="6"/>
        <v>N</v>
      </c>
      <c r="K703" s="16"/>
      <c r="L703" s="16"/>
    </row>
    <row r="704">
      <c r="A704" s="6" t="s">
        <v>1183</v>
      </c>
      <c r="B704" s="10" t="str">
        <f t="shared" si="1"/>
        <v>extra_muscle</v>
      </c>
      <c r="C704" s="49" t="str">
        <f t="shared" si="2"/>
        <v>S16546XM1</v>
      </c>
      <c r="D704" s="6">
        <v>30.0</v>
      </c>
      <c r="E704" s="10" t="str">
        <f t="shared" si="3"/>
        <v>BXM30</v>
      </c>
      <c r="F704" s="13">
        <v>19.0</v>
      </c>
      <c r="G704" s="10" t="str">
        <f t="shared" si="7"/>
        <v>BXM30-19</v>
      </c>
      <c r="I704" s="16" t="str">
        <f t="shared" si="5"/>
        <v>collected</v>
      </c>
      <c r="J704" s="16" t="str">
        <f t="shared" si="6"/>
        <v>N</v>
      </c>
      <c r="K704" s="16"/>
      <c r="L704" s="16"/>
    </row>
    <row r="705">
      <c r="A705" s="6" t="s">
        <v>186</v>
      </c>
      <c r="B705" s="10" t="str">
        <f t="shared" si="1"/>
        <v>extra_muscle</v>
      </c>
      <c r="C705" s="49" t="str">
        <f t="shared" si="2"/>
        <v>S16547XM1</v>
      </c>
      <c r="D705" s="6">
        <v>30.0</v>
      </c>
      <c r="E705" s="10" t="str">
        <f t="shared" si="3"/>
        <v>BXM30</v>
      </c>
      <c r="F705" s="13">
        <v>20.0</v>
      </c>
      <c r="G705" s="10" t="str">
        <f t="shared" si="7"/>
        <v>BXM30-20</v>
      </c>
      <c r="I705" s="16" t="str">
        <f t="shared" si="5"/>
        <v>collected</v>
      </c>
      <c r="J705" s="16" t="str">
        <f t="shared" si="6"/>
        <v>N</v>
      </c>
      <c r="K705" s="16"/>
      <c r="L705" s="16"/>
    </row>
    <row r="706">
      <c r="A706" s="6" t="s">
        <v>192</v>
      </c>
      <c r="B706" s="10" t="str">
        <f t="shared" si="1"/>
        <v>extra_muscle</v>
      </c>
      <c r="C706" s="49" t="str">
        <f t="shared" si="2"/>
        <v>S16548XM1</v>
      </c>
      <c r="D706" s="6">
        <v>30.0</v>
      </c>
      <c r="E706" s="10" t="str">
        <f t="shared" si="3"/>
        <v>BXM30</v>
      </c>
      <c r="F706" s="13">
        <v>21.0</v>
      </c>
      <c r="G706" s="10" t="str">
        <f t="shared" si="7"/>
        <v>BXM30-21</v>
      </c>
      <c r="H706" s="31"/>
      <c r="I706" s="16" t="str">
        <f t="shared" si="5"/>
        <v>collected</v>
      </c>
      <c r="J706" s="16" t="str">
        <f t="shared" si="6"/>
        <v>N</v>
      </c>
      <c r="K706" s="16"/>
      <c r="L706" s="16"/>
    </row>
    <row r="707">
      <c r="A707" s="6" t="s">
        <v>200</v>
      </c>
      <c r="B707" s="10" t="str">
        <f t="shared" si="1"/>
        <v>extra_muscle</v>
      </c>
      <c r="C707" s="49" t="str">
        <f t="shared" si="2"/>
        <v>S16549XM1</v>
      </c>
      <c r="D707" s="6">
        <v>30.0</v>
      </c>
      <c r="E707" s="10" t="str">
        <f t="shared" si="3"/>
        <v>BXM30</v>
      </c>
      <c r="F707" s="13">
        <v>22.0</v>
      </c>
      <c r="G707" s="10" t="str">
        <f t="shared" si="7"/>
        <v>BXM30-22</v>
      </c>
      <c r="I707" s="16" t="str">
        <f t="shared" si="5"/>
        <v>collected</v>
      </c>
      <c r="J707" s="16" t="str">
        <f t="shared" si="6"/>
        <v>N</v>
      </c>
      <c r="K707" s="16"/>
      <c r="L707" s="16"/>
    </row>
    <row r="708">
      <c r="A708" s="26" t="s">
        <v>208</v>
      </c>
      <c r="B708" s="10" t="str">
        <f t="shared" si="1"/>
        <v>extra_muscle</v>
      </c>
      <c r="C708" s="49" t="str">
        <f t="shared" si="2"/>
        <v>S16550XM1</v>
      </c>
      <c r="D708" s="6">
        <v>30.0</v>
      </c>
      <c r="E708" s="10" t="str">
        <f t="shared" si="3"/>
        <v>BXM30</v>
      </c>
      <c r="F708" s="13">
        <v>23.0</v>
      </c>
      <c r="G708" s="10" t="str">
        <f t="shared" si="7"/>
        <v>BXM30-23</v>
      </c>
      <c r="I708" s="16" t="str">
        <f t="shared" si="5"/>
        <v>collected</v>
      </c>
      <c r="J708" s="16" t="str">
        <f t="shared" si="6"/>
        <v>N</v>
      </c>
      <c r="K708" s="16"/>
      <c r="L708" s="16"/>
    </row>
    <row r="709">
      <c r="A709" s="26" t="s">
        <v>216</v>
      </c>
      <c r="B709" s="10" t="str">
        <f t="shared" si="1"/>
        <v>extra_muscle</v>
      </c>
      <c r="C709" s="49" t="str">
        <f t="shared" si="2"/>
        <v>S16621XM1</v>
      </c>
      <c r="D709" s="6">
        <v>30.0</v>
      </c>
      <c r="E709" s="10" t="str">
        <f t="shared" si="3"/>
        <v>BXM30</v>
      </c>
      <c r="F709" s="13">
        <v>24.0</v>
      </c>
      <c r="G709" s="10" t="str">
        <f t="shared" si="7"/>
        <v>BXM30-24</v>
      </c>
      <c r="I709" s="16" t="str">
        <f t="shared" si="5"/>
        <v>collected</v>
      </c>
      <c r="J709" s="16" t="str">
        <f t="shared" si="6"/>
        <v>N</v>
      </c>
      <c r="K709" s="16"/>
      <c r="L709" s="16"/>
    </row>
    <row r="710">
      <c r="A710" s="26" t="s">
        <v>224</v>
      </c>
      <c r="B710" s="10" t="str">
        <f t="shared" si="1"/>
        <v>extra_muscle</v>
      </c>
      <c r="C710" s="49" t="str">
        <f t="shared" si="2"/>
        <v>S16622XM1</v>
      </c>
      <c r="D710" s="6">
        <v>30.0</v>
      </c>
      <c r="E710" s="10" t="str">
        <f t="shared" si="3"/>
        <v>BXM30</v>
      </c>
      <c r="F710" s="13">
        <v>25.0</v>
      </c>
      <c r="G710" s="10" t="str">
        <f t="shared" si="7"/>
        <v>BXM30-25</v>
      </c>
      <c r="I710" s="16" t="str">
        <f t="shared" si="5"/>
        <v>collected</v>
      </c>
      <c r="J710" s="16" t="str">
        <f t="shared" si="6"/>
        <v>N</v>
      </c>
      <c r="K710" s="16"/>
      <c r="L710" s="16"/>
    </row>
    <row r="711">
      <c r="A711" s="26" t="s">
        <v>1188</v>
      </c>
      <c r="B711" s="10" t="str">
        <f t="shared" si="1"/>
        <v>extra_muscle</v>
      </c>
      <c r="C711" s="49" t="str">
        <f t="shared" si="2"/>
        <v>S16623XM1</v>
      </c>
      <c r="D711" s="6">
        <v>30.0</v>
      </c>
      <c r="E711" s="10" t="str">
        <f t="shared" si="3"/>
        <v>BXM30</v>
      </c>
      <c r="F711" s="13">
        <v>26.0</v>
      </c>
      <c r="G711" s="10" t="str">
        <f t="shared" si="7"/>
        <v>BXM30-26</v>
      </c>
      <c r="I711" s="16" t="str">
        <f t="shared" si="5"/>
        <v>collected</v>
      </c>
      <c r="J711" s="16" t="str">
        <f t="shared" si="6"/>
        <v>N</v>
      </c>
      <c r="K711" s="16"/>
      <c r="L711" s="16"/>
    </row>
    <row r="712">
      <c r="A712" s="26" t="s">
        <v>1189</v>
      </c>
      <c r="B712" s="10" t="str">
        <f t="shared" si="1"/>
        <v>extra_muscle</v>
      </c>
      <c r="C712" s="49" t="str">
        <f t="shared" si="2"/>
        <v>S16624XM1</v>
      </c>
      <c r="D712" s="6">
        <v>30.0</v>
      </c>
      <c r="E712" s="10" t="str">
        <f t="shared" si="3"/>
        <v>BXM30</v>
      </c>
      <c r="F712" s="13">
        <v>27.0</v>
      </c>
      <c r="G712" s="10" t="str">
        <f t="shared" si="7"/>
        <v>BXM30-27</v>
      </c>
      <c r="I712" s="16" t="str">
        <f t="shared" si="5"/>
        <v>collected</v>
      </c>
      <c r="J712" s="16" t="str">
        <f t="shared" si="6"/>
        <v>N</v>
      </c>
      <c r="K712" s="16"/>
      <c r="L712" s="16"/>
    </row>
    <row r="713">
      <c r="A713" s="26" t="s">
        <v>231</v>
      </c>
      <c r="B713" s="10" t="str">
        <f t="shared" si="1"/>
        <v>extra_muscle</v>
      </c>
      <c r="C713" s="49" t="str">
        <f t="shared" si="2"/>
        <v>S16625XM1</v>
      </c>
      <c r="D713" s="6">
        <v>30.0</v>
      </c>
      <c r="E713" s="10" t="str">
        <f t="shared" si="3"/>
        <v>BXM30</v>
      </c>
      <c r="F713" s="13">
        <v>28.0</v>
      </c>
      <c r="G713" s="10" t="str">
        <f t="shared" si="7"/>
        <v>BXM30-28</v>
      </c>
      <c r="I713" s="16" t="str">
        <f t="shared" si="5"/>
        <v>collected</v>
      </c>
      <c r="J713" s="16" t="str">
        <f t="shared" si="6"/>
        <v>N</v>
      </c>
      <c r="K713" s="16"/>
      <c r="L713" s="16"/>
    </row>
    <row r="714">
      <c r="A714" s="26" t="s">
        <v>236</v>
      </c>
      <c r="B714" s="10" t="str">
        <f t="shared" si="1"/>
        <v>extra_muscle</v>
      </c>
      <c r="C714" s="49" t="str">
        <f t="shared" si="2"/>
        <v>S16626XM1</v>
      </c>
      <c r="D714" s="6">
        <v>30.0</v>
      </c>
      <c r="E714" s="10" t="str">
        <f t="shared" si="3"/>
        <v>BXM30</v>
      </c>
      <c r="F714" s="13">
        <v>29.0</v>
      </c>
      <c r="G714" s="10" t="str">
        <f t="shared" si="7"/>
        <v>BXM30-29</v>
      </c>
      <c r="I714" s="16" t="str">
        <f t="shared" si="5"/>
        <v>collected</v>
      </c>
      <c r="J714" s="16" t="str">
        <f t="shared" si="6"/>
        <v>N</v>
      </c>
      <c r="K714" s="16"/>
      <c r="L714" s="16"/>
    </row>
    <row r="715">
      <c r="A715" s="26" t="s">
        <v>243</v>
      </c>
      <c r="B715" s="10" t="str">
        <f t="shared" si="1"/>
        <v>extra_muscle</v>
      </c>
      <c r="C715" s="49" t="str">
        <f t="shared" si="2"/>
        <v>S16911XM1</v>
      </c>
      <c r="D715" s="6">
        <v>30.0</v>
      </c>
      <c r="E715" s="10" t="str">
        <f t="shared" si="3"/>
        <v>BXM30</v>
      </c>
      <c r="F715" s="13">
        <v>30.0</v>
      </c>
      <c r="G715" s="10" t="str">
        <f t="shared" si="7"/>
        <v>BXM30-30</v>
      </c>
      <c r="I715" s="16" t="str">
        <f t="shared" si="5"/>
        <v>collected</v>
      </c>
      <c r="J715" s="16" t="str">
        <f t="shared" si="6"/>
        <v>N</v>
      </c>
      <c r="K715" s="16"/>
      <c r="L715" s="16"/>
    </row>
    <row r="716">
      <c r="A716" s="26" t="s">
        <v>251</v>
      </c>
      <c r="B716" s="10" t="str">
        <f t="shared" si="1"/>
        <v>extra_muscle</v>
      </c>
      <c r="C716" s="49" t="str">
        <f t="shared" si="2"/>
        <v>S16912XM1</v>
      </c>
      <c r="D716" s="6">
        <v>30.0</v>
      </c>
      <c r="E716" s="10" t="str">
        <f t="shared" si="3"/>
        <v>BXM30</v>
      </c>
      <c r="F716" s="13">
        <v>31.0</v>
      </c>
      <c r="G716" s="10" t="str">
        <f t="shared" si="7"/>
        <v>BXM30-31</v>
      </c>
      <c r="I716" s="16" t="str">
        <f t="shared" si="5"/>
        <v>collected</v>
      </c>
      <c r="J716" s="16" t="str">
        <f t="shared" si="6"/>
        <v>N</v>
      </c>
      <c r="K716" s="16"/>
      <c r="L716" s="16"/>
    </row>
    <row r="717">
      <c r="A717" s="26" t="s">
        <v>259</v>
      </c>
      <c r="B717" s="10" t="str">
        <f t="shared" si="1"/>
        <v>extra_muscle</v>
      </c>
      <c r="C717" s="49" t="str">
        <f t="shared" si="2"/>
        <v>S16913XM1</v>
      </c>
      <c r="D717" s="6">
        <v>30.0</v>
      </c>
      <c r="E717" s="10" t="str">
        <f t="shared" si="3"/>
        <v>BXM30</v>
      </c>
      <c r="F717" s="13">
        <v>32.0</v>
      </c>
      <c r="G717" s="10" t="str">
        <f t="shared" si="7"/>
        <v>BXM30-32</v>
      </c>
      <c r="I717" s="16" t="str">
        <f t="shared" si="5"/>
        <v>collected</v>
      </c>
      <c r="J717" s="16" t="str">
        <f t="shared" si="6"/>
        <v>N</v>
      </c>
      <c r="K717" s="16"/>
      <c r="L717" s="16"/>
    </row>
    <row r="718">
      <c r="A718" s="26" t="s">
        <v>265</v>
      </c>
      <c r="B718" s="10" t="str">
        <f t="shared" si="1"/>
        <v>extra_muscle</v>
      </c>
      <c r="C718" s="49" t="str">
        <f t="shared" si="2"/>
        <v>S16914XM1</v>
      </c>
      <c r="D718" s="6">
        <v>30.0</v>
      </c>
      <c r="E718" s="10" t="str">
        <f t="shared" si="3"/>
        <v>BXM30</v>
      </c>
      <c r="F718" s="13">
        <v>33.0</v>
      </c>
      <c r="G718" s="10" t="str">
        <f t="shared" si="7"/>
        <v>BXM30-33</v>
      </c>
      <c r="I718" s="16" t="str">
        <f t="shared" si="5"/>
        <v>collected</v>
      </c>
      <c r="J718" s="16" t="str">
        <f t="shared" si="6"/>
        <v>N</v>
      </c>
      <c r="K718" s="16"/>
      <c r="L718" s="16"/>
    </row>
    <row r="719">
      <c r="A719" s="26" t="s">
        <v>275</v>
      </c>
      <c r="B719" s="10" t="str">
        <f t="shared" si="1"/>
        <v>extra_muscle</v>
      </c>
      <c r="C719" s="49" t="str">
        <f t="shared" si="2"/>
        <v>S16915XM1</v>
      </c>
      <c r="D719" s="6">
        <v>30.0</v>
      </c>
      <c r="E719" s="10" t="str">
        <f t="shared" si="3"/>
        <v>BXM30</v>
      </c>
      <c r="F719" s="13">
        <v>34.0</v>
      </c>
      <c r="G719" s="10" t="str">
        <f t="shared" si="7"/>
        <v>BXM30-34</v>
      </c>
      <c r="I719" s="16" t="str">
        <f t="shared" si="5"/>
        <v>collected</v>
      </c>
      <c r="J719" s="16" t="str">
        <f t="shared" si="6"/>
        <v>N</v>
      </c>
      <c r="K719" s="16"/>
      <c r="L719" s="16"/>
    </row>
    <row r="720">
      <c r="A720" s="26" t="s">
        <v>283</v>
      </c>
      <c r="B720" s="10" t="str">
        <f t="shared" si="1"/>
        <v>extra_muscle</v>
      </c>
      <c r="C720" s="49" t="str">
        <f t="shared" si="2"/>
        <v>S16916XM1</v>
      </c>
      <c r="D720" s="6">
        <v>30.0</v>
      </c>
      <c r="E720" s="10" t="str">
        <f t="shared" si="3"/>
        <v>BXM30</v>
      </c>
      <c r="F720" s="13">
        <v>35.0</v>
      </c>
      <c r="G720" s="10" t="str">
        <f t="shared" si="7"/>
        <v>BXM30-35</v>
      </c>
      <c r="I720" s="16" t="str">
        <f t="shared" si="5"/>
        <v>collected</v>
      </c>
      <c r="J720" s="16" t="str">
        <f t="shared" si="6"/>
        <v>N</v>
      </c>
      <c r="K720" s="16"/>
      <c r="L720" s="16"/>
    </row>
    <row r="721">
      <c r="A721" s="26" t="s">
        <v>290</v>
      </c>
      <c r="B721" s="10" t="str">
        <f t="shared" si="1"/>
        <v>extra_muscle</v>
      </c>
      <c r="C721" s="49" t="str">
        <f t="shared" si="2"/>
        <v>S16917XM1</v>
      </c>
      <c r="D721" s="6">
        <v>30.0</v>
      </c>
      <c r="E721" s="10" t="str">
        <f t="shared" si="3"/>
        <v>BXM30</v>
      </c>
      <c r="F721" s="13">
        <v>36.0</v>
      </c>
      <c r="G721" s="10" t="str">
        <f t="shared" si="7"/>
        <v>BXM30-36</v>
      </c>
      <c r="H721" s="9" t="s">
        <v>2205</v>
      </c>
      <c r="I721" s="16" t="str">
        <f t="shared" si="5"/>
        <v>collected</v>
      </c>
      <c r="J721" s="16" t="str">
        <f t="shared" si="6"/>
        <v>N</v>
      </c>
      <c r="K721" s="16"/>
      <c r="L721" s="16"/>
    </row>
    <row r="722">
      <c r="A722" s="26" t="s">
        <v>299</v>
      </c>
      <c r="B722" s="10" t="str">
        <f t="shared" si="1"/>
        <v>extra_muscle</v>
      </c>
      <c r="C722" s="49" t="str">
        <f t="shared" si="2"/>
        <v>S16918XM1</v>
      </c>
      <c r="D722" s="6">
        <v>30.0</v>
      </c>
      <c r="E722" s="10" t="str">
        <f t="shared" si="3"/>
        <v>BXM30</v>
      </c>
      <c r="F722" s="13">
        <v>37.0</v>
      </c>
      <c r="G722" s="10" t="str">
        <f t="shared" si="7"/>
        <v>BXM30-37</v>
      </c>
      <c r="I722" s="16" t="str">
        <f t="shared" si="5"/>
        <v>collected</v>
      </c>
      <c r="J722" s="16" t="str">
        <f t="shared" si="6"/>
        <v>N</v>
      </c>
      <c r="K722" s="16"/>
      <c r="L722" s="16"/>
    </row>
    <row r="723">
      <c r="A723" s="26" t="s">
        <v>306</v>
      </c>
      <c r="B723" s="10" t="str">
        <f t="shared" si="1"/>
        <v>extra_muscle</v>
      </c>
      <c r="C723" s="49" t="str">
        <f t="shared" si="2"/>
        <v>S16919XM1</v>
      </c>
      <c r="D723" s="6">
        <v>30.0</v>
      </c>
      <c r="E723" s="10" t="str">
        <f t="shared" si="3"/>
        <v>BXM30</v>
      </c>
      <c r="F723" s="13">
        <v>38.0</v>
      </c>
      <c r="G723" s="10" t="str">
        <f t="shared" si="7"/>
        <v>BXM30-38</v>
      </c>
      <c r="I723" s="16" t="str">
        <f t="shared" si="5"/>
        <v>collected</v>
      </c>
      <c r="J723" s="16" t="str">
        <f t="shared" si="6"/>
        <v>N</v>
      </c>
      <c r="K723" s="16"/>
      <c r="L723" s="16"/>
    </row>
    <row r="724">
      <c r="A724" s="26" t="s">
        <v>313</v>
      </c>
      <c r="B724" s="10" t="str">
        <f t="shared" si="1"/>
        <v>extra_muscle</v>
      </c>
      <c r="C724" s="49" t="str">
        <f t="shared" si="2"/>
        <v>S16920XM1</v>
      </c>
      <c r="D724" s="6">
        <v>30.0</v>
      </c>
      <c r="E724" s="10" t="str">
        <f t="shared" si="3"/>
        <v>BXM30</v>
      </c>
      <c r="F724" s="13">
        <v>39.0</v>
      </c>
      <c r="G724" s="10" t="str">
        <f t="shared" si="7"/>
        <v>BXM30-39</v>
      </c>
      <c r="I724" s="16" t="str">
        <f t="shared" si="5"/>
        <v>collected</v>
      </c>
      <c r="J724" s="16" t="str">
        <f t="shared" si="6"/>
        <v>N</v>
      </c>
      <c r="K724" s="16"/>
      <c r="L724" s="16"/>
    </row>
    <row r="725">
      <c r="A725" s="26" t="s">
        <v>320</v>
      </c>
      <c r="B725" s="10" t="str">
        <f t="shared" si="1"/>
        <v>extra_muscle</v>
      </c>
      <c r="C725" s="49" t="str">
        <f t="shared" si="2"/>
        <v>S17441XM1</v>
      </c>
      <c r="D725" s="6">
        <v>30.0</v>
      </c>
      <c r="E725" s="10" t="str">
        <f t="shared" si="3"/>
        <v>BXM30</v>
      </c>
      <c r="F725" s="13">
        <v>40.0</v>
      </c>
      <c r="G725" s="10" t="str">
        <f t="shared" si="7"/>
        <v>BXM30-40</v>
      </c>
      <c r="I725" s="16" t="str">
        <f t="shared" si="5"/>
        <v>collected</v>
      </c>
      <c r="J725" s="16" t="str">
        <f t="shared" si="6"/>
        <v>N</v>
      </c>
      <c r="K725" s="16"/>
      <c r="L725" s="16"/>
    </row>
    <row r="726">
      <c r="A726" s="26" t="s">
        <v>325</v>
      </c>
      <c r="B726" s="10" t="str">
        <f t="shared" si="1"/>
        <v>extra_muscle</v>
      </c>
      <c r="C726" s="49" t="str">
        <f t="shared" si="2"/>
        <v>S17442XM1</v>
      </c>
      <c r="D726" s="6">
        <v>30.0</v>
      </c>
      <c r="E726" s="10" t="str">
        <f t="shared" si="3"/>
        <v>BXM30</v>
      </c>
      <c r="F726" s="13">
        <v>41.0</v>
      </c>
      <c r="G726" s="10" t="str">
        <f t="shared" si="7"/>
        <v>BXM30-41</v>
      </c>
      <c r="I726" s="16" t="str">
        <f t="shared" si="5"/>
        <v>collected</v>
      </c>
      <c r="J726" s="16" t="str">
        <f t="shared" si="6"/>
        <v>N</v>
      </c>
      <c r="K726" s="16"/>
      <c r="L726" s="16"/>
    </row>
    <row r="727">
      <c r="A727" s="26" t="s">
        <v>331</v>
      </c>
      <c r="B727" s="10" t="str">
        <f t="shared" si="1"/>
        <v>extra_muscle</v>
      </c>
      <c r="C727" s="49" t="str">
        <f t="shared" si="2"/>
        <v>S17443XM1</v>
      </c>
      <c r="D727" s="6">
        <v>30.0</v>
      </c>
      <c r="E727" s="10" t="str">
        <f t="shared" si="3"/>
        <v>BXM30</v>
      </c>
      <c r="F727" s="13">
        <v>42.0</v>
      </c>
      <c r="G727" s="10" t="str">
        <f t="shared" si="7"/>
        <v>BXM30-42</v>
      </c>
      <c r="H727" s="16"/>
      <c r="I727" s="16" t="str">
        <f t="shared" si="5"/>
        <v>collected</v>
      </c>
      <c r="J727" s="16" t="str">
        <f t="shared" si="6"/>
        <v>N</v>
      </c>
      <c r="K727" s="16"/>
      <c r="L727" s="16"/>
    </row>
    <row r="728">
      <c r="A728" s="6" t="s">
        <v>337</v>
      </c>
      <c r="B728" s="10" t="str">
        <f t="shared" si="1"/>
        <v>extra_muscle</v>
      </c>
      <c r="C728" s="49" t="str">
        <f t="shared" si="2"/>
        <v>S17444XM1</v>
      </c>
      <c r="D728" s="6">
        <v>30.0</v>
      </c>
      <c r="E728" s="10" t="str">
        <f t="shared" si="3"/>
        <v>BXM30</v>
      </c>
      <c r="F728" s="13">
        <v>43.0</v>
      </c>
      <c r="G728" s="10" t="str">
        <f t="shared" si="7"/>
        <v>BXM30-43</v>
      </c>
      <c r="H728" s="16"/>
      <c r="I728" s="16" t="str">
        <f t="shared" si="5"/>
        <v>collected</v>
      </c>
      <c r="J728" s="16" t="str">
        <f t="shared" si="6"/>
        <v>N</v>
      </c>
      <c r="K728" s="16"/>
      <c r="L728" s="16"/>
    </row>
    <row r="729">
      <c r="A729" s="6" t="s">
        <v>343</v>
      </c>
      <c r="B729" s="10" t="str">
        <f t="shared" si="1"/>
        <v>extra_muscle</v>
      </c>
      <c r="C729" s="49" t="str">
        <f t="shared" si="2"/>
        <v>S17445XM1</v>
      </c>
      <c r="D729" s="6">
        <v>30.0</v>
      </c>
      <c r="E729" s="10" t="str">
        <f t="shared" si="3"/>
        <v>BXM30</v>
      </c>
      <c r="F729" s="13">
        <v>44.0</v>
      </c>
      <c r="G729" s="10" t="str">
        <f t="shared" si="7"/>
        <v>BXM30-44</v>
      </c>
      <c r="H729" s="16"/>
      <c r="I729" s="16" t="str">
        <f t="shared" si="5"/>
        <v>collected</v>
      </c>
      <c r="J729" s="16" t="str">
        <f t="shared" si="6"/>
        <v>N</v>
      </c>
      <c r="K729" s="16"/>
      <c r="L729" s="16"/>
    </row>
    <row r="730">
      <c r="A730" s="6" t="s">
        <v>350</v>
      </c>
      <c r="B730" s="10" t="str">
        <f t="shared" si="1"/>
        <v>extra_muscle</v>
      </c>
      <c r="C730" s="49" t="str">
        <f t="shared" si="2"/>
        <v>S17446XM1</v>
      </c>
      <c r="D730" s="6">
        <v>30.0</v>
      </c>
      <c r="E730" s="10" t="str">
        <f t="shared" si="3"/>
        <v>BXM30</v>
      </c>
      <c r="F730" s="13">
        <v>45.0</v>
      </c>
      <c r="G730" s="10" t="str">
        <f t="shared" si="7"/>
        <v>BXM30-45</v>
      </c>
      <c r="H730" s="16"/>
      <c r="I730" s="16" t="str">
        <f t="shared" si="5"/>
        <v>collected</v>
      </c>
      <c r="J730" s="16" t="str">
        <f t="shared" si="6"/>
        <v>N</v>
      </c>
      <c r="K730" s="16"/>
      <c r="L730" s="16"/>
    </row>
    <row r="731">
      <c r="A731" s="6" t="s">
        <v>357</v>
      </c>
      <c r="B731" s="10" t="str">
        <f t="shared" si="1"/>
        <v>extra_muscle</v>
      </c>
      <c r="C731" s="49" t="str">
        <f t="shared" si="2"/>
        <v>S17447XM1</v>
      </c>
      <c r="D731" s="6">
        <v>30.0</v>
      </c>
      <c r="E731" s="10" t="str">
        <f t="shared" si="3"/>
        <v>BXM30</v>
      </c>
      <c r="F731" s="13">
        <v>46.0</v>
      </c>
      <c r="G731" s="10" t="str">
        <f t="shared" si="7"/>
        <v>BXM30-46</v>
      </c>
      <c r="H731" s="16"/>
      <c r="I731" s="16" t="str">
        <f t="shared" si="5"/>
        <v>collected</v>
      </c>
      <c r="J731" s="16" t="str">
        <f t="shared" si="6"/>
        <v>N</v>
      </c>
      <c r="K731" s="16"/>
      <c r="L731" s="16"/>
    </row>
    <row r="732">
      <c r="A732" s="43" t="s">
        <v>364</v>
      </c>
      <c r="B732" s="10" t="str">
        <f t="shared" si="1"/>
        <v>extra_muscle</v>
      </c>
      <c r="C732" s="49" t="str">
        <f t="shared" si="2"/>
        <v>S17121XM1</v>
      </c>
      <c r="D732" s="6">
        <v>29.0</v>
      </c>
      <c r="E732" s="10" t="str">
        <f t="shared" si="3"/>
        <v>BXM29</v>
      </c>
      <c r="F732" s="13">
        <v>59.0</v>
      </c>
      <c r="G732" s="10" t="str">
        <f t="shared" si="7"/>
        <v>BXM29-59</v>
      </c>
      <c r="H732" s="16"/>
      <c r="I732" s="16" t="str">
        <f t="shared" si="5"/>
        <v>collected</v>
      </c>
      <c r="J732" s="16" t="str">
        <f t="shared" si="6"/>
        <v>N</v>
      </c>
      <c r="K732" s="16"/>
      <c r="L732" s="16"/>
    </row>
    <row r="733">
      <c r="A733" s="43" t="s">
        <v>372</v>
      </c>
      <c r="B733" s="10" t="str">
        <f t="shared" si="1"/>
        <v>extra_muscle</v>
      </c>
      <c r="C733" s="49" t="str">
        <f t="shared" si="2"/>
        <v>S17126XM1</v>
      </c>
      <c r="D733" s="6">
        <v>29.0</v>
      </c>
      <c r="E733" s="10" t="str">
        <f t="shared" si="3"/>
        <v>BXM29</v>
      </c>
      <c r="F733" s="13">
        <v>60.0</v>
      </c>
      <c r="G733" s="10" t="str">
        <f t="shared" si="7"/>
        <v>BXM29-60</v>
      </c>
      <c r="H733" s="16"/>
      <c r="I733" s="16" t="str">
        <f t="shared" si="5"/>
        <v>collected</v>
      </c>
      <c r="J733" s="16" t="str">
        <f t="shared" si="6"/>
        <v>N</v>
      </c>
      <c r="K733" s="16"/>
      <c r="L733" s="16"/>
    </row>
    <row r="734">
      <c r="A734" s="43" t="s">
        <v>379</v>
      </c>
      <c r="B734" s="10" t="str">
        <f t="shared" si="1"/>
        <v>extra_muscle</v>
      </c>
      <c r="C734" s="49" t="str">
        <f t="shared" si="2"/>
        <v>S16832XM1</v>
      </c>
      <c r="D734" s="6">
        <v>29.0</v>
      </c>
      <c r="E734" s="10" t="str">
        <f t="shared" si="3"/>
        <v>BXM29</v>
      </c>
      <c r="F734" s="13">
        <v>61.0</v>
      </c>
      <c r="G734" s="10" t="str">
        <f t="shared" si="7"/>
        <v>BXM29-61</v>
      </c>
      <c r="H734" s="16"/>
      <c r="I734" s="16" t="str">
        <f t="shared" si="5"/>
        <v>collected</v>
      </c>
      <c r="J734" s="16" t="str">
        <f t="shared" si="6"/>
        <v>N</v>
      </c>
      <c r="K734" s="16"/>
      <c r="L734" s="16"/>
    </row>
    <row r="735">
      <c r="A735" s="43" t="s">
        <v>385</v>
      </c>
      <c r="B735" s="10" t="str">
        <f t="shared" si="1"/>
        <v>extra_muscle</v>
      </c>
      <c r="C735" s="49" t="str">
        <f t="shared" si="2"/>
        <v>S16835XM1</v>
      </c>
      <c r="D735" s="6">
        <v>29.0</v>
      </c>
      <c r="E735" s="10" t="str">
        <f t="shared" si="3"/>
        <v>BXM29</v>
      </c>
      <c r="F735" s="13">
        <v>62.0</v>
      </c>
      <c r="G735" s="10" t="str">
        <f t="shared" si="7"/>
        <v>BXM29-62</v>
      </c>
      <c r="H735" s="16"/>
      <c r="I735" s="16" t="str">
        <f t="shared" si="5"/>
        <v>collected</v>
      </c>
      <c r="J735" s="16" t="str">
        <f t="shared" si="6"/>
        <v>N</v>
      </c>
      <c r="K735" s="16"/>
      <c r="L735" s="16"/>
    </row>
    <row r="736">
      <c r="A736" s="43" t="s">
        <v>390</v>
      </c>
      <c r="B736" s="10" t="str">
        <f t="shared" si="1"/>
        <v>extra_muscle</v>
      </c>
      <c r="C736" s="49" t="str">
        <f t="shared" si="2"/>
        <v>S16837XM1</v>
      </c>
      <c r="D736" s="6">
        <v>29.0</v>
      </c>
      <c r="E736" s="10" t="str">
        <f t="shared" si="3"/>
        <v>BXM29</v>
      </c>
      <c r="F736" s="13">
        <v>63.0</v>
      </c>
      <c r="G736" s="10" t="str">
        <f t="shared" si="7"/>
        <v>BXM29-63</v>
      </c>
      <c r="H736" s="16"/>
      <c r="I736" s="16" t="str">
        <f t="shared" si="5"/>
        <v>collected</v>
      </c>
      <c r="J736" s="16" t="str">
        <f t="shared" si="6"/>
        <v>N</v>
      </c>
      <c r="K736" s="16"/>
      <c r="L736" s="16"/>
    </row>
    <row r="737">
      <c r="A737" s="43" t="s">
        <v>399</v>
      </c>
      <c r="B737" s="10" t="str">
        <f t="shared" si="1"/>
        <v>extra_muscle</v>
      </c>
      <c r="C737" s="49" t="str">
        <f t="shared" si="2"/>
        <v>S16838XM1</v>
      </c>
      <c r="D737" s="6">
        <v>29.0</v>
      </c>
      <c r="E737" s="10" t="str">
        <f t="shared" si="3"/>
        <v>BXM29</v>
      </c>
      <c r="F737" s="13">
        <v>64.0</v>
      </c>
      <c r="G737" s="10" t="str">
        <f t="shared" si="7"/>
        <v>BXM29-64</v>
      </c>
      <c r="H737" s="16"/>
      <c r="I737" s="16" t="str">
        <f t="shared" si="5"/>
        <v>collected</v>
      </c>
      <c r="J737" s="16" t="str">
        <f t="shared" si="6"/>
        <v>N</v>
      </c>
      <c r="K737" s="16"/>
      <c r="L737" s="16"/>
    </row>
    <row r="738">
      <c r="A738" s="44" t="s">
        <v>406</v>
      </c>
      <c r="B738" s="10" t="str">
        <f t="shared" si="1"/>
        <v>extra_muscle</v>
      </c>
      <c r="C738" s="49" t="str">
        <f t="shared" si="2"/>
        <v>S16836XM1</v>
      </c>
      <c r="D738" s="6">
        <v>29.0</v>
      </c>
      <c r="E738" s="10" t="str">
        <f t="shared" si="3"/>
        <v>BXM29</v>
      </c>
      <c r="F738" s="13">
        <v>65.0</v>
      </c>
      <c r="G738" s="10" t="str">
        <f t="shared" si="7"/>
        <v>BXM29-65</v>
      </c>
      <c r="H738" s="16"/>
      <c r="I738" s="16" t="str">
        <f t="shared" si="5"/>
        <v>collected</v>
      </c>
      <c r="J738" s="16" t="str">
        <f t="shared" si="6"/>
        <v>N</v>
      </c>
      <c r="K738" s="16"/>
      <c r="L738" s="16"/>
    </row>
    <row r="739">
      <c r="A739" s="44" t="s">
        <v>416</v>
      </c>
      <c r="B739" s="10" t="str">
        <f t="shared" si="1"/>
        <v>extra_muscle</v>
      </c>
      <c r="C739" s="49" t="str">
        <f t="shared" si="2"/>
        <v>S16839XM1</v>
      </c>
      <c r="D739" s="6">
        <v>29.0</v>
      </c>
      <c r="E739" s="10" t="str">
        <f t="shared" si="3"/>
        <v>BXM29</v>
      </c>
      <c r="F739" s="13">
        <v>66.0</v>
      </c>
      <c r="G739" s="10" t="str">
        <f t="shared" si="7"/>
        <v>BXM29-66</v>
      </c>
      <c r="H739" s="16"/>
      <c r="I739" s="16" t="str">
        <f t="shared" si="5"/>
        <v>collected</v>
      </c>
      <c r="J739" s="16" t="str">
        <f t="shared" si="6"/>
        <v>N</v>
      </c>
      <c r="K739" s="16"/>
      <c r="L739" s="16"/>
    </row>
    <row r="740">
      <c r="A740" s="44" t="s">
        <v>426</v>
      </c>
      <c r="B740" s="10" t="str">
        <f t="shared" si="1"/>
        <v>extra_muscle</v>
      </c>
      <c r="C740" s="49" t="str">
        <f t="shared" si="2"/>
        <v>S16840XM1</v>
      </c>
      <c r="D740" s="6">
        <v>29.0</v>
      </c>
      <c r="E740" s="10" t="str">
        <f t="shared" si="3"/>
        <v>BXM29</v>
      </c>
      <c r="F740" s="13">
        <v>67.0</v>
      </c>
      <c r="G740" s="10" t="str">
        <f t="shared" si="7"/>
        <v>BXM29-67</v>
      </c>
      <c r="H740" s="16"/>
      <c r="I740" s="16" t="str">
        <f t="shared" si="5"/>
        <v>collected</v>
      </c>
      <c r="J740" s="16" t="str">
        <f t="shared" si="6"/>
        <v>N</v>
      </c>
      <c r="K740" s="16"/>
      <c r="L740" s="16"/>
    </row>
    <row r="741">
      <c r="A741" s="44" t="s">
        <v>434</v>
      </c>
      <c r="B741" s="10" t="str">
        <f t="shared" si="1"/>
        <v>extra_muscle</v>
      </c>
      <c r="C741" s="49" t="str">
        <f t="shared" si="2"/>
        <v>S16833XM1</v>
      </c>
      <c r="D741" s="6">
        <v>29.0</v>
      </c>
      <c r="E741" s="10" t="str">
        <f t="shared" si="3"/>
        <v>BXM29</v>
      </c>
      <c r="F741" s="13">
        <v>68.0</v>
      </c>
      <c r="G741" s="10" t="str">
        <f t="shared" si="7"/>
        <v>BXM29-68</v>
      </c>
      <c r="H741" s="16"/>
      <c r="I741" s="16" t="str">
        <f t="shared" si="5"/>
        <v>collected</v>
      </c>
      <c r="J741" s="16" t="str">
        <f t="shared" si="6"/>
        <v>N</v>
      </c>
      <c r="K741" s="16"/>
      <c r="L741" s="16"/>
    </row>
    <row r="742">
      <c r="A742" s="44" t="s">
        <v>442</v>
      </c>
      <c r="B742" s="10" t="str">
        <f t="shared" si="1"/>
        <v>extra_muscle</v>
      </c>
      <c r="C742" s="49" t="str">
        <f t="shared" si="2"/>
        <v>S16834XM1</v>
      </c>
      <c r="D742" s="6">
        <v>29.0</v>
      </c>
      <c r="E742" s="10" t="str">
        <f t="shared" si="3"/>
        <v>BXM29</v>
      </c>
      <c r="F742" s="13">
        <v>69.0</v>
      </c>
      <c r="G742" s="10" t="str">
        <f t="shared" si="7"/>
        <v>BXM29-69</v>
      </c>
      <c r="H742" s="16"/>
      <c r="I742" s="16" t="str">
        <f t="shared" si="5"/>
        <v>collected</v>
      </c>
      <c r="J742" s="16" t="str">
        <f t="shared" si="6"/>
        <v>N</v>
      </c>
      <c r="K742" s="16"/>
      <c r="L742" s="16"/>
    </row>
    <row r="743">
      <c r="A743" s="44" t="s">
        <v>450</v>
      </c>
      <c r="B743" s="10" t="str">
        <f t="shared" si="1"/>
        <v>extra_muscle</v>
      </c>
      <c r="C743" s="49" t="str">
        <f t="shared" si="2"/>
        <v>S16831XM1</v>
      </c>
      <c r="D743" s="6">
        <v>29.0</v>
      </c>
      <c r="E743" s="10" t="str">
        <f t="shared" si="3"/>
        <v>BXM29</v>
      </c>
      <c r="F743" s="13">
        <v>70.0</v>
      </c>
      <c r="G743" s="10" t="str">
        <f t="shared" si="7"/>
        <v>BXM29-70</v>
      </c>
      <c r="H743" s="16"/>
      <c r="I743" s="16" t="str">
        <f t="shared" si="5"/>
        <v>collected</v>
      </c>
      <c r="J743" s="16" t="str">
        <f t="shared" si="6"/>
        <v>N</v>
      </c>
      <c r="K743" s="16"/>
      <c r="L743" s="16"/>
    </row>
    <row r="744">
      <c r="A744" s="44" t="s">
        <v>458</v>
      </c>
      <c r="B744" s="10" t="str">
        <f t="shared" si="1"/>
        <v>extra_muscle</v>
      </c>
      <c r="C744" s="49" t="str">
        <f t="shared" si="2"/>
        <v>S16948XM1</v>
      </c>
      <c r="D744" s="6">
        <v>29.0</v>
      </c>
      <c r="E744" s="10" t="str">
        <f t="shared" si="3"/>
        <v>BXM29</v>
      </c>
      <c r="F744" s="13">
        <v>71.0</v>
      </c>
      <c r="G744" s="10" t="str">
        <f t="shared" si="7"/>
        <v>BXM29-71</v>
      </c>
      <c r="H744" s="16"/>
      <c r="I744" s="16" t="str">
        <f t="shared" si="5"/>
        <v>collected</v>
      </c>
      <c r="J744" s="16" t="str">
        <f t="shared" si="6"/>
        <v>N</v>
      </c>
      <c r="K744" s="16"/>
      <c r="L744" s="16"/>
    </row>
    <row r="745">
      <c r="A745" s="44" t="s">
        <v>465</v>
      </c>
      <c r="B745" s="10" t="str">
        <f t="shared" si="1"/>
        <v>extra_muscle</v>
      </c>
      <c r="C745" s="49" t="str">
        <f t="shared" si="2"/>
        <v>S16942XM1</v>
      </c>
      <c r="D745" s="6">
        <v>29.0</v>
      </c>
      <c r="E745" s="10" t="str">
        <f t="shared" si="3"/>
        <v>BXM29</v>
      </c>
      <c r="F745" s="13">
        <v>72.0</v>
      </c>
      <c r="G745" s="10" t="str">
        <f t="shared" si="7"/>
        <v>BXM29-72</v>
      </c>
      <c r="H745" s="16"/>
      <c r="I745" s="16" t="str">
        <f t="shared" si="5"/>
        <v>collected</v>
      </c>
      <c r="J745" s="16" t="str">
        <f t="shared" si="6"/>
        <v>N</v>
      </c>
      <c r="K745" s="16"/>
      <c r="L745" s="16"/>
    </row>
    <row r="746">
      <c r="A746" s="44" t="s">
        <v>472</v>
      </c>
      <c r="B746" s="10" t="str">
        <f t="shared" si="1"/>
        <v>extra_muscle</v>
      </c>
      <c r="C746" s="49" t="str">
        <f t="shared" si="2"/>
        <v>S16950XM1</v>
      </c>
      <c r="D746" s="6">
        <v>29.0</v>
      </c>
      <c r="E746" s="10" t="str">
        <f t="shared" si="3"/>
        <v>BXM29</v>
      </c>
      <c r="F746" s="13">
        <v>73.0</v>
      </c>
      <c r="G746" s="10" t="str">
        <f t="shared" si="7"/>
        <v>BXM29-73</v>
      </c>
      <c r="H746" s="16"/>
      <c r="I746" s="16" t="str">
        <f t="shared" si="5"/>
        <v>collected</v>
      </c>
      <c r="J746" s="16" t="str">
        <f t="shared" si="6"/>
        <v>N</v>
      </c>
      <c r="K746" s="16"/>
      <c r="L746" s="16"/>
    </row>
    <row r="747">
      <c r="A747" s="44" t="s">
        <v>479</v>
      </c>
      <c r="B747" s="10" t="str">
        <f t="shared" si="1"/>
        <v>extra_muscle</v>
      </c>
      <c r="C747" s="49" t="str">
        <f t="shared" si="2"/>
        <v>S16944XM1</v>
      </c>
      <c r="D747" s="6">
        <v>29.0</v>
      </c>
      <c r="E747" s="10" t="str">
        <f t="shared" si="3"/>
        <v>BXM29</v>
      </c>
      <c r="F747" s="13">
        <v>74.0</v>
      </c>
      <c r="G747" s="10" t="str">
        <f t="shared" si="7"/>
        <v>BXM29-74</v>
      </c>
      <c r="H747" s="16"/>
      <c r="I747" s="16" t="str">
        <f t="shared" si="5"/>
        <v>collected</v>
      </c>
      <c r="J747" s="16" t="str">
        <f t="shared" si="6"/>
        <v>N</v>
      </c>
      <c r="K747" s="16"/>
      <c r="L747" s="16"/>
    </row>
    <row r="748">
      <c r="A748" s="44" t="s">
        <v>486</v>
      </c>
      <c r="B748" s="10" t="str">
        <f t="shared" si="1"/>
        <v>extra_muscle</v>
      </c>
      <c r="C748" s="49" t="str">
        <f t="shared" si="2"/>
        <v>S16945XM1</v>
      </c>
      <c r="D748" s="6">
        <v>29.0</v>
      </c>
      <c r="E748" s="10" t="str">
        <f t="shared" si="3"/>
        <v>BXM29</v>
      </c>
      <c r="F748" s="13">
        <v>75.0</v>
      </c>
      <c r="G748" s="10" t="str">
        <f t="shared" si="7"/>
        <v>BXM29-75</v>
      </c>
      <c r="H748" s="16"/>
      <c r="I748" s="16" t="str">
        <f t="shared" si="5"/>
        <v>collected</v>
      </c>
      <c r="J748" s="16" t="str">
        <f t="shared" si="6"/>
        <v>N</v>
      </c>
      <c r="K748" s="16"/>
      <c r="L748" s="16"/>
    </row>
    <row r="749">
      <c r="A749" s="44" t="s">
        <v>494</v>
      </c>
      <c r="B749" s="10" t="str">
        <f t="shared" si="1"/>
        <v>extra_muscle</v>
      </c>
      <c r="C749" s="49" t="str">
        <f t="shared" si="2"/>
        <v>S16947XM1</v>
      </c>
      <c r="D749" s="6">
        <v>29.0</v>
      </c>
      <c r="E749" s="10" t="str">
        <f t="shared" si="3"/>
        <v>BXM29</v>
      </c>
      <c r="F749" s="13">
        <v>76.0</v>
      </c>
      <c r="G749" s="10" t="str">
        <f t="shared" si="7"/>
        <v>BXM29-76</v>
      </c>
      <c r="H749" s="16"/>
      <c r="I749" s="16" t="str">
        <f t="shared" si="5"/>
        <v>collected</v>
      </c>
      <c r="J749" s="16" t="str">
        <f t="shared" si="6"/>
        <v>N</v>
      </c>
      <c r="K749" s="16"/>
      <c r="L749" s="16"/>
    </row>
    <row r="750">
      <c r="A750" s="44" t="s">
        <v>502</v>
      </c>
      <c r="B750" s="10" t="str">
        <f t="shared" si="1"/>
        <v>extra_muscle</v>
      </c>
      <c r="C750" s="49" t="str">
        <f t="shared" si="2"/>
        <v>S16946XM1</v>
      </c>
      <c r="D750" s="6">
        <v>29.0</v>
      </c>
      <c r="E750" s="10" t="str">
        <f t="shared" si="3"/>
        <v>BXM29</v>
      </c>
      <c r="F750" s="13">
        <v>77.0</v>
      </c>
      <c r="G750" s="10" t="str">
        <f t="shared" si="7"/>
        <v>BXM29-77</v>
      </c>
      <c r="H750" s="16"/>
      <c r="I750" s="16" t="str">
        <f t="shared" si="5"/>
        <v>collected</v>
      </c>
      <c r="J750" s="16" t="str">
        <f t="shared" si="6"/>
        <v>N</v>
      </c>
      <c r="K750" s="16"/>
      <c r="L750" s="16"/>
    </row>
    <row r="751">
      <c r="A751" s="44" t="s">
        <v>508</v>
      </c>
      <c r="B751" s="10" t="str">
        <f t="shared" si="1"/>
        <v>extra_muscle</v>
      </c>
      <c r="C751" s="49" t="str">
        <f t="shared" si="2"/>
        <v>S16949XM1</v>
      </c>
      <c r="D751" s="6">
        <v>29.0</v>
      </c>
      <c r="E751" s="10" t="str">
        <f t="shared" si="3"/>
        <v>BXM29</v>
      </c>
      <c r="F751" s="13">
        <v>78.0</v>
      </c>
      <c r="G751" s="10" t="str">
        <f t="shared" si="7"/>
        <v>BXM29-78</v>
      </c>
      <c r="H751" s="16"/>
      <c r="I751" s="16" t="str">
        <f t="shared" si="5"/>
        <v>collected</v>
      </c>
      <c r="J751" s="16" t="str">
        <f t="shared" si="6"/>
        <v>N</v>
      </c>
      <c r="K751" s="16"/>
      <c r="L751" s="16"/>
    </row>
    <row r="752">
      <c r="A752" s="44" t="s">
        <v>517</v>
      </c>
      <c r="B752" s="10" t="str">
        <f t="shared" si="1"/>
        <v>extra_muscle</v>
      </c>
      <c r="C752" s="49" t="str">
        <f t="shared" si="2"/>
        <v>S16943XM1</v>
      </c>
      <c r="D752" s="6">
        <v>29.0</v>
      </c>
      <c r="E752" s="10" t="str">
        <f t="shared" si="3"/>
        <v>BXM29</v>
      </c>
      <c r="F752" s="13">
        <v>79.0</v>
      </c>
      <c r="G752" s="10" t="str">
        <f t="shared" si="7"/>
        <v>BXM29-79</v>
      </c>
      <c r="H752" s="16"/>
      <c r="I752" s="16" t="str">
        <f t="shared" si="5"/>
        <v>collected</v>
      </c>
      <c r="J752" s="16" t="str">
        <f t="shared" si="6"/>
        <v>N</v>
      </c>
      <c r="K752" s="16"/>
      <c r="L752" s="16"/>
    </row>
    <row r="753">
      <c r="A753" s="44" t="s">
        <v>525</v>
      </c>
      <c r="B753" s="10" t="str">
        <f t="shared" si="1"/>
        <v>extra_muscle</v>
      </c>
      <c r="C753" s="49" t="str">
        <f t="shared" si="2"/>
        <v>S16941XM1</v>
      </c>
      <c r="D753" s="6">
        <v>29.0</v>
      </c>
      <c r="E753" s="10" t="str">
        <f t="shared" si="3"/>
        <v>BXM29</v>
      </c>
      <c r="F753" s="13">
        <v>80.0</v>
      </c>
      <c r="G753" s="10" t="str">
        <f t="shared" si="7"/>
        <v>BXM29-80</v>
      </c>
      <c r="H753" s="16"/>
      <c r="I753" s="16" t="str">
        <f t="shared" si="5"/>
        <v>collected</v>
      </c>
      <c r="J753" s="16" t="str">
        <f t="shared" si="6"/>
        <v>N</v>
      </c>
      <c r="K753" s="16"/>
      <c r="L753" s="16"/>
    </row>
    <row r="754">
      <c r="A754" s="26" t="s">
        <v>533</v>
      </c>
      <c r="B754" s="10" t="str">
        <f t="shared" si="1"/>
        <v>extra_muscle</v>
      </c>
      <c r="C754" s="49" t="str">
        <f t="shared" si="2"/>
        <v>S17448XM1</v>
      </c>
      <c r="D754" s="6">
        <v>30.0</v>
      </c>
      <c r="E754" s="10" t="str">
        <f t="shared" si="3"/>
        <v>BXM30</v>
      </c>
      <c r="F754" s="13">
        <v>47.0</v>
      </c>
      <c r="G754" s="10" t="str">
        <f t="shared" si="7"/>
        <v>BXM30-47</v>
      </c>
      <c r="H754" s="16"/>
      <c r="I754" s="16" t="str">
        <f t="shared" si="5"/>
        <v>collected</v>
      </c>
      <c r="J754" s="16" t="str">
        <f t="shared" si="6"/>
        <v>N</v>
      </c>
      <c r="K754" s="16"/>
      <c r="L754" s="16"/>
    </row>
    <row r="755">
      <c r="A755" s="26" t="s">
        <v>542</v>
      </c>
      <c r="B755" s="10" t="str">
        <f t="shared" si="1"/>
        <v>extra_muscle</v>
      </c>
      <c r="C755" s="49" t="str">
        <f t="shared" si="2"/>
        <v>S17449XM1</v>
      </c>
      <c r="D755" s="6">
        <v>30.0</v>
      </c>
      <c r="E755" s="10" t="str">
        <f t="shared" si="3"/>
        <v>BXM30</v>
      </c>
      <c r="F755" s="13">
        <v>48.0</v>
      </c>
      <c r="G755" s="10" t="str">
        <f t="shared" si="7"/>
        <v>BXM30-48</v>
      </c>
      <c r="H755" s="16"/>
      <c r="I755" s="16" t="str">
        <f t="shared" si="5"/>
        <v>collected</v>
      </c>
      <c r="J755" s="16" t="str">
        <f t="shared" si="6"/>
        <v>N</v>
      </c>
      <c r="K755" s="16"/>
      <c r="L755" s="16"/>
    </row>
    <row r="756">
      <c r="A756" s="26" t="s">
        <v>551</v>
      </c>
      <c r="B756" s="10" t="str">
        <f t="shared" si="1"/>
        <v>extra_muscle</v>
      </c>
      <c r="C756" s="49" t="str">
        <f t="shared" si="2"/>
        <v>S17450XM1</v>
      </c>
      <c r="D756" s="6">
        <v>30.0</v>
      </c>
      <c r="E756" s="10" t="str">
        <f t="shared" si="3"/>
        <v>BXM30</v>
      </c>
      <c r="F756" s="13">
        <v>49.0</v>
      </c>
      <c r="G756" s="10" t="str">
        <f t="shared" si="7"/>
        <v>BXM30-49</v>
      </c>
      <c r="H756" s="16"/>
      <c r="I756" s="16" t="str">
        <f t="shared" si="5"/>
        <v>collected</v>
      </c>
      <c r="J756" s="16" t="str">
        <f t="shared" si="6"/>
        <v>N</v>
      </c>
      <c r="K756" s="16"/>
      <c r="L756" s="16"/>
    </row>
    <row r="757">
      <c r="A757" s="26" t="s">
        <v>557</v>
      </c>
      <c r="B757" s="10" t="str">
        <f t="shared" si="1"/>
        <v>extra_muscle</v>
      </c>
      <c r="C757" s="49" t="str">
        <f t="shared" si="2"/>
        <v>S16821XM1</v>
      </c>
      <c r="D757" s="6">
        <v>30.0</v>
      </c>
      <c r="E757" s="10" t="str">
        <f t="shared" si="3"/>
        <v>BXM30</v>
      </c>
      <c r="F757" s="13">
        <v>50.0</v>
      </c>
      <c r="G757" s="10" t="str">
        <f t="shared" si="7"/>
        <v>BXM30-50</v>
      </c>
      <c r="H757" s="16"/>
      <c r="I757" s="16" t="str">
        <f t="shared" si="5"/>
        <v>collected</v>
      </c>
      <c r="J757" s="16" t="str">
        <f t="shared" si="6"/>
        <v>N</v>
      </c>
      <c r="K757" s="16"/>
      <c r="L757" s="16"/>
    </row>
    <row r="758">
      <c r="A758" s="26" t="s">
        <v>565</v>
      </c>
      <c r="B758" s="10" t="str">
        <f t="shared" si="1"/>
        <v>extra_muscle</v>
      </c>
      <c r="C758" s="49" t="str">
        <f t="shared" si="2"/>
        <v>S16822XM1</v>
      </c>
      <c r="D758" s="6">
        <v>30.0</v>
      </c>
      <c r="E758" s="10" t="str">
        <f t="shared" si="3"/>
        <v>BXM30</v>
      </c>
      <c r="F758" s="13">
        <v>51.0</v>
      </c>
      <c r="G758" s="10" t="str">
        <f t="shared" si="7"/>
        <v>BXM30-51</v>
      </c>
      <c r="H758" s="16"/>
      <c r="I758" s="16" t="str">
        <f t="shared" si="5"/>
        <v>collected</v>
      </c>
      <c r="J758" s="16" t="str">
        <f t="shared" si="6"/>
        <v>N</v>
      </c>
      <c r="K758" s="16"/>
      <c r="L758" s="16"/>
    </row>
    <row r="759">
      <c r="A759" s="26" t="s">
        <v>573</v>
      </c>
      <c r="B759" s="10" t="str">
        <f t="shared" si="1"/>
        <v>extra_muscle</v>
      </c>
      <c r="C759" s="49" t="str">
        <f t="shared" si="2"/>
        <v>S16823XM1</v>
      </c>
      <c r="D759" s="6">
        <v>30.0</v>
      </c>
      <c r="E759" s="10" t="str">
        <f t="shared" si="3"/>
        <v>BXM30</v>
      </c>
      <c r="F759" s="13">
        <v>52.0</v>
      </c>
      <c r="G759" s="10" t="str">
        <f t="shared" si="7"/>
        <v>BXM30-52</v>
      </c>
      <c r="H759" s="16"/>
      <c r="I759" s="16" t="str">
        <f t="shared" si="5"/>
        <v>collected</v>
      </c>
      <c r="J759" s="16" t="str">
        <f t="shared" si="6"/>
        <v>N</v>
      </c>
      <c r="K759" s="16"/>
      <c r="L759" s="16"/>
    </row>
    <row r="760">
      <c r="A760" s="26" t="s">
        <v>579</v>
      </c>
      <c r="B760" s="10" t="str">
        <f t="shared" si="1"/>
        <v>extra_muscle</v>
      </c>
      <c r="C760" s="49" t="str">
        <f t="shared" si="2"/>
        <v>S16824XM1</v>
      </c>
      <c r="D760" s="6">
        <v>30.0</v>
      </c>
      <c r="E760" s="10" t="str">
        <f t="shared" si="3"/>
        <v>BXM30</v>
      </c>
      <c r="F760" s="13">
        <v>53.0</v>
      </c>
      <c r="G760" s="10" t="str">
        <f t="shared" si="7"/>
        <v>BXM30-53</v>
      </c>
      <c r="H760" s="16"/>
      <c r="I760" s="16" t="str">
        <f t="shared" si="5"/>
        <v>collected</v>
      </c>
      <c r="J760" s="16" t="str">
        <f t="shared" si="6"/>
        <v>N</v>
      </c>
      <c r="K760" s="16"/>
      <c r="L760" s="16"/>
    </row>
    <row r="761">
      <c r="A761" s="26" t="s">
        <v>589</v>
      </c>
      <c r="B761" s="10" t="str">
        <f t="shared" si="1"/>
        <v>extra_muscle</v>
      </c>
      <c r="C761" s="49" t="str">
        <f t="shared" si="2"/>
        <v>S16825XM1</v>
      </c>
      <c r="D761" s="6">
        <v>30.0</v>
      </c>
      <c r="E761" s="10" t="str">
        <f t="shared" si="3"/>
        <v>BXM30</v>
      </c>
      <c r="F761" s="13">
        <v>54.0</v>
      </c>
      <c r="G761" s="10" t="str">
        <f t="shared" si="7"/>
        <v>BXM30-54</v>
      </c>
      <c r="H761" s="6" t="s">
        <v>730</v>
      </c>
      <c r="I761" s="16" t="str">
        <f t="shared" si="5"/>
        <v>collected</v>
      </c>
      <c r="J761" s="16" t="str">
        <f t="shared" si="6"/>
        <v>N</v>
      </c>
      <c r="K761" s="16"/>
      <c r="L761" s="16"/>
    </row>
    <row r="762">
      <c r="A762" s="26" t="s">
        <v>594</v>
      </c>
      <c r="B762" s="10" t="str">
        <f t="shared" si="1"/>
        <v>extra_muscle</v>
      </c>
      <c r="C762" s="49" t="str">
        <f t="shared" si="2"/>
        <v>S16826XM1</v>
      </c>
      <c r="D762" s="6">
        <v>30.0</v>
      </c>
      <c r="E762" s="10" t="str">
        <f t="shared" si="3"/>
        <v>BXM30</v>
      </c>
      <c r="F762" s="13">
        <v>55.0</v>
      </c>
      <c r="G762" s="10" t="str">
        <f t="shared" si="7"/>
        <v>BXM30-55</v>
      </c>
      <c r="H762" s="16"/>
      <c r="I762" s="16" t="str">
        <f t="shared" si="5"/>
        <v>collected</v>
      </c>
      <c r="J762" s="16" t="str">
        <f t="shared" si="6"/>
        <v>N</v>
      </c>
      <c r="K762" s="16"/>
      <c r="L762" s="16"/>
    </row>
    <row r="763">
      <c r="A763" s="26" t="s">
        <v>599</v>
      </c>
      <c r="B763" s="10" t="str">
        <f t="shared" si="1"/>
        <v>extra_muscle</v>
      </c>
      <c r="C763" s="49" t="str">
        <f t="shared" si="2"/>
        <v>S16827XM1</v>
      </c>
      <c r="D763" s="6">
        <v>30.0</v>
      </c>
      <c r="E763" s="10" t="str">
        <f t="shared" si="3"/>
        <v>BXM30</v>
      </c>
      <c r="F763" s="13">
        <v>56.0</v>
      </c>
      <c r="G763" s="10" t="str">
        <f t="shared" si="7"/>
        <v>BXM30-56</v>
      </c>
      <c r="H763" s="16"/>
      <c r="I763" s="16" t="str">
        <f t="shared" si="5"/>
        <v>collected</v>
      </c>
      <c r="J763" s="16" t="str">
        <f t="shared" si="6"/>
        <v>N</v>
      </c>
      <c r="K763" s="16"/>
      <c r="L763" s="16"/>
    </row>
    <row r="764">
      <c r="A764" s="26" t="s">
        <v>605</v>
      </c>
      <c r="B764" s="10" t="str">
        <f t="shared" si="1"/>
        <v>extra_muscle</v>
      </c>
      <c r="C764" s="49" t="str">
        <f t="shared" si="2"/>
        <v>S16828XM1</v>
      </c>
      <c r="D764" s="6">
        <v>30.0</v>
      </c>
      <c r="E764" s="10" t="str">
        <f t="shared" si="3"/>
        <v>BXM30</v>
      </c>
      <c r="F764" s="13">
        <v>57.0</v>
      </c>
      <c r="G764" s="10" t="str">
        <f t="shared" si="7"/>
        <v>BXM30-57</v>
      </c>
      <c r="H764" s="16"/>
      <c r="I764" s="16" t="str">
        <f t="shared" si="5"/>
        <v>collected</v>
      </c>
      <c r="J764" s="16" t="str">
        <f t="shared" si="6"/>
        <v>N</v>
      </c>
      <c r="K764" s="16"/>
      <c r="L764" s="16"/>
    </row>
    <row r="765">
      <c r="A765" s="26" t="s">
        <v>609</v>
      </c>
      <c r="B765" s="10" t="str">
        <f t="shared" si="1"/>
        <v>extra_muscle</v>
      </c>
      <c r="C765" s="49" t="str">
        <f t="shared" si="2"/>
        <v>S16829XM1</v>
      </c>
      <c r="D765" s="6">
        <v>30.0</v>
      </c>
      <c r="E765" s="10" t="str">
        <f t="shared" si="3"/>
        <v>BXM30</v>
      </c>
      <c r="F765" s="13">
        <v>58.0</v>
      </c>
      <c r="G765" s="10" t="str">
        <f t="shared" si="7"/>
        <v>BXM30-58</v>
      </c>
      <c r="H765" s="16"/>
      <c r="I765" s="16" t="str">
        <f t="shared" si="5"/>
        <v>collected</v>
      </c>
      <c r="J765" s="16" t="str">
        <f t="shared" si="6"/>
        <v>N</v>
      </c>
      <c r="K765" s="16"/>
      <c r="L765" s="16"/>
    </row>
    <row r="766">
      <c r="A766" s="26" t="s">
        <v>617</v>
      </c>
      <c r="B766" s="10" t="str">
        <f t="shared" si="1"/>
        <v>extra_muscle</v>
      </c>
      <c r="C766" s="49" t="str">
        <f t="shared" si="2"/>
        <v>S16830XM1</v>
      </c>
      <c r="D766" s="6">
        <v>30.0</v>
      </c>
      <c r="E766" s="10" t="str">
        <f t="shared" si="3"/>
        <v>BXM30</v>
      </c>
      <c r="F766" s="13">
        <v>59.0</v>
      </c>
      <c r="G766" s="10" t="str">
        <f t="shared" si="7"/>
        <v>BXM30-59</v>
      </c>
      <c r="H766" s="16"/>
      <c r="I766" s="16" t="str">
        <f t="shared" si="5"/>
        <v>collected</v>
      </c>
      <c r="J766" s="16" t="str">
        <f t="shared" si="6"/>
        <v>N</v>
      </c>
      <c r="K766" s="16"/>
      <c r="L766" s="16"/>
    </row>
    <row r="767">
      <c r="A767" s="26" t="s">
        <v>623</v>
      </c>
      <c r="B767" s="10" t="str">
        <f t="shared" si="1"/>
        <v>extra_muscle</v>
      </c>
      <c r="C767" s="49" t="str">
        <f t="shared" si="2"/>
        <v>S17051XM1</v>
      </c>
      <c r="D767" s="6">
        <v>30.0</v>
      </c>
      <c r="E767" s="10" t="str">
        <f t="shared" si="3"/>
        <v>BXM30</v>
      </c>
      <c r="F767" s="13">
        <v>60.0</v>
      </c>
      <c r="G767" s="10" t="str">
        <f t="shared" si="7"/>
        <v>BXM30-60</v>
      </c>
      <c r="H767" s="16"/>
      <c r="I767" s="16" t="str">
        <f t="shared" si="5"/>
        <v>collected</v>
      </c>
      <c r="J767" s="16" t="str">
        <f t="shared" si="6"/>
        <v>N</v>
      </c>
      <c r="K767" s="16"/>
      <c r="L767" s="16"/>
    </row>
    <row r="768">
      <c r="A768" s="26" t="s">
        <v>631</v>
      </c>
      <c r="B768" s="10" t="str">
        <f t="shared" si="1"/>
        <v>extra_muscle</v>
      </c>
      <c r="C768" s="49" t="str">
        <f t="shared" si="2"/>
        <v>S17052XM1</v>
      </c>
      <c r="D768" s="6">
        <v>30.0</v>
      </c>
      <c r="E768" s="10" t="str">
        <f t="shared" si="3"/>
        <v>BXM30</v>
      </c>
      <c r="F768" s="13">
        <v>61.0</v>
      </c>
      <c r="G768" s="10" t="str">
        <f t="shared" si="7"/>
        <v>BXM30-61</v>
      </c>
      <c r="H768" s="16"/>
      <c r="I768" s="16" t="str">
        <f t="shared" si="5"/>
        <v>collected</v>
      </c>
      <c r="J768" s="16" t="str">
        <f t="shared" si="6"/>
        <v>N</v>
      </c>
      <c r="K768" s="16"/>
      <c r="L768" s="16"/>
    </row>
    <row r="769">
      <c r="A769" s="26" t="s">
        <v>639</v>
      </c>
      <c r="B769" s="10" t="str">
        <f t="shared" si="1"/>
        <v>extra_muscle</v>
      </c>
      <c r="C769" s="49" t="str">
        <f t="shared" si="2"/>
        <v>S17053XM1</v>
      </c>
      <c r="D769" s="6">
        <v>30.0</v>
      </c>
      <c r="E769" s="10" t="str">
        <f t="shared" si="3"/>
        <v>BXM30</v>
      </c>
      <c r="F769" s="13">
        <v>62.0</v>
      </c>
      <c r="G769" s="10" t="str">
        <f t="shared" si="7"/>
        <v>BXM30-62</v>
      </c>
      <c r="H769" s="16"/>
      <c r="I769" s="16" t="str">
        <f t="shared" si="5"/>
        <v>collected</v>
      </c>
      <c r="J769" s="16" t="str">
        <f t="shared" si="6"/>
        <v>N</v>
      </c>
      <c r="K769" s="16"/>
      <c r="L769" s="16"/>
    </row>
    <row r="770">
      <c r="A770" s="26" t="s">
        <v>646</v>
      </c>
      <c r="B770" s="10" t="str">
        <f t="shared" si="1"/>
        <v>extra_muscle</v>
      </c>
      <c r="C770" s="49" t="str">
        <f t="shared" si="2"/>
        <v>S17054XM1</v>
      </c>
      <c r="D770" s="6">
        <v>30.0</v>
      </c>
      <c r="E770" s="10" t="str">
        <f t="shared" si="3"/>
        <v>BXM30</v>
      </c>
      <c r="F770" s="13">
        <v>63.0</v>
      </c>
      <c r="G770" s="10" t="str">
        <f t="shared" si="7"/>
        <v>BXM30-63</v>
      </c>
      <c r="H770" s="16"/>
      <c r="I770" s="16" t="str">
        <f t="shared" si="5"/>
        <v>collected</v>
      </c>
      <c r="J770" s="16" t="str">
        <f t="shared" si="6"/>
        <v>N</v>
      </c>
      <c r="K770" s="16"/>
      <c r="L770" s="16"/>
    </row>
    <row r="771">
      <c r="A771" s="26" t="s">
        <v>652</v>
      </c>
      <c r="B771" s="10" t="str">
        <f t="shared" si="1"/>
        <v>extra_muscle</v>
      </c>
      <c r="C771" s="49" t="str">
        <f t="shared" si="2"/>
        <v>S17055XM1</v>
      </c>
      <c r="D771" s="6">
        <v>30.0</v>
      </c>
      <c r="E771" s="10" t="str">
        <f t="shared" si="3"/>
        <v>BXM30</v>
      </c>
      <c r="F771" s="13">
        <v>64.0</v>
      </c>
      <c r="G771" s="10" t="str">
        <f t="shared" si="7"/>
        <v>BXM30-64</v>
      </c>
      <c r="H771" s="16"/>
      <c r="I771" s="16" t="str">
        <f t="shared" si="5"/>
        <v>collected</v>
      </c>
      <c r="J771" s="16" t="str">
        <f t="shared" si="6"/>
        <v>N</v>
      </c>
      <c r="K771" s="16"/>
      <c r="L771" s="16"/>
    </row>
    <row r="772">
      <c r="A772" s="26" t="s">
        <v>660</v>
      </c>
      <c r="B772" s="10" t="str">
        <f t="shared" si="1"/>
        <v>extra_muscle</v>
      </c>
      <c r="C772" s="49" t="str">
        <f t="shared" si="2"/>
        <v>S17056XM1</v>
      </c>
      <c r="D772" s="6">
        <v>30.0</v>
      </c>
      <c r="E772" s="10" t="str">
        <f t="shared" si="3"/>
        <v>BXM30</v>
      </c>
      <c r="F772" s="13">
        <v>65.0</v>
      </c>
      <c r="G772" s="10" t="str">
        <f t="shared" si="7"/>
        <v>BXM30-65</v>
      </c>
      <c r="H772" s="16"/>
      <c r="I772" s="16" t="str">
        <f t="shared" si="5"/>
        <v>collected</v>
      </c>
      <c r="J772" s="16" t="str">
        <f t="shared" si="6"/>
        <v>N</v>
      </c>
      <c r="K772" s="16"/>
      <c r="L772" s="16"/>
    </row>
    <row r="773">
      <c r="A773" s="26" t="s">
        <v>667</v>
      </c>
      <c r="B773" s="10" t="str">
        <f t="shared" si="1"/>
        <v>extra_muscle</v>
      </c>
      <c r="C773" s="49" t="str">
        <f t="shared" si="2"/>
        <v>S17057XM1</v>
      </c>
      <c r="D773" s="6">
        <v>30.0</v>
      </c>
      <c r="E773" s="10" t="str">
        <f t="shared" si="3"/>
        <v>BXM30</v>
      </c>
      <c r="F773" s="13">
        <v>66.0</v>
      </c>
      <c r="G773" s="10" t="str">
        <f t="shared" si="7"/>
        <v>BXM30-66</v>
      </c>
      <c r="H773" s="16"/>
      <c r="I773" s="16" t="str">
        <f t="shared" si="5"/>
        <v>collected</v>
      </c>
      <c r="J773" s="16" t="str">
        <f t="shared" si="6"/>
        <v>N</v>
      </c>
      <c r="K773" s="16"/>
      <c r="L773" s="16"/>
    </row>
    <row r="774">
      <c r="A774" s="44" t="s">
        <v>673</v>
      </c>
      <c r="B774" s="10" t="str">
        <f t="shared" si="1"/>
        <v>extra_muscle</v>
      </c>
      <c r="C774" s="49" t="str">
        <f t="shared" si="2"/>
        <v>S17736XM1</v>
      </c>
      <c r="D774" s="6">
        <v>29.0</v>
      </c>
      <c r="E774" s="10" t="str">
        <f t="shared" si="3"/>
        <v>BXM29</v>
      </c>
      <c r="F774" s="13">
        <v>81.0</v>
      </c>
      <c r="G774" s="10" t="str">
        <f t="shared" si="7"/>
        <v>BXM29-81</v>
      </c>
      <c r="H774" s="16"/>
      <c r="I774" s="16" t="str">
        <f t="shared" si="5"/>
        <v>collected</v>
      </c>
      <c r="J774" s="16" t="str">
        <f t="shared" si="6"/>
        <v>N</v>
      </c>
      <c r="K774" s="16"/>
      <c r="L774" s="16"/>
    </row>
    <row r="775">
      <c r="A775" s="44" t="s">
        <v>679</v>
      </c>
      <c r="B775" s="10" t="str">
        <f t="shared" si="1"/>
        <v>extra_muscle</v>
      </c>
      <c r="C775" s="49" t="str">
        <f t="shared" si="2"/>
        <v>S17740XM1</v>
      </c>
      <c r="D775" s="6">
        <v>31.0</v>
      </c>
      <c r="E775" s="10" t="str">
        <f t="shared" si="3"/>
        <v>BXM31</v>
      </c>
      <c r="F775" s="13">
        <v>1.0</v>
      </c>
      <c r="G775" s="10" t="str">
        <f t="shared" si="7"/>
        <v>BXM31-1</v>
      </c>
      <c r="H775" s="16"/>
      <c r="I775" s="16" t="str">
        <f t="shared" si="5"/>
        <v>collected</v>
      </c>
      <c r="J775" s="16" t="str">
        <f t="shared" si="6"/>
        <v>N</v>
      </c>
      <c r="K775" s="16"/>
      <c r="L775" s="16"/>
    </row>
    <row r="776">
      <c r="A776" s="44" t="s">
        <v>687</v>
      </c>
      <c r="B776" s="10" t="str">
        <f t="shared" si="1"/>
        <v>extra_muscle</v>
      </c>
      <c r="C776" s="49" t="str">
        <f t="shared" si="2"/>
        <v>S17734XM1</v>
      </c>
      <c r="D776" s="6">
        <v>31.0</v>
      </c>
      <c r="E776" s="10" t="str">
        <f t="shared" si="3"/>
        <v>BXM31</v>
      </c>
      <c r="F776" s="13">
        <v>2.0</v>
      </c>
      <c r="G776" s="10" t="str">
        <f t="shared" si="7"/>
        <v>BXM31-2</v>
      </c>
      <c r="H776" s="16"/>
      <c r="I776" s="16" t="str">
        <f t="shared" si="5"/>
        <v>collected</v>
      </c>
      <c r="J776" s="16" t="str">
        <f t="shared" si="6"/>
        <v>N</v>
      </c>
      <c r="K776" s="16"/>
      <c r="L776" s="16"/>
    </row>
    <row r="777">
      <c r="A777" s="46" t="s">
        <v>695</v>
      </c>
      <c r="B777" s="10" t="str">
        <f t="shared" si="1"/>
        <v>extra_muscle</v>
      </c>
      <c r="C777" s="49" t="str">
        <f t="shared" si="2"/>
        <v>S17735XM1</v>
      </c>
      <c r="D777" s="6">
        <v>31.0</v>
      </c>
      <c r="E777" s="10" t="str">
        <f t="shared" si="3"/>
        <v>BXM31</v>
      </c>
      <c r="F777" s="13">
        <v>3.0</v>
      </c>
      <c r="G777" s="10" t="str">
        <f t="shared" si="7"/>
        <v>BXM31-3</v>
      </c>
      <c r="H777" s="16"/>
      <c r="I777" s="16" t="str">
        <f t="shared" si="5"/>
        <v>collected</v>
      </c>
      <c r="J777" s="16" t="str">
        <f t="shared" si="6"/>
        <v>N</v>
      </c>
      <c r="K777" s="16"/>
      <c r="L777" s="16"/>
    </row>
    <row r="778">
      <c r="A778" s="46" t="s">
        <v>703</v>
      </c>
      <c r="B778" s="10" t="str">
        <f t="shared" si="1"/>
        <v>extra_muscle</v>
      </c>
      <c r="C778" s="49" t="str">
        <f t="shared" si="2"/>
        <v>S17737XM1</v>
      </c>
      <c r="D778" s="6">
        <v>31.0</v>
      </c>
      <c r="E778" s="10" t="str">
        <f t="shared" si="3"/>
        <v>BXM31</v>
      </c>
      <c r="F778" s="13">
        <v>4.0</v>
      </c>
      <c r="G778" s="10" t="str">
        <f t="shared" si="7"/>
        <v>BXM31-4</v>
      </c>
      <c r="H778" s="16"/>
      <c r="I778" s="16" t="str">
        <f t="shared" si="5"/>
        <v>collected</v>
      </c>
      <c r="J778" s="16" t="str">
        <f t="shared" si="6"/>
        <v>N</v>
      </c>
      <c r="K778" s="16"/>
      <c r="L778" s="16"/>
    </row>
    <row r="779">
      <c r="A779" s="40" t="s">
        <v>710</v>
      </c>
      <c r="B779" s="10" t="str">
        <f t="shared" si="1"/>
        <v>extra_muscle</v>
      </c>
      <c r="C779" s="49" t="str">
        <f t="shared" si="2"/>
        <v>S17733XM1</v>
      </c>
      <c r="D779" s="6">
        <v>31.0</v>
      </c>
      <c r="E779" s="10" t="str">
        <f t="shared" si="3"/>
        <v>BXM31</v>
      </c>
      <c r="F779" s="13">
        <v>5.0</v>
      </c>
      <c r="G779" s="10" t="str">
        <f t="shared" si="7"/>
        <v>BXM31-5</v>
      </c>
      <c r="H779" s="16"/>
      <c r="I779" s="16" t="str">
        <f t="shared" si="5"/>
        <v>collected</v>
      </c>
      <c r="J779" s="16" t="str">
        <f t="shared" si="6"/>
        <v>N</v>
      </c>
      <c r="K779" s="16"/>
      <c r="L779" s="16"/>
    </row>
    <row r="780">
      <c r="A780" s="40" t="s">
        <v>718</v>
      </c>
      <c r="B780" s="10" t="str">
        <f t="shared" si="1"/>
        <v>extra_muscle</v>
      </c>
      <c r="C780" s="49" t="str">
        <f t="shared" si="2"/>
        <v>S17731XM1</v>
      </c>
      <c r="D780" s="6">
        <v>31.0</v>
      </c>
      <c r="E780" s="10" t="str">
        <f t="shared" si="3"/>
        <v>BXM31</v>
      </c>
      <c r="F780" s="13">
        <v>6.0</v>
      </c>
      <c r="G780" s="10" t="str">
        <f t="shared" si="7"/>
        <v>BXM31-6</v>
      </c>
      <c r="H780" s="16"/>
      <c r="I780" s="16" t="str">
        <f t="shared" si="5"/>
        <v>collected</v>
      </c>
      <c r="J780" s="16" t="str">
        <f t="shared" si="6"/>
        <v>N</v>
      </c>
      <c r="K780" s="16"/>
      <c r="L780" s="16"/>
    </row>
    <row r="781">
      <c r="A781" s="40" t="s">
        <v>725</v>
      </c>
      <c r="B781" s="10" t="str">
        <f t="shared" si="1"/>
        <v>extra_muscle</v>
      </c>
      <c r="C781" s="49" t="str">
        <f t="shared" si="2"/>
        <v>S17739XM1</v>
      </c>
      <c r="D781" s="6">
        <v>31.0</v>
      </c>
      <c r="E781" s="10" t="str">
        <f t="shared" si="3"/>
        <v>BXM31</v>
      </c>
      <c r="F781" s="13">
        <v>7.0</v>
      </c>
      <c r="G781" s="10" t="str">
        <f t="shared" si="7"/>
        <v>BXM31-7</v>
      </c>
      <c r="H781" s="16"/>
      <c r="I781" s="16" t="str">
        <f t="shared" si="5"/>
        <v>collected</v>
      </c>
      <c r="J781" s="16" t="str">
        <f t="shared" si="6"/>
        <v>N</v>
      </c>
      <c r="K781" s="16"/>
      <c r="L781" s="16"/>
    </row>
    <row r="782">
      <c r="A782" s="40" t="s">
        <v>733</v>
      </c>
      <c r="B782" s="10" t="str">
        <f t="shared" si="1"/>
        <v>extra_muscle</v>
      </c>
      <c r="C782" s="49" t="str">
        <f t="shared" si="2"/>
        <v>S17732XM1</v>
      </c>
      <c r="D782" s="6">
        <v>31.0</v>
      </c>
      <c r="E782" s="10" t="str">
        <f t="shared" si="3"/>
        <v>BXM31</v>
      </c>
      <c r="F782" s="13">
        <v>8.0</v>
      </c>
      <c r="G782" s="10" t="str">
        <f t="shared" si="7"/>
        <v>BXM31-8</v>
      </c>
      <c r="H782" s="16"/>
      <c r="I782" s="16" t="str">
        <f t="shared" si="5"/>
        <v>collected</v>
      </c>
      <c r="J782" s="16" t="str">
        <f t="shared" si="6"/>
        <v>N</v>
      </c>
      <c r="K782" s="16"/>
      <c r="L782" s="16"/>
    </row>
    <row r="783">
      <c r="A783" s="40" t="s">
        <v>739</v>
      </c>
      <c r="B783" s="10" t="str">
        <f t="shared" si="1"/>
        <v>extra_muscle</v>
      </c>
      <c r="C783" s="49" t="str">
        <f t="shared" si="2"/>
        <v>S17738XM1</v>
      </c>
      <c r="D783" s="6">
        <v>31.0</v>
      </c>
      <c r="E783" s="10" t="str">
        <f t="shared" si="3"/>
        <v>BXM31</v>
      </c>
      <c r="F783" s="13">
        <v>9.0</v>
      </c>
      <c r="G783" s="10" t="str">
        <f t="shared" si="7"/>
        <v>BXM31-9</v>
      </c>
      <c r="H783" s="16"/>
      <c r="I783" s="16" t="str">
        <f t="shared" si="5"/>
        <v>collected</v>
      </c>
      <c r="J783" s="16" t="str">
        <f t="shared" si="6"/>
        <v>N</v>
      </c>
      <c r="K783" s="16"/>
      <c r="L783" s="16"/>
    </row>
    <row r="784">
      <c r="A784" s="40" t="s">
        <v>746</v>
      </c>
      <c r="B784" s="10" t="str">
        <f t="shared" si="1"/>
        <v>extra_muscle</v>
      </c>
      <c r="C784" s="49" t="str">
        <f t="shared" si="2"/>
        <v>S16647XM1</v>
      </c>
      <c r="D784" s="6">
        <v>31.0</v>
      </c>
      <c r="E784" s="10" t="str">
        <f t="shared" si="3"/>
        <v>BXM31</v>
      </c>
      <c r="F784" s="13">
        <v>10.0</v>
      </c>
      <c r="G784" s="10" t="str">
        <f t="shared" si="7"/>
        <v>BXM31-10</v>
      </c>
      <c r="H784" s="16"/>
      <c r="I784" s="16" t="str">
        <f t="shared" si="5"/>
        <v>collected</v>
      </c>
      <c r="J784" s="16" t="str">
        <f t="shared" si="6"/>
        <v>N</v>
      </c>
      <c r="K784" s="16"/>
      <c r="L784" s="16"/>
    </row>
    <row r="785">
      <c r="A785" s="40" t="s">
        <v>754</v>
      </c>
      <c r="B785" s="10" t="str">
        <f t="shared" si="1"/>
        <v>extra_muscle</v>
      </c>
      <c r="C785" s="49" t="str">
        <f t="shared" si="2"/>
        <v>S16646XM1</v>
      </c>
      <c r="D785" s="6">
        <v>31.0</v>
      </c>
      <c r="E785" s="10" t="str">
        <f t="shared" si="3"/>
        <v>BXM31</v>
      </c>
      <c r="F785" s="13">
        <v>11.0</v>
      </c>
      <c r="G785" s="10" t="str">
        <f t="shared" si="7"/>
        <v>BXM31-11</v>
      </c>
      <c r="H785" s="16"/>
      <c r="I785" s="16" t="str">
        <f t="shared" si="5"/>
        <v>collected</v>
      </c>
      <c r="J785" s="16" t="str">
        <f t="shared" si="6"/>
        <v>N</v>
      </c>
      <c r="K785" s="16"/>
      <c r="L785" s="16"/>
    </row>
    <row r="786">
      <c r="A786" s="40" t="s">
        <v>761</v>
      </c>
      <c r="B786" s="10" t="str">
        <f t="shared" si="1"/>
        <v>extra_muscle</v>
      </c>
      <c r="C786" s="49" t="str">
        <f t="shared" si="2"/>
        <v>S16642XM1</v>
      </c>
      <c r="D786" s="6">
        <v>31.0</v>
      </c>
      <c r="E786" s="10" t="str">
        <f t="shared" si="3"/>
        <v>BXM31</v>
      </c>
      <c r="F786" s="13">
        <v>12.0</v>
      </c>
      <c r="G786" s="10" t="str">
        <f t="shared" si="7"/>
        <v>BXM31-12</v>
      </c>
      <c r="H786" s="16"/>
      <c r="I786" s="16" t="str">
        <f t="shared" si="5"/>
        <v>collected</v>
      </c>
      <c r="J786" s="16" t="str">
        <f t="shared" si="6"/>
        <v>N</v>
      </c>
      <c r="K786" s="16"/>
      <c r="L786" s="16"/>
    </row>
    <row r="787">
      <c r="A787" s="40" t="s">
        <v>766</v>
      </c>
      <c r="B787" s="10" t="str">
        <f t="shared" si="1"/>
        <v>extra_muscle</v>
      </c>
      <c r="C787" s="49" t="str">
        <f t="shared" si="2"/>
        <v>S16643XM1</v>
      </c>
      <c r="D787" s="6">
        <v>31.0</v>
      </c>
      <c r="E787" s="10" t="str">
        <f t="shared" si="3"/>
        <v>BXM31</v>
      </c>
      <c r="F787" s="13">
        <v>13.0</v>
      </c>
      <c r="G787" s="10" t="str">
        <f t="shared" si="7"/>
        <v>BXM31-13</v>
      </c>
      <c r="H787" s="16"/>
      <c r="I787" s="16" t="str">
        <f t="shared" si="5"/>
        <v>collected</v>
      </c>
      <c r="J787" s="16" t="str">
        <f t="shared" si="6"/>
        <v>N</v>
      </c>
      <c r="K787" s="16"/>
      <c r="L787" s="16"/>
    </row>
    <row r="788">
      <c r="A788" s="40" t="s">
        <v>769</v>
      </c>
      <c r="B788" s="10" t="str">
        <f t="shared" si="1"/>
        <v>extra_muscle</v>
      </c>
      <c r="C788" s="49" t="str">
        <f t="shared" si="2"/>
        <v>S16641XM1</v>
      </c>
      <c r="D788" s="6">
        <v>31.0</v>
      </c>
      <c r="E788" s="10" t="str">
        <f t="shared" si="3"/>
        <v>BXM31</v>
      </c>
      <c r="F788" s="13">
        <v>14.0</v>
      </c>
      <c r="G788" s="10" t="str">
        <f t="shared" si="7"/>
        <v>BXM31-14</v>
      </c>
      <c r="H788" s="16"/>
      <c r="I788" s="16" t="str">
        <f t="shared" si="5"/>
        <v>collected</v>
      </c>
      <c r="J788" s="16" t="str">
        <f t="shared" si="6"/>
        <v>N</v>
      </c>
      <c r="K788" s="16"/>
      <c r="L788" s="16"/>
    </row>
    <row r="789">
      <c r="A789" s="40" t="s">
        <v>772</v>
      </c>
      <c r="B789" s="10" t="str">
        <f t="shared" si="1"/>
        <v>extra_muscle</v>
      </c>
      <c r="C789" s="49" t="str">
        <f t="shared" si="2"/>
        <v>S16648XM1</v>
      </c>
      <c r="D789" s="6">
        <v>31.0</v>
      </c>
      <c r="E789" s="10" t="str">
        <f t="shared" si="3"/>
        <v>BXM31</v>
      </c>
      <c r="F789" s="13">
        <v>15.0</v>
      </c>
      <c r="G789" s="10" t="str">
        <f t="shared" si="7"/>
        <v>BXM31-15</v>
      </c>
      <c r="H789" s="16"/>
      <c r="I789" s="16" t="str">
        <f t="shared" si="5"/>
        <v>collected</v>
      </c>
      <c r="J789" s="16" t="str">
        <f t="shared" si="6"/>
        <v>N</v>
      </c>
      <c r="K789" s="16"/>
      <c r="L789" s="16"/>
    </row>
    <row r="790">
      <c r="A790" s="40" t="s">
        <v>779</v>
      </c>
      <c r="B790" s="10" t="str">
        <f t="shared" si="1"/>
        <v>extra_muscle</v>
      </c>
      <c r="C790" s="49" t="str">
        <f t="shared" si="2"/>
        <v>S16645XM1</v>
      </c>
      <c r="D790" s="6">
        <v>31.0</v>
      </c>
      <c r="E790" s="10" t="str">
        <f t="shared" si="3"/>
        <v>BXM31</v>
      </c>
      <c r="F790" s="13">
        <v>16.0</v>
      </c>
      <c r="G790" s="10" t="str">
        <f t="shared" si="7"/>
        <v>BXM31-16</v>
      </c>
      <c r="H790" s="16"/>
      <c r="I790" s="16" t="str">
        <f t="shared" si="5"/>
        <v>collected</v>
      </c>
      <c r="J790" s="16" t="str">
        <f t="shared" si="6"/>
        <v>N</v>
      </c>
      <c r="K790" s="16"/>
      <c r="L790" s="16"/>
    </row>
    <row r="791">
      <c r="A791" s="40" t="s">
        <v>786</v>
      </c>
      <c r="B791" s="10" t="str">
        <f t="shared" si="1"/>
        <v>extra_muscle</v>
      </c>
      <c r="C791" s="49" t="str">
        <f t="shared" si="2"/>
        <v>S16644XM1</v>
      </c>
      <c r="D791" s="6">
        <v>31.0</v>
      </c>
      <c r="E791" s="10" t="str">
        <f t="shared" si="3"/>
        <v>BXM31</v>
      </c>
      <c r="F791" s="13">
        <v>17.0</v>
      </c>
      <c r="G791" s="10" t="str">
        <f t="shared" si="7"/>
        <v>BXM31-17</v>
      </c>
      <c r="H791" s="16"/>
      <c r="I791" s="16" t="str">
        <f t="shared" si="5"/>
        <v>collected</v>
      </c>
      <c r="J791" s="16" t="str">
        <f t="shared" si="6"/>
        <v>N</v>
      </c>
      <c r="K791" s="16"/>
      <c r="L791" s="16"/>
    </row>
    <row r="792">
      <c r="A792" s="40" t="s">
        <v>793</v>
      </c>
      <c r="B792" s="10" t="str">
        <f t="shared" si="1"/>
        <v>extra_muscle</v>
      </c>
      <c r="C792" s="49" t="str">
        <f t="shared" si="2"/>
        <v>S16649XM1</v>
      </c>
      <c r="D792" s="6">
        <v>31.0</v>
      </c>
      <c r="E792" s="10" t="str">
        <f t="shared" si="3"/>
        <v>BXM31</v>
      </c>
      <c r="F792" s="13">
        <v>18.0</v>
      </c>
      <c r="G792" s="10" t="str">
        <f t="shared" si="7"/>
        <v>BXM31-18</v>
      </c>
      <c r="H792" s="16"/>
      <c r="I792" s="16" t="str">
        <f t="shared" si="5"/>
        <v>collected</v>
      </c>
      <c r="J792" s="16" t="str">
        <f t="shared" si="6"/>
        <v>N</v>
      </c>
      <c r="K792" s="16"/>
      <c r="L792" s="16"/>
    </row>
    <row r="793">
      <c r="A793" s="40" t="s">
        <v>800</v>
      </c>
      <c r="B793" s="10" t="str">
        <f t="shared" si="1"/>
        <v>extra_muscle</v>
      </c>
      <c r="C793" s="49" t="str">
        <f t="shared" si="2"/>
        <v>S16650XM1</v>
      </c>
      <c r="D793" s="6">
        <v>31.0</v>
      </c>
      <c r="E793" s="10" t="str">
        <f t="shared" si="3"/>
        <v>BXM31</v>
      </c>
      <c r="F793" s="13">
        <v>19.0</v>
      </c>
      <c r="G793" s="10" t="str">
        <f t="shared" si="7"/>
        <v>BXM31-19</v>
      </c>
      <c r="H793" s="16"/>
      <c r="I793" s="16" t="str">
        <f t="shared" si="5"/>
        <v>collected</v>
      </c>
      <c r="J793" s="16" t="str">
        <f t="shared" si="6"/>
        <v>N</v>
      </c>
      <c r="K793" s="16"/>
      <c r="L793" s="16"/>
    </row>
    <row r="794">
      <c r="A794" s="27" t="s">
        <v>808</v>
      </c>
      <c r="B794" s="10" t="str">
        <f t="shared" si="1"/>
        <v>extra_muscle</v>
      </c>
      <c r="C794" s="49" t="str">
        <f t="shared" si="2"/>
        <v>S17089XM1</v>
      </c>
      <c r="D794" s="6">
        <v>31.0</v>
      </c>
      <c r="E794" s="10" t="str">
        <f t="shared" si="3"/>
        <v>BXM31</v>
      </c>
      <c r="F794" s="13">
        <v>20.0</v>
      </c>
      <c r="G794" s="10" t="str">
        <f t="shared" si="7"/>
        <v>BXM31-20</v>
      </c>
      <c r="H794" s="16"/>
      <c r="I794" s="16" t="str">
        <f t="shared" si="5"/>
        <v>collected</v>
      </c>
      <c r="J794" s="16" t="str">
        <f t="shared" si="6"/>
        <v>N</v>
      </c>
      <c r="K794" s="16"/>
      <c r="L794" s="16"/>
    </row>
    <row r="795">
      <c r="A795" s="27" t="s">
        <v>816</v>
      </c>
      <c r="B795" s="10" t="str">
        <f t="shared" si="1"/>
        <v>extra_muscle</v>
      </c>
      <c r="C795" s="49" t="str">
        <f t="shared" si="2"/>
        <v>S17090XM1</v>
      </c>
      <c r="D795" s="6">
        <v>31.0</v>
      </c>
      <c r="E795" s="10" t="str">
        <f t="shared" si="3"/>
        <v>BXM31</v>
      </c>
      <c r="F795" s="13">
        <v>21.0</v>
      </c>
      <c r="G795" s="10" t="str">
        <f t="shared" si="7"/>
        <v>BXM31-21</v>
      </c>
      <c r="H795" s="16"/>
      <c r="I795" s="16" t="str">
        <f t="shared" si="5"/>
        <v>collected</v>
      </c>
      <c r="J795" s="16" t="str">
        <f t="shared" si="6"/>
        <v>N</v>
      </c>
      <c r="K795" s="16"/>
      <c r="L795" s="16"/>
    </row>
    <row r="796">
      <c r="A796" s="27" t="s">
        <v>824</v>
      </c>
      <c r="B796" s="10" t="str">
        <f t="shared" si="1"/>
        <v>extra_muscle</v>
      </c>
      <c r="C796" s="49" t="str">
        <f t="shared" si="2"/>
        <v>S17088XM1</v>
      </c>
      <c r="D796" s="6">
        <v>31.0</v>
      </c>
      <c r="E796" s="10" t="str">
        <f t="shared" si="3"/>
        <v>BXM31</v>
      </c>
      <c r="F796" s="13">
        <v>22.0</v>
      </c>
      <c r="G796" s="10" t="str">
        <f t="shared" si="7"/>
        <v>BXM31-22</v>
      </c>
      <c r="H796" s="16"/>
      <c r="I796" s="16" t="str">
        <f t="shared" si="5"/>
        <v>collected</v>
      </c>
      <c r="J796" s="16" t="str">
        <f t="shared" si="6"/>
        <v>N</v>
      </c>
      <c r="K796" s="16"/>
      <c r="L796" s="16"/>
    </row>
    <row r="797">
      <c r="A797" s="27" t="s">
        <v>829</v>
      </c>
      <c r="B797" s="10" t="str">
        <f t="shared" si="1"/>
        <v>extra_muscle</v>
      </c>
      <c r="C797" s="49" t="str">
        <f t="shared" si="2"/>
        <v>S17087XM1</v>
      </c>
      <c r="D797" s="6">
        <v>31.0</v>
      </c>
      <c r="E797" s="10" t="str">
        <f t="shared" si="3"/>
        <v>BXM31</v>
      </c>
      <c r="F797" s="13">
        <v>23.0</v>
      </c>
      <c r="G797" s="10" t="str">
        <f t="shared" si="7"/>
        <v>BXM31-23</v>
      </c>
      <c r="H797" s="16"/>
      <c r="I797" s="16" t="str">
        <f t="shared" si="5"/>
        <v>collected</v>
      </c>
      <c r="J797" s="16" t="str">
        <f t="shared" si="6"/>
        <v>N</v>
      </c>
      <c r="K797" s="16"/>
      <c r="L797" s="16"/>
    </row>
    <row r="798">
      <c r="A798" s="27" t="s">
        <v>835</v>
      </c>
      <c r="B798" s="10" t="str">
        <f t="shared" si="1"/>
        <v>extra_muscle</v>
      </c>
      <c r="C798" s="49" t="str">
        <f t="shared" si="2"/>
        <v>S17086XM1</v>
      </c>
      <c r="D798" s="6">
        <v>31.0</v>
      </c>
      <c r="E798" s="10" t="str">
        <f t="shared" si="3"/>
        <v>BXM31</v>
      </c>
      <c r="F798" s="13">
        <v>24.0</v>
      </c>
      <c r="G798" s="10" t="str">
        <f t="shared" si="7"/>
        <v>BXM31-24</v>
      </c>
      <c r="H798" s="16"/>
      <c r="I798" s="16" t="str">
        <f t="shared" si="5"/>
        <v>collected</v>
      </c>
      <c r="J798" s="16" t="str">
        <f t="shared" si="6"/>
        <v>N</v>
      </c>
      <c r="K798" s="16"/>
      <c r="L798" s="16"/>
    </row>
    <row r="799">
      <c r="A799" s="27" t="s">
        <v>840</v>
      </c>
      <c r="B799" s="10" t="str">
        <f t="shared" si="1"/>
        <v>extra_muscle</v>
      </c>
      <c r="C799" s="49" t="str">
        <f t="shared" si="2"/>
        <v>S17085XM1</v>
      </c>
      <c r="D799" s="6">
        <v>31.0</v>
      </c>
      <c r="E799" s="10" t="str">
        <f t="shared" si="3"/>
        <v>BXM31</v>
      </c>
      <c r="F799" s="13">
        <v>25.0</v>
      </c>
      <c r="G799" s="10" t="str">
        <f t="shared" si="7"/>
        <v>BXM31-25</v>
      </c>
      <c r="H799" s="16"/>
      <c r="I799" s="16" t="str">
        <f t="shared" si="5"/>
        <v>collected</v>
      </c>
      <c r="J799" s="16" t="str">
        <f t="shared" si="6"/>
        <v>N</v>
      </c>
      <c r="K799" s="16"/>
      <c r="L799" s="16"/>
    </row>
    <row r="800">
      <c r="A800" s="27" t="s">
        <v>845</v>
      </c>
      <c r="B800" s="10" t="str">
        <f t="shared" si="1"/>
        <v>extra_muscle</v>
      </c>
      <c r="C800" s="49" t="str">
        <f t="shared" si="2"/>
        <v>S17084XM1</v>
      </c>
      <c r="D800" s="6">
        <v>31.0</v>
      </c>
      <c r="E800" s="10" t="str">
        <f t="shared" si="3"/>
        <v>BXM31</v>
      </c>
      <c r="F800" s="13">
        <v>26.0</v>
      </c>
      <c r="G800" s="10" t="str">
        <f t="shared" si="7"/>
        <v>BXM31-26</v>
      </c>
      <c r="H800" s="16"/>
      <c r="I800" s="16" t="str">
        <f t="shared" si="5"/>
        <v>collected</v>
      </c>
      <c r="J800" s="16" t="str">
        <f t="shared" si="6"/>
        <v>N</v>
      </c>
      <c r="K800" s="16"/>
      <c r="L800" s="16"/>
    </row>
    <row r="801">
      <c r="A801" s="26" t="s">
        <v>850</v>
      </c>
      <c r="B801" s="10" t="str">
        <f t="shared" si="1"/>
        <v>extra_muscle</v>
      </c>
      <c r="C801" s="49" t="str">
        <f t="shared" si="2"/>
        <v>S17081XM1</v>
      </c>
      <c r="D801" s="6">
        <v>31.0</v>
      </c>
      <c r="E801" s="10" t="str">
        <f t="shared" si="3"/>
        <v>BXM31</v>
      </c>
      <c r="F801" s="13">
        <v>27.0</v>
      </c>
      <c r="G801" s="10" t="str">
        <f t="shared" si="7"/>
        <v>BXM31-27</v>
      </c>
      <c r="H801" s="16"/>
      <c r="I801" s="16" t="str">
        <f t="shared" si="5"/>
        <v>collected</v>
      </c>
      <c r="J801" s="16" t="str">
        <f t="shared" si="6"/>
        <v>N</v>
      </c>
      <c r="K801" s="16"/>
      <c r="L801" s="16"/>
    </row>
    <row r="802">
      <c r="A802" s="26" t="s">
        <v>856</v>
      </c>
      <c r="B802" s="10" t="str">
        <f t="shared" si="1"/>
        <v>extra_muscle</v>
      </c>
      <c r="C802" s="49" t="str">
        <f t="shared" si="2"/>
        <v>S17082XM1</v>
      </c>
      <c r="D802" s="6">
        <v>31.0</v>
      </c>
      <c r="E802" s="10" t="str">
        <f t="shared" si="3"/>
        <v>BXM31</v>
      </c>
      <c r="F802" s="13">
        <v>28.0</v>
      </c>
      <c r="G802" s="10" t="str">
        <f t="shared" si="7"/>
        <v>BXM31-28</v>
      </c>
      <c r="H802" s="16"/>
      <c r="I802" s="16" t="str">
        <f t="shared" si="5"/>
        <v>collected</v>
      </c>
      <c r="J802" s="16" t="str">
        <f t="shared" si="6"/>
        <v>N</v>
      </c>
      <c r="K802" s="16"/>
      <c r="L802" s="16"/>
    </row>
    <row r="803">
      <c r="A803" s="26" t="s">
        <v>861</v>
      </c>
      <c r="B803" s="10" t="str">
        <f t="shared" si="1"/>
        <v>extra_muscle</v>
      </c>
      <c r="C803" s="49" t="str">
        <f t="shared" si="2"/>
        <v>S17083XM1</v>
      </c>
      <c r="D803" s="6">
        <v>31.0</v>
      </c>
      <c r="E803" s="10" t="str">
        <f t="shared" si="3"/>
        <v>BXM31</v>
      </c>
      <c r="F803" s="13">
        <v>29.0</v>
      </c>
      <c r="G803" s="10" t="str">
        <f t="shared" si="7"/>
        <v>BXM31-29</v>
      </c>
      <c r="H803" s="16"/>
      <c r="I803" s="16" t="str">
        <f t="shared" si="5"/>
        <v>collected</v>
      </c>
      <c r="J803" s="16" t="str">
        <f t="shared" si="6"/>
        <v>N</v>
      </c>
      <c r="K803" s="16"/>
      <c r="L803" s="16"/>
    </row>
    <row r="804">
      <c r="A804" s="26" t="s">
        <v>869</v>
      </c>
      <c r="B804" s="10" t="str">
        <f t="shared" si="1"/>
        <v>extra_muscle</v>
      </c>
      <c r="C804" s="49" t="str">
        <f t="shared" si="2"/>
        <v>S17341XM1</v>
      </c>
      <c r="D804" s="6">
        <v>31.0</v>
      </c>
      <c r="E804" s="10" t="str">
        <f t="shared" si="3"/>
        <v>BXM31</v>
      </c>
      <c r="F804" s="13">
        <v>30.0</v>
      </c>
      <c r="G804" s="10" t="str">
        <f t="shared" si="7"/>
        <v>BXM31-30</v>
      </c>
      <c r="H804" s="16"/>
      <c r="I804" s="16" t="str">
        <f t="shared" si="5"/>
        <v>collected</v>
      </c>
      <c r="J804" s="16" t="str">
        <f t="shared" si="6"/>
        <v>N</v>
      </c>
      <c r="K804" s="16"/>
      <c r="L804" s="16"/>
    </row>
    <row r="805">
      <c r="A805" s="26" t="s">
        <v>876</v>
      </c>
      <c r="B805" s="10" t="str">
        <f t="shared" si="1"/>
        <v>extra_muscle</v>
      </c>
      <c r="C805" s="49" t="str">
        <f t="shared" si="2"/>
        <v>S17350XM1</v>
      </c>
      <c r="D805" s="6">
        <v>31.0</v>
      </c>
      <c r="E805" s="10" t="str">
        <f t="shared" si="3"/>
        <v>BXM31</v>
      </c>
      <c r="F805" s="13">
        <v>31.0</v>
      </c>
      <c r="G805" s="10" t="str">
        <f t="shared" si="7"/>
        <v>BXM31-31</v>
      </c>
      <c r="H805" s="16"/>
      <c r="I805" s="16" t="str">
        <f t="shared" si="5"/>
        <v>collected</v>
      </c>
      <c r="J805" s="16" t="str">
        <f t="shared" si="6"/>
        <v>N</v>
      </c>
      <c r="K805" s="16"/>
      <c r="L805" s="16"/>
    </row>
    <row r="806">
      <c r="A806" s="26" t="s">
        <v>880</v>
      </c>
      <c r="B806" s="10" t="str">
        <f t="shared" si="1"/>
        <v>extra_muscle</v>
      </c>
      <c r="C806" s="49" t="str">
        <f t="shared" si="2"/>
        <v>S17348XM1</v>
      </c>
      <c r="D806" s="6">
        <v>31.0</v>
      </c>
      <c r="E806" s="10" t="str">
        <f t="shared" si="3"/>
        <v>BXM31</v>
      </c>
      <c r="F806" s="13">
        <v>32.0</v>
      </c>
      <c r="G806" s="10" t="str">
        <f t="shared" si="7"/>
        <v>BXM31-32</v>
      </c>
      <c r="H806" s="16"/>
      <c r="I806" s="16" t="str">
        <f t="shared" si="5"/>
        <v>collected</v>
      </c>
      <c r="J806" s="16" t="str">
        <f t="shared" si="6"/>
        <v>N</v>
      </c>
      <c r="K806" s="16"/>
      <c r="L806" s="16"/>
    </row>
    <row r="807">
      <c r="A807" s="26" t="s">
        <v>890</v>
      </c>
      <c r="B807" s="10" t="str">
        <f t="shared" si="1"/>
        <v>extra_muscle</v>
      </c>
      <c r="C807" s="49" t="str">
        <f t="shared" si="2"/>
        <v>S17347XM1</v>
      </c>
      <c r="D807" s="6">
        <v>31.0</v>
      </c>
      <c r="E807" s="10" t="str">
        <f t="shared" si="3"/>
        <v>BXM31</v>
      </c>
      <c r="F807" s="13">
        <v>33.0</v>
      </c>
      <c r="G807" s="10" t="str">
        <f t="shared" si="7"/>
        <v>BXM31-33</v>
      </c>
      <c r="H807" s="16"/>
      <c r="I807" s="16" t="str">
        <f t="shared" si="5"/>
        <v>collected</v>
      </c>
      <c r="J807" s="16" t="str">
        <f t="shared" si="6"/>
        <v>N</v>
      </c>
      <c r="K807" s="16"/>
      <c r="L807" s="16"/>
    </row>
    <row r="808">
      <c r="A808" s="26" t="s">
        <v>900</v>
      </c>
      <c r="B808" s="10" t="str">
        <f t="shared" si="1"/>
        <v>extra_muscle</v>
      </c>
      <c r="C808" s="49" t="str">
        <f t="shared" si="2"/>
        <v>S17349XM1</v>
      </c>
      <c r="D808" s="6">
        <v>31.0</v>
      </c>
      <c r="E808" s="10" t="str">
        <f t="shared" si="3"/>
        <v>BXM31</v>
      </c>
      <c r="F808" s="13">
        <v>34.0</v>
      </c>
      <c r="G808" s="10" t="str">
        <f t="shared" si="7"/>
        <v>BXM31-34</v>
      </c>
      <c r="H808" s="16"/>
      <c r="I808" s="16" t="str">
        <f t="shared" si="5"/>
        <v>collected</v>
      </c>
      <c r="J808" s="16" t="str">
        <f t="shared" si="6"/>
        <v>N</v>
      </c>
      <c r="K808" s="16"/>
      <c r="L808" s="16"/>
    </row>
    <row r="809">
      <c r="A809" s="26" t="s">
        <v>912</v>
      </c>
      <c r="B809" s="10" t="str">
        <f t="shared" si="1"/>
        <v>extra_muscle</v>
      </c>
      <c r="C809" s="49" t="str">
        <f t="shared" si="2"/>
        <v>S17343XM1</v>
      </c>
      <c r="D809" s="6">
        <v>31.0</v>
      </c>
      <c r="E809" s="10" t="str">
        <f t="shared" si="3"/>
        <v>BXM31</v>
      </c>
      <c r="F809" s="13">
        <v>35.0</v>
      </c>
      <c r="G809" s="10" t="str">
        <f t="shared" si="7"/>
        <v>BXM31-35</v>
      </c>
      <c r="H809" s="16"/>
      <c r="I809" s="16" t="str">
        <f t="shared" si="5"/>
        <v>collected</v>
      </c>
      <c r="J809" s="16" t="str">
        <f t="shared" si="6"/>
        <v>N</v>
      </c>
      <c r="K809" s="16"/>
      <c r="L809" s="16"/>
    </row>
    <row r="810">
      <c r="A810" s="26" t="s">
        <v>919</v>
      </c>
      <c r="B810" s="10" t="str">
        <f t="shared" si="1"/>
        <v>extra_muscle</v>
      </c>
      <c r="C810" s="49" t="str">
        <f t="shared" si="2"/>
        <v>S17342XM1</v>
      </c>
      <c r="D810" s="6">
        <v>31.0</v>
      </c>
      <c r="E810" s="10" t="str">
        <f t="shared" si="3"/>
        <v>BXM31</v>
      </c>
      <c r="F810" s="13">
        <v>36.0</v>
      </c>
      <c r="G810" s="10" t="str">
        <f t="shared" si="7"/>
        <v>BXM31-36</v>
      </c>
      <c r="H810" s="16"/>
      <c r="I810" s="16" t="str">
        <f t="shared" si="5"/>
        <v>collected</v>
      </c>
      <c r="J810" s="16" t="str">
        <f t="shared" si="6"/>
        <v>N</v>
      </c>
      <c r="K810" s="16"/>
      <c r="L810" s="16"/>
    </row>
    <row r="811">
      <c r="A811" s="26" t="s">
        <v>928</v>
      </c>
      <c r="B811" s="10" t="str">
        <f t="shared" si="1"/>
        <v>extra_muscle</v>
      </c>
      <c r="C811" s="49" t="str">
        <f t="shared" si="2"/>
        <v>S17345XM1</v>
      </c>
      <c r="D811" s="6">
        <v>31.0</v>
      </c>
      <c r="E811" s="10" t="str">
        <f t="shared" si="3"/>
        <v>BXM31</v>
      </c>
      <c r="F811" s="13">
        <v>37.0</v>
      </c>
      <c r="G811" s="10" t="str">
        <f t="shared" si="7"/>
        <v>BXM31-37</v>
      </c>
      <c r="H811" s="16"/>
      <c r="I811" s="16" t="str">
        <f t="shared" si="5"/>
        <v>collected</v>
      </c>
      <c r="J811" s="16" t="str">
        <f t="shared" si="6"/>
        <v>N</v>
      </c>
      <c r="K811" s="16"/>
      <c r="L811" s="16"/>
    </row>
    <row r="812">
      <c r="A812" s="26" t="s">
        <v>936</v>
      </c>
      <c r="B812" s="10" t="str">
        <f t="shared" si="1"/>
        <v>extra_muscle</v>
      </c>
      <c r="C812" s="49" t="str">
        <f t="shared" si="2"/>
        <v>S17058XM1</v>
      </c>
      <c r="D812" s="6">
        <v>30.0</v>
      </c>
      <c r="E812" s="10" t="str">
        <f t="shared" si="3"/>
        <v>BXM30</v>
      </c>
      <c r="F812" s="13">
        <v>67.0</v>
      </c>
      <c r="G812" s="10" t="str">
        <f t="shared" si="7"/>
        <v>BXM30-67</v>
      </c>
      <c r="H812" s="16"/>
      <c r="I812" s="16" t="str">
        <f t="shared" si="5"/>
        <v>collected</v>
      </c>
      <c r="J812" s="16" t="str">
        <f t="shared" si="6"/>
        <v>N</v>
      </c>
      <c r="K812" s="16"/>
      <c r="L812" s="16"/>
    </row>
    <row r="813">
      <c r="A813" s="27" t="s">
        <v>944</v>
      </c>
      <c r="B813" s="10" t="str">
        <f t="shared" si="1"/>
        <v>extra_muscle</v>
      </c>
      <c r="C813" s="49" t="str">
        <f t="shared" si="2"/>
        <v>S17059XM1</v>
      </c>
      <c r="D813" s="6">
        <v>30.0</v>
      </c>
      <c r="E813" s="10" t="str">
        <f t="shared" si="3"/>
        <v>BXM30</v>
      </c>
      <c r="F813" s="13">
        <v>68.0</v>
      </c>
      <c r="G813" s="10" t="str">
        <f t="shared" si="7"/>
        <v>BXM30-68</v>
      </c>
      <c r="H813" s="16"/>
      <c r="I813" s="16" t="str">
        <f t="shared" si="5"/>
        <v>collected</v>
      </c>
      <c r="J813" s="16" t="str">
        <f t="shared" si="6"/>
        <v>N</v>
      </c>
      <c r="K813" s="16"/>
      <c r="L813" s="16"/>
    </row>
    <row r="814">
      <c r="A814" s="27" t="s">
        <v>953</v>
      </c>
      <c r="B814" s="10" t="str">
        <f t="shared" si="1"/>
        <v>extra_muscle</v>
      </c>
      <c r="C814" s="49" t="str">
        <f t="shared" si="2"/>
        <v>S17060XM1</v>
      </c>
      <c r="D814" s="6">
        <v>30.0</v>
      </c>
      <c r="E814" s="10" t="str">
        <f t="shared" si="3"/>
        <v>BXM30</v>
      </c>
      <c r="F814" s="13">
        <v>69.0</v>
      </c>
      <c r="G814" s="10" t="str">
        <f t="shared" si="7"/>
        <v>BXM30-69</v>
      </c>
      <c r="H814" s="16"/>
      <c r="I814" s="16" t="str">
        <f t="shared" si="5"/>
        <v>collected</v>
      </c>
      <c r="J814" s="16" t="str">
        <f t="shared" si="6"/>
        <v>N</v>
      </c>
      <c r="K814" s="16"/>
      <c r="L814" s="16"/>
    </row>
    <row r="815">
      <c r="A815" s="27" t="s">
        <v>961</v>
      </c>
      <c r="B815" s="10" t="str">
        <f t="shared" si="1"/>
        <v>extra_muscle</v>
      </c>
      <c r="C815" s="49" t="str">
        <f t="shared" si="2"/>
        <v>S16081XM1</v>
      </c>
      <c r="D815" s="6">
        <v>30.0</v>
      </c>
      <c r="E815" s="10" t="str">
        <f t="shared" si="3"/>
        <v>BXM30</v>
      </c>
      <c r="F815" s="13">
        <v>70.0</v>
      </c>
      <c r="G815" s="10" t="str">
        <f t="shared" si="7"/>
        <v>BXM30-70</v>
      </c>
      <c r="H815" s="16"/>
      <c r="I815" s="16" t="str">
        <f t="shared" si="5"/>
        <v>collected</v>
      </c>
      <c r="J815" s="16" t="str">
        <f t="shared" si="6"/>
        <v>N</v>
      </c>
      <c r="K815" s="16"/>
      <c r="L815" s="16"/>
    </row>
    <row r="816">
      <c r="A816" s="27" t="s">
        <v>970</v>
      </c>
      <c r="B816" s="10" t="str">
        <f t="shared" si="1"/>
        <v>extra_muscle</v>
      </c>
      <c r="C816" s="49" t="str">
        <f t="shared" si="2"/>
        <v>S16082XM1</v>
      </c>
      <c r="D816" s="6">
        <v>30.0</v>
      </c>
      <c r="E816" s="10" t="str">
        <f t="shared" si="3"/>
        <v>BXM30</v>
      </c>
      <c r="F816" s="13">
        <v>71.0</v>
      </c>
      <c r="G816" s="10" t="str">
        <f t="shared" si="7"/>
        <v>BXM30-71</v>
      </c>
      <c r="H816" s="16"/>
      <c r="I816" s="16" t="str">
        <f t="shared" si="5"/>
        <v>collected</v>
      </c>
      <c r="J816" s="16" t="str">
        <f t="shared" si="6"/>
        <v>N</v>
      </c>
      <c r="K816" s="16"/>
      <c r="L816" s="16"/>
    </row>
    <row r="817">
      <c r="A817" s="27" t="s">
        <v>977</v>
      </c>
      <c r="B817" s="10" t="str">
        <f t="shared" si="1"/>
        <v>extra_muscle</v>
      </c>
      <c r="C817" s="49" t="str">
        <f t="shared" si="2"/>
        <v>S16083XM1</v>
      </c>
      <c r="D817" s="6">
        <v>30.0</v>
      </c>
      <c r="E817" s="10" t="str">
        <f t="shared" si="3"/>
        <v>BXM30</v>
      </c>
      <c r="F817" s="13">
        <v>72.0</v>
      </c>
      <c r="G817" s="10" t="str">
        <f t="shared" si="7"/>
        <v>BXM30-72</v>
      </c>
      <c r="H817" s="16"/>
      <c r="I817" s="16" t="str">
        <f t="shared" si="5"/>
        <v>collected</v>
      </c>
      <c r="J817" s="16" t="str">
        <f t="shared" si="6"/>
        <v>N</v>
      </c>
      <c r="K817" s="16"/>
      <c r="L817" s="16"/>
    </row>
    <row r="818">
      <c r="A818" s="27" t="s">
        <v>984</v>
      </c>
      <c r="B818" s="10" t="str">
        <f t="shared" si="1"/>
        <v>extra_muscle</v>
      </c>
      <c r="C818" s="49" t="str">
        <f t="shared" si="2"/>
        <v>S16084XM1</v>
      </c>
      <c r="D818" s="6">
        <v>30.0</v>
      </c>
      <c r="E818" s="10" t="str">
        <f t="shared" si="3"/>
        <v>BXM30</v>
      </c>
      <c r="F818" s="13">
        <v>73.0</v>
      </c>
      <c r="G818" s="10" t="str">
        <f t="shared" si="7"/>
        <v>BXM30-73</v>
      </c>
      <c r="H818" s="16"/>
      <c r="I818" s="16" t="str">
        <f t="shared" si="5"/>
        <v>collected</v>
      </c>
      <c r="J818" s="16" t="str">
        <f t="shared" si="6"/>
        <v>N</v>
      </c>
      <c r="K818" s="16"/>
      <c r="L818" s="16"/>
    </row>
    <row r="819">
      <c r="A819" s="27" t="s">
        <v>992</v>
      </c>
      <c r="B819" s="10" t="str">
        <f t="shared" si="1"/>
        <v>extra_muscle</v>
      </c>
      <c r="C819" s="49" t="str">
        <f t="shared" si="2"/>
        <v>S16085XM1</v>
      </c>
      <c r="D819" s="6">
        <v>30.0</v>
      </c>
      <c r="E819" s="10" t="str">
        <f t="shared" si="3"/>
        <v>BXM30</v>
      </c>
      <c r="F819" s="13">
        <v>74.0</v>
      </c>
      <c r="G819" s="10" t="str">
        <f t="shared" si="7"/>
        <v>BXM30-74</v>
      </c>
      <c r="H819" s="16"/>
      <c r="I819" s="16" t="str">
        <f t="shared" si="5"/>
        <v>collected</v>
      </c>
      <c r="J819" s="16" t="str">
        <f t="shared" si="6"/>
        <v>N</v>
      </c>
      <c r="K819" s="16"/>
      <c r="L819" s="16"/>
    </row>
    <row r="820">
      <c r="A820" s="27" t="s">
        <v>1000</v>
      </c>
      <c r="B820" s="10" t="str">
        <f t="shared" si="1"/>
        <v>extra_muscle</v>
      </c>
      <c r="C820" s="49" t="str">
        <f t="shared" si="2"/>
        <v>S16086XM1</v>
      </c>
      <c r="D820" s="6">
        <v>30.0</v>
      </c>
      <c r="E820" s="10" t="str">
        <f t="shared" si="3"/>
        <v>BXM30</v>
      </c>
      <c r="F820" s="13">
        <v>75.0</v>
      </c>
      <c r="G820" s="10" t="str">
        <f t="shared" si="7"/>
        <v>BXM30-75</v>
      </c>
      <c r="H820" s="6"/>
      <c r="I820" s="16" t="str">
        <f t="shared" si="5"/>
        <v>collected</v>
      </c>
      <c r="J820" s="16" t="str">
        <f t="shared" si="6"/>
        <v>N</v>
      </c>
      <c r="K820" s="16"/>
      <c r="L820" s="16"/>
    </row>
    <row r="821">
      <c r="A821" s="27" t="s">
        <v>1007</v>
      </c>
      <c r="B821" s="10" t="str">
        <f t="shared" si="1"/>
        <v>extra_muscle</v>
      </c>
      <c r="C821" s="49" t="str">
        <f t="shared" si="2"/>
        <v>S16087XM1</v>
      </c>
      <c r="D821" s="6">
        <v>30.0</v>
      </c>
      <c r="E821" s="10" t="str">
        <f t="shared" si="3"/>
        <v>BXM30</v>
      </c>
      <c r="F821" s="13">
        <v>76.0</v>
      </c>
      <c r="G821" s="10" t="str">
        <f t="shared" si="7"/>
        <v>BXM30-76</v>
      </c>
      <c r="H821" s="6"/>
      <c r="I821" s="16" t="str">
        <f t="shared" si="5"/>
        <v>collected</v>
      </c>
      <c r="J821" s="16" t="str">
        <f t="shared" si="6"/>
        <v>N</v>
      </c>
      <c r="K821" s="16"/>
      <c r="L821" s="16"/>
    </row>
    <row r="822">
      <c r="A822" s="26" t="s">
        <v>1014</v>
      </c>
      <c r="B822" s="10" t="str">
        <f t="shared" si="1"/>
        <v>extra_muscle</v>
      </c>
      <c r="C822" s="49" t="str">
        <f t="shared" si="2"/>
        <v>S16088XM1</v>
      </c>
      <c r="D822" s="6">
        <v>30.0</v>
      </c>
      <c r="E822" s="10" t="str">
        <f t="shared" si="3"/>
        <v>BXM30</v>
      </c>
      <c r="F822" s="13">
        <v>77.0</v>
      </c>
      <c r="G822" s="10" t="str">
        <f t="shared" si="7"/>
        <v>BXM30-77</v>
      </c>
      <c r="H822" s="6"/>
      <c r="I822" s="16" t="str">
        <f t="shared" si="5"/>
        <v>collected</v>
      </c>
      <c r="J822" s="16" t="str">
        <f t="shared" si="6"/>
        <v>N</v>
      </c>
      <c r="K822" s="16"/>
      <c r="L822" s="16"/>
    </row>
    <row r="823">
      <c r="A823" s="26" t="s">
        <v>1022</v>
      </c>
      <c r="B823" s="10" t="str">
        <f t="shared" si="1"/>
        <v>extra_muscle</v>
      </c>
      <c r="C823" s="49" t="str">
        <f t="shared" si="2"/>
        <v>S16089XM1</v>
      </c>
      <c r="D823" s="6">
        <v>30.0</v>
      </c>
      <c r="E823" s="10" t="str">
        <f t="shared" si="3"/>
        <v>BXM30</v>
      </c>
      <c r="F823" s="13">
        <v>78.0</v>
      </c>
      <c r="G823" s="10" t="str">
        <f t="shared" si="7"/>
        <v>BXM30-78</v>
      </c>
      <c r="H823" s="16"/>
      <c r="I823" s="16" t="str">
        <f t="shared" si="5"/>
        <v>collected</v>
      </c>
      <c r="J823" s="16" t="str">
        <f t="shared" si="6"/>
        <v>N</v>
      </c>
      <c r="K823" s="16"/>
      <c r="L823" s="16"/>
    </row>
    <row r="824">
      <c r="A824" s="26" t="s">
        <v>1027</v>
      </c>
      <c r="B824" s="10" t="str">
        <f t="shared" si="1"/>
        <v>extra_muscle</v>
      </c>
      <c r="C824" s="49" t="str">
        <f t="shared" si="2"/>
        <v>S16090XM1</v>
      </c>
      <c r="D824" s="6">
        <v>30.0</v>
      </c>
      <c r="E824" s="10" t="str">
        <f t="shared" si="3"/>
        <v>BXM30</v>
      </c>
      <c r="F824" s="13">
        <v>79.0</v>
      </c>
      <c r="G824" s="10" t="str">
        <f t="shared" si="7"/>
        <v>BXM30-79</v>
      </c>
      <c r="H824" s="16"/>
      <c r="I824" s="16" t="str">
        <f t="shared" si="5"/>
        <v>collected</v>
      </c>
      <c r="J824" s="16" t="str">
        <f t="shared" si="6"/>
        <v>N</v>
      </c>
      <c r="K824" s="16"/>
      <c r="L824" s="16"/>
    </row>
    <row r="825">
      <c r="A825" s="26" t="s">
        <v>1034</v>
      </c>
      <c r="B825" s="10" t="str">
        <f t="shared" si="1"/>
        <v>extra_muscle</v>
      </c>
      <c r="C825" s="49" t="str">
        <f t="shared" si="2"/>
        <v>S17141XM1</v>
      </c>
      <c r="D825" s="6">
        <v>30.0</v>
      </c>
      <c r="E825" s="10" t="str">
        <f t="shared" si="3"/>
        <v>BXM30</v>
      </c>
      <c r="F825" s="13">
        <v>80.0</v>
      </c>
      <c r="G825" s="10" t="str">
        <f t="shared" si="7"/>
        <v>BXM30-80</v>
      </c>
      <c r="H825" s="16"/>
      <c r="I825" s="16" t="str">
        <f t="shared" si="5"/>
        <v>collected</v>
      </c>
      <c r="J825" s="16" t="str">
        <f t="shared" si="6"/>
        <v>N</v>
      </c>
      <c r="K825" s="16"/>
      <c r="L825" s="16"/>
    </row>
    <row r="826">
      <c r="A826" s="26" t="s">
        <v>1043</v>
      </c>
      <c r="B826" s="10" t="str">
        <f t="shared" si="1"/>
        <v>extra_muscle</v>
      </c>
      <c r="C826" s="49" t="str">
        <f t="shared" si="2"/>
        <v>S17142XM1</v>
      </c>
      <c r="D826" s="6">
        <v>30.0</v>
      </c>
      <c r="E826" s="10" t="str">
        <f t="shared" si="3"/>
        <v>BXM30</v>
      </c>
      <c r="F826" s="13">
        <v>81.0</v>
      </c>
      <c r="G826" s="10" t="str">
        <f t="shared" si="7"/>
        <v>BXM30-81</v>
      </c>
      <c r="H826" s="16"/>
      <c r="I826" s="16" t="str">
        <f t="shared" si="5"/>
        <v>collected</v>
      </c>
      <c r="J826" s="16" t="str">
        <f t="shared" si="6"/>
        <v>N</v>
      </c>
      <c r="K826" s="16"/>
      <c r="L826" s="16"/>
    </row>
    <row r="827">
      <c r="A827" s="26" t="s">
        <v>1054</v>
      </c>
      <c r="B827" s="10" t="str">
        <f t="shared" si="1"/>
        <v>extra_muscle</v>
      </c>
      <c r="C827" s="49" t="str">
        <f t="shared" si="2"/>
        <v>S17143XM1</v>
      </c>
      <c r="D827" s="6">
        <v>32.0</v>
      </c>
      <c r="E827" s="10" t="str">
        <f t="shared" si="3"/>
        <v>BXM32</v>
      </c>
      <c r="F827" s="13">
        <v>1.0</v>
      </c>
      <c r="G827" s="10" t="str">
        <f t="shared" si="7"/>
        <v>BXM32-1</v>
      </c>
      <c r="H827" s="16"/>
      <c r="I827" s="16" t="str">
        <f t="shared" si="5"/>
        <v>collected</v>
      </c>
      <c r="J827" s="16" t="str">
        <f t="shared" si="6"/>
        <v>N</v>
      </c>
      <c r="K827" s="16"/>
      <c r="L827" s="16"/>
    </row>
    <row r="828">
      <c r="A828" s="26" t="s">
        <v>1063</v>
      </c>
      <c r="B828" s="10" t="str">
        <f t="shared" si="1"/>
        <v>extra_muscle</v>
      </c>
      <c r="C828" s="49" t="str">
        <f t="shared" si="2"/>
        <v>S17144XM1</v>
      </c>
      <c r="D828" s="6">
        <v>32.0</v>
      </c>
      <c r="E828" s="10" t="str">
        <f t="shared" si="3"/>
        <v>BXM32</v>
      </c>
      <c r="F828" s="13">
        <v>2.0</v>
      </c>
      <c r="G828" s="10" t="str">
        <f t="shared" si="7"/>
        <v>BXM32-2</v>
      </c>
      <c r="H828" s="16"/>
      <c r="I828" s="16" t="str">
        <f t="shared" si="5"/>
        <v>collected</v>
      </c>
      <c r="J828" s="16" t="str">
        <f t="shared" si="6"/>
        <v>N</v>
      </c>
      <c r="K828" s="16"/>
      <c r="L828" s="16"/>
    </row>
    <row r="829">
      <c r="A829" s="26" t="s">
        <v>1073</v>
      </c>
      <c r="B829" s="10" t="str">
        <f t="shared" si="1"/>
        <v>extra_muscle</v>
      </c>
      <c r="C829" s="49" t="str">
        <f t="shared" si="2"/>
        <v>S17145XM1</v>
      </c>
      <c r="D829" s="6">
        <v>32.0</v>
      </c>
      <c r="E829" s="10" t="str">
        <f t="shared" si="3"/>
        <v>BXM32</v>
      </c>
      <c r="F829" s="13">
        <v>3.0</v>
      </c>
      <c r="G829" s="10" t="str">
        <f t="shared" si="7"/>
        <v>BXM32-3</v>
      </c>
      <c r="H829" s="16"/>
      <c r="I829" s="16" t="str">
        <f t="shared" si="5"/>
        <v>collected</v>
      </c>
      <c r="J829" s="16" t="str">
        <f t="shared" si="6"/>
        <v>N</v>
      </c>
      <c r="K829" s="16"/>
      <c r="L829" s="16"/>
    </row>
    <row r="830">
      <c r="A830" s="26" t="s">
        <v>1083</v>
      </c>
      <c r="B830" s="10" t="str">
        <f t="shared" si="1"/>
        <v>extra_muscle</v>
      </c>
      <c r="C830" s="49" t="str">
        <f t="shared" si="2"/>
        <v>S17146XM1</v>
      </c>
      <c r="D830" s="6">
        <v>32.0</v>
      </c>
      <c r="E830" s="10" t="str">
        <f t="shared" si="3"/>
        <v>BXM32</v>
      </c>
      <c r="F830" s="13">
        <v>4.0</v>
      </c>
      <c r="G830" s="10" t="str">
        <f t="shared" si="7"/>
        <v>BXM32-4</v>
      </c>
      <c r="H830" s="16"/>
      <c r="I830" s="16" t="str">
        <f t="shared" si="5"/>
        <v>collected</v>
      </c>
      <c r="J830" s="16" t="str">
        <f t="shared" si="6"/>
        <v>N</v>
      </c>
      <c r="K830" s="16"/>
      <c r="L830" s="16"/>
    </row>
    <row r="831">
      <c r="A831" s="26" t="s">
        <v>1095</v>
      </c>
      <c r="B831" s="10" t="str">
        <f t="shared" si="1"/>
        <v>extra_muscle</v>
      </c>
      <c r="C831" s="49" t="str">
        <f t="shared" si="2"/>
        <v>S17147XM1</v>
      </c>
      <c r="D831" s="6">
        <v>32.0</v>
      </c>
      <c r="E831" s="10" t="str">
        <f t="shared" si="3"/>
        <v>BXM32</v>
      </c>
      <c r="F831" s="13">
        <v>5.0</v>
      </c>
      <c r="G831" s="10" t="str">
        <f t="shared" si="7"/>
        <v>BXM32-5</v>
      </c>
      <c r="H831" s="16"/>
      <c r="I831" s="16" t="str">
        <f t="shared" si="5"/>
        <v>collected</v>
      </c>
      <c r="J831" s="16" t="str">
        <f t="shared" si="6"/>
        <v>N</v>
      </c>
      <c r="K831" s="16"/>
      <c r="L831" s="16"/>
    </row>
    <row r="832">
      <c r="A832" s="26" t="s">
        <v>1106</v>
      </c>
      <c r="B832" s="10" t="str">
        <f t="shared" si="1"/>
        <v>extra_muscle</v>
      </c>
      <c r="C832" s="49" t="str">
        <f t="shared" si="2"/>
        <v>S17148XM1</v>
      </c>
      <c r="D832" s="6">
        <v>32.0</v>
      </c>
      <c r="E832" s="10" t="str">
        <f t="shared" si="3"/>
        <v>BXM32</v>
      </c>
      <c r="F832" s="13">
        <v>6.0</v>
      </c>
      <c r="G832" s="10" t="str">
        <f t="shared" si="7"/>
        <v>BXM32-6</v>
      </c>
      <c r="H832" s="16"/>
      <c r="I832" s="16" t="str">
        <f t="shared" si="5"/>
        <v>collected</v>
      </c>
      <c r="J832" s="16" t="str">
        <f t="shared" si="6"/>
        <v>N</v>
      </c>
      <c r="K832" s="16"/>
      <c r="L832" s="16"/>
    </row>
    <row r="833">
      <c r="A833" s="26" t="s">
        <v>1116</v>
      </c>
      <c r="B833" s="10" t="str">
        <f t="shared" si="1"/>
        <v>extra_muscle</v>
      </c>
      <c r="C833" s="49" t="str">
        <f t="shared" si="2"/>
        <v>S17149XM1</v>
      </c>
      <c r="D833" s="6">
        <v>32.0</v>
      </c>
      <c r="E833" s="10" t="str">
        <f t="shared" si="3"/>
        <v>BXM32</v>
      </c>
      <c r="F833" s="13">
        <v>7.0</v>
      </c>
      <c r="G833" s="10" t="str">
        <f t="shared" si="7"/>
        <v>BXM32-7</v>
      </c>
      <c r="H833" s="16"/>
      <c r="I833" s="16" t="str">
        <f t="shared" si="5"/>
        <v>collected</v>
      </c>
      <c r="J833" s="16" t="str">
        <f t="shared" si="6"/>
        <v>N</v>
      </c>
      <c r="K833" s="16"/>
      <c r="L833" s="16"/>
    </row>
    <row r="834">
      <c r="A834" s="26" t="s">
        <v>1126</v>
      </c>
      <c r="B834" s="10" t="str">
        <f t="shared" si="1"/>
        <v>extra_muscle</v>
      </c>
      <c r="C834" s="49" t="str">
        <f t="shared" si="2"/>
        <v>S17150XM1</v>
      </c>
      <c r="D834" s="6">
        <v>32.0</v>
      </c>
      <c r="E834" s="10" t="str">
        <f t="shared" si="3"/>
        <v>BXM32</v>
      </c>
      <c r="F834" s="13">
        <v>8.0</v>
      </c>
      <c r="G834" s="10" t="str">
        <f t="shared" si="7"/>
        <v>BXM32-8</v>
      </c>
      <c r="H834" s="16"/>
      <c r="I834" s="16" t="str">
        <f t="shared" si="5"/>
        <v>collected</v>
      </c>
      <c r="J834" s="16" t="str">
        <f t="shared" si="6"/>
        <v>N</v>
      </c>
      <c r="K834" s="16"/>
      <c r="L834" s="16"/>
    </row>
    <row r="835">
      <c r="A835" s="26" t="s">
        <v>1138</v>
      </c>
      <c r="B835" s="10" t="str">
        <f t="shared" si="1"/>
        <v>extra_muscle</v>
      </c>
      <c r="C835" s="49" t="str">
        <f t="shared" si="2"/>
        <v>S17321XM1</v>
      </c>
      <c r="D835" s="6">
        <v>32.0</v>
      </c>
      <c r="E835" s="10" t="str">
        <f t="shared" si="3"/>
        <v>BXM32</v>
      </c>
      <c r="F835" s="13">
        <v>9.0</v>
      </c>
      <c r="G835" s="10" t="str">
        <f t="shared" si="7"/>
        <v>BXM32-9</v>
      </c>
      <c r="H835" s="16"/>
      <c r="I835" s="16" t="str">
        <f t="shared" si="5"/>
        <v>collected</v>
      </c>
      <c r="J835" s="16" t="str">
        <f t="shared" si="6"/>
        <v>N</v>
      </c>
      <c r="K835" s="16"/>
      <c r="L835" s="16"/>
    </row>
    <row r="836">
      <c r="A836" s="26" t="s">
        <v>1150</v>
      </c>
      <c r="B836" s="10" t="str">
        <f t="shared" si="1"/>
        <v>extra_muscle</v>
      </c>
      <c r="C836" s="49" t="str">
        <f t="shared" si="2"/>
        <v>S17322XM1</v>
      </c>
      <c r="D836" s="6">
        <v>32.0</v>
      </c>
      <c r="E836" s="10" t="str">
        <f t="shared" si="3"/>
        <v>BXM32</v>
      </c>
      <c r="F836" s="13">
        <v>10.0</v>
      </c>
      <c r="G836" s="10" t="str">
        <f t="shared" si="7"/>
        <v>BXM32-10</v>
      </c>
      <c r="H836" s="16"/>
      <c r="I836" s="16" t="str">
        <f t="shared" si="5"/>
        <v>collected</v>
      </c>
      <c r="J836" s="16" t="str">
        <f t="shared" si="6"/>
        <v>N</v>
      </c>
      <c r="K836" s="16"/>
      <c r="L836" s="16"/>
    </row>
    <row r="837">
      <c r="A837" s="26" t="s">
        <v>1160</v>
      </c>
      <c r="B837" s="10" t="str">
        <f t="shared" si="1"/>
        <v>extra_muscle</v>
      </c>
      <c r="C837" s="49" t="str">
        <f t="shared" si="2"/>
        <v>S17323XM1</v>
      </c>
      <c r="D837" s="6">
        <v>32.0</v>
      </c>
      <c r="E837" s="10" t="str">
        <f t="shared" si="3"/>
        <v>BXM32</v>
      </c>
      <c r="F837" s="13">
        <v>11.0</v>
      </c>
      <c r="G837" s="10" t="str">
        <f t="shared" si="7"/>
        <v>BXM32-11</v>
      </c>
      <c r="H837" s="16"/>
      <c r="I837" s="16" t="str">
        <f t="shared" si="5"/>
        <v>collected</v>
      </c>
      <c r="J837" s="16" t="str">
        <f t="shared" si="6"/>
        <v>N</v>
      </c>
      <c r="K837" s="16"/>
      <c r="L837" s="16"/>
    </row>
    <row r="838">
      <c r="A838" s="26" t="s">
        <v>1169</v>
      </c>
      <c r="B838" s="10" t="str">
        <f t="shared" si="1"/>
        <v>extra_muscle</v>
      </c>
      <c r="C838" s="49" t="str">
        <f t="shared" si="2"/>
        <v>S17324XM1</v>
      </c>
      <c r="D838" s="6">
        <v>32.0</v>
      </c>
      <c r="E838" s="10" t="str">
        <f t="shared" si="3"/>
        <v>BXM32</v>
      </c>
      <c r="F838" s="13">
        <v>12.0</v>
      </c>
      <c r="G838" s="10" t="str">
        <f t="shared" si="7"/>
        <v>BXM32-12</v>
      </c>
      <c r="H838" s="16"/>
      <c r="I838" s="16" t="str">
        <f t="shared" si="5"/>
        <v>collected</v>
      </c>
      <c r="J838" s="16" t="str">
        <f t="shared" si="6"/>
        <v>N</v>
      </c>
      <c r="K838" s="16"/>
      <c r="L838" s="16"/>
    </row>
    <row r="839">
      <c r="A839" s="26" t="s">
        <v>1178</v>
      </c>
      <c r="B839" s="10" t="str">
        <f t="shared" si="1"/>
        <v>extra_muscle</v>
      </c>
      <c r="C839" s="49" t="str">
        <f t="shared" si="2"/>
        <v>S17325XM1</v>
      </c>
      <c r="D839" s="6">
        <v>32.0</v>
      </c>
      <c r="E839" s="10" t="str">
        <f t="shared" si="3"/>
        <v>BXM32</v>
      </c>
      <c r="F839" s="13">
        <v>13.0</v>
      </c>
      <c r="G839" s="10" t="str">
        <f t="shared" si="7"/>
        <v>BXM32-13</v>
      </c>
      <c r="H839" s="16"/>
      <c r="I839" s="16" t="str">
        <f t="shared" si="5"/>
        <v>collected</v>
      </c>
      <c r="J839" s="16" t="str">
        <f t="shared" si="6"/>
        <v>N</v>
      </c>
      <c r="K839" s="16"/>
      <c r="L839" s="16"/>
    </row>
    <row r="840">
      <c r="A840" s="44" t="s">
        <v>1180</v>
      </c>
      <c r="B840" s="10" t="str">
        <f t="shared" si="1"/>
        <v>extra_muscle</v>
      </c>
      <c r="C840" s="49" t="str">
        <f t="shared" si="2"/>
        <v>S17346XM1</v>
      </c>
      <c r="D840" s="6">
        <v>31.0</v>
      </c>
      <c r="E840" s="10" t="str">
        <f t="shared" si="3"/>
        <v>BXM31</v>
      </c>
      <c r="F840" s="13">
        <v>38.0</v>
      </c>
      <c r="G840" s="10" t="str">
        <f t="shared" si="7"/>
        <v>BXM31-38</v>
      </c>
      <c r="H840" s="16"/>
      <c r="I840" s="16" t="str">
        <f t="shared" si="5"/>
        <v>collected</v>
      </c>
      <c r="J840" s="16" t="str">
        <f t="shared" si="6"/>
        <v>N</v>
      </c>
      <c r="K840" s="16"/>
      <c r="L840" s="16"/>
    </row>
    <row r="841">
      <c r="A841" s="44" t="s">
        <v>1182</v>
      </c>
      <c r="B841" s="10" t="str">
        <f t="shared" si="1"/>
        <v>extra_muscle</v>
      </c>
      <c r="C841" s="49" t="str">
        <f t="shared" si="2"/>
        <v>S17344XM1</v>
      </c>
      <c r="D841" s="6">
        <v>31.0</v>
      </c>
      <c r="E841" s="10" t="str">
        <f t="shared" si="3"/>
        <v>BXM31</v>
      </c>
      <c r="F841" s="13">
        <v>39.0</v>
      </c>
      <c r="G841" s="10" t="str">
        <f t="shared" si="7"/>
        <v>BXM31-39</v>
      </c>
      <c r="H841" s="16"/>
      <c r="I841" s="16" t="str">
        <f t="shared" si="5"/>
        <v>collected</v>
      </c>
      <c r="J841" s="16" t="str">
        <f t="shared" si="6"/>
        <v>N</v>
      </c>
      <c r="K841" s="16"/>
      <c r="L841" s="16"/>
    </row>
    <row r="842">
      <c r="A842" s="43" t="s">
        <v>1186</v>
      </c>
      <c r="B842" s="10" t="str">
        <f t="shared" si="1"/>
        <v>extra_muscle</v>
      </c>
      <c r="C842" s="49" t="str">
        <f t="shared" si="2"/>
        <v>S17218XM1</v>
      </c>
      <c r="D842" s="6">
        <v>31.0</v>
      </c>
      <c r="E842" s="10" t="str">
        <f t="shared" si="3"/>
        <v>BXM31</v>
      </c>
      <c r="F842" s="13">
        <v>40.0</v>
      </c>
      <c r="G842" s="10" t="str">
        <f t="shared" si="7"/>
        <v>BXM31-40</v>
      </c>
      <c r="H842" s="16"/>
      <c r="I842" s="16" t="str">
        <f t="shared" si="5"/>
        <v>collected</v>
      </c>
      <c r="J842" s="16" t="str">
        <f t="shared" si="6"/>
        <v>N</v>
      </c>
      <c r="K842" s="16"/>
      <c r="L842" s="16"/>
    </row>
    <row r="843">
      <c r="A843" s="44" t="s">
        <v>1190</v>
      </c>
      <c r="B843" s="10" t="str">
        <f t="shared" si="1"/>
        <v>extra_muscle</v>
      </c>
      <c r="C843" s="49" t="str">
        <f t="shared" si="2"/>
        <v>S17215XM1</v>
      </c>
      <c r="D843" s="6">
        <v>31.0</v>
      </c>
      <c r="E843" s="10" t="str">
        <f t="shared" si="3"/>
        <v>BXM31</v>
      </c>
      <c r="F843" s="13">
        <v>41.0</v>
      </c>
      <c r="G843" s="10" t="str">
        <f t="shared" si="7"/>
        <v>BXM31-41</v>
      </c>
      <c r="H843" s="6"/>
      <c r="I843" s="16" t="str">
        <f t="shared" si="5"/>
        <v>collected</v>
      </c>
      <c r="J843" s="16" t="str">
        <f t="shared" si="6"/>
        <v>N</v>
      </c>
      <c r="K843" s="16"/>
      <c r="L843" s="16"/>
    </row>
    <row r="844">
      <c r="A844" s="44" t="s">
        <v>1192</v>
      </c>
      <c r="B844" s="10" t="str">
        <f t="shared" si="1"/>
        <v>extra_muscle</v>
      </c>
      <c r="C844" s="49" t="str">
        <f t="shared" si="2"/>
        <v>S17219XM1</v>
      </c>
      <c r="D844" s="6">
        <v>31.0</v>
      </c>
      <c r="E844" s="10" t="str">
        <f t="shared" si="3"/>
        <v>BXM31</v>
      </c>
      <c r="F844" s="13">
        <v>42.0</v>
      </c>
      <c r="G844" s="10" t="str">
        <f t="shared" si="7"/>
        <v>BXM31-42</v>
      </c>
      <c r="H844" s="6"/>
      <c r="I844" s="16" t="str">
        <f t="shared" si="5"/>
        <v>collected</v>
      </c>
      <c r="J844" s="16" t="str">
        <f t="shared" si="6"/>
        <v>N</v>
      </c>
      <c r="K844" s="16"/>
      <c r="L844" s="16"/>
    </row>
    <row r="845">
      <c r="A845" s="44" t="s">
        <v>1195</v>
      </c>
      <c r="B845" s="10" t="str">
        <f t="shared" si="1"/>
        <v>extra_muscle</v>
      </c>
      <c r="C845" s="49" t="str">
        <f t="shared" si="2"/>
        <v>S17220XM1</v>
      </c>
      <c r="D845" s="6">
        <v>31.0</v>
      </c>
      <c r="E845" s="10" t="str">
        <f t="shared" si="3"/>
        <v>BXM31</v>
      </c>
      <c r="F845" s="13">
        <v>43.0</v>
      </c>
      <c r="G845" s="10" t="str">
        <f t="shared" si="7"/>
        <v>BXM31-43</v>
      </c>
      <c r="H845" s="6"/>
      <c r="I845" s="16" t="str">
        <f t="shared" si="5"/>
        <v>collected</v>
      </c>
      <c r="J845" s="16" t="str">
        <f t="shared" si="6"/>
        <v>N</v>
      </c>
      <c r="K845" s="16"/>
      <c r="L845" s="16"/>
    </row>
    <row r="846">
      <c r="A846" s="44" t="s">
        <v>1197</v>
      </c>
      <c r="B846" s="10" t="str">
        <f t="shared" si="1"/>
        <v>extra_muscle</v>
      </c>
      <c r="C846" s="49" t="str">
        <f t="shared" si="2"/>
        <v>S17211XM1</v>
      </c>
      <c r="D846" s="6">
        <v>31.0</v>
      </c>
      <c r="E846" s="10" t="str">
        <f t="shared" si="3"/>
        <v>BXM31</v>
      </c>
      <c r="F846" s="13">
        <v>44.0</v>
      </c>
      <c r="G846" s="10" t="str">
        <f t="shared" si="7"/>
        <v>BXM31-44</v>
      </c>
      <c r="H846" s="6"/>
      <c r="I846" s="16" t="str">
        <f t="shared" si="5"/>
        <v>collected</v>
      </c>
      <c r="J846" s="16" t="str">
        <f t="shared" si="6"/>
        <v>N</v>
      </c>
      <c r="K846" s="16"/>
      <c r="L846" s="16"/>
    </row>
    <row r="847">
      <c r="A847" s="44" t="s">
        <v>1200</v>
      </c>
      <c r="B847" s="10" t="str">
        <f t="shared" si="1"/>
        <v>extra_muscle</v>
      </c>
      <c r="C847" s="49" t="str">
        <f t="shared" si="2"/>
        <v>S17217XM1</v>
      </c>
      <c r="D847" s="6">
        <v>31.0</v>
      </c>
      <c r="E847" s="10" t="str">
        <f t="shared" si="3"/>
        <v>BXM31</v>
      </c>
      <c r="F847" s="13">
        <v>45.0</v>
      </c>
      <c r="G847" s="10" t="str">
        <f t="shared" si="7"/>
        <v>BXM31-45</v>
      </c>
      <c r="H847" s="16"/>
      <c r="I847" s="16" t="str">
        <f t="shared" si="5"/>
        <v>collected</v>
      </c>
      <c r="J847" s="16" t="str">
        <f t="shared" si="6"/>
        <v>N</v>
      </c>
      <c r="K847" s="16"/>
      <c r="L847" s="16"/>
    </row>
    <row r="848">
      <c r="A848" s="44" t="s">
        <v>1202</v>
      </c>
      <c r="B848" s="10" t="str">
        <f t="shared" si="1"/>
        <v>extra_muscle</v>
      </c>
      <c r="C848" s="49" t="str">
        <f t="shared" si="2"/>
        <v>S17213XM1</v>
      </c>
      <c r="D848" s="6">
        <v>31.0</v>
      </c>
      <c r="E848" s="10" t="str">
        <f t="shared" si="3"/>
        <v>BXM31</v>
      </c>
      <c r="F848" s="13">
        <v>46.0</v>
      </c>
      <c r="G848" s="10" t="str">
        <f t="shared" si="7"/>
        <v>BXM31-46</v>
      </c>
      <c r="H848" s="16"/>
      <c r="I848" s="16" t="str">
        <f t="shared" si="5"/>
        <v>collected</v>
      </c>
      <c r="J848" s="16" t="str">
        <f t="shared" si="6"/>
        <v>N</v>
      </c>
      <c r="K848" s="16"/>
      <c r="L848" s="16"/>
    </row>
    <row r="849">
      <c r="A849" s="44" t="s">
        <v>1204</v>
      </c>
      <c r="B849" s="10" t="str">
        <f t="shared" si="1"/>
        <v>extra_muscle</v>
      </c>
      <c r="C849" s="49" t="str">
        <f t="shared" si="2"/>
        <v>S17212XM1</v>
      </c>
      <c r="D849" s="6">
        <v>31.0</v>
      </c>
      <c r="E849" s="10" t="str">
        <f t="shared" si="3"/>
        <v>BXM31</v>
      </c>
      <c r="F849" s="13">
        <v>47.0</v>
      </c>
      <c r="G849" s="10" t="str">
        <f t="shared" si="7"/>
        <v>BXM31-47</v>
      </c>
      <c r="H849" s="16"/>
      <c r="I849" s="16" t="str">
        <f t="shared" si="5"/>
        <v>collected</v>
      </c>
      <c r="J849" s="16" t="str">
        <f t="shared" si="6"/>
        <v>N</v>
      </c>
      <c r="K849" s="16"/>
      <c r="L849" s="16"/>
    </row>
    <row r="850">
      <c r="A850" s="44" t="s">
        <v>1208</v>
      </c>
      <c r="B850" s="10" t="str">
        <f t="shared" si="1"/>
        <v>extra_muscle</v>
      </c>
      <c r="C850" s="49" t="str">
        <f t="shared" si="2"/>
        <v>S17216XM1</v>
      </c>
      <c r="D850" s="6">
        <v>31.0</v>
      </c>
      <c r="E850" s="10" t="str">
        <f t="shared" si="3"/>
        <v>BXM31</v>
      </c>
      <c r="F850" s="13">
        <v>48.0</v>
      </c>
      <c r="G850" s="10" t="str">
        <f t="shared" si="7"/>
        <v>BXM31-48</v>
      </c>
      <c r="H850" s="16"/>
      <c r="I850" s="16" t="str">
        <f t="shared" si="5"/>
        <v>collected</v>
      </c>
      <c r="J850" s="16" t="str">
        <f t="shared" si="6"/>
        <v>N</v>
      </c>
      <c r="K850" s="16"/>
      <c r="L850" s="16"/>
    </row>
    <row r="851">
      <c r="A851" s="44" t="s">
        <v>1209</v>
      </c>
      <c r="B851" s="10" t="str">
        <f t="shared" si="1"/>
        <v>extra_muscle</v>
      </c>
      <c r="C851" s="49" t="str">
        <f t="shared" si="2"/>
        <v>S17214XM1</v>
      </c>
      <c r="D851" s="6">
        <v>31.0</v>
      </c>
      <c r="E851" s="10" t="str">
        <f t="shared" si="3"/>
        <v>BXM31</v>
      </c>
      <c r="F851" s="13">
        <v>49.0</v>
      </c>
      <c r="G851" s="10" t="str">
        <f t="shared" si="7"/>
        <v>BXM31-49</v>
      </c>
      <c r="H851" s="16"/>
      <c r="I851" s="16" t="str">
        <f t="shared" si="5"/>
        <v>collected</v>
      </c>
      <c r="J851" s="16" t="str">
        <f t="shared" si="6"/>
        <v>N</v>
      </c>
      <c r="K851" s="16"/>
      <c r="L851" s="16"/>
    </row>
    <row r="852">
      <c r="A852" s="44" t="s">
        <v>1211</v>
      </c>
      <c r="B852" s="10" t="str">
        <f t="shared" si="1"/>
        <v>extra_muscle</v>
      </c>
      <c r="C852" s="49" t="str">
        <f t="shared" si="2"/>
        <v>S17170XM1</v>
      </c>
      <c r="D852" s="6">
        <v>31.0</v>
      </c>
      <c r="E852" s="10" t="str">
        <f t="shared" si="3"/>
        <v>BXM31</v>
      </c>
      <c r="F852" s="13">
        <v>50.0</v>
      </c>
      <c r="G852" s="10" t="str">
        <f t="shared" si="7"/>
        <v>BXM31-50</v>
      </c>
      <c r="H852" s="16"/>
      <c r="I852" s="16" t="str">
        <f t="shared" si="5"/>
        <v>collected</v>
      </c>
      <c r="J852" s="16" t="str">
        <f t="shared" si="6"/>
        <v>N</v>
      </c>
      <c r="K852" s="16"/>
      <c r="L852" s="16"/>
    </row>
    <row r="853">
      <c r="A853" s="46" t="s">
        <v>1230</v>
      </c>
      <c r="B853" s="10" t="str">
        <f t="shared" si="1"/>
        <v>extra_muscle</v>
      </c>
      <c r="C853" s="49" t="str">
        <f t="shared" si="2"/>
        <v>S17161XM1</v>
      </c>
      <c r="D853" s="6">
        <v>31.0</v>
      </c>
      <c r="E853" s="10" t="str">
        <f t="shared" si="3"/>
        <v>BXM31</v>
      </c>
      <c r="F853" s="13">
        <v>51.0</v>
      </c>
      <c r="G853" s="10" t="str">
        <f t="shared" si="7"/>
        <v>BXM31-51</v>
      </c>
      <c r="H853" s="16"/>
      <c r="I853" s="16" t="str">
        <f t="shared" si="5"/>
        <v>collected</v>
      </c>
      <c r="J853" s="16" t="str">
        <f t="shared" si="6"/>
        <v>N</v>
      </c>
      <c r="K853" s="16"/>
      <c r="L853" s="16"/>
    </row>
    <row r="854">
      <c r="A854" s="46" t="s">
        <v>1232</v>
      </c>
      <c r="B854" s="10" t="str">
        <f t="shared" si="1"/>
        <v>extra_muscle</v>
      </c>
      <c r="C854" s="49" t="str">
        <f t="shared" si="2"/>
        <v>S17165XM1</v>
      </c>
      <c r="D854" s="6">
        <v>31.0</v>
      </c>
      <c r="E854" s="10" t="str">
        <f t="shared" si="3"/>
        <v>BXM31</v>
      </c>
      <c r="F854" s="13">
        <v>52.0</v>
      </c>
      <c r="G854" s="10" t="str">
        <f t="shared" si="7"/>
        <v>BXM31-52</v>
      </c>
      <c r="H854" s="16"/>
      <c r="I854" s="16" t="str">
        <f t="shared" si="5"/>
        <v>collected</v>
      </c>
      <c r="J854" s="16" t="str">
        <f t="shared" si="6"/>
        <v>N</v>
      </c>
      <c r="K854" s="16"/>
      <c r="L854" s="16"/>
    </row>
    <row r="855">
      <c r="A855" s="46" t="s">
        <v>1236</v>
      </c>
      <c r="B855" s="10" t="str">
        <f t="shared" si="1"/>
        <v>extra_muscle</v>
      </c>
      <c r="C855" s="49" t="str">
        <f t="shared" si="2"/>
        <v>S17166XM1</v>
      </c>
      <c r="D855" s="6">
        <v>31.0</v>
      </c>
      <c r="E855" s="10" t="str">
        <f t="shared" si="3"/>
        <v>BXM31</v>
      </c>
      <c r="F855" s="13">
        <v>53.0</v>
      </c>
      <c r="G855" s="10" t="str">
        <f t="shared" si="7"/>
        <v>BXM31-53</v>
      </c>
      <c r="H855" s="16"/>
      <c r="I855" s="16" t="str">
        <f t="shared" si="5"/>
        <v>collected</v>
      </c>
      <c r="J855" s="16" t="str">
        <f t="shared" si="6"/>
        <v>N</v>
      </c>
      <c r="K855" s="16"/>
      <c r="L855" s="16"/>
    </row>
    <row r="856">
      <c r="A856" s="40" t="s">
        <v>1238</v>
      </c>
      <c r="B856" s="10" t="str">
        <f t="shared" si="1"/>
        <v>extra_muscle</v>
      </c>
      <c r="C856" s="49" t="str">
        <f t="shared" si="2"/>
        <v>S17167XM1</v>
      </c>
      <c r="D856" s="6">
        <v>31.0</v>
      </c>
      <c r="E856" s="10" t="str">
        <f t="shared" si="3"/>
        <v>BXM31</v>
      </c>
      <c r="F856" s="13">
        <v>54.0</v>
      </c>
      <c r="G856" s="10" t="str">
        <f t="shared" si="7"/>
        <v>BXM31-54</v>
      </c>
      <c r="H856" s="16"/>
      <c r="I856" s="16" t="str">
        <f t="shared" si="5"/>
        <v>collected</v>
      </c>
      <c r="J856" s="16" t="str">
        <f t="shared" si="6"/>
        <v>N</v>
      </c>
      <c r="K856" s="16"/>
      <c r="L856" s="16"/>
    </row>
    <row r="857">
      <c r="A857" s="40" t="s">
        <v>1240</v>
      </c>
      <c r="B857" s="10" t="str">
        <f t="shared" si="1"/>
        <v>extra_muscle</v>
      </c>
      <c r="C857" s="49" t="str">
        <f t="shared" si="2"/>
        <v>S17169XM1</v>
      </c>
      <c r="D857" s="6">
        <v>31.0</v>
      </c>
      <c r="E857" s="10" t="str">
        <f t="shared" si="3"/>
        <v>BXM31</v>
      </c>
      <c r="F857" s="13">
        <v>55.0</v>
      </c>
      <c r="G857" s="10" t="str">
        <f t="shared" si="7"/>
        <v>BXM31-55</v>
      </c>
      <c r="H857" s="16"/>
      <c r="I857" s="16" t="str">
        <f t="shared" si="5"/>
        <v>collected</v>
      </c>
      <c r="J857" s="16" t="str">
        <f t="shared" si="6"/>
        <v>N</v>
      </c>
      <c r="K857" s="16"/>
      <c r="L857" s="16"/>
    </row>
    <row r="858">
      <c r="A858" s="40" t="s">
        <v>1244</v>
      </c>
      <c r="B858" s="10" t="str">
        <f t="shared" si="1"/>
        <v>extra_muscle</v>
      </c>
      <c r="C858" s="49" t="str">
        <f t="shared" si="2"/>
        <v>S17168XM1</v>
      </c>
      <c r="D858" s="6">
        <v>31.0</v>
      </c>
      <c r="E858" s="10" t="str">
        <f t="shared" si="3"/>
        <v>BXM31</v>
      </c>
      <c r="F858" s="13">
        <v>56.0</v>
      </c>
      <c r="G858" s="10" t="str">
        <f t="shared" si="7"/>
        <v>BXM31-56</v>
      </c>
      <c r="H858" s="16"/>
      <c r="I858" s="16" t="str">
        <f t="shared" si="5"/>
        <v>collected</v>
      </c>
      <c r="J858" s="16" t="str">
        <f t="shared" si="6"/>
        <v>N</v>
      </c>
      <c r="K858" s="16"/>
      <c r="L858" s="16"/>
    </row>
    <row r="859">
      <c r="A859" s="40" t="s">
        <v>1246</v>
      </c>
      <c r="B859" s="10" t="str">
        <f t="shared" si="1"/>
        <v>extra_muscle</v>
      </c>
      <c r="C859" s="49" t="str">
        <f t="shared" si="2"/>
        <v>S17164XM1</v>
      </c>
      <c r="D859" s="6">
        <v>31.0</v>
      </c>
      <c r="E859" s="10" t="str">
        <f t="shared" si="3"/>
        <v>BXM31</v>
      </c>
      <c r="F859" s="13">
        <v>57.0</v>
      </c>
      <c r="G859" s="10" t="str">
        <f t="shared" si="7"/>
        <v>BXM31-57</v>
      </c>
      <c r="H859" s="16"/>
      <c r="I859" s="16" t="str">
        <f t="shared" si="5"/>
        <v>collected</v>
      </c>
      <c r="J859" s="16" t="str">
        <f t="shared" si="6"/>
        <v>N</v>
      </c>
      <c r="K859" s="16"/>
      <c r="L859" s="16"/>
    </row>
    <row r="860">
      <c r="A860" s="27" t="s">
        <v>1249</v>
      </c>
      <c r="B860" s="10" t="str">
        <f t="shared" si="1"/>
        <v>extra_muscle</v>
      </c>
      <c r="C860" s="49" t="str">
        <f t="shared" si="2"/>
        <v>S17326XM1</v>
      </c>
      <c r="D860" s="6">
        <v>32.0</v>
      </c>
      <c r="E860" s="10" t="str">
        <f t="shared" si="3"/>
        <v>BXM32</v>
      </c>
      <c r="F860" s="13">
        <v>14.0</v>
      </c>
      <c r="G860" s="10" t="str">
        <f t="shared" si="7"/>
        <v>BXM32-14</v>
      </c>
      <c r="H860" s="16"/>
      <c r="I860" s="16" t="str">
        <f t="shared" si="5"/>
        <v>collected</v>
      </c>
      <c r="J860" s="16" t="str">
        <f t="shared" si="6"/>
        <v>N</v>
      </c>
      <c r="K860" s="16"/>
      <c r="L860" s="16"/>
    </row>
    <row r="861">
      <c r="A861" s="27" t="s">
        <v>1251</v>
      </c>
      <c r="B861" s="10" t="str">
        <f t="shared" si="1"/>
        <v>extra_muscle</v>
      </c>
      <c r="C861" s="49" t="str">
        <f t="shared" si="2"/>
        <v>S17327XM1</v>
      </c>
      <c r="D861" s="6">
        <v>32.0</v>
      </c>
      <c r="E861" s="10" t="str">
        <f t="shared" si="3"/>
        <v>BXM32</v>
      </c>
      <c r="F861" s="13">
        <v>15.0</v>
      </c>
      <c r="G861" s="10" t="str">
        <f t="shared" si="7"/>
        <v>BXM32-15</v>
      </c>
      <c r="H861" s="16"/>
      <c r="I861" s="16" t="str">
        <f t="shared" si="5"/>
        <v>collected</v>
      </c>
      <c r="J861" s="16" t="str">
        <f t="shared" si="6"/>
        <v>N</v>
      </c>
      <c r="K861" s="16"/>
      <c r="L861" s="16"/>
    </row>
    <row r="862">
      <c r="A862" s="27" t="s">
        <v>1254</v>
      </c>
      <c r="B862" s="10" t="str">
        <f t="shared" si="1"/>
        <v>extra_muscle</v>
      </c>
      <c r="C862" s="49" t="str">
        <f t="shared" si="2"/>
        <v>S17328XM1</v>
      </c>
      <c r="D862" s="6">
        <v>32.0</v>
      </c>
      <c r="E862" s="10" t="str">
        <f t="shared" si="3"/>
        <v>BXM32</v>
      </c>
      <c r="F862" s="13">
        <v>16.0</v>
      </c>
      <c r="G862" s="10" t="str">
        <f t="shared" si="7"/>
        <v>BXM32-16</v>
      </c>
      <c r="H862" s="16"/>
      <c r="I862" s="16" t="str">
        <f t="shared" si="5"/>
        <v>collected</v>
      </c>
      <c r="J862" s="16" t="str">
        <f t="shared" si="6"/>
        <v>N</v>
      </c>
      <c r="K862" s="16"/>
      <c r="L862" s="16"/>
    </row>
    <row r="863">
      <c r="A863" s="27" t="s">
        <v>1256</v>
      </c>
      <c r="B863" s="10" t="str">
        <f t="shared" si="1"/>
        <v>extra_muscle</v>
      </c>
      <c r="C863" s="49" t="str">
        <f t="shared" si="2"/>
        <v>S17329XM1</v>
      </c>
      <c r="D863" s="6">
        <v>32.0</v>
      </c>
      <c r="E863" s="10" t="str">
        <f t="shared" si="3"/>
        <v>BXM32</v>
      </c>
      <c r="F863" s="13">
        <v>17.0</v>
      </c>
      <c r="G863" s="10" t="str">
        <f t="shared" si="7"/>
        <v>BXM32-17</v>
      </c>
      <c r="H863" s="16"/>
      <c r="I863" s="16" t="str">
        <f t="shared" si="5"/>
        <v>collected</v>
      </c>
      <c r="J863" s="16" t="str">
        <f t="shared" si="6"/>
        <v>N</v>
      </c>
      <c r="K863" s="16"/>
      <c r="L863" s="16"/>
    </row>
    <row r="864">
      <c r="A864" s="27" t="s">
        <v>1259</v>
      </c>
      <c r="B864" s="10" t="str">
        <f t="shared" si="1"/>
        <v>extra_muscle</v>
      </c>
      <c r="C864" s="49" t="str">
        <f t="shared" si="2"/>
        <v>S17330XM1</v>
      </c>
      <c r="D864" s="6">
        <v>32.0</v>
      </c>
      <c r="E864" s="10" t="str">
        <f t="shared" si="3"/>
        <v>BXM32</v>
      </c>
      <c r="F864" s="13">
        <v>18.0</v>
      </c>
      <c r="G864" s="10" t="str">
        <f t="shared" si="7"/>
        <v>BXM32-18</v>
      </c>
      <c r="H864" s="16"/>
      <c r="I864" s="16" t="str">
        <f t="shared" si="5"/>
        <v>collected</v>
      </c>
      <c r="J864" s="16" t="str">
        <f t="shared" si="6"/>
        <v>N</v>
      </c>
      <c r="K864" s="16"/>
      <c r="L864" s="16"/>
    </row>
    <row r="865">
      <c r="A865" s="27" t="s">
        <v>1262</v>
      </c>
      <c r="B865" s="10" t="str">
        <f t="shared" si="1"/>
        <v>extra_muscle</v>
      </c>
      <c r="C865" s="49" t="str">
        <f t="shared" si="2"/>
        <v>S17021XM1</v>
      </c>
      <c r="D865" s="6">
        <v>32.0</v>
      </c>
      <c r="E865" s="10" t="str">
        <f t="shared" si="3"/>
        <v>BXM32</v>
      </c>
      <c r="F865" s="13">
        <v>19.0</v>
      </c>
      <c r="G865" s="10" t="str">
        <f t="shared" si="7"/>
        <v>BXM32-19</v>
      </c>
      <c r="H865" s="16"/>
      <c r="I865" s="16" t="str">
        <f t="shared" si="5"/>
        <v>collected</v>
      </c>
      <c r="J865" s="16" t="str">
        <f t="shared" si="6"/>
        <v>N</v>
      </c>
      <c r="K865" s="16"/>
      <c r="L865" s="16"/>
    </row>
    <row r="866">
      <c r="A866" s="27" t="s">
        <v>1264</v>
      </c>
      <c r="B866" s="10" t="str">
        <f t="shared" si="1"/>
        <v>extra_muscle</v>
      </c>
      <c r="C866" s="49" t="str">
        <f t="shared" si="2"/>
        <v>S17022XM1</v>
      </c>
      <c r="D866" s="6">
        <v>32.0</v>
      </c>
      <c r="E866" s="10" t="str">
        <f t="shared" si="3"/>
        <v>BXM32</v>
      </c>
      <c r="F866" s="13">
        <v>20.0</v>
      </c>
      <c r="G866" s="10" t="str">
        <f t="shared" si="7"/>
        <v>BXM32-20</v>
      </c>
      <c r="H866" s="16"/>
      <c r="I866" s="16" t="str">
        <f t="shared" si="5"/>
        <v>collected</v>
      </c>
      <c r="J866" s="16" t="str">
        <f t="shared" si="6"/>
        <v>N</v>
      </c>
      <c r="K866" s="16"/>
      <c r="L866" s="16"/>
    </row>
    <row r="867">
      <c r="A867" s="27" t="s">
        <v>1266</v>
      </c>
      <c r="B867" s="10" t="str">
        <f t="shared" si="1"/>
        <v>extra_muscle</v>
      </c>
      <c r="C867" s="49" t="str">
        <f t="shared" si="2"/>
        <v>S17023XM1</v>
      </c>
      <c r="D867" s="6">
        <v>32.0</v>
      </c>
      <c r="E867" s="10" t="str">
        <f t="shared" si="3"/>
        <v>BXM32</v>
      </c>
      <c r="F867" s="13">
        <v>21.0</v>
      </c>
      <c r="G867" s="10" t="str">
        <f t="shared" si="7"/>
        <v>BXM32-21</v>
      </c>
      <c r="H867" s="16"/>
      <c r="I867" s="16" t="str">
        <f t="shared" si="5"/>
        <v>collected</v>
      </c>
      <c r="J867" s="16" t="str">
        <f t="shared" si="6"/>
        <v>N</v>
      </c>
      <c r="K867" s="16"/>
      <c r="L867" s="16"/>
    </row>
    <row r="868">
      <c r="A868" s="27" t="s">
        <v>1269</v>
      </c>
      <c r="B868" s="10" t="str">
        <f t="shared" si="1"/>
        <v>extra_muscle</v>
      </c>
      <c r="C868" s="49" t="str">
        <f t="shared" si="2"/>
        <v>S17024XM1</v>
      </c>
      <c r="D868" s="6">
        <v>32.0</v>
      </c>
      <c r="E868" s="10" t="str">
        <f t="shared" si="3"/>
        <v>BXM32</v>
      </c>
      <c r="F868" s="13">
        <v>22.0</v>
      </c>
      <c r="G868" s="10" t="str">
        <f t="shared" si="7"/>
        <v>BXM32-22</v>
      </c>
      <c r="H868" s="16"/>
      <c r="I868" s="16" t="str">
        <f t="shared" si="5"/>
        <v>collected</v>
      </c>
      <c r="J868" s="16" t="str">
        <f t="shared" si="6"/>
        <v>N</v>
      </c>
      <c r="K868" s="16"/>
      <c r="L868" s="16"/>
    </row>
    <row r="869">
      <c r="A869" s="27" t="s">
        <v>1273</v>
      </c>
      <c r="B869" s="10" t="str">
        <f t="shared" si="1"/>
        <v>extra_muscle</v>
      </c>
      <c r="C869" s="49" t="str">
        <f t="shared" si="2"/>
        <v>S17026XM1</v>
      </c>
      <c r="D869" s="6">
        <v>32.0</v>
      </c>
      <c r="E869" s="10" t="str">
        <f t="shared" si="3"/>
        <v>BXM32</v>
      </c>
      <c r="F869" s="13">
        <v>23.0</v>
      </c>
      <c r="G869" s="10" t="str">
        <f t="shared" si="7"/>
        <v>BXM32-23</v>
      </c>
      <c r="H869" s="16"/>
      <c r="I869" s="16" t="str">
        <f t="shared" si="5"/>
        <v>collected</v>
      </c>
      <c r="J869" s="16" t="str">
        <f t="shared" si="6"/>
        <v>N</v>
      </c>
      <c r="K869" s="16"/>
      <c r="L869" s="16"/>
    </row>
    <row r="870">
      <c r="A870" s="27" t="s">
        <v>1275</v>
      </c>
      <c r="B870" s="10" t="str">
        <f t="shared" si="1"/>
        <v>extra_muscle</v>
      </c>
      <c r="C870" s="49" t="str">
        <f t="shared" si="2"/>
        <v>S17025XM1</v>
      </c>
      <c r="D870" s="6">
        <v>32.0</v>
      </c>
      <c r="E870" s="10" t="str">
        <f t="shared" si="3"/>
        <v>BXM32</v>
      </c>
      <c r="F870" s="13">
        <v>24.0</v>
      </c>
      <c r="G870" s="10" t="str">
        <f t="shared" si="7"/>
        <v>BXM32-24</v>
      </c>
      <c r="H870" s="16"/>
      <c r="I870" s="16" t="str">
        <f t="shared" si="5"/>
        <v>collected</v>
      </c>
      <c r="J870" s="16" t="str">
        <f t="shared" si="6"/>
        <v>N</v>
      </c>
      <c r="K870" s="16"/>
      <c r="L870" s="16"/>
    </row>
    <row r="871">
      <c r="A871" s="27" t="s">
        <v>1276</v>
      </c>
      <c r="B871" s="10" t="str">
        <f t="shared" si="1"/>
        <v>extra_muscle</v>
      </c>
      <c r="C871" s="49" t="str">
        <f t="shared" si="2"/>
        <v>S17027XM1</v>
      </c>
      <c r="D871" s="6">
        <v>32.0</v>
      </c>
      <c r="E871" s="10" t="str">
        <f t="shared" si="3"/>
        <v>BXM32</v>
      </c>
      <c r="F871" s="13">
        <v>25.0</v>
      </c>
      <c r="G871" s="10" t="str">
        <f t="shared" si="7"/>
        <v>BXM32-25</v>
      </c>
      <c r="H871" s="16"/>
      <c r="I871" s="16" t="str">
        <f t="shared" si="5"/>
        <v>collected</v>
      </c>
      <c r="J871" s="16" t="str">
        <f t="shared" si="6"/>
        <v>N</v>
      </c>
      <c r="K871" s="16"/>
      <c r="L871" s="16"/>
    </row>
    <row r="872">
      <c r="A872" s="27" t="s">
        <v>1278</v>
      </c>
      <c r="B872" s="10" t="str">
        <f t="shared" si="1"/>
        <v>extra_muscle</v>
      </c>
      <c r="C872" s="49" t="str">
        <f t="shared" si="2"/>
        <v>S17028XM1</v>
      </c>
      <c r="D872" s="6">
        <v>32.0</v>
      </c>
      <c r="E872" s="10" t="str">
        <f t="shared" si="3"/>
        <v>BXM32</v>
      </c>
      <c r="F872" s="13">
        <v>26.0</v>
      </c>
      <c r="G872" s="10" t="str">
        <f t="shared" si="7"/>
        <v>BXM32-26</v>
      </c>
      <c r="H872" s="16"/>
      <c r="I872" s="16" t="str">
        <f t="shared" si="5"/>
        <v>collected</v>
      </c>
      <c r="J872" s="16" t="str">
        <f t="shared" si="6"/>
        <v>N</v>
      </c>
      <c r="K872" s="16"/>
      <c r="L872" s="16"/>
    </row>
    <row r="873">
      <c r="A873" s="27" t="s">
        <v>1279</v>
      </c>
      <c r="B873" s="10" t="str">
        <f t="shared" si="1"/>
        <v>extra_muscle</v>
      </c>
      <c r="C873" s="49" t="str">
        <f t="shared" si="2"/>
        <v>S17029XM1</v>
      </c>
      <c r="D873" s="6">
        <v>32.0</v>
      </c>
      <c r="E873" s="10" t="str">
        <f t="shared" si="3"/>
        <v>BXM32</v>
      </c>
      <c r="F873" s="13">
        <v>27.0</v>
      </c>
      <c r="G873" s="10" t="str">
        <f t="shared" si="7"/>
        <v>BXM32-27</v>
      </c>
      <c r="H873" s="16"/>
      <c r="I873" s="16" t="str">
        <f t="shared" si="5"/>
        <v>collected</v>
      </c>
      <c r="J873" s="16" t="str">
        <f t="shared" si="6"/>
        <v>N</v>
      </c>
      <c r="K873" s="16"/>
      <c r="L873" s="16"/>
    </row>
    <row r="874">
      <c r="A874" s="27" t="s">
        <v>1280</v>
      </c>
      <c r="B874" s="10" t="str">
        <f t="shared" si="1"/>
        <v>extra_muscle</v>
      </c>
      <c r="C874" s="49" t="str">
        <f t="shared" si="2"/>
        <v>S17030XM1</v>
      </c>
      <c r="D874" s="6">
        <v>32.0</v>
      </c>
      <c r="E874" s="10" t="str">
        <f t="shared" si="3"/>
        <v>BXM32</v>
      </c>
      <c r="F874" s="13">
        <v>28.0</v>
      </c>
      <c r="G874" s="10" t="str">
        <f t="shared" si="7"/>
        <v>BXM32-28</v>
      </c>
      <c r="H874" s="16"/>
      <c r="I874" s="16" t="str">
        <f t="shared" si="5"/>
        <v>collected</v>
      </c>
      <c r="J874" s="16" t="str">
        <f t="shared" si="6"/>
        <v>N</v>
      </c>
      <c r="K874" s="16"/>
      <c r="L874" s="16"/>
    </row>
    <row r="875">
      <c r="A875" s="27" t="s">
        <v>1282</v>
      </c>
      <c r="B875" s="10" t="str">
        <f t="shared" si="1"/>
        <v>extra_muscle</v>
      </c>
      <c r="C875" s="49" t="str">
        <f t="shared" si="2"/>
        <v>S16461XM1</v>
      </c>
      <c r="D875" s="6">
        <v>32.0</v>
      </c>
      <c r="E875" s="10" t="str">
        <f t="shared" si="3"/>
        <v>BXM32</v>
      </c>
      <c r="F875" s="13">
        <v>29.0</v>
      </c>
      <c r="G875" s="10" t="str">
        <f t="shared" si="7"/>
        <v>BXM32-29</v>
      </c>
      <c r="H875" s="16"/>
      <c r="I875" s="16" t="str">
        <f t="shared" si="5"/>
        <v>collected</v>
      </c>
      <c r="J875" s="16" t="str">
        <f t="shared" si="6"/>
        <v>N</v>
      </c>
      <c r="K875" s="16"/>
      <c r="L875" s="16"/>
    </row>
    <row r="876">
      <c r="A876" s="27" t="s">
        <v>1283</v>
      </c>
      <c r="B876" s="10" t="str">
        <f t="shared" si="1"/>
        <v>extra_muscle</v>
      </c>
      <c r="C876" s="49" t="str">
        <f t="shared" si="2"/>
        <v>S16462XM1</v>
      </c>
      <c r="D876" s="6">
        <v>32.0</v>
      </c>
      <c r="E876" s="10" t="str">
        <f t="shared" si="3"/>
        <v>BXM32</v>
      </c>
      <c r="F876" s="13">
        <v>30.0</v>
      </c>
      <c r="G876" s="10" t="str">
        <f t="shared" si="7"/>
        <v>BXM32-30</v>
      </c>
      <c r="H876" s="16"/>
      <c r="I876" s="16" t="str">
        <f t="shared" si="5"/>
        <v>collected</v>
      </c>
      <c r="J876" s="16" t="str">
        <f t="shared" si="6"/>
        <v>N</v>
      </c>
      <c r="K876" s="16"/>
      <c r="L876" s="16"/>
    </row>
    <row r="877">
      <c r="A877" s="27" t="s">
        <v>1284</v>
      </c>
      <c r="B877" s="10" t="str">
        <f t="shared" si="1"/>
        <v>extra_muscle</v>
      </c>
      <c r="C877" s="49" t="str">
        <f t="shared" si="2"/>
        <v>S16463XM1</v>
      </c>
      <c r="D877" s="6">
        <v>32.0</v>
      </c>
      <c r="E877" s="10" t="str">
        <f t="shared" si="3"/>
        <v>BXM32</v>
      </c>
      <c r="F877" s="13">
        <v>31.0</v>
      </c>
      <c r="G877" s="10" t="str">
        <f t="shared" si="7"/>
        <v>BXM32-31</v>
      </c>
      <c r="H877" s="16"/>
      <c r="I877" s="16" t="str">
        <f t="shared" si="5"/>
        <v>collected</v>
      </c>
      <c r="J877" s="16" t="str">
        <f t="shared" si="6"/>
        <v>N</v>
      </c>
      <c r="K877" s="16"/>
      <c r="L877" s="16"/>
    </row>
    <row r="878">
      <c r="A878" s="27" t="s">
        <v>1286</v>
      </c>
      <c r="B878" s="10" t="str">
        <f t="shared" si="1"/>
        <v>extra_muscle</v>
      </c>
      <c r="C878" s="49" t="str">
        <f t="shared" si="2"/>
        <v>S16464XM1</v>
      </c>
      <c r="D878" s="6">
        <v>32.0</v>
      </c>
      <c r="E878" s="10" t="str">
        <f t="shared" si="3"/>
        <v>BXM32</v>
      </c>
      <c r="F878" s="13">
        <v>32.0</v>
      </c>
      <c r="G878" s="10" t="str">
        <f t="shared" si="7"/>
        <v>BXM32-32</v>
      </c>
      <c r="H878" s="16"/>
      <c r="I878" s="16" t="str">
        <f t="shared" si="5"/>
        <v>collected</v>
      </c>
      <c r="J878" s="16" t="str">
        <f t="shared" si="6"/>
        <v>N</v>
      </c>
      <c r="K878" s="16"/>
      <c r="L878" s="16"/>
    </row>
    <row r="879">
      <c r="A879" s="27" t="s">
        <v>1287</v>
      </c>
      <c r="B879" s="10" t="str">
        <f t="shared" si="1"/>
        <v>extra_muscle</v>
      </c>
      <c r="C879" s="49" t="str">
        <f t="shared" si="2"/>
        <v>S16465XM1</v>
      </c>
      <c r="D879" s="6">
        <v>32.0</v>
      </c>
      <c r="E879" s="10" t="str">
        <f t="shared" si="3"/>
        <v>BXM32</v>
      </c>
      <c r="F879" s="13">
        <v>33.0</v>
      </c>
      <c r="G879" s="10" t="str">
        <f t="shared" si="7"/>
        <v>BXM32-33</v>
      </c>
      <c r="H879" s="16"/>
      <c r="I879" s="16" t="str">
        <f t="shared" si="5"/>
        <v>collected</v>
      </c>
      <c r="J879" s="16" t="str">
        <f t="shared" si="6"/>
        <v>N</v>
      </c>
      <c r="K879" s="16"/>
      <c r="L879" s="16"/>
    </row>
    <row r="880">
      <c r="A880" s="40" t="s">
        <v>1289</v>
      </c>
      <c r="B880" s="10" t="str">
        <f t="shared" si="1"/>
        <v>extra_muscle</v>
      </c>
      <c r="C880" s="49" t="str">
        <f t="shared" si="2"/>
        <v>S17163XM1</v>
      </c>
      <c r="D880" s="6">
        <v>31.0</v>
      </c>
      <c r="E880" s="10" t="str">
        <f t="shared" si="3"/>
        <v>BXM31</v>
      </c>
      <c r="F880" s="13">
        <v>58.0</v>
      </c>
      <c r="G880" s="10" t="str">
        <f t="shared" si="7"/>
        <v>BXM31-58</v>
      </c>
      <c r="H880" s="16"/>
      <c r="I880" s="16" t="str">
        <f t="shared" si="5"/>
        <v>collected</v>
      </c>
      <c r="J880" s="16" t="str">
        <f t="shared" si="6"/>
        <v>N</v>
      </c>
      <c r="K880" s="16"/>
      <c r="L880" s="16"/>
    </row>
    <row r="881">
      <c r="A881" s="40" t="s">
        <v>1290</v>
      </c>
      <c r="B881" s="10" t="str">
        <f t="shared" si="1"/>
        <v>extra_muscle</v>
      </c>
      <c r="C881" s="49" t="str">
        <f t="shared" si="2"/>
        <v>S17162XM1</v>
      </c>
      <c r="D881" s="6">
        <v>31.0</v>
      </c>
      <c r="E881" s="10" t="str">
        <f t="shared" si="3"/>
        <v>BXM31</v>
      </c>
      <c r="F881" s="13">
        <v>59.0</v>
      </c>
      <c r="G881" s="10" t="str">
        <f t="shared" si="7"/>
        <v>BXM31-59</v>
      </c>
      <c r="H881" s="16"/>
      <c r="I881" s="16" t="str">
        <f t="shared" si="5"/>
        <v>collected</v>
      </c>
      <c r="J881" s="16" t="str">
        <f t="shared" si="6"/>
        <v>N</v>
      </c>
      <c r="K881" s="16"/>
      <c r="L881" s="16"/>
    </row>
    <row r="882">
      <c r="A882" s="40" t="s">
        <v>1291</v>
      </c>
      <c r="B882" s="10" t="str">
        <f t="shared" si="1"/>
        <v>extra_muscle</v>
      </c>
      <c r="C882" s="49" t="str">
        <f t="shared" si="2"/>
        <v>S16261XM1</v>
      </c>
      <c r="D882" s="6">
        <v>31.0</v>
      </c>
      <c r="E882" s="10" t="str">
        <f t="shared" si="3"/>
        <v>BXM31</v>
      </c>
      <c r="F882" s="13">
        <v>60.0</v>
      </c>
      <c r="G882" s="10" t="str">
        <f t="shared" si="7"/>
        <v>BXM31-60</v>
      </c>
      <c r="H882" s="16"/>
      <c r="I882" s="16" t="str">
        <f t="shared" si="5"/>
        <v>collected</v>
      </c>
      <c r="J882" s="16" t="str">
        <f t="shared" si="6"/>
        <v>N</v>
      </c>
      <c r="K882" s="16"/>
      <c r="L882" s="16"/>
    </row>
    <row r="883">
      <c r="A883" s="40" t="s">
        <v>1292</v>
      </c>
      <c r="B883" s="10" t="str">
        <f t="shared" si="1"/>
        <v>extra_muscle</v>
      </c>
      <c r="C883" s="49" t="str">
        <f t="shared" si="2"/>
        <v>S16262XM1</v>
      </c>
      <c r="D883" s="6">
        <v>31.0</v>
      </c>
      <c r="E883" s="10" t="str">
        <f t="shared" si="3"/>
        <v>BXM31</v>
      </c>
      <c r="F883" s="13">
        <v>61.0</v>
      </c>
      <c r="G883" s="10" t="str">
        <f t="shared" si="7"/>
        <v>BXM31-61</v>
      </c>
      <c r="H883" s="16"/>
      <c r="I883" s="16" t="str">
        <f t="shared" si="5"/>
        <v>collected</v>
      </c>
      <c r="J883" s="16" t="str">
        <f t="shared" si="6"/>
        <v>N</v>
      </c>
      <c r="K883" s="16"/>
      <c r="L883" s="16"/>
    </row>
    <row r="884">
      <c r="A884" s="40" t="s">
        <v>1294</v>
      </c>
      <c r="B884" s="10" t="str">
        <f t="shared" si="1"/>
        <v>extra_muscle</v>
      </c>
      <c r="C884" s="49" t="str">
        <f t="shared" si="2"/>
        <v>S16263XM1</v>
      </c>
      <c r="D884" s="6">
        <v>31.0</v>
      </c>
      <c r="E884" s="10" t="str">
        <f t="shared" si="3"/>
        <v>BXM31</v>
      </c>
      <c r="F884" s="13">
        <v>62.0</v>
      </c>
      <c r="G884" s="10" t="str">
        <f t="shared" si="7"/>
        <v>BXM31-62</v>
      </c>
      <c r="H884" s="16"/>
      <c r="I884" s="16" t="str">
        <f t="shared" si="5"/>
        <v>collected</v>
      </c>
      <c r="J884" s="16" t="str">
        <f t="shared" si="6"/>
        <v>N</v>
      </c>
      <c r="K884" s="16"/>
      <c r="L884" s="16"/>
    </row>
    <row r="885">
      <c r="A885" s="27" t="s">
        <v>1295</v>
      </c>
      <c r="B885" s="10" t="str">
        <f t="shared" si="1"/>
        <v>extra_muscle</v>
      </c>
      <c r="C885" s="49" t="str">
        <f t="shared" si="2"/>
        <v>S16466XM1</v>
      </c>
      <c r="D885" s="6">
        <v>32.0</v>
      </c>
      <c r="E885" s="10" t="str">
        <f t="shared" si="3"/>
        <v>BXM32</v>
      </c>
      <c r="F885" s="13">
        <v>34.0</v>
      </c>
      <c r="G885" s="10" t="str">
        <f t="shared" si="7"/>
        <v>BXM32-34</v>
      </c>
      <c r="H885" s="16"/>
      <c r="I885" s="16" t="str">
        <f t="shared" si="5"/>
        <v>collected</v>
      </c>
      <c r="J885" s="16" t="str">
        <f t="shared" si="6"/>
        <v>N</v>
      </c>
      <c r="K885" s="16"/>
      <c r="L885" s="16"/>
    </row>
    <row r="886">
      <c r="A886" s="27" t="s">
        <v>1296</v>
      </c>
      <c r="B886" s="10" t="str">
        <f t="shared" si="1"/>
        <v>extra_muscle</v>
      </c>
      <c r="C886" s="49" t="str">
        <f t="shared" si="2"/>
        <v>S16467XM1</v>
      </c>
      <c r="D886" s="6">
        <v>32.0</v>
      </c>
      <c r="E886" s="10" t="str">
        <f t="shared" si="3"/>
        <v>BXM32</v>
      </c>
      <c r="F886" s="13">
        <v>35.0</v>
      </c>
      <c r="G886" s="10" t="str">
        <f t="shared" si="7"/>
        <v>BXM32-35</v>
      </c>
      <c r="H886" s="16"/>
      <c r="I886" s="16" t="str">
        <f t="shared" si="5"/>
        <v>collected</v>
      </c>
      <c r="J886" s="16" t="str">
        <f t="shared" si="6"/>
        <v>N</v>
      </c>
      <c r="K886" s="16"/>
      <c r="L886" s="16"/>
    </row>
    <row r="887">
      <c r="A887" s="27" t="s">
        <v>1297</v>
      </c>
      <c r="B887" s="10" t="str">
        <f t="shared" si="1"/>
        <v>extra_muscle</v>
      </c>
      <c r="C887" s="49" t="str">
        <f t="shared" si="2"/>
        <v>S16468XM1</v>
      </c>
      <c r="D887" s="6">
        <v>32.0</v>
      </c>
      <c r="E887" s="10" t="str">
        <f t="shared" si="3"/>
        <v>BXM32</v>
      </c>
      <c r="F887" s="13">
        <v>36.0</v>
      </c>
      <c r="G887" s="10" t="str">
        <f t="shared" si="7"/>
        <v>BXM32-36</v>
      </c>
      <c r="H887" s="16"/>
      <c r="I887" s="16" t="str">
        <f t="shared" si="5"/>
        <v>collected</v>
      </c>
      <c r="J887" s="16" t="str">
        <f t="shared" si="6"/>
        <v>N</v>
      </c>
      <c r="K887" s="16"/>
      <c r="L887" s="16"/>
    </row>
    <row r="888">
      <c r="A888" s="27" t="s">
        <v>1299</v>
      </c>
      <c r="B888" s="10" t="str">
        <f t="shared" si="1"/>
        <v>extra_muscle</v>
      </c>
      <c r="C888" s="49" t="str">
        <f t="shared" si="2"/>
        <v>S16469XM1</v>
      </c>
      <c r="D888" s="6">
        <v>32.0</v>
      </c>
      <c r="E888" s="10" t="str">
        <f t="shared" si="3"/>
        <v>BXM32</v>
      </c>
      <c r="F888" s="13">
        <v>37.0</v>
      </c>
      <c r="G888" s="10" t="str">
        <f t="shared" si="7"/>
        <v>BXM32-37</v>
      </c>
      <c r="H888" s="16"/>
      <c r="I888" s="16" t="str">
        <f t="shared" si="5"/>
        <v>collected</v>
      </c>
      <c r="J888" s="16" t="str">
        <f t="shared" si="6"/>
        <v>N</v>
      </c>
      <c r="K888" s="16"/>
      <c r="L888" s="16"/>
    </row>
    <row r="889">
      <c r="A889" s="27" t="s">
        <v>1300</v>
      </c>
      <c r="B889" s="10" t="str">
        <f t="shared" si="1"/>
        <v>extra_muscle</v>
      </c>
      <c r="C889" s="49" t="str">
        <f t="shared" si="2"/>
        <v>S16470XM1</v>
      </c>
      <c r="D889" s="6">
        <v>32.0</v>
      </c>
      <c r="E889" s="10" t="str">
        <f t="shared" si="3"/>
        <v>BXM32</v>
      </c>
      <c r="F889" s="13">
        <v>38.0</v>
      </c>
      <c r="G889" s="10" t="str">
        <f t="shared" si="7"/>
        <v>BXM32-38</v>
      </c>
      <c r="H889" s="16"/>
      <c r="I889" s="16" t="str">
        <f t="shared" si="5"/>
        <v>collected</v>
      </c>
      <c r="J889" s="16" t="str">
        <f t="shared" si="6"/>
        <v>N</v>
      </c>
      <c r="K889" s="16"/>
      <c r="L889" s="16"/>
    </row>
    <row r="890">
      <c r="A890" s="27" t="s">
        <v>1301</v>
      </c>
      <c r="B890" s="10" t="str">
        <f t="shared" si="1"/>
        <v>extra_muscle</v>
      </c>
      <c r="C890" s="49" t="str">
        <f t="shared" si="2"/>
        <v>S16437XM1</v>
      </c>
      <c r="D890" s="6">
        <v>32.0</v>
      </c>
      <c r="E890" s="10" t="str">
        <f t="shared" si="3"/>
        <v>BXM32</v>
      </c>
      <c r="F890" s="13">
        <v>39.0</v>
      </c>
      <c r="G890" s="10" t="str">
        <f t="shared" si="7"/>
        <v>BXM32-39</v>
      </c>
      <c r="H890" s="16"/>
      <c r="I890" s="16" t="str">
        <f t="shared" si="5"/>
        <v>collected</v>
      </c>
      <c r="J890" s="16" t="str">
        <f t="shared" si="6"/>
        <v>N</v>
      </c>
      <c r="K890" s="16"/>
      <c r="L890" s="16"/>
    </row>
    <row r="891">
      <c r="A891" s="27" t="s">
        <v>1302</v>
      </c>
      <c r="B891" s="10" t="str">
        <f t="shared" si="1"/>
        <v>extra_muscle</v>
      </c>
      <c r="C891" s="49" t="str">
        <f t="shared" si="2"/>
        <v>S16440XM1</v>
      </c>
      <c r="D891" s="6">
        <v>32.0</v>
      </c>
      <c r="E891" s="10" t="str">
        <f t="shared" si="3"/>
        <v>BXM32</v>
      </c>
      <c r="F891" s="13">
        <v>40.0</v>
      </c>
      <c r="G891" s="10" t="str">
        <f t="shared" si="7"/>
        <v>BXM32-40</v>
      </c>
      <c r="H891" s="16"/>
      <c r="I891" s="16" t="str">
        <f t="shared" si="5"/>
        <v>collected</v>
      </c>
      <c r="J891" s="16" t="str">
        <f t="shared" si="6"/>
        <v>N</v>
      </c>
      <c r="K891" s="16"/>
      <c r="L891" s="16"/>
    </row>
    <row r="892">
      <c r="A892" s="27" t="s">
        <v>1304</v>
      </c>
      <c r="B892" s="10" t="str">
        <f t="shared" si="1"/>
        <v>extra_muscle</v>
      </c>
      <c r="C892" s="49" t="str">
        <f t="shared" si="2"/>
        <v>S16438XM1</v>
      </c>
      <c r="D892" s="6">
        <v>32.0</v>
      </c>
      <c r="E892" s="10" t="str">
        <f t="shared" si="3"/>
        <v>BXM32</v>
      </c>
      <c r="F892" s="13">
        <v>41.0</v>
      </c>
      <c r="G892" s="10" t="str">
        <f t="shared" si="7"/>
        <v>BXM32-41</v>
      </c>
      <c r="H892" s="16"/>
      <c r="I892" s="16" t="str">
        <f t="shared" si="5"/>
        <v>collected</v>
      </c>
      <c r="J892" s="16" t="str">
        <f t="shared" si="6"/>
        <v>N</v>
      </c>
      <c r="K892" s="16"/>
      <c r="L892" s="16"/>
    </row>
    <row r="893">
      <c r="A893" s="27" t="s">
        <v>1305</v>
      </c>
      <c r="B893" s="10" t="str">
        <f t="shared" si="1"/>
        <v>extra_muscle</v>
      </c>
      <c r="C893" s="49" t="str">
        <f t="shared" si="2"/>
        <v>S16436XM1</v>
      </c>
      <c r="D893" s="6">
        <v>32.0</v>
      </c>
      <c r="E893" s="10" t="str">
        <f t="shared" si="3"/>
        <v>BXM32</v>
      </c>
      <c r="F893" s="13">
        <v>42.0</v>
      </c>
      <c r="G893" s="10" t="str">
        <f t="shared" si="7"/>
        <v>BXM32-42</v>
      </c>
      <c r="H893" s="16"/>
      <c r="I893" s="16" t="str">
        <f t="shared" si="5"/>
        <v>collected</v>
      </c>
      <c r="J893" s="16" t="str">
        <f t="shared" si="6"/>
        <v>N</v>
      </c>
      <c r="K893" s="16"/>
      <c r="L893" s="16"/>
    </row>
    <row r="894">
      <c r="A894" s="27" t="s">
        <v>1306</v>
      </c>
      <c r="B894" s="10" t="str">
        <f t="shared" si="1"/>
        <v>extra_muscle</v>
      </c>
      <c r="C894" s="49" t="str">
        <f t="shared" si="2"/>
        <v>S16435XM1</v>
      </c>
      <c r="D894" s="6">
        <v>32.0</v>
      </c>
      <c r="E894" s="10" t="str">
        <f t="shared" si="3"/>
        <v>BXM32</v>
      </c>
      <c r="F894" s="13">
        <v>43.0</v>
      </c>
      <c r="G894" s="10" t="str">
        <f t="shared" si="7"/>
        <v>BXM32-43</v>
      </c>
      <c r="H894" s="16"/>
      <c r="I894" s="16" t="str">
        <f t="shared" si="5"/>
        <v>collected</v>
      </c>
      <c r="J894" s="16" t="str">
        <f t="shared" si="6"/>
        <v>N</v>
      </c>
      <c r="K894" s="16"/>
      <c r="L894" s="16"/>
    </row>
    <row r="895">
      <c r="A895" s="27" t="s">
        <v>1307</v>
      </c>
      <c r="B895" s="10" t="str">
        <f t="shared" si="1"/>
        <v>extra_muscle</v>
      </c>
      <c r="C895" s="49" t="str">
        <f t="shared" si="2"/>
        <v>S16439XM1</v>
      </c>
      <c r="D895" s="6">
        <v>32.0</v>
      </c>
      <c r="E895" s="10" t="str">
        <f t="shared" si="3"/>
        <v>BXM32</v>
      </c>
      <c r="F895" s="13">
        <v>44.0</v>
      </c>
      <c r="G895" s="10" t="str">
        <f t="shared" si="7"/>
        <v>BXM32-44</v>
      </c>
      <c r="H895" s="16"/>
      <c r="I895" s="16" t="str">
        <f t="shared" si="5"/>
        <v>collected</v>
      </c>
      <c r="J895" s="16" t="str">
        <f t="shared" si="6"/>
        <v>N</v>
      </c>
      <c r="K895" s="16"/>
      <c r="L895" s="16"/>
    </row>
    <row r="896">
      <c r="A896" s="27" t="s">
        <v>1309</v>
      </c>
      <c r="B896" s="10" t="str">
        <f t="shared" si="1"/>
        <v>extra_muscle</v>
      </c>
      <c r="C896" s="49" t="str">
        <f t="shared" si="2"/>
        <v>S16433XM1</v>
      </c>
      <c r="D896" s="6">
        <v>32.0</v>
      </c>
      <c r="E896" s="10" t="str">
        <f t="shared" si="3"/>
        <v>BXM32</v>
      </c>
      <c r="F896" s="13">
        <v>45.0</v>
      </c>
      <c r="G896" s="10" t="str">
        <f t="shared" si="7"/>
        <v>BXM32-45</v>
      </c>
      <c r="H896" s="16"/>
      <c r="I896" s="16" t="str">
        <f t="shared" si="5"/>
        <v>collected</v>
      </c>
      <c r="J896" s="16" t="str">
        <f t="shared" si="6"/>
        <v>N</v>
      </c>
      <c r="K896" s="16"/>
      <c r="L896" s="16"/>
    </row>
    <row r="897">
      <c r="A897" s="40" t="s">
        <v>1310</v>
      </c>
      <c r="B897" s="10" t="str">
        <f t="shared" si="1"/>
        <v>extra_muscle</v>
      </c>
      <c r="C897" s="49" t="str">
        <f t="shared" si="2"/>
        <v>S16264XM1</v>
      </c>
      <c r="D897" s="6">
        <v>31.0</v>
      </c>
      <c r="E897" s="10" t="str">
        <f t="shared" si="3"/>
        <v>BXM31</v>
      </c>
      <c r="F897" s="13">
        <v>63.0</v>
      </c>
      <c r="G897" s="10" t="str">
        <f t="shared" si="7"/>
        <v>BXM31-63</v>
      </c>
      <c r="H897" s="16"/>
      <c r="I897" s="16" t="str">
        <f t="shared" si="5"/>
        <v>collected</v>
      </c>
      <c r="J897" s="16" t="str">
        <f t="shared" si="6"/>
        <v>N</v>
      </c>
      <c r="K897" s="16"/>
      <c r="L897" s="16"/>
    </row>
    <row r="898">
      <c r="A898" s="40" t="s">
        <v>1311</v>
      </c>
      <c r="B898" s="10" t="str">
        <f t="shared" si="1"/>
        <v>extra_muscle</v>
      </c>
      <c r="C898" s="49" t="str">
        <f t="shared" si="2"/>
        <v>S16265XM1</v>
      </c>
      <c r="D898" s="6">
        <v>31.0</v>
      </c>
      <c r="E898" s="10" t="str">
        <f t="shared" si="3"/>
        <v>BXM31</v>
      </c>
      <c r="F898" s="13">
        <v>64.0</v>
      </c>
      <c r="G898" s="10" t="str">
        <f t="shared" si="7"/>
        <v>BXM31-64</v>
      </c>
      <c r="H898" s="16"/>
      <c r="I898" s="16" t="str">
        <f t="shared" si="5"/>
        <v>collected</v>
      </c>
      <c r="J898" s="16" t="str">
        <f t="shared" si="6"/>
        <v>N</v>
      </c>
      <c r="K898" s="16"/>
      <c r="L898" s="16"/>
    </row>
    <row r="899">
      <c r="A899" s="40" t="s">
        <v>1312</v>
      </c>
      <c r="B899" s="10" t="str">
        <f t="shared" si="1"/>
        <v>extra_muscle</v>
      </c>
      <c r="C899" s="49" t="str">
        <f t="shared" si="2"/>
        <v>S16268XM1</v>
      </c>
      <c r="D899" s="6">
        <v>31.0</v>
      </c>
      <c r="E899" s="10" t="str">
        <f t="shared" si="3"/>
        <v>BXM31</v>
      </c>
      <c r="F899" s="13">
        <v>65.0</v>
      </c>
      <c r="G899" s="10" t="str">
        <f t="shared" si="7"/>
        <v>BXM31-65</v>
      </c>
      <c r="H899" s="16"/>
      <c r="I899" s="16" t="str">
        <f t="shared" si="5"/>
        <v>collected</v>
      </c>
      <c r="J899" s="16" t="str">
        <f t="shared" si="6"/>
        <v>N</v>
      </c>
      <c r="K899" s="16"/>
      <c r="L899" s="16"/>
    </row>
    <row r="900">
      <c r="A900" s="40" t="s">
        <v>1313</v>
      </c>
      <c r="B900" s="10" t="str">
        <f t="shared" si="1"/>
        <v>extra_muscle</v>
      </c>
      <c r="C900" s="49" t="str">
        <f t="shared" si="2"/>
        <v>S16269XM1</v>
      </c>
      <c r="D900" s="6">
        <v>31.0</v>
      </c>
      <c r="E900" s="10" t="str">
        <f t="shared" si="3"/>
        <v>BXM31</v>
      </c>
      <c r="F900" s="13">
        <v>66.0</v>
      </c>
      <c r="G900" s="10" t="str">
        <f t="shared" si="7"/>
        <v>BXM31-66</v>
      </c>
      <c r="H900" s="16"/>
      <c r="I900" s="16" t="str">
        <f t="shared" si="5"/>
        <v>collected</v>
      </c>
      <c r="J900" s="16" t="str">
        <f t="shared" si="6"/>
        <v>N</v>
      </c>
      <c r="K900" s="16"/>
      <c r="L900" s="16"/>
    </row>
    <row r="901">
      <c r="A901" s="40" t="s">
        <v>1315</v>
      </c>
      <c r="B901" s="10" t="str">
        <f t="shared" si="1"/>
        <v>extra_muscle</v>
      </c>
      <c r="C901" s="49" t="str">
        <f t="shared" si="2"/>
        <v>S16266XM1</v>
      </c>
      <c r="D901" s="6">
        <v>31.0</v>
      </c>
      <c r="E901" s="10" t="str">
        <f t="shared" si="3"/>
        <v>BXM31</v>
      </c>
      <c r="F901" s="13">
        <v>67.0</v>
      </c>
      <c r="G901" s="10" t="str">
        <f t="shared" si="7"/>
        <v>BXM31-67</v>
      </c>
      <c r="H901" s="16"/>
      <c r="I901" s="16" t="str">
        <f t="shared" si="5"/>
        <v>collected</v>
      </c>
      <c r="J901" s="16" t="str">
        <f t="shared" si="6"/>
        <v>N</v>
      </c>
      <c r="K901" s="16"/>
      <c r="L901" s="16"/>
    </row>
    <row r="902">
      <c r="A902" s="40" t="s">
        <v>1317</v>
      </c>
      <c r="B902" s="10" t="str">
        <f t="shared" si="1"/>
        <v>extra_muscle</v>
      </c>
      <c r="C902" s="49" t="str">
        <f t="shared" si="2"/>
        <v>S16270XM1</v>
      </c>
      <c r="D902" s="6">
        <v>31.0</v>
      </c>
      <c r="E902" s="10" t="str">
        <f t="shared" si="3"/>
        <v>BXM31</v>
      </c>
      <c r="F902" s="13">
        <v>68.0</v>
      </c>
      <c r="G902" s="10" t="str">
        <f t="shared" si="7"/>
        <v>BXM31-68</v>
      </c>
      <c r="H902" s="16"/>
      <c r="I902" s="16" t="str">
        <f t="shared" si="5"/>
        <v>collected</v>
      </c>
      <c r="J902" s="16" t="str">
        <f t="shared" si="6"/>
        <v>N</v>
      </c>
      <c r="K902" s="16"/>
      <c r="L902" s="16"/>
    </row>
    <row r="903">
      <c r="A903" s="40" t="s">
        <v>1318</v>
      </c>
      <c r="B903" s="10" t="str">
        <f t="shared" si="1"/>
        <v>extra_muscle</v>
      </c>
      <c r="C903" s="49" t="str">
        <f t="shared" si="2"/>
        <v>S16267XM1</v>
      </c>
      <c r="D903" s="6">
        <v>31.0</v>
      </c>
      <c r="E903" s="10" t="str">
        <f t="shared" si="3"/>
        <v>BXM31</v>
      </c>
      <c r="F903" s="13">
        <v>69.0</v>
      </c>
      <c r="G903" s="10" t="str">
        <f t="shared" si="7"/>
        <v>BXM31-69</v>
      </c>
      <c r="H903" s="16"/>
      <c r="I903" s="16" t="str">
        <f t="shared" si="5"/>
        <v>collected</v>
      </c>
      <c r="J903" s="16" t="str">
        <f t="shared" si="6"/>
        <v>N</v>
      </c>
      <c r="K903" s="16"/>
      <c r="L903" s="16"/>
    </row>
    <row r="904">
      <c r="A904" s="40" t="s">
        <v>1320</v>
      </c>
      <c r="B904" s="10" t="str">
        <f t="shared" si="1"/>
        <v>extra_muscle</v>
      </c>
      <c r="C904" s="49" t="str">
        <f t="shared" si="2"/>
        <v>S17382XM1</v>
      </c>
      <c r="D904" s="6">
        <v>31.0</v>
      </c>
      <c r="E904" s="10" t="str">
        <f t="shared" si="3"/>
        <v>BXM31</v>
      </c>
      <c r="F904" s="13">
        <v>70.0</v>
      </c>
      <c r="G904" s="10" t="str">
        <f t="shared" si="7"/>
        <v>BXM31-70</v>
      </c>
      <c r="H904" s="16"/>
      <c r="I904" s="16" t="str">
        <f t="shared" si="5"/>
        <v>collected</v>
      </c>
      <c r="J904" s="16" t="str">
        <f t="shared" si="6"/>
        <v>N</v>
      </c>
      <c r="K904" s="16"/>
      <c r="L904" s="16"/>
    </row>
    <row r="905">
      <c r="A905" s="40" t="s">
        <v>1322</v>
      </c>
      <c r="B905" s="10" t="str">
        <f t="shared" si="1"/>
        <v>extra_muscle</v>
      </c>
      <c r="C905" s="49" t="str">
        <f t="shared" si="2"/>
        <v>S17381XM1</v>
      </c>
      <c r="D905" s="6">
        <v>31.0</v>
      </c>
      <c r="E905" s="10" t="str">
        <f t="shared" si="3"/>
        <v>BXM31</v>
      </c>
      <c r="F905" s="13">
        <v>71.0</v>
      </c>
      <c r="G905" s="10" t="str">
        <f t="shared" si="7"/>
        <v>BXM31-71</v>
      </c>
      <c r="H905" s="16"/>
      <c r="I905" s="16" t="str">
        <f t="shared" si="5"/>
        <v>collected</v>
      </c>
      <c r="J905" s="16" t="str">
        <f t="shared" si="6"/>
        <v>N</v>
      </c>
      <c r="K905" s="16"/>
      <c r="L905" s="16"/>
    </row>
    <row r="906">
      <c r="A906" s="40" t="s">
        <v>1324</v>
      </c>
      <c r="B906" s="10" t="str">
        <f t="shared" si="1"/>
        <v>extra_muscle</v>
      </c>
      <c r="C906" s="49" t="str">
        <f t="shared" si="2"/>
        <v>S17383XM1</v>
      </c>
      <c r="D906" s="6">
        <v>31.0</v>
      </c>
      <c r="E906" s="10" t="str">
        <f t="shared" si="3"/>
        <v>BXM31</v>
      </c>
      <c r="F906" s="13">
        <v>72.0</v>
      </c>
      <c r="G906" s="10" t="str">
        <f t="shared" si="7"/>
        <v>BXM31-72</v>
      </c>
      <c r="H906" s="16"/>
      <c r="I906" s="16" t="str">
        <f t="shared" si="5"/>
        <v>collected</v>
      </c>
      <c r="J906" s="16" t="str">
        <f t="shared" si="6"/>
        <v>N</v>
      </c>
      <c r="K906" s="16"/>
      <c r="L906" s="16"/>
    </row>
    <row r="907">
      <c r="A907" s="40" t="s">
        <v>1325</v>
      </c>
      <c r="B907" s="10" t="str">
        <f t="shared" si="1"/>
        <v>extra_muscle</v>
      </c>
      <c r="C907" s="49" t="str">
        <f t="shared" si="2"/>
        <v>S17384XM1</v>
      </c>
      <c r="D907" s="6">
        <v>31.0</v>
      </c>
      <c r="E907" s="10" t="str">
        <f t="shared" si="3"/>
        <v>BXM31</v>
      </c>
      <c r="F907" s="13">
        <v>73.0</v>
      </c>
      <c r="G907" s="10" t="str">
        <f t="shared" si="7"/>
        <v>BXM31-73</v>
      </c>
      <c r="H907" s="16"/>
      <c r="I907" s="16" t="str">
        <f t="shared" si="5"/>
        <v>collected</v>
      </c>
      <c r="J907" s="16" t="str">
        <f t="shared" si="6"/>
        <v>N</v>
      </c>
      <c r="K907" s="16"/>
      <c r="L907" s="16"/>
    </row>
    <row r="908">
      <c r="A908" s="40" t="s">
        <v>1326</v>
      </c>
      <c r="B908" s="10" t="str">
        <f t="shared" si="1"/>
        <v>extra_muscle</v>
      </c>
      <c r="C908" s="49" t="str">
        <f t="shared" si="2"/>
        <v>S17385XM1</v>
      </c>
      <c r="D908" s="6">
        <v>31.0</v>
      </c>
      <c r="E908" s="10" t="str">
        <f t="shared" si="3"/>
        <v>BXM31</v>
      </c>
      <c r="F908" s="13">
        <v>74.0</v>
      </c>
      <c r="G908" s="10" t="str">
        <f t="shared" si="7"/>
        <v>BXM31-74</v>
      </c>
      <c r="H908" s="16"/>
      <c r="I908" s="16" t="str">
        <f t="shared" si="5"/>
        <v>collected</v>
      </c>
      <c r="J908" s="16" t="str">
        <f t="shared" si="6"/>
        <v>N</v>
      </c>
      <c r="K908" s="16"/>
      <c r="L908" s="16"/>
    </row>
    <row r="909">
      <c r="A909" s="33" t="s">
        <v>1327</v>
      </c>
      <c r="B909" s="10" t="str">
        <f t="shared" si="1"/>
        <v>extra_muscle</v>
      </c>
      <c r="C909" s="49" t="str">
        <f t="shared" si="2"/>
        <v>S17386XM1</v>
      </c>
      <c r="D909" s="6">
        <v>31.0</v>
      </c>
      <c r="E909" s="10" t="str">
        <f t="shared" si="3"/>
        <v>BXM31</v>
      </c>
      <c r="F909" s="13">
        <v>75.0</v>
      </c>
      <c r="G909" s="10" t="str">
        <f t="shared" si="7"/>
        <v>BXM31-75</v>
      </c>
      <c r="H909" s="16"/>
      <c r="I909" s="16" t="str">
        <f t="shared" si="5"/>
        <v>collected</v>
      </c>
      <c r="J909" s="16" t="str">
        <f t="shared" si="6"/>
        <v>N</v>
      </c>
      <c r="K909" s="16"/>
      <c r="L909" s="16"/>
    </row>
    <row r="910">
      <c r="A910" s="40" t="s">
        <v>1328</v>
      </c>
      <c r="B910" s="10" t="str">
        <f t="shared" si="1"/>
        <v>extra_muscle</v>
      </c>
      <c r="C910" s="49" t="str">
        <f t="shared" si="2"/>
        <v>S17388XM1</v>
      </c>
      <c r="D910" s="6">
        <v>31.0</v>
      </c>
      <c r="E910" s="10" t="str">
        <f t="shared" si="3"/>
        <v>BXM31</v>
      </c>
      <c r="F910" s="13">
        <v>76.0</v>
      </c>
      <c r="G910" s="10" t="str">
        <f t="shared" si="7"/>
        <v>BXM31-76</v>
      </c>
      <c r="H910" s="16"/>
      <c r="I910" s="16" t="str">
        <f t="shared" si="5"/>
        <v>collected</v>
      </c>
      <c r="J910" s="16" t="str">
        <f t="shared" si="6"/>
        <v>N</v>
      </c>
      <c r="K910" s="16"/>
      <c r="L910" s="16"/>
    </row>
    <row r="911">
      <c r="A911" s="40" t="s">
        <v>1329</v>
      </c>
      <c r="B911" s="10" t="str">
        <f t="shared" si="1"/>
        <v>extra_muscle</v>
      </c>
      <c r="C911" s="49" t="str">
        <f t="shared" si="2"/>
        <v>S17389XM1</v>
      </c>
      <c r="D911" s="6">
        <v>31.0</v>
      </c>
      <c r="E911" s="10" t="str">
        <f t="shared" si="3"/>
        <v>BXM31</v>
      </c>
      <c r="F911" s="13">
        <v>77.0</v>
      </c>
      <c r="G911" s="10" t="str">
        <f t="shared" si="7"/>
        <v>BXM31-77</v>
      </c>
      <c r="H911" s="16"/>
      <c r="I911" s="16" t="str">
        <f t="shared" si="5"/>
        <v>collected</v>
      </c>
      <c r="J911" s="16" t="str">
        <f t="shared" si="6"/>
        <v>N</v>
      </c>
      <c r="K911" s="16"/>
      <c r="L911" s="16"/>
    </row>
    <row r="912">
      <c r="A912" s="40" t="s">
        <v>1330</v>
      </c>
      <c r="B912" s="10" t="str">
        <f t="shared" si="1"/>
        <v>extra_muscle</v>
      </c>
      <c r="C912" s="49" t="str">
        <f t="shared" si="2"/>
        <v>S17387XM1</v>
      </c>
      <c r="D912" s="6">
        <v>31.0</v>
      </c>
      <c r="E912" s="10" t="str">
        <f t="shared" si="3"/>
        <v>BXM31</v>
      </c>
      <c r="F912" s="13">
        <v>78.0</v>
      </c>
      <c r="G912" s="10" t="str">
        <f t="shared" si="7"/>
        <v>BXM31-78</v>
      </c>
      <c r="H912" s="16"/>
      <c r="I912" s="16" t="str">
        <f t="shared" si="5"/>
        <v>collected</v>
      </c>
      <c r="J912" s="16" t="str">
        <f t="shared" si="6"/>
        <v>N</v>
      </c>
      <c r="K912" s="16"/>
      <c r="L912" s="16"/>
    </row>
    <row r="913">
      <c r="A913" s="40" t="s">
        <v>1331</v>
      </c>
      <c r="B913" s="10" t="str">
        <f t="shared" si="1"/>
        <v>extra_muscle</v>
      </c>
      <c r="C913" s="49" t="str">
        <f t="shared" si="2"/>
        <v>S17390XM1</v>
      </c>
      <c r="D913" s="6">
        <v>31.0</v>
      </c>
      <c r="E913" s="10" t="str">
        <f t="shared" si="3"/>
        <v>BXM31</v>
      </c>
      <c r="F913" s="13">
        <v>79.0</v>
      </c>
      <c r="G913" s="10" t="str">
        <f t="shared" si="7"/>
        <v>BXM31-79</v>
      </c>
      <c r="H913" s="16"/>
      <c r="I913" s="16" t="str">
        <f t="shared" si="5"/>
        <v>collected</v>
      </c>
      <c r="J913" s="16" t="str">
        <f t="shared" si="6"/>
        <v>N</v>
      </c>
      <c r="K913" s="16"/>
      <c r="L913" s="16"/>
    </row>
    <row r="914">
      <c r="A914" s="40" t="s">
        <v>1332</v>
      </c>
      <c r="B914" s="10" t="str">
        <f t="shared" si="1"/>
        <v>extra_muscle</v>
      </c>
      <c r="C914" s="49" t="str">
        <f t="shared" si="2"/>
        <v>S17711XM1</v>
      </c>
      <c r="D914" s="6">
        <v>31.0</v>
      </c>
      <c r="E914" s="10" t="str">
        <f t="shared" si="3"/>
        <v>BXM31</v>
      </c>
      <c r="F914" s="13">
        <v>80.0</v>
      </c>
      <c r="G914" s="10" t="str">
        <f t="shared" si="7"/>
        <v>BXM31-80</v>
      </c>
      <c r="H914" s="16"/>
      <c r="I914" s="16" t="str">
        <f t="shared" si="5"/>
        <v>collected</v>
      </c>
      <c r="J914" s="16" t="str">
        <f t="shared" si="6"/>
        <v>N</v>
      </c>
      <c r="K914" s="16"/>
      <c r="L914" s="16"/>
    </row>
    <row r="915">
      <c r="A915" s="40" t="s">
        <v>1333</v>
      </c>
      <c r="B915" s="10" t="str">
        <f t="shared" si="1"/>
        <v>extra_muscle</v>
      </c>
      <c r="C915" s="49" t="str">
        <f t="shared" si="2"/>
        <v>S17715XM1</v>
      </c>
      <c r="D915" s="6">
        <v>31.0</v>
      </c>
      <c r="E915" s="10" t="str">
        <f t="shared" si="3"/>
        <v>BXM31</v>
      </c>
      <c r="F915" s="13">
        <v>81.0</v>
      </c>
      <c r="G915" s="10" t="str">
        <f t="shared" si="7"/>
        <v>BXM31-81</v>
      </c>
      <c r="H915" s="16"/>
      <c r="I915" s="16" t="str">
        <f t="shared" si="5"/>
        <v>collected</v>
      </c>
      <c r="J915" s="16" t="str">
        <f t="shared" si="6"/>
        <v>N</v>
      </c>
      <c r="K915" s="16"/>
      <c r="L915" s="16"/>
    </row>
    <row r="916">
      <c r="A916" s="40" t="s">
        <v>1334</v>
      </c>
      <c r="B916" s="10" t="str">
        <f t="shared" si="1"/>
        <v>extra_muscle</v>
      </c>
      <c r="C916" s="49" t="str">
        <f t="shared" si="2"/>
        <v>S17717XM1</v>
      </c>
      <c r="D916" s="6">
        <v>33.0</v>
      </c>
      <c r="E916" s="10" t="str">
        <f t="shared" si="3"/>
        <v>BXM33</v>
      </c>
      <c r="F916" s="13">
        <v>1.0</v>
      </c>
      <c r="G916" s="10" t="str">
        <f t="shared" si="7"/>
        <v>BXM33-1</v>
      </c>
      <c r="H916" s="16"/>
      <c r="I916" s="16" t="str">
        <f t="shared" si="5"/>
        <v>collected</v>
      </c>
      <c r="J916" s="16" t="str">
        <f t="shared" si="6"/>
        <v>N</v>
      </c>
      <c r="K916" s="16"/>
      <c r="L916" s="16"/>
    </row>
    <row r="917">
      <c r="A917" s="40" t="s">
        <v>1335</v>
      </c>
      <c r="B917" s="10" t="str">
        <f t="shared" si="1"/>
        <v>extra_muscle</v>
      </c>
      <c r="C917" s="49" t="str">
        <f t="shared" si="2"/>
        <v>S17719XM1</v>
      </c>
      <c r="D917" s="6">
        <v>33.0</v>
      </c>
      <c r="E917" s="10" t="str">
        <f t="shared" si="3"/>
        <v>BXM33</v>
      </c>
      <c r="F917" s="13">
        <v>2.0</v>
      </c>
      <c r="G917" s="10" t="str">
        <f t="shared" si="7"/>
        <v>BXM33-2</v>
      </c>
      <c r="H917" s="16"/>
      <c r="I917" s="16" t="str">
        <f t="shared" si="5"/>
        <v>collected</v>
      </c>
      <c r="J917" s="16" t="str">
        <f t="shared" si="6"/>
        <v>N</v>
      </c>
      <c r="K917" s="16"/>
      <c r="L917" s="16"/>
    </row>
    <row r="918">
      <c r="A918" s="40" t="s">
        <v>1336</v>
      </c>
      <c r="B918" s="10" t="str">
        <f t="shared" si="1"/>
        <v>extra_muscle</v>
      </c>
      <c r="C918" s="49" t="str">
        <f t="shared" si="2"/>
        <v>S17713XM1</v>
      </c>
      <c r="D918" s="6">
        <v>33.0</v>
      </c>
      <c r="E918" s="10" t="str">
        <f t="shared" si="3"/>
        <v>BXM33</v>
      </c>
      <c r="F918" s="13">
        <v>3.0</v>
      </c>
      <c r="G918" s="10" t="str">
        <f t="shared" si="7"/>
        <v>BXM33-3</v>
      </c>
      <c r="H918" s="16"/>
      <c r="I918" s="16" t="str">
        <f t="shared" si="5"/>
        <v>collected</v>
      </c>
      <c r="J918" s="16" t="str">
        <f t="shared" si="6"/>
        <v>N</v>
      </c>
      <c r="K918" s="16"/>
      <c r="L918" s="16"/>
    </row>
    <row r="919">
      <c r="A919" s="40" t="s">
        <v>1337</v>
      </c>
      <c r="B919" s="10" t="str">
        <f t="shared" si="1"/>
        <v>extra_muscle</v>
      </c>
      <c r="C919" s="49" t="str">
        <f t="shared" si="2"/>
        <v>S17720XM1</v>
      </c>
      <c r="D919" s="6">
        <v>33.0</v>
      </c>
      <c r="E919" s="10" t="str">
        <f t="shared" si="3"/>
        <v>BXM33</v>
      </c>
      <c r="F919" s="13">
        <v>4.0</v>
      </c>
      <c r="G919" s="10" t="str">
        <f t="shared" si="7"/>
        <v>BXM33-4</v>
      </c>
      <c r="H919" s="16"/>
      <c r="I919" s="16" t="str">
        <f t="shared" si="5"/>
        <v>collected</v>
      </c>
      <c r="J919" s="16" t="str">
        <f t="shared" si="6"/>
        <v>N</v>
      </c>
      <c r="K919" s="16"/>
      <c r="L919" s="16"/>
    </row>
    <row r="920">
      <c r="A920" s="40" t="s">
        <v>1338</v>
      </c>
      <c r="B920" s="10" t="str">
        <f t="shared" si="1"/>
        <v>extra_muscle</v>
      </c>
      <c r="C920" s="49" t="str">
        <f t="shared" si="2"/>
        <v>S17716XM1</v>
      </c>
      <c r="D920" s="6">
        <v>33.0</v>
      </c>
      <c r="E920" s="10" t="str">
        <f t="shared" si="3"/>
        <v>BXM33</v>
      </c>
      <c r="F920" s="13">
        <v>5.0</v>
      </c>
      <c r="G920" s="10" t="str">
        <f t="shared" si="7"/>
        <v>BXM33-5</v>
      </c>
      <c r="H920" s="16"/>
      <c r="I920" s="16" t="str">
        <f t="shared" si="5"/>
        <v>collected</v>
      </c>
      <c r="J920" s="16" t="str">
        <f t="shared" si="6"/>
        <v>N</v>
      </c>
      <c r="K920" s="16"/>
      <c r="L920" s="16"/>
    </row>
    <row r="921">
      <c r="A921" s="40" t="s">
        <v>1339</v>
      </c>
      <c r="B921" s="10" t="str">
        <f t="shared" si="1"/>
        <v>extra_muscle</v>
      </c>
      <c r="C921" s="49" t="str">
        <f t="shared" si="2"/>
        <v>S17718XM1</v>
      </c>
      <c r="D921" s="6">
        <v>33.0</v>
      </c>
      <c r="E921" s="10" t="str">
        <f t="shared" si="3"/>
        <v>BXM33</v>
      </c>
      <c r="F921" s="13">
        <v>6.0</v>
      </c>
      <c r="G921" s="10" t="str">
        <f t="shared" si="7"/>
        <v>BXM33-6</v>
      </c>
      <c r="H921" s="16"/>
      <c r="I921" s="16" t="str">
        <f t="shared" si="5"/>
        <v>collected</v>
      </c>
      <c r="J921" s="16" t="str">
        <f t="shared" si="6"/>
        <v>N</v>
      </c>
      <c r="K921" s="16"/>
      <c r="L921" s="16"/>
    </row>
    <row r="922">
      <c r="A922" s="40" t="s">
        <v>1340</v>
      </c>
      <c r="B922" s="10" t="str">
        <f t="shared" si="1"/>
        <v>extra_muscle</v>
      </c>
      <c r="C922" s="49" t="str">
        <f t="shared" si="2"/>
        <v>S17712XM1</v>
      </c>
      <c r="D922" s="6">
        <v>33.0</v>
      </c>
      <c r="E922" s="10" t="str">
        <f t="shared" si="3"/>
        <v>BXM33</v>
      </c>
      <c r="F922" s="13">
        <v>7.0</v>
      </c>
      <c r="G922" s="10" t="str">
        <f t="shared" si="7"/>
        <v>BXM33-7</v>
      </c>
      <c r="H922" s="16"/>
      <c r="I922" s="16" t="str">
        <f t="shared" si="5"/>
        <v>collected</v>
      </c>
      <c r="J922" s="16" t="str">
        <f t="shared" si="6"/>
        <v>N</v>
      </c>
      <c r="K922" s="16"/>
      <c r="L922" s="16"/>
    </row>
    <row r="923">
      <c r="A923" s="27" t="s">
        <v>1341</v>
      </c>
      <c r="B923" s="10" t="str">
        <f t="shared" si="1"/>
        <v>extra_muscle</v>
      </c>
      <c r="C923" s="49" t="str">
        <f t="shared" si="2"/>
        <v>S16432XM1</v>
      </c>
      <c r="D923" s="6">
        <v>32.0</v>
      </c>
      <c r="E923" s="10" t="str">
        <f t="shared" si="3"/>
        <v>BXM32</v>
      </c>
      <c r="F923" s="13">
        <v>46.0</v>
      </c>
      <c r="G923" s="10" t="str">
        <f t="shared" si="7"/>
        <v>BXM32-46</v>
      </c>
      <c r="H923" s="16"/>
      <c r="I923" s="16" t="str">
        <f t="shared" si="5"/>
        <v>collected</v>
      </c>
      <c r="J923" s="16" t="str">
        <f t="shared" si="6"/>
        <v>N</v>
      </c>
      <c r="K923" s="16"/>
      <c r="L923" s="16"/>
    </row>
    <row r="924">
      <c r="A924" s="27" t="s">
        <v>1342</v>
      </c>
      <c r="B924" s="10" t="str">
        <f t="shared" si="1"/>
        <v>extra_muscle</v>
      </c>
      <c r="C924" s="49" t="str">
        <f t="shared" si="2"/>
        <v>S16434XM1</v>
      </c>
      <c r="D924" s="6">
        <v>32.0</v>
      </c>
      <c r="E924" s="10" t="str">
        <f t="shared" si="3"/>
        <v>BXM32</v>
      </c>
      <c r="F924" s="13">
        <v>47.0</v>
      </c>
      <c r="G924" s="10" t="str">
        <f t="shared" si="7"/>
        <v>BXM32-47</v>
      </c>
      <c r="H924" s="16"/>
      <c r="I924" s="16" t="str">
        <f t="shared" si="5"/>
        <v>collected</v>
      </c>
      <c r="J924" s="16" t="str">
        <f t="shared" si="6"/>
        <v>N</v>
      </c>
      <c r="K924" s="16"/>
      <c r="L924" s="16"/>
    </row>
    <row r="925">
      <c r="A925" s="27" t="s">
        <v>1343</v>
      </c>
      <c r="B925" s="10" t="str">
        <f t="shared" si="1"/>
        <v>extra_muscle</v>
      </c>
      <c r="C925" s="49" t="str">
        <f t="shared" si="2"/>
        <v>S16431XM1</v>
      </c>
      <c r="D925" s="6">
        <v>32.0</v>
      </c>
      <c r="E925" s="10" t="str">
        <f t="shared" si="3"/>
        <v>BXM32</v>
      </c>
      <c r="F925" s="13">
        <v>48.0</v>
      </c>
      <c r="G925" s="10" t="str">
        <f t="shared" si="7"/>
        <v>BXM32-48</v>
      </c>
      <c r="H925" s="16"/>
      <c r="I925" s="16" t="str">
        <f t="shared" si="5"/>
        <v>collected</v>
      </c>
      <c r="J925" s="16" t="str">
        <f t="shared" si="6"/>
        <v>N</v>
      </c>
      <c r="K925" s="16"/>
      <c r="L925" s="16"/>
    </row>
    <row r="926">
      <c r="A926" s="27" t="s">
        <v>1344</v>
      </c>
      <c r="B926" s="10" t="str">
        <f t="shared" si="1"/>
        <v>extra_muscle</v>
      </c>
      <c r="C926" s="49" t="str">
        <f t="shared" si="2"/>
        <v>S17971XM1</v>
      </c>
      <c r="D926" s="6">
        <v>32.0</v>
      </c>
      <c r="E926" s="10" t="str">
        <f t="shared" si="3"/>
        <v>BXM32</v>
      </c>
      <c r="F926" s="13">
        <v>49.0</v>
      </c>
      <c r="G926" s="10" t="str">
        <f t="shared" si="7"/>
        <v>BXM32-49</v>
      </c>
      <c r="H926" s="16"/>
      <c r="I926" s="16" t="str">
        <f t="shared" si="5"/>
        <v>collected</v>
      </c>
      <c r="J926" s="16" t="str">
        <f t="shared" si="6"/>
        <v>N</v>
      </c>
      <c r="K926" s="16"/>
      <c r="L926" s="16"/>
    </row>
    <row r="927">
      <c r="A927" s="27" t="s">
        <v>1345</v>
      </c>
      <c r="B927" s="10" t="str">
        <f t="shared" si="1"/>
        <v>extra_muscle</v>
      </c>
      <c r="C927" s="49" t="str">
        <f t="shared" si="2"/>
        <v>S17972XM1</v>
      </c>
      <c r="D927" s="6">
        <v>32.0</v>
      </c>
      <c r="E927" s="10" t="str">
        <f t="shared" si="3"/>
        <v>BXM32</v>
      </c>
      <c r="F927" s="13">
        <v>50.0</v>
      </c>
      <c r="G927" s="10" t="str">
        <f t="shared" si="7"/>
        <v>BXM32-50</v>
      </c>
      <c r="H927" s="16"/>
      <c r="I927" s="16" t="str">
        <f t="shared" si="5"/>
        <v>collected</v>
      </c>
      <c r="J927" s="16" t="str">
        <f t="shared" si="6"/>
        <v>N</v>
      </c>
      <c r="K927" s="16"/>
      <c r="L927" s="16"/>
    </row>
    <row r="928">
      <c r="A928" s="27" t="s">
        <v>1346</v>
      </c>
      <c r="B928" s="10" t="str">
        <f t="shared" si="1"/>
        <v>extra_muscle</v>
      </c>
      <c r="C928" s="49" t="str">
        <f t="shared" si="2"/>
        <v>S17973XM1</v>
      </c>
      <c r="D928" s="6">
        <v>32.0</v>
      </c>
      <c r="E928" s="10" t="str">
        <f t="shared" si="3"/>
        <v>BXM32</v>
      </c>
      <c r="F928" s="13">
        <v>51.0</v>
      </c>
      <c r="G928" s="10" t="str">
        <f t="shared" si="7"/>
        <v>BXM32-51</v>
      </c>
      <c r="H928" s="16"/>
      <c r="I928" s="16" t="str">
        <f t="shared" si="5"/>
        <v>collected</v>
      </c>
      <c r="J928" s="16" t="str">
        <f t="shared" si="6"/>
        <v>N</v>
      </c>
      <c r="K928" s="16"/>
      <c r="L928" s="16"/>
    </row>
    <row r="929">
      <c r="A929" s="27" t="s">
        <v>1347</v>
      </c>
      <c r="B929" s="10" t="str">
        <f t="shared" si="1"/>
        <v>extra_muscle</v>
      </c>
      <c r="C929" s="49" t="str">
        <f t="shared" si="2"/>
        <v>S17974XM1</v>
      </c>
      <c r="D929" s="6">
        <v>32.0</v>
      </c>
      <c r="E929" s="10" t="str">
        <f t="shared" si="3"/>
        <v>BXM32</v>
      </c>
      <c r="F929" s="13">
        <v>52.0</v>
      </c>
      <c r="G929" s="10" t="str">
        <f t="shared" si="7"/>
        <v>BXM32-52</v>
      </c>
      <c r="H929" s="16"/>
      <c r="I929" s="16" t="str">
        <f t="shared" si="5"/>
        <v>collected</v>
      </c>
      <c r="J929" s="16" t="str">
        <f t="shared" si="6"/>
        <v>N</v>
      </c>
      <c r="K929" s="16"/>
      <c r="L929" s="16"/>
    </row>
    <row r="930">
      <c r="A930" s="27" t="s">
        <v>1348</v>
      </c>
      <c r="B930" s="10" t="str">
        <f t="shared" si="1"/>
        <v>extra_muscle</v>
      </c>
      <c r="C930" s="49" t="str">
        <f t="shared" si="2"/>
        <v>S17975XM1</v>
      </c>
      <c r="D930" s="6">
        <v>32.0</v>
      </c>
      <c r="E930" s="10" t="str">
        <f t="shared" si="3"/>
        <v>BXM32</v>
      </c>
      <c r="F930" s="13">
        <v>53.0</v>
      </c>
      <c r="G930" s="10" t="str">
        <f t="shared" si="7"/>
        <v>BXM32-53</v>
      </c>
      <c r="H930" s="16"/>
      <c r="I930" s="16" t="str">
        <f t="shared" si="5"/>
        <v>collected</v>
      </c>
      <c r="J930" s="16" t="str">
        <f t="shared" si="6"/>
        <v>N</v>
      </c>
      <c r="K930" s="16"/>
      <c r="L930" s="16"/>
    </row>
    <row r="931">
      <c r="A931" s="27" t="s">
        <v>1350</v>
      </c>
      <c r="B931" s="10" t="str">
        <f t="shared" si="1"/>
        <v>extra_muscle</v>
      </c>
      <c r="C931" s="49" t="str">
        <f t="shared" si="2"/>
        <v>S17976XM1</v>
      </c>
      <c r="D931" s="6">
        <v>32.0</v>
      </c>
      <c r="E931" s="10" t="str">
        <f t="shared" si="3"/>
        <v>BXM32</v>
      </c>
      <c r="F931" s="13">
        <v>54.0</v>
      </c>
      <c r="G931" s="10" t="str">
        <f t="shared" si="7"/>
        <v>BXM32-54</v>
      </c>
      <c r="H931" s="16"/>
      <c r="I931" s="16" t="str">
        <f t="shared" si="5"/>
        <v>collected</v>
      </c>
      <c r="J931" s="16" t="str">
        <f t="shared" si="6"/>
        <v>N</v>
      </c>
      <c r="K931" s="16"/>
      <c r="L931" s="16"/>
    </row>
    <row r="932">
      <c r="A932" s="27" t="s">
        <v>1351</v>
      </c>
      <c r="B932" s="10" t="str">
        <f t="shared" si="1"/>
        <v>extra_muscle</v>
      </c>
      <c r="C932" s="49" t="str">
        <f t="shared" si="2"/>
        <v>S17977XM1</v>
      </c>
      <c r="D932" s="6">
        <v>32.0</v>
      </c>
      <c r="E932" s="10" t="str">
        <f t="shared" si="3"/>
        <v>BXM32</v>
      </c>
      <c r="F932" s="13">
        <v>55.0</v>
      </c>
      <c r="G932" s="10" t="str">
        <f t="shared" si="7"/>
        <v>BXM32-55</v>
      </c>
      <c r="H932" s="16"/>
      <c r="I932" s="16" t="str">
        <f t="shared" si="5"/>
        <v>collected</v>
      </c>
      <c r="J932" s="16" t="str">
        <f t="shared" si="6"/>
        <v>N</v>
      </c>
      <c r="K932" s="16"/>
      <c r="L932" s="16"/>
    </row>
    <row r="933">
      <c r="A933" s="27" t="s">
        <v>1352</v>
      </c>
      <c r="B933" s="10" t="str">
        <f t="shared" si="1"/>
        <v>extra_muscle</v>
      </c>
      <c r="C933" s="49" t="str">
        <f t="shared" si="2"/>
        <v>S17978XM1</v>
      </c>
      <c r="D933" s="6">
        <v>32.0</v>
      </c>
      <c r="E933" s="10" t="str">
        <f t="shared" si="3"/>
        <v>BXM32</v>
      </c>
      <c r="F933" s="13">
        <v>56.0</v>
      </c>
      <c r="G933" s="10" t="str">
        <f t="shared" si="7"/>
        <v>BXM32-56</v>
      </c>
      <c r="H933" s="16"/>
      <c r="I933" s="16" t="str">
        <f t="shared" si="5"/>
        <v>collected</v>
      </c>
      <c r="J933" s="16" t="str">
        <f t="shared" si="6"/>
        <v>N</v>
      </c>
      <c r="K933" s="16"/>
      <c r="L933" s="16"/>
    </row>
    <row r="934">
      <c r="A934" s="27" t="s">
        <v>1353</v>
      </c>
      <c r="B934" s="10" t="str">
        <f t="shared" si="1"/>
        <v>extra_muscle</v>
      </c>
      <c r="C934" s="49" t="str">
        <f t="shared" si="2"/>
        <v>S17979XM1</v>
      </c>
      <c r="D934" s="6">
        <v>32.0</v>
      </c>
      <c r="E934" s="10" t="str">
        <f t="shared" si="3"/>
        <v>BXM32</v>
      </c>
      <c r="F934" s="13">
        <v>57.0</v>
      </c>
      <c r="G934" s="10" t="str">
        <f t="shared" si="7"/>
        <v>BXM32-57</v>
      </c>
      <c r="H934" s="16"/>
      <c r="I934" s="16" t="str">
        <f t="shared" si="5"/>
        <v>collected</v>
      </c>
      <c r="J934" s="16" t="str">
        <f t="shared" si="6"/>
        <v>N</v>
      </c>
      <c r="K934" s="16"/>
      <c r="L934" s="16"/>
    </row>
    <row r="935">
      <c r="A935" s="27" t="s">
        <v>1355</v>
      </c>
      <c r="B935" s="10" t="str">
        <f t="shared" si="1"/>
        <v>extra_muscle</v>
      </c>
      <c r="C935" s="49" t="str">
        <f t="shared" si="2"/>
        <v>S17980XM1</v>
      </c>
      <c r="D935" s="6">
        <v>32.0</v>
      </c>
      <c r="E935" s="10" t="str">
        <f t="shared" si="3"/>
        <v>BXM32</v>
      </c>
      <c r="F935" s="13">
        <v>58.0</v>
      </c>
      <c r="G935" s="10" t="str">
        <f t="shared" si="7"/>
        <v>BXM32-58</v>
      </c>
      <c r="H935" s="16"/>
      <c r="I935" s="16" t="str">
        <f t="shared" si="5"/>
        <v>collected</v>
      </c>
      <c r="J935" s="16" t="str">
        <f t="shared" si="6"/>
        <v>N</v>
      </c>
      <c r="K935" s="16"/>
      <c r="L935" s="16"/>
    </row>
    <row r="936">
      <c r="A936" s="27" t="s">
        <v>1356</v>
      </c>
      <c r="B936" s="10" t="str">
        <f t="shared" si="1"/>
        <v>extra_muscle</v>
      </c>
      <c r="C936" s="49" t="str">
        <f t="shared" si="2"/>
        <v>S17561XM1</v>
      </c>
      <c r="D936" s="6">
        <v>32.0</v>
      </c>
      <c r="E936" s="10" t="str">
        <f t="shared" si="3"/>
        <v>BXM32</v>
      </c>
      <c r="F936" s="13">
        <v>59.0</v>
      </c>
      <c r="G936" s="10" t="str">
        <f t="shared" si="7"/>
        <v>BXM32-59</v>
      </c>
      <c r="H936" s="16"/>
      <c r="I936" s="16" t="str">
        <f t="shared" si="5"/>
        <v>collected</v>
      </c>
      <c r="J936" s="16" t="str">
        <f t="shared" si="6"/>
        <v>N</v>
      </c>
      <c r="K936" s="16"/>
      <c r="L936" s="16"/>
    </row>
    <row r="937">
      <c r="A937" s="27" t="s">
        <v>1357</v>
      </c>
      <c r="B937" s="10" t="str">
        <f t="shared" si="1"/>
        <v>extra_muscle</v>
      </c>
      <c r="C937" s="49" t="str">
        <f t="shared" si="2"/>
        <v>S17562XM1</v>
      </c>
      <c r="D937" s="6">
        <v>32.0</v>
      </c>
      <c r="E937" s="10" t="str">
        <f t="shared" si="3"/>
        <v>BXM32</v>
      </c>
      <c r="F937" s="13">
        <v>60.0</v>
      </c>
      <c r="G937" s="10" t="str">
        <f t="shared" si="7"/>
        <v>BXM32-60</v>
      </c>
      <c r="H937" s="16"/>
      <c r="I937" s="16" t="str">
        <f t="shared" si="5"/>
        <v>collected</v>
      </c>
      <c r="J937" s="16" t="str">
        <f t="shared" si="6"/>
        <v>N</v>
      </c>
      <c r="K937" s="16"/>
      <c r="L937" s="16"/>
    </row>
    <row r="938">
      <c r="A938" s="27" t="s">
        <v>1358</v>
      </c>
      <c r="B938" s="10" t="str">
        <f t="shared" si="1"/>
        <v>extra_muscle</v>
      </c>
      <c r="C938" s="49" t="str">
        <f t="shared" si="2"/>
        <v>S17563XM1</v>
      </c>
      <c r="D938" s="6">
        <v>32.0</v>
      </c>
      <c r="E938" s="10" t="str">
        <f t="shared" si="3"/>
        <v>BXM32</v>
      </c>
      <c r="F938" s="13">
        <v>61.0</v>
      </c>
      <c r="G938" s="10" t="str">
        <f t="shared" si="7"/>
        <v>BXM32-61</v>
      </c>
      <c r="H938" s="16"/>
      <c r="I938" s="16" t="str">
        <f t="shared" si="5"/>
        <v>collected</v>
      </c>
      <c r="J938" s="16" t="str">
        <f t="shared" si="6"/>
        <v>N</v>
      </c>
      <c r="K938" s="16"/>
      <c r="L938" s="16"/>
    </row>
    <row r="939">
      <c r="A939" s="27" t="s">
        <v>1359</v>
      </c>
      <c r="B939" s="10" t="str">
        <f t="shared" si="1"/>
        <v>extra_muscle</v>
      </c>
      <c r="C939" s="49" t="str">
        <f t="shared" si="2"/>
        <v>S17564XM1</v>
      </c>
      <c r="D939" s="6">
        <v>32.0</v>
      </c>
      <c r="E939" s="10" t="str">
        <f t="shared" si="3"/>
        <v>BXM32</v>
      </c>
      <c r="F939" s="13">
        <v>62.0</v>
      </c>
      <c r="G939" s="10" t="str">
        <f t="shared" si="7"/>
        <v>BXM32-62</v>
      </c>
      <c r="H939" s="16"/>
      <c r="I939" s="16" t="str">
        <f t="shared" si="5"/>
        <v>collected</v>
      </c>
      <c r="J939" s="16" t="str">
        <f t="shared" si="6"/>
        <v>N</v>
      </c>
      <c r="K939" s="16"/>
      <c r="L939" s="16"/>
    </row>
    <row r="940">
      <c r="A940" s="27" t="s">
        <v>1360</v>
      </c>
      <c r="B940" s="10" t="str">
        <f t="shared" si="1"/>
        <v>extra_muscle</v>
      </c>
      <c r="C940" s="49" t="str">
        <f t="shared" si="2"/>
        <v>S17565XM1</v>
      </c>
      <c r="D940" s="6">
        <v>32.0</v>
      </c>
      <c r="E940" s="10" t="str">
        <f t="shared" si="3"/>
        <v>BXM32</v>
      </c>
      <c r="F940" s="13">
        <v>63.0</v>
      </c>
      <c r="G940" s="10" t="str">
        <f t="shared" si="7"/>
        <v>BXM32-63</v>
      </c>
      <c r="H940" s="16"/>
      <c r="I940" s="16" t="str">
        <f t="shared" si="5"/>
        <v>collected</v>
      </c>
      <c r="J940" s="16" t="str">
        <f t="shared" si="6"/>
        <v>N</v>
      </c>
      <c r="K940" s="16"/>
      <c r="L940" s="16"/>
    </row>
    <row r="941">
      <c r="A941" s="27" t="s">
        <v>1361</v>
      </c>
      <c r="B941" s="10" t="str">
        <f t="shared" si="1"/>
        <v>extra_muscle</v>
      </c>
      <c r="C941" s="49" t="str">
        <f t="shared" si="2"/>
        <v>S17566XM1</v>
      </c>
      <c r="D941" s="6">
        <v>32.0</v>
      </c>
      <c r="E941" s="10" t="str">
        <f t="shared" si="3"/>
        <v>BXM32</v>
      </c>
      <c r="F941" s="13">
        <v>64.0</v>
      </c>
      <c r="G941" s="10" t="str">
        <f t="shared" si="7"/>
        <v>BXM32-64</v>
      </c>
      <c r="H941" s="16"/>
      <c r="I941" s="16" t="str">
        <f t="shared" si="5"/>
        <v>collected</v>
      </c>
      <c r="J941" s="16" t="str">
        <f t="shared" si="6"/>
        <v>N</v>
      </c>
      <c r="K941" s="16"/>
      <c r="L941" s="16"/>
    </row>
    <row r="942">
      <c r="A942" s="27" t="s">
        <v>1362</v>
      </c>
      <c r="B942" s="10" t="str">
        <f t="shared" si="1"/>
        <v>extra_muscle</v>
      </c>
      <c r="C942" s="49" t="str">
        <f t="shared" si="2"/>
        <v>S17568XM1</v>
      </c>
      <c r="D942" s="6">
        <v>32.0</v>
      </c>
      <c r="E942" s="10" t="str">
        <f t="shared" si="3"/>
        <v>BXM32</v>
      </c>
      <c r="F942" s="13">
        <v>65.0</v>
      </c>
      <c r="G942" s="10" t="str">
        <f t="shared" si="7"/>
        <v>BXM32-65</v>
      </c>
      <c r="H942" s="16"/>
      <c r="I942" s="16" t="str">
        <f t="shared" si="5"/>
        <v>collected</v>
      </c>
      <c r="J942" s="16" t="str">
        <f t="shared" si="6"/>
        <v>N</v>
      </c>
      <c r="K942" s="16"/>
      <c r="L942" s="16"/>
    </row>
    <row r="943">
      <c r="A943" s="27" t="s">
        <v>1363</v>
      </c>
      <c r="B943" s="10" t="str">
        <f t="shared" si="1"/>
        <v>extra_muscle</v>
      </c>
      <c r="C943" s="49" t="str">
        <f t="shared" si="2"/>
        <v>S17567XM1</v>
      </c>
      <c r="D943" s="6">
        <v>32.0</v>
      </c>
      <c r="E943" s="10" t="str">
        <f t="shared" si="3"/>
        <v>BXM32</v>
      </c>
      <c r="F943" s="13">
        <v>66.0</v>
      </c>
      <c r="G943" s="10" t="str">
        <f t="shared" si="7"/>
        <v>BXM32-66</v>
      </c>
      <c r="H943" s="16"/>
      <c r="I943" s="16" t="str">
        <f t="shared" si="5"/>
        <v>collected</v>
      </c>
      <c r="J943" s="16" t="str">
        <f t="shared" si="6"/>
        <v>N</v>
      </c>
      <c r="K943" s="16"/>
      <c r="L943" s="16"/>
    </row>
    <row r="944">
      <c r="A944" s="27" t="s">
        <v>1364</v>
      </c>
      <c r="B944" s="10" t="str">
        <f t="shared" si="1"/>
        <v>extra_muscle</v>
      </c>
      <c r="C944" s="49" t="str">
        <f t="shared" si="2"/>
        <v>S17569XM1</v>
      </c>
      <c r="D944" s="6">
        <v>32.0</v>
      </c>
      <c r="E944" s="10" t="str">
        <f t="shared" si="3"/>
        <v>BXM32</v>
      </c>
      <c r="F944" s="13">
        <v>67.0</v>
      </c>
      <c r="G944" s="10" t="str">
        <f t="shared" si="7"/>
        <v>BXM32-67</v>
      </c>
      <c r="H944" s="16"/>
      <c r="I944" s="16" t="str">
        <f t="shared" si="5"/>
        <v>collected</v>
      </c>
      <c r="J944" s="16" t="str">
        <f t="shared" si="6"/>
        <v>N</v>
      </c>
      <c r="K944" s="16"/>
      <c r="L944" s="16"/>
    </row>
    <row r="945">
      <c r="A945" s="27" t="s">
        <v>1365</v>
      </c>
      <c r="B945" s="10" t="str">
        <f t="shared" si="1"/>
        <v>extra_muscle</v>
      </c>
      <c r="C945" s="49" t="str">
        <f t="shared" si="2"/>
        <v>S16065XM1</v>
      </c>
      <c r="D945" s="6">
        <v>34.0</v>
      </c>
      <c r="E945" s="10" t="str">
        <f t="shared" si="3"/>
        <v>BXM34</v>
      </c>
      <c r="F945" s="13">
        <v>1.0</v>
      </c>
      <c r="G945" s="10" t="str">
        <f t="shared" si="7"/>
        <v>BXM34-1</v>
      </c>
      <c r="H945" s="16"/>
      <c r="I945" s="16" t="str">
        <f t="shared" si="5"/>
        <v>collected</v>
      </c>
      <c r="J945" s="16" t="str">
        <f t="shared" si="6"/>
        <v>N</v>
      </c>
      <c r="K945" s="16"/>
      <c r="L945" s="16"/>
    </row>
    <row r="946">
      <c r="A946" s="27" t="s">
        <v>1366</v>
      </c>
      <c r="B946" s="10" t="str">
        <f t="shared" si="1"/>
        <v>extra_muscle</v>
      </c>
      <c r="C946" s="49" t="str">
        <f t="shared" si="2"/>
        <v>S16069XM1</v>
      </c>
      <c r="D946" s="6">
        <v>34.0</v>
      </c>
      <c r="E946" s="10" t="str">
        <f t="shared" si="3"/>
        <v>BXM34</v>
      </c>
      <c r="F946" s="13">
        <v>2.0</v>
      </c>
      <c r="G946" s="10" t="str">
        <f t="shared" si="7"/>
        <v>BXM34-2</v>
      </c>
      <c r="H946" s="16"/>
      <c r="I946" s="16" t="str">
        <f t="shared" si="5"/>
        <v>collected</v>
      </c>
      <c r="J946" s="16" t="str">
        <f t="shared" si="6"/>
        <v>N</v>
      </c>
      <c r="K946" s="16"/>
      <c r="L946" s="16"/>
    </row>
    <row r="947">
      <c r="A947" s="27" t="s">
        <v>1367</v>
      </c>
      <c r="B947" s="10" t="str">
        <f t="shared" si="1"/>
        <v>extra_muscle</v>
      </c>
      <c r="C947" s="49" t="str">
        <f t="shared" si="2"/>
        <v>S16064XM1</v>
      </c>
      <c r="D947" s="6">
        <v>34.0</v>
      </c>
      <c r="E947" s="10" t="str">
        <f t="shared" si="3"/>
        <v>BXM34</v>
      </c>
      <c r="F947" s="13">
        <v>3.0</v>
      </c>
      <c r="G947" s="10" t="str">
        <f t="shared" si="7"/>
        <v>BXM34-3</v>
      </c>
      <c r="H947" s="16"/>
      <c r="I947" s="16" t="str">
        <f t="shared" si="5"/>
        <v>collected</v>
      </c>
      <c r="J947" s="16" t="str">
        <f t="shared" si="6"/>
        <v>N</v>
      </c>
      <c r="K947" s="16"/>
      <c r="L947" s="16"/>
    </row>
    <row r="948">
      <c r="A948" s="27" t="s">
        <v>1368</v>
      </c>
      <c r="B948" s="10" t="str">
        <f t="shared" si="1"/>
        <v>extra_muscle</v>
      </c>
      <c r="C948" s="49" t="str">
        <f t="shared" si="2"/>
        <v>S16068XM1</v>
      </c>
      <c r="D948" s="6">
        <v>34.0</v>
      </c>
      <c r="E948" s="10" t="str">
        <f t="shared" si="3"/>
        <v>BXM34</v>
      </c>
      <c r="F948" s="13">
        <v>4.0</v>
      </c>
      <c r="G948" s="10" t="str">
        <f t="shared" si="7"/>
        <v>BXM34-4</v>
      </c>
      <c r="H948" s="16"/>
      <c r="I948" s="16" t="str">
        <f t="shared" si="5"/>
        <v>collected</v>
      </c>
      <c r="J948" s="16" t="str">
        <f t="shared" si="6"/>
        <v>N</v>
      </c>
      <c r="K948" s="16"/>
      <c r="L948" s="16"/>
    </row>
    <row r="949">
      <c r="A949" s="27" t="s">
        <v>1369</v>
      </c>
      <c r="B949" s="10" t="str">
        <f t="shared" si="1"/>
        <v>extra_muscle</v>
      </c>
      <c r="C949" s="49" t="str">
        <f t="shared" si="2"/>
        <v>S16062XM1</v>
      </c>
      <c r="D949" s="6">
        <v>34.0</v>
      </c>
      <c r="E949" s="10" t="str">
        <f t="shared" si="3"/>
        <v>BXM34</v>
      </c>
      <c r="F949" s="13">
        <v>5.0</v>
      </c>
      <c r="G949" s="10" t="str">
        <f t="shared" si="7"/>
        <v>BXM34-5</v>
      </c>
      <c r="H949" s="16"/>
      <c r="I949" s="16" t="str">
        <f t="shared" si="5"/>
        <v>collected</v>
      </c>
      <c r="J949" s="16" t="str">
        <f t="shared" si="6"/>
        <v>N</v>
      </c>
      <c r="K949" s="16"/>
      <c r="L949" s="16"/>
    </row>
    <row r="950">
      <c r="A950" s="27" t="s">
        <v>1370</v>
      </c>
      <c r="B950" s="10" t="str">
        <f t="shared" si="1"/>
        <v>extra_muscle</v>
      </c>
      <c r="C950" s="49" t="str">
        <f t="shared" si="2"/>
        <v>S16070XM1</v>
      </c>
      <c r="D950" s="6">
        <v>34.0</v>
      </c>
      <c r="E950" s="10" t="str">
        <f t="shared" si="3"/>
        <v>BXM34</v>
      </c>
      <c r="F950" s="13">
        <v>6.0</v>
      </c>
      <c r="G950" s="10" t="str">
        <f t="shared" si="7"/>
        <v>BXM34-6</v>
      </c>
      <c r="H950" s="16"/>
      <c r="I950" s="16" t="str">
        <f t="shared" si="5"/>
        <v>collected</v>
      </c>
      <c r="J950" s="16" t="str">
        <f t="shared" si="6"/>
        <v>N</v>
      </c>
      <c r="K950" s="16"/>
      <c r="L950" s="16"/>
    </row>
    <row r="951">
      <c r="A951" s="27" t="s">
        <v>1371</v>
      </c>
      <c r="B951" s="10" t="str">
        <f t="shared" si="1"/>
        <v>extra_muscle</v>
      </c>
      <c r="C951" s="49" t="str">
        <f t="shared" si="2"/>
        <v>S16066XM1</v>
      </c>
      <c r="D951" s="6">
        <v>34.0</v>
      </c>
      <c r="E951" s="10" t="str">
        <f t="shared" si="3"/>
        <v>BXM34</v>
      </c>
      <c r="F951" s="13">
        <v>7.0</v>
      </c>
      <c r="G951" s="10" t="str">
        <f t="shared" si="7"/>
        <v>BXM34-7</v>
      </c>
      <c r="H951" s="16"/>
      <c r="I951" s="16" t="str">
        <f t="shared" si="5"/>
        <v>collected</v>
      </c>
      <c r="J951" s="16" t="str">
        <f t="shared" si="6"/>
        <v>N</v>
      </c>
      <c r="K951" s="16"/>
      <c r="L951" s="16"/>
    </row>
    <row r="952">
      <c r="A952" s="27" t="s">
        <v>1372</v>
      </c>
      <c r="B952" s="10" t="str">
        <f t="shared" si="1"/>
        <v>extra_muscle</v>
      </c>
      <c r="C952" s="49" t="str">
        <f t="shared" si="2"/>
        <v>S16063XM1</v>
      </c>
      <c r="D952" s="6">
        <v>34.0</v>
      </c>
      <c r="E952" s="10" t="str">
        <f t="shared" si="3"/>
        <v>BXM34</v>
      </c>
      <c r="F952" s="13">
        <v>8.0</v>
      </c>
      <c r="G952" s="10" t="str">
        <f t="shared" si="7"/>
        <v>BXM34-8</v>
      </c>
      <c r="H952" s="16"/>
      <c r="I952" s="16" t="str">
        <f t="shared" si="5"/>
        <v>collected</v>
      </c>
      <c r="J952" s="16" t="str">
        <f t="shared" si="6"/>
        <v>N</v>
      </c>
      <c r="K952" s="16"/>
      <c r="L952" s="16"/>
    </row>
    <row r="953">
      <c r="A953" s="27" t="s">
        <v>1374</v>
      </c>
      <c r="B953" s="10" t="str">
        <f t="shared" si="1"/>
        <v>extra_muscle</v>
      </c>
      <c r="C953" s="49" t="str">
        <f t="shared" si="2"/>
        <v>S16067XM1</v>
      </c>
      <c r="D953" s="6">
        <v>34.0</v>
      </c>
      <c r="E953" s="10" t="str">
        <f t="shared" si="3"/>
        <v>BXM34</v>
      </c>
      <c r="F953" s="13">
        <v>9.0</v>
      </c>
      <c r="G953" s="10" t="str">
        <f t="shared" si="7"/>
        <v>BXM34-9</v>
      </c>
      <c r="H953" s="16"/>
      <c r="I953" s="16" t="str">
        <f t="shared" si="5"/>
        <v>collected</v>
      </c>
      <c r="J953" s="16" t="str">
        <f t="shared" si="6"/>
        <v>N</v>
      </c>
      <c r="K953" s="16"/>
      <c r="L953" s="16"/>
    </row>
    <row r="954">
      <c r="A954" s="27" t="s">
        <v>1375</v>
      </c>
      <c r="B954" s="10" t="str">
        <f t="shared" si="1"/>
        <v>extra_muscle</v>
      </c>
      <c r="C954" s="49" t="str">
        <f t="shared" si="2"/>
        <v>S16061XM1</v>
      </c>
      <c r="D954" s="6">
        <v>34.0</v>
      </c>
      <c r="E954" s="10" t="str">
        <f t="shared" si="3"/>
        <v>BXM34</v>
      </c>
      <c r="F954" s="13">
        <v>10.0</v>
      </c>
      <c r="G954" s="10" t="str">
        <f t="shared" si="7"/>
        <v>BXM34-10</v>
      </c>
      <c r="H954" s="16"/>
      <c r="I954" s="16" t="str">
        <f t="shared" si="5"/>
        <v>collected</v>
      </c>
      <c r="J954" s="16" t="str">
        <f t="shared" si="6"/>
        <v>N</v>
      </c>
      <c r="K954" s="16"/>
      <c r="L954" s="16"/>
    </row>
    <row r="955">
      <c r="A955" s="40" t="s">
        <v>1376</v>
      </c>
      <c r="B955" s="10" t="str">
        <f t="shared" si="1"/>
        <v>extra_muscle</v>
      </c>
      <c r="C955" s="49" t="str">
        <f t="shared" si="2"/>
        <v>S17714XM1</v>
      </c>
      <c r="D955" s="6">
        <v>33.0</v>
      </c>
      <c r="E955" s="10" t="str">
        <f t="shared" si="3"/>
        <v>BXM33</v>
      </c>
      <c r="F955" s="13">
        <v>8.0</v>
      </c>
      <c r="G955" s="10" t="str">
        <f t="shared" si="7"/>
        <v>BXM33-8</v>
      </c>
      <c r="H955" s="16"/>
      <c r="I955" s="16" t="str">
        <f t="shared" si="5"/>
        <v>collected</v>
      </c>
      <c r="J955" s="16" t="str">
        <f t="shared" si="6"/>
        <v>N</v>
      </c>
      <c r="K955" s="16"/>
      <c r="L955" s="16"/>
    </row>
    <row r="956">
      <c r="A956" s="40" t="s">
        <v>1377</v>
      </c>
      <c r="B956" s="10" t="str">
        <f t="shared" si="1"/>
        <v>extra_muscle</v>
      </c>
      <c r="C956" s="49" t="str">
        <f t="shared" si="2"/>
        <v>S17116XM1</v>
      </c>
      <c r="D956" s="6">
        <v>33.0</v>
      </c>
      <c r="E956" s="10" t="str">
        <f t="shared" si="3"/>
        <v>BXM33</v>
      </c>
      <c r="F956" s="13">
        <v>9.0</v>
      </c>
      <c r="G956" s="10" t="str">
        <f t="shared" si="7"/>
        <v>BXM33-9</v>
      </c>
      <c r="H956" s="16"/>
      <c r="I956" s="16" t="str">
        <f t="shared" si="5"/>
        <v>collected</v>
      </c>
      <c r="J956" s="16" t="str">
        <f t="shared" si="6"/>
        <v>N</v>
      </c>
      <c r="K956" s="16"/>
      <c r="L956" s="16"/>
    </row>
    <row r="957">
      <c r="A957" s="40" t="s">
        <v>1379</v>
      </c>
      <c r="B957" s="10" t="str">
        <f t="shared" si="1"/>
        <v>extra_muscle</v>
      </c>
      <c r="C957" s="49" t="str">
        <f t="shared" si="2"/>
        <v>S17115XM1</v>
      </c>
      <c r="D957" s="6">
        <v>33.0</v>
      </c>
      <c r="E957" s="10" t="str">
        <f t="shared" si="3"/>
        <v>BXM33</v>
      </c>
      <c r="F957" s="13">
        <v>10.0</v>
      </c>
      <c r="G957" s="10" t="str">
        <f t="shared" si="7"/>
        <v>BXM33-10</v>
      </c>
      <c r="H957" s="16"/>
      <c r="I957" s="16" t="str">
        <f t="shared" si="5"/>
        <v>collected</v>
      </c>
      <c r="J957" s="16" t="str">
        <f t="shared" si="6"/>
        <v>N</v>
      </c>
      <c r="K957" s="16"/>
      <c r="L957" s="16"/>
    </row>
    <row r="958">
      <c r="A958" s="40" t="s">
        <v>1380</v>
      </c>
      <c r="B958" s="10" t="str">
        <f t="shared" si="1"/>
        <v>extra_muscle</v>
      </c>
      <c r="C958" s="49" t="str">
        <f t="shared" si="2"/>
        <v>S17119XM1</v>
      </c>
      <c r="D958" s="6">
        <v>33.0</v>
      </c>
      <c r="E958" s="10" t="str">
        <f t="shared" si="3"/>
        <v>BXM33</v>
      </c>
      <c r="F958" s="13">
        <v>11.0</v>
      </c>
      <c r="G958" s="10" t="str">
        <f t="shared" si="7"/>
        <v>BXM33-11</v>
      </c>
      <c r="H958" s="16"/>
      <c r="I958" s="16" t="str">
        <f t="shared" si="5"/>
        <v>collected</v>
      </c>
      <c r="J958" s="16" t="str">
        <f t="shared" si="6"/>
        <v>N</v>
      </c>
      <c r="K958" s="16"/>
      <c r="L958" s="16"/>
    </row>
    <row r="959">
      <c r="A959" s="40" t="s">
        <v>1381</v>
      </c>
      <c r="B959" s="10" t="str">
        <f t="shared" si="1"/>
        <v>extra_muscle</v>
      </c>
      <c r="C959" s="49" t="str">
        <f t="shared" si="2"/>
        <v>S17117XM1</v>
      </c>
      <c r="D959" s="6">
        <v>33.0</v>
      </c>
      <c r="E959" s="10" t="str">
        <f t="shared" si="3"/>
        <v>BXM33</v>
      </c>
      <c r="F959" s="13">
        <v>12.0</v>
      </c>
      <c r="G959" s="10" t="str">
        <f t="shared" si="7"/>
        <v>BXM33-12</v>
      </c>
      <c r="H959" s="16"/>
      <c r="I959" s="16" t="str">
        <f t="shared" si="5"/>
        <v>collected</v>
      </c>
      <c r="J959" s="16" t="str">
        <f t="shared" si="6"/>
        <v>N</v>
      </c>
      <c r="K959" s="16"/>
      <c r="L959" s="16"/>
    </row>
    <row r="960">
      <c r="A960" s="40" t="s">
        <v>1382</v>
      </c>
      <c r="B960" s="10" t="str">
        <f t="shared" si="1"/>
        <v>extra_muscle</v>
      </c>
      <c r="C960" s="49" t="str">
        <f t="shared" si="2"/>
        <v>S17111XM1</v>
      </c>
      <c r="D960" s="6">
        <v>33.0</v>
      </c>
      <c r="E960" s="10" t="str">
        <f t="shared" si="3"/>
        <v>BXM33</v>
      </c>
      <c r="F960" s="13">
        <v>13.0</v>
      </c>
      <c r="G960" s="10" t="str">
        <f t="shared" si="7"/>
        <v>BXM33-13</v>
      </c>
      <c r="H960" s="16"/>
      <c r="I960" s="16" t="str">
        <f t="shared" si="5"/>
        <v>collected</v>
      </c>
      <c r="J960" s="16" t="str">
        <f t="shared" si="6"/>
        <v>N</v>
      </c>
      <c r="K960" s="16"/>
      <c r="L960" s="16"/>
    </row>
    <row r="961">
      <c r="A961" s="40" t="s">
        <v>1383</v>
      </c>
      <c r="B961" s="10" t="str">
        <f t="shared" si="1"/>
        <v>extra_muscle</v>
      </c>
      <c r="C961" s="49" t="str">
        <f t="shared" si="2"/>
        <v>S17113XM1</v>
      </c>
      <c r="D961" s="6">
        <v>33.0</v>
      </c>
      <c r="E961" s="10" t="str">
        <f t="shared" si="3"/>
        <v>BXM33</v>
      </c>
      <c r="F961" s="13">
        <v>14.0</v>
      </c>
      <c r="G961" s="10" t="str">
        <f t="shared" si="7"/>
        <v>BXM33-14</v>
      </c>
      <c r="H961" s="16"/>
      <c r="I961" s="16" t="str">
        <f t="shared" si="5"/>
        <v>collected</v>
      </c>
      <c r="J961" s="16" t="str">
        <f t="shared" si="6"/>
        <v>N</v>
      </c>
      <c r="K961" s="16"/>
      <c r="L961" s="16"/>
    </row>
    <row r="962">
      <c r="A962" s="40" t="s">
        <v>1385</v>
      </c>
      <c r="B962" s="10" t="str">
        <f t="shared" si="1"/>
        <v>extra_muscle</v>
      </c>
      <c r="C962" s="49" t="str">
        <f t="shared" si="2"/>
        <v>S17114XM1</v>
      </c>
      <c r="D962" s="6">
        <v>33.0</v>
      </c>
      <c r="E962" s="10" t="str">
        <f t="shared" si="3"/>
        <v>BXM33</v>
      </c>
      <c r="F962" s="13">
        <v>15.0</v>
      </c>
      <c r="G962" s="10" t="str">
        <f t="shared" si="7"/>
        <v>BXM33-15</v>
      </c>
      <c r="H962" s="16"/>
      <c r="I962" s="16" t="str">
        <f t="shared" si="5"/>
        <v>collected</v>
      </c>
      <c r="J962" s="16" t="str">
        <f t="shared" si="6"/>
        <v>N</v>
      </c>
      <c r="K962" s="16"/>
      <c r="L962" s="16"/>
    </row>
    <row r="963">
      <c r="A963" s="40" t="s">
        <v>1386</v>
      </c>
      <c r="B963" s="10" t="str">
        <f t="shared" si="1"/>
        <v>extra_muscle</v>
      </c>
      <c r="C963" s="49" t="str">
        <f t="shared" si="2"/>
        <v>S17120XM1</v>
      </c>
      <c r="D963" s="6">
        <v>33.0</v>
      </c>
      <c r="E963" s="10" t="str">
        <f t="shared" si="3"/>
        <v>BXM33</v>
      </c>
      <c r="F963" s="13">
        <v>16.0</v>
      </c>
      <c r="G963" s="10" t="str">
        <f t="shared" si="7"/>
        <v>BXM33-16</v>
      </c>
      <c r="H963" s="16"/>
      <c r="I963" s="16" t="str">
        <f t="shared" si="5"/>
        <v>collected</v>
      </c>
      <c r="J963" s="16" t="str">
        <f t="shared" si="6"/>
        <v>N</v>
      </c>
      <c r="K963" s="16"/>
      <c r="L963" s="16"/>
    </row>
    <row r="964">
      <c r="A964" s="40" t="s">
        <v>1387</v>
      </c>
      <c r="B964" s="10" t="str">
        <f t="shared" si="1"/>
        <v>extra_muscle</v>
      </c>
      <c r="C964" s="49" t="str">
        <f t="shared" si="2"/>
        <v>S17118XM1</v>
      </c>
      <c r="D964" s="6">
        <v>33.0</v>
      </c>
      <c r="E964" s="10" t="str">
        <f t="shared" si="3"/>
        <v>BXM33</v>
      </c>
      <c r="F964" s="13">
        <v>17.0</v>
      </c>
      <c r="G964" s="10" t="str">
        <f t="shared" si="7"/>
        <v>BXM33-17</v>
      </c>
      <c r="H964" s="16"/>
      <c r="I964" s="16" t="str">
        <f t="shared" si="5"/>
        <v>collected</v>
      </c>
      <c r="J964" s="16" t="str">
        <f t="shared" si="6"/>
        <v>N</v>
      </c>
      <c r="K964" s="16"/>
      <c r="L964" s="16"/>
    </row>
    <row r="965">
      <c r="A965" s="40" t="s">
        <v>1389</v>
      </c>
      <c r="B965" s="10" t="str">
        <f t="shared" si="1"/>
        <v>extra_muscle</v>
      </c>
      <c r="C965" s="49" t="str">
        <f t="shared" si="2"/>
        <v>S17112XM1</v>
      </c>
      <c r="D965" s="6">
        <v>33.0</v>
      </c>
      <c r="E965" s="10" t="str">
        <f t="shared" si="3"/>
        <v>BXM33</v>
      </c>
      <c r="F965" s="13">
        <v>18.0</v>
      </c>
      <c r="G965" s="10" t="str">
        <f t="shared" si="7"/>
        <v>BXM33-18</v>
      </c>
      <c r="H965" s="16"/>
      <c r="I965" s="16" t="str">
        <f t="shared" si="5"/>
        <v>collected</v>
      </c>
      <c r="J965" s="16" t="str">
        <f t="shared" si="6"/>
        <v>N</v>
      </c>
      <c r="K965" s="16"/>
      <c r="L965" s="16"/>
    </row>
    <row r="966">
      <c r="A966" s="27" t="s">
        <v>1390</v>
      </c>
      <c r="B966" s="10" t="str">
        <f t="shared" si="1"/>
        <v>extra_muscle</v>
      </c>
      <c r="C966" s="49" t="str">
        <f t="shared" si="2"/>
        <v>S17570XM1</v>
      </c>
      <c r="D966" s="6">
        <v>32.0</v>
      </c>
      <c r="E966" s="10" t="str">
        <f t="shared" si="3"/>
        <v>BXM32</v>
      </c>
      <c r="F966" s="13">
        <v>68.0</v>
      </c>
      <c r="G966" s="10" t="str">
        <f t="shared" si="7"/>
        <v>BXM32-68</v>
      </c>
      <c r="H966" s="16"/>
      <c r="I966" s="16" t="str">
        <f t="shared" si="5"/>
        <v>collected</v>
      </c>
      <c r="J966" s="16" t="str">
        <f t="shared" si="6"/>
        <v>N</v>
      </c>
      <c r="K966" s="16"/>
      <c r="L966" s="16"/>
    </row>
    <row r="967">
      <c r="A967" s="27" t="s">
        <v>1391</v>
      </c>
      <c r="B967" s="10" t="str">
        <f t="shared" si="1"/>
        <v>extra_muscle</v>
      </c>
      <c r="C967" s="49" t="str">
        <f t="shared" si="2"/>
        <v>S17631XM1</v>
      </c>
      <c r="D967" s="6">
        <v>32.0</v>
      </c>
      <c r="E967" s="10" t="str">
        <f t="shared" si="3"/>
        <v>BXM32</v>
      </c>
      <c r="F967" s="13">
        <v>69.0</v>
      </c>
      <c r="G967" s="10" t="str">
        <f t="shared" si="7"/>
        <v>BXM32-69</v>
      </c>
      <c r="H967" s="16"/>
      <c r="I967" s="16" t="str">
        <f t="shared" si="5"/>
        <v>collected</v>
      </c>
      <c r="J967" s="16" t="str">
        <f t="shared" si="6"/>
        <v>N</v>
      </c>
      <c r="K967" s="16"/>
      <c r="L967" s="16"/>
    </row>
    <row r="968">
      <c r="A968" s="27" t="s">
        <v>1392</v>
      </c>
      <c r="B968" s="10" t="str">
        <f t="shared" si="1"/>
        <v>extra_muscle</v>
      </c>
      <c r="C968" s="49" t="str">
        <f t="shared" si="2"/>
        <v>S17632XM1</v>
      </c>
      <c r="D968" s="6">
        <v>32.0</v>
      </c>
      <c r="E968" s="10" t="str">
        <f t="shared" si="3"/>
        <v>BXM32</v>
      </c>
      <c r="F968" s="13">
        <v>70.0</v>
      </c>
      <c r="G968" s="10" t="str">
        <f t="shared" si="7"/>
        <v>BXM32-70</v>
      </c>
      <c r="H968" s="16"/>
      <c r="I968" s="16" t="str">
        <f t="shared" si="5"/>
        <v>collected</v>
      </c>
      <c r="J968" s="16" t="str">
        <f t="shared" si="6"/>
        <v>N</v>
      </c>
      <c r="K968" s="16"/>
      <c r="L968" s="16"/>
    </row>
    <row r="969">
      <c r="A969" s="27" t="s">
        <v>1395</v>
      </c>
      <c r="B969" s="10" t="str">
        <f t="shared" si="1"/>
        <v>extra_muscle</v>
      </c>
      <c r="C969" s="49" t="str">
        <f t="shared" si="2"/>
        <v>S17633XM1</v>
      </c>
      <c r="D969" s="6">
        <v>32.0</v>
      </c>
      <c r="E969" s="10" t="str">
        <f t="shared" si="3"/>
        <v>BXM32</v>
      </c>
      <c r="F969" s="13">
        <v>71.0</v>
      </c>
      <c r="G969" s="10" t="str">
        <f t="shared" si="7"/>
        <v>BXM32-71</v>
      </c>
      <c r="H969" s="6" t="s">
        <v>2227</v>
      </c>
      <c r="I969" s="16" t="str">
        <f t="shared" si="5"/>
        <v>collected</v>
      </c>
      <c r="J969" s="16" t="str">
        <f t="shared" si="6"/>
        <v>N</v>
      </c>
      <c r="K969" s="16"/>
      <c r="L969" s="16"/>
    </row>
    <row r="970">
      <c r="A970" s="27" t="s">
        <v>1396</v>
      </c>
      <c r="B970" s="10" t="str">
        <f t="shared" si="1"/>
        <v>extra_muscle</v>
      </c>
      <c r="C970" s="49" t="str">
        <f t="shared" si="2"/>
        <v>S17634XM1</v>
      </c>
      <c r="D970" s="6">
        <v>32.0</v>
      </c>
      <c r="E970" s="10" t="str">
        <f t="shared" si="3"/>
        <v>BXM32</v>
      </c>
      <c r="F970" s="13">
        <v>72.0</v>
      </c>
      <c r="G970" s="10" t="str">
        <f t="shared" si="7"/>
        <v>BXM32-72</v>
      </c>
      <c r="H970" s="16"/>
      <c r="I970" s="16" t="str">
        <f t="shared" si="5"/>
        <v>collected</v>
      </c>
      <c r="J970" s="16" t="str">
        <f t="shared" si="6"/>
        <v>N</v>
      </c>
      <c r="K970" s="16"/>
      <c r="L970" s="16"/>
    </row>
    <row r="971">
      <c r="A971" s="27" t="s">
        <v>1397</v>
      </c>
      <c r="B971" s="10" t="str">
        <f t="shared" si="1"/>
        <v>extra_muscle</v>
      </c>
      <c r="C971" s="49" t="str">
        <f t="shared" si="2"/>
        <v>S17635XM1</v>
      </c>
      <c r="D971" s="6">
        <v>32.0</v>
      </c>
      <c r="E971" s="10" t="str">
        <f t="shared" si="3"/>
        <v>BXM32</v>
      </c>
      <c r="F971" s="13">
        <v>73.0</v>
      </c>
      <c r="G971" s="10" t="str">
        <f t="shared" si="7"/>
        <v>BXM32-73</v>
      </c>
      <c r="H971" s="16"/>
      <c r="I971" s="16" t="str">
        <f t="shared" si="5"/>
        <v>collected</v>
      </c>
      <c r="J971" s="16" t="str">
        <f t="shared" si="6"/>
        <v>N</v>
      </c>
      <c r="K971" s="16"/>
      <c r="L971" s="16"/>
    </row>
    <row r="972">
      <c r="A972" s="27" t="s">
        <v>1398</v>
      </c>
      <c r="B972" s="10" t="str">
        <f t="shared" si="1"/>
        <v>extra_muscle</v>
      </c>
      <c r="C972" s="49" t="str">
        <f t="shared" si="2"/>
        <v>S17636XM1</v>
      </c>
      <c r="D972" s="6">
        <v>32.0</v>
      </c>
      <c r="E972" s="10" t="str">
        <f t="shared" si="3"/>
        <v>BXM32</v>
      </c>
      <c r="F972" s="13">
        <v>74.0</v>
      </c>
      <c r="G972" s="10" t="str">
        <f t="shared" si="7"/>
        <v>BXM32-74</v>
      </c>
      <c r="H972" s="16"/>
      <c r="I972" s="16" t="str">
        <f t="shared" si="5"/>
        <v>collected</v>
      </c>
      <c r="J972" s="16" t="str">
        <f t="shared" si="6"/>
        <v>N</v>
      </c>
      <c r="K972" s="16"/>
      <c r="L972" s="16"/>
    </row>
    <row r="973">
      <c r="A973" s="27" t="s">
        <v>1399</v>
      </c>
      <c r="B973" s="10" t="str">
        <f t="shared" si="1"/>
        <v>extra_muscle</v>
      </c>
      <c r="C973" s="49" t="str">
        <f t="shared" si="2"/>
        <v>S17637XM1</v>
      </c>
      <c r="D973" s="6">
        <v>32.0</v>
      </c>
      <c r="E973" s="10" t="str">
        <f t="shared" si="3"/>
        <v>BXM32</v>
      </c>
      <c r="F973" s="13">
        <v>75.0</v>
      </c>
      <c r="G973" s="10" t="str">
        <f t="shared" si="7"/>
        <v>BXM32-75</v>
      </c>
      <c r="H973" s="16"/>
      <c r="I973" s="16" t="str">
        <f t="shared" si="5"/>
        <v>collected</v>
      </c>
      <c r="J973" s="16" t="str">
        <f t="shared" si="6"/>
        <v>N</v>
      </c>
      <c r="K973" s="16"/>
      <c r="L973" s="16"/>
    </row>
    <row r="974">
      <c r="A974" s="27" t="s">
        <v>1400</v>
      </c>
      <c r="B974" s="10" t="str">
        <f t="shared" si="1"/>
        <v>extra_muscle</v>
      </c>
      <c r="C974" s="49" t="str">
        <f t="shared" si="2"/>
        <v>S17638XM1</v>
      </c>
      <c r="D974" s="6">
        <v>32.0</v>
      </c>
      <c r="E974" s="10" t="str">
        <f t="shared" si="3"/>
        <v>BXM32</v>
      </c>
      <c r="F974" s="13">
        <v>76.0</v>
      </c>
      <c r="G974" s="10" t="str">
        <f t="shared" si="7"/>
        <v>BXM32-76</v>
      </c>
      <c r="H974" s="16"/>
      <c r="I974" s="16" t="str">
        <f t="shared" si="5"/>
        <v>collected</v>
      </c>
      <c r="J974" s="16" t="str">
        <f t="shared" si="6"/>
        <v>N</v>
      </c>
      <c r="K974" s="16"/>
      <c r="L974" s="16"/>
    </row>
    <row r="975">
      <c r="A975" s="27" t="s">
        <v>1401</v>
      </c>
      <c r="B975" s="10" t="str">
        <f t="shared" si="1"/>
        <v>extra_muscle</v>
      </c>
      <c r="C975" s="49" t="str">
        <f t="shared" si="2"/>
        <v>S17639XM1</v>
      </c>
      <c r="D975" s="6">
        <v>32.0</v>
      </c>
      <c r="E975" s="10" t="str">
        <f t="shared" si="3"/>
        <v>BXM32</v>
      </c>
      <c r="F975" s="13">
        <v>77.0</v>
      </c>
      <c r="G975" s="10" t="str">
        <f t="shared" si="7"/>
        <v>BXM32-77</v>
      </c>
      <c r="H975" s="16"/>
      <c r="I975" s="16" t="str">
        <f t="shared" si="5"/>
        <v>collected</v>
      </c>
      <c r="J975" s="16" t="str">
        <f t="shared" si="6"/>
        <v>N</v>
      </c>
      <c r="K975" s="16"/>
      <c r="L975" s="16"/>
    </row>
    <row r="976">
      <c r="A976" s="27" t="s">
        <v>1402</v>
      </c>
      <c r="B976" s="10" t="str">
        <f t="shared" si="1"/>
        <v>extra_muscle</v>
      </c>
      <c r="C976" s="49" t="str">
        <f t="shared" si="2"/>
        <v>S17640XM1</v>
      </c>
      <c r="D976" s="6">
        <v>32.0</v>
      </c>
      <c r="E976" s="10" t="str">
        <f t="shared" si="3"/>
        <v>BXM32</v>
      </c>
      <c r="F976" s="13">
        <v>78.0</v>
      </c>
      <c r="G976" s="10" t="str">
        <f t="shared" si="7"/>
        <v>BXM32-78</v>
      </c>
      <c r="H976" s="16"/>
      <c r="I976" s="16" t="str">
        <f t="shared" si="5"/>
        <v>collected</v>
      </c>
      <c r="J976" s="16" t="str">
        <f t="shared" si="6"/>
        <v>N</v>
      </c>
      <c r="K976" s="16"/>
      <c r="L976" s="16"/>
    </row>
    <row r="977">
      <c r="A977" s="26" t="s">
        <v>1403</v>
      </c>
      <c r="B977" s="10" t="str">
        <f t="shared" si="1"/>
        <v>extra_muscle</v>
      </c>
      <c r="C977" s="49" t="str">
        <f t="shared" si="2"/>
        <v>S17317XM1</v>
      </c>
      <c r="D977" s="6">
        <v>33.0</v>
      </c>
      <c r="E977" s="10" t="str">
        <f t="shared" si="3"/>
        <v>BXM33</v>
      </c>
      <c r="F977" s="13">
        <v>19.0</v>
      </c>
      <c r="G977" s="10" t="str">
        <f t="shared" si="7"/>
        <v>BXM33-19</v>
      </c>
      <c r="H977" s="16"/>
      <c r="I977" s="16" t="str">
        <f t="shared" si="5"/>
        <v>collected</v>
      </c>
      <c r="J977" s="16" t="str">
        <f t="shared" si="6"/>
        <v>N</v>
      </c>
      <c r="K977" s="16"/>
      <c r="L977" s="16"/>
    </row>
    <row r="978">
      <c r="A978" s="26" t="s">
        <v>1404</v>
      </c>
      <c r="B978" s="10" t="str">
        <f t="shared" si="1"/>
        <v>extra_muscle</v>
      </c>
      <c r="C978" s="49" t="str">
        <f t="shared" si="2"/>
        <v>S17315XM1</v>
      </c>
      <c r="D978" s="6">
        <v>33.0</v>
      </c>
      <c r="E978" s="10" t="str">
        <f t="shared" si="3"/>
        <v>BXM33</v>
      </c>
      <c r="F978" s="13">
        <v>20.0</v>
      </c>
      <c r="G978" s="10" t="str">
        <f t="shared" si="7"/>
        <v>BXM33-20</v>
      </c>
      <c r="H978" s="16"/>
      <c r="I978" s="16" t="str">
        <f t="shared" si="5"/>
        <v>collected</v>
      </c>
      <c r="J978" s="16" t="str">
        <f t="shared" si="6"/>
        <v>N</v>
      </c>
      <c r="K978" s="16"/>
      <c r="L978" s="16"/>
    </row>
    <row r="979">
      <c r="A979" s="26" t="s">
        <v>1405</v>
      </c>
      <c r="B979" s="10" t="str">
        <f t="shared" si="1"/>
        <v>extra_muscle</v>
      </c>
      <c r="C979" s="49" t="str">
        <f t="shared" si="2"/>
        <v>S17316XM1</v>
      </c>
      <c r="D979" s="6">
        <v>33.0</v>
      </c>
      <c r="E979" s="10" t="str">
        <f t="shared" si="3"/>
        <v>BXM33</v>
      </c>
      <c r="F979" s="13">
        <v>21.0</v>
      </c>
      <c r="G979" s="10" t="str">
        <f t="shared" si="7"/>
        <v>BXM33-21</v>
      </c>
      <c r="H979" s="16"/>
      <c r="I979" s="16" t="str">
        <f t="shared" si="5"/>
        <v>collected</v>
      </c>
      <c r="J979" s="16" t="str">
        <f t="shared" si="6"/>
        <v>N</v>
      </c>
      <c r="K979" s="16"/>
      <c r="L979" s="16"/>
    </row>
    <row r="980">
      <c r="A980" s="26" t="s">
        <v>1406</v>
      </c>
      <c r="B980" s="10" t="str">
        <f t="shared" si="1"/>
        <v>extra_muscle</v>
      </c>
      <c r="C980" s="49" t="str">
        <f t="shared" si="2"/>
        <v>S17319XM1</v>
      </c>
      <c r="D980" s="6">
        <v>33.0</v>
      </c>
      <c r="E980" s="10" t="str">
        <f t="shared" si="3"/>
        <v>BXM33</v>
      </c>
      <c r="F980" s="13">
        <v>22.0</v>
      </c>
      <c r="G980" s="10" t="str">
        <f t="shared" si="7"/>
        <v>BXM33-22</v>
      </c>
      <c r="H980" s="16"/>
      <c r="I980" s="16" t="str">
        <f t="shared" si="5"/>
        <v>collected</v>
      </c>
      <c r="J980" s="16" t="str">
        <f t="shared" si="6"/>
        <v>N</v>
      </c>
      <c r="K980" s="16"/>
      <c r="L980" s="16"/>
    </row>
    <row r="981">
      <c r="A981" s="26" t="s">
        <v>1407</v>
      </c>
      <c r="B981" s="10" t="str">
        <f t="shared" si="1"/>
        <v>extra_muscle</v>
      </c>
      <c r="C981" s="49" t="str">
        <f t="shared" si="2"/>
        <v>S17318XM1</v>
      </c>
      <c r="D981" s="6">
        <v>33.0</v>
      </c>
      <c r="E981" s="10" t="str">
        <f t="shared" si="3"/>
        <v>BXM33</v>
      </c>
      <c r="F981" s="13">
        <v>23.0</v>
      </c>
      <c r="G981" s="10" t="str">
        <f t="shared" si="7"/>
        <v>BXM33-23</v>
      </c>
      <c r="H981" s="16"/>
      <c r="I981" s="16" t="str">
        <f t="shared" si="5"/>
        <v>collected</v>
      </c>
      <c r="J981" s="16" t="str">
        <f t="shared" si="6"/>
        <v>N</v>
      </c>
      <c r="K981" s="16"/>
      <c r="L981" s="16"/>
    </row>
    <row r="982">
      <c r="A982" s="26" t="s">
        <v>1408</v>
      </c>
      <c r="B982" s="10" t="str">
        <f t="shared" si="1"/>
        <v>extra_muscle</v>
      </c>
      <c r="C982" s="49" t="str">
        <f t="shared" si="2"/>
        <v>S17311XM1</v>
      </c>
      <c r="D982" s="6">
        <v>33.0</v>
      </c>
      <c r="E982" s="10" t="str">
        <f t="shared" si="3"/>
        <v>BXM33</v>
      </c>
      <c r="F982" s="13">
        <v>24.0</v>
      </c>
      <c r="G982" s="10" t="str">
        <f t="shared" si="7"/>
        <v>BXM33-24</v>
      </c>
      <c r="H982" s="16"/>
      <c r="I982" s="16" t="str">
        <f t="shared" si="5"/>
        <v>collected</v>
      </c>
      <c r="J982" s="16" t="str">
        <f t="shared" si="6"/>
        <v>N</v>
      </c>
      <c r="K982" s="16"/>
      <c r="L982" s="16"/>
    </row>
    <row r="983">
      <c r="A983" s="26" t="s">
        <v>1409</v>
      </c>
      <c r="B983" s="10" t="str">
        <f t="shared" si="1"/>
        <v>extra_muscle</v>
      </c>
      <c r="C983" s="49" t="str">
        <f t="shared" si="2"/>
        <v>S17312XM1</v>
      </c>
      <c r="D983" s="6">
        <v>33.0</v>
      </c>
      <c r="E983" s="10" t="str">
        <f t="shared" si="3"/>
        <v>BXM33</v>
      </c>
      <c r="F983" s="13">
        <v>25.0</v>
      </c>
      <c r="G983" s="10" t="str">
        <f t="shared" si="7"/>
        <v>BXM33-25</v>
      </c>
      <c r="H983" s="16"/>
      <c r="I983" s="16" t="str">
        <f t="shared" si="5"/>
        <v>collected</v>
      </c>
      <c r="J983" s="16" t="str">
        <f t="shared" si="6"/>
        <v>N</v>
      </c>
      <c r="K983" s="16"/>
      <c r="L983" s="16"/>
    </row>
    <row r="984">
      <c r="A984" s="26" t="s">
        <v>1411</v>
      </c>
      <c r="B984" s="10" t="str">
        <f t="shared" si="1"/>
        <v>extra_muscle</v>
      </c>
      <c r="C984" s="49" t="str">
        <f t="shared" si="2"/>
        <v>S17313XM1</v>
      </c>
      <c r="D984" s="6">
        <v>33.0</v>
      </c>
      <c r="E984" s="10" t="str">
        <f t="shared" si="3"/>
        <v>BXM33</v>
      </c>
      <c r="F984" s="13">
        <v>26.0</v>
      </c>
      <c r="G984" s="10" t="str">
        <f t="shared" si="7"/>
        <v>BXM33-26</v>
      </c>
      <c r="H984" s="16"/>
      <c r="I984" s="16" t="str">
        <f t="shared" si="5"/>
        <v>collected</v>
      </c>
      <c r="J984" s="16" t="str">
        <f t="shared" si="6"/>
        <v>N</v>
      </c>
      <c r="K984" s="16"/>
      <c r="L984" s="16"/>
    </row>
    <row r="985">
      <c r="A985" s="26" t="s">
        <v>1412</v>
      </c>
      <c r="B985" s="10" t="str">
        <f t="shared" si="1"/>
        <v>extra_muscle</v>
      </c>
      <c r="C985" s="49" t="str">
        <f t="shared" si="2"/>
        <v>S17320XM1</v>
      </c>
      <c r="D985" s="6">
        <v>33.0</v>
      </c>
      <c r="E985" s="10" t="str">
        <f t="shared" si="3"/>
        <v>BXM33</v>
      </c>
      <c r="F985" s="13">
        <v>27.0</v>
      </c>
      <c r="G985" s="10" t="str">
        <f t="shared" si="7"/>
        <v>BXM33-27</v>
      </c>
      <c r="H985" s="16"/>
      <c r="I985" s="16" t="str">
        <f t="shared" si="5"/>
        <v>collected</v>
      </c>
      <c r="J985" s="16" t="str">
        <f t="shared" si="6"/>
        <v>N</v>
      </c>
      <c r="K985" s="16"/>
      <c r="L985" s="16"/>
    </row>
    <row r="986">
      <c r="A986" s="26" t="s">
        <v>1413</v>
      </c>
      <c r="B986" s="10" t="str">
        <f t="shared" si="1"/>
        <v>extra_muscle</v>
      </c>
      <c r="C986" s="49" t="str">
        <f t="shared" si="2"/>
        <v>S17314XM1</v>
      </c>
      <c r="D986" s="6">
        <v>33.0</v>
      </c>
      <c r="E986" s="10" t="str">
        <f t="shared" si="3"/>
        <v>BXM33</v>
      </c>
      <c r="F986" s="13">
        <v>28.0</v>
      </c>
      <c r="G986" s="10" t="str">
        <f t="shared" si="7"/>
        <v>BXM33-28</v>
      </c>
      <c r="H986" s="16"/>
      <c r="I986" s="16" t="str">
        <f t="shared" si="5"/>
        <v>collected</v>
      </c>
      <c r="J986" s="16" t="str">
        <f t="shared" si="6"/>
        <v>N</v>
      </c>
      <c r="K986" s="16"/>
      <c r="L986" s="16"/>
    </row>
    <row r="987">
      <c r="A987" s="26" t="s">
        <v>1414</v>
      </c>
      <c r="B987" s="10" t="str">
        <f t="shared" si="1"/>
        <v>extra_muscle</v>
      </c>
      <c r="C987" s="49" t="str">
        <f t="shared" si="2"/>
        <v>S16117XM1</v>
      </c>
      <c r="D987" s="6">
        <v>33.0</v>
      </c>
      <c r="E987" s="10" t="str">
        <f t="shared" si="3"/>
        <v>BXM33</v>
      </c>
      <c r="F987" s="13">
        <v>29.0</v>
      </c>
      <c r="G987" s="10" t="str">
        <f t="shared" si="7"/>
        <v>BXM33-29</v>
      </c>
      <c r="H987" s="16"/>
      <c r="I987" s="16" t="str">
        <f t="shared" si="5"/>
        <v>collected</v>
      </c>
      <c r="J987" s="16" t="str">
        <f t="shared" si="6"/>
        <v>N</v>
      </c>
      <c r="K987" s="16"/>
      <c r="L987" s="16"/>
    </row>
    <row r="988">
      <c r="A988" s="26" t="s">
        <v>1415</v>
      </c>
      <c r="B988" s="10" t="str">
        <f t="shared" si="1"/>
        <v>extra_muscle</v>
      </c>
      <c r="C988" s="49" t="str">
        <f t="shared" si="2"/>
        <v>S16114XM1</v>
      </c>
      <c r="D988" s="6">
        <v>33.0</v>
      </c>
      <c r="E988" s="10" t="str">
        <f t="shared" si="3"/>
        <v>BXM33</v>
      </c>
      <c r="F988" s="13">
        <v>30.0</v>
      </c>
      <c r="G988" s="10" t="str">
        <f t="shared" si="7"/>
        <v>BXM33-30</v>
      </c>
      <c r="H988" s="16"/>
      <c r="I988" s="16" t="str">
        <f t="shared" si="5"/>
        <v>collected</v>
      </c>
      <c r="J988" s="16" t="str">
        <f t="shared" si="6"/>
        <v>N</v>
      </c>
      <c r="K988" s="16"/>
      <c r="L988" s="16"/>
    </row>
    <row r="989">
      <c r="A989" s="26" t="s">
        <v>1416</v>
      </c>
      <c r="B989" s="10" t="str">
        <f t="shared" si="1"/>
        <v>extra_muscle</v>
      </c>
      <c r="C989" s="49" t="str">
        <f t="shared" si="2"/>
        <v>S16115XM1</v>
      </c>
      <c r="D989" s="6">
        <v>33.0</v>
      </c>
      <c r="E989" s="10" t="str">
        <f t="shared" si="3"/>
        <v>BXM33</v>
      </c>
      <c r="F989" s="13">
        <v>31.0</v>
      </c>
      <c r="G989" s="10" t="str">
        <f t="shared" si="7"/>
        <v>BXM33-31</v>
      </c>
      <c r="H989" s="16"/>
      <c r="I989" s="16" t="str">
        <f t="shared" si="5"/>
        <v>collected</v>
      </c>
      <c r="J989" s="16" t="str">
        <f t="shared" si="6"/>
        <v>N</v>
      </c>
      <c r="K989" s="16"/>
      <c r="L989" s="16"/>
    </row>
    <row r="990">
      <c r="A990" s="26" t="s">
        <v>1417</v>
      </c>
      <c r="B990" s="10" t="str">
        <f t="shared" si="1"/>
        <v>extra_muscle</v>
      </c>
      <c r="C990" s="49" t="str">
        <f t="shared" si="2"/>
        <v>S16116XM1</v>
      </c>
      <c r="D990" s="6">
        <v>33.0</v>
      </c>
      <c r="E990" s="10" t="str">
        <f t="shared" si="3"/>
        <v>BXM33</v>
      </c>
      <c r="F990" s="13">
        <v>32.0</v>
      </c>
      <c r="G990" s="10" t="str">
        <f t="shared" si="7"/>
        <v>BXM33-32</v>
      </c>
      <c r="H990" s="16"/>
      <c r="I990" s="16" t="str">
        <f t="shared" si="5"/>
        <v>collected</v>
      </c>
      <c r="J990" s="16" t="str">
        <f t="shared" si="6"/>
        <v>N</v>
      </c>
      <c r="K990" s="16"/>
      <c r="L990" s="16"/>
    </row>
    <row r="991">
      <c r="A991" s="26" t="s">
        <v>1418</v>
      </c>
      <c r="B991" s="10" t="str">
        <f t="shared" si="1"/>
        <v>extra_muscle</v>
      </c>
      <c r="C991" s="49" t="str">
        <f t="shared" si="2"/>
        <v>S16118XM1</v>
      </c>
      <c r="D991" s="6">
        <v>33.0</v>
      </c>
      <c r="E991" s="10" t="str">
        <f t="shared" si="3"/>
        <v>BXM33</v>
      </c>
      <c r="F991" s="13">
        <v>33.0</v>
      </c>
      <c r="G991" s="10" t="str">
        <f t="shared" si="7"/>
        <v>BXM33-33</v>
      </c>
      <c r="H991" s="16"/>
      <c r="I991" s="16" t="str">
        <f t="shared" si="5"/>
        <v>collected</v>
      </c>
      <c r="J991" s="16" t="str">
        <f t="shared" si="6"/>
        <v>N</v>
      </c>
      <c r="K991" s="16"/>
      <c r="L991" s="16"/>
    </row>
    <row r="992">
      <c r="A992" s="26" t="s">
        <v>1420</v>
      </c>
      <c r="B992" s="10" t="str">
        <f t="shared" si="1"/>
        <v>extra_muscle</v>
      </c>
      <c r="C992" s="49" t="str">
        <f t="shared" si="2"/>
        <v>S16112XM1</v>
      </c>
      <c r="D992" s="6">
        <v>33.0</v>
      </c>
      <c r="E992" s="10" t="str">
        <f t="shared" si="3"/>
        <v>BXM33</v>
      </c>
      <c r="F992" s="13">
        <v>34.0</v>
      </c>
      <c r="G992" s="10" t="str">
        <f t="shared" si="7"/>
        <v>BXM33-34</v>
      </c>
      <c r="H992" s="16"/>
      <c r="I992" s="16" t="str">
        <f t="shared" si="5"/>
        <v>collected</v>
      </c>
      <c r="J992" s="16" t="str">
        <f t="shared" si="6"/>
        <v>N</v>
      </c>
      <c r="K992" s="16"/>
      <c r="L992" s="16"/>
    </row>
    <row r="993">
      <c r="A993" s="40" t="s">
        <v>1421</v>
      </c>
      <c r="B993" s="10" t="str">
        <f t="shared" si="1"/>
        <v>extra_muscle</v>
      </c>
      <c r="C993" s="49" t="str">
        <f t="shared" si="2"/>
        <v>S16113XM1</v>
      </c>
      <c r="D993" s="6">
        <v>33.0</v>
      </c>
      <c r="E993" s="10" t="str">
        <f t="shared" si="3"/>
        <v>BXM33</v>
      </c>
      <c r="F993" s="13">
        <v>35.0</v>
      </c>
      <c r="G993" s="10" t="str">
        <f t="shared" si="7"/>
        <v>BXM33-35</v>
      </c>
      <c r="H993" s="16"/>
      <c r="I993" s="16" t="str">
        <f t="shared" si="5"/>
        <v>collected</v>
      </c>
      <c r="J993" s="16" t="str">
        <f t="shared" si="6"/>
        <v>N</v>
      </c>
      <c r="K993" s="16"/>
      <c r="L993" s="16"/>
    </row>
    <row r="994">
      <c r="A994" s="40" t="s">
        <v>1422</v>
      </c>
      <c r="B994" s="10" t="str">
        <f t="shared" si="1"/>
        <v>extra_muscle</v>
      </c>
      <c r="C994" s="49" t="str">
        <f t="shared" si="2"/>
        <v>S16111XM1</v>
      </c>
      <c r="D994" s="6">
        <v>33.0</v>
      </c>
      <c r="E994" s="10" t="str">
        <f t="shared" si="3"/>
        <v>BXM33</v>
      </c>
      <c r="F994" s="13">
        <v>36.0</v>
      </c>
      <c r="G994" s="10" t="str">
        <f t="shared" si="7"/>
        <v>BXM33-36</v>
      </c>
      <c r="H994" s="16"/>
      <c r="I994" s="16" t="str">
        <f t="shared" si="5"/>
        <v>collected</v>
      </c>
      <c r="J994" s="16" t="str">
        <f t="shared" si="6"/>
        <v>N</v>
      </c>
      <c r="K994" s="16"/>
      <c r="L994" s="16"/>
    </row>
    <row r="995">
      <c r="A995" s="40" t="s">
        <v>1423</v>
      </c>
      <c r="B995" s="10" t="str">
        <f t="shared" si="1"/>
        <v>extra_muscle</v>
      </c>
      <c r="C995" s="49" t="str">
        <f t="shared" si="2"/>
        <v>S16602XM1</v>
      </c>
      <c r="D995" s="6">
        <v>33.0</v>
      </c>
      <c r="E995" s="10" t="str">
        <f t="shared" si="3"/>
        <v>BXM33</v>
      </c>
      <c r="F995" s="13">
        <v>37.0</v>
      </c>
      <c r="G995" s="10" t="str">
        <f t="shared" si="7"/>
        <v>BXM33-37</v>
      </c>
      <c r="H995" s="16"/>
      <c r="I995" s="16" t="str">
        <f t="shared" si="5"/>
        <v>collected</v>
      </c>
      <c r="J995" s="16" t="str">
        <f t="shared" si="6"/>
        <v>N</v>
      </c>
      <c r="K995" s="16"/>
      <c r="L995" s="16"/>
    </row>
    <row r="996">
      <c r="A996" s="40" t="s">
        <v>1424</v>
      </c>
      <c r="B996" s="10" t="str">
        <f t="shared" si="1"/>
        <v>extra_muscle</v>
      </c>
      <c r="C996" s="49" t="str">
        <f t="shared" si="2"/>
        <v>S16610XM1</v>
      </c>
      <c r="D996" s="6">
        <v>33.0</v>
      </c>
      <c r="E996" s="10" t="str">
        <f t="shared" si="3"/>
        <v>BXM33</v>
      </c>
      <c r="F996" s="13">
        <v>38.0</v>
      </c>
      <c r="G996" s="10" t="str">
        <f t="shared" si="7"/>
        <v>BXM33-38</v>
      </c>
      <c r="H996" s="16"/>
      <c r="I996" s="16" t="str">
        <f t="shared" si="5"/>
        <v>collected</v>
      </c>
      <c r="J996" s="16" t="str">
        <f t="shared" si="6"/>
        <v>N</v>
      </c>
      <c r="K996" s="16"/>
      <c r="L996" s="16"/>
    </row>
    <row r="997">
      <c r="A997" s="40" t="s">
        <v>1425</v>
      </c>
      <c r="B997" s="10" t="str">
        <f t="shared" si="1"/>
        <v>extra_muscle</v>
      </c>
      <c r="C997" s="49" t="str">
        <f t="shared" si="2"/>
        <v>S16608XM1</v>
      </c>
      <c r="D997" s="6">
        <v>33.0</v>
      </c>
      <c r="E997" s="10" t="str">
        <f t="shared" si="3"/>
        <v>BXM33</v>
      </c>
      <c r="F997" s="13">
        <v>39.0</v>
      </c>
      <c r="G997" s="10" t="str">
        <f t="shared" si="7"/>
        <v>BXM33-39</v>
      </c>
      <c r="H997" s="16"/>
      <c r="I997" s="16" t="str">
        <f t="shared" si="5"/>
        <v>collected</v>
      </c>
      <c r="J997" s="16" t="str">
        <f t="shared" si="6"/>
        <v>N</v>
      </c>
      <c r="K997" s="16"/>
      <c r="L997" s="16"/>
    </row>
    <row r="998">
      <c r="A998" s="40" t="s">
        <v>1426</v>
      </c>
      <c r="B998" s="10" t="str">
        <f t="shared" si="1"/>
        <v>extra_muscle</v>
      </c>
      <c r="C998" s="49" t="str">
        <f t="shared" si="2"/>
        <v>S16601XM1</v>
      </c>
      <c r="D998" s="6">
        <v>33.0</v>
      </c>
      <c r="E998" s="10" t="str">
        <f t="shared" si="3"/>
        <v>BXM33</v>
      </c>
      <c r="F998" s="13">
        <v>40.0</v>
      </c>
      <c r="G998" s="10" t="str">
        <f t="shared" si="7"/>
        <v>BXM33-40</v>
      </c>
      <c r="H998" s="16"/>
      <c r="I998" s="16" t="str">
        <f t="shared" si="5"/>
        <v>collected</v>
      </c>
      <c r="J998" s="16" t="str">
        <f t="shared" si="6"/>
        <v>N</v>
      </c>
      <c r="K998" s="16"/>
      <c r="L998" s="16"/>
    </row>
    <row r="999">
      <c r="A999" s="40" t="s">
        <v>1429</v>
      </c>
      <c r="B999" s="10" t="str">
        <f t="shared" si="1"/>
        <v>extra_muscle</v>
      </c>
      <c r="C999" s="49" t="str">
        <f t="shared" si="2"/>
        <v>S16605XM1</v>
      </c>
      <c r="D999" s="6">
        <v>33.0</v>
      </c>
      <c r="E999" s="10" t="str">
        <f t="shared" si="3"/>
        <v>BXM33</v>
      </c>
      <c r="F999" s="13">
        <v>41.0</v>
      </c>
      <c r="G999" s="10" t="str">
        <f t="shared" si="7"/>
        <v>BXM33-41</v>
      </c>
      <c r="H999" s="16"/>
      <c r="I999" s="16" t="str">
        <f t="shared" si="5"/>
        <v>collected</v>
      </c>
      <c r="J999" s="16" t="str">
        <f t="shared" si="6"/>
        <v>N</v>
      </c>
      <c r="K999" s="16"/>
      <c r="L999" s="16"/>
    </row>
    <row r="1000">
      <c r="A1000" s="40" t="s">
        <v>1430</v>
      </c>
      <c r="B1000" s="10" t="str">
        <f t="shared" si="1"/>
        <v>extra_muscle</v>
      </c>
      <c r="C1000" s="49" t="str">
        <f t="shared" si="2"/>
        <v>S16604XM1</v>
      </c>
      <c r="D1000" s="6">
        <v>33.0</v>
      </c>
      <c r="E1000" s="10" t="str">
        <f t="shared" si="3"/>
        <v>BXM33</v>
      </c>
      <c r="F1000" s="13">
        <v>42.0</v>
      </c>
      <c r="G1000" s="10" t="str">
        <f t="shared" si="7"/>
        <v>BXM33-42</v>
      </c>
      <c r="H1000" s="16"/>
      <c r="I1000" s="16" t="str">
        <f t="shared" si="5"/>
        <v>collected</v>
      </c>
      <c r="J1000" s="16" t="str">
        <f t="shared" si="6"/>
        <v>N</v>
      </c>
      <c r="K1000" s="16"/>
      <c r="L1000" s="16"/>
    </row>
    <row r="1001">
      <c r="A1001" s="40" t="s">
        <v>1431</v>
      </c>
      <c r="B1001" s="10" t="str">
        <f t="shared" si="1"/>
        <v>extra_muscle</v>
      </c>
      <c r="C1001" s="49" t="str">
        <f t="shared" si="2"/>
        <v>S16606XM1</v>
      </c>
      <c r="D1001" s="6">
        <v>33.0</v>
      </c>
      <c r="E1001" s="10" t="str">
        <f t="shared" si="3"/>
        <v>BXM33</v>
      </c>
      <c r="F1001" s="13">
        <v>43.0</v>
      </c>
      <c r="G1001" s="10" t="str">
        <f t="shared" si="7"/>
        <v>BXM33-43</v>
      </c>
      <c r="H1001" s="16"/>
      <c r="I1001" s="16" t="str">
        <f t="shared" si="5"/>
        <v>collected</v>
      </c>
      <c r="J1001" s="16" t="str">
        <f t="shared" si="6"/>
        <v>N</v>
      </c>
      <c r="K1001" s="16"/>
      <c r="L1001" s="16"/>
    </row>
    <row r="1002">
      <c r="A1002" s="40" t="s">
        <v>1432</v>
      </c>
      <c r="B1002" s="10" t="str">
        <f t="shared" si="1"/>
        <v>extra_muscle</v>
      </c>
      <c r="C1002" s="49" t="str">
        <f t="shared" si="2"/>
        <v>S16603XM1</v>
      </c>
      <c r="D1002" s="6">
        <v>33.0</v>
      </c>
      <c r="E1002" s="10" t="str">
        <f t="shared" si="3"/>
        <v>BXM33</v>
      </c>
      <c r="F1002" s="13">
        <v>44.0</v>
      </c>
      <c r="G1002" s="10" t="str">
        <f t="shared" si="7"/>
        <v>BXM33-44</v>
      </c>
      <c r="H1002" s="16"/>
      <c r="I1002" s="16" t="str">
        <f t="shared" si="5"/>
        <v>collected</v>
      </c>
      <c r="J1002" s="16" t="str">
        <f t="shared" si="6"/>
        <v>N</v>
      </c>
      <c r="K1002" s="16"/>
      <c r="L1002" s="16"/>
    </row>
    <row r="1003">
      <c r="A1003" s="40" t="s">
        <v>1433</v>
      </c>
      <c r="B1003" s="10" t="str">
        <f t="shared" si="1"/>
        <v>extra_muscle</v>
      </c>
      <c r="C1003" s="49" t="str">
        <f t="shared" si="2"/>
        <v>S16609XM1</v>
      </c>
      <c r="D1003" s="6">
        <v>33.0</v>
      </c>
      <c r="E1003" s="10" t="str">
        <f t="shared" si="3"/>
        <v>BXM33</v>
      </c>
      <c r="F1003" s="13">
        <v>45.0</v>
      </c>
      <c r="G1003" s="10" t="str">
        <f t="shared" si="7"/>
        <v>BXM33-45</v>
      </c>
      <c r="H1003" s="16"/>
      <c r="I1003" s="16" t="str">
        <f t="shared" si="5"/>
        <v>collected</v>
      </c>
      <c r="J1003" s="16" t="str">
        <f t="shared" si="6"/>
        <v>N</v>
      </c>
      <c r="K1003" s="16"/>
      <c r="L1003" s="16"/>
    </row>
    <row r="1004">
      <c r="A1004" s="40" t="s">
        <v>1435</v>
      </c>
      <c r="B1004" s="10" t="str">
        <f t="shared" si="1"/>
        <v>extra_muscle</v>
      </c>
      <c r="C1004" s="49" t="str">
        <f t="shared" si="2"/>
        <v>S16607XM1</v>
      </c>
      <c r="D1004" s="6">
        <v>33.0</v>
      </c>
      <c r="E1004" s="10" t="str">
        <f t="shared" si="3"/>
        <v>BXM33</v>
      </c>
      <c r="F1004" s="13">
        <v>46.0</v>
      </c>
      <c r="G1004" s="10" t="str">
        <f t="shared" si="7"/>
        <v>BXM33-46</v>
      </c>
      <c r="H1004" s="16"/>
      <c r="I1004" s="16" t="str">
        <f t="shared" si="5"/>
        <v>collected</v>
      </c>
      <c r="J1004" s="16" t="str">
        <f t="shared" si="6"/>
        <v>N</v>
      </c>
      <c r="K1004" s="16"/>
      <c r="L1004" s="16"/>
    </row>
    <row r="1005">
      <c r="A1005" s="40" t="s">
        <v>1436</v>
      </c>
      <c r="B1005" s="10" t="str">
        <f t="shared" si="1"/>
        <v>extra_muscle</v>
      </c>
      <c r="C1005" s="49" t="str">
        <f t="shared" si="2"/>
        <v>S16981XM1</v>
      </c>
      <c r="D1005" s="6">
        <v>33.0</v>
      </c>
      <c r="E1005" s="10" t="str">
        <f t="shared" si="3"/>
        <v>BXM33</v>
      </c>
      <c r="F1005" s="13">
        <v>47.0</v>
      </c>
      <c r="G1005" s="10" t="str">
        <f t="shared" si="7"/>
        <v>BXM33-47</v>
      </c>
      <c r="H1005" s="16"/>
      <c r="I1005" s="16" t="str">
        <f t="shared" si="5"/>
        <v>collected</v>
      </c>
      <c r="J1005" s="16" t="str">
        <f t="shared" si="6"/>
        <v>N</v>
      </c>
      <c r="K1005" s="16"/>
      <c r="L1005" s="16"/>
    </row>
    <row r="1006">
      <c r="A1006" s="40" t="s">
        <v>1438</v>
      </c>
      <c r="B1006" s="10" t="str">
        <f t="shared" si="1"/>
        <v>extra_muscle</v>
      </c>
      <c r="C1006" s="49" t="str">
        <f t="shared" si="2"/>
        <v>S16982XM1</v>
      </c>
      <c r="D1006" s="6">
        <v>33.0</v>
      </c>
      <c r="E1006" s="10" t="str">
        <f t="shared" si="3"/>
        <v>BXM33</v>
      </c>
      <c r="F1006" s="13">
        <v>48.0</v>
      </c>
      <c r="G1006" s="10" t="str">
        <f t="shared" si="7"/>
        <v>BXM33-48</v>
      </c>
      <c r="H1006" s="16"/>
      <c r="I1006" s="16" t="str">
        <f t="shared" si="5"/>
        <v>collected</v>
      </c>
      <c r="J1006" s="16" t="str">
        <f t="shared" si="6"/>
        <v>N</v>
      </c>
      <c r="K1006" s="16"/>
      <c r="L1006" s="16"/>
    </row>
    <row r="1007">
      <c r="A1007" s="40" t="s">
        <v>1439</v>
      </c>
      <c r="B1007" s="10" t="str">
        <f t="shared" si="1"/>
        <v>extra_muscle</v>
      </c>
      <c r="C1007" s="49" t="str">
        <f t="shared" si="2"/>
        <v>S16983XM1</v>
      </c>
      <c r="D1007" s="6">
        <v>33.0</v>
      </c>
      <c r="E1007" s="10" t="str">
        <f t="shared" si="3"/>
        <v>BXM33</v>
      </c>
      <c r="F1007" s="13">
        <v>49.0</v>
      </c>
      <c r="G1007" s="10" t="str">
        <f t="shared" si="7"/>
        <v>BXM33-49</v>
      </c>
      <c r="H1007" s="16"/>
      <c r="I1007" s="16" t="str">
        <f t="shared" si="5"/>
        <v>collected</v>
      </c>
      <c r="J1007" s="16" t="str">
        <f t="shared" si="6"/>
        <v>N</v>
      </c>
      <c r="K1007" s="16"/>
      <c r="L1007" s="16"/>
    </row>
    <row r="1008">
      <c r="A1008" s="40" t="s">
        <v>1440</v>
      </c>
      <c r="B1008" s="10" t="str">
        <f t="shared" si="1"/>
        <v>extra_muscle</v>
      </c>
      <c r="C1008" s="49" t="str">
        <f t="shared" si="2"/>
        <v>S16984XM1</v>
      </c>
      <c r="D1008" s="6">
        <v>33.0</v>
      </c>
      <c r="E1008" s="10" t="str">
        <f t="shared" si="3"/>
        <v>BXM33</v>
      </c>
      <c r="F1008" s="13">
        <v>50.0</v>
      </c>
      <c r="G1008" s="10" t="str">
        <f t="shared" si="7"/>
        <v>BXM33-50</v>
      </c>
      <c r="H1008" s="16"/>
      <c r="I1008" s="16" t="str">
        <f t="shared" si="5"/>
        <v>collected</v>
      </c>
      <c r="J1008" s="16" t="str">
        <f t="shared" si="6"/>
        <v>N</v>
      </c>
      <c r="K1008" s="16"/>
      <c r="L1008" s="16"/>
    </row>
    <row r="1009">
      <c r="A1009" s="40" t="s">
        <v>1441</v>
      </c>
      <c r="B1009" s="10" t="str">
        <f t="shared" si="1"/>
        <v>extra_muscle</v>
      </c>
      <c r="C1009" s="49" t="str">
        <f t="shared" si="2"/>
        <v>S16989XM1</v>
      </c>
      <c r="D1009" s="6">
        <v>33.0</v>
      </c>
      <c r="E1009" s="10" t="str">
        <f t="shared" si="3"/>
        <v>BXM33</v>
      </c>
      <c r="F1009" s="13">
        <v>51.0</v>
      </c>
      <c r="G1009" s="10" t="str">
        <f t="shared" si="7"/>
        <v>BXM33-51</v>
      </c>
      <c r="H1009" s="16"/>
      <c r="I1009" s="16" t="str">
        <f t="shared" si="5"/>
        <v>collected</v>
      </c>
      <c r="J1009" s="16" t="str">
        <f t="shared" si="6"/>
        <v>N</v>
      </c>
      <c r="K1009" s="16"/>
      <c r="L1009" s="16"/>
    </row>
    <row r="1010">
      <c r="A1010" s="40" t="s">
        <v>1443</v>
      </c>
      <c r="B1010" s="10" t="str">
        <f t="shared" si="1"/>
        <v>extra_muscle</v>
      </c>
      <c r="C1010" s="49" t="str">
        <f t="shared" si="2"/>
        <v>S16987XM1</v>
      </c>
      <c r="D1010" s="6">
        <v>33.0</v>
      </c>
      <c r="E1010" s="10" t="str">
        <f t="shared" si="3"/>
        <v>BXM33</v>
      </c>
      <c r="F1010" s="13">
        <v>52.0</v>
      </c>
      <c r="G1010" s="10" t="str">
        <f t="shared" si="7"/>
        <v>BXM33-52</v>
      </c>
      <c r="H1010" s="16"/>
      <c r="I1010" s="16" t="str">
        <f t="shared" si="5"/>
        <v>collected</v>
      </c>
      <c r="J1010" s="16" t="str">
        <f t="shared" si="6"/>
        <v>N</v>
      </c>
      <c r="K1010" s="16"/>
      <c r="L1010" s="16"/>
    </row>
    <row r="1011">
      <c r="A1011" s="40" t="s">
        <v>1444</v>
      </c>
      <c r="B1011" s="10" t="str">
        <f t="shared" si="1"/>
        <v>extra_muscle</v>
      </c>
      <c r="C1011" s="49" t="str">
        <f t="shared" si="2"/>
        <v>S16986XM1</v>
      </c>
      <c r="D1011" s="6">
        <v>33.0</v>
      </c>
      <c r="E1011" s="10" t="str">
        <f t="shared" si="3"/>
        <v>BXM33</v>
      </c>
      <c r="F1011" s="13">
        <v>53.0</v>
      </c>
      <c r="G1011" s="10" t="str">
        <f t="shared" si="7"/>
        <v>BXM33-53</v>
      </c>
      <c r="H1011" s="16"/>
      <c r="I1011" s="16" t="str">
        <f t="shared" si="5"/>
        <v>collected</v>
      </c>
      <c r="J1011" s="16" t="str">
        <f t="shared" si="6"/>
        <v>N</v>
      </c>
      <c r="K1011" s="16"/>
      <c r="L1011" s="16"/>
    </row>
    <row r="1012">
      <c r="A1012" s="40" t="s">
        <v>1446</v>
      </c>
      <c r="B1012" s="10" t="str">
        <f t="shared" si="1"/>
        <v>extra_muscle</v>
      </c>
      <c r="C1012" s="49" t="str">
        <f t="shared" si="2"/>
        <v>S16990XM1</v>
      </c>
      <c r="D1012" s="6">
        <v>33.0</v>
      </c>
      <c r="E1012" s="10" t="str">
        <f t="shared" si="3"/>
        <v>BXM33</v>
      </c>
      <c r="F1012" s="13">
        <v>54.0</v>
      </c>
      <c r="G1012" s="10" t="str">
        <f t="shared" si="7"/>
        <v>BXM33-54</v>
      </c>
      <c r="H1012" s="16"/>
      <c r="I1012" s="16" t="str">
        <f t="shared" si="5"/>
        <v>collected</v>
      </c>
      <c r="J1012" s="16" t="str">
        <f t="shared" si="6"/>
        <v>N</v>
      </c>
      <c r="K1012" s="16"/>
      <c r="L1012" s="16"/>
    </row>
    <row r="1013">
      <c r="A1013" s="40" t="s">
        <v>1447</v>
      </c>
      <c r="B1013" s="10" t="str">
        <f t="shared" si="1"/>
        <v>extra_muscle</v>
      </c>
      <c r="C1013" s="49" t="str">
        <f t="shared" si="2"/>
        <v>S16988XM1</v>
      </c>
      <c r="D1013" s="6">
        <v>33.0</v>
      </c>
      <c r="E1013" s="10" t="str">
        <f t="shared" si="3"/>
        <v>BXM33</v>
      </c>
      <c r="F1013" s="13">
        <v>55.0</v>
      </c>
      <c r="G1013" s="10" t="str">
        <f t="shared" si="7"/>
        <v>BXM33-55</v>
      </c>
      <c r="H1013" s="16"/>
      <c r="I1013" s="16" t="str">
        <f t="shared" si="5"/>
        <v>collected</v>
      </c>
      <c r="J1013" s="16" t="str">
        <f t="shared" si="6"/>
        <v>N</v>
      </c>
      <c r="K1013" s="16"/>
      <c r="L1013" s="16"/>
    </row>
    <row r="1014">
      <c r="A1014" s="40" t="s">
        <v>1448</v>
      </c>
      <c r="B1014" s="10" t="str">
        <f t="shared" si="1"/>
        <v>extra_muscle</v>
      </c>
      <c r="C1014" s="49" t="str">
        <f t="shared" si="2"/>
        <v>S16985XM1</v>
      </c>
      <c r="D1014" s="6">
        <v>33.0</v>
      </c>
      <c r="E1014" s="10" t="str">
        <f t="shared" si="3"/>
        <v>BXM33</v>
      </c>
      <c r="F1014" s="13">
        <v>56.0</v>
      </c>
      <c r="G1014" s="10" t="str">
        <f t="shared" si="7"/>
        <v>BXM33-56</v>
      </c>
      <c r="H1014" s="16"/>
      <c r="I1014" s="16" t="str">
        <f t="shared" si="5"/>
        <v>collected</v>
      </c>
      <c r="J1014" s="16" t="str">
        <f t="shared" si="6"/>
        <v>N</v>
      </c>
      <c r="K1014" s="16"/>
      <c r="L1014" s="16"/>
    </row>
    <row r="1015">
      <c r="A1015" s="40" t="s">
        <v>1449</v>
      </c>
      <c r="B1015" s="10" t="str">
        <f t="shared" si="1"/>
        <v>extra_muscle</v>
      </c>
      <c r="C1015" s="49" t="str">
        <f t="shared" si="2"/>
        <v>S16231XM1</v>
      </c>
      <c r="D1015" s="6">
        <v>33.0</v>
      </c>
      <c r="E1015" s="10" t="str">
        <f t="shared" si="3"/>
        <v>BXM33</v>
      </c>
      <c r="F1015" s="13">
        <v>57.0</v>
      </c>
      <c r="G1015" s="10" t="str">
        <f t="shared" si="7"/>
        <v>BXM33-57</v>
      </c>
      <c r="H1015" s="16"/>
      <c r="I1015" s="16" t="str">
        <f t="shared" si="5"/>
        <v>collected</v>
      </c>
      <c r="J1015" s="16" t="str">
        <f t="shared" si="6"/>
        <v>N</v>
      </c>
      <c r="K1015" s="16"/>
      <c r="L1015" s="16"/>
    </row>
    <row r="1016">
      <c r="A1016" s="40" t="s">
        <v>1451</v>
      </c>
      <c r="B1016" s="10" t="str">
        <f t="shared" si="1"/>
        <v>extra_muscle</v>
      </c>
      <c r="C1016" s="49" t="str">
        <f t="shared" si="2"/>
        <v>S16232XM1</v>
      </c>
      <c r="D1016" s="6">
        <v>33.0</v>
      </c>
      <c r="E1016" s="10" t="str">
        <f t="shared" si="3"/>
        <v>BXM33</v>
      </c>
      <c r="F1016" s="13">
        <v>58.0</v>
      </c>
      <c r="G1016" s="10" t="str">
        <f t="shared" si="7"/>
        <v>BXM33-58</v>
      </c>
      <c r="H1016" s="16"/>
      <c r="I1016" s="16" t="str">
        <f t="shared" si="5"/>
        <v>collected</v>
      </c>
      <c r="J1016" s="16" t="str">
        <f t="shared" si="6"/>
        <v>N</v>
      </c>
      <c r="K1016" s="16"/>
      <c r="L1016" s="16"/>
    </row>
    <row r="1017">
      <c r="A1017" s="40" t="s">
        <v>1452</v>
      </c>
      <c r="B1017" s="10" t="str">
        <f t="shared" si="1"/>
        <v>extra_muscle</v>
      </c>
      <c r="C1017" s="49" t="str">
        <f t="shared" si="2"/>
        <v>S16234XM1</v>
      </c>
      <c r="D1017" s="6">
        <v>33.0</v>
      </c>
      <c r="E1017" s="10" t="str">
        <f t="shared" si="3"/>
        <v>BXM33</v>
      </c>
      <c r="F1017" s="13">
        <v>59.0</v>
      </c>
      <c r="G1017" s="10" t="str">
        <f t="shared" si="7"/>
        <v>BXM33-59</v>
      </c>
      <c r="H1017" s="16"/>
      <c r="I1017" s="16" t="str">
        <f t="shared" si="5"/>
        <v>collected</v>
      </c>
      <c r="J1017" s="16" t="str">
        <f t="shared" si="6"/>
        <v>N</v>
      </c>
      <c r="K1017" s="16"/>
      <c r="L1017" s="16"/>
    </row>
    <row r="1018">
      <c r="A1018" s="40" t="s">
        <v>1453</v>
      </c>
      <c r="B1018" s="10" t="str">
        <f t="shared" si="1"/>
        <v>extra_muscle</v>
      </c>
      <c r="C1018" s="49" t="str">
        <f t="shared" si="2"/>
        <v>S16233XM1</v>
      </c>
      <c r="D1018" s="6">
        <v>33.0</v>
      </c>
      <c r="E1018" s="10" t="str">
        <f t="shared" si="3"/>
        <v>BXM33</v>
      </c>
      <c r="F1018" s="13">
        <v>60.0</v>
      </c>
      <c r="G1018" s="10" t="str">
        <f t="shared" si="7"/>
        <v>BXM33-60</v>
      </c>
      <c r="H1018" s="16"/>
      <c r="I1018" s="16" t="str">
        <f t="shared" si="5"/>
        <v>collected</v>
      </c>
      <c r="J1018" s="16" t="str">
        <f t="shared" si="6"/>
        <v>N</v>
      </c>
      <c r="K1018" s="16"/>
      <c r="L1018" s="16"/>
    </row>
    <row r="1019">
      <c r="A1019" s="40" t="s">
        <v>1455</v>
      </c>
      <c r="B1019" s="10" t="str">
        <f t="shared" si="1"/>
        <v>extra_muscle</v>
      </c>
      <c r="C1019" s="49" t="str">
        <f t="shared" si="2"/>
        <v>S16235XM1</v>
      </c>
      <c r="D1019" s="6">
        <v>33.0</v>
      </c>
      <c r="E1019" s="10" t="str">
        <f t="shared" si="3"/>
        <v>BXM33</v>
      </c>
      <c r="F1019" s="13">
        <v>61.0</v>
      </c>
      <c r="G1019" s="10" t="str">
        <f t="shared" si="7"/>
        <v>BXM33-61</v>
      </c>
      <c r="H1019" s="16"/>
      <c r="I1019" s="16" t="str">
        <f t="shared" si="5"/>
        <v>collected</v>
      </c>
      <c r="J1019" s="16" t="str">
        <f t="shared" si="6"/>
        <v>N</v>
      </c>
      <c r="K1019" s="16"/>
      <c r="L1019" s="16"/>
    </row>
    <row r="1020">
      <c r="A1020" s="40" t="s">
        <v>1458</v>
      </c>
      <c r="B1020" s="10" t="str">
        <f t="shared" si="1"/>
        <v>extra_muscle</v>
      </c>
      <c r="C1020" s="49" t="str">
        <f t="shared" si="2"/>
        <v>S16236XM1</v>
      </c>
      <c r="D1020" s="6">
        <v>33.0</v>
      </c>
      <c r="E1020" s="10" t="str">
        <f t="shared" si="3"/>
        <v>BXM33</v>
      </c>
      <c r="F1020" s="13">
        <v>62.0</v>
      </c>
      <c r="G1020" s="10" t="str">
        <f t="shared" si="7"/>
        <v>BXM33-62</v>
      </c>
      <c r="H1020" s="16"/>
      <c r="I1020" s="16" t="str">
        <f t="shared" si="5"/>
        <v>collected</v>
      </c>
      <c r="J1020" s="16" t="str">
        <f t="shared" si="6"/>
        <v>N</v>
      </c>
      <c r="K1020" s="16"/>
      <c r="L1020" s="16"/>
    </row>
    <row r="1021">
      <c r="A1021" s="40" t="s">
        <v>1459</v>
      </c>
      <c r="B1021" s="10" t="str">
        <f t="shared" si="1"/>
        <v>extra_muscle</v>
      </c>
      <c r="C1021" s="49" t="str">
        <f t="shared" si="2"/>
        <v>S16240XM1</v>
      </c>
      <c r="D1021" s="6">
        <v>33.0</v>
      </c>
      <c r="E1021" s="10" t="str">
        <f t="shared" si="3"/>
        <v>BXM33</v>
      </c>
      <c r="F1021" s="13">
        <v>63.0</v>
      </c>
      <c r="G1021" s="10" t="str">
        <f t="shared" si="7"/>
        <v>BXM33-63</v>
      </c>
      <c r="H1021" s="16"/>
      <c r="I1021" s="16" t="str">
        <f t="shared" si="5"/>
        <v>collected</v>
      </c>
      <c r="J1021" s="16" t="str">
        <f t="shared" si="6"/>
        <v>N</v>
      </c>
      <c r="K1021" s="16"/>
      <c r="L1021" s="16"/>
    </row>
    <row r="1022">
      <c r="A1022" s="40" t="s">
        <v>1461</v>
      </c>
      <c r="B1022" s="10" t="str">
        <f t="shared" si="1"/>
        <v>extra_muscle</v>
      </c>
      <c r="C1022" s="49" t="str">
        <f t="shared" si="2"/>
        <v>S16238XM1</v>
      </c>
      <c r="D1022" s="6">
        <v>33.0</v>
      </c>
      <c r="E1022" s="10" t="str">
        <f t="shared" si="3"/>
        <v>BXM33</v>
      </c>
      <c r="F1022" s="13">
        <v>64.0</v>
      </c>
      <c r="G1022" s="10" t="str">
        <f t="shared" si="7"/>
        <v>BXM33-64</v>
      </c>
      <c r="H1022" s="16"/>
      <c r="I1022" s="16" t="str">
        <f t="shared" si="5"/>
        <v>collected</v>
      </c>
      <c r="J1022" s="16" t="str">
        <f t="shared" si="6"/>
        <v>N</v>
      </c>
      <c r="K1022" s="16"/>
      <c r="L1022" s="16"/>
    </row>
    <row r="1023">
      <c r="A1023" s="40" t="s">
        <v>1462</v>
      </c>
      <c r="B1023" s="10" t="str">
        <f t="shared" si="1"/>
        <v>extra_muscle</v>
      </c>
      <c r="C1023" s="49" t="str">
        <f t="shared" si="2"/>
        <v>S16239XM1</v>
      </c>
      <c r="D1023" s="6">
        <v>33.0</v>
      </c>
      <c r="E1023" s="10" t="str">
        <f t="shared" si="3"/>
        <v>BXM33</v>
      </c>
      <c r="F1023" s="13">
        <v>65.0</v>
      </c>
      <c r="G1023" s="10" t="str">
        <f t="shared" si="7"/>
        <v>BXM33-65</v>
      </c>
      <c r="H1023" s="16"/>
      <c r="I1023" s="16" t="str">
        <f t="shared" si="5"/>
        <v>collected</v>
      </c>
      <c r="J1023" s="16" t="str">
        <f t="shared" si="6"/>
        <v>N</v>
      </c>
      <c r="K1023" s="16"/>
      <c r="L1023" s="16"/>
    </row>
    <row r="1024">
      <c r="A1024" s="40" t="s">
        <v>1464</v>
      </c>
      <c r="B1024" s="10" t="str">
        <f t="shared" si="1"/>
        <v>extra_muscle</v>
      </c>
      <c r="C1024" s="49" t="str">
        <f t="shared" si="2"/>
        <v>S16237XM1</v>
      </c>
      <c r="D1024" s="6">
        <v>33.0</v>
      </c>
      <c r="E1024" s="10" t="str">
        <f t="shared" si="3"/>
        <v>BXM33</v>
      </c>
      <c r="F1024" s="13">
        <v>66.0</v>
      </c>
      <c r="G1024" s="10" t="str">
        <f t="shared" si="7"/>
        <v>BXM33-66</v>
      </c>
      <c r="H1024" s="16"/>
      <c r="I1024" s="16" t="str">
        <f t="shared" si="5"/>
        <v>collected</v>
      </c>
      <c r="J1024" s="16" t="str">
        <f t="shared" si="6"/>
        <v>N</v>
      </c>
      <c r="K1024" s="16"/>
      <c r="L1024" s="16"/>
    </row>
    <row r="1025">
      <c r="A1025" s="40" t="s">
        <v>1465</v>
      </c>
      <c r="B1025" s="10" t="str">
        <f t="shared" si="1"/>
        <v>extra_muscle</v>
      </c>
      <c r="C1025" s="49" t="str">
        <f t="shared" si="2"/>
        <v>S16529XM1</v>
      </c>
      <c r="D1025" s="6">
        <v>33.0</v>
      </c>
      <c r="E1025" s="10" t="str">
        <f t="shared" si="3"/>
        <v>BXM33</v>
      </c>
      <c r="F1025" s="13">
        <v>67.0</v>
      </c>
      <c r="G1025" s="10" t="str">
        <f t="shared" si="7"/>
        <v>BXM33-67</v>
      </c>
      <c r="H1025" s="16"/>
      <c r="I1025" s="16" t="str">
        <f t="shared" si="5"/>
        <v>collected</v>
      </c>
      <c r="J1025" s="16" t="str">
        <f t="shared" si="6"/>
        <v>N</v>
      </c>
      <c r="K1025" s="16"/>
      <c r="L1025" s="16"/>
    </row>
    <row r="1026">
      <c r="A1026" s="40" t="s">
        <v>1468</v>
      </c>
      <c r="B1026" s="10" t="str">
        <f t="shared" si="1"/>
        <v>extra_muscle</v>
      </c>
      <c r="C1026" s="49" t="str">
        <f t="shared" si="2"/>
        <v>S16525XM1</v>
      </c>
      <c r="D1026" s="6">
        <v>33.0</v>
      </c>
      <c r="E1026" s="10" t="str">
        <f t="shared" si="3"/>
        <v>BXM33</v>
      </c>
      <c r="F1026" s="13">
        <v>68.0</v>
      </c>
      <c r="G1026" s="10" t="str">
        <f t="shared" si="7"/>
        <v>BXM33-68</v>
      </c>
      <c r="H1026" s="16"/>
      <c r="I1026" s="16" t="str">
        <f t="shared" si="5"/>
        <v>collected</v>
      </c>
      <c r="J1026" s="16" t="str">
        <f t="shared" si="6"/>
        <v>N</v>
      </c>
      <c r="K1026" s="16"/>
      <c r="L1026" s="16"/>
    </row>
    <row r="1027">
      <c r="A1027" s="40" t="s">
        <v>1469</v>
      </c>
      <c r="B1027" s="10" t="str">
        <f t="shared" si="1"/>
        <v>extra_muscle</v>
      </c>
      <c r="C1027" s="49" t="str">
        <f t="shared" si="2"/>
        <v>S16528XM1</v>
      </c>
      <c r="D1027" s="6">
        <v>33.0</v>
      </c>
      <c r="E1027" s="10" t="str">
        <f t="shared" si="3"/>
        <v>BXM33</v>
      </c>
      <c r="F1027" s="13">
        <v>69.0</v>
      </c>
      <c r="G1027" s="10" t="str">
        <f t="shared" si="7"/>
        <v>BXM33-69</v>
      </c>
      <c r="H1027" s="16"/>
      <c r="I1027" s="16" t="str">
        <f t="shared" si="5"/>
        <v>collected</v>
      </c>
      <c r="J1027" s="16" t="str">
        <f t="shared" si="6"/>
        <v>N</v>
      </c>
      <c r="K1027" s="16"/>
      <c r="L1027" s="16"/>
    </row>
    <row r="1028">
      <c r="A1028" s="40" t="s">
        <v>1471</v>
      </c>
      <c r="B1028" s="10" t="str">
        <f t="shared" si="1"/>
        <v>extra_muscle</v>
      </c>
      <c r="C1028" s="49" t="str">
        <f t="shared" si="2"/>
        <v>S16527XM1</v>
      </c>
      <c r="D1028" s="6">
        <v>33.0</v>
      </c>
      <c r="E1028" s="10" t="str">
        <f t="shared" si="3"/>
        <v>BXM33</v>
      </c>
      <c r="F1028" s="13">
        <v>70.0</v>
      </c>
      <c r="G1028" s="10" t="str">
        <f t="shared" si="7"/>
        <v>BXM33-70</v>
      </c>
      <c r="H1028" s="16"/>
      <c r="I1028" s="16" t="str">
        <f t="shared" si="5"/>
        <v>collected</v>
      </c>
      <c r="J1028" s="16" t="str">
        <f t="shared" si="6"/>
        <v>N</v>
      </c>
      <c r="K1028" s="16"/>
      <c r="L1028" s="16"/>
    </row>
    <row r="1029">
      <c r="A1029" s="40" t="s">
        <v>1472</v>
      </c>
      <c r="B1029" s="10" t="str">
        <f t="shared" si="1"/>
        <v>extra_muscle</v>
      </c>
      <c r="C1029" s="49" t="str">
        <f t="shared" si="2"/>
        <v>S16526XM1</v>
      </c>
      <c r="D1029" s="6">
        <v>33.0</v>
      </c>
      <c r="E1029" s="10" t="str">
        <f t="shared" si="3"/>
        <v>BXM33</v>
      </c>
      <c r="F1029" s="13">
        <v>71.0</v>
      </c>
      <c r="G1029" s="10" t="str">
        <f t="shared" si="7"/>
        <v>BXM33-71</v>
      </c>
      <c r="H1029" s="16"/>
      <c r="I1029" s="16" t="str">
        <f t="shared" si="5"/>
        <v>collected</v>
      </c>
      <c r="J1029" s="16" t="str">
        <f t="shared" si="6"/>
        <v>N</v>
      </c>
      <c r="K1029" s="16"/>
      <c r="L1029" s="16"/>
    </row>
    <row r="1030">
      <c r="A1030" s="40" t="s">
        <v>1473</v>
      </c>
      <c r="B1030" s="10" t="str">
        <f t="shared" si="1"/>
        <v>extra_muscle</v>
      </c>
      <c r="C1030" s="49" t="str">
        <f t="shared" si="2"/>
        <v>S16523XM1</v>
      </c>
      <c r="D1030" s="6">
        <v>33.0</v>
      </c>
      <c r="E1030" s="10" t="str">
        <f t="shared" si="3"/>
        <v>BXM33</v>
      </c>
      <c r="F1030" s="13">
        <v>72.0</v>
      </c>
      <c r="G1030" s="10" t="str">
        <f t="shared" si="7"/>
        <v>BXM33-72</v>
      </c>
      <c r="H1030" s="16"/>
      <c r="I1030" s="16" t="str">
        <f t="shared" si="5"/>
        <v>collected</v>
      </c>
      <c r="J1030" s="16" t="str">
        <f t="shared" si="6"/>
        <v>N</v>
      </c>
      <c r="K1030" s="16"/>
      <c r="L1030" s="16"/>
    </row>
    <row r="1031">
      <c r="A1031" s="40" t="s">
        <v>1475</v>
      </c>
      <c r="B1031" s="10" t="str">
        <f t="shared" si="1"/>
        <v>extra_muscle</v>
      </c>
      <c r="C1031" s="49" t="str">
        <f t="shared" si="2"/>
        <v>S16522XM1</v>
      </c>
      <c r="D1031" s="6">
        <v>33.0</v>
      </c>
      <c r="E1031" s="10" t="str">
        <f t="shared" si="3"/>
        <v>BXM33</v>
      </c>
      <c r="F1031" s="13">
        <v>73.0</v>
      </c>
      <c r="G1031" s="10" t="str">
        <f t="shared" si="7"/>
        <v>BXM33-73</v>
      </c>
      <c r="H1031" s="16"/>
      <c r="I1031" s="16" t="str">
        <f t="shared" si="5"/>
        <v>collected</v>
      </c>
      <c r="J1031" s="16" t="str">
        <f t="shared" si="6"/>
        <v>N</v>
      </c>
      <c r="K1031" s="16"/>
      <c r="L1031" s="16"/>
    </row>
    <row r="1032">
      <c r="A1032" s="40" t="s">
        <v>1476</v>
      </c>
      <c r="B1032" s="10" t="str">
        <f t="shared" si="1"/>
        <v>extra_muscle</v>
      </c>
      <c r="C1032" s="49" t="str">
        <f t="shared" si="2"/>
        <v>S16524XM1</v>
      </c>
      <c r="D1032" s="6">
        <v>33.0</v>
      </c>
      <c r="E1032" s="10" t="str">
        <f t="shared" si="3"/>
        <v>BXM33</v>
      </c>
      <c r="F1032" s="13">
        <v>74.0</v>
      </c>
      <c r="G1032" s="10" t="str">
        <f t="shared" si="7"/>
        <v>BXM33-74</v>
      </c>
      <c r="H1032" s="16"/>
      <c r="I1032" s="16" t="str">
        <f t="shared" si="5"/>
        <v>collected</v>
      </c>
      <c r="J1032" s="16" t="str">
        <f t="shared" si="6"/>
        <v>N</v>
      </c>
      <c r="K1032" s="16"/>
      <c r="L1032" s="16"/>
    </row>
    <row r="1033">
      <c r="A1033" s="40" t="s">
        <v>1477</v>
      </c>
      <c r="B1033" s="10" t="str">
        <f t="shared" si="1"/>
        <v>extra_muscle</v>
      </c>
      <c r="C1033" s="49" t="str">
        <f t="shared" si="2"/>
        <v>S16530XM1</v>
      </c>
      <c r="D1033" s="6">
        <v>33.0</v>
      </c>
      <c r="E1033" s="10" t="str">
        <f t="shared" si="3"/>
        <v>BXM33</v>
      </c>
      <c r="F1033" s="13">
        <v>75.0</v>
      </c>
      <c r="G1033" s="10" t="str">
        <f t="shared" si="7"/>
        <v>BXM33-75</v>
      </c>
      <c r="H1033" s="16"/>
      <c r="I1033" s="16" t="str">
        <f t="shared" si="5"/>
        <v>collected</v>
      </c>
      <c r="J1033" s="16" t="str">
        <f t="shared" si="6"/>
        <v>N</v>
      </c>
      <c r="K1033" s="16"/>
      <c r="L1033" s="16"/>
    </row>
    <row r="1034">
      <c r="A1034" s="40" t="s">
        <v>1478</v>
      </c>
      <c r="B1034" s="10" t="str">
        <f t="shared" si="1"/>
        <v>extra_muscle</v>
      </c>
      <c r="C1034" s="49" t="str">
        <f t="shared" si="2"/>
        <v>S16521XM1</v>
      </c>
      <c r="D1034" s="6">
        <v>33.0</v>
      </c>
      <c r="E1034" s="10" t="str">
        <f t="shared" si="3"/>
        <v>BXM33</v>
      </c>
      <c r="F1034" s="13">
        <v>76.0</v>
      </c>
      <c r="G1034" s="10" t="str">
        <f t="shared" si="7"/>
        <v>BXM33-76</v>
      </c>
      <c r="H1034" s="16"/>
      <c r="I1034" s="16" t="str">
        <f t="shared" si="5"/>
        <v>collected</v>
      </c>
      <c r="J1034" s="16" t="str">
        <f t="shared" si="6"/>
        <v>N</v>
      </c>
      <c r="K1034" s="16"/>
      <c r="L1034" s="16"/>
    </row>
    <row r="1035">
      <c r="A1035" s="40" t="s">
        <v>1479</v>
      </c>
      <c r="B1035" s="10" t="str">
        <f t="shared" si="1"/>
        <v>extra_muscle</v>
      </c>
      <c r="C1035" s="49" t="str">
        <f t="shared" si="2"/>
        <v>S16491XM1</v>
      </c>
      <c r="D1035" s="6">
        <v>33.0</v>
      </c>
      <c r="E1035" s="10" t="str">
        <f t="shared" si="3"/>
        <v>BXM33</v>
      </c>
      <c r="F1035" s="13">
        <v>77.0</v>
      </c>
      <c r="G1035" s="10" t="str">
        <f t="shared" si="7"/>
        <v>BXM33-77</v>
      </c>
      <c r="H1035" s="16"/>
      <c r="I1035" s="16" t="str">
        <f t="shared" si="5"/>
        <v>collected</v>
      </c>
      <c r="J1035" s="16" t="str">
        <f t="shared" si="6"/>
        <v>N</v>
      </c>
      <c r="K1035" s="16"/>
      <c r="L1035" s="16"/>
    </row>
    <row r="1036">
      <c r="A1036" s="40" t="s">
        <v>1481</v>
      </c>
      <c r="B1036" s="10" t="str">
        <f t="shared" si="1"/>
        <v>extra_muscle</v>
      </c>
      <c r="C1036" s="49" t="str">
        <f t="shared" si="2"/>
        <v>S16500XM1</v>
      </c>
      <c r="D1036" s="6">
        <v>33.0</v>
      </c>
      <c r="E1036" s="10" t="str">
        <f t="shared" si="3"/>
        <v>BXM33</v>
      </c>
      <c r="F1036" s="13">
        <v>78.0</v>
      </c>
      <c r="G1036" s="10" t="str">
        <f t="shared" si="7"/>
        <v>BXM33-78</v>
      </c>
      <c r="H1036" s="16"/>
      <c r="I1036" s="16" t="str">
        <f t="shared" si="5"/>
        <v>collected</v>
      </c>
      <c r="J1036" s="16" t="str">
        <f t="shared" si="6"/>
        <v>N</v>
      </c>
      <c r="K1036" s="16"/>
      <c r="L1036" s="16"/>
    </row>
    <row r="1037">
      <c r="A1037" s="40" t="s">
        <v>1482</v>
      </c>
      <c r="B1037" s="10" t="str">
        <f t="shared" si="1"/>
        <v>extra_muscle</v>
      </c>
      <c r="C1037" s="49" t="str">
        <f t="shared" si="2"/>
        <v>S16498XM1</v>
      </c>
      <c r="D1037" s="6">
        <v>33.0</v>
      </c>
      <c r="E1037" s="10" t="str">
        <f t="shared" si="3"/>
        <v>BXM33</v>
      </c>
      <c r="F1037" s="13">
        <v>79.0</v>
      </c>
      <c r="G1037" s="10" t="str">
        <f t="shared" si="7"/>
        <v>BXM33-79</v>
      </c>
      <c r="H1037" s="16"/>
      <c r="I1037" s="16" t="str">
        <f t="shared" si="5"/>
        <v>collected</v>
      </c>
      <c r="J1037" s="16" t="str">
        <f t="shared" si="6"/>
        <v>N</v>
      </c>
      <c r="K1037" s="16"/>
      <c r="L1037" s="16"/>
    </row>
    <row r="1038">
      <c r="A1038" s="40" t="s">
        <v>1483</v>
      </c>
      <c r="B1038" s="10" t="str">
        <f t="shared" si="1"/>
        <v>extra_muscle</v>
      </c>
      <c r="C1038" s="49" t="str">
        <f t="shared" si="2"/>
        <v>S16499XM1</v>
      </c>
      <c r="D1038" s="6">
        <v>33.0</v>
      </c>
      <c r="E1038" s="10" t="str">
        <f t="shared" si="3"/>
        <v>BXM33</v>
      </c>
      <c r="F1038" s="13">
        <v>80.0</v>
      </c>
      <c r="G1038" s="10" t="str">
        <f t="shared" si="7"/>
        <v>BXM33-80</v>
      </c>
      <c r="H1038" s="16"/>
      <c r="I1038" s="16" t="str">
        <f t="shared" si="5"/>
        <v>collected</v>
      </c>
      <c r="J1038" s="16" t="str">
        <f t="shared" si="6"/>
        <v>N</v>
      </c>
      <c r="K1038" s="16"/>
      <c r="L1038" s="16"/>
    </row>
    <row r="1039">
      <c r="A1039" s="40" t="s">
        <v>1485</v>
      </c>
      <c r="B1039" s="10" t="str">
        <f t="shared" si="1"/>
        <v>extra_muscle</v>
      </c>
      <c r="C1039" s="49" t="str">
        <f t="shared" si="2"/>
        <v>S16496XM1</v>
      </c>
      <c r="D1039" s="6">
        <v>33.0</v>
      </c>
      <c r="E1039" s="10" t="str">
        <f t="shared" si="3"/>
        <v>BXM33</v>
      </c>
      <c r="F1039" s="13">
        <v>81.0</v>
      </c>
      <c r="G1039" s="10" t="str">
        <f t="shared" si="7"/>
        <v>BXM33-81</v>
      </c>
      <c r="H1039" s="16"/>
      <c r="I1039" s="16" t="str">
        <f t="shared" si="5"/>
        <v>collected</v>
      </c>
      <c r="J1039" s="16" t="str">
        <f t="shared" si="6"/>
        <v>N</v>
      </c>
      <c r="K1039" s="16"/>
      <c r="L1039" s="16"/>
    </row>
    <row r="1040">
      <c r="A1040" s="27" t="s">
        <v>1486</v>
      </c>
      <c r="B1040" s="10" t="str">
        <f t="shared" si="1"/>
        <v>extra_muscle</v>
      </c>
      <c r="C1040" s="49" t="str">
        <f t="shared" si="2"/>
        <v>S5450XM1</v>
      </c>
      <c r="D1040" s="6">
        <v>34.0</v>
      </c>
      <c r="E1040" s="10" t="str">
        <f t="shared" si="3"/>
        <v>BXM34</v>
      </c>
      <c r="F1040" s="13">
        <v>11.0</v>
      </c>
      <c r="G1040" s="10" t="str">
        <f t="shared" si="7"/>
        <v>BXM34-11</v>
      </c>
      <c r="H1040" s="16"/>
      <c r="I1040" s="16" t="str">
        <f t="shared" si="5"/>
        <v>collected</v>
      </c>
      <c r="J1040" s="16" t="str">
        <f t="shared" si="6"/>
        <v>N</v>
      </c>
      <c r="K1040" s="16"/>
      <c r="L1040" s="16"/>
    </row>
    <row r="1041">
      <c r="A1041" s="27" t="s">
        <v>1487</v>
      </c>
      <c r="B1041" s="10" t="str">
        <f t="shared" si="1"/>
        <v>extra_muscle</v>
      </c>
      <c r="C1041" s="49" t="str">
        <f t="shared" si="2"/>
        <v>S5451XM1</v>
      </c>
      <c r="D1041" s="6">
        <v>34.0</v>
      </c>
      <c r="E1041" s="10" t="str">
        <f t="shared" si="3"/>
        <v>BXM34</v>
      </c>
      <c r="F1041" s="13">
        <v>12.0</v>
      </c>
      <c r="G1041" s="10" t="str">
        <f t="shared" si="7"/>
        <v>BXM34-12</v>
      </c>
      <c r="H1041" s="16"/>
      <c r="I1041" s="16" t="str">
        <f t="shared" si="5"/>
        <v>collected</v>
      </c>
      <c r="J1041" s="16" t="str">
        <f t="shared" si="6"/>
        <v>N</v>
      </c>
      <c r="K1041" s="16"/>
      <c r="L1041" s="16"/>
    </row>
    <row r="1042">
      <c r="A1042" s="27" t="s">
        <v>1489</v>
      </c>
      <c r="B1042" s="10" t="str">
        <f t="shared" si="1"/>
        <v>extra_muscle</v>
      </c>
      <c r="C1042" s="49" t="str">
        <f t="shared" si="2"/>
        <v>S5452XM1</v>
      </c>
      <c r="D1042" s="6">
        <v>34.0</v>
      </c>
      <c r="E1042" s="10" t="str">
        <f t="shared" si="3"/>
        <v>BXM34</v>
      </c>
      <c r="F1042" s="13">
        <v>13.0</v>
      </c>
      <c r="G1042" s="10" t="str">
        <f t="shared" si="7"/>
        <v>BXM34-13</v>
      </c>
      <c r="H1042" s="16"/>
      <c r="I1042" s="16" t="str">
        <f t="shared" si="5"/>
        <v>collected</v>
      </c>
      <c r="J1042" s="16" t="str">
        <f t="shared" si="6"/>
        <v>N</v>
      </c>
      <c r="K1042" s="16"/>
      <c r="L1042" s="16"/>
    </row>
    <row r="1043">
      <c r="A1043" s="27" t="s">
        <v>1491</v>
      </c>
      <c r="B1043" s="10" t="str">
        <f t="shared" si="1"/>
        <v>extra_muscle</v>
      </c>
      <c r="C1043" s="49" t="str">
        <f t="shared" si="2"/>
        <v>S5453XM1</v>
      </c>
      <c r="D1043" s="6">
        <v>34.0</v>
      </c>
      <c r="E1043" s="10" t="str">
        <f t="shared" si="3"/>
        <v>BXM34</v>
      </c>
      <c r="F1043" s="13">
        <v>14.0</v>
      </c>
      <c r="G1043" s="10" t="str">
        <f t="shared" si="7"/>
        <v>BXM34-14</v>
      </c>
      <c r="H1043" s="16"/>
      <c r="I1043" s="16" t="str">
        <f t="shared" si="5"/>
        <v>collected</v>
      </c>
      <c r="J1043" s="16" t="str">
        <f t="shared" si="6"/>
        <v>N</v>
      </c>
      <c r="K1043" s="16"/>
      <c r="L1043" s="16"/>
    </row>
    <row r="1044">
      <c r="A1044" s="27" t="s">
        <v>1492</v>
      </c>
      <c r="B1044" s="10" t="str">
        <f t="shared" si="1"/>
        <v>extra_muscle</v>
      </c>
      <c r="C1044" s="49" t="str">
        <f t="shared" si="2"/>
        <v>S5454XM1</v>
      </c>
      <c r="D1044" s="6">
        <v>34.0</v>
      </c>
      <c r="E1044" s="10" t="str">
        <f t="shared" si="3"/>
        <v>BXM34</v>
      </c>
      <c r="F1044" s="13">
        <v>15.0</v>
      </c>
      <c r="G1044" s="10" t="str">
        <f t="shared" si="7"/>
        <v>BXM34-15</v>
      </c>
      <c r="H1044" s="16"/>
      <c r="I1044" s="16" t="str">
        <f t="shared" si="5"/>
        <v>collected</v>
      </c>
      <c r="J1044" s="16" t="str">
        <f t="shared" si="6"/>
        <v>N</v>
      </c>
      <c r="K1044" s="16"/>
      <c r="L1044" s="16"/>
    </row>
    <row r="1045">
      <c r="A1045" s="27" t="s">
        <v>1493</v>
      </c>
      <c r="B1045" s="10" t="str">
        <f t="shared" si="1"/>
        <v>extra_muscle</v>
      </c>
      <c r="C1045" s="49" t="str">
        <f t="shared" si="2"/>
        <v>S5455XM1</v>
      </c>
      <c r="D1045" s="6">
        <v>34.0</v>
      </c>
      <c r="E1045" s="10" t="str">
        <f t="shared" si="3"/>
        <v>BXM34</v>
      </c>
      <c r="F1045" s="13">
        <v>16.0</v>
      </c>
      <c r="G1045" s="10" t="str">
        <f t="shared" si="7"/>
        <v>BXM34-16</v>
      </c>
      <c r="H1045" s="16"/>
      <c r="I1045" s="16" t="str">
        <f t="shared" si="5"/>
        <v>collected</v>
      </c>
      <c r="J1045" s="16" t="str">
        <f t="shared" si="6"/>
        <v>N</v>
      </c>
      <c r="K1045" s="16"/>
      <c r="L1045" s="16"/>
    </row>
    <row r="1046">
      <c r="A1046" s="27" t="s">
        <v>1494</v>
      </c>
      <c r="B1046" s="10" t="str">
        <f t="shared" si="1"/>
        <v>extra_muscle</v>
      </c>
      <c r="C1046" s="49" t="str">
        <f t="shared" si="2"/>
        <v>S5456XM1</v>
      </c>
      <c r="D1046" s="6">
        <v>34.0</v>
      </c>
      <c r="E1046" s="10" t="str">
        <f t="shared" si="3"/>
        <v>BXM34</v>
      </c>
      <c r="F1046" s="13">
        <v>17.0</v>
      </c>
      <c r="G1046" s="10" t="str">
        <f t="shared" si="7"/>
        <v>BXM34-17</v>
      </c>
      <c r="H1046" s="16"/>
      <c r="I1046" s="16" t="str">
        <f t="shared" si="5"/>
        <v>collected</v>
      </c>
      <c r="J1046" s="16" t="str">
        <f t="shared" si="6"/>
        <v>N</v>
      </c>
      <c r="K1046" s="16"/>
      <c r="L1046" s="16"/>
    </row>
    <row r="1047">
      <c r="A1047" s="27" t="s">
        <v>1497</v>
      </c>
      <c r="B1047" s="10" t="str">
        <f t="shared" si="1"/>
        <v>extra_muscle</v>
      </c>
      <c r="C1047" s="49" t="str">
        <f t="shared" si="2"/>
        <v>S5457XM1</v>
      </c>
      <c r="D1047" s="6">
        <v>34.0</v>
      </c>
      <c r="E1047" s="10" t="str">
        <f t="shared" si="3"/>
        <v>BXM34</v>
      </c>
      <c r="F1047" s="13">
        <v>18.0</v>
      </c>
      <c r="G1047" s="10" t="str">
        <f t="shared" si="7"/>
        <v>BXM34-18</v>
      </c>
      <c r="H1047" s="16"/>
      <c r="I1047" s="16" t="str">
        <f t="shared" si="5"/>
        <v>collected</v>
      </c>
      <c r="J1047" s="16" t="str">
        <f t="shared" si="6"/>
        <v>N</v>
      </c>
      <c r="K1047" s="16"/>
      <c r="L1047" s="16"/>
    </row>
    <row r="1048">
      <c r="A1048" s="27" t="s">
        <v>1498</v>
      </c>
      <c r="B1048" s="10" t="str">
        <f t="shared" si="1"/>
        <v>extra_muscle</v>
      </c>
      <c r="C1048" s="49" t="str">
        <f t="shared" si="2"/>
        <v>S5458XM1</v>
      </c>
      <c r="D1048" s="6">
        <v>34.0</v>
      </c>
      <c r="E1048" s="10" t="str">
        <f t="shared" si="3"/>
        <v>BXM34</v>
      </c>
      <c r="F1048" s="13">
        <v>19.0</v>
      </c>
      <c r="G1048" s="10" t="str">
        <f t="shared" si="7"/>
        <v>BXM34-19</v>
      </c>
      <c r="H1048" s="16"/>
      <c r="I1048" s="16" t="str">
        <f t="shared" si="5"/>
        <v>collected</v>
      </c>
      <c r="J1048" s="16" t="str">
        <f t="shared" si="6"/>
        <v>N</v>
      </c>
      <c r="K1048" s="16"/>
      <c r="L1048" s="16"/>
    </row>
    <row r="1049">
      <c r="A1049" s="27" t="s">
        <v>1499</v>
      </c>
      <c r="B1049" s="10" t="str">
        <f t="shared" si="1"/>
        <v>extra_muscle</v>
      </c>
      <c r="C1049" s="49" t="str">
        <f t="shared" si="2"/>
        <v>S5459XM1</v>
      </c>
      <c r="D1049" s="6">
        <v>34.0</v>
      </c>
      <c r="E1049" s="10" t="str">
        <f t="shared" si="3"/>
        <v>BXM34</v>
      </c>
      <c r="F1049" s="13">
        <v>20.0</v>
      </c>
      <c r="G1049" s="10" t="str">
        <f t="shared" si="7"/>
        <v>BXM34-20</v>
      </c>
      <c r="H1049" s="16"/>
      <c r="I1049" s="16" t="str">
        <f t="shared" si="5"/>
        <v>collected</v>
      </c>
      <c r="J1049" s="16" t="str">
        <f t="shared" si="6"/>
        <v>N</v>
      </c>
      <c r="K1049" s="16"/>
      <c r="L1049" s="16"/>
    </row>
    <row r="1050">
      <c r="A1050" s="27" t="s">
        <v>1501</v>
      </c>
      <c r="B1050" s="10" t="str">
        <f t="shared" si="1"/>
        <v>extra_muscle</v>
      </c>
      <c r="C1050" s="49" t="str">
        <f t="shared" si="2"/>
        <v>S5460XM1</v>
      </c>
      <c r="D1050" s="6">
        <v>34.0</v>
      </c>
      <c r="E1050" s="10" t="str">
        <f t="shared" si="3"/>
        <v>BXM34</v>
      </c>
      <c r="F1050" s="13">
        <v>21.0</v>
      </c>
      <c r="G1050" s="10" t="str">
        <f t="shared" si="7"/>
        <v>BXM34-21</v>
      </c>
      <c r="H1050" s="16"/>
      <c r="I1050" s="16" t="str">
        <f t="shared" si="5"/>
        <v>collected</v>
      </c>
      <c r="J1050" s="16" t="str">
        <f t="shared" si="6"/>
        <v>N</v>
      </c>
      <c r="K1050" s="16"/>
      <c r="L1050" s="16"/>
    </row>
    <row r="1051">
      <c r="A1051" s="27" t="s">
        <v>1503</v>
      </c>
      <c r="B1051" s="10" t="str">
        <f t="shared" si="1"/>
        <v>extra_muscle</v>
      </c>
      <c r="C1051" s="49" t="str">
        <f t="shared" si="2"/>
        <v>S5461XM1</v>
      </c>
      <c r="D1051" s="6">
        <v>34.0</v>
      </c>
      <c r="E1051" s="10" t="str">
        <f t="shared" si="3"/>
        <v>BXM34</v>
      </c>
      <c r="F1051" s="13">
        <v>22.0</v>
      </c>
      <c r="G1051" s="10" t="str">
        <f t="shared" si="7"/>
        <v>BXM34-22</v>
      </c>
      <c r="H1051" s="16"/>
      <c r="I1051" s="16" t="str">
        <f t="shared" si="5"/>
        <v>collected</v>
      </c>
      <c r="J1051" s="16" t="str">
        <f t="shared" si="6"/>
        <v>N</v>
      </c>
      <c r="K1051" s="16"/>
      <c r="L1051" s="16"/>
    </row>
    <row r="1052">
      <c r="A1052" s="40" t="s">
        <v>1504</v>
      </c>
      <c r="B1052" s="10" t="str">
        <f t="shared" si="1"/>
        <v>extra_muscle</v>
      </c>
      <c r="C1052" s="49" t="str">
        <f t="shared" si="2"/>
        <v>S16495XM1</v>
      </c>
      <c r="D1052" s="6">
        <v>35.0</v>
      </c>
      <c r="E1052" s="10" t="str">
        <f t="shared" si="3"/>
        <v>BXM35</v>
      </c>
      <c r="F1052" s="13">
        <v>1.0</v>
      </c>
      <c r="G1052" s="10" t="str">
        <f t="shared" si="7"/>
        <v>BXM35-1</v>
      </c>
      <c r="H1052" s="16"/>
      <c r="I1052" s="16" t="str">
        <f t="shared" si="5"/>
        <v>collected</v>
      </c>
      <c r="J1052" s="16" t="str">
        <f t="shared" si="6"/>
        <v>N</v>
      </c>
      <c r="K1052" s="16"/>
      <c r="L1052" s="16"/>
    </row>
    <row r="1053">
      <c r="A1053" s="40" t="s">
        <v>1505</v>
      </c>
      <c r="B1053" s="10" t="str">
        <f t="shared" si="1"/>
        <v>extra_muscle</v>
      </c>
      <c r="C1053" s="49" t="str">
        <f t="shared" si="2"/>
        <v>S16497XM1</v>
      </c>
      <c r="D1053" s="6">
        <v>35.0</v>
      </c>
      <c r="E1053" s="10" t="str">
        <f t="shared" si="3"/>
        <v>BXM35</v>
      </c>
      <c r="F1053" s="13">
        <v>2.0</v>
      </c>
      <c r="G1053" s="10" t="str">
        <f t="shared" si="7"/>
        <v>BXM35-2</v>
      </c>
      <c r="H1053" s="16"/>
      <c r="I1053" s="16" t="str">
        <f t="shared" si="5"/>
        <v>collected</v>
      </c>
      <c r="J1053" s="16" t="str">
        <f t="shared" si="6"/>
        <v>N</v>
      </c>
      <c r="K1053" s="16"/>
      <c r="L1053" s="16"/>
    </row>
    <row r="1054">
      <c r="A1054" s="40" t="s">
        <v>1508</v>
      </c>
      <c r="B1054" s="10" t="str">
        <f t="shared" si="1"/>
        <v>extra_muscle</v>
      </c>
      <c r="C1054" s="49" t="str">
        <f t="shared" si="2"/>
        <v>S16493XM1</v>
      </c>
      <c r="D1054" s="6">
        <v>35.0</v>
      </c>
      <c r="E1054" s="10" t="str">
        <f t="shared" si="3"/>
        <v>BXM35</v>
      </c>
      <c r="F1054" s="13">
        <v>3.0</v>
      </c>
      <c r="G1054" s="10" t="str">
        <f t="shared" si="7"/>
        <v>BXM35-3</v>
      </c>
      <c r="H1054" s="16"/>
      <c r="I1054" s="16" t="str">
        <f t="shared" si="5"/>
        <v>collected</v>
      </c>
      <c r="J1054" s="16" t="str">
        <f t="shared" si="6"/>
        <v>N</v>
      </c>
      <c r="K1054" s="16"/>
      <c r="L1054" s="16"/>
    </row>
    <row r="1055">
      <c r="A1055" s="40" t="s">
        <v>1509</v>
      </c>
      <c r="B1055" s="10" t="str">
        <f t="shared" si="1"/>
        <v>extra_muscle</v>
      </c>
      <c r="C1055" s="49" t="str">
        <f t="shared" si="2"/>
        <v>S16492XM1</v>
      </c>
      <c r="D1055" s="6">
        <v>35.0</v>
      </c>
      <c r="E1055" s="10" t="str">
        <f t="shared" si="3"/>
        <v>BXM35</v>
      </c>
      <c r="F1055" s="13">
        <v>4.0</v>
      </c>
      <c r="G1055" s="10" t="str">
        <f t="shared" si="7"/>
        <v>BXM35-4</v>
      </c>
      <c r="H1055" s="16"/>
      <c r="I1055" s="16" t="str">
        <f t="shared" si="5"/>
        <v>collected</v>
      </c>
      <c r="J1055" s="16" t="str">
        <f t="shared" si="6"/>
        <v>N</v>
      </c>
      <c r="K1055" s="16"/>
      <c r="L1055" s="16"/>
    </row>
    <row r="1056">
      <c r="A1056" s="40" t="s">
        <v>1510</v>
      </c>
      <c r="B1056" s="10" t="str">
        <f t="shared" si="1"/>
        <v>extra_muscle</v>
      </c>
      <c r="C1056" s="49" t="str">
        <f t="shared" si="2"/>
        <v>S16494XM1</v>
      </c>
      <c r="D1056" s="6">
        <v>35.0</v>
      </c>
      <c r="E1056" s="10" t="str">
        <f t="shared" si="3"/>
        <v>BXM35</v>
      </c>
      <c r="F1056" s="13">
        <v>5.0</v>
      </c>
      <c r="G1056" s="10" t="str">
        <f t="shared" si="7"/>
        <v>BXM35-5</v>
      </c>
      <c r="H1056" s="16"/>
      <c r="I1056" s="16" t="str">
        <f t="shared" si="5"/>
        <v>collected</v>
      </c>
      <c r="J1056" s="16" t="str">
        <f t="shared" si="6"/>
        <v>N</v>
      </c>
      <c r="K1056" s="16"/>
      <c r="L1056" s="16"/>
    </row>
    <row r="1057">
      <c r="A1057" s="40" t="s">
        <v>1513</v>
      </c>
      <c r="B1057" s="10" t="str">
        <f t="shared" si="1"/>
        <v>extra_muscle</v>
      </c>
      <c r="C1057" s="49" t="str">
        <f t="shared" si="2"/>
        <v>S16242XM1</v>
      </c>
      <c r="D1057" s="6">
        <v>35.0</v>
      </c>
      <c r="E1057" s="10" t="str">
        <f t="shared" si="3"/>
        <v>BXM35</v>
      </c>
      <c r="F1057" s="13">
        <v>6.0</v>
      </c>
      <c r="G1057" s="10" t="str">
        <f t="shared" si="7"/>
        <v>BXM35-6</v>
      </c>
      <c r="H1057" s="16"/>
      <c r="I1057" s="16" t="str">
        <f t="shared" si="5"/>
        <v>collected</v>
      </c>
      <c r="J1057" s="16" t="str">
        <f t="shared" si="6"/>
        <v>N</v>
      </c>
      <c r="K1057" s="16"/>
      <c r="L1057" s="16"/>
    </row>
    <row r="1058">
      <c r="A1058" s="40" t="s">
        <v>1514</v>
      </c>
      <c r="B1058" s="10" t="str">
        <f t="shared" si="1"/>
        <v>extra_muscle</v>
      </c>
      <c r="C1058" s="49" t="str">
        <f t="shared" si="2"/>
        <v>S16246XM1</v>
      </c>
      <c r="D1058" s="6">
        <v>35.0</v>
      </c>
      <c r="E1058" s="10" t="str">
        <f t="shared" si="3"/>
        <v>BXM35</v>
      </c>
      <c r="F1058" s="13">
        <v>7.0</v>
      </c>
      <c r="G1058" s="10" t="str">
        <f t="shared" si="7"/>
        <v>BXM35-7</v>
      </c>
      <c r="H1058" s="16"/>
      <c r="I1058" s="16" t="str">
        <f t="shared" si="5"/>
        <v>collected</v>
      </c>
      <c r="J1058" s="16" t="str">
        <f t="shared" si="6"/>
        <v>N</v>
      </c>
      <c r="K1058" s="16"/>
      <c r="L1058" s="16"/>
    </row>
    <row r="1059">
      <c r="A1059" s="40" t="s">
        <v>1515</v>
      </c>
      <c r="B1059" s="10" t="str">
        <f t="shared" si="1"/>
        <v>extra_muscle</v>
      </c>
      <c r="C1059" s="49" t="str">
        <f t="shared" si="2"/>
        <v>S16248XM1</v>
      </c>
      <c r="D1059" s="6">
        <v>35.0</v>
      </c>
      <c r="E1059" s="10" t="str">
        <f t="shared" si="3"/>
        <v>BXM35</v>
      </c>
      <c r="F1059" s="13">
        <v>8.0</v>
      </c>
      <c r="G1059" s="10" t="str">
        <f t="shared" si="7"/>
        <v>BXM35-8</v>
      </c>
      <c r="H1059" s="16"/>
      <c r="I1059" s="16" t="str">
        <f t="shared" si="5"/>
        <v>collected</v>
      </c>
      <c r="J1059" s="16" t="str">
        <f t="shared" si="6"/>
        <v>N</v>
      </c>
      <c r="K1059" s="16"/>
      <c r="L1059" s="16"/>
    </row>
    <row r="1060">
      <c r="A1060" s="40" t="s">
        <v>1516</v>
      </c>
      <c r="B1060" s="10" t="str">
        <f t="shared" si="1"/>
        <v>extra_muscle</v>
      </c>
      <c r="C1060" s="49" t="str">
        <f t="shared" si="2"/>
        <v>S16249XM1</v>
      </c>
      <c r="D1060" s="6">
        <v>35.0</v>
      </c>
      <c r="E1060" s="10" t="str">
        <f t="shared" si="3"/>
        <v>BXM35</v>
      </c>
      <c r="F1060" s="13">
        <v>9.0</v>
      </c>
      <c r="G1060" s="10" t="str">
        <f t="shared" si="7"/>
        <v>BXM35-9</v>
      </c>
      <c r="H1060" s="16"/>
      <c r="I1060" s="16" t="str">
        <f t="shared" si="5"/>
        <v>collected</v>
      </c>
      <c r="J1060" s="16" t="str">
        <f t="shared" si="6"/>
        <v>N</v>
      </c>
      <c r="K1060" s="16"/>
      <c r="L1060" s="16"/>
    </row>
    <row r="1061">
      <c r="A1061" s="40" t="s">
        <v>1519</v>
      </c>
      <c r="B1061" s="10" t="str">
        <f t="shared" si="1"/>
        <v>extra_muscle</v>
      </c>
      <c r="C1061" s="49" t="str">
        <f t="shared" si="2"/>
        <v>S16241XM1</v>
      </c>
      <c r="D1061" s="6">
        <v>35.0</v>
      </c>
      <c r="E1061" s="10" t="str">
        <f t="shared" si="3"/>
        <v>BXM35</v>
      </c>
      <c r="F1061" s="13">
        <v>10.0</v>
      </c>
      <c r="G1061" s="10" t="str">
        <f t="shared" si="7"/>
        <v>BXM35-10</v>
      </c>
      <c r="H1061" s="16"/>
      <c r="I1061" s="16" t="str">
        <f t="shared" si="5"/>
        <v>collected</v>
      </c>
      <c r="J1061" s="16" t="str">
        <f t="shared" si="6"/>
        <v>N</v>
      </c>
      <c r="K1061" s="16"/>
      <c r="L1061" s="16"/>
    </row>
    <row r="1062">
      <c r="A1062" s="40" t="s">
        <v>1520</v>
      </c>
      <c r="B1062" s="10" t="str">
        <f t="shared" si="1"/>
        <v>extra_muscle</v>
      </c>
      <c r="C1062" s="49" t="str">
        <f t="shared" si="2"/>
        <v>S16244XM1</v>
      </c>
      <c r="D1062" s="6">
        <v>35.0</v>
      </c>
      <c r="E1062" s="10" t="str">
        <f t="shared" si="3"/>
        <v>BXM35</v>
      </c>
      <c r="F1062" s="13">
        <v>11.0</v>
      </c>
      <c r="G1062" s="10" t="str">
        <f t="shared" si="7"/>
        <v>BXM35-11</v>
      </c>
      <c r="H1062" s="16"/>
      <c r="I1062" s="16" t="str">
        <f t="shared" si="5"/>
        <v>collected</v>
      </c>
      <c r="J1062" s="16" t="str">
        <f t="shared" si="6"/>
        <v>N</v>
      </c>
      <c r="K1062" s="16"/>
      <c r="L1062" s="16"/>
    </row>
    <row r="1063">
      <c r="A1063" s="40" t="s">
        <v>1521</v>
      </c>
      <c r="B1063" s="10" t="str">
        <f t="shared" si="1"/>
        <v>extra_muscle</v>
      </c>
      <c r="C1063" s="49" t="str">
        <f t="shared" si="2"/>
        <v>S16243XM1</v>
      </c>
      <c r="D1063" s="6">
        <v>35.0</v>
      </c>
      <c r="E1063" s="10" t="str">
        <f t="shared" si="3"/>
        <v>BXM35</v>
      </c>
      <c r="F1063" s="13">
        <v>12.0</v>
      </c>
      <c r="G1063" s="10" t="str">
        <f t="shared" si="7"/>
        <v>BXM35-12</v>
      </c>
      <c r="H1063" s="16"/>
      <c r="I1063" s="16" t="str">
        <f t="shared" si="5"/>
        <v>collected</v>
      </c>
      <c r="J1063" s="16" t="str">
        <f t="shared" si="6"/>
        <v>N</v>
      </c>
      <c r="K1063" s="16"/>
      <c r="L1063" s="16"/>
    </row>
    <row r="1064">
      <c r="A1064" s="40" t="s">
        <v>1524</v>
      </c>
      <c r="B1064" s="10" t="str">
        <f t="shared" si="1"/>
        <v>extra_muscle</v>
      </c>
      <c r="C1064" s="49" t="str">
        <f t="shared" si="2"/>
        <v>S16247XM1</v>
      </c>
      <c r="D1064" s="6">
        <v>35.0</v>
      </c>
      <c r="E1064" s="10" t="str">
        <f t="shared" si="3"/>
        <v>BXM35</v>
      </c>
      <c r="F1064" s="13">
        <v>13.0</v>
      </c>
      <c r="G1064" s="10" t="str">
        <f t="shared" si="7"/>
        <v>BXM35-13</v>
      </c>
      <c r="H1064" s="16"/>
      <c r="I1064" s="16" t="str">
        <f t="shared" si="5"/>
        <v>collected</v>
      </c>
      <c r="J1064" s="16" t="str">
        <f t="shared" si="6"/>
        <v>N</v>
      </c>
      <c r="K1064" s="16"/>
      <c r="L1064" s="16"/>
    </row>
    <row r="1065">
      <c r="A1065" s="40" t="s">
        <v>1525</v>
      </c>
      <c r="B1065" s="10" t="str">
        <f t="shared" si="1"/>
        <v>extra_muscle</v>
      </c>
      <c r="C1065" s="49" t="str">
        <f t="shared" si="2"/>
        <v>S16245XM1</v>
      </c>
      <c r="D1065" s="6">
        <v>35.0</v>
      </c>
      <c r="E1065" s="10" t="str">
        <f t="shared" si="3"/>
        <v>BXM35</v>
      </c>
      <c r="F1065" s="13">
        <v>14.0</v>
      </c>
      <c r="G1065" s="10" t="str">
        <f t="shared" si="7"/>
        <v>BXM35-14</v>
      </c>
      <c r="H1065" s="16"/>
      <c r="I1065" s="16" t="str">
        <f t="shared" si="5"/>
        <v>collected</v>
      </c>
      <c r="J1065" s="16" t="str">
        <f t="shared" si="6"/>
        <v>N</v>
      </c>
      <c r="K1065" s="16"/>
      <c r="L1065" s="16"/>
    </row>
    <row r="1066">
      <c r="A1066" s="40" t="s">
        <v>1526</v>
      </c>
      <c r="B1066" s="10" t="str">
        <f t="shared" si="1"/>
        <v>extra_muscle</v>
      </c>
      <c r="C1066" s="49" t="str">
        <f t="shared" si="2"/>
        <v>S16102XM1</v>
      </c>
      <c r="D1066" s="6">
        <v>35.0</v>
      </c>
      <c r="E1066" s="10" t="str">
        <f t="shared" si="3"/>
        <v>BXM35</v>
      </c>
      <c r="F1066" s="13">
        <v>15.0</v>
      </c>
      <c r="G1066" s="10" t="str">
        <f t="shared" si="7"/>
        <v>BXM35-15</v>
      </c>
      <c r="H1066" s="16"/>
      <c r="I1066" s="16" t="str">
        <f t="shared" si="5"/>
        <v>collected</v>
      </c>
      <c r="J1066" s="16" t="str">
        <f t="shared" si="6"/>
        <v>N</v>
      </c>
      <c r="K1066" s="16"/>
      <c r="L1066" s="16"/>
    </row>
    <row r="1067">
      <c r="A1067" s="40" t="s">
        <v>1529</v>
      </c>
      <c r="B1067" s="10" t="str">
        <f t="shared" si="1"/>
        <v>extra_muscle</v>
      </c>
      <c r="C1067" s="49" t="str">
        <f t="shared" si="2"/>
        <v>S16107XM1</v>
      </c>
      <c r="D1067" s="6">
        <v>35.0</v>
      </c>
      <c r="E1067" s="10" t="str">
        <f t="shared" si="3"/>
        <v>BXM35</v>
      </c>
      <c r="F1067" s="13">
        <v>16.0</v>
      </c>
      <c r="G1067" s="10" t="str">
        <f t="shared" si="7"/>
        <v>BXM35-16</v>
      </c>
      <c r="H1067" s="16"/>
      <c r="I1067" s="16" t="str">
        <f t="shared" si="5"/>
        <v>collected</v>
      </c>
      <c r="J1067" s="16" t="str">
        <f t="shared" si="6"/>
        <v>N</v>
      </c>
      <c r="K1067" s="16"/>
      <c r="L1067" s="16"/>
    </row>
    <row r="1068">
      <c r="A1068" s="40" t="s">
        <v>1530</v>
      </c>
      <c r="B1068" s="10" t="str">
        <f t="shared" si="1"/>
        <v>extra_muscle</v>
      </c>
      <c r="C1068" s="49" t="str">
        <f t="shared" si="2"/>
        <v>S16106XM1</v>
      </c>
      <c r="D1068" s="6">
        <v>35.0</v>
      </c>
      <c r="E1068" s="10" t="str">
        <f t="shared" si="3"/>
        <v>BXM35</v>
      </c>
      <c r="F1068" s="13">
        <v>17.0</v>
      </c>
      <c r="G1068" s="10" t="str">
        <f t="shared" si="7"/>
        <v>BXM35-17</v>
      </c>
      <c r="H1068" s="16"/>
      <c r="I1068" s="16" t="str">
        <f t="shared" si="5"/>
        <v>collected</v>
      </c>
      <c r="J1068" s="16" t="str">
        <f t="shared" si="6"/>
        <v>N</v>
      </c>
      <c r="K1068" s="16"/>
      <c r="L1068" s="16"/>
    </row>
    <row r="1069">
      <c r="A1069" s="40" t="s">
        <v>1531</v>
      </c>
      <c r="B1069" s="10" t="str">
        <f t="shared" si="1"/>
        <v>extra_muscle</v>
      </c>
      <c r="C1069" s="49" t="str">
        <f t="shared" si="2"/>
        <v>S16105XM1</v>
      </c>
      <c r="D1069" s="6">
        <v>35.0</v>
      </c>
      <c r="E1069" s="10" t="str">
        <f t="shared" si="3"/>
        <v>BXM35</v>
      </c>
      <c r="F1069" s="13">
        <v>18.0</v>
      </c>
      <c r="G1069" s="10" t="str">
        <f t="shared" si="7"/>
        <v>BXM35-18</v>
      </c>
      <c r="H1069" s="16"/>
      <c r="I1069" s="16" t="str">
        <f t="shared" si="5"/>
        <v>collected</v>
      </c>
      <c r="J1069" s="16" t="str">
        <f t="shared" si="6"/>
        <v>N</v>
      </c>
      <c r="K1069" s="16"/>
      <c r="L1069" s="16"/>
    </row>
    <row r="1070">
      <c r="A1070" s="40" t="s">
        <v>1532</v>
      </c>
      <c r="B1070" s="10" t="str">
        <f t="shared" si="1"/>
        <v>extra_muscle</v>
      </c>
      <c r="C1070" s="49" t="str">
        <f t="shared" si="2"/>
        <v>S16101XM1</v>
      </c>
      <c r="D1070" s="6">
        <v>35.0</v>
      </c>
      <c r="E1070" s="10" t="str">
        <f t="shared" si="3"/>
        <v>BXM35</v>
      </c>
      <c r="F1070" s="13">
        <v>19.0</v>
      </c>
      <c r="G1070" s="10" t="str">
        <f t="shared" si="7"/>
        <v>BXM35-19</v>
      </c>
      <c r="H1070" s="16"/>
      <c r="I1070" s="16" t="str">
        <f t="shared" si="5"/>
        <v>collected</v>
      </c>
      <c r="J1070" s="16" t="str">
        <f t="shared" si="6"/>
        <v>N</v>
      </c>
      <c r="K1070" s="16"/>
      <c r="L1070" s="16"/>
    </row>
    <row r="1071">
      <c r="A1071" s="40" t="s">
        <v>1534</v>
      </c>
      <c r="B1071" s="10" t="str">
        <f t="shared" si="1"/>
        <v>extra_muscle</v>
      </c>
      <c r="C1071" s="49" t="str">
        <f t="shared" si="2"/>
        <v>S16103XM1</v>
      </c>
      <c r="D1071" s="6">
        <v>35.0</v>
      </c>
      <c r="E1071" s="10" t="str">
        <f t="shared" si="3"/>
        <v>BXM35</v>
      </c>
      <c r="F1071" s="13">
        <v>20.0</v>
      </c>
      <c r="G1071" s="10" t="str">
        <f t="shared" si="7"/>
        <v>BXM35-20</v>
      </c>
      <c r="H1071" s="16"/>
      <c r="I1071" s="16" t="str">
        <f t="shared" si="5"/>
        <v>collected</v>
      </c>
      <c r="J1071" s="16" t="str">
        <f t="shared" si="6"/>
        <v>N</v>
      </c>
      <c r="K1071" s="16"/>
      <c r="L1071" s="16"/>
    </row>
    <row r="1072">
      <c r="A1072" s="40" t="s">
        <v>1536</v>
      </c>
      <c r="B1072" s="10" t="str">
        <f t="shared" si="1"/>
        <v>extra_muscle</v>
      </c>
      <c r="C1072" s="49" t="str">
        <f t="shared" si="2"/>
        <v>S16104XM1</v>
      </c>
      <c r="D1072" s="6">
        <v>35.0</v>
      </c>
      <c r="E1072" s="10" t="str">
        <f t="shared" si="3"/>
        <v>BXM35</v>
      </c>
      <c r="F1072" s="13">
        <v>21.0</v>
      </c>
      <c r="G1072" s="10" t="str">
        <f t="shared" si="7"/>
        <v>BXM35-21</v>
      </c>
      <c r="H1072" s="16"/>
      <c r="I1072" s="16" t="str">
        <f t="shared" si="5"/>
        <v>collected</v>
      </c>
      <c r="J1072" s="16" t="str">
        <f t="shared" si="6"/>
        <v>N</v>
      </c>
      <c r="K1072" s="16"/>
      <c r="L1072" s="16"/>
    </row>
    <row r="1073">
      <c r="A1073" s="40" t="s">
        <v>1537</v>
      </c>
      <c r="B1073" s="10" t="str">
        <f t="shared" si="1"/>
        <v>extra_muscle</v>
      </c>
      <c r="C1073" s="49" t="str">
        <f t="shared" si="2"/>
        <v>S16363XM1</v>
      </c>
      <c r="D1073" s="6">
        <v>35.0</v>
      </c>
      <c r="E1073" s="10" t="str">
        <f t="shared" si="3"/>
        <v>BXM35</v>
      </c>
      <c r="F1073" s="13">
        <v>22.0</v>
      </c>
      <c r="G1073" s="10" t="str">
        <f t="shared" si="7"/>
        <v>BXM35-22</v>
      </c>
      <c r="H1073" s="16"/>
      <c r="I1073" s="16" t="str">
        <f t="shared" si="5"/>
        <v>collected</v>
      </c>
      <c r="J1073" s="16" t="str">
        <f t="shared" si="6"/>
        <v>N</v>
      </c>
      <c r="K1073" s="16"/>
      <c r="L1073" s="16"/>
    </row>
    <row r="1074">
      <c r="A1074" s="40" t="s">
        <v>1538</v>
      </c>
      <c r="B1074" s="10" t="str">
        <f t="shared" si="1"/>
        <v>extra_muscle</v>
      </c>
      <c r="C1074" s="49" t="str">
        <f t="shared" si="2"/>
        <v>S16362XM1</v>
      </c>
      <c r="D1074" s="6">
        <v>35.0</v>
      </c>
      <c r="E1074" s="10" t="str">
        <f t="shared" si="3"/>
        <v>BXM35</v>
      </c>
      <c r="F1074" s="13">
        <v>23.0</v>
      </c>
      <c r="G1074" s="10" t="str">
        <f t="shared" si="7"/>
        <v>BXM35-23</v>
      </c>
      <c r="H1074" s="16"/>
      <c r="I1074" s="16" t="str">
        <f t="shared" si="5"/>
        <v>collected</v>
      </c>
      <c r="J1074" s="16" t="str">
        <f t="shared" si="6"/>
        <v>N</v>
      </c>
      <c r="K1074" s="16"/>
      <c r="L1074" s="16"/>
    </row>
    <row r="1075">
      <c r="A1075" s="40" t="s">
        <v>1539</v>
      </c>
      <c r="B1075" s="10" t="str">
        <f t="shared" si="1"/>
        <v>extra_muscle</v>
      </c>
      <c r="C1075" s="49" t="str">
        <f t="shared" si="2"/>
        <v>S16364XM1</v>
      </c>
      <c r="D1075" s="6">
        <v>35.0</v>
      </c>
      <c r="E1075" s="10" t="str">
        <f t="shared" si="3"/>
        <v>BXM35</v>
      </c>
      <c r="F1075" s="13">
        <v>24.0</v>
      </c>
      <c r="G1075" s="10" t="str">
        <f t="shared" si="7"/>
        <v>BXM35-24</v>
      </c>
      <c r="H1075" s="16"/>
      <c r="I1075" s="16" t="str">
        <f t="shared" si="5"/>
        <v>collected</v>
      </c>
      <c r="J1075" s="16" t="str">
        <f t="shared" si="6"/>
        <v>N</v>
      </c>
      <c r="K1075" s="16"/>
      <c r="L1075" s="16"/>
    </row>
    <row r="1076">
      <c r="A1076" s="40" t="s">
        <v>1540</v>
      </c>
      <c r="B1076" s="10" t="str">
        <f t="shared" si="1"/>
        <v>extra_muscle</v>
      </c>
      <c r="C1076" s="49" t="str">
        <f t="shared" si="2"/>
        <v>S16361XM1</v>
      </c>
      <c r="D1076" s="6">
        <v>35.0</v>
      </c>
      <c r="E1076" s="10" t="str">
        <f t="shared" si="3"/>
        <v>BXM35</v>
      </c>
      <c r="F1076" s="13">
        <v>25.0</v>
      </c>
      <c r="G1076" s="10" t="str">
        <f t="shared" si="7"/>
        <v>BXM35-25</v>
      </c>
      <c r="H1076" s="16"/>
      <c r="I1076" s="16" t="str">
        <f t="shared" si="5"/>
        <v>collected</v>
      </c>
      <c r="J1076" s="16" t="str">
        <f t="shared" si="6"/>
        <v>N</v>
      </c>
      <c r="K1076" s="16"/>
      <c r="L1076" s="16"/>
    </row>
    <row r="1077">
      <c r="A1077" s="40" t="s">
        <v>1542</v>
      </c>
      <c r="B1077" s="10" t="str">
        <f t="shared" si="1"/>
        <v>extra_muscle</v>
      </c>
      <c r="C1077" s="49" t="str">
        <f t="shared" si="2"/>
        <v>S17391XM1</v>
      </c>
      <c r="D1077" s="6">
        <v>35.0</v>
      </c>
      <c r="E1077" s="10" t="str">
        <f t="shared" si="3"/>
        <v>BXM35</v>
      </c>
      <c r="F1077" s="13">
        <v>26.0</v>
      </c>
      <c r="G1077" s="10" t="str">
        <f t="shared" si="7"/>
        <v>BXM35-26</v>
      </c>
      <c r="H1077" s="16"/>
      <c r="I1077" s="16" t="str">
        <f t="shared" si="5"/>
        <v>collected</v>
      </c>
      <c r="J1077" s="16" t="str">
        <f t="shared" si="6"/>
        <v>N</v>
      </c>
      <c r="K1077" s="16"/>
      <c r="L1077" s="16"/>
    </row>
    <row r="1078">
      <c r="A1078" s="40" t="s">
        <v>1544</v>
      </c>
      <c r="B1078" s="10" t="str">
        <f t="shared" si="1"/>
        <v>extra_muscle</v>
      </c>
      <c r="C1078" s="49" t="str">
        <f t="shared" si="2"/>
        <v>S16391XM1</v>
      </c>
      <c r="D1078" s="6">
        <v>35.0</v>
      </c>
      <c r="E1078" s="10" t="str">
        <f t="shared" si="3"/>
        <v>BXM35</v>
      </c>
      <c r="F1078" s="13">
        <v>27.0</v>
      </c>
      <c r="G1078" s="10" t="str">
        <f t="shared" si="7"/>
        <v>BXM35-27</v>
      </c>
      <c r="H1078" s="16"/>
      <c r="I1078" s="16" t="str">
        <f t="shared" si="5"/>
        <v>collected</v>
      </c>
      <c r="J1078" s="16" t="str">
        <f t="shared" si="6"/>
        <v>N</v>
      </c>
      <c r="K1078" s="16"/>
      <c r="L1078" s="16"/>
    </row>
    <row r="1079">
      <c r="A1079" s="40" t="s">
        <v>1545</v>
      </c>
      <c r="B1079" s="10" t="str">
        <f t="shared" si="1"/>
        <v>extra_muscle</v>
      </c>
      <c r="C1079" s="49" t="str">
        <f t="shared" si="2"/>
        <v>S17011XM1</v>
      </c>
      <c r="D1079" s="6">
        <v>35.0</v>
      </c>
      <c r="E1079" s="10" t="str">
        <f t="shared" si="3"/>
        <v>BXM35</v>
      </c>
      <c r="F1079" s="13">
        <v>28.0</v>
      </c>
      <c r="G1079" s="10" t="str">
        <f t="shared" si="7"/>
        <v>BXM35-28</v>
      </c>
      <c r="H1079" s="16"/>
      <c r="I1079" s="16" t="str">
        <f t="shared" si="5"/>
        <v>collected</v>
      </c>
      <c r="J1079" s="16" t="str">
        <f t="shared" si="6"/>
        <v>N</v>
      </c>
      <c r="K1079" s="16"/>
      <c r="L1079" s="16"/>
    </row>
    <row r="1080">
      <c r="A1080" s="40" t="s">
        <v>1547</v>
      </c>
      <c r="B1080" s="10" t="str">
        <f t="shared" si="1"/>
        <v>extra_muscle</v>
      </c>
      <c r="C1080" s="49" t="str">
        <f t="shared" si="2"/>
        <v>S16811XM1</v>
      </c>
      <c r="D1080" s="6">
        <v>35.0</v>
      </c>
      <c r="E1080" s="10" t="str">
        <f t="shared" si="3"/>
        <v>BXM35</v>
      </c>
      <c r="F1080" s="13">
        <v>29.0</v>
      </c>
      <c r="G1080" s="10" t="str">
        <f t="shared" si="7"/>
        <v>BXM35-29</v>
      </c>
      <c r="H1080" s="16"/>
      <c r="I1080" s="16" t="str">
        <f t="shared" si="5"/>
        <v>collected</v>
      </c>
      <c r="J1080" s="16" t="str">
        <f t="shared" si="6"/>
        <v>N</v>
      </c>
      <c r="K1080" s="16"/>
      <c r="L1080" s="16"/>
    </row>
    <row r="1081">
      <c r="A1081" s="40" t="s">
        <v>1549</v>
      </c>
      <c r="B1081" s="10" t="str">
        <f t="shared" si="1"/>
        <v>extra_muscle</v>
      </c>
      <c r="C1081" s="49" t="str">
        <f t="shared" si="2"/>
        <v>S16815XM1</v>
      </c>
      <c r="D1081" s="6">
        <v>35.0</v>
      </c>
      <c r="E1081" s="10" t="str">
        <f t="shared" si="3"/>
        <v>BXM35</v>
      </c>
      <c r="F1081" s="13">
        <v>30.0</v>
      </c>
      <c r="G1081" s="10" t="str">
        <f t="shared" si="7"/>
        <v>BXM35-30</v>
      </c>
      <c r="H1081" s="16"/>
      <c r="I1081" s="16" t="str">
        <f t="shared" si="5"/>
        <v>collected</v>
      </c>
      <c r="J1081" s="16" t="str">
        <f t="shared" si="6"/>
        <v>N</v>
      </c>
      <c r="K1081" s="16"/>
      <c r="L1081" s="16"/>
    </row>
    <row r="1082">
      <c r="A1082" s="40" t="s">
        <v>1550</v>
      </c>
      <c r="B1082" s="10" t="str">
        <f t="shared" si="1"/>
        <v>extra_muscle</v>
      </c>
      <c r="C1082" s="49" t="str">
        <f t="shared" si="2"/>
        <v>S16818XM1</v>
      </c>
      <c r="D1082" s="6">
        <v>35.0</v>
      </c>
      <c r="E1082" s="10" t="str">
        <f t="shared" si="3"/>
        <v>BXM35</v>
      </c>
      <c r="F1082" s="13">
        <v>31.0</v>
      </c>
      <c r="G1082" s="10" t="str">
        <f t="shared" si="7"/>
        <v>BXM35-31</v>
      </c>
      <c r="H1082" s="16"/>
      <c r="I1082" s="16" t="str">
        <f t="shared" si="5"/>
        <v>collected</v>
      </c>
      <c r="J1082" s="16" t="str">
        <f t="shared" si="6"/>
        <v>N</v>
      </c>
      <c r="K1082" s="16"/>
      <c r="L1082" s="16"/>
    </row>
    <row r="1083">
      <c r="A1083" s="40" t="s">
        <v>1552</v>
      </c>
      <c r="B1083" s="10" t="str">
        <f t="shared" si="1"/>
        <v>extra_muscle</v>
      </c>
      <c r="C1083" s="49" t="str">
        <f t="shared" si="2"/>
        <v>S16816XM1</v>
      </c>
      <c r="D1083" s="6">
        <v>35.0</v>
      </c>
      <c r="E1083" s="10" t="str">
        <f t="shared" si="3"/>
        <v>BXM35</v>
      </c>
      <c r="F1083" s="13">
        <v>32.0</v>
      </c>
      <c r="G1083" s="10" t="str">
        <f t="shared" si="7"/>
        <v>BXM35-32</v>
      </c>
      <c r="H1083" s="16"/>
      <c r="I1083" s="16" t="str">
        <f t="shared" si="5"/>
        <v>collected</v>
      </c>
      <c r="J1083" s="16" t="str">
        <f t="shared" si="6"/>
        <v>N</v>
      </c>
      <c r="K1083" s="16"/>
      <c r="L1083" s="16"/>
    </row>
    <row r="1084">
      <c r="A1084" s="40" t="s">
        <v>1554</v>
      </c>
      <c r="B1084" s="10" t="str">
        <f t="shared" si="1"/>
        <v>extra_muscle</v>
      </c>
      <c r="C1084" s="49" t="str">
        <f t="shared" si="2"/>
        <v>S16820XM1</v>
      </c>
      <c r="D1084" s="6">
        <v>35.0</v>
      </c>
      <c r="E1084" s="10" t="str">
        <f t="shared" si="3"/>
        <v>BXM35</v>
      </c>
      <c r="F1084" s="13">
        <v>33.0</v>
      </c>
      <c r="G1084" s="10" t="str">
        <f t="shared" si="7"/>
        <v>BXM35-33</v>
      </c>
      <c r="H1084" s="16"/>
      <c r="I1084" s="16" t="str">
        <f t="shared" si="5"/>
        <v>collected</v>
      </c>
      <c r="J1084" s="16" t="str">
        <f t="shared" si="6"/>
        <v>N</v>
      </c>
      <c r="K1084" s="16"/>
      <c r="L1084" s="16"/>
    </row>
    <row r="1085">
      <c r="A1085" s="40" t="s">
        <v>1555</v>
      </c>
      <c r="B1085" s="10" t="str">
        <f t="shared" si="1"/>
        <v>extra_muscle</v>
      </c>
      <c r="C1085" s="49" t="str">
        <f t="shared" si="2"/>
        <v>S16819XM1</v>
      </c>
      <c r="D1085" s="6">
        <v>35.0</v>
      </c>
      <c r="E1085" s="10" t="str">
        <f t="shared" si="3"/>
        <v>BXM35</v>
      </c>
      <c r="F1085" s="13">
        <v>34.0</v>
      </c>
      <c r="G1085" s="10" t="str">
        <f t="shared" si="7"/>
        <v>BXM35-34</v>
      </c>
      <c r="H1085" s="16"/>
      <c r="I1085" s="16" t="str">
        <f t="shared" si="5"/>
        <v>collected</v>
      </c>
      <c r="J1085" s="16" t="str">
        <f t="shared" si="6"/>
        <v>N</v>
      </c>
      <c r="K1085" s="16"/>
      <c r="L1085" s="16"/>
    </row>
    <row r="1086">
      <c r="A1086" s="40" t="s">
        <v>1556</v>
      </c>
      <c r="B1086" s="10" t="str">
        <f t="shared" si="1"/>
        <v>extra_muscle</v>
      </c>
      <c r="C1086" s="49" t="str">
        <f t="shared" si="2"/>
        <v>S16813XM1</v>
      </c>
      <c r="D1086" s="6">
        <v>35.0</v>
      </c>
      <c r="E1086" s="10" t="str">
        <f t="shared" si="3"/>
        <v>BXM35</v>
      </c>
      <c r="F1086" s="13">
        <v>35.0</v>
      </c>
      <c r="G1086" s="10" t="str">
        <f t="shared" si="7"/>
        <v>BXM35-35</v>
      </c>
      <c r="H1086" s="16"/>
      <c r="I1086" s="16" t="str">
        <f t="shared" si="5"/>
        <v>collected</v>
      </c>
      <c r="J1086" s="16" t="str">
        <f t="shared" si="6"/>
        <v>N</v>
      </c>
      <c r="K1086" s="16"/>
      <c r="L1086" s="16"/>
    </row>
    <row r="1087">
      <c r="A1087" s="40" t="s">
        <v>1558</v>
      </c>
      <c r="B1087" s="10" t="str">
        <f t="shared" si="1"/>
        <v>extra_muscle</v>
      </c>
      <c r="C1087" s="49" t="str">
        <f t="shared" si="2"/>
        <v>S16812XM1</v>
      </c>
      <c r="D1087" s="6">
        <v>35.0</v>
      </c>
      <c r="E1087" s="10" t="str">
        <f t="shared" si="3"/>
        <v>BXM35</v>
      </c>
      <c r="F1087" s="13">
        <v>36.0</v>
      </c>
      <c r="G1087" s="10" t="str">
        <f t="shared" si="7"/>
        <v>BXM35-36</v>
      </c>
      <c r="H1087" s="16"/>
      <c r="I1087" s="16" t="str">
        <f t="shared" si="5"/>
        <v>collected</v>
      </c>
      <c r="J1087" s="16" t="str">
        <f t="shared" si="6"/>
        <v>N</v>
      </c>
      <c r="K1087" s="16"/>
      <c r="L1087" s="16"/>
    </row>
    <row r="1088">
      <c r="A1088" s="40" t="s">
        <v>1560</v>
      </c>
      <c r="B1088" s="10" t="str">
        <f t="shared" si="1"/>
        <v>extra_muscle</v>
      </c>
      <c r="C1088" s="49" t="str">
        <f t="shared" si="2"/>
        <v>S16817XM1</v>
      </c>
      <c r="D1088" s="6">
        <v>35.0</v>
      </c>
      <c r="E1088" s="10" t="str">
        <f t="shared" si="3"/>
        <v>BXM35</v>
      </c>
      <c r="F1088" s="13">
        <v>37.0</v>
      </c>
      <c r="G1088" s="10" t="str">
        <f t="shared" si="7"/>
        <v>BXM35-37</v>
      </c>
      <c r="H1088" s="16"/>
      <c r="I1088" s="16" t="str">
        <f t="shared" si="5"/>
        <v>collected</v>
      </c>
      <c r="J1088" s="16" t="str">
        <f t="shared" si="6"/>
        <v>N</v>
      </c>
      <c r="K1088" s="16"/>
      <c r="L1088" s="16"/>
    </row>
    <row r="1089">
      <c r="A1089" s="40" t="s">
        <v>1561</v>
      </c>
      <c r="B1089" s="10" t="str">
        <f t="shared" si="1"/>
        <v>extra_muscle</v>
      </c>
      <c r="C1089" s="49" t="str">
        <f t="shared" si="2"/>
        <v>S16814XM1</v>
      </c>
      <c r="D1089" s="6">
        <v>35.0</v>
      </c>
      <c r="E1089" s="10" t="str">
        <f t="shared" si="3"/>
        <v>BXM35</v>
      </c>
      <c r="F1089" s="13">
        <v>38.0</v>
      </c>
      <c r="G1089" s="10" t="str">
        <f t="shared" si="7"/>
        <v>BXM35-38</v>
      </c>
      <c r="H1089" s="16"/>
      <c r="I1089" s="16" t="str">
        <f t="shared" si="5"/>
        <v>collected</v>
      </c>
      <c r="J1089" s="16" t="str">
        <f t="shared" si="6"/>
        <v>N</v>
      </c>
      <c r="K1089" s="16"/>
      <c r="L1089" s="16"/>
    </row>
    <row r="1090">
      <c r="A1090" s="40" t="s">
        <v>1563</v>
      </c>
      <c r="B1090" s="10" t="str">
        <f t="shared" si="1"/>
        <v>extra_muscle</v>
      </c>
      <c r="C1090" s="49" t="str">
        <f t="shared" si="2"/>
        <v>S17138XM1</v>
      </c>
      <c r="D1090" s="6">
        <v>35.0</v>
      </c>
      <c r="E1090" s="10" t="str">
        <f t="shared" si="3"/>
        <v>BXM35</v>
      </c>
      <c r="F1090" s="13">
        <v>39.0</v>
      </c>
      <c r="G1090" s="10" t="str">
        <f t="shared" si="7"/>
        <v>BXM35-39</v>
      </c>
      <c r="H1090" s="16"/>
      <c r="I1090" s="16" t="str">
        <f t="shared" si="5"/>
        <v>collected</v>
      </c>
      <c r="J1090" s="16" t="str">
        <f t="shared" si="6"/>
        <v>N</v>
      </c>
      <c r="K1090" s="16"/>
      <c r="L1090" s="16"/>
    </row>
    <row r="1091">
      <c r="A1091" s="40" t="s">
        <v>1564</v>
      </c>
      <c r="B1091" s="10" t="str">
        <f t="shared" si="1"/>
        <v>extra_muscle</v>
      </c>
      <c r="C1091" s="49" t="str">
        <f t="shared" si="2"/>
        <v>S17131XM1</v>
      </c>
      <c r="D1091" s="6">
        <v>35.0</v>
      </c>
      <c r="E1091" s="10" t="str">
        <f t="shared" si="3"/>
        <v>BXM35</v>
      </c>
      <c r="F1091" s="13">
        <v>40.0</v>
      </c>
      <c r="G1091" s="10" t="str">
        <f t="shared" si="7"/>
        <v>BXM35-40</v>
      </c>
      <c r="H1091" s="16"/>
      <c r="I1091" s="16" t="str">
        <f t="shared" si="5"/>
        <v>collected</v>
      </c>
      <c r="J1091" s="16" t="str">
        <f t="shared" si="6"/>
        <v>N</v>
      </c>
      <c r="K1091" s="16"/>
      <c r="L1091" s="16"/>
    </row>
    <row r="1092">
      <c r="A1092" s="40" t="s">
        <v>1565</v>
      </c>
      <c r="B1092" s="10" t="str">
        <f t="shared" si="1"/>
        <v>extra_muscle</v>
      </c>
      <c r="C1092" s="49" t="str">
        <f t="shared" si="2"/>
        <v>S17133XM1</v>
      </c>
      <c r="D1092" s="6">
        <v>35.0</v>
      </c>
      <c r="E1092" s="10" t="str">
        <f t="shared" si="3"/>
        <v>BXM35</v>
      </c>
      <c r="F1092" s="13">
        <v>41.0</v>
      </c>
      <c r="G1092" s="10" t="str">
        <f t="shared" si="7"/>
        <v>BXM35-41</v>
      </c>
      <c r="H1092" s="16"/>
      <c r="I1092" s="16" t="str">
        <f t="shared" si="5"/>
        <v>collected</v>
      </c>
      <c r="J1092" s="16" t="str">
        <f t="shared" si="6"/>
        <v>N</v>
      </c>
      <c r="K1092" s="16"/>
      <c r="L1092" s="16"/>
    </row>
    <row r="1093">
      <c r="A1093" s="40" t="s">
        <v>1566</v>
      </c>
      <c r="B1093" s="10" t="str">
        <f t="shared" si="1"/>
        <v>extra_muscle</v>
      </c>
      <c r="C1093" s="49" t="str">
        <f t="shared" si="2"/>
        <v>S17135XM1</v>
      </c>
      <c r="D1093" s="6">
        <v>35.0</v>
      </c>
      <c r="E1093" s="10" t="str">
        <f t="shared" si="3"/>
        <v>BXM35</v>
      </c>
      <c r="F1093" s="13">
        <v>42.0</v>
      </c>
      <c r="G1093" s="10" t="str">
        <f t="shared" si="7"/>
        <v>BXM35-42</v>
      </c>
      <c r="H1093" s="16"/>
      <c r="I1093" s="16" t="str">
        <f t="shared" si="5"/>
        <v>collected</v>
      </c>
      <c r="J1093" s="16" t="str">
        <f t="shared" si="6"/>
        <v>N</v>
      </c>
      <c r="K1093" s="16"/>
      <c r="L1093" s="16"/>
    </row>
    <row r="1094">
      <c r="A1094" s="40" t="s">
        <v>1567</v>
      </c>
      <c r="B1094" s="10" t="str">
        <f t="shared" si="1"/>
        <v>extra_muscle</v>
      </c>
      <c r="C1094" s="49" t="str">
        <f t="shared" si="2"/>
        <v>S17136XM1</v>
      </c>
      <c r="D1094" s="6">
        <v>35.0</v>
      </c>
      <c r="E1094" s="10" t="str">
        <f t="shared" si="3"/>
        <v>BXM35</v>
      </c>
      <c r="F1094" s="13">
        <v>43.0</v>
      </c>
      <c r="G1094" s="10" t="str">
        <f t="shared" si="7"/>
        <v>BXM35-43</v>
      </c>
      <c r="H1094" s="16"/>
      <c r="I1094" s="16" t="str">
        <f t="shared" si="5"/>
        <v>collected</v>
      </c>
      <c r="J1094" s="16" t="str">
        <f t="shared" si="6"/>
        <v>N</v>
      </c>
      <c r="K1094" s="16"/>
      <c r="L1094" s="16"/>
    </row>
    <row r="1095">
      <c r="A1095" s="40" t="s">
        <v>1568</v>
      </c>
      <c r="B1095" s="10" t="str">
        <f t="shared" si="1"/>
        <v>extra_muscle</v>
      </c>
      <c r="C1095" s="49" t="str">
        <f t="shared" si="2"/>
        <v>S17139XM1</v>
      </c>
      <c r="D1095" s="6">
        <v>35.0</v>
      </c>
      <c r="E1095" s="10" t="str">
        <f t="shared" si="3"/>
        <v>BXM35</v>
      </c>
      <c r="F1095" s="13">
        <v>44.0</v>
      </c>
      <c r="G1095" s="10" t="str">
        <f t="shared" si="7"/>
        <v>BXM35-44</v>
      </c>
      <c r="H1095" s="16"/>
      <c r="I1095" s="16" t="str">
        <f t="shared" si="5"/>
        <v>collected</v>
      </c>
      <c r="J1095" s="16" t="str">
        <f t="shared" si="6"/>
        <v>N</v>
      </c>
      <c r="K1095" s="16"/>
      <c r="L1095" s="16"/>
    </row>
    <row r="1096">
      <c r="A1096" s="40" t="s">
        <v>1571</v>
      </c>
      <c r="B1096" s="10" t="str">
        <f t="shared" si="1"/>
        <v>extra_muscle</v>
      </c>
      <c r="C1096" s="49" t="str">
        <f t="shared" si="2"/>
        <v>S17140XM1</v>
      </c>
      <c r="D1096" s="6">
        <v>35.0</v>
      </c>
      <c r="E1096" s="10" t="str">
        <f t="shared" si="3"/>
        <v>BXM35</v>
      </c>
      <c r="F1096" s="13">
        <v>45.0</v>
      </c>
      <c r="G1096" s="10" t="str">
        <f t="shared" si="7"/>
        <v>BXM35-45</v>
      </c>
      <c r="H1096" s="16"/>
      <c r="I1096" s="16" t="str">
        <f t="shared" si="5"/>
        <v>collected</v>
      </c>
      <c r="J1096" s="16" t="str">
        <f t="shared" si="6"/>
        <v>N</v>
      </c>
      <c r="K1096" s="16"/>
      <c r="L1096" s="16"/>
    </row>
    <row r="1097">
      <c r="A1097" s="40" t="s">
        <v>1572</v>
      </c>
      <c r="B1097" s="10" t="str">
        <f t="shared" si="1"/>
        <v>extra_muscle</v>
      </c>
      <c r="C1097" s="49" t="str">
        <f t="shared" si="2"/>
        <v>S17137XM1</v>
      </c>
      <c r="D1097" s="6">
        <v>35.0</v>
      </c>
      <c r="E1097" s="10" t="str">
        <f t="shared" si="3"/>
        <v>BXM35</v>
      </c>
      <c r="F1097" s="13">
        <v>46.0</v>
      </c>
      <c r="G1097" s="10" t="str">
        <f t="shared" si="7"/>
        <v>BXM35-46</v>
      </c>
      <c r="H1097" s="16"/>
      <c r="I1097" s="16" t="str">
        <f t="shared" si="5"/>
        <v>collected</v>
      </c>
      <c r="J1097" s="16" t="str">
        <f t="shared" si="6"/>
        <v>N</v>
      </c>
      <c r="K1097" s="16"/>
      <c r="L1097" s="16"/>
    </row>
    <row r="1098">
      <c r="A1098" s="40" t="s">
        <v>1574</v>
      </c>
      <c r="B1098" s="10" t="str">
        <f t="shared" si="1"/>
        <v>extra_muscle</v>
      </c>
      <c r="C1098" s="49" t="str">
        <f t="shared" si="2"/>
        <v>S17134XM1</v>
      </c>
      <c r="D1098" s="6">
        <v>35.0</v>
      </c>
      <c r="E1098" s="10" t="str">
        <f t="shared" si="3"/>
        <v>BXM35</v>
      </c>
      <c r="F1098" s="13">
        <v>47.0</v>
      </c>
      <c r="G1098" s="10" t="str">
        <f t="shared" si="7"/>
        <v>BXM35-47</v>
      </c>
      <c r="H1098" s="16"/>
      <c r="I1098" s="16" t="str">
        <f t="shared" si="5"/>
        <v>collected</v>
      </c>
      <c r="J1098" s="16" t="str">
        <f t="shared" si="6"/>
        <v>N</v>
      </c>
      <c r="K1098" s="16"/>
      <c r="L1098" s="16"/>
    </row>
    <row r="1099">
      <c r="A1099" s="40" t="s">
        <v>1576</v>
      </c>
      <c r="B1099" s="10" t="str">
        <f t="shared" si="1"/>
        <v>extra_muscle</v>
      </c>
      <c r="C1099" s="49" t="str">
        <f t="shared" si="2"/>
        <v>S17132XM1</v>
      </c>
      <c r="D1099" s="6">
        <v>35.0</v>
      </c>
      <c r="E1099" s="10" t="str">
        <f t="shared" si="3"/>
        <v>BXM35</v>
      </c>
      <c r="F1099" s="13">
        <v>48.0</v>
      </c>
      <c r="G1099" s="10" t="str">
        <f t="shared" si="7"/>
        <v>BXM35-48</v>
      </c>
      <c r="H1099" s="16"/>
      <c r="I1099" s="16" t="str">
        <f t="shared" si="5"/>
        <v>collected</v>
      </c>
      <c r="J1099" s="16" t="str">
        <f t="shared" si="6"/>
        <v>N</v>
      </c>
      <c r="K1099" s="16"/>
      <c r="L1099" s="16"/>
    </row>
    <row r="1100">
      <c r="A1100" s="40" t="s">
        <v>1578</v>
      </c>
      <c r="B1100" s="10" t="str">
        <f t="shared" si="1"/>
        <v>extra_muscle</v>
      </c>
      <c r="C1100" s="49" t="str">
        <f t="shared" si="2"/>
        <v>S17227XM1</v>
      </c>
      <c r="D1100" s="6">
        <v>34.0</v>
      </c>
      <c r="E1100" s="10" t="str">
        <f t="shared" si="3"/>
        <v>BXM34</v>
      </c>
      <c r="F1100" s="13">
        <v>23.0</v>
      </c>
      <c r="G1100" s="10" t="str">
        <f t="shared" si="7"/>
        <v>BXM34-23</v>
      </c>
      <c r="H1100" s="16"/>
      <c r="I1100" s="16" t="str">
        <f t="shared" si="5"/>
        <v>collected</v>
      </c>
      <c r="J1100" s="16" t="str">
        <f t="shared" si="6"/>
        <v>N</v>
      </c>
      <c r="K1100" s="16"/>
      <c r="L1100" s="16"/>
    </row>
    <row r="1101">
      <c r="A1101" s="40" t="s">
        <v>1579</v>
      </c>
      <c r="B1101" s="10" t="str">
        <f t="shared" si="1"/>
        <v>extra_muscle</v>
      </c>
      <c r="C1101" s="49" t="str">
        <f t="shared" si="2"/>
        <v>S17222XM1</v>
      </c>
      <c r="D1101" s="6">
        <v>34.0</v>
      </c>
      <c r="E1101" s="10" t="str">
        <f t="shared" si="3"/>
        <v>BXM34</v>
      </c>
      <c r="F1101" s="13">
        <v>24.0</v>
      </c>
      <c r="G1101" s="10" t="str">
        <f t="shared" si="7"/>
        <v>BXM34-24</v>
      </c>
      <c r="H1101" s="16"/>
      <c r="I1101" s="16" t="str">
        <f t="shared" si="5"/>
        <v>collected</v>
      </c>
      <c r="J1101" s="16" t="str">
        <f t="shared" si="6"/>
        <v>N</v>
      </c>
      <c r="K1101" s="16"/>
      <c r="L1101" s="16"/>
    </row>
    <row r="1102">
      <c r="A1102" s="40" t="s">
        <v>1580</v>
      </c>
      <c r="B1102" s="10" t="str">
        <f t="shared" si="1"/>
        <v>extra_muscle</v>
      </c>
      <c r="C1102" s="49" t="str">
        <f t="shared" si="2"/>
        <v>S17221XM1</v>
      </c>
      <c r="D1102" s="6">
        <v>34.0</v>
      </c>
      <c r="E1102" s="10" t="str">
        <f t="shared" si="3"/>
        <v>BXM34</v>
      </c>
      <c r="F1102" s="13">
        <v>25.0</v>
      </c>
      <c r="G1102" s="10" t="str">
        <f t="shared" si="7"/>
        <v>BXM34-25</v>
      </c>
      <c r="H1102" s="16"/>
      <c r="I1102" s="16" t="str">
        <f t="shared" si="5"/>
        <v>collected</v>
      </c>
      <c r="J1102" s="16" t="str">
        <f t="shared" si="6"/>
        <v>N</v>
      </c>
      <c r="K1102" s="16"/>
      <c r="L1102" s="16"/>
    </row>
    <row r="1103">
      <c r="A1103" s="40" t="s">
        <v>1583</v>
      </c>
      <c r="B1103" s="10" t="str">
        <f t="shared" si="1"/>
        <v>extra_muscle</v>
      </c>
      <c r="C1103" s="49" t="str">
        <f t="shared" si="2"/>
        <v>S17223XM1</v>
      </c>
      <c r="D1103" s="6">
        <v>34.0</v>
      </c>
      <c r="E1103" s="10" t="str">
        <f t="shared" si="3"/>
        <v>BXM34</v>
      </c>
      <c r="F1103" s="13">
        <v>26.0</v>
      </c>
      <c r="G1103" s="10" t="str">
        <f t="shared" si="7"/>
        <v>BXM34-26</v>
      </c>
      <c r="H1103" s="16"/>
      <c r="I1103" s="16" t="str">
        <f t="shared" si="5"/>
        <v>collected</v>
      </c>
      <c r="J1103" s="16" t="str">
        <f t="shared" si="6"/>
        <v>N</v>
      </c>
      <c r="K1103" s="16"/>
      <c r="L1103" s="16"/>
    </row>
    <row r="1104">
      <c r="A1104" s="40" t="s">
        <v>1585</v>
      </c>
      <c r="B1104" s="10" t="str">
        <f t="shared" si="1"/>
        <v>extra_muscle</v>
      </c>
      <c r="C1104" s="49" t="str">
        <f t="shared" si="2"/>
        <v>S17224XM1</v>
      </c>
      <c r="D1104" s="6">
        <v>34.0</v>
      </c>
      <c r="E1104" s="10" t="str">
        <f t="shared" si="3"/>
        <v>BXM34</v>
      </c>
      <c r="F1104" s="13">
        <v>27.0</v>
      </c>
      <c r="G1104" s="10" t="str">
        <f t="shared" si="7"/>
        <v>BXM34-27</v>
      </c>
      <c r="H1104" s="16"/>
      <c r="I1104" s="16" t="str">
        <f t="shared" si="5"/>
        <v>collected</v>
      </c>
      <c r="J1104" s="16" t="str">
        <f t="shared" si="6"/>
        <v>N</v>
      </c>
      <c r="K1104" s="16"/>
      <c r="L1104" s="16"/>
    </row>
    <row r="1105">
      <c r="A1105" s="40" t="s">
        <v>1586</v>
      </c>
      <c r="B1105" s="10" t="str">
        <f t="shared" si="1"/>
        <v>extra_muscle</v>
      </c>
      <c r="C1105" s="49" t="str">
        <f t="shared" si="2"/>
        <v>S17230XM1</v>
      </c>
      <c r="D1105" s="6">
        <v>34.0</v>
      </c>
      <c r="E1105" s="10" t="str">
        <f t="shared" si="3"/>
        <v>BXM34</v>
      </c>
      <c r="F1105" s="13">
        <v>28.0</v>
      </c>
      <c r="G1105" s="10" t="str">
        <f t="shared" si="7"/>
        <v>BXM34-28</v>
      </c>
      <c r="H1105" s="16"/>
      <c r="I1105" s="16" t="str">
        <f t="shared" si="5"/>
        <v>collected</v>
      </c>
      <c r="J1105" s="16" t="str">
        <f t="shared" si="6"/>
        <v>N</v>
      </c>
      <c r="K1105" s="16"/>
      <c r="L1105" s="16"/>
    </row>
    <row r="1106">
      <c r="A1106" s="40" t="s">
        <v>1587</v>
      </c>
      <c r="B1106" s="10" t="str">
        <f t="shared" si="1"/>
        <v>extra_muscle</v>
      </c>
      <c r="C1106" s="49" t="str">
        <f t="shared" si="2"/>
        <v>S17225XM1</v>
      </c>
      <c r="D1106" s="6">
        <v>34.0</v>
      </c>
      <c r="E1106" s="10" t="str">
        <f t="shared" si="3"/>
        <v>BXM34</v>
      </c>
      <c r="F1106" s="13">
        <v>29.0</v>
      </c>
      <c r="G1106" s="10" t="str">
        <f t="shared" si="7"/>
        <v>BXM34-29</v>
      </c>
      <c r="H1106" s="16"/>
      <c r="I1106" s="16" t="str">
        <f t="shared" si="5"/>
        <v>collected</v>
      </c>
      <c r="J1106" s="16" t="str">
        <f t="shared" si="6"/>
        <v>N</v>
      </c>
      <c r="K1106" s="16"/>
      <c r="L1106" s="16"/>
    </row>
    <row r="1107">
      <c r="A1107" s="40" t="s">
        <v>1588</v>
      </c>
      <c r="B1107" s="10" t="str">
        <f t="shared" si="1"/>
        <v>extra_muscle</v>
      </c>
      <c r="C1107" s="49" t="str">
        <f t="shared" si="2"/>
        <v>S17226XM1</v>
      </c>
      <c r="D1107" s="6">
        <v>34.0</v>
      </c>
      <c r="E1107" s="10" t="str">
        <f t="shared" si="3"/>
        <v>BXM34</v>
      </c>
      <c r="F1107" s="13">
        <v>30.0</v>
      </c>
      <c r="G1107" s="10" t="str">
        <f t="shared" si="7"/>
        <v>BXM34-30</v>
      </c>
      <c r="H1107" s="16"/>
      <c r="I1107" s="16" t="str">
        <f t="shared" si="5"/>
        <v>collected</v>
      </c>
      <c r="J1107" s="16" t="str">
        <f t="shared" si="6"/>
        <v>N</v>
      </c>
      <c r="K1107" s="16"/>
      <c r="L1107" s="16"/>
    </row>
    <row r="1108">
      <c r="A1108" s="40" t="s">
        <v>1589</v>
      </c>
      <c r="B1108" s="10" t="str">
        <f t="shared" si="1"/>
        <v>extra_muscle</v>
      </c>
      <c r="C1108" s="49" t="str">
        <f t="shared" si="2"/>
        <v>S17228XM1</v>
      </c>
      <c r="D1108" s="6">
        <v>34.0</v>
      </c>
      <c r="E1108" s="10" t="str">
        <f t="shared" si="3"/>
        <v>BXM34</v>
      </c>
      <c r="F1108" s="13">
        <v>31.0</v>
      </c>
      <c r="G1108" s="10" t="str">
        <f t="shared" si="7"/>
        <v>BXM34-31</v>
      </c>
      <c r="H1108" s="16"/>
      <c r="I1108" s="16" t="str">
        <f t="shared" si="5"/>
        <v>collected</v>
      </c>
      <c r="J1108" s="16" t="str">
        <f t="shared" si="6"/>
        <v>N</v>
      </c>
      <c r="K1108" s="16"/>
      <c r="L1108" s="16"/>
    </row>
    <row r="1109">
      <c r="A1109" s="40" t="s">
        <v>1591</v>
      </c>
      <c r="B1109" s="10" t="str">
        <f t="shared" si="1"/>
        <v>extra_muscle</v>
      </c>
      <c r="C1109" s="49" t="str">
        <f t="shared" si="2"/>
        <v>S16407XM1</v>
      </c>
      <c r="D1109" s="6">
        <v>35.0</v>
      </c>
      <c r="E1109" s="10" t="str">
        <f t="shared" si="3"/>
        <v>BXM35</v>
      </c>
      <c r="F1109" s="13">
        <v>49.0</v>
      </c>
      <c r="G1109" s="10" t="str">
        <f t="shared" si="7"/>
        <v>BXM35-49</v>
      </c>
      <c r="H1109" s="16"/>
      <c r="I1109" s="16" t="str">
        <f t="shared" si="5"/>
        <v>collected</v>
      </c>
      <c r="J1109" s="16" t="str">
        <f t="shared" si="6"/>
        <v>N</v>
      </c>
      <c r="K1109" s="16"/>
      <c r="L1109" s="16"/>
    </row>
    <row r="1110">
      <c r="A1110" s="40" t="s">
        <v>1592</v>
      </c>
      <c r="B1110" s="10" t="str">
        <f t="shared" si="1"/>
        <v>extra_muscle</v>
      </c>
      <c r="C1110" s="49" t="str">
        <f t="shared" si="2"/>
        <v>S16410XM1</v>
      </c>
      <c r="D1110" s="6">
        <v>35.0</v>
      </c>
      <c r="E1110" s="10" t="str">
        <f t="shared" si="3"/>
        <v>BXM35</v>
      </c>
      <c r="F1110" s="13">
        <v>50.0</v>
      </c>
      <c r="G1110" s="10" t="str">
        <f t="shared" si="7"/>
        <v>BXM35-50</v>
      </c>
      <c r="H1110" s="16"/>
      <c r="I1110" s="16" t="str">
        <f t="shared" si="5"/>
        <v>collected</v>
      </c>
      <c r="J1110" s="16" t="str">
        <f t="shared" si="6"/>
        <v>N</v>
      </c>
      <c r="K1110" s="16"/>
      <c r="L1110" s="16"/>
    </row>
    <row r="1111">
      <c r="A1111" s="40" t="s">
        <v>1593</v>
      </c>
      <c r="B1111" s="10" t="str">
        <f t="shared" si="1"/>
        <v>extra_muscle</v>
      </c>
      <c r="C1111" s="49" t="str">
        <f t="shared" si="2"/>
        <v>S16403XM1</v>
      </c>
      <c r="D1111" s="6">
        <v>35.0</v>
      </c>
      <c r="E1111" s="10" t="str">
        <f t="shared" si="3"/>
        <v>BXM35</v>
      </c>
      <c r="F1111" s="13">
        <v>51.0</v>
      </c>
      <c r="G1111" s="10" t="str">
        <f t="shared" si="7"/>
        <v>BXM35-51</v>
      </c>
      <c r="H1111" s="16"/>
      <c r="I1111" s="16" t="str">
        <f t="shared" si="5"/>
        <v>collected</v>
      </c>
      <c r="J1111" s="16" t="str">
        <f t="shared" si="6"/>
        <v>N</v>
      </c>
      <c r="K1111" s="16"/>
      <c r="L1111" s="16"/>
    </row>
    <row r="1112">
      <c r="A1112" s="40" t="s">
        <v>1594</v>
      </c>
      <c r="B1112" s="10" t="str">
        <f t="shared" si="1"/>
        <v>extra_muscle</v>
      </c>
      <c r="C1112" s="49" t="str">
        <f t="shared" si="2"/>
        <v>S16402XM1</v>
      </c>
      <c r="D1112" s="6">
        <v>35.0</v>
      </c>
      <c r="E1112" s="10" t="str">
        <f t="shared" si="3"/>
        <v>BXM35</v>
      </c>
      <c r="F1112" s="13">
        <v>52.0</v>
      </c>
      <c r="G1112" s="10" t="str">
        <f t="shared" si="7"/>
        <v>BXM35-52</v>
      </c>
      <c r="H1112" s="16"/>
      <c r="I1112" s="16" t="str">
        <f t="shared" si="5"/>
        <v>collected</v>
      </c>
      <c r="J1112" s="16" t="str">
        <f t="shared" si="6"/>
        <v>N</v>
      </c>
      <c r="K1112" s="16"/>
      <c r="L1112" s="16"/>
    </row>
    <row r="1113">
      <c r="A1113" s="40" t="s">
        <v>1596</v>
      </c>
      <c r="B1113" s="10" t="str">
        <f t="shared" si="1"/>
        <v>extra_muscle</v>
      </c>
      <c r="C1113" s="49" t="str">
        <f t="shared" si="2"/>
        <v>S16409XM1</v>
      </c>
      <c r="D1113" s="6">
        <v>35.0</v>
      </c>
      <c r="E1113" s="10" t="str">
        <f t="shared" si="3"/>
        <v>BXM35</v>
      </c>
      <c r="F1113" s="13">
        <v>53.0</v>
      </c>
      <c r="G1113" s="10" t="str">
        <f t="shared" si="7"/>
        <v>BXM35-53</v>
      </c>
      <c r="H1113" s="6" t="s">
        <v>1597</v>
      </c>
      <c r="I1113" s="16" t="str">
        <f t="shared" si="5"/>
        <v>collected</v>
      </c>
      <c r="J1113" s="16" t="str">
        <f t="shared" si="6"/>
        <v>N</v>
      </c>
      <c r="K1113" s="16"/>
      <c r="L1113" s="16"/>
    </row>
    <row r="1114">
      <c r="A1114" s="40" t="s">
        <v>1598</v>
      </c>
      <c r="B1114" s="10" t="str">
        <f t="shared" si="1"/>
        <v>extra_muscle</v>
      </c>
      <c r="C1114" s="49" t="str">
        <f t="shared" si="2"/>
        <v>S16404XM1</v>
      </c>
      <c r="D1114" s="6">
        <v>35.0</v>
      </c>
      <c r="E1114" s="10" t="str">
        <f t="shared" si="3"/>
        <v>BXM35</v>
      </c>
      <c r="F1114" s="13">
        <v>54.0</v>
      </c>
      <c r="G1114" s="10" t="str">
        <f t="shared" si="7"/>
        <v>BXM35-54</v>
      </c>
      <c r="H1114" s="16"/>
      <c r="I1114" s="16" t="str">
        <f t="shared" si="5"/>
        <v>collected</v>
      </c>
      <c r="J1114" s="16" t="str">
        <f t="shared" si="6"/>
        <v>N</v>
      </c>
      <c r="K1114" s="16"/>
      <c r="L1114" s="16"/>
    </row>
    <row r="1115">
      <c r="A1115" s="40" t="s">
        <v>1599</v>
      </c>
      <c r="B1115" s="10" t="str">
        <f t="shared" si="1"/>
        <v>extra_muscle</v>
      </c>
      <c r="C1115" s="49" t="str">
        <f t="shared" si="2"/>
        <v>S16401XM1</v>
      </c>
      <c r="D1115" s="6">
        <v>35.0</v>
      </c>
      <c r="E1115" s="10" t="str">
        <f t="shared" si="3"/>
        <v>BXM35</v>
      </c>
      <c r="F1115" s="13">
        <v>55.0</v>
      </c>
      <c r="G1115" s="10" t="str">
        <f t="shared" si="7"/>
        <v>BXM35-55</v>
      </c>
      <c r="H1115" s="16"/>
      <c r="I1115" s="16" t="str">
        <f t="shared" si="5"/>
        <v>collected</v>
      </c>
      <c r="J1115" s="16" t="str">
        <f t="shared" si="6"/>
        <v>N</v>
      </c>
      <c r="K1115" s="16"/>
      <c r="L1115" s="16"/>
    </row>
    <row r="1116">
      <c r="A1116" s="40" t="s">
        <v>1600</v>
      </c>
      <c r="B1116" s="10" t="str">
        <f t="shared" si="1"/>
        <v>extra_muscle</v>
      </c>
      <c r="C1116" s="49" t="str">
        <f t="shared" si="2"/>
        <v>S16405XM1</v>
      </c>
      <c r="D1116" s="6">
        <v>35.0</v>
      </c>
      <c r="E1116" s="10" t="str">
        <f t="shared" si="3"/>
        <v>BXM35</v>
      </c>
      <c r="F1116" s="13">
        <v>56.0</v>
      </c>
      <c r="G1116" s="10" t="str">
        <f t="shared" si="7"/>
        <v>BXM35-56</v>
      </c>
      <c r="H1116" s="16"/>
      <c r="I1116" s="16" t="str">
        <f t="shared" si="5"/>
        <v>collected</v>
      </c>
      <c r="J1116" s="16" t="str">
        <f t="shared" si="6"/>
        <v>N</v>
      </c>
      <c r="K1116" s="16"/>
      <c r="L1116" s="16"/>
    </row>
    <row r="1117">
      <c r="A1117" s="40" t="s">
        <v>1602</v>
      </c>
      <c r="B1117" s="10" t="str">
        <f t="shared" si="1"/>
        <v>extra_muscle</v>
      </c>
      <c r="C1117" s="49" t="str">
        <f t="shared" si="2"/>
        <v>S16408XM1</v>
      </c>
      <c r="D1117" s="6">
        <v>35.0</v>
      </c>
      <c r="E1117" s="10" t="str">
        <f t="shared" si="3"/>
        <v>BXM35</v>
      </c>
      <c r="F1117" s="13">
        <v>57.0</v>
      </c>
      <c r="G1117" s="10" t="str">
        <f t="shared" si="7"/>
        <v>BXM35-57</v>
      </c>
      <c r="H1117" s="16"/>
      <c r="I1117" s="16" t="str">
        <f t="shared" si="5"/>
        <v>collected</v>
      </c>
      <c r="J1117" s="16" t="str">
        <f t="shared" si="6"/>
        <v>N</v>
      </c>
      <c r="K1117" s="16"/>
      <c r="L1117" s="16"/>
    </row>
    <row r="1118">
      <c r="A1118" s="40" t="s">
        <v>1604</v>
      </c>
      <c r="B1118" s="10" t="str">
        <f t="shared" si="1"/>
        <v>extra_muscle</v>
      </c>
      <c r="C1118" s="49" t="str">
        <f t="shared" si="2"/>
        <v>S16406XM1</v>
      </c>
      <c r="D1118" s="6">
        <v>35.0</v>
      </c>
      <c r="E1118" s="10" t="str">
        <f t="shared" si="3"/>
        <v>BXM35</v>
      </c>
      <c r="F1118" s="13">
        <v>58.0</v>
      </c>
      <c r="G1118" s="10" t="str">
        <f t="shared" si="7"/>
        <v>BXM35-58</v>
      </c>
      <c r="H1118" s="16"/>
      <c r="I1118" s="16" t="str">
        <f t="shared" si="5"/>
        <v>collected</v>
      </c>
      <c r="J1118" s="16" t="str">
        <f t="shared" si="6"/>
        <v>N</v>
      </c>
      <c r="K1118" s="16"/>
      <c r="L1118" s="16"/>
    </row>
    <row r="1119">
      <c r="A1119" s="40" t="s">
        <v>1606</v>
      </c>
      <c r="B1119" s="10" t="str">
        <f t="shared" si="1"/>
        <v>extra_muscle</v>
      </c>
      <c r="C1119" s="49" t="str">
        <f t="shared" si="2"/>
        <v>S17610XM1</v>
      </c>
      <c r="D1119" s="6">
        <v>35.0</v>
      </c>
      <c r="E1119" s="10" t="str">
        <f t="shared" si="3"/>
        <v>BXM35</v>
      </c>
      <c r="F1119" s="13">
        <v>59.0</v>
      </c>
      <c r="G1119" s="10" t="str">
        <f t="shared" si="7"/>
        <v>BXM35-59</v>
      </c>
      <c r="H1119" s="16"/>
      <c r="I1119" s="16" t="str">
        <f t="shared" si="5"/>
        <v>collected</v>
      </c>
      <c r="J1119" s="16" t="str">
        <f t="shared" si="6"/>
        <v>N</v>
      </c>
      <c r="K1119" s="16"/>
      <c r="L1119" s="16"/>
    </row>
    <row r="1120">
      <c r="A1120" s="40" t="s">
        <v>1607</v>
      </c>
      <c r="B1120" s="10" t="str">
        <f t="shared" si="1"/>
        <v>extra_muscle</v>
      </c>
      <c r="C1120" s="49" t="str">
        <f t="shared" si="2"/>
        <v>S17608XM1</v>
      </c>
      <c r="D1120" s="6">
        <v>35.0</v>
      </c>
      <c r="E1120" s="10" t="str">
        <f t="shared" si="3"/>
        <v>BXM35</v>
      </c>
      <c r="F1120" s="13">
        <v>60.0</v>
      </c>
      <c r="G1120" s="10" t="str">
        <f t="shared" si="7"/>
        <v>BXM35-60</v>
      </c>
      <c r="H1120" s="16"/>
      <c r="I1120" s="16" t="str">
        <f t="shared" si="5"/>
        <v>collected</v>
      </c>
      <c r="J1120" s="16" t="str">
        <f t="shared" si="6"/>
        <v>N</v>
      </c>
      <c r="K1120" s="16"/>
      <c r="L1120" s="16"/>
    </row>
    <row r="1121">
      <c r="A1121" s="40" t="s">
        <v>1608</v>
      </c>
      <c r="B1121" s="10" t="str">
        <f t="shared" si="1"/>
        <v>extra_muscle</v>
      </c>
      <c r="C1121" s="49" t="str">
        <f t="shared" si="2"/>
        <v>S17604XM1</v>
      </c>
      <c r="D1121" s="6">
        <v>35.0</v>
      </c>
      <c r="E1121" s="10" t="str">
        <f t="shared" si="3"/>
        <v>BXM35</v>
      </c>
      <c r="F1121" s="13">
        <v>61.0</v>
      </c>
      <c r="G1121" s="10" t="str">
        <f t="shared" si="7"/>
        <v>BXM35-61</v>
      </c>
      <c r="H1121" s="16"/>
      <c r="I1121" s="16" t="str">
        <f t="shared" si="5"/>
        <v>collected</v>
      </c>
      <c r="J1121" s="16" t="str">
        <f t="shared" si="6"/>
        <v>N</v>
      </c>
      <c r="K1121" s="16"/>
      <c r="L1121" s="16"/>
    </row>
    <row r="1122">
      <c r="A1122" s="40" t="s">
        <v>1609</v>
      </c>
      <c r="B1122" s="10" t="str">
        <f t="shared" si="1"/>
        <v>extra_muscle</v>
      </c>
      <c r="C1122" s="49" t="str">
        <f t="shared" si="2"/>
        <v>S17609XM1</v>
      </c>
      <c r="D1122" s="6">
        <v>35.0</v>
      </c>
      <c r="E1122" s="10" t="str">
        <f t="shared" si="3"/>
        <v>BXM35</v>
      </c>
      <c r="F1122" s="13">
        <v>62.0</v>
      </c>
      <c r="G1122" s="10" t="str">
        <f t="shared" si="7"/>
        <v>BXM35-62</v>
      </c>
      <c r="H1122" s="16"/>
      <c r="I1122" s="16" t="str">
        <f t="shared" si="5"/>
        <v>collected</v>
      </c>
      <c r="J1122" s="16" t="str">
        <f t="shared" si="6"/>
        <v>N</v>
      </c>
      <c r="K1122" s="16"/>
      <c r="L1122" s="16"/>
    </row>
    <row r="1123">
      <c r="A1123" s="40" t="s">
        <v>1610</v>
      </c>
      <c r="B1123" s="10" t="str">
        <f t="shared" si="1"/>
        <v>extra_muscle</v>
      </c>
      <c r="C1123" s="49" t="str">
        <f t="shared" si="2"/>
        <v>S17605XM1</v>
      </c>
      <c r="D1123" s="6">
        <v>35.0</v>
      </c>
      <c r="E1123" s="10" t="str">
        <f t="shared" si="3"/>
        <v>BXM35</v>
      </c>
      <c r="F1123" s="13">
        <v>63.0</v>
      </c>
      <c r="G1123" s="10" t="str">
        <f t="shared" si="7"/>
        <v>BXM35-63</v>
      </c>
      <c r="H1123" s="16"/>
      <c r="I1123" s="16" t="str">
        <f t="shared" si="5"/>
        <v>collected</v>
      </c>
      <c r="J1123" s="16" t="str">
        <f t="shared" si="6"/>
        <v>N</v>
      </c>
      <c r="K1123" s="16"/>
      <c r="L1123" s="16"/>
    </row>
    <row r="1124">
      <c r="A1124" s="40" t="s">
        <v>1612</v>
      </c>
      <c r="B1124" s="10" t="str">
        <f t="shared" si="1"/>
        <v>extra_muscle</v>
      </c>
      <c r="C1124" s="49" t="str">
        <f t="shared" si="2"/>
        <v>S17603XM1</v>
      </c>
      <c r="D1124" s="6">
        <v>35.0</v>
      </c>
      <c r="E1124" s="10" t="str">
        <f t="shared" si="3"/>
        <v>BXM35</v>
      </c>
      <c r="F1124" s="13">
        <v>64.0</v>
      </c>
      <c r="G1124" s="10" t="str">
        <f t="shared" si="7"/>
        <v>BXM35-64</v>
      </c>
      <c r="H1124" s="16"/>
      <c r="I1124" s="16" t="str">
        <f t="shared" si="5"/>
        <v>collected</v>
      </c>
      <c r="J1124" s="16" t="str">
        <f t="shared" si="6"/>
        <v>N</v>
      </c>
      <c r="K1124" s="16"/>
      <c r="L1124" s="16"/>
    </row>
    <row r="1125">
      <c r="A1125" s="40" t="s">
        <v>1613</v>
      </c>
      <c r="B1125" s="10" t="str">
        <f t="shared" si="1"/>
        <v>extra_muscle</v>
      </c>
      <c r="C1125" s="49" t="str">
        <f t="shared" si="2"/>
        <v>S17606XM1</v>
      </c>
      <c r="D1125" s="6">
        <v>35.0</v>
      </c>
      <c r="E1125" s="10" t="str">
        <f t="shared" si="3"/>
        <v>BXM35</v>
      </c>
      <c r="F1125" s="13">
        <v>65.0</v>
      </c>
      <c r="G1125" s="10" t="str">
        <f t="shared" si="7"/>
        <v>BXM35-65</v>
      </c>
      <c r="H1125" s="16"/>
      <c r="I1125" s="16" t="str">
        <f t="shared" si="5"/>
        <v>collected</v>
      </c>
      <c r="J1125" s="16" t="str">
        <f t="shared" si="6"/>
        <v>N</v>
      </c>
      <c r="K1125" s="16"/>
      <c r="L1125" s="16"/>
    </row>
    <row r="1126">
      <c r="A1126" s="16" t="s">
        <v>1614</v>
      </c>
      <c r="B1126" s="10" t="str">
        <f t="shared" si="1"/>
        <v>extra_muscle</v>
      </c>
      <c r="C1126" s="49" t="str">
        <f t="shared" si="2"/>
        <v>S17229XM1</v>
      </c>
      <c r="D1126" s="6">
        <v>34.0</v>
      </c>
      <c r="E1126" s="10" t="str">
        <f t="shared" si="3"/>
        <v>BXM34</v>
      </c>
      <c r="F1126" s="41">
        <v>32.0</v>
      </c>
      <c r="G1126" s="10" t="str">
        <f t="shared" si="7"/>
        <v>BXM34-32</v>
      </c>
      <c r="H1126" s="16"/>
      <c r="I1126" s="16" t="str">
        <f t="shared" si="5"/>
        <v>collected</v>
      </c>
      <c r="J1126" s="16" t="str">
        <f t="shared" si="6"/>
        <v>N</v>
      </c>
      <c r="K1126" s="16"/>
      <c r="L1126" s="16"/>
    </row>
    <row r="1127">
      <c r="A1127" s="16" t="s">
        <v>1615</v>
      </c>
      <c r="B1127" s="10" t="str">
        <f t="shared" si="1"/>
        <v>extra_muscle</v>
      </c>
      <c r="C1127" s="49" t="str">
        <f t="shared" si="2"/>
        <v>S16880XM1</v>
      </c>
      <c r="D1127" s="6">
        <v>34.0</v>
      </c>
      <c r="E1127" s="10" t="str">
        <f t="shared" si="3"/>
        <v>BXM34</v>
      </c>
      <c r="F1127" s="41">
        <v>33.0</v>
      </c>
      <c r="G1127" s="10" t="str">
        <f t="shared" si="7"/>
        <v>BXM34-33</v>
      </c>
      <c r="H1127" s="16"/>
      <c r="I1127" s="16" t="str">
        <f t="shared" si="5"/>
        <v>collected</v>
      </c>
      <c r="J1127" s="16" t="str">
        <f t="shared" si="6"/>
        <v>N</v>
      </c>
      <c r="K1127" s="16"/>
      <c r="L1127" s="16"/>
    </row>
    <row r="1128">
      <c r="A1128" s="16" t="s">
        <v>1618</v>
      </c>
      <c r="B1128" s="10" t="str">
        <f t="shared" si="1"/>
        <v>extra_muscle</v>
      </c>
      <c r="C1128" s="49" t="str">
        <f t="shared" si="2"/>
        <v>S16876XM1</v>
      </c>
      <c r="D1128" s="6">
        <v>34.0</v>
      </c>
      <c r="E1128" s="10" t="str">
        <f t="shared" si="3"/>
        <v>BXM34</v>
      </c>
      <c r="F1128" s="41">
        <v>34.0</v>
      </c>
      <c r="G1128" s="10" t="str">
        <f t="shared" si="7"/>
        <v>BXM34-34</v>
      </c>
      <c r="H1128" s="16"/>
      <c r="I1128" s="16" t="str">
        <f t="shared" si="5"/>
        <v>collected</v>
      </c>
      <c r="J1128" s="16" t="str">
        <f t="shared" si="6"/>
        <v>N</v>
      </c>
      <c r="K1128" s="16"/>
      <c r="L1128" s="16"/>
    </row>
    <row r="1129">
      <c r="A1129" s="16" t="s">
        <v>1619</v>
      </c>
      <c r="B1129" s="10" t="str">
        <f t="shared" si="1"/>
        <v>extra_muscle</v>
      </c>
      <c r="C1129" s="49" t="str">
        <f t="shared" si="2"/>
        <v>S16877XM1</v>
      </c>
      <c r="D1129" s="6">
        <v>34.0</v>
      </c>
      <c r="E1129" s="10" t="str">
        <f t="shared" si="3"/>
        <v>BXM34</v>
      </c>
      <c r="F1129" s="41">
        <v>35.0</v>
      </c>
      <c r="G1129" s="10" t="str">
        <f t="shared" si="7"/>
        <v>BXM34-35</v>
      </c>
      <c r="H1129" s="16"/>
      <c r="I1129" s="16" t="str">
        <f t="shared" si="5"/>
        <v>collected</v>
      </c>
      <c r="J1129" s="16" t="str">
        <f t="shared" si="6"/>
        <v>N</v>
      </c>
      <c r="K1129" s="16"/>
      <c r="L1129" s="16"/>
    </row>
    <row r="1130">
      <c r="A1130" s="16" t="s">
        <v>1620</v>
      </c>
      <c r="B1130" s="10" t="str">
        <f t="shared" si="1"/>
        <v>extra_muscle</v>
      </c>
      <c r="C1130" s="49" t="str">
        <f t="shared" si="2"/>
        <v>S16879XM1</v>
      </c>
      <c r="D1130" s="6">
        <v>34.0</v>
      </c>
      <c r="E1130" s="10" t="str">
        <f t="shared" si="3"/>
        <v>BXM34</v>
      </c>
      <c r="F1130" s="41">
        <v>36.0</v>
      </c>
      <c r="G1130" s="10" t="str">
        <f t="shared" si="7"/>
        <v>BXM34-36</v>
      </c>
      <c r="H1130" s="16"/>
      <c r="I1130" s="16" t="str">
        <f t="shared" si="5"/>
        <v>collected</v>
      </c>
      <c r="J1130" s="16" t="str">
        <f t="shared" si="6"/>
        <v>N</v>
      </c>
      <c r="K1130" s="16"/>
      <c r="L1130" s="16"/>
    </row>
    <row r="1131">
      <c r="A1131" s="16" t="s">
        <v>1621</v>
      </c>
      <c r="B1131" s="10" t="str">
        <f t="shared" si="1"/>
        <v>extra_muscle</v>
      </c>
      <c r="C1131" s="49" t="str">
        <f t="shared" si="2"/>
        <v>S16875XM1</v>
      </c>
      <c r="D1131" s="6">
        <v>34.0</v>
      </c>
      <c r="E1131" s="10" t="str">
        <f t="shared" si="3"/>
        <v>BXM34</v>
      </c>
      <c r="F1131" s="41">
        <v>37.0</v>
      </c>
      <c r="G1131" s="10" t="str">
        <f t="shared" si="7"/>
        <v>BXM34-37</v>
      </c>
      <c r="H1131" s="16"/>
      <c r="I1131" s="16" t="str">
        <f t="shared" si="5"/>
        <v>collected</v>
      </c>
      <c r="J1131" s="16" t="str">
        <f t="shared" si="6"/>
        <v>N</v>
      </c>
      <c r="K1131" s="16"/>
      <c r="L1131" s="16"/>
    </row>
    <row r="1132">
      <c r="A1132" s="16" t="s">
        <v>1623</v>
      </c>
      <c r="B1132" s="10" t="str">
        <f t="shared" si="1"/>
        <v>extra_muscle</v>
      </c>
      <c r="C1132" s="49" t="str">
        <f t="shared" si="2"/>
        <v>S16874XM1</v>
      </c>
      <c r="D1132" s="6">
        <v>34.0</v>
      </c>
      <c r="E1132" s="10" t="str">
        <f t="shared" si="3"/>
        <v>BXM34</v>
      </c>
      <c r="F1132" s="41">
        <v>38.0</v>
      </c>
      <c r="G1132" s="10" t="str">
        <f t="shared" si="7"/>
        <v>BXM34-38</v>
      </c>
      <c r="H1132" s="16"/>
      <c r="I1132" s="16" t="str">
        <f t="shared" si="5"/>
        <v>collected</v>
      </c>
      <c r="J1132" s="16" t="str">
        <f t="shared" si="6"/>
        <v>N</v>
      </c>
      <c r="K1132" s="16"/>
      <c r="L1132" s="16"/>
    </row>
    <row r="1133">
      <c r="A1133" s="16" t="s">
        <v>1624</v>
      </c>
      <c r="B1133" s="10" t="str">
        <f t="shared" si="1"/>
        <v>extra_muscle</v>
      </c>
      <c r="C1133" s="49" t="str">
        <f t="shared" si="2"/>
        <v>S16878XM1</v>
      </c>
      <c r="D1133" s="6">
        <v>34.0</v>
      </c>
      <c r="E1133" s="10" t="str">
        <f t="shared" si="3"/>
        <v>BXM34</v>
      </c>
      <c r="F1133" s="41">
        <v>39.0</v>
      </c>
      <c r="G1133" s="10" t="str">
        <f t="shared" si="7"/>
        <v>BXM34-39</v>
      </c>
      <c r="H1133" s="16"/>
      <c r="I1133" s="16" t="str">
        <f t="shared" si="5"/>
        <v>collected</v>
      </c>
      <c r="J1133" s="16" t="str">
        <f t="shared" si="6"/>
        <v>N</v>
      </c>
      <c r="K1133" s="16"/>
      <c r="L1133" s="16"/>
    </row>
    <row r="1134">
      <c r="A1134" s="16" t="s">
        <v>1625</v>
      </c>
      <c r="B1134" s="10" t="str">
        <f t="shared" si="1"/>
        <v>extra_muscle</v>
      </c>
      <c r="C1134" s="49" t="str">
        <f t="shared" si="2"/>
        <v>S16872XM1</v>
      </c>
      <c r="D1134" s="6">
        <v>34.0</v>
      </c>
      <c r="E1134" s="10" t="str">
        <f t="shared" si="3"/>
        <v>BXM34</v>
      </c>
      <c r="F1134" s="41">
        <v>40.0</v>
      </c>
      <c r="G1134" s="10" t="str">
        <f t="shared" si="7"/>
        <v>BXM34-40</v>
      </c>
      <c r="H1134" s="16"/>
      <c r="I1134" s="16" t="str">
        <f t="shared" si="5"/>
        <v>collected</v>
      </c>
      <c r="J1134" s="16" t="str">
        <f t="shared" si="6"/>
        <v>N</v>
      </c>
      <c r="K1134" s="16"/>
      <c r="L1134" s="16"/>
    </row>
    <row r="1135">
      <c r="A1135" s="16" t="s">
        <v>1626</v>
      </c>
      <c r="B1135" s="10" t="str">
        <f t="shared" si="1"/>
        <v>extra_muscle</v>
      </c>
      <c r="C1135" s="49" t="str">
        <f t="shared" si="2"/>
        <v>S16873XM1</v>
      </c>
      <c r="D1135" s="6">
        <v>34.0</v>
      </c>
      <c r="E1135" s="10" t="str">
        <f t="shared" si="3"/>
        <v>BXM34</v>
      </c>
      <c r="F1135" s="41">
        <v>41.0</v>
      </c>
      <c r="G1135" s="10" t="str">
        <f t="shared" si="7"/>
        <v>BXM34-41</v>
      </c>
      <c r="H1135" s="16"/>
      <c r="I1135" s="16" t="str">
        <f t="shared" si="5"/>
        <v>collected</v>
      </c>
      <c r="J1135" s="16" t="str">
        <f t="shared" si="6"/>
        <v>N</v>
      </c>
      <c r="K1135" s="16"/>
      <c r="L1135" s="16"/>
    </row>
    <row r="1136">
      <c r="A1136" s="16" t="s">
        <v>1627</v>
      </c>
      <c r="B1136" s="10" t="str">
        <f t="shared" si="1"/>
        <v>extra_muscle</v>
      </c>
      <c r="C1136" s="49" t="str">
        <f t="shared" si="2"/>
        <v>S16871XM1</v>
      </c>
      <c r="D1136" s="6">
        <v>34.0</v>
      </c>
      <c r="E1136" s="10" t="str">
        <f t="shared" si="3"/>
        <v>BXM34</v>
      </c>
      <c r="F1136" s="41">
        <v>42.0</v>
      </c>
      <c r="G1136" s="10" t="str">
        <f t="shared" si="7"/>
        <v>BXM34-42</v>
      </c>
      <c r="H1136" s="16"/>
      <c r="I1136" s="16" t="str">
        <f t="shared" si="5"/>
        <v>collected</v>
      </c>
      <c r="J1136" s="16" t="str">
        <f t="shared" si="6"/>
        <v>N</v>
      </c>
      <c r="K1136" s="16"/>
      <c r="L1136" s="16"/>
    </row>
    <row r="1137">
      <c r="A1137" s="16" t="s">
        <v>1629</v>
      </c>
      <c r="B1137" s="10" t="str">
        <f t="shared" si="1"/>
        <v>extra_muscle</v>
      </c>
      <c r="C1137" s="49" t="str">
        <f t="shared" si="2"/>
        <v>S17560XM1</v>
      </c>
      <c r="D1137" s="6">
        <v>34.0</v>
      </c>
      <c r="E1137" s="10" t="str">
        <f t="shared" si="3"/>
        <v>BXM34</v>
      </c>
      <c r="F1137" s="41">
        <v>43.0</v>
      </c>
      <c r="G1137" s="10" t="str">
        <f t="shared" si="7"/>
        <v>BXM34-43</v>
      </c>
      <c r="H1137" s="16"/>
      <c r="I1137" s="16" t="str">
        <f t="shared" si="5"/>
        <v>collected</v>
      </c>
      <c r="J1137" s="16" t="str">
        <f t="shared" si="6"/>
        <v>N</v>
      </c>
      <c r="K1137" s="16"/>
      <c r="L1137" s="16"/>
    </row>
    <row r="1138">
      <c r="A1138" s="16" t="s">
        <v>1630</v>
      </c>
      <c r="B1138" s="10" t="str">
        <f t="shared" si="1"/>
        <v>extra_muscle</v>
      </c>
      <c r="C1138" s="49" t="str">
        <f t="shared" si="2"/>
        <v>S17552XM1</v>
      </c>
      <c r="D1138" s="6">
        <v>34.0</v>
      </c>
      <c r="E1138" s="10" t="str">
        <f t="shared" si="3"/>
        <v>BXM34</v>
      </c>
      <c r="F1138" s="41">
        <v>44.0</v>
      </c>
      <c r="G1138" s="10" t="str">
        <f t="shared" si="7"/>
        <v>BXM34-44</v>
      </c>
      <c r="H1138" s="16"/>
      <c r="I1138" s="16" t="str">
        <f t="shared" si="5"/>
        <v>collected</v>
      </c>
      <c r="J1138" s="16" t="str">
        <f t="shared" si="6"/>
        <v>N</v>
      </c>
      <c r="K1138" s="16"/>
      <c r="L1138" s="16"/>
    </row>
    <row r="1139">
      <c r="A1139" s="16" t="s">
        <v>1632</v>
      </c>
      <c r="B1139" s="10" t="str">
        <f t="shared" si="1"/>
        <v>extra_muscle</v>
      </c>
      <c r="C1139" s="49" t="str">
        <f t="shared" si="2"/>
        <v>S17551XM1</v>
      </c>
      <c r="D1139" s="6">
        <v>34.0</v>
      </c>
      <c r="E1139" s="10" t="str">
        <f t="shared" si="3"/>
        <v>BXM34</v>
      </c>
      <c r="F1139" s="41">
        <v>45.0</v>
      </c>
      <c r="G1139" s="10" t="str">
        <f t="shared" si="7"/>
        <v>BXM34-45</v>
      </c>
      <c r="H1139" s="16"/>
      <c r="I1139" s="16" t="str">
        <f t="shared" si="5"/>
        <v>collected</v>
      </c>
      <c r="J1139" s="16" t="str">
        <f t="shared" si="6"/>
        <v>N</v>
      </c>
      <c r="K1139" s="16"/>
      <c r="L1139" s="16"/>
    </row>
    <row r="1140">
      <c r="A1140" s="16" t="s">
        <v>1633</v>
      </c>
      <c r="B1140" s="10" t="str">
        <f t="shared" si="1"/>
        <v>extra_muscle</v>
      </c>
      <c r="C1140" s="49" t="str">
        <f t="shared" si="2"/>
        <v>S17553XM1</v>
      </c>
      <c r="D1140" s="6">
        <v>34.0</v>
      </c>
      <c r="E1140" s="10" t="str">
        <f t="shared" si="3"/>
        <v>BXM34</v>
      </c>
      <c r="F1140" s="41">
        <v>46.0</v>
      </c>
      <c r="G1140" s="10" t="str">
        <f t="shared" si="7"/>
        <v>BXM34-46</v>
      </c>
      <c r="H1140" s="16"/>
      <c r="I1140" s="16" t="str">
        <f t="shared" si="5"/>
        <v>collected</v>
      </c>
      <c r="J1140" s="16" t="str">
        <f t="shared" si="6"/>
        <v>N</v>
      </c>
      <c r="K1140" s="16"/>
      <c r="L1140" s="16"/>
    </row>
    <row r="1141">
      <c r="A1141" s="16" t="s">
        <v>1635</v>
      </c>
      <c r="B1141" s="10" t="str">
        <f t="shared" si="1"/>
        <v>extra_muscle</v>
      </c>
      <c r="C1141" s="49" t="str">
        <f t="shared" si="2"/>
        <v>S17556XM1</v>
      </c>
      <c r="D1141" s="6">
        <v>34.0</v>
      </c>
      <c r="E1141" s="10" t="str">
        <f t="shared" si="3"/>
        <v>BXM34</v>
      </c>
      <c r="F1141" s="41">
        <v>47.0</v>
      </c>
      <c r="G1141" s="10" t="str">
        <f t="shared" si="7"/>
        <v>BXM34-47</v>
      </c>
      <c r="H1141" s="16"/>
      <c r="I1141" s="16" t="str">
        <f t="shared" si="5"/>
        <v>collected</v>
      </c>
      <c r="J1141" s="16" t="str">
        <f t="shared" si="6"/>
        <v>N</v>
      </c>
      <c r="K1141" s="16"/>
      <c r="L1141" s="16"/>
    </row>
    <row r="1142">
      <c r="A1142" s="16" t="s">
        <v>1636</v>
      </c>
      <c r="B1142" s="10" t="str">
        <f t="shared" si="1"/>
        <v>extra_muscle</v>
      </c>
      <c r="C1142" s="49" t="str">
        <f t="shared" si="2"/>
        <v>S17554XM1</v>
      </c>
      <c r="D1142" s="6">
        <v>34.0</v>
      </c>
      <c r="E1142" s="10" t="str">
        <f t="shared" si="3"/>
        <v>BXM34</v>
      </c>
      <c r="F1142" s="41">
        <v>48.0</v>
      </c>
      <c r="G1142" s="10" t="str">
        <f t="shared" si="7"/>
        <v>BXM34-48</v>
      </c>
      <c r="H1142" s="16"/>
      <c r="I1142" s="16" t="str">
        <f t="shared" si="5"/>
        <v>collected</v>
      </c>
      <c r="J1142" s="16" t="str">
        <f t="shared" si="6"/>
        <v>N</v>
      </c>
      <c r="K1142" s="16"/>
      <c r="L1142" s="16"/>
    </row>
    <row r="1143">
      <c r="A1143" s="40" t="s">
        <v>1638</v>
      </c>
      <c r="B1143" s="10" t="str">
        <f t="shared" si="1"/>
        <v>extra_muscle</v>
      </c>
      <c r="C1143" s="49" t="str">
        <f t="shared" si="2"/>
        <v>S17601XM1</v>
      </c>
      <c r="D1143" s="6">
        <v>35.0</v>
      </c>
      <c r="E1143" s="10" t="str">
        <f t="shared" si="3"/>
        <v>BXM35</v>
      </c>
      <c r="F1143" s="13">
        <v>66.0</v>
      </c>
      <c r="G1143" s="10" t="str">
        <f t="shared" si="7"/>
        <v>BXM35-66</v>
      </c>
      <c r="H1143" s="16"/>
      <c r="I1143" s="16" t="str">
        <f t="shared" si="5"/>
        <v>collected</v>
      </c>
      <c r="J1143" s="16" t="str">
        <f t="shared" si="6"/>
        <v>N</v>
      </c>
      <c r="K1143" s="16"/>
      <c r="L1143" s="16"/>
    </row>
    <row r="1144">
      <c r="A1144" s="40" t="s">
        <v>1639</v>
      </c>
      <c r="B1144" s="10" t="str">
        <f t="shared" si="1"/>
        <v>extra_muscle</v>
      </c>
      <c r="C1144" s="49" t="str">
        <f t="shared" si="2"/>
        <v>S17607XM1</v>
      </c>
      <c r="D1144" s="6">
        <v>35.0</v>
      </c>
      <c r="E1144" s="10" t="str">
        <f t="shared" si="3"/>
        <v>BXM35</v>
      </c>
      <c r="F1144" s="13">
        <v>67.0</v>
      </c>
      <c r="G1144" s="10" t="str">
        <f t="shared" si="7"/>
        <v>BXM35-67</v>
      </c>
      <c r="H1144" s="16"/>
      <c r="I1144" s="16" t="str">
        <f t="shared" si="5"/>
        <v>collected</v>
      </c>
      <c r="J1144" s="16" t="str">
        <f t="shared" si="6"/>
        <v>N</v>
      </c>
      <c r="K1144" s="16"/>
      <c r="L1144" s="16"/>
    </row>
    <row r="1145">
      <c r="A1145" s="40" t="s">
        <v>1641</v>
      </c>
      <c r="B1145" s="10" t="str">
        <f t="shared" si="1"/>
        <v>extra_muscle</v>
      </c>
      <c r="C1145" s="49" t="str">
        <f t="shared" si="2"/>
        <v>S17602XM1</v>
      </c>
      <c r="D1145" s="6">
        <v>35.0</v>
      </c>
      <c r="E1145" s="10" t="str">
        <f t="shared" si="3"/>
        <v>BXM35</v>
      </c>
      <c r="F1145" s="13">
        <v>68.0</v>
      </c>
      <c r="G1145" s="10" t="str">
        <f t="shared" si="7"/>
        <v>BXM35-68</v>
      </c>
      <c r="H1145" s="16"/>
      <c r="I1145" s="16" t="str">
        <f t="shared" si="5"/>
        <v>collected</v>
      </c>
      <c r="J1145" s="16" t="str">
        <f t="shared" si="6"/>
        <v>N</v>
      </c>
      <c r="K1145" s="16"/>
      <c r="L1145" s="16"/>
    </row>
    <row r="1146">
      <c r="A1146" s="40" t="s">
        <v>1642</v>
      </c>
      <c r="B1146" s="10" t="str">
        <f t="shared" si="1"/>
        <v>extra_muscle</v>
      </c>
      <c r="C1146" s="49" t="str">
        <f t="shared" si="2"/>
        <v>S16748XM1</v>
      </c>
      <c r="D1146" s="6">
        <v>35.0</v>
      </c>
      <c r="E1146" s="10" t="str">
        <f t="shared" si="3"/>
        <v>BXM35</v>
      </c>
      <c r="F1146" s="13">
        <v>69.0</v>
      </c>
      <c r="G1146" s="10" t="str">
        <f t="shared" si="7"/>
        <v>BXM35-69</v>
      </c>
      <c r="H1146" s="16"/>
      <c r="I1146" s="16" t="str">
        <f t="shared" si="5"/>
        <v>collected</v>
      </c>
      <c r="J1146" s="16" t="str">
        <f t="shared" si="6"/>
        <v>N</v>
      </c>
      <c r="K1146" s="16"/>
      <c r="L1146" s="16"/>
    </row>
    <row r="1147">
      <c r="A1147" s="40" t="s">
        <v>1643</v>
      </c>
      <c r="B1147" s="10" t="str">
        <f t="shared" si="1"/>
        <v>extra_muscle</v>
      </c>
      <c r="C1147" s="49" t="str">
        <f t="shared" si="2"/>
        <v>S16750XM1</v>
      </c>
      <c r="D1147" s="6">
        <v>35.0</v>
      </c>
      <c r="E1147" s="10" t="str">
        <f t="shared" si="3"/>
        <v>BXM35</v>
      </c>
      <c r="F1147" s="13">
        <v>70.0</v>
      </c>
      <c r="G1147" s="10" t="str">
        <f t="shared" si="7"/>
        <v>BXM35-70</v>
      </c>
      <c r="H1147" s="16"/>
      <c r="I1147" s="16" t="str">
        <f t="shared" si="5"/>
        <v>collected</v>
      </c>
      <c r="J1147" s="16" t="str">
        <f t="shared" si="6"/>
        <v>N</v>
      </c>
      <c r="K1147" s="16"/>
      <c r="L1147" s="16"/>
    </row>
    <row r="1148">
      <c r="A1148" s="40" t="s">
        <v>1644</v>
      </c>
      <c r="B1148" s="10" t="str">
        <f t="shared" si="1"/>
        <v>extra_muscle</v>
      </c>
      <c r="C1148" s="49" t="str">
        <f t="shared" si="2"/>
        <v>S16742XM1</v>
      </c>
      <c r="D1148" s="6">
        <v>35.0</v>
      </c>
      <c r="E1148" s="10" t="str">
        <f t="shared" si="3"/>
        <v>BXM35</v>
      </c>
      <c r="F1148" s="13">
        <v>71.0</v>
      </c>
      <c r="G1148" s="10" t="str">
        <f t="shared" si="7"/>
        <v>BXM35-71</v>
      </c>
      <c r="H1148" s="16"/>
      <c r="I1148" s="16" t="str">
        <f t="shared" si="5"/>
        <v>collected</v>
      </c>
      <c r="J1148" s="16" t="str">
        <f t="shared" si="6"/>
        <v>N</v>
      </c>
      <c r="K1148" s="16"/>
      <c r="L1148" s="16"/>
    </row>
    <row r="1149">
      <c r="A1149" s="40" t="s">
        <v>1646</v>
      </c>
      <c r="B1149" s="10" t="str">
        <f t="shared" si="1"/>
        <v>extra_muscle</v>
      </c>
      <c r="C1149" s="49" t="str">
        <f t="shared" si="2"/>
        <v>S16745XM1</v>
      </c>
      <c r="D1149" s="6">
        <v>35.0</v>
      </c>
      <c r="E1149" s="10" t="str">
        <f t="shared" si="3"/>
        <v>BXM35</v>
      </c>
      <c r="F1149" s="13">
        <v>72.0</v>
      </c>
      <c r="G1149" s="10" t="str">
        <f t="shared" si="7"/>
        <v>BXM35-72</v>
      </c>
      <c r="H1149" s="16"/>
      <c r="I1149" s="16" t="str">
        <f t="shared" si="5"/>
        <v>collected</v>
      </c>
      <c r="J1149" s="16" t="str">
        <f t="shared" si="6"/>
        <v>N</v>
      </c>
      <c r="K1149" s="16"/>
      <c r="L1149" s="16"/>
    </row>
    <row r="1150">
      <c r="A1150" s="40" t="s">
        <v>1647</v>
      </c>
      <c r="B1150" s="10" t="str">
        <f t="shared" si="1"/>
        <v>extra_muscle</v>
      </c>
      <c r="C1150" s="49" t="str">
        <f t="shared" si="2"/>
        <v>S16741XM1</v>
      </c>
      <c r="D1150" s="6">
        <v>35.0</v>
      </c>
      <c r="E1150" s="10" t="str">
        <f t="shared" si="3"/>
        <v>BXM35</v>
      </c>
      <c r="F1150" s="13">
        <v>73.0</v>
      </c>
      <c r="G1150" s="10" t="str">
        <f t="shared" si="7"/>
        <v>BXM35-73</v>
      </c>
      <c r="H1150" s="16"/>
      <c r="I1150" s="16" t="str">
        <f t="shared" si="5"/>
        <v>collected</v>
      </c>
      <c r="J1150" s="16" t="str">
        <f t="shared" si="6"/>
        <v>N</v>
      </c>
      <c r="K1150" s="16"/>
      <c r="L1150" s="16"/>
    </row>
    <row r="1151">
      <c r="A1151" s="40" t="s">
        <v>1648</v>
      </c>
      <c r="B1151" s="10" t="str">
        <f t="shared" si="1"/>
        <v>extra_muscle</v>
      </c>
      <c r="C1151" s="49" t="str">
        <f t="shared" si="2"/>
        <v>S16744XM1</v>
      </c>
      <c r="D1151" s="6">
        <v>35.0</v>
      </c>
      <c r="E1151" s="10" t="str">
        <f t="shared" si="3"/>
        <v>BXM35</v>
      </c>
      <c r="F1151" s="13">
        <v>74.0</v>
      </c>
      <c r="G1151" s="10" t="str">
        <f t="shared" si="7"/>
        <v>BXM35-74</v>
      </c>
      <c r="H1151" s="16"/>
      <c r="I1151" s="16" t="str">
        <f t="shared" si="5"/>
        <v>collected</v>
      </c>
      <c r="J1151" s="16" t="str">
        <f t="shared" si="6"/>
        <v>N</v>
      </c>
      <c r="K1151" s="16"/>
      <c r="L1151" s="16"/>
    </row>
    <row r="1152">
      <c r="A1152" s="40" t="s">
        <v>1649</v>
      </c>
      <c r="B1152" s="10" t="str">
        <f t="shared" si="1"/>
        <v>extra_muscle</v>
      </c>
      <c r="C1152" s="49" t="str">
        <f t="shared" si="2"/>
        <v>S16743XM1</v>
      </c>
      <c r="D1152" s="6">
        <v>35.0</v>
      </c>
      <c r="E1152" s="10" t="str">
        <f t="shared" si="3"/>
        <v>BXM35</v>
      </c>
      <c r="F1152" s="13">
        <v>75.0</v>
      </c>
      <c r="G1152" s="10" t="str">
        <f t="shared" si="7"/>
        <v>BXM35-75</v>
      </c>
      <c r="H1152" s="16"/>
      <c r="I1152" s="16" t="str">
        <f t="shared" si="5"/>
        <v>collected</v>
      </c>
      <c r="J1152" s="16" t="str">
        <f t="shared" si="6"/>
        <v>N</v>
      </c>
      <c r="K1152" s="16"/>
      <c r="L1152" s="16"/>
    </row>
    <row r="1153">
      <c r="A1153" s="40" t="s">
        <v>1650</v>
      </c>
      <c r="B1153" s="10" t="str">
        <f t="shared" si="1"/>
        <v>extra_muscle</v>
      </c>
      <c r="C1153" s="49" t="str">
        <f t="shared" si="2"/>
        <v>S16747XM1</v>
      </c>
      <c r="D1153" s="6">
        <v>35.0</v>
      </c>
      <c r="E1153" s="10" t="str">
        <f t="shared" si="3"/>
        <v>BXM35</v>
      </c>
      <c r="F1153" s="13">
        <v>76.0</v>
      </c>
      <c r="G1153" s="10" t="str">
        <f t="shared" si="7"/>
        <v>BXM35-76</v>
      </c>
      <c r="H1153" s="16"/>
      <c r="I1153" s="16" t="str">
        <f t="shared" si="5"/>
        <v>collected</v>
      </c>
      <c r="J1153" s="16" t="str">
        <f t="shared" si="6"/>
        <v>N</v>
      </c>
      <c r="K1153" s="16"/>
      <c r="L1153" s="16"/>
    </row>
    <row r="1154">
      <c r="A1154" s="40" t="s">
        <v>1652</v>
      </c>
      <c r="B1154" s="10" t="str">
        <f t="shared" si="1"/>
        <v>extra_muscle</v>
      </c>
      <c r="C1154" s="49" t="str">
        <f t="shared" si="2"/>
        <v>S16749XM1</v>
      </c>
      <c r="D1154" s="6">
        <v>35.0</v>
      </c>
      <c r="E1154" s="10" t="str">
        <f t="shared" si="3"/>
        <v>BXM35</v>
      </c>
      <c r="F1154" s="13">
        <v>77.0</v>
      </c>
      <c r="G1154" s="10" t="str">
        <f t="shared" si="7"/>
        <v>BXM35-77</v>
      </c>
      <c r="H1154" s="16"/>
      <c r="I1154" s="16" t="str">
        <f t="shared" si="5"/>
        <v>collected</v>
      </c>
      <c r="J1154" s="16" t="str">
        <f t="shared" si="6"/>
        <v>N</v>
      </c>
      <c r="K1154" s="16"/>
      <c r="L1154" s="16"/>
    </row>
    <row r="1155">
      <c r="A1155" s="40" t="s">
        <v>1653</v>
      </c>
      <c r="B1155" s="10" t="str">
        <f t="shared" si="1"/>
        <v>extra_muscle</v>
      </c>
      <c r="C1155" s="49" t="str">
        <f t="shared" si="2"/>
        <v>S16746XM1</v>
      </c>
      <c r="D1155" s="6">
        <v>35.0</v>
      </c>
      <c r="E1155" s="10" t="str">
        <f t="shared" si="3"/>
        <v>BXM35</v>
      </c>
      <c r="F1155" s="13">
        <v>78.0</v>
      </c>
      <c r="G1155" s="10" t="str">
        <f t="shared" si="7"/>
        <v>BXM35-78</v>
      </c>
      <c r="H1155" s="16"/>
      <c r="I1155" s="16" t="str">
        <f t="shared" si="5"/>
        <v>collected</v>
      </c>
      <c r="J1155" s="16" t="str">
        <f t="shared" si="6"/>
        <v>N</v>
      </c>
      <c r="K1155" s="16"/>
      <c r="L1155" s="16"/>
    </row>
    <row r="1156">
      <c r="A1156" s="40" t="s">
        <v>1654</v>
      </c>
      <c r="B1156" s="10" t="str">
        <f t="shared" si="1"/>
        <v>extra_muscle</v>
      </c>
      <c r="C1156" s="49" t="str">
        <f t="shared" si="2"/>
        <v>S16287XM1</v>
      </c>
      <c r="D1156" s="6">
        <v>35.0</v>
      </c>
      <c r="E1156" s="10" t="str">
        <f t="shared" si="3"/>
        <v>BXM35</v>
      </c>
      <c r="F1156" s="13">
        <v>79.0</v>
      </c>
      <c r="G1156" s="10" t="str">
        <f t="shared" si="7"/>
        <v>BXM35-79</v>
      </c>
      <c r="H1156" s="16"/>
      <c r="I1156" s="16" t="str">
        <f t="shared" si="5"/>
        <v>collected</v>
      </c>
      <c r="J1156" s="16" t="str">
        <f t="shared" si="6"/>
        <v>N</v>
      </c>
      <c r="K1156" s="16"/>
      <c r="L1156" s="16"/>
    </row>
    <row r="1157">
      <c r="A1157" s="40" t="s">
        <v>1655</v>
      </c>
      <c r="B1157" s="10" t="str">
        <f t="shared" si="1"/>
        <v>extra_muscle</v>
      </c>
      <c r="C1157" s="49" t="str">
        <f t="shared" si="2"/>
        <v>S16286XM1</v>
      </c>
      <c r="D1157" s="6">
        <v>35.0</v>
      </c>
      <c r="E1157" s="10" t="str">
        <f t="shared" si="3"/>
        <v>BXM35</v>
      </c>
      <c r="F1157" s="13">
        <v>80.0</v>
      </c>
      <c r="G1157" s="10" t="str">
        <f t="shared" si="7"/>
        <v>BXM35-80</v>
      </c>
      <c r="H1157" s="16"/>
      <c r="I1157" s="16" t="str">
        <f t="shared" si="5"/>
        <v>collected</v>
      </c>
      <c r="J1157" s="16" t="str">
        <f t="shared" si="6"/>
        <v>N</v>
      </c>
      <c r="K1157" s="16"/>
      <c r="L1157" s="16"/>
    </row>
    <row r="1158">
      <c r="A1158" s="40" t="s">
        <v>1656</v>
      </c>
      <c r="B1158" s="10" t="str">
        <f t="shared" si="1"/>
        <v>extra_muscle</v>
      </c>
      <c r="C1158" s="49" t="str">
        <f t="shared" si="2"/>
        <v>S16285XM1</v>
      </c>
      <c r="D1158" s="6">
        <v>35.0</v>
      </c>
      <c r="E1158" s="10" t="str">
        <f t="shared" si="3"/>
        <v>BXM35</v>
      </c>
      <c r="F1158" s="13">
        <v>81.0</v>
      </c>
      <c r="G1158" s="10" t="str">
        <f t="shared" si="7"/>
        <v>BXM35-81</v>
      </c>
      <c r="H1158" s="16"/>
      <c r="I1158" s="16" t="str">
        <f t="shared" si="5"/>
        <v>collected</v>
      </c>
      <c r="J1158" s="16" t="str">
        <f t="shared" si="6"/>
        <v>N</v>
      </c>
      <c r="K1158" s="16"/>
      <c r="L1158" s="16"/>
    </row>
    <row r="1159">
      <c r="A1159" s="40" t="s">
        <v>1658</v>
      </c>
      <c r="B1159" s="10" t="str">
        <f t="shared" si="1"/>
        <v>extra_muscle</v>
      </c>
      <c r="C1159" s="49" t="str">
        <f t="shared" si="2"/>
        <v>S16288XM1</v>
      </c>
      <c r="D1159" s="6">
        <v>36.0</v>
      </c>
      <c r="E1159" s="10" t="str">
        <f t="shared" si="3"/>
        <v>BXM36</v>
      </c>
      <c r="F1159" s="13">
        <v>1.0</v>
      </c>
      <c r="G1159" s="10" t="str">
        <f t="shared" si="7"/>
        <v>BXM36-1</v>
      </c>
      <c r="H1159" s="16"/>
      <c r="I1159" s="16" t="str">
        <f t="shared" si="5"/>
        <v>collected</v>
      </c>
      <c r="J1159" s="16" t="str">
        <f t="shared" si="6"/>
        <v>N</v>
      </c>
      <c r="K1159" s="16"/>
      <c r="L1159" s="16"/>
    </row>
    <row r="1160">
      <c r="A1160" s="40" t="s">
        <v>1659</v>
      </c>
      <c r="B1160" s="10" t="str">
        <f t="shared" si="1"/>
        <v>extra_muscle</v>
      </c>
      <c r="C1160" s="49" t="str">
        <f t="shared" si="2"/>
        <v>S16290XM1</v>
      </c>
      <c r="D1160" s="6">
        <v>36.0</v>
      </c>
      <c r="E1160" s="10" t="str">
        <f t="shared" si="3"/>
        <v>BXM36</v>
      </c>
      <c r="F1160" s="13">
        <v>2.0</v>
      </c>
      <c r="G1160" s="10" t="str">
        <f t="shared" si="7"/>
        <v>BXM36-2</v>
      </c>
      <c r="H1160" s="16"/>
      <c r="I1160" s="16" t="str">
        <f t="shared" si="5"/>
        <v>collected</v>
      </c>
      <c r="J1160" s="16" t="str">
        <f t="shared" si="6"/>
        <v>N</v>
      </c>
      <c r="K1160" s="16"/>
      <c r="L1160" s="16"/>
    </row>
    <row r="1161">
      <c r="A1161" s="40" t="s">
        <v>1660</v>
      </c>
      <c r="B1161" s="10" t="str">
        <f t="shared" si="1"/>
        <v>extra_muscle</v>
      </c>
      <c r="C1161" s="49" t="str">
        <f t="shared" si="2"/>
        <v>S16281XM1</v>
      </c>
      <c r="D1161" s="6">
        <v>36.0</v>
      </c>
      <c r="E1161" s="10" t="str">
        <f t="shared" si="3"/>
        <v>BXM36</v>
      </c>
      <c r="F1161" s="13">
        <v>3.0</v>
      </c>
      <c r="G1161" s="10" t="str">
        <f t="shared" si="7"/>
        <v>BXM36-3</v>
      </c>
      <c r="H1161" s="16"/>
      <c r="I1161" s="16" t="str">
        <f t="shared" si="5"/>
        <v>collected</v>
      </c>
      <c r="J1161" s="16" t="str">
        <f t="shared" si="6"/>
        <v>N</v>
      </c>
      <c r="K1161" s="16"/>
      <c r="L1161" s="16"/>
    </row>
    <row r="1162">
      <c r="A1162" s="40" t="s">
        <v>1661</v>
      </c>
      <c r="B1162" s="10" t="str">
        <f t="shared" si="1"/>
        <v>extra_muscle</v>
      </c>
      <c r="C1162" s="49" t="str">
        <f t="shared" si="2"/>
        <v>S16284XM1</v>
      </c>
      <c r="D1162" s="6">
        <v>36.0</v>
      </c>
      <c r="E1162" s="10" t="str">
        <f t="shared" si="3"/>
        <v>BXM36</v>
      </c>
      <c r="F1162" s="13">
        <v>4.0</v>
      </c>
      <c r="G1162" s="10" t="str">
        <f t="shared" si="7"/>
        <v>BXM36-4</v>
      </c>
      <c r="H1162" s="16"/>
      <c r="I1162" s="16" t="str">
        <f t="shared" si="5"/>
        <v>collected</v>
      </c>
      <c r="J1162" s="16" t="str">
        <f t="shared" si="6"/>
        <v>N</v>
      </c>
      <c r="K1162" s="16"/>
      <c r="L1162" s="16"/>
    </row>
    <row r="1163">
      <c r="A1163" s="40" t="s">
        <v>1663</v>
      </c>
      <c r="B1163" s="10" t="str">
        <f t="shared" si="1"/>
        <v>extra_muscle</v>
      </c>
      <c r="C1163" s="49" t="str">
        <f t="shared" si="2"/>
        <v>S16282XM1</v>
      </c>
      <c r="D1163" s="6">
        <v>36.0</v>
      </c>
      <c r="E1163" s="10" t="str">
        <f t="shared" si="3"/>
        <v>BXM36</v>
      </c>
      <c r="F1163" s="13">
        <v>5.0</v>
      </c>
      <c r="G1163" s="10" t="str">
        <f t="shared" si="7"/>
        <v>BXM36-5</v>
      </c>
      <c r="H1163" s="16"/>
      <c r="I1163" s="16" t="str">
        <f t="shared" si="5"/>
        <v>collected</v>
      </c>
      <c r="J1163" s="16" t="str">
        <f t="shared" si="6"/>
        <v>N</v>
      </c>
      <c r="K1163" s="16"/>
      <c r="L1163" s="16"/>
    </row>
    <row r="1164">
      <c r="A1164" s="40" t="s">
        <v>1664</v>
      </c>
      <c r="B1164" s="10" t="str">
        <f t="shared" si="1"/>
        <v>extra_muscle</v>
      </c>
      <c r="C1164" s="49" t="str">
        <f t="shared" si="2"/>
        <v>S16283XM1</v>
      </c>
      <c r="D1164" s="6">
        <v>36.0</v>
      </c>
      <c r="E1164" s="10" t="str">
        <f t="shared" si="3"/>
        <v>BXM36</v>
      </c>
      <c r="F1164" s="13">
        <v>6.0</v>
      </c>
      <c r="G1164" s="10" t="str">
        <f t="shared" si="7"/>
        <v>BXM36-6</v>
      </c>
      <c r="H1164" s="16"/>
      <c r="I1164" s="16" t="str">
        <f t="shared" si="5"/>
        <v>collected</v>
      </c>
      <c r="J1164" s="16" t="str">
        <f t="shared" si="6"/>
        <v>N</v>
      </c>
      <c r="K1164" s="16"/>
      <c r="L1164" s="16"/>
    </row>
    <row r="1165">
      <c r="A1165" s="40" t="s">
        <v>1665</v>
      </c>
      <c r="B1165" s="10" t="str">
        <f t="shared" si="1"/>
        <v>extra_muscle</v>
      </c>
      <c r="C1165" s="49" t="str">
        <f t="shared" si="2"/>
        <v>S16289XM1</v>
      </c>
      <c r="D1165" s="6">
        <v>36.0</v>
      </c>
      <c r="E1165" s="10" t="str">
        <f t="shared" si="3"/>
        <v>BXM36</v>
      </c>
      <c r="F1165" s="13">
        <v>7.0</v>
      </c>
      <c r="G1165" s="10" t="str">
        <f t="shared" si="7"/>
        <v>BXM36-7</v>
      </c>
      <c r="H1165" s="16"/>
      <c r="I1165" s="16" t="str">
        <f t="shared" si="5"/>
        <v>collected</v>
      </c>
      <c r="J1165" s="16" t="str">
        <f t="shared" si="6"/>
        <v>N</v>
      </c>
      <c r="K1165" s="16"/>
      <c r="L1165" s="16"/>
    </row>
    <row r="1166">
      <c r="A1166" s="40" t="s">
        <v>1666</v>
      </c>
      <c r="B1166" s="10" t="str">
        <f t="shared" si="1"/>
        <v>extra_muscle</v>
      </c>
      <c r="C1166" s="49" t="str">
        <f t="shared" si="2"/>
        <v>S16615XM1</v>
      </c>
      <c r="D1166" s="6">
        <v>36.0</v>
      </c>
      <c r="E1166" s="10" t="str">
        <f t="shared" si="3"/>
        <v>BXM36</v>
      </c>
      <c r="F1166" s="13">
        <v>8.0</v>
      </c>
      <c r="G1166" s="10" t="str">
        <f t="shared" si="7"/>
        <v>BXM36-8</v>
      </c>
      <c r="H1166" s="16"/>
      <c r="I1166" s="16" t="str">
        <f t="shared" si="5"/>
        <v>collected</v>
      </c>
      <c r="J1166" s="16" t="str">
        <f t="shared" si="6"/>
        <v>N</v>
      </c>
      <c r="K1166" s="16"/>
      <c r="L1166" s="16"/>
    </row>
    <row r="1167">
      <c r="A1167" s="40" t="s">
        <v>1667</v>
      </c>
      <c r="B1167" s="10" t="str">
        <f t="shared" si="1"/>
        <v>extra_muscle</v>
      </c>
      <c r="C1167" s="49" t="str">
        <f t="shared" si="2"/>
        <v>S16620XM1</v>
      </c>
      <c r="D1167" s="6">
        <v>36.0</v>
      </c>
      <c r="E1167" s="10" t="str">
        <f t="shared" si="3"/>
        <v>BXM36</v>
      </c>
      <c r="F1167" s="13">
        <v>9.0</v>
      </c>
      <c r="G1167" s="10" t="str">
        <f t="shared" si="7"/>
        <v>BXM36-9</v>
      </c>
      <c r="H1167" s="16"/>
      <c r="I1167" s="16" t="str">
        <f t="shared" si="5"/>
        <v>collected</v>
      </c>
      <c r="J1167" s="16" t="str">
        <f t="shared" si="6"/>
        <v>N</v>
      </c>
      <c r="K1167" s="16"/>
      <c r="L1167" s="16"/>
    </row>
    <row r="1168">
      <c r="A1168" s="40" t="s">
        <v>1669</v>
      </c>
      <c r="B1168" s="10" t="str">
        <f t="shared" si="1"/>
        <v>extra_muscle</v>
      </c>
      <c r="C1168" s="49" t="str">
        <f t="shared" si="2"/>
        <v>S16614XM1</v>
      </c>
      <c r="D1168" s="6">
        <v>36.0</v>
      </c>
      <c r="E1168" s="10" t="str">
        <f t="shared" si="3"/>
        <v>BXM36</v>
      </c>
      <c r="F1168" s="13">
        <v>10.0</v>
      </c>
      <c r="G1168" s="10" t="str">
        <f t="shared" si="7"/>
        <v>BXM36-10</v>
      </c>
      <c r="H1168" s="16"/>
      <c r="I1168" s="16" t="str">
        <f t="shared" si="5"/>
        <v>collected</v>
      </c>
      <c r="J1168" s="16" t="str">
        <f t="shared" si="6"/>
        <v>N</v>
      </c>
      <c r="K1168" s="16"/>
      <c r="L1168" s="16"/>
    </row>
    <row r="1169">
      <c r="A1169" s="40" t="s">
        <v>1670</v>
      </c>
      <c r="B1169" s="10" t="str">
        <f t="shared" si="1"/>
        <v>extra_muscle</v>
      </c>
      <c r="C1169" s="49" t="str">
        <f t="shared" si="2"/>
        <v>S16613XM1</v>
      </c>
      <c r="D1169" s="6">
        <v>36.0</v>
      </c>
      <c r="E1169" s="10" t="str">
        <f t="shared" si="3"/>
        <v>BXM36</v>
      </c>
      <c r="F1169" s="13">
        <v>11.0</v>
      </c>
      <c r="G1169" s="10" t="str">
        <f t="shared" si="7"/>
        <v>BXM36-11</v>
      </c>
      <c r="H1169" s="16"/>
      <c r="I1169" s="16" t="str">
        <f t="shared" si="5"/>
        <v>collected</v>
      </c>
      <c r="J1169" s="16" t="str">
        <f t="shared" si="6"/>
        <v>N</v>
      </c>
      <c r="K1169" s="16"/>
      <c r="L1169" s="16"/>
    </row>
    <row r="1170">
      <c r="A1170" s="40" t="s">
        <v>1671</v>
      </c>
      <c r="B1170" s="10" t="str">
        <f t="shared" si="1"/>
        <v>extra_muscle</v>
      </c>
      <c r="C1170" s="49" t="str">
        <f t="shared" si="2"/>
        <v>S16616XM1</v>
      </c>
      <c r="D1170" s="6">
        <v>36.0</v>
      </c>
      <c r="E1170" s="10" t="str">
        <f t="shared" si="3"/>
        <v>BXM36</v>
      </c>
      <c r="F1170" s="13">
        <v>12.0</v>
      </c>
      <c r="G1170" s="10" t="str">
        <f t="shared" si="7"/>
        <v>BXM36-12</v>
      </c>
      <c r="H1170" s="16"/>
      <c r="I1170" s="16" t="str">
        <f t="shared" si="5"/>
        <v>collected</v>
      </c>
      <c r="J1170" s="16" t="str">
        <f t="shared" si="6"/>
        <v>N</v>
      </c>
      <c r="K1170" s="16"/>
      <c r="L1170" s="16"/>
    </row>
    <row r="1171">
      <c r="A1171" s="40" t="s">
        <v>1672</v>
      </c>
      <c r="B1171" s="10" t="str">
        <f t="shared" si="1"/>
        <v>extra_muscle</v>
      </c>
      <c r="C1171" s="49" t="str">
        <f t="shared" si="2"/>
        <v>S16618XM1</v>
      </c>
      <c r="D1171" s="6">
        <v>36.0</v>
      </c>
      <c r="E1171" s="10" t="str">
        <f t="shared" si="3"/>
        <v>BXM36</v>
      </c>
      <c r="F1171" s="13">
        <v>13.0</v>
      </c>
      <c r="G1171" s="10" t="str">
        <f t="shared" si="7"/>
        <v>BXM36-13</v>
      </c>
      <c r="H1171" s="16"/>
      <c r="I1171" s="16" t="str">
        <f t="shared" si="5"/>
        <v>collected</v>
      </c>
      <c r="J1171" s="16" t="str">
        <f t="shared" si="6"/>
        <v>N</v>
      </c>
      <c r="K1171" s="16"/>
      <c r="L1171" s="16"/>
    </row>
    <row r="1172">
      <c r="A1172" s="40" t="s">
        <v>1674</v>
      </c>
      <c r="B1172" s="10" t="str">
        <f t="shared" si="1"/>
        <v>extra_muscle</v>
      </c>
      <c r="C1172" s="49" t="str">
        <f t="shared" si="2"/>
        <v>S16612XM1</v>
      </c>
      <c r="D1172" s="6">
        <v>36.0</v>
      </c>
      <c r="E1172" s="10" t="str">
        <f t="shared" si="3"/>
        <v>BXM36</v>
      </c>
      <c r="F1172" s="13">
        <v>14.0</v>
      </c>
      <c r="G1172" s="10" t="str">
        <f t="shared" si="7"/>
        <v>BXM36-14</v>
      </c>
      <c r="H1172" s="16"/>
      <c r="I1172" s="16" t="str">
        <f t="shared" si="5"/>
        <v>collected</v>
      </c>
      <c r="J1172" s="16" t="str">
        <f t="shared" si="6"/>
        <v>N</v>
      </c>
      <c r="K1172" s="16"/>
      <c r="L1172" s="16"/>
    </row>
    <row r="1173">
      <c r="A1173" s="40" t="s">
        <v>1675</v>
      </c>
      <c r="B1173" s="10" t="str">
        <f t="shared" si="1"/>
        <v>extra_muscle</v>
      </c>
      <c r="C1173" s="49" t="str">
        <f t="shared" si="2"/>
        <v>S16617XM1</v>
      </c>
      <c r="D1173" s="6">
        <v>36.0</v>
      </c>
      <c r="E1173" s="10" t="str">
        <f t="shared" si="3"/>
        <v>BXM36</v>
      </c>
      <c r="F1173" s="13">
        <v>15.0</v>
      </c>
      <c r="G1173" s="10" t="str">
        <f t="shared" si="7"/>
        <v>BXM36-15</v>
      </c>
      <c r="H1173" s="16"/>
      <c r="I1173" s="16" t="str">
        <f t="shared" si="5"/>
        <v>collected</v>
      </c>
      <c r="J1173" s="16" t="str">
        <f t="shared" si="6"/>
        <v>N</v>
      </c>
      <c r="K1173" s="16"/>
      <c r="L1173" s="16"/>
    </row>
    <row r="1174">
      <c r="A1174" s="40" t="s">
        <v>1676</v>
      </c>
      <c r="B1174" s="10" t="str">
        <f t="shared" si="1"/>
        <v>extra_muscle</v>
      </c>
      <c r="C1174" s="49" t="str">
        <f t="shared" si="2"/>
        <v>S16611XM1</v>
      </c>
      <c r="D1174" s="6">
        <v>36.0</v>
      </c>
      <c r="E1174" s="10" t="str">
        <f t="shared" si="3"/>
        <v>BXM36</v>
      </c>
      <c r="F1174" s="13">
        <v>16.0</v>
      </c>
      <c r="G1174" s="10" t="str">
        <f t="shared" si="7"/>
        <v>BXM36-16</v>
      </c>
      <c r="H1174" s="16"/>
      <c r="I1174" s="16" t="str">
        <f t="shared" si="5"/>
        <v>collected</v>
      </c>
      <c r="J1174" s="16" t="str">
        <f t="shared" si="6"/>
        <v>N</v>
      </c>
      <c r="K1174" s="16"/>
      <c r="L1174" s="16"/>
    </row>
    <row r="1175">
      <c r="A1175" s="40" t="s">
        <v>1677</v>
      </c>
      <c r="B1175" s="10" t="str">
        <f t="shared" si="1"/>
        <v>extra_muscle</v>
      </c>
      <c r="C1175" s="49" t="str">
        <f t="shared" si="2"/>
        <v>S16619XM1</v>
      </c>
      <c r="D1175" s="6">
        <v>36.0</v>
      </c>
      <c r="E1175" s="10" t="str">
        <f t="shared" si="3"/>
        <v>BXM36</v>
      </c>
      <c r="F1175" s="13">
        <v>17.0</v>
      </c>
      <c r="G1175" s="10" t="str">
        <f t="shared" si="7"/>
        <v>BXM36-17</v>
      </c>
      <c r="H1175" s="16"/>
      <c r="I1175" s="16" t="str">
        <f t="shared" si="5"/>
        <v>collected</v>
      </c>
      <c r="J1175" s="16" t="str">
        <f t="shared" si="6"/>
        <v>N</v>
      </c>
      <c r="K1175" s="16"/>
      <c r="L1175" s="16"/>
    </row>
    <row r="1176">
      <c r="A1176" s="40" t="s">
        <v>1678</v>
      </c>
      <c r="B1176" s="10" t="str">
        <f t="shared" si="1"/>
        <v>extra_muscle</v>
      </c>
      <c r="C1176" s="49" t="str">
        <f t="shared" si="2"/>
        <v>S16059XM1</v>
      </c>
      <c r="D1176" s="6">
        <v>36.0</v>
      </c>
      <c r="E1176" s="10" t="str">
        <f t="shared" si="3"/>
        <v>BXM36</v>
      </c>
      <c r="F1176" s="13">
        <v>18.0</v>
      </c>
      <c r="G1176" s="10" t="str">
        <f t="shared" si="7"/>
        <v>BXM36-18</v>
      </c>
      <c r="H1176" s="16"/>
      <c r="I1176" s="16" t="str">
        <f t="shared" si="5"/>
        <v>collected</v>
      </c>
      <c r="J1176" s="16" t="str">
        <f t="shared" si="6"/>
        <v>N</v>
      </c>
      <c r="K1176" s="16"/>
      <c r="L1176" s="16"/>
    </row>
    <row r="1177">
      <c r="A1177" s="40" t="s">
        <v>1680</v>
      </c>
      <c r="B1177" s="10" t="str">
        <f t="shared" si="1"/>
        <v>extra_muscle</v>
      </c>
      <c r="C1177" s="49" t="str">
        <f t="shared" si="2"/>
        <v>S16057XM1</v>
      </c>
      <c r="D1177" s="6">
        <v>36.0</v>
      </c>
      <c r="E1177" s="10" t="str">
        <f t="shared" si="3"/>
        <v>BXM36</v>
      </c>
      <c r="F1177" s="13">
        <v>19.0</v>
      </c>
      <c r="G1177" s="10" t="str">
        <f t="shared" si="7"/>
        <v>BXM36-19</v>
      </c>
      <c r="H1177" s="16"/>
      <c r="I1177" s="16" t="str">
        <f t="shared" si="5"/>
        <v>collected</v>
      </c>
      <c r="J1177" s="16" t="str">
        <f t="shared" si="6"/>
        <v>N</v>
      </c>
      <c r="K1177" s="16"/>
      <c r="L1177" s="16"/>
    </row>
    <row r="1178">
      <c r="A1178" s="40" t="s">
        <v>1681</v>
      </c>
      <c r="B1178" s="10" t="str">
        <f t="shared" si="1"/>
        <v>extra_muscle</v>
      </c>
      <c r="C1178" s="49" t="str">
        <f t="shared" si="2"/>
        <v>S16058XM1</v>
      </c>
      <c r="D1178" s="6">
        <v>36.0</v>
      </c>
      <c r="E1178" s="10" t="str">
        <f t="shared" si="3"/>
        <v>BXM36</v>
      </c>
      <c r="F1178" s="13">
        <v>20.0</v>
      </c>
      <c r="G1178" s="10" t="str">
        <f t="shared" si="7"/>
        <v>BXM36-20</v>
      </c>
      <c r="H1178" s="16"/>
      <c r="I1178" s="16" t="str">
        <f t="shared" si="5"/>
        <v>collected</v>
      </c>
      <c r="J1178" s="16" t="str">
        <f t="shared" si="6"/>
        <v>N</v>
      </c>
      <c r="K1178" s="16"/>
      <c r="L1178" s="16"/>
    </row>
    <row r="1179">
      <c r="A1179" s="40" t="s">
        <v>1682</v>
      </c>
      <c r="B1179" s="10" t="str">
        <f t="shared" si="1"/>
        <v>extra_muscle</v>
      </c>
      <c r="C1179" s="49" t="str">
        <f t="shared" si="2"/>
        <v>S16052XM1</v>
      </c>
      <c r="D1179" s="6">
        <v>36.0</v>
      </c>
      <c r="E1179" s="10" t="str">
        <f t="shared" si="3"/>
        <v>BXM36</v>
      </c>
      <c r="F1179" s="13">
        <v>21.0</v>
      </c>
      <c r="G1179" s="10" t="str">
        <f t="shared" si="7"/>
        <v>BXM36-21</v>
      </c>
      <c r="H1179" s="16"/>
      <c r="I1179" s="16" t="str">
        <f t="shared" si="5"/>
        <v>collected</v>
      </c>
      <c r="J1179" s="16" t="str">
        <f t="shared" si="6"/>
        <v>N</v>
      </c>
      <c r="K1179" s="16"/>
      <c r="L1179" s="16"/>
    </row>
    <row r="1180">
      <c r="A1180" s="40" t="s">
        <v>1683</v>
      </c>
      <c r="B1180" s="10" t="str">
        <f t="shared" si="1"/>
        <v>extra_muscle</v>
      </c>
      <c r="C1180" s="49" t="str">
        <f t="shared" si="2"/>
        <v>S16060XM1</v>
      </c>
      <c r="D1180" s="6">
        <v>36.0</v>
      </c>
      <c r="E1180" s="10" t="str">
        <f t="shared" si="3"/>
        <v>BXM36</v>
      </c>
      <c r="F1180" s="13">
        <v>22.0</v>
      </c>
      <c r="G1180" s="10" t="str">
        <f t="shared" si="7"/>
        <v>BXM36-22</v>
      </c>
      <c r="H1180" s="16"/>
      <c r="I1180" s="16" t="str">
        <f t="shared" si="5"/>
        <v>collected</v>
      </c>
      <c r="J1180" s="16" t="str">
        <f t="shared" si="6"/>
        <v>N</v>
      </c>
      <c r="K1180" s="16"/>
      <c r="L1180" s="16"/>
    </row>
    <row r="1181">
      <c r="A1181" s="40" t="s">
        <v>1684</v>
      </c>
      <c r="B1181" s="10" t="str">
        <f t="shared" si="1"/>
        <v>extra_muscle</v>
      </c>
      <c r="C1181" s="49" t="str">
        <f t="shared" si="2"/>
        <v>S16055XM1</v>
      </c>
      <c r="D1181" s="6">
        <v>36.0</v>
      </c>
      <c r="E1181" s="10" t="str">
        <f t="shared" si="3"/>
        <v>BXM36</v>
      </c>
      <c r="F1181" s="13">
        <v>23.0</v>
      </c>
      <c r="G1181" s="10" t="str">
        <f t="shared" si="7"/>
        <v>BXM36-23</v>
      </c>
      <c r="H1181" s="16"/>
      <c r="I1181" s="16" t="str">
        <f t="shared" si="5"/>
        <v>collected</v>
      </c>
      <c r="J1181" s="16" t="str">
        <f t="shared" si="6"/>
        <v>N</v>
      </c>
      <c r="K1181" s="16"/>
      <c r="L1181" s="16"/>
    </row>
    <row r="1182">
      <c r="A1182" s="40" t="s">
        <v>1686</v>
      </c>
      <c r="B1182" s="10" t="str">
        <f t="shared" si="1"/>
        <v>extra_muscle</v>
      </c>
      <c r="C1182" s="49" t="str">
        <f t="shared" si="2"/>
        <v>S16056XM1</v>
      </c>
      <c r="D1182" s="6">
        <v>36.0</v>
      </c>
      <c r="E1182" s="10" t="str">
        <f t="shared" si="3"/>
        <v>BXM36</v>
      </c>
      <c r="F1182" s="13">
        <v>24.0</v>
      </c>
      <c r="G1182" s="10" t="str">
        <f t="shared" si="7"/>
        <v>BXM36-24</v>
      </c>
      <c r="H1182" s="16"/>
      <c r="I1182" s="16" t="str">
        <f t="shared" si="5"/>
        <v>collected</v>
      </c>
      <c r="J1182" s="16" t="str">
        <f t="shared" si="6"/>
        <v>N</v>
      </c>
      <c r="K1182" s="16"/>
      <c r="L1182" s="16"/>
    </row>
    <row r="1183">
      <c r="A1183" s="40" t="s">
        <v>1687</v>
      </c>
      <c r="B1183" s="10" t="str">
        <f t="shared" si="1"/>
        <v>extra_muscle</v>
      </c>
      <c r="C1183" s="49" t="str">
        <f t="shared" si="2"/>
        <v>S16053XM1</v>
      </c>
      <c r="D1183" s="6">
        <v>36.0</v>
      </c>
      <c r="E1183" s="10" t="str">
        <f t="shared" si="3"/>
        <v>BXM36</v>
      </c>
      <c r="F1183" s="13">
        <v>25.0</v>
      </c>
      <c r="G1183" s="10" t="str">
        <f t="shared" si="7"/>
        <v>BXM36-25</v>
      </c>
      <c r="H1183" s="16"/>
      <c r="I1183" s="16" t="str">
        <f t="shared" si="5"/>
        <v>collected</v>
      </c>
      <c r="J1183" s="16" t="str">
        <f t="shared" si="6"/>
        <v>N</v>
      </c>
      <c r="K1183" s="16"/>
      <c r="L1183" s="16"/>
    </row>
    <row r="1184">
      <c r="A1184" s="40" t="s">
        <v>1688</v>
      </c>
      <c r="B1184" s="10" t="str">
        <f t="shared" si="1"/>
        <v>extra_muscle</v>
      </c>
      <c r="C1184" s="49" t="str">
        <f t="shared" si="2"/>
        <v>S16054XM1</v>
      </c>
      <c r="D1184" s="6">
        <v>36.0</v>
      </c>
      <c r="E1184" s="10" t="str">
        <f t="shared" si="3"/>
        <v>BXM36</v>
      </c>
      <c r="F1184" s="13">
        <v>26.0</v>
      </c>
      <c r="G1184" s="10" t="str">
        <f t="shared" si="7"/>
        <v>BXM36-26</v>
      </c>
      <c r="H1184" s="16"/>
      <c r="I1184" s="16" t="str">
        <f t="shared" si="5"/>
        <v>collected</v>
      </c>
      <c r="J1184" s="16" t="str">
        <f t="shared" si="6"/>
        <v>N</v>
      </c>
      <c r="K1184" s="16"/>
      <c r="L1184" s="16"/>
    </row>
    <row r="1185">
      <c r="A1185" s="40" t="s">
        <v>1690</v>
      </c>
      <c r="B1185" s="10" t="str">
        <f t="shared" si="1"/>
        <v>extra_muscle</v>
      </c>
      <c r="C1185" s="49" t="str">
        <f t="shared" si="2"/>
        <v>S16051XM1</v>
      </c>
      <c r="D1185" s="6">
        <v>36.0</v>
      </c>
      <c r="E1185" s="10" t="str">
        <f t="shared" si="3"/>
        <v>BXM36</v>
      </c>
      <c r="F1185" s="13">
        <v>27.0</v>
      </c>
      <c r="G1185" s="10" t="str">
        <f t="shared" si="7"/>
        <v>BXM36-27</v>
      </c>
      <c r="H1185" s="16"/>
      <c r="I1185" s="16" t="str">
        <f t="shared" si="5"/>
        <v>collected</v>
      </c>
      <c r="J1185" s="16" t="str">
        <f t="shared" si="6"/>
        <v>N</v>
      </c>
      <c r="K1185" s="16"/>
      <c r="L1185" s="16"/>
    </row>
    <row r="1186">
      <c r="A1186" s="40" t="s">
        <v>1691</v>
      </c>
      <c r="B1186" s="10" t="str">
        <f t="shared" si="1"/>
        <v>extra_muscle</v>
      </c>
      <c r="C1186" s="49" t="str">
        <f t="shared" si="2"/>
        <v>S16205XM1</v>
      </c>
      <c r="D1186" s="6">
        <v>36.0</v>
      </c>
      <c r="E1186" s="10" t="str">
        <f t="shared" si="3"/>
        <v>BXM36</v>
      </c>
      <c r="F1186" s="13">
        <v>28.0</v>
      </c>
      <c r="G1186" s="10" t="str">
        <f t="shared" si="7"/>
        <v>BXM36-28</v>
      </c>
      <c r="H1186" s="16"/>
      <c r="I1186" s="16" t="str">
        <f t="shared" si="5"/>
        <v>collected</v>
      </c>
      <c r="J1186" s="16" t="str">
        <f t="shared" si="6"/>
        <v>N</v>
      </c>
      <c r="K1186" s="16"/>
      <c r="L1186" s="16"/>
    </row>
    <row r="1187">
      <c r="A1187" s="40" t="s">
        <v>1692</v>
      </c>
      <c r="B1187" s="10" t="str">
        <f t="shared" si="1"/>
        <v>extra_muscle</v>
      </c>
      <c r="C1187" s="49" t="str">
        <f t="shared" si="2"/>
        <v>S16201XM1</v>
      </c>
      <c r="D1187" s="6">
        <v>36.0</v>
      </c>
      <c r="E1187" s="10" t="str">
        <f t="shared" si="3"/>
        <v>BXM36</v>
      </c>
      <c r="F1187" s="13">
        <v>29.0</v>
      </c>
      <c r="G1187" s="10" t="str">
        <f t="shared" si="7"/>
        <v>BXM36-29</v>
      </c>
      <c r="H1187" s="16"/>
      <c r="I1187" s="16" t="str">
        <f t="shared" si="5"/>
        <v>collected</v>
      </c>
      <c r="J1187" s="16" t="str">
        <f t="shared" si="6"/>
        <v>N</v>
      </c>
      <c r="K1187" s="16"/>
      <c r="L1187" s="16"/>
    </row>
    <row r="1188">
      <c r="A1188" s="40" t="s">
        <v>1693</v>
      </c>
      <c r="B1188" s="10" t="str">
        <f t="shared" si="1"/>
        <v>extra_muscle</v>
      </c>
      <c r="C1188" s="49" t="str">
        <f t="shared" si="2"/>
        <v>S16209XM1</v>
      </c>
      <c r="D1188" s="6">
        <v>36.0</v>
      </c>
      <c r="E1188" s="10" t="str">
        <f t="shared" si="3"/>
        <v>BXM36</v>
      </c>
      <c r="F1188" s="13">
        <v>30.0</v>
      </c>
      <c r="G1188" s="10" t="str">
        <f t="shared" si="7"/>
        <v>BXM36-30</v>
      </c>
      <c r="H1188" s="16"/>
      <c r="I1188" s="16" t="str">
        <f t="shared" si="5"/>
        <v>collected</v>
      </c>
      <c r="J1188" s="16" t="str">
        <f t="shared" si="6"/>
        <v>N</v>
      </c>
      <c r="K1188" s="16"/>
      <c r="L1188" s="16"/>
    </row>
    <row r="1189">
      <c r="A1189" s="40" t="s">
        <v>1695</v>
      </c>
      <c r="B1189" s="10" t="str">
        <f t="shared" si="1"/>
        <v>extra_muscle</v>
      </c>
      <c r="C1189" s="49" t="str">
        <f t="shared" si="2"/>
        <v>S16203XM1</v>
      </c>
      <c r="D1189" s="6">
        <v>36.0</v>
      </c>
      <c r="E1189" s="10" t="str">
        <f t="shared" si="3"/>
        <v>BXM36</v>
      </c>
      <c r="F1189" s="13">
        <v>31.0</v>
      </c>
      <c r="G1189" s="10" t="str">
        <f t="shared" si="7"/>
        <v>BXM36-31</v>
      </c>
      <c r="H1189" s="16"/>
      <c r="I1189" s="16" t="str">
        <f t="shared" si="5"/>
        <v>collected</v>
      </c>
      <c r="J1189" s="16" t="str">
        <f t="shared" si="6"/>
        <v>N</v>
      </c>
      <c r="K1189" s="16"/>
      <c r="L1189" s="16"/>
    </row>
    <row r="1190">
      <c r="A1190" s="40" t="s">
        <v>1696</v>
      </c>
      <c r="B1190" s="10" t="str">
        <f t="shared" si="1"/>
        <v>extra_muscle</v>
      </c>
      <c r="C1190" s="49" t="str">
        <f t="shared" si="2"/>
        <v>S17558XM1</v>
      </c>
      <c r="D1190" s="6">
        <v>34.0</v>
      </c>
      <c r="E1190" s="10" t="str">
        <f t="shared" si="3"/>
        <v>BXM34</v>
      </c>
      <c r="F1190" s="13">
        <v>49.0</v>
      </c>
      <c r="G1190" s="10" t="str">
        <f t="shared" si="7"/>
        <v>BXM34-49</v>
      </c>
      <c r="H1190" s="16"/>
      <c r="I1190" s="16" t="str">
        <f t="shared" si="5"/>
        <v>collected</v>
      </c>
      <c r="J1190" s="16" t="str">
        <f t="shared" si="6"/>
        <v>N</v>
      </c>
      <c r="K1190" s="16"/>
      <c r="L1190" s="16"/>
    </row>
    <row r="1191">
      <c r="A1191" s="40" t="s">
        <v>1697</v>
      </c>
      <c r="B1191" s="10" t="str">
        <f t="shared" si="1"/>
        <v>extra_muscle</v>
      </c>
      <c r="C1191" s="49" t="str">
        <f t="shared" si="2"/>
        <v>S17557XM1</v>
      </c>
      <c r="D1191" s="6">
        <v>34.0</v>
      </c>
      <c r="E1191" s="10" t="str">
        <f t="shared" si="3"/>
        <v>BXM34</v>
      </c>
      <c r="F1191" s="13">
        <v>50.0</v>
      </c>
      <c r="G1191" s="10" t="str">
        <f t="shared" si="7"/>
        <v>BXM34-50</v>
      </c>
      <c r="H1191" s="16"/>
      <c r="I1191" s="16" t="str">
        <f t="shared" si="5"/>
        <v>collected</v>
      </c>
      <c r="J1191" s="16" t="str">
        <f t="shared" si="6"/>
        <v>N</v>
      </c>
      <c r="K1191" s="16"/>
      <c r="L1191" s="16"/>
    </row>
    <row r="1192">
      <c r="A1192" s="40" t="s">
        <v>1698</v>
      </c>
      <c r="B1192" s="10" t="str">
        <f t="shared" si="1"/>
        <v>extra_muscle</v>
      </c>
      <c r="C1192" s="49" t="str">
        <f t="shared" si="2"/>
        <v>S17555XM1</v>
      </c>
      <c r="D1192" s="6">
        <v>34.0</v>
      </c>
      <c r="E1192" s="10" t="str">
        <f t="shared" si="3"/>
        <v>BXM34</v>
      </c>
      <c r="F1192" s="13">
        <v>51.0</v>
      </c>
      <c r="G1192" s="10" t="str">
        <f t="shared" si="7"/>
        <v>BXM34-51</v>
      </c>
      <c r="H1192" s="16"/>
      <c r="I1192" s="16" t="str">
        <f t="shared" si="5"/>
        <v>collected</v>
      </c>
      <c r="J1192" s="16" t="str">
        <f t="shared" si="6"/>
        <v>N</v>
      </c>
      <c r="K1192" s="16"/>
      <c r="L1192" s="16"/>
    </row>
    <row r="1193">
      <c r="A1193" s="40" t="s">
        <v>1699</v>
      </c>
      <c r="B1193" s="10" t="str">
        <f t="shared" si="1"/>
        <v>extra_muscle</v>
      </c>
      <c r="C1193" s="49" t="str">
        <f t="shared" si="2"/>
        <v>S17559XM1</v>
      </c>
      <c r="D1193" s="6">
        <v>34.0</v>
      </c>
      <c r="E1193" s="10" t="str">
        <f t="shared" si="3"/>
        <v>BXM34</v>
      </c>
      <c r="F1193" s="13">
        <v>52.0</v>
      </c>
      <c r="G1193" s="10" t="str">
        <f t="shared" si="7"/>
        <v>BXM34-52</v>
      </c>
      <c r="H1193" s="16"/>
      <c r="I1193" s="16" t="str">
        <f t="shared" si="5"/>
        <v>collected</v>
      </c>
      <c r="J1193" s="16" t="str">
        <f t="shared" si="6"/>
        <v>N</v>
      </c>
      <c r="K1193" s="16"/>
      <c r="L1193" s="16"/>
    </row>
    <row r="1194">
      <c r="A1194" s="40" t="s">
        <v>1701</v>
      </c>
      <c r="B1194" s="10" t="str">
        <f t="shared" si="1"/>
        <v>extra_muscle</v>
      </c>
      <c r="C1194" s="49" t="str">
        <f t="shared" si="2"/>
        <v>S17288XM1</v>
      </c>
      <c r="D1194" s="6">
        <v>34.0</v>
      </c>
      <c r="E1194" s="10" t="str">
        <f t="shared" si="3"/>
        <v>BXM34</v>
      </c>
      <c r="F1194" s="13">
        <v>53.0</v>
      </c>
      <c r="G1194" s="10" t="str">
        <f t="shared" si="7"/>
        <v>BXM34-53</v>
      </c>
      <c r="H1194" s="16"/>
      <c r="I1194" s="16" t="str">
        <f t="shared" si="5"/>
        <v>collected</v>
      </c>
      <c r="J1194" s="16" t="str">
        <f t="shared" si="6"/>
        <v>N</v>
      </c>
      <c r="K1194" s="16"/>
      <c r="L1194" s="16"/>
    </row>
    <row r="1195">
      <c r="A1195" s="40" t="s">
        <v>1702</v>
      </c>
      <c r="B1195" s="10" t="str">
        <f t="shared" si="1"/>
        <v>extra_muscle</v>
      </c>
      <c r="C1195" s="49" t="str">
        <f t="shared" si="2"/>
        <v>S17285XM1</v>
      </c>
      <c r="D1195" s="6">
        <v>34.0</v>
      </c>
      <c r="E1195" s="10" t="str">
        <f t="shared" si="3"/>
        <v>BXM34</v>
      </c>
      <c r="F1195" s="13">
        <v>54.0</v>
      </c>
      <c r="G1195" s="10" t="str">
        <f t="shared" si="7"/>
        <v>BXM34-54</v>
      </c>
      <c r="H1195" s="16"/>
      <c r="I1195" s="16" t="str">
        <f t="shared" si="5"/>
        <v>collected</v>
      </c>
      <c r="J1195" s="16" t="str">
        <f t="shared" si="6"/>
        <v>N</v>
      </c>
      <c r="K1195" s="16"/>
      <c r="L1195" s="16"/>
    </row>
    <row r="1196">
      <c r="A1196" s="40" t="s">
        <v>1703</v>
      </c>
      <c r="B1196" s="10" t="str">
        <f t="shared" si="1"/>
        <v>extra_muscle</v>
      </c>
      <c r="C1196" s="49" t="str">
        <f t="shared" si="2"/>
        <v>S17281XM1</v>
      </c>
      <c r="D1196" s="6">
        <v>34.0</v>
      </c>
      <c r="E1196" s="10" t="str">
        <f t="shared" si="3"/>
        <v>BXM34</v>
      </c>
      <c r="F1196" s="13">
        <v>55.0</v>
      </c>
      <c r="G1196" s="10" t="str">
        <f t="shared" si="7"/>
        <v>BXM34-55</v>
      </c>
      <c r="H1196" s="16"/>
      <c r="I1196" s="16" t="str">
        <f t="shared" si="5"/>
        <v>collected</v>
      </c>
      <c r="J1196" s="16" t="str">
        <f t="shared" si="6"/>
        <v>N</v>
      </c>
      <c r="K1196" s="16"/>
      <c r="L1196" s="16"/>
    </row>
    <row r="1197">
      <c r="A1197" s="40" t="s">
        <v>1704</v>
      </c>
      <c r="B1197" s="10" t="str">
        <f t="shared" si="1"/>
        <v>extra_muscle</v>
      </c>
      <c r="C1197" s="49" t="str">
        <f t="shared" si="2"/>
        <v>S17287XM1</v>
      </c>
      <c r="D1197" s="6">
        <v>34.0</v>
      </c>
      <c r="E1197" s="10" t="str">
        <f t="shared" si="3"/>
        <v>BXM34</v>
      </c>
      <c r="F1197" s="13">
        <v>56.0</v>
      </c>
      <c r="G1197" s="10" t="str">
        <f t="shared" si="7"/>
        <v>BXM34-56</v>
      </c>
      <c r="H1197" s="16"/>
      <c r="I1197" s="16" t="str">
        <f t="shared" si="5"/>
        <v>collected</v>
      </c>
      <c r="J1197" s="16" t="str">
        <f t="shared" si="6"/>
        <v>N</v>
      </c>
      <c r="K1197" s="16"/>
      <c r="L1197" s="16"/>
    </row>
    <row r="1198">
      <c r="A1198" s="40" t="s">
        <v>1706</v>
      </c>
      <c r="B1198" s="10" t="str">
        <f t="shared" si="1"/>
        <v>extra_muscle</v>
      </c>
      <c r="C1198" s="49" t="str">
        <f t="shared" si="2"/>
        <v>S17283XM1</v>
      </c>
      <c r="D1198" s="6">
        <v>34.0</v>
      </c>
      <c r="E1198" s="10" t="str">
        <f t="shared" si="3"/>
        <v>BXM34</v>
      </c>
      <c r="F1198" s="13">
        <v>57.0</v>
      </c>
      <c r="G1198" s="10" t="str">
        <f t="shared" si="7"/>
        <v>BXM34-57</v>
      </c>
      <c r="H1198" s="16"/>
      <c r="I1198" s="16" t="str">
        <f t="shared" si="5"/>
        <v>collected</v>
      </c>
      <c r="J1198" s="16" t="str">
        <f t="shared" si="6"/>
        <v>N</v>
      </c>
      <c r="K1198" s="16"/>
      <c r="L1198" s="16"/>
    </row>
    <row r="1199">
      <c r="A1199" s="40" t="s">
        <v>1707</v>
      </c>
      <c r="B1199" s="10" t="str">
        <f t="shared" si="1"/>
        <v>extra_muscle</v>
      </c>
      <c r="C1199" s="49" t="str">
        <f t="shared" si="2"/>
        <v>S17290XM1</v>
      </c>
      <c r="D1199" s="6">
        <v>34.0</v>
      </c>
      <c r="E1199" s="10" t="str">
        <f t="shared" si="3"/>
        <v>BXM34</v>
      </c>
      <c r="F1199" s="13">
        <v>58.0</v>
      </c>
      <c r="G1199" s="10" t="str">
        <f t="shared" si="7"/>
        <v>BXM34-58</v>
      </c>
      <c r="H1199" s="16"/>
      <c r="I1199" s="16" t="str">
        <f t="shared" si="5"/>
        <v>collected</v>
      </c>
      <c r="J1199" s="16" t="str">
        <f t="shared" si="6"/>
        <v>N</v>
      </c>
      <c r="K1199" s="16"/>
      <c r="L1199" s="16"/>
    </row>
    <row r="1200">
      <c r="A1200" s="40" t="s">
        <v>1708</v>
      </c>
      <c r="B1200" s="10" t="str">
        <f t="shared" si="1"/>
        <v>extra_muscle</v>
      </c>
      <c r="C1200" s="49" t="str">
        <f t="shared" si="2"/>
        <v>S17289XM1</v>
      </c>
      <c r="D1200" s="6">
        <v>34.0</v>
      </c>
      <c r="E1200" s="10" t="str">
        <f t="shared" si="3"/>
        <v>BXM34</v>
      </c>
      <c r="F1200" s="13">
        <v>59.0</v>
      </c>
      <c r="G1200" s="10" t="str">
        <f t="shared" si="7"/>
        <v>BXM34-59</v>
      </c>
      <c r="H1200" s="16"/>
      <c r="I1200" s="16" t="str">
        <f t="shared" si="5"/>
        <v>collected</v>
      </c>
      <c r="J1200" s="16" t="str">
        <f t="shared" si="6"/>
        <v>N</v>
      </c>
      <c r="K1200" s="16"/>
      <c r="L1200" s="16"/>
    </row>
    <row r="1201">
      <c r="A1201" s="40" t="s">
        <v>1709</v>
      </c>
      <c r="B1201" s="10" t="str">
        <f t="shared" si="1"/>
        <v>extra_muscle</v>
      </c>
      <c r="C1201" s="49" t="str">
        <f t="shared" si="2"/>
        <v>S17286XM1</v>
      </c>
      <c r="D1201" s="6">
        <v>34.0</v>
      </c>
      <c r="E1201" s="10" t="str">
        <f t="shared" si="3"/>
        <v>BXM34</v>
      </c>
      <c r="F1201" s="13">
        <v>60.0</v>
      </c>
      <c r="G1201" s="10" t="str">
        <f t="shared" si="7"/>
        <v>BXM34-60</v>
      </c>
      <c r="H1201" s="16"/>
      <c r="I1201" s="16" t="str">
        <f t="shared" si="5"/>
        <v>collected</v>
      </c>
      <c r="J1201" s="16" t="str">
        <f t="shared" si="6"/>
        <v>N</v>
      </c>
      <c r="K1201" s="16"/>
      <c r="L1201" s="16"/>
    </row>
    <row r="1202">
      <c r="A1202" s="40" t="s">
        <v>1711</v>
      </c>
      <c r="B1202" s="10" t="str">
        <f t="shared" si="1"/>
        <v>extra_muscle</v>
      </c>
      <c r="C1202" s="49" t="str">
        <f t="shared" si="2"/>
        <v>S17282XM1</v>
      </c>
      <c r="D1202" s="6">
        <v>34.0</v>
      </c>
      <c r="E1202" s="10" t="str">
        <f t="shared" si="3"/>
        <v>BXM34</v>
      </c>
      <c r="F1202" s="13">
        <v>61.0</v>
      </c>
      <c r="G1202" s="10" t="str">
        <f t="shared" si="7"/>
        <v>BXM34-61</v>
      </c>
      <c r="H1202" s="16"/>
      <c r="I1202" s="16" t="str">
        <f t="shared" si="5"/>
        <v>collected</v>
      </c>
      <c r="J1202" s="16" t="str">
        <f t="shared" si="6"/>
        <v>N</v>
      </c>
      <c r="K1202" s="16"/>
      <c r="L1202" s="16"/>
    </row>
    <row r="1203">
      <c r="A1203" s="40" t="s">
        <v>1712</v>
      </c>
      <c r="B1203" s="10" t="str">
        <f t="shared" si="1"/>
        <v>extra_muscle</v>
      </c>
      <c r="C1203" s="49" t="str">
        <f t="shared" si="2"/>
        <v>S17284XM1</v>
      </c>
      <c r="D1203" s="6">
        <v>34.0</v>
      </c>
      <c r="E1203" s="10" t="str">
        <f t="shared" si="3"/>
        <v>BXM34</v>
      </c>
      <c r="F1203" s="13">
        <v>62.0</v>
      </c>
      <c r="G1203" s="10" t="str">
        <f t="shared" si="7"/>
        <v>BXM34-62</v>
      </c>
      <c r="H1203" s="16"/>
      <c r="I1203" s="16" t="str">
        <f t="shared" si="5"/>
        <v>collected</v>
      </c>
      <c r="J1203" s="16" t="str">
        <f t="shared" si="6"/>
        <v>N</v>
      </c>
      <c r="K1203" s="16"/>
      <c r="L1203" s="16"/>
    </row>
    <row r="1204">
      <c r="A1204" s="40" t="s">
        <v>1713</v>
      </c>
      <c r="B1204" s="10" t="str">
        <f t="shared" si="1"/>
        <v>extra_muscle</v>
      </c>
      <c r="C1204" s="49" t="str">
        <f t="shared" si="2"/>
        <v>S17682XM1</v>
      </c>
      <c r="D1204" s="6">
        <v>34.0</v>
      </c>
      <c r="E1204" s="10" t="str">
        <f t="shared" si="3"/>
        <v>BXM34</v>
      </c>
      <c r="F1204" s="13">
        <v>63.0</v>
      </c>
      <c r="G1204" s="10" t="str">
        <f t="shared" si="7"/>
        <v>BXM34-63</v>
      </c>
      <c r="H1204" s="16"/>
      <c r="I1204" s="16" t="str">
        <f t="shared" si="5"/>
        <v>collected</v>
      </c>
      <c r="J1204" s="16" t="str">
        <f t="shared" si="6"/>
        <v>N</v>
      </c>
      <c r="K1204" s="16"/>
      <c r="L1204" s="16"/>
    </row>
    <row r="1205">
      <c r="A1205" s="40" t="s">
        <v>1714</v>
      </c>
      <c r="B1205" s="10" t="str">
        <f t="shared" si="1"/>
        <v>extra_muscle</v>
      </c>
      <c r="C1205" s="49" t="str">
        <f t="shared" si="2"/>
        <v>S17686XM1</v>
      </c>
      <c r="D1205" s="6">
        <v>34.0</v>
      </c>
      <c r="E1205" s="10" t="str">
        <f t="shared" si="3"/>
        <v>BXM34</v>
      </c>
      <c r="F1205" s="13">
        <v>64.0</v>
      </c>
      <c r="G1205" s="10" t="str">
        <f t="shared" si="7"/>
        <v>BXM34-64</v>
      </c>
      <c r="H1205" s="16"/>
      <c r="I1205" s="16" t="str">
        <f t="shared" si="5"/>
        <v>collected</v>
      </c>
      <c r="J1205" s="16" t="str">
        <f t="shared" si="6"/>
        <v>N</v>
      </c>
      <c r="K1205" s="16"/>
      <c r="L1205" s="16"/>
    </row>
    <row r="1206">
      <c r="A1206" s="40" t="s">
        <v>1715</v>
      </c>
      <c r="B1206" s="10" t="str">
        <f t="shared" si="1"/>
        <v>extra_muscle</v>
      </c>
      <c r="C1206" s="49" t="str">
        <f t="shared" si="2"/>
        <v>S17685XM1</v>
      </c>
      <c r="D1206" s="6">
        <v>34.0</v>
      </c>
      <c r="E1206" s="10" t="str">
        <f t="shared" si="3"/>
        <v>BXM34</v>
      </c>
      <c r="F1206" s="13">
        <v>65.0</v>
      </c>
      <c r="G1206" s="10" t="str">
        <f t="shared" si="7"/>
        <v>BXM34-65</v>
      </c>
      <c r="H1206" s="16"/>
      <c r="I1206" s="16" t="str">
        <f t="shared" si="5"/>
        <v>collected</v>
      </c>
      <c r="J1206" s="16" t="str">
        <f t="shared" si="6"/>
        <v>N</v>
      </c>
      <c r="K1206" s="16"/>
      <c r="L1206" s="16"/>
    </row>
    <row r="1207">
      <c r="A1207" s="40" t="s">
        <v>1717</v>
      </c>
      <c r="B1207" s="10" t="str">
        <f t="shared" si="1"/>
        <v>extra_muscle</v>
      </c>
      <c r="C1207" s="49" t="str">
        <f t="shared" si="2"/>
        <v>S17688XM1</v>
      </c>
      <c r="D1207" s="6">
        <v>34.0</v>
      </c>
      <c r="E1207" s="10" t="str">
        <f t="shared" si="3"/>
        <v>BXM34</v>
      </c>
      <c r="F1207" s="13">
        <v>66.0</v>
      </c>
      <c r="G1207" s="10" t="str">
        <f t="shared" si="7"/>
        <v>BXM34-66</v>
      </c>
      <c r="H1207" s="16"/>
      <c r="I1207" s="16" t="str">
        <f t="shared" si="5"/>
        <v>collected</v>
      </c>
      <c r="J1207" s="16" t="str">
        <f t="shared" si="6"/>
        <v>N</v>
      </c>
      <c r="K1207" s="16"/>
      <c r="L1207" s="16"/>
    </row>
    <row r="1208">
      <c r="A1208" s="40" t="s">
        <v>1718</v>
      </c>
      <c r="B1208" s="10" t="str">
        <f t="shared" si="1"/>
        <v>extra_muscle</v>
      </c>
      <c r="C1208" s="49" t="str">
        <f t="shared" si="2"/>
        <v>S17681XM1</v>
      </c>
      <c r="D1208" s="6">
        <v>34.0</v>
      </c>
      <c r="E1208" s="10" t="str">
        <f t="shared" si="3"/>
        <v>BXM34</v>
      </c>
      <c r="F1208" s="13">
        <v>67.0</v>
      </c>
      <c r="G1208" s="10" t="str">
        <f t="shared" si="7"/>
        <v>BXM34-67</v>
      </c>
      <c r="H1208" s="16"/>
      <c r="I1208" s="16" t="str">
        <f t="shared" si="5"/>
        <v>collected</v>
      </c>
      <c r="J1208" s="16" t="str">
        <f t="shared" si="6"/>
        <v>N</v>
      </c>
      <c r="K1208" s="16"/>
      <c r="L1208" s="16"/>
    </row>
    <row r="1209">
      <c r="A1209" s="40" t="s">
        <v>1719</v>
      </c>
      <c r="B1209" s="10" t="str">
        <f t="shared" si="1"/>
        <v>extra_muscle</v>
      </c>
      <c r="C1209" s="49" t="str">
        <f t="shared" si="2"/>
        <v>S17687XM1</v>
      </c>
      <c r="D1209" s="6">
        <v>34.0</v>
      </c>
      <c r="E1209" s="10" t="str">
        <f t="shared" si="3"/>
        <v>BXM34</v>
      </c>
      <c r="F1209" s="13">
        <v>68.0</v>
      </c>
      <c r="G1209" s="10" t="str">
        <f t="shared" si="7"/>
        <v>BXM34-68</v>
      </c>
      <c r="H1209" s="16"/>
      <c r="I1209" s="16" t="str">
        <f t="shared" si="5"/>
        <v>collected</v>
      </c>
      <c r="J1209" s="16" t="str">
        <f t="shared" si="6"/>
        <v>N</v>
      </c>
      <c r="K1209" s="16"/>
      <c r="L1209" s="16"/>
    </row>
    <row r="1210">
      <c r="A1210" s="40" t="s">
        <v>1721</v>
      </c>
      <c r="B1210" s="10" t="str">
        <f t="shared" si="1"/>
        <v>extra_muscle</v>
      </c>
      <c r="C1210" s="49" t="str">
        <f t="shared" si="2"/>
        <v>S17689XM1</v>
      </c>
      <c r="D1210" s="6">
        <v>34.0</v>
      </c>
      <c r="E1210" s="10" t="str">
        <f t="shared" si="3"/>
        <v>BXM34</v>
      </c>
      <c r="F1210" s="13">
        <v>69.0</v>
      </c>
      <c r="G1210" s="10" t="str">
        <f t="shared" si="7"/>
        <v>BXM34-69</v>
      </c>
      <c r="H1210" s="16"/>
      <c r="I1210" s="16" t="str">
        <f t="shared" si="5"/>
        <v>collected</v>
      </c>
      <c r="J1210" s="16" t="str">
        <f t="shared" si="6"/>
        <v>N</v>
      </c>
      <c r="K1210" s="16"/>
      <c r="L1210" s="16"/>
    </row>
    <row r="1211">
      <c r="A1211" s="40" t="s">
        <v>1722</v>
      </c>
      <c r="B1211" s="10" t="str">
        <f t="shared" si="1"/>
        <v>extra_muscle</v>
      </c>
      <c r="C1211" s="49" t="str">
        <f t="shared" si="2"/>
        <v>S17684XM1</v>
      </c>
      <c r="D1211" s="6">
        <v>34.0</v>
      </c>
      <c r="E1211" s="10" t="str">
        <f t="shared" si="3"/>
        <v>BXM34</v>
      </c>
      <c r="F1211" s="13">
        <v>70.0</v>
      </c>
      <c r="G1211" s="10" t="str">
        <f t="shared" si="7"/>
        <v>BXM34-70</v>
      </c>
      <c r="H1211" s="16"/>
      <c r="I1211" s="16" t="str">
        <f t="shared" si="5"/>
        <v>collected</v>
      </c>
      <c r="J1211" s="16" t="str">
        <f t="shared" si="6"/>
        <v>N</v>
      </c>
      <c r="K1211" s="16"/>
      <c r="L1211" s="16"/>
    </row>
    <row r="1212">
      <c r="A1212" s="40" t="s">
        <v>1723</v>
      </c>
      <c r="B1212" s="10" t="str">
        <f t="shared" si="1"/>
        <v>extra_muscle</v>
      </c>
      <c r="C1212" s="49" t="str">
        <f t="shared" si="2"/>
        <v>S17683XM1</v>
      </c>
      <c r="D1212" s="6">
        <v>34.0</v>
      </c>
      <c r="E1212" s="10" t="str">
        <f t="shared" si="3"/>
        <v>BXM34</v>
      </c>
      <c r="F1212" s="13">
        <v>71.0</v>
      </c>
      <c r="G1212" s="10" t="str">
        <f t="shared" si="7"/>
        <v>BXM34-71</v>
      </c>
      <c r="H1212" s="16"/>
      <c r="I1212" s="16" t="str">
        <f t="shared" si="5"/>
        <v>collected</v>
      </c>
      <c r="J1212" s="16" t="str">
        <f t="shared" si="6"/>
        <v>N</v>
      </c>
      <c r="K1212" s="16"/>
      <c r="L1212" s="16"/>
    </row>
    <row r="1213">
      <c r="A1213" s="40" t="s">
        <v>1724</v>
      </c>
      <c r="B1213" s="10" t="str">
        <f t="shared" si="1"/>
        <v>extra_muscle</v>
      </c>
      <c r="C1213" s="49" t="str">
        <f t="shared" si="2"/>
        <v>S17690XM1</v>
      </c>
      <c r="D1213" s="6">
        <v>34.0</v>
      </c>
      <c r="E1213" s="10" t="str">
        <f t="shared" si="3"/>
        <v>BXM34</v>
      </c>
      <c r="F1213" s="13">
        <v>72.0</v>
      </c>
      <c r="G1213" s="10" t="str">
        <f t="shared" si="7"/>
        <v>BXM34-72</v>
      </c>
      <c r="H1213" s="16"/>
      <c r="I1213" s="16" t="str">
        <f t="shared" si="5"/>
        <v>collected</v>
      </c>
      <c r="J1213" s="16" t="str">
        <f t="shared" si="6"/>
        <v>N</v>
      </c>
      <c r="K1213" s="16"/>
      <c r="L1213" s="16"/>
    </row>
    <row r="1214">
      <c r="A1214" s="40" t="s">
        <v>1725</v>
      </c>
      <c r="B1214" s="10" t="str">
        <f t="shared" si="1"/>
        <v>extra_muscle</v>
      </c>
      <c r="C1214" s="49" t="str">
        <f t="shared" si="2"/>
        <v>S16204XM1</v>
      </c>
      <c r="D1214" s="6">
        <v>36.0</v>
      </c>
      <c r="E1214" s="10" t="str">
        <f t="shared" si="3"/>
        <v>BXM36</v>
      </c>
      <c r="F1214" s="13">
        <v>32.0</v>
      </c>
      <c r="G1214" s="10" t="str">
        <f t="shared" si="7"/>
        <v>BXM36-32</v>
      </c>
      <c r="H1214" s="16"/>
      <c r="I1214" s="16" t="str">
        <f t="shared" si="5"/>
        <v>collected</v>
      </c>
      <c r="J1214" s="16" t="str">
        <f t="shared" si="6"/>
        <v>N</v>
      </c>
      <c r="K1214" s="16"/>
      <c r="L1214" s="16"/>
    </row>
    <row r="1215">
      <c r="A1215" s="40" t="s">
        <v>1726</v>
      </c>
      <c r="B1215" s="10" t="str">
        <f t="shared" si="1"/>
        <v>extra_muscle</v>
      </c>
      <c r="C1215" s="49" t="str">
        <f t="shared" si="2"/>
        <v>S16202XM1</v>
      </c>
      <c r="D1215" s="6">
        <v>36.0</v>
      </c>
      <c r="E1215" s="10" t="str">
        <f t="shared" si="3"/>
        <v>BXM36</v>
      </c>
      <c r="F1215" s="13">
        <v>33.0</v>
      </c>
      <c r="G1215" s="10" t="str">
        <f t="shared" si="7"/>
        <v>BXM36-33</v>
      </c>
      <c r="H1215" s="16"/>
      <c r="I1215" s="16" t="str">
        <f t="shared" si="5"/>
        <v>collected</v>
      </c>
      <c r="J1215" s="16" t="str">
        <f t="shared" si="6"/>
        <v>N</v>
      </c>
      <c r="K1215" s="16"/>
      <c r="L1215" s="16"/>
    </row>
    <row r="1216">
      <c r="A1216" s="40" t="s">
        <v>1727</v>
      </c>
      <c r="B1216" s="10" t="str">
        <f t="shared" si="1"/>
        <v>extra_muscle</v>
      </c>
      <c r="C1216" s="49" t="str">
        <f t="shared" si="2"/>
        <v>S16206XM1</v>
      </c>
      <c r="D1216" s="6">
        <v>36.0</v>
      </c>
      <c r="E1216" s="10" t="str">
        <f t="shared" si="3"/>
        <v>BXM36</v>
      </c>
      <c r="F1216" s="13">
        <v>34.0</v>
      </c>
      <c r="G1216" s="10" t="str">
        <f t="shared" si="7"/>
        <v>BXM36-34</v>
      </c>
      <c r="H1216" s="16"/>
      <c r="I1216" s="16" t="str">
        <f t="shared" si="5"/>
        <v>collected</v>
      </c>
      <c r="J1216" s="16" t="str">
        <f t="shared" si="6"/>
        <v>N</v>
      </c>
      <c r="K1216" s="16"/>
      <c r="L1216" s="16"/>
    </row>
    <row r="1217">
      <c r="A1217" s="40" t="s">
        <v>1728</v>
      </c>
      <c r="B1217" s="10" t="str">
        <f t="shared" si="1"/>
        <v>extra_muscle</v>
      </c>
      <c r="C1217" s="49" t="str">
        <f t="shared" si="2"/>
        <v>S16207XM1</v>
      </c>
      <c r="D1217" s="6">
        <v>36.0</v>
      </c>
      <c r="E1217" s="10" t="str">
        <f t="shared" si="3"/>
        <v>BXM36</v>
      </c>
      <c r="F1217" s="13">
        <v>35.0</v>
      </c>
      <c r="G1217" s="10" t="str">
        <f t="shared" si="7"/>
        <v>BXM36-35</v>
      </c>
      <c r="H1217" s="16"/>
      <c r="I1217" s="16" t="str">
        <f t="shared" si="5"/>
        <v>collected</v>
      </c>
      <c r="J1217" s="16" t="str">
        <f t="shared" si="6"/>
        <v>N</v>
      </c>
      <c r="K1217" s="16"/>
      <c r="L1217" s="16"/>
    </row>
    <row r="1218">
      <c r="A1218" s="40" t="s">
        <v>1730</v>
      </c>
      <c r="B1218" s="10" t="str">
        <f t="shared" si="1"/>
        <v>extra_muscle</v>
      </c>
      <c r="C1218" s="49" t="str">
        <f t="shared" si="2"/>
        <v>S16210XM1</v>
      </c>
      <c r="D1218" s="6">
        <v>36.0</v>
      </c>
      <c r="E1218" s="10" t="str">
        <f t="shared" si="3"/>
        <v>BXM36</v>
      </c>
      <c r="F1218" s="13">
        <v>36.0</v>
      </c>
      <c r="G1218" s="10" t="str">
        <f t="shared" si="7"/>
        <v>BXM36-36</v>
      </c>
      <c r="H1218" s="16"/>
      <c r="I1218" s="16" t="str">
        <f t="shared" si="5"/>
        <v>collected</v>
      </c>
      <c r="J1218" s="16" t="str">
        <f t="shared" si="6"/>
        <v>N</v>
      </c>
      <c r="K1218" s="16"/>
      <c r="L1218" s="16"/>
    </row>
    <row r="1219">
      <c r="A1219" s="40" t="s">
        <v>1731</v>
      </c>
      <c r="B1219" s="10" t="str">
        <f t="shared" si="1"/>
        <v>extra_muscle</v>
      </c>
      <c r="C1219" s="49" t="str">
        <f t="shared" si="2"/>
        <v>S16208XM1</v>
      </c>
      <c r="D1219" s="6">
        <v>36.0</v>
      </c>
      <c r="E1219" s="10" t="str">
        <f t="shared" si="3"/>
        <v>BXM36</v>
      </c>
      <c r="F1219" s="13">
        <v>37.0</v>
      </c>
      <c r="G1219" s="10" t="str">
        <f t="shared" si="7"/>
        <v>BXM36-37</v>
      </c>
      <c r="H1219" s="16"/>
      <c r="I1219" s="16" t="str">
        <f t="shared" si="5"/>
        <v>collected</v>
      </c>
      <c r="J1219" s="16" t="str">
        <f t="shared" si="6"/>
        <v>N</v>
      </c>
      <c r="K1219" s="16"/>
      <c r="L1219" s="16"/>
    </row>
    <row r="1220">
      <c r="A1220" s="40" t="s">
        <v>1732</v>
      </c>
      <c r="B1220" s="10" t="str">
        <f t="shared" si="1"/>
        <v>extra_muscle</v>
      </c>
      <c r="C1220" s="49" t="str">
        <f t="shared" si="2"/>
        <v>S17504XM1</v>
      </c>
      <c r="D1220" s="6">
        <v>36.0</v>
      </c>
      <c r="E1220" s="10" t="str">
        <f t="shared" si="3"/>
        <v>BXM36</v>
      </c>
      <c r="F1220" s="13">
        <v>38.0</v>
      </c>
      <c r="G1220" s="10" t="str">
        <f t="shared" si="7"/>
        <v>BXM36-38</v>
      </c>
      <c r="H1220" s="16"/>
      <c r="I1220" s="16" t="str">
        <f t="shared" si="5"/>
        <v>collected</v>
      </c>
      <c r="J1220" s="16" t="str">
        <f t="shared" si="6"/>
        <v>N</v>
      </c>
      <c r="K1220" s="16"/>
      <c r="L1220" s="16"/>
    </row>
    <row r="1221">
      <c r="A1221" s="40" t="s">
        <v>1733</v>
      </c>
      <c r="B1221" s="10" t="str">
        <f t="shared" si="1"/>
        <v>extra_muscle</v>
      </c>
      <c r="C1221" s="49" t="str">
        <f t="shared" si="2"/>
        <v>S17509XM1</v>
      </c>
      <c r="D1221" s="6">
        <v>36.0</v>
      </c>
      <c r="E1221" s="10" t="str">
        <f t="shared" si="3"/>
        <v>BXM36</v>
      </c>
      <c r="F1221" s="13">
        <v>39.0</v>
      </c>
      <c r="G1221" s="10" t="str">
        <f t="shared" si="7"/>
        <v>BXM36-39</v>
      </c>
      <c r="H1221" s="16"/>
      <c r="I1221" s="16" t="str">
        <f t="shared" si="5"/>
        <v>collected</v>
      </c>
      <c r="J1221" s="16" t="str">
        <f t="shared" si="6"/>
        <v>N</v>
      </c>
      <c r="K1221" s="16"/>
      <c r="L1221" s="16"/>
    </row>
    <row r="1222">
      <c r="A1222" s="40" t="s">
        <v>1734</v>
      </c>
      <c r="B1222" s="10" t="str">
        <f t="shared" si="1"/>
        <v>extra_muscle</v>
      </c>
      <c r="C1222" s="49" t="str">
        <f t="shared" si="2"/>
        <v>S17502XM1</v>
      </c>
      <c r="D1222" s="6">
        <v>36.0</v>
      </c>
      <c r="E1222" s="10" t="str">
        <f t="shared" si="3"/>
        <v>BXM36</v>
      </c>
      <c r="F1222" s="13">
        <v>40.0</v>
      </c>
      <c r="G1222" s="10" t="str">
        <f t="shared" si="7"/>
        <v>BXM36-40</v>
      </c>
      <c r="H1222" s="16"/>
      <c r="I1222" s="16" t="str">
        <f t="shared" si="5"/>
        <v>collected</v>
      </c>
      <c r="J1222" s="16" t="str">
        <f t="shared" si="6"/>
        <v>N</v>
      </c>
      <c r="K1222" s="16"/>
      <c r="L1222" s="16"/>
    </row>
    <row r="1223">
      <c r="A1223" s="40" t="s">
        <v>1735</v>
      </c>
      <c r="B1223" s="10" t="str">
        <f t="shared" si="1"/>
        <v>extra_muscle</v>
      </c>
      <c r="C1223" s="49" t="str">
        <f t="shared" si="2"/>
        <v>S17507XM1</v>
      </c>
      <c r="D1223" s="6">
        <v>36.0</v>
      </c>
      <c r="E1223" s="10" t="str">
        <f t="shared" si="3"/>
        <v>BXM36</v>
      </c>
      <c r="F1223" s="13">
        <v>41.0</v>
      </c>
      <c r="G1223" s="10" t="str">
        <f t="shared" si="7"/>
        <v>BXM36-41</v>
      </c>
      <c r="H1223" s="16"/>
      <c r="I1223" s="16" t="str">
        <f t="shared" si="5"/>
        <v>collected</v>
      </c>
      <c r="J1223" s="16" t="str">
        <f t="shared" si="6"/>
        <v>N</v>
      </c>
      <c r="K1223" s="16"/>
      <c r="L1223" s="16"/>
    </row>
    <row r="1224">
      <c r="A1224" s="40" t="s">
        <v>1736</v>
      </c>
      <c r="B1224" s="10" t="str">
        <f t="shared" si="1"/>
        <v>extra_muscle</v>
      </c>
      <c r="C1224" s="49" t="str">
        <f t="shared" si="2"/>
        <v>S17508XM1</v>
      </c>
      <c r="D1224" s="6">
        <v>36.0</v>
      </c>
      <c r="E1224" s="10" t="str">
        <f t="shared" si="3"/>
        <v>BXM36</v>
      </c>
      <c r="F1224" s="13">
        <v>42.0</v>
      </c>
      <c r="G1224" s="10" t="str">
        <f t="shared" si="7"/>
        <v>BXM36-42</v>
      </c>
      <c r="H1224" s="16"/>
      <c r="I1224" s="16" t="str">
        <f t="shared" si="5"/>
        <v>collected</v>
      </c>
      <c r="J1224" s="16" t="str">
        <f t="shared" si="6"/>
        <v>N</v>
      </c>
      <c r="K1224" s="16"/>
      <c r="L1224" s="16"/>
    </row>
    <row r="1225">
      <c r="A1225" s="40" t="s">
        <v>1737</v>
      </c>
      <c r="B1225" s="10" t="str">
        <f t="shared" si="1"/>
        <v>extra_muscle</v>
      </c>
      <c r="C1225" s="49" t="str">
        <f t="shared" si="2"/>
        <v>S17505XM1</v>
      </c>
      <c r="D1225" s="6">
        <v>36.0</v>
      </c>
      <c r="E1225" s="10" t="str">
        <f t="shared" si="3"/>
        <v>BXM36</v>
      </c>
      <c r="F1225" s="13">
        <v>43.0</v>
      </c>
      <c r="G1225" s="10" t="str">
        <f t="shared" si="7"/>
        <v>BXM36-43</v>
      </c>
      <c r="H1225" s="16"/>
      <c r="I1225" s="16" t="str">
        <f t="shared" si="5"/>
        <v>collected</v>
      </c>
      <c r="J1225" s="16" t="str">
        <f t="shared" si="6"/>
        <v>N</v>
      </c>
      <c r="K1225" s="16"/>
      <c r="L1225" s="16"/>
    </row>
    <row r="1226">
      <c r="A1226" s="40" t="s">
        <v>1738</v>
      </c>
      <c r="B1226" s="10" t="str">
        <f t="shared" si="1"/>
        <v>extra_muscle</v>
      </c>
      <c r="C1226" s="49" t="str">
        <f t="shared" si="2"/>
        <v>S17510XM1</v>
      </c>
      <c r="D1226" s="6">
        <v>36.0</v>
      </c>
      <c r="E1226" s="10" t="str">
        <f t="shared" si="3"/>
        <v>BXM36</v>
      </c>
      <c r="F1226" s="13">
        <v>44.0</v>
      </c>
      <c r="G1226" s="10" t="str">
        <f t="shared" si="7"/>
        <v>BXM36-44</v>
      </c>
      <c r="H1226" s="16"/>
      <c r="I1226" s="16" t="str">
        <f t="shared" si="5"/>
        <v>collected</v>
      </c>
      <c r="J1226" s="16" t="str">
        <f t="shared" si="6"/>
        <v>N</v>
      </c>
      <c r="K1226" s="16"/>
      <c r="L1226" s="16"/>
    </row>
    <row r="1227">
      <c r="A1227" s="40" t="s">
        <v>1739</v>
      </c>
      <c r="B1227" s="10" t="str">
        <f t="shared" si="1"/>
        <v>extra_muscle</v>
      </c>
      <c r="C1227" s="49" t="str">
        <f t="shared" si="2"/>
        <v>S17506XM1</v>
      </c>
      <c r="D1227" s="6">
        <v>36.0</v>
      </c>
      <c r="E1227" s="10" t="str">
        <f t="shared" si="3"/>
        <v>BXM36</v>
      </c>
      <c r="F1227" s="13">
        <v>45.0</v>
      </c>
      <c r="G1227" s="10" t="str">
        <f t="shared" si="7"/>
        <v>BXM36-45</v>
      </c>
      <c r="H1227" s="16"/>
      <c r="I1227" s="16" t="str">
        <f t="shared" si="5"/>
        <v>collected</v>
      </c>
      <c r="J1227" s="16" t="str">
        <f t="shared" si="6"/>
        <v>N</v>
      </c>
      <c r="K1227" s="16"/>
      <c r="L1227" s="16"/>
    </row>
    <row r="1228">
      <c r="A1228" s="40" t="s">
        <v>1740</v>
      </c>
      <c r="B1228" s="10" t="str">
        <f t="shared" si="1"/>
        <v>extra_muscle</v>
      </c>
      <c r="C1228" s="49" t="str">
        <f t="shared" si="2"/>
        <v>S17501XM1</v>
      </c>
      <c r="D1228" s="6">
        <v>36.0</v>
      </c>
      <c r="E1228" s="10" t="str">
        <f t="shared" si="3"/>
        <v>BXM36</v>
      </c>
      <c r="F1228" s="13">
        <v>46.0</v>
      </c>
      <c r="G1228" s="10" t="str">
        <f t="shared" si="7"/>
        <v>BXM36-46</v>
      </c>
      <c r="H1228" s="16"/>
      <c r="I1228" s="16" t="str">
        <f t="shared" si="5"/>
        <v>collected</v>
      </c>
      <c r="J1228" s="16" t="str">
        <f t="shared" si="6"/>
        <v>N</v>
      </c>
      <c r="K1228" s="16"/>
      <c r="L1228" s="16"/>
    </row>
    <row r="1229">
      <c r="A1229" s="40" t="s">
        <v>1741</v>
      </c>
      <c r="B1229" s="10" t="str">
        <f t="shared" si="1"/>
        <v>extra_muscle</v>
      </c>
      <c r="C1229" s="49" t="str">
        <f t="shared" si="2"/>
        <v>S17503XM1</v>
      </c>
      <c r="D1229" s="6">
        <v>36.0</v>
      </c>
      <c r="E1229" s="10" t="str">
        <f t="shared" si="3"/>
        <v>BXM36</v>
      </c>
      <c r="F1229" s="13">
        <v>47.0</v>
      </c>
      <c r="G1229" s="10" t="str">
        <f t="shared" si="7"/>
        <v>BXM36-47</v>
      </c>
      <c r="H1229" s="16"/>
      <c r="I1229" s="16" t="str">
        <f t="shared" si="5"/>
        <v>collected</v>
      </c>
      <c r="J1229" s="16" t="str">
        <f t="shared" si="6"/>
        <v>N</v>
      </c>
      <c r="K1229" s="16"/>
      <c r="L1229" s="16"/>
    </row>
    <row r="1230">
      <c r="A1230" s="40" t="s">
        <v>1742</v>
      </c>
      <c r="B1230" s="10" t="str">
        <f t="shared" si="1"/>
        <v>extra_muscle</v>
      </c>
      <c r="C1230" s="49" t="str">
        <f t="shared" si="2"/>
        <v>S17102XM1</v>
      </c>
      <c r="D1230" s="6">
        <v>36.0</v>
      </c>
      <c r="E1230" s="10" t="str">
        <f t="shared" si="3"/>
        <v>BXM36</v>
      </c>
      <c r="F1230" s="13">
        <v>48.0</v>
      </c>
      <c r="G1230" s="10" t="str">
        <f t="shared" si="7"/>
        <v>BXM36-48</v>
      </c>
      <c r="H1230" s="16"/>
      <c r="I1230" s="16" t="str">
        <f t="shared" si="5"/>
        <v>collected</v>
      </c>
      <c r="J1230" s="16" t="str">
        <f t="shared" si="6"/>
        <v>N</v>
      </c>
      <c r="K1230" s="16"/>
      <c r="L1230" s="16"/>
    </row>
    <row r="1231">
      <c r="A1231" s="40" t="s">
        <v>1743</v>
      </c>
      <c r="B1231" s="10" t="str">
        <f t="shared" si="1"/>
        <v>extra_muscle</v>
      </c>
      <c r="C1231" s="49" t="str">
        <f t="shared" si="2"/>
        <v>S17107XM1</v>
      </c>
      <c r="D1231" s="6">
        <v>36.0</v>
      </c>
      <c r="E1231" s="10" t="str">
        <f t="shared" si="3"/>
        <v>BXM36</v>
      </c>
      <c r="F1231" s="13">
        <v>49.0</v>
      </c>
      <c r="G1231" s="10" t="str">
        <f t="shared" si="7"/>
        <v>BXM36-49</v>
      </c>
      <c r="H1231" s="16"/>
      <c r="I1231" s="16" t="str">
        <f t="shared" si="5"/>
        <v>collected</v>
      </c>
      <c r="J1231" s="16" t="str">
        <f t="shared" si="6"/>
        <v>N</v>
      </c>
      <c r="K1231" s="16"/>
      <c r="L1231" s="16"/>
    </row>
    <row r="1232">
      <c r="A1232" s="40" t="s">
        <v>1744</v>
      </c>
      <c r="B1232" s="10" t="str">
        <f t="shared" si="1"/>
        <v>extra_muscle</v>
      </c>
      <c r="C1232" s="49" t="str">
        <f t="shared" si="2"/>
        <v>S17259XM1</v>
      </c>
      <c r="D1232" s="6">
        <v>34.0</v>
      </c>
      <c r="E1232" s="10" t="str">
        <f t="shared" si="3"/>
        <v>BXM34</v>
      </c>
      <c r="F1232" s="13">
        <v>73.0</v>
      </c>
      <c r="G1232" s="10" t="str">
        <f t="shared" si="7"/>
        <v>BXM34-73</v>
      </c>
      <c r="H1232" s="16"/>
      <c r="I1232" s="16" t="str">
        <f t="shared" si="5"/>
        <v>collected</v>
      </c>
      <c r="J1232" s="16" t="str">
        <f t="shared" si="6"/>
        <v>N</v>
      </c>
      <c r="K1232" s="16"/>
      <c r="L1232" s="16"/>
    </row>
    <row r="1233">
      <c r="A1233" s="40" t="s">
        <v>1745</v>
      </c>
      <c r="B1233" s="10" t="str">
        <f t="shared" si="1"/>
        <v>extra_muscle</v>
      </c>
      <c r="C1233" s="49" t="str">
        <f t="shared" si="2"/>
        <v>S17260XM1</v>
      </c>
      <c r="D1233" s="6">
        <v>34.0</v>
      </c>
      <c r="E1233" s="10" t="str">
        <f t="shared" si="3"/>
        <v>BXM34</v>
      </c>
      <c r="F1233" s="13">
        <v>74.0</v>
      </c>
      <c r="G1233" s="10" t="str">
        <f t="shared" si="7"/>
        <v>BXM34-74</v>
      </c>
      <c r="H1233" s="16"/>
      <c r="I1233" s="16" t="str">
        <f t="shared" si="5"/>
        <v>collected</v>
      </c>
      <c r="J1233" s="16" t="str">
        <f t="shared" si="6"/>
        <v>N</v>
      </c>
      <c r="K1233" s="16"/>
      <c r="L1233" s="16"/>
    </row>
    <row r="1234">
      <c r="A1234" s="40" t="s">
        <v>1746</v>
      </c>
      <c r="B1234" s="10" t="str">
        <f t="shared" si="1"/>
        <v>extra_muscle</v>
      </c>
      <c r="C1234" s="49" t="str">
        <f t="shared" si="2"/>
        <v>S17258XM1</v>
      </c>
      <c r="D1234" s="6">
        <v>34.0</v>
      </c>
      <c r="E1234" s="10" t="str">
        <f t="shared" si="3"/>
        <v>BXM34</v>
      </c>
      <c r="F1234" s="13">
        <v>75.0</v>
      </c>
      <c r="G1234" s="10" t="str">
        <f t="shared" si="7"/>
        <v>BXM34-75</v>
      </c>
      <c r="H1234" s="16"/>
      <c r="I1234" s="16" t="str">
        <f t="shared" si="5"/>
        <v>collected</v>
      </c>
      <c r="J1234" s="16" t="str">
        <f t="shared" si="6"/>
        <v>N</v>
      </c>
      <c r="K1234" s="16"/>
      <c r="L1234" s="16"/>
    </row>
    <row r="1235">
      <c r="A1235" s="40" t="s">
        <v>1747</v>
      </c>
      <c r="B1235" s="10" t="str">
        <f t="shared" si="1"/>
        <v>extra_muscle</v>
      </c>
      <c r="C1235" s="49" t="str">
        <f t="shared" si="2"/>
        <v>S17256XM1</v>
      </c>
      <c r="D1235" s="6">
        <v>34.0</v>
      </c>
      <c r="E1235" s="10" t="str">
        <f t="shared" si="3"/>
        <v>BXM34</v>
      </c>
      <c r="F1235" s="13">
        <v>76.0</v>
      </c>
      <c r="G1235" s="10" t="str">
        <f t="shared" si="7"/>
        <v>BXM34-76</v>
      </c>
      <c r="H1235" s="16"/>
      <c r="I1235" s="16" t="str">
        <f t="shared" si="5"/>
        <v>collected</v>
      </c>
      <c r="J1235" s="16" t="str">
        <f t="shared" si="6"/>
        <v>N</v>
      </c>
      <c r="K1235" s="16"/>
      <c r="L1235" s="16"/>
    </row>
    <row r="1236">
      <c r="A1236" s="40" t="s">
        <v>1748</v>
      </c>
      <c r="B1236" s="10" t="str">
        <f t="shared" si="1"/>
        <v>extra_muscle</v>
      </c>
      <c r="C1236" s="49" t="str">
        <f t="shared" si="2"/>
        <v>S17253XM1</v>
      </c>
      <c r="D1236" s="6">
        <v>34.0</v>
      </c>
      <c r="E1236" s="10" t="str">
        <f t="shared" si="3"/>
        <v>BXM34</v>
      </c>
      <c r="F1236" s="13">
        <v>77.0</v>
      </c>
      <c r="G1236" s="10" t="str">
        <f t="shared" si="7"/>
        <v>BXM34-77</v>
      </c>
      <c r="H1236" s="16"/>
      <c r="I1236" s="16" t="str">
        <f t="shared" si="5"/>
        <v>collected</v>
      </c>
      <c r="J1236" s="16" t="str">
        <f t="shared" si="6"/>
        <v>N</v>
      </c>
      <c r="K1236" s="16"/>
      <c r="L1236" s="16"/>
    </row>
    <row r="1237">
      <c r="A1237" s="40" t="s">
        <v>1749</v>
      </c>
      <c r="B1237" s="10" t="str">
        <f t="shared" si="1"/>
        <v>extra_muscle</v>
      </c>
      <c r="C1237" s="49" t="str">
        <f t="shared" si="2"/>
        <v>S17257XM1</v>
      </c>
      <c r="D1237" s="6">
        <v>34.0</v>
      </c>
      <c r="E1237" s="10" t="str">
        <f t="shared" si="3"/>
        <v>BXM34</v>
      </c>
      <c r="F1237" s="13">
        <v>78.0</v>
      </c>
      <c r="G1237" s="10" t="str">
        <f t="shared" si="7"/>
        <v>BXM34-78</v>
      </c>
      <c r="H1237" s="16"/>
      <c r="I1237" s="16" t="str">
        <f t="shared" si="5"/>
        <v>collected</v>
      </c>
      <c r="J1237" s="16" t="str">
        <f t="shared" si="6"/>
        <v>N</v>
      </c>
      <c r="K1237" s="16"/>
      <c r="L1237" s="16"/>
    </row>
    <row r="1238">
      <c r="A1238" s="40" t="s">
        <v>1750</v>
      </c>
      <c r="B1238" s="10" t="str">
        <f t="shared" si="1"/>
        <v>extra_muscle</v>
      </c>
      <c r="C1238" s="49" t="str">
        <f t="shared" si="2"/>
        <v>S17252XM1</v>
      </c>
      <c r="D1238" s="6">
        <v>34.0</v>
      </c>
      <c r="E1238" s="10" t="str">
        <f t="shared" si="3"/>
        <v>BXM34</v>
      </c>
      <c r="F1238" s="13">
        <v>79.0</v>
      </c>
      <c r="G1238" s="10" t="str">
        <f t="shared" si="7"/>
        <v>BXM34-79</v>
      </c>
      <c r="H1238" s="16"/>
      <c r="I1238" s="16" t="str">
        <f t="shared" si="5"/>
        <v>collected</v>
      </c>
      <c r="J1238" s="16" t="str">
        <f t="shared" si="6"/>
        <v>N</v>
      </c>
      <c r="K1238" s="16"/>
      <c r="L1238" s="16"/>
    </row>
    <row r="1239">
      <c r="A1239" s="40" t="s">
        <v>1751</v>
      </c>
      <c r="B1239" s="10" t="str">
        <f t="shared" si="1"/>
        <v>extra_muscle</v>
      </c>
      <c r="C1239" s="49" t="str">
        <f t="shared" si="2"/>
        <v>S17255XM1</v>
      </c>
      <c r="D1239" s="6">
        <v>34.0</v>
      </c>
      <c r="E1239" s="10" t="str">
        <f t="shared" si="3"/>
        <v>BXM34</v>
      </c>
      <c r="F1239" s="13">
        <v>80.0</v>
      </c>
      <c r="G1239" s="10" t="str">
        <f t="shared" si="7"/>
        <v>BXM34-80</v>
      </c>
      <c r="H1239" s="16"/>
      <c r="I1239" s="16" t="str">
        <f t="shared" si="5"/>
        <v>collected</v>
      </c>
      <c r="J1239" s="16" t="str">
        <f t="shared" si="6"/>
        <v>N</v>
      </c>
      <c r="K1239" s="16"/>
      <c r="L1239" s="16"/>
    </row>
    <row r="1240">
      <c r="A1240" s="40" t="s">
        <v>1752</v>
      </c>
      <c r="B1240" s="10" t="str">
        <f t="shared" si="1"/>
        <v>extra_muscle</v>
      </c>
      <c r="C1240" s="49" t="str">
        <f t="shared" si="2"/>
        <v>S17251XM1</v>
      </c>
      <c r="D1240" s="6">
        <v>34.0</v>
      </c>
      <c r="E1240" s="10" t="str">
        <f t="shared" si="3"/>
        <v>BXM34</v>
      </c>
      <c r="F1240" s="13">
        <v>81.0</v>
      </c>
      <c r="G1240" s="10" t="str">
        <f t="shared" si="7"/>
        <v>BXM34-81</v>
      </c>
      <c r="H1240" s="16"/>
      <c r="I1240" s="16" t="str">
        <f t="shared" si="5"/>
        <v>collected</v>
      </c>
      <c r="J1240" s="16" t="str">
        <f t="shared" si="6"/>
        <v>N</v>
      </c>
      <c r="K1240" s="16"/>
      <c r="L1240" s="16"/>
    </row>
    <row r="1241">
      <c r="A1241" s="40" t="s">
        <v>1753</v>
      </c>
      <c r="B1241" s="10" t="str">
        <f t="shared" si="1"/>
        <v>extra_muscle</v>
      </c>
      <c r="C1241" s="49" t="str">
        <f t="shared" si="2"/>
        <v>S16675XM1</v>
      </c>
      <c r="D1241" s="6">
        <v>32.0</v>
      </c>
      <c r="E1241" s="10" t="str">
        <f t="shared" si="3"/>
        <v>BXM32</v>
      </c>
      <c r="F1241" s="13">
        <v>79.0</v>
      </c>
      <c r="G1241" s="10" t="str">
        <f t="shared" si="7"/>
        <v>BXM32-79</v>
      </c>
      <c r="H1241" s="16"/>
      <c r="I1241" s="16" t="str">
        <f t="shared" si="5"/>
        <v>collected</v>
      </c>
      <c r="J1241" s="16" t="str">
        <f t="shared" si="6"/>
        <v>N</v>
      </c>
      <c r="K1241" s="16"/>
      <c r="L1241" s="16"/>
    </row>
    <row r="1242">
      <c r="A1242" s="40" t="s">
        <v>1754</v>
      </c>
      <c r="B1242" s="10" t="str">
        <f t="shared" si="1"/>
        <v>extra_muscle</v>
      </c>
      <c r="C1242" s="49" t="str">
        <f t="shared" si="2"/>
        <v>S16677XM1</v>
      </c>
      <c r="D1242" s="6">
        <v>32.0</v>
      </c>
      <c r="E1242" s="10" t="str">
        <f t="shared" si="3"/>
        <v>BXM32</v>
      </c>
      <c r="F1242" s="13">
        <v>80.0</v>
      </c>
      <c r="G1242" s="10" t="str">
        <f t="shared" si="7"/>
        <v>BXM32-80</v>
      </c>
      <c r="H1242" s="16"/>
      <c r="I1242" s="16" t="str">
        <f t="shared" si="5"/>
        <v>collected</v>
      </c>
      <c r="J1242" s="16" t="str">
        <f t="shared" si="6"/>
        <v>N</v>
      </c>
      <c r="K1242" s="16"/>
      <c r="L1242" s="16"/>
    </row>
    <row r="1243">
      <c r="A1243" s="40" t="s">
        <v>1755</v>
      </c>
      <c r="B1243" s="10" t="str">
        <f t="shared" si="1"/>
        <v>extra_muscle</v>
      </c>
      <c r="C1243" s="49" t="str">
        <f t="shared" si="2"/>
        <v>S16673XM1</v>
      </c>
      <c r="D1243" s="6">
        <v>32.0</v>
      </c>
      <c r="E1243" s="10" t="str">
        <f t="shared" si="3"/>
        <v>BXM32</v>
      </c>
      <c r="F1243" s="13">
        <v>81.0</v>
      </c>
      <c r="G1243" s="10" t="str">
        <f t="shared" si="7"/>
        <v>BXM32-81</v>
      </c>
      <c r="H1243" s="16"/>
      <c r="I1243" s="16" t="str">
        <f t="shared" si="5"/>
        <v>collected</v>
      </c>
      <c r="J1243" s="16" t="str">
        <f t="shared" si="6"/>
        <v>N</v>
      </c>
      <c r="K1243" s="16"/>
      <c r="L1243" s="16"/>
    </row>
    <row r="1244">
      <c r="A1244" s="40" t="s">
        <v>1756</v>
      </c>
      <c r="B1244" s="10" t="str">
        <f t="shared" si="1"/>
        <v>extra_muscle</v>
      </c>
      <c r="C1244" s="49" t="str">
        <f t="shared" si="2"/>
        <v>S16671XM1</v>
      </c>
      <c r="D1244" s="6">
        <v>37.0</v>
      </c>
      <c r="E1244" s="10" t="str">
        <f t="shared" si="3"/>
        <v>BXM37</v>
      </c>
      <c r="F1244" s="13">
        <v>1.0</v>
      </c>
      <c r="G1244" s="10" t="str">
        <f t="shared" si="7"/>
        <v>BXM37-1</v>
      </c>
      <c r="H1244" s="16"/>
      <c r="I1244" s="16" t="str">
        <f t="shared" si="5"/>
        <v>collected</v>
      </c>
      <c r="J1244" s="16" t="str">
        <f t="shared" si="6"/>
        <v>N</v>
      </c>
      <c r="K1244" s="16"/>
      <c r="L1244" s="16"/>
    </row>
    <row r="1245">
      <c r="A1245" s="40" t="s">
        <v>1757</v>
      </c>
      <c r="B1245" s="10" t="str">
        <f t="shared" si="1"/>
        <v>extra_muscle</v>
      </c>
      <c r="C1245" s="49" t="str">
        <f t="shared" si="2"/>
        <v>S16679XM1</v>
      </c>
      <c r="D1245" s="6">
        <v>37.0</v>
      </c>
      <c r="E1245" s="10" t="str">
        <f t="shared" si="3"/>
        <v>BXM37</v>
      </c>
      <c r="F1245" s="13">
        <v>2.0</v>
      </c>
      <c r="G1245" s="10" t="str">
        <f t="shared" si="7"/>
        <v>BXM37-2</v>
      </c>
      <c r="H1245" s="16"/>
      <c r="I1245" s="16" t="str">
        <f t="shared" si="5"/>
        <v>collected</v>
      </c>
      <c r="J1245" s="16" t="str">
        <f t="shared" si="6"/>
        <v>N</v>
      </c>
      <c r="K1245" s="16"/>
      <c r="L1245" s="16"/>
    </row>
    <row r="1246">
      <c r="A1246" s="40" t="s">
        <v>1758</v>
      </c>
      <c r="B1246" s="10" t="str">
        <f t="shared" si="1"/>
        <v>extra_muscle</v>
      </c>
      <c r="C1246" s="49" t="str">
        <f t="shared" si="2"/>
        <v>S16680XM1</v>
      </c>
      <c r="D1246" s="6">
        <v>37.0</v>
      </c>
      <c r="E1246" s="10" t="str">
        <f t="shared" si="3"/>
        <v>BXM37</v>
      </c>
      <c r="F1246" s="13">
        <v>3.0</v>
      </c>
      <c r="G1246" s="10" t="str">
        <f t="shared" si="7"/>
        <v>BXM37-3</v>
      </c>
      <c r="H1246" s="16"/>
      <c r="I1246" s="16" t="str">
        <f t="shared" si="5"/>
        <v>collected</v>
      </c>
      <c r="J1246" s="16" t="str">
        <f t="shared" si="6"/>
        <v>N</v>
      </c>
      <c r="K1246" s="16"/>
      <c r="L1246" s="16"/>
    </row>
    <row r="1247">
      <c r="A1247" s="40" t="s">
        <v>1759</v>
      </c>
      <c r="B1247" s="10" t="str">
        <f t="shared" si="1"/>
        <v>extra_muscle</v>
      </c>
      <c r="C1247" s="49" t="str">
        <f t="shared" si="2"/>
        <v>S16674XM1</v>
      </c>
      <c r="D1247" s="6">
        <v>37.0</v>
      </c>
      <c r="E1247" s="10" t="str">
        <f t="shared" si="3"/>
        <v>BXM37</v>
      </c>
      <c r="F1247" s="13">
        <v>4.0</v>
      </c>
      <c r="G1247" s="10" t="str">
        <f t="shared" si="7"/>
        <v>BXM37-4</v>
      </c>
      <c r="H1247" s="16"/>
      <c r="I1247" s="16" t="str">
        <f t="shared" si="5"/>
        <v>collected</v>
      </c>
      <c r="J1247" s="16" t="str">
        <f t="shared" si="6"/>
        <v>N</v>
      </c>
      <c r="K1247" s="16"/>
      <c r="L1247" s="16"/>
    </row>
    <row r="1248">
      <c r="A1248" s="40" t="s">
        <v>1760</v>
      </c>
      <c r="B1248" s="10" t="str">
        <f t="shared" si="1"/>
        <v>extra_muscle</v>
      </c>
      <c r="C1248" s="49" t="str">
        <f t="shared" si="2"/>
        <v>S16676XM1</v>
      </c>
      <c r="D1248" s="6">
        <v>37.0</v>
      </c>
      <c r="E1248" s="10" t="str">
        <f t="shared" si="3"/>
        <v>BXM37</v>
      </c>
      <c r="F1248" s="13">
        <v>5.0</v>
      </c>
      <c r="G1248" s="10" t="str">
        <f t="shared" si="7"/>
        <v>BXM37-5</v>
      </c>
      <c r="H1248" s="16"/>
      <c r="I1248" s="16" t="str">
        <f t="shared" si="5"/>
        <v>collected</v>
      </c>
      <c r="J1248" s="16" t="str">
        <f t="shared" si="6"/>
        <v>N</v>
      </c>
      <c r="K1248" s="16"/>
      <c r="L1248" s="16"/>
    </row>
    <row r="1249">
      <c r="A1249" s="40" t="s">
        <v>1761</v>
      </c>
      <c r="B1249" s="10" t="str">
        <f t="shared" si="1"/>
        <v>extra_muscle</v>
      </c>
      <c r="C1249" s="49" t="str">
        <f t="shared" si="2"/>
        <v>S16678XM1</v>
      </c>
      <c r="D1249" s="6">
        <v>37.0</v>
      </c>
      <c r="E1249" s="10" t="str">
        <f t="shared" si="3"/>
        <v>BXM37</v>
      </c>
      <c r="F1249" s="13">
        <v>6.0</v>
      </c>
      <c r="G1249" s="10" t="str">
        <f t="shared" si="7"/>
        <v>BXM37-6</v>
      </c>
      <c r="H1249" s="16"/>
      <c r="I1249" s="16" t="str">
        <f t="shared" si="5"/>
        <v>collected</v>
      </c>
      <c r="J1249" s="16" t="str">
        <f t="shared" si="6"/>
        <v>N</v>
      </c>
      <c r="K1249" s="16"/>
      <c r="L1249" s="16"/>
    </row>
    <row r="1250">
      <c r="A1250" s="40" t="s">
        <v>1762</v>
      </c>
      <c r="B1250" s="10" t="str">
        <f t="shared" si="1"/>
        <v>extra_muscle</v>
      </c>
      <c r="C1250" s="49" t="str">
        <f t="shared" si="2"/>
        <v>S16672XM1</v>
      </c>
      <c r="D1250" s="6">
        <v>37.0</v>
      </c>
      <c r="E1250" s="10" t="str">
        <f t="shared" si="3"/>
        <v>BXM37</v>
      </c>
      <c r="F1250" s="13">
        <v>7.0</v>
      </c>
      <c r="G1250" s="10" t="str">
        <f t="shared" si="7"/>
        <v>BXM37-7</v>
      </c>
      <c r="H1250" s="16"/>
      <c r="I1250" s="16" t="str">
        <f t="shared" si="5"/>
        <v>collected</v>
      </c>
      <c r="J1250" s="16" t="str">
        <f t="shared" si="6"/>
        <v>N</v>
      </c>
      <c r="K1250" s="16"/>
      <c r="L1250" s="16"/>
    </row>
    <row r="1251">
      <c r="A1251" s="40" t="s">
        <v>1763</v>
      </c>
      <c r="B1251" s="10" t="str">
        <f t="shared" si="1"/>
        <v>extra_muscle</v>
      </c>
      <c r="C1251" s="49" t="str">
        <f t="shared" si="2"/>
        <v>S17254XM1</v>
      </c>
      <c r="D1251" s="6">
        <v>37.0</v>
      </c>
      <c r="E1251" s="10" t="str">
        <f t="shared" si="3"/>
        <v>BXM37</v>
      </c>
      <c r="F1251" s="13">
        <v>8.0</v>
      </c>
      <c r="G1251" s="10" t="str">
        <f t="shared" si="7"/>
        <v>BXM37-8</v>
      </c>
      <c r="H1251" s="16"/>
      <c r="I1251" s="16" t="str">
        <f t="shared" si="5"/>
        <v>collected</v>
      </c>
      <c r="J1251" s="16" t="str">
        <f t="shared" si="6"/>
        <v>N</v>
      </c>
      <c r="K1251" s="16"/>
      <c r="L1251" s="16"/>
    </row>
    <row r="1252">
      <c r="A1252" s="40" t="s">
        <v>1765</v>
      </c>
      <c r="B1252" s="10" t="str">
        <f t="shared" si="1"/>
        <v>extra_muscle</v>
      </c>
      <c r="C1252" s="49" t="str">
        <f t="shared" si="2"/>
        <v>S17103XM1</v>
      </c>
      <c r="D1252" s="6">
        <v>36.0</v>
      </c>
      <c r="E1252" s="10" t="str">
        <f t="shared" si="3"/>
        <v>BXM36</v>
      </c>
      <c r="F1252" s="13">
        <v>50.0</v>
      </c>
      <c r="G1252" s="10" t="str">
        <f t="shared" si="7"/>
        <v>BXM36-50</v>
      </c>
      <c r="H1252" s="16"/>
      <c r="I1252" s="16" t="str">
        <f t="shared" si="5"/>
        <v>collected</v>
      </c>
      <c r="J1252" s="16" t="str">
        <f t="shared" si="6"/>
        <v>N</v>
      </c>
      <c r="K1252" s="16"/>
      <c r="L1252" s="16"/>
    </row>
    <row r="1253">
      <c r="A1253" s="40" t="s">
        <v>1766</v>
      </c>
      <c r="B1253" s="10" t="str">
        <f t="shared" si="1"/>
        <v>extra_muscle</v>
      </c>
      <c r="C1253" s="49" t="str">
        <f t="shared" si="2"/>
        <v>S17101XM1</v>
      </c>
      <c r="D1253" s="6">
        <v>36.0</v>
      </c>
      <c r="E1253" s="10" t="str">
        <f t="shared" si="3"/>
        <v>BXM36</v>
      </c>
      <c r="F1253" s="13">
        <v>51.0</v>
      </c>
      <c r="G1253" s="10" t="str">
        <f t="shared" si="7"/>
        <v>BXM36-51</v>
      </c>
      <c r="H1253" s="16"/>
      <c r="I1253" s="16" t="str">
        <f t="shared" si="5"/>
        <v>collected</v>
      </c>
      <c r="J1253" s="16" t="str">
        <f t="shared" si="6"/>
        <v>N</v>
      </c>
      <c r="K1253" s="16"/>
      <c r="L1253" s="16"/>
    </row>
    <row r="1254">
      <c r="A1254" s="40" t="s">
        <v>1767</v>
      </c>
      <c r="B1254" s="10" t="str">
        <f t="shared" si="1"/>
        <v>extra_muscle</v>
      </c>
      <c r="C1254" s="49" t="str">
        <f t="shared" si="2"/>
        <v>S17106XM1</v>
      </c>
      <c r="D1254" s="6">
        <v>36.0</v>
      </c>
      <c r="E1254" s="10" t="str">
        <f t="shared" si="3"/>
        <v>BXM36</v>
      </c>
      <c r="F1254" s="13">
        <v>52.0</v>
      </c>
      <c r="G1254" s="10" t="str">
        <f t="shared" si="7"/>
        <v>BXM36-52</v>
      </c>
      <c r="H1254" s="16"/>
      <c r="I1254" s="16" t="str">
        <f t="shared" si="5"/>
        <v>collected</v>
      </c>
      <c r="J1254" s="16" t="str">
        <f t="shared" si="6"/>
        <v>N</v>
      </c>
      <c r="K1254" s="16"/>
      <c r="L1254" s="16"/>
    </row>
    <row r="1255">
      <c r="A1255" s="40" t="s">
        <v>1768</v>
      </c>
      <c r="B1255" s="10" t="str">
        <f t="shared" si="1"/>
        <v>extra_muscle</v>
      </c>
      <c r="C1255" s="49" t="str">
        <f t="shared" si="2"/>
        <v>S17104XM1</v>
      </c>
      <c r="D1255" s="6">
        <v>36.0</v>
      </c>
      <c r="E1255" s="10" t="str">
        <f t="shared" si="3"/>
        <v>BXM36</v>
      </c>
      <c r="F1255" s="13">
        <v>53.0</v>
      </c>
      <c r="G1255" s="10" t="str">
        <f t="shared" si="7"/>
        <v>BXM36-53</v>
      </c>
      <c r="H1255" s="16"/>
      <c r="I1255" s="16" t="str">
        <f t="shared" si="5"/>
        <v>collected</v>
      </c>
      <c r="J1255" s="16" t="str">
        <f t="shared" si="6"/>
        <v>N</v>
      </c>
      <c r="K1255" s="16"/>
      <c r="L1255" s="16"/>
    </row>
    <row r="1256">
      <c r="A1256" s="40" t="s">
        <v>1769</v>
      </c>
      <c r="B1256" s="10" t="str">
        <f t="shared" si="1"/>
        <v>extra_muscle</v>
      </c>
      <c r="C1256" s="49" t="str">
        <f t="shared" si="2"/>
        <v>S17105XM1</v>
      </c>
      <c r="D1256" s="6">
        <v>36.0</v>
      </c>
      <c r="E1256" s="10" t="str">
        <f t="shared" si="3"/>
        <v>BXM36</v>
      </c>
      <c r="F1256" s="13">
        <v>54.0</v>
      </c>
      <c r="G1256" s="10" t="str">
        <f t="shared" si="7"/>
        <v>BXM36-54</v>
      </c>
      <c r="H1256" s="16"/>
      <c r="I1256" s="16" t="str">
        <f t="shared" si="5"/>
        <v>collected</v>
      </c>
      <c r="J1256" s="16" t="str">
        <f t="shared" si="6"/>
        <v>N</v>
      </c>
      <c r="K1256" s="16"/>
      <c r="L1256" s="16"/>
    </row>
    <row r="1257">
      <c r="A1257" s="40" t="s">
        <v>1770</v>
      </c>
      <c r="B1257" s="10" t="str">
        <f t="shared" si="1"/>
        <v>extra_muscle</v>
      </c>
      <c r="C1257" s="49" t="str">
        <f t="shared" si="2"/>
        <v>S17109XM1</v>
      </c>
      <c r="D1257" s="6">
        <v>36.0</v>
      </c>
      <c r="E1257" s="10" t="str">
        <f t="shared" si="3"/>
        <v>BXM36</v>
      </c>
      <c r="F1257" s="13">
        <v>55.0</v>
      </c>
      <c r="G1257" s="10" t="str">
        <f t="shared" si="7"/>
        <v>BXM36-55</v>
      </c>
      <c r="H1257" s="16"/>
      <c r="I1257" s="16" t="str">
        <f t="shared" si="5"/>
        <v>collected</v>
      </c>
      <c r="J1257" s="16" t="str">
        <f t="shared" si="6"/>
        <v>N</v>
      </c>
      <c r="K1257" s="16"/>
      <c r="L1257" s="16"/>
    </row>
    <row r="1258">
      <c r="A1258" s="40" t="s">
        <v>1771</v>
      </c>
      <c r="B1258" s="10" t="str">
        <f t="shared" si="1"/>
        <v>extra_muscle</v>
      </c>
      <c r="C1258" s="49" t="str">
        <f t="shared" si="2"/>
        <v>S17110XM1</v>
      </c>
      <c r="D1258" s="6">
        <v>36.0</v>
      </c>
      <c r="E1258" s="10" t="str">
        <f t="shared" si="3"/>
        <v>BXM36</v>
      </c>
      <c r="F1258" s="13">
        <v>56.0</v>
      </c>
      <c r="G1258" s="10" t="str">
        <f t="shared" si="7"/>
        <v>BXM36-56</v>
      </c>
      <c r="H1258" s="16"/>
      <c r="I1258" s="16" t="str">
        <f t="shared" si="5"/>
        <v>collected</v>
      </c>
      <c r="J1258" s="16" t="str">
        <f t="shared" si="6"/>
        <v>N</v>
      </c>
      <c r="K1258" s="16"/>
      <c r="L1258" s="16"/>
    </row>
    <row r="1259">
      <c r="A1259" s="40" t="s">
        <v>1772</v>
      </c>
      <c r="B1259" s="10" t="str">
        <f t="shared" si="1"/>
        <v>extra_muscle</v>
      </c>
      <c r="C1259" s="49" t="str">
        <f t="shared" si="2"/>
        <v>S17108XM1</v>
      </c>
      <c r="D1259" s="6">
        <v>36.0</v>
      </c>
      <c r="E1259" s="10" t="str">
        <f t="shared" si="3"/>
        <v>BXM36</v>
      </c>
      <c r="F1259" s="13">
        <v>57.0</v>
      </c>
      <c r="G1259" s="10" t="str">
        <f t="shared" si="7"/>
        <v>BXM36-57</v>
      </c>
      <c r="H1259" s="16"/>
      <c r="I1259" s="16" t="str">
        <f t="shared" si="5"/>
        <v>collected</v>
      </c>
      <c r="J1259" s="16" t="str">
        <f t="shared" si="6"/>
        <v>N</v>
      </c>
      <c r="K1259" s="16"/>
      <c r="L1259" s="16"/>
    </row>
    <row r="1260">
      <c r="A1260" s="40" t="s">
        <v>1773</v>
      </c>
      <c r="B1260" s="10" t="str">
        <f t="shared" si="1"/>
        <v>extra_muscle</v>
      </c>
      <c r="C1260" s="49" t="str">
        <f t="shared" si="2"/>
        <v>S16415XM1</v>
      </c>
      <c r="D1260" s="6">
        <v>36.0</v>
      </c>
      <c r="E1260" s="10" t="str">
        <f t="shared" si="3"/>
        <v>BXM36</v>
      </c>
      <c r="F1260" s="13">
        <v>58.0</v>
      </c>
      <c r="G1260" s="10" t="str">
        <f t="shared" si="7"/>
        <v>BXM36-58</v>
      </c>
      <c r="H1260" s="16"/>
      <c r="I1260" s="16" t="str">
        <f t="shared" si="5"/>
        <v>collected</v>
      </c>
      <c r="J1260" s="16" t="str">
        <f t="shared" si="6"/>
        <v>N</v>
      </c>
      <c r="K1260" s="16"/>
      <c r="L1260" s="16"/>
    </row>
    <row r="1261">
      <c r="A1261" s="40" t="s">
        <v>1774</v>
      </c>
      <c r="B1261" s="10" t="str">
        <f t="shared" si="1"/>
        <v>extra_muscle</v>
      </c>
      <c r="C1261" s="49" t="str">
        <f t="shared" si="2"/>
        <v>S16418XM1</v>
      </c>
      <c r="D1261" s="6">
        <v>36.0</v>
      </c>
      <c r="E1261" s="10" t="str">
        <f t="shared" si="3"/>
        <v>BXM36</v>
      </c>
      <c r="F1261" s="13">
        <v>59.0</v>
      </c>
      <c r="G1261" s="10" t="str">
        <f t="shared" si="7"/>
        <v>BXM36-59</v>
      </c>
      <c r="H1261" s="16"/>
      <c r="I1261" s="16" t="str">
        <f t="shared" si="5"/>
        <v>collected</v>
      </c>
      <c r="J1261" s="16" t="str">
        <f t="shared" si="6"/>
        <v>N</v>
      </c>
      <c r="K1261" s="16"/>
      <c r="L1261" s="16"/>
    </row>
    <row r="1262">
      <c r="A1262" s="40" t="s">
        <v>1775</v>
      </c>
      <c r="B1262" s="10" t="str">
        <f t="shared" si="1"/>
        <v>extra_muscle</v>
      </c>
      <c r="C1262" s="49" t="str">
        <f t="shared" si="2"/>
        <v>S16414XM1</v>
      </c>
      <c r="D1262" s="6">
        <v>36.0</v>
      </c>
      <c r="E1262" s="10" t="str">
        <f t="shared" si="3"/>
        <v>BXM36</v>
      </c>
      <c r="F1262" s="13">
        <v>60.0</v>
      </c>
      <c r="G1262" s="10" t="str">
        <f t="shared" si="7"/>
        <v>BXM36-60</v>
      </c>
      <c r="H1262" s="16"/>
      <c r="I1262" s="16" t="str">
        <f t="shared" si="5"/>
        <v>collected</v>
      </c>
      <c r="J1262" s="16" t="str">
        <f t="shared" si="6"/>
        <v>N</v>
      </c>
      <c r="K1262" s="16"/>
      <c r="L1262" s="16"/>
    </row>
    <row r="1263">
      <c r="A1263" s="40" t="s">
        <v>1776</v>
      </c>
      <c r="B1263" s="10" t="str">
        <f t="shared" si="1"/>
        <v>extra_muscle</v>
      </c>
      <c r="C1263" s="49" t="str">
        <f t="shared" si="2"/>
        <v>S16412XM1</v>
      </c>
      <c r="D1263" s="6">
        <v>36.0</v>
      </c>
      <c r="E1263" s="10" t="str">
        <f t="shared" si="3"/>
        <v>BXM36</v>
      </c>
      <c r="F1263" s="13">
        <v>61.0</v>
      </c>
      <c r="G1263" s="10" t="str">
        <f t="shared" si="7"/>
        <v>BXM36-61</v>
      </c>
      <c r="H1263" s="16"/>
      <c r="I1263" s="16" t="str">
        <f t="shared" si="5"/>
        <v>collected</v>
      </c>
      <c r="J1263" s="16" t="str">
        <f t="shared" si="6"/>
        <v>N</v>
      </c>
      <c r="K1263" s="16"/>
      <c r="L1263" s="16"/>
    </row>
    <row r="1264">
      <c r="A1264" s="40" t="s">
        <v>1777</v>
      </c>
      <c r="B1264" s="10" t="str">
        <f t="shared" si="1"/>
        <v>extra_muscle</v>
      </c>
      <c r="C1264" s="49" t="str">
        <f t="shared" si="2"/>
        <v>S16413XM1</v>
      </c>
      <c r="D1264" s="6">
        <v>36.0</v>
      </c>
      <c r="E1264" s="10" t="str">
        <f t="shared" si="3"/>
        <v>BXM36</v>
      </c>
      <c r="F1264" s="13">
        <v>62.0</v>
      </c>
      <c r="G1264" s="10" t="str">
        <f t="shared" si="7"/>
        <v>BXM36-62</v>
      </c>
      <c r="H1264" s="16"/>
      <c r="I1264" s="16" t="str">
        <f t="shared" si="5"/>
        <v>collected</v>
      </c>
      <c r="J1264" s="16" t="str">
        <f t="shared" si="6"/>
        <v>N</v>
      </c>
      <c r="K1264" s="16"/>
      <c r="L1264" s="16"/>
    </row>
    <row r="1265">
      <c r="A1265" s="40" t="s">
        <v>1778</v>
      </c>
      <c r="B1265" s="10" t="str">
        <f t="shared" si="1"/>
        <v>extra_muscle</v>
      </c>
      <c r="C1265" s="49" t="str">
        <f t="shared" si="2"/>
        <v>S16411XM1</v>
      </c>
      <c r="D1265" s="6">
        <v>36.0</v>
      </c>
      <c r="E1265" s="10" t="str">
        <f t="shared" si="3"/>
        <v>BXM36</v>
      </c>
      <c r="F1265" s="13">
        <v>63.0</v>
      </c>
      <c r="G1265" s="10" t="str">
        <f t="shared" si="7"/>
        <v>BXM36-63</v>
      </c>
      <c r="H1265" s="16"/>
      <c r="I1265" s="16" t="str">
        <f t="shared" si="5"/>
        <v>collected</v>
      </c>
      <c r="J1265" s="16" t="str">
        <f t="shared" si="6"/>
        <v>N</v>
      </c>
      <c r="K1265" s="16"/>
      <c r="L1265" s="16"/>
    </row>
    <row r="1266">
      <c r="A1266" s="40" t="s">
        <v>1779</v>
      </c>
      <c r="B1266" s="10" t="str">
        <f t="shared" si="1"/>
        <v>extra_muscle</v>
      </c>
      <c r="C1266" s="49" t="str">
        <f t="shared" si="2"/>
        <v>S16417XM1</v>
      </c>
      <c r="D1266" s="6">
        <v>36.0</v>
      </c>
      <c r="E1266" s="10" t="str">
        <f t="shared" si="3"/>
        <v>BXM36</v>
      </c>
      <c r="F1266" s="13">
        <v>64.0</v>
      </c>
      <c r="G1266" s="10" t="str">
        <f t="shared" si="7"/>
        <v>BXM36-64</v>
      </c>
      <c r="H1266" s="16"/>
      <c r="I1266" s="16" t="str">
        <f t="shared" si="5"/>
        <v>collected</v>
      </c>
      <c r="J1266" s="16" t="str">
        <f t="shared" si="6"/>
        <v>N</v>
      </c>
      <c r="K1266" s="16"/>
      <c r="L1266" s="16"/>
    </row>
    <row r="1267">
      <c r="A1267" s="40" t="s">
        <v>1781</v>
      </c>
      <c r="B1267" s="10" t="str">
        <f t="shared" si="1"/>
        <v>extra_muscle</v>
      </c>
      <c r="C1267" s="49" t="str">
        <f t="shared" si="2"/>
        <v>S16419XM1</v>
      </c>
      <c r="D1267" s="6">
        <v>36.0</v>
      </c>
      <c r="E1267" s="10" t="str">
        <f t="shared" si="3"/>
        <v>BXM36</v>
      </c>
      <c r="F1267" s="13">
        <v>65.0</v>
      </c>
      <c r="G1267" s="10" t="str">
        <f t="shared" si="7"/>
        <v>BXM36-65</v>
      </c>
      <c r="H1267" s="16"/>
      <c r="I1267" s="16" t="str">
        <f t="shared" si="5"/>
        <v>collected</v>
      </c>
      <c r="J1267" s="16" t="str">
        <f t="shared" si="6"/>
        <v>N</v>
      </c>
      <c r="K1267" s="16"/>
      <c r="L1267" s="16"/>
    </row>
    <row r="1268">
      <c r="A1268" s="40" t="s">
        <v>1782</v>
      </c>
      <c r="B1268" s="10" t="str">
        <f t="shared" si="1"/>
        <v>extra_muscle</v>
      </c>
      <c r="C1268" s="49" t="str">
        <f t="shared" si="2"/>
        <v>S16416XM1</v>
      </c>
      <c r="D1268" s="6">
        <v>36.0</v>
      </c>
      <c r="E1268" s="10" t="str">
        <f t="shared" si="3"/>
        <v>BXM36</v>
      </c>
      <c r="F1268" s="13">
        <v>66.0</v>
      </c>
      <c r="G1268" s="10" t="str">
        <f t="shared" si="7"/>
        <v>BXM36-66</v>
      </c>
      <c r="H1268" s="16"/>
      <c r="I1268" s="16" t="str">
        <f t="shared" si="5"/>
        <v>collected</v>
      </c>
      <c r="J1268" s="16" t="str">
        <f t="shared" si="6"/>
        <v>N</v>
      </c>
      <c r="K1268" s="16"/>
      <c r="L1268" s="16"/>
    </row>
    <row r="1269">
      <c r="A1269" s="40" t="s">
        <v>1784</v>
      </c>
      <c r="B1269" s="10" t="str">
        <f t="shared" si="1"/>
        <v>extra_muscle</v>
      </c>
      <c r="C1269" s="49" t="str">
        <f t="shared" si="2"/>
        <v>S16420XM1</v>
      </c>
      <c r="D1269" s="6">
        <v>36.0</v>
      </c>
      <c r="E1269" s="10" t="str">
        <f t="shared" si="3"/>
        <v>BXM36</v>
      </c>
      <c r="F1269" s="13">
        <v>67.0</v>
      </c>
      <c r="G1269" s="10" t="str">
        <f t="shared" si="7"/>
        <v>BXM36-67</v>
      </c>
      <c r="H1269" s="16"/>
      <c r="I1269" s="16" t="str">
        <f t="shared" si="5"/>
        <v>collected</v>
      </c>
      <c r="J1269" s="16" t="str">
        <f t="shared" si="6"/>
        <v>N</v>
      </c>
      <c r="K1269" s="16"/>
      <c r="L1269" s="16"/>
    </row>
    <row r="1270">
      <c r="A1270" s="40" t="s">
        <v>1785</v>
      </c>
      <c r="B1270" s="10" t="str">
        <f t="shared" si="1"/>
        <v>extra_muscle</v>
      </c>
      <c r="C1270" s="49" t="str">
        <f t="shared" si="2"/>
        <v>S17380XM1</v>
      </c>
      <c r="D1270" s="6">
        <v>36.0</v>
      </c>
      <c r="E1270" s="10" t="str">
        <f t="shared" si="3"/>
        <v>BXM36</v>
      </c>
      <c r="F1270" s="13">
        <v>68.0</v>
      </c>
      <c r="G1270" s="10" t="str">
        <f t="shared" si="7"/>
        <v>BXM36-68</v>
      </c>
      <c r="H1270" s="16"/>
      <c r="I1270" s="16" t="str">
        <f t="shared" si="5"/>
        <v>collected</v>
      </c>
      <c r="J1270" s="16" t="str">
        <f t="shared" si="6"/>
        <v>N</v>
      </c>
      <c r="K1270" s="16"/>
      <c r="L1270" s="16"/>
    </row>
    <row r="1271">
      <c r="A1271" s="40" t="s">
        <v>1786</v>
      </c>
      <c r="B1271" s="10" t="str">
        <f t="shared" si="1"/>
        <v>extra_muscle</v>
      </c>
      <c r="C1271" s="49" t="str">
        <f t="shared" si="2"/>
        <v>S17375XM1</v>
      </c>
      <c r="D1271" s="6">
        <v>36.0</v>
      </c>
      <c r="E1271" s="10" t="str">
        <f t="shared" si="3"/>
        <v>BXM36</v>
      </c>
      <c r="F1271" s="13">
        <v>69.0</v>
      </c>
      <c r="G1271" s="10" t="str">
        <f t="shared" si="7"/>
        <v>BXM36-69</v>
      </c>
      <c r="H1271" s="16"/>
      <c r="I1271" s="16" t="str">
        <f t="shared" si="5"/>
        <v>collected</v>
      </c>
      <c r="J1271" s="16" t="str">
        <f t="shared" si="6"/>
        <v>N</v>
      </c>
      <c r="K1271" s="16"/>
      <c r="L1271" s="16"/>
    </row>
    <row r="1272">
      <c r="A1272" s="40" t="s">
        <v>1787</v>
      </c>
      <c r="B1272" s="10" t="str">
        <f t="shared" si="1"/>
        <v>extra_muscle</v>
      </c>
      <c r="C1272" s="49" t="str">
        <f t="shared" si="2"/>
        <v>S17376XM1</v>
      </c>
      <c r="D1272" s="6">
        <v>36.0</v>
      </c>
      <c r="E1272" s="10" t="str">
        <f t="shared" si="3"/>
        <v>BXM36</v>
      </c>
      <c r="F1272" s="13">
        <v>70.0</v>
      </c>
      <c r="G1272" s="10" t="str">
        <f t="shared" si="7"/>
        <v>BXM36-70</v>
      </c>
      <c r="H1272" s="16"/>
      <c r="I1272" s="16" t="str">
        <f t="shared" si="5"/>
        <v>collected</v>
      </c>
      <c r="J1272" s="16" t="str">
        <f t="shared" si="6"/>
        <v>N</v>
      </c>
      <c r="K1272" s="16"/>
      <c r="L1272" s="16"/>
    </row>
    <row r="1273">
      <c r="A1273" s="40" t="s">
        <v>1788</v>
      </c>
      <c r="B1273" s="10" t="str">
        <f t="shared" si="1"/>
        <v>extra_muscle</v>
      </c>
      <c r="C1273" s="49" t="str">
        <f t="shared" si="2"/>
        <v>S17377XM1</v>
      </c>
      <c r="D1273" s="6">
        <v>36.0</v>
      </c>
      <c r="E1273" s="10" t="str">
        <f t="shared" si="3"/>
        <v>BXM36</v>
      </c>
      <c r="F1273" s="13">
        <v>71.0</v>
      </c>
      <c r="G1273" s="10" t="str">
        <f t="shared" si="7"/>
        <v>BXM36-71</v>
      </c>
      <c r="H1273" s="16"/>
      <c r="I1273" s="16" t="str">
        <f t="shared" si="5"/>
        <v>collected</v>
      </c>
      <c r="J1273" s="16" t="str">
        <f t="shared" si="6"/>
        <v>N</v>
      </c>
      <c r="K1273" s="16"/>
      <c r="L1273" s="16"/>
    </row>
    <row r="1274">
      <c r="A1274" s="40" t="s">
        <v>1790</v>
      </c>
      <c r="B1274" s="10" t="str">
        <f t="shared" si="1"/>
        <v>extra_muscle</v>
      </c>
      <c r="C1274" s="49" t="str">
        <f t="shared" si="2"/>
        <v>S17374XM1</v>
      </c>
      <c r="D1274" s="6">
        <v>36.0</v>
      </c>
      <c r="E1274" s="10" t="str">
        <f t="shared" si="3"/>
        <v>BXM36</v>
      </c>
      <c r="F1274" s="13">
        <v>72.0</v>
      </c>
      <c r="G1274" s="10" t="str">
        <f t="shared" si="7"/>
        <v>BXM36-72</v>
      </c>
      <c r="H1274" s="16"/>
      <c r="I1274" s="16" t="str">
        <f t="shared" si="5"/>
        <v>collected</v>
      </c>
      <c r="J1274" s="16" t="str">
        <f t="shared" si="6"/>
        <v>N</v>
      </c>
      <c r="K1274" s="16"/>
      <c r="L1274" s="16"/>
    </row>
    <row r="1275">
      <c r="A1275" s="40" t="s">
        <v>1791</v>
      </c>
      <c r="B1275" s="10" t="str">
        <f t="shared" si="1"/>
        <v>extra_muscle</v>
      </c>
      <c r="C1275" s="49" t="str">
        <f t="shared" si="2"/>
        <v>S17378XM1</v>
      </c>
      <c r="D1275" s="6">
        <v>36.0</v>
      </c>
      <c r="E1275" s="10" t="str">
        <f t="shared" si="3"/>
        <v>BXM36</v>
      </c>
      <c r="F1275" s="13">
        <v>73.0</v>
      </c>
      <c r="G1275" s="10" t="str">
        <f t="shared" si="7"/>
        <v>BXM36-73</v>
      </c>
      <c r="H1275" s="16"/>
      <c r="I1275" s="16" t="str">
        <f t="shared" si="5"/>
        <v>collected</v>
      </c>
      <c r="J1275" s="16" t="str">
        <f t="shared" si="6"/>
        <v>N</v>
      </c>
      <c r="K1275" s="16"/>
      <c r="L1275" s="16"/>
    </row>
    <row r="1276">
      <c r="A1276" s="40" t="s">
        <v>1792</v>
      </c>
      <c r="B1276" s="10" t="str">
        <f t="shared" si="1"/>
        <v>extra_muscle</v>
      </c>
      <c r="C1276" s="49" t="str">
        <f t="shared" si="2"/>
        <v>S17379XM1</v>
      </c>
      <c r="D1276" s="6">
        <v>36.0</v>
      </c>
      <c r="E1276" s="10" t="str">
        <f t="shared" si="3"/>
        <v>BXM36</v>
      </c>
      <c r="F1276" s="13">
        <v>74.0</v>
      </c>
      <c r="G1276" s="10" t="str">
        <f t="shared" si="7"/>
        <v>BXM36-74</v>
      </c>
      <c r="H1276" s="16"/>
      <c r="I1276" s="16" t="str">
        <f t="shared" si="5"/>
        <v>collected</v>
      </c>
      <c r="J1276" s="16" t="str">
        <f t="shared" si="6"/>
        <v>N</v>
      </c>
      <c r="K1276" s="16"/>
      <c r="L1276" s="16"/>
    </row>
    <row r="1277">
      <c r="A1277" s="40" t="s">
        <v>1793</v>
      </c>
      <c r="B1277" s="10" t="str">
        <f t="shared" si="1"/>
        <v>extra_muscle</v>
      </c>
      <c r="C1277" s="49" t="str">
        <f t="shared" si="2"/>
        <v>S17371XM1</v>
      </c>
      <c r="D1277" s="6">
        <v>36.0</v>
      </c>
      <c r="E1277" s="10" t="str">
        <f t="shared" si="3"/>
        <v>BXM36</v>
      </c>
      <c r="F1277" s="13">
        <v>75.0</v>
      </c>
      <c r="G1277" s="10" t="str">
        <f t="shared" si="7"/>
        <v>BXM36-75</v>
      </c>
      <c r="H1277" s="16"/>
      <c r="I1277" s="16" t="str">
        <f t="shared" si="5"/>
        <v>collected</v>
      </c>
      <c r="J1277" s="16" t="str">
        <f t="shared" si="6"/>
        <v>N</v>
      </c>
      <c r="K1277" s="16"/>
      <c r="L1277" s="16"/>
    </row>
    <row r="1278">
      <c r="A1278" s="40" t="s">
        <v>1795</v>
      </c>
      <c r="B1278" s="10" t="str">
        <f t="shared" si="1"/>
        <v>extra_muscle</v>
      </c>
      <c r="C1278" s="49" t="str">
        <f t="shared" si="2"/>
        <v>S17372XM1</v>
      </c>
      <c r="D1278" s="6">
        <v>36.0</v>
      </c>
      <c r="E1278" s="10" t="str">
        <f t="shared" si="3"/>
        <v>BXM36</v>
      </c>
      <c r="F1278" s="13">
        <v>76.0</v>
      </c>
      <c r="G1278" s="10" t="str">
        <f t="shared" si="7"/>
        <v>BXM36-76</v>
      </c>
      <c r="H1278" s="16"/>
      <c r="I1278" s="16" t="str">
        <f t="shared" si="5"/>
        <v>collected</v>
      </c>
      <c r="J1278" s="16" t="str">
        <f t="shared" si="6"/>
        <v>N</v>
      </c>
      <c r="K1278" s="16"/>
      <c r="L1278" s="16"/>
    </row>
    <row r="1279">
      <c r="A1279" s="40" t="s">
        <v>1796</v>
      </c>
      <c r="B1279" s="10" t="str">
        <f t="shared" si="1"/>
        <v>extra_muscle</v>
      </c>
      <c r="C1279" s="49" t="str">
        <f t="shared" si="2"/>
        <v>S17373XM1</v>
      </c>
      <c r="D1279" s="6">
        <v>36.0</v>
      </c>
      <c r="E1279" s="10" t="str">
        <f t="shared" si="3"/>
        <v>BXM36</v>
      </c>
      <c r="F1279" s="13">
        <v>77.0</v>
      </c>
      <c r="G1279" s="10" t="str">
        <f t="shared" si="7"/>
        <v>BXM36-77</v>
      </c>
      <c r="H1279" s="16"/>
      <c r="I1279" s="16" t="str">
        <f t="shared" si="5"/>
        <v>collected</v>
      </c>
      <c r="J1279" s="16" t="str">
        <f t="shared" si="6"/>
        <v>N</v>
      </c>
      <c r="K1279" s="16"/>
      <c r="L1279" s="16"/>
    </row>
    <row r="1280">
      <c r="A1280" s="40" t="s">
        <v>1797</v>
      </c>
      <c r="B1280" s="10" t="str">
        <f t="shared" si="1"/>
        <v>extra_muscle</v>
      </c>
      <c r="C1280" s="49" t="str">
        <f t="shared" si="2"/>
        <v>S17157XM1</v>
      </c>
      <c r="D1280" s="6">
        <v>37.0</v>
      </c>
      <c r="E1280" s="10" t="str">
        <f t="shared" si="3"/>
        <v>BXM37</v>
      </c>
      <c r="F1280" s="13">
        <v>9.0</v>
      </c>
      <c r="G1280" s="10" t="str">
        <f t="shared" si="7"/>
        <v>BXM37-9</v>
      </c>
      <c r="H1280" s="16"/>
      <c r="I1280" s="16" t="str">
        <f t="shared" si="5"/>
        <v>collected</v>
      </c>
      <c r="J1280" s="16" t="str">
        <f t="shared" si="6"/>
        <v>N</v>
      </c>
      <c r="K1280" s="16"/>
      <c r="L1280" s="16"/>
    </row>
    <row r="1281">
      <c r="A1281" s="40" t="s">
        <v>1798</v>
      </c>
      <c r="B1281" s="10" t="str">
        <f t="shared" si="1"/>
        <v>extra_muscle</v>
      </c>
      <c r="C1281" s="49" t="str">
        <f t="shared" si="2"/>
        <v>S17160XM1</v>
      </c>
      <c r="D1281" s="6">
        <v>37.0</v>
      </c>
      <c r="E1281" s="10" t="str">
        <f t="shared" si="3"/>
        <v>BXM37</v>
      </c>
      <c r="F1281" s="13">
        <v>10.0</v>
      </c>
      <c r="G1281" s="10" t="str">
        <f t="shared" si="7"/>
        <v>BXM37-10</v>
      </c>
      <c r="H1281" s="16"/>
      <c r="I1281" s="16" t="str">
        <f t="shared" si="5"/>
        <v>collected</v>
      </c>
      <c r="J1281" s="16" t="str">
        <f t="shared" si="6"/>
        <v>N</v>
      </c>
      <c r="K1281" s="16"/>
      <c r="L1281" s="16"/>
    </row>
    <row r="1282">
      <c r="A1282" s="40" t="s">
        <v>1799</v>
      </c>
      <c r="B1282" s="10" t="str">
        <f t="shared" si="1"/>
        <v>extra_muscle</v>
      </c>
      <c r="C1282" s="49" t="str">
        <f t="shared" si="2"/>
        <v>S17159XM1</v>
      </c>
      <c r="D1282" s="6">
        <v>37.0</v>
      </c>
      <c r="E1282" s="10" t="str">
        <f t="shared" si="3"/>
        <v>BXM37</v>
      </c>
      <c r="F1282" s="13">
        <v>11.0</v>
      </c>
      <c r="G1282" s="10" t="str">
        <f t="shared" si="7"/>
        <v>BXM37-11</v>
      </c>
      <c r="H1282" s="16"/>
      <c r="I1282" s="16" t="str">
        <f t="shared" si="5"/>
        <v>collected</v>
      </c>
      <c r="J1282" s="16" t="str">
        <f t="shared" si="6"/>
        <v>N</v>
      </c>
      <c r="K1282" s="16"/>
      <c r="L1282" s="16"/>
    </row>
    <row r="1283">
      <c r="A1283" s="40" t="s">
        <v>1801</v>
      </c>
      <c r="B1283" s="10" t="str">
        <f t="shared" si="1"/>
        <v>extra_muscle</v>
      </c>
      <c r="C1283" s="49" t="str">
        <f t="shared" si="2"/>
        <v>S17155XM1</v>
      </c>
      <c r="D1283" s="6">
        <v>37.0</v>
      </c>
      <c r="E1283" s="10" t="str">
        <f t="shared" si="3"/>
        <v>BXM37</v>
      </c>
      <c r="F1283" s="13">
        <v>12.0</v>
      </c>
      <c r="G1283" s="10" t="str">
        <f t="shared" si="7"/>
        <v>BXM37-12</v>
      </c>
      <c r="H1283" s="16"/>
      <c r="I1283" s="16" t="str">
        <f t="shared" si="5"/>
        <v>collected</v>
      </c>
      <c r="J1283" s="16" t="str">
        <f t="shared" si="6"/>
        <v>N</v>
      </c>
      <c r="K1283" s="16"/>
      <c r="L1283" s="16"/>
    </row>
    <row r="1284">
      <c r="A1284" s="40" t="s">
        <v>1802</v>
      </c>
      <c r="B1284" s="10" t="str">
        <f t="shared" si="1"/>
        <v>extra_muscle</v>
      </c>
      <c r="C1284" s="49" t="str">
        <f t="shared" si="2"/>
        <v>S17156XM1</v>
      </c>
      <c r="D1284" s="6">
        <v>37.0</v>
      </c>
      <c r="E1284" s="10" t="str">
        <f t="shared" si="3"/>
        <v>BXM37</v>
      </c>
      <c r="F1284" s="13">
        <v>13.0</v>
      </c>
      <c r="G1284" s="10" t="str">
        <f t="shared" si="7"/>
        <v>BXM37-13</v>
      </c>
      <c r="H1284" s="16"/>
      <c r="I1284" s="16" t="str">
        <f t="shared" si="5"/>
        <v>collected</v>
      </c>
      <c r="J1284" s="16" t="str">
        <f t="shared" si="6"/>
        <v>N</v>
      </c>
      <c r="K1284" s="16"/>
      <c r="L1284" s="16"/>
    </row>
    <row r="1285">
      <c r="A1285" s="40" t="s">
        <v>1803</v>
      </c>
      <c r="B1285" s="10" t="str">
        <f t="shared" si="1"/>
        <v>extra_muscle</v>
      </c>
      <c r="C1285" s="49" t="str">
        <f t="shared" si="2"/>
        <v>S17154XM1</v>
      </c>
      <c r="D1285" s="6">
        <v>37.0</v>
      </c>
      <c r="E1285" s="10" t="str">
        <f t="shared" si="3"/>
        <v>BXM37</v>
      </c>
      <c r="F1285" s="13">
        <v>14.0</v>
      </c>
      <c r="G1285" s="10" t="str">
        <f t="shared" si="7"/>
        <v>BXM37-14</v>
      </c>
      <c r="H1285" s="16"/>
      <c r="I1285" s="16" t="str">
        <f t="shared" si="5"/>
        <v>collected</v>
      </c>
      <c r="J1285" s="16" t="str">
        <f t="shared" si="6"/>
        <v>N</v>
      </c>
      <c r="K1285" s="16"/>
      <c r="L1285" s="16"/>
    </row>
    <row r="1286">
      <c r="A1286" s="40" t="s">
        <v>1804</v>
      </c>
      <c r="B1286" s="10" t="str">
        <f t="shared" si="1"/>
        <v>extra_muscle</v>
      </c>
      <c r="C1286" s="49" t="str">
        <f t="shared" si="2"/>
        <v>S17152XM1</v>
      </c>
      <c r="D1286" s="6">
        <v>37.0</v>
      </c>
      <c r="E1286" s="10" t="str">
        <f t="shared" si="3"/>
        <v>BXM37</v>
      </c>
      <c r="F1286" s="13">
        <v>15.0</v>
      </c>
      <c r="G1286" s="10" t="str">
        <f t="shared" si="7"/>
        <v>BXM37-15</v>
      </c>
      <c r="H1286" s="16"/>
      <c r="I1286" s="16" t="str">
        <f t="shared" si="5"/>
        <v>collected</v>
      </c>
      <c r="J1286" s="16" t="str">
        <f t="shared" si="6"/>
        <v>N</v>
      </c>
      <c r="K1286" s="16"/>
      <c r="L1286" s="16"/>
    </row>
    <row r="1287">
      <c r="A1287" s="40" t="s">
        <v>1805</v>
      </c>
      <c r="B1287" s="10" t="str">
        <f t="shared" si="1"/>
        <v>extra_muscle</v>
      </c>
      <c r="C1287" s="49" t="str">
        <f t="shared" si="2"/>
        <v>S17158XM1</v>
      </c>
      <c r="D1287" s="6">
        <v>37.0</v>
      </c>
      <c r="E1287" s="10" t="str">
        <f t="shared" si="3"/>
        <v>BXM37</v>
      </c>
      <c r="F1287" s="13">
        <v>16.0</v>
      </c>
      <c r="G1287" s="10" t="str">
        <f t="shared" si="7"/>
        <v>BXM37-16</v>
      </c>
      <c r="H1287" s="16"/>
      <c r="I1287" s="16" t="str">
        <f t="shared" si="5"/>
        <v>collected</v>
      </c>
      <c r="J1287" s="16" t="str">
        <f t="shared" si="6"/>
        <v>N</v>
      </c>
      <c r="K1287" s="16"/>
      <c r="L1287" s="16"/>
    </row>
    <row r="1288">
      <c r="A1288" s="40" t="s">
        <v>1806</v>
      </c>
      <c r="B1288" s="10" t="str">
        <f t="shared" si="1"/>
        <v>extra_muscle</v>
      </c>
      <c r="C1288" s="49" t="str">
        <f t="shared" si="2"/>
        <v>S17151XM1</v>
      </c>
      <c r="D1288" s="6">
        <v>37.0</v>
      </c>
      <c r="E1288" s="10" t="str">
        <f t="shared" si="3"/>
        <v>BXM37</v>
      </c>
      <c r="F1288" s="13">
        <v>17.0</v>
      </c>
      <c r="G1288" s="10" t="str">
        <f t="shared" si="7"/>
        <v>BXM37-17</v>
      </c>
      <c r="H1288" s="16"/>
      <c r="I1288" s="16" t="str">
        <f t="shared" si="5"/>
        <v>collected</v>
      </c>
      <c r="J1288" s="16" t="str">
        <f t="shared" si="6"/>
        <v>N</v>
      </c>
      <c r="K1288" s="16"/>
      <c r="L1288" s="16"/>
    </row>
    <row r="1289">
      <c r="A1289" s="40" t="s">
        <v>1808</v>
      </c>
      <c r="B1289" s="10" t="str">
        <f t="shared" si="1"/>
        <v>extra_muscle</v>
      </c>
      <c r="C1289" s="49" t="str">
        <f t="shared" si="2"/>
        <v>S17153XM1</v>
      </c>
      <c r="D1289" s="6">
        <v>37.0</v>
      </c>
      <c r="E1289" s="10" t="str">
        <f t="shared" si="3"/>
        <v>BXM37</v>
      </c>
      <c r="F1289" s="13">
        <v>18.0</v>
      </c>
      <c r="G1289" s="10" t="str">
        <f t="shared" si="7"/>
        <v>BXM37-18</v>
      </c>
      <c r="H1289" s="6" t="s">
        <v>2247</v>
      </c>
      <c r="I1289" s="16" t="str">
        <f t="shared" si="5"/>
        <v>collected</v>
      </c>
      <c r="J1289" s="16" t="str">
        <f t="shared" si="6"/>
        <v>N</v>
      </c>
      <c r="K1289" s="16"/>
      <c r="L1289" s="16"/>
    </row>
    <row r="1290">
      <c r="A1290" s="40" t="s">
        <v>1810</v>
      </c>
      <c r="B1290" s="10" t="str">
        <f t="shared" si="1"/>
        <v>extra_muscle</v>
      </c>
      <c r="C1290" s="49" t="str">
        <f t="shared" si="2"/>
        <v>S16575XM1</v>
      </c>
      <c r="D1290" s="6">
        <v>37.0</v>
      </c>
      <c r="E1290" s="10" t="str">
        <f t="shared" si="3"/>
        <v>BXM37</v>
      </c>
      <c r="F1290" s="13">
        <v>19.0</v>
      </c>
      <c r="G1290" s="10" t="str">
        <f t="shared" si="7"/>
        <v>BXM37-19</v>
      </c>
      <c r="H1290" s="16"/>
      <c r="I1290" s="16" t="str">
        <f t="shared" si="5"/>
        <v>collected</v>
      </c>
      <c r="J1290" s="16" t="str">
        <f t="shared" si="6"/>
        <v>N</v>
      </c>
      <c r="K1290" s="16"/>
      <c r="L1290" s="16"/>
    </row>
    <row r="1291">
      <c r="A1291" s="40" t="s">
        <v>1811</v>
      </c>
      <c r="B1291" s="10" t="str">
        <f t="shared" si="1"/>
        <v>extra_muscle</v>
      </c>
      <c r="C1291" s="49" t="str">
        <f t="shared" si="2"/>
        <v>S16573XM1</v>
      </c>
      <c r="D1291" s="6">
        <v>37.0</v>
      </c>
      <c r="E1291" s="10" t="str">
        <f t="shared" si="3"/>
        <v>BXM37</v>
      </c>
      <c r="F1291" s="13">
        <v>20.0</v>
      </c>
      <c r="G1291" s="10" t="str">
        <f t="shared" si="7"/>
        <v>BXM37-20</v>
      </c>
      <c r="H1291" s="16"/>
      <c r="I1291" s="16" t="str">
        <f t="shared" si="5"/>
        <v>collected</v>
      </c>
      <c r="J1291" s="16" t="str">
        <f t="shared" si="6"/>
        <v>N</v>
      </c>
      <c r="K1291" s="16"/>
      <c r="L1291" s="16"/>
    </row>
    <row r="1292">
      <c r="A1292" s="40" t="s">
        <v>1812</v>
      </c>
      <c r="B1292" s="10" t="str">
        <f t="shared" si="1"/>
        <v>extra_muscle</v>
      </c>
      <c r="C1292" s="49" t="str">
        <f t="shared" si="2"/>
        <v>S16571XM1</v>
      </c>
      <c r="D1292" s="6">
        <v>37.0</v>
      </c>
      <c r="E1292" s="10" t="str">
        <f t="shared" si="3"/>
        <v>BXM37</v>
      </c>
      <c r="F1292" s="13">
        <v>21.0</v>
      </c>
      <c r="G1292" s="10" t="str">
        <f t="shared" si="7"/>
        <v>BXM37-21</v>
      </c>
      <c r="H1292" s="16"/>
      <c r="I1292" s="16" t="str">
        <f t="shared" si="5"/>
        <v>collected</v>
      </c>
      <c r="J1292" s="16" t="str">
        <f t="shared" si="6"/>
        <v>N</v>
      </c>
      <c r="K1292" s="16"/>
      <c r="L1292" s="16"/>
    </row>
    <row r="1293">
      <c r="A1293" s="40" t="s">
        <v>1814</v>
      </c>
      <c r="B1293" s="10" t="str">
        <f t="shared" si="1"/>
        <v>extra_muscle</v>
      </c>
      <c r="C1293" s="49" t="str">
        <f t="shared" si="2"/>
        <v>S16580XM1</v>
      </c>
      <c r="D1293" s="6">
        <v>37.0</v>
      </c>
      <c r="E1293" s="10" t="str">
        <f t="shared" si="3"/>
        <v>BXM37</v>
      </c>
      <c r="F1293" s="13">
        <v>22.0</v>
      </c>
      <c r="G1293" s="10" t="str">
        <f t="shared" si="7"/>
        <v>BXM37-22</v>
      </c>
      <c r="H1293" s="16"/>
      <c r="I1293" s="16" t="str">
        <f t="shared" si="5"/>
        <v>collected</v>
      </c>
      <c r="J1293" s="16" t="str">
        <f t="shared" si="6"/>
        <v>N</v>
      </c>
      <c r="K1293" s="16"/>
      <c r="L1293" s="16"/>
    </row>
    <row r="1294">
      <c r="A1294" s="40" t="s">
        <v>1815</v>
      </c>
      <c r="B1294" s="10" t="str">
        <f t="shared" si="1"/>
        <v>extra_muscle</v>
      </c>
      <c r="C1294" s="49" t="str">
        <f t="shared" si="2"/>
        <v>S16574XM1</v>
      </c>
      <c r="D1294" s="6">
        <v>37.0</v>
      </c>
      <c r="E1294" s="10" t="str">
        <f t="shared" si="3"/>
        <v>BXM37</v>
      </c>
      <c r="F1294" s="13">
        <v>23.0</v>
      </c>
      <c r="G1294" s="10" t="str">
        <f t="shared" si="7"/>
        <v>BXM37-23</v>
      </c>
      <c r="H1294" s="16"/>
      <c r="I1294" s="16" t="str">
        <f t="shared" si="5"/>
        <v>collected</v>
      </c>
      <c r="J1294" s="16" t="str">
        <f t="shared" si="6"/>
        <v>N</v>
      </c>
      <c r="K1294" s="16"/>
      <c r="L1294" s="16"/>
    </row>
    <row r="1295">
      <c r="A1295" s="40" t="s">
        <v>1816</v>
      </c>
      <c r="B1295" s="10" t="str">
        <f t="shared" si="1"/>
        <v>extra_muscle</v>
      </c>
      <c r="C1295" s="49" t="str">
        <f t="shared" si="2"/>
        <v>S16577XM1</v>
      </c>
      <c r="D1295" s="6">
        <v>37.0</v>
      </c>
      <c r="E1295" s="10" t="str">
        <f t="shared" si="3"/>
        <v>BXM37</v>
      </c>
      <c r="F1295" s="13">
        <v>24.0</v>
      </c>
      <c r="G1295" s="10" t="str">
        <f t="shared" si="7"/>
        <v>BXM37-24</v>
      </c>
      <c r="H1295" s="16"/>
      <c r="I1295" s="16" t="str">
        <f t="shared" si="5"/>
        <v>collected</v>
      </c>
      <c r="J1295" s="16" t="str">
        <f t="shared" si="6"/>
        <v>N</v>
      </c>
      <c r="K1295" s="16"/>
      <c r="L1295" s="16"/>
    </row>
    <row r="1296">
      <c r="A1296" s="40" t="s">
        <v>1817</v>
      </c>
      <c r="B1296" s="10" t="str">
        <f t="shared" si="1"/>
        <v>extra_muscle</v>
      </c>
      <c r="C1296" s="49" t="str">
        <f t="shared" si="2"/>
        <v>S16579XM1</v>
      </c>
      <c r="D1296" s="6">
        <v>37.0</v>
      </c>
      <c r="E1296" s="10" t="str">
        <f t="shared" si="3"/>
        <v>BXM37</v>
      </c>
      <c r="F1296" s="13">
        <v>25.0</v>
      </c>
      <c r="G1296" s="10" t="str">
        <f t="shared" si="7"/>
        <v>BXM37-25</v>
      </c>
      <c r="H1296" s="16"/>
      <c r="I1296" s="16" t="str">
        <f t="shared" si="5"/>
        <v>collected</v>
      </c>
      <c r="J1296" s="16" t="str">
        <f t="shared" si="6"/>
        <v>N</v>
      </c>
      <c r="K1296" s="16"/>
      <c r="L1296" s="16"/>
    </row>
    <row r="1297">
      <c r="A1297" s="40" t="s">
        <v>1818</v>
      </c>
      <c r="B1297" s="10" t="str">
        <f t="shared" si="1"/>
        <v>extra_muscle</v>
      </c>
      <c r="C1297" s="49" t="str">
        <f t="shared" si="2"/>
        <v>S16576XM1</v>
      </c>
      <c r="D1297" s="6">
        <v>37.0</v>
      </c>
      <c r="E1297" s="10" t="str">
        <f t="shared" si="3"/>
        <v>BXM37</v>
      </c>
      <c r="F1297" s="13">
        <v>26.0</v>
      </c>
      <c r="G1297" s="10" t="str">
        <f t="shared" si="7"/>
        <v>BXM37-26</v>
      </c>
      <c r="H1297" s="16"/>
      <c r="I1297" s="16" t="str">
        <f t="shared" si="5"/>
        <v>collected</v>
      </c>
      <c r="J1297" s="16" t="str">
        <f t="shared" si="6"/>
        <v>N</v>
      </c>
      <c r="K1297" s="16"/>
      <c r="L1297" s="16"/>
    </row>
    <row r="1298">
      <c r="A1298" s="40" t="s">
        <v>1819</v>
      </c>
      <c r="B1298" s="10" t="str">
        <f t="shared" si="1"/>
        <v>extra_muscle</v>
      </c>
      <c r="C1298" s="49" t="str">
        <f t="shared" si="2"/>
        <v>S16578XM1</v>
      </c>
      <c r="D1298" s="6">
        <v>37.0</v>
      </c>
      <c r="E1298" s="10" t="str">
        <f t="shared" si="3"/>
        <v>BXM37</v>
      </c>
      <c r="F1298" s="13">
        <v>27.0</v>
      </c>
      <c r="G1298" s="10" t="str">
        <f t="shared" si="7"/>
        <v>BXM37-27</v>
      </c>
      <c r="H1298" s="16"/>
      <c r="I1298" s="16" t="str">
        <f t="shared" si="5"/>
        <v>collected</v>
      </c>
      <c r="J1298" s="16" t="str">
        <f t="shared" si="6"/>
        <v>N</v>
      </c>
      <c r="K1298" s="16"/>
      <c r="L1298" s="16"/>
    </row>
    <row r="1299">
      <c r="A1299" s="40" t="s">
        <v>1821</v>
      </c>
      <c r="B1299" s="10" t="str">
        <f t="shared" si="1"/>
        <v>extra_muscle</v>
      </c>
      <c r="C1299" s="49" t="str">
        <f t="shared" si="2"/>
        <v>S16572XM1</v>
      </c>
      <c r="D1299" s="6">
        <v>37.0</v>
      </c>
      <c r="E1299" s="10" t="str">
        <f t="shared" si="3"/>
        <v>BXM37</v>
      </c>
      <c r="F1299" s="13">
        <v>28.0</v>
      </c>
      <c r="G1299" s="10" t="str">
        <f t="shared" si="7"/>
        <v>BXM37-28</v>
      </c>
      <c r="H1299" s="16"/>
      <c r="I1299" s="16" t="str">
        <f t="shared" si="5"/>
        <v>collected</v>
      </c>
      <c r="J1299" s="16" t="str">
        <f t="shared" si="6"/>
        <v>N</v>
      </c>
      <c r="K1299" s="16"/>
      <c r="L1299" s="16"/>
    </row>
    <row r="1300">
      <c r="A1300" s="40" t="s">
        <v>1822</v>
      </c>
      <c r="B1300" s="10" t="str">
        <f t="shared" si="1"/>
        <v>extra_muscle</v>
      </c>
      <c r="C1300" s="49" t="str">
        <f t="shared" si="2"/>
        <v>S16486XM1</v>
      </c>
      <c r="D1300" s="6">
        <v>36.0</v>
      </c>
      <c r="E1300" s="10" t="str">
        <f t="shared" si="3"/>
        <v>BXM36</v>
      </c>
      <c r="F1300" s="13">
        <v>78.0</v>
      </c>
      <c r="G1300" s="10" t="str">
        <f t="shared" si="7"/>
        <v>BXM36-78</v>
      </c>
      <c r="H1300" s="16"/>
      <c r="I1300" s="16" t="str">
        <f t="shared" si="5"/>
        <v>collected</v>
      </c>
      <c r="J1300" s="16" t="str">
        <f t="shared" si="6"/>
        <v>N</v>
      </c>
      <c r="K1300" s="16"/>
      <c r="L1300" s="16"/>
    </row>
    <row r="1301">
      <c r="A1301" s="40" t="s">
        <v>1823</v>
      </c>
      <c r="B1301" s="10" t="str">
        <f t="shared" si="1"/>
        <v>extra_muscle</v>
      </c>
      <c r="C1301" s="49" t="str">
        <f t="shared" si="2"/>
        <v>S16490XM1</v>
      </c>
      <c r="D1301" s="6">
        <v>36.0</v>
      </c>
      <c r="E1301" s="10" t="str">
        <f t="shared" si="3"/>
        <v>BXM36</v>
      </c>
      <c r="F1301" s="13">
        <v>79.0</v>
      </c>
      <c r="G1301" s="10" t="str">
        <f t="shared" si="7"/>
        <v>BXM36-79</v>
      </c>
      <c r="H1301" s="16"/>
      <c r="I1301" s="16" t="str">
        <f t="shared" si="5"/>
        <v>collected</v>
      </c>
      <c r="J1301" s="16" t="str">
        <f t="shared" si="6"/>
        <v>N</v>
      </c>
      <c r="K1301" s="16"/>
      <c r="L1301" s="16"/>
    </row>
    <row r="1302">
      <c r="A1302" s="40" t="s">
        <v>1824</v>
      </c>
      <c r="B1302" s="10" t="str">
        <f t="shared" si="1"/>
        <v>extra_muscle</v>
      </c>
      <c r="C1302" s="49" t="str">
        <f t="shared" si="2"/>
        <v>S16487XM1</v>
      </c>
      <c r="D1302" s="6">
        <v>36.0</v>
      </c>
      <c r="E1302" s="10" t="str">
        <f t="shared" si="3"/>
        <v>BXM36</v>
      </c>
      <c r="F1302" s="13">
        <v>80.0</v>
      </c>
      <c r="G1302" s="10" t="str">
        <f t="shared" si="7"/>
        <v>BXM36-80</v>
      </c>
      <c r="H1302" s="16"/>
      <c r="I1302" s="16" t="str">
        <f t="shared" si="5"/>
        <v>collected</v>
      </c>
      <c r="J1302" s="16" t="str">
        <f t="shared" si="6"/>
        <v>N</v>
      </c>
      <c r="K1302" s="16"/>
      <c r="L1302" s="16"/>
    </row>
    <row r="1303">
      <c r="A1303" s="40" t="s">
        <v>1825</v>
      </c>
      <c r="B1303" s="10" t="str">
        <f t="shared" si="1"/>
        <v>extra_muscle</v>
      </c>
      <c r="C1303" s="49" t="str">
        <f t="shared" si="2"/>
        <v>S16488XM1</v>
      </c>
      <c r="D1303" s="6">
        <v>36.0</v>
      </c>
      <c r="E1303" s="10" t="str">
        <f t="shared" si="3"/>
        <v>BXM36</v>
      </c>
      <c r="F1303" s="13">
        <v>81.0</v>
      </c>
      <c r="G1303" s="10" t="str">
        <f t="shared" si="7"/>
        <v>BXM36-81</v>
      </c>
      <c r="H1303" s="16"/>
      <c r="I1303" s="16" t="str">
        <f t="shared" si="5"/>
        <v>collected</v>
      </c>
      <c r="J1303" s="16" t="str">
        <f t="shared" si="6"/>
        <v>N</v>
      </c>
      <c r="K1303" s="16"/>
      <c r="L1303" s="16"/>
    </row>
    <row r="1304">
      <c r="A1304" s="40" t="s">
        <v>1827</v>
      </c>
      <c r="B1304" s="10" t="str">
        <f t="shared" si="1"/>
        <v>extra_muscle</v>
      </c>
      <c r="C1304" s="49" t="str">
        <f t="shared" si="2"/>
        <v>S16489XM1</v>
      </c>
      <c r="D1304" s="6">
        <v>38.0</v>
      </c>
      <c r="E1304" s="10" t="str">
        <f t="shared" si="3"/>
        <v>BXM38</v>
      </c>
      <c r="F1304" s="13">
        <v>1.0</v>
      </c>
      <c r="G1304" s="10" t="str">
        <f t="shared" si="7"/>
        <v>BXM38-1</v>
      </c>
      <c r="H1304" s="16"/>
      <c r="I1304" s="16" t="str">
        <f t="shared" si="5"/>
        <v>collected</v>
      </c>
      <c r="J1304" s="16" t="str">
        <f t="shared" si="6"/>
        <v>N</v>
      </c>
      <c r="K1304" s="16"/>
      <c r="L1304" s="16"/>
    </row>
    <row r="1305">
      <c r="A1305" s="40" t="s">
        <v>1828</v>
      </c>
      <c r="B1305" s="10" t="str">
        <f t="shared" si="1"/>
        <v>extra_muscle</v>
      </c>
      <c r="C1305" s="49" t="str">
        <f t="shared" si="2"/>
        <v>S16484XM1</v>
      </c>
      <c r="D1305" s="6">
        <v>38.0</v>
      </c>
      <c r="E1305" s="10" t="str">
        <f t="shared" si="3"/>
        <v>BXM38</v>
      </c>
      <c r="F1305" s="13">
        <v>2.0</v>
      </c>
      <c r="G1305" s="10" t="str">
        <f t="shared" si="7"/>
        <v>BXM38-2</v>
      </c>
      <c r="H1305" s="16"/>
      <c r="I1305" s="16" t="str">
        <f t="shared" si="5"/>
        <v>collected</v>
      </c>
      <c r="J1305" s="16" t="str">
        <f t="shared" si="6"/>
        <v>N</v>
      </c>
      <c r="K1305" s="16"/>
      <c r="L1305" s="16"/>
    </row>
    <row r="1306">
      <c r="A1306" s="40" t="s">
        <v>1829</v>
      </c>
      <c r="B1306" s="10" t="str">
        <f t="shared" si="1"/>
        <v>extra_muscle</v>
      </c>
      <c r="C1306" s="49" t="str">
        <f t="shared" si="2"/>
        <v>S16483XM1</v>
      </c>
      <c r="D1306" s="6">
        <v>38.0</v>
      </c>
      <c r="E1306" s="10" t="str">
        <f t="shared" si="3"/>
        <v>BXM38</v>
      </c>
      <c r="F1306" s="13">
        <v>3.0</v>
      </c>
      <c r="G1306" s="10" t="str">
        <f t="shared" si="7"/>
        <v>BXM38-3</v>
      </c>
      <c r="H1306" s="16"/>
      <c r="I1306" s="16" t="str">
        <f t="shared" si="5"/>
        <v>collected</v>
      </c>
      <c r="J1306" s="16" t="str">
        <f t="shared" si="6"/>
        <v>N</v>
      </c>
      <c r="K1306" s="16"/>
      <c r="L1306" s="16"/>
    </row>
    <row r="1307">
      <c r="A1307" s="40" t="s">
        <v>1830</v>
      </c>
      <c r="B1307" s="10" t="str">
        <f t="shared" si="1"/>
        <v>extra_muscle</v>
      </c>
      <c r="C1307" s="49" t="str">
        <f t="shared" si="2"/>
        <v>S16482XM1</v>
      </c>
      <c r="D1307" s="6">
        <v>38.0</v>
      </c>
      <c r="E1307" s="10" t="str">
        <f t="shared" si="3"/>
        <v>BXM38</v>
      </c>
      <c r="F1307" s="13">
        <v>4.0</v>
      </c>
      <c r="G1307" s="10" t="str">
        <f t="shared" si="7"/>
        <v>BXM38-4</v>
      </c>
      <c r="H1307" s="16"/>
      <c r="I1307" s="16" t="str">
        <f t="shared" si="5"/>
        <v>collected</v>
      </c>
      <c r="J1307" s="16" t="str">
        <f t="shared" si="6"/>
        <v>N</v>
      </c>
      <c r="K1307" s="16"/>
      <c r="L1307" s="16"/>
    </row>
    <row r="1308">
      <c r="A1308" s="40" t="s">
        <v>1832</v>
      </c>
      <c r="B1308" s="10" t="str">
        <f t="shared" si="1"/>
        <v>extra_muscle</v>
      </c>
      <c r="C1308" s="49" t="str">
        <f t="shared" si="2"/>
        <v>S16485XM1</v>
      </c>
      <c r="D1308" s="6">
        <v>38.0</v>
      </c>
      <c r="E1308" s="10" t="str">
        <f t="shared" si="3"/>
        <v>BXM38</v>
      </c>
      <c r="F1308" s="13">
        <v>5.0</v>
      </c>
      <c r="G1308" s="10" t="str">
        <f t="shared" si="7"/>
        <v>BXM38-5</v>
      </c>
      <c r="H1308" s="16"/>
      <c r="I1308" s="16" t="str">
        <f t="shared" si="5"/>
        <v>collected</v>
      </c>
      <c r="J1308" s="16" t="str">
        <f t="shared" si="6"/>
        <v>N</v>
      </c>
      <c r="K1308" s="16"/>
      <c r="L1308" s="16"/>
    </row>
    <row r="1309">
      <c r="A1309" s="40" t="s">
        <v>1833</v>
      </c>
      <c r="B1309" s="10" t="str">
        <f t="shared" si="1"/>
        <v>extra_muscle</v>
      </c>
      <c r="C1309" s="49" t="str">
        <f t="shared" si="2"/>
        <v>S16481XM1</v>
      </c>
      <c r="D1309" s="6">
        <v>38.0</v>
      </c>
      <c r="E1309" s="10" t="str">
        <f t="shared" si="3"/>
        <v>BXM38</v>
      </c>
      <c r="F1309" s="13">
        <v>6.0</v>
      </c>
      <c r="G1309" s="10" t="str">
        <f t="shared" si="7"/>
        <v>BXM38-6</v>
      </c>
      <c r="H1309" s="16"/>
      <c r="I1309" s="16" t="str">
        <f t="shared" si="5"/>
        <v>collected</v>
      </c>
      <c r="J1309" s="16" t="str">
        <f t="shared" si="6"/>
        <v>N</v>
      </c>
      <c r="K1309" s="16"/>
      <c r="L1309" s="16"/>
    </row>
    <row r="1310">
      <c r="A1310" s="40" t="s">
        <v>1835</v>
      </c>
      <c r="B1310" s="10" t="str">
        <f t="shared" si="1"/>
        <v>extra_muscle</v>
      </c>
      <c r="C1310" s="49" t="str">
        <f t="shared" si="2"/>
        <v>S17190XM1</v>
      </c>
      <c r="D1310" s="6">
        <v>38.0</v>
      </c>
      <c r="E1310" s="10" t="str">
        <f t="shared" si="3"/>
        <v>BXM38</v>
      </c>
      <c r="F1310" s="13">
        <v>7.0</v>
      </c>
      <c r="G1310" s="10" t="str">
        <f t="shared" si="7"/>
        <v>BXM38-7</v>
      </c>
      <c r="H1310" s="16"/>
      <c r="I1310" s="16" t="str">
        <f t="shared" si="5"/>
        <v>collected</v>
      </c>
      <c r="J1310" s="16" t="str">
        <f t="shared" si="6"/>
        <v>N</v>
      </c>
      <c r="K1310" s="16"/>
      <c r="L1310" s="16"/>
    </row>
    <row r="1311">
      <c r="A1311" s="40" t="s">
        <v>1836</v>
      </c>
      <c r="B1311" s="10" t="str">
        <f t="shared" si="1"/>
        <v>extra_muscle</v>
      </c>
      <c r="C1311" s="49" t="str">
        <f t="shared" si="2"/>
        <v>S17189XM1</v>
      </c>
      <c r="D1311" s="6">
        <v>38.0</v>
      </c>
      <c r="E1311" s="10" t="str">
        <f t="shared" si="3"/>
        <v>BXM38</v>
      </c>
      <c r="F1311" s="13">
        <v>8.0</v>
      </c>
      <c r="G1311" s="10" t="str">
        <f t="shared" si="7"/>
        <v>BXM38-8</v>
      </c>
      <c r="H1311" s="16"/>
      <c r="I1311" s="16" t="str">
        <f t="shared" si="5"/>
        <v>collected</v>
      </c>
      <c r="J1311" s="16" t="str">
        <f t="shared" si="6"/>
        <v>N</v>
      </c>
      <c r="K1311" s="16"/>
      <c r="L1311" s="16"/>
    </row>
    <row r="1312">
      <c r="A1312" s="40" t="s">
        <v>1838</v>
      </c>
      <c r="B1312" s="10" t="str">
        <f t="shared" si="1"/>
        <v>extra_muscle</v>
      </c>
      <c r="C1312" s="49" t="str">
        <f t="shared" si="2"/>
        <v>S17188XM1</v>
      </c>
      <c r="D1312" s="6">
        <v>38.0</v>
      </c>
      <c r="E1312" s="10" t="str">
        <f t="shared" si="3"/>
        <v>BXM38</v>
      </c>
      <c r="F1312" s="13">
        <v>9.0</v>
      </c>
      <c r="G1312" s="10" t="str">
        <f t="shared" si="7"/>
        <v>BXM38-9</v>
      </c>
      <c r="H1312" s="16"/>
      <c r="I1312" s="16" t="str">
        <f t="shared" si="5"/>
        <v>collected</v>
      </c>
      <c r="J1312" s="16" t="str">
        <f t="shared" si="6"/>
        <v>N</v>
      </c>
      <c r="K1312" s="16"/>
      <c r="L1312" s="16"/>
    </row>
    <row r="1313">
      <c r="A1313" s="40" t="s">
        <v>1840</v>
      </c>
      <c r="B1313" s="10" t="str">
        <f t="shared" si="1"/>
        <v>extra_muscle</v>
      </c>
      <c r="C1313" s="49" t="str">
        <f t="shared" si="2"/>
        <v>S17187XM1</v>
      </c>
      <c r="D1313" s="6">
        <v>38.0</v>
      </c>
      <c r="E1313" s="10" t="str">
        <f t="shared" si="3"/>
        <v>BXM38</v>
      </c>
      <c r="F1313" s="13">
        <v>10.0</v>
      </c>
      <c r="G1313" s="10" t="str">
        <f t="shared" si="7"/>
        <v>BXM38-10</v>
      </c>
      <c r="H1313" s="16"/>
      <c r="I1313" s="16" t="str">
        <f t="shared" si="5"/>
        <v>collected</v>
      </c>
      <c r="J1313" s="16" t="str">
        <f t="shared" si="6"/>
        <v>N</v>
      </c>
      <c r="K1313" s="16"/>
      <c r="L1313" s="16"/>
    </row>
    <row r="1314">
      <c r="A1314" s="40" t="s">
        <v>1841</v>
      </c>
      <c r="B1314" s="10" t="str">
        <f t="shared" si="1"/>
        <v>extra_muscle</v>
      </c>
      <c r="C1314" s="49" t="str">
        <f t="shared" si="2"/>
        <v>S17186XM1</v>
      </c>
      <c r="D1314" s="6">
        <v>38.0</v>
      </c>
      <c r="E1314" s="10" t="str">
        <f t="shared" si="3"/>
        <v>BXM38</v>
      </c>
      <c r="F1314" s="13">
        <v>11.0</v>
      </c>
      <c r="G1314" s="10" t="str">
        <f t="shared" si="7"/>
        <v>BXM38-11</v>
      </c>
      <c r="H1314" s="16"/>
      <c r="I1314" s="16" t="str">
        <f t="shared" si="5"/>
        <v>collected</v>
      </c>
      <c r="J1314" s="16" t="str">
        <f t="shared" si="6"/>
        <v>N</v>
      </c>
      <c r="K1314" s="16"/>
      <c r="L1314" s="16"/>
    </row>
    <row r="1315">
      <c r="A1315" s="40" t="s">
        <v>1843</v>
      </c>
      <c r="B1315" s="10" t="str">
        <f t="shared" si="1"/>
        <v>extra_muscle</v>
      </c>
      <c r="C1315" s="49" t="str">
        <f t="shared" si="2"/>
        <v>S17185XM1</v>
      </c>
      <c r="D1315" s="6">
        <v>38.0</v>
      </c>
      <c r="E1315" s="10" t="str">
        <f t="shared" si="3"/>
        <v>BXM38</v>
      </c>
      <c r="F1315" s="13">
        <v>12.0</v>
      </c>
      <c r="G1315" s="10" t="str">
        <f t="shared" si="7"/>
        <v>BXM38-12</v>
      </c>
      <c r="H1315" s="16"/>
      <c r="I1315" s="16" t="str">
        <f t="shared" si="5"/>
        <v>collected</v>
      </c>
      <c r="J1315" s="16" t="str">
        <f t="shared" si="6"/>
        <v>N</v>
      </c>
      <c r="K1315" s="16"/>
      <c r="L1315" s="16"/>
    </row>
    <row r="1316">
      <c r="A1316" s="40" t="s">
        <v>1844</v>
      </c>
      <c r="B1316" s="10" t="str">
        <f t="shared" si="1"/>
        <v>extra_muscle</v>
      </c>
      <c r="C1316" s="49" t="str">
        <f t="shared" si="2"/>
        <v>S17184XM1</v>
      </c>
      <c r="D1316" s="6">
        <v>38.0</v>
      </c>
      <c r="E1316" s="10" t="str">
        <f t="shared" si="3"/>
        <v>BXM38</v>
      </c>
      <c r="F1316" s="13">
        <v>13.0</v>
      </c>
      <c r="G1316" s="10" t="str">
        <f t="shared" si="7"/>
        <v>BXM38-13</v>
      </c>
      <c r="H1316" s="16"/>
      <c r="I1316" s="16" t="str">
        <f t="shared" si="5"/>
        <v>collected</v>
      </c>
      <c r="J1316" s="16" t="str">
        <f t="shared" si="6"/>
        <v>N</v>
      </c>
      <c r="K1316" s="16"/>
      <c r="L1316" s="16"/>
    </row>
    <row r="1317">
      <c r="A1317" s="40" t="s">
        <v>1845</v>
      </c>
      <c r="B1317" s="10" t="str">
        <f t="shared" si="1"/>
        <v>extra_muscle</v>
      </c>
      <c r="C1317" s="49" t="str">
        <f t="shared" si="2"/>
        <v>S17181XM1</v>
      </c>
      <c r="D1317" s="6">
        <v>38.0</v>
      </c>
      <c r="E1317" s="10" t="str">
        <f t="shared" si="3"/>
        <v>BXM38</v>
      </c>
      <c r="F1317" s="13">
        <v>14.0</v>
      </c>
      <c r="G1317" s="10" t="str">
        <f t="shared" si="7"/>
        <v>BXM38-14</v>
      </c>
      <c r="H1317" s="16"/>
      <c r="I1317" s="16" t="str">
        <f t="shared" si="5"/>
        <v>collected</v>
      </c>
      <c r="J1317" s="16" t="str">
        <f t="shared" si="6"/>
        <v>N</v>
      </c>
      <c r="K1317" s="16"/>
      <c r="L1317" s="16"/>
    </row>
    <row r="1318">
      <c r="A1318" s="40" t="s">
        <v>1846</v>
      </c>
      <c r="B1318" s="10" t="str">
        <f t="shared" si="1"/>
        <v>extra_muscle</v>
      </c>
      <c r="C1318" s="49" t="str">
        <f t="shared" si="2"/>
        <v>S17182XM1</v>
      </c>
      <c r="D1318" s="6">
        <v>38.0</v>
      </c>
      <c r="E1318" s="10" t="str">
        <f t="shared" si="3"/>
        <v>BXM38</v>
      </c>
      <c r="F1318" s="13">
        <v>15.0</v>
      </c>
      <c r="G1318" s="10" t="str">
        <f t="shared" si="7"/>
        <v>BXM38-15</v>
      </c>
      <c r="H1318" s="16"/>
      <c r="I1318" s="16" t="str">
        <f t="shared" si="5"/>
        <v>collected</v>
      </c>
      <c r="J1318" s="16" t="str">
        <f t="shared" si="6"/>
        <v>N</v>
      </c>
      <c r="K1318" s="16"/>
      <c r="L1318" s="16"/>
    </row>
    <row r="1319">
      <c r="A1319" s="40" t="s">
        <v>1847</v>
      </c>
      <c r="B1319" s="10" t="str">
        <f t="shared" si="1"/>
        <v>extra_muscle</v>
      </c>
      <c r="C1319" s="49" t="str">
        <f t="shared" si="2"/>
        <v>S17183XM1</v>
      </c>
      <c r="D1319" s="6">
        <v>38.0</v>
      </c>
      <c r="E1319" s="10" t="str">
        <f t="shared" si="3"/>
        <v>BXM38</v>
      </c>
      <c r="F1319" s="13">
        <v>16.0</v>
      </c>
      <c r="G1319" s="10" t="str">
        <f t="shared" si="7"/>
        <v>BXM38-16</v>
      </c>
      <c r="H1319" s="16"/>
      <c r="I1319" s="16" t="str">
        <f t="shared" si="5"/>
        <v>collected</v>
      </c>
      <c r="J1319" s="16" t="str">
        <f t="shared" si="6"/>
        <v>N</v>
      </c>
      <c r="K1319" s="16"/>
      <c r="L1319" s="16"/>
    </row>
    <row r="1320">
      <c r="A1320" s="40" t="s">
        <v>1848</v>
      </c>
      <c r="B1320" s="10" t="str">
        <f t="shared" si="1"/>
        <v>extra_muscle</v>
      </c>
      <c r="C1320" s="49" t="str">
        <f t="shared" si="2"/>
        <v>S16655XM1</v>
      </c>
      <c r="D1320" s="6">
        <v>37.0</v>
      </c>
      <c r="E1320" s="10" t="str">
        <f t="shared" si="3"/>
        <v>BXM37</v>
      </c>
      <c r="F1320" s="13">
        <v>29.0</v>
      </c>
      <c r="G1320" s="10" t="str">
        <f t="shared" si="7"/>
        <v>BXM37-29</v>
      </c>
      <c r="H1320" s="16"/>
      <c r="I1320" s="16" t="str">
        <f t="shared" si="5"/>
        <v>collected</v>
      </c>
      <c r="J1320" s="16" t="str">
        <f t="shared" si="6"/>
        <v>N</v>
      </c>
      <c r="K1320" s="16"/>
      <c r="L1320" s="16"/>
    </row>
    <row r="1321">
      <c r="A1321" s="40" t="s">
        <v>1849</v>
      </c>
      <c r="B1321" s="10" t="str">
        <f t="shared" si="1"/>
        <v>extra_muscle</v>
      </c>
      <c r="C1321" s="49" t="str">
        <f t="shared" si="2"/>
        <v>S16652XM1</v>
      </c>
      <c r="D1321" s="6">
        <v>37.0</v>
      </c>
      <c r="E1321" s="10" t="str">
        <f t="shared" si="3"/>
        <v>BXM37</v>
      </c>
      <c r="F1321" s="13">
        <v>30.0</v>
      </c>
      <c r="G1321" s="10" t="str">
        <f t="shared" si="7"/>
        <v>BXM37-30</v>
      </c>
      <c r="H1321" s="16"/>
      <c r="I1321" s="16" t="str">
        <f t="shared" si="5"/>
        <v>collected</v>
      </c>
      <c r="J1321" s="16" t="str">
        <f t="shared" si="6"/>
        <v>N</v>
      </c>
      <c r="K1321" s="16"/>
      <c r="L1321" s="16"/>
    </row>
    <row r="1322">
      <c r="A1322" s="40" t="s">
        <v>1850</v>
      </c>
      <c r="B1322" s="10" t="str">
        <f t="shared" si="1"/>
        <v>extra_muscle</v>
      </c>
      <c r="C1322" s="49" t="str">
        <f t="shared" si="2"/>
        <v>S16653XM1</v>
      </c>
      <c r="D1322" s="6">
        <v>37.0</v>
      </c>
      <c r="E1322" s="10" t="str">
        <f t="shared" si="3"/>
        <v>BXM37</v>
      </c>
      <c r="F1322" s="13">
        <v>31.0</v>
      </c>
      <c r="G1322" s="10" t="str">
        <f t="shared" si="7"/>
        <v>BXM37-31</v>
      </c>
      <c r="H1322" s="16"/>
      <c r="I1322" s="16" t="str">
        <f t="shared" si="5"/>
        <v>collected</v>
      </c>
      <c r="J1322" s="16" t="str">
        <f t="shared" si="6"/>
        <v>N</v>
      </c>
      <c r="K1322" s="16"/>
      <c r="L1322" s="16"/>
    </row>
    <row r="1323">
      <c r="A1323" s="40" t="s">
        <v>1852</v>
      </c>
      <c r="B1323" s="10" t="str">
        <f t="shared" si="1"/>
        <v>extra_muscle</v>
      </c>
      <c r="C1323" s="49" t="str">
        <f t="shared" si="2"/>
        <v>S16658XM1</v>
      </c>
      <c r="D1323" s="6">
        <v>37.0</v>
      </c>
      <c r="E1323" s="10" t="str">
        <f t="shared" si="3"/>
        <v>BXM37</v>
      </c>
      <c r="F1323" s="13">
        <v>32.0</v>
      </c>
      <c r="G1323" s="10" t="str">
        <f t="shared" si="7"/>
        <v>BXM37-32</v>
      </c>
      <c r="H1323" s="16"/>
      <c r="I1323" s="16" t="str">
        <f t="shared" si="5"/>
        <v>collected</v>
      </c>
      <c r="J1323" s="16" t="str">
        <f t="shared" si="6"/>
        <v>N</v>
      </c>
      <c r="K1323" s="16"/>
      <c r="L1323" s="16"/>
    </row>
    <row r="1324">
      <c r="A1324" s="40" t="s">
        <v>1853</v>
      </c>
      <c r="B1324" s="10" t="str">
        <f t="shared" si="1"/>
        <v>extra_muscle</v>
      </c>
      <c r="C1324" s="49" t="str">
        <f t="shared" si="2"/>
        <v>S16659XM1</v>
      </c>
      <c r="D1324" s="6">
        <v>37.0</v>
      </c>
      <c r="E1324" s="10" t="str">
        <f t="shared" si="3"/>
        <v>BXM37</v>
      </c>
      <c r="F1324" s="13">
        <v>33.0</v>
      </c>
      <c r="G1324" s="10" t="str">
        <f t="shared" si="7"/>
        <v>BXM37-33</v>
      </c>
      <c r="H1324" s="16"/>
      <c r="I1324" s="16" t="str">
        <f t="shared" si="5"/>
        <v>collected</v>
      </c>
      <c r="J1324" s="16" t="str">
        <f t="shared" si="6"/>
        <v>N</v>
      </c>
      <c r="K1324" s="16"/>
      <c r="L1324" s="16"/>
    </row>
    <row r="1325">
      <c r="A1325" s="40" t="s">
        <v>1854</v>
      </c>
      <c r="B1325" s="10" t="str">
        <f t="shared" si="1"/>
        <v>extra_muscle</v>
      </c>
      <c r="C1325" s="49" t="str">
        <f t="shared" si="2"/>
        <v>S16656XM1</v>
      </c>
      <c r="D1325" s="6">
        <v>37.0</v>
      </c>
      <c r="E1325" s="10" t="str">
        <f t="shared" si="3"/>
        <v>BXM37</v>
      </c>
      <c r="F1325" s="13">
        <v>34.0</v>
      </c>
      <c r="G1325" s="10" t="str">
        <f t="shared" si="7"/>
        <v>BXM37-34</v>
      </c>
      <c r="H1325" s="16"/>
      <c r="I1325" s="16" t="str">
        <f t="shared" si="5"/>
        <v>collected</v>
      </c>
      <c r="J1325" s="16" t="str">
        <f t="shared" si="6"/>
        <v>N</v>
      </c>
      <c r="K1325" s="16"/>
      <c r="L1325" s="16"/>
    </row>
    <row r="1326">
      <c r="A1326" s="40" t="s">
        <v>1855</v>
      </c>
      <c r="B1326" s="10" t="str">
        <f t="shared" si="1"/>
        <v>extra_muscle</v>
      </c>
      <c r="C1326" s="49" t="str">
        <f t="shared" si="2"/>
        <v>S16660XM1</v>
      </c>
      <c r="D1326" s="6">
        <v>37.0</v>
      </c>
      <c r="E1326" s="10" t="str">
        <f t="shared" si="3"/>
        <v>BXM37</v>
      </c>
      <c r="F1326" s="13">
        <v>35.0</v>
      </c>
      <c r="G1326" s="10" t="str">
        <f t="shared" si="7"/>
        <v>BXM37-35</v>
      </c>
      <c r="H1326" s="16"/>
      <c r="I1326" s="16" t="str">
        <f t="shared" si="5"/>
        <v>collected</v>
      </c>
      <c r="J1326" s="16" t="str">
        <f t="shared" si="6"/>
        <v>N</v>
      </c>
      <c r="K1326" s="16"/>
      <c r="L1326" s="16"/>
    </row>
    <row r="1327">
      <c r="A1327" s="40" t="s">
        <v>1857</v>
      </c>
      <c r="B1327" s="10" t="str">
        <f t="shared" si="1"/>
        <v>extra_muscle</v>
      </c>
      <c r="C1327" s="49" t="str">
        <f t="shared" si="2"/>
        <v>S16657XM1</v>
      </c>
      <c r="D1327" s="6">
        <v>37.0</v>
      </c>
      <c r="E1327" s="10" t="str">
        <f t="shared" si="3"/>
        <v>BXM37</v>
      </c>
      <c r="F1327" s="13">
        <v>36.0</v>
      </c>
      <c r="G1327" s="10" t="str">
        <f t="shared" si="7"/>
        <v>BXM37-36</v>
      </c>
      <c r="H1327" s="16"/>
      <c r="I1327" s="16" t="str">
        <f t="shared" si="5"/>
        <v>collected</v>
      </c>
      <c r="J1327" s="16" t="str">
        <f t="shared" si="6"/>
        <v>N</v>
      </c>
      <c r="K1327" s="16"/>
      <c r="L1327" s="16"/>
    </row>
    <row r="1328">
      <c r="A1328" s="40" t="s">
        <v>1858</v>
      </c>
      <c r="B1328" s="10" t="str">
        <f t="shared" si="1"/>
        <v>extra_muscle</v>
      </c>
      <c r="C1328" s="49" t="str">
        <f t="shared" si="2"/>
        <v>S16654XM1</v>
      </c>
      <c r="D1328" s="6">
        <v>37.0</v>
      </c>
      <c r="E1328" s="10" t="str">
        <f t="shared" si="3"/>
        <v>BXM37</v>
      </c>
      <c r="F1328" s="13">
        <v>37.0</v>
      </c>
      <c r="G1328" s="10" t="str">
        <f t="shared" si="7"/>
        <v>BXM37-37</v>
      </c>
      <c r="H1328" s="16"/>
      <c r="I1328" s="16" t="str">
        <f t="shared" si="5"/>
        <v>collected</v>
      </c>
      <c r="J1328" s="16" t="str">
        <f t="shared" si="6"/>
        <v>N</v>
      </c>
      <c r="K1328" s="16"/>
      <c r="L1328" s="16"/>
    </row>
    <row r="1329">
      <c r="A1329" s="40" t="s">
        <v>1859</v>
      </c>
      <c r="B1329" s="10" t="str">
        <f t="shared" si="1"/>
        <v>extra_muscle</v>
      </c>
      <c r="C1329" s="49" t="str">
        <f t="shared" si="2"/>
        <v>S16651XM1</v>
      </c>
      <c r="D1329" s="6">
        <v>37.0</v>
      </c>
      <c r="E1329" s="10" t="str">
        <f t="shared" si="3"/>
        <v>BXM37</v>
      </c>
      <c r="F1329" s="13">
        <v>38.0</v>
      </c>
      <c r="G1329" s="10" t="str">
        <f t="shared" si="7"/>
        <v>BXM37-38</v>
      </c>
      <c r="H1329" s="16"/>
      <c r="I1329" s="16" t="str">
        <f t="shared" si="5"/>
        <v>collected</v>
      </c>
      <c r="J1329" s="16" t="str">
        <f t="shared" si="6"/>
        <v>N</v>
      </c>
      <c r="K1329" s="16"/>
      <c r="L1329" s="16"/>
    </row>
    <row r="1330">
      <c r="A1330" s="40" t="s">
        <v>1860</v>
      </c>
      <c r="B1330" s="10" t="str">
        <f t="shared" si="1"/>
        <v>extra_muscle</v>
      </c>
      <c r="C1330" s="49" t="str">
        <f t="shared" si="2"/>
        <v>S17470XM1</v>
      </c>
      <c r="D1330" s="6">
        <v>37.0</v>
      </c>
      <c r="E1330" s="10" t="str">
        <f t="shared" si="3"/>
        <v>BXM37</v>
      </c>
      <c r="F1330" s="13">
        <v>39.0</v>
      </c>
      <c r="G1330" s="10" t="str">
        <f t="shared" si="7"/>
        <v>BXM37-39</v>
      </c>
      <c r="H1330" s="16"/>
      <c r="I1330" s="16" t="str">
        <f t="shared" si="5"/>
        <v>collected</v>
      </c>
      <c r="J1330" s="16" t="str">
        <f t="shared" si="6"/>
        <v>N</v>
      </c>
      <c r="K1330" s="16"/>
      <c r="L1330" s="16"/>
    </row>
    <row r="1331">
      <c r="A1331" s="40" t="s">
        <v>1861</v>
      </c>
      <c r="B1331" s="10" t="str">
        <f t="shared" si="1"/>
        <v>extra_muscle</v>
      </c>
      <c r="C1331" s="49" t="str">
        <f t="shared" si="2"/>
        <v>S17469XM1</v>
      </c>
      <c r="D1331" s="6">
        <v>37.0</v>
      </c>
      <c r="E1331" s="10" t="str">
        <f t="shared" si="3"/>
        <v>BXM37</v>
      </c>
      <c r="F1331" s="13">
        <v>40.0</v>
      </c>
      <c r="G1331" s="10" t="str">
        <f t="shared" si="7"/>
        <v>BXM37-40</v>
      </c>
      <c r="H1331" s="16"/>
      <c r="I1331" s="16" t="str">
        <f t="shared" si="5"/>
        <v>collected</v>
      </c>
      <c r="J1331" s="16" t="str">
        <f t="shared" si="6"/>
        <v>N</v>
      </c>
      <c r="K1331" s="16"/>
      <c r="L1331" s="16"/>
    </row>
    <row r="1332">
      <c r="A1332" s="40" t="s">
        <v>1863</v>
      </c>
      <c r="B1332" s="10" t="str">
        <f t="shared" si="1"/>
        <v>extra_muscle</v>
      </c>
      <c r="C1332" s="49" t="str">
        <f t="shared" si="2"/>
        <v>S17468XM1</v>
      </c>
      <c r="D1332" s="6">
        <v>37.0</v>
      </c>
      <c r="E1332" s="10" t="str">
        <f t="shared" si="3"/>
        <v>BXM37</v>
      </c>
      <c r="F1332" s="13">
        <v>41.0</v>
      </c>
      <c r="G1332" s="10" t="str">
        <f t="shared" si="7"/>
        <v>BXM37-41</v>
      </c>
      <c r="H1332" s="16"/>
      <c r="I1332" s="16" t="str">
        <f t="shared" si="5"/>
        <v>collected</v>
      </c>
      <c r="J1332" s="16" t="str">
        <f t="shared" si="6"/>
        <v>N</v>
      </c>
      <c r="K1332" s="16"/>
      <c r="L1332" s="16"/>
    </row>
    <row r="1333">
      <c r="A1333" s="40" t="s">
        <v>1864</v>
      </c>
      <c r="B1333" s="10" t="str">
        <f t="shared" si="1"/>
        <v>extra_muscle</v>
      </c>
      <c r="C1333" s="49" t="str">
        <f t="shared" si="2"/>
        <v>S17467XM1</v>
      </c>
      <c r="D1333" s="6">
        <v>37.0</v>
      </c>
      <c r="E1333" s="10" t="str">
        <f t="shared" si="3"/>
        <v>BXM37</v>
      </c>
      <c r="F1333" s="13">
        <v>42.0</v>
      </c>
      <c r="G1333" s="10" t="str">
        <f t="shared" si="7"/>
        <v>BXM37-42</v>
      </c>
      <c r="H1333" s="16"/>
      <c r="I1333" s="16" t="str">
        <f t="shared" si="5"/>
        <v>collected</v>
      </c>
      <c r="J1333" s="16" t="str">
        <f t="shared" si="6"/>
        <v>N</v>
      </c>
      <c r="K1333" s="16"/>
      <c r="L1333" s="16"/>
    </row>
    <row r="1334">
      <c r="A1334" s="40" t="s">
        <v>1865</v>
      </c>
      <c r="B1334" s="10" t="str">
        <f t="shared" si="1"/>
        <v>extra_muscle</v>
      </c>
      <c r="C1334" s="49" t="str">
        <f t="shared" si="2"/>
        <v>S17454XM1</v>
      </c>
      <c r="D1334" s="6">
        <v>38.0</v>
      </c>
      <c r="E1334" s="10" t="str">
        <f t="shared" si="3"/>
        <v>BXM38</v>
      </c>
      <c r="F1334" s="13">
        <v>17.0</v>
      </c>
      <c r="G1334" s="10" t="str">
        <f t="shared" si="7"/>
        <v>BXM38-17</v>
      </c>
      <c r="H1334" s="16"/>
      <c r="I1334" s="16" t="str">
        <f t="shared" si="5"/>
        <v>collected</v>
      </c>
      <c r="J1334" s="16" t="str">
        <f t="shared" si="6"/>
        <v>N</v>
      </c>
      <c r="K1334" s="16"/>
      <c r="L1334" s="16"/>
    </row>
    <row r="1335">
      <c r="A1335" s="40" t="s">
        <v>1866</v>
      </c>
      <c r="B1335" s="10" t="str">
        <f t="shared" si="1"/>
        <v>extra_muscle</v>
      </c>
      <c r="C1335" s="49" t="str">
        <f t="shared" si="2"/>
        <v>S17458XM1</v>
      </c>
      <c r="D1335" s="6">
        <v>38.0</v>
      </c>
      <c r="E1335" s="10" t="str">
        <f t="shared" si="3"/>
        <v>BXM38</v>
      </c>
      <c r="F1335" s="13">
        <v>18.0</v>
      </c>
      <c r="G1335" s="10" t="str">
        <f t="shared" si="7"/>
        <v>BXM38-18</v>
      </c>
      <c r="H1335" s="16"/>
      <c r="I1335" s="16" t="str">
        <f t="shared" si="5"/>
        <v>collected</v>
      </c>
      <c r="J1335" s="16" t="str">
        <f t="shared" si="6"/>
        <v>N</v>
      </c>
      <c r="K1335" s="16"/>
      <c r="L1335" s="16"/>
    </row>
    <row r="1336">
      <c r="A1336" s="40" t="s">
        <v>1867</v>
      </c>
      <c r="B1336" s="10" t="str">
        <f t="shared" si="1"/>
        <v>extra_muscle</v>
      </c>
      <c r="C1336" s="49" t="str">
        <f t="shared" si="2"/>
        <v>S17459XM1</v>
      </c>
      <c r="D1336" s="6">
        <v>38.0</v>
      </c>
      <c r="E1336" s="10" t="str">
        <f t="shared" si="3"/>
        <v>BXM38</v>
      </c>
      <c r="F1336" s="13">
        <v>19.0</v>
      </c>
      <c r="G1336" s="10" t="str">
        <f t="shared" si="7"/>
        <v>BXM38-19</v>
      </c>
      <c r="H1336" s="16"/>
      <c r="I1336" s="16" t="str">
        <f t="shared" si="5"/>
        <v>collected</v>
      </c>
      <c r="J1336" s="16" t="str">
        <f t="shared" si="6"/>
        <v>N</v>
      </c>
      <c r="K1336" s="16"/>
      <c r="L1336" s="16"/>
    </row>
    <row r="1337">
      <c r="A1337" s="40" t="s">
        <v>1869</v>
      </c>
      <c r="B1337" s="10" t="str">
        <f t="shared" si="1"/>
        <v>extra_muscle</v>
      </c>
      <c r="C1337" s="49" t="str">
        <f t="shared" si="2"/>
        <v>S17456XM1</v>
      </c>
      <c r="D1337" s="6">
        <v>38.0</v>
      </c>
      <c r="E1337" s="10" t="str">
        <f t="shared" si="3"/>
        <v>BXM38</v>
      </c>
      <c r="F1337" s="13">
        <v>20.0</v>
      </c>
      <c r="G1337" s="10" t="str">
        <f t="shared" si="7"/>
        <v>BXM38-20</v>
      </c>
      <c r="H1337" s="16"/>
      <c r="I1337" s="16" t="str">
        <f t="shared" si="5"/>
        <v>collected</v>
      </c>
      <c r="J1337" s="16" t="str">
        <f t="shared" si="6"/>
        <v>N</v>
      </c>
      <c r="K1337" s="16"/>
      <c r="L1337" s="16"/>
    </row>
    <row r="1338">
      <c r="A1338" s="40" t="s">
        <v>1870</v>
      </c>
      <c r="B1338" s="10" t="str">
        <f t="shared" si="1"/>
        <v>extra_muscle</v>
      </c>
      <c r="C1338" s="49" t="str">
        <f t="shared" si="2"/>
        <v>S17460XM1</v>
      </c>
      <c r="D1338" s="6">
        <v>38.0</v>
      </c>
      <c r="E1338" s="10" t="str">
        <f t="shared" si="3"/>
        <v>BXM38</v>
      </c>
      <c r="F1338" s="13">
        <v>21.0</v>
      </c>
      <c r="G1338" s="10" t="str">
        <f t="shared" si="7"/>
        <v>BXM38-21</v>
      </c>
      <c r="H1338" s="16"/>
      <c r="I1338" s="16" t="str">
        <f t="shared" si="5"/>
        <v>collected</v>
      </c>
      <c r="J1338" s="16" t="str">
        <f t="shared" si="6"/>
        <v>N</v>
      </c>
      <c r="K1338" s="16"/>
      <c r="L1338" s="16"/>
    </row>
    <row r="1339">
      <c r="A1339" s="40" t="s">
        <v>1871</v>
      </c>
      <c r="B1339" s="10" t="str">
        <f t="shared" si="1"/>
        <v>extra_muscle</v>
      </c>
      <c r="C1339" s="49" t="str">
        <f t="shared" si="2"/>
        <v>S17455XM1</v>
      </c>
      <c r="D1339" s="6">
        <v>38.0</v>
      </c>
      <c r="E1339" s="10" t="str">
        <f t="shared" si="3"/>
        <v>BXM38</v>
      </c>
      <c r="F1339" s="13">
        <v>22.0</v>
      </c>
      <c r="G1339" s="10" t="str">
        <f t="shared" si="7"/>
        <v>BXM38-22</v>
      </c>
      <c r="H1339" s="16"/>
      <c r="I1339" s="16" t="str">
        <f t="shared" si="5"/>
        <v>collected</v>
      </c>
      <c r="J1339" s="16" t="str">
        <f t="shared" si="6"/>
        <v>N</v>
      </c>
      <c r="K1339" s="16"/>
      <c r="L1339" s="16"/>
    </row>
    <row r="1340">
      <c r="A1340" s="40" t="s">
        <v>1872</v>
      </c>
      <c r="B1340" s="10" t="str">
        <f t="shared" si="1"/>
        <v>extra_muscle</v>
      </c>
      <c r="C1340" s="49" t="str">
        <f t="shared" si="2"/>
        <v>S17451XM1</v>
      </c>
      <c r="D1340" s="6">
        <v>38.0</v>
      </c>
      <c r="E1340" s="10" t="str">
        <f t="shared" si="3"/>
        <v>BXM38</v>
      </c>
      <c r="F1340" s="13">
        <v>23.0</v>
      </c>
      <c r="G1340" s="10" t="str">
        <f t="shared" si="7"/>
        <v>BXM38-23</v>
      </c>
      <c r="H1340" s="16"/>
      <c r="I1340" s="16" t="str">
        <f t="shared" si="5"/>
        <v>collected</v>
      </c>
      <c r="J1340" s="16" t="str">
        <f t="shared" si="6"/>
        <v>N</v>
      </c>
      <c r="K1340" s="16"/>
      <c r="L1340" s="16"/>
    </row>
    <row r="1341">
      <c r="A1341" s="40" t="s">
        <v>1874</v>
      </c>
      <c r="B1341" s="10" t="str">
        <f t="shared" si="1"/>
        <v>extra_muscle</v>
      </c>
      <c r="C1341" s="49" t="str">
        <f t="shared" si="2"/>
        <v>S17452XM1</v>
      </c>
      <c r="D1341" s="6">
        <v>38.0</v>
      </c>
      <c r="E1341" s="10" t="str">
        <f t="shared" si="3"/>
        <v>BXM38</v>
      </c>
      <c r="F1341" s="13">
        <v>24.0</v>
      </c>
      <c r="G1341" s="10" t="str">
        <f t="shared" si="7"/>
        <v>BXM38-24</v>
      </c>
      <c r="H1341" s="16"/>
      <c r="I1341" s="16" t="str">
        <f t="shared" si="5"/>
        <v>collected</v>
      </c>
      <c r="J1341" s="16" t="str">
        <f t="shared" si="6"/>
        <v>N</v>
      </c>
      <c r="K1341" s="16"/>
      <c r="L1341" s="16"/>
    </row>
    <row r="1342">
      <c r="A1342" s="40" t="s">
        <v>1875</v>
      </c>
      <c r="B1342" s="10" t="str">
        <f t="shared" si="1"/>
        <v>extra_muscle</v>
      </c>
      <c r="C1342" s="49" t="str">
        <f t="shared" si="2"/>
        <v>S17457XM1</v>
      </c>
      <c r="D1342" s="6">
        <v>38.0</v>
      </c>
      <c r="E1342" s="10" t="str">
        <f t="shared" si="3"/>
        <v>BXM38</v>
      </c>
      <c r="F1342" s="13">
        <v>25.0</v>
      </c>
      <c r="G1342" s="10" t="str">
        <f t="shared" si="7"/>
        <v>BXM38-25</v>
      </c>
      <c r="H1342" s="16"/>
      <c r="I1342" s="16" t="str">
        <f t="shared" si="5"/>
        <v>collected</v>
      </c>
      <c r="J1342" s="16" t="str">
        <f t="shared" si="6"/>
        <v>N</v>
      </c>
      <c r="K1342" s="16"/>
      <c r="L1342" s="16"/>
    </row>
    <row r="1343">
      <c r="A1343" s="40" t="s">
        <v>1876</v>
      </c>
      <c r="B1343" s="10" t="str">
        <f t="shared" si="1"/>
        <v>extra_muscle</v>
      </c>
      <c r="C1343" s="49" t="str">
        <f t="shared" si="2"/>
        <v>S17453XM1</v>
      </c>
      <c r="D1343" s="6">
        <v>38.0</v>
      </c>
      <c r="E1343" s="10" t="str">
        <f t="shared" si="3"/>
        <v>BXM38</v>
      </c>
      <c r="F1343" s="13">
        <v>26.0</v>
      </c>
      <c r="G1343" s="10" t="str">
        <f t="shared" si="7"/>
        <v>BXM38-26</v>
      </c>
      <c r="H1343" s="16"/>
      <c r="I1343" s="16" t="str">
        <f t="shared" si="5"/>
        <v>collected</v>
      </c>
      <c r="J1343" s="16" t="str">
        <f t="shared" si="6"/>
        <v>N</v>
      </c>
      <c r="K1343" s="16"/>
      <c r="L1343" s="16"/>
    </row>
    <row r="1344">
      <c r="A1344" s="40" t="s">
        <v>1877</v>
      </c>
      <c r="B1344" s="10" t="str">
        <f t="shared" si="1"/>
        <v>extra_muscle</v>
      </c>
      <c r="C1344" s="49" t="str">
        <f t="shared" si="2"/>
        <v>S16031XM1</v>
      </c>
      <c r="D1344" s="6">
        <v>38.0</v>
      </c>
      <c r="E1344" s="10" t="str">
        <f t="shared" si="3"/>
        <v>BXM38</v>
      </c>
      <c r="F1344" s="13">
        <v>27.0</v>
      </c>
      <c r="G1344" s="10" t="str">
        <f t="shared" si="7"/>
        <v>BXM38-27</v>
      </c>
      <c r="H1344" s="16"/>
      <c r="I1344" s="16" t="str">
        <f t="shared" si="5"/>
        <v>collected</v>
      </c>
      <c r="J1344" s="16" t="str">
        <f t="shared" si="6"/>
        <v>N</v>
      </c>
      <c r="K1344" s="16"/>
      <c r="L1344" s="16"/>
    </row>
    <row r="1345">
      <c r="A1345" s="40" t="s">
        <v>1878</v>
      </c>
      <c r="B1345" s="10" t="str">
        <f t="shared" si="1"/>
        <v>extra_muscle</v>
      </c>
      <c r="C1345" s="49" t="str">
        <f t="shared" si="2"/>
        <v>S16037XM1</v>
      </c>
      <c r="D1345" s="6">
        <v>38.0</v>
      </c>
      <c r="E1345" s="10" t="str">
        <f t="shared" si="3"/>
        <v>BXM38</v>
      </c>
      <c r="F1345" s="13">
        <v>28.0</v>
      </c>
      <c r="G1345" s="10" t="str">
        <f t="shared" si="7"/>
        <v>BXM38-28</v>
      </c>
      <c r="H1345" s="16"/>
      <c r="I1345" s="16" t="str">
        <f t="shared" si="5"/>
        <v>collected</v>
      </c>
      <c r="J1345" s="16" t="str">
        <f t="shared" si="6"/>
        <v>N</v>
      </c>
      <c r="K1345" s="16"/>
      <c r="L1345" s="16"/>
    </row>
    <row r="1346">
      <c r="A1346" s="40" t="s">
        <v>1880</v>
      </c>
      <c r="B1346" s="10" t="str">
        <f t="shared" si="1"/>
        <v>extra_muscle</v>
      </c>
      <c r="C1346" s="49" t="str">
        <f t="shared" si="2"/>
        <v>S16038XM1</v>
      </c>
      <c r="D1346" s="6">
        <v>38.0</v>
      </c>
      <c r="E1346" s="10" t="str">
        <f t="shared" si="3"/>
        <v>BXM38</v>
      </c>
      <c r="F1346" s="13">
        <v>29.0</v>
      </c>
      <c r="G1346" s="10" t="str">
        <f t="shared" si="7"/>
        <v>BXM38-29</v>
      </c>
      <c r="H1346" s="16"/>
      <c r="I1346" s="16" t="str">
        <f t="shared" si="5"/>
        <v>collected</v>
      </c>
      <c r="J1346" s="16" t="str">
        <f t="shared" si="6"/>
        <v>N</v>
      </c>
      <c r="K1346" s="16"/>
      <c r="L1346" s="16"/>
    </row>
    <row r="1347">
      <c r="A1347" s="40" t="s">
        <v>1881</v>
      </c>
      <c r="B1347" s="10" t="str">
        <f t="shared" si="1"/>
        <v>extra_muscle</v>
      </c>
      <c r="C1347" s="49" t="str">
        <f t="shared" si="2"/>
        <v>S16034XM1</v>
      </c>
      <c r="D1347" s="6">
        <v>38.0</v>
      </c>
      <c r="E1347" s="10" t="str">
        <f t="shared" si="3"/>
        <v>BXM38</v>
      </c>
      <c r="F1347" s="13">
        <v>30.0</v>
      </c>
      <c r="G1347" s="10" t="str">
        <f t="shared" si="7"/>
        <v>BXM38-30</v>
      </c>
      <c r="H1347" s="16"/>
      <c r="I1347" s="16" t="str">
        <f t="shared" si="5"/>
        <v>collected</v>
      </c>
      <c r="J1347" s="16" t="str">
        <f t="shared" si="6"/>
        <v>N</v>
      </c>
      <c r="K1347" s="16"/>
      <c r="L1347" s="16"/>
    </row>
    <row r="1348">
      <c r="A1348" s="40" t="s">
        <v>1882</v>
      </c>
      <c r="B1348" s="10" t="str">
        <f t="shared" si="1"/>
        <v>extra_muscle</v>
      </c>
      <c r="C1348" s="49" t="str">
        <f t="shared" si="2"/>
        <v>S16039XM1</v>
      </c>
      <c r="D1348" s="6">
        <v>38.0</v>
      </c>
      <c r="E1348" s="10" t="str">
        <f t="shared" si="3"/>
        <v>BXM38</v>
      </c>
      <c r="F1348" s="13">
        <v>31.0</v>
      </c>
      <c r="G1348" s="10" t="str">
        <f t="shared" si="7"/>
        <v>BXM38-31</v>
      </c>
      <c r="H1348" s="16"/>
      <c r="I1348" s="16" t="str">
        <f t="shared" si="5"/>
        <v>collected</v>
      </c>
      <c r="J1348" s="16" t="str">
        <f t="shared" si="6"/>
        <v>N</v>
      </c>
      <c r="K1348" s="16"/>
      <c r="L1348" s="16"/>
    </row>
    <row r="1349">
      <c r="A1349" s="40" t="s">
        <v>1883</v>
      </c>
      <c r="B1349" s="10" t="str">
        <f t="shared" si="1"/>
        <v>extra_muscle</v>
      </c>
      <c r="C1349" s="49" t="str">
        <f t="shared" si="2"/>
        <v>S16035XM1</v>
      </c>
      <c r="D1349" s="6">
        <v>38.0</v>
      </c>
      <c r="E1349" s="10" t="str">
        <f t="shared" si="3"/>
        <v>BXM38</v>
      </c>
      <c r="F1349" s="13">
        <v>32.0</v>
      </c>
      <c r="G1349" s="10" t="str">
        <f t="shared" si="7"/>
        <v>BXM38-32</v>
      </c>
      <c r="H1349" s="16"/>
      <c r="I1349" s="16" t="str">
        <f t="shared" si="5"/>
        <v>collected</v>
      </c>
      <c r="J1349" s="16" t="str">
        <f t="shared" si="6"/>
        <v>N</v>
      </c>
      <c r="K1349" s="16"/>
      <c r="L1349" s="16"/>
    </row>
    <row r="1350">
      <c r="A1350" s="40" t="s">
        <v>1885</v>
      </c>
      <c r="B1350" s="10" t="str">
        <f t="shared" si="1"/>
        <v>extra_muscle</v>
      </c>
      <c r="C1350" s="49" t="str">
        <f t="shared" si="2"/>
        <v>S16032XM1</v>
      </c>
      <c r="D1350" s="6">
        <v>38.0</v>
      </c>
      <c r="E1350" s="10" t="str">
        <f t="shared" si="3"/>
        <v>BXM38</v>
      </c>
      <c r="F1350" s="13">
        <v>33.0</v>
      </c>
      <c r="G1350" s="10" t="str">
        <f t="shared" si="7"/>
        <v>BXM38-33</v>
      </c>
      <c r="H1350" s="16"/>
      <c r="I1350" s="16" t="str">
        <f t="shared" si="5"/>
        <v>collected</v>
      </c>
      <c r="J1350" s="16" t="str">
        <f t="shared" si="6"/>
        <v>N</v>
      </c>
      <c r="K1350" s="16"/>
      <c r="L1350" s="16"/>
    </row>
    <row r="1351">
      <c r="A1351" s="40" t="s">
        <v>1886</v>
      </c>
      <c r="B1351" s="10" t="str">
        <f t="shared" si="1"/>
        <v>extra_muscle</v>
      </c>
      <c r="C1351" s="49" t="str">
        <f t="shared" si="2"/>
        <v>S16040XM1</v>
      </c>
      <c r="D1351" s="6">
        <v>38.0</v>
      </c>
      <c r="E1351" s="10" t="str">
        <f t="shared" si="3"/>
        <v>BXM38</v>
      </c>
      <c r="F1351" s="13">
        <v>34.0</v>
      </c>
      <c r="G1351" s="10" t="str">
        <f t="shared" si="7"/>
        <v>BXM38-34</v>
      </c>
      <c r="H1351" s="16"/>
      <c r="I1351" s="16" t="str">
        <f t="shared" si="5"/>
        <v>collected</v>
      </c>
      <c r="J1351" s="16" t="str">
        <f t="shared" si="6"/>
        <v>N</v>
      </c>
      <c r="K1351" s="16"/>
      <c r="L1351" s="16"/>
    </row>
    <row r="1352">
      <c r="A1352" s="40" t="s">
        <v>1887</v>
      </c>
      <c r="B1352" s="10" t="str">
        <f t="shared" si="1"/>
        <v>extra_muscle</v>
      </c>
      <c r="C1352" s="49" t="str">
        <f t="shared" si="2"/>
        <v>S16033XM1</v>
      </c>
      <c r="D1352" s="6">
        <v>38.0</v>
      </c>
      <c r="E1352" s="10" t="str">
        <f t="shared" si="3"/>
        <v>BXM38</v>
      </c>
      <c r="F1352" s="13">
        <v>35.0</v>
      </c>
      <c r="G1352" s="10" t="str">
        <f t="shared" si="7"/>
        <v>BXM38-35</v>
      </c>
      <c r="H1352" s="16"/>
      <c r="I1352" s="16" t="str">
        <f t="shared" si="5"/>
        <v>collected</v>
      </c>
      <c r="J1352" s="16" t="str">
        <f t="shared" si="6"/>
        <v>N</v>
      </c>
      <c r="K1352" s="16"/>
      <c r="L1352" s="16"/>
    </row>
    <row r="1353">
      <c r="A1353" s="40" t="s">
        <v>1888</v>
      </c>
      <c r="B1353" s="10" t="str">
        <f t="shared" si="1"/>
        <v>extra_muscle</v>
      </c>
      <c r="C1353" s="49" t="str">
        <f t="shared" si="2"/>
        <v>S16036XM1</v>
      </c>
      <c r="D1353" s="6">
        <v>38.0</v>
      </c>
      <c r="E1353" s="10" t="str">
        <f t="shared" si="3"/>
        <v>BXM38</v>
      </c>
      <c r="F1353" s="13">
        <v>36.0</v>
      </c>
      <c r="G1353" s="10" t="str">
        <f t="shared" si="7"/>
        <v>BXM38-36</v>
      </c>
      <c r="H1353" s="16"/>
      <c r="I1353" s="16" t="str">
        <f t="shared" si="5"/>
        <v>collected</v>
      </c>
      <c r="J1353" s="16" t="str">
        <f t="shared" si="6"/>
        <v>N</v>
      </c>
      <c r="K1353" s="16"/>
      <c r="L1353" s="16"/>
    </row>
    <row r="1354">
      <c r="A1354" s="40" t="s">
        <v>1889</v>
      </c>
      <c r="B1354" s="10" t="str">
        <f t="shared" si="1"/>
        <v>extra_muscle</v>
      </c>
      <c r="C1354" s="49" t="str">
        <f t="shared" si="2"/>
        <v>S17466XM1</v>
      </c>
      <c r="D1354" s="6">
        <v>37.0</v>
      </c>
      <c r="E1354" s="10" t="str">
        <f t="shared" si="3"/>
        <v>BXM37</v>
      </c>
      <c r="F1354" s="13">
        <v>43.0</v>
      </c>
      <c r="G1354" s="10" t="str">
        <f t="shared" si="7"/>
        <v>BXM37-43</v>
      </c>
      <c r="H1354" s="16"/>
      <c r="I1354" s="16" t="str">
        <f t="shared" si="5"/>
        <v>collected</v>
      </c>
      <c r="J1354" s="16" t="str">
        <f t="shared" si="6"/>
        <v>N</v>
      </c>
      <c r="K1354" s="16"/>
      <c r="L1354" s="16"/>
    </row>
    <row r="1355">
      <c r="A1355" s="40" t="s">
        <v>1891</v>
      </c>
      <c r="B1355" s="10" t="str">
        <f t="shared" si="1"/>
        <v>extra_muscle</v>
      </c>
      <c r="C1355" s="49" t="str">
        <f t="shared" si="2"/>
        <v>S17465XM1</v>
      </c>
      <c r="D1355" s="6">
        <v>37.0</v>
      </c>
      <c r="E1355" s="10" t="str">
        <f t="shared" si="3"/>
        <v>BXM37</v>
      </c>
      <c r="F1355" s="13">
        <v>44.0</v>
      </c>
      <c r="G1355" s="10" t="str">
        <f t="shared" si="7"/>
        <v>BXM37-44</v>
      </c>
      <c r="H1355" s="16"/>
      <c r="I1355" s="16" t="str">
        <f t="shared" si="5"/>
        <v>collected</v>
      </c>
      <c r="J1355" s="16" t="str">
        <f t="shared" si="6"/>
        <v>N</v>
      </c>
      <c r="K1355" s="16"/>
      <c r="L1355" s="16"/>
    </row>
    <row r="1356">
      <c r="A1356" s="40" t="s">
        <v>1892</v>
      </c>
      <c r="B1356" s="10" t="str">
        <f t="shared" si="1"/>
        <v>extra_muscle</v>
      </c>
      <c r="C1356" s="49" t="str">
        <f t="shared" si="2"/>
        <v>S17464XM1</v>
      </c>
      <c r="D1356" s="6">
        <v>37.0</v>
      </c>
      <c r="E1356" s="10" t="str">
        <f t="shared" si="3"/>
        <v>BXM37</v>
      </c>
      <c r="F1356" s="13">
        <v>45.0</v>
      </c>
      <c r="G1356" s="10" t="str">
        <f t="shared" si="7"/>
        <v>BXM37-45</v>
      </c>
      <c r="H1356" s="16"/>
      <c r="I1356" s="16" t="str">
        <f t="shared" si="5"/>
        <v>collected</v>
      </c>
      <c r="J1356" s="16" t="str">
        <f t="shared" si="6"/>
        <v>N</v>
      </c>
      <c r="K1356" s="16"/>
      <c r="L1356" s="16"/>
    </row>
    <row r="1357">
      <c r="A1357" s="40" t="s">
        <v>1893</v>
      </c>
      <c r="B1357" s="10" t="str">
        <f t="shared" si="1"/>
        <v>extra_muscle</v>
      </c>
      <c r="C1357" s="49" t="str">
        <f t="shared" si="2"/>
        <v>S17463XM1</v>
      </c>
      <c r="D1357" s="6">
        <v>37.0</v>
      </c>
      <c r="E1357" s="10" t="str">
        <f t="shared" si="3"/>
        <v>BXM37</v>
      </c>
      <c r="F1357" s="13">
        <v>46.0</v>
      </c>
      <c r="G1357" s="10" t="str">
        <f t="shared" si="7"/>
        <v>BXM37-46</v>
      </c>
      <c r="H1357" s="16"/>
      <c r="I1357" s="16" t="str">
        <f t="shared" si="5"/>
        <v>collected</v>
      </c>
      <c r="J1357" s="16" t="str">
        <f t="shared" si="6"/>
        <v>N</v>
      </c>
      <c r="K1357" s="16"/>
      <c r="L1357" s="16"/>
    </row>
    <row r="1358">
      <c r="A1358" s="40" t="s">
        <v>1894</v>
      </c>
      <c r="B1358" s="10" t="str">
        <f t="shared" si="1"/>
        <v>extra_muscle</v>
      </c>
      <c r="C1358" s="49" t="str">
        <f t="shared" si="2"/>
        <v>S17462XM1</v>
      </c>
      <c r="D1358" s="6">
        <v>37.0</v>
      </c>
      <c r="E1358" s="10" t="str">
        <f t="shared" si="3"/>
        <v>BXM37</v>
      </c>
      <c r="F1358" s="13">
        <v>47.0</v>
      </c>
      <c r="G1358" s="10" t="str">
        <f t="shared" si="7"/>
        <v>BXM37-47</v>
      </c>
      <c r="H1358" s="16"/>
      <c r="I1358" s="16" t="str">
        <f t="shared" si="5"/>
        <v>collected</v>
      </c>
      <c r="J1358" s="16" t="str">
        <f t="shared" si="6"/>
        <v>N</v>
      </c>
      <c r="K1358" s="16"/>
      <c r="L1358" s="16"/>
    </row>
    <row r="1359">
      <c r="A1359" s="40" t="s">
        <v>1895</v>
      </c>
      <c r="B1359" s="10" t="str">
        <f t="shared" si="1"/>
        <v>extra_muscle</v>
      </c>
      <c r="C1359" s="49" t="str">
        <f t="shared" si="2"/>
        <v>S17461XM1</v>
      </c>
      <c r="D1359" s="6">
        <v>37.0</v>
      </c>
      <c r="E1359" s="10" t="str">
        <f t="shared" si="3"/>
        <v>BXM37</v>
      </c>
      <c r="F1359" s="13">
        <v>48.0</v>
      </c>
      <c r="G1359" s="10" t="str">
        <f t="shared" si="7"/>
        <v>BXM37-48</v>
      </c>
      <c r="H1359" s="16"/>
      <c r="I1359" s="16" t="str">
        <f t="shared" si="5"/>
        <v>collected</v>
      </c>
      <c r="J1359" s="16" t="str">
        <f t="shared" si="6"/>
        <v>N</v>
      </c>
      <c r="K1359" s="16"/>
      <c r="L1359" s="16"/>
    </row>
    <row r="1360">
      <c r="A1360" s="40" t="s">
        <v>1896</v>
      </c>
      <c r="B1360" s="10" t="str">
        <f t="shared" si="1"/>
        <v>extra_muscle</v>
      </c>
      <c r="C1360" s="49" t="str">
        <f t="shared" si="2"/>
        <v>S16736XM1</v>
      </c>
      <c r="D1360" s="6">
        <v>37.0</v>
      </c>
      <c r="E1360" s="10" t="str">
        <f t="shared" si="3"/>
        <v>BXM37</v>
      </c>
      <c r="F1360" s="13">
        <v>49.0</v>
      </c>
      <c r="G1360" s="10" t="str">
        <f t="shared" si="7"/>
        <v>BXM37-49</v>
      </c>
      <c r="H1360" s="16"/>
      <c r="I1360" s="16" t="str">
        <f t="shared" si="5"/>
        <v>collected</v>
      </c>
      <c r="J1360" s="16" t="str">
        <f t="shared" si="6"/>
        <v>N</v>
      </c>
      <c r="K1360" s="16"/>
      <c r="L1360" s="16"/>
    </row>
    <row r="1361">
      <c r="A1361" s="40" t="s">
        <v>1897</v>
      </c>
      <c r="B1361" s="10" t="str">
        <f t="shared" si="1"/>
        <v>extra_muscle</v>
      </c>
      <c r="C1361" s="49" t="str">
        <f t="shared" si="2"/>
        <v>S16738XM1</v>
      </c>
      <c r="D1361" s="6">
        <v>37.0</v>
      </c>
      <c r="E1361" s="10" t="str">
        <f t="shared" si="3"/>
        <v>BXM37</v>
      </c>
      <c r="F1361" s="13">
        <v>50.0</v>
      </c>
      <c r="G1361" s="10" t="str">
        <f t="shared" si="7"/>
        <v>BXM37-50</v>
      </c>
      <c r="H1361" s="16"/>
      <c r="I1361" s="16" t="str">
        <f t="shared" si="5"/>
        <v>collected</v>
      </c>
      <c r="J1361" s="16" t="str">
        <f t="shared" si="6"/>
        <v>N</v>
      </c>
      <c r="K1361" s="16"/>
      <c r="L1361" s="16"/>
    </row>
    <row r="1362">
      <c r="A1362" s="40" t="s">
        <v>1898</v>
      </c>
      <c r="B1362" s="10" t="str">
        <f t="shared" si="1"/>
        <v>extra_muscle</v>
      </c>
      <c r="C1362" s="49" t="str">
        <f t="shared" si="2"/>
        <v>S16740XM1</v>
      </c>
      <c r="D1362" s="6">
        <v>37.0</v>
      </c>
      <c r="E1362" s="10" t="str">
        <f t="shared" si="3"/>
        <v>BXM37</v>
      </c>
      <c r="F1362" s="13">
        <v>51.0</v>
      </c>
      <c r="G1362" s="10" t="str">
        <f t="shared" si="7"/>
        <v>BXM37-51</v>
      </c>
      <c r="H1362" s="16"/>
      <c r="I1362" s="16" t="str">
        <f t="shared" si="5"/>
        <v>collected</v>
      </c>
      <c r="J1362" s="16" t="str">
        <f t="shared" si="6"/>
        <v>N</v>
      </c>
      <c r="K1362" s="16"/>
      <c r="L1362" s="16"/>
    </row>
    <row r="1363">
      <c r="A1363" s="40" t="s">
        <v>1900</v>
      </c>
      <c r="B1363" s="10" t="str">
        <f t="shared" si="1"/>
        <v>extra_muscle</v>
      </c>
      <c r="C1363" s="49" t="str">
        <f t="shared" si="2"/>
        <v>S16735XM1</v>
      </c>
      <c r="D1363" s="6">
        <v>37.0</v>
      </c>
      <c r="E1363" s="10" t="str">
        <f t="shared" si="3"/>
        <v>BXM37</v>
      </c>
      <c r="F1363" s="13">
        <v>52.0</v>
      </c>
      <c r="G1363" s="10" t="str">
        <f t="shared" si="7"/>
        <v>BXM37-52</v>
      </c>
      <c r="H1363" s="16"/>
      <c r="I1363" s="16" t="str">
        <f t="shared" si="5"/>
        <v>collected</v>
      </c>
      <c r="J1363" s="16" t="str">
        <f t="shared" si="6"/>
        <v>N</v>
      </c>
      <c r="K1363" s="16"/>
      <c r="L1363" s="16"/>
    </row>
    <row r="1364">
      <c r="A1364" s="40" t="s">
        <v>1901</v>
      </c>
      <c r="B1364" s="10" t="str">
        <f t="shared" si="1"/>
        <v>extra_muscle</v>
      </c>
      <c r="C1364" s="49" t="str">
        <f t="shared" si="2"/>
        <v>S16737XM1</v>
      </c>
      <c r="D1364" s="6">
        <v>37.0</v>
      </c>
      <c r="E1364" s="10" t="str">
        <f t="shared" si="3"/>
        <v>BXM37</v>
      </c>
      <c r="F1364" s="13">
        <v>53.0</v>
      </c>
      <c r="G1364" s="10" t="str">
        <f t="shared" si="7"/>
        <v>BXM37-53</v>
      </c>
      <c r="H1364" s="16"/>
      <c r="I1364" s="16" t="str">
        <f t="shared" si="5"/>
        <v>collected</v>
      </c>
      <c r="J1364" s="16" t="str">
        <f t="shared" si="6"/>
        <v>N</v>
      </c>
      <c r="K1364" s="16"/>
      <c r="L1364" s="16"/>
    </row>
    <row r="1365">
      <c r="A1365" s="40" t="s">
        <v>1902</v>
      </c>
      <c r="B1365" s="10" t="str">
        <f t="shared" si="1"/>
        <v>extra_muscle</v>
      </c>
      <c r="C1365" s="49" t="str">
        <f t="shared" si="2"/>
        <v>S16733XM1</v>
      </c>
      <c r="D1365" s="6">
        <v>37.0</v>
      </c>
      <c r="E1365" s="10" t="str">
        <f t="shared" si="3"/>
        <v>BXM37</v>
      </c>
      <c r="F1365" s="13">
        <v>54.0</v>
      </c>
      <c r="G1365" s="10" t="str">
        <f t="shared" si="7"/>
        <v>BXM37-54</v>
      </c>
      <c r="H1365" s="16"/>
      <c r="I1365" s="16" t="str">
        <f t="shared" si="5"/>
        <v>collected</v>
      </c>
      <c r="J1365" s="16" t="str">
        <f t="shared" si="6"/>
        <v>N</v>
      </c>
      <c r="K1365" s="16"/>
      <c r="L1365" s="16"/>
    </row>
    <row r="1366">
      <c r="A1366" s="40" t="s">
        <v>1903</v>
      </c>
      <c r="B1366" s="10" t="str">
        <f t="shared" si="1"/>
        <v>extra_muscle</v>
      </c>
      <c r="C1366" s="49" t="str">
        <f t="shared" si="2"/>
        <v>S16734XM1</v>
      </c>
      <c r="D1366" s="6">
        <v>37.0</v>
      </c>
      <c r="E1366" s="10" t="str">
        <f t="shared" si="3"/>
        <v>BXM37</v>
      </c>
      <c r="F1366" s="13">
        <v>55.0</v>
      </c>
      <c r="G1366" s="10" t="str">
        <f t="shared" si="7"/>
        <v>BXM37-55</v>
      </c>
      <c r="H1366" s="16"/>
      <c r="I1366" s="16" t="str">
        <f t="shared" si="5"/>
        <v>collected</v>
      </c>
      <c r="J1366" s="16" t="str">
        <f t="shared" si="6"/>
        <v>N</v>
      </c>
      <c r="K1366" s="16"/>
      <c r="L1366" s="16"/>
    </row>
    <row r="1367">
      <c r="A1367" s="40" t="s">
        <v>1904</v>
      </c>
      <c r="B1367" s="10" t="str">
        <f t="shared" si="1"/>
        <v>extra_muscle</v>
      </c>
      <c r="C1367" s="49" t="str">
        <f t="shared" si="2"/>
        <v>S16731XM1</v>
      </c>
      <c r="D1367" s="6">
        <v>37.0</v>
      </c>
      <c r="E1367" s="10" t="str">
        <f t="shared" si="3"/>
        <v>BXM37</v>
      </c>
      <c r="F1367" s="13">
        <v>56.0</v>
      </c>
      <c r="G1367" s="10" t="str">
        <f t="shared" si="7"/>
        <v>BXM37-56</v>
      </c>
      <c r="H1367" s="16"/>
      <c r="I1367" s="16" t="str">
        <f t="shared" si="5"/>
        <v>collected</v>
      </c>
      <c r="J1367" s="16" t="str">
        <f t="shared" si="6"/>
        <v>N</v>
      </c>
      <c r="K1367" s="16"/>
      <c r="L1367" s="16"/>
    </row>
    <row r="1368">
      <c r="A1368" s="40" t="s">
        <v>1905</v>
      </c>
      <c r="B1368" s="10" t="str">
        <f t="shared" si="1"/>
        <v>extra_muscle</v>
      </c>
      <c r="C1368" s="49" t="str">
        <f t="shared" si="2"/>
        <v>S16739XM1</v>
      </c>
      <c r="D1368" s="6">
        <v>37.0</v>
      </c>
      <c r="E1368" s="10" t="str">
        <f t="shared" si="3"/>
        <v>BXM37</v>
      </c>
      <c r="F1368" s="13">
        <v>57.0</v>
      </c>
      <c r="G1368" s="10" t="str">
        <f t="shared" si="7"/>
        <v>BXM37-57</v>
      </c>
      <c r="H1368" s="16"/>
      <c r="I1368" s="16" t="str">
        <f t="shared" si="5"/>
        <v>collected</v>
      </c>
      <c r="J1368" s="16" t="str">
        <f t="shared" si="6"/>
        <v>N</v>
      </c>
      <c r="K1368" s="16"/>
      <c r="L1368" s="16"/>
    </row>
    <row r="1369">
      <c r="A1369" s="40" t="s">
        <v>1906</v>
      </c>
      <c r="B1369" s="10" t="str">
        <f t="shared" si="1"/>
        <v>extra_muscle</v>
      </c>
      <c r="C1369" s="49" t="str">
        <f t="shared" si="2"/>
        <v>S16732XM1</v>
      </c>
      <c r="D1369" s="6">
        <v>37.0</v>
      </c>
      <c r="E1369" s="10" t="str">
        <f t="shared" si="3"/>
        <v>BXM37</v>
      </c>
      <c r="F1369" s="13">
        <v>58.0</v>
      </c>
      <c r="G1369" s="10" t="str">
        <f t="shared" si="7"/>
        <v>BXM37-58</v>
      </c>
      <c r="H1369" s="16"/>
      <c r="I1369" s="16" t="str">
        <f t="shared" si="5"/>
        <v>collected</v>
      </c>
      <c r="J1369" s="16" t="str">
        <f t="shared" si="6"/>
        <v>N</v>
      </c>
      <c r="K1369" s="16"/>
      <c r="L1369" s="16"/>
    </row>
    <row r="1370">
      <c r="A1370" s="40" t="s">
        <v>1907</v>
      </c>
      <c r="B1370" s="10" t="str">
        <f t="shared" si="1"/>
        <v>extra_muscle</v>
      </c>
      <c r="C1370" s="49" t="str">
        <f t="shared" si="2"/>
        <v>S17939XM1</v>
      </c>
      <c r="D1370" s="6">
        <v>37.0</v>
      </c>
      <c r="E1370" s="10" t="str">
        <f t="shared" si="3"/>
        <v>BXM37</v>
      </c>
      <c r="F1370" s="13">
        <v>59.0</v>
      </c>
      <c r="G1370" s="10" t="str">
        <f t="shared" si="7"/>
        <v>BXM37-59</v>
      </c>
      <c r="H1370" s="16"/>
      <c r="I1370" s="16" t="str">
        <f t="shared" si="5"/>
        <v>collected</v>
      </c>
      <c r="J1370" s="16" t="str">
        <f t="shared" si="6"/>
        <v>N</v>
      </c>
      <c r="K1370" s="16"/>
      <c r="L1370" s="16"/>
    </row>
    <row r="1371">
      <c r="A1371" s="40" t="s">
        <v>1908</v>
      </c>
      <c r="B1371" s="10" t="str">
        <f t="shared" si="1"/>
        <v>extra_muscle</v>
      </c>
      <c r="C1371" s="49" t="str">
        <f t="shared" si="2"/>
        <v>S17936XM1</v>
      </c>
      <c r="D1371" s="6">
        <v>37.0</v>
      </c>
      <c r="E1371" s="10" t="str">
        <f t="shared" si="3"/>
        <v>BXM37</v>
      </c>
      <c r="F1371" s="13">
        <v>60.0</v>
      </c>
      <c r="G1371" s="10" t="str">
        <f t="shared" si="7"/>
        <v>BXM37-60</v>
      </c>
      <c r="H1371" s="16"/>
      <c r="I1371" s="16" t="str">
        <f t="shared" si="5"/>
        <v>collected</v>
      </c>
      <c r="J1371" s="16" t="str">
        <f t="shared" si="6"/>
        <v>N</v>
      </c>
      <c r="K1371" s="16"/>
      <c r="L1371" s="16"/>
    </row>
    <row r="1372">
      <c r="A1372" s="40" t="s">
        <v>1909</v>
      </c>
      <c r="B1372" s="10" t="str">
        <f t="shared" si="1"/>
        <v>extra_muscle</v>
      </c>
      <c r="C1372" s="49" t="str">
        <f t="shared" si="2"/>
        <v>S17940XM1</v>
      </c>
      <c r="D1372" s="6">
        <v>37.0</v>
      </c>
      <c r="E1372" s="10" t="str">
        <f t="shared" si="3"/>
        <v>BXM37</v>
      </c>
      <c r="F1372" s="13">
        <v>61.0</v>
      </c>
      <c r="G1372" s="10" t="str">
        <f t="shared" si="7"/>
        <v>BXM37-61</v>
      </c>
      <c r="H1372" s="16"/>
      <c r="I1372" s="16" t="str">
        <f t="shared" si="5"/>
        <v>collected</v>
      </c>
      <c r="J1372" s="16" t="str">
        <f t="shared" si="6"/>
        <v>N</v>
      </c>
      <c r="K1372" s="16"/>
      <c r="L1372" s="16"/>
    </row>
    <row r="1373">
      <c r="A1373" s="27" t="s">
        <v>1910</v>
      </c>
      <c r="B1373" s="10" t="str">
        <f t="shared" si="1"/>
        <v>extra_muscle</v>
      </c>
      <c r="C1373" s="49" t="str">
        <f t="shared" si="2"/>
        <v>S17932XM1</v>
      </c>
      <c r="D1373" s="6">
        <v>37.0</v>
      </c>
      <c r="E1373" s="10" t="str">
        <f t="shared" si="3"/>
        <v>BXM37</v>
      </c>
      <c r="F1373" s="13">
        <v>62.0</v>
      </c>
      <c r="G1373" s="10" t="str">
        <f t="shared" si="7"/>
        <v>BXM37-62</v>
      </c>
      <c r="H1373" s="16"/>
      <c r="I1373" s="16" t="str">
        <f t="shared" si="5"/>
        <v>collected</v>
      </c>
      <c r="J1373" s="16" t="str">
        <f t="shared" si="6"/>
        <v>N</v>
      </c>
      <c r="K1373" s="16"/>
      <c r="L1373" s="16"/>
    </row>
    <row r="1374">
      <c r="A1374" s="27" t="s">
        <v>1911</v>
      </c>
      <c r="B1374" s="10" t="str">
        <f t="shared" si="1"/>
        <v>extra_muscle</v>
      </c>
      <c r="C1374" s="49" t="str">
        <f t="shared" si="2"/>
        <v>S17931XM1</v>
      </c>
      <c r="D1374" s="6">
        <v>37.0</v>
      </c>
      <c r="E1374" s="10" t="str">
        <f t="shared" si="3"/>
        <v>BXM37</v>
      </c>
      <c r="F1374" s="13">
        <v>63.0</v>
      </c>
      <c r="G1374" s="10" t="str">
        <f t="shared" si="7"/>
        <v>BXM37-63</v>
      </c>
      <c r="H1374" s="16"/>
      <c r="I1374" s="16" t="str">
        <f t="shared" si="5"/>
        <v>collected</v>
      </c>
      <c r="J1374" s="16" t="str">
        <f t="shared" si="6"/>
        <v>N</v>
      </c>
      <c r="K1374" s="16"/>
      <c r="L1374" s="16"/>
    </row>
    <row r="1375">
      <c r="A1375" s="6" t="s">
        <v>1912</v>
      </c>
      <c r="B1375" s="10" t="str">
        <f t="shared" si="1"/>
        <v>extra_muscle</v>
      </c>
      <c r="C1375" s="49" t="str">
        <f t="shared" si="2"/>
        <v>S17934XM1</v>
      </c>
      <c r="D1375" s="6">
        <v>37.0</v>
      </c>
      <c r="E1375" s="10" t="str">
        <f t="shared" si="3"/>
        <v>BXM37</v>
      </c>
      <c r="F1375" s="13">
        <v>64.0</v>
      </c>
      <c r="G1375" s="10" t="str">
        <f t="shared" si="7"/>
        <v>BXM37-64</v>
      </c>
      <c r="H1375" s="16"/>
      <c r="I1375" s="16" t="str">
        <f t="shared" si="5"/>
        <v>collected</v>
      </c>
      <c r="J1375" s="16" t="str">
        <f t="shared" si="6"/>
        <v>N</v>
      </c>
      <c r="K1375" s="16"/>
      <c r="L1375" s="16"/>
    </row>
    <row r="1376">
      <c r="A1376" s="27" t="s">
        <v>1913</v>
      </c>
      <c r="B1376" s="10" t="str">
        <f t="shared" si="1"/>
        <v>extra_muscle</v>
      </c>
      <c r="C1376" s="49" t="str">
        <f t="shared" si="2"/>
        <v>S17935XM1</v>
      </c>
      <c r="D1376" s="6">
        <v>37.0</v>
      </c>
      <c r="E1376" s="10" t="str">
        <f t="shared" si="3"/>
        <v>BXM37</v>
      </c>
      <c r="F1376" s="13">
        <v>65.0</v>
      </c>
      <c r="G1376" s="10" t="str">
        <f t="shared" si="7"/>
        <v>BXM37-65</v>
      </c>
      <c r="H1376" s="16"/>
      <c r="I1376" s="16" t="str">
        <f t="shared" si="5"/>
        <v>collected</v>
      </c>
      <c r="J1376" s="16" t="str">
        <f t="shared" si="6"/>
        <v>N</v>
      </c>
      <c r="K1376" s="16"/>
      <c r="L1376" s="16"/>
    </row>
    <row r="1377">
      <c r="A1377" s="27" t="s">
        <v>1915</v>
      </c>
      <c r="B1377" s="10" t="str">
        <f t="shared" si="1"/>
        <v>extra_muscle</v>
      </c>
      <c r="C1377" s="49" t="str">
        <f t="shared" si="2"/>
        <v>S17937XM1</v>
      </c>
      <c r="D1377" s="6">
        <v>37.0</v>
      </c>
      <c r="E1377" s="10" t="str">
        <f t="shared" si="3"/>
        <v>BXM37</v>
      </c>
      <c r="F1377" s="13">
        <v>66.0</v>
      </c>
      <c r="G1377" s="10" t="str">
        <f t="shared" si="7"/>
        <v>BXM37-66</v>
      </c>
      <c r="H1377" s="16"/>
      <c r="I1377" s="16" t="str">
        <f t="shared" si="5"/>
        <v>collected</v>
      </c>
      <c r="J1377" s="16" t="str">
        <f t="shared" si="6"/>
        <v>N</v>
      </c>
      <c r="K1377" s="16"/>
      <c r="L1377" s="16"/>
    </row>
    <row r="1378">
      <c r="A1378" s="27" t="s">
        <v>1916</v>
      </c>
      <c r="B1378" s="10" t="str">
        <f t="shared" si="1"/>
        <v>extra_muscle</v>
      </c>
      <c r="C1378" s="49" t="str">
        <f t="shared" si="2"/>
        <v>S17933XM1</v>
      </c>
      <c r="D1378" s="6">
        <v>37.0</v>
      </c>
      <c r="E1378" s="10" t="str">
        <f t="shared" si="3"/>
        <v>BXM37</v>
      </c>
      <c r="F1378" s="13">
        <v>67.0</v>
      </c>
      <c r="G1378" s="10" t="str">
        <f t="shared" si="7"/>
        <v>BXM37-67</v>
      </c>
      <c r="H1378" s="16"/>
      <c r="I1378" s="16" t="str">
        <f t="shared" si="5"/>
        <v>collected</v>
      </c>
      <c r="J1378" s="16" t="str">
        <f t="shared" si="6"/>
        <v>N</v>
      </c>
      <c r="K1378" s="16"/>
      <c r="L1378" s="16"/>
    </row>
    <row r="1379">
      <c r="A1379" s="27" t="s">
        <v>1918</v>
      </c>
      <c r="B1379" s="10" t="str">
        <f t="shared" si="1"/>
        <v>extra_muscle</v>
      </c>
      <c r="C1379" s="49" t="str">
        <f t="shared" si="2"/>
        <v>S17938XM1</v>
      </c>
      <c r="D1379" s="6">
        <v>37.0</v>
      </c>
      <c r="E1379" s="10" t="str">
        <f t="shared" si="3"/>
        <v>BXM37</v>
      </c>
      <c r="F1379" s="13">
        <v>68.0</v>
      </c>
      <c r="G1379" s="10" t="str">
        <f t="shared" si="7"/>
        <v>BXM37-68</v>
      </c>
      <c r="H1379" s="16"/>
      <c r="I1379" s="16" t="str">
        <f t="shared" si="5"/>
        <v>collected</v>
      </c>
      <c r="J1379" s="16" t="str">
        <f t="shared" si="6"/>
        <v>N</v>
      </c>
      <c r="K1379" s="16"/>
      <c r="L1379" s="16"/>
    </row>
    <row r="1380">
      <c r="A1380" s="40" t="s">
        <v>1919</v>
      </c>
      <c r="B1380" s="10" t="str">
        <f t="shared" si="1"/>
        <v>extra_muscle</v>
      </c>
      <c r="C1380" s="49" t="str">
        <f t="shared" si="2"/>
        <v>S16047XM1</v>
      </c>
      <c r="D1380" s="6">
        <v>38.0</v>
      </c>
      <c r="E1380" s="10" t="str">
        <f t="shared" si="3"/>
        <v>BXM38</v>
      </c>
      <c r="F1380" s="13">
        <v>37.0</v>
      </c>
      <c r="G1380" s="10" t="str">
        <f t="shared" si="7"/>
        <v>BXM38-37</v>
      </c>
      <c r="H1380" s="16"/>
      <c r="I1380" s="16" t="str">
        <f t="shared" si="5"/>
        <v>collected</v>
      </c>
      <c r="J1380" s="16" t="str">
        <f t="shared" si="6"/>
        <v>N</v>
      </c>
      <c r="K1380" s="16"/>
      <c r="L1380" s="16"/>
    </row>
    <row r="1381">
      <c r="A1381" s="40" t="s">
        <v>1920</v>
      </c>
      <c r="B1381" s="10" t="str">
        <f t="shared" si="1"/>
        <v>extra_muscle</v>
      </c>
      <c r="C1381" s="49" t="str">
        <f t="shared" si="2"/>
        <v>S16043XM1</v>
      </c>
      <c r="D1381" s="6">
        <v>38.0</v>
      </c>
      <c r="E1381" s="10" t="str">
        <f t="shared" si="3"/>
        <v>BXM38</v>
      </c>
      <c r="F1381" s="13">
        <v>38.0</v>
      </c>
      <c r="G1381" s="10" t="str">
        <f t="shared" si="7"/>
        <v>BXM38-38</v>
      </c>
      <c r="H1381" s="16"/>
      <c r="I1381" s="16" t="str">
        <f t="shared" si="5"/>
        <v>collected</v>
      </c>
      <c r="J1381" s="16" t="str">
        <f t="shared" si="6"/>
        <v>N</v>
      </c>
      <c r="K1381" s="16"/>
      <c r="L1381" s="16"/>
    </row>
    <row r="1382">
      <c r="A1382" s="40" t="s">
        <v>1921</v>
      </c>
      <c r="B1382" s="10" t="str">
        <f t="shared" si="1"/>
        <v>extra_muscle</v>
      </c>
      <c r="C1382" s="49" t="str">
        <f t="shared" si="2"/>
        <v>S16049XM1</v>
      </c>
      <c r="D1382" s="6">
        <v>38.0</v>
      </c>
      <c r="E1382" s="10" t="str">
        <f t="shared" si="3"/>
        <v>BXM38</v>
      </c>
      <c r="F1382" s="13">
        <v>39.0</v>
      </c>
      <c r="G1382" s="10" t="str">
        <f t="shared" si="7"/>
        <v>BXM38-39</v>
      </c>
      <c r="H1382" s="16"/>
      <c r="I1382" s="16" t="str">
        <f t="shared" si="5"/>
        <v>collected</v>
      </c>
      <c r="J1382" s="16" t="str">
        <f t="shared" si="6"/>
        <v>N</v>
      </c>
      <c r="K1382" s="16"/>
      <c r="L1382" s="16"/>
    </row>
    <row r="1383">
      <c r="A1383" s="40" t="s">
        <v>1922</v>
      </c>
      <c r="B1383" s="10" t="str">
        <f t="shared" si="1"/>
        <v>extra_muscle</v>
      </c>
      <c r="C1383" s="49" t="str">
        <f t="shared" si="2"/>
        <v>S16050XM1</v>
      </c>
      <c r="D1383" s="6">
        <v>38.0</v>
      </c>
      <c r="E1383" s="10" t="str">
        <f t="shared" si="3"/>
        <v>BXM38</v>
      </c>
      <c r="F1383" s="13">
        <v>40.0</v>
      </c>
      <c r="G1383" s="10" t="str">
        <f t="shared" si="7"/>
        <v>BXM38-40</v>
      </c>
      <c r="H1383" s="16"/>
      <c r="I1383" s="16" t="str">
        <f t="shared" si="5"/>
        <v>collected</v>
      </c>
      <c r="J1383" s="16" t="str">
        <f t="shared" si="6"/>
        <v>N</v>
      </c>
      <c r="K1383" s="16"/>
      <c r="L1383" s="16"/>
    </row>
    <row r="1384">
      <c r="A1384" s="40" t="s">
        <v>1923</v>
      </c>
      <c r="B1384" s="10" t="str">
        <f t="shared" si="1"/>
        <v>extra_muscle</v>
      </c>
      <c r="C1384" s="49" t="str">
        <f t="shared" si="2"/>
        <v>S16044XM1</v>
      </c>
      <c r="D1384" s="6">
        <v>38.0</v>
      </c>
      <c r="E1384" s="10" t="str">
        <f t="shared" si="3"/>
        <v>BXM38</v>
      </c>
      <c r="F1384" s="13">
        <v>41.0</v>
      </c>
      <c r="G1384" s="10" t="str">
        <f t="shared" si="7"/>
        <v>BXM38-41</v>
      </c>
      <c r="H1384" s="16"/>
      <c r="I1384" s="16" t="str">
        <f t="shared" si="5"/>
        <v>collected</v>
      </c>
      <c r="J1384" s="16" t="str">
        <f t="shared" si="6"/>
        <v>N</v>
      </c>
      <c r="K1384" s="16"/>
      <c r="L1384" s="16"/>
    </row>
    <row r="1385">
      <c r="A1385" s="40" t="s">
        <v>1924</v>
      </c>
      <c r="B1385" s="10" t="str">
        <f t="shared" si="1"/>
        <v>extra_muscle</v>
      </c>
      <c r="C1385" s="49" t="str">
        <f t="shared" si="2"/>
        <v>S16045XM1</v>
      </c>
      <c r="D1385" s="6">
        <v>38.0</v>
      </c>
      <c r="E1385" s="10" t="str">
        <f t="shared" si="3"/>
        <v>BXM38</v>
      </c>
      <c r="F1385" s="13">
        <v>42.0</v>
      </c>
      <c r="G1385" s="10" t="str">
        <f t="shared" si="7"/>
        <v>BXM38-42</v>
      </c>
      <c r="H1385" s="16"/>
      <c r="I1385" s="16" t="str">
        <f t="shared" si="5"/>
        <v>collected</v>
      </c>
      <c r="J1385" s="16" t="str">
        <f t="shared" si="6"/>
        <v>N</v>
      </c>
      <c r="K1385" s="16"/>
      <c r="L1385" s="16"/>
    </row>
    <row r="1386">
      <c r="A1386" s="40" t="s">
        <v>1925</v>
      </c>
      <c r="B1386" s="10" t="str">
        <f t="shared" si="1"/>
        <v>extra_muscle</v>
      </c>
      <c r="C1386" s="49" t="str">
        <f t="shared" si="2"/>
        <v>S16046XM1</v>
      </c>
      <c r="D1386" s="6">
        <v>38.0</v>
      </c>
      <c r="E1386" s="10" t="str">
        <f t="shared" si="3"/>
        <v>BXM38</v>
      </c>
      <c r="F1386" s="13">
        <v>43.0</v>
      </c>
      <c r="G1386" s="10" t="str">
        <f t="shared" si="7"/>
        <v>BXM38-43</v>
      </c>
      <c r="H1386" s="16"/>
      <c r="I1386" s="16" t="str">
        <f t="shared" si="5"/>
        <v>collected</v>
      </c>
      <c r="J1386" s="16" t="str">
        <f t="shared" si="6"/>
        <v>N</v>
      </c>
      <c r="K1386" s="16"/>
      <c r="L1386" s="16"/>
    </row>
    <row r="1387">
      <c r="A1387" s="40" t="s">
        <v>1926</v>
      </c>
      <c r="B1387" s="10" t="str">
        <f t="shared" si="1"/>
        <v>extra_muscle</v>
      </c>
      <c r="C1387" s="49" t="str">
        <f t="shared" si="2"/>
        <v>S16048XM1</v>
      </c>
      <c r="D1387" s="6">
        <v>38.0</v>
      </c>
      <c r="E1387" s="10" t="str">
        <f t="shared" si="3"/>
        <v>BXM38</v>
      </c>
      <c r="F1387" s="13">
        <v>44.0</v>
      </c>
      <c r="G1387" s="10" t="str">
        <f t="shared" si="7"/>
        <v>BXM38-44</v>
      </c>
      <c r="H1387" s="16"/>
      <c r="I1387" s="16" t="str">
        <f t="shared" si="5"/>
        <v>collected</v>
      </c>
      <c r="J1387" s="16" t="str">
        <f t="shared" si="6"/>
        <v>N</v>
      </c>
      <c r="K1387" s="16"/>
      <c r="L1387" s="16"/>
    </row>
    <row r="1388">
      <c r="A1388" s="40" t="s">
        <v>1927</v>
      </c>
      <c r="B1388" s="10" t="str">
        <f t="shared" si="1"/>
        <v>extra_muscle</v>
      </c>
      <c r="C1388" s="49" t="str">
        <f t="shared" si="2"/>
        <v>S16041XM1</v>
      </c>
      <c r="D1388" s="6">
        <v>38.0</v>
      </c>
      <c r="E1388" s="10" t="str">
        <f t="shared" si="3"/>
        <v>BXM38</v>
      </c>
      <c r="F1388" s="13">
        <v>45.0</v>
      </c>
      <c r="G1388" s="10" t="str">
        <f t="shared" si="7"/>
        <v>BXM38-45</v>
      </c>
      <c r="H1388" s="16"/>
      <c r="I1388" s="16" t="str">
        <f t="shared" si="5"/>
        <v>collected</v>
      </c>
      <c r="J1388" s="16" t="str">
        <f t="shared" si="6"/>
        <v>N</v>
      </c>
      <c r="K1388" s="16"/>
      <c r="L1388" s="16"/>
    </row>
    <row r="1389">
      <c r="A1389" s="40" t="s">
        <v>1928</v>
      </c>
      <c r="B1389" s="10" t="str">
        <f t="shared" si="1"/>
        <v>extra_muscle</v>
      </c>
      <c r="C1389" s="49" t="str">
        <f t="shared" si="2"/>
        <v>S16042XM1</v>
      </c>
      <c r="D1389" s="6">
        <v>38.0</v>
      </c>
      <c r="E1389" s="10" t="str">
        <f t="shared" si="3"/>
        <v>BXM38</v>
      </c>
      <c r="F1389" s="13">
        <v>46.0</v>
      </c>
      <c r="G1389" s="10" t="str">
        <f t="shared" si="7"/>
        <v>BXM38-46</v>
      </c>
      <c r="H1389" s="16"/>
      <c r="I1389" s="16" t="str">
        <f t="shared" si="5"/>
        <v>collected</v>
      </c>
      <c r="J1389" s="16" t="str">
        <f t="shared" si="6"/>
        <v>N</v>
      </c>
      <c r="K1389" s="16"/>
      <c r="L1389" s="16"/>
    </row>
    <row r="1390">
      <c r="A1390" s="40" t="s">
        <v>1929</v>
      </c>
      <c r="B1390" s="10" t="str">
        <f t="shared" si="1"/>
        <v>extra_muscle</v>
      </c>
      <c r="C1390" s="49" t="str">
        <f t="shared" si="2"/>
        <v>S16004XM1</v>
      </c>
      <c r="D1390" s="6">
        <v>38.0</v>
      </c>
      <c r="E1390" s="10" t="str">
        <f t="shared" si="3"/>
        <v>BXM38</v>
      </c>
      <c r="F1390" s="13">
        <v>47.0</v>
      </c>
      <c r="G1390" s="10" t="str">
        <f t="shared" si="7"/>
        <v>BXM38-47</v>
      </c>
      <c r="H1390" s="16"/>
      <c r="I1390" s="16" t="str">
        <f t="shared" si="5"/>
        <v>collected</v>
      </c>
      <c r="J1390" s="16" t="str">
        <f t="shared" si="6"/>
        <v>N</v>
      </c>
      <c r="K1390" s="16"/>
      <c r="L1390" s="16"/>
    </row>
    <row r="1391">
      <c r="A1391" s="40" t="s">
        <v>1930</v>
      </c>
      <c r="B1391" s="10" t="str">
        <f t="shared" si="1"/>
        <v>extra_muscle</v>
      </c>
      <c r="C1391" s="49" t="str">
        <f t="shared" si="2"/>
        <v>S16002XM1</v>
      </c>
      <c r="D1391" s="6">
        <v>38.0</v>
      </c>
      <c r="E1391" s="10" t="str">
        <f t="shared" si="3"/>
        <v>BXM38</v>
      </c>
      <c r="F1391" s="13">
        <v>48.0</v>
      </c>
      <c r="G1391" s="10" t="str">
        <f t="shared" si="7"/>
        <v>BXM38-48</v>
      </c>
      <c r="H1391" s="16"/>
      <c r="I1391" s="16" t="str">
        <f t="shared" si="5"/>
        <v>collected</v>
      </c>
      <c r="J1391" s="16" t="str">
        <f t="shared" si="6"/>
        <v>N</v>
      </c>
      <c r="K1391" s="16"/>
      <c r="L1391" s="16"/>
    </row>
    <row r="1392">
      <c r="A1392" s="40" t="s">
        <v>1931</v>
      </c>
      <c r="B1392" s="10" t="str">
        <f t="shared" si="1"/>
        <v>extra_muscle</v>
      </c>
      <c r="C1392" s="49" t="str">
        <f t="shared" si="2"/>
        <v>S16001XM1</v>
      </c>
      <c r="D1392" s="6">
        <v>38.0</v>
      </c>
      <c r="E1392" s="10" t="str">
        <f t="shared" si="3"/>
        <v>BXM38</v>
      </c>
      <c r="F1392" s="13">
        <v>49.0</v>
      </c>
      <c r="G1392" s="10" t="str">
        <f t="shared" si="7"/>
        <v>BXM38-49</v>
      </c>
      <c r="H1392" s="16"/>
      <c r="I1392" s="16" t="str">
        <f t="shared" si="5"/>
        <v>collected</v>
      </c>
      <c r="J1392" s="16" t="str">
        <f t="shared" si="6"/>
        <v>N</v>
      </c>
      <c r="K1392" s="16"/>
      <c r="L1392" s="16"/>
    </row>
    <row r="1393">
      <c r="A1393" s="40" t="s">
        <v>1932</v>
      </c>
      <c r="B1393" s="10" t="str">
        <f t="shared" si="1"/>
        <v>extra_muscle</v>
      </c>
      <c r="C1393" s="49" t="str">
        <f t="shared" si="2"/>
        <v>S16005XM1</v>
      </c>
      <c r="D1393" s="6">
        <v>38.0</v>
      </c>
      <c r="E1393" s="10" t="str">
        <f t="shared" si="3"/>
        <v>BXM38</v>
      </c>
      <c r="F1393" s="13">
        <v>50.0</v>
      </c>
      <c r="G1393" s="10" t="str">
        <f t="shared" si="7"/>
        <v>BXM38-50</v>
      </c>
      <c r="H1393" s="16"/>
      <c r="I1393" s="16" t="str">
        <f t="shared" si="5"/>
        <v>collected</v>
      </c>
      <c r="J1393" s="16" t="str">
        <f t="shared" si="6"/>
        <v>N</v>
      </c>
      <c r="K1393" s="16"/>
      <c r="L1393" s="16"/>
    </row>
    <row r="1394">
      <c r="A1394" s="40" t="s">
        <v>1933</v>
      </c>
      <c r="B1394" s="10" t="str">
        <f t="shared" si="1"/>
        <v>extra_muscle</v>
      </c>
      <c r="C1394" s="49" t="str">
        <f t="shared" si="2"/>
        <v>S16010XM1</v>
      </c>
      <c r="D1394" s="6">
        <v>38.0</v>
      </c>
      <c r="E1394" s="10" t="str">
        <f t="shared" si="3"/>
        <v>BXM38</v>
      </c>
      <c r="F1394" s="13">
        <v>51.0</v>
      </c>
      <c r="G1394" s="10" t="str">
        <f t="shared" si="7"/>
        <v>BXM38-51</v>
      </c>
      <c r="H1394" s="16"/>
      <c r="I1394" s="16" t="str">
        <f t="shared" si="5"/>
        <v>collected</v>
      </c>
      <c r="J1394" s="16" t="str">
        <f t="shared" si="6"/>
        <v>N</v>
      </c>
      <c r="K1394" s="16"/>
      <c r="L1394" s="16"/>
    </row>
    <row r="1395">
      <c r="A1395" s="40" t="s">
        <v>1934</v>
      </c>
      <c r="B1395" s="10" t="str">
        <f t="shared" si="1"/>
        <v>extra_muscle</v>
      </c>
      <c r="C1395" s="49" t="str">
        <f t="shared" si="2"/>
        <v>S16006XM1</v>
      </c>
      <c r="D1395" s="6">
        <v>38.0</v>
      </c>
      <c r="E1395" s="10" t="str">
        <f t="shared" si="3"/>
        <v>BXM38</v>
      </c>
      <c r="F1395" s="13">
        <v>52.0</v>
      </c>
      <c r="G1395" s="10" t="str">
        <f t="shared" si="7"/>
        <v>BXM38-52</v>
      </c>
      <c r="H1395" s="16"/>
      <c r="I1395" s="16" t="str">
        <f t="shared" si="5"/>
        <v>collected</v>
      </c>
      <c r="J1395" s="16" t="str">
        <f t="shared" si="6"/>
        <v>N</v>
      </c>
      <c r="K1395" s="16"/>
      <c r="L1395" s="16"/>
    </row>
    <row r="1396">
      <c r="A1396" s="40" t="s">
        <v>1935</v>
      </c>
      <c r="B1396" s="10" t="str">
        <f t="shared" si="1"/>
        <v>extra_muscle</v>
      </c>
      <c r="C1396" s="49" t="str">
        <f t="shared" si="2"/>
        <v>S16009XM1</v>
      </c>
      <c r="D1396" s="6">
        <v>38.0</v>
      </c>
      <c r="E1396" s="10" t="str">
        <f t="shared" si="3"/>
        <v>BXM38</v>
      </c>
      <c r="F1396" s="13">
        <v>53.0</v>
      </c>
      <c r="G1396" s="10" t="str">
        <f t="shared" si="7"/>
        <v>BXM38-53</v>
      </c>
      <c r="H1396" s="16"/>
      <c r="I1396" s="16" t="str">
        <f t="shared" si="5"/>
        <v>collected</v>
      </c>
      <c r="J1396" s="16" t="str">
        <f t="shared" si="6"/>
        <v>N</v>
      </c>
      <c r="K1396" s="16"/>
      <c r="L1396" s="16"/>
    </row>
    <row r="1397">
      <c r="A1397" s="40" t="s">
        <v>1936</v>
      </c>
      <c r="B1397" s="10" t="str">
        <f t="shared" si="1"/>
        <v>extra_muscle</v>
      </c>
      <c r="C1397" s="49" t="str">
        <f t="shared" si="2"/>
        <v>S16008XM1</v>
      </c>
      <c r="D1397" s="6">
        <v>38.0</v>
      </c>
      <c r="E1397" s="10" t="str">
        <f t="shared" si="3"/>
        <v>BXM38</v>
      </c>
      <c r="F1397" s="13">
        <v>54.0</v>
      </c>
      <c r="G1397" s="10" t="str">
        <f t="shared" si="7"/>
        <v>BXM38-54</v>
      </c>
      <c r="H1397" s="16"/>
      <c r="I1397" s="16" t="str">
        <f t="shared" si="5"/>
        <v>collected</v>
      </c>
      <c r="J1397" s="16" t="str">
        <f t="shared" si="6"/>
        <v>N</v>
      </c>
      <c r="K1397" s="16"/>
      <c r="L1397" s="16"/>
    </row>
    <row r="1398">
      <c r="A1398" s="40" t="s">
        <v>1937</v>
      </c>
      <c r="B1398" s="10" t="str">
        <f t="shared" si="1"/>
        <v>extra_muscle</v>
      </c>
      <c r="C1398" s="49" t="str">
        <f t="shared" si="2"/>
        <v>S16007XM1</v>
      </c>
      <c r="D1398" s="6">
        <v>38.0</v>
      </c>
      <c r="E1398" s="10" t="str">
        <f t="shared" si="3"/>
        <v>BXM38</v>
      </c>
      <c r="F1398" s="13">
        <v>55.0</v>
      </c>
      <c r="G1398" s="10" t="str">
        <f t="shared" si="7"/>
        <v>BXM38-55</v>
      </c>
      <c r="H1398" s="16"/>
      <c r="I1398" s="16" t="str">
        <f t="shared" si="5"/>
        <v>collected</v>
      </c>
      <c r="J1398" s="16" t="str">
        <f t="shared" si="6"/>
        <v>N</v>
      </c>
      <c r="K1398" s="16"/>
      <c r="L1398" s="16"/>
    </row>
    <row r="1399">
      <c r="A1399" s="40" t="s">
        <v>1938</v>
      </c>
      <c r="B1399" s="10" t="str">
        <f t="shared" si="1"/>
        <v>extra_muscle</v>
      </c>
      <c r="C1399" s="49" t="str">
        <f t="shared" si="2"/>
        <v>S16003XM1</v>
      </c>
      <c r="D1399" s="6">
        <v>38.0</v>
      </c>
      <c r="E1399" s="10" t="str">
        <f t="shared" si="3"/>
        <v>BXM38</v>
      </c>
      <c r="F1399" s="13">
        <v>56.0</v>
      </c>
      <c r="G1399" s="10" t="str">
        <f t="shared" si="7"/>
        <v>BXM38-56</v>
      </c>
      <c r="H1399" s="16"/>
      <c r="I1399" s="16" t="str">
        <f t="shared" si="5"/>
        <v>collected</v>
      </c>
      <c r="J1399" s="16" t="str">
        <f t="shared" si="6"/>
        <v>N</v>
      </c>
      <c r="K1399" s="16"/>
      <c r="L1399" s="16"/>
    </row>
    <row r="1400">
      <c r="A1400" s="40" t="s">
        <v>1939</v>
      </c>
      <c r="B1400" s="10" t="str">
        <f t="shared" si="1"/>
        <v>extra_muscle</v>
      </c>
      <c r="C1400" s="49" t="str">
        <f t="shared" si="2"/>
        <v>S16441XM1</v>
      </c>
      <c r="D1400" s="6">
        <v>38.0</v>
      </c>
      <c r="E1400" s="10" t="str">
        <f t="shared" si="3"/>
        <v>BXM38</v>
      </c>
      <c r="F1400" s="13">
        <v>57.0</v>
      </c>
      <c r="G1400" s="10" t="str">
        <f t="shared" si="7"/>
        <v>BXM38-57</v>
      </c>
      <c r="H1400" s="16"/>
      <c r="I1400" s="16" t="str">
        <f t="shared" si="5"/>
        <v>collected</v>
      </c>
      <c r="J1400" s="16" t="str">
        <f t="shared" si="6"/>
        <v>N</v>
      </c>
      <c r="K1400" s="16"/>
      <c r="L1400" s="16"/>
    </row>
    <row r="1401">
      <c r="A1401" s="40" t="s">
        <v>1940</v>
      </c>
      <c r="B1401" s="10" t="str">
        <f t="shared" si="1"/>
        <v>extra_muscle</v>
      </c>
      <c r="C1401" s="49" t="str">
        <f t="shared" si="2"/>
        <v>S16442XM1</v>
      </c>
      <c r="D1401" s="6">
        <v>38.0</v>
      </c>
      <c r="E1401" s="10" t="str">
        <f t="shared" si="3"/>
        <v>BXM38</v>
      </c>
      <c r="F1401" s="13">
        <v>58.0</v>
      </c>
      <c r="G1401" s="10" t="str">
        <f t="shared" si="7"/>
        <v>BXM38-58</v>
      </c>
      <c r="H1401" s="16"/>
      <c r="I1401" s="16" t="str">
        <f t="shared" si="5"/>
        <v>collected</v>
      </c>
      <c r="J1401" s="16" t="str">
        <f t="shared" si="6"/>
        <v>N</v>
      </c>
      <c r="K1401" s="16"/>
      <c r="L1401" s="16"/>
    </row>
    <row r="1402">
      <c r="A1402" s="40" t="s">
        <v>1941</v>
      </c>
      <c r="B1402" s="10" t="str">
        <f t="shared" si="1"/>
        <v>extra_muscle</v>
      </c>
      <c r="C1402" s="49" t="str">
        <f t="shared" si="2"/>
        <v>S16444XM1</v>
      </c>
      <c r="D1402" s="6">
        <v>38.0</v>
      </c>
      <c r="E1402" s="10" t="str">
        <f t="shared" si="3"/>
        <v>BXM38</v>
      </c>
      <c r="F1402" s="13">
        <v>59.0</v>
      </c>
      <c r="G1402" s="10" t="str">
        <f t="shared" si="7"/>
        <v>BXM38-59</v>
      </c>
      <c r="H1402" s="16"/>
      <c r="I1402" s="16" t="str">
        <f t="shared" si="5"/>
        <v>collected</v>
      </c>
      <c r="J1402" s="16" t="str">
        <f t="shared" si="6"/>
        <v>N</v>
      </c>
      <c r="K1402" s="16"/>
      <c r="L1402" s="16"/>
    </row>
    <row r="1403">
      <c r="A1403" s="40" t="s">
        <v>1942</v>
      </c>
      <c r="B1403" s="10" t="str">
        <f t="shared" si="1"/>
        <v>extra_muscle</v>
      </c>
      <c r="C1403" s="49" t="str">
        <f t="shared" si="2"/>
        <v>S16443XM1</v>
      </c>
      <c r="D1403" s="6">
        <v>38.0</v>
      </c>
      <c r="E1403" s="10" t="str">
        <f t="shared" si="3"/>
        <v>BXM38</v>
      </c>
      <c r="F1403" s="13">
        <v>60.0</v>
      </c>
      <c r="G1403" s="10" t="str">
        <f t="shared" si="7"/>
        <v>BXM38-60</v>
      </c>
      <c r="H1403" s="16"/>
      <c r="I1403" s="16" t="str">
        <f t="shared" si="5"/>
        <v>collected</v>
      </c>
      <c r="J1403" s="16" t="str">
        <f t="shared" si="6"/>
        <v>N</v>
      </c>
      <c r="K1403" s="16"/>
      <c r="L1403" s="16"/>
    </row>
    <row r="1404">
      <c r="A1404" s="40" t="s">
        <v>1943</v>
      </c>
      <c r="B1404" s="10" t="str">
        <f t="shared" si="1"/>
        <v>extra_muscle</v>
      </c>
      <c r="C1404" s="49" t="str">
        <f t="shared" si="2"/>
        <v>S16445XM1</v>
      </c>
      <c r="D1404" s="6">
        <v>38.0</v>
      </c>
      <c r="E1404" s="10" t="str">
        <f t="shared" si="3"/>
        <v>BXM38</v>
      </c>
      <c r="F1404" s="13">
        <v>61.0</v>
      </c>
      <c r="G1404" s="10" t="str">
        <f t="shared" si="7"/>
        <v>BXM38-61</v>
      </c>
      <c r="H1404" s="16"/>
      <c r="I1404" s="16" t="str">
        <f t="shared" si="5"/>
        <v>collected</v>
      </c>
      <c r="J1404" s="16" t="str">
        <f t="shared" si="6"/>
        <v>N</v>
      </c>
      <c r="K1404" s="16"/>
      <c r="L1404" s="16"/>
    </row>
    <row r="1405">
      <c r="A1405" s="40" t="s">
        <v>1944</v>
      </c>
      <c r="B1405" s="10" t="str">
        <f t="shared" si="1"/>
        <v>extra_muscle</v>
      </c>
      <c r="C1405" s="49" t="str">
        <f t="shared" si="2"/>
        <v>S16450XM1</v>
      </c>
      <c r="D1405" s="6">
        <v>38.0</v>
      </c>
      <c r="E1405" s="10" t="str">
        <f t="shared" si="3"/>
        <v>BXM38</v>
      </c>
      <c r="F1405" s="13">
        <v>62.0</v>
      </c>
      <c r="G1405" s="10" t="str">
        <f t="shared" si="7"/>
        <v>BXM38-62</v>
      </c>
      <c r="H1405" s="16"/>
      <c r="I1405" s="16" t="str">
        <f t="shared" si="5"/>
        <v>collected</v>
      </c>
      <c r="J1405" s="16" t="str">
        <f t="shared" si="6"/>
        <v>N</v>
      </c>
      <c r="K1405" s="16"/>
      <c r="L1405" s="16"/>
    </row>
    <row r="1406">
      <c r="A1406" s="40" t="s">
        <v>1945</v>
      </c>
      <c r="B1406" s="10" t="str">
        <f t="shared" si="1"/>
        <v>extra_muscle</v>
      </c>
      <c r="C1406" s="49" t="str">
        <f t="shared" si="2"/>
        <v>S16446XM1</v>
      </c>
      <c r="D1406" s="6">
        <v>38.0</v>
      </c>
      <c r="E1406" s="10" t="str">
        <f t="shared" si="3"/>
        <v>BXM38</v>
      </c>
      <c r="F1406" s="13">
        <v>63.0</v>
      </c>
      <c r="G1406" s="10" t="str">
        <f t="shared" si="7"/>
        <v>BXM38-63</v>
      </c>
      <c r="H1406" s="16"/>
      <c r="I1406" s="16" t="str">
        <f t="shared" si="5"/>
        <v>collected</v>
      </c>
      <c r="J1406" s="16" t="str">
        <f t="shared" si="6"/>
        <v>N</v>
      </c>
      <c r="K1406" s="16"/>
      <c r="L1406" s="16"/>
    </row>
    <row r="1407">
      <c r="A1407" s="40" t="s">
        <v>1946</v>
      </c>
      <c r="B1407" s="10" t="str">
        <f t="shared" si="1"/>
        <v>extra_muscle</v>
      </c>
      <c r="C1407" s="49" t="str">
        <f t="shared" si="2"/>
        <v>S16447XM1</v>
      </c>
      <c r="D1407" s="6">
        <v>38.0</v>
      </c>
      <c r="E1407" s="10" t="str">
        <f t="shared" si="3"/>
        <v>BXM38</v>
      </c>
      <c r="F1407" s="13">
        <v>64.0</v>
      </c>
      <c r="G1407" s="10" t="str">
        <f t="shared" si="7"/>
        <v>BXM38-64</v>
      </c>
      <c r="H1407" s="16"/>
      <c r="I1407" s="16" t="str">
        <f t="shared" si="5"/>
        <v>collected</v>
      </c>
      <c r="J1407" s="16" t="str">
        <f t="shared" si="6"/>
        <v>N</v>
      </c>
      <c r="K1407" s="16"/>
      <c r="L1407" s="16"/>
    </row>
    <row r="1408">
      <c r="A1408" s="40" t="s">
        <v>1947</v>
      </c>
      <c r="B1408" s="10" t="str">
        <f t="shared" si="1"/>
        <v>extra_muscle</v>
      </c>
      <c r="C1408" s="49" t="str">
        <f t="shared" si="2"/>
        <v>S16448XM1</v>
      </c>
      <c r="D1408" s="6">
        <v>38.0</v>
      </c>
      <c r="E1408" s="10" t="str">
        <f t="shared" si="3"/>
        <v>BXM38</v>
      </c>
      <c r="F1408" s="13">
        <v>65.0</v>
      </c>
      <c r="G1408" s="10" t="str">
        <f t="shared" si="7"/>
        <v>BXM38-65</v>
      </c>
      <c r="H1408" s="16"/>
      <c r="I1408" s="16" t="str">
        <f t="shared" si="5"/>
        <v>collected</v>
      </c>
      <c r="J1408" s="16" t="str">
        <f t="shared" si="6"/>
        <v>N</v>
      </c>
      <c r="K1408" s="16"/>
      <c r="L1408" s="16"/>
    </row>
    <row r="1409">
      <c r="A1409" s="40" t="s">
        <v>1948</v>
      </c>
      <c r="B1409" s="10" t="str">
        <f t="shared" si="1"/>
        <v>extra_muscle</v>
      </c>
      <c r="C1409" s="49" t="str">
        <f t="shared" si="2"/>
        <v>S16449XM1</v>
      </c>
      <c r="D1409" s="6">
        <v>38.0</v>
      </c>
      <c r="E1409" s="10" t="str">
        <f t="shared" si="3"/>
        <v>BXM38</v>
      </c>
      <c r="F1409" s="13">
        <v>66.0</v>
      </c>
      <c r="G1409" s="10" t="str">
        <f t="shared" si="7"/>
        <v>BXM38-66</v>
      </c>
      <c r="H1409" s="16"/>
      <c r="I1409" s="16" t="str">
        <f t="shared" si="5"/>
        <v>collected</v>
      </c>
      <c r="J1409" s="16" t="str">
        <f t="shared" si="6"/>
        <v>N</v>
      </c>
      <c r="K1409" s="16"/>
      <c r="L1409" s="16"/>
    </row>
    <row r="1410">
      <c r="A1410" s="40" t="s">
        <v>1949</v>
      </c>
      <c r="B1410" s="10" t="str">
        <f t="shared" si="1"/>
        <v>extra_muscle</v>
      </c>
      <c r="C1410" s="49" t="str">
        <f t="shared" si="2"/>
        <v>S16478XM1</v>
      </c>
      <c r="D1410" s="6">
        <v>38.0</v>
      </c>
      <c r="E1410" s="10" t="str">
        <f t="shared" si="3"/>
        <v>BXM38</v>
      </c>
      <c r="F1410" s="13">
        <v>67.0</v>
      </c>
      <c r="G1410" s="10" t="str">
        <f t="shared" si="7"/>
        <v>BXM38-67</v>
      </c>
      <c r="H1410" s="16"/>
      <c r="I1410" s="16" t="str">
        <f t="shared" si="5"/>
        <v>collected</v>
      </c>
      <c r="J1410" s="16" t="str">
        <f t="shared" si="6"/>
        <v>N</v>
      </c>
      <c r="K1410" s="16"/>
      <c r="L1410" s="16"/>
    </row>
    <row r="1411">
      <c r="A1411" s="40" t="s">
        <v>1950</v>
      </c>
      <c r="B1411" s="10" t="str">
        <f t="shared" si="1"/>
        <v>extra_muscle</v>
      </c>
      <c r="C1411" s="49" t="str">
        <f t="shared" si="2"/>
        <v>S16477XM1</v>
      </c>
      <c r="D1411" s="6">
        <v>38.0</v>
      </c>
      <c r="E1411" s="10" t="str">
        <f t="shared" si="3"/>
        <v>BXM38</v>
      </c>
      <c r="F1411" s="13">
        <v>68.0</v>
      </c>
      <c r="G1411" s="10" t="str">
        <f t="shared" si="7"/>
        <v>BXM38-68</v>
      </c>
      <c r="H1411" s="16"/>
      <c r="I1411" s="16" t="str">
        <f t="shared" si="5"/>
        <v>collected</v>
      </c>
      <c r="J1411" s="16" t="str">
        <f t="shared" si="6"/>
        <v>N</v>
      </c>
      <c r="K1411" s="16"/>
      <c r="L1411" s="16"/>
    </row>
    <row r="1412">
      <c r="A1412" s="40" t="s">
        <v>1951</v>
      </c>
      <c r="B1412" s="10" t="str">
        <f t="shared" si="1"/>
        <v>extra_muscle</v>
      </c>
      <c r="C1412" s="49" t="str">
        <f t="shared" si="2"/>
        <v>S16476XM1</v>
      </c>
      <c r="D1412" s="6">
        <v>38.0</v>
      </c>
      <c r="E1412" s="10" t="str">
        <f t="shared" si="3"/>
        <v>BXM38</v>
      </c>
      <c r="F1412" s="13">
        <v>69.0</v>
      </c>
      <c r="G1412" s="10" t="str">
        <f t="shared" si="7"/>
        <v>BXM38-69</v>
      </c>
      <c r="H1412" s="16"/>
      <c r="I1412" s="16" t="str">
        <f t="shared" si="5"/>
        <v>collected</v>
      </c>
      <c r="J1412" s="16" t="str">
        <f t="shared" si="6"/>
        <v>N</v>
      </c>
      <c r="K1412" s="16"/>
      <c r="L1412" s="16"/>
    </row>
    <row r="1413">
      <c r="A1413" s="40" t="s">
        <v>1952</v>
      </c>
      <c r="B1413" s="10" t="str">
        <f t="shared" si="1"/>
        <v>extra_muscle</v>
      </c>
      <c r="C1413" s="49" t="str">
        <f t="shared" si="2"/>
        <v>S16475XM1</v>
      </c>
      <c r="D1413" s="6">
        <v>38.0</v>
      </c>
      <c r="E1413" s="10" t="str">
        <f t="shared" si="3"/>
        <v>BXM38</v>
      </c>
      <c r="F1413" s="13">
        <v>70.0</v>
      </c>
      <c r="G1413" s="10" t="str">
        <f t="shared" si="7"/>
        <v>BXM38-70</v>
      </c>
      <c r="H1413" s="16"/>
      <c r="I1413" s="16" t="str">
        <f t="shared" si="5"/>
        <v>collected</v>
      </c>
      <c r="J1413" s="16" t="str">
        <f t="shared" si="6"/>
        <v>N</v>
      </c>
      <c r="K1413" s="16"/>
      <c r="L1413" s="16"/>
    </row>
    <row r="1414">
      <c r="A1414" s="40" t="s">
        <v>1953</v>
      </c>
      <c r="B1414" s="10" t="str">
        <f t="shared" si="1"/>
        <v>extra_muscle</v>
      </c>
      <c r="C1414" s="49" t="str">
        <f t="shared" si="2"/>
        <v>S17305XM1</v>
      </c>
      <c r="D1414" s="6">
        <v>37.0</v>
      </c>
      <c r="E1414" s="10" t="str">
        <f t="shared" si="3"/>
        <v>BXM37</v>
      </c>
      <c r="F1414" s="13">
        <v>69.0</v>
      </c>
      <c r="G1414" s="10" t="str">
        <f t="shared" si="7"/>
        <v>BXM37-69</v>
      </c>
      <c r="H1414" s="16"/>
      <c r="I1414" s="16" t="str">
        <f t="shared" si="5"/>
        <v>collected</v>
      </c>
      <c r="J1414" s="16" t="str">
        <f t="shared" si="6"/>
        <v>N</v>
      </c>
      <c r="K1414" s="16"/>
      <c r="L1414" s="16"/>
    </row>
    <row r="1415">
      <c r="A1415" s="40" t="s">
        <v>1954</v>
      </c>
      <c r="B1415" s="10" t="str">
        <f t="shared" si="1"/>
        <v>extra_muscle</v>
      </c>
      <c r="C1415" s="49" t="str">
        <f t="shared" si="2"/>
        <v>S17308XM1</v>
      </c>
      <c r="D1415" s="6">
        <v>37.0</v>
      </c>
      <c r="E1415" s="10" t="str">
        <f t="shared" si="3"/>
        <v>BXM37</v>
      </c>
      <c r="F1415" s="13">
        <v>70.0</v>
      </c>
      <c r="G1415" s="10" t="str">
        <f t="shared" si="7"/>
        <v>BXM37-70</v>
      </c>
      <c r="H1415" s="16"/>
      <c r="I1415" s="16" t="str">
        <f t="shared" si="5"/>
        <v>collected</v>
      </c>
      <c r="J1415" s="16" t="str">
        <f t="shared" si="6"/>
        <v>N</v>
      </c>
      <c r="K1415" s="16"/>
      <c r="L1415" s="16"/>
    </row>
    <row r="1416">
      <c r="A1416" s="40" t="s">
        <v>1955</v>
      </c>
      <c r="B1416" s="10" t="str">
        <f t="shared" si="1"/>
        <v>extra_muscle</v>
      </c>
      <c r="C1416" s="49" t="str">
        <f t="shared" si="2"/>
        <v>S17309XM1</v>
      </c>
      <c r="D1416" s="6">
        <v>37.0</v>
      </c>
      <c r="E1416" s="10" t="str">
        <f t="shared" si="3"/>
        <v>BXM37</v>
      </c>
      <c r="F1416" s="13">
        <v>71.0</v>
      </c>
      <c r="G1416" s="10" t="str">
        <f t="shared" si="7"/>
        <v>BXM37-71</v>
      </c>
      <c r="H1416" s="16"/>
      <c r="I1416" s="16" t="str">
        <f t="shared" si="5"/>
        <v>collected</v>
      </c>
      <c r="J1416" s="16" t="str">
        <f t="shared" si="6"/>
        <v>N</v>
      </c>
      <c r="K1416" s="16"/>
      <c r="L1416" s="16"/>
    </row>
    <row r="1417">
      <c r="A1417" s="40" t="s">
        <v>1956</v>
      </c>
      <c r="B1417" s="10" t="str">
        <f t="shared" si="1"/>
        <v>extra_muscle</v>
      </c>
      <c r="C1417" s="49" t="str">
        <f t="shared" si="2"/>
        <v>S17310XM1</v>
      </c>
      <c r="D1417" s="6">
        <v>37.0</v>
      </c>
      <c r="E1417" s="10" t="str">
        <f t="shared" si="3"/>
        <v>BXM37</v>
      </c>
      <c r="F1417" s="13">
        <v>72.0</v>
      </c>
      <c r="G1417" s="10" t="str">
        <f t="shared" si="7"/>
        <v>BXM37-72</v>
      </c>
      <c r="H1417" s="16"/>
      <c r="I1417" s="16" t="str">
        <f t="shared" si="5"/>
        <v>collected</v>
      </c>
      <c r="J1417" s="16" t="str">
        <f t="shared" si="6"/>
        <v>N</v>
      </c>
      <c r="K1417" s="16"/>
      <c r="L1417" s="16"/>
    </row>
    <row r="1418">
      <c r="A1418" s="40" t="s">
        <v>1957</v>
      </c>
      <c r="B1418" s="10" t="str">
        <f t="shared" si="1"/>
        <v>extra_muscle</v>
      </c>
      <c r="C1418" s="49" t="str">
        <f t="shared" si="2"/>
        <v>S17302XM1</v>
      </c>
      <c r="D1418" s="6">
        <v>37.0</v>
      </c>
      <c r="E1418" s="10" t="str">
        <f t="shared" si="3"/>
        <v>BXM37</v>
      </c>
      <c r="F1418" s="13">
        <v>73.0</v>
      </c>
      <c r="G1418" s="10" t="str">
        <f t="shared" si="7"/>
        <v>BXM37-73</v>
      </c>
      <c r="H1418" s="16"/>
      <c r="I1418" s="16" t="str">
        <f t="shared" si="5"/>
        <v>collected</v>
      </c>
      <c r="J1418" s="16" t="str">
        <f t="shared" si="6"/>
        <v>N</v>
      </c>
      <c r="K1418" s="16"/>
      <c r="L1418" s="16"/>
    </row>
    <row r="1419">
      <c r="A1419" s="40" t="s">
        <v>1958</v>
      </c>
      <c r="B1419" s="10" t="str">
        <f t="shared" si="1"/>
        <v>extra_muscle</v>
      </c>
      <c r="C1419" s="49" t="str">
        <f t="shared" si="2"/>
        <v>S17301XM1</v>
      </c>
      <c r="D1419" s="6">
        <v>37.0</v>
      </c>
      <c r="E1419" s="10" t="str">
        <f t="shared" si="3"/>
        <v>BXM37</v>
      </c>
      <c r="F1419" s="13">
        <v>74.0</v>
      </c>
      <c r="G1419" s="10" t="str">
        <f t="shared" si="7"/>
        <v>BXM37-74</v>
      </c>
      <c r="H1419" s="16"/>
      <c r="I1419" s="16" t="str">
        <f t="shared" si="5"/>
        <v>collected</v>
      </c>
      <c r="J1419" s="16" t="str">
        <f t="shared" si="6"/>
        <v>N</v>
      </c>
      <c r="K1419" s="16"/>
      <c r="L1419" s="16"/>
    </row>
    <row r="1420">
      <c r="A1420" s="40" t="s">
        <v>1959</v>
      </c>
      <c r="B1420" s="10" t="str">
        <f t="shared" si="1"/>
        <v>extra_muscle</v>
      </c>
      <c r="C1420" s="49" t="str">
        <f t="shared" si="2"/>
        <v>S17307XM1</v>
      </c>
      <c r="D1420" s="6">
        <v>37.0</v>
      </c>
      <c r="E1420" s="10" t="str">
        <f t="shared" si="3"/>
        <v>BXM37</v>
      </c>
      <c r="F1420" s="13">
        <v>75.0</v>
      </c>
      <c r="G1420" s="10" t="str">
        <f t="shared" si="7"/>
        <v>BXM37-75</v>
      </c>
      <c r="H1420" s="16"/>
      <c r="I1420" s="16" t="str">
        <f t="shared" si="5"/>
        <v>collected</v>
      </c>
      <c r="J1420" s="16" t="str">
        <f t="shared" si="6"/>
        <v>N</v>
      </c>
      <c r="K1420" s="16"/>
      <c r="L1420" s="16"/>
    </row>
    <row r="1421">
      <c r="A1421" s="40" t="s">
        <v>1960</v>
      </c>
      <c r="B1421" s="10" t="str">
        <f t="shared" si="1"/>
        <v>extra_muscle</v>
      </c>
      <c r="C1421" s="49" t="str">
        <f t="shared" si="2"/>
        <v>S17303XM1</v>
      </c>
      <c r="D1421" s="6">
        <v>37.0</v>
      </c>
      <c r="E1421" s="10" t="str">
        <f t="shared" si="3"/>
        <v>BXM37</v>
      </c>
      <c r="F1421" s="13">
        <v>76.0</v>
      </c>
      <c r="G1421" s="10" t="str">
        <f t="shared" si="7"/>
        <v>BXM37-76</v>
      </c>
      <c r="H1421" s="16"/>
      <c r="I1421" s="16" t="str">
        <f t="shared" si="5"/>
        <v>collected</v>
      </c>
      <c r="J1421" s="16" t="str">
        <f t="shared" si="6"/>
        <v>N</v>
      </c>
      <c r="K1421" s="16"/>
      <c r="L1421" s="16"/>
    </row>
    <row r="1422">
      <c r="A1422" s="40" t="s">
        <v>1961</v>
      </c>
      <c r="B1422" s="10" t="str">
        <f t="shared" si="1"/>
        <v>extra_muscle</v>
      </c>
      <c r="C1422" s="49" t="str">
        <f t="shared" si="2"/>
        <v>S17306XM1</v>
      </c>
      <c r="D1422" s="6">
        <v>37.0</v>
      </c>
      <c r="E1422" s="10" t="str">
        <f t="shared" si="3"/>
        <v>BXM37</v>
      </c>
      <c r="F1422" s="13">
        <v>77.0</v>
      </c>
      <c r="G1422" s="10" t="str">
        <f t="shared" si="7"/>
        <v>BXM37-77</v>
      </c>
      <c r="H1422" s="16"/>
      <c r="I1422" s="16" t="str">
        <f t="shared" si="5"/>
        <v>collected</v>
      </c>
      <c r="J1422" s="16" t="str">
        <f t="shared" si="6"/>
        <v>N</v>
      </c>
      <c r="K1422" s="16"/>
      <c r="L1422" s="16"/>
    </row>
    <row r="1423">
      <c r="A1423" s="40" t="s">
        <v>1962</v>
      </c>
      <c r="B1423" s="10" t="str">
        <f t="shared" si="1"/>
        <v>extra_muscle</v>
      </c>
      <c r="C1423" s="49" t="str">
        <f t="shared" si="2"/>
        <v>S17304XM1</v>
      </c>
      <c r="D1423" s="6">
        <v>37.0</v>
      </c>
      <c r="E1423" s="10" t="str">
        <f t="shared" si="3"/>
        <v>BXM37</v>
      </c>
      <c r="F1423" s="13">
        <v>78.0</v>
      </c>
      <c r="G1423" s="10" t="str">
        <f t="shared" si="7"/>
        <v>BXM37-78</v>
      </c>
      <c r="H1423" s="16"/>
      <c r="I1423" s="16" t="str">
        <f t="shared" si="5"/>
        <v>collected</v>
      </c>
      <c r="J1423" s="16" t="str">
        <f t="shared" si="6"/>
        <v>N</v>
      </c>
      <c r="K1423" s="16"/>
      <c r="L1423" s="16"/>
    </row>
    <row r="1424">
      <c r="A1424" s="40" t="s">
        <v>1963</v>
      </c>
      <c r="B1424" s="10" t="str">
        <f t="shared" si="1"/>
        <v>extra_muscle</v>
      </c>
      <c r="C1424" s="49" t="str">
        <f t="shared" si="2"/>
        <v>S17471XM1</v>
      </c>
      <c r="D1424" s="6">
        <v>37.0</v>
      </c>
      <c r="E1424" s="10" t="str">
        <f t="shared" si="3"/>
        <v>BXM37</v>
      </c>
      <c r="F1424" s="13">
        <v>79.0</v>
      </c>
      <c r="G1424" s="10" t="str">
        <f t="shared" si="7"/>
        <v>BXM37-79</v>
      </c>
      <c r="H1424" s="16"/>
      <c r="I1424" s="16" t="str">
        <f t="shared" si="5"/>
        <v>collected</v>
      </c>
      <c r="J1424" s="16" t="str">
        <f t="shared" si="6"/>
        <v>N</v>
      </c>
      <c r="K1424" s="16"/>
      <c r="L1424" s="16"/>
    </row>
    <row r="1425">
      <c r="A1425" s="40" t="s">
        <v>1964</v>
      </c>
      <c r="B1425" s="10" t="str">
        <f t="shared" si="1"/>
        <v>extra_muscle</v>
      </c>
      <c r="C1425" s="49" t="str">
        <f t="shared" si="2"/>
        <v>S17480XM1</v>
      </c>
      <c r="D1425" s="6">
        <v>37.0</v>
      </c>
      <c r="E1425" s="10" t="str">
        <f t="shared" si="3"/>
        <v>BXM37</v>
      </c>
      <c r="F1425" s="13">
        <v>80.0</v>
      </c>
      <c r="G1425" s="10" t="str">
        <f t="shared" si="7"/>
        <v>BXM37-80</v>
      </c>
      <c r="H1425" s="16"/>
      <c r="I1425" s="16" t="str">
        <f t="shared" si="5"/>
        <v>collected</v>
      </c>
      <c r="J1425" s="16" t="str">
        <f t="shared" si="6"/>
        <v>N</v>
      </c>
      <c r="K1425" s="16"/>
      <c r="L1425" s="16"/>
    </row>
    <row r="1426">
      <c r="A1426" s="40" t="s">
        <v>1965</v>
      </c>
      <c r="B1426" s="10" t="str">
        <f t="shared" si="1"/>
        <v>extra_muscle</v>
      </c>
      <c r="C1426" s="49" t="str">
        <f t="shared" si="2"/>
        <v>S17472XM1</v>
      </c>
      <c r="D1426" s="6">
        <v>37.0</v>
      </c>
      <c r="E1426" s="10" t="str">
        <f t="shared" si="3"/>
        <v>BXM37</v>
      </c>
      <c r="F1426" s="13">
        <v>81.0</v>
      </c>
      <c r="G1426" s="10" t="str">
        <f t="shared" si="7"/>
        <v>BXM37-81</v>
      </c>
      <c r="H1426" s="16"/>
      <c r="I1426" s="16" t="str">
        <f t="shared" si="5"/>
        <v>collected</v>
      </c>
      <c r="J1426" s="16" t="str">
        <f t="shared" si="6"/>
        <v>N</v>
      </c>
      <c r="K1426" s="16"/>
      <c r="L1426" s="16"/>
    </row>
    <row r="1427">
      <c r="A1427" s="40" t="s">
        <v>1966</v>
      </c>
      <c r="B1427" s="10" t="str">
        <f t="shared" si="1"/>
        <v>extra_muscle</v>
      </c>
      <c r="C1427" s="49" t="str">
        <f t="shared" si="2"/>
        <v>S17479XM1</v>
      </c>
      <c r="D1427" s="6">
        <v>39.0</v>
      </c>
      <c r="E1427" s="10" t="str">
        <f t="shared" si="3"/>
        <v>BXM39</v>
      </c>
      <c r="F1427" s="13">
        <v>1.0</v>
      </c>
      <c r="G1427" s="10" t="str">
        <f t="shared" si="7"/>
        <v>BXM39-1</v>
      </c>
      <c r="H1427" s="16"/>
      <c r="I1427" s="16" t="str">
        <f t="shared" si="5"/>
        <v>collected</v>
      </c>
      <c r="J1427" s="16" t="str">
        <f t="shared" si="6"/>
        <v>N</v>
      </c>
      <c r="K1427" s="16"/>
      <c r="L1427" s="16"/>
    </row>
    <row r="1428">
      <c r="A1428" s="40" t="s">
        <v>1967</v>
      </c>
      <c r="B1428" s="10" t="str">
        <f t="shared" si="1"/>
        <v>extra_muscle</v>
      </c>
      <c r="C1428" s="49" t="str">
        <f t="shared" si="2"/>
        <v>S17478XM1</v>
      </c>
      <c r="D1428" s="6">
        <v>39.0</v>
      </c>
      <c r="E1428" s="10" t="str">
        <f t="shared" si="3"/>
        <v>BXM39</v>
      </c>
      <c r="F1428" s="13">
        <v>2.0</v>
      </c>
      <c r="G1428" s="10" t="str">
        <f t="shared" si="7"/>
        <v>BXM39-2</v>
      </c>
      <c r="H1428" s="16"/>
      <c r="I1428" s="16" t="str">
        <f t="shared" si="5"/>
        <v>collected</v>
      </c>
      <c r="J1428" s="16" t="str">
        <f t="shared" si="6"/>
        <v>N</v>
      </c>
      <c r="K1428" s="16"/>
      <c r="L1428" s="16"/>
    </row>
    <row r="1429">
      <c r="A1429" s="40" t="s">
        <v>1968</v>
      </c>
      <c r="B1429" s="10" t="str">
        <f t="shared" si="1"/>
        <v>extra_muscle</v>
      </c>
      <c r="C1429" s="49" t="str">
        <f t="shared" si="2"/>
        <v>S17475XM1</v>
      </c>
      <c r="D1429" s="6">
        <v>39.0</v>
      </c>
      <c r="E1429" s="10" t="str">
        <f t="shared" si="3"/>
        <v>BXM39</v>
      </c>
      <c r="F1429" s="13">
        <v>3.0</v>
      </c>
      <c r="G1429" s="10" t="str">
        <f t="shared" si="7"/>
        <v>BXM39-3</v>
      </c>
      <c r="H1429" s="16"/>
      <c r="I1429" s="16" t="str">
        <f t="shared" si="5"/>
        <v>collected</v>
      </c>
      <c r="J1429" s="16" t="str">
        <f t="shared" si="6"/>
        <v>N</v>
      </c>
      <c r="K1429" s="16"/>
      <c r="L1429" s="16"/>
    </row>
    <row r="1430">
      <c r="A1430" s="40" t="s">
        <v>1969</v>
      </c>
      <c r="B1430" s="10" t="str">
        <f t="shared" si="1"/>
        <v>extra_muscle</v>
      </c>
      <c r="C1430" s="49" t="str">
        <f t="shared" si="2"/>
        <v>S17473XM1</v>
      </c>
      <c r="D1430" s="6">
        <v>39.0</v>
      </c>
      <c r="E1430" s="10" t="str">
        <f t="shared" si="3"/>
        <v>BXM39</v>
      </c>
      <c r="F1430" s="13">
        <v>4.0</v>
      </c>
      <c r="G1430" s="10" t="str">
        <f t="shared" si="7"/>
        <v>BXM39-4</v>
      </c>
      <c r="H1430" s="16"/>
      <c r="I1430" s="16" t="str">
        <f t="shared" si="5"/>
        <v>collected</v>
      </c>
      <c r="J1430" s="16" t="str">
        <f t="shared" si="6"/>
        <v>N</v>
      </c>
      <c r="K1430" s="16"/>
      <c r="L1430" s="16"/>
    </row>
    <row r="1431">
      <c r="A1431" s="40" t="s">
        <v>1970</v>
      </c>
      <c r="B1431" s="10" t="str">
        <f t="shared" si="1"/>
        <v>extra_muscle</v>
      </c>
      <c r="C1431" s="49" t="str">
        <f t="shared" si="2"/>
        <v>S17474XM1</v>
      </c>
      <c r="D1431" s="6">
        <v>39.0</v>
      </c>
      <c r="E1431" s="10" t="str">
        <f t="shared" si="3"/>
        <v>BXM39</v>
      </c>
      <c r="F1431" s="13">
        <v>5.0</v>
      </c>
      <c r="G1431" s="10" t="str">
        <f t="shared" si="7"/>
        <v>BXM39-5</v>
      </c>
      <c r="H1431" s="16"/>
      <c r="I1431" s="16" t="str">
        <f t="shared" si="5"/>
        <v>collected</v>
      </c>
      <c r="J1431" s="16" t="str">
        <f t="shared" si="6"/>
        <v>N</v>
      </c>
      <c r="K1431" s="16"/>
      <c r="L1431" s="16"/>
    </row>
    <row r="1432">
      <c r="A1432" s="40" t="s">
        <v>1971</v>
      </c>
      <c r="B1432" s="10" t="str">
        <f t="shared" si="1"/>
        <v>extra_muscle</v>
      </c>
      <c r="C1432" s="49" t="str">
        <f t="shared" si="2"/>
        <v>S17477XM1</v>
      </c>
      <c r="D1432" s="6">
        <v>39.0</v>
      </c>
      <c r="E1432" s="10" t="str">
        <f t="shared" si="3"/>
        <v>BXM39</v>
      </c>
      <c r="F1432" s="13">
        <v>6.0</v>
      </c>
      <c r="G1432" s="10" t="str">
        <f t="shared" si="7"/>
        <v>BXM39-6</v>
      </c>
      <c r="H1432" s="16"/>
      <c r="I1432" s="16" t="str">
        <f t="shared" si="5"/>
        <v>collected</v>
      </c>
      <c r="J1432" s="16" t="str">
        <f t="shared" si="6"/>
        <v>N</v>
      </c>
      <c r="K1432" s="16"/>
      <c r="L1432" s="16"/>
    </row>
    <row r="1433">
      <c r="A1433" s="40" t="s">
        <v>1972</v>
      </c>
      <c r="B1433" s="10" t="str">
        <f t="shared" si="1"/>
        <v>extra_muscle</v>
      </c>
      <c r="C1433" s="49" t="str">
        <f t="shared" si="2"/>
        <v>S17476XM1</v>
      </c>
      <c r="D1433" s="6">
        <v>39.0</v>
      </c>
      <c r="E1433" s="10" t="str">
        <f t="shared" si="3"/>
        <v>BXM39</v>
      </c>
      <c r="F1433" s="13">
        <v>7.0</v>
      </c>
      <c r="G1433" s="10" t="str">
        <f t="shared" si="7"/>
        <v>BXM39-7</v>
      </c>
      <c r="H1433" s="16"/>
      <c r="I1433" s="16" t="str">
        <f t="shared" si="5"/>
        <v>collected</v>
      </c>
      <c r="J1433" s="16" t="str">
        <f t="shared" si="6"/>
        <v>N</v>
      </c>
      <c r="K1433" s="16"/>
      <c r="L1433" s="16"/>
    </row>
    <row r="1434">
      <c r="A1434" s="40" t="s">
        <v>1973</v>
      </c>
      <c r="B1434" s="10" t="str">
        <f t="shared" si="1"/>
        <v>extra_muscle</v>
      </c>
      <c r="C1434" s="49" t="str">
        <f t="shared" si="2"/>
        <v>S17209XM1</v>
      </c>
      <c r="D1434" s="6">
        <v>39.0</v>
      </c>
      <c r="E1434" s="10" t="str">
        <f t="shared" si="3"/>
        <v>BXM39</v>
      </c>
      <c r="F1434" s="13">
        <v>8.0</v>
      </c>
      <c r="G1434" s="10" t="str">
        <f t="shared" si="7"/>
        <v>BXM39-8</v>
      </c>
      <c r="H1434" s="16"/>
      <c r="I1434" s="16" t="str">
        <f t="shared" si="5"/>
        <v>collected</v>
      </c>
      <c r="J1434" s="16" t="str">
        <f t="shared" si="6"/>
        <v>N</v>
      </c>
      <c r="K1434" s="16"/>
      <c r="L1434" s="16"/>
    </row>
    <row r="1435">
      <c r="A1435" s="40" t="s">
        <v>1974</v>
      </c>
      <c r="B1435" s="10" t="str">
        <f t="shared" si="1"/>
        <v>extra_muscle</v>
      </c>
      <c r="C1435" s="49" t="str">
        <f t="shared" si="2"/>
        <v>S17207XM1</v>
      </c>
      <c r="D1435" s="6">
        <v>39.0</v>
      </c>
      <c r="E1435" s="10" t="str">
        <f t="shared" si="3"/>
        <v>BXM39</v>
      </c>
      <c r="F1435" s="13">
        <v>9.0</v>
      </c>
      <c r="G1435" s="10" t="str">
        <f t="shared" si="7"/>
        <v>BXM39-9</v>
      </c>
      <c r="H1435" s="16"/>
      <c r="I1435" s="16" t="str">
        <f t="shared" si="5"/>
        <v>collected</v>
      </c>
      <c r="J1435" s="16" t="str">
        <f t="shared" si="6"/>
        <v>N</v>
      </c>
      <c r="K1435" s="16"/>
      <c r="L1435" s="16"/>
    </row>
    <row r="1436">
      <c r="A1436" s="40" t="s">
        <v>1975</v>
      </c>
      <c r="B1436" s="10" t="str">
        <f t="shared" si="1"/>
        <v>extra_muscle</v>
      </c>
      <c r="C1436" s="49" t="str">
        <f t="shared" si="2"/>
        <v>S17208XM1</v>
      </c>
      <c r="D1436" s="6">
        <v>39.0</v>
      </c>
      <c r="E1436" s="10" t="str">
        <f t="shared" si="3"/>
        <v>BXM39</v>
      </c>
      <c r="F1436" s="13">
        <v>10.0</v>
      </c>
      <c r="G1436" s="10" t="str">
        <f t="shared" si="7"/>
        <v>BXM39-10</v>
      </c>
      <c r="H1436" s="16"/>
      <c r="I1436" s="16" t="str">
        <f t="shared" si="5"/>
        <v>collected</v>
      </c>
      <c r="J1436" s="16" t="str">
        <f t="shared" si="6"/>
        <v>N</v>
      </c>
      <c r="K1436" s="16"/>
      <c r="L1436" s="16"/>
    </row>
    <row r="1437">
      <c r="A1437" s="40" t="s">
        <v>1976</v>
      </c>
      <c r="B1437" s="10" t="str">
        <f t="shared" si="1"/>
        <v>extra_muscle</v>
      </c>
      <c r="C1437" s="49" t="str">
        <f t="shared" si="2"/>
        <v>S17205XM1</v>
      </c>
      <c r="D1437" s="6">
        <v>39.0</v>
      </c>
      <c r="E1437" s="10" t="str">
        <f t="shared" si="3"/>
        <v>BXM39</v>
      </c>
      <c r="F1437" s="13">
        <v>11.0</v>
      </c>
      <c r="G1437" s="10" t="str">
        <f t="shared" si="7"/>
        <v>BXM39-11</v>
      </c>
      <c r="H1437" s="16"/>
      <c r="I1437" s="16" t="str">
        <f t="shared" si="5"/>
        <v>collected</v>
      </c>
      <c r="J1437" s="16" t="str">
        <f t="shared" si="6"/>
        <v>N</v>
      </c>
      <c r="K1437" s="16"/>
      <c r="L1437" s="16"/>
    </row>
    <row r="1438">
      <c r="A1438" s="40" t="s">
        <v>1977</v>
      </c>
      <c r="B1438" s="10" t="str">
        <f t="shared" si="1"/>
        <v>extra_muscle</v>
      </c>
      <c r="C1438" s="49" t="str">
        <f t="shared" si="2"/>
        <v>S17206XM1</v>
      </c>
      <c r="D1438" s="6">
        <v>39.0</v>
      </c>
      <c r="E1438" s="10" t="str">
        <f t="shared" si="3"/>
        <v>BXM39</v>
      </c>
      <c r="F1438" s="13">
        <v>12.0</v>
      </c>
      <c r="G1438" s="10" t="str">
        <f t="shared" si="7"/>
        <v>BXM39-12</v>
      </c>
      <c r="H1438" s="16"/>
      <c r="I1438" s="16" t="str">
        <f t="shared" si="5"/>
        <v>collected</v>
      </c>
      <c r="J1438" s="16" t="str">
        <f t="shared" si="6"/>
        <v>N</v>
      </c>
      <c r="K1438" s="16"/>
      <c r="L1438" s="16"/>
    </row>
    <row r="1439">
      <c r="A1439" s="40" t="s">
        <v>1978</v>
      </c>
      <c r="B1439" s="10" t="str">
        <f t="shared" si="1"/>
        <v>extra_muscle</v>
      </c>
      <c r="C1439" s="49" t="str">
        <f t="shared" si="2"/>
        <v>S17202XM1</v>
      </c>
      <c r="D1439" s="6">
        <v>39.0</v>
      </c>
      <c r="E1439" s="10" t="str">
        <f t="shared" si="3"/>
        <v>BXM39</v>
      </c>
      <c r="F1439" s="13">
        <v>13.0</v>
      </c>
      <c r="G1439" s="10" t="str">
        <f t="shared" si="7"/>
        <v>BXM39-13</v>
      </c>
      <c r="H1439" s="16"/>
      <c r="I1439" s="16" t="str">
        <f t="shared" si="5"/>
        <v>collected</v>
      </c>
      <c r="J1439" s="16" t="str">
        <f t="shared" si="6"/>
        <v>N</v>
      </c>
      <c r="K1439" s="16"/>
      <c r="L1439" s="16"/>
    </row>
    <row r="1440">
      <c r="A1440" s="40" t="s">
        <v>1979</v>
      </c>
      <c r="B1440" s="10" t="str">
        <f t="shared" si="1"/>
        <v>extra_muscle</v>
      </c>
      <c r="C1440" s="49" t="str">
        <f t="shared" si="2"/>
        <v>S17201XM1</v>
      </c>
      <c r="D1440" s="6">
        <v>39.0</v>
      </c>
      <c r="E1440" s="10" t="str">
        <f t="shared" si="3"/>
        <v>BXM39</v>
      </c>
      <c r="F1440" s="13">
        <v>14.0</v>
      </c>
      <c r="G1440" s="10" t="str">
        <f t="shared" si="7"/>
        <v>BXM39-14</v>
      </c>
      <c r="H1440" s="16"/>
      <c r="I1440" s="16" t="str">
        <f t="shared" si="5"/>
        <v>collected</v>
      </c>
      <c r="J1440" s="16" t="str">
        <f t="shared" si="6"/>
        <v>N</v>
      </c>
      <c r="K1440" s="16"/>
      <c r="L1440" s="16"/>
    </row>
    <row r="1441">
      <c r="A1441" s="40" t="s">
        <v>1980</v>
      </c>
      <c r="B1441" s="10" t="str">
        <f t="shared" si="1"/>
        <v>extra_muscle</v>
      </c>
      <c r="C1441" s="49" t="str">
        <f t="shared" si="2"/>
        <v>S17203XM1</v>
      </c>
      <c r="D1441" s="6">
        <v>39.0</v>
      </c>
      <c r="E1441" s="10" t="str">
        <f t="shared" si="3"/>
        <v>BXM39</v>
      </c>
      <c r="F1441" s="13">
        <v>15.0</v>
      </c>
      <c r="G1441" s="10" t="str">
        <f t="shared" si="7"/>
        <v>BXM39-15</v>
      </c>
      <c r="H1441" s="16"/>
      <c r="I1441" s="16" t="str">
        <f t="shared" si="5"/>
        <v>collected</v>
      </c>
      <c r="J1441" s="16" t="str">
        <f t="shared" si="6"/>
        <v>N</v>
      </c>
      <c r="K1441" s="16"/>
      <c r="L1441" s="16"/>
    </row>
    <row r="1442">
      <c r="A1442" s="40" t="s">
        <v>1981</v>
      </c>
      <c r="B1442" s="10" t="str">
        <f t="shared" si="1"/>
        <v>extra_muscle</v>
      </c>
      <c r="C1442" s="49" t="str">
        <f t="shared" si="2"/>
        <v>S17204XM1</v>
      </c>
      <c r="D1442" s="6">
        <v>39.0</v>
      </c>
      <c r="E1442" s="10" t="str">
        <f t="shared" si="3"/>
        <v>BXM39</v>
      </c>
      <c r="F1442" s="13">
        <v>16.0</v>
      </c>
      <c r="G1442" s="10" t="str">
        <f t="shared" si="7"/>
        <v>BXM39-16</v>
      </c>
      <c r="H1442" s="16"/>
      <c r="I1442" s="16" t="str">
        <f t="shared" si="5"/>
        <v>collected</v>
      </c>
      <c r="J1442" s="16" t="str">
        <f t="shared" si="6"/>
        <v>N</v>
      </c>
      <c r="K1442" s="16"/>
      <c r="L1442" s="16"/>
    </row>
    <row r="1443">
      <c r="A1443" s="40" t="s">
        <v>1982</v>
      </c>
      <c r="B1443" s="10" t="str">
        <f t="shared" si="1"/>
        <v>extra_muscle</v>
      </c>
      <c r="C1443" s="49" t="str">
        <f t="shared" si="2"/>
        <v>S17210XM1</v>
      </c>
      <c r="D1443" s="6">
        <v>39.0</v>
      </c>
      <c r="E1443" s="10" t="str">
        <f t="shared" si="3"/>
        <v>BXM39</v>
      </c>
      <c r="F1443" s="13">
        <v>17.0</v>
      </c>
      <c r="G1443" s="10" t="str">
        <f t="shared" si="7"/>
        <v>BXM39-17</v>
      </c>
      <c r="H1443" s="16"/>
      <c r="I1443" s="16" t="str">
        <f t="shared" si="5"/>
        <v>collected</v>
      </c>
      <c r="J1443" s="16" t="str">
        <f t="shared" si="6"/>
        <v>N</v>
      </c>
      <c r="K1443" s="16"/>
      <c r="L1443" s="16"/>
    </row>
    <row r="1444">
      <c r="A1444" s="40" t="s">
        <v>1983</v>
      </c>
      <c r="B1444" s="10" t="str">
        <f t="shared" si="1"/>
        <v>extra_muscle</v>
      </c>
      <c r="C1444" s="49" t="str">
        <f t="shared" si="2"/>
        <v>S17491XM1</v>
      </c>
      <c r="D1444" s="6">
        <v>39.0</v>
      </c>
      <c r="E1444" s="10" t="str">
        <f t="shared" si="3"/>
        <v>BXM39</v>
      </c>
      <c r="F1444" s="13">
        <v>18.0</v>
      </c>
      <c r="G1444" s="10" t="str">
        <f t="shared" si="7"/>
        <v>BXM39-18</v>
      </c>
      <c r="H1444" s="16"/>
      <c r="I1444" s="16" t="str">
        <f t="shared" si="5"/>
        <v>collected</v>
      </c>
      <c r="J1444" s="16" t="str">
        <f t="shared" si="6"/>
        <v>N</v>
      </c>
      <c r="K1444" s="16"/>
      <c r="L1444" s="16"/>
    </row>
    <row r="1445">
      <c r="A1445" s="40" t="s">
        <v>1984</v>
      </c>
      <c r="B1445" s="10" t="str">
        <f t="shared" si="1"/>
        <v>extra_muscle</v>
      </c>
      <c r="C1445" s="49" t="str">
        <f t="shared" si="2"/>
        <v>S17496XM1</v>
      </c>
      <c r="D1445" s="6">
        <v>39.0</v>
      </c>
      <c r="E1445" s="10" t="str">
        <f t="shared" si="3"/>
        <v>BXM39</v>
      </c>
      <c r="F1445" s="13">
        <v>19.0</v>
      </c>
      <c r="G1445" s="10" t="str">
        <f t="shared" si="7"/>
        <v>BXM39-19</v>
      </c>
      <c r="H1445" s="16"/>
      <c r="I1445" s="16" t="str">
        <f t="shared" si="5"/>
        <v>collected</v>
      </c>
      <c r="J1445" s="16" t="str">
        <f t="shared" si="6"/>
        <v>N</v>
      </c>
      <c r="K1445" s="16"/>
      <c r="L1445" s="16"/>
    </row>
    <row r="1446">
      <c r="A1446" s="40" t="s">
        <v>1985</v>
      </c>
      <c r="B1446" s="10" t="str">
        <f t="shared" si="1"/>
        <v>extra_muscle</v>
      </c>
      <c r="C1446" s="49" t="str">
        <f t="shared" si="2"/>
        <v>S17494XM1</v>
      </c>
      <c r="D1446" s="6">
        <v>39.0</v>
      </c>
      <c r="E1446" s="10" t="str">
        <f t="shared" si="3"/>
        <v>BXM39</v>
      </c>
      <c r="F1446" s="13">
        <v>20.0</v>
      </c>
      <c r="G1446" s="10" t="str">
        <f t="shared" si="7"/>
        <v>BXM39-20</v>
      </c>
      <c r="H1446" s="16"/>
      <c r="I1446" s="16" t="str">
        <f t="shared" si="5"/>
        <v>collected</v>
      </c>
      <c r="J1446" s="16" t="str">
        <f t="shared" si="6"/>
        <v>N</v>
      </c>
      <c r="K1446" s="16"/>
      <c r="L1446" s="16"/>
    </row>
    <row r="1447">
      <c r="A1447" s="40" t="s">
        <v>1987</v>
      </c>
      <c r="B1447" s="10" t="str">
        <f t="shared" si="1"/>
        <v>extra_muscle</v>
      </c>
      <c r="C1447" s="49" t="str">
        <f t="shared" si="2"/>
        <v>S17495XM1</v>
      </c>
      <c r="D1447" s="6">
        <v>39.0</v>
      </c>
      <c r="E1447" s="10" t="str">
        <f t="shared" si="3"/>
        <v>BXM39</v>
      </c>
      <c r="F1447" s="13">
        <v>21.0</v>
      </c>
      <c r="G1447" s="10" t="str">
        <f t="shared" si="7"/>
        <v>BXM39-21</v>
      </c>
      <c r="H1447" s="16"/>
      <c r="I1447" s="16" t="str">
        <f t="shared" si="5"/>
        <v>collected</v>
      </c>
      <c r="J1447" s="16" t="str">
        <f t="shared" si="6"/>
        <v>N</v>
      </c>
      <c r="K1447" s="16"/>
      <c r="L1447" s="16"/>
    </row>
    <row r="1448">
      <c r="A1448" s="40" t="s">
        <v>1988</v>
      </c>
      <c r="B1448" s="10" t="str">
        <f t="shared" si="1"/>
        <v>extra_muscle</v>
      </c>
      <c r="C1448" s="49" t="str">
        <f t="shared" si="2"/>
        <v>S17492XM1</v>
      </c>
      <c r="D1448" s="6">
        <v>39.0</v>
      </c>
      <c r="E1448" s="10" t="str">
        <f t="shared" si="3"/>
        <v>BXM39</v>
      </c>
      <c r="F1448" s="13">
        <v>22.0</v>
      </c>
      <c r="G1448" s="10" t="str">
        <f t="shared" si="7"/>
        <v>BXM39-22</v>
      </c>
      <c r="H1448" s="16"/>
      <c r="I1448" s="16" t="str">
        <f t="shared" si="5"/>
        <v>collected</v>
      </c>
      <c r="J1448" s="16" t="str">
        <f t="shared" si="6"/>
        <v>N</v>
      </c>
      <c r="K1448" s="16"/>
      <c r="L1448" s="16"/>
    </row>
    <row r="1449">
      <c r="A1449" s="40" t="s">
        <v>1989</v>
      </c>
      <c r="B1449" s="10" t="str">
        <f t="shared" si="1"/>
        <v>extra_muscle</v>
      </c>
      <c r="C1449" s="49" t="str">
        <f t="shared" si="2"/>
        <v>S17493XM1</v>
      </c>
      <c r="D1449" s="6">
        <v>39.0</v>
      </c>
      <c r="E1449" s="10" t="str">
        <f t="shared" si="3"/>
        <v>BXM39</v>
      </c>
      <c r="F1449" s="13">
        <v>23.0</v>
      </c>
      <c r="G1449" s="10" t="str">
        <f t="shared" si="7"/>
        <v>BXM39-23</v>
      </c>
      <c r="H1449" s="16"/>
      <c r="I1449" s="16" t="str">
        <f t="shared" si="5"/>
        <v>collected</v>
      </c>
      <c r="J1449" s="16" t="str">
        <f t="shared" si="6"/>
        <v>N</v>
      </c>
      <c r="K1449" s="16"/>
      <c r="L1449" s="16"/>
    </row>
    <row r="1450">
      <c r="A1450" s="40" t="s">
        <v>1990</v>
      </c>
      <c r="B1450" s="10" t="str">
        <f t="shared" si="1"/>
        <v>extra_muscle</v>
      </c>
      <c r="C1450" s="49" t="str">
        <f t="shared" si="2"/>
        <v>S16225XM1</v>
      </c>
      <c r="D1450" s="6">
        <v>39.0</v>
      </c>
      <c r="E1450" s="10" t="str">
        <f t="shared" si="3"/>
        <v>BXM39</v>
      </c>
      <c r="F1450" s="13">
        <v>24.0</v>
      </c>
      <c r="G1450" s="10" t="str">
        <f t="shared" si="7"/>
        <v>BXM39-24</v>
      </c>
      <c r="H1450" s="16"/>
      <c r="I1450" s="16" t="str">
        <f t="shared" si="5"/>
        <v>collected</v>
      </c>
      <c r="J1450" s="16" t="str">
        <f t="shared" si="6"/>
        <v>N</v>
      </c>
      <c r="K1450" s="16"/>
      <c r="L1450" s="16"/>
    </row>
    <row r="1451">
      <c r="A1451" s="40" t="s">
        <v>1991</v>
      </c>
      <c r="B1451" s="10" t="str">
        <f t="shared" si="1"/>
        <v>extra_muscle</v>
      </c>
      <c r="C1451" s="49" t="str">
        <f t="shared" si="2"/>
        <v>S16223XM1</v>
      </c>
      <c r="D1451" s="6">
        <v>39.0</v>
      </c>
      <c r="E1451" s="10" t="str">
        <f t="shared" si="3"/>
        <v>BXM39</v>
      </c>
      <c r="F1451" s="13">
        <v>25.0</v>
      </c>
      <c r="G1451" s="10" t="str">
        <f t="shared" si="7"/>
        <v>BXM39-25</v>
      </c>
      <c r="H1451" s="16"/>
      <c r="I1451" s="16" t="str">
        <f t="shared" si="5"/>
        <v>collected</v>
      </c>
      <c r="J1451" s="16" t="str">
        <f t="shared" si="6"/>
        <v>N</v>
      </c>
      <c r="K1451" s="16"/>
      <c r="L1451" s="16"/>
    </row>
    <row r="1452">
      <c r="A1452" s="40" t="s">
        <v>1992</v>
      </c>
      <c r="B1452" s="10" t="str">
        <f t="shared" si="1"/>
        <v>extra_muscle</v>
      </c>
      <c r="C1452" s="49" t="str">
        <f t="shared" si="2"/>
        <v>S16224XM1</v>
      </c>
      <c r="D1452" s="6">
        <v>39.0</v>
      </c>
      <c r="E1452" s="10" t="str">
        <f t="shared" si="3"/>
        <v>BXM39</v>
      </c>
      <c r="F1452" s="13">
        <v>26.0</v>
      </c>
      <c r="G1452" s="10" t="str">
        <f t="shared" si="7"/>
        <v>BXM39-26</v>
      </c>
      <c r="H1452" s="16"/>
      <c r="I1452" s="16" t="str">
        <f t="shared" si="5"/>
        <v>collected</v>
      </c>
      <c r="J1452" s="16" t="str">
        <f t="shared" si="6"/>
        <v>N</v>
      </c>
      <c r="K1452" s="16"/>
      <c r="L1452" s="16"/>
    </row>
    <row r="1453">
      <c r="A1453" s="40" t="s">
        <v>1993</v>
      </c>
      <c r="B1453" s="10" t="str">
        <f t="shared" si="1"/>
        <v>extra_muscle</v>
      </c>
      <c r="C1453" s="49" t="str">
        <f t="shared" si="2"/>
        <v>S16221XM1</v>
      </c>
      <c r="D1453" s="6">
        <v>39.0</v>
      </c>
      <c r="E1453" s="10" t="str">
        <f t="shared" si="3"/>
        <v>BXM39</v>
      </c>
      <c r="F1453" s="13">
        <v>27.0</v>
      </c>
      <c r="G1453" s="10" t="str">
        <f t="shared" si="7"/>
        <v>BXM39-27</v>
      </c>
      <c r="H1453" s="16"/>
      <c r="I1453" s="16" t="str">
        <f t="shared" si="5"/>
        <v>collected</v>
      </c>
      <c r="J1453" s="16" t="str">
        <f t="shared" si="6"/>
        <v>N</v>
      </c>
      <c r="K1453" s="16"/>
      <c r="L1453" s="16"/>
    </row>
    <row r="1454">
      <c r="A1454" s="40" t="s">
        <v>1994</v>
      </c>
      <c r="B1454" s="10" t="str">
        <f t="shared" si="1"/>
        <v>extra_muscle</v>
      </c>
      <c r="C1454" s="49" t="str">
        <f t="shared" si="2"/>
        <v>S16222XM1</v>
      </c>
      <c r="D1454" s="6">
        <v>39.0</v>
      </c>
      <c r="E1454" s="10" t="str">
        <f t="shared" si="3"/>
        <v>BXM39</v>
      </c>
      <c r="F1454" s="13">
        <v>28.0</v>
      </c>
      <c r="G1454" s="10" t="str">
        <f t="shared" si="7"/>
        <v>BXM39-28</v>
      </c>
      <c r="H1454" s="16"/>
      <c r="I1454" s="16" t="str">
        <f t="shared" si="5"/>
        <v>collected</v>
      </c>
      <c r="J1454" s="16" t="str">
        <f t="shared" si="6"/>
        <v>N</v>
      </c>
      <c r="K1454" s="16"/>
      <c r="L1454" s="16"/>
    </row>
    <row r="1455">
      <c r="A1455" s="40" t="s">
        <v>1995</v>
      </c>
      <c r="B1455" s="10" t="str">
        <f t="shared" si="1"/>
        <v>extra_muscle</v>
      </c>
      <c r="C1455" s="49" t="str">
        <f t="shared" si="2"/>
        <v>S16474XM1</v>
      </c>
      <c r="D1455" s="6">
        <v>38.0</v>
      </c>
      <c r="E1455" s="10" t="str">
        <f t="shared" si="3"/>
        <v>BXM38</v>
      </c>
      <c r="F1455" s="13">
        <v>71.0</v>
      </c>
      <c r="G1455" s="10" t="str">
        <f t="shared" si="7"/>
        <v>BXM38-71</v>
      </c>
      <c r="H1455" s="16"/>
      <c r="I1455" s="16" t="str">
        <f t="shared" si="5"/>
        <v>collected</v>
      </c>
      <c r="J1455" s="16" t="str">
        <f t="shared" si="6"/>
        <v>N</v>
      </c>
      <c r="K1455" s="16"/>
      <c r="L1455" s="16"/>
    </row>
    <row r="1456">
      <c r="A1456" s="40" t="s">
        <v>1996</v>
      </c>
      <c r="B1456" s="10" t="str">
        <f t="shared" si="1"/>
        <v>extra_muscle</v>
      </c>
      <c r="C1456" s="49" t="str">
        <f t="shared" si="2"/>
        <v>S16471XM1</v>
      </c>
      <c r="D1456" s="6">
        <v>38.0</v>
      </c>
      <c r="E1456" s="10" t="str">
        <f t="shared" si="3"/>
        <v>BXM38</v>
      </c>
      <c r="F1456" s="13">
        <v>72.0</v>
      </c>
      <c r="G1456" s="10" t="str">
        <f t="shared" si="7"/>
        <v>BXM38-72</v>
      </c>
      <c r="H1456" s="16"/>
      <c r="I1456" s="16" t="str">
        <f t="shared" si="5"/>
        <v>collected</v>
      </c>
      <c r="J1456" s="16" t="str">
        <f t="shared" si="6"/>
        <v>N</v>
      </c>
      <c r="K1456" s="16"/>
      <c r="L1456" s="16"/>
    </row>
    <row r="1457">
      <c r="A1457" s="40" t="s">
        <v>1997</v>
      </c>
      <c r="B1457" s="10" t="str">
        <f t="shared" si="1"/>
        <v>extra_muscle</v>
      </c>
      <c r="C1457" s="49" t="str">
        <f t="shared" si="2"/>
        <v>S16473XM1</v>
      </c>
      <c r="D1457" s="6">
        <v>38.0</v>
      </c>
      <c r="E1457" s="10" t="str">
        <f t="shared" si="3"/>
        <v>BXM38</v>
      </c>
      <c r="F1457" s="13">
        <v>73.0</v>
      </c>
      <c r="G1457" s="10" t="str">
        <f t="shared" si="7"/>
        <v>BXM38-73</v>
      </c>
      <c r="H1457" s="16"/>
      <c r="I1457" s="16" t="str">
        <f t="shared" si="5"/>
        <v>collected</v>
      </c>
      <c r="J1457" s="16" t="str">
        <f t="shared" si="6"/>
        <v>N</v>
      </c>
      <c r="K1457" s="16"/>
      <c r="L1457" s="16"/>
    </row>
    <row r="1458">
      <c r="A1458" s="40" t="s">
        <v>1998</v>
      </c>
      <c r="B1458" s="10" t="str">
        <f t="shared" si="1"/>
        <v>extra_muscle</v>
      </c>
      <c r="C1458" s="49" t="str">
        <f t="shared" si="2"/>
        <v>S16472XM1</v>
      </c>
      <c r="D1458" s="6">
        <v>38.0</v>
      </c>
      <c r="E1458" s="10" t="str">
        <f t="shared" si="3"/>
        <v>BXM38</v>
      </c>
      <c r="F1458" s="13">
        <v>74.0</v>
      </c>
      <c r="G1458" s="10" t="str">
        <f t="shared" si="7"/>
        <v>BXM38-74</v>
      </c>
      <c r="H1458" s="16"/>
      <c r="I1458" s="16" t="str">
        <f t="shared" si="5"/>
        <v>collected</v>
      </c>
      <c r="J1458" s="16" t="str">
        <f t="shared" si="6"/>
        <v>N</v>
      </c>
      <c r="K1458" s="16"/>
      <c r="L1458" s="16"/>
    </row>
    <row r="1459">
      <c r="A1459" s="40" t="s">
        <v>1999</v>
      </c>
      <c r="B1459" s="10" t="str">
        <f t="shared" si="1"/>
        <v>extra_muscle</v>
      </c>
      <c r="C1459" s="49" t="str">
        <f t="shared" si="2"/>
        <v>S16841XM1</v>
      </c>
      <c r="D1459" s="6">
        <v>38.0</v>
      </c>
      <c r="E1459" s="10" t="str">
        <f t="shared" si="3"/>
        <v>BXM38</v>
      </c>
      <c r="F1459" s="13">
        <v>75.0</v>
      </c>
      <c r="G1459" s="10" t="str">
        <f t="shared" si="7"/>
        <v>BXM38-75</v>
      </c>
      <c r="H1459" s="16"/>
      <c r="I1459" s="16" t="str">
        <f t="shared" si="5"/>
        <v>collected</v>
      </c>
      <c r="J1459" s="16" t="str">
        <f t="shared" si="6"/>
        <v>N</v>
      </c>
      <c r="K1459" s="16"/>
      <c r="L1459" s="16"/>
    </row>
    <row r="1460">
      <c r="A1460" s="40" t="s">
        <v>2000</v>
      </c>
      <c r="B1460" s="10" t="str">
        <f t="shared" si="1"/>
        <v>extra_muscle</v>
      </c>
      <c r="C1460" s="49" t="str">
        <f t="shared" si="2"/>
        <v>S16845XM1</v>
      </c>
      <c r="D1460" s="6">
        <v>38.0</v>
      </c>
      <c r="E1460" s="10" t="str">
        <f t="shared" si="3"/>
        <v>BXM38</v>
      </c>
      <c r="F1460" s="13">
        <v>76.0</v>
      </c>
      <c r="G1460" s="10" t="str">
        <f t="shared" si="7"/>
        <v>BXM38-76</v>
      </c>
      <c r="H1460" s="16"/>
      <c r="I1460" s="16" t="str">
        <f t="shared" si="5"/>
        <v>collected</v>
      </c>
      <c r="J1460" s="16" t="str">
        <f t="shared" si="6"/>
        <v>N</v>
      </c>
      <c r="K1460" s="16"/>
      <c r="L1460" s="16"/>
    </row>
    <row r="1461">
      <c r="A1461" s="40" t="s">
        <v>2001</v>
      </c>
      <c r="B1461" s="10" t="str">
        <f t="shared" si="1"/>
        <v>extra_muscle</v>
      </c>
      <c r="C1461" s="49" t="str">
        <f t="shared" si="2"/>
        <v>S16844XM1</v>
      </c>
      <c r="D1461" s="6">
        <v>38.0</v>
      </c>
      <c r="E1461" s="10" t="str">
        <f t="shared" si="3"/>
        <v>BXM38</v>
      </c>
      <c r="F1461" s="13">
        <v>77.0</v>
      </c>
      <c r="G1461" s="10" t="str">
        <f t="shared" si="7"/>
        <v>BXM38-77</v>
      </c>
      <c r="H1461" s="16"/>
      <c r="I1461" s="16" t="str">
        <f t="shared" si="5"/>
        <v>collected</v>
      </c>
      <c r="J1461" s="16" t="str">
        <f t="shared" si="6"/>
        <v>N</v>
      </c>
      <c r="K1461" s="16"/>
      <c r="L1461" s="16"/>
    </row>
    <row r="1462">
      <c r="A1462" s="40" t="s">
        <v>2002</v>
      </c>
      <c r="B1462" s="10" t="str">
        <f t="shared" si="1"/>
        <v>extra_muscle</v>
      </c>
      <c r="C1462" s="49" t="str">
        <f t="shared" si="2"/>
        <v>S16849XM1</v>
      </c>
      <c r="D1462" s="6">
        <v>38.0</v>
      </c>
      <c r="E1462" s="10" t="str">
        <f t="shared" si="3"/>
        <v>BXM38</v>
      </c>
      <c r="F1462" s="13">
        <v>78.0</v>
      </c>
      <c r="G1462" s="10" t="str">
        <f t="shared" si="7"/>
        <v>BXM38-78</v>
      </c>
      <c r="H1462" s="16"/>
      <c r="I1462" s="16" t="str">
        <f t="shared" si="5"/>
        <v>collected</v>
      </c>
      <c r="J1462" s="16" t="str">
        <f t="shared" si="6"/>
        <v>N</v>
      </c>
      <c r="K1462" s="16"/>
      <c r="L1462" s="16"/>
    </row>
    <row r="1463">
      <c r="A1463" s="40" t="s">
        <v>2003</v>
      </c>
      <c r="B1463" s="10" t="str">
        <f t="shared" si="1"/>
        <v>extra_muscle</v>
      </c>
      <c r="C1463" s="49" t="str">
        <f t="shared" si="2"/>
        <v>S16847XM1</v>
      </c>
      <c r="D1463" s="6">
        <v>38.0</v>
      </c>
      <c r="E1463" s="10" t="str">
        <f t="shared" si="3"/>
        <v>BXM38</v>
      </c>
      <c r="F1463" s="13">
        <v>79.0</v>
      </c>
      <c r="G1463" s="10" t="str">
        <f t="shared" si="7"/>
        <v>BXM38-79</v>
      </c>
      <c r="H1463" s="16"/>
      <c r="I1463" s="16" t="str">
        <f t="shared" si="5"/>
        <v>collected</v>
      </c>
      <c r="J1463" s="16" t="str">
        <f t="shared" si="6"/>
        <v>N</v>
      </c>
      <c r="K1463" s="16"/>
      <c r="L1463" s="16"/>
    </row>
    <row r="1464">
      <c r="A1464" s="40" t="s">
        <v>2005</v>
      </c>
      <c r="B1464" s="10" t="str">
        <f t="shared" si="1"/>
        <v>extra_muscle</v>
      </c>
      <c r="C1464" s="49" t="str">
        <f t="shared" si="2"/>
        <v>S16848XM1</v>
      </c>
      <c r="D1464" s="6">
        <v>38.0</v>
      </c>
      <c r="E1464" s="10" t="str">
        <f t="shared" si="3"/>
        <v>BXM38</v>
      </c>
      <c r="F1464" s="13">
        <v>80.0</v>
      </c>
      <c r="G1464" s="10" t="str">
        <f t="shared" si="7"/>
        <v>BXM38-80</v>
      </c>
      <c r="H1464" s="16"/>
      <c r="I1464" s="16" t="str">
        <f t="shared" si="5"/>
        <v>collected</v>
      </c>
      <c r="J1464" s="16" t="str">
        <f t="shared" si="6"/>
        <v>N</v>
      </c>
      <c r="K1464" s="16"/>
      <c r="L1464" s="16"/>
    </row>
    <row r="1465">
      <c r="A1465" s="40" t="s">
        <v>2007</v>
      </c>
      <c r="B1465" s="10" t="str">
        <f t="shared" si="1"/>
        <v>extra_muscle</v>
      </c>
      <c r="C1465" s="49" t="str">
        <f t="shared" si="2"/>
        <v>S16850XM1</v>
      </c>
      <c r="D1465" s="6">
        <v>38.0</v>
      </c>
      <c r="E1465" s="10" t="str">
        <f t="shared" si="3"/>
        <v>BXM38</v>
      </c>
      <c r="F1465" s="13">
        <v>81.0</v>
      </c>
      <c r="G1465" s="10" t="str">
        <f t="shared" si="7"/>
        <v>BXM38-81</v>
      </c>
      <c r="H1465" s="16"/>
      <c r="I1465" s="16" t="str">
        <f t="shared" si="5"/>
        <v>collected</v>
      </c>
      <c r="J1465" s="16" t="str">
        <f t="shared" si="6"/>
        <v>N</v>
      </c>
      <c r="K1465" s="16"/>
      <c r="L1465" s="16"/>
    </row>
    <row r="1466">
      <c r="A1466" s="40" t="s">
        <v>2008</v>
      </c>
      <c r="B1466" s="10" t="str">
        <f t="shared" si="1"/>
        <v>extra_muscle</v>
      </c>
      <c r="C1466" s="49" t="str">
        <f t="shared" si="2"/>
        <v>S16843XM1</v>
      </c>
      <c r="D1466" s="6">
        <v>40.0</v>
      </c>
      <c r="E1466" s="10" t="str">
        <f t="shared" si="3"/>
        <v>BXM40</v>
      </c>
      <c r="F1466" s="13">
        <v>1.0</v>
      </c>
      <c r="G1466" s="10" t="str">
        <f t="shared" si="7"/>
        <v>BXM40-1</v>
      </c>
      <c r="H1466" s="16"/>
      <c r="I1466" s="16" t="str">
        <f t="shared" si="5"/>
        <v>collected</v>
      </c>
      <c r="J1466" s="16" t="str">
        <f t="shared" si="6"/>
        <v>N</v>
      </c>
      <c r="K1466" s="16"/>
      <c r="L1466" s="16"/>
    </row>
    <row r="1467">
      <c r="A1467" s="40" t="s">
        <v>2009</v>
      </c>
      <c r="B1467" s="10" t="str">
        <f t="shared" si="1"/>
        <v>extra_muscle</v>
      </c>
      <c r="C1467" s="49" t="str">
        <f t="shared" si="2"/>
        <v>S16846XM1</v>
      </c>
      <c r="D1467" s="6">
        <v>40.0</v>
      </c>
      <c r="E1467" s="10" t="str">
        <f t="shared" si="3"/>
        <v>BXM40</v>
      </c>
      <c r="F1467" s="13">
        <v>2.0</v>
      </c>
      <c r="G1467" s="10" t="str">
        <f t="shared" si="7"/>
        <v>BXM40-2</v>
      </c>
      <c r="H1467" s="16"/>
      <c r="I1467" s="16" t="str">
        <f t="shared" si="5"/>
        <v>collected</v>
      </c>
      <c r="J1467" s="16" t="str">
        <f t="shared" si="6"/>
        <v>N</v>
      </c>
      <c r="K1467" s="16"/>
      <c r="L1467" s="16"/>
    </row>
    <row r="1468">
      <c r="A1468" s="40" t="s">
        <v>2010</v>
      </c>
      <c r="B1468" s="10" t="str">
        <f t="shared" si="1"/>
        <v>extra_muscle</v>
      </c>
      <c r="C1468" s="49" t="str">
        <f t="shared" si="2"/>
        <v>S16842XM1</v>
      </c>
      <c r="D1468" s="6">
        <v>40.0</v>
      </c>
      <c r="E1468" s="10" t="str">
        <f t="shared" si="3"/>
        <v>BXM40</v>
      </c>
      <c r="F1468" s="13">
        <v>3.0</v>
      </c>
      <c r="G1468" s="10" t="str">
        <f t="shared" si="7"/>
        <v>BXM40-3</v>
      </c>
      <c r="H1468" s="16"/>
      <c r="I1468" s="16" t="str">
        <f t="shared" si="5"/>
        <v>collected</v>
      </c>
      <c r="J1468" s="16" t="str">
        <f t="shared" si="6"/>
        <v>N</v>
      </c>
      <c r="K1468" s="16"/>
      <c r="L1468" s="16"/>
    </row>
    <row r="1469">
      <c r="A1469" s="40" t="s">
        <v>2012</v>
      </c>
      <c r="B1469" s="10" t="str">
        <f t="shared" si="1"/>
        <v>extra_muscle</v>
      </c>
      <c r="C1469" s="49" t="str">
        <f t="shared" si="2"/>
        <v>S16771XM1</v>
      </c>
      <c r="D1469" s="6">
        <v>40.0</v>
      </c>
      <c r="E1469" s="10" t="str">
        <f t="shared" si="3"/>
        <v>BXM40</v>
      </c>
      <c r="F1469" s="13">
        <v>4.0</v>
      </c>
      <c r="G1469" s="10" t="str">
        <f t="shared" si="7"/>
        <v>BXM40-4</v>
      </c>
      <c r="H1469" s="16"/>
      <c r="I1469" s="16" t="str">
        <f t="shared" si="5"/>
        <v>collected</v>
      </c>
      <c r="J1469" s="16" t="str">
        <f t="shared" si="6"/>
        <v>N</v>
      </c>
      <c r="K1469" s="16"/>
      <c r="L1469" s="16"/>
    </row>
    <row r="1470">
      <c r="A1470" s="40" t="s">
        <v>2013</v>
      </c>
      <c r="B1470" s="10" t="str">
        <f t="shared" si="1"/>
        <v>extra_muscle</v>
      </c>
      <c r="C1470" s="49" t="str">
        <f t="shared" si="2"/>
        <v>S16779XM1</v>
      </c>
      <c r="D1470" s="6">
        <v>40.0</v>
      </c>
      <c r="E1470" s="10" t="str">
        <f t="shared" si="3"/>
        <v>BXM40</v>
      </c>
      <c r="F1470" s="13">
        <v>5.0</v>
      </c>
      <c r="G1470" s="10" t="str">
        <f t="shared" si="7"/>
        <v>BXM40-5</v>
      </c>
      <c r="H1470" s="16"/>
      <c r="I1470" s="16" t="str">
        <f t="shared" si="5"/>
        <v>collected</v>
      </c>
      <c r="J1470" s="16" t="str">
        <f t="shared" si="6"/>
        <v>N</v>
      </c>
      <c r="K1470" s="16"/>
      <c r="L1470" s="16"/>
    </row>
    <row r="1471">
      <c r="A1471" s="40" t="s">
        <v>2014</v>
      </c>
      <c r="B1471" s="10" t="str">
        <f t="shared" si="1"/>
        <v>extra_muscle</v>
      </c>
      <c r="C1471" s="49" t="str">
        <f t="shared" si="2"/>
        <v>S16776XM1</v>
      </c>
      <c r="D1471" s="6">
        <v>40.0</v>
      </c>
      <c r="E1471" s="10" t="str">
        <f t="shared" si="3"/>
        <v>BXM40</v>
      </c>
      <c r="F1471" s="13">
        <v>6.0</v>
      </c>
      <c r="G1471" s="10" t="str">
        <f t="shared" si="7"/>
        <v>BXM40-6</v>
      </c>
      <c r="H1471" s="16"/>
      <c r="I1471" s="16" t="str">
        <f t="shared" si="5"/>
        <v>collected</v>
      </c>
      <c r="J1471" s="16" t="str">
        <f t="shared" si="6"/>
        <v>N</v>
      </c>
      <c r="K1471" s="16"/>
      <c r="L1471" s="16"/>
    </row>
    <row r="1472">
      <c r="A1472" s="40" t="s">
        <v>2015</v>
      </c>
      <c r="B1472" s="10" t="str">
        <f t="shared" si="1"/>
        <v>extra_muscle</v>
      </c>
      <c r="C1472" s="49" t="str">
        <f t="shared" si="2"/>
        <v>S16780XM1</v>
      </c>
      <c r="D1472" s="6">
        <v>40.0</v>
      </c>
      <c r="E1472" s="10" t="str">
        <f t="shared" si="3"/>
        <v>BXM40</v>
      </c>
      <c r="F1472" s="13">
        <v>7.0</v>
      </c>
      <c r="G1472" s="10" t="str">
        <f t="shared" si="7"/>
        <v>BXM40-7</v>
      </c>
      <c r="H1472" s="16"/>
      <c r="I1472" s="16" t="str">
        <f t="shared" si="5"/>
        <v>collected</v>
      </c>
      <c r="J1472" s="16" t="str">
        <f t="shared" si="6"/>
        <v>N</v>
      </c>
      <c r="K1472" s="16"/>
      <c r="L1472" s="16"/>
    </row>
    <row r="1473">
      <c r="A1473" s="40" t="s">
        <v>2016</v>
      </c>
      <c r="B1473" s="10" t="str">
        <f t="shared" si="1"/>
        <v>extra_muscle</v>
      </c>
      <c r="C1473" s="49" t="str">
        <f t="shared" si="2"/>
        <v>S16774XM1</v>
      </c>
      <c r="D1473" s="6">
        <v>40.0</v>
      </c>
      <c r="E1473" s="10" t="str">
        <f t="shared" si="3"/>
        <v>BXM40</v>
      </c>
      <c r="F1473" s="13">
        <v>8.0</v>
      </c>
      <c r="G1473" s="10" t="str">
        <f t="shared" si="7"/>
        <v>BXM40-8</v>
      </c>
      <c r="H1473" s="16"/>
      <c r="I1473" s="16" t="str">
        <f t="shared" si="5"/>
        <v>collected</v>
      </c>
      <c r="J1473" s="16" t="str">
        <f t="shared" si="6"/>
        <v>N</v>
      </c>
      <c r="K1473" s="16"/>
      <c r="L1473" s="16"/>
    </row>
    <row r="1474">
      <c r="A1474" s="40" t="s">
        <v>2017</v>
      </c>
      <c r="B1474" s="10" t="str">
        <f t="shared" si="1"/>
        <v>extra_muscle</v>
      </c>
      <c r="C1474" s="49" t="str">
        <f t="shared" si="2"/>
        <v>S16773XM1</v>
      </c>
      <c r="D1474" s="6">
        <v>40.0</v>
      </c>
      <c r="E1474" s="10" t="str">
        <f t="shared" si="3"/>
        <v>BXM40</v>
      </c>
      <c r="F1474" s="13">
        <v>9.0</v>
      </c>
      <c r="G1474" s="10" t="str">
        <f t="shared" si="7"/>
        <v>BXM40-9</v>
      </c>
      <c r="H1474" s="16"/>
      <c r="I1474" s="16" t="str">
        <f t="shared" si="5"/>
        <v>collected</v>
      </c>
      <c r="J1474" s="16" t="str">
        <f t="shared" si="6"/>
        <v>N</v>
      </c>
      <c r="K1474" s="16"/>
      <c r="L1474" s="16"/>
    </row>
    <row r="1475">
      <c r="A1475" s="27" t="s">
        <v>2018</v>
      </c>
      <c r="B1475" s="10" t="str">
        <f t="shared" si="1"/>
        <v>extra_muscle</v>
      </c>
      <c r="C1475" s="49" t="str">
        <f t="shared" si="2"/>
        <v>S17179XM1</v>
      </c>
      <c r="D1475" s="6">
        <v>39.0</v>
      </c>
      <c r="E1475" s="10" t="str">
        <f t="shared" si="3"/>
        <v>BXM39</v>
      </c>
      <c r="F1475" s="13">
        <v>29.0</v>
      </c>
      <c r="G1475" s="10" t="str">
        <f t="shared" si="7"/>
        <v>BXM39-29</v>
      </c>
      <c r="H1475" s="16"/>
      <c r="I1475" s="16" t="str">
        <f t="shared" si="5"/>
        <v>collected</v>
      </c>
      <c r="J1475" s="16" t="str">
        <f t="shared" si="6"/>
        <v>N</v>
      </c>
      <c r="K1475" s="16"/>
      <c r="L1475" s="16"/>
    </row>
    <row r="1476">
      <c r="A1476" s="27" t="s">
        <v>2019</v>
      </c>
      <c r="B1476" s="10" t="str">
        <f t="shared" si="1"/>
        <v>extra_muscle</v>
      </c>
      <c r="C1476" s="49" t="str">
        <f t="shared" si="2"/>
        <v>S17178XM1</v>
      </c>
      <c r="D1476" s="6">
        <v>39.0</v>
      </c>
      <c r="E1476" s="10" t="str">
        <f t="shared" si="3"/>
        <v>BXM39</v>
      </c>
      <c r="F1476" s="13">
        <v>30.0</v>
      </c>
      <c r="G1476" s="10" t="str">
        <f t="shared" si="7"/>
        <v>BXM39-30</v>
      </c>
      <c r="H1476" s="16"/>
      <c r="I1476" s="16" t="str">
        <f t="shared" si="5"/>
        <v>collected</v>
      </c>
      <c r="J1476" s="16" t="str">
        <f t="shared" si="6"/>
        <v>N</v>
      </c>
      <c r="K1476" s="16"/>
      <c r="L1476" s="16"/>
    </row>
    <row r="1477">
      <c r="A1477" s="27" t="s">
        <v>2020</v>
      </c>
      <c r="B1477" s="10" t="str">
        <f t="shared" si="1"/>
        <v>extra_muscle</v>
      </c>
      <c r="C1477" s="49" t="str">
        <f t="shared" si="2"/>
        <v>S17171XM1</v>
      </c>
      <c r="D1477" s="6">
        <v>39.0</v>
      </c>
      <c r="E1477" s="10" t="str">
        <f t="shared" si="3"/>
        <v>BXM39</v>
      </c>
      <c r="F1477" s="13">
        <v>31.0</v>
      </c>
      <c r="G1477" s="10" t="str">
        <f t="shared" si="7"/>
        <v>BXM39-31</v>
      </c>
      <c r="H1477" s="16"/>
      <c r="I1477" s="16" t="str">
        <f t="shared" si="5"/>
        <v>collected</v>
      </c>
      <c r="J1477" s="16" t="str">
        <f t="shared" si="6"/>
        <v>N</v>
      </c>
      <c r="K1477" s="16"/>
      <c r="L1477" s="16"/>
    </row>
    <row r="1478">
      <c r="A1478" s="27" t="s">
        <v>2021</v>
      </c>
      <c r="B1478" s="10" t="str">
        <f t="shared" si="1"/>
        <v>extra_muscle</v>
      </c>
      <c r="C1478" s="49" t="str">
        <f t="shared" si="2"/>
        <v>S17175XM1</v>
      </c>
      <c r="D1478" s="6">
        <v>39.0</v>
      </c>
      <c r="E1478" s="10" t="str">
        <f t="shared" si="3"/>
        <v>BXM39</v>
      </c>
      <c r="F1478" s="13">
        <v>32.0</v>
      </c>
      <c r="G1478" s="10" t="str">
        <f t="shared" si="7"/>
        <v>BXM39-32</v>
      </c>
      <c r="H1478" s="16"/>
      <c r="I1478" s="16" t="str">
        <f t="shared" si="5"/>
        <v>collected</v>
      </c>
      <c r="J1478" s="16" t="str">
        <f t="shared" si="6"/>
        <v>N</v>
      </c>
      <c r="K1478" s="16"/>
      <c r="L1478" s="16"/>
    </row>
    <row r="1479">
      <c r="A1479" s="27" t="s">
        <v>2022</v>
      </c>
      <c r="B1479" s="10" t="str">
        <f t="shared" si="1"/>
        <v>extra_muscle</v>
      </c>
      <c r="C1479" s="49" t="str">
        <f t="shared" si="2"/>
        <v>S17174XM1</v>
      </c>
      <c r="D1479" s="6">
        <v>39.0</v>
      </c>
      <c r="E1479" s="10" t="str">
        <f t="shared" si="3"/>
        <v>BXM39</v>
      </c>
      <c r="F1479" s="13">
        <v>33.0</v>
      </c>
      <c r="G1479" s="10" t="str">
        <f t="shared" si="7"/>
        <v>BXM39-33</v>
      </c>
      <c r="H1479" s="16"/>
      <c r="I1479" s="16" t="str">
        <f t="shared" si="5"/>
        <v>collected</v>
      </c>
      <c r="J1479" s="16" t="str">
        <f t="shared" si="6"/>
        <v>N</v>
      </c>
      <c r="K1479" s="16"/>
      <c r="L1479" s="16"/>
    </row>
    <row r="1480">
      <c r="A1480" s="27" t="s">
        <v>2023</v>
      </c>
      <c r="B1480" s="10" t="str">
        <f t="shared" si="1"/>
        <v>extra_muscle</v>
      </c>
      <c r="C1480" s="49" t="str">
        <f t="shared" si="2"/>
        <v>S17177XM1</v>
      </c>
      <c r="D1480" s="6">
        <v>39.0</v>
      </c>
      <c r="E1480" s="10" t="str">
        <f t="shared" si="3"/>
        <v>BXM39</v>
      </c>
      <c r="F1480" s="13">
        <v>34.0</v>
      </c>
      <c r="G1480" s="10" t="str">
        <f t="shared" si="7"/>
        <v>BXM39-34</v>
      </c>
      <c r="H1480" s="16"/>
      <c r="I1480" s="16" t="str">
        <f t="shared" si="5"/>
        <v>collected</v>
      </c>
      <c r="J1480" s="16" t="str">
        <f t="shared" si="6"/>
        <v>N</v>
      </c>
      <c r="K1480" s="16"/>
      <c r="L1480" s="16"/>
    </row>
    <row r="1481">
      <c r="A1481" s="27" t="s">
        <v>2024</v>
      </c>
      <c r="B1481" s="10" t="str">
        <f t="shared" si="1"/>
        <v>extra_muscle</v>
      </c>
      <c r="C1481" s="49" t="str">
        <f t="shared" si="2"/>
        <v>S17176XM1</v>
      </c>
      <c r="D1481" s="6">
        <v>39.0</v>
      </c>
      <c r="E1481" s="10" t="str">
        <f t="shared" si="3"/>
        <v>BXM39</v>
      </c>
      <c r="F1481" s="13">
        <v>35.0</v>
      </c>
      <c r="G1481" s="10" t="str">
        <f t="shared" si="7"/>
        <v>BXM39-35</v>
      </c>
      <c r="H1481" s="16"/>
      <c r="I1481" s="16" t="str">
        <f t="shared" si="5"/>
        <v>collected</v>
      </c>
      <c r="J1481" s="16" t="str">
        <f t="shared" si="6"/>
        <v>N</v>
      </c>
      <c r="K1481" s="16"/>
      <c r="L1481" s="16"/>
    </row>
    <row r="1482">
      <c r="A1482" s="27" t="s">
        <v>2025</v>
      </c>
      <c r="B1482" s="10" t="str">
        <f t="shared" si="1"/>
        <v>extra_muscle</v>
      </c>
      <c r="C1482" s="49" t="str">
        <f t="shared" si="2"/>
        <v>S17172XM1</v>
      </c>
      <c r="D1482" s="6">
        <v>39.0</v>
      </c>
      <c r="E1482" s="10" t="str">
        <f t="shared" si="3"/>
        <v>BXM39</v>
      </c>
      <c r="F1482" s="13">
        <v>36.0</v>
      </c>
      <c r="G1482" s="10" t="str">
        <f t="shared" si="7"/>
        <v>BXM39-36</v>
      </c>
      <c r="H1482" s="16"/>
      <c r="I1482" s="16" t="str">
        <f t="shared" si="5"/>
        <v>collected</v>
      </c>
      <c r="J1482" s="16" t="str">
        <f t="shared" si="6"/>
        <v>N</v>
      </c>
      <c r="K1482" s="16"/>
      <c r="L1482" s="16"/>
    </row>
    <row r="1483">
      <c r="A1483" s="27" t="s">
        <v>2026</v>
      </c>
      <c r="B1483" s="10" t="str">
        <f t="shared" si="1"/>
        <v>extra_muscle</v>
      </c>
      <c r="C1483" s="49" t="str">
        <f t="shared" si="2"/>
        <v>S17173XM1</v>
      </c>
      <c r="D1483" s="6">
        <v>39.0</v>
      </c>
      <c r="E1483" s="10" t="str">
        <f t="shared" si="3"/>
        <v>BXM39</v>
      </c>
      <c r="F1483" s="13">
        <v>37.0</v>
      </c>
      <c r="G1483" s="10" t="str">
        <f t="shared" si="7"/>
        <v>BXM39-37</v>
      </c>
      <c r="H1483" s="16"/>
      <c r="I1483" s="16" t="str">
        <f t="shared" si="5"/>
        <v>collected</v>
      </c>
      <c r="J1483" s="16" t="str">
        <f t="shared" si="6"/>
        <v>N</v>
      </c>
      <c r="K1483" s="16"/>
      <c r="L1483" s="16"/>
    </row>
    <row r="1484">
      <c r="A1484" s="27" t="s">
        <v>2027</v>
      </c>
      <c r="B1484" s="10" t="str">
        <f t="shared" si="1"/>
        <v>extra_muscle</v>
      </c>
      <c r="C1484" s="49" t="str">
        <f t="shared" si="2"/>
        <v>S16595XM1</v>
      </c>
      <c r="D1484" s="6">
        <v>39.0</v>
      </c>
      <c r="E1484" s="10" t="str">
        <f t="shared" si="3"/>
        <v>BXM39</v>
      </c>
      <c r="F1484" s="13">
        <v>38.0</v>
      </c>
      <c r="G1484" s="10" t="str">
        <f t="shared" si="7"/>
        <v>BXM39-38</v>
      </c>
      <c r="H1484" s="16"/>
      <c r="I1484" s="16" t="str">
        <f t="shared" si="5"/>
        <v>collected</v>
      </c>
      <c r="J1484" s="16" t="str">
        <f t="shared" si="6"/>
        <v>N</v>
      </c>
      <c r="K1484" s="16"/>
      <c r="L1484" s="16"/>
    </row>
    <row r="1485">
      <c r="A1485" s="27" t="s">
        <v>2028</v>
      </c>
      <c r="B1485" s="10" t="str">
        <f t="shared" si="1"/>
        <v>extra_muscle</v>
      </c>
      <c r="C1485" s="49" t="str">
        <f t="shared" si="2"/>
        <v>S16591XM1</v>
      </c>
      <c r="D1485" s="6">
        <v>39.0</v>
      </c>
      <c r="E1485" s="10" t="str">
        <f t="shared" si="3"/>
        <v>BXM39</v>
      </c>
      <c r="F1485" s="13">
        <v>39.0</v>
      </c>
      <c r="G1485" s="10" t="str">
        <f t="shared" si="7"/>
        <v>BXM39-39</v>
      </c>
      <c r="H1485" s="16"/>
      <c r="I1485" s="16" t="str">
        <f t="shared" si="5"/>
        <v>collected</v>
      </c>
      <c r="J1485" s="16" t="str">
        <f t="shared" si="6"/>
        <v>N</v>
      </c>
      <c r="K1485" s="16"/>
      <c r="L1485" s="16"/>
    </row>
    <row r="1486">
      <c r="A1486" s="27" t="s">
        <v>2029</v>
      </c>
      <c r="B1486" s="10" t="str">
        <f t="shared" si="1"/>
        <v>extra_muscle</v>
      </c>
      <c r="C1486" s="49" t="str">
        <f t="shared" si="2"/>
        <v>S16593XM1</v>
      </c>
      <c r="D1486" s="6">
        <v>39.0</v>
      </c>
      <c r="E1486" s="10" t="str">
        <f t="shared" si="3"/>
        <v>BXM39</v>
      </c>
      <c r="F1486" s="13">
        <v>40.0</v>
      </c>
      <c r="G1486" s="10" t="str">
        <f t="shared" si="7"/>
        <v>BXM39-40</v>
      </c>
      <c r="H1486" s="16"/>
      <c r="I1486" s="16" t="str">
        <f t="shared" si="5"/>
        <v>collected</v>
      </c>
      <c r="J1486" s="16" t="str">
        <f t="shared" si="6"/>
        <v>N</v>
      </c>
      <c r="K1486" s="16"/>
      <c r="L1486" s="16"/>
    </row>
    <row r="1487">
      <c r="A1487" s="27" t="s">
        <v>2030</v>
      </c>
      <c r="B1487" s="10" t="str">
        <f t="shared" si="1"/>
        <v>extra_muscle</v>
      </c>
      <c r="C1487" s="49" t="str">
        <f t="shared" si="2"/>
        <v>S16594XM1</v>
      </c>
      <c r="D1487" s="6">
        <v>39.0</v>
      </c>
      <c r="E1487" s="10" t="str">
        <f t="shared" si="3"/>
        <v>BXM39</v>
      </c>
      <c r="F1487" s="13">
        <v>41.0</v>
      </c>
      <c r="G1487" s="10" t="str">
        <f t="shared" si="7"/>
        <v>BXM39-41</v>
      </c>
      <c r="H1487" s="16"/>
      <c r="I1487" s="16" t="str">
        <f t="shared" si="5"/>
        <v>collected</v>
      </c>
      <c r="J1487" s="16" t="str">
        <f t="shared" si="6"/>
        <v>N</v>
      </c>
      <c r="K1487" s="16"/>
      <c r="L1487" s="16"/>
    </row>
    <row r="1488">
      <c r="A1488" s="27" t="s">
        <v>2031</v>
      </c>
      <c r="B1488" s="10" t="str">
        <f t="shared" si="1"/>
        <v>extra_muscle</v>
      </c>
      <c r="C1488" s="49" t="str">
        <f t="shared" si="2"/>
        <v>S16592XM1</v>
      </c>
      <c r="D1488" s="6">
        <v>39.0</v>
      </c>
      <c r="E1488" s="10" t="str">
        <f t="shared" si="3"/>
        <v>BXM39</v>
      </c>
      <c r="F1488" s="13">
        <v>42.0</v>
      </c>
      <c r="G1488" s="10" t="str">
        <f t="shared" si="7"/>
        <v>BXM39-42</v>
      </c>
      <c r="H1488" s="16"/>
      <c r="I1488" s="16" t="str">
        <f t="shared" si="5"/>
        <v>collected</v>
      </c>
      <c r="J1488" s="16" t="str">
        <f t="shared" si="6"/>
        <v>N</v>
      </c>
      <c r="K1488" s="16"/>
      <c r="L1488" s="16"/>
    </row>
    <row r="1489">
      <c r="A1489" s="27" t="s">
        <v>2032</v>
      </c>
      <c r="B1489" s="10" t="str">
        <f t="shared" si="1"/>
        <v>extra_muscle</v>
      </c>
      <c r="C1489" s="49" t="str">
        <f t="shared" si="2"/>
        <v>S16635XM1</v>
      </c>
      <c r="D1489" s="6">
        <v>39.0</v>
      </c>
      <c r="E1489" s="10" t="str">
        <f t="shared" si="3"/>
        <v>BXM39</v>
      </c>
      <c r="F1489" s="13">
        <v>43.0</v>
      </c>
      <c r="G1489" s="10" t="str">
        <f t="shared" si="7"/>
        <v>BXM39-43</v>
      </c>
      <c r="H1489" s="16"/>
      <c r="I1489" s="16" t="str">
        <f t="shared" si="5"/>
        <v>collected</v>
      </c>
      <c r="J1489" s="16" t="str">
        <f t="shared" si="6"/>
        <v>N</v>
      </c>
      <c r="K1489" s="16"/>
      <c r="L1489" s="16"/>
    </row>
    <row r="1490">
      <c r="A1490" s="27" t="s">
        <v>2033</v>
      </c>
      <c r="B1490" s="10" t="str">
        <f t="shared" si="1"/>
        <v>extra_muscle</v>
      </c>
      <c r="C1490" s="49" t="str">
        <f t="shared" si="2"/>
        <v>S16640XM1</v>
      </c>
      <c r="D1490" s="6">
        <v>39.0</v>
      </c>
      <c r="E1490" s="10" t="str">
        <f t="shared" si="3"/>
        <v>BXM39</v>
      </c>
      <c r="F1490" s="13">
        <v>44.0</v>
      </c>
      <c r="G1490" s="10" t="str">
        <f t="shared" si="7"/>
        <v>BXM39-44</v>
      </c>
      <c r="H1490" s="16"/>
      <c r="I1490" s="16" t="str">
        <f t="shared" si="5"/>
        <v>collected</v>
      </c>
      <c r="J1490" s="16" t="str">
        <f t="shared" si="6"/>
        <v>N</v>
      </c>
      <c r="K1490" s="16"/>
      <c r="L1490" s="16"/>
    </row>
    <row r="1491">
      <c r="A1491" s="27" t="s">
        <v>2034</v>
      </c>
      <c r="B1491" s="10" t="str">
        <f t="shared" si="1"/>
        <v>extra_muscle</v>
      </c>
      <c r="C1491" s="49" t="str">
        <f t="shared" si="2"/>
        <v>S16639XM1</v>
      </c>
      <c r="D1491" s="6">
        <v>39.0</v>
      </c>
      <c r="E1491" s="10" t="str">
        <f t="shared" si="3"/>
        <v>BXM39</v>
      </c>
      <c r="F1491" s="13">
        <v>45.0</v>
      </c>
      <c r="G1491" s="10" t="str">
        <f t="shared" si="7"/>
        <v>BXM39-45</v>
      </c>
      <c r="H1491" s="16"/>
      <c r="I1491" s="16" t="str">
        <f t="shared" si="5"/>
        <v>collected</v>
      </c>
      <c r="J1491" s="16" t="str">
        <f t="shared" si="6"/>
        <v>N</v>
      </c>
      <c r="K1491" s="16"/>
      <c r="L1491" s="16"/>
    </row>
    <row r="1492">
      <c r="A1492" s="27" t="s">
        <v>2035</v>
      </c>
      <c r="B1492" s="10" t="str">
        <f t="shared" si="1"/>
        <v>extra_muscle</v>
      </c>
      <c r="C1492" s="49" t="str">
        <f t="shared" si="2"/>
        <v>S16634XM1</v>
      </c>
      <c r="D1492" s="6">
        <v>39.0</v>
      </c>
      <c r="E1492" s="10" t="str">
        <f t="shared" si="3"/>
        <v>BXM39</v>
      </c>
      <c r="F1492" s="13">
        <v>46.0</v>
      </c>
      <c r="G1492" s="10" t="str">
        <f t="shared" si="7"/>
        <v>BXM39-46</v>
      </c>
      <c r="H1492" s="16"/>
      <c r="I1492" s="16" t="str">
        <f t="shared" si="5"/>
        <v>collected</v>
      </c>
      <c r="J1492" s="16" t="str">
        <f t="shared" si="6"/>
        <v>N</v>
      </c>
      <c r="K1492" s="16"/>
      <c r="L1492" s="16"/>
    </row>
    <row r="1493">
      <c r="A1493" s="27" t="s">
        <v>2036</v>
      </c>
      <c r="B1493" s="10" t="str">
        <f t="shared" si="1"/>
        <v>extra_muscle</v>
      </c>
      <c r="C1493" s="49" t="str">
        <f t="shared" si="2"/>
        <v>S16631XM1</v>
      </c>
      <c r="D1493" s="6">
        <v>39.0</v>
      </c>
      <c r="E1493" s="10" t="str">
        <f t="shared" si="3"/>
        <v>BXM39</v>
      </c>
      <c r="F1493" s="13">
        <v>47.0</v>
      </c>
      <c r="G1493" s="10" t="str">
        <f t="shared" si="7"/>
        <v>BXM39-47</v>
      </c>
      <c r="H1493" s="16"/>
      <c r="I1493" s="16" t="str">
        <f t="shared" si="5"/>
        <v>collected</v>
      </c>
      <c r="J1493" s="16" t="str">
        <f t="shared" si="6"/>
        <v>N</v>
      </c>
      <c r="K1493" s="16"/>
      <c r="L1493" s="16"/>
    </row>
    <row r="1494">
      <c r="A1494" s="27" t="s">
        <v>2037</v>
      </c>
      <c r="B1494" s="10" t="str">
        <f t="shared" si="1"/>
        <v>extra_muscle</v>
      </c>
      <c r="C1494" s="49" t="str">
        <f t="shared" si="2"/>
        <v>S16636XM1</v>
      </c>
      <c r="D1494" s="6">
        <v>39.0</v>
      </c>
      <c r="E1494" s="10" t="str">
        <f t="shared" si="3"/>
        <v>BXM39</v>
      </c>
      <c r="F1494" s="13">
        <v>48.0</v>
      </c>
      <c r="G1494" s="10" t="str">
        <f t="shared" si="7"/>
        <v>BXM39-48</v>
      </c>
      <c r="H1494" s="16"/>
      <c r="I1494" s="16" t="str">
        <f t="shared" si="5"/>
        <v>collected</v>
      </c>
      <c r="J1494" s="16" t="str">
        <f t="shared" si="6"/>
        <v>N</v>
      </c>
      <c r="K1494" s="16"/>
      <c r="L1494" s="16"/>
    </row>
    <row r="1495">
      <c r="A1495" s="27" t="s">
        <v>2038</v>
      </c>
      <c r="B1495" s="10" t="str">
        <f t="shared" si="1"/>
        <v>extra_muscle</v>
      </c>
      <c r="C1495" s="49" t="str">
        <f t="shared" si="2"/>
        <v>S16632XM1</v>
      </c>
      <c r="D1495" s="6">
        <v>39.0</v>
      </c>
      <c r="E1495" s="10" t="str">
        <f t="shared" si="3"/>
        <v>BXM39</v>
      </c>
      <c r="F1495" s="13">
        <v>49.0</v>
      </c>
      <c r="G1495" s="10" t="str">
        <f t="shared" si="7"/>
        <v>BXM39-49</v>
      </c>
      <c r="H1495" s="16"/>
      <c r="I1495" s="16" t="str">
        <f t="shared" si="5"/>
        <v>collected</v>
      </c>
      <c r="J1495" s="16" t="str">
        <f t="shared" si="6"/>
        <v>N</v>
      </c>
      <c r="K1495" s="16"/>
      <c r="L1495" s="16"/>
    </row>
    <row r="1496">
      <c r="A1496" s="27" t="s">
        <v>2039</v>
      </c>
      <c r="B1496" s="10" t="str">
        <f t="shared" si="1"/>
        <v>extra_muscle</v>
      </c>
      <c r="C1496" s="49" t="str">
        <f t="shared" si="2"/>
        <v>S16638XM1</v>
      </c>
      <c r="D1496" s="6">
        <v>39.0</v>
      </c>
      <c r="E1496" s="10" t="str">
        <f t="shared" si="3"/>
        <v>BXM39</v>
      </c>
      <c r="F1496" s="13">
        <v>50.0</v>
      </c>
      <c r="G1496" s="10" t="str">
        <f t="shared" si="7"/>
        <v>BXM39-50</v>
      </c>
      <c r="H1496" s="16"/>
      <c r="I1496" s="16" t="str">
        <f t="shared" si="5"/>
        <v>collected</v>
      </c>
      <c r="J1496" s="16" t="str">
        <f t="shared" si="6"/>
        <v>N</v>
      </c>
      <c r="K1496" s="16"/>
      <c r="L1496" s="16"/>
    </row>
    <row r="1497">
      <c r="A1497" s="40" t="s">
        <v>2040</v>
      </c>
      <c r="B1497" s="10" t="str">
        <f t="shared" si="1"/>
        <v>extra_muscle</v>
      </c>
      <c r="C1497" s="49" t="str">
        <f t="shared" si="2"/>
        <v>S16775XM1</v>
      </c>
      <c r="D1497" s="6">
        <v>40.0</v>
      </c>
      <c r="E1497" s="10" t="str">
        <f t="shared" si="3"/>
        <v>BXM40</v>
      </c>
      <c r="F1497" s="13">
        <v>10.0</v>
      </c>
      <c r="G1497" s="10" t="str">
        <f t="shared" si="7"/>
        <v>BXM40-10</v>
      </c>
      <c r="H1497" s="16"/>
      <c r="I1497" s="16" t="str">
        <f t="shared" si="5"/>
        <v>collected</v>
      </c>
      <c r="J1497" s="16" t="str">
        <f t="shared" si="6"/>
        <v>N</v>
      </c>
      <c r="K1497" s="16"/>
      <c r="L1497" s="16"/>
    </row>
    <row r="1498">
      <c r="A1498" s="40" t="s">
        <v>2041</v>
      </c>
      <c r="B1498" s="10" t="str">
        <f t="shared" si="1"/>
        <v>extra_muscle</v>
      </c>
      <c r="C1498" s="49" t="str">
        <f t="shared" si="2"/>
        <v>S16772XM1</v>
      </c>
      <c r="D1498" s="6">
        <v>40.0</v>
      </c>
      <c r="E1498" s="10" t="str">
        <f t="shared" si="3"/>
        <v>BXM40</v>
      </c>
      <c r="F1498" s="13">
        <v>11.0</v>
      </c>
      <c r="G1498" s="10" t="str">
        <f t="shared" si="7"/>
        <v>BXM40-11</v>
      </c>
      <c r="H1498" s="16"/>
      <c r="I1498" s="16" t="str">
        <f t="shared" si="5"/>
        <v>collected</v>
      </c>
      <c r="J1498" s="16" t="str">
        <f t="shared" si="6"/>
        <v>N</v>
      </c>
      <c r="K1498" s="16"/>
      <c r="L1498" s="16"/>
    </row>
    <row r="1499">
      <c r="A1499" s="40" t="s">
        <v>2042</v>
      </c>
      <c r="B1499" s="10" t="str">
        <f t="shared" si="1"/>
        <v>extra_muscle</v>
      </c>
      <c r="C1499" s="49" t="str">
        <f t="shared" si="2"/>
        <v>S16778XM1</v>
      </c>
      <c r="D1499" s="6">
        <v>40.0</v>
      </c>
      <c r="E1499" s="10" t="str">
        <f t="shared" si="3"/>
        <v>BXM40</v>
      </c>
      <c r="F1499" s="13">
        <v>12.0</v>
      </c>
      <c r="G1499" s="10" t="str">
        <f t="shared" si="7"/>
        <v>BXM40-12</v>
      </c>
      <c r="H1499" s="16"/>
      <c r="I1499" s="16" t="str">
        <f t="shared" si="5"/>
        <v>collected</v>
      </c>
      <c r="J1499" s="16" t="str">
        <f t="shared" si="6"/>
        <v>N</v>
      </c>
      <c r="K1499" s="16"/>
      <c r="L1499" s="16"/>
    </row>
    <row r="1500">
      <c r="A1500" s="40" t="s">
        <v>2043</v>
      </c>
      <c r="B1500" s="10" t="str">
        <f t="shared" si="1"/>
        <v>extra_muscle</v>
      </c>
      <c r="C1500" s="49" t="str">
        <f t="shared" si="2"/>
        <v>S16777XM1</v>
      </c>
      <c r="D1500" s="6">
        <v>40.0</v>
      </c>
      <c r="E1500" s="10" t="str">
        <f t="shared" si="3"/>
        <v>BXM40</v>
      </c>
      <c r="F1500" s="13">
        <v>13.0</v>
      </c>
      <c r="G1500" s="10" t="str">
        <f t="shared" si="7"/>
        <v>BXM40-13</v>
      </c>
      <c r="H1500" s="16"/>
      <c r="I1500" s="16" t="str">
        <f t="shared" si="5"/>
        <v>collected</v>
      </c>
      <c r="J1500" s="16" t="str">
        <f t="shared" si="6"/>
        <v>N</v>
      </c>
      <c r="K1500" s="16"/>
      <c r="L1500" s="16"/>
    </row>
    <row r="1501">
      <c r="A1501" s="40" t="s">
        <v>2044</v>
      </c>
      <c r="B1501" s="10" t="str">
        <f t="shared" si="1"/>
        <v>extra_muscle</v>
      </c>
      <c r="C1501" s="49" t="str">
        <f t="shared" si="2"/>
        <v>S16091XM1</v>
      </c>
      <c r="D1501" s="6">
        <v>40.0</v>
      </c>
      <c r="E1501" s="10" t="str">
        <f t="shared" si="3"/>
        <v>BXM40</v>
      </c>
      <c r="F1501" s="13">
        <v>14.0</v>
      </c>
      <c r="G1501" s="10" t="str">
        <f t="shared" si="7"/>
        <v>BXM40-14</v>
      </c>
      <c r="H1501" s="16"/>
      <c r="I1501" s="16" t="str">
        <f t="shared" si="5"/>
        <v>collected</v>
      </c>
      <c r="J1501" s="16" t="str">
        <f t="shared" si="6"/>
        <v>N</v>
      </c>
      <c r="K1501" s="16"/>
      <c r="L1501" s="16"/>
    </row>
    <row r="1502">
      <c r="A1502" s="40" t="s">
        <v>2045</v>
      </c>
      <c r="B1502" s="10" t="str">
        <f t="shared" si="1"/>
        <v>extra_muscle</v>
      </c>
      <c r="C1502" s="49" t="str">
        <f t="shared" si="2"/>
        <v>S16097XM1</v>
      </c>
      <c r="D1502" s="6">
        <v>40.0</v>
      </c>
      <c r="E1502" s="10" t="str">
        <f t="shared" si="3"/>
        <v>BXM40</v>
      </c>
      <c r="F1502" s="13">
        <v>15.0</v>
      </c>
      <c r="G1502" s="10" t="str">
        <f t="shared" si="7"/>
        <v>BXM40-15</v>
      </c>
      <c r="H1502" s="16"/>
      <c r="I1502" s="16" t="str">
        <f t="shared" si="5"/>
        <v>collected</v>
      </c>
      <c r="J1502" s="16" t="str">
        <f t="shared" si="6"/>
        <v>N</v>
      </c>
      <c r="K1502" s="16"/>
      <c r="L1502" s="16"/>
    </row>
    <row r="1503">
      <c r="A1503" s="40" t="s">
        <v>2046</v>
      </c>
      <c r="B1503" s="10" t="str">
        <f t="shared" si="1"/>
        <v>extra_muscle</v>
      </c>
      <c r="C1503" s="49" t="str">
        <f t="shared" si="2"/>
        <v>S16093XM1</v>
      </c>
      <c r="D1503" s="6">
        <v>40.0</v>
      </c>
      <c r="E1503" s="10" t="str">
        <f t="shared" si="3"/>
        <v>BXM40</v>
      </c>
      <c r="F1503" s="13">
        <v>16.0</v>
      </c>
      <c r="G1503" s="10" t="str">
        <f t="shared" si="7"/>
        <v>BXM40-16</v>
      </c>
      <c r="H1503" s="16"/>
      <c r="I1503" s="16" t="str">
        <f t="shared" si="5"/>
        <v>collected</v>
      </c>
      <c r="J1503" s="16" t="str">
        <f t="shared" si="6"/>
        <v>N</v>
      </c>
      <c r="K1503" s="16"/>
      <c r="L1503" s="16"/>
    </row>
    <row r="1504">
      <c r="A1504" s="40" t="s">
        <v>2047</v>
      </c>
      <c r="B1504" s="10" t="str">
        <f t="shared" si="1"/>
        <v>extra_muscle</v>
      </c>
      <c r="C1504" s="49" t="str">
        <f t="shared" si="2"/>
        <v>S16092XM1</v>
      </c>
      <c r="D1504" s="6">
        <v>40.0</v>
      </c>
      <c r="E1504" s="10" t="str">
        <f t="shared" si="3"/>
        <v>BXM40</v>
      </c>
      <c r="F1504" s="13">
        <v>17.0</v>
      </c>
      <c r="G1504" s="10" t="str">
        <f t="shared" si="7"/>
        <v>BXM40-17</v>
      </c>
      <c r="H1504" s="16"/>
      <c r="I1504" s="16" t="str">
        <f t="shared" si="5"/>
        <v>collected</v>
      </c>
      <c r="J1504" s="16" t="str">
        <f t="shared" si="6"/>
        <v>N</v>
      </c>
      <c r="K1504" s="16"/>
      <c r="L1504" s="16"/>
    </row>
    <row r="1505">
      <c r="A1505" s="40" t="s">
        <v>2048</v>
      </c>
      <c r="B1505" s="10" t="str">
        <f t="shared" si="1"/>
        <v>extra_muscle</v>
      </c>
      <c r="C1505" s="49" t="str">
        <f t="shared" si="2"/>
        <v>S16095XM1</v>
      </c>
      <c r="D1505" s="6">
        <v>40.0</v>
      </c>
      <c r="E1505" s="10" t="str">
        <f t="shared" si="3"/>
        <v>BXM40</v>
      </c>
      <c r="F1505" s="13">
        <v>18.0</v>
      </c>
      <c r="G1505" s="10" t="str">
        <f t="shared" si="7"/>
        <v>BXM40-18</v>
      </c>
      <c r="H1505" s="16"/>
      <c r="I1505" s="16" t="str">
        <f t="shared" si="5"/>
        <v>collected</v>
      </c>
      <c r="J1505" s="16" t="str">
        <f t="shared" si="6"/>
        <v>N</v>
      </c>
      <c r="K1505" s="16"/>
      <c r="L1505" s="16"/>
    </row>
    <row r="1506">
      <c r="A1506" s="40" t="s">
        <v>2049</v>
      </c>
      <c r="B1506" s="10" t="str">
        <f t="shared" si="1"/>
        <v>extra_muscle</v>
      </c>
      <c r="C1506" s="49" t="str">
        <f t="shared" si="2"/>
        <v>S16098XM1</v>
      </c>
      <c r="D1506" s="6">
        <v>40.0</v>
      </c>
      <c r="E1506" s="10" t="str">
        <f t="shared" si="3"/>
        <v>BXM40</v>
      </c>
      <c r="F1506" s="13">
        <v>19.0</v>
      </c>
      <c r="G1506" s="10" t="str">
        <f t="shared" si="7"/>
        <v>BXM40-19</v>
      </c>
      <c r="H1506" s="16"/>
      <c r="I1506" s="16" t="str">
        <f t="shared" si="5"/>
        <v>collected</v>
      </c>
      <c r="J1506" s="16" t="str">
        <f t="shared" si="6"/>
        <v>N</v>
      </c>
      <c r="K1506" s="16"/>
      <c r="L1506" s="16"/>
    </row>
    <row r="1507">
      <c r="A1507" s="40" t="s">
        <v>2050</v>
      </c>
      <c r="B1507" s="10" t="str">
        <f t="shared" si="1"/>
        <v>extra_muscle</v>
      </c>
      <c r="C1507" s="49" t="str">
        <f t="shared" si="2"/>
        <v>S16100XM1</v>
      </c>
      <c r="D1507" s="6">
        <v>40.0</v>
      </c>
      <c r="E1507" s="10" t="str">
        <f t="shared" si="3"/>
        <v>BXM40</v>
      </c>
      <c r="F1507" s="13">
        <v>20.0</v>
      </c>
      <c r="G1507" s="10" t="str">
        <f t="shared" si="7"/>
        <v>BXM40-20</v>
      </c>
      <c r="H1507" s="16"/>
      <c r="I1507" s="16" t="str">
        <f t="shared" si="5"/>
        <v>collected</v>
      </c>
      <c r="J1507" s="16" t="str">
        <f t="shared" si="6"/>
        <v>N</v>
      </c>
      <c r="K1507" s="16"/>
      <c r="L1507" s="16"/>
    </row>
    <row r="1508">
      <c r="A1508" s="40" t="s">
        <v>2051</v>
      </c>
      <c r="B1508" s="10" t="str">
        <f t="shared" si="1"/>
        <v>extra_muscle</v>
      </c>
      <c r="C1508" s="49" t="str">
        <f t="shared" si="2"/>
        <v>S16096XM1</v>
      </c>
      <c r="D1508" s="6">
        <v>40.0</v>
      </c>
      <c r="E1508" s="10" t="str">
        <f t="shared" si="3"/>
        <v>BXM40</v>
      </c>
      <c r="F1508" s="13">
        <v>21.0</v>
      </c>
      <c r="G1508" s="10" t="str">
        <f t="shared" si="7"/>
        <v>BXM40-21</v>
      </c>
      <c r="H1508" s="16"/>
      <c r="I1508" s="16" t="str">
        <f t="shared" si="5"/>
        <v>collected</v>
      </c>
      <c r="J1508" s="16" t="str">
        <f t="shared" si="6"/>
        <v>N</v>
      </c>
      <c r="K1508" s="16"/>
      <c r="L1508" s="16"/>
    </row>
    <row r="1509">
      <c r="A1509" s="40" t="s">
        <v>2052</v>
      </c>
      <c r="B1509" s="10" t="str">
        <f t="shared" si="1"/>
        <v>extra_muscle</v>
      </c>
      <c r="C1509" s="49" t="str">
        <f t="shared" si="2"/>
        <v>S16099XM1</v>
      </c>
      <c r="D1509" s="6">
        <v>40.0</v>
      </c>
      <c r="E1509" s="10" t="str">
        <f t="shared" si="3"/>
        <v>BXM40</v>
      </c>
      <c r="F1509" s="13">
        <v>22.0</v>
      </c>
      <c r="G1509" s="10" t="str">
        <f t="shared" si="7"/>
        <v>BXM40-22</v>
      </c>
      <c r="H1509" s="16"/>
      <c r="I1509" s="16" t="str">
        <f t="shared" si="5"/>
        <v>collected</v>
      </c>
      <c r="J1509" s="16" t="str">
        <f t="shared" si="6"/>
        <v>N</v>
      </c>
      <c r="K1509" s="16"/>
      <c r="L1509" s="16"/>
    </row>
    <row r="1510">
      <c r="A1510" s="40" t="s">
        <v>2053</v>
      </c>
      <c r="B1510" s="10" t="str">
        <f t="shared" si="1"/>
        <v>extra_muscle</v>
      </c>
      <c r="C1510" s="49" t="str">
        <f t="shared" si="2"/>
        <v>S16094XM1</v>
      </c>
      <c r="D1510" s="6">
        <v>40.0</v>
      </c>
      <c r="E1510" s="10" t="str">
        <f t="shared" si="3"/>
        <v>BXM40</v>
      </c>
      <c r="F1510" s="13">
        <v>23.0</v>
      </c>
      <c r="G1510" s="10" t="str">
        <f t="shared" si="7"/>
        <v>BXM40-23</v>
      </c>
      <c r="H1510" s="16"/>
      <c r="I1510" s="16" t="str">
        <f t="shared" si="5"/>
        <v>collected</v>
      </c>
      <c r="J1510" s="16" t="str">
        <f t="shared" si="6"/>
        <v>N</v>
      </c>
      <c r="K1510" s="16"/>
      <c r="L1510" s="16"/>
    </row>
    <row r="1511">
      <c r="A1511" s="40" t="s">
        <v>2054</v>
      </c>
      <c r="B1511" s="10" t="str">
        <f t="shared" si="1"/>
        <v>extra_muscle</v>
      </c>
      <c r="C1511" s="49" t="str">
        <f t="shared" si="2"/>
        <v>S17921XM1</v>
      </c>
      <c r="D1511" s="6">
        <v>40.0</v>
      </c>
      <c r="E1511" s="10" t="str">
        <f t="shared" si="3"/>
        <v>BXM40</v>
      </c>
      <c r="F1511" s="13">
        <v>24.0</v>
      </c>
      <c r="G1511" s="10" t="str">
        <f t="shared" si="7"/>
        <v>BXM40-24</v>
      </c>
      <c r="H1511" s="16"/>
      <c r="I1511" s="16" t="str">
        <f t="shared" si="5"/>
        <v>collected</v>
      </c>
      <c r="J1511" s="16" t="str">
        <f t="shared" si="6"/>
        <v>N</v>
      </c>
      <c r="K1511" s="16"/>
      <c r="L1511" s="16"/>
    </row>
    <row r="1512">
      <c r="A1512" s="40" t="s">
        <v>2055</v>
      </c>
      <c r="B1512" s="10" t="str">
        <f t="shared" si="1"/>
        <v>extra_muscle</v>
      </c>
      <c r="C1512" s="49" t="str">
        <f t="shared" si="2"/>
        <v>S16691XM1</v>
      </c>
      <c r="D1512" s="6">
        <v>40.0</v>
      </c>
      <c r="E1512" s="10" t="str">
        <f t="shared" si="3"/>
        <v>BXM40</v>
      </c>
      <c r="F1512" s="13">
        <v>25.0</v>
      </c>
      <c r="G1512" s="10" t="str">
        <f t="shared" si="7"/>
        <v>BXM40-25</v>
      </c>
      <c r="H1512" s="16"/>
      <c r="I1512" s="16" t="str">
        <f t="shared" si="5"/>
        <v>collected</v>
      </c>
      <c r="J1512" s="16" t="str">
        <f t="shared" si="6"/>
        <v>N</v>
      </c>
      <c r="K1512" s="16"/>
      <c r="L1512" s="16"/>
    </row>
    <row r="1513">
      <c r="A1513" s="40" t="s">
        <v>2056</v>
      </c>
      <c r="B1513" s="10" t="str">
        <f t="shared" si="1"/>
        <v>extra_muscle</v>
      </c>
      <c r="C1513" s="49" t="str">
        <f t="shared" si="2"/>
        <v>S16421XM1</v>
      </c>
      <c r="D1513" s="6">
        <v>40.0</v>
      </c>
      <c r="E1513" s="10" t="str">
        <f t="shared" si="3"/>
        <v>BXM40</v>
      </c>
      <c r="F1513" s="13">
        <v>26.0</v>
      </c>
      <c r="G1513" s="10" t="str">
        <f t="shared" si="7"/>
        <v>BXM40-26</v>
      </c>
      <c r="H1513" s="16"/>
      <c r="I1513" s="16" t="str">
        <f t="shared" si="5"/>
        <v>collected</v>
      </c>
      <c r="J1513" s="16" t="str">
        <f t="shared" si="6"/>
        <v>N</v>
      </c>
      <c r="K1513" s="16"/>
      <c r="L1513" s="16"/>
    </row>
    <row r="1514">
      <c r="A1514" s="40" t="s">
        <v>2057</v>
      </c>
      <c r="B1514" s="10" t="str">
        <f t="shared" si="1"/>
        <v>extra_muscle</v>
      </c>
      <c r="C1514" s="49" t="str">
        <f t="shared" si="2"/>
        <v>S16422XM1</v>
      </c>
      <c r="D1514" s="6">
        <v>40.0</v>
      </c>
      <c r="E1514" s="10" t="str">
        <f t="shared" si="3"/>
        <v>BXM40</v>
      </c>
      <c r="F1514" s="13">
        <v>27.0</v>
      </c>
      <c r="G1514" s="10" t="str">
        <f t="shared" si="7"/>
        <v>BXM40-27</v>
      </c>
      <c r="H1514" s="16"/>
      <c r="I1514" s="16" t="str">
        <f t="shared" si="5"/>
        <v>collected</v>
      </c>
      <c r="J1514" s="16" t="str">
        <f t="shared" si="6"/>
        <v>N</v>
      </c>
      <c r="K1514" s="16"/>
      <c r="L1514" s="16"/>
    </row>
    <row r="1515">
      <c r="A1515" s="40" t="s">
        <v>2058</v>
      </c>
      <c r="B1515" s="10" t="str">
        <f t="shared" si="1"/>
        <v>extra_muscle</v>
      </c>
      <c r="C1515" s="49" t="str">
        <f t="shared" si="2"/>
        <v>S16862XM1</v>
      </c>
      <c r="D1515" s="6">
        <v>40.0</v>
      </c>
      <c r="E1515" s="10" t="str">
        <f t="shared" si="3"/>
        <v>BXM40</v>
      </c>
      <c r="F1515" s="13">
        <v>28.0</v>
      </c>
      <c r="G1515" s="10" t="str">
        <f t="shared" si="7"/>
        <v>BXM40-28</v>
      </c>
      <c r="H1515" s="16"/>
      <c r="I1515" s="16" t="str">
        <f t="shared" si="5"/>
        <v>collected</v>
      </c>
      <c r="J1515" s="16" t="str">
        <f t="shared" si="6"/>
        <v>N</v>
      </c>
      <c r="K1515" s="16"/>
      <c r="L1515" s="16"/>
    </row>
    <row r="1516">
      <c r="A1516" s="40" t="s">
        <v>2059</v>
      </c>
      <c r="B1516" s="10" t="str">
        <f t="shared" si="1"/>
        <v>extra_muscle</v>
      </c>
      <c r="C1516" s="49" t="str">
        <f t="shared" si="2"/>
        <v>S16863XM1</v>
      </c>
      <c r="D1516" s="6">
        <v>40.0</v>
      </c>
      <c r="E1516" s="10" t="str">
        <f t="shared" si="3"/>
        <v>BXM40</v>
      </c>
      <c r="F1516" s="13">
        <v>29.0</v>
      </c>
      <c r="G1516" s="10" t="str">
        <f t="shared" si="7"/>
        <v>BXM40-29</v>
      </c>
      <c r="H1516" s="16"/>
      <c r="I1516" s="16" t="str">
        <f t="shared" si="5"/>
        <v>collected</v>
      </c>
      <c r="J1516" s="16" t="str">
        <f t="shared" si="6"/>
        <v>N</v>
      </c>
      <c r="K1516" s="16"/>
      <c r="L1516" s="16"/>
    </row>
    <row r="1517">
      <c r="A1517" s="40" t="s">
        <v>2060</v>
      </c>
      <c r="B1517" s="10" t="str">
        <f t="shared" si="1"/>
        <v>extra_muscle</v>
      </c>
      <c r="C1517" s="49" t="str">
        <f t="shared" si="2"/>
        <v>S16861XM1</v>
      </c>
      <c r="D1517" s="6">
        <v>40.0</v>
      </c>
      <c r="E1517" s="10" t="str">
        <f t="shared" si="3"/>
        <v>BXM40</v>
      </c>
      <c r="F1517" s="13">
        <v>30.0</v>
      </c>
      <c r="G1517" s="10" t="str">
        <f t="shared" si="7"/>
        <v>BXM40-30</v>
      </c>
      <c r="H1517" s="16"/>
      <c r="I1517" s="16" t="str">
        <f t="shared" si="5"/>
        <v>collected</v>
      </c>
      <c r="J1517" s="16" t="str">
        <f t="shared" si="6"/>
        <v>N</v>
      </c>
      <c r="K1517" s="16"/>
      <c r="L1517" s="16"/>
    </row>
    <row r="1518">
      <c r="A1518" s="40" t="s">
        <v>2061</v>
      </c>
      <c r="B1518" s="10" t="str">
        <f t="shared" si="1"/>
        <v>extra_muscle</v>
      </c>
      <c r="C1518" s="49" t="str">
        <f t="shared" si="2"/>
        <v>S16721XM1</v>
      </c>
      <c r="D1518" s="6">
        <v>40.0</v>
      </c>
      <c r="E1518" s="10" t="str">
        <f t="shared" si="3"/>
        <v>BXM40</v>
      </c>
      <c r="F1518" s="13">
        <v>31.0</v>
      </c>
      <c r="G1518" s="10" t="str">
        <f t="shared" si="7"/>
        <v>BXM40-31</v>
      </c>
      <c r="H1518" s="16"/>
      <c r="I1518" s="16" t="str">
        <f t="shared" si="5"/>
        <v>collected</v>
      </c>
      <c r="J1518" s="16" t="str">
        <f t="shared" si="6"/>
        <v>N</v>
      </c>
      <c r="K1518" s="16"/>
      <c r="L1518" s="16"/>
    </row>
    <row r="1519">
      <c r="A1519" s="40" t="s">
        <v>2062</v>
      </c>
      <c r="B1519" s="10" t="str">
        <f t="shared" si="1"/>
        <v>extra_muscle</v>
      </c>
      <c r="C1519" s="49" t="str">
        <f t="shared" si="2"/>
        <v>S16131XM1</v>
      </c>
      <c r="D1519" s="6">
        <v>40.0</v>
      </c>
      <c r="E1519" s="10" t="str">
        <f t="shared" si="3"/>
        <v>BXM40</v>
      </c>
      <c r="F1519" s="13">
        <v>32.0</v>
      </c>
      <c r="G1519" s="10" t="str">
        <f t="shared" si="7"/>
        <v>BXM40-32</v>
      </c>
      <c r="H1519" s="16"/>
      <c r="I1519" s="16" t="str">
        <f t="shared" si="5"/>
        <v>collected</v>
      </c>
      <c r="J1519" s="16" t="str">
        <f t="shared" si="6"/>
        <v>N</v>
      </c>
      <c r="K1519" s="16"/>
      <c r="L1519" s="16"/>
    </row>
    <row r="1520">
      <c r="A1520" s="27" t="s">
        <v>2063</v>
      </c>
      <c r="B1520" s="10" t="str">
        <f t="shared" si="1"/>
        <v>extra_muscle</v>
      </c>
      <c r="C1520" s="49" t="str">
        <f t="shared" si="2"/>
        <v>S17841XM1</v>
      </c>
      <c r="D1520" s="6">
        <v>40.0</v>
      </c>
      <c r="E1520" s="10" t="str">
        <f t="shared" si="3"/>
        <v>BXM40</v>
      </c>
      <c r="F1520" s="13">
        <v>33.0</v>
      </c>
      <c r="G1520" s="10" t="str">
        <f t="shared" si="7"/>
        <v>BXM40-33</v>
      </c>
      <c r="H1520" s="16"/>
      <c r="I1520" s="16" t="str">
        <f t="shared" si="5"/>
        <v>collected</v>
      </c>
      <c r="J1520" s="16" t="str">
        <f t="shared" si="6"/>
        <v>N</v>
      </c>
      <c r="K1520" s="16"/>
      <c r="L1520" s="16"/>
    </row>
    <row r="1521">
      <c r="A1521" s="27" t="s">
        <v>2064</v>
      </c>
      <c r="B1521" s="10" t="str">
        <f t="shared" si="1"/>
        <v>extra_muscle</v>
      </c>
      <c r="C1521" s="49" t="str">
        <f t="shared" si="2"/>
        <v>S16331XM1</v>
      </c>
      <c r="D1521" s="6">
        <v>40.0</v>
      </c>
      <c r="E1521" s="10" t="str">
        <f t="shared" si="3"/>
        <v>BXM40</v>
      </c>
      <c r="F1521" s="13">
        <v>34.0</v>
      </c>
      <c r="G1521" s="10" t="str">
        <f t="shared" si="7"/>
        <v>BXM40-34</v>
      </c>
      <c r="H1521" s="16"/>
      <c r="I1521" s="16" t="str">
        <f t="shared" si="5"/>
        <v>collected</v>
      </c>
      <c r="J1521" s="16" t="str">
        <f t="shared" si="6"/>
        <v>N</v>
      </c>
      <c r="K1521" s="16"/>
      <c r="L1521" s="16"/>
    </row>
    <row r="1522">
      <c r="A1522" s="27" t="s">
        <v>2065</v>
      </c>
      <c r="B1522" s="10" t="str">
        <f t="shared" si="1"/>
        <v>extra_muscle</v>
      </c>
      <c r="C1522" s="49" t="str">
        <f t="shared" si="2"/>
        <v>S17481XM1</v>
      </c>
      <c r="D1522" s="6">
        <v>40.0</v>
      </c>
      <c r="E1522" s="10" t="str">
        <f t="shared" si="3"/>
        <v>BXM40</v>
      </c>
      <c r="F1522" s="13">
        <v>35.0</v>
      </c>
      <c r="G1522" s="10" t="str">
        <f t="shared" si="7"/>
        <v>BXM40-35</v>
      </c>
      <c r="H1522" s="16"/>
      <c r="I1522" s="16" t="str">
        <f t="shared" si="5"/>
        <v>collected</v>
      </c>
      <c r="J1522" s="16" t="str">
        <f t="shared" si="6"/>
        <v>N</v>
      </c>
      <c r="K1522" s="16"/>
      <c r="L1522" s="16"/>
    </row>
    <row r="1523">
      <c r="A1523" s="27" t="s">
        <v>2066</v>
      </c>
      <c r="B1523" s="10" t="str">
        <f t="shared" si="1"/>
        <v>extra_muscle</v>
      </c>
      <c r="C1523" s="49" t="str">
        <f t="shared" si="2"/>
        <v>S16071XM1</v>
      </c>
      <c r="D1523" s="6">
        <v>40.0</v>
      </c>
      <c r="E1523" s="10" t="str">
        <f t="shared" si="3"/>
        <v>BXM40</v>
      </c>
      <c r="F1523" s="13">
        <v>36.0</v>
      </c>
      <c r="G1523" s="10" t="str">
        <f t="shared" si="7"/>
        <v>BXM40-36</v>
      </c>
      <c r="H1523" s="16"/>
      <c r="I1523" s="16" t="str">
        <f t="shared" si="5"/>
        <v>collected</v>
      </c>
      <c r="J1523" s="16" t="str">
        <f t="shared" si="6"/>
        <v>N</v>
      </c>
      <c r="K1523" s="16"/>
      <c r="L1523" s="16"/>
    </row>
    <row r="1524">
      <c r="A1524" s="27" t="s">
        <v>2067</v>
      </c>
      <c r="B1524" s="10" t="str">
        <f t="shared" si="1"/>
        <v>extra_muscle</v>
      </c>
      <c r="C1524" s="49" t="str">
        <f t="shared" si="2"/>
        <v>S17031XM1</v>
      </c>
      <c r="D1524" s="6">
        <v>40.0</v>
      </c>
      <c r="E1524" s="10" t="str">
        <f t="shared" si="3"/>
        <v>BXM40</v>
      </c>
      <c r="F1524" s="13">
        <v>37.0</v>
      </c>
      <c r="G1524" s="10" t="str">
        <f t="shared" si="7"/>
        <v>BXM40-37</v>
      </c>
      <c r="H1524" s="16"/>
      <c r="I1524" s="16" t="str">
        <f t="shared" si="5"/>
        <v>collected</v>
      </c>
      <c r="J1524" s="16" t="str">
        <f t="shared" si="6"/>
        <v>N</v>
      </c>
      <c r="K1524" s="16"/>
      <c r="L1524" s="16"/>
    </row>
    <row r="1525">
      <c r="A1525" s="27" t="s">
        <v>2068</v>
      </c>
      <c r="B1525" s="10" t="str">
        <f t="shared" si="1"/>
        <v>extra_muscle</v>
      </c>
      <c r="C1525" s="49" t="str">
        <f t="shared" si="2"/>
        <v>S17061XM1</v>
      </c>
      <c r="D1525" s="6">
        <v>40.0</v>
      </c>
      <c r="E1525" s="10" t="str">
        <f t="shared" si="3"/>
        <v>BXM40</v>
      </c>
      <c r="F1525" s="13">
        <v>38.0</v>
      </c>
      <c r="G1525" s="10" t="str">
        <f t="shared" si="7"/>
        <v>BXM40-38</v>
      </c>
      <c r="H1525" s="16"/>
      <c r="I1525" s="16" t="str">
        <f t="shared" si="5"/>
        <v>collected</v>
      </c>
      <c r="J1525" s="16" t="str">
        <f t="shared" si="6"/>
        <v>N</v>
      </c>
      <c r="K1525" s="16"/>
      <c r="L1525" s="16"/>
    </row>
    <row r="1526">
      <c r="A1526" s="27" t="s">
        <v>2069</v>
      </c>
      <c r="B1526" s="10" t="str">
        <f t="shared" si="1"/>
        <v>extra_muscle</v>
      </c>
      <c r="C1526" s="49" t="str">
        <f t="shared" si="2"/>
        <v>S16381XM1</v>
      </c>
      <c r="D1526" s="6">
        <v>40.0</v>
      </c>
      <c r="E1526" s="10" t="str">
        <f t="shared" si="3"/>
        <v>BXM40</v>
      </c>
      <c r="F1526" s="13">
        <v>39.0</v>
      </c>
      <c r="G1526" s="10" t="str">
        <f t="shared" si="7"/>
        <v>BXM40-39</v>
      </c>
      <c r="H1526" s="16"/>
      <c r="I1526" s="16" t="str">
        <f t="shared" si="5"/>
        <v>collected</v>
      </c>
      <c r="J1526" s="16" t="str">
        <f t="shared" si="6"/>
        <v>N</v>
      </c>
      <c r="K1526" s="16"/>
      <c r="L1526" s="16"/>
    </row>
    <row r="1527">
      <c r="A1527" s="27" t="s">
        <v>2070</v>
      </c>
      <c r="B1527" s="10" t="str">
        <f t="shared" si="1"/>
        <v>extra_muscle</v>
      </c>
      <c r="C1527" s="49" t="str">
        <f t="shared" si="2"/>
        <v>S16311XM1</v>
      </c>
      <c r="D1527" s="6">
        <v>40.0</v>
      </c>
      <c r="E1527" s="10" t="str">
        <f t="shared" si="3"/>
        <v>BXM40</v>
      </c>
      <c r="F1527" s="13">
        <v>40.0</v>
      </c>
      <c r="G1527" s="10" t="str">
        <f t="shared" si="7"/>
        <v>BXM40-40</v>
      </c>
      <c r="H1527" s="16"/>
      <c r="I1527" s="16" t="str">
        <f t="shared" si="5"/>
        <v>collected</v>
      </c>
      <c r="J1527" s="16" t="str">
        <f t="shared" si="6"/>
        <v>N</v>
      </c>
      <c r="K1527" s="16"/>
      <c r="L1527" s="16"/>
    </row>
    <row r="1528">
      <c r="A1528" s="27" t="s">
        <v>2071</v>
      </c>
      <c r="B1528" s="10" t="str">
        <f t="shared" si="1"/>
        <v>extra_muscle</v>
      </c>
      <c r="C1528" s="49" t="str">
        <f t="shared" si="2"/>
        <v>S16312XM1</v>
      </c>
      <c r="D1528" s="6">
        <v>40.0</v>
      </c>
      <c r="E1528" s="10" t="str">
        <f t="shared" si="3"/>
        <v>BXM40</v>
      </c>
      <c r="F1528" s="13">
        <v>41.0</v>
      </c>
      <c r="G1528" s="10" t="str">
        <f t="shared" si="7"/>
        <v>BXM40-41</v>
      </c>
      <c r="H1528" s="16"/>
      <c r="I1528" s="16" t="str">
        <f t="shared" si="5"/>
        <v>collected</v>
      </c>
      <c r="J1528" s="16" t="str">
        <f t="shared" si="6"/>
        <v>N</v>
      </c>
      <c r="K1528" s="16"/>
      <c r="L1528" s="16"/>
    </row>
    <row r="1529">
      <c r="A1529" s="27" t="s">
        <v>2072</v>
      </c>
      <c r="B1529" s="10" t="str">
        <f t="shared" si="1"/>
        <v>extra_muscle</v>
      </c>
      <c r="C1529" s="49" t="str">
        <f t="shared" si="2"/>
        <v>S16371XM1</v>
      </c>
      <c r="D1529" s="6">
        <v>40.0</v>
      </c>
      <c r="E1529" s="10" t="str">
        <f t="shared" si="3"/>
        <v>BXM40</v>
      </c>
      <c r="F1529" s="13">
        <v>42.0</v>
      </c>
      <c r="G1529" s="10" t="str">
        <f t="shared" si="7"/>
        <v>BXM40-42</v>
      </c>
      <c r="H1529" s="16"/>
      <c r="I1529" s="16" t="str">
        <f t="shared" si="5"/>
        <v>collected</v>
      </c>
      <c r="J1529" s="16" t="str">
        <f t="shared" si="6"/>
        <v>N</v>
      </c>
      <c r="K1529" s="16"/>
      <c r="L1529" s="16"/>
    </row>
    <row r="1530">
      <c r="A1530" s="27" t="s">
        <v>2073</v>
      </c>
      <c r="B1530" s="10" t="str">
        <f t="shared" si="1"/>
        <v>extra_muscle</v>
      </c>
      <c r="C1530" s="49" t="str">
        <f t="shared" si="2"/>
        <v>S16372XM1</v>
      </c>
      <c r="D1530" s="6">
        <v>40.0</v>
      </c>
      <c r="E1530" s="10" t="str">
        <f t="shared" si="3"/>
        <v>BXM40</v>
      </c>
      <c r="F1530" s="13">
        <v>43.0</v>
      </c>
      <c r="G1530" s="10" t="str">
        <f t="shared" si="7"/>
        <v>BXM40-43</v>
      </c>
      <c r="H1530" s="16"/>
      <c r="I1530" s="16" t="str">
        <f t="shared" si="5"/>
        <v>collected</v>
      </c>
      <c r="J1530" s="16" t="str">
        <f t="shared" si="6"/>
        <v>N</v>
      </c>
      <c r="K1530" s="16"/>
      <c r="L1530" s="16"/>
    </row>
    <row r="1531">
      <c r="A1531" s="27" t="s">
        <v>2074</v>
      </c>
      <c r="B1531" s="10" t="str">
        <f t="shared" si="1"/>
        <v>extra_muscle</v>
      </c>
      <c r="C1531" s="49" t="str">
        <f t="shared" si="2"/>
        <v>S16171XM1</v>
      </c>
      <c r="D1531" s="6">
        <v>40.0</v>
      </c>
      <c r="E1531" s="10" t="str">
        <f t="shared" si="3"/>
        <v>BXM40</v>
      </c>
      <c r="F1531" s="13">
        <v>44.0</v>
      </c>
      <c r="G1531" s="10" t="str">
        <f t="shared" si="7"/>
        <v>BXM40-44</v>
      </c>
      <c r="H1531" s="16"/>
      <c r="I1531" s="16" t="str">
        <f t="shared" si="5"/>
        <v>collected</v>
      </c>
      <c r="J1531" s="16" t="str">
        <f t="shared" si="6"/>
        <v>N</v>
      </c>
      <c r="K1531" s="16"/>
      <c r="L1531" s="16"/>
    </row>
    <row r="1532">
      <c r="A1532" s="27" t="s">
        <v>2075</v>
      </c>
      <c r="B1532" s="10" t="str">
        <f t="shared" si="1"/>
        <v>extra_muscle</v>
      </c>
      <c r="C1532" s="49" t="str">
        <f t="shared" si="2"/>
        <v>S16172XM1</v>
      </c>
      <c r="D1532" s="6">
        <v>40.0</v>
      </c>
      <c r="E1532" s="10" t="str">
        <f t="shared" si="3"/>
        <v>BXM40</v>
      </c>
      <c r="F1532" s="13">
        <v>45.0</v>
      </c>
      <c r="G1532" s="10" t="str">
        <f t="shared" si="7"/>
        <v>BXM40-45</v>
      </c>
      <c r="H1532" s="16"/>
      <c r="I1532" s="16" t="str">
        <f t="shared" si="5"/>
        <v>collected</v>
      </c>
      <c r="J1532" s="16" t="str">
        <f t="shared" si="6"/>
        <v>N</v>
      </c>
      <c r="K1532" s="16"/>
      <c r="L1532" s="16"/>
    </row>
    <row r="1533">
      <c r="A1533" s="27" t="s">
        <v>2076</v>
      </c>
      <c r="B1533" s="10" t="str">
        <f t="shared" si="1"/>
        <v>extra_muscle</v>
      </c>
      <c r="C1533" s="49" t="str">
        <f t="shared" si="2"/>
        <v>S16216XM1</v>
      </c>
      <c r="D1533" s="6">
        <v>40.0</v>
      </c>
      <c r="E1533" s="10" t="str">
        <f t="shared" si="3"/>
        <v>BXM40</v>
      </c>
      <c r="F1533" s="13">
        <v>46.0</v>
      </c>
      <c r="G1533" s="10" t="str">
        <f t="shared" si="7"/>
        <v>BXM40-46</v>
      </c>
      <c r="H1533" s="16"/>
      <c r="I1533" s="16" t="str">
        <f t="shared" si="5"/>
        <v>collected</v>
      </c>
      <c r="J1533" s="16" t="str">
        <f t="shared" si="6"/>
        <v>N</v>
      </c>
      <c r="K1533" s="16"/>
      <c r="L1533" s="16"/>
    </row>
    <row r="1534">
      <c r="A1534" s="27" t="s">
        <v>2077</v>
      </c>
      <c r="B1534" s="10" t="str">
        <f t="shared" si="1"/>
        <v>extra_muscle</v>
      </c>
      <c r="C1534" s="49" t="str">
        <f t="shared" si="2"/>
        <v>S16211XM1</v>
      </c>
      <c r="D1534" s="6">
        <v>40.0</v>
      </c>
      <c r="E1534" s="10" t="str">
        <f t="shared" si="3"/>
        <v>BXM40</v>
      </c>
      <c r="F1534" s="13">
        <v>47.0</v>
      </c>
      <c r="G1534" s="10" t="str">
        <f t="shared" si="7"/>
        <v>BXM40-47</v>
      </c>
      <c r="H1534" s="16"/>
      <c r="I1534" s="16" t="str">
        <f t="shared" si="5"/>
        <v>collected</v>
      </c>
      <c r="J1534" s="16" t="str">
        <f t="shared" si="6"/>
        <v>N</v>
      </c>
      <c r="K1534" s="16"/>
      <c r="L1534" s="16"/>
    </row>
    <row r="1535">
      <c r="A1535" s="27" t="s">
        <v>2078</v>
      </c>
      <c r="B1535" s="10" t="str">
        <f t="shared" si="1"/>
        <v>extra_muscle</v>
      </c>
      <c r="C1535" s="49" t="str">
        <f t="shared" si="2"/>
        <v>S16212XM1</v>
      </c>
      <c r="D1535" s="6">
        <v>40.0</v>
      </c>
      <c r="E1535" s="10" t="str">
        <f t="shared" si="3"/>
        <v>BXM40</v>
      </c>
      <c r="F1535" s="13">
        <v>48.0</v>
      </c>
      <c r="G1535" s="10" t="str">
        <f t="shared" si="7"/>
        <v>BXM40-48</v>
      </c>
      <c r="H1535" s="16"/>
      <c r="I1535" s="16" t="str">
        <f t="shared" si="5"/>
        <v>collected</v>
      </c>
      <c r="J1535" s="16" t="str">
        <f t="shared" si="6"/>
        <v>N</v>
      </c>
      <c r="K1535" s="16"/>
      <c r="L1535" s="16"/>
    </row>
    <row r="1536">
      <c r="A1536" s="27" t="s">
        <v>2079</v>
      </c>
      <c r="B1536" s="10" t="str">
        <f t="shared" si="1"/>
        <v>extra_muscle</v>
      </c>
      <c r="C1536" s="49" t="str">
        <f t="shared" si="2"/>
        <v>S16213XM1</v>
      </c>
      <c r="D1536" s="6">
        <v>40.0</v>
      </c>
      <c r="E1536" s="10" t="str">
        <f t="shared" si="3"/>
        <v>BXM40</v>
      </c>
      <c r="F1536" s="13">
        <v>49.0</v>
      </c>
      <c r="G1536" s="10" t="str">
        <f t="shared" si="7"/>
        <v>BXM40-49</v>
      </c>
      <c r="H1536" s="16"/>
      <c r="I1536" s="16" t="str">
        <f t="shared" si="5"/>
        <v>collected</v>
      </c>
      <c r="J1536" s="16" t="str">
        <f t="shared" si="6"/>
        <v>N</v>
      </c>
      <c r="K1536" s="16"/>
      <c r="L1536" s="16"/>
    </row>
    <row r="1537">
      <c r="A1537" s="27" t="s">
        <v>2080</v>
      </c>
      <c r="B1537" s="10" t="str">
        <f t="shared" si="1"/>
        <v>extra_muscle</v>
      </c>
      <c r="C1537" s="49" t="str">
        <f t="shared" si="2"/>
        <v>S16215XM1</v>
      </c>
      <c r="D1537" s="6">
        <v>40.0</v>
      </c>
      <c r="E1537" s="10" t="str">
        <f t="shared" si="3"/>
        <v>BXM40</v>
      </c>
      <c r="F1537" s="13">
        <v>50.0</v>
      </c>
      <c r="G1537" s="10" t="str">
        <f t="shared" si="7"/>
        <v>BXM40-50</v>
      </c>
      <c r="H1537" s="16"/>
      <c r="I1537" s="16" t="str">
        <f t="shared" si="5"/>
        <v>collected</v>
      </c>
      <c r="J1537" s="16" t="str">
        <f t="shared" si="6"/>
        <v>N</v>
      </c>
      <c r="K1537" s="16"/>
      <c r="L1537" s="16"/>
    </row>
    <row r="1538">
      <c r="A1538" s="27" t="s">
        <v>2081</v>
      </c>
      <c r="B1538" s="10" t="str">
        <f t="shared" si="1"/>
        <v>extra_muscle</v>
      </c>
      <c r="C1538" s="49" t="str">
        <f t="shared" si="2"/>
        <v>S16214XM1</v>
      </c>
      <c r="D1538" s="6">
        <v>40.0</v>
      </c>
      <c r="E1538" s="10" t="str">
        <f t="shared" si="3"/>
        <v>BXM40</v>
      </c>
      <c r="F1538" s="13">
        <v>51.0</v>
      </c>
      <c r="G1538" s="10" t="str">
        <f t="shared" si="7"/>
        <v>BXM40-51</v>
      </c>
      <c r="H1538" s="16"/>
      <c r="I1538" s="16" t="str">
        <f t="shared" si="5"/>
        <v>collected</v>
      </c>
      <c r="J1538" s="16" t="str">
        <f t="shared" si="6"/>
        <v>N</v>
      </c>
      <c r="K1538" s="16"/>
      <c r="L1538" s="16"/>
    </row>
    <row r="1539">
      <c r="A1539" s="27" t="s">
        <v>2082</v>
      </c>
      <c r="B1539" s="10" t="str">
        <f t="shared" si="1"/>
        <v>extra_muscle</v>
      </c>
      <c r="C1539" s="49" t="str">
        <f t="shared" si="2"/>
        <v>S17641XM1</v>
      </c>
      <c r="D1539" s="6">
        <v>40.0</v>
      </c>
      <c r="E1539" s="10" t="str">
        <f t="shared" si="3"/>
        <v>BXM40</v>
      </c>
      <c r="F1539" s="13">
        <v>52.0</v>
      </c>
      <c r="G1539" s="10" t="str">
        <f t="shared" si="7"/>
        <v>BXM40-52</v>
      </c>
      <c r="H1539" s="16"/>
      <c r="I1539" s="16" t="str">
        <f t="shared" si="5"/>
        <v>collected</v>
      </c>
      <c r="J1539" s="16" t="str">
        <f t="shared" si="6"/>
        <v>N</v>
      </c>
      <c r="K1539" s="16"/>
      <c r="L1539" s="16"/>
    </row>
    <row r="1540">
      <c r="A1540" s="27" t="s">
        <v>2083</v>
      </c>
      <c r="B1540" s="10" t="str">
        <f t="shared" si="1"/>
        <v>extra_muscle</v>
      </c>
      <c r="C1540" s="49" t="str">
        <f t="shared" si="2"/>
        <v>S16531XM1</v>
      </c>
      <c r="D1540" s="6">
        <v>40.0</v>
      </c>
      <c r="E1540" s="10" t="str">
        <f t="shared" si="3"/>
        <v>BXM40</v>
      </c>
      <c r="F1540" s="13">
        <v>53.0</v>
      </c>
      <c r="G1540" s="10" t="str">
        <f t="shared" si="7"/>
        <v>BXM40-53</v>
      </c>
      <c r="H1540" s="16"/>
      <c r="I1540" s="16" t="str">
        <f t="shared" si="5"/>
        <v>collected</v>
      </c>
      <c r="J1540" s="16" t="str">
        <f t="shared" si="6"/>
        <v>N</v>
      </c>
      <c r="K1540" s="16"/>
      <c r="L1540" s="16"/>
    </row>
    <row r="1541">
      <c r="A1541" s="27" t="s">
        <v>2084</v>
      </c>
      <c r="B1541" s="10" t="str">
        <f t="shared" si="1"/>
        <v>extra_muscle</v>
      </c>
      <c r="C1541" s="49" t="str">
        <f t="shared" si="2"/>
        <v>S17431XM1</v>
      </c>
      <c r="D1541" s="6">
        <v>40.0</v>
      </c>
      <c r="E1541" s="10" t="str">
        <f t="shared" si="3"/>
        <v>BXM40</v>
      </c>
      <c r="F1541" s="13">
        <v>54.0</v>
      </c>
      <c r="G1541" s="10" t="str">
        <f t="shared" si="7"/>
        <v>BXM40-54</v>
      </c>
      <c r="H1541" s="16"/>
      <c r="I1541" s="16" t="str">
        <f t="shared" si="5"/>
        <v>collected</v>
      </c>
      <c r="J1541" s="16" t="str">
        <f t="shared" si="6"/>
        <v>N</v>
      </c>
      <c r="K1541" s="16"/>
      <c r="L1541" s="16"/>
    </row>
    <row r="1542">
      <c r="A1542" s="40" t="s">
        <v>2085</v>
      </c>
      <c r="B1542" s="10" t="str">
        <f t="shared" si="1"/>
        <v>extra_muscle</v>
      </c>
      <c r="C1542" s="49" t="str">
        <f t="shared" si="2"/>
        <v>S16633XM1</v>
      </c>
      <c r="D1542" s="6">
        <v>39.0</v>
      </c>
      <c r="E1542" s="10" t="str">
        <f t="shared" si="3"/>
        <v>BXM39</v>
      </c>
      <c r="F1542" s="13">
        <v>51.0</v>
      </c>
      <c r="G1542" s="10" t="str">
        <f t="shared" si="7"/>
        <v>BXM39-51</v>
      </c>
      <c r="H1542" s="16"/>
      <c r="I1542" s="16" t="str">
        <f t="shared" si="5"/>
        <v>collected</v>
      </c>
      <c r="J1542" s="16" t="str">
        <f t="shared" si="6"/>
        <v>N</v>
      </c>
      <c r="K1542" s="16"/>
      <c r="L1542" s="16"/>
    </row>
    <row r="1543">
      <c r="A1543" s="40" t="s">
        <v>2086</v>
      </c>
      <c r="B1543" s="10" t="str">
        <f t="shared" si="1"/>
        <v>extra_muscle</v>
      </c>
      <c r="C1543" s="49" t="str">
        <f t="shared" si="2"/>
        <v>S16637XM1</v>
      </c>
      <c r="D1543" s="6">
        <v>39.0</v>
      </c>
      <c r="E1543" s="10" t="str">
        <f t="shared" si="3"/>
        <v>BXM39</v>
      </c>
      <c r="F1543" s="13">
        <v>52.0</v>
      </c>
      <c r="G1543" s="10" t="str">
        <f t="shared" si="7"/>
        <v>BXM39-52</v>
      </c>
      <c r="H1543" s="16"/>
      <c r="I1543" s="16" t="str">
        <f t="shared" si="5"/>
        <v>collected</v>
      </c>
      <c r="J1543" s="16" t="str">
        <f t="shared" si="6"/>
        <v>N</v>
      </c>
      <c r="K1543" s="16"/>
      <c r="L1543" s="16"/>
    </row>
    <row r="1544">
      <c r="A1544" s="40" t="s">
        <v>2087</v>
      </c>
      <c r="B1544" s="10" t="str">
        <f t="shared" si="1"/>
        <v>extra_muscle</v>
      </c>
      <c r="C1544" s="49" t="str">
        <f t="shared" si="2"/>
        <v>S17250XM1</v>
      </c>
      <c r="D1544" s="6">
        <v>39.0</v>
      </c>
      <c r="E1544" s="10" t="str">
        <f t="shared" si="3"/>
        <v>BXM39</v>
      </c>
      <c r="F1544" s="13">
        <v>53.0</v>
      </c>
      <c r="G1544" s="10" t="str">
        <f t="shared" si="7"/>
        <v>BXM39-53</v>
      </c>
      <c r="H1544" s="16"/>
      <c r="I1544" s="16" t="str">
        <f t="shared" si="5"/>
        <v>collected</v>
      </c>
      <c r="J1544" s="16" t="str">
        <f t="shared" si="6"/>
        <v>N</v>
      </c>
      <c r="K1544" s="16"/>
      <c r="L1544" s="16"/>
    </row>
    <row r="1545">
      <c r="A1545" s="40" t="s">
        <v>2088</v>
      </c>
      <c r="B1545" s="10" t="str">
        <f t="shared" si="1"/>
        <v>extra_muscle</v>
      </c>
      <c r="C1545" s="49" t="str">
        <f t="shared" si="2"/>
        <v>S17249XM1</v>
      </c>
      <c r="D1545" s="6">
        <v>39.0</v>
      </c>
      <c r="E1545" s="10" t="str">
        <f t="shared" si="3"/>
        <v>BXM39</v>
      </c>
      <c r="F1545" s="13">
        <v>54.0</v>
      </c>
      <c r="G1545" s="10" t="str">
        <f t="shared" si="7"/>
        <v>BXM39-54</v>
      </c>
      <c r="H1545" s="16"/>
      <c r="I1545" s="16" t="str">
        <f t="shared" si="5"/>
        <v>collected</v>
      </c>
      <c r="J1545" s="16" t="str">
        <f t="shared" si="6"/>
        <v>N</v>
      </c>
      <c r="K1545" s="16"/>
      <c r="L1545" s="16"/>
    </row>
    <row r="1546">
      <c r="A1546" s="40" t="s">
        <v>2089</v>
      </c>
      <c r="B1546" s="10" t="str">
        <f t="shared" si="1"/>
        <v>extra_muscle</v>
      </c>
      <c r="C1546" s="49" t="str">
        <f t="shared" si="2"/>
        <v>S17247XM1</v>
      </c>
      <c r="D1546" s="6">
        <v>39.0</v>
      </c>
      <c r="E1546" s="10" t="str">
        <f t="shared" si="3"/>
        <v>BXM39</v>
      </c>
      <c r="F1546" s="13">
        <v>55.0</v>
      </c>
      <c r="G1546" s="10" t="str">
        <f t="shared" si="7"/>
        <v>BXM39-55</v>
      </c>
      <c r="H1546" s="16"/>
      <c r="I1546" s="16" t="str">
        <f t="shared" si="5"/>
        <v>collected</v>
      </c>
      <c r="J1546" s="16" t="str">
        <f t="shared" si="6"/>
        <v>N</v>
      </c>
      <c r="K1546" s="16"/>
      <c r="L1546" s="16"/>
    </row>
    <row r="1547">
      <c r="A1547" s="40" t="s">
        <v>2090</v>
      </c>
      <c r="B1547" s="10" t="str">
        <f t="shared" si="1"/>
        <v>extra_muscle</v>
      </c>
      <c r="C1547" s="49" t="str">
        <f t="shared" si="2"/>
        <v>S17248XM1</v>
      </c>
      <c r="D1547" s="6">
        <v>39.0</v>
      </c>
      <c r="E1547" s="10" t="str">
        <f t="shared" si="3"/>
        <v>BXM39</v>
      </c>
      <c r="F1547" s="13">
        <v>56.0</v>
      </c>
      <c r="G1547" s="10" t="str">
        <f t="shared" si="7"/>
        <v>BXM39-56</v>
      </c>
      <c r="H1547" s="16"/>
      <c r="I1547" s="16" t="str">
        <f t="shared" si="5"/>
        <v>collected</v>
      </c>
      <c r="J1547" s="16" t="str">
        <f t="shared" si="6"/>
        <v>N</v>
      </c>
      <c r="K1547" s="16"/>
      <c r="L1547" s="16"/>
    </row>
    <row r="1548">
      <c r="A1548" s="40" t="s">
        <v>2091</v>
      </c>
      <c r="B1548" s="10" t="str">
        <f t="shared" si="1"/>
        <v>extra_muscle</v>
      </c>
      <c r="C1548" s="49" t="str">
        <f t="shared" si="2"/>
        <v>S17245XM1</v>
      </c>
      <c r="D1548" s="6">
        <v>39.0</v>
      </c>
      <c r="E1548" s="10" t="str">
        <f t="shared" si="3"/>
        <v>BXM39</v>
      </c>
      <c r="F1548" s="13">
        <v>57.0</v>
      </c>
      <c r="G1548" s="10" t="str">
        <f t="shared" si="7"/>
        <v>BXM39-57</v>
      </c>
      <c r="H1548" s="16"/>
      <c r="I1548" s="16" t="str">
        <f t="shared" si="5"/>
        <v>collected</v>
      </c>
      <c r="J1548" s="16" t="str">
        <f t="shared" si="6"/>
        <v>N</v>
      </c>
      <c r="K1548" s="16"/>
      <c r="L1548" s="16"/>
    </row>
    <row r="1549">
      <c r="A1549" s="40" t="s">
        <v>2092</v>
      </c>
      <c r="B1549" s="10" t="str">
        <f t="shared" si="1"/>
        <v>extra_muscle</v>
      </c>
      <c r="C1549" s="49" t="str">
        <f t="shared" si="2"/>
        <v>S17246XM1</v>
      </c>
      <c r="D1549" s="6">
        <v>39.0</v>
      </c>
      <c r="E1549" s="10" t="str">
        <f t="shared" si="3"/>
        <v>BXM39</v>
      </c>
      <c r="F1549" s="13">
        <v>58.0</v>
      </c>
      <c r="G1549" s="10" t="str">
        <f t="shared" si="7"/>
        <v>BXM39-58</v>
      </c>
      <c r="H1549" s="16"/>
      <c r="I1549" s="16" t="str">
        <f t="shared" si="5"/>
        <v>collected</v>
      </c>
      <c r="J1549" s="16" t="str">
        <f t="shared" si="6"/>
        <v>N</v>
      </c>
      <c r="K1549" s="16"/>
      <c r="L1549" s="16"/>
    </row>
    <row r="1550">
      <c r="A1550" s="40" t="s">
        <v>2094</v>
      </c>
      <c r="B1550" s="10" t="str">
        <f t="shared" si="1"/>
        <v>extra_muscle</v>
      </c>
      <c r="C1550" s="49" t="str">
        <f t="shared" si="2"/>
        <v>S17243XM1</v>
      </c>
      <c r="D1550" s="6">
        <v>39.0</v>
      </c>
      <c r="E1550" s="10" t="str">
        <f t="shared" si="3"/>
        <v>BXM39</v>
      </c>
      <c r="F1550" s="13">
        <v>59.0</v>
      </c>
      <c r="G1550" s="10" t="str">
        <f t="shared" si="7"/>
        <v>BXM39-59</v>
      </c>
      <c r="H1550" s="16"/>
      <c r="I1550" s="16" t="str">
        <f t="shared" si="5"/>
        <v>collected</v>
      </c>
      <c r="J1550" s="16" t="str">
        <f t="shared" si="6"/>
        <v>N</v>
      </c>
      <c r="K1550" s="16"/>
      <c r="L1550" s="16"/>
    </row>
    <row r="1551">
      <c r="A1551" s="40" t="s">
        <v>2095</v>
      </c>
      <c r="B1551" s="10" t="str">
        <f t="shared" si="1"/>
        <v>extra_muscle</v>
      </c>
      <c r="C1551" s="49" t="str">
        <f t="shared" si="2"/>
        <v>S17244XM1</v>
      </c>
      <c r="D1551" s="6">
        <v>39.0</v>
      </c>
      <c r="E1551" s="10" t="str">
        <f t="shared" si="3"/>
        <v>BXM39</v>
      </c>
      <c r="F1551" s="13">
        <v>60.0</v>
      </c>
      <c r="G1551" s="10" t="str">
        <f t="shared" si="7"/>
        <v>BXM39-60</v>
      </c>
      <c r="H1551" s="16"/>
      <c r="I1551" s="16" t="str">
        <f t="shared" si="5"/>
        <v>collected</v>
      </c>
      <c r="J1551" s="16" t="str">
        <f t="shared" si="6"/>
        <v>N</v>
      </c>
      <c r="K1551" s="16"/>
      <c r="L1551" s="16"/>
    </row>
    <row r="1552">
      <c r="A1552" s="40" t="s">
        <v>2096</v>
      </c>
      <c r="B1552" s="10" t="str">
        <f t="shared" si="1"/>
        <v>extra_muscle</v>
      </c>
      <c r="C1552" s="49" t="str">
        <f t="shared" si="2"/>
        <v>S17242XM1</v>
      </c>
      <c r="D1552" s="6">
        <v>39.0</v>
      </c>
      <c r="E1552" s="10" t="str">
        <f t="shared" si="3"/>
        <v>BXM39</v>
      </c>
      <c r="F1552" s="13">
        <v>61.0</v>
      </c>
      <c r="G1552" s="10" t="str">
        <f t="shared" si="7"/>
        <v>BXM39-61</v>
      </c>
      <c r="H1552" s="16"/>
      <c r="I1552" s="16" t="str">
        <f t="shared" si="5"/>
        <v>collected</v>
      </c>
      <c r="J1552" s="16" t="str">
        <f t="shared" si="6"/>
        <v>N</v>
      </c>
      <c r="K1552" s="16"/>
      <c r="L1552" s="16"/>
    </row>
    <row r="1553">
      <c r="A1553" s="40" t="s">
        <v>2097</v>
      </c>
      <c r="B1553" s="10" t="str">
        <f t="shared" si="1"/>
        <v>extra_muscle</v>
      </c>
      <c r="C1553" s="49" t="str">
        <f t="shared" si="2"/>
        <v>S17241XM1</v>
      </c>
      <c r="D1553" s="6">
        <v>39.0</v>
      </c>
      <c r="E1553" s="10" t="str">
        <f t="shared" si="3"/>
        <v>BXM39</v>
      </c>
      <c r="F1553" s="13">
        <v>62.0</v>
      </c>
      <c r="G1553" s="10" t="str">
        <f t="shared" si="7"/>
        <v>BXM39-62</v>
      </c>
      <c r="H1553" s="16"/>
      <c r="I1553" s="16" t="str">
        <f t="shared" si="5"/>
        <v>collected</v>
      </c>
      <c r="J1553" s="16" t="str">
        <f t="shared" si="6"/>
        <v>N</v>
      </c>
      <c r="K1553" s="16"/>
      <c r="L1553" s="16"/>
    </row>
    <row r="1554">
      <c r="A1554" s="40" t="s">
        <v>2098</v>
      </c>
      <c r="B1554" s="10" t="str">
        <f t="shared" si="1"/>
        <v>extra_muscle</v>
      </c>
      <c r="C1554" s="49" t="str">
        <f t="shared" si="2"/>
        <v>S16851XM1</v>
      </c>
      <c r="D1554" s="6">
        <v>39.0</v>
      </c>
      <c r="E1554" s="10" t="str">
        <f t="shared" si="3"/>
        <v>BXM39</v>
      </c>
      <c r="F1554" s="13">
        <v>63.0</v>
      </c>
      <c r="G1554" s="10" t="str">
        <f t="shared" si="7"/>
        <v>BXM39-63</v>
      </c>
      <c r="H1554" s="16"/>
      <c r="I1554" s="16" t="str">
        <f t="shared" si="5"/>
        <v>collected</v>
      </c>
      <c r="J1554" s="16" t="str">
        <f t="shared" si="6"/>
        <v>N</v>
      </c>
      <c r="K1554" s="16"/>
      <c r="L1554" s="16"/>
    </row>
    <row r="1555">
      <c r="A1555" s="40" t="s">
        <v>2099</v>
      </c>
      <c r="B1555" s="10" t="str">
        <f t="shared" si="1"/>
        <v>extra_muscle</v>
      </c>
      <c r="C1555" s="49" t="str">
        <f t="shared" si="2"/>
        <v>S16855XM1</v>
      </c>
      <c r="D1555" s="6">
        <v>39.0</v>
      </c>
      <c r="E1555" s="10" t="str">
        <f t="shared" si="3"/>
        <v>BXM39</v>
      </c>
      <c r="F1555" s="13">
        <v>64.0</v>
      </c>
      <c r="G1555" s="10" t="str">
        <f t="shared" si="7"/>
        <v>BXM39-64</v>
      </c>
      <c r="H1555" s="16"/>
      <c r="I1555" s="16" t="str">
        <f t="shared" si="5"/>
        <v>collected</v>
      </c>
      <c r="J1555" s="16" t="str">
        <f t="shared" si="6"/>
        <v>N</v>
      </c>
      <c r="K1555" s="16"/>
      <c r="L1555" s="16"/>
    </row>
    <row r="1556">
      <c r="A1556" s="40" t="s">
        <v>2100</v>
      </c>
      <c r="B1556" s="10" t="str">
        <f t="shared" si="1"/>
        <v>extra_muscle</v>
      </c>
      <c r="C1556" s="49" t="str">
        <f t="shared" si="2"/>
        <v>S16852XM1</v>
      </c>
      <c r="D1556" s="6">
        <v>39.0</v>
      </c>
      <c r="E1556" s="10" t="str">
        <f t="shared" si="3"/>
        <v>BXM39</v>
      </c>
      <c r="F1556" s="13">
        <v>65.0</v>
      </c>
      <c r="G1556" s="10" t="str">
        <f t="shared" si="7"/>
        <v>BXM39-65</v>
      </c>
      <c r="H1556" s="16"/>
      <c r="I1556" s="16" t="str">
        <f t="shared" si="5"/>
        <v>collected</v>
      </c>
      <c r="J1556" s="16" t="str">
        <f t="shared" si="6"/>
        <v>N</v>
      </c>
      <c r="K1556" s="16"/>
      <c r="L1556" s="16"/>
    </row>
    <row r="1557">
      <c r="A1557" s="40" t="s">
        <v>2101</v>
      </c>
      <c r="B1557" s="10" t="str">
        <f t="shared" si="1"/>
        <v>extra_muscle</v>
      </c>
      <c r="C1557" s="49" t="str">
        <f t="shared" si="2"/>
        <v>S16854XM1</v>
      </c>
      <c r="D1557" s="6">
        <v>39.0</v>
      </c>
      <c r="E1557" s="10" t="str">
        <f t="shared" si="3"/>
        <v>BXM39</v>
      </c>
      <c r="F1557" s="13">
        <v>66.0</v>
      </c>
      <c r="G1557" s="10" t="str">
        <f t="shared" si="7"/>
        <v>BXM39-66</v>
      </c>
      <c r="H1557" s="16"/>
      <c r="I1557" s="16" t="str">
        <f t="shared" si="5"/>
        <v>collected</v>
      </c>
      <c r="J1557" s="16" t="str">
        <f t="shared" si="6"/>
        <v>N</v>
      </c>
      <c r="K1557" s="16"/>
      <c r="L1557" s="16"/>
    </row>
    <row r="1558">
      <c r="A1558" s="40" t="s">
        <v>2102</v>
      </c>
      <c r="B1558" s="10" t="str">
        <f t="shared" si="1"/>
        <v>extra_muscle</v>
      </c>
      <c r="C1558" s="49" t="str">
        <f t="shared" si="2"/>
        <v>S16853XM1</v>
      </c>
      <c r="D1558" s="6">
        <v>39.0</v>
      </c>
      <c r="E1558" s="10" t="str">
        <f t="shared" si="3"/>
        <v>BXM39</v>
      </c>
      <c r="F1558" s="13">
        <v>67.0</v>
      </c>
      <c r="G1558" s="10" t="str">
        <f t="shared" si="7"/>
        <v>BXM39-67</v>
      </c>
      <c r="H1558" s="16"/>
      <c r="I1558" s="16" t="str">
        <f t="shared" si="5"/>
        <v>collected</v>
      </c>
      <c r="J1558" s="16" t="str">
        <f t="shared" si="6"/>
        <v>N</v>
      </c>
      <c r="K1558" s="16"/>
      <c r="L1558" s="16"/>
    </row>
  </sheetData>
  <conditionalFormatting sqref="J1:J1558">
    <cfRule type="cellIs" dxfId="0" priority="1" operator="equal">
      <formula>"Y"</formula>
    </cfRule>
  </conditionalFormatting>
  <dataValidations>
    <dataValidation type="decimal" allowBlank="1" showDropDown="1" showErrorMessage="1" sqref="F2:F146 F148 F151:F547 F549 F565 F567 F569 F571 F573 F575 F577 F579 F581 F583:F588 F599 F601:F1558">
      <formula1>1.0</formula1>
      <formula2>100.0</formula2>
    </dataValidation>
    <dataValidation type="decimal" allowBlank="1" showDropDown="1" showErrorMessage="1" sqref="F150 F564 F566 F568 F570 F572 F574 F576 F578 F580 F582 F590:F598">
      <formula1>1.0</formula1>
      <formula2>100.0</formula2>
    </dataValidation>
    <dataValidation type="decimal" allowBlank="1" showDropDown="1" showErrorMessage="1" sqref="F149 F550:F563 F589">
      <formula1>1.0</formula1>
      <formula2>100.0</formula2>
    </dataValidation>
    <dataValidation type="list" allowBlank="1" showDropDown="1" showInputMessage="1" showErrorMessage="1" prompt="Ensure there are no duplicate UFNs" sqref="A1:A583 A601:A976 A993:A1558">
      <formula1>fish_lab_data!$C:$C</formula1>
    </dataValidation>
  </dataValidation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93C47D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4" max="4" width="18.14"/>
    <col customWidth="1" min="8" max="8" width="25.14"/>
  </cols>
  <sheetData>
    <row r="1">
      <c r="A1" s="1" t="s">
        <v>0</v>
      </c>
      <c r="B1" s="4" t="s">
        <v>1</v>
      </c>
      <c r="C1" s="48" t="s">
        <v>16</v>
      </c>
      <c r="D1" s="1" t="s">
        <v>2189</v>
      </c>
      <c r="E1" s="4" t="s">
        <v>18</v>
      </c>
      <c r="F1" s="1" t="s">
        <v>21</v>
      </c>
      <c r="G1" s="4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</row>
    <row r="2">
      <c r="A2" s="26" t="s">
        <v>1414</v>
      </c>
      <c r="B2" s="10" t="str">
        <f t="shared" ref="B2:B573" si="1">if(isblank(A2),"","DNA")</f>
        <v>DNA</v>
      </c>
      <c r="C2" s="49" t="str">
        <f t="shared" ref="C2:C573" si="2">if(isblank(A2),"",concatenate("S",mid(A2,2,5),"DN1"))</f>
        <v>S16117DN1</v>
      </c>
      <c r="D2" s="6">
        <v>3.0</v>
      </c>
      <c r="E2" s="10" t="str">
        <f t="shared" ref="E2:E573" si="3">if(isblank(D2),"",concatenate("BDN",D2))</f>
        <v>BDN3</v>
      </c>
      <c r="F2" s="6">
        <v>62.0</v>
      </c>
      <c r="G2" s="10" t="str">
        <f t="shared" ref="G2:G573" si="4">if(F2="","",concatenate(E2,"-",F2))</f>
        <v>BDN3-62</v>
      </c>
      <c r="H2" s="15"/>
      <c r="I2" s="16" t="str">
        <f t="shared" ref="I2:I573" si="5">if(G2="","","collected")</f>
        <v>collected</v>
      </c>
      <c r="J2" s="16" t="str">
        <f t="shared" ref="J2:J573" si="6">if(G2="","",if(or(countif(A:A,A2)&gt;1,countif(G:G,G2)&gt;1),"Y","N"))</f>
        <v>N</v>
      </c>
      <c r="K2" s="16"/>
      <c r="L2" s="16"/>
    </row>
    <row r="3">
      <c r="A3" s="26" t="s">
        <v>1415</v>
      </c>
      <c r="B3" s="10" t="str">
        <f t="shared" si="1"/>
        <v>DNA</v>
      </c>
      <c r="C3" s="49" t="str">
        <f t="shared" si="2"/>
        <v>S16114DN1</v>
      </c>
      <c r="D3" s="6">
        <v>3.0</v>
      </c>
      <c r="E3" s="10" t="str">
        <f t="shared" si="3"/>
        <v>BDN3</v>
      </c>
      <c r="F3" s="6">
        <v>63.0</v>
      </c>
      <c r="G3" s="10" t="str">
        <f t="shared" si="4"/>
        <v>BDN3-63</v>
      </c>
      <c r="H3" s="15"/>
      <c r="I3" s="16" t="str">
        <f t="shared" si="5"/>
        <v>collected</v>
      </c>
      <c r="J3" s="16" t="str">
        <f t="shared" si="6"/>
        <v>N</v>
      </c>
      <c r="K3" s="16"/>
      <c r="L3" s="16"/>
    </row>
    <row r="4">
      <c r="A4" s="26" t="s">
        <v>1416</v>
      </c>
      <c r="B4" s="10" t="str">
        <f t="shared" si="1"/>
        <v>DNA</v>
      </c>
      <c r="C4" s="49" t="str">
        <f t="shared" si="2"/>
        <v>S16115DN1</v>
      </c>
      <c r="D4" s="6">
        <v>3.0</v>
      </c>
      <c r="E4" s="10" t="str">
        <f t="shared" si="3"/>
        <v>BDN3</v>
      </c>
      <c r="F4" s="6">
        <v>64.0</v>
      </c>
      <c r="G4" s="10" t="str">
        <f t="shared" si="4"/>
        <v>BDN3-64</v>
      </c>
      <c r="H4" s="15"/>
      <c r="I4" s="16" t="str">
        <f t="shared" si="5"/>
        <v>collected</v>
      </c>
      <c r="J4" s="16" t="str">
        <f t="shared" si="6"/>
        <v>N</v>
      </c>
      <c r="K4" s="16"/>
      <c r="L4" s="16"/>
    </row>
    <row r="5">
      <c r="A5" s="26" t="s">
        <v>1417</v>
      </c>
      <c r="B5" s="10" t="str">
        <f t="shared" si="1"/>
        <v>DNA</v>
      </c>
      <c r="C5" s="49" t="str">
        <f t="shared" si="2"/>
        <v>S16116DN1</v>
      </c>
      <c r="D5" s="6">
        <v>3.0</v>
      </c>
      <c r="E5" s="10" t="str">
        <f t="shared" si="3"/>
        <v>BDN3</v>
      </c>
      <c r="F5" s="6">
        <v>65.0</v>
      </c>
      <c r="G5" s="10" t="str">
        <f t="shared" si="4"/>
        <v>BDN3-65</v>
      </c>
      <c r="H5" s="16"/>
      <c r="I5" s="16" t="str">
        <f t="shared" si="5"/>
        <v>collected</v>
      </c>
      <c r="J5" s="16" t="str">
        <f t="shared" si="6"/>
        <v>N</v>
      </c>
      <c r="K5" s="16"/>
      <c r="L5" s="16"/>
    </row>
    <row r="6">
      <c r="A6" s="26" t="s">
        <v>1418</v>
      </c>
      <c r="B6" s="10" t="str">
        <f t="shared" si="1"/>
        <v>DNA</v>
      </c>
      <c r="C6" s="49" t="str">
        <f t="shared" si="2"/>
        <v>S16118DN1</v>
      </c>
      <c r="D6" s="6">
        <v>3.0</v>
      </c>
      <c r="E6" s="10" t="str">
        <f t="shared" si="3"/>
        <v>BDN3</v>
      </c>
      <c r="F6" s="6">
        <v>66.0</v>
      </c>
      <c r="G6" s="10" t="str">
        <f t="shared" si="4"/>
        <v>BDN3-66</v>
      </c>
      <c r="H6" s="16"/>
      <c r="I6" s="16" t="str">
        <f t="shared" si="5"/>
        <v>collected</v>
      </c>
      <c r="J6" s="16" t="str">
        <f t="shared" si="6"/>
        <v>N</v>
      </c>
      <c r="K6" s="16"/>
      <c r="L6" s="16"/>
    </row>
    <row r="7">
      <c r="A7" s="26" t="s">
        <v>1420</v>
      </c>
      <c r="B7" s="10" t="str">
        <f t="shared" si="1"/>
        <v>DNA</v>
      </c>
      <c r="C7" s="49" t="str">
        <f t="shared" si="2"/>
        <v>S16112DN1</v>
      </c>
      <c r="D7" s="6">
        <v>3.0</v>
      </c>
      <c r="E7" s="10" t="str">
        <f t="shared" si="3"/>
        <v>BDN3</v>
      </c>
      <c r="F7" s="6">
        <v>67.0</v>
      </c>
      <c r="G7" s="10" t="str">
        <f t="shared" si="4"/>
        <v>BDN3-67</v>
      </c>
      <c r="H7" s="15"/>
      <c r="I7" s="16" t="str">
        <f t="shared" si="5"/>
        <v>collected</v>
      </c>
      <c r="J7" s="16" t="str">
        <f t="shared" si="6"/>
        <v>N</v>
      </c>
      <c r="K7" s="16"/>
      <c r="L7" s="16"/>
    </row>
    <row r="8">
      <c r="A8" s="43" t="s">
        <v>1421</v>
      </c>
      <c r="B8" s="10" t="str">
        <f t="shared" si="1"/>
        <v>DNA</v>
      </c>
      <c r="C8" s="49" t="str">
        <f t="shared" si="2"/>
        <v>S16113DN1</v>
      </c>
      <c r="D8" s="6">
        <v>3.0</v>
      </c>
      <c r="E8" s="10" t="str">
        <f t="shared" si="3"/>
        <v>BDN3</v>
      </c>
      <c r="F8" s="6">
        <v>68.0</v>
      </c>
      <c r="G8" s="10" t="str">
        <f t="shared" si="4"/>
        <v>BDN3-68</v>
      </c>
      <c r="H8" s="15"/>
      <c r="I8" s="16" t="str">
        <f t="shared" si="5"/>
        <v>collected</v>
      </c>
      <c r="J8" s="16" t="str">
        <f t="shared" si="6"/>
        <v>N</v>
      </c>
      <c r="K8" s="16"/>
      <c r="L8" s="16"/>
    </row>
    <row r="9">
      <c r="A9" s="43" t="s">
        <v>1422</v>
      </c>
      <c r="B9" s="10" t="str">
        <f t="shared" si="1"/>
        <v>DNA</v>
      </c>
      <c r="C9" s="49" t="str">
        <f t="shared" si="2"/>
        <v>S16111DN1</v>
      </c>
      <c r="D9" s="6">
        <v>3.0</v>
      </c>
      <c r="E9" s="10" t="str">
        <f t="shared" si="3"/>
        <v>BDN3</v>
      </c>
      <c r="F9" s="6">
        <v>69.0</v>
      </c>
      <c r="G9" s="10" t="str">
        <f t="shared" si="4"/>
        <v>BDN3-69</v>
      </c>
      <c r="H9" s="15"/>
      <c r="I9" s="16" t="str">
        <f t="shared" si="5"/>
        <v>collected</v>
      </c>
      <c r="J9" s="16" t="str">
        <f t="shared" si="6"/>
        <v>N</v>
      </c>
      <c r="K9" s="16"/>
      <c r="L9" s="16"/>
    </row>
    <row r="10">
      <c r="A10" s="43" t="s">
        <v>1423</v>
      </c>
      <c r="B10" s="10" t="str">
        <f t="shared" si="1"/>
        <v>DNA</v>
      </c>
      <c r="C10" s="49" t="str">
        <f t="shared" si="2"/>
        <v>S16602DN1</v>
      </c>
      <c r="D10" s="6">
        <v>3.0</v>
      </c>
      <c r="E10" s="10" t="str">
        <f t="shared" si="3"/>
        <v>BDN3</v>
      </c>
      <c r="F10" s="6">
        <v>70.0</v>
      </c>
      <c r="G10" s="10" t="str">
        <f t="shared" si="4"/>
        <v>BDN3-70</v>
      </c>
      <c r="H10" s="15"/>
      <c r="I10" s="16" t="str">
        <f t="shared" si="5"/>
        <v>collected</v>
      </c>
      <c r="J10" s="16" t="str">
        <f t="shared" si="6"/>
        <v>N</v>
      </c>
      <c r="K10" s="16"/>
      <c r="L10" s="16"/>
    </row>
    <row r="11">
      <c r="A11" s="43" t="s">
        <v>1424</v>
      </c>
      <c r="B11" s="10" t="str">
        <f t="shared" si="1"/>
        <v>DNA</v>
      </c>
      <c r="C11" s="49" t="str">
        <f t="shared" si="2"/>
        <v>S16610DN1</v>
      </c>
      <c r="D11" s="6">
        <v>3.0</v>
      </c>
      <c r="E11" s="10" t="str">
        <f t="shared" si="3"/>
        <v>BDN3</v>
      </c>
      <c r="F11" s="6">
        <v>71.0</v>
      </c>
      <c r="G11" s="10" t="str">
        <f t="shared" si="4"/>
        <v>BDN3-71</v>
      </c>
      <c r="H11" s="15"/>
      <c r="I11" s="16" t="str">
        <f t="shared" si="5"/>
        <v>collected</v>
      </c>
      <c r="J11" s="16" t="str">
        <f t="shared" si="6"/>
        <v>N</v>
      </c>
      <c r="K11" s="16"/>
      <c r="L11" s="16"/>
    </row>
    <row r="12">
      <c r="A12" s="43" t="s">
        <v>1425</v>
      </c>
      <c r="B12" s="10" t="str">
        <f t="shared" si="1"/>
        <v>DNA</v>
      </c>
      <c r="C12" s="49" t="str">
        <f t="shared" si="2"/>
        <v>S16608DN1</v>
      </c>
      <c r="D12" s="6">
        <v>3.0</v>
      </c>
      <c r="E12" s="10" t="str">
        <f t="shared" si="3"/>
        <v>BDN3</v>
      </c>
      <c r="F12" s="6">
        <v>72.0</v>
      </c>
      <c r="G12" s="10" t="str">
        <f t="shared" si="4"/>
        <v>BDN3-72</v>
      </c>
      <c r="H12" s="15"/>
      <c r="I12" s="16" t="str">
        <f t="shared" si="5"/>
        <v>collected</v>
      </c>
      <c r="J12" s="16" t="str">
        <f t="shared" si="6"/>
        <v>N</v>
      </c>
      <c r="K12" s="16"/>
      <c r="L12" s="16"/>
    </row>
    <row r="13">
      <c r="A13" s="43" t="s">
        <v>1426</v>
      </c>
      <c r="B13" s="10" t="str">
        <f t="shared" si="1"/>
        <v>DNA</v>
      </c>
      <c r="C13" s="49" t="str">
        <f t="shared" si="2"/>
        <v>S16601DN1</v>
      </c>
      <c r="D13" s="6">
        <v>3.0</v>
      </c>
      <c r="E13" s="10" t="str">
        <f t="shared" si="3"/>
        <v>BDN3</v>
      </c>
      <c r="F13" s="6">
        <v>73.0</v>
      </c>
      <c r="G13" s="10" t="str">
        <f t="shared" si="4"/>
        <v>BDN3-73</v>
      </c>
      <c r="H13" s="15"/>
      <c r="I13" s="16" t="str">
        <f t="shared" si="5"/>
        <v>collected</v>
      </c>
      <c r="J13" s="16" t="str">
        <f t="shared" si="6"/>
        <v>N</v>
      </c>
      <c r="K13" s="16"/>
      <c r="L13" s="16"/>
    </row>
    <row r="14">
      <c r="A14" s="43" t="s">
        <v>1429</v>
      </c>
      <c r="B14" s="10" t="str">
        <f t="shared" si="1"/>
        <v>DNA</v>
      </c>
      <c r="C14" s="49" t="str">
        <f t="shared" si="2"/>
        <v>S16605DN1</v>
      </c>
      <c r="D14" s="6">
        <v>3.0</v>
      </c>
      <c r="E14" s="10" t="str">
        <f t="shared" si="3"/>
        <v>BDN3</v>
      </c>
      <c r="F14" s="6">
        <v>74.0</v>
      </c>
      <c r="G14" s="10" t="str">
        <f t="shared" si="4"/>
        <v>BDN3-74</v>
      </c>
      <c r="H14" s="15"/>
      <c r="I14" s="16" t="str">
        <f t="shared" si="5"/>
        <v>collected</v>
      </c>
      <c r="J14" s="16" t="str">
        <f t="shared" si="6"/>
        <v>N</v>
      </c>
      <c r="K14" s="16"/>
      <c r="L14" s="16"/>
    </row>
    <row r="15">
      <c r="A15" s="43" t="s">
        <v>1430</v>
      </c>
      <c r="B15" s="10" t="str">
        <f t="shared" si="1"/>
        <v>DNA</v>
      </c>
      <c r="C15" s="49" t="str">
        <f t="shared" si="2"/>
        <v>S16604DN1</v>
      </c>
      <c r="D15" s="6">
        <v>3.0</v>
      </c>
      <c r="E15" s="10" t="str">
        <f t="shared" si="3"/>
        <v>BDN3</v>
      </c>
      <c r="F15" s="6">
        <v>75.0</v>
      </c>
      <c r="G15" s="10" t="str">
        <f t="shared" si="4"/>
        <v>BDN3-75</v>
      </c>
      <c r="H15" s="15"/>
      <c r="I15" s="16" t="str">
        <f t="shared" si="5"/>
        <v>collected</v>
      </c>
      <c r="J15" s="16" t="str">
        <f t="shared" si="6"/>
        <v>N</v>
      </c>
      <c r="K15" s="16"/>
      <c r="L15" s="16"/>
    </row>
    <row r="16">
      <c r="A16" s="43" t="s">
        <v>1431</v>
      </c>
      <c r="B16" s="10" t="str">
        <f t="shared" si="1"/>
        <v>DNA</v>
      </c>
      <c r="C16" s="49" t="str">
        <f t="shared" si="2"/>
        <v>S16606DN1</v>
      </c>
      <c r="D16" s="6">
        <v>3.0</v>
      </c>
      <c r="E16" s="10" t="str">
        <f t="shared" si="3"/>
        <v>BDN3</v>
      </c>
      <c r="F16" s="6">
        <v>76.0</v>
      </c>
      <c r="G16" s="10" t="str">
        <f t="shared" si="4"/>
        <v>BDN3-76</v>
      </c>
      <c r="H16" s="15"/>
      <c r="I16" s="16" t="str">
        <f t="shared" si="5"/>
        <v>collected</v>
      </c>
      <c r="J16" s="16" t="str">
        <f t="shared" si="6"/>
        <v>N</v>
      </c>
      <c r="K16" s="16"/>
      <c r="L16" s="16"/>
    </row>
    <row r="17">
      <c r="A17" s="43" t="s">
        <v>1432</v>
      </c>
      <c r="B17" s="10" t="str">
        <f t="shared" si="1"/>
        <v>DNA</v>
      </c>
      <c r="C17" s="49" t="str">
        <f t="shared" si="2"/>
        <v>S16603DN1</v>
      </c>
      <c r="D17" s="6">
        <v>3.0</v>
      </c>
      <c r="E17" s="10" t="str">
        <f t="shared" si="3"/>
        <v>BDN3</v>
      </c>
      <c r="F17" s="6">
        <v>77.0</v>
      </c>
      <c r="G17" s="10" t="str">
        <f t="shared" si="4"/>
        <v>BDN3-77</v>
      </c>
      <c r="H17" s="15"/>
      <c r="I17" s="16" t="str">
        <f t="shared" si="5"/>
        <v>collected</v>
      </c>
      <c r="J17" s="16" t="str">
        <f t="shared" si="6"/>
        <v>N</v>
      </c>
      <c r="K17" s="16"/>
      <c r="L17" s="16"/>
    </row>
    <row r="18">
      <c r="A18" s="43" t="s">
        <v>1433</v>
      </c>
      <c r="B18" s="10" t="str">
        <f t="shared" si="1"/>
        <v>DNA</v>
      </c>
      <c r="C18" s="49" t="str">
        <f t="shared" si="2"/>
        <v>S16609DN1</v>
      </c>
      <c r="D18" s="6">
        <v>3.0</v>
      </c>
      <c r="E18" s="10" t="str">
        <f t="shared" si="3"/>
        <v>BDN3</v>
      </c>
      <c r="F18" s="6">
        <v>78.0</v>
      </c>
      <c r="G18" s="10" t="str">
        <f t="shared" si="4"/>
        <v>BDN3-78</v>
      </c>
      <c r="H18" s="15"/>
      <c r="I18" s="16" t="str">
        <f t="shared" si="5"/>
        <v>collected</v>
      </c>
      <c r="J18" s="16" t="str">
        <f t="shared" si="6"/>
        <v>N</v>
      </c>
      <c r="K18" s="16"/>
      <c r="L18" s="16"/>
    </row>
    <row r="19">
      <c r="A19" s="43" t="s">
        <v>1435</v>
      </c>
      <c r="B19" s="10" t="str">
        <f t="shared" si="1"/>
        <v>DNA</v>
      </c>
      <c r="C19" s="49" t="str">
        <f t="shared" si="2"/>
        <v>S16607DN1</v>
      </c>
      <c r="D19" s="6">
        <v>3.0</v>
      </c>
      <c r="E19" s="10" t="str">
        <f t="shared" si="3"/>
        <v>BDN3</v>
      </c>
      <c r="F19" s="6">
        <v>79.0</v>
      </c>
      <c r="G19" s="10" t="str">
        <f t="shared" si="4"/>
        <v>BDN3-79</v>
      </c>
      <c r="H19" s="15"/>
      <c r="I19" s="16" t="str">
        <f t="shared" si="5"/>
        <v>collected</v>
      </c>
      <c r="J19" s="16" t="str">
        <f t="shared" si="6"/>
        <v>N</v>
      </c>
      <c r="K19" s="16"/>
      <c r="L19" s="16"/>
    </row>
    <row r="20">
      <c r="A20" s="40" t="s">
        <v>1436</v>
      </c>
      <c r="B20" s="10" t="str">
        <f t="shared" si="1"/>
        <v>DNA</v>
      </c>
      <c r="C20" s="49" t="str">
        <f t="shared" si="2"/>
        <v>S16981DN1</v>
      </c>
      <c r="D20" s="6">
        <v>3.0</v>
      </c>
      <c r="E20" s="10" t="str">
        <f t="shared" si="3"/>
        <v>BDN3</v>
      </c>
      <c r="F20" s="6">
        <v>80.0</v>
      </c>
      <c r="G20" s="10" t="str">
        <f t="shared" si="4"/>
        <v>BDN3-80</v>
      </c>
      <c r="H20" s="15"/>
      <c r="I20" s="16" t="str">
        <f t="shared" si="5"/>
        <v>collected</v>
      </c>
      <c r="J20" s="16" t="str">
        <f t="shared" si="6"/>
        <v>N</v>
      </c>
      <c r="K20" s="16"/>
      <c r="L20" s="16"/>
    </row>
    <row r="21">
      <c r="A21" s="40" t="s">
        <v>1438</v>
      </c>
      <c r="B21" s="10" t="str">
        <f t="shared" si="1"/>
        <v>DNA</v>
      </c>
      <c r="C21" s="49" t="str">
        <f t="shared" si="2"/>
        <v>S16982DN1</v>
      </c>
      <c r="D21" s="6">
        <v>3.0</v>
      </c>
      <c r="E21" s="10" t="str">
        <f t="shared" si="3"/>
        <v>BDN3</v>
      </c>
      <c r="F21" s="6">
        <v>81.0</v>
      </c>
      <c r="G21" s="10" t="str">
        <f t="shared" si="4"/>
        <v>BDN3-81</v>
      </c>
      <c r="H21" s="15"/>
      <c r="I21" s="16" t="str">
        <f t="shared" si="5"/>
        <v>collected</v>
      </c>
      <c r="J21" s="16" t="str">
        <f t="shared" si="6"/>
        <v>N</v>
      </c>
      <c r="K21" s="16"/>
      <c r="L21" s="16"/>
    </row>
    <row r="22">
      <c r="A22" s="40" t="s">
        <v>1439</v>
      </c>
      <c r="B22" s="10" t="str">
        <f t="shared" si="1"/>
        <v>DNA</v>
      </c>
      <c r="C22" s="49" t="str">
        <f t="shared" si="2"/>
        <v>S16983DN1</v>
      </c>
      <c r="D22" s="6">
        <v>3.0</v>
      </c>
      <c r="E22" s="10" t="str">
        <f t="shared" si="3"/>
        <v>BDN3</v>
      </c>
      <c r="F22" s="6">
        <v>82.0</v>
      </c>
      <c r="G22" s="10" t="str">
        <f t="shared" si="4"/>
        <v>BDN3-82</v>
      </c>
      <c r="H22" s="15"/>
      <c r="I22" s="16" t="str">
        <f t="shared" si="5"/>
        <v>collected</v>
      </c>
      <c r="J22" s="16" t="str">
        <f t="shared" si="6"/>
        <v>N</v>
      </c>
      <c r="K22" s="16"/>
      <c r="L22" s="16"/>
    </row>
    <row r="23">
      <c r="A23" s="40" t="s">
        <v>1440</v>
      </c>
      <c r="B23" s="10" t="str">
        <f t="shared" si="1"/>
        <v>DNA</v>
      </c>
      <c r="C23" s="49" t="str">
        <f t="shared" si="2"/>
        <v>S16984DN1</v>
      </c>
      <c r="D23" s="6">
        <v>3.0</v>
      </c>
      <c r="E23" s="10" t="str">
        <f t="shared" si="3"/>
        <v>BDN3</v>
      </c>
      <c r="F23" s="6">
        <v>83.0</v>
      </c>
      <c r="G23" s="10" t="str">
        <f t="shared" si="4"/>
        <v>BDN3-83</v>
      </c>
      <c r="H23" s="15"/>
      <c r="I23" s="16" t="str">
        <f t="shared" si="5"/>
        <v>collected</v>
      </c>
      <c r="J23" s="16" t="str">
        <f t="shared" si="6"/>
        <v>N</v>
      </c>
      <c r="K23" s="16"/>
      <c r="L23" s="16"/>
    </row>
    <row r="24">
      <c r="A24" s="40" t="s">
        <v>1441</v>
      </c>
      <c r="B24" s="10" t="str">
        <f t="shared" si="1"/>
        <v>DNA</v>
      </c>
      <c r="C24" s="49" t="str">
        <f t="shared" si="2"/>
        <v>S16989DN1</v>
      </c>
      <c r="D24" s="6">
        <v>3.0</v>
      </c>
      <c r="E24" s="10" t="str">
        <f t="shared" si="3"/>
        <v>BDN3</v>
      </c>
      <c r="F24" s="6">
        <v>84.0</v>
      </c>
      <c r="G24" s="10" t="str">
        <f t="shared" si="4"/>
        <v>BDN3-84</v>
      </c>
      <c r="H24" s="15"/>
      <c r="I24" s="16" t="str">
        <f t="shared" si="5"/>
        <v>collected</v>
      </c>
      <c r="J24" s="16" t="str">
        <f t="shared" si="6"/>
        <v>N</v>
      </c>
      <c r="K24" s="16"/>
      <c r="L24" s="16"/>
    </row>
    <row r="25">
      <c r="A25" s="40" t="s">
        <v>1443</v>
      </c>
      <c r="B25" s="10" t="str">
        <f t="shared" si="1"/>
        <v>DNA</v>
      </c>
      <c r="C25" s="49" t="str">
        <f t="shared" si="2"/>
        <v>S16987DN1</v>
      </c>
      <c r="D25" s="6">
        <v>3.0</v>
      </c>
      <c r="E25" s="10" t="str">
        <f t="shared" si="3"/>
        <v>BDN3</v>
      </c>
      <c r="F25" s="6">
        <v>85.0</v>
      </c>
      <c r="G25" s="10" t="str">
        <f t="shared" si="4"/>
        <v>BDN3-85</v>
      </c>
      <c r="H25" s="15"/>
      <c r="I25" s="16" t="str">
        <f t="shared" si="5"/>
        <v>collected</v>
      </c>
      <c r="J25" s="16" t="str">
        <f t="shared" si="6"/>
        <v>N</v>
      </c>
      <c r="K25" s="16"/>
      <c r="L25" s="16"/>
    </row>
    <row r="26">
      <c r="A26" s="40" t="s">
        <v>1444</v>
      </c>
      <c r="B26" s="10" t="str">
        <f t="shared" si="1"/>
        <v>DNA</v>
      </c>
      <c r="C26" s="49" t="str">
        <f t="shared" si="2"/>
        <v>S16986DN1</v>
      </c>
      <c r="D26" s="6">
        <v>3.0</v>
      </c>
      <c r="E26" s="10" t="str">
        <f t="shared" si="3"/>
        <v>BDN3</v>
      </c>
      <c r="F26" s="6">
        <v>86.0</v>
      </c>
      <c r="G26" s="10" t="str">
        <f t="shared" si="4"/>
        <v>BDN3-86</v>
      </c>
      <c r="H26" s="15"/>
      <c r="I26" s="16" t="str">
        <f t="shared" si="5"/>
        <v>collected</v>
      </c>
      <c r="J26" s="16" t="str">
        <f t="shared" si="6"/>
        <v>N</v>
      </c>
      <c r="K26" s="16"/>
      <c r="L26" s="16"/>
    </row>
    <row r="27">
      <c r="A27" s="40" t="s">
        <v>1446</v>
      </c>
      <c r="B27" s="10" t="str">
        <f t="shared" si="1"/>
        <v>DNA</v>
      </c>
      <c r="C27" s="49" t="str">
        <f t="shared" si="2"/>
        <v>S16990DN1</v>
      </c>
      <c r="D27" s="6">
        <v>3.0</v>
      </c>
      <c r="E27" s="10" t="str">
        <f t="shared" si="3"/>
        <v>BDN3</v>
      </c>
      <c r="F27" s="6">
        <v>87.0</v>
      </c>
      <c r="G27" s="10" t="str">
        <f t="shared" si="4"/>
        <v>BDN3-87</v>
      </c>
      <c r="H27" s="15"/>
      <c r="I27" s="16" t="str">
        <f t="shared" si="5"/>
        <v>collected</v>
      </c>
      <c r="J27" s="16" t="str">
        <f t="shared" si="6"/>
        <v>N</v>
      </c>
      <c r="K27" s="16"/>
      <c r="L27" s="16"/>
    </row>
    <row r="28">
      <c r="A28" s="40" t="s">
        <v>1447</v>
      </c>
      <c r="B28" s="10" t="str">
        <f t="shared" si="1"/>
        <v>DNA</v>
      </c>
      <c r="C28" s="49" t="str">
        <f t="shared" si="2"/>
        <v>S16988DN1</v>
      </c>
      <c r="D28" s="6">
        <v>3.0</v>
      </c>
      <c r="E28" s="10" t="str">
        <f t="shared" si="3"/>
        <v>BDN3</v>
      </c>
      <c r="F28" s="6">
        <v>88.0</v>
      </c>
      <c r="G28" s="10" t="str">
        <f t="shared" si="4"/>
        <v>BDN3-88</v>
      </c>
      <c r="H28" s="15"/>
      <c r="I28" s="16" t="str">
        <f t="shared" si="5"/>
        <v>collected</v>
      </c>
      <c r="J28" s="16" t="str">
        <f t="shared" si="6"/>
        <v>N</v>
      </c>
      <c r="K28" s="16"/>
      <c r="L28" s="16"/>
    </row>
    <row r="29">
      <c r="A29" s="40" t="s">
        <v>1448</v>
      </c>
      <c r="B29" s="10" t="str">
        <f t="shared" si="1"/>
        <v>DNA</v>
      </c>
      <c r="C29" s="49" t="str">
        <f t="shared" si="2"/>
        <v>S16985DN1</v>
      </c>
      <c r="D29" s="6">
        <v>3.0</v>
      </c>
      <c r="E29" s="10" t="str">
        <f t="shared" si="3"/>
        <v>BDN3</v>
      </c>
      <c r="F29" s="6">
        <v>89.0</v>
      </c>
      <c r="G29" s="10" t="str">
        <f t="shared" si="4"/>
        <v>BDN3-89</v>
      </c>
      <c r="H29" s="15"/>
      <c r="I29" s="16" t="str">
        <f t="shared" si="5"/>
        <v>collected</v>
      </c>
      <c r="J29" s="16" t="str">
        <f t="shared" si="6"/>
        <v>N</v>
      </c>
      <c r="K29" s="16"/>
      <c r="L29" s="16"/>
    </row>
    <row r="30">
      <c r="A30" s="40" t="s">
        <v>1449</v>
      </c>
      <c r="B30" s="10" t="str">
        <f t="shared" si="1"/>
        <v>DNA</v>
      </c>
      <c r="C30" s="49" t="str">
        <f t="shared" si="2"/>
        <v>S16231DN1</v>
      </c>
      <c r="D30" s="6">
        <v>3.0</v>
      </c>
      <c r="E30" s="10" t="str">
        <f t="shared" si="3"/>
        <v>BDN3</v>
      </c>
      <c r="F30" s="6">
        <v>90.0</v>
      </c>
      <c r="G30" s="10" t="str">
        <f t="shared" si="4"/>
        <v>BDN3-90</v>
      </c>
      <c r="H30" s="15"/>
      <c r="I30" s="16" t="str">
        <f t="shared" si="5"/>
        <v>collected</v>
      </c>
      <c r="J30" s="16" t="str">
        <f t="shared" si="6"/>
        <v>N</v>
      </c>
      <c r="K30" s="16"/>
      <c r="L30" s="16"/>
    </row>
    <row r="31">
      <c r="A31" s="40" t="s">
        <v>1451</v>
      </c>
      <c r="B31" s="10" t="str">
        <f t="shared" si="1"/>
        <v>DNA</v>
      </c>
      <c r="C31" s="49" t="str">
        <f t="shared" si="2"/>
        <v>S16232DN1</v>
      </c>
      <c r="D31" s="6">
        <v>3.0</v>
      </c>
      <c r="E31" s="10" t="str">
        <f t="shared" si="3"/>
        <v>BDN3</v>
      </c>
      <c r="F31" s="6">
        <v>91.0</v>
      </c>
      <c r="G31" s="10" t="str">
        <f t="shared" si="4"/>
        <v>BDN3-91</v>
      </c>
      <c r="H31" s="15"/>
      <c r="I31" s="16" t="str">
        <f t="shared" si="5"/>
        <v>collected</v>
      </c>
      <c r="J31" s="16" t="str">
        <f t="shared" si="6"/>
        <v>N</v>
      </c>
      <c r="K31" s="16"/>
      <c r="L31" s="16"/>
    </row>
    <row r="32">
      <c r="A32" s="40" t="s">
        <v>1452</v>
      </c>
      <c r="B32" s="10" t="str">
        <f t="shared" si="1"/>
        <v>DNA</v>
      </c>
      <c r="C32" s="49" t="str">
        <f t="shared" si="2"/>
        <v>S16234DN1</v>
      </c>
      <c r="D32" s="6">
        <v>3.0</v>
      </c>
      <c r="E32" s="10" t="str">
        <f t="shared" si="3"/>
        <v>BDN3</v>
      </c>
      <c r="F32" s="6">
        <v>92.0</v>
      </c>
      <c r="G32" s="10" t="str">
        <f t="shared" si="4"/>
        <v>BDN3-92</v>
      </c>
      <c r="H32" s="15"/>
      <c r="I32" s="16" t="str">
        <f t="shared" si="5"/>
        <v>collected</v>
      </c>
      <c r="J32" s="16" t="str">
        <f t="shared" si="6"/>
        <v>N</v>
      </c>
      <c r="K32" s="16"/>
      <c r="L32" s="16"/>
    </row>
    <row r="33">
      <c r="A33" s="40" t="s">
        <v>1453</v>
      </c>
      <c r="B33" s="10" t="str">
        <f t="shared" si="1"/>
        <v>DNA</v>
      </c>
      <c r="C33" s="49" t="str">
        <f t="shared" si="2"/>
        <v>S16233DN1</v>
      </c>
      <c r="D33" s="6">
        <v>3.0</v>
      </c>
      <c r="E33" s="10" t="str">
        <f t="shared" si="3"/>
        <v>BDN3</v>
      </c>
      <c r="F33" s="6">
        <v>93.0</v>
      </c>
      <c r="G33" s="10" t="str">
        <f t="shared" si="4"/>
        <v>BDN3-93</v>
      </c>
      <c r="H33" s="15"/>
      <c r="I33" s="16" t="str">
        <f t="shared" si="5"/>
        <v>collected</v>
      </c>
      <c r="J33" s="16" t="str">
        <f t="shared" si="6"/>
        <v>N</v>
      </c>
      <c r="K33" s="16"/>
      <c r="L33" s="16"/>
    </row>
    <row r="34">
      <c r="A34" s="40" t="s">
        <v>1455</v>
      </c>
      <c r="B34" s="10" t="str">
        <f t="shared" si="1"/>
        <v>DNA</v>
      </c>
      <c r="C34" s="49" t="str">
        <f t="shared" si="2"/>
        <v>S16235DN1</v>
      </c>
      <c r="D34" s="6">
        <v>3.0</v>
      </c>
      <c r="E34" s="10" t="str">
        <f t="shared" si="3"/>
        <v>BDN3</v>
      </c>
      <c r="F34" s="6">
        <v>94.0</v>
      </c>
      <c r="G34" s="10" t="str">
        <f t="shared" si="4"/>
        <v>BDN3-94</v>
      </c>
      <c r="H34" s="15"/>
      <c r="I34" s="16" t="str">
        <f t="shared" si="5"/>
        <v>collected</v>
      </c>
      <c r="J34" s="16" t="str">
        <f t="shared" si="6"/>
        <v>N</v>
      </c>
      <c r="K34" s="16"/>
      <c r="L34" s="16"/>
    </row>
    <row r="35">
      <c r="A35" s="43" t="s">
        <v>1458</v>
      </c>
      <c r="B35" s="10" t="str">
        <f t="shared" si="1"/>
        <v>DNA</v>
      </c>
      <c r="C35" s="49" t="str">
        <f t="shared" si="2"/>
        <v>S16236DN1</v>
      </c>
      <c r="D35" s="6">
        <v>3.0</v>
      </c>
      <c r="E35" s="10" t="str">
        <f t="shared" si="3"/>
        <v>BDN3</v>
      </c>
      <c r="F35" s="6">
        <v>95.0</v>
      </c>
      <c r="G35" s="10" t="str">
        <f t="shared" si="4"/>
        <v>BDN3-95</v>
      </c>
      <c r="H35" s="15"/>
      <c r="I35" s="16" t="str">
        <f t="shared" si="5"/>
        <v>collected</v>
      </c>
      <c r="J35" s="16" t="str">
        <f t="shared" si="6"/>
        <v>N</v>
      </c>
      <c r="K35" s="16"/>
      <c r="L35" s="16"/>
    </row>
    <row r="36">
      <c r="A36" s="43" t="s">
        <v>1459</v>
      </c>
      <c r="B36" s="10" t="str">
        <f t="shared" si="1"/>
        <v>DNA</v>
      </c>
      <c r="C36" s="49" t="str">
        <f t="shared" si="2"/>
        <v>S16240DN1</v>
      </c>
      <c r="D36" s="6">
        <v>3.0</v>
      </c>
      <c r="E36" s="10" t="str">
        <f t="shared" si="3"/>
        <v>BDN3</v>
      </c>
      <c r="F36" s="6">
        <v>96.0</v>
      </c>
      <c r="G36" s="10" t="str">
        <f t="shared" si="4"/>
        <v>BDN3-96</v>
      </c>
      <c r="H36" s="15"/>
      <c r="I36" s="16" t="str">
        <f t="shared" si="5"/>
        <v>collected</v>
      </c>
      <c r="J36" s="16" t="str">
        <f t="shared" si="6"/>
        <v>N</v>
      </c>
      <c r="K36" s="16"/>
      <c r="L36" s="16"/>
    </row>
    <row r="37">
      <c r="A37" s="43" t="s">
        <v>1461</v>
      </c>
      <c r="B37" s="10" t="str">
        <f t="shared" si="1"/>
        <v>DNA</v>
      </c>
      <c r="C37" s="49" t="str">
        <f t="shared" si="2"/>
        <v>S16238DN1</v>
      </c>
      <c r="D37" s="6">
        <v>3.0</v>
      </c>
      <c r="E37" s="10" t="str">
        <f t="shared" si="3"/>
        <v>BDN3</v>
      </c>
      <c r="F37" s="6">
        <v>97.0</v>
      </c>
      <c r="G37" s="10" t="str">
        <f t="shared" si="4"/>
        <v>BDN3-97</v>
      </c>
      <c r="H37" s="15"/>
      <c r="I37" s="16" t="str">
        <f t="shared" si="5"/>
        <v>collected</v>
      </c>
      <c r="J37" s="16" t="str">
        <f t="shared" si="6"/>
        <v>N</v>
      </c>
      <c r="K37" s="16"/>
      <c r="L37" s="16"/>
    </row>
    <row r="38">
      <c r="A38" s="43" t="s">
        <v>1462</v>
      </c>
      <c r="B38" s="10" t="str">
        <f t="shared" si="1"/>
        <v>DNA</v>
      </c>
      <c r="C38" s="49" t="str">
        <f t="shared" si="2"/>
        <v>S16239DN1</v>
      </c>
      <c r="D38" s="6">
        <v>3.0</v>
      </c>
      <c r="E38" s="10" t="str">
        <f t="shared" si="3"/>
        <v>BDN3</v>
      </c>
      <c r="F38" s="6">
        <v>98.0</v>
      </c>
      <c r="G38" s="10" t="str">
        <f t="shared" si="4"/>
        <v>BDN3-98</v>
      </c>
      <c r="H38" s="15"/>
      <c r="I38" s="16" t="str">
        <f t="shared" si="5"/>
        <v>collected</v>
      </c>
      <c r="J38" s="16" t="str">
        <f t="shared" si="6"/>
        <v>N</v>
      </c>
      <c r="K38" s="16"/>
      <c r="L38" s="16"/>
    </row>
    <row r="39">
      <c r="A39" s="43" t="s">
        <v>1464</v>
      </c>
      <c r="B39" s="10" t="str">
        <f t="shared" si="1"/>
        <v>DNA</v>
      </c>
      <c r="C39" s="49" t="str">
        <f t="shared" si="2"/>
        <v>S16237DN1</v>
      </c>
      <c r="D39" s="6">
        <v>3.0</v>
      </c>
      <c r="E39" s="10" t="str">
        <f t="shared" si="3"/>
        <v>BDN3</v>
      </c>
      <c r="F39" s="6">
        <v>99.0</v>
      </c>
      <c r="G39" s="10" t="str">
        <f t="shared" si="4"/>
        <v>BDN3-99</v>
      </c>
      <c r="H39" s="15"/>
      <c r="I39" s="16" t="str">
        <f t="shared" si="5"/>
        <v>collected</v>
      </c>
      <c r="J39" s="16" t="str">
        <f t="shared" si="6"/>
        <v>N</v>
      </c>
      <c r="K39" s="16"/>
      <c r="L39" s="16"/>
    </row>
    <row r="40">
      <c r="A40" s="43" t="s">
        <v>1465</v>
      </c>
      <c r="B40" s="10" t="str">
        <f t="shared" si="1"/>
        <v>DNA</v>
      </c>
      <c r="C40" s="49" t="str">
        <f t="shared" si="2"/>
        <v>S16529DN1</v>
      </c>
      <c r="D40" s="6">
        <v>3.0</v>
      </c>
      <c r="E40" s="10" t="str">
        <f t="shared" si="3"/>
        <v>BDN3</v>
      </c>
      <c r="F40" s="6">
        <v>100.0</v>
      </c>
      <c r="G40" s="10" t="str">
        <f t="shared" si="4"/>
        <v>BDN3-100</v>
      </c>
      <c r="H40" s="15"/>
      <c r="I40" s="16" t="str">
        <f t="shared" si="5"/>
        <v>collected</v>
      </c>
      <c r="J40" s="16" t="str">
        <f t="shared" si="6"/>
        <v>N</v>
      </c>
      <c r="K40" s="16"/>
      <c r="L40" s="16"/>
    </row>
    <row r="41">
      <c r="A41" s="43" t="s">
        <v>1468</v>
      </c>
      <c r="B41" s="10" t="str">
        <f t="shared" si="1"/>
        <v>DNA</v>
      </c>
      <c r="C41" s="49" t="str">
        <f t="shared" si="2"/>
        <v>S16525DN1</v>
      </c>
      <c r="D41" s="6">
        <v>4.0</v>
      </c>
      <c r="E41" s="10" t="str">
        <f t="shared" si="3"/>
        <v>BDN4</v>
      </c>
      <c r="F41" s="6">
        <v>1.0</v>
      </c>
      <c r="G41" s="10" t="str">
        <f t="shared" si="4"/>
        <v>BDN4-1</v>
      </c>
      <c r="H41" s="15"/>
      <c r="I41" s="16" t="str">
        <f t="shared" si="5"/>
        <v>collected</v>
      </c>
      <c r="J41" s="16" t="str">
        <f t="shared" si="6"/>
        <v>N</v>
      </c>
      <c r="K41" s="16"/>
      <c r="L41" s="16"/>
    </row>
    <row r="42">
      <c r="A42" s="43" t="s">
        <v>1469</v>
      </c>
      <c r="B42" s="10" t="str">
        <f t="shared" si="1"/>
        <v>DNA</v>
      </c>
      <c r="C42" s="49" t="str">
        <f t="shared" si="2"/>
        <v>S16528DN1</v>
      </c>
      <c r="D42" s="6">
        <v>4.0</v>
      </c>
      <c r="E42" s="10" t="str">
        <f t="shared" si="3"/>
        <v>BDN4</v>
      </c>
      <c r="F42" s="6">
        <v>2.0</v>
      </c>
      <c r="G42" s="10" t="str">
        <f t="shared" si="4"/>
        <v>BDN4-2</v>
      </c>
      <c r="H42" s="15"/>
      <c r="I42" s="16" t="str">
        <f t="shared" si="5"/>
        <v>collected</v>
      </c>
      <c r="J42" s="16" t="str">
        <f t="shared" si="6"/>
        <v>N</v>
      </c>
      <c r="K42" s="16"/>
      <c r="L42" s="16"/>
    </row>
    <row r="43">
      <c r="A43" s="43" t="s">
        <v>1471</v>
      </c>
      <c r="B43" s="10" t="str">
        <f t="shared" si="1"/>
        <v>DNA</v>
      </c>
      <c r="C43" s="49" t="str">
        <f t="shared" si="2"/>
        <v>S16527DN1</v>
      </c>
      <c r="D43" s="6">
        <v>4.0</v>
      </c>
      <c r="E43" s="10" t="str">
        <f t="shared" si="3"/>
        <v>BDN4</v>
      </c>
      <c r="F43" s="6">
        <v>3.0</v>
      </c>
      <c r="G43" s="10" t="str">
        <f t="shared" si="4"/>
        <v>BDN4-3</v>
      </c>
      <c r="H43" s="15"/>
      <c r="I43" s="16" t="str">
        <f t="shared" si="5"/>
        <v>collected</v>
      </c>
      <c r="J43" s="16" t="str">
        <f t="shared" si="6"/>
        <v>N</v>
      </c>
      <c r="K43" s="16"/>
      <c r="L43" s="16"/>
    </row>
    <row r="44">
      <c r="A44" s="43" t="s">
        <v>1472</v>
      </c>
      <c r="B44" s="10" t="str">
        <f t="shared" si="1"/>
        <v>DNA</v>
      </c>
      <c r="C44" s="49" t="str">
        <f t="shared" si="2"/>
        <v>S16526DN1</v>
      </c>
      <c r="D44" s="6">
        <v>4.0</v>
      </c>
      <c r="E44" s="10" t="str">
        <f t="shared" si="3"/>
        <v>BDN4</v>
      </c>
      <c r="F44" s="6">
        <v>4.0</v>
      </c>
      <c r="G44" s="10" t="str">
        <f t="shared" si="4"/>
        <v>BDN4-4</v>
      </c>
      <c r="H44" s="15"/>
      <c r="I44" s="16" t="str">
        <f t="shared" si="5"/>
        <v>collected</v>
      </c>
      <c r="J44" s="16" t="str">
        <f t="shared" si="6"/>
        <v>N</v>
      </c>
      <c r="K44" s="16"/>
      <c r="L44" s="16"/>
    </row>
    <row r="45">
      <c r="A45" s="43" t="s">
        <v>1473</v>
      </c>
      <c r="B45" s="10" t="str">
        <f t="shared" si="1"/>
        <v>DNA</v>
      </c>
      <c r="C45" s="49" t="str">
        <f t="shared" si="2"/>
        <v>S16523DN1</v>
      </c>
      <c r="D45" s="6">
        <v>4.0</v>
      </c>
      <c r="E45" s="10" t="str">
        <f t="shared" si="3"/>
        <v>BDN4</v>
      </c>
      <c r="F45" s="6">
        <v>5.0</v>
      </c>
      <c r="G45" s="10" t="str">
        <f t="shared" si="4"/>
        <v>BDN4-5</v>
      </c>
      <c r="H45" s="15"/>
      <c r="I45" s="16" t="str">
        <f t="shared" si="5"/>
        <v>collected</v>
      </c>
      <c r="J45" s="16" t="str">
        <f t="shared" si="6"/>
        <v>N</v>
      </c>
      <c r="K45" s="16"/>
      <c r="L45" s="16"/>
    </row>
    <row r="46">
      <c r="A46" s="43" t="s">
        <v>1475</v>
      </c>
      <c r="B46" s="10" t="str">
        <f t="shared" si="1"/>
        <v>DNA</v>
      </c>
      <c r="C46" s="49" t="str">
        <f t="shared" si="2"/>
        <v>S16522DN1</v>
      </c>
      <c r="D46" s="6">
        <v>4.0</v>
      </c>
      <c r="E46" s="10" t="str">
        <f t="shared" si="3"/>
        <v>BDN4</v>
      </c>
      <c r="F46" s="6">
        <v>6.0</v>
      </c>
      <c r="G46" s="10" t="str">
        <f t="shared" si="4"/>
        <v>BDN4-6</v>
      </c>
      <c r="H46" s="15"/>
      <c r="I46" s="16" t="str">
        <f t="shared" si="5"/>
        <v>collected</v>
      </c>
      <c r="J46" s="16" t="str">
        <f t="shared" si="6"/>
        <v>N</v>
      </c>
      <c r="K46" s="16"/>
      <c r="L46" s="16"/>
    </row>
    <row r="47">
      <c r="A47" s="43" t="s">
        <v>1476</v>
      </c>
      <c r="B47" s="10" t="str">
        <f t="shared" si="1"/>
        <v>DNA</v>
      </c>
      <c r="C47" s="49" t="str">
        <f t="shared" si="2"/>
        <v>S16524DN1</v>
      </c>
      <c r="D47" s="6">
        <v>4.0</v>
      </c>
      <c r="E47" s="10" t="str">
        <f t="shared" si="3"/>
        <v>BDN4</v>
      </c>
      <c r="F47" s="6">
        <v>7.0</v>
      </c>
      <c r="G47" s="10" t="str">
        <f t="shared" si="4"/>
        <v>BDN4-7</v>
      </c>
      <c r="H47" s="16"/>
      <c r="I47" s="16" t="str">
        <f t="shared" si="5"/>
        <v>collected</v>
      </c>
      <c r="J47" s="16" t="str">
        <f t="shared" si="6"/>
        <v>N</v>
      </c>
      <c r="K47" s="16"/>
      <c r="L47" s="16"/>
    </row>
    <row r="48">
      <c r="A48" s="43" t="s">
        <v>1477</v>
      </c>
      <c r="B48" s="10" t="str">
        <f t="shared" si="1"/>
        <v>DNA</v>
      </c>
      <c r="C48" s="49" t="str">
        <f t="shared" si="2"/>
        <v>S16530DN1</v>
      </c>
      <c r="D48" s="6">
        <v>4.0</v>
      </c>
      <c r="E48" s="10" t="str">
        <f t="shared" si="3"/>
        <v>BDN4</v>
      </c>
      <c r="F48" s="6">
        <v>8.0</v>
      </c>
      <c r="G48" s="10" t="str">
        <f t="shared" si="4"/>
        <v>BDN4-8</v>
      </c>
      <c r="H48" s="16"/>
      <c r="I48" s="16" t="str">
        <f t="shared" si="5"/>
        <v>collected</v>
      </c>
      <c r="J48" s="16" t="str">
        <f t="shared" si="6"/>
        <v>N</v>
      </c>
      <c r="K48" s="16"/>
      <c r="L48" s="16"/>
    </row>
    <row r="49">
      <c r="A49" s="43" t="s">
        <v>1478</v>
      </c>
      <c r="B49" s="10" t="str">
        <f t="shared" si="1"/>
        <v>DNA</v>
      </c>
      <c r="C49" s="49" t="str">
        <f t="shared" si="2"/>
        <v>S16521DN1</v>
      </c>
      <c r="D49" s="6">
        <v>4.0</v>
      </c>
      <c r="E49" s="10" t="str">
        <f t="shared" si="3"/>
        <v>BDN4</v>
      </c>
      <c r="F49" s="6">
        <v>9.0</v>
      </c>
      <c r="G49" s="10" t="str">
        <f t="shared" si="4"/>
        <v>BDN4-9</v>
      </c>
      <c r="H49" s="15"/>
      <c r="I49" s="16" t="str">
        <f t="shared" si="5"/>
        <v>collected</v>
      </c>
      <c r="J49" s="16" t="str">
        <f t="shared" si="6"/>
        <v>N</v>
      </c>
      <c r="K49" s="16"/>
      <c r="L49" s="16"/>
    </row>
    <row r="50">
      <c r="A50" s="43" t="s">
        <v>1479</v>
      </c>
      <c r="B50" s="10" t="str">
        <f t="shared" si="1"/>
        <v>DNA</v>
      </c>
      <c r="C50" s="49" t="str">
        <f t="shared" si="2"/>
        <v>S16491DN1</v>
      </c>
      <c r="D50" s="6">
        <v>4.0</v>
      </c>
      <c r="E50" s="10" t="str">
        <f t="shared" si="3"/>
        <v>BDN4</v>
      </c>
      <c r="F50" s="6">
        <v>10.0</v>
      </c>
      <c r="G50" s="10" t="str">
        <f t="shared" si="4"/>
        <v>BDN4-10</v>
      </c>
      <c r="H50" s="15"/>
      <c r="I50" s="16" t="str">
        <f t="shared" si="5"/>
        <v>collected</v>
      </c>
      <c r="J50" s="16" t="str">
        <f t="shared" si="6"/>
        <v>N</v>
      </c>
      <c r="K50" s="16"/>
      <c r="L50" s="16"/>
    </row>
    <row r="51">
      <c r="A51" s="43" t="s">
        <v>1481</v>
      </c>
      <c r="B51" s="10" t="str">
        <f t="shared" si="1"/>
        <v>DNA</v>
      </c>
      <c r="C51" s="49" t="str">
        <f t="shared" si="2"/>
        <v>S16500DN1</v>
      </c>
      <c r="D51" s="6">
        <v>4.0</v>
      </c>
      <c r="E51" s="10" t="str">
        <f t="shared" si="3"/>
        <v>BDN4</v>
      </c>
      <c r="F51" s="6">
        <v>11.0</v>
      </c>
      <c r="G51" s="10" t="str">
        <f t="shared" si="4"/>
        <v>BDN4-11</v>
      </c>
      <c r="H51" s="15"/>
      <c r="I51" s="16" t="str">
        <f t="shared" si="5"/>
        <v>collected</v>
      </c>
      <c r="J51" s="16" t="str">
        <f t="shared" si="6"/>
        <v>N</v>
      </c>
      <c r="K51" s="16"/>
      <c r="L51" s="16"/>
    </row>
    <row r="52">
      <c r="A52" s="43" t="s">
        <v>1482</v>
      </c>
      <c r="B52" s="10" t="str">
        <f t="shared" si="1"/>
        <v>DNA</v>
      </c>
      <c r="C52" s="49" t="str">
        <f t="shared" si="2"/>
        <v>S16498DN1</v>
      </c>
      <c r="D52" s="6">
        <v>4.0</v>
      </c>
      <c r="E52" s="10" t="str">
        <f t="shared" si="3"/>
        <v>BDN4</v>
      </c>
      <c r="F52" s="6">
        <v>12.0</v>
      </c>
      <c r="G52" s="10" t="str">
        <f t="shared" si="4"/>
        <v>BDN4-12</v>
      </c>
      <c r="H52" s="15"/>
      <c r="I52" s="16" t="str">
        <f t="shared" si="5"/>
        <v>collected</v>
      </c>
      <c r="J52" s="16" t="str">
        <f t="shared" si="6"/>
        <v>N</v>
      </c>
      <c r="K52" s="16"/>
      <c r="L52" s="16"/>
    </row>
    <row r="53">
      <c r="A53" s="43" t="s">
        <v>1483</v>
      </c>
      <c r="B53" s="10" t="str">
        <f t="shared" si="1"/>
        <v>DNA</v>
      </c>
      <c r="C53" s="49" t="str">
        <f t="shared" si="2"/>
        <v>S16499DN1</v>
      </c>
      <c r="D53" s="6">
        <v>4.0</v>
      </c>
      <c r="E53" s="10" t="str">
        <f t="shared" si="3"/>
        <v>BDN4</v>
      </c>
      <c r="F53" s="6">
        <v>13.0</v>
      </c>
      <c r="G53" s="10" t="str">
        <f t="shared" si="4"/>
        <v>BDN4-13</v>
      </c>
      <c r="H53" s="15"/>
      <c r="I53" s="16" t="str">
        <f t="shared" si="5"/>
        <v>collected</v>
      </c>
      <c r="J53" s="16" t="str">
        <f t="shared" si="6"/>
        <v>N</v>
      </c>
      <c r="K53" s="16"/>
      <c r="L53" s="16"/>
    </row>
    <row r="54">
      <c r="A54" s="43" t="s">
        <v>1485</v>
      </c>
      <c r="B54" s="10" t="str">
        <f t="shared" si="1"/>
        <v>DNA</v>
      </c>
      <c r="C54" s="49" t="str">
        <f t="shared" si="2"/>
        <v>S16496DN1</v>
      </c>
      <c r="D54" s="6">
        <v>4.0</v>
      </c>
      <c r="E54" s="10" t="str">
        <f t="shared" si="3"/>
        <v>BDN4</v>
      </c>
      <c r="F54" s="6">
        <v>14.0</v>
      </c>
      <c r="G54" s="10" t="str">
        <f t="shared" si="4"/>
        <v>BDN4-14</v>
      </c>
      <c r="H54" s="15"/>
      <c r="I54" s="16" t="str">
        <f t="shared" si="5"/>
        <v>collected</v>
      </c>
      <c r="J54" s="16" t="str">
        <f t="shared" si="6"/>
        <v>N</v>
      </c>
      <c r="K54" s="16"/>
      <c r="L54" s="16"/>
    </row>
    <row r="55">
      <c r="A55" s="27" t="s">
        <v>1486</v>
      </c>
      <c r="B55" s="10" t="str">
        <f t="shared" si="1"/>
        <v>DNA</v>
      </c>
      <c r="C55" s="49" t="str">
        <f t="shared" si="2"/>
        <v>S5450DN1</v>
      </c>
      <c r="D55" s="6">
        <v>10.0</v>
      </c>
      <c r="E55" s="10" t="str">
        <f t="shared" si="3"/>
        <v>BDN10</v>
      </c>
      <c r="F55" s="6">
        <v>1.0</v>
      </c>
      <c r="G55" s="10" t="str">
        <f t="shared" si="4"/>
        <v>BDN10-1</v>
      </c>
      <c r="H55" s="15"/>
      <c r="I55" s="16" t="str">
        <f t="shared" si="5"/>
        <v>collected</v>
      </c>
      <c r="J55" s="16" t="str">
        <f t="shared" si="6"/>
        <v>N</v>
      </c>
      <c r="K55" s="16"/>
      <c r="L55" s="16"/>
    </row>
    <row r="56">
      <c r="A56" s="27" t="s">
        <v>1487</v>
      </c>
      <c r="B56" s="10" t="str">
        <f t="shared" si="1"/>
        <v>DNA</v>
      </c>
      <c r="C56" s="49" t="str">
        <f t="shared" si="2"/>
        <v>S5451DN1</v>
      </c>
      <c r="D56" s="6">
        <v>10.0</v>
      </c>
      <c r="E56" s="10" t="str">
        <f t="shared" si="3"/>
        <v>BDN10</v>
      </c>
      <c r="F56" s="6">
        <v>2.0</v>
      </c>
      <c r="G56" s="10" t="str">
        <f t="shared" si="4"/>
        <v>BDN10-2</v>
      </c>
      <c r="H56" s="15"/>
      <c r="I56" s="16" t="str">
        <f t="shared" si="5"/>
        <v>collected</v>
      </c>
      <c r="J56" s="16" t="str">
        <f t="shared" si="6"/>
        <v>N</v>
      </c>
      <c r="K56" s="16"/>
      <c r="L56" s="16"/>
    </row>
    <row r="57">
      <c r="A57" s="27" t="s">
        <v>1489</v>
      </c>
      <c r="B57" s="10" t="str">
        <f t="shared" si="1"/>
        <v>DNA</v>
      </c>
      <c r="C57" s="49" t="str">
        <f t="shared" si="2"/>
        <v>S5452DN1</v>
      </c>
      <c r="D57" s="6">
        <v>10.0</v>
      </c>
      <c r="E57" s="10" t="str">
        <f t="shared" si="3"/>
        <v>BDN10</v>
      </c>
      <c r="F57" s="6">
        <v>3.0</v>
      </c>
      <c r="G57" s="10" t="str">
        <f t="shared" si="4"/>
        <v>BDN10-3</v>
      </c>
      <c r="H57" s="15"/>
      <c r="I57" s="16" t="str">
        <f t="shared" si="5"/>
        <v>collected</v>
      </c>
      <c r="J57" s="16" t="str">
        <f t="shared" si="6"/>
        <v>N</v>
      </c>
      <c r="K57" s="16"/>
      <c r="L57" s="16"/>
    </row>
    <row r="58">
      <c r="A58" s="27" t="s">
        <v>1491</v>
      </c>
      <c r="B58" s="10" t="str">
        <f t="shared" si="1"/>
        <v>DNA</v>
      </c>
      <c r="C58" s="49" t="str">
        <f t="shared" si="2"/>
        <v>S5453DN1</v>
      </c>
      <c r="D58" s="6">
        <v>10.0</v>
      </c>
      <c r="E58" s="10" t="str">
        <f t="shared" si="3"/>
        <v>BDN10</v>
      </c>
      <c r="F58" s="6">
        <v>4.0</v>
      </c>
      <c r="G58" s="10" t="str">
        <f t="shared" si="4"/>
        <v>BDN10-4</v>
      </c>
      <c r="H58" s="15"/>
      <c r="I58" s="16" t="str">
        <f t="shared" si="5"/>
        <v>collected</v>
      </c>
      <c r="J58" s="16" t="str">
        <f t="shared" si="6"/>
        <v>N</v>
      </c>
      <c r="K58" s="16"/>
      <c r="L58" s="16"/>
    </row>
    <row r="59">
      <c r="A59" s="27" t="s">
        <v>1492</v>
      </c>
      <c r="B59" s="10" t="str">
        <f t="shared" si="1"/>
        <v>DNA</v>
      </c>
      <c r="C59" s="49" t="str">
        <f t="shared" si="2"/>
        <v>S5454DN1</v>
      </c>
      <c r="D59" s="6">
        <v>10.0</v>
      </c>
      <c r="E59" s="10" t="str">
        <f t="shared" si="3"/>
        <v>BDN10</v>
      </c>
      <c r="F59" s="6">
        <v>5.0</v>
      </c>
      <c r="G59" s="10" t="str">
        <f t="shared" si="4"/>
        <v>BDN10-5</v>
      </c>
      <c r="H59" s="15"/>
      <c r="I59" s="16" t="str">
        <f t="shared" si="5"/>
        <v>collected</v>
      </c>
      <c r="J59" s="16" t="str">
        <f t="shared" si="6"/>
        <v>N</v>
      </c>
      <c r="K59" s="16"/>
      <c r="L59" s="16"/>
    </row>
    <row r="60">
      <c r="A60" s="27" t="s">
        <v>1493</v>
      </c>
      <c r="B60" s="10" t="str">
        <f t="shared" si="1"/>
        <v>DNA</v>
      </c>
      <c r="C60" s="49" t="str">
        <f t="shared" si="2"/>
        <v>S5455DN1</v>
      </c>
      <c r="D60" s="6">
        <v>10.0</v>
      </c>
      <c r="E60" s="10" t="str">
        <f t="shared" si="3"/>
        <v>BDN10</v>
      </c>
      <c r="F60" s="6">
        <v>6.0</v>
      </c>
      <c r="G60" s="10" t="str">
        <f t="shared" si="4"/>
        <v>BDN10-6</v>
      </c>
      <c r="H60" s="15"/>
      <c r="I60" s="16" t="str">
        <f t="shared" si="5"/>
        <v>collected</v>
      </c>
      <c r="J60" s="16" t="str">
        <f t="shared" si="6"/>
        <v>N</v>
      </c>
      <c r="K60" s="16"/>
      <c r="L60" s="16"/>
    </row>
    <row r="61">
      <c r="A61" s="27" t="s">
        <v>1494</v>
      </c>
      <c r="B61" s="10" t="str">
        <f t="shared" si="1"/>
        <v>DNA</v>
      </c>
      <c r="C61" s="49" t="str">
        <f t="shared" si="2"/>
        <v>S5456DN1</v>
      </c>
      <c r="D61" s="6">
        <v>10.0</v>
      </c>
      <c r="E61" s="10" t="str">
        <f t="shared" si="3"/>
        <v>BDN10</v>
      </c>
      <c r="F61" s="6">
        <v>7.0</v>
      </c>
      <c r="G61" s="10" t="str">
        <f t="shared" si="4"/>
        <v>BDN10-7</v>
      </c>
      <c r="H61" s="15"/>
      <c r="I61" s="16" t="str">
        <f t="shared" si="5"/>
        <v>collected</v>
      </c>
      <c r="J61" s="16" t="str">
        <f t="shared" si="6"/>
        <v>N</v>
      </c>
      <c r="K61" s="16"/>
      <c r="L61" s="16"/>
    </row>
    <row r="62">
      <c r="A62" s="27" t="s">
        <v>1497</v>
      </c>
      <c r="B62" s="10" t="str">
        <f t="shared" si="1"/>
        <v>DNA</v>
      </c>
      <c r="C62" s="49" t="str">
        <f t="shared" si="2"/>
        <v>S5457DN1</v>
      </c>
      <c r="D62" s="6">
        <v>10.0</v>
      </c>
      <c r="E62" s="10" t="str">
        <f t="shared" si="3"/>
        <v>BDN10</v>
      </c>
      <c r="F62" s="6">
        <v>8.0</v>
      </c>
      <c r="G62" s="10" t="str">
        <f t="shared" si="4"/>
        <v>BDN10-8</v>
      </c>
      <c r="H62" s="15"/>
      <c r="I62" s="16" t="str">
        <f t="shared" si="5"/>
        <v>collected</v>
      </c>
      <c r="J62" s="16" t="str">
        <f t="shared" si="6"/>
        <v>N</v>
      </c>
      <c r="K62" s="16"/>
      <c r="L62" s="16"/>
    </row>
    <row r="63">
      <c r="A63" s="27" t="s">
        <v>1498</v>
      </c>
      <c r="B63" s="10" t="str">
        <f t="shared" si="1"/>
        <v>DNA</v>
      </c>
      <c r="C63" s="49" t="str">
        <f t="shared" si="2"/>
        <v>S5458DN1</v>
      </c>
      <c r="D63" s="6">
        <v>10.0</v>
      </c>
      <c r="E63" s="10" t="str">
        <f t="shared" si="3"/>
        <v>BDN10</v>
      </c>
      <c r="F63" s="6">
        <v>9.0</v>
      </c>
      <c r="G63" s="10" t="str">
        <f t="shared" si="4"/>
        <v>BDN10-9</v>
      </c>
      <c r="H63" s="15"/>
      <c r="I63" s="16" t="str">
        <f t="shared" si="5"/>
        <v>collected</v>
      </c>
      <c r="J63" s="16" t="str">
        <f t="shared" si="6"/>
        <v>N</v>
      </c>
      <c r="K63" s="16"/>
      <c r="L63" s="16"/>
    </row>
    <row r="64">
      <c r="A64" s="27" t="s">
        <v>1499</v>
      </c>
      <c r="B64" s="10" t="str">
        <f t="shared" si="1"/>
        <v>DNA</v>
      </c>
      <c r="C64" s="49" t="str">
        <f t="shared" si="2"/>
        <v>S5459DN1</v>
      </c>
      <c r="D64" s="6">
        <v>10.0</v>
      </c>
      <c r="E64" s="10" t="str">
        <f t="shared" si="3"/>
        <v>BDN10</v>
      </c>
      <c r="F64" s="6">
        <v>10.0</v>
      </c>
      <c r="G64" s="10" t="str">
        <f t="shared" si="4"/>
        <v>BDN10-10</v>
      </c>
      <c r="H64" s="15"/>
      <c r="I64" s="16" t="str">
        <f t="shared" si="5"/>
        <v>collected</v>
      </c>
      <c r="J64" s="16" t="str">
        <f t="shared" si="6"/>
        <v>N</v>
      </c>
      <c r="K64" s="16"/>
      <c r="L64" s="16"/>
    </row>
    <row r="65">
      <c r="A65" s="27" t="s">
        <v>1501</v>
      </c>
      <c r="B65" s="10" t="str">
        <f t="shared" si="1"/>
        <v>DNA</v>
      </c>
      <c r="C65" s="49" t="str">
        <f t="shared" si="2"/>
        <v>S5460DN1</v>
      </c>
      <c r="D65" s="6">
        <v>10.0</v>
      </c>
      <c r="E65" s="10" t="str">
        <f t="shared" si="3"/>
        <v>BDN10</v>
      </c>
      <c r="F65" s="6">
        <v>11.0</v>
      </c>
      <c r="G65" s="10" t="str">
        <f t="shared" si="4"/>
        <v>BDN10-11</v>
      </c>
      <c r="H65" s="15"/>
      <c r="I65" s="16" t="str">
        <f t="shared" si="5"/>
        <v>collected</v>
      </c>
      <c r="J65" s="16" t="str">
        <f t="shared" si="6"/>
        <v>N</v>
      </c>
      <c r="K65" s="16"/>
      <c r="L65" s="16"/>
    </row>
    <row r="66">
      <c r="A66" s="27" t="s">
        <v>1503</v>
      </c>
      <c r="B66" s="10" t="str">
        <f t="shared" si="1"/>
        <v>DNA</v>
      </c>
      <c r="C66" s="49" t="str">
        <f t="shared" si="2"/>
        <v>S5461DN1</v>
      </c>
      <c r="D66" s="6">
        <v>10.0</v>
      </c>
      <c r="E66" s="10" t="str">
        <f t="shared" si="3"/>
        <v>BDN10</v>
      </c>
      <c r="F66" s="6">
        <v>12.0</v>
      </c>
      <c r="G66" s="10" t="str">
        <f t="shared" si="4"/>
        <v>BDN10-12</v>
      </c>
      <c r="H66" s="15"/>
      <c r="I66" s="16" t="str">
        <f t="shared" si="5"/>
        <v>collected</v>
      </c>
      <c r="J66" s="16" t="str">
        <f t="shared" si="6"/>
        <v>N</v>
      </c>
      <c r="K66" s="16"/>
      <c r="L66" s="16"/>
    </row>
    <row r="67">
      <c r="A67" s="43" t="s">
        <v>1504</v>
      </c>
      <c r="B67" s="10" t="str">
        <f t="shared" si="1"/>
        <v>DNA</v>
      </c>
      <c r="C67" s="49" t="str">
        <f t="shared" si="2"/>
        <v>S16495DN1</v>
      </c>
      <c r="D67" s="6">
        <v>4.0</v>
      </c>
      <c r="E67" s="10" t="str">
        <f t="shared" si="3"/>
        <v>BDN4</v>
      </c>
      <c r="F67" s="6">
        <v>15.0</v>
      </c>
      <c r="G67" s="10" t="str">
        <f t="shared" si="4"/>
        <v>BDN4-15</v>
      </c>
      <c r="H67" s="15"/>
      <c r="I67" s="16" t="str">
        <f t="shared" si="5"/>
        <v>collected</v>
      </c>
      <c r="J67" s="16" t="str">
        <f t="shared" si="6"/>
        <v>N</v>
      </c>
      <c r="K67" s="16"/>
      <c r="L67" s="16"/>
    </row>
    <row r="68">
      <c r="A68" s="43" t="s">
        <v>1505</v>
      </c>
      <c r="B68" s="10" t="str">
        <f t="shared" si="1"/>
        <v>DNA</v>
      </c>
      <c r="C68" s="49" t="str">
        <f t="shared" si="2"/>
        <v>S16497DN1</v>
      </c>
      <c r="D68" s="6">
        <v>4.0</v>
      </c>
      <c r="E68" s="10" t="str">
        <f t="shared" si="3"/>
        <v>BDN4</v>
      </c>
      <c r="F68" s="6">
        <v>16.0</v>
      </c>
      <c r="G68" s="10" t="str">
        <f t="shared" si="4"/>
        <v>BDN4-16</v>
      </c>
      <c r="H68" s="15"/>
      <c r="I68" s="16" t="str">
        <f t="shared" si="5"/>
        <v>collected</v>
      </c>
      <c r="J68" s="16" t="str">
        <f t="shared" si="6"/>
        <v>N</v>
      </c>
      <c r="K68" s="16"/>
      <c r="L68" s="16"/>
    </row>
    <row r="69">
      <c r="A69" s="43" t="s">
        <v>1508</v>
      </c>
      <c r="B69" s="10" t="str">
        <f t="shared" si="1"/>
        <v>DNA</v>
      </c>
      <c r="C69" s="49" t="str">
        <f t="shared" si="2"/>
        <v>S16493DN1</v>
      </c>
      <c r="D69" s="6">
        <v>4.0</v>
      </c>
      <c r="E69" s="10" t="str">
        <f t="shared" si="3"/>
        <v>BDN4</v>
      </c>
      <c r="F69" s="6">
        <v>17.0</v>
      </c>
      <c r="G69" s="10" t="str">
        <f t="shared" si="4"/>
        <v>BDN4-17</v>
      </c>
      <c r="H69" s="15"/>
      <c r="I69" s="16" t="str">
        <f t="shared" si="5"/>
        <v>collected</v>
      </c>
      <c r="J69" s="16" t="str">
        <f t="shared" si="6"/>
        <v>N</v>
      </c>
      <c r="K69" s="16"/>
      <c r="L69" s="16"/>
    </row>
    <row r="70">
      <c r="A70" s="43" t="s">
        <v>1509</v>
      </c>
      <c r="B70" s="10" t="str">
        <f t="shared" si="1"/>
        <v>DNA</v>
      </c>
      <c r="C70" s="49" t="str">
        <f t="shared" si="2"/>
        <v>S16492DN1</v>
      </c>
      <c r="D70" s="6">
        <v>4.0</v>
      </c>
      <c r="E70" s="10" t="str">
        <f t="shared" si="3"/>
        <v>BDN4</v>
      </c>
      <c r="F70" s="6">
        <v>18.0</v>
      </c>
      <c r="G70" s="10" t="str">
        <f t="shared" si="4"/>
        <v>BDN4-18</v>
      </c>
      <c r="H70" s="15"/>
      <c r="I70" s="16" t="str">
        <f t="shared" si="5"/>
        <v>collected</v>
      </c>
      <c r="J70" s="16" t="str">
        <f t="shared" si="6"/>
        <v>N</v>
      </c>
      <c r="K70" s="16"/>
      <c r="L70" s="16"/>
    </row>
    <row r="71">
      <c r="A71" s="43" t="s">
        <v>1510</v>
      </c>
      <c r="B71" s="10" t="str">
        <f t="shared" si="1"/>
        <v>DNA</v>
      </c>
      <c r="C71" s="49" t="str">
        <f t="shared" si="2"/>
        <v>S16494DN1</v>
      </c>
      <c r="D71" s="6">
        <v>4.0</v>
      </c>
      <c r="E71" s="10" t="str">
        <f t="shared" si="3"/>
        <v>BDN4</v>
      </c>
      <c r="F71" s="6">
        <v>19.0</v>
      </c>
      <c r="G71" s="10" t="str">
        <f t="shared" si="4"/>
        <v>BDN4-19</v>
      </c>
      <c r="H71" s="15"/>
      <c r="I71" s="16" t="str">
        <f t="shared" si="5"/>
        <v>collected</v>
      </c>
      <c r="J71" s="16" t="str">
        <f t="shared" si="6"/>
        <v>N</v>
      </c>
      <c r="K71" s="16"/>
      <c r="L71" s="16"/>
    </row>
    <row r="72">
      <c r="A72" s="43" t="s">
        <v>1513</v>
      </c>
      <c r="B72" s="10" t="str">
        <f t="shared" si="1"/>
        <v>DNA</v>
      </c>
      <c r="C72" s="49" t="str">
        <f t="shared" si="2"/>
        <v>S16242DN1</v>
      </c>
      <c r="D72" s="6">
        <v>4.0</v>
      </c>
      <c r="E72" s="10" t="str">
        <f t="shared" si="3"/>
        <v>BDN4</v>
      </c>
      <c r="F72" s="6">
        <v>20.0</v>
      </c>
      <c r="G72" s="10" t="str">
        <f t="shared" si="4"/>
        <v>BDN4-20</v>
      </c>
      <c r="H72" s="15"/>
      <c r="I72" s="16" t="str">
        <f t="shared" si="5"/>
        <v>collected</v>
      </c>
      <c r="J72" s="16" t="str">
        <f t="shared" si="6"/>
        <v>N</v>
      </c>
      <c r="K72" s="16"/>
      <c r="L72" s="16"/>
    </row>
    <row r="73">
      <c r="A73" s="43" t="s">
        <v>1514</v>
      </c>
      <c r="B73" s="10" t="str">
        <f t="shared" si="1"/>
        <v>DNA</v>
      </c>
      <c r="C73" s="49" t="str">
        <f t="shared" si="2"/>
        <v>S16246DN1</v>
      </c>
      <c r="D73" s="6">
        <v>4.0</v>
      </c>
      <c r="E73" s="10" t="str">
        <f t="shared" si="3"/>
        <v>BDN4</v>
      </c>
      <c r="F73" s="6">
        <v>21.0</v>
      </c>
      <c r="G73" s="10" t="str">
        <f t="shared" si="4"/>
        <v>BDN4-21</v>
      </c>
      <c r="H73" s="15"/>
      <c r="I73" s="16" t="str">
        <f t="shared" si="5"/>
        <v>collected</v>
      </c>
      <c r="J73" s="16" t="str">
        <f t="shared" si="6"/>
        <v>N</v>
      </c>
      <c r="K73" s="16"/>
      <c r="L73" s="16"/>
    </row>
    <row r="74">
      <c r="A74" s="43" t="s">
        <v>1515</v>
      </c>
      <c r="B74" s="10" t="str">
        <f t="shared" si="1"/>
        <v>DNA</v>
      </c>
      <c r="C74" s="49" t="str">
        <f t="shared" si="2"/>
        <v>S16248DN1</v>
      </c>
      <c r="D74" s="6">
        <v>4.0</v>
      </c>
      <c r="E74" s="10" t="str">
        <f t="shared" si="3"/>
        <v>BDN4</v>
      </c>
      <c r="F74" s="6">
        <v>22.0</v>
      </c>
      <c r="G74" s="10" t="str">
        <f t="shared" si="4"/>
        <v>BDN4-22</v>
      </c>
      <c r="H74" s="15"/>
      <c r="I74" s="16" t="str">
        <f t="shared" si="5"/>
        <v>collected</v>
      </c>
      <c r="J74" s="16" t="str">
        <f t="shared" si="6"/>
        <v>N</v>
      </c>
      <c r="K74" s="16"/>
      <c r="L74" s="16"/>
    </row>
    <row r="75">
      <c r="A75" s="43" t="s">
        <v>1516</v>
      </c>
      <c r="B75" s="10" t="str">
        <f t="shared" si="1"/>
        <v>DNA</v>
      </c>
      <c r="C75" s="49" t="str">
        <f t="shared" si="2"/>
        <v>S16249DN1</v>
      </c>
      <c r="D75" s="6">
        <v>4.0</v>
      </c>
      <c r="E75" s="10" t="str">
        <f t="shared" si="3"/>
        <v>BDN4</v>
      </c>
      <c r="F75" s="6">
        <v>23.0</v>
      </c>
      <c r="G75" s="10" t="str">
        <f t="shared" si="4"/>
        <v>BDN4-23</v>
      </c>
      <c r="H75" s="15"/>
      <c r="I75" s="16" t="str">
        <f t="shared" si="5"/>
        <v>collected</v>
      </c>
      <c r="J75" s="16" t="str">
        <f t="shared" si="6"/>
        <v>N</v>
      </c>
      <c r="K75" s="16"/>
      <c r="L75" s="16"/>
    </row>
    <row r="76">
      <c r="A76" s="43" t="s">
        <v>1519</v>
      </c>
      <c r="B76" s="10" t="str">
        <f t="shared" si="1"/>
        <v>DNA</v>
      </c>
      <c r="C76" s="49" t="str">
        <f t="shared" si="2"/>
        <v>S16241DN1</v>
      </c>
      <c r="D76" s="6">
        <v>4.0</v>
      </c>
      <c r="E76" s="10" t="str">
        <f t="shared" si="3"/>
        <v>BDN4</v>
      </c>
      <c r="F76" s="6">
        <v>24.0</v>
      </c>
      <c r="G76" s="10" t="str">
        <f t="shared" si="4"/>
        <v>BDN4-24</v>
      </c>
      <c r="H76" s="15"/>
      <c r="I76" s="16" t="str">
        <f t="shared" si="5"/>
        <v>collected</v>
      </c>
      <c r="J76" s="16" t="str">
        <f t="shared" si="6"/>
        <v>N</v>
      </c>
      <c r="K76" s="16"/>
      <c r="L76" s="16"/>
    </row>
    <row r="77">
      <c r="A77" s="43" t="s">
        <v>1520</v>
      </c>
      <c r="B77" s="10" t="str">
        <f t="shared" si="1"/>
        <v>DNA</v>
      </c>
      <c r="C77" s="49" t="str">
        <f t="shared" si="2"/>
        <v>S16244DN1</v>
      </c>
      <c r="D77" s="6">
        <v>4.0</v>
      </c>
      <c r="E77" s="10" t="str">
        <f t="shared" si="3"/>
        <v>BDN4</v>
      </c>
      <c r="F77" s="6">
        <v>25.0</v>
      </c>
      <c r="G77" s="10" t="str">
        <f t="shared" si="4"/>
        <v>BDN4-25</v>
      </c>
      <c r="H77" s="15"/>
      <c r="I77" s="16" t="str">
        <f t="shared" si="5"/>
        <v>collected</v>
      </c>
      <c r="J77" s="16" t="str">
        <f t="shared" si="6"/>
        <v>N</v>
      </c>
      <c r="K77" s="16"/>
      <c r="L77" s="16"/>
    </row>
    <row r="78">
      <c r="A78" s="43" t="s">
        <v>1521</v>
      </c>
      <c r="B78" s="10" t="str">
        <f t="shared" si="1"/>
        <v>DNA</v>
      </c>
      <c r="C78" s="49" t="str">
        <f t="shared" si="2"/>
        <v>S16243DN1</v>
      </c>
      <c r="D78" s="6">
        <v>4.0</v>
      </c>
      <c r="E78" s="10" t="str">
        <f t="shared" si="3"/>
        <v>BDN4</v>
      </c>
      <c r="F78" s="6">
        <v>26.0</v>
      </c>
      <c r="G78" s="10" t="str">
        <f t="shared" si="4"/>
        <v>BDN4-26</v>
      </c>
      <c r="H78" s="16"/>
      <c r="I78" s="16" t="str">
        <f t="shared" si="5"/>
        <v>collected</v>
      </c>
      <c r="J78" s="16" t="str">
        <f t="shared" si="6"/>
        <v>N</v>
      </c>
      <c r="K78" s="16"/>
      <c r="L78" s="16"/>
    </row>
    <row r="79">
      <c r="A79" s="43" t="s">
        <v>1524</v>
      </c>
      <c r="B79" s="10" t="str">
        <f t="shared" si="1"/>
        <v>DNA</v>
      </c>
      <c r="C79" s="49" t="str">
        <f t="shared" si="2"/>
        <v>S16247DN1</v>
      </c>
      <c r="D79" s="6">
        <v>4.0</v>
      </c>
      <c r="E79" s="10" t="str">
        <f t="shared" si="3"/>
        <v>BDN4</v>
      </c>
      <c r="F79" s="6">
        <v>27.0</v>
      </c>
      <c r="G79" s="10" t="str">
        <f t="shared" si="4"/>
        <v>BDN4-27</v>
      </c>
      <c r="H79" s="16"/>
      <c r="I79" s="16" t="str">
        <f t="shared" si="5"/>
        <v>collected</v>
      </c>
      <c r="J79" s="16" t="str">
        <f t="shared" si="6"/>
        <v>N</v>
      </c>
      <c r="K79" s="16"/>
      <c r="L79" s="16"/>
    </row>
    <row r="80">
      <c r="A80" s="43" t="s">
        <v>1525</v>
      </c>
      <c r="B80" s="10" t="str">
        <f t="shared" si="1"/>
        <v>DNA</v>
      </c>
      <c r="C80" s="49" t="str">
        <f t="shared" si="2"/>
        <v>S16245DN1</v>
      </c>
      <c r="D80" s="6">
        <v>4.0</v>
      </c>
      <c r="E80" s="10" t="str">
        <f t="shared" si="3"/>
        <v>BDN4</v>
      </c>
      <c r="F80" s="6">
        <v>28.0</v>
      </c>
      <c r="G80" s="10" t="str">
        <f t="shared" si="4"/>
        <v>BDN4-28</v>
      </c>
      <c r="H80" s="16"/>
      <c r="I80" s="16" t="str">
        <f t="shared" si="5"/>
        <v>collected</v>
      </c>
      <c r="J80" s="16" t="str">
        <f t="shared" si="6"/>
        <v>N</v>
      </c>
      <c r="K80" s="16"/>
      <c r="L80" s="16"/>
    </row>
    <row r="81">
      <c r="A81" s="43" t="s">
        <v>1526</v>
      </c>
      <c r="B81" s="10" t="str">
        <f t="shared" si="1"/>
        <v>DNA</v>
      </c>
      <c r="C81" s="49" t="str">
        <f t="shared" si="2"/>
        <v>S16102DN1</v>
      </c>
      <c r="D81" s="6">
        <v>4.0</v>
      </c>
      <c r="E81" s="10" t="str">
        <f t="shared" si="3"/>
        <v>BDN4</v>
      </c>
      <c r="F81" s="6">
        <v>29.0</v>
      </c>
      <c r="G81" s="10" t="str">
        <f t="shared" si="4"/>
        <v>BDN4-29</v>
      </c>
      <c r="H81" s="16"/>
      <c r="I81" s="16" t="str">
        <f t="shared" si="5"/>
        <v>collected</v>
      </c>
      <c r="J81" s="16" t="str">
        <f t="shared" si="6"/>
        <v>N</v>
      </c>
      <c r="K81" s="16"/>
      <c r="L81" s="16"/>
    </row>
    <row r="82">
      <c r="A82" s="40" t="s">
        <v>1529</v>
      </c>
      <c r="B82" s="10" t="str">
        <f t="shared" si="1"/>
        <v>DNA</v>
      </c>
      <c r="C82" s="49" t="str">
        <f t="shared" si="2"/>
        <v>S16107DN1</v>
      </c>
      <c r="D82" s="6">
        <v>4.0</v>
      </c>
      <c r="E82" s="10" t="str">
        <f t="shared" si="3"/>
        <v>BDN4</v>
      </c>
      <c r="F82" s="6">
        <v>30.0</v>
      </c>
      <c r="G82" s="10" t="str">
        <f t="shared" si="4"/>
        <v>BDN4-30</v>
      </c>
      <c r="H82" s="16"/>
      <c r="I82" s="16" t="str">
        <f t="shared" si="5"/>
        <v>collected</v>
      </c>
      <c r="J82" s="16" t="str">
        <f t="shared" si="6"/>
        <v>N</v>
      </c>
      <c r="K82" s="16"/>
      <c r="L82" s="16"/>
    </row>
    <row r="83">
      <c r="A83" s="40" t="s">
        <v>1530</v>
      </c>
      <c r="B83" s="10" t="str">
        <f t="shared" si="1"/>
        <v>DNA</v>
      </c>
      <c r="C83" s="49" t="str">
        <f t="shared" si="2"/>
        <v>S16106DN1</v>
      </c>
      <c r="D83" s="6">
        <v>4.0</v>
      </c>
      <c r="E83" s="10" t="str">
        <f t="shared" si="3"/>
        <v>BDN4</v>
      </c>
      <c r="F83" s="6">
        <v>31.0</v>
      </c>
      <c r="G83" s="10" t="str">
        <f t="shared" si="4"/>
        <v>BDN4-31</v>
      </c>
      <c r="H83" s="16"/>
      <c r="I83" s="16" t="str">
        <f t="shared" si="5"/>
        <v>collected</v>
      </c>
      <c r="J83" s="16" t="str">
        <f t="shared" si="6"/>
        <v>N</v>
      </c>
      <c r="K83" s="16"/>
      <c r="L83" s="16"/>
    </row>
    <row r="84">
      <c r="A84" s="40" t="s">
        <v>1531</v>
      </c>
      <c r="B84" s="10" t="str">
        <f t="shared" si="1"/>
        <v>DNA</v>
      </c>
      <c r="C84" s="49" t="str">
        <f t="shared" si="2"/>
        <v>S16105DN1</v>
      </c>
      <c r="D84" s="6">
        <v>4.0</v>
      </c>
      <c r="E84" s="10" t="str">
        <f t="shared" si="3"/>
        <v>BDN4</v>
      </c>
      <c r="F84" s="6">
        <v>32.0</v>
      </c>
      <c r="G84" s="10" t="str">
        <f t="shared" si="4"/>
        <v>BDN4-32</v>
      </c>
      <c r="H84" s="16"/>
      <c r="I84" s="16" t="str">
        <f t="shared" si="5"/>
        <v>collected</v>
      </c>
      <c r="J84" s="16" t="str">
        <f t="shared" si="6"/>
        <v>N</v>
      </c>
      <c r="K84" s="16"/>
      <c r="L84" s="16"/>
    </row>
    <row r="85">
      <c r="A85" s="40" t="s">
        <v>1532</v>
      </c>
      <c r="B85" s="10" t="str">
        <f t="shared" si="1"/>
        <v>DNA</v>
      </c>
      <c r="C85" s="49" t="str">
        <f t="shared" si="2"/>
        <v>S16101DN1</v>
      </c>
      <c r="D85" s="6">
        <v>4.0</v>
      </c>
      <c r="E85" s="10" t="str">
        <f t="shared" si="3"/>
        <v>BDN4</v>
      </c>
      <c r="F85" s="6">
        <v>33.0</v>
      </c>
      <c r="G85" s="10" t="str">
        <f t="shared" si="4"/>
        <v>BDN4-33</v>
      </c>
      <c r="H85" s="16"/>
      <c r="I85" s="16" t="str">
        <f t="shared" si="5"/>
        <v>collected</v>
      </c>
      <c r="J85" s="16" t="str">
        <f t="shared" si="6"/>
        <v>N</v>
      </c>
      <c r="K85" s="16"/>
      <c r="L85" s="16"/>
    </row>
    <row r="86">
      <c r="A86" s="40" t="s">
        <v>1534</v>
      </c>
      <c r="B86" s="10" t="str">
        <f t="shared" si="1"/>
        <v>DNA</v>
      </c>
      <c r="C86" s="49" t="str">
        <f t="shared" si="2"/>
        <v>S16103DN1</v>
      </c>
      <c r="D86" s="6">
        <v>4.0</v>
      </c>
      <c r="E86" s="10" t="str">
        <f t="shared" si="3"/>
        <v>BDN4</v>
      </c>
      <c r="F86" s="6">
        <v>34.0</v>
      </c>
      <c r="G86" s="10" t="str">
        <f t="shared" si="4"/>
        <v>BDN4-34</v>
      </c>
      <c r="H86" s="16"/>
      <c r="I86" s="16" t="str">
        <f t="shared" si="5"/>
        <v>collected</v>
      </c>
      <c r="J86" s="16" t="str">
        <f t="shared" si="6"/>
        <v>N</v>
      </c>
      <c r="K86" s="16"/>
      <c r="L86" s="16"/>
    </row>
    <row r="87">
      <c r="A87" s="40" t="s">
        <v>1536</v>
      </c>
      <c r="B87" s="10" t="str">
        <f t="shared" si="1"/>
        <v>DNA</v>
      </c>
      <c r="C87" s="49" t="str">
        <f t="shared" si="2"/>
        <v>S16104DN1</v>
      </c>
      <c r="D87" s="6">
        <v>4.0</v>
      </c>
      <c r="E87" s="10" t="str">
        <f t="shared" si="3"/>
        <v>BDN4</v>
      </c>
      <c r="F87" s="6">
        <v>35.0</v>
      </c>
      <c r="G87" s="10" t="str">
        <f t="shared" si="4"/>
        <v>BDN4-35</v>
      </c>
      <c r="H87" s="16"/>
      <c r="I87" s="16" t="str">
        <f t="shared" si="5"/>
        <v>collected</v>
      </c>
      <c r="J87" s="16" t="str">
        <f t="shared" si="6"/>
        <v>N</v>
      </c>
      <c r="K87" s="16"/>
      <c r="L87" s="16"/>
    </row>
    <row r="88">
      <c r="A88" s="40" t="s">
        <v>1537</v>
      </c>
      <c r="B88" s="10" t="str">
        <f t="shared" si="1"/>
        <v>DNA</v>
      </c>
      <c r="C88" s="49" t="str">
        <f t="shared" si="2"/>
        <v>S16363DN1</v>
      </c>
      <c r="D88" s="6">
        <v>4.0</v>
      </c>
      <c r="E88" s="10" t="str">
        <f t="shared" si="3"/>
        <v>BDN4</v>
      </c>
      <c r="F88" s="6">
        <v>36.0</v>
      </c>
      <c r="G88" s="10" t="str">
        <f t="shared" si="4"/>
        <v>BDN4-36</v>
      </c>
      <c r="H88" s="16"/>
      <c r="I88" s="16" t="str">
        <f t="shared" si="5"/>
        <v>collected</v>
      </c>
      <c r="J88" s="16" t="str">
        <f t="shared" si="6"/>
        <v>N</v>
      </c>
      <c r="K88" s="16"/>
      <c r="L88" s="16"/>
    </row>
    <row r="89">
      <c r="A89" s="40" t="s">
        <v>1538</v>
      </c>
      <c r="B89" s="10" t="str">
        <f t="shared" si="1"/>
        <v>DNA</v>
      </c>
      <c r="C89" s="49" t="str">
        <f t="shared" si="2"/>
        <v>S16362DN1</v>
      </c>
      <c r="D89" s="6">
        <v>4.0</v>
      </c>
      <c r="E89" s="10" t="str">
        <f t="shared" si="3"/>
        <v>BDN4</v>
      </c>
      <c r="F89" s="6">
        <v>37.0</v>
      </c>
      <c r="G89" s="10" t="str">
        <f t="shared" si="4"/>
        <v>BDN4-37</v>
      </c>
      <c r="H89" s="16"/>
      <c r="I89" s="16" t="str">
        <f t="shared" si="5"/>
        <v>collected</v>
      </c>
      <c r="J89" s="16" t="str">
        <f t="shared" si="6"/>
        <v>N</v>
      </c>
      <c r="K89" s="16"/>
      <c r="L89" s="16"/>
    </row>
    <row r="90">
      <c r="A90" s="40" t="s">
        <v>1539</v>
      </c>
      <c r="B90" s="10" t="str">
        <f t="shared" si="1"/>
        <v>DNA</v>
      </c>
      <c r="C90" s="49" t="str">
        <f t="shared" si="2"/>
        <v>S16364DN1</v>
      </c>
      <c r="D90" s="6">
        <v>4.0</v>
      </c>
      <c r="E90" s="10" t="str">
        <f t="shared" si="3"/>
        <v>BDN4</v>
      </c>
      <c r="F90" s="6">
        <v>38.0</v>
      </c>
      <c r="G90" s="10" t="str">
        <f t="shared" si="4"/>
        <v>BDN4-38</v>
      </c>
      <c r="H90" s="16"/>
      <c r="I90" s="16" t="str">
        <f t="shared" si="5"/>
        <v>collected</v>
      </c>
      <c r="J90" s="16" t="str">
        <f t="shared" si="6"/>
        <v>N</v>
      </c>
      <c r="K90" s="16"/>
      <c r="L90" s="16"/>
    </row>
    <row r="91">
      <c r="A91" s="40" t="s">
        <v>1540</v>
      </c>
      <c r="B91" s="10" t="str">
        <f t="shared" si="1"/>
        <v>DNA</v>
      </c>
      <c r="C91" s="49" t="str">
        <f t="shared" si="2"/>
        <v>S16361DN1</v>
      </c>
      <c r="D91" s="6">
        <v>4.0</v>
      </c>
      <c r="E91" s="10" t="str">
        <f t="shared" si="3"/>
        <v>BDN4</v>
      </c>
      <c r="F91" s="6">
        <v>39.0</v>
      </c>
      <c r="G91" s="10" t="str">
        <f t="shared" si="4"/>
        <v>BDN4-39</v>
      </c>
      <c r="H91" s="16"/>
      <c r="I91" s="16" t="str">
        <f t="shared" si="5"/>
        <v>collected</v>
      </c>
      <c r="J91" s="16" t="str">
        <f t="shared" si="6"/>
        <v>N</v>
      </c>
      <c r="K91" s="16"/>
      <c r="L91" s="16"/>
    </row>
    <row r="92">
      <c r="A92" s="40" t="s">
        <v>1542</v>
      </c>
      <c r="B92" s="10" t="str">
        <f t="shared" si="1"/>
        <v>DNA</v>
      </c>
      <c r="C92" s="49" t="str">
        <f t="shared" si="2"/>
        <v>S17391DN1</v>
      </c>
      <c r="D92" s="6">
        <v>4.0</v>
      </c>
      <c r="E92" s="10" t="str">
        <f t="shared" si="3"/>
        <v>BDN4</v>
      </c>
      <c r="F92" s="6">
        <v>40.0</v>
      </c>
      <c r="G92" s="10" t="str">
        <f t="shared" si="4"/>
        <v>BDN4-40</v>
      </c>
      <c r="H92" s="16"/>
      <c r="I92" s="16" t="str">
        <f t="shared" si="5"/>
        <v>collected</v>
      </c>
      <c r="J92" s="16" t="str">
        <f t="shared" si="6"/>
        <v>N</v>
      </c>
      <c r="K92" s="16"/>
      <c r="L92" s="16"/>
    </row>
    <row r="93">
      <c r="A93" s="40" t="s">
        <v>1544</v>
      </c>
      <c r="B93" s="10" t="str">
        <f t="shared" si="1"/>
        <v>DNA</v>
      </c>
      <c r="C93" s="49" t="str">
        <f t="shared" si="2"/>
        <v>S16391DN1</v>
      </c>
      <c r="D93" s="6">
        <v>4.0</v>
      </c>
      <c r="E93" s="10" t="str">
        <f t="shared" si="3"/>
        <v>BDN4</v>
      </c>
      <c r="F93" s="6">
        <v>41.0</v>
      </c>
      <c r="G93" s="10" t="str">
        <f t="shared" si="4"/>
        <v>BDN4-41</v>
      </c>
      <c r="H93" s="16"/>
      <c r="I93" s="16" t="str">
        <f t="shared" si="5"/>
        <v>collected</v>
      </c>
      <c r="J93" s="16" t="str">
        <f t="shared" si="6"/>
        <v>N</v>
      </c>
      <c r="K93" s="16"/>
      <c r="L93" s="16"/>
    </row>
    <row r="94">
      <c r="A94" s="40" t="s">
        <v>1545</v>
      </c>
      <c r="B94" s="10" t="str">
        <f t="shared" si="1"/>
        <v>DNA</v>
      </c>
      <c r="C94" s="49" t="str">
        <f t="shared" si="2"/>
        <v>S17011DN1</v>
      </c>
      <c r="D94" s="6">
        <v>4.0</v>
      </c>
      <c r="E94" s="10" t="str">
        <f t="shared" si="3"/>
        <v>BDN4</v>
      </c>
      <c r="F94" s="6">
        <v>42.0</v>
      </c>
      <c r="G94" s="10" t="str">
        <f t="shared" si="4"/>
        <v>BDN4-42</v>
      </c>
      <c r="H94" s="16"/>
      <c r="I94" s="16" t="str">
        <f t="shared" si="5"/>
        <v>collected</v>
      </c>
      <c r="J94" s="16" t="str">
        <f t="shared" si="6"/>
        <v>N</v>
      </c>
      <c r="K94" s="16"/>
      <c r="L94" s="16"/>
    </row>
    <row r="95">
      <c r="A95" s="40" t="s">
        <v>1547</v>
      </c>
      <c r="B95" s="10" t="str">
        <f t="shared" si="1"/>
        <v>DNA</v>
      </c>
      <c r="C95" s="49" t="str">
        <f t="shared" si="2"/>
        <v>S16811DN1</v>
      </c>
      <c r="D95" s="6">
        <v>4.0</v>
      </c>
      <c r="E95" s="10" t="str">
        <f t="shared" si="3"/>
        <v>BDN4</v>
      </c>
      <c r="F95" s="6">
        <v>43.0</v>
      </c>
      <c r="G95" s="10" t="str">
        <f t="shared" si="4"/>
        <v>BDN4-43</v>
      </c>
      <c r="H95" s="16"/>
      <c r="I95" s="16" t="str">
        <f t="shared" si="5"/>
        <v>collected</v>
      </c>
      <c r="J95" s="16" t="str">
        <f t="shared" si="6"/>
        <v>N</v>
      </c>
      <c r="K95" s="16"/>
      <c r="L95" s="16"/>
    </row>
    <row r="96">
      <c r="A96" s="40" t="s">
        <v>1549</v>
      </c>
      <c r="B96" s="10" t="str">
        <f t="shared" si="1"/>
        <v>DNA</v>
      </c>
      <c r="C96" s="49" t="str">
        <f t="shared" si="2"/>
        <v>S16815DN1</v>
      </c>
      <c r="D96" s="6">
        <v>4.0</v>
      </c>
      <c r="E96" s="10" t="str">
        <f t="shared" si="3"/>
        <v>BDN4</v>
      </c>
      <c r="F96" s="6">
        <v>44.0</v>
      </c>
      <c r="G96" s="10" t="str">
        <f t="shared" si="4"/>
        <v>BDN4-44</v>
      </c>
      <c r="H96" s="16"/>
      <c r="I96" s="16" t="str">
        <f t="shared" si="5"/>
        <v>collected</v>
      </c>
      <c r="J96" s="16" t="str">
        <f t="shared" si="6"/>
        <v>N</v>
      </c>
      <c r="K96" s="16"/>
      <c r="L96" s="16"/>
    </row>
    <row r="97">
      <c r="A97" s="40" t="s">
        <v>1550</v>
      </c>
      <c r="B97" s="10" t="str">
        <f t="shared" si="1"/>
        <v>DNA</v>
      </c>
      <c r="C97" s="49" t="str">
        <f t="shared" si="2"/>
        <v>S16818DN1</v>
      </c>
      <c r="D97" s="6">
        <v>4.0</v>
      </c>
      <c r="E97" s="10" t="str">
        <f t="shared" si="3"/>
        <v>BDN4</v>
      </c>
      <c r="F97" s="6">
        <v>45.0</v>
      </c>
      <c r="G97" s="10" t="str">
        <f t="shared" si="4"/>
        <v>BDN4-45</v>
      </c>
      <c r="H97" s="16"/>
      <c r="I97" s="16" t="str">
        <f t="shared" si="5"/>
        <v>collected</v>
      </c>
      <c r="J97" s="16" t="str">
        <f t="shared" si="6"/>
        <v>N</v>
      </c>
      <c r="K97" s="16"/>
      <c r="L97" s="16"/>
    </row>
    <row r="98">
      <c r="A98" s="43" t="s">
        <v>1552</v>
      </c>
      <c r="B98" s="10" t="str">
        <f t="shared" si="1"/>
        <v>DNA</v>
      </c>
      <c r="C98" s="49" t="str">
        <f t="shared" si="2"/>
        <v>S16816DN1</v>
      </c>
      <c r="D98" s="6">
        <v>4.0</v>
      </c>
      <c r="E98" s="10" t="str">
        <f t="shared" si="3"/>
        <v>BDN4</v>
      </c>
      <c r="F98" s="6">
        <v>46.0</v>
      </c>
      <c r="G98" s="10" t="str">
        <f t="shared" si="4"/>
        <v>BDN4-46</v>
      </c>
      <c r="H98" s="16"/>
      <c r="I98" s="16" t="str">
        <f t="shared" si="5"/>
        <v>collected</v>
      </c>
      <c r="J98" s="16" t="str">
        <f t="shared" si="6"/>
        <v>N</v>
      </c>
      <c r="K98" s="16"/>
      <c r="L98" s="16"/>
    </row>
    <row r="99">
      <c r="A99" s="43" t="s">
        <v>1554</v>
      </c>
      <c r="B99" s="10" t="str">
        <f t="shared" si="1"/>
        <v>DNA</v>
      </c>
      <c r="C99" s="49" t="str">
        <f t="shared" si="2"/>
        <v>S16820DN1</v>
      </c>
      <c r="D99" s="6">
        <v>4.0</v>
      </c>
      <c r="E99" s="10" t="str">
        <f t="shared" si="3"/>
        <v>BDN4</v>
      </c>
      <c r="F99" s="6">
        <v>47.0</v>
      </c>
      <c r="G99" s="10" t="str">
        <f t="shared" si="4"/>
        <v>BDN4-47</v>
      </c>
      <c r="H99" s="6"/>
      <c r="I99" s="16" t="str">
        <f t="shared" si="5"/>
        <v>collected</v>
      </c>
      <c r="J99" s="16" t="str">
        <f t="shared" si="6"/>
        <v>N</v>
      </c>
      <c r="K99" s="16"/>
      <c r="L99" s="16"/>
    </row>
    <row r="100">
      <c r="A100" s="43" t="s">
        <v>1555</v>
      </c>
      <c r="B100" s="10" t="str">
        <f t="shared" si="1"/>
        <v>DNA</v>
      </c>
      <c r="C100" s="49" t="str">
        <f t="shared" si="2"/>
        <v>S16819DN1</v>
      </c>
      <c r="D100" s="6">
        <v>4.0</v>
      </c>
      <c r="E100" s="10" t="str">
        <f t="shared" si="3"/>
        <v>BDN4</v>
      </c>
      <c r="F100" s="6">
        <v>48.0</v>
      </c>
      <c r="G100" s="10" t="str">
        <f t="shared" si="4"/>
        <v>BDN4-48</v>
      </c>
      <c r="H100" s="16"/>
      <c r="I100" s="16" t="str">
        <f t="shared" si="5"/>
        <v>collected</v>
      </c>
      <c r="J100" s="16" t="str">
        <f t="shared" si="6"/>
        <v>N</v>
      </c>
      <c r="K100" s="16"/>
      <c r="L100" s="16"/>
    </row>
    <row r="101">
      <c r="A101" s="43" t="s">
        <v>1556</v>
      </c>
      <c r="B101" s="10" t="str">
        <f t="shared" si="1"/>
        <v>DNA</v>
      </c>
      <c r="C101" s="49" t="str">
        <f t="shared" si="2"/>
        <v>S16813DN1</v>
      </c>
      <c r="D101" s="6">
        <v>4.0</v>
      </c>
      <c r="E101" s="10" t="str">
        <f t="shared" si="3"/>
        <v>BDN4</v>
      </c>
      <c r="F101" s="6">
        <v>49.0</v>
      </c>
      <c r="G101" s="10" t="str">
        <f t="shared" si="4"/>
        <v>BDN4-49</v>
      </c>
      <c r="H101" s="6"/>
      <c r="I101" s="16" t="str">
        <f t="shared" si="5"/>
        <v>collected</v>
      </c>
      <c r="J101" s="16" t="str">
        <f t="shared" si="6"/>
        <v>N</v>
      </c>
      <c r="K101" s="16"/>
      <c r="L101" s="16"/>
    </row>
    <row r="102">
      <c r="A102" s="43" t="s">
        <v>1558</v>
      </c>
      <c r="B102" s="10" t="str">
        <f t="shared" si="1"/>
        <v>DNA</v>
      </c>
      <c r="C102" s="49" t="str">
        <f t="shared" si="2"/>
        <v>S16812DN1</v>
      </c>
      <c r="D102" s="6">
        <v>4.0</v>
      </c>
      <c r="E102" s="10" t="str">
        <f t="shared" si="3"/>
        <v>BDN4</v>
      </c>
      <c r="F102" s="6">
        <v>50.0</v>
      </c>
      <c r="G102" s="10" t="str">
        <f t="shared" si="4"/>
        <v>BDN4-50</v>
      </c>
      <c r="H102" s="16"/>
      <c r="I102" s="16" t="str">
        <f t="shared" si="5"/>
        <v>collected</v>
      </c>
      <c r="J102" s="16" t="str">
        <f t="shared" si="6"/>
        <v>N</v>
      </c>
      <c r="K102" s="16"/>
      <c r="L102" s="16"/>
    </row>
    <row r="103">
      <c r="A103" s="43" t="s">
        <v>1560</v>
      </c>
      <c r="B103" s="10" t="str">
        <f t="shared" si="1"/>
        <v>DNA</v>
      </c>
      <c r="C103" s="49" t="str">
        <f t="shared" si="2"/>
        <v>S16817DN1</v>
      </c>
      <c r="D103" s="6">
        <v>4.0</v>
      </c>
      <c r="E103" s="10" t="str">
        <f t="shared" si="3"/>
        <v>BDN4</v>
      </c>
      <c r="F103" s="6">
        <v>51.0</v>
      </c>
      <c r="G103" s="10" t="str">
        <f t="shared" si="4"/>
        <v>BDN4-51</v>
      </c>
      <c r="H103" s="16"/>
      <c r="I103" s="16" t="str">
        <f t="shared" si="5"/>
        <v>collected</v>
      </c>
      <c r="J103" s="16" t="str">
        <f t="shared" si="6"/>
        <v>N</v>
      </c>
      <c r="K103" s="16"/>
      <c r="L103" s="16"/>
    </row>
    <row r="104">
      <c r="A104" s="43" t="s">
        <v>1561</v>
      </c>
      <c r="B104" s="10" t="str">
        <f t="shared" si="1"/>
        <v>DNA</v>
      </c>
      <c r="C104" s="49" t="str">
        <f t="shared" si="2"/>
        <v>S16814DN1</v>
      </c>
      <c r="D104" s="6">
        <v>4.0</v>
      </c>
      <c r="E104" s="10" t="str">
        <f t="shared" si="3"/>
        <v>BDN4</v>
      </c>
      <c r="F104" s="6">
        <v>52.0</v>
      </c>
      <c r="G104" s="10" t="str">
        <f t="shared" si="4"/>
        <v>BDN4-52</v>
      </c>
      <c r="H104" s="16"/>
      <c r="I104" s="16" t="str">
        <f t="shared" si="5"/>
        <v>collected</v>
      </c>
      <c r="J104" s="16" t="str">
        <f t="shared" si="6"/>
        <v>N</v>
      </c>
      <c r="K104" s="16"/>
      <c r="L104" s="16"/>
    </row>
    <row r="105">
      <c r="A105" s="43" t="s">
        <v>1563</v>
      </c>
      <c r="B105" s="10" t="str">
        <f t="shared" si="1"/>
        <v>DNA</v>
      </c>
      <c r="C105" s="49" t="str">
        <f t="shared" si="2"/>
        <v>S17138DN1</v>
      </c>
      <c r="D105" s="6">
        <v>4.0</v>
      </c>
      <c r="E105" s="10" t="str">
        <f t="shared" si="3"/>
        <v>BDN4</v>
      </c>
      <c r="F105" s="6">
        <v>53.0</v>
      </c>
      <c r="G105" s="10" t="str">
        <f t="shared" si="4"/>
        <v>BDN4-53</v>
      </c>
      <c r="H105" s="16"/>
      <c r="I105" s="16" t="str">
        <f t="shared" si="5"/>
        <v>collected</v>
      </c>
      <c r="J105" s="16" t="str">
        <f t="shared" si="6"/>
        <v>N</v>
      </c>
      <c r="K105" s="16"/>
      <c r="L105" s="16"/>
    </row>
    <row r="106">
      <c r="A106" s="43" t="s">
        <v>1564</v>
      </c>
      <c r="B106" s="10" t="str">
        <f t="shared" si="1"/>
        <v>DNA</v>
      </c>
      <c r="C106" s="49" t="str">
        <f t="shared" si="2"/>
        <v>S17131DN1</v>
      </c>
      <c r="D106" s="6">
        <v>4.0</v>
      </c>
      <c r="E106" s="10" t="str">
        <f t="shared" si="3"/>
        <v>BDN4</v>
      </c>
      <c r="F106" s="6">
        <v>54.0</v>
      </c>
      <c r="G106" s="10" t="str">
        <f t="shared" si="4"/>
        <v>BDN4-54</v>
      </c>
      <c r="H106" s="16"/>
      <c r="I106" s="16" t="str">
        <f t="shared" si="5"/>
        <v>collected</v>
      </c>
      <c r="J106" s="16" t="str">
        <f t="shared" si="6"/>
        <v>N</v>
      </c>
      <c r="K106" s="16"/>
      <c r="L106" s="16"/>
    </row>
    <row r="107">
      <c r="A107" s="40" t="s">
        <v>1565</v>
      </c>
      <c r="B107" s="10" t="str">
        <f t="shared" si="1"/>
        <v>DNA</v>
      </c>
      <c r="C107" s="49" t="str">
        <f t="shared" si="2"/>
        <v>S17133DN1</v>
      </c>
      <c r="D107" s="6">
        <v>4.0</v>
      </c>
      <c r="E107" s="10" t="str">
        <f t="shared" si="3"/>
        <v>BDN4</v>
      </c>
      <c r="F107" s="6">
        <v>55.0</v>
      </c>
      <c r="G107" s="10" t="str">
        <f t="shared" si="4"/>
        <v>BDN4-55</v>
      </c>
      <c r="H107" s="16"/>
      <c r="I107" s="16" t="str">
        <f t="shared" si="5"/>
        <v>collected</v>
      </c>
      <c r="J107" s="16" t="str">
        <f t="shared" si="6"/>
        <v>N</v>
      </c>
      <c r="K107" s="16"/>
      <c r="L107" s="16"/>
    </row>
    <row r="108">
      <c r="A108" s="40" t="s">
        <v>1566</v>
      </c>
      <c r="B108" s="10" t="str">
        <f t="shared" si="1"/>
        <v>DNA</v>
      </c>
      <c r="C108" s="49" t="str">
        <f t="shared" si="2"/>
        <v>S17135DN1</v>
      </c>
      <c r="D108" s="6">
        <v>4.0</v>
      </c>
      <c r="E108" s="10" t="str">
        <f t="shared" si="3"/>
        <v>BDN4</v>
      </c>
      <c r="F108" s="6">
        <v>56.0</v>
      </c>
      <c r="G108" s="10" t="str">
        <f t="shared" si="4"/>
        <v>BDN4-56</v>
      </c>
      <c r="H108" s="16"/>
      <c r="I108" s="16" t="str">
        <f t="shared" si="5"/>
        <v>collected</v>
      </c>
      <c r="J108" s="16" t="str">
        <f t="shared" si="6"/>
        <v>N</v>
      </c>
      <c r="K108" s="16"/>
      <c r="L108" s="16"/>
    </row>
    <row r="109">
      <c r="A109" s="40" t="s">
        <v>1567</v>
      </c>
      <c r="B109" s="10" t="str">
        <f t="shared" si="1"/>
        <v>DNA</v>
      </c>
      <c r="C109" s="49" t="str">
        <f t="shared" si="2"/>
        <v>S17136DN1</v>
      </c>
      <c r="D109" s="6">
        <v>4.0</v>
      </c>
      <c r="E109" s="10" t="str">
        <f t="shared" si="3"/>
        <v>BDN4</v>
      </c>
      <c r="F109" s="6">
        <v>57.0</v>
      </c>
      <c r="G109" s="10" t="str">
        <f t="shared" si="4"/>
        <v>BDN4-57</v>
      </c>
      <c r="H109" s="16"/>
      <c r="I109" s="16" t="str">
        <f t="shared" si="5"/>
        <v>collected</v>
      </c>
      <c r="J109" s="16" t="str">
        <f t="shared" si="6"/>
        <v>N</v>
      </c>
      <c r="K109" s="16"/>
      <c r="L109" s="16"/>
    </row>
    <row r="110">
      <c r="A110" s="40" t="s">
        <v>1568</v>
      </c>
      <c r="B110" s="10" t="str">
        <f t="shared" si="1"/>
        <v>DNA</v>
      </c>
      <c r="C110" s="49" t="str">
        <f t="shared" si="2"/>
        <v>S17139DN1</v>
      </c>
      <c r="D110" s="6">
        <v>4.0</v>
      </c>
      <c r="E110" s="10" t="str">
        <f t="shared" si="3"/>
        <v>BDN4</v>
      </c>
      <c r="F110" s="6">
        <v>58.0</v>
      </c>
      <c r="G110" s="10" t="str">
        <f t="shared" si="4"/>
        <v>BDN4-58</v>
      </c>
      <c r="H110" s="16"/>
      <c r="I110" s="16" t="str">
        <f t="shared" si="5"/>
        <v>collected</v>
      </c>
      <c r="J110" s="16" t="str">
        <f t="shared" si="6"/>
        <v>N</v>
      </c>
      <c r="K110" s="16"/>
      <c r="L110" s="16"/>
    </row>
    <row r="111">
      <c r="A111" s="40" t="s">
        <v>1571</v>
      </c>
      <c r="B111" s="10" t="str">
        <f t="shared" si="1"/>
        <v>DNA</v>
      </c>
      <c r="C111" s="49" t="str">
        <f t="shared" si="2"/>
        <v>S17140DN1</v>
      </c>
      <c r="D111" s="6">
        <v>4.0</v>
      </c>
      <c r="E111" s="10" t="str">
        <f t="shared" si="3"/>
        <v>BDN4</v>
      </c>
      <c r="F111" s="6">
        <v>59.0</v>
      </c>
      <c r="G111" s="10" t="str">
        <f t="shared" si="4"/>
        <v>BDN4-59</v>
      </c>
      <c r="H111" s="16"/>
      <c r="I111" s="16" t="str">
        <f t="shared" si="5"/>
        <v>collected</v>
      </c>
      <c r="J111" s="16" t="str">
        <f t="shared" si="6"/>
        <v>N</v>
      </c>
      <c r="K111" s="16"/>
      <c r="L111" s="16"/>
    </row>
    <row r="112">
      <c r="A112" s="40" t="s">
        <v>1572</v>
      </c>
      <c r="B112" s="10" t="str">
        <f t="shared" si="1"/>
        <v>DNA</v>
      </c>
      <c r="C112" s="49" t="str">
        <f t="shared" si="2"/>
        <v>S17137DN1</v>
      </c>
      <c r="D112" s="6">
        <v>4.0</v>
      </c>
      <c r="E112" s="10" t="str">
        <f t="shared" si="3"/>
        <v>BDN4</v>
      </c>
      <c r="F112" s="6">
        <v>60.0</v>
      </c>
      <c r="G112" s="10" t="str">
        <f t="shared" si="4"/>
        <v>BDN4-60</v>
      </c>
      <c r="H112" s="16"/>
      <c r="I112" s="16" t="str">
        <f t="shared" si="5"/>
        <v>collected</v>
      </c>
      <c r="J112" s="16" t="str">
        <f t="shared" si="6"/>
        <v>N</v>
      </c>
      <c r="K112" s="16"/>
      <c r="L112" s="16"/>
    </row>
    <row r="113">
      <c r="A113" s="40" t="s">
        <v>1574</v>
      </c>
      <c r="B113" s="10" t="str">
        <f t="shared" si="1"/>
        <v>DNA</v>
      </c>
      <c r="C113" s="49" t="str">
        <f t="shared" si="2"/>
        <v>S17134DN1</v>
      </c>
      <c r="D113" s="6">
        <v>4.0</v>
      </c>
      <c r="E113" s="10" t="str">
        <f t="shared" si="3"/>
        <v>BDN4</v>
      </c>
      <c r="F113" s="6">
        <v>61.0</v>
      </c>
      <c r="G113" s="10" t="str">
        <f t="shared" si="4"/>
        <v>BDN4-61</v>
      </c>
      <c r="H113" s="16"/>
      <c r="I113" s="16" t="str">
        <f t="shared" si="5"/>
        <v>collected</v>
      </c>
      <c r="J113" s="16" t="str">
        <f t="shared" si="6"/>
        <v>N</v>
      </c>
      <c r="K113" s="16"/>
      <c r="L113" s="16"/>
    </row>
    <row r="114">
      <c r="A114" s="40" t="s">
        <v>1576</v>
      </c>
      <c r="B114" s="10" t="str">
        <f t="shared" si="1"/>
        <v>DNA</v>
      </c>
      <c r="C114" s="49" t="str">
        <f t="shared" si="2"/>
        <v>S17132DN1</v>
      </c>
      <c r="D114" s="6">
        <v>4.0</v>
      </c>
      <c r="E114" s="10" t="str">
        <f t="shared" si="3"/>
        <v>BDN4</v>
      </c>
      <c r="F114" s="6">
        <v>62.0</v>
      </c>
      <c r="G114" s="10" t="str">
        <f t="shared" si="4"/>
        <v>BDN4-62</v>
      </c>
      <c r="H114" s="16"/>
      <c r="I114" s="16" t="str">
        <f t="shared" si="5"/>
        <v>collected</v>
      </c>
      <c r="J114" s="16" t="str">
        <f t="shared" si="6"/>
        <v>N</v>
      </c>
      <c r="K114" s="16"/>
      <c r="L114" s="16"/>
    </row>
    <row r="115">
      <c r="A115" s="40" t="s">
        <v>1578</v>
      </c>
      <c r="B115" s="10" t="str">
        <f t="shared" si="1"/>
        <v>DNA</v>
      </c>
      <c r="C115" s="49" t="str">
        <f t="shared" si="2"/>
        <v>S17227DN1</v>
      </c>
      <c r="D115" s="6">
        <v>10.0</v>
      </c>
      <c r="E115" s="10" t="str">
        <f t="shared" si="3"/>
        <v>BDN10</v>
      </c>
      <c r="F115" s="6">
        <v>13.0</v>
      </c>
      <c r="G115" s="10" t="str">
        <f t="shared" si="4"/>
        <v>BDN10-13</v>
      </c>
      <c r="H115" s="16"/>
      <c r="I115" s="16" t="str">
        <f t="shared" si="5"/>
        <v>collected</v>
      </c>
      <c r="J115" s="16" t="str">
        <f t="shared" si="6"/>
        <v>N</v>
      </c>
      <c r="K115" s="16"/>
      <c r="L115" s="16"/>
    </row>
    <row r="116">
      <c r="A116" s="43" t="s">
        <v>1579</v>
      </c>
      <c r="B116" s="10" t="str">
        <f t="shared" si="1"/>
        <v>DNA</v>
      </c>
      <c r="C116" s="49" t="str">
        <f t="shared" si="2"/>
        <v>S17222DN1</v>
      </c>
      <c r="D116" s="6">
        <v>10.0</v>
      </c>
      <c r="E116" s="10" t="str">
        <f t="shared" si="3"/>
        <v>BDN10</v>
      </c>
      <c r="F116" s="6">
        <v>14.0</v>
      </c>
      <c r="G116" s="10" t="str">
        <f t="shared" si="4"/>
        <v>BDN10-14</v>
      </c>
      <c r="H116" s="16"/>
      <c r="I116" s="16" t="str">
        <f t="shared" si="5"/>
        <v>collected</v>
      </c>
      <c r="J116" s="16" t="str">
        <f t="shared" si="6"/>
        <v>N</v>
      </c>
      <c r="K116" s="16"/>
      <c r="L116" s="16"/>
    </row>
    <row r="117">
      <c r="A117" s="43" t="s">
        <v>1580</v>
      </c>
      <c r="B117" s="10" t="str">
        <f t="shared" si="1"/>
        <v>DNA</v>
      </c>
      <c r="C117" s="49" t="str">
        <f t="shared" si="2"/>
        <v>S17221DN1</v>
      </c>
      <c r="D117" s="6">
        <v>10.0</v>
      </c>
      <c r="E117" s="10" t="str">
        <f t="shared" si="3"/>
        <v>BDN10</v>
      </c>
      <c r="F117" s="6">
        <v>15.0</v>
      </c>
      <c r="G117" s="10" t="str">
        <f t="shared" si="4"/>
        <v>BDN10-15</v>
      </c>
      <c r="H117" s="16"/>
      <c r="I117" s="16" t="str">
        <f t="shared" si="5"/>
        <v>collected</v>
      </c>
      <c r="J117" s="16" t="str">
        <f t="shared" si="6"/>
        <v>N</v>
      </c>
      <c r="K117" s="16"/>
      <c r="L117" s="16"/>
    </row>
    <row r="118">
      <c r="A118" s="43" t="s">
        <v>1583</v>
      </c>
      <c r="B118" s="10" t="str">
        <f t="shared" si="1"/>
        <v>DNA</v>
      </c>
      <c r="C118" s="49" t="str">
        <f t="shared" si="2"/>
        <v>S17223DN1</v>
      </c>
      <c r="D118" s="6">
        <v>10.0</v>
      </c>
      <c r="E118" s="10" t="str">
        <f t="shared" si="3"/>
        <v>BDN10</v>
      </c>
      <c r="F118" s="6">
        <v>16.0</v>
      </c>
      <c r="G118" s="10" t="str">
        <f t="shared" si="4"/>
        <v>BDN10-16</v>
      </c>
      <c r="H118" s="6"/>
      <c r="I118" s="16" t="str">
        <f t="shared" si="5"/>
        <v>collected</v>
      </c>
      <c r="J118" s="16" t="str">
        <f t="shared" si="6"/>
        <v>N</v>
      </c>
      <c r="K118" s="16"/>
      <c r="L118" s="16"/>
    </row>
    <row r="119">
      <c r="A119" s="43" t="s">
        <v>1585</v>
      </c>
      <c r="B119" s="10" t="str">
        <f t="shared" si="1"/>
        <v>DNA</v>
      </c>
      <c r="C119" s="49" t="str">
        <f t="shared" si="2"/>
        <v>S17224DN1</v>
      </c>
      <c r="D119" s="6">
        <v>10.0</v>
      </c>
      <c r="E119" s="10" t="str">
        <f t="shared" si="3"/>
        <v>BDN10</v>
      </c>
      <c r="F119" s="6">
        <v>17.0</v>
      </c>
      <c r="G119" s="10" t="str">
        <f t="shared" si="4"/>
        <v>BDN10-17</v>
      </c>
      <c r="H119" s="16"/>
      <c r="I119" s="16" t="str">
        <f t="shared" si="5"/>
        <v>collected</v>
      </c>
      <c r="J119" s="16" t="str">
        <f t="shared" si="6"/>
        <v>N</v>
      </c>
      <c r="K119" s="16"/>
      <c r="L119" s="16"/>
    </row>
    <row r="120">
      <c r="A120" s="43" t="s">
        <v>1586</v>
      </c>
      <c r="B120" s="10" t="str">
        <f t="shared" si="1"/>
        <v>DNA</v>
      </c>
      <c r="C120" s="49" t="str">
        <f t="shared" si="2"/>
        <v>S17230DN1</v>
      </c>
      <c r="D120" s="6">
        <v>10.0</v>
      </c>
      <c r="E120" s="10" t="str">
        <f t="shared" si="3"/>
        <v>BDN10</v>
      </c>
      <c r="F120" s="6">
        <v>18.0</v>
      </c>
      <c r="G120" s="10" t="str">
        <f t="shared" si="4"/>
        <v>BDN10-18</v>
      </c>
      <c r="H120" s="16"/>
      <c r="I120" s="16" t="str">
        <f t="shared" si="5"/>
        <v>collected</v>
      </c>
      <c r="J120" s="16" t="str">
        <f t="shared" si="6"/>
        <v>N</v>
      </c>
      <c r="K120" s="16"/>
      <c r="L120" s="16"/>
    </row>
    <row r="121">
      <c r="A121" s="43" t="s">
        <v>1587</v>
      </c>
      <c r="B121" s="10" t="str">
        <f t="shared" si="1"/>
        <v>DNA</v>
      </c>
      <c r="C121" s="49" t="str">
        <f t="shared" si="2"/>
        <v>S17225DN1</v>
      </c>
      <c r="D121" s="6">
        <v>10.0</v>
      </c>
      <c r="E121" s="10" t="str">
        <f t="shared" si="3"/>
        <v>BDN10</v>
      </c>
      <c r="F121" s="6">
        <v>19.0</v>
      </c>
      <c r="G121" s="10" t="str">
        <f t="shared" si="4"/>
        <v>BDN10-19</v>
      </c>
      <c r="H121" s="16"/>
      <c r="I121" s="16" t="str">
        <f t="shared" si="5"/>
        <v>collected</v>
      </c>
      <c r="J121" s="16" t="str">
        <f t="shared" si="6"/>
        <v>N</v>
      </c>
      <c r="K121" s="16"/>
      <c r="L121" s="16"/>
    </row>
    <row r="122">
      <c r="A122" s="43" t="s">
        <v>1588</v>
      </c>
      <c r="B122" s="10" t="str">
        <f t="shared" si="1"/>
        <v>DNA</v>
      </c>
      <c r="C122" s="49" t="str">
        <f t="shared" si="2"/>
        <v>S17226DN1</v>
      </c>
      <c r="D122" s="6">
        <v>10.0</v>
      </c>
      <c r="E122" s="10" t="str">
        <f t="shared" si="3"/>
        <v>BDN10</v>
      </c>
      <c r="F122" s="6">
        <v>20.0</v>
      </c>
      <c r="G122" s="10" t="str">
        <f t="shared" si="4"/>
        <v>BDN10-20</v>
      </c>
      <c r="H122" s="16"/>
      <c r="I122" s="16" t="str">
        <f t="shared" si="5"/>
        <v>collected</v>
      </c>
      <c r="J122" s="16" t="str">
        <f t="shared" si="6"/>
        <v>N</v>
      </c>
      <c r="K122" s="16"/>
      <c r="L122" s="16"/>
    </row>
    <row r="123">
      <c r="A123" s="43" t="s">
        <v>1589</v>
      </c>
      <c r="B123" s="10" t="str">
        <f t="shared" si="1"/>
        <v>DNA</v>
      </c>
      <c r="C123" s="49" t="str">
        <f t="shared" si="2"/>
        <v>S17228DN1</v>
      </c>
      <c r="D123" s="6">
        <v>10.0</v>
      </c>
      <c r="E123" s="10" t="str">
        <f t="shared" si="3"/>
        <v>BDN10</v>
      </c>
      <c r="F123" s="6">
        <v>21.0</v>
      </c>
      <c r="G123" s="10" t="str">
        <f t="shared" si="4"/>
        <v>BDN10-21</v>
      </c>
      <c r="H123" s="16"/>
      <c r="I123" s="16" t="str">
        <f t="shared" si="5"/>
        <v>collected</v>
      </c>
      <c r="J123" s="16" t="str">
        <f t="shared" si="6"/>
        <v>N</v>
      </c>
      <c r="K123" s="16"/>
      <c r="L123" s="16"/>
    </row>
    <row r="124">
      <c r="A124" s="43" t="s">
        <v>1591</v>
      </c>
      <c r="B124" s="10" t="str">
        <f t="shared" si="1"/>
        <v>DNA</v>
      </c>
      <c r="C124" s="49" t="str">
        <f t="shared" si="2"/>
        <v>S16407DN1</v>
      </c>
      <c r="D124" s="6">
        <v>4.0</v>
      </c>
      <c r="E124" s="10" t="str">
        <f t="shared" si="3"/>
        <v>BDN4</v>
      </c>
      <c r="F124" s="6">
        <v>63.0</v>
      </c>
      <c r="G124" s="10" t="str">
        <f t="shared" si="4"/>
        <v>BDN4-63</v>
      </c>
      <c r="H124" s="16"/>
      <c r="I124" s="16" t="str">
        <f t="shared" si="5"/>
        <v>collected</v>
      </c>
      <c r="J124" s="16" t="str">
        <f t="shared" si="6"/>
        <v>N</v>
      </c>
      <c r="K124" s="16"/>
      <c r="L124" s="16"/>
    </row>
    <row r="125">
      <c r="A125" s="43" t="s">
        <v>1592</v>
      </c>
      <c r="B125" s="10" t="str">
        <f t="shared" si="1"/>
        <v>DNA</v>
      </c>
      <c r="C125" s="49" t="str">
        <f t="shared" si="2"/>
        <v>S16410DN1</v>
      </c>
      <c r="D125" s="6">
        <v>4.0</v>
      </c>
      <c r="E125" s="10" t="str">
        <f t="shared" si="3"/>
        <v>BDN4</v>
      </c>
      <c r="F125" s="6">
        <v>64.0</v>
      </c>
      <c r="G125" s="10" t="str">
        <f t="shared" si="4"/>
        <v>BDN4-64</v>
      </c>
      <c r="H125" s="16"/>
      <c r="I125" s="16" t="str">
        <f t="shared" si="5"/>
        <v>collected</v>
      </c>
      <c r="J125" s="16" t="str">
        <f t="shared" si="6"/>
        <v>N</v>
      </c>
      <c r="K125" s="16"/>
      <c r="L125" s="16"/>
    </row>
    <row r="126">
      <c r="A126" s="43" t="s">
        <v>1593</v>
      </c>
      <c r="B126" s="10" t="str">
        <f t="shared" si="1"/>
        <v>DNA</v>
      </c>
      <c r="C126" s="49" t="str">
        <f t="shared" si="2"/>
        <v>S16403DN1</v>
      </c>
      <c r="D126" s="6">
        <v>4.0</v>
      </c>
      <c r="E126" s="10" t="str">
        <f t="shared" si="3"/>
        <v>BDN4</v>
      </c>
      <c r="F126" s="6">
        <v>65.0</v>
      </c>
      <c r="G126" s="10" t="str">
        <f t="shared" si="4"/>
        <v>BDN4-65</v>
      </c>
      <c r="H126" s="16"/>
      <c r="I126" s="16" t="str">
        <f t="shared" si="5"/>
        <v>collected</v>
      </c>
      <c r="J126" s="16" t="str">
        <f t="shared" si="6"/>
        <v>N</v>
      </c>
      <c r="K126" s="16"/>
      <c r="L126" s="16"/>
    </row>
    <row r="127">
      <c r="A127" s="43" t="s">
        <v>1594</v>
      </c>
      <c r="B127" s="10" t="str">
        <f t="shared" si="1"/>
        <v>DNA</v>
      </c>
      <c r="C127" s="49" t="str">
        <f t="shared" si="2"/>
        <v>S16402DN1</v>
      </c>
      <c r="D127" s="6">
        <v>4.0</v>
      </c>
      <c r="E127" s="10" t="str">
        <f t="shared" si="3"/>
        <v>BDN4</v>
      </c>
      <c r="F127" s="6">
        <v>66.0</v>
      </c>
      <c r="G127" s="10" t="str">
        <f t="shared" si="4"/>
        <v>BDN4-66</v>
      </c>
      <c r="H127" s="6"/>
      <c r="I127" s="16" t="str">
        <f t="shared" si="5"/>
        <v>collected</v>
      </c>
      <c r="J127" s="16" t="str">
        <f t="shared" si="6"/>
        <v>N</v>
      </c>
      <c r="K127" s="16"/>
      <c r="L127" s="16"/>
    </row>
    <row r="128">
      <c r="A128" s="40" t="s">
        <v>1596</v>
      </c>
      <c r="B128" s="10" t="str">
        <f t="shared" si="1"/>
        <v>DNA</v>
      </c>
      <c r="C128" s="49" t="str">
        <f t="shared" si="2"/>
        <v>S16409DN1</v>
      </c>
      <c r="D128" s="6">
        <v>4.0</v>
      </c>
      <c r="E128" s="10" t="str">
        <f t="shared" si="3"/>
        <v>BDN4</v>
      </c>
      <c r="F128" s="6">
        <v>67.0</v>
      </c>
      <c r="G128" s="10" t="str">
        <f t="shared" si="4"/>
        <v>BDN4-67</v>
      </c>
      <c r="H128" s="15"/>
      <c r="I128" s="16" t="str">
        <f t="shared" si="5"/>
        <v>collected</v>
      </c>
      <c r="J128" s="16" t="str">
        <f t="shared" si="6"/>
        <v>N</v>
      </c>
      <c r="K128" s="16"/>
      <c r="L128" s="16"/>
    </row>
    <row r="129">
      <c r="A129" s="40" t="s">
        <v>1598</v>
      </c>
      <c r="B129" s="10" t="str">
        <f t="shared" si="1"/>
        <v>DNA</v>
      </c>
      <c r="C129" s="49" t="str">
        <f t="shared" si="2"/>
        <v>S16404DN1</v>
      </c>
      <c r="D129" s="6">
        <v>4.0</v>
      </c>
      <c r="E129" s="10" t="str">
        <f t="shared" si="3"/>
        <v>BDN4</v>
      </c>
      <c r="F129" s="6">
        <v>68.0</v>
      </c>
      <c r="G129" s="10" t="str">
        <f t="shared" si="4"/>
        <v>BDN4-68</v>
      </c>
      <c r="H129" s="16"/>
      <c r="I129" s="16" t="str">
        <f t="shared" si="5"/>
        <v>collected</v>
      </c>
      <c r="J129" s="16" t="str">
        <f t="shared" si="6"/>
        <v>N</v>
      </c>
      <c r="K129" s="16"/>
      <c r="L129" s="16"/>
    </row>
    <row r="130">
      <c r="A130" s="40" t="s">
        <v>1599</v>
      </c>
      <c r="B130" s="10" t="str">
        <f t="shared" si="1"/>
        <v>DNA</v>
      </c>
      <c r="C130" s="49" t="str">
        <f t="shared" si="2"/>
        <v>S16401DN1</v>
      </c>
      <c r="D130" s="6">
        <v>4.0</v>
      </c>
      <c r="E130" s="10" t="str">
        <f t="shared" si="3"/>
        <v>BDN4</v>
      </c>
      <c r="F130" s="6">
        <v>69.0</v>
      </c>
      <c r="G130" s="10" t="str">
        <f t="shared" si="4"/>
        <v>BDN4-69</v>
      </c>
      <c r="H130" s="15"/>
      <c r="I130" s="16" t="str">
        <f t="shared" si="5"/>
        <v>collected</v>
      </c>
      <c r="J130" s="16" t="str">
        <f t="shared" si="6"/>
        <v>N</v>
      </c>
      <c r="K130" s="16"/>
      <c r="L130" s="16"/>
    </row>
    <row r="131">
      <c r="A131" s="40" t="s">
        <v>1600</v>
      </c>
      <c r="B131" s="10" t="str">
        <f t="shared" si="1"/>
        <v>DNA</v>
      </c>
      <c r="C131" s="49" t="str">
        <f t="shared" si="2"/>
        <v>S16405DN1</v>
      </c>
      <c r="D131" s="6">
        <v>4.0</v>
      </c>
      <c r="E131" s="10" t="str">
        <f t="shared" si="3"/>
        <v>BDN4</v>
      </c>
      <c r="F131" s="6">
        <v>70.0</v>
      </c>
      <c r="G131" s="10" t="str">
        <f t="shared" si="4"/>
        <v>BDN4-70</v>
      </c>
      <c r="H131" s="16"/>
      <c r="I131" s="16" t="str">
        <f t="shared" si="5"/>
        <v>collected</v>
      </c>
      <c r="J131" s="16" t="str">
        <f t="shared" si="6"/>
        <v>N</v>
      </c>
      <c r="K131" s="16"/>
      <c r="L131" s="16"/>
    </row>
    <row r="132">
      <c r="A132" s="40" t="s">
        <v>1602</v>
      </c>
      <c r="B132" s="10" t="str">
        <f t="shared" si="1"/>
        <v>DNA</v>
      </c>
      <c r="C132" s="49" t="str">
        <f t="shared" si="2"/>
        <v>S16408DN1</v>
      </c>
      <c r="D132" s="6">
        <v>4.0</v>
      </c>
      <c r="E132" s="10" t="str">
        <f t="shared" si="3"/>
        <v>BDN4</v>
      </c>
      <c r="F132" s="6">
        <v>71.0</v>
      </c>
      <c r="G132" s="10" t="str">
        <f t="shared" si="4"/>
        <v>BDN4-71</v>
      </c>
      <c r="H132" s="15"/>
      <c r="I132" s="16" t="str">
        <f t="shared" si="5"/>
        <v>collected</v>
      </c>
      <c r="J132" s="16" t="str">
        <f t="shared" si="6"/>
        <v>N</v>
      </c>
      <c r="K132" s="16"/>
      <c r="L132" s="16"/>
    </row>
    <row r="133">
      <c r="A133" s="40" t="s">
        <v>1604</v>
      </c>
      <c r="B133" s="10" t="str">
        <f t="shared" si="1"/>
        <v>DNA</v>
      </c>
      <c r="C133" s="49" t="str">
        <f t="shared" si="2"/>
        <v>S16406DN1</v>
      </c>
      <c r="D133" s="6">
        <v>4.0</v>
      </c>
      <c r="E133" s="10" t="str">
        <f t="shared" si="3"/>
        <v>BDN4</v>
      </c>
      <c r="F133" s="6">
        <v>72.0</v>
      </c>
      <c r="G133" s="10" t="str">
        <f t="shared" si="4"/>
        <v>BDN4-72</v>
      </c>
      <c r="H133" s="16"/>
      <c r="I133" s="16" t="str">
        <f t="shared" si="5"/>
        <v>collected</v>
      </c>
      <c r="J133" s="16" t="str">
        <f t="shared" si="6"/>
        <v>N</v>
      </c>
      <c r="K133" s="16"/>
      <c r="L133" s="16"/>
    </row>
    <row r="134">
      <c r="A134" s="40" t="s">
        <v>1606</v>
      </c>
      <c r="B134" s="10" t="str">
        <f t="shared" si="1"/>
        <v>DNA</v>
      </c>
      <c r="C134" s="49" t="str">
        <f t="shared" si="2"/>
        <v>S17610DN1</v>
      </c>
      <c r="D134" s="6">
        <v>4.0</v>
      </c>
      <c r="E134" s="10" t="str">
        <f t="shared" si="3"/>
        <v>BDN4</v>
      </c>
      <c r="F134" s="6">
        <v>73.0</v>
      </c>
      <c r="G134" s="10" t="str">
        <f t="shared" si="4"/>
        <v>BDN4-73</v>
      </c>
      <c r="H134" s="15"/>
      <c r="I134" s="16" t="str">
        <f t="shared" si="5"/>
        <v>collected</v>
      </c>
      <c r="J134" s="16" t="str">
        <f t="shared" si="6"/>
        <v>N</v>
      </c>
      <c r="K134" s="16"/>
      <c r="L134" s="16"/>
    </row>
    <row r="135">
      <c r="A135" s="43" t="s">
        <v>1607</v>
      </c>
      <c r="B135" s="10" t="str">
        <f t="shared" si="1"/>
        <v>DNA</v>
      </c>
      <c r="C135" s="49" t="str">
        <f t="shared" si="2"/>
        <v>S17608DN1</v>
      </c>
      <c r="D135" s="6">
        <v>4.0</v>
      </c>
      <c r="E135" s="10" t="str">
        <f t="shared" si="3"/>
        <v>BDN4</v>
      </c>
      <c r="F135" s="6">
        <v>74.0</v>
      </c>
      <c r="G135" s="10" t="str">
        <f t="shared" si="4"/>
        <v>BDN4-74</v>
      </c>
      <c r="H135" s="16"/>
      <c r="I135" s="16" t="str">
        <f t="shared" si="5"/>
        <v>collected</v>
      </c>
      <c r="J135" s="16" t="str">
        <f t="shared" si="6"/>
        <v>N</v>
      </c>
      <c r="K135" s="16"/>
      <c r="L135" s="16"/>
    </row>
    <row r="136">
      <c r="A136" s="43" t="s">
        <v>1608</v>
      </c>
      <c r="B136" s="10" t="str">
        <f t="shared" si="1"/>
        <v>DNA</v>
      </c>
      <c r="C136" s="49" t="str">
        <f t="shared" si="2"/>
        <v>S17604DN1</v>
      </c>
      <c r="D136" s="6">
        <v>4.0</v>
      </c>
      <c r="E136" s="10" t="str">
        <f t="shared" si="3"/>
        <v>BDN4</v>
      </c>
      <c r="F136" s="6">
        <v>75.0</v>
      </c>
      <c r="G136" s="10" t="str">
        <f t="shared" si="4"/>
        <v>BDN4-75</v>
      </c>
      <c r="H136" s="6"/>
      <c r="I136" s="16" t="str">
        <f t="shared" si="5"/>
        <v>collected</v>
      </c>
      <c r="J136" s="16" t="str">
        <f t="shared" si="6"/>
        <v>N</v>
      </c>
      <c r="K136" s="16"/>
      <c r="L136" s="16"/>
    </row>
    <row r="137">
      <c r="A137" s="43" t="s">
        <v>1609</v>
      </c>
      <c r="B137" s="10" t="str">
        <f t="shared" si="1"/>
        <v>DNA</v>
      </c>
      <c r="C137" s="49" t="str">
        <f t="shared" si="2"/>
        <v>S17609DN1</v>
      </c>
      <c r="D137" s="6">
        <v>4.0</v>
      </c>
      <c r="E137" s="10" t="str">
        <f t="shared" si="3"/>
        <v>BDN4</v>
      </c>
      <c r="F137" s="6">
        <v>76.0</v>
      </c>
      <c r="G137" s="10" t="str">
        <f t="shared" si="4"/>
        <v>BDN4-76</v>
      </c>
      <c r="H137" s="16"/>
      <c r="I137" s="16" t="str">
        <f t="shared" si="5"/>
        <v>collected</v>
      </c>
      <c r="J137" s="16" t="str">
        <f t="shared" si="6"/>
        <v>N</v>
      </c>
      <c r="K137" s="16"/>
      <c r="L137" s="16"/>
    </row>
    <row r="138">
      <c r="A138" s="43" t="s">
        <v>1610</v>
      </c>
      <c r="B138" s="10" t="str">
        <f t="shared" si="1"/>
        <v>DNA</v>
      </c>
      <c r="C138" s="49" t="str">
        <f t="shared" si="2"/>
        <v>S17605DN1</v>
      </c>
      <c r="D138" s="6">
        <v>4.0</v>
      </c>
      <c r="E138" s="10" t="str">
        <f t="shared" si="3"/>
        <v>BDN4</v>
      </c>
      <c r="F138" s="6">
        <v>77.0</v>
      </c>
      <c r="G138" s="10" t="str">
        <f t="shared" si="4"/>
        <v>BDN4-77</v>
      </c>
      <c r="H138" s="16"/>
      <c r="I138" s="16" t="str">
        <f t="shared" si="5"/>
        <v>collected</v>
      </c>
      <c r="J138" s="16" t="str">
        <f t="shared" si="6"/>
        <v>N</v>
      </c>
      <c r="K138" s="16"/>
      <c r="L138" s="16"/>
    </row>
    <row r="139">
      <c r="A139" s="43" t="s">
        <v>1612</v>
      </c>
      <c r="B139" s="10" t="str">
        <f t="shared" si="1"/>
        <v>DNA</v>
      </c>
      <c r="C139" s="49" t="str">
        <f t="shared" si="2"/>
        <v>S17603DN1</v>
      </c>
      <c r="D139" s="6">
        <v>4.0</v>
      </c>
      <c r="E139" s="10" t="str">
        <f t="shared" si="3"/>
        <v>BDN4</v>
      </c>
      <c r="F139" s="6">
        <v>78.0</v>
      </c>
      <c r="G139" s="10" t="str">
        <f t="shared" si="4"/>
        <v>BDN4-78</v>
      </c>
      <c r="H139" s="16"/>
      <c r="I139" s="16" t="str">
        <f t="shared" si="5"/>
        <v>collected</v>
      </c>
      <c r="J139" s="16" t="str">
        <f t="shared" si="6"/>
        <v>N</v>
      </c>
      <c r="K139" s="16"/>
      <c r="L139" s="16"/>
    </row>
    <row r="140">
      <c r="A140" s="43" t="s">
        <v>1613</v>
      </c>
      <c r="B140" s="10" t="str">
        <f t="shared" si="1"/>
        <v>DNA</v>
      </c>
      <c r="C140" s="49" t="str">
        <f t="shared" si="2"/>
        <v>S17606DN1</v>
      </c>
      <c r="D140" s="6">
        <v>4.0</v>
      </c>
      <c r="E140" s="10" t="str">
        <f t="shared" si="3"/>
        <v>BDN4</v>
      </c>
      <c r="F140" s="6">
        <v>79.0</v>
      </c>
      <c r="G140" s="10" t="str">
        <f t="shared" si="4"/>
        <v>BDN4-79</v>
      </c>
      <c r="H140" s="16"/>
      <c r="I140" s="16" t="str">
        <f t="shared" si="5"/>
        <v>collected</v>
      </c>
      <c r="J140" s="16" t="str">
        <f t="shared" si="6"/>
        <v>N</v>
      </c>
      <c r="K140" s="16"/>
      <c r="L140" s="16"/>
    </row>
    <row r="141">
      <c r="A141" s="44" t="s">
        <v>1614</v>
      </c>
      <c r="B141" s="10" t="str">
        <f t="shared" si="1"/>
        <v>DNA</v>
      </c>
      <c r="C141" s="49" t="str">
        <f t="shared" si="2"/>
        <v>S17229DN1</v>
      </c>
      <c r="D141" s="6">
        <v>10.0</v>
      </c>
      <c r="E141" s="10" t="str">
        <f t="shared" si="3"/>
        <v>BDN10</v>
      </c>
      <c r="F141" s="6">
        <v>22.0</v>
      </c>
      <c r="G141" s="10" t="str">
        <f t="shared" si="4"/>
        <v>BDN10-22</v>
      </c>
      <c r="H141" s="16"/>
      <c r="I141" s="16" t="str">
        <f t="shared" si="5"/>
        <v>collected</v>
      </c>
      <c r="J141" s="16" t="str">
        <f t="shared" si="6"/>
        <v>N</v>
      </c>
      <c r="K141" s="16"/>
      <c r="L141" s="16"/>
    </row>
    <row r="142">
      <c r="A142" s="40" t="s">
        <v>1615</v>
      </c>
      <c r="B142" s="10" t="str">
        <f t="shared" si="1"/>
        <v>DNA</v>
      </c>
      <c r="C142" s="49" t="str">
        <f t="shared" si="2"/>
        <v>S16880DN1</v>
      </c>
      <c r="D142" s="6">
        <v>10.0</v>
      </c>
      <c r="E142" s="10" t="str">
        <f t="shared" si="3"/>
        <v>BDN10</v>
      </c>
      <c r="F142" s="6">
        <v>23.0</v>
      </c>
      <c r="G142" s="10" t="str">
        <f t="shared" si="4"/>
        <v>BDN10-23</v>
      </c>
      <c r="H142" s="16"/>
      <c r="I142" s="16" t="str">
        <f t="shared" si="5"/>
        <v>collected</v>
      </c>
      <c r="J142" s="16" t="str">
        <f t="shared" si="6"/>
        <v>N</v>
      </c>
      <c r="K142" s="16"/>
      <c r="L142" s="16"/>
    </row>
    <row r="143">
      <c r="A143" s="40" t="s">
        <v>1618</v>
      </c>
      <c r="B143" s="10" t="str">
        <f t="shared" si="1"/>
        <v>DNA</v>
      </c>
      <c r="C143" s="49" t="str">
        <f t="shared" si="2"/>
        <v>S16876DN1</v>
      </c>
      <c r="D143" s="6">
        <v>10.0</v>
      </c>
      <c r="E143" s="10" t="str">
        <f t="shared" si="3"/>
        <v>BDN10</v>
      </c>
      <c r="F143" s="6">
        <v>24.0</v>
      </c>
      <c r="G143" s="10" t="str">
        <f t="shared" si="4"/>
        <v>BDN10-24</v>
      </c>
      <c r="H143" s="16"/>
      <c r="I143" s="16" t="str">
        <f t="shared" si="5"/>
        <v>collected</v>
      </c>
      <c r="J143" s="16" t="str">
        <f t="shared" si="6"/>
        <v>N</v>
      </c>
      <c r="K143" s="16"/>
      <c r="L143" s="16"/>
    </row>
    <row r="144">
      <c r="A144" s="40" t="s">
        <v>1619</v>
      </c>
      <c r="B144" s="10" t="str">
        <f t="shared" si="1"/>
        <v>DNA</v>
      </c>
      <c r="C144" s="49" t="str">
        <f t="shared" si="2"/>
        <v>S16877DN1</v>
      </c>
      <c r="D144" s="6">
        <v>10.0</v>
      </c>
      <c r="E144" s="10" t="str">
        <f t="shared" si="3"/>
        <v>BDN10</v>
      </c>
      <c r="F144" s="6">
        <v>25.0</v>
      </c>
      <c r="G144" s="10" t="str">
        <f t="shared" si="4"/>
        <v>BDN10-25</v>
      </c>
      <c r="H144" s="6"/>
      <c r="I144" s="16" t="str">
        <f t="shared" si="5"/>
        <v>collected</v>
      </c>
      <c r="J144" s="16" t="str">
        <f t="shared" si="6"/>
        <v>N</v>
      </c>
      <c r="K144" s="16"/>
      <c r="L144" s="16"/>
    </row>
    <row r="145">
      <c r="A145" s="40" t="s">
        <v>1620</v>
      </c>
      <c r="B145" s="10" t="str">
        <f t="shared" si="1"/>
        <v>DNA</v>
      </c>
      <c r="C145" s="49" t="str">
        <f t="shared" si="2"/>
        <v>S16879DN1</v>
      </c>
      <c r="D145" s="6">
        <v>10.0</v>
      </c>
      <c r="E145" s="10" t="str">
        <f t="shared" si="3"/>
        <v>BDN10</v>
      </c>
      <c r="F145" s="6">
        <v>26.0</v>
      </c>
      <c r="G145" s="10" t="str">
        <f t="shared" si="4"/>
        <v>BDN10-26</v>
      </c>
      <c r="H145" s="16"/>
      <c r="I145" s="16" t="str">
        <f t="shared" si="5"/>
        <v>collected</v>
      </c>
      <c r="J145" s="16" t="str">
        <f t="shared" si="6"/>
        <v>N</v>
      </c>
      <c r="K145" s="16"/>
      <c r="L145" s="16"/>
    </row>
    <row r="146">
      <c r="A146" s="40" t="s">
        <v>1621</v>
      </c>
      <c r="B146" s="10" t="str">
        <f t="shared" si="1"/>
        <v>DNA</v>
      </c>
      <c r="C146" s="49" t="str">
        <f t="shared" si="2"/>
        <v>S16875DN1</v>
      </c>
      <c r="D146" s="6">
        <v>10.0</v>
      </c>
      <c r="E146" s="10" t="str">
        <f t="shared" si="3"/>
        <v>BDN10</v>
      </c>
      <c r="F146" s="6">
        <v>27.0</v>
      </c>
      <c r="G146" s="10" t="str">
        <f t="shared" si="4"/>
        <v>BDN10-27</v>
      </c>
      <c r="H146" s="16"/>
      <c r="I146" s="16" t="str">
        <f t="shared" si="5"/>
        <v>collected</v>
      </c>
      <c r="J146" s="16" t="str">
        <f t="shared" si="6"/>
        <v>N</v>
      </c>
      <c r="K146" s="16"/>
      <c r="L146" s="16"/>
    </row>
    <row r="147">
      <c r="A147" s="40" t="s">
        <v>1623</v>
      </c>
      <c r="B147" s="10" t="str">
        <f t="shared" si="1"/>
        <v>DNA</v>
      </c>
      <c r="C147" s="49" t="str">
        <f t="shared" si="2"/>
        <v>S16874DN1</v>
      </c>
      <c r="D147" s="6">
        <v>10.0</v>
      </c>
      <c r="E147" s="10" t="str">
        <f t="shared" si="3"/>
        <v>BDN10</v>
      </c>
      <c r="F147" s="6">
        <v>28.0</v>
      </c>
      <c r="G147" s="10" t="str">
        <f t="shared" si="4"/>
        <v>BDN10-28</v>
      </c>
      <c r="H147" s="16"/>
      <c r="I147" s="16" t="str">
        <f t="shared" si="5"/>
        <v>collected</v>
      </c>
      <c r="J147" s="16" t="str">
        <f t="shared" si="6"/>
        <v>N</v>
      </c>
      <c r="K147" s="16"/>
      <c r="L147" s="16"/>
    </row>
    <row r="148">
      <c r="A148" s="40" t="s">
        <v>1624</v>
      </c>
      <c r="B148" s="10" t="str">
        <f t="shared" si="1"/>
        <v>DNA</v>
      </c>
      <c r="C148" s="49" t="str">
        <f t="shared" si="2"/>
        <v>S16878DN1</v>
      </c>
      <c r="D148" s="6">
        <v>10.0</v>
      </c>
      <c r="E148" s="10" t="str">
        <f t="shared" si="3"/>
        <v>BDN10</v>
      </c>
      <c r="F148" s="6">
        <v>29.0</v>
      </c>
      <c r="G148" s="10" t="str">
        <f t="shared" si="4"/>
        <v>BDN10-29</v>
      </c>
      <c r="H148" s="6"/>
      <c r="I148" s="16" t="str">
        <f t="shared" si="5"/>
        <v>collected</v>
      </c>
      <c r="J148" s="16" t="str">
        <f t="shared" si="6"/>
        <v>N</v>
      </c>
      <c r="K148" s="16"/>
      <c r="L148" s="16"/>
    </row>
    <row r="149">
      <c r="A149" s="40" t="s">
        <v>1625</v>
      </c>
      <c r="B149" s="10" t="str">
        <f t="shared" si="1"/>
        <v>DNA</v>
      </c>
      <c r="C149" s="49" t="str">
        <f t="shared" si="2"/>
        <v>S16872DN1</v>
      </c>
      <c r="D149" s="6">
        <v>10.0</v>
      </c>
      <c r="E149" s="10" t="str">
        <f t="shared" si="3"/>
        <v>BDN10</v>
      </c>
      <c r="F149" s="6">
        <v>30.0</v>
      </c>
      <c r="G149" s="10" t="str">
        <f t="shared" si="4"/>
        <v>BDN10-30</v>
      </c>
      <c r="H149" s="16"/>
      <c r="I149" s="16" t="str">
        <f t="shared" si="5"/>
        <v>collected</v>
      </c>
      <c r="J149" s="16" t="str">
        <f t="shared" si="6"/>
        <v>N</v>
      </c>
      <c r="K149" s="16"/>
      <c r="L149" s="16"/>
    </row>
    <row r="150">
      <c r="A150" s="40" t="s">
        <v>1626</v>
      </c>
      <c r="B150" s="10" t="str">
        <f t="shared" si="1"/>
        <v>DNA</v>
      </c>
      <c r="C150" s="49" t="str">
        <f t="shared" si="2"/>
        <v>S16873DN1</v>
      </c>
      <c r="D150" s="6">
        <v>10.0</v>
      </c>
      <c r="E150" s="10" t="str">
        <f t="shared" si="3"/>
        <v>BDN10</v>
      </c>
      <c r="F150" s="6">
        <v>31.0</v>
      </c>
      <c r="G150" s="10" t="str">
        <f t="shared" si="4"/>
        <v>BDN10-31</v>
      </c>
      <c r="H150" s="16"/>
      <c r="I150" s="16" t="str">
        <f t="shared" si="5"/>
        <v>collected</v>
      </c>
      <c r="J150" s="16" t="str">
        <f t="shared" si="6"/>
        <v>N</v>
      </c>
      <c r="K150" s="16"/>
      <c r="L150" s="16"/>
    </row>
    <row r="151">
      <c r="A151" s="30" t="s">
        <v>1627</v>
      </c>
      <c r="B151" s="10" t="str">
        <f t="shared" si="1"/>
        <v>DNA</v>
      </c>
      <c r="C151" s="49" t="str">
        <f t="shared" si="2"/>
        <v>S16871DN1</v>
      </c>
      <c r="D151" s="6">
        <v>10.0</v>
      </c>
      <c r="E151" s="10" t="str">
        <f t="shared" si="3"/>
        <v>BDN10</v>
      </c>
      <c r="F151" s="6">
        <v>32.0</v>
      </c>
      <c r="G151" s="10" t="str">
        <f t="shared" si="4"/>
        <v>BDN10-32</v>
      </c>
      <c r="H151" s="16"/>
      <c r="I151" s="16" t="str">
        <f t="shared" si="5"/>
        <v>collected</v>
      </c>
      <c r="J151" s="16" t="str">
        <f t="shared" si="6"/>
        <v>N</v>
      </c>
      <c r="K151" s="16"/>
      <c r="L151" s="16"/>
    </row>
    <row r="152">
      <c r="A152" s="30" t="s">
        <v>1629</v>
      </c>
      <c r="B152" s="10" t="str">
        <f t="shared" si="1"/>
        <v>DNA</v>
      </c>
      <c r="C152" s="49" t="str">
        <f t="shared" si="2"/>
        <v>S17560DN1</v>
      </c>
      <c r="D152" s="6">
        <v>10.0</v>
      </c>
      <c r="E152" s="10" t="str">
        <f t="shared" si="3"/>
        <v>BDN10</v>
      </c>
      <c r="F152" s="6">
        <v>33.0</v>
      </c>
      <c r="G152" s="10" t="str">
        <f t="shared" si="4"/>
        <v>BDN10-33</v>
      </c>
      <c r="H152" s="16"/>
      <c r="I152" s="16" t="str">
        <f t="shared" si="5"/>
        <v>collected</v>
      </c>
      <c r="J152" s="16" t="str">
        <f t="shared" si="6"/>
        <v>N</v>
      </c>
      <c r="K152" s="16"/>
      <c r="L152" s="16"/>
    </row>
    <row r="153">
      <c r="A153" s="30" t="s">
        <v>1630</v>
      </c>
      <c r="B153" s="10" t="str">
        <f t="shared" si="1"/>
        <v>DNA</v>
      </c>
      <c r="C153" s="49" t="str">
        <f t="shared" si="2"/>
        <v>S17552DN1</v>
      </c>
      <c r="D153" s="6">
        <v>10.0</v>
      </c>
      <c r="E153" s="10" t="str">
        <f t="shared" si="3"/>
        <v>BDN10</v>
      </c>
      <c r="F153" s="6">
        <v>34.0</v>
      </c>
      <c r="G153" s="10" t="str">
        <f t="shared" si="4"/>
        <v>BDN10-34</v>
      </c>
      <c r="H153" s="16"/>
      <c r="I153" s="16" t="str">
        <f t="shared" si="5"/>
        <v>collected</v>
      </c>
      <c r="J153" s="16" t="str">
        <f t="shared" si="6"/>
        <v>N</v>
      </c>
      <c r="K153" s="16"/>
      <c r="L153" s="16"/>
    </row>
    <row r="154">
      <c r="A154" s="30" t="s">
        <v>1632</v>
      </c>
      <c r="B154" s="10" t="str">
        <f t="shared" si="1"/>
        <v>DNA</v>
      </c>
      <c r="C154" s="49" t="str">
        <f t="shared" si="2"/>
        <v>S17551DN1</v>
      </c>
      <c r="D154" s="6">
        <v>10.0</v>
      </c>
      <c r="E154" s="10" t="str">
        <f t="shared" si="3"/>
        <v>BDN10</v>
      </c>
      <c r="F154" s="6">
        <v>35.0</v>
      </c>
      <c r="G154" s="10" t="str">
        <f t="shared" si="4"/>
        <v>BDN10-35</v>
      </c>
      <c r="H154" s="16"/>
      <c r="I154" s="16" t="str">
        <f t="shared" si="5"/>
        <v>collected</v>
      </c>
      <c r="J154" s="16" t="str">
        <f t="shared" si="6"/>
        <v>N</v>
      </c>
      <c r="K154" s="16"/>
      <c r="L154" s="16"/>
    </row>
    <row r="155">
      <c r="A155" s="30" t="s">
        <v>1633</v>
      </c>
      <c r="B155" s="10" t="str">
        <f t="shared" si="1"/>
        <v>DNA</v>
      </c>
      <c r="C155" s="49" t="str">
        <f t="shared" si="2"/>
        <v>S17553DN1</v>
      </c>
      <c r="D155" s="6">
        <v>10.0</v>
      </c>
      <c r="E155" s="10" t="str">
        <f t="shared" si="3"/>
        <v>BDN10</v>
      </c>
      <c r="F155" s="6">
        <v>36.0</v>
      </c>
      <c r="G155" s="10" t="str">
        <f t="shared" si="4"/>
        <v>BDN10-36</v>
      </c>
      <c r="H155" s="16"/>
      <c r="I155" s="16" t="str">
        <f t="shared" si="5"/>
        <v>collected</v>
      </c>
      <c r="J155" s="16" t="str">
        <f t="shared" si="6"/>
        <v>N</v>
      </c>
      <c r="K155" s="16"/>
      <c r="L155" s="16"/>
    </row>
    <row r="156">
      <c r="A156" s="30" t="s">
        <v>1635</v>
      </c>
      <c r="B156" s="10" t="str">
        <f t="shared" si="1"/>
        <v>DNA</v>
      </c>
      <c r="C156" s="49" t="str">
        <f t="shared" si="2"/>
        <v>S17556DN1</v>
      </c>
      <c r="D156" s="6">
        <v>10.0</v>
      </c>
      <c r="E156" s="10" t="str">
        <f t="shared" si="3"/>
        <v>BDN10</v>
      </c>
      <c r="F156" s="6">
        <v>37.0</v>
      </c>
      <c r="G156" s="10" t="str">
        <f t="shared" si="4"/>
        <v>BDN10-37</v>
      </c>
      <c r="H156" s="16"/>
      <c r="I156" s="16" t="str">
        <f t="shared" si="5"/>
        <v>collected</v>
      </c>
      <c r="J156" s="16" t="str">
        <f t="shared" si="6"/>
        <v>N</v>
      </c>
      <c r="K156" s="16"/>
      <c r="L156" s="16"/>
    </row>
    <row r="157">
      <c r="A157" s="30" t="s">
        <v>1636</v>
      </c>
      <c r="B157" s="10" t="str">
        <f t="shared" si="1"/>
        <v>DNA</v>
      </c>
      <c r="C157" s="49" t="str">
        <f t="shared" si="2"/>
        <v>S17554DN1</v>
      </c>
      <c r="D157" s="6">
        <v>10.0</v>
      </c>
      <c r="E157" s="10" t="str">
        <f t="shared" si="3"/>
        <v>BDN10</v>
      </c>
      <c r="F157" s="6">
        <v>38.0</v>
      </c>
      <c r="G157" s="10" t="str">
        <f t="shared" si="4"/>
        <v>BDN10-38</v>
      </c>
      <c r="H157" s="16"/>
      <c r="I157" s="16" t="str">
        <f t="shared" si="5"/>
        <v>collected</v>
      </c>
      <c r="J157" s="16" t="str">
        <f t="shared" si="6"/>
        <v>N</v>
      </c>
      <c r="K157" s="16"/>
      <c r="L157" s="16"/>
    </row>
    <row r="158">
      <c r="A158" s="43" t="s">
        <v>1638</v>
      </c>
      <c r="B158" s="10" t="str">
        <f t="shared" si="1"/>
        <v>DNA</v>
      </c>
      <c r="C158" s="49" t="str">
        <f t="shared" si="2"/>
        <v>S17601DN1</v>
      </c>
      <c r="D158" s="6">
        <v>4.0</v>
      </c>
      <c r="E158" s="10" t="str">
        <f t="shared" si="3"/>
        <v>BDN4</v>
      </c>
      <c r="F158" s="6">
        <v>80.0</v>
      </c>
      <c r="G158" s="10" t="str">
        <f t="shared" si="4"/>
        <v>BDN4-80</v>
      </c>
      <c r="H158" s="16"/>
      <c r="I158" s="16" t="str">
        <f t="shared" si="5"/>
        <v>collected</v>
      </c>
      <c r="J158" s="16" t="str">
        <f t="shared" si="6"/>
        <v>N</v>
      </c>
      <c r="K158" s="16"/>
      <c r="L158" s="16"/>
    </row>
    <row r="159">
      <c r="A159" s="43" t="s">
        <v>1639</v>
      </c>
      <c r="B159" s="10" t="str">
        <f t="shared" si="1"/>
        <v>DNA</v>
      </c>
      <c r="C159" s="49" t="str">
        <f t="shared" si="2"/>
        <v>S17607DN1</v>
      </c>
      <c r="D159" s="6">
        <v>4.0</v>
      </c>
      <c r="E159" s="10" t="str">
        <f t="shared" si="3"/>
        <v>BDN4</v>
      </c>
      <c r="F159" s="6">
        <v>81.0</v>
      </c>
      <c r="G159" s="10" t="str">
        <f t="shared" si="4"/>
        <v>BDN4-81</v>
      </c>
      <c r="H159" s="16"/>
      <c r="I159" s="16" t="str">
        <f t="shared" si="5"/>
        <v>collected</v>
      </c>
      <c r="J159" s="16" t="str">
        <f t="shared" si="6"/>
        <v>N</v>
      </c>
      <c r="K159" s="16"/>
      <c r="L159" s="16"/>
    </row>
    <row r="160">
      <c r="A160" s="43" t="s">
        <v>1641</v>
      </c>
      <c r="B160" s="10" t="str">
        <f t="shared" si="1"/>
        <v>DNA</v>
      </c>
      <c r="C160" s="49" t="str">
        <f t="shared" si="2"/>
        <v>S17602DN1</v>
      </c>
      <c r="D160" s="6">
        <v>4.0</v>
      </c>
      <c r="E160" s="10" t="str">
        <f t="shared" si="3"/>
        <v>BDN4</v>
      </c>
      <c r="F160" s="6">
        <v>82.0</v>
      </c>
      <c r="G160" s="10" t="str">
        <f t="shared" si="4"/>
        <v>BDN4-82</v>
      </c>
      <c r="H160" s="16"/>
      <c r="I160" s="16" t="str">
        <f t="shared" si="5"/>
        <v>collected</v>
      </c>
      <c r="J160" s="16" t="str">
        <f t="shared" si="6"/>
        <v>N</v>
      </c>
      <c r="K160" s="16"/>
      <c r="L160" s="16"/>
    </row>
    <row r="161">
      <c r="A161" s="43" t="s">
        <v>1642</v>
      </c>
      <c r="B161" s="10" t="str">
        <f t="shared" si="1"/>
        <v>DNA</v>
      </c>
      <c r="C161" s="49" t="str">
        <f t="shared" si="2"/>
        <v>S16748DN1</v>
      </c>
      <c r="D161" s="6">
        <v>4.0</v>
      </c>
      <c r="E161" s="10" t="str">
        <f t="shared" si="3"/>
        <v>BDN4</v>
      </c>
      <c r="F161" s="6">
        <v>83.0</v>
      </c>
      <c r="G161" s="10" t="str">
        <f t="shared" si="4"/>
        <v>BDN4-83</v>
      </c>
      <c r="H161" s="16"/>
      <c r="I161" s="16" t="str">
        <f t="shared" si="5"/>
        <v>collected</v>
      </c>
      <c r="J161" s="16" t="str">
        <f t="shared" si="6"/>
        <v>N</v>
      </c>
      <c r="K161" s="16"/>
      <c r="L161" s="16"/>
    </row>
    <row r="162">
      <c r="A162" s="43" t="s">
        <v>1643</v>
      </c>
      <c r="B162" s="10" t="str">
        <f t="shared" si="1"/>
        <v>DNA</v>
      </c>
      <c r="C162" s="49" t="str">
        <f t="shared" si="2"/>
        <v>S16750DN1</v>
      </c>
      <c r="D162" s="6">
        <v>4.0</v>
      </c>
      <c r="E162" s="10" t="str">
        <f t="shared" si="3"/>
        <v>BDN4</v>
      </c>
      <c r="F162" s="6">
        <v>84.0</v>
      </c>
      <c r="G162" s="10" t="str">
        <f t="shared" si="4"/>
        <v>BDN4-84</v>
      </c>
      <c r="H162" s="16"/>
      <c r="I162" s="16" t="str">
        <f t="shared" si="5"/>
        <v>collected</v>
      </c>
      <c r="J162" s="16" t="str">
        <f t="shared" si="6"/>
        <v>N</v>
      </c>
      <c r="K162" s="16"/>
      <c r="L162" s="16"/>
    </row>
    <row r="163">
      <c r="A163" s="43" t="s">
        <v>1644</v>
      </c>
      <c r="B163" s="10" t="str">
        <f t="shared" si="1"/>
        <v>DNA</v>
      </c>
      <c r="C163" s="49" t="str">
        <f t="shared" si="2"/>
        <v>S16742DN1</v>
      </c>
      <c r="D163" s="6">
        <v>4.0</v>
      </c>
      <c r="E163" s="10" t="str">
        <f t="shared" si="3"/>
        <v>BDN4</v>
      </c>
      <c r="F163" s="6">
        <v>85.0</v>
      </c>
      <c r="G163" s="10" t="str">
        <f t="shared" si="4"/>
        <v>BDN4-85</v>
      </c>
      <c r="H163" s="16"/>
      <c r="I163" s="16" t="str">
        <f t="shared" si="5"/>
        <v>collected</v>
      </c>
      <c r="J163" s="16" t="str">
        <f t="shared" si="6"/>
        <v>N</v>
      </c>
      <c r="K163" s="16"/>
      <c r="L163" s="16"/>
    </row>
    <row r="164">
      <c r="A164" s="43" t="s">
        <v>1646</v>
      </c>
      <c r="B164" s="10" t="str">
        <f t="shared" si="1"/>
        <v>DNA</v>
      </c>
      <c r="C164" s="49" t="str">
        <f t="shared" si="2"/>
        <v>S16745DN1</v>
      </c>
      <c r="D164" s="6">
        <v>4.0</v>
      </c>
      <c r="E164" s="10" t="str">
        <f t="shared" si="3"/>
        <v>BDN4</v>
      </c>
      <c r="F164" s="6">
        <v>86.0</v>
      </c>
      <c r="G164" s="10" t="str">
        <f t="shared" si="4"/>
        <v>BDN4-86</v>
      </c>
      <c r="H164" s="16"/>
      <c r="I164" s="16" t="str">
        <f t="shared" si="5"/>
        <v>collected</v>
      </c>
      <c r="J164" s="16" t="str">
        <f t="shared" si="6"/>
        <v>N</v>
      </c>
      <c r="K164" s="16"/>
      <c r="L164" s="16"/>
    </row>
    <row r="165">
      <c r="A165" s="43" t="s">
        <v>1647</v>
      </c>
      <c r="B165" s="10" t="str">
        <f t="shared" si="1"/>
        <v>DNA</v>
      </c>
      <c r="C165" s="49" t="str">
        <f t="shared" si="2"/>
        <v>S16741DN1</v>
      </c>
      <c r="D165" s="6">
        <v>4.0</v>
      </c>
      <c r="E165" s="10" t="str">
        <f t="shared" si="3"/>
        <v>BDN4</v>
      </c>
      <c r="F165" s="6">
        <v>87.0</v>
      </c>
      <c r="G165" s="10" t="str">
        <f t="shared" si="4"/>
        <v>BDN4-87</v>
      </c>
      <c r="H165" s="16"/>
      <c r="I165" s="16" t="str">
        <f t="shared" si="5"/>
        <v>collected</v>
      </c>
      <c r="J165" s="16" t="str">
        <f t="shared" si="6"/>
        <v>N</v>
      </c>
      <c r="K165" s="16"/>
      <c r="L165" s="16"/>
    </row>
    <row r="166">
      <c r="A166" s="43" t="s">
        <v>1648</v>
      </c>
      <c r="B166" s="10" t="str">
        <f t="shared" si="1"/>
        <v>DNA</v>
      </c>
      <c r="C166" s="49" t="str">
        <f t="shared" si="2"/>
        <v>S16744DN1</v>
      </c>
      <c r="D166" s="6">
        <v>4.0</v>
      </c>
      <c r="E166" s="10" t="str">
        <f t="shared" si="3"/>
        <v>BDN4</v>
      </c>
      <c r="F166" s="6">
        <v>88.0</v>
      </c>
      <c r="G166" s="10" t="str">
        <f t="shared" si="4"/>
        <v>BDN4-88</v>
      </c>
      <c r="H166" s="16"/>
      <c r="I166" s="16" t="str">
        <f t="shared" si="5"/>
        <v>collected</v>
      </c>
      <c r="J166" s="16" t="str">
        <f t="shared" si="6"/>
        <v>N</v>
      </c>
      <c r="K166" s="16"/>
      <c r="L166" s="16"/>
    </row>
    <row r="167">
      <c r="A167" s="40" t="s">
        <v>1649</v>
      </c>
      <c r="B167" s="10" t="str">
        <f t="shared" si="1"/>
        <v>DNA</v>
      </c>
      <c r="C167" s="49" t="str">
        <f t="shared" si="2"/>
        <v>S16743DN1</v>
      </c>
      <c r="D167" s="6">
        <v>4.0</v>
      </c>
      <c r="E167" s="10" t="str">
        <f t="shared" si="3"/>
        <v>BDN4</v>
      </c>
      <c r="F167" s="6">
        <v>89.0</v>
      </c>
      <c r="G167" s="10" t="str">
        <f t="shared" si="4"/>
        <v>BDN4-89</v>
      </c>
      <c r="H167" s="16"/>
      <c r="I167" s="16" t="str">
        <f t="shared" si="5"/>
        <v>collected</v>
      </c>
      <c r="J167" s="16" t="str">
        <f t="shared" si="6"/>
        <v>N</v>
      </c>
      <c r="K167" s="16"/>
      <c r="L167" s="16"/>
    </row>
    <row r="168">
      <c r="A168" s="40" t="s">
        <v>1650</v>
      </c>
      <c r="B168" s="10" t="str">
        <f t="shared" si="1"/>
        <v>DNA</v>
      </c>
      <c r="C168" s="49" t="str">
        <f t="shared" si="2"/>
        <v>S16747DN1</v>
      </c>
      <c r="D168" s="6">
        <v>4.0</v>
      </c>
      <c r="E168" s="10" t="str">
        <f t="shared" si="3"/>
        <v>BDN4</v>
      </c>
      <c r="F168" s="6">
        <v>90.0</v>
      </c>
      <c r="G168" s="10" t="str">
        <f t="shared" si="4"/>
        <v>BDN4-90</v>
      </c>
      <c r="H168" s="16"/>
      <c r="I168" s="16" t="str">
        <f t="shared" si="5"/>
        <v>collected</v>
      </c>
      <c r="J168" s="16" t="str">
        <f t="shared" si="6"/>
        <v>N</v>
      </c>
      <c r="K168" s="16"/>
      <c r="L168" s="16"/>
    </row>
    <row r="169">
      <c r="A169" s="40" t="s">
        <v>1652</v>
      </c>
      <c r="B169" s="10" t="str">
        <f t="shared" si="1"/>
        <v>DNA</v>
      </c>
      <c r="C169" s="49" t="str">
        <f t="shared" si="2"/>
        <v>S16749DN1</v>
      </c>
      <c r="D169" s="6">
        <v>4.0</v>
      </c>
      <c r="E169" s="10" t="str">
        <f t="shared" si="3"/>
        <v>BDN4</v>
      </c>
      <c r="F169" s="6">
        <v>91.0</v>
      </c>
      <c r="G169" s="10" t="str">
        <f t="shared" si="4"/>
        <v>BDN4-91</v>
      </c>
      <c r="H169" s="16"/>
      <c r="I169" s="16" t="str">
        <f t="shared" si="5"/>
        <v>collected</v>
      </c>
      <c r="J169" s="16" t="str">
        <f t="shared" si="6"/>
        <v>N</v>
      </c>
      <c r="K169" s="16"/>
      <c r="L169" s="16"/>
    </row>
    <row r="170">
      <c r="A170" s="40" t="s">
        <v>1653</v>
      </c>
      <c r="B170" s="10" t="str">
        <f t="shared" si="1"/>
        <v>DNA</v>
      </c>
      <c r="C170" s="49" t="str">
        <f t="shared" si="2"/>
        <v>S16746DN1</v>
      </c>
      <c r="D170" s="6">
        <v>4.0</v>
      </c>
      <c r="E170" s="10" t="str">
        <f t="shared" si="3"/>
        <v>BDN4</v>
      </c>
      <c r="F170" s="6">
        <v>92.0</v>
      </c>
      <c r="G170" s="10" t="str">
        <f t="shared" si="4"/>
        <v>BDN4-92</v>
      </c>
      <c r="H170" s="16"/>
      <c r="I170" s="16" t="str">
        <f t="shared" si="5"/>
        <v>collected</v>
      </c>
      <c r="J170" s="16" t="str">
        <f t="shared" si="6"/>
        <v>N</v>
      </c>
      <c r="K170" s="16"/>
      <c r="L170" s="16"/>
    </row>
    <row r="171">
      <c r="A171" s="40" t="s">
        <v>1654</v>
      </c>
      <c r="B171" s="10" t="str">
        <f t="shared" si="1"/>
        <v>DNA</v>
      </c>
      <c r="C171" s="49" t="str">
        <f t="shared" si="2"/>
        <v>S16287DN1</v>
      </c>
      <c r="D171" s="6">
        <v>4.0</v>
      </c>
      <c r="E171" s="10" t="str">
        <f t="shared" si="3"/>
        <v>BDN4</v>
      </c>
      <c r="F171" s="6">
        <v>93.0</v>
      </c>
      <c r="G171" s="10" t="str">
        <f t="shared" si="4"/>
        <v>BDN4-93</v>
      </c>
      <c r="H171" s="16"/>
      <c r="I171" s="16" t="str">
        <f t="shared" si="5"/>
        <v>collected</v>
      </c>
      <c r="J171" s="16" t="str">
        <f t="shared" si="6"/>
        <v>N</v>
      </c>
      <c r="K171" s="16"/>
      <c r="L171" s="16"/>
    </row>
    <row r="172">
      <c r="A172" s="40" t="s">
        <v>1655</v>
      </c>
      <c r="B172" s="10" t="str">
        <f t="shared" si="1"/>
        <v>DNA</v>
      </c>
      <c r="C172" s="49" t="str">
        <f t="shared" si="2"/>
        <v>S16286DN1</v>
      </c>
      <c r="D172" s="6">
        <v>4.0</v>
      </c>
      <c r="E172" s="10" t="str">
        <f t="shared" si="3"/>
        <v>BDN4</v>
      </c>
      <c r="F172" s="6">
        <v>94.0</v>
      </c>
      <c r="G172" s="10" t="str">
        <f t="shared" si="4"/>
        <v>BDN4-94</v>
      </c>
      <c r="H172" s="16"/>
      <c r="I172" s="16" t="str">
        <f t="shared" si="5"/>
        <v>collected</v>
      </c>
      <c r="J172" s="16" t="str">
        <f t="shared" si="6"/>
        <v>N</v>
      </c>
      <c r="K172" s="16"/>
      <c r="L172" s="16"/>
    </row>
    <row r="173">
      <c r="A173" s="40" t="s">
        <v>1656</v>
      </c>
      <c r="B173" s="10" t="str">
        <f t="shared" si="1"/>
        <v>DNA</v>
      </c>
      <c r="C173" s="49" t="str">
        <f t="shared" si="2"/>
        <v>S16285DN1</v>
      </c>
      <c r="D173" s="6">
        <v>4.0</v>
      </c>
      <c r="E173" s="10" t="str">
        <f t="shared" si="3"/>
        <v>BDN4</v>
      </c>
      <c r="F173" s="6">
        <v>95.0</v>
      </c>
      <c r="G173" s="10" t="str">
        <f t="shared" si="4"/>
        <v>BDN4-95</v>
      </c>
      <c r="H173" s="16"/>
      <c r="I173" s="16" t="str">
        <f t="shared" si="5"/>
        <v>collected</v>
      </c>
      <c r="J173" s="16" t="str">
        <f t="shared" si="6"/>
        <v>N</v>
      </c>
      <c r="K173" s="16"/>
      <c r="L173" s="16"/>
    </row>
    <row r="174">
      <c r="A174" s="40" t="s">
        <v>1658</v>
      </c>
      <c r="B174" s="10" t="str">
        <f t="shared" si="1"/>
        <v>DNA</v>
      </c>
      <c r="C174" s="49" t="str">
        <f t="shared" si="2"/>
        <v>S16288DN1</v>
      </c>
      <c r="D174" s="6">
        <v>4.0</v>
      </c>
      <c r="E174" s="10" t="str">
        <f t="shared" si="3"/>
        <v>BDN4</v>
      </c>
      <c r="F174" s="6">
        <v>96.0</v>
      </c>
      <c r="G174" s="10" t="str">
        <f t="shared" si="4"/>
        <v>BDN4-96</v>
      </c>
      <c r="H174" s="16"/>
      <c r="I174" s="16" t="str">
        <f t="shared" si="5"/>
        <v>collected</v>
      </c>
      <c r="J174" s="16" t="str">
        <f t="shared" si="6"/>
        <v>N</v>
      </c>
      <c r="K174" s="16"/>
      <c r="L174" s="16"/>
    </row>
    <row r="175">
      <c r="A175" s="43" t="s">
        <v>1659</v>
      </c>
      <c r="B175" s="10" t="str">
        <f t="shared" si="1"/>
        <v>DNA</v>
      </c>
      <c r="C175" s="49" t="str">
        <f t="shared" si="2"/>
        <v>S16290DN1</v>
      </c>
      <c r="D175" s="6">
        <v>4.0</v>
      </c>
      <c r="E175" s="10" t="str">
        <f t="shared" si="3"/>
        <v>BDN4</v>
      </c>
      <c r="F175" s="6">
        <v>97.0</v>
      </c>
      <c r="G175" s="10" t="str">
        <f t="shared" si="4"/>
        <v>BDN4-97</v>
      </c>
      <c r="H175" s="16"/>
      <c r="I175" s="16" t="str">
        <f t="shared" si="5"/>
        <v>collected</v>
      </c>
      <c r="J175" s="16" t="str">
        <f t="shared" si="6"/>
        <v>N</v>
      </c>
      <c r="K175" s="16"/>
      <c r="L175" s="16"/>
    </row>
    <row r="176">
      <c r="A176" s="43" t="s">
        <v>1660</v>
      </c>
      <c r="B176" s="10" t="str">
        <f t="shared" si="1"/>
        <v>DNA</v>
      </c>
      <c r="C176" s="49" t="str">
        <f t="shared" si="2"/>
        <v>S16281DN1</v>
      </c>
      <c r="D176" s="6">
        <v>4.0</v>
      </c>
      <c r="E176" s="10" t="str">
        <f t="shared" si="3"/>
        <v>BDN4</v>
      </c>
      <c r="F176" s="6">
        <v>98.0</v>
      </c>
      <c r="G176" s="10" t="str">
        <f t="shared" si="4"/>
        <v>BDN4-98</v>
      </c>
      <c r="H176" s="16"/>
      <c r="I176" s="16" t="str">
        <f t="shared" si="5"/>
        <v>collected</v>
      </c>
      <c r="J176" s="16" t="str">
        <f t="shared" si="6"/>
        <v>N</v>
      </c>
      <c r="K176" s="16"/>
      <c r="L176" s="16"/>
    </row>
    <row r="177">
      <c r="A177" s="43" t="s">
        <v>1661</v>
      </c>
      <c r="B177" s="10" t="str">
        <f t="shared" si="1"/>
        <v>DNA</v>
      </c>
      <c r="C177" s="49" t="str">
        <f t="shared" si="2"/>
        <v>S16284DN1</v>
      </c>
      <c r="D177" s="6">
        <v>4.0</v>
      </c>
      <c r="E177" s="10" t="str">
        <f t="shared" si="3"/>
        <v>BDN4</v>
      </c>
      <c r="F177" s="6">
        <v>99.0</v>
      </c>
      <c r="G177" s="10" t="str">
        <f t="shared" si="4"/>
        <v>BDN4-99</v>
      </c>
      <c r="H177" s="16"/>
      <c r="I177" s="16" t="str">
        <f t="shared" si="5"/>
        <v>collected</v>
      </c>
      <c r="J177" s="16" t="str">
        <f t="shared" si="6"/>
        <v>N</v>
      </c>
      <c r="K177" s="16"/>
      <c r="L177" s="16"/>
    </row>
    <row r="178">
      <c r="A178" s="43" t="s">
        <v>1663</v>
      </c>
      <c r="B178" s="10" t="str">
        <f t="shared" si="1"/>
        <v>DNA</v>
      </c>
      <c r="C178" s="49" t="str">
        <f t="shared" si="2"/>
        <v>S16282DN1</v>
      </c>
      <c r="D178" s="6">
        <v>4.0</v>
      </c>
      <c r="E178" s="10" t="str">
        <f t="shared" si="3"/>
        <v>BDN4</v>
      </c>
      <c r="F178" s="6">
        <v>100.0</v>
      </c>
      <c r="G178" s="10" t="str">
        <f t="shared" si="4"/>
        <v>BDN4-100</v>
      </c>
      <c r="H178" s="16"/>
      <c r="I178" s="16" t="str">
        <f t="shared" si="5"/>
        <v>collected</v>
      </c>
      <c r="J178" s="16" t="str">
        <f t="shared" si="6"/>
        <v>N</v>
      </c>
      <c r="K178" s="16"/>
      <c r="L178" s="16"/>
    </row>
    <row r="179">
      <c r="A179" s="43" t="s">
        <v>1664</v>
      </c>
      <c r="B179" s="10" t="str">
        <f t="shared" si="1"/>
        <v>DNA</v>
      </c>
      <c r="C179" s="49" t="str">
        <f t="shared" si="2"/>
        <v>S16283DN1</v>
      </c>
      <c r="D179" s="6">
        <v>9.0</v>
      </c>
      <c r="E179" s="10" t="str">
        <f t="shared" si="3"/>
        <v>BDN9</v>
      </c>
      <c r="F179" s="6">
        <v>1.0</v>
      </c>
      <c r="G179" s="10" t="str">
        <f t="shared" si="4"/>
        <v>BDN9-1</v>
      </c>
      <c r="I179" s="16" t="str">
        <f t="shared" si="5"/>
        <v>collected</v>
      </c>
      <c r="J179" s="16" t="str">
        <f t="shared" si="6"/>
        <v>N</v>
      </c>
      <c r="K179" s="16"/>
      <c r="L179" s="16"/>
    </row>
    <row r="180">
      <c r="A180" s="43" t="s">
        <v>1665</v>
      </c>
      <c r="B180" s="10" t="str">
        <f t="shared" si="1"/>
        <v>DNA</v>
      </c>
      <c r="C180" s="49" t="str">
        <f t="shared" si="2"/>
        <v>S16289DN1</v>
      </c>
      <c r="D180" s="6">
        <v>9.0</v>
      </c>
      <c r="E180" s="10" t="str">
        <f t="shared" si="3"/>
        <v>BDN9</v>
      </c>
      <c r="F180" s="6">
        <v>2.0</v>
      </c>
      <c r="G180" s="10" t="str">
        <f t="shared" si="4"/>
        <v>BDN9-2</v>
      </c>
      <c r="I180" s="16" t="str">
        <f t="shared" si="5"/>
        <v>collected</v>
      </c>
      <c r="J180" s="16" t="str">
        <f t="shared" si="6"/>
        <v>N</v>
      </c>
      <c r="K180" s="16"/>
      <c r="L180" s="16"/>
    </row>
    <row r="181">
      <c r="A181" s="43" t="s">
        <v>1666</v>
      </c>
      <c r="B181" s="10" t="str">
        <f t="shared" si="1"/>
        <v>DNA</v>
      </c>
      <c r="C181" s="49" t="str">
        <f t="shared" si="2"/>
        <v>S16615DN1</v>
      </c>
      <c r="D181" s="6">
        <v>9.0</v>
      </c>
      <c r="E181" s="10" t="str">
        <f t="shared" si="3"/>
        <v>BDN9</v>
      </c>
      <c r="F181" s="6">
        <v>3.0</v>
      </c>
      <c r="G181" s="10" t="str">
        <f t="shared" si="4"/>
        <v>BDN9-3</v>
      </c>
      <c r="H181" s="16"/>
      <c r="I181" s="16" t="str">
        <f t="shared" si="5"/>
        <v>collected</v>
      </c>
      <c r="J181" s="16" t="str">
        <f t="shared" si="6"/>
        <v>N</v>
      </c>
      <c r="K181" s="16"/>
      <c r="L181" s="16"/>
    </row>
    <row r="182">
      <c r="A182" s="43" t="s">
        <v>1667</v>
      </c>
      <c r="B182" s="10" t="str">
        <f t="shared" si="1"/>
        <v>DNA</v>
      </c>
      <c r="C182" s="49" t="str">
        <f t="shared" si="2"/>
        <v>S16620DN1</v>
      </c>
      <c r="D182" s="6">
        <v>9.0</v>
      </c>
      <c r="E182" s="10" t="str">
        <f t="shared" si="3"/>
        <v>BDN9</v>
      </c>
      <c r="F182" s="6">
        <v>4.0</v>
      </c>
      <c r="G182" s="10" t="str">
        <f t="shared" si="4"/>
        <v>BDN9-4</v>
      </c>
      <c r="H182" s="16"/>
      <c r="I182" s="16" t="str">
        <f t="shared" si="5"/>
        <v>collected</v>
      </c>
      <c r="J182" s="16" t="str">
        <f t="shared" si="6"/>
        <v>N</v>
      </c>
      <c r="K182" s="16"/>
      <c r="L182" s="16"/>
    </row>
    <row r="183">
      <c r="A183" s="43" t="s">
        <v>1669</v>
      </c>
      <c r="B183" s="10" t="str">
        <f t="shared" si="1"/>
        <v>DNA</v>
      </c>
      <c r="C183" s="49" t="str">
        <f t="shared" si="2"/>
        <v>S16614DN1</v>
      </c>
      <c r="D183" s="6">
        <v>9.0</v>
      </c>
      <c r="E183" s="10" t="str">
        <f t="shared" si="3"/>
        <v>BDN9</v>
      </c>
      <c r="F183" s="6">
        <v>5.0</v>
      </c>
      <c r="G183" s="10" t="str">
        <f t="shared" si="4"/>
        <v>BDN9-5</v>
      </c>
      <c r="H183" s="16"/>
      <c r="I183" s="16" t="str">
        <f t="shared" si="5"/>
        <v>collected</v>
      </c>
      <c r="J183" s="16" t="str">
        <f t="shared" si="6"/>
        <v>N</v>
      </c>
      <c r="K183" s="16"/>
      <c r="L183" s="16"/>
    </row>
    <row r="184">
      <c r="A184" s="43" t="s">
        <v>1670</v>
      </c>
      <c r="B184" s="10" t="str">
        <f t="shared" si="1"/>
        <v>DNA</v>
      </c>
      <c r="C184" s="49" t="str">
        <f t="shared" si="2"/>
        <v>S16613DN1</v>
      </c>
      <c r="D184" s="6">
        <v>9.0</v>
      </c>
      <c r="E184" s="10" t="str">
        <f t="shared" si="3"/>
        <v>BDN9</v>
      </c>
      <c r="F184" s="6">
        <v>6.0</v>
      </c>
      <c r="G184" s="10" t="str">
        <f t="shared" si="4"/>
        <v>BDN9-6</v>
      </c>
      <c r="H184" s="16"/>
      <c r="I184" s="16" t="str">
        <f t="shared" si="5"/>
        <v>collected</v>
      </c>
      <c r="J184" s="16" t="str">
        <f t="shared" si="6"/>
        <v>N</v>
      </c>
      <c r="K184" s="16"/>
      <c r="L184" s="16"/>
    </row>
    <row r="185">
      <c r="A185" s="43" t="s">
        <v>1671</v>
      </c>
      <c r="B185" s="10" t="str">
        <f t="shared" si="1"/>
        <v>DNA</v>
      </c>
      <c r="C185" s="49" t="str">
        <f t="shared" si="2"/>
        <v>S16616DN1</v>
      </c>
      <c r="D185" s="6">
        <v>9.0</v>
      </c>
      <c r="E185" s="10" t="str">
        <f t="shared" si="3"/>
        <v>BDN9</v>
      </c>
      <c r="F185" s="6">
        <v>7.0</v>
      </c>
      <c r="G185" s="10" t="str">
        <f t="shared" si="4"/>
        <v>BDN9-7</v>
      </c>
      <c r="H185" s="16"/>
      <c r="I185" s="16" t="str">
        <f t="shared" si="5"/>
        <v>collected</v>
      </c>
      <c r="J185" s="16" t="str">
        <f t="shared" si="6"/>
        <v>N</v>
      </c>
      <c r="K185" s="16"/>
      <c r="L185" s="16"/>
    </row>
    <row r="186">
      <c r="A186" s="43" t="s">
        <v>1672</v>
      </c>
      <c r="B186" s="10" t="str">
        <f t="shared" si="1"/>
        <v>DNA</v>
      </c>
      <c r="C186" s="49" t="str">
        <f t="shared" si="2"/>
        <v>S16618DN1</v>
      </c>
      <c r="D186" s="6">
        <v>9.0</v>
      </c>
      <c r="E186" s="10" t="str">
        <f t="shared" si="3"/>
        <v>BDN9</v>
      </c>
      <c r="F186" s="6">
        <v>8.0</v>
      </c>
      <c r="G186" s="10" t="str">
        <f t="shared" si="4"/>
        <v>BDN9-8</v>
      </c>
      <c r="H186" s="16"/>
      <c r="I186" s="16" t="str">
        <f t="shared" si="5"/>
        <v>collected</v>
      </c>
      <c r="J186" s="16" t="str">
        <f t="shared" si="6"/>
        <v>N</v>
      </c>
      <c r="K186" s="16"/>
      <c r="L186" s="16"/>
    </row>
    <row r="187">
      <c r="A187" s="43" t="s">
        <v>1674</v>
      </c>
      <c r="B187" s="10" t="str">
        <f t="shared" si="1"/>
        <v>DNA</v>
      </c>
      <c r="C187" s="49" t="str">
        <f t="shared" si="2"/>
        <v>S16612DN1</v>
      </c>
      <c r="D187" s="6">
        <v>9.0</v>
      </c>
      <c r="E187" s="10" t="str">
        <f t="shared" si="3"/>
        <v>BDN9</v>
      </c>
      <c r="F187" s="6">
        <v>9.0</v>
      </c>
      <c r="G187" s="10" t="str">
        <f t="shared" si="4"/>
        <v>BDN9-9</v>
      </c>
      <c r="H187" s="16"/>
      <c r="I187" s="16" t="str">
        <f t="shared" si="5"/>
        <v>collected</v>
      </c>
      <c r="J187" s="16" t="str">
        <f t="shared" si="6"/>
        <v>N</v>
      </c>
      <c r="K187" s="16"/>
      <c r="L187" s="16"/>
    </row>
    <row r="188">
      <c r="A188" s="43" t="s">
        <v>1675</v>
      </c>
      <c r="B188" s="10" t="str">
        <f t="shared" si="1"/>
        <v>DNA</v>
      </c>
      <c r="C188" s="49" t="str">
        <f t="shared" si="2"/>
        <v>S16617DN1</v>
      </c>
      <c r="D188" s="6">
        <v>9.0</v>
      </c>
      <c r="E188" s="10" t="str">
        <f t="shared" si="3"/>
        <v>BDN9</v>
      </c>
      <c r="F188" s="6">
        <v>10.0</v>
      </c>
      <c r="G188" s="10" t="str">
        <f t="shared" si="4"/>
        <v>BDN9-10</v>
      </c>
      <c r="H188" s="16"/>
      <c r="I188" s="16" t="str">
        <f t="shared" si="5"/>
        <v>collected</v>
      </c>
      <c r="J188" s="16" t="str">
        <f t="shared" si="6"/>
        <v>N</v>
      </c>
      <c r="K188" s="16"/>
      <c r="L188" s="16"/>
    </row>
    <row r="189">
      <c r="A189" s="43" t="s">
        <v>1676</v>
      </c>
      <c r="B189" s="10" t="str">
        <f t="shared" si="1"/>
        <v>DNA</v>
      </c>
      <c r="C189" s="49" t="str">
        <f t="shared" si="2"/>
        <v>S16611DN1</v>
      </c>
      <c r="D189" s="6">
        <v>9.0</v>
      </c>
      <c r="E189" s="10" t="str">
        <f t="shared" si="3"/>
        <v>BDN9</v>
      </c>
      <c r="F189" s="6">
        <v>11.0</v>
      </c>
      <c r="G189" s="10" t="str">
        <f t="shared" si="4"/>
        <v>BDN9-11</v>
      </c>
      <c r="H189" s="16"/>
      <c r="I189" s="16" t="str">
        <f t="shared" si="5"/>
        <v>collected</v>
      </c>
      <c r="J189" s="16" t="str">
        <f t="shared" si="6"/>
        <v>N</v>
      </c>
      <c r="K189" s="16"/>
      <c r="L189" s="16"/>
    </row>
    <row r="190">
      <c r="A190" s="43" t="s">
        <v>1677</v>
      </c>
      <c r="B190" s="10" t="str">
        <f t="shared" si="1"/>
        <v>DNA</v>
      </c>
      <c r="C190" s="49" t="str">
        <f t="shared" si="2"/>
        <v>S16619DN1</v>
      </c>
      <c r="D190" s="6">
        <v>9.0</v>
      </c>
      <c r="E190" s="10" t="str">
        <f t="shared" si="3"/>
        <v>BDN9</v>
      </c>
      <c r="F190" s="6">
        <v>12.0</v>
      </c>
      <c r="G190" s="10" t="str">
        <f t="shared" si="4"/>
        <v>BDN9-12</v>
      </c>
      <c r="H190" s="16"/>
      <c r="I190" s="16" t="str">
        <f t="shared" si="5"/>
        <v>collected</v>
      </c>
      <c r="J190" s="16" t="str">
        <f t="shared" si="6"/>
        <v>N</v>
      </c>
      <c r="K190" s="16"/>
      <c r="L190" s="16"/>
    </row>
    <row r="191">
      <c r="A191" s="43" t="s">
        <v>1678</v>
      </c>
      <c r="B191" s="10" t="str">
        <f t="shared" si="1"/>
        <v>DNA</v>
      </c>
      <c r="C191" s="49" t="str">
        <f t="shared" si="2"/>
        <v>S16059DN1</v>
      </c>
      <c r="D191" s="6">
        <v>9.0</v>
      </c>
      <c r="E191" s="10" t="str">
        <f t="shared" si="3"/>
        <v>BDN9</v>
      </c>
      <c r="F191" s="6">
        <v>13.0</v>
      </c>
      <c r="G191" s="10" t="str">
        <f t="shared" si="4"/>
        <v>BDN9-13</v>
      </c>
      <c r="H191" s="16"/>
      <c r="I191" s="16" t="str">
        <f t="shared" si="5"/>
        <v>collected</v>
      </c>
      <c r="J191" s="16" t="str">
        <f t="shared" si="6"/>
        <v>N</v>
      </c>
      <c r="K191" s="16"/>
      <c r="L191" s="16"/>
    </row>
    <row r="192">
      <c r="A192" s="43" t="s">
        <v>1680</v>
      </c>
      <c r="B192" s="10" t="str">
        <f t="shared" si="1"/>
        <v>DNA</v>
      </c>
      <c r="C192" s="49" t="str">
        <f t="shared" si="2"/>
        <v>S16057DN1</v>
      </c>
      <c r="D192" s="6">
        <v>9.0</v>
      </c>
      <c r="E192" s="10" t="str">
        <f t="shared" si="3"/>
        <v>BDN9</v>
      </c>
      <c r="F192" s="6">
        <v>14.0</v>
      </c>
      <c r="G192" s="10" t="str">
        <f t="shared" si="4"/>
        <v>BDN9-14</v>
      </c>
      <c r="H192" s="16"/>
      <c r="I192" s="16" t="str">
        <f t="shared" si="5"/>
        <v>collected</v>
      </c>
      <c r="J192" s="16" t="str">
        <f t="shared" si="6"/>
        <v>N</v>
      </c>
      <c r="K192" s="16"/>
      <c r="L192" s="16"/>
    </row>
    <row r="193">
      <c r="A193" s="43" t="s">
        <v>1681</v>
      </c>
      <c r="B193" s="10" t="str">
        <f t="shared" si="1"/>
        <v>DNA</v>
      </c>
      <c r="C193" s="49" t="str">
        <f t="shared" si="2"/>
        <v>S16058DN1</v>
      </c>
      <c r="D193" s="6">
        <v>9.0</v>
      </c>
      <c r="E193" s="10" t="str">
        <f t="shared" si="3"/>
        <v>BDN9</v>
      </c>
      <c r="F193" s="6">
        <v>15.0</v>
      </c>
      <c r="G193" s="10" t="str">
        <f t="shared" si="4"/>
        <v>BDN9-15</v>
      </c>
      <c r="H193" s="16"/>
      <c r="I193" s="16" t="str">
        <f t="shared" si="5"/>
        <v>collected</v>
      </c>
      <c r="J193" s="16" t="str">
        <f t="shared" si="6"/>
        <v>N</v>
      </c>
      <c r="K193" s="16"/>
      <c r="L193" s="16"/>
    </row>
    <row r="194">
      <c r="A194" s="43" t="s">
        <v>1682</v>
      </c>
      <c r="B194" s="10" t="str">
        <f t="shared" si="1"/>
        <v>DNA</v>
      </c>
      <c r="C194" s="49" t="str">
        <f t="shared" si="2"/>
        <v>S16052DN1</v>
      </c>
      <c r="D194" s="6">
        <v>9.0</v>
      </c>
      <c r="E194" s="10" t="str">
        <f t="shared" si="3"/>
        <v>BDN9</v>
      </c>
      <c r="F194" s="6">
        <v>16.0</v>
      </c>
      <c r="G194" s="10" t="str">
        <f t="shared" si="4"/>
        <v>BDN9-16</v>
      </c>
      <c r="H194" s="16"/>
      <c r="I194" s="16" t="str">
        <f t="shared" si="5"/>
        <v>collected</v>
      </c>
      <c r="J194" s="16" t="str">
        <f t="shared" si="6"/>
        <v>N</v>
      </c>
      <c r="K194" s="16"/>
      <c r="L194" s="16"/>
    </row>
    <row r="195">
      <c r="A195" s="43" t="s">
        <v>1683</v>
      </c>
      <c r="B195" s="10" t="str">
        <f t="shared" si="1"/>
        <v>DNA</v>
      </c>
      <c r="C195" s="49" t="str">
        <f t="shared" si="2"/>
        <v>S16060DN1</v>
      </c>
      <c r="D195" s="6">
        <v>9.0</v>
      </c>
      <c r="E195" s="10" t="str">
        <f t="shared" si="3"/>
        <v>BDN9</v>
      </c>
      <c r="F195" s="6">
        <v>17.0</v>
      </c>
      <c r="G195" s="10" t="str">
        <f t="shared" si="4"/>
        <v>BDN9-17</v>
      </c>
      <c r="H195" s="16"/>
      <c r="I195" s="16" t="str">
        <f t="shared" si="5"/>
        <v>collected</v>
      </c>
      <c r="J195" s="16" t="str">
        <f t="shared" si="6"/>
        <v>N</v>
      </c>
      <c r="K195" s="16"/>
      <c r="L195" s="16"/>
    </row>
    <row r="196">
      <c r="A196" s="43" t="s">
        <v>1684</v>
      </c>
      <c r="B196" s="10" t="str">
        <f t="shared" si="1"/>
        <v>DNA</v>
      </c>
      <c r="C196" s="49" t="str">
        <f t="shared" si="2"/>
        <v>S16055DN1</v>
      </c>
      <c r="D196" s="6">
        <v>9.0</v>
      </c>
      <c r="E196" s="10" t="str">
        <f t="shared" si="3"/>
        <v>BDN9</v>
      </c>
      <c r="F196" s="6">
        <v>18.0</v>
      </c>
      <c r="G196" s="10" t="str">
        <f t="shared" si="4"/>
        <v>BDN9-18</v>
      </c>
      <c r="H196" s="16"/>
      <c r="I196" s="16" t="str">
        <f t="shared" si="5"/>
        <v>collected</v>
      </c>
      <c r="J196" s="16" t="str">
        <f t="shared" si="6"/>
        <v>N</v>
      </c>
      <c r="K196" s="16"/>
      <c r="L196" s="16"/>
    </row>
    <row r="197">
      <c r="A197" s="43" t="s">
        <v>1686</v>
      </c>
      <c r="B197" s="10" t="str">
        <f t="shared" si="1"/>
        <v>DNA</v>
      </c>
      <c r="C197" s="49" t="str">
        <f t="shared" si="2"/>
        <v>S16056DN1</v>
      </c>
      <c r="D197" s="6">
        <v>9.0</v>
      </c>
      <c r="E197" s="10" t="str">
        <f t="shared" si="3"/>
        <v>BDN9</v>
      </c>
      <c r="F197" s="6">
        <v>19.0</v>
      </c>
      <c r="G197" s="10" t="str">
        <f t="shared" si="4"/>
        <v>BDN9-19</v>
      </c>
      <c r="H197" s="16"/>
      <c r="I197" s="16" t="str">
        <f t="shared" si="5"/>
        <v>collected</v>
      </c>
      <c r="J197" s="16" t="str">
        <f t="shared" si="6"/>
        <v>N</v>
      </c>
      <c r="K197" s="16"/>
      <c r="L197" s="16"/>
    </row>
    <row r="198">
      <c r="A198" s="43" t="s">
        <v>1687</v>
      </c>
      <c r="B198" s="10" t="str">
        <f t="shared" si="1"/>
        <v>DNA</v>
      </c>
      <c r="C198" s="49" t="str">
        <f t="shared" si="2"/>
        <v>S16053DN1</v>
      </c>
      <c r="D198" s="6">
        <v>9.0</v>
      </c>
      <c r="E198" s="10" t="str">
        <f t="shared" si="3"/>
        <v>BDN9</v>
      </c>
      <c r="F198" s="6">
        <v>20.0</v>
      </c>
      <c r="G198" s="10" t="str">
        <f t="shared" si="4"/>
        <v>BDN9-20</v>
      </c>
      <c r="H198" s="6"/>
      <c r="I198" s="16" t="str">
        <f t="shared" si="5"/>
        <v>collected</v>
      </c>
      <c r="J198" s="16" t="str">
        <f t="shared" si="6"/>
        <v>N</v>
      </c>
      <c r="K198" s="16"/>
      <c r="L198" s="16"/>
    </row>
    <row r="199">
      <c r="A199" s="43" t="s">
        <v>1688</v>
      </c>
      <c r="B199" s="10" t="str">
        <f t="shared" si="1"/>
        <v>DNA</v>
      </c>
      <c r="C199" s="49" t="str">
        <f t="shared" si="2"/>
        <v>S16054DN1</v>
      </c>
      <c r="D199" s="6">
        <v>9.0</v>
      </c>
      <c r="E199" s="10" t="str">
        <f t="shared" si="3"/>
        <v>BDN9</v>
      </c>
      <c r="F199" s="6">
        <v>21.0</v>
      </c>
      <c r="G199" s="10" t="str">
        <f t="shared" si="4"/>
        <v>BDN9-21</v>
      </c>
      <c r="H199" s="16"/>
      <c r="I199" s="16" t="str">
        <f t="shared" si="5"/>
        <v>collected</v>
      </c>
      <c r="J199" s="16" t="str">
        <f t="shared" si="6"/>
        <v>N</v>
      </c>
      <c r="K199" s="16"/>
      <c r="L199" s="16"/>
    </row>
    <row r="200">
      <c r="A200" s="43" t="s">
        <v>1690</v>
      </c>
      <c r="B200" s="10" t="str">
        <f t="shared" si="1"/>
        <v>DNA</v>
      </c>
      <c r="C200" s="49" t="str">
        <f t="shared" si="2"/>
        <v>S16051DN1</v>
      </c>
      <c r="D200" s="6">
        <v>9.0</v>
      </c>
      <c r="E200" s="10" t="str">
        <f t="shared" si="3"/>
        <v>BDN9</v>
      </c>
      <c r="F200" s="6">
        <v>22.0</v>
      </c>
      <c r="G200" s="10" t="str">
        <f t="shared" si="4"/>
        <v>BDN9-22</v>
      </c>
      <c r="H200" s="16"/>
      <c r="I200" s="16" t="str">
        <f t="shared" si="5"/>
        <v>collected</v>
      </c>
      <c r="J200" s="16" t="str">
        <f t="shared" si="6"/>
        <v>N</v>
      </c>
      <c r="K200" s="16"/>
      <c r="L200" s="16"/>
    </row>
    <row r="201">
      <c r="A201" s="43" t="s">
        <v>1691</v>
      </c>
      <c r="B201" s="10" t="str">
        <f t="shared" si="1"/>
        <v>DNA</v>
      </c>
      <c r="C201" s="49" t="str">
        <f t="shared" si="2"/>
        <v>S16205DN1</v>
      </c>
      <c r="D201" s="6">
        <v>9.0</v>
      </c>
      <c r="E201" s="10" t="str">
        <f t="shared" si="3"/>
        <v>BDN9</v>
      </c>
      <c r="F201" s="6">
        <v>23.0</v>
      </c>
      <c r="G201" s="10" t="str">
        <f t="shared" si="4"/>
        <v>BDN9-23</v>
      </c>
      <c r="H201" s="16"/>
      <c r="I201" s="16" t="str">
        <f t="shared" si="5"/>
        <v>collected</v>
      </c>
      <c r="J201" s="16" t="str">
        <f t="shared" si="6"/>
        <v>N</v>
      </c>
      <c r="K201" s="16"/>
      <c r="L201" s="16"/>
    </row>
    <row r="202">
      <c r="A202" s="43" t="s">
        <v>1692</v>
      </c>
      <c r="B202" s="10" t="str">
        <f t="shared" si="1"/>
        <v>DNA</v>
      </c>
      <c r="C202" s="49" t="str">
        <f t="shared" si="2"/>
        <v>S16201DN1</v>
      </c>
      <c r="D202" s="6">
        <v>9.0</v>
      </c>
      <c r="E202" s="10" t="str">
        <f t="shared" si="3"/>
        <v>BDN9</v>
      </c>
      <c r="F202" s="6">
        <v>24.0</v>
      </c>
      <c r="G202" s="10" t="str">
        <f t="shared" si="4"/>
        <v>BDN9-24</v>
      </c>
      <c r="H202" s="16"/>
      <c r="I202" s="16" t="str">
        <f t="shared" si="5"/>
        <v>collected</v>
      </c>
      <c r="J202" s="16" t="str">
        <f t="shared" si="6"/>
        <v>N</v>
      </c>
      <c r="K202" s="16"/>
      <c r="L202" s="16"/>
    </row>
    <row r="203">
      <c r="A203" s="43" t="s">
        <v>1693</v>
      </c>
      <c r="B203" s="10" t="str">
        <f t="shared" si="1"/>
        <v>DNA</v>
      </c>
      <c r="C203" s="49" t="str">
        <f t="shared" si="2"/>
        <v>S16209DN1</v>
      </c>
      <c r="D203" s="6">
        <v>9.0</v>
      </c>
      <c r="E203" s="10" t="str">
        <f t="shared" si="3"/>
        <v>BDN9</v>
      </c>
      <c r="F203" s="6">
        <v>25.0</v>
      </c>
      <c r="G203" s="10" t="str">
        <f t="shared" si="4"/>
        <v>BDN9-25</v>
      </c>
      <c r="H203" s="16"/>
      <c r="I203" s="16" t="str">
        <f t="shared" si="5"/>
        <v>collected</v>
      </c>
      <c r="J203" s="16" t="str">
        <f t="shared" si="6"/>
        <v>N</v>
      </c>
      <c r="K203" s="16"/>
      <c r="L203" s="16"/>
    </row>
    <row r="204">
      <c r="A204" s="43" t="s">
        <v>1695</v>
      </c>
      <c r="B204" s="10" t="str">
        <f t="shared" si="1"/>
        <v>DNA</v>
      </c>
      <c r="C204" s="49" t="str">
        <f t="shared" si="2"/>
        <v>S16203DN1</v>
      </c>
      <c r="D204" s="6">
        <v>9.0</v>
      </c>
      <c r="E204" s="10" t="str">
        <f t="shared" si="3"/>
        <v>BDN9</v>
      </c>
      <c r="F204" s="6">
        <v>26.0</v>
      </c>
      <c r="G204" s="10" t="str">
        <f t="shared" si="4"/>
        <v>BDN9-26</v>
      </c>
      <c r="H204" s="16"/>
      <c r="I204" s="16" t="str">
        <f t="shared" si="5"/>
        <v>collected</v>
      </c>
      <c r="J204" s="16" t="str">
        <f t="shared" si="6"/>
        <v>N</v>
      </c>
      <c r="K204" s="16"/>
      <c r="L204" s="16"/>
    </row>
    <row r="205">
      <c r="A205" s="40" t="s">
        <v>1696</v>
      </c>
      <c r="B205" s="10" t="str">
        <f t="shared" si="1"/>
        <v>DNA</v>
      </c>
      <c r="C205" s="49" t="str">
        <f t="shared" si="2"/>
        <v>S17558DN1</v>
      </c>
      <c r="D205" s="6">
        <v>10.0</v>
      </c>
      <c r="E205" s="10" t="str">
        <f t="shared" si="3"/>
        <v>BDN10</v>
      </c>
      <c r="F205" s="6">
        <v>39.0</v>
      </c>
      <c r="G205" s="10" t="str">
        <f t="shared" si="4"/>
        <v>BDN10-39</v>
      </c>
      <c r="H205" s="16"/>
      <c r="I205" s="16" t="str">
        <f t="shared" si="5"/>
        <v>collected</v>
      </c>
      <c r="J205" s="16" t="str">
        <f t="shared" si="6"/>
        <v>N</v>
      </c>
      <c r="K205" s="16"/>
      <c r="L205" s="16"/>
    </row>
    <row r="206">
      <c r="A206" s="40" t="s">
        <v>1697</v>
      </c>
      <c r="B206" s="10" t="str">
        <f t="shared" si="1"/>
        <v>DNA</v>
      </c>
      <c r="C206" s="49" t="str">
        <f t="shared" si="2"/>
        <v>S17557DN1</v>
      </c>
      <c r="D206" s="6">
        <v>10.0</v>
      </c>
      <c r="E206" s="10" t="str">
        <f t="shared" si="3"/>
        <v>BDN10</v>
      </c>
      <c r="F206" s="6">
        <v>40.0</v>
      </c>
      <c r="G206" s="10" t="str">
        <f t="shared" si="4"/>
        <v>BDN10-40</v>
      </c>
      <c r="H206" s="16"/>
      <c r="I206" s="16" t="str">
        <f t="shared" si="5"/>
        <v>collected</v>
      </c>
      <c r="J206" s="16" t="str">
        <f t="shared" si="6"/>
        <v>N</v>
      </c>
      <c r="K206" s="16"/>
      <c r="L206" s="16"/>
    </row>
    <row r="207">
      <c r="A207" s="40" t="s">
        <v>1698</v>
      </c>
      <c r="B207" s="10" t="str">
        <f t="shared" si="1"/>
        <v>DNA</v>
      </c>
      <c r="C207" s="49" t="str">
        <f t="shared" si="2"/>
        <v>S17555DN1</v>
      </c>
      <c r="D207" s="6">
        <v>10.0</v>
      </c>
      <c r="E207" s="10" t="str">
        <f t="shared" si="3"/>
        <v>BDN10</v>
      </c>
      <c r="F207" s="6">
        <v>41.0</v>
      </c>
      <c r="G207" s="10" t="str">
        <f t="shared" si="4"/>
        <v>BDN10-41</v>
      </c>
      <c r="H207" s="16"/>
      <c r="I207" s="16" t="str">
        <f t="shared" si="5"/>
        <v>collected</v>
      </c>
      <c r="J207" s="16" t="str">
        <f t="shared" si="6"/>
        <v>N</v>
      </c>
      <c r="K207" s="16"/>
      <c r="L207" s="16"/>
    </row>
    <row r="208">
      <c r="A208" s="40" t="s">
        <v>1699</v>
      </c>
      <c r="B208" s="10" t="str">
        <f t="shared" si="1"/>
        <v>DNA</v>
      </c>
      <c r="C208" s="49" t="str">
        <f t="shared" si="2"/>
        <v>S17559DN1</v>
      </c>
      <c r="D208" s="6">
        <v>10.0</v>
      </c>
      <c r="E208" s="10" t="str">
        <f t="shared" si="3"/>
        <v>BDN10</v>
      </c>
      <c r="F208" s="6">
        <v>42.0</v>
      </c>
      <c r="G208" s="10" t="str">
        <f t="shared" si="4"/>
        <v>BDN10-42</v>
      </c>
      <c r="H208" s="16"/>
      <c r="I208" s="16" t="str">
        <f t="shared" si="5"/>
        <v>collected</v>
      </c>
      <c r="J208" s="16" t="str">
        <f t="shared" si="6"/>
        <v>N</v>
      </c>
      <c r="K208" s="16"/>
      <c r="L208" s="16"/>
    </row>
    <row r="209">
      <c r="A209" s="40" t="s">
        <v>1701</v>
      </c>
      <c r="B209" s="10" t="str">
        <f t="shared" si="1"/>
        <v>DNA</v>
      </c>
      <c r="C209" s="49" t="str">
        <f t="shared" si="2"/>
        <v>S17288DN1</v>
      </c>
      <c r="D209" s="6">
        <v>10.0</v>
      </c>
      <c r="E209" s="10" t="str">
        <f t="shared" si="3"/>
        <v>BDN10</v>
      </c>
      <c r="F209" s="6">
        <v>43.0</v>
      </c>
      <c r="G209" s="10" t="str">
        <f t="shared" si="4"/>
        <v>BDN10-43</v>
      </c>
      <c r="H209" s="16"/>
      <c r="I209" s="16" t="str">
        <f t="shared" si="5"/>
        <v>collected</v>
      </c>
      <c r="J209" s="16" t="str">
        <f t="shared" si="6"/>
        <v>N</v>
      </c>
      <c r="K209" s="16"/>
      <c r="L209" s="16"/>
    </row>
    <row r="210">
      <c r="A210" s="40" t="s">
        <v>1702</v>
      </c>
      <c r="B210" s="10" t="str">
        <f t="shared" si="1"/>
        <v>DNA</v>
      </c>
      <c r="C210" s="49" t="str">
        <f t="shared" si="2"/>
        <v>S17285DN1</v>
      </c>
      <c r="D210" s="6">
        <v>10.0</v>
      </c>
      <c r="E210" s="10" t="str">
        <f t="shared" si="3"/>
        <v>BDN10</v>
      </c>
      <c r="F210" s="6">
        <v>44.0</v>
      </c>
      <c r="G210" s="10" t="str">
        <f t="shared" si="4"/>
        <v>BDN10-44</v>
      </c>
      <c r="H210" s="16"/>
      <c r="I210" s="16" t="str">
        <f t="shared" si="5"/>
        <v>collected</v>
      </c>
      <c r="J210" s="16" t="str">
        <f t="shared" si="6"/>
        <v>N</v>
      </c>
      <c r="K210" s="16"/>
      <c r="L210" s="16"/>
    </row>
    <row r="211">
      <c r="A211" s="40" t="s">
        <v>1703</v>
      </c>
      <c r="B211" s="10" t="str">
        <f t="shared" si="1"/>
        <v>DNA</v>
      </c>
      <c r="C211" s="49" t="str">
        <f t="shared" si="2"/>
        <v>S17281DN1</v>
      </c>
      <c r="D211" s="6">
        <v>10.0</v>
      </c>
      <c r="E211" s="10" t="str">
        <f t="shared" si="3"/>
        <v>BDN10</v>
      </c>
      <c r="F211" s="6">
        <v>45.0</v>
      </c>
      <c r="G211" s="10" t="str">
        <f t="shared" si="4"/>
        <v>BDN10-45</v>
      </c>
      <c r="H211" s="16"/>
      <c r="I211" s="16" t="str">
        <f t="shared" si="5"/>
        <v>collected</v>
      </c>
      <c r="J211" s="16" t="str">
        <f t="shared" si="6"/>
        <v>N</v>
      </c>
      <c r="K211" s="16"/>
      <c r="L211" s="16"/>
    </row>
    <row r="212">
      <c r="A212" s="40" t="s">
        <v>1704</v>
      </c>
      <c r="B212" s="10" t="str">
        <f t="shared" si="1"/>
        <v>DNA</v>
      </c>
      <c r="C212" s="49" t="str">
        <f t="shared" si="2"/>
        <v>S17287DN1</v>
      </c>
      <c r="D212" s="6">
        <v>10.0</v>
      </c>
      <c r="E212" s="10" t="str">
        <f t="shared" si="3"/>
        <v>BDN10</v>
      </c>
      <c r="F212" s="6">
        <v>46.0</v>
      </c>
      <c r="G212" s="10" t="str">
        <f t="shared" si="4"/>
        <v>BDN10-46</v>
      </c>
      <c r="H212" s="16"/>
      <c r="I212" s="16" t="str">
        <f t="shared" si="5"/>
        <v>collected</v>
      </c>
      <c r="J212" s="16" t="str">
        <f t="shared" si="6"/>
        <v>N</v>
      </c>
      <c r="K212" s="16"/>
      <c r="L212" s="16"/>
    </row>
    <row r="213">
      <c r="A213" s="40" t="s">
        <v>1706</v>
      </c>
      <c r="B213" s="10" t="str">
        <f t="shared" si="1"/>
        <v>DNA</v>
      </c>
      <c r="C213" s="49" t="str">
        <f t="shared" si="2"/>
        <v>S17283DN1</v>
      </c>
      <c r="D213" s="6">
        <v>10.0</v>
      </c>
      <c r="E213" s="10" t="str">
        <f t="shared" si="3"/>
        <v>BDN10</v>
      </c>
      <c r="F213" s="6">
        <v>47.0</v>
      </c>
      <c r="G213" s="10" t="str">
        <f t="shared" si="4"/>
        <v>BDN10-47</v>
      </c>
      <c r="H213" s="16"/>
      <c r="I213" s="16" t="str">
        <f t="shared" si="5"/>
        <v>collected</v>
      </c>
      <c r="J213" s="16" t="str">
        <f t="shared" si="6"/>
        <v>N</v>
      </c>
      <c r="K213" s="16"/>
      <c r="L213" s="16"/>
    </row>
    <row r="214">
      <c r="A214" s="40" t="s">
        <v>1707</v>
      </c>
      <c r="B214" s="10" t="str">
        <f t="shared" si="1"/>
        <v>DNA</v>
      </c>
      <c r="C214" s="49" t="str">
        <f t="shared" si="2"/>
        <v>S17290DN1</v>
      </c>
      <c r="D214" s="6">
        <v>10.0</v>
      </c>
      <c r="E214" s="10" t="str">
        <f t="shared" si="3"/>
        <v>BDN10</v>
      </c>
      <c r="F214" s="6">
        <v>48.0</v>
      </c>
      <c r="G214" s="10" t="str">
        <f t="shared" si="4"/>
        <v>BDN10-48</v>
      </c>
      <c r="H214" s="16"/>
      <c r="I214" s="16" t="str">
        <f t="shared" si="5"/>
        <v>collected</v>
      </c>
      <c r="J214" s="16" t="str">
        <f t="shared" si="6"/>
        <v>N</v>
      </c>
      <c r="K214" s="16"/>
      <c r="L214" s="16"/>
    </row>
    <row r="215">
      <c r="A215" s="40" t="s">
        <v>1708</v>
      </c>
      <c r="B215" s="10" t="str">
        <f t="shared" si="1"/>
        <v>DNA</v>
      </c>
      <c r="C215" s="49" t="str">
        <f t="shared" si="2"/>
        <v>S17289DN1</v>
      </c>
      <c r="D215" s="6">
        <v>10.0</v>
      </c>
      <c r="E215" s="10" t="str">
        <f t="shared" si="3"/>
        <v>BDN10</v>
      </c>
      <c r="F215" s="6">
        <v>49.0</v>
      </c>
      <c r="G215" s="10" t="str">
        <f t="shared" si="4"/>
        <v>BDN10-49</v>
      </c>
      <c r="H215" s="16"/>
      <c r="I215" s="16" t="str">
        <f t="shared" si="5"/>
        <v>collected</v>
      </c>
      <c r="J215" s="16" t="str">
        <f t="shared" si="6"/>
        <v>N</v>
      </c>
      <c r="K215" s="16"/>
      <c r="L215" s="16"/>
    </row>
    <row r="216">
      <c r="A216" s="40" t="s">
        <v>1709</v>
      </c>
      <c r="B216" s="10" t="str">
        <f t="shared" si="1"/>
        <v>DNA</v>
      </c>
      <c r="C216" s="49" t="str">
        <f t="shared" si="2"/>
        <v>S17286DN1</v>
      </c>
      <c r="D216" s="6">
        <v>10.0</v>
      </c>
      <c r="E216" s="10" t="str">
        <f t="shared" si="3"/>
        <v>BDN10</v>
      </c>
      <c r="F216" s="6">
        <v>50.0</v>
      </c>
      <c r="G216" s="10" t="str">
        <f t="shared" si="4"/>
        <v>BDN10-50</v>
      </c>
      <c r="H216" s="16"/>
      <c r="I216" s="16" t="str">
        <f t="shared" si="5"/>
        <v>collected</v>
      </c>
      <c r="J216" s="16" t="str">
        <f t="shared" si="6"/>
        <v>N</v>
      </c>
      <c r="K216" s="16"/>
      <c r="L216" s="16"/>
    </row>
    <row r="217">
      <c r="A217" s="40" t="s">
        <v>1711</v>
      </c>
      <c r="B217" s="10" t="str">
        <f t="shared" si="1"/>
        <v>DNA</v>
      </c>
      <c r="C217" s="49" t="str">
        <f t="shared" si="2"/>
        <v>S17282DN1</v>
      </c>
      <c r="D217" s="6">
        <v>10.0</v>
      </c>
      <c r="E217" s="10" t="str">
        <f t="shared" si="3"/>
        <v>BDN10</v>
      </c>
      <c r="F217" s="6">
        <v>51.0</v>
      </c>
      <c r="G217" s="10" t="str">
        <f t="shared" si="4"/>
        <v>BDN10-51</v>
      </c>
      <c r="H217" s="16"/>
      <c r="I217" s="16" t="str">
        <f t="shared" si="5"/>
        <v>collected</v>
      </c>
      <c r="J217" s="16" t="str">
        <f t="shared" si="6"/>
        <v>N</v>
      </c>
      <c r="K217" s="16"/>
      <c r="L217" s="16"/>
    </row>
    <row r="218">
      <c r="A218" s="40" t="s">
        <v>1712</v>
      </c>
      <c r="B218" s="10" t="str">
        <f t="shared" si="1"/>
        <v>DNA</v>
      </c>
      <c r="C218" s="49" t="str">
        <f t="shared" si="2"/>
        <v>S17284DN1</v>
      </c>
      <c r="D218" s="6">
        <v>10.0</v>
      </c>
      <c r="E218" s="10" t="str">
        <f t="shared" si="3"/>
        <v>BDN10</v>
      </c>
      <c r="F218" s="6">
        <v>52.0</v>
      </c>
      <c r="G218" s="10" t="str">
        <f t="shared" si="4"/>
        <v>BDN10-52</v>
      </c>
      <c r="H218" s="16"/>
      <c r="I218" s="16" t="str">
        <f t="shared" si="5"/>
        <v>collected</v>
      </c>
      <c r="J218" s="16" t="str">
        <f t="shared" si="6"/>
        <v>N</v>
      </c>
      <c r="K218" s="16"/>
      <c r="L218" s="16"/>
    </row>
    <row r="219">
      <c r="A219" s="40" t="s">
        <v>1713</v>
      </c>
      <c r="B219" s="10" t="str">
        <f t="shared" si="1"/>
        <v>DNA</v>
      </c>
      <c r="C219" s="49" t="str">
        <f t="shared" si="2"/>
        <v>S17682DN1</v>
      </c>
      <c r="D219" s="6">
        <v>10.0</v>
      </c>
      <c r="E219" s="10" t="str">
        <f t="shared" si="3"/>
        <v>BDN10</v>
      </c>
      <c r="F219" s="6">
        <v>53.0</v>
      </c>
      <c r="G219" s="10" t="str">
        <f t="shared" si="4"/>
        <v>BDN10-53</v>
      </c>
      <c r="H219" s="16"/>
      <c r="I219" s="16" t="str">
        <f t="shared" si="5"/>
        <v>collected</v>
      </c>
      <c r="J219" s="16" t="str">
        <f t="shared" si="6"/>
        <v>N</v>
      </c>
      <c r="K219" s="16"/>
      <c r="L219" s="16"/>
    </row>
    <row r="220">
      <c r="A220" s="40" t="s">
        <v>1714</v>
      </c>
      <c r="B220" s="10" t="str">
        <f t="shared" si="1"/>
        <v>DNA</v>
      </c>
      <c r="C220" s="49" t="str">
        <f t="shared" si="2"/>
        <v>S17686DN1</v>
      </c>
      <c r="D220" s="6">
        <v>10.0</v>
      </c>
      <c r="E220" s="10" t="str">
        <f t="shared" si="3"/>
        <v>BDN10</v>
      </c>
      <c r="F220" s="6">
        <v>54.0</v>
      </c>
      <c r="G220" s="10" t="str">
        <f t="shared" si="4"/>
        <v>BDN10-54</v>
      </c>
      <c r="H220" s="16"/>
      <c r="I220" s="16" t="str">
        <f t="shared" si="5"/>
        <v>collected</v>
      </c>
      <c r="J220" s="16" t="str">
        <f t="shared" si="6"/>
        <v>N</v>
      </c>
      <c r="K220" s="16"/>
      <c r="L220" s="16"/>
    </row>
    <row r="221">
      <c r="A221" s="40" t="s">
        <v>1715</v>
      </c>
      <c r="B221" s="10" t="str">
        <f t="shared" si="1"/>
        <v>DNA</v>
      </c>
      <c r="C221" s="49" t="str">
        <f t="shared" si="2"/>
        <v>S17685DN1</v>
      </c>
      <c r="D221" s="6">
        <v>10.0</v>
      </c>
      <c r="E221" s="10" t="str">
        <f t="shared" si="3"/>
        <v>BDN10</v>
      </c>
      <c r="F221" s="6">
        <v>55.0</v>
      </c>
      <c r="G221" s="10" t="str">
        <f t="shared" si="4"/>
        <v>BDN10-55</v>
      </c>
      <c r="H221" s="16"/>
      <c r="I221" s="16" t="str">
        <f t="shared" si="5"/>
        <v>collected</v>
      </c>
      <c r="J221" s="16" t="str">
        <f t="shared" si="6"/>
        <v>N</v>
      </c>
      <c r="K221" s="16"/>
      <c r="L221" s="16"/>
    </row>
    <row r="222">
      <c r="A222" s="40" t="s">
        <v>1717</v>
      </c>
      <c r="B222" s="10" t="str">
        <f t="shared" si="1"/>
        <v>DNA</v>
      </c>
      <c r="C222" s="49" t="str">
        <f t="shared" si="2"/>
        <v>S17688DN1</v>
      </c>
      <c r="D222" s="6">
        <v>10.0</v>
      </c>
      <c r="E222" s="10" t="str">
        <f t="shared" si="3"/>
        <v>BDN10</v>
      </c>
      <c r="F222" s="6">
        <v>56.0</v>
      </c>
      <c r="G222" s="10" t="str">
        <f t="shared" si="4"/>
        <v>BDN10-56</v>
      </c>
      <c r="H222" s="16"/>
      <c r="I222" s="16" t="str">
        <f t="shared" si="5"/>
        <v>collected</v>
      </c>
      <c r="J222" s="16" t="str">
        <f t="shared" si="6"/>
        <v>N</v>
      </c>
      <c r="K222" s="16"/>
      <c r="L222" s="16"/>
    </row>
    <row r="223">
      <c r="A223" s="40" t="s">
        <v>1718</v>
      </c>
      <c r="B223" s="10" t="str">
        <f t="shared" si="1"/>
        <v>DNA</v>
      </c>
      <c r="C223" s="49" t="str">
        <f t="shared" si="2"/>
        <v>S17681DN1</v>
      </c>
      <c r="D223" s="6">
        <v>10.0</v>
      </c>
      <c r="E223" s="10" t="str">
        <f t="shared" si="3"/>
        <v>BDN10</v>
      </c>
      <c r="F223" s="6">
        <v>57.0</v>
      </c>
      <c r="G223" s="10" t="str">
        <f t="shared" si="4"/>
        <v>BDN10-57</v>
      </c>
      <c r="H223" s="16"/>
      <c r="I223" s="16" t="str">
        <f t="shared" si="5"/>
        <v>collected</v>
      </c>
      <c r="J223" s="16" t="str">
        <f t="shared" si="6"/>
        <v>N</v>
      </c>
      <c r="K223" s="16"/>
      <c r="L223" s="16"/>
    </row>
    <row r="224">
      <c r="A224" s="40" t="s">
        <v>1719</v>
      </c>
      <c r="B224" s="10" t="str">
        <f t="shared" si="1"/>
        <v>DNA</v>
      </c>
      <c r="C224" s="49" t="str">
        <f t="shared" si="2"/>
        <v>S17687DN1</v>
      </c>
      <c r="D224" s="6">
        <v>10.0</v>
      </c>
      <c r="E224" s="10" t="str">
        <f t="shared" si="3"/>
        <v>BDN10</v>
      </c>
      <c r="F224" s="6">
        <v>58.0</v>
      </c>
      <c r="G224" s="10" t="str">
        <f t="shared" si="4"/>
        <v>BDN10-58</v>
      </c>
      <c r="H224" s="16"/>
      <c r="I224" s="16" t="str">
        <f t="shared" si="5"/>
        <v>collected</v>
      </c>
      <c r="J224" s="16" t="str">
        <f t="shared" si="6"/>
        <v>N</v>
      </c>
      <c r="K224" s="16"/>
      <c r="L224" s="16"/>
    </row>
    <row r="225">
      <c r="A225" s="40" t="s">
        <v>1721</v>
      </c>
      <c r="B225" s="10" t="str">
        <f t="shared" si="1"/>
        <v>DNA</v>
      </c>
      <c r="C225" s="49" t="str">
        <f t="shared" si="2"/>
        <v>S17689DN1</v>
      </c>
      <c r="D225" s="6">
        <v>10.0</v>
      </c>
      <c r="E225" s="10" t="str">
        <f t="shared" si="3"/>
        <v>BDN10</v>
      </c>
      <c r="F225" s="6">
        <v>59.0</v>
      </c>
      <c r="G225" s="10" t="str">
        <f t="shared" si="4"/>
        <v>BDN10-59</v>
      </c>
      <c r="H225" s="16"/>
      <c r="I225" s="16" t="str">
        <f t="shared" si="5"/>
        <v>collected</v>
      </c>
      <c r="J225" s="16" t="str">
        <f t="shared" si="6"/>
        <v>N</v>
      </c>
      <c r="K225" s="16"/>
      <c r="L225" s="16"/>
    </row>
    <row r="226">
      <c r="A226" s="40" t="s">
        <v>1722</v>
      </c>
      <c r="B226" s="10" t="str">
        <f t="shared" si="1"/>
        <v>DNA</v>
      </c>
      <c r="C226" s="49" t="str">
        <f t="shared" si="2"/>
        <v>S17684DN1</v>
      </c>
      <c r="D226" s="6">
        <v>10.0</v>
      </c>
      <c r="E226" s="10" t="str">
        <f t="shared" si="3"/>
        <v>BDN10</v>
      </c>
      <c r="F226" s="6">
        <v>60.0</v>
      </c>
      <c r="G226" s="10" t="str">
        <f t="shared" si="4"/>
        <v>BDN10-60</v>
      </c>
      <c r="H226" s="16"/>
      <c r="I226" s="16" t="str">
        <f t="shared" si="5"/>
        <v>collected</v>
      </c>
      <c r="J226" s="16" t="str">
        <f t="shared" si="6"/>
        <v>N</v>
      </c>
      <c r="K226" s="16"/>
      <c r="L226" s="16"/>
    </row>
    <row r="227">
      <c r="A227" s="40" t="s">
        <v>1723</v>
      </c>
      <c r="B227" s="10" t="str">
        <f t="shared" si="1"/>
        <v>DNA</v>
      </c>
      <c r="C227" s="49" t="str">
        <f t="shared" si="2"/>
        <v>S17683DN1</v>
      </c>
      <c r="D227" s="6">
        <v>10.0</v>
      </c>
      <c r="E227" s="10" t="str">
        <f t="shared" si="3"/>
        <v>BDN10</v>
      </c>
      <c r="F227" s="6">
        <v>61.0</v>
      </c>
      <c r="G227" s="10" t="str">
        <f t="shared" si="4"/>
        <v>BDN10-61</v>
      </c>
      <c r="H227" s="16"/>
      <c r="I227" s="16" t="str">
        <f t="shared" si="5"/>
        <v>collected</v>
      </c>
      <c r="J227" s="16" t="str">
        <f t="shared" si="6"/>
        <v>N</v>
      </c>
      <c r="K227" s="16"/>
      <c r="L227" s="16"/>
    </row>
    <row r="228">
      <c r="A228" s="40" t="s">
        <v>1724</v>
      </c>
      <c r="B228" s="10" t="str">
        <f t="shared" si="1"/>
        <v>DNA</v>
      </c>
      <c r="C228" s="49" t="str">
        <f t="shared" si="2"/>
        <v>S17690DN1</v>
      </c>
      <c r="D228" s="6">
        <v>10.0</v>
      </c>
      <c r="E228" s="10" t="str">
        <f t="shared" si="3"/>
        <v>BDN10</v>
      </c>
      <c r="F228" s="6">
        <v>62.0</v>
      </c>
      <c r="G228" s="10" t="str">
        <f t="shared" si="4"/>
        <v>BDN10-62</v>
      </c>
      <c r="H228" s="16"/>
      <c r="I228" s="16" t="str">
        <f t="shared" si="5"/>
        <v>collected</v>
      </c>
      <c r="J228" s="16" t="str">
        <f t="shared" si="6"/>
        <v>N</v>
      </c>
      <c r="K228" s="16"/>
      <c r="L228" s="16"/>
    </row>
    <row r="229">
      <c r="A229" s="43" t="s">
        <v>1725</v>
      </c>
      <c r="B229" s="10" t="str">
        <f t="shared" si="1"/>
        <v>DNA</v>
      </c>
      <c r="C229" s="49" t="str">
        <f t="shared" si="2"/>
        <v>S16204DN1</v>
      </c>
      <c r="D229" s="6">
        <v>9.0</v>
      </c>
      <c r="E229" s="10" t="str">
        <f t="shared" si="3"/>
        <v>BDN9</v>
      </c>
      <c r="F229" s="6">
        <v>27.0</v>
      </c>
      <c r="G229" s="10" t="str">
        <f t="shared" si="4"/>
        <v>BDN9-27</v>
      </c>
      <c r="H229" s="16"/>
      <c r="I229" s="16" t="str">
        <f t="shared" si="5"/>
        <v>collected</v>
      </c>
      <c r="J229" s="16" t="str">
        <f t="shared" si="6"/>
        <v>N</v>
      </c>
      <c r="K229" s="16"/>
      <c r="L229" s="16"/>
    </row>
    <row r="230">
      <c r="A230" s="40" t="s">
        <v>1726</v>
      </c>
      <c r="B230" s="10" t="str">
        <f t="shared" si="1"/>
        <v>DNA</v>
      </c>
      <c r="C230" s="49" t="str">
        <f t="shared" si="2"/>
        <v>S16202DN1</v>
      </c>
      <c r="D230" s="6">
        <v>9.0</v>
      </c>
      <c r="E230" s="10" t="str">
        <f t="shared" si="3"/>
        <v>BDN9</v>
      </c>
      <c r="F230" s="6">
        <v>28.0</v>
      </c>
      <c r="G230" s="10" t="str">
        <f t="shared" si="4"/>
        <v>BDN9-28</v>
      </c>
      <c r="H230" s="16"/>
      <c r="I230" s="16" t="str">
        <f t="shared" si="5"/>
        <v>collected</v>
      </c>
      <c r="J230" s="16" t="str">
        <f t="shared" si="6"/>
        <v>N</v>
      </c>
      <c r="K230" s="16"/>
      <c r="L230" s="16"/>
    </row>
    <row r="231">
      <c r="A231" s="40" t="s">
        <v>1727</v>
      </c>
      <c r="B231" s="10" t="str">
        <f t="shared" si="1"/>
        <v>DNA</v>
      </c>
      <c r="C231" s="49" t="str">
        <f t="shared" si="2"/>
        <v>S16206DN1</v>
      </c>
      <c r="D231" s="6">
        <v>9.0</v>
      </c>
      <c r="E231" s="10" t="str">
        <f t="shared" si="3"/>
        <v>BDN9</v>
      </c>
      <c r="F231" s="6">
        <v>29.0</v>
      </c>
      <c r="G231" s="10" t="str">
        <f t="shared" si="4"/>
        <v>BDN9-29</v>
      </c>
      <c r="H231" s="16"/>
      <c r="I231" s="16" t="str">
        <f t="shared" si="5"/>
        <v>collected</v>
      </c>
      <c r="J231" s="16" t="str">
        <f t="shared" si="6"/>
        <v>N</v>
      </c>
      <c r="K231" s="16"/>
      <c r="L231" s="16"/>
    </row>
    <row r="232">
      <c r="A232" s="40" t="s">
        <v>1728</v>
      </c>
      <c r="B232" s="10" t="str">
        <f t="shared" si="1"/>
        <v>DNA</v>
      </c>
      <c r="C232" s="49" t="str">
        <f t="shared" si="2"/>
        <v>S16207DN1</v>
      </c>
      <c r="D232" s="6">
        <v>9.0</v>
      </c>
      <c r="E232" s="10" t="str">
        <f t="shared" si="3"/>
        <v>BDN9</v>
      </c>
      <c r="F232" s="6">
        <v>30.0</v>
      </c>
      <c r="G232" s="10" t="str">
        <f t="shared" si="4"/>
        <v>BDN9-30</v>
      </c>
      <c r="H232" s="16"/>
      <c r="I232" s="16" t="str">
        <f t="shared" si="5"/>
        <v>collected</v>
      </c>
      <c r="J232" s="16" t="str">
        <f t="shared" si="6"/>
        <v>N</v>
      </c>
      <c r="K232" s="16"/>
      <c r="L232" s="16"/>
    </row>
    <row r="233">
      <c r="A233" s="40" t="s">
        <v>1730</v>
      </c>
      <c r="B233" s="10" t="str">
        <f t="shared" si="1"/>
        <v>DNA</v>
      </c>
      <c r="C233" s="49" t="str">
        <f t="shared" si="2"/>
        <v>S16210DN1</v>
      </c>
      <c r="D233" s="6">
        <v>9.0</v>
      </c>
      <c r="E233" s="10" t="str">
        <f t="shared" si="3"/>
        <v>BDN9</v>
      </c>
      <c r="F233" s="6">
        <v>31.0</v>
      </c>
      <c r="G233" s="10" t="str">
        <f t="shared" si="4"/>
        <v>BDN9-31</v>
      </c>
      <c r="H233" s="16"/>
      <c r="I233" s="16" t="str">
        <f t="shared" si="5"/>
        <v>collected</v>
      </c>
      <c r="J233" s="16" t="str">
        <f t="shared" si="6"/>
        <v>N</v>
      </c>
      <c r="K233" s="16"/>
      <c r="L233" s="16"/>
    </row>
    <row r="234">
      <c r="A234" s="40" t="s">
        <v>1731</v>
      </c>
      <c r="B234" s="10" t="str">
        <f t="shared" si="1"/>
        <v>DNA</v>
      </c>
      <c r="C234" s="49" t="str">
        <f t="shared" si="2"/>
        <v>S16208DN1</v>
      </c>
      <c r="D234" s="6">
        <v>9.0</v>
      </c>
      <c r="E234" s="10" t="str">
        <f t="shared" si="3"/>
        <v>BDN9</v>
      </c>
      <c r="F234" s="6">
        <v>32.0</v>
      </c>
      <c r="G234" s="10" t="str">
        <f t="shared" si="4"/>
        <v>BDN9-32</v>
      </c>
      <c r="H234" s="16"/>
      <c r="I234" s="16" t="str">
        <f t="shared" si="5"/>
        <v>collected</v>
      </c>
      <c r="J234" s="16" t="str">
        <f t="shared" si="6"/>
        <v>N</v>
      </c>
      <c r="K234" s="16"/>
      <c r="L234" s="16"/>
    </row>
    <row r="235">
      <c r="A235" s="40" t="s">
        <v>1732</v>
      </c>
      <c r="B235" s="10" t="str">
        <f t="shared" si="1"/>
        <v>DNA</v>
      </c>
      <c r="C235" s="49" t="str">
        <f t="shared" si="2"/>
        <v>S17504DN1</v>
      </c>
      <c r="D235" s="6">
        <v>9.0</v>
      </c>
      <c r="E235" s="10" t="str">
        <f t="shared" si="3"/>
        <v>BDN9</v>
      </c>
      <c r="F235" s="6">
        <v>33.0</v>
      </c>
      <c r="G235" s="10" t="str">
        <f t="shared" si="4"/>
        <v>BDN9-33</v>
      </c>
      <c r="H235" s="16"/>
      <c r="I235" s="16" t="str">
        <f t="shared" si="5"/>
        <v>collected</v>
      </c>
      <c r="J235" s="16" t="str">
        <f t="shared" si="6"/>
        <v>N</v>
      </c>
      <c r="K235" s="16"/>
      <c r="L235" s="16"/>
    </row>
    <row r="236">
      <c r="A236" s="40" t="s">
        <v>1733</v>
      </c>
      <c r="B236" s="10" t="str">
        <f t="shared" si="1"/>
        <v>DNA</v>
      </c>
      <c r="C236" s="49" t="str">
        <f t="shared" si="2"/>
        <v>S17509DN1</v>
      </c>
      <c r="D236" s="6">
        <v>9.0</v>
      </c>
      <c r="E236" s="10" t="str">
        <f t="shared" si="3"/>
        <v>BDN9</v>
      </c>
      <c r="F236" s="6">
        <v>34.0</v>
      </c>
      <c r="G236" s="10" t="str">
        <f t="shared" si="4"/>
        <v>BDN9-34</v>
      </c>
      <c r="H236" s="16"/>
      <c r="I236" s="16" t="str">
        <f t="shared" si="5"/>
        <v>collected</v>
      </c>
      <c r="J236" s="16" t="str">
        <f t="shared" si="6"/>
        <v>N</v>
      </c>
      <c r="K236" s="16"/>
      <c r="L236" s="16"/>
    </row>
    <row r="237">
      <c r="A237" s="40" t="s">
        <v>1734</v>
      </c>
      <c r="B237" s="10" t="str">
        <f t="shared" si="1"/>
        <v>DNA</v>
      </c>
      <c r="C237" s="49" t="str">
        <f t="shared" si="2"/>
        <v>S17502DN1</v>
      </c>
      <c r="D237" s="6">
        <v>9.0</v>
      </c>
      <c r="E237" s="10" t="str">
        <f t="shared" si="3"/>
        <v>BDN9</v>
      </c>
      <c r="F237" s="6">
        <v>35.0</v>
      </c>
      <c r="G237" s="10" t="str">
        <f t="shared" si="4"/>
        <v>BDN9-35</v>
      </c>
      <c r="H237" s="16"/>
      <c r="I237" s="16" t="str">
        <f t="shared" si="5"/>
        <v>collected</v>
      </c>
      <c r="J237" s="16" t="str">
        <f t="shared" si="6"/>
        <v>N</v>
      </c>
      <c r="K237" s="16"/>
      <c r="L237" s="16"/>
    </row>
    <row r="238">
      <c r="A238" s="40" t="s">
        <v>1735</v>
      </c>
      <c r="B238" s="10" t="str">
        <f t="shared" si="1"/>
        <v>DNA</v>
      </c>
      <c r="C238" s="49" t="str">
        <f t="shared" si="2"/>
        <v>S17507DN1</v>
      </c>
      <c r="D238" s="6">
        <v>9.0</v>
      </c>
      <c r="E238" s="10" t="str">
        <f t="shared" si="3"/>
        <v>BDN9</v>
      </c>
      <c r="F238" s="6">
        <v>36.0</v>
      </c>
      <c r="G238" s="10" t="str">
        <f t="shared" si="4"/>
        <v>BDN9-36</v>
      </c>
      <c r="H238" s="16"/>
      <c r="I238" s="16" t="str">
        <f t="shared" si="5"/>
        <v>collected</v>
      </c>
      <c r="J238" s="16" t="str">
        <f t="shared" si="6"/>
        <v>N</v>
      </c>
      <c r="K238" s="16"/>
      <c r="L238" s="16"/>
    </row>
    <row r="239">
      <c r="A239" s="40" t="s">
        <v>1736</v>
      </c>
      <c r="B239" s="10" t="str">
        <f t="shared" si="1"/>
        <v>DNA</v>
      </c>
      <c r="C239" s="49" t="str">
        <f t="shared" si="2"/>
        <v>S17508DN1</v>
      </c>
      <c r="D239" s="6">
        <v>9.0</v>
      </c>
      <c r="E239" s="10" t="str">
        <f t="shared" si="3"/>
        <v>BDN9</v>
      </c>
      <c r="F239" s="6">
        <v>37.0</v>
      </c>
      <c r="G239" s="10" t="str">
        <f t="shared" si="4"/>
        <v>BDN9-37</v>
      </c>
      <c r="H239" s="16"/>
      <c r="I239" s="16" t="str">
        <f t="shared" si="5"/>
        <v>collected</v>
      </c>
      <c r="J239" s="16" t="str">
        <f t="shared" si="6"/>
        <v>N</v>
      </c>
      <c r="K239" s="16"/>
      <c r="L239" s="16"/>
    </row>
    <row r="240">
      <c r="A240" s="40" t="s">
        <v>1737</v>
      </c>
      <c r="B240" s="10" t="str">
        <f t="shared" si="1"/>
        <v>DNA</v>
      </c>
      <c r="C240" s="49" t="str">
        <f t="shared" si="2"/>
        <v>S17505DN1</v>
      </c>
      <c r="D240" s="6">
        <v>9.0</v>
      </c>
      <c r="E240" s="10" t="str">
        <f t="shared" si="3"/>
        <v>BDN9</v>
      </c>
      <c r="F240" s="6">
        <v>38.0</v>
      </c>
      <c r="G240" s="10" t="str">
        <f t="shared" si="4"/>
        <v>BDN9-38</v>
      </c>
      <c r="H240" s="16"/>
      <c r="I240" s="16" t="str">
        <f t="shared" si="5"/>
        <v>collected</v>
      </c>
      <c r="J240" s="16" t="str">
        <f t="shared" si="6"/>
        <v>N</v>
      </c>
      <c r="K240" s="16"/>
      <c r="L240" s="16"/>
    </row>
    <row r="241">
      <c r="A241" s="40" t="s">
        <v>1738</v>
      </c>
      <c r="B241" s="10" t="str">
        <f t="shared" si="1"/>
        <v>DNA</v>
      </c>
      <c r="C241" s="49" t="str">
        <f t="shared" si="2"/>
        <v>S17510DN1</v>
      </c>
      <c r="D241" s="6">
        <v>9.0</v>
      </c>
      <c r="E241" s="10" t="str">
        <f t="shared" si="3"/>
        <v>BDN9</v>
      </c>
      <c r="F241" s="6">
        <v>39.0</v>
      </c>
      <c r="G241" s="10" t="str">
        <f t="shared" si="4"/>
        <v>BDN9-39</v>
      </c>
      <c r="H241" s="16"/>
      <c r="I241" s="16" t="str">
        <f t="shared" si="5"/>
        <v>collected</v>
      </c>
      <c r="J241" s="16" t="str">
        <f t="shared" si="6"/>
        <v>N</v>
      </c>
      <c r="K241" s="16"/>
      <c r="L241" s="16"/>
    </row>
    <row r="242">
      <c r="A242" s="40" t="s">
        <v>1739</v>
      </c>
      <c r="B242" s="10" t="str">
        <f t="shared" si="1"/>
        <v>DNA</v>
      </c>
      <c r="C242" s="49" t="str">
        <f t="shared" si="2"/>
        <v>S17506DN1</v>
      </c>
      <c r="D242" s="6">
        <v>9.0</v>
      </c>
      <c r="E242" s="10" t="str">
        <f t="shared" si="3"/>
        <v>BDN9</v>
      </c>
      <c r="F242" s="6">
        <v>40.0</v>
      </c>
      <c r="G242" s="10" t="str">
        <f t="shared" si="4"/>
        <v>BDN9-40</v>
      </c>
      <c r="H242" s="16"/>
      <c r="I242" s="16" t="str">
        <f t="shared" si="5"/>
        <v>collected</v>
      </c>
      <c r="J242" s="16" t="str">
        <f t="shared" si="6"/>
        <v>N</v>
      </c>
      <c r="K242" s="16"/>
      <c r="L242" s="16"/>
    </row>
    <row r="243">
      <c r="A243" s="40" t="s">
        <v>1740</v>
      </c>
      <c r="B243" s="10" t="str">
        <f t="shared" si="1"/>
        <v>DNA</v>
      </c>
      <c r="C243" s="49" t="str">
        <f t="shared" si="2"/>
        <v>S17501DN1</v>
      </c>
      <c r="D243" s="6">
        <v>9.0</v>
      </c>
      <c r="E243" s="10" t="str">
        <f t="shared" si="3"/>
        <v>BDN9</v>
      </c>
      <c r="F243" s="6">
        <v>41.0</v>
      </c>
      <c r="G243" s="10" t="str">
        <f t="shared" si="4"/>
        <v>BDN9-41</v>
      </c>
      <c r="H243" s="16"/>
      <c r="I243" s="16" t="str">
        <f t="shared" si="5"/>
        <v>collected</v>
      </c>
      <c r="J243" s="16" t="str">
        <f t="shared" si="6"/>
        <v>N</v>
      </c>
      <c r="K243" s="16"/>
      <c r="L243" s="16"/>
    </row>
    <row r="244">
      <c r="A244" s="40" t="s">
        <v>1741</v>
      </c>
      <c r="B244" s="10" t="str">
        <f t="shared" si="1"/>
        <v>DNA</v>
      </c>
      <c r="C244" s="49" t="str">
        <f t="shared" si="2"/>
        <v>S17503DN1</v>
      </c>
      <c r="D244" s="6">
        <v>9.0</v>
      </c>
      <c r="E244" s="10" t="str">
        <f t="shared" si="3"/>
        <v>BDN9</v>
      </c>
      <c r="F244" s="6">
        <v>42.0</v>
      </c>
      <c r="G244" s="10" t="str">
        <f t="shared" si="4"/>
        <v>BDN9-42</v>
      </c>
      <c r="H244" s="6"/>
      <c r="I244" s="16" t="str">
        <f t="shared" si="5"/>
        <v>collected</v>
      </c>
      <c r="J244" s="16" t="str">
        <f t="shared" si="6"/>
        <v>N</v>
      </c>
      <c r="K244" s="16"/>
      <c r="L244" s="16"/>
    </row>
    <row r="245">
      <c r="A245" s="40" t="s">
        <v>1742</v>
      </c>
      <c r="B245" s="10" t="str">
        <f t="shared" si="1"/>
        <v>DNA</v>
      </c>
      <c r="C245" s="49" t="str">
        <f t="shared" si="2"/>
        <v>S17102DN1</v>
      </c>
      <c r="D245" s="6">
        <v>9.0</v>
      </c>
      <c r="E245" s="10" t="str">
        <f t="shared" si="3"/>
        <v>BDN9</v>
      </c>
      <c r="F245" s="6">
        <v>43.0</v>
      </c>
      <c r="G245" s="10" t="str">
        <f t="shared" si="4"/>
        <v>BDN9-43</v>
      </c>
      <c r="H245" s="16"/>
      <c r="I245" s="16" t="str">
        <f t="shared" si="5"/>
        <v>collected</v>
      </c>
      <c r="J245" s="16" t="str">
        <f t="shared" si="6"/>
        <v>N</v>
      </c>
      <c r="K245" s="16"/>
      <c r="L245" s="16"/>
    </row>
    <row r="246">
      <c r="A246" s="40" t="s">
        <v>1743</v>
      </c>
      <c r="B246" s="10" t="str">
        <f t="shared" si="1"/>
        <v>DNA</v>
      </c>
      <c r="C246" s="49" t="str">
        <f t="shared" si="2"/>
        <v>S17107DN1</v>
      </c>
      <c r="D246" s="6">
        <v>9.0</v>
      </c>
      <c r="E246" s="10" t="str">
        <f t="shared" si="3"/>
        <v>BDN9</v>
      </c>
      <c r="F246" s="6">
        <v>44.0</v>
      </c>
      <c r="G246" s="10" t="str">
        <f t="shared" si="4"/>
        <v>BDN9-44</v>
      </c>
      <c r="H246" s="16"/>
      <c r="I246" s="16" t="str">
        <f t="shared" si="5"/>
        <v>collected</v>
      </c>
      <c r="J246" s="16" t="str">
        <f t="shared" si="6"/>
        <v>N</v>
      </c>
      <c r="K246" s="16"/>
      <c r="L246" s="16"/>
    </row>
    <row r="247">
      <c r="A247" s="40" t="s">
        <v>1744</v>
      </c>
      <c r="B247" s="10" t="str">
        <f t="shared" si="1"/>
        <v>DNA</v>
      </c>
      <c r="C247" s="49" t="str">
        <f t="shared" si="2"/>
        <v>S17259DN1</v>
      </c>
      <c r="D247" s="6">
        <v>10.0</v>
      </c>
      <c r="E247" s="10" t="str">
        <f t="shared" si="3"/>
        <v>BDN10</v>
      </c>
      <c r="F247" s="6">
        <v>63.0</v>
      </c>
      <c r="G247" s="10" t="str">
        <f t="shared" si="4"/>
        <v>BDN10-63</v>
      </c>
      <c r="H247" s="16"/>
      <c r="I247" s="16" t="str">
        <f t="shared" si="5"/>
        <v>collected</v>
      </c>
      <c r="J247" s="16" t="str">
        <f t="shared" si="6"/>
        <v>N</v>
      </c>
      <c r="K247" s="16"/>
      <c r="L247" s="16"/>
    </row>
    <row r="248">
      <c r="A248" s="40" t="s">
        <v>1745</v>
      </c>
      <c r="B248" s="10" t="str">
        <f t="shared" si="1"/>
        <v>DNA</v>
      </c>
      <c r="C248" s="49" t="str">
        <f t="shared" si="2"/>
        <v>S17260DN1</v>
      </c>
      <c r="D248" s="6">
        <v>10.0</v>
      </c>
      <c r="E248" s="10" t="str">
        <f t="shared" si="3"/>
        <v>BDN10</v>
      </c>
      <c r="F248" s="6">
        <v>64.0</v>
      </c>
      <c r="G248" s="10" t="str">
        <f t="shared" si="4"/>
        <v>BDN10-64</v>
      </c>
      <c r="H248" s="16"/>
      <c r="I248" s="16" t="str">
        <f t="shared" si="5"/>
        <v>collected</v>
      </c>
      <c r="J248" s="16" t="str">
        <f t="shared" si="6"/>
        <v>N</v>
      </c>
      <c r="K248" s="16"/>
      <c r="L248" s="16"/>
    </row>
    <row r="249">
      <c r="A249" s="40" t="s">
        <v>1746</v>
      </c>
      <c r="B249" s="10" t="str">
        <f t="shared" si="1"/>
        <v>DNA</v>
      </c>
      <c r="C249" s="49" t="str">
        <f t="shared" si="2"/>
        <v>S17258DN1</v>
      </c>
      <c r="D249" s="6">
        <v>10.0</v>
      </c>
      <c r="E249" s="10" t="str">
        <f t="shared" si="3"/>
        <v>BDN10</v>
      </c>
      <c r="F249" s="6">
        <v>65.0</v>
      </c>
      <c r="G249" s="10" t="str">
        <f t="shared" si="4"/>
        <v>BDN10-65</v>
      </c>
      <c r="H249" s="16"/>
      <c r="I249" s="16" t="str">
        <f t="shared" si="5"/>
        <v>collected</v>
      </c>
      <c r="J249" s="16" t="str">
        <f t="shared" si="6"/>
        <v>N</v>
      </c>
      <c r="K249" s="16"/>
      <c r="L249" s="16"/>
    </row>
    <row r="250">
      <c r="A250" s="43" t="s">
        <v>1747</v>
      </c>
      <c r="B250" s="10" t="str">
        <f t="shared" si="1"/>
        <v>DNA</v>
      </c>
      <c r="C250" s="49" t="str">
        <f t="shared" si="2"/>
        <v>S17256DN1</v>
      </c>
      <c r="D250" s="6">
        <v>10.0</v>
      </c>
      <c r="E250" s="10" t="str">
        <f t="shared" si="3"/>
        <v>BDN10</v>
      </c>
      <c r="F250" s="6">
        <v>66.0</v>
      </c>
      <c r="G250" s="10" t="str">
        <f t="shared" si="4"/>
        <v>BDN10-66</v>
      </c>
      <c r="H250" s="16"/>
      <c r="I250" s="16" t="str">
        <f t="shared" si="5"/>
        <v>collected</v>
      </c>
      <c r="J250" s="16" t="str">
        <f t="shared" si="6"/>
        <v>N</v>
      </c>
      <c r="K250" s="16"/>
      <c r="L250" s="16"/>
    </row>
    <row r="251">
      <c r="A251" s="43" t="s">
        <v>1748</v>
      </c>
      <c r="B251" s="10" t="str">
        <f t="shared" si="1"/>
        <v>DNA</v>
      </c>
      <c r="C251" s="49" t="str">
        <f t="shared" si="2"/>
        <v>S17253DN1</v>
      </c>
      <c r="D251" s="6">
        <v>10.0</v>
      </c>
      <c r="E251" s="10" t="str">
        <f t="shared" si="3"/>
        <v>BDN10</v>
      </c>
      <c r="F251" s="6">
        <v>67.0</v>
      </c>
      <c r="G251" s="10" t="str">
        <f t="shared" si="4"/>
        <v>BDN10-67</v>
      </c>
      <c r="H251" s="16"/>
      <c r="I251" s="16" t="str">
        <f t="shared" si="5"/>
        <v>collected</v>
      </c>
      <c r="J251" s="16" t="str">
        <f t="shared" si="6"/>
        <v>N</v>
      </c>
      <c r="K251" s="16"/>
      <c r="L251" s="16"/>
    </row>
    <row r="252">
      <c r="A252" s="43" t="s">
        <v>1749</v>
      </c>
      <c r="B252" s="10" t="str">
        <f t="shared" si="1"/>
        <v>DNA</v>
      </c>
      <c r="C252" s="49" t="str">
        <f t="shared" si="2"/>
        <v>S17257DN1</v>
      </c>
      <c r="D252" s="6">
        <v>10.0</v>
      </c>
      <c r="E252" s="10" t="str">
        <f t="shared" si="3"/>
        <v>BDN10</v>
      </c>
      <c r="F252" s="6">
        <v>68.0</v>
      </c>
      <c r="G252" s="10" t="str">
        <f t="shared" si="4"/>
        <v>BDN10-68</v>
      </c>
      <c r="H252" s="6"/>
      <c r="I252" s="16" t="str">
        <f t="shared" si="5"/>
        <v>collected</v>
      </c>
      <c r="J252" s="16" t="str">
        <f t="shared" si="6"/>
        <v>N</v>
      </c>
      <c r="K252" s="16"/>
      <c r="L252" s="16"/>
    </row>
    <row r="253">
      <c r="A253" s="43" t="s">
        <v>1750</v>
      </c>
      <c r="B253" s="10" t="str">
        <f t="shared" si="1"/>
        <v>DNA</v>
      </c>
      <c r="C253" s="49" t="str">
        <f t="shared" si="2"/>
        <v>S17252DN1</v>
      </c>
      <c r="D253" s="6">
        <v>10.0</v>
      </c>
      <c r="E253" s="10" t="str">
        <f t="shared" si="3"/>
        <v>BDN10</v>
      </c>
      <c r="F253" s="6">
        <v>69.0</v>
      </c>
      <c r="G253" s="10" t="str">
        <f t="shared" si="4"/>
        <v>BDN10-69</v>
      </c>
      <c r="H253" s="6"/>
      <c r="I253" s="16" t="str">
        <f t="shared" si="5"/>
        <v>collected</v>
      </c>
      <c r="J253" s="16" t="str">
        <f t="shared" si="6"/>
        <v>N</v>
      </c>
      <c r="K253" s="16"/>
      <c r="L253" s="16"/>
    </row>
    <row r="254">
      <c r="A254" s="43" t="s">
        <v>1751</v>
      </c>
      <c r="B254" s="10" t="str">
        <f t="shared" si="1"/>
        <v>DNA</v>
      </c>
      <c r="C254" s="49" t="str">
        <f t="shared" si="2"/>
        <v>S17255DN1</v>
      </c>
      <c r="D254" s="6">
        <v>10.0</v>
      </c>
      <c r="E254" s="10" t="str">
        <f t="shared" si="3"/>
        <v>BDN10</v>
      </c>
      <c r="F254" s="6">
        <v>70.0</v>
      </c>
      <c r="G254" s="10" t="str">
        <f t="shared" si="4"/>
        <v>BDN10-70</v>
      </c>
      <c r="H254" s="6"/>
      <c r="I254" s="16" t="str">
        <f t="shared" si="5"/>
        <v>collected</v>
      </c>
      <c r="J254" s="16" t="str">
        <f t="shared" si="6"/>
        <v>N</v>
      </c>
      <c r="K254" s="16"/>
      <c r="L254" s="16"/>
    </row>
    <row r="255">
      <c r="A255" s="43" t="s">
        <v>1752</v>
      </c>
      <c r="B255" s="10" t="str">
        <f t="shared" si="1"/>
        <v>DNA</v>
      </c>
      <c r="C255" s="49" t="str">
        <f t="shared" si="2"/>
        <v>S17251DN1</v>
      </c>
      <c r="D255" s="6">
        <v>10.0</v>
      </c>
      <c r="E255" s="10" t="str">
        <f t="shared" si="3"/>
        <v>BDN10</v>
      </c>
      <c r="F255" s="6">
        <v>71.0</v>
      </c>
      <c r="G255" s="10" t="str">
        <f t="shared" si="4"/>
        <v>BDN10-71</v>
      </c>
      <c r="H255" s="6"/>
      <c r="I255" s="16" t="str">
        <f t="shared" si="5"/>
        <v>collected</v>
      </c>
      <c r="J255" s="16" t="str">
        <f t="shared" si="6"/>
        <v>N</v>
      </c>
      <c r="K255" s="16"/>
      <c r="L255" s="16"/>
    </row>
    <row r="256">
      <c r="A256" s="43" t="s">
        <v>1753</v>
      </c>
      <c r="B256" s="10" t="str">
        <f t="shared" si="1"/>
        <v>DNA</v>
      </c>
      <c r="C256" s="49" t="str">
        <f t="shared" si="2"/>
        <v>S16675DN1</v>
      </c>
      <c r="D256" s="6">
        <v>10.0</v>
      </c>
      <c r="E256" s="10" t="str">
        <f t="shared" si="3"/>
        <v>BDN10</v>
      </c>
      <c r="F256" s="6">
        <v>72.0</v>
      </c>
      <c r="G256" s="10" t="str">
        <f t="shared" si="4"/>
        <v>BDN10-72</v>
      </c>
      <c r="H256" s="16"/>
      <c r="I256" s="16" t="str">
        <f t="shared" si="5"/>
        <v>collected</v>
      </c>
      <c r="J256" s="16" t="str">
        <f t="shared" si="6"/>
        <v>N</v>
      </c>
      <c r="K256" s="16"/>
      <c r="L256" s="16"/>
    </row>
    <row r="257">
      <c r="A257" s="43" t="s">
        <v>1754</v>
      </c>
      <c r="B257" s="10" t="str">
        <f t="shared" si="1"/>
        <v>DNA</v>
      </c>
      <c r="C257" s="49" t="str">
        <f t="shared" si="2"/>
        <v>S16677DN1</v>
      </c>
      <c r="D257" s="6">
        <v>10.0</v>
      </c>
      <c r="E257" s="10" t="str">
        <f t="shared" si="3"/>
        <v>BDN10</v>
      </c>
      <c r="F257" s="6">
        <v>73.0</v>
      </c>
      <c r="G257" s="10" t="str">
        <f t="shared" si="4"/>
        <v>BDN10-73</v>
      </c>
      <c r="H257" s="16"/>
      <c r="I257" s="16" t="str">
        <f t="shared" si="5"/>
        <v>collected</v>
      </c>
      <c r="J257" s="16" t="str">
        <f t="shared" si="6"/>
        <v>N</v>
      </c>
      <c r="K257" s="16"/>
      <c r="L257" s="16"/>
    </row>
    <row r="258">
      <c r="A258" s="43" t="s">
        <v>1755</v>
      </c>
      <c r="B258" s="10" t="str">
        <f t="shared" si="1"/>
        <v>DNA</v>
      </c>
      <c r="C258" s="49" t="str">
        <f t="shared" si="2"/>
        <v>S16673DN1</v>
      </c>
      <c r="D258" s="6">
        <v>10.0</v>
      </c>
      <c r="E258" s="10" t="str">
        <f t="shared" si="3"/>
        <v>BDN10</v>
      </c>
      <c r="F258" s="6">
        <v>74.0</v>
      </c>
      <c r="G258" s="10" t="str">
        <f t="shared" si="4"/>
        <v>BDN10-74</v>
      </c>
      <c r="H258" s="6"/>
      <c r="I258" s="16" t="str">
        <f t="shared" si="5"/>
        <v>collected</v>
      </c>
      <c r="J258" s="16" t="str">
        <f t="shared" si="6"/>
        <v>N</v>
      </c>
      <c r="K258" s="16"/>
      <c r="L258" s="16"/>
    </row>
    <row r="259">
      <c r="A259" s="43" t="s">
        <v>1756</v>
      </c>
      <c r="B259" s="10" t="str">
        <f t="shared" si="1"/>
        <v>DNA</v>
      </c>
      <c r="C259" s="49" t="str">
        <f t="shared" si="2"/>
        <v>S16671DN1</v>
      </c>
      <c r="D259" s="6">
        <v>10.0</v>
      </c>
      <c r="E259" s="10" t="str">
        <f t="shared" si="3"/>
        <v>BDN10</v>
      </c>
      <c r="F259" s="6">
        <v>75.0</v>
      </c>
      <c r="G259" s="10" t="str">
        <f t="shared" si="4"/>
        <v>BDN10-75</v>
      </c>
      <c r="H259" s="16"/>
      <c r="I259" s="16" t="str">
        <f t="shared" si="5"/>
        <v>collected</v>
      </c>
      <c r="J259" s="16" t="str">
        <f t="shared" si="6"/>
        <v>N</v>
      </c>
      <c r="K259" s="16"/>
      <c r="L259" s="16"/>
    </row>
    <row r="260">
      <c r="A260" s="43" t="s">
        <v>1757</v>
      </c>
      <c r="B260" s="10" t="str">
        <f t="shared" si="1"/>
        <v>DNA</v>
      </c>
      <c r="C260" s="49" t="str">
        <f t="shared" si="2"/>
        <v>S16679DN1</v>
      </c>
      <c r="D260" s="6">
        <v>10.0</v>
      </c>
      <c r="E260" s="10" t="str">
        <f t="shared" si="3"/>
        <v>BDN10</v>
      </c>
      <c r="F260" s="6">
        <v>76.0</v>
      </c>
      <c r="G260" s="10" t="str">
        <f t="shared" si="4"/>
        <v>BDN10-76</v>
      </c>
      <c r="H260" s="6"/>
      <c r="I260" s="16" t="str">
        <f t="shared" si="5"/>
        <v>collected</v>
      </c>
      <c r="J260" s="16" t="str">
        <f t="shared" si="6"/>
        <v>N</v>
      </c>
      <c r="K260" s="16"/>
      <c r="L260" s="16"/>
    </row>
    <row r="261">
      <c r="A261" s="43" t="s">
        <v>1758</v>
      </c>
      <c r="B261" s="10" t="str">
        <f t="shared" si="1"/>
        <v>DNA</v>
      </c>
      <c r="C261" s="49" t="str">
        <f t="shared" si="2"/>
        <v>S16680DN1</v>
      </c>
      <c r="D261" s="6">
        <v>10.0</v>
      </c>
      <c r="E261" s="10" t="str">
        <f t="shared" si="3"/>
        <v>BDN10</v>
      </c>
      <c r="F261" s="6">
        <v>77.0</v>
      </c>
      <c r="G261" s="10" t="str">
        <f t="shared" si="4"/>
        <v>BDN10-77</v>
      </c>
      <c r="H261" s="16"/>
      <c r="I261" s="16" t="str">
        <f t="shared" si="5"/>
        <v>collected</v>
      </c>
      <c r="J261" s="16" t="str">
        <f t="shared" si="6"/>
        <v>N</v>
      </c>
      <c r="K261" s="16"/>
      <c r="L261" s="16"/>
    </row>
    <row r="262">
      <c r="A262" s="43" t="s">
        <v>1759</v>
      </c>
      <c r="B262" s="10" t="str">
        <f t="shared" si="1"/>
        <v>DNA</v>
      </c>
      <c r="C262" s="49" t="str">
        <f t="shared" si="2"/>
        <v>S16674DN1</v>
      </c>
      <c r="D262" s="6">
        <v>10.0</v>
      </c>
      <c r="E262" s="10" t="str">
        <f t="shared" si="3"/>
        <v>BDN10</v>
      </c>
      <c r="F262" s="6">
        <v>78.0</v>
      </c>
      <c r="G262" s="10" t="str">
        <f t="shared" si="4"/>
        <v>BDN10-78</v>
      </c>
      <c r="H262" s="16"/>
      <c r="I262" s="16" t="str">
        <f t="shared" si="5"/>
        <v>collected</v>
      </c>
      <c r="J262" s="16" t="str">
        <f t="shared" si="6"/>
        <v>N</v>
      </c>
      <c r="K262" s="16"/>
      <c r="L262" s="16"/>
    </row>
    <row r="263">
      <c r="A263" s="43" t="s">
        <v>1760</v>
      </c>
      <c r="B263" s="10" t="str">
        <f t="shared" si="1"/>
        <v>DNA</v>
      </c>
      <c r="C263" s="49" t="str">
        <f t="shared" si="2"/>
        <v>S16676DN1</v>
      </c>
      <c r="D263" s="6">
        <v>10.0</v>
      </c>
      <c r="E263" s="10" t="str">
        <f t="shared" si="3"/>
        <v>BDN10</v>
      </c>
      <c r="F263" s="6">
        <v>79.0</v>
      </c>
      <c r="G263" s="10" t="str">
        <f t="shared" si="4"/>
        <v>BDN10-79</v>
      </c>
      <c r="H263" s="16"/>
      <c r="I263" s="16" t="str">
        <f t="shared" si="5"/>
        <v>collected</v>
      </c>
      <c r="J263" s="16" t="str">
        <f t="shared" si="6"/>
        <v>N</v>
      </c>
      <c r="K263" s="16"/>
      <c r="L263" s="16"/>
    </row>
    <row r="264">
      <c r="A264" s="43" t="s">
        <v>1761</v>
      </c>
      <c r="B264" s="10" t="str">
        <f t="shared" si="1"/>
        <v>DNA</v>
      </c>
      <c r="C264" s="49" t="str">
        <f t="shared" si="2"/>
        <v>S16678DN1</v>
      </c>
      <c r="D264" s="6">
        <v>10.0</v>
      </c>
      <c r="E264" s="10" t="str">
        <f t="shared" si="3"/>
        <v>BDN10</v>
      </c>
      <c r="F264" s="6">
        <v>80.0</v>
      </c>
      <c r="G264" s="10" t="str">
        <f t="shared" si="4"/>
        <v>BDN10-80</v>
      </c>
      <c r="H264" s="16"/>
      <c r="I264" s="16" t="str">
        <f t="shared" si="5"/>
        <v>collected</v>
      </c>
      <c r="J264" s="16" t="str">
        <f t="shared" si="6"/>
        <v>N</v>
      </c>
      <c r="K264" s="16"/>
      <c r="L264" s="16"/>
    </row>
    <row r="265">
      <c r="A265" s="43" t="s">
        <v>1762</v>
      </c>
      <c r="B265" s="10" t="str">
        <f t="shared" si="1"/>
        <v>DNA</v>
      </c>
      <c r="C265" s="49" t="str">
        <f t="shared" si="2"/>
        <v>S16672DN1</v>
      </c>
      <c r="D265" s="6">
        <v>10.0</v>
      </c>
      <c r="E265" s="10" t="str">
        <f t="shared" si="3"/>
        <v>BDN10</v>
      </c>
      <c r="F265" s="6">
        <v>81.0</v>
      </c>
      <c r="G265" s="10" t="str">
        <f t="shared" si="4"/>
        <v>BDN10-81</v>
      </c>
      <c r="H265" s="16"/>
      <c r="I265" s="16" t="str">
        <f t="shared" si="5"/>
        <v>collected</v>
      </c>
      <c r="J265" s="16" t="str">
        <f t="shared" si="6"/>
        <v>N</v>
      </c>
      <c r="K265" s="16"/>
      <c r="L265" s="16"/>
    </row>
    <row r="266">
      <c r="A266" s="43" t="s">
        <v>1763</v>
      </c>
      <c r="B266" s="10" t="str">
        <f t="shared" si="1"/>
        <v>DNA</v>
      </c>
      <c r="C266" s="49" t="str">
        <f t="shared" si="2"/>
        <v>S17254DN1</v>
      </c>
      <c r="D266" s="6">
        <v>10.0</v>
      </c>
      <c r="E266" s="10" t="str">
        <f t="shared" si="3"/>
        <v>BDN10</v>
      </c>
      <c r="F266" s="6">
        <v>82.0</v>
      </c>
      <c r="G266" s="10" t="str">
        <f t="shared" si="4"/>
        <v>BDN10-82</v>
      </c>
      <c r="H266" s="16"/>
      <c r="I266" s="16" t="str">
        <f t="shared" si="5"/>
        <v>collected</v>
      </c>
      <c r="J266" s="16" t="str">
        <f t="shared" si="6"/>
        <v>N</v>
      </c>
      <c r="K266" s="16"/>
      <c r="L266" s="16"/>
    </row>
    <row r="267">
      <c r="A267" s="43" t="s">
        <v>1765</v>
      </c>
      <c r="B267" s="10" t="str">
        <f t="shared" si="1"/>
        <v>DNA</v>
      </c>
      <c r="C267" s="49" t="str">
        <f t="shared" si="2"/>
        <v>S17103DN1</v>
      </c>
      <c r="D267" s="6">
        <v>9.0</v>
      </c>
      <c r="E267" s="10" t="str">
        <f t="shared" si="3"/>
        <v>BDN9</v>
      </c>
      <c r="F267" s="6">
        <v>45.0</v>
      </c>
      <c r="G267" s="10" t="str">
        <f t="shared" si="4"/>
        <v>BDN9-45</v>
      </c>
      <c r="H267" s="16"/>
      <c r="I267" s="16" t="str">
        <f t="shared" si="5"/>
        <v>collected</v>
      </c>
      <c r="J267" s="16" t="str">
        <f t="shared" si="6"/>
        <v>N</v>
      </c>
      <c r="K267" s="16"/>
      <c r="L267" s="16"/>
    </row>
    <row r="268">
      <c r="A268" s="43" t="s">
        <v>1766</v>
      </c>
      <c r="B268" s="10" t="str">
        <f t="shared" si="1"/>
        <v>DNA</v>
      </c>
      <c r="C268" s="49" t="str">
        <f t="shared" si="2"/>
        <v>S17101DN1</v>
      </c>
      <c r="D268" s="6">
        <v>9.0</v>
      </c>
      <c r="E268" s="10" t="str">
        <f t="shared" si="3"/>
        <v>BDN9</v>
      </c>
      <c r="F268" s="6">
        <v>46.0</v>
      </c>
      <c r="G268" s="10" t="str">
        <f t="shared" si="4"/>
        <v>BDN9-46</v>
      </c>
      <c r="H268" s="6"/>
      <c r="I268" s="16" t="str">
        <f t="shared" si="5"/>
        <v>collected</v>
      </c>
      <c r="J268" s="16" t="str">
        <f t="shared" si="6"/>
        <v>N</v>
      </c>
      <c r="K268" s="16"/>
      <c r="L268" s="16"/>
    </row>
    <row r="269">
      <c r="A269" s="43" t="s">
        <v>1767</v>
      </c>
      <c r="B269" s="10" t="str">
        <f t="shared" si="1"/>
        <v>DNA</v>
      </c>
      <c r="C269" s="49" t="str">
        <f t="shared" si="2"/>
        <v>S17106DN1</v>
      </c>
      <c r="D269" s="6">
        <v>9.0</v>
      </c>
      <c r="E269" s="10" t="str">
        <f t="shared" si="3"/>
        <v>BDN9</v>
      </c>
      <c r="F269" s="6">
        <v>47.0</v>
      </c>
      <c r="G269" s="10" t="str">
        <f t="shared" si="4"/>
        <v>BDN9-47</v>
      </c>
      <c r="H269" s="6"/>
      <c r="I269" s="16" t="str">
        <f t="shared" si="5"/>
        <v>collected</v>
      </c>
      <c r="J269" s="16" t="str">
        <f t="shared" si="6"/>
        <v>N</v>
      </c>
      <c r="K269" s="16"/>
      <c r="L269" s="16"/>
    </row>
    <row r="270">
      <c r="A270" s="43" t="s">
        <v>1768</v>
      </c>
      <c r="B270" s="10" t="str">
        <f t="shared" si="1"/>
        <v>DNA</v>
      </c>
      <c r="C270" s="49" t="str">
        <f t="shared" si="2"/>
        <v>S17104DN1</v>
      </c>
      <c r="D270" s="6">
        <v>9.0</v>
      </c>
      <c r="E270" s="10" t="str">
        <f t="shared" si="3"/>
        <v>BDN9</v>
      </c>
      <c r="F270" s="6">
        <v>48.0</v>
      </c>
      <c r="G270" s="10" t="str">
        <f t="shared" si="4"/>
        <v>BDN9-48</v>
      </c>
      <c r="H270" s="6"/>
      <c r="I270" s="16" t="str">
        <f t="shared" si="5"/>
        <v>collected</v>
      </c>
      <c r="J270" s="16" t="str">
        <f t="shared" si="6"/>
        <v>N</v>
      </c>
      <c r="K270" s="16"/>
      <c r="L270" s="16"/>
    </row>
    <row r="271">
      <c r="A271" s="43" t="s">
        <v>1769</v>
      </c>
      <c r="B271" s="10" t="str">
        <f t="shared" si="1"/>
        <v>DNA</v>
      </c>
      <c r="C271" s="49" t="str">
        <f t="shared" si="2"/>
        <v>S17105DN1</v>
      </c>
      <c r="D271" s="6">
        <v>9.0</v>
      </c>
      <c r="E271" s="10" t="str">
        <f t="shared" si="3"/>
        <v>BDN9</v>
      </c>
      <c r="F271" s="6">
        <v>49.0</v>
      </c>
      <c r="G271" s="10" t="str">
        <f t="shared" si="4"/>
        <v>BDN9-49</v>
      </c>
      <c r="H271" s="6"/>
      <c r="I271" s="16" t="str">
        <f t="shared" si="5"/>
        <v>collected</v>
      </c>
      <c r="J271" s="16" t="str">
        <f t="shared" si="6"/>
        <v>N</v>
      </c>
      <c r="K271" s="16"/>
      <c r="L271" s="16"/>
    </row>
    <row r="272">
      <c r="A272" s="43" t="s">
        <v>1770</v>
      </c>
      <c r="B272" s="10" t="str">
        <f t="shared" si="1"/>
        <v>DNA</v>
      </c>
      <c r="C272" s="49" t="str">
        <f t="shared" si="2"/>
        <v>S17109DN1</v>
      </c>
      <c r="D272" s="6">
        <v>9.0</v>
      </c>
      <c r="E272" s="10" t="str">
        <f t="shared" si="3"/>
        <v>BDN9</v>
      </c>
      <c r="F272" s="6">
        <v>50.0</v>
      </c>
      <c r="G272" s="10" t="str">
        <f t="shared" si="4"/>
        <v>BDN9-50</v>
      </c>
      <c r="H272" s="6"/>
      <c r="I272" s="16" t="str">
        <f t="shared" si="5"/>
        <v>collected</v>
      </c>
      <c r="J272" s="16" t="str">
        <f t="shared" si="6"/>
        <v>N</v>
      </c>
      <c r="K272" s="16"/>
      <c r="L272" s="16"/>
    </row>
    <row r="273">
      <c r="A273" s="43" t="s">
        <v>1771</v>
      </c>
      <c r="B273" s="10" t="str">
        <f t="shared" si="1"/>
        <v>DNA</v>
      </c>
      <c r="C273" s="49" t="str">
        <f t="shared" si="2"/>
        <v>S17110DN1</v>
      </c>
      <c r="D273" s="6">
        <v>9.0</v>
      </c>
      <c r="E273" s="10" t="str">
        <f t="shared" si="3"/>
        <v>BDN9</v>
      </c>
      <c r="F273" s="6">
        <v>51.0</v>
      </c>
      <c r="G273" s="10" t="str">
        <f t="shared" si="4"/>
        <v>BDN9-51</v>
      </c>
      <c r="H273" s="6"/>
      <c r="I273" s="16" t="str">
        <f t="shared" si="5"/>
        <v>collected</v>
      </c>
      <c r="J273" s="16" t="str">
        <f t="shared" si="6"/>
        <v>N</v>
      </c>
      <c r="K273" s="16"/>
      <c r="L273" s="16"/>
    </row>
    <row r="274">
      <c r="A274" s="43" t="s">
        <v>1772</v>
      </c>
      <c r="B274" s="10" t="str">
        <f t="shared" si="1"/>
        <v>DNA</v>
      </c>
      <c r="C274" s="49" t="str">
        <f t="shared" si="2"/>
        <v>S17108DN1</v>
      </c>
      <c r="D274" s="6">
        <v>9.0</v>
      </c>
      <c r="E274" s="10" t="str">
        <f t="shared" si="3"/>
        <v>BDN9</v>
      </c>
      <c r="F274" s="6">
        <v>52.0</v>
      </c>
      <c r="G274" s="10" t="str">
        <f t="shared" si="4"/>
        <v>BDN9-52</v>
      </c>
      <c r="H274" s="6"/>
      <c r="I274" s="16" t="str">
        <f t="shared" si="5"/>
        <v>collected</v>
      </c>
      <c r="J274" s="16" t="str">
        <f t="shared" si="6"/>
        <v>N</v>
      </c>
      <c r="K274" s="16"/>
      <c r="L274" s="16"/>
    </row>
    <row r="275">
      <c r="A275" s="43" t="s">
        <v>1773</v>
      </c>
      <c r="B275" s="10" t="str">
        <f t="shared" si="1"/>
        <v>DNA</v>
      </c>
      <c r="C275" s="49" t="str">
        <f t="shared" si="2"/>
        <v>S16415DN1</v>
      </c>
      <c r="D275" s="6">
        <v>9.0</v>
      </c>
      <c r="E275" s="10" t="str">
        <f t="shared" si="3"/>
        <v>BDN9</v>
      </c>
      <c r="F275" s="6">
        <v>53.0</v>
      </c>
      <c r="G275" s="10" t="str">
        <f t="shared" si="4"/>
        <v>BDN9-53</v>
      </c>
      <c r="H275" s="6"/>
      <c r="I275" s="16" t="str">
        <f t="shared" si="5"/>
        <v>collected</v>
      </c>
      <c r="J275" s="16" t="str">
        <f t="shared" si="6"/>
        <v>N</v>
      </c>
      <c r="K275" s="16"/>
      <c r="L275" s="16"/>
    </row>
    <row r="276">
      <c r="A276" s="43" t="s">
        <v>1774</v>
      </c>
      <c r="B276" s="10" t="str">
        <f t="shared" si="1"/>
        <v>DNA</v>
      </c>
      <c r="C276" s="49" t="str">
        <f t="shared" si="2"/>
        <v>S16418DN1</v>
      </c>
      <c r="D276" s="6">
        <v>9.0</v>
      </c>
      <c r="E276" s="10" t="str">
        <f t="shared" si="3"/>
        <v>BDN9</v>
      </c>
      <c r="F276" s="6">
        <v>54.0</v>
      </c>
      <c r="G276" s="10" t="str">
        <f t="shared" si="4"/>
        <v>BDN9-54</v>
      </c>
      <c r="H276" s="6"/>
      <c r="I276" s="16" t="str">
        <f t="shared" si="5"/>
        <v>collected</v>
      </c>
      <c r="J276" s="16" t="str">
        <f t="shared" si="6"/>
        <v>N</v>
      </c>
      <c r="K276" s="16"/>
      <c r="L276" s="16"/>
    </row>
    <row r="277">
      <c r="A277" s="43" t="s">
        <v>1775</v>
      </c>
      <c r="B277" s="10" t="str">
        <f t="shared" si="1"/>
        <v>DNA</v>
      </c>
      <c r="C277" s="49" t="str">
        <f t="shared" si="2"/>
        <v>S16414DN1</v>
      </c>
      <c r="D277" s="6">
        <v>9.0</v>
      </c>
      <c r="E277" s="10" t="str">
        <f t="shared" si="3"/>
        <v>BDN9</v>
      </c>
      <c r="F277" s="6">
        <v>55.0</v>
      </c>
      <c r="G277" s="10" t="str">
        <f t="shared" si="4"/>
        <v>BDN9-55</v>
      </c>
      <c r="H277" s="6"/>
      <c r="I277" s="16" t="str">
        <f t="shared" si="5"/>
        <v>collected</v>
      </c>
      <c r="J277" s="16" t="str">
        <f t="shared" si="6"/>
        <v>N</v>
      </c>
      <c r="K277" s="16"/>
      <c r="L277" s="16"/>
    </row>
    <row r="278">
      <c r="A278" s="43" t="s">
        <v>1776</v>
      </c>
      <c r="B278" s="10" t="str">
        <f t="shared" si="1"/>
        <v>DNA</v>
      </c>
      <c r="C278" s="49" t="str">
        <f t="shared" si="2"/>
        <v>S16412DN1</v>
      </c>
      <c r="D278" s="6">
        <v>9.0</v>
      </c>
      <c r="E278" s="10" t="str">
        <f t="shared" si="3"/>
        <v>BDN9</v>
      </c>
      <c r="F278" s="6">
        <v>56.0</v>
      </c>
      <c r="G278" s="10" t="str">
        <f t="shared" si="4"/>
        <v>BDN9-56</v>
      </c>
      <c r="H278" s="16"/>
      <c r="I278" s="16" t="str">
        <f t="shared" si="5"/>
        <v>collected</v>
      </c>
      <c r="J278" s="16" t="str">
        <f t="shared" si="6"/>
        <v>N</v>
      </c>
      <c r="K278" s="16"/>
      <c r="L278" s="16"/>
    </row>
    <row r="279">
      <c r="A279" s="43" t="s">
        <v>1777</v>
      </c>
      <c r="B279" s="10" t="str">
        <f t="shared" si="1"/>
        <v>DNA</v>
      </c>
      <c r="C279" s="49" t="str">
        <f t="shared" si="2"/>
        <v>S16413DN1</v>
      </c>
      <c r="D279" s="6">
        <v>9.0</v>
      </c>
      <c r="E279" s="10" t="str">
        <f t="shared" si="3"/>
        <v>BDN9</v>
      </c>
      <c r="F279" s="6">
        <v>57.0</v>
      </c>
      <c r="G279" s="10" t="str">
        <f t="shared" si="4"/>
        <v>BDN9-57</v>
      </c>
      <c r="H279" s="16"/>
      <c r="I279" s="16" t="str">
        <f t="shared" si="5"/>
        <v>collected</v>
      </c>
      <c r="J279" s="16" t="str">
        <f t="shared" si="6"/>
        <v>N</v>
      </c>
      <c r="K279" s="16"/>
      <c r="L279" s="16"/>
    </row>
    <row r="280">
      <c r="A280" s="43" t="s">
        <v>1778</v>
      </c>
      <c r="B280" s="10" t="str">
        <f t="shared" si="1"/>
        <v>DNA</v>
      </c>
      <c r="C280" s="49" t="str">
        <f t="shared" si="2"/>
        <v>S16411DN1</v>
      </c>
      <c r="D280" s="6">
        <v>9.0</v>
      </c>
      <c r="E280" s="10" t="str">
        <f t="shared" si="3"/>
        <v>BDN9</v>
      </c>
      <c r="F280" s="6">
        <v>58.0</v>
      </c>
      <c r="G280" s="10" t="str">
        <f t="shared" si="4"/>
        <v>BDN9-58</v>
      </c>
      <c r="H280" s="16"/>
      <c r="I280" s="16" t="str">
        <f t="shared" si="5"/>
        <v>collected</v>
      </c>
      <c r="J280" s="16" t="str">
        <f t="shared" si="6"/>
        <v>N</v>
      </c>
      <c r="K280" s="16"/>
      <c r="L280" s="16"/>
    </row>
    <row r="281">
      <c r="A281" s="43" t="s">
        <v>1779</v>
      </c>
      <c r="B281" s="10" t="str">
        <f t="shared" si="1"/>
        <v>DNA</v>
      </c>
      <c r="C281" s="49" t="str">
        <f t="shared" si="2"/>
        <v>S16417DN1</v>
      </c>
      <c r="D281" s="6">
        <v>9.0</v>
      </c>
      <c r="E281" s="10" t="str">
        <f t="shared" si="3"/>
        <v>BDN9</v>
      </c>
      <c r="F281" s="6">
        <v>59.0</v>
      </c>
      <c r="G281" s="10" t="str">
        <f t="shared" si="4"/>
        <v>BDN9-59</v>
      </c>
      <c r="H281" s="16"/>
      <c r="I281" s="16" t="str">
        <f t="shared" si="5"/>
        <v>collected</v>
      </c>
      <c r="J281" s="16" t="str">
        <f t="shared" si="6"/>
        <v>N</v>
      </c>
      <c r="K281" s="16"/>
      <c r="L281" s="16"/>
    </row>
    <row r="282">
      <c r="A282" s="43" t="s">
        <v>1781</v>
      </c>
      <c r="B282" s="10" t="str">
        <f t="shared" si="1"/>
        <v>DNA</v>
      </c>
      <c r="C282" s="49" t="str">
        <f t="shared" si="2"/>
        <v>S16419DN1</v>
      </c>
      <c r="D282" s="6">
        <v>9.0</v>
      </c>
      <c r="E282" s="10" t="str">
        <f t="shared" si="3"/>
        <v>BDN9</v>
      </c>
      <c r="F282" s="6">
        <v>60.0</v>
      </c>
      <c r="G282" s="10" t="str">
        <f t="shared" si="4"/>
        <v>BDN9-60</v>
      </c>
      <c r="H282" s="16"/>
      <c r="I282" s="16" t="str">
        <f t="shared" si="5"/>
        <v>collected</v>
      </c>
      <c r="J282" s="16" t="str">
        <f t="shared" si="6"/>
        <v>N</v>
      </c>
      <c r="K282" s="16"/>
      <c r="L282" s="16"/>
    </row>
    <row r="283">
      <c r="A283" s="43" t="s">
        <v>1782</v>
      </c>
      <c r="B283" s="10" t="str">
        <f t="shared" si="1"/>
        <v>DNA</v>
      </c>
      <c r="C283" s="49" t="str">
        <f t="shared" si="2"/>
        <v>S16416DN1</v>
      </c>
      <c r="D283" s="6">
        <v>9.0</v>
      </c>
      <c r="E283" s="10" t="str">
        <f t="shared" si="3"/>
        <v>BDN9</v>
      </c>
      <c r="F283" s="6">
        <v>61.0</v>
      </c>
      <c r="G283" s="10" t="str">
        <f t="shared" si="4"/>
        <v>BDN9-61</v>
      </c>
      <c r="H283" s="16"/>
      <c r="I283" s="16" t="str">
        <f t="shared" si="5"/>
        <v>collected</v>
      </c>
      <c r="J283" s="16" t="str">
        <f t="shared" si="6"/>
        <v>N</v>
      </c>
      <c r="K283" s="16"/>
      <c r="L283" s="16"/>
    </row>
    <row r="284">
      <c r="A284" s="43" t="s">
        <v>1784</v>
      </c>
      <c r="B284" s="10" t="str">
        <f t="shared" si="1"/>
        <v>DNA</v>
      </c>
      <c r="C284" s="49" t="str">
        <f t="shared" si="2"/>
        <v>S16420DN1</v>
      </c>
      <c r="D284" s="6">
        <v>9.0</v>
      </c>
      <c r="E284" s="10" t="str">
        <f t="shared" si="3"/>
        <v>BDN9</v>
      </c>
      <c r="F284" s="6">
        <v>62.0</v>
      </c>
      <c r="G284" s="10" t="str">
        <f t="shared" si="4"/>
        <v>BDN9-62</v>
      </c>
      <c r="H284" s="16"/>
      <c r="I284" s="16" t="str">
        <f t="shared" si="5"/>
        <v>collected</v>
      </c>
      <c r="J284" s="16" t="str">
        <f t="shared" si="6"/>
        <v>N</v>
      </c>
      <c r="K284" s="16"/>
      <c r="L284" s="16"/>
    </row>
    <row r="285">
      <c r="A285" s="43" t="s">
        <v>1785</v>
      </c>
      <c r="B285" s="10" t="str">
        <f t="shared" si="1"/>
        <v>DNA</v>
      </c>
      <c r="C285" s="49" t="str">
        <f t="shared" si="2"/>
        <v>S17380DN1</v>
      </c>
      <c r="D285" s="6">
        <v>9.0</v>
      </c>
      <c r="E285" s="10" t="str">
        <f t="shared" si="3"/>
        <v>BDN9</v>
      </c>
      <c r="F285" s="6">
        <v>63.0</v>
      </c>
      <c r="G285" s="10" t="str">
        <f t="shared" si="4"/>
        <v>BDN9-63</v>
      </c>
      <c r="H285" s="16"/>
      <c r="I285" s="16" t="str">
        <f t="shared" si="5"/>
        <v>collected</v>
      </c>
      <c r="J285" s="16" t="str">
        <f t="shared" si="6"/>
        <v>N</v>
      </c>
      <c r="K285" s="16"/>
      <c r="L285" s="16"/>
    </row>
    <row r="286">
      <c r="A286" s="43" t="s">
        <v>1786</v>
      </c>
      <c r="B286" s="10" t="str">
        <f t="shared" si="1"/>
        <v>DNA</v>
      </c>
      <c r="C286" s="49" t="str">
        <f t="shared" si="2"/>
        <v>S17375DN1</v>
      </c>
      <c r="D286" s="6">
        <v>9.0</v>
      </c>
      <c r="E286" s="10" t="str">
        <f t="shared" si="3"/>
        <v>BDN9</v>
      </c>
      <c r="F286" s="6">
        <v>64.0</v>
      </c>
      <c r="G286" s="10" t="str">
        <f t="shared" si="4"/>
        <v>BDN9-64</v>
      </c>
      <c r="H286" s="16"/>
      <c r="I286" s="16" t="str">
        <f t="shared" si="5"/>
        <v>collected</v>
      </c>
      <c r="J286" s="16" t="str">
        <f t="shared" si="6"/>
        <v>N</v>
      </c>
      <c r="K286" s="16"/>
      <c r="L286" s="16"/>
    </row>
    <row r="287">
      <c r="A287" s="43" t="s">
        <v>1787</v>
      </c>
      <c r="B287" s="10" t="str">
        <f t="shared" si="1"/>
        <v>DNA</v>
      </c>
      <c r="C287" s="49" t="str">
        <f t="shared" si="2"/>
        <v>S17376DN1</v>
      </c>
      <c r="D287" s="6">
        <v>9.0</v>
      </c>
      <c r="E287" s="10" t="str">
        <f t="shared" si="3"/>
        <v>BDN9</v>
      </c>
      <c r="F287" s="6">
        <v>65.0</v>
      </c>
      <c r="G287" s="10" t="str">
        <f t="shared" si="4"/>
        <v>BDN9-65</v>
      </c>
      <c r="H287" s="6"/>
      <c r="I287" s="16" t="str">
        <f t="shared" si="5"/>
        <v>collected</v>
      </c>
      <c r="J287" s="16" t="str">
        <f t="shared" si="6"/>
        <v>N</v>
      </c>
      <c r="K287" s="16"/>
      <c r="L287" s="16"/>
    </row>
    <row r="288">
      <c r="A288" s="43" t="s">
        <v>1788</v>
      </c>
      <c r="B288" s="10" t="str">
        <f t="shared" si="1"/>
        <v>DNA</v>
      </c>
      <c r="C288" s="49" t="str">
        <f t="shared" si="2"/>
        <v>S17377DN1</v>
      </c>
      <c r="D288" s="6">
        <v>9.0</v>
      </c>
      <c r="E288" s="10" t="str">
        <f t="shared" si="3"/>
        <v>BDN9</v>
      </c>
      <c r="F288" s="6">
        <v>66.0</v>
      </c>
      <c r="G288" s="10" t="str">
        <f t="shared" si="4"/>
        <v>BDN9-66</v>
      </c>
      <c r="H288" s="16"/>
      <c r="I288" s="16" t="str">
        <f t="shared" si="5"/>
        <v>collected</v>
      </c>
      <c r="J288" s="16" t="str">
        <f t="shared" si="6"/>
        <v>N</v>
      </c>
      <c r="K288" s="16"/>
      <c r="L288" s="16"/>
    </row>
    <row r="289">
      <c r="A289" s="43" t="s">
        <v>1790</v>
      </c>
      <c r="B289" s="10" t="str">
        <f t="shared" si="1"/>
        <v>DNA</v>
      </c>
      <c r="C289" s="49" t="str">
        <f t="shared" si="2"/>
        <v>S17374DN1</v>
      </c>
      <c r="D289" s="6">
        <v>9.0</v>
      </c>
      <c r="E289" s="10" t="str">
        <f t="shared" si="3"/>
        <v>BDN9</v>
      </c>
      <c r="F289" s="6">
        <v>67.0</v>
      </c>
      <c r="G289" s="10" t="str">
        <f t="shared" si="4"/>
        <v>BDN9-67</v>
      </c>
      <c r="H289" s="16"/>
      <c r="I289" s="16" t="str">
        <f t="shared" si="5"/>
        <v>collected</v>
      </c>
      <c r="J289" s="16" t="str">
        <f t="shared" si="6"/>
        <v>N</v>
      </c>
      <c r="K289" s="16"/>
      <c r="L289" s="16"/>
    </row>
    <row r="290">
      <c r="A290" s="43" t="s">
        <v>1791</v>
      </c>
      <c r="B290" s="10" t="str">
        <f t="shared" si="1"/>
        <v>DNA</v>
      </c>
      <c r="C290" s="49" t="str">
        <f t="shared" si="2"/>
        <v>S17378DN1</v>
      </c>
      <c r="D290" s="6">
        <v>9.0</v>
      </c>
      <c r="E290" s="10" t="str">
        <f t="shared" si="3"/>
        <v>BDN9</v>
      </c>
      <c r="F290" s="6">
        <v>68.0</v>
      </c>
      <c r="G290" s="10" t="str">
        <f t="shared" si="4"/>
        <v>BDN9-68</v>
      </c>
      <c r="H290" s="16"/>
      <c r="I290" s="16" t="str">
        <f t="shared" si="5"/>
        <v>collected</v>
      </c>
      <c r="J290" s="16" t="str">
        <f t="shared" si="6"/>
        <v>N</v>
      </c>
      <c r="K290" s="16"/>
      <c r="L290" s="16"/>
    </row>
    <row r="291">
      <c r="A291" s="43" t="s">
        <v>1792</v>
      </c>
      <c r="B291" s="10" t="str">
        <f t="shared" si="1"/>
        <v>DNA</v>
      </c>
      <c r="C291" s="49" t="str">
        <f t="shared" si="2"/>
        <v>S17379DN1</v>
      </c>
      <c r="D291" s="6">
        <v>9.0</v>
      </c>
      <c r="E291" s="10" t="str">
        <f t="shared" si="3"/>
        <v>BDN9</v>
      </c>
      <c r="F291" s="6">
        <v>69.0</v>
      </c>
      <c r="G291" s="10" t="str">
        <f t="shared" si="4"/>
        <v>BDN9-69</v>
      </c>
      <c r="H291" s="16"/>
      <c r="I291" s="16" t="str">
        <f t="shared" si="5"/>
        <v>collected</v>
      </c>
      <c r="J291" s="16" t="str">
        <f t="shared" si="6"/>
        <v>N</v>
      </c>
      <c r="K291" s="16"/>
      <c r="L291" s="16"/>
    </row>
    <row r="292">
      <c r="A292" s="40" t="s">
        <v>1793</v>
      </c>
      <c r="B292" s="10" t="str">
        <f t="shared" si="1"/>
        <v>DNA</v>
      </c>
      <c r="C292" s="49" t="str">
        <f t="shared" si="2"/>
        <v>S17371DN1</v>
      </c>
      <c r="D292" s="6">
        <v>9.0</v>
      </c>
      <c r="E292" s="10" t="str">
        <f t="shared" si="3"/>
        <v>BDN9</v>
      </c>
      <c r="F292" s="6">
        <v>70.0</v>
      </c>
      <c r="G292" s="10" t="str">
        <f t="shared" si="4"/>
        <v>BDN9-70</v>
      </c>
      <c r="H292" s="16"/>
      <c r="I292" s="16" t="str">
        <f t="shared" si="5"/>
        <v>collected</v>
      </c>
      <c r="J292" s="16" t="str">
        <f t="shared" si="6"/>
        <v>N</v>
      </c>
      <c r="K292" s="16"/>
      <c r="L292" s="16"/>
    </row>
    <row r="293">
      <c r="A293" s="40" t="s">
        <v>1795</v>
      </c>
      <c r="B293" s="10" t="str">
        <f t="shared" si="1"/>
        <v>DNA</v>
      </c>
      <c r="C293" s="49" t="str">
        <f t="shared" si="2"/>
        <v>S17372DN1</v>
      </c>
      <c r="D293" s="6">
        <v>9.0</v>
      </c>
      <c r="E293" s="10" t="str">
        <f t="shared" si="3"/>
        <v>BDN9</v>
      </c>
      <c r="F293" s="6">
        <v>71.0</v>
      </c>
      <c r="G293" s="10" t="str">
        <f t="shared" si="4"/>
        <v>BDN9-71</v>
      </c>
      <c r="H293" s="16"/>
      <c r="I293" s="16" t="str">
        <f t="shared" si="5"/>
        <v>collected</v>
      </c>
      <c r="J293" s="16" t="str">
        <f t="shared" si="6"/>
        <v>N</v>
      </c>
      <c r="K293" s="16"/>
      <c r="L293" s="16"/>
    </row>
    <row r="294">
      <c r="A294" s="40" t="s">
        <v>1796</v>
      </c>
      <c r="B294" s="10" t="str">
        <f t="shared" si="1"/>
        <v>DNA</v>
      </c>
      <c r="C294" s="49" t="str">
        <f t="shared" si="2"/>
        <v>S17373DN1</v>
      </c>
      <c r="D294" s="6">
        <v>9.0</v>
      </c>
      <c r="E294" s="10" t="str">
        <f t="shared" si="3"/>
        <v>BDN9</v>
      </c>
      <c r="F294" s="6">
        <v>72.0</v>
      </c>
      <c r="G294" s="10" t="str">
        <f t="shared" si="4"/>
        <v>BDN9-72</v>
      </c>
      <c r="H294" s="16"/>
      <c r="I294" s="16" t="str">
        <f t="shared" si="5"/>
        <v>collected</v>
      </c>
      <c r="J294" s="16" t="str">
        <f t="shared" si="6"/>
        <v>N</v>
      </c>
      <c r="K294" s="16"/>
      <c r="L294" s="16"/>
    </row>
    <row r="295">
      <c r="A295" s="40" t="s">
        <v>1797</v>
      </c>
      <c r="B295" s="10" t="str">
        <f t="shared" si="1"/>
        <v>DNA</v>
      </c>
      <c r="C295" s="49" t="str">
        <f t="shared" si="2"/>
        <v>S17157DN1</v>
      </c>
      <c r="D295" s="6">
        <v>10.0</v>
      </c>
      <c r="E295" s="10" t="str">
        <f t="shared" si="3"/>
        <v>BDN10</v>
      </c>
      <c r="F295" s="6">
        <v>83.0</v>
      </c>
      <c r="G295" s="10" t="str">
        <f t="shared" si="4"/>
        <v>BDN10-83</v>
      </c>
      <c r="H295" s="16"/>
      <c r="I295" s="16" t="str">
        <f t="shared" si="5"/>
        <v>collected</v>
      </c>
      <c r="J295" s="16" t="str">
        <f t="shared" si="6"/>
        <v>N</v>
      </c>
      <c r="K295" s="16"/>
      <c r="L295" s="16"/>
    </row>
    <row r="296">
      <c r="A296" s="40" t="s">
        <v>1798</v>
      </c>
      <c r="B296" s="10" t="str">
        <f t="shared" si="1"/>
        <v>DNA</v>
      </c>
      <c r="C296" s="49" t="str">
        <f t="shared" si="2"/>
        <v>S17160DN1</v>
      </c>
      <c r="D296" s="6">
        <v>10.0</v>
      </c>
      <c r="E296" s="10" t="str">
        <f t="shared" si="3"/>
        <v>BDN10</v>
      </c>
      <c r="F296" s="6">
        <v>84.0</v>
      </c>
      <c r="G296" s="10" t="str">
        <f t="shared" si="4"/>
        <v>BDN10-84</v>
      </c>
      <c r="H296" s="16"/>
      <c r="I296" s="16" t="str">
        <f t="shared" si="5"/>
        <v>collected</v>
      </c>
      <c r="J296" s="16" t="str">
        <f t="shared" si="6"/>
        <v>N</v>
      </c>
      <c r="K296" s="16"/>
      <c r="L296" s="16"/>
    </row>
    <row r="297">
      <c r="A297" s="40" t="s">
        <v>1799</v>
      </c>
      <c r="B297" s="10" t="str">
        <f t="shared" si="1"/>
        <v>DNA</v>
      </c>
      <c r="C297" s="49" t="str">
        <f t="shared" si="2"/>
        <v>S17159DN1</v>
      </c>
      <c r="D297" s="6">
        <v>10.0</v>
      </c>
      <c r="E297" s="10" t="str">
        <f t="shared" si="3"/>
        <v>BDN10</v>
      </c>
      <c r="F297" s="6">
        <v>85.0</v>
      </c>
      <c r="G297" s="10" t="str">
        <f t="shared" si="4"/>
        <v>BDN10-85</v>
      </c>
      <c r="H297" s="16"/>
      <c r="I297" s="16" t="str">
        <f t="shared" si="5"/>
        <v>collected</v>
      </c>
      <c r="J297" s="16" t="str">
        <f t="shared" si="6"/>
        <v>N</v>
      </c>
      <c r="K297" s="16"/>
      <c r="L297" s="16"/>
    </row>
    <row r="298">
      <c r="A298" s="40" t="s">
        <v>1801</v>
      </c>
      <c r="B298" s="10" t="str">
        <f t="shared" si="1"/>
        <v>DNA</v>
      </c>
      <c r="C298" s="49" t="str">
        <f t="shared" si="2"/>
        <v>S17155DN1</v>
      </c>
      <c r="D298" s="6">
        <v>10.0</v>
      </c>
      <c r="E298" s="10" t="str">
        <f t="shared" si="3"/>
        <v>BDN10</v>
      </c>
      <c r="F298" s="6">
        <v>86.0</v>
      </c>
      <c r="G298" s="10" t="str">
        <f t="shared" si="4"/>
        <v>BDN10-86</v>
      </c>
      <c r="H298" s="16"/>
      <c r="I298" s="16" t="str">
        <f t="shared" si="5"/>
        <v>collected</v>
      </c>
      <c r="J298" s="16" t="str">
        <f t="shared" si="6"/>
        <v>N</v>
      </c>
      <c r="K298" s="16"/>
      <c r="L298" s="16"/>
    </row>
    <row r="299">
      <c r="A299" s="40" t="s">
        <v>1802</v>
      </c>
      <c r="B299" s="10" t="str">
        <f t="shared" si="1"/>
        <v>DNA</v>
      </c>
      <c r="C299" s="49" t="str">
        <f t="shared" si="2"/>
        <v>S17156DN1</v>
      </c>
      <c r="D299" s="6">
        <v>10.0</v>
      </c>
      <c r="E299" s="10" t="str">
        <f t="shared" si="3"/>
        <v>BDN10</v>
      </c>
      <c r="F299" s="6">
        <v>87.0</v>
      </c>
      <c r="G299" s="10" t="str">
        <f t="shared" si="4"/>
        <v>BDN10-87</v>
      </c>
      <c r="H299" s="16"/>
      <c r="I299" s="16" t="str">
        <f t="shared" si="5"/>
        <v>collected</v>
      </c>
      <c r="J299" s="16" t="str">
        <f t="shared" si="6"/>
        <v>N</v>
      </c>
      <c r="K299" s="16"/>
      <c r="L299" s="16"/>
    </row>
    <row r="300">
      <c r="A300" s="40" t="s">
        <v>1803</v>
      </c>
      <c r="B300" s="10" t="str">
        <f t="shared" si="1"/>
        <v>DNA</v>
      </c>
      <c r="C300" s="49" t="str">
        <f t="shared" si="2"/>
        <v>S17154DN1</v>
      </c>
      <c r="D300" s="6">
        <v>10.0</v>
      </c>
      <c r="E300" s="10" t="str">
        <f t="shared" si="3"/>
        <v>BDN10</v>
      </c>
      <c r="F300" s="6">
        <v>88.0</v>
      </c>
      <c r="G300" s="10" t="str">
        <f t="shared" si="4"/>
        <v>BDN10-88</v>
      </c>
      <c r="H300" s="16"/>
      <c r="I300" s="16" t="str">
        <f t="shared" si="5"/>
        <v>collected</v>
      </c>
      <c r="J300" s="16" t="str">
        <f t="shared" si="6"/>
        <v>N</v>
      </c>
      <c r="K300" s="16"/>
      <c r="L300" s="16"/>
    </row>
    <row r="301">
      <c r="A301" s="40" t="s">
        <v>1804</v>
      </c>
      <c r="B301" s="10" t="str">
        <f t="shared" si="1"/>
        <v>DNA</v>
      </c>
      <c r="C301" s="49" t="str">
        <f t="shared" si="2"/>
        <v>S17152DN1</v>
      </c>
      <c r="D301" s="6">
        <v>10.0</v>
      </c>
      <c r="E301" s="10" t="str">
        <f t="shared" si="3"/>
        <v>BDN10</v>
      </c>
      <c r="F301" s="6">
        <v>89.0</v>
      </c>
      <c r="G301" s="10" t="str">
        <f t="shared" si="4"/>
        <v>BDN10-89</v>
      </c>
      <c r="H301" s="16"/>
      <c r="I301" s="16" t="str">
        <f t="shared" si="5"/>
        <v>collected</v>
      </c>
      <c r="J301" s="16" t="str">
        <f t="shared" si="6"/>
        <v>N</v>
      </c>
      <c r="K301" s="16"/>
      <c r="L301" s="16"/>
    </row>
    <row r="302">
      <c r="A302" s="40" t="s">
        <v>1805</v>
      </c>
      <c r="B302" s="10" t="str">
        <f t="shared" si="1"/>
        <v>DNA</v>
      </c>
      <c r="C302" s="49" t="str">
        <f t="shared" si="2"/>
        <v>S17158DN1</v>
      </c>
      <c r="D302" s="6">
        <v>10.0</v>
      </c>
      <c r="E302" s="10" t="str">
        <f t="shared" si="3"/>
        <v>BDN10</v>
      </c>
      <c r="F302" s="6">
        <v>90.0</v>
      </c>
      <c r="G302" s="10" t="str">
        <f t="shared" si="4"/>
        <v>BDN10-90</v>
      </c>
      <c r="H302" s="16"/>
      <c r="I302" s="16" t="str">
        <f t="shared" si="5"/>
        <v>collected</v>
      </c>
      <c r="J302" s="16" t="str">
        <f t="shared" si="6"/>
        <v>N</v>
      </c>
      <c r="K302" s="16"/>
      <c r="L302" s="16"/>
    </row>
    <row r="303">
      <c r="A303" s="40" t="s">
        <v>1806</v>
      </c>
      <c r="B303" s="10" t="str">
        <f t="shared" si="1"/>
        <v>DNA</v>
      </c>
      <c r="C303" s="49" t="str">
        <f t="shared" si="2"/>
        <v>S17151DN1</v>
      </c>
      <c r="D303" s="6">
        <v>10.0</v>
      </c>
      <c r="E303" s="10" t="str">
        <f t="shared" si="3"/>
        <v>BDN10</v>
      </c>
      <c r="F303" s="6">
        <v>91.0</v>
      </c>
      <c r="G303" s="10" t="str">
        <f t="shared" si="4"/>
        <v>BDN10-91</v>
      </c>
      <c r="H303" s="16"/>
      <c r="I303" s="16" t="str">
        <f t="shared" si="5"/>
        <v>collected</v>
      </c>
      <c r="J303" s="16" t="str">
        <f t="shared" si="6"/>
        <v>N</v>
      </c>
      <c r="K303" s="16"/>
      <c r="L303" s="16"/>
    </row>
    <row r="304">
      <c r="A304" s="40" t="s">
        <v>1808</v>
      </c>
      <c r="B304" s="10" t="str">
        <f t="shared" si="1"/>
        <v>DNA</v>
      </c>
      <c r="C304" s="49" t="str">
        <f t="shared" si="2"/>
        <v>S17153DN1</v>
      </c>
      <c r="D304" s="6">
        <v>10.0</v>
      </c>
      <c r="E304" s="10" t="str">
        <f t="shared" si="3"/>
        <v>BDN10</v>
      </c>
      <c r="F304" s="6">
        <v>92.0</v>
      </c>
      <c r="G304" s="10" t="str">
        <f t="shared" si="4"/>
        <v>BDN10-92</v>
      </c>
      <c r="H304" s="16"/>
      <c r="I304" s="16" t="str">
        <f t="shared" si="5"/>
        <v>collected</v>
      </c>
      <c r="J304" s="16" t="str">
        <f t="shared" si="6"/>
        <v>N</v>
      </c>
      <c r="K304" s="16"/>
      <c r="L304" s="16"/>
    </row>
    <row r="305">
      <c r="A305" s="40" t="s">
        <v>1810</v>
      </c>
      <c r="B305" s="10" t="str">
        <f t="shared" si="1"/>
        <v>DNA</v>
      </c>
      <c r="C305" s="49" t="str">
        <f t="shared" si="2"/>
        <v>S16575DN1</v>
      </c>
      <c r="D305" s="6">
        <v>10.0</v>
      </c>
      <c r="E305" s="10" t="str">
        <f t="shared" si="3"/>
        <v>BDN10</v>
      </c>
      <c r="F305" s="6">
        <v>93.0</v>
      </c>
      <c r="G305" s="10" t="str">
        <f t="shared" si="4"/>
        <v>BDN10-93</v>
      </c>
      <c r="H305" s="16"/>
      <c r="I305" s="16" t="str">
        <f t="shared" si="5"/>
        <v>collected</v>
      </c>
      <c r="J305" s="16" t="str">
        <f t="shared" si="6"/>
        <v>N</v>
      </c>
      <c r="K305" s="16"/>
      <c r="L305" s="16"/>
    </row>
    <row r="306">
      <c r="A306" s="40" t="s">
        <v>1811</v>
      </c>
      <c r="B306" s="10" t="str">
        <f t="shared" si="1"/>
        <v>DNA</v>
      </c>
      <c r="C306" s="49" t="str">
        <f t="shared" si="2"/>
        <v>S16573DN1</v>
      </c>
      <c r="D306" s="6">
        <v>10.0</v>
      </c>
      <c r="E306" s="10" t="str">
        <f t="shared" si="3"/>
        <v>BDN10</v>
      </c>
      <c r="F306" s="6">
        <v>94.0</v>
      </c>
      <c r="G306" s="10" t="str">
        <f t="shared" si="4"/>
        <v>BDN10-94</v>
      </c>
      <c r="H306" s="16"/>
      <c r="I306" s="16" t="str">
        <f t="shared" si="5"/>
        <v>collected</v>
      </c>
      <c r="J306" s="16" t="str">
        <f t="shared" si="6"/>
        <v>N</v>
      </c>
      <c r="K306" s="16"/>
      <c r="L306" s="16"/>
    </row>
    <row r="307">
      <c r="A307" s="40" t="s">
        <v>1812</v>
      </c>
      <c r="B307" s="10" t="str">
        <f t="shared" si="1"/>
        <v>DNA</v>
      </c>
      <c r="C307" s="49" t="str">
        <f t="shared" si="2"/>
        <v>S16571DN1</v>
      </c>
      <c r="D307" s="6">
        <v>10.0</v>
      </c>
      <c r="E307" s="10" t="str">
        <f t="shared" si="3"/>
        <v>BDN10</v>
      </c>
      <c r="F307" s="6">
        <v>95.0</v>
      </c>
      <c r="G307" s="10" t="str">
        <f t="shared" si="4"/>
        <v>BDN10-95</v>
      </c>
      <c r="H307" s="16"/>
      <c r="I307" s="16" t="str">
        <f t="shared" si="5"/>
        <v>collected</v>
      </c>
      <c r="J307" s="16" t="str">
        <f t="shared" si="6"/>
        <v>N</v>
      </c>
      <c r="K307" s="16"/>
      <c r="L307" s="16"/>
    </row>
    <row r="308">
      <c r="A308" s="40" t="s">
        <v>1814</v>
      </c>
      <c r="B308" s="10" t="str">
        <f t="shared" si="1"/>
        <v>DNA</v>
      </c>
      <c r="C308" s="49" t="str">
        <f t="shared" si="2"/>
        <v>S16580DN1</v>
      </c>
      <c r="D308" s="6">
        <v>10.0</v>
      </c>
      <c r="E308" s="10" t="str">
        <f t="shared" si="3"/>
        <v>BDN10</v>
      </c>
      <c r="F308" s="6">
        <v>96.0</v>
      </c>
      <c r="G308" s="10" t="str">
        <f t="shared" si="4"/>
        <v>BDN10-96</v>
      </c>
      <c r="H308" s="16"/>
      <c r="I308" s="16" t="str">
        <f t="shared" si="5"/>
        <v>collected</v>
      </c>
      <c r="J308" s="16" t="str">
        <f t="shared" si="6"/>
        <v>N</v>
      </c>
      <c r="K308" s="16"/>
      <c r="L308" s="16"/>
    </row>
    <row r="309">
      <c r="A309" s="40" t="s">
        <v>1815</v>
      </c>
      <c r="B309" s="10" t="str">
        <f t="shared" si="1"/>
        <v>DNA</v>
      </c>
      <c r="C309" s="49" t="str">
        <f t="shared" si="2"/>
        <v>S16574DN1</v>
      </c>
      <c r="D309" s="6">
        <v>10.0</v>
      </c>
      <c r="E309" s="10" t="str">
        <f t="shared" si="3"/>
        <v>BDN10</v>
      </c>
      <c r="F309" s="6">
        <v>97.0</v>
      </c>
      <c r="G309" s="10" t="str">
        <f t="shared" si="4"/>
        <v>BDN10-97</v>
      </c>
      <c r="H309" s="6"/>
      <c r="I309" s="16" t="str">
        <f t="shared" si="5"/>
        <v>collected</v>
      </c>
      <c r="J309" s="16" t="str">
        <f t="shared" si="6"/>
        <v>N</v>
      </c>
      <c r="K309" s="16"/>
      <c r="L309" s="16"/>
    </row>
    <row r="310">
      <c r="A310" s="40" t="s">
        <v>1816</v>
      </c>
      <c r="B310" s="10" t="str">
        <f t="shared" si="1"/>
        <v>DNA</v>
      </c>
      <c r="C310" s="49" t="str">
        <f t="shared" si="2"/>
        <v>S16577DN1</v>
      </c>
      <c r="D310" s="6">
        <v>10.0</v>
      </c>
      <c r="E310" s="10" t="str">
        <f t="shared" si="3"/>
        <v>BDN10</v>
      </c>
      <c r="F310" s="6">
        <v>98.0</v>
      </c>
      <c r="G310" s="10" t="str">
        <f t="shared" si="4"/>
        <v>BDN10-98</v>
      </c>
      <c r="H310" s="16"/>
      <c r="I310" s="16" t="str">
        <f t="shared" si="5"/>
        <v>collected</v>
      </c>
      <c r="J310" s="16" t="str">
        <f t="shared" si="6"/>
        <v>N</v>
      </c>
      <c r="K310" s="16"/>
      <c r="L310" s="16"/>
    </row>
    <row r="311">
      <c r="A311" s="40" t="s">
        <v>1817</v>
      </c>
      <c r="B311" s="10" t="str">
        <f t="shared" si="1"/>
        <v>DNA</v>
      </c>
      <c r="C311" s="49" t="str">
        <f t="shared" si="2"/>
        <v>S16579DN1</v>
      </c>
      <c r="D311" s="6">
        <v>10.0</v>
      </c>
      <c r="E311" s="10" t="str">
        <f t="shared" si="3"/>
        <v>BDN10</v>
      </c>
      <c r="F311" s="6">
        <v>99.0</v>
      </c>
      <c r="G311" s="10" t="str">
        <f t="shared" si="4"/>
        <v>BDN10-99</v>
      </c>
      <c r="H311" s="16"/>
      <c r="I311" s="16" t="str">
        <f t="shared" si="5"/>
        <v>collected</v>
      </c>
      <c r="J311" s="16" t="str">
        <f t="shared" si="6"/>
        <v>N</v>
      </c>
      <c r="K311" s="16"/>
      <c r="L311" s="16"/>
    </row>
    <row r="312">
      <c r="A312" s="40" t="s">
        <v>1818</v>
      </c>
      <c r="B312" s="10" t="str">
        <f t="shared" si="1"/>
        <v>DNA</v>
      </c>
      <c r="C312" s="49" t="str">
        <f t="shared" si="2"/>
        <v>S16576DN1</v>
      </c>
      <c r="D312" s="6">
        <v>10.0</v>
      </c>
      <c r="E312" s="10" t="str">
        <f t="shared" si="3"/>
        <v>BDN10</v>
      </c>
      <c r="F312" s="6">
        <v>100.0</v>
      </c>
      <c r="G312" s="10" t="str">
        <f t="shared" si="4"/>
        <v>BDN10-100</v>
      </c>
      <c r="H312" s="16"/>
      <c r="I312" s="16" t="str">
        <f t="shared" si="5"/>
        <v>collected</v>
      </c>
      <c r="J312" s="16" t="str">
        <f t="shared" si="6"/>
        <v>N</v>
      </c>
      <c r="K312" s="16"/>
      <c r="L312" s="16"/>
    </row>
    <row r="313">
      <c r="A313" s="40" t="s">
        <v>1819</v>
      </c>
      <c r="B313" s="10" t="str">
        <f t="shared" si="1"/>
        <v>DNA</v>
      </c>
      <c r="C313" s="49" t="str">
        <f t="shared" si="2"/>
        <v>S16578DN1</v>
      </c>
      <c r="D313" s="6">
        <v>11.0</v>
      </c>
      <c r="E313" s="10" t="str">
        <f t="shared" si="3"/>
        <v>BDN11</v>
      </c>
      <c r="F313" s="6">
        <v>1.0</v>
      </c>
      <c r="G313" s="10" t="str">
        <f t="shared" si="4"/>
        <v>BDN11-1</v>
      </c>
      <c r="H313" s="16"/>
      <c r="I313" s="16" t="str">
        <f t="shared" si="5"/>
        <v>collected</v>
      </c>
      <c r="J313" s="16" t="str">
        <f t="shared" si="6"/>
        <v>N</v>
      </c>
      <c r="K313" s="16"/>
      <c r="L313" s="16"/>
    </row>
    <row r="314">
      <c r="A314" s="40" t="s">
        <v>1821</v>
      </c>
      <c r="B314" s="10" t="str">
        <f t="shared" si="1"/>
        <v>DNA</v>
      </c>
      <c r="C314" s="49" t="str">
        <f t="shared" si="2"/>
        <v>S16572DN1</v>
      </c>
      <c r="D314" s="6">
        <v>11.0</v>
      </c>
      <c r="E314" s="10" t="str">
        <f t="shared" si="3"/>
        <v>BDN11</v>
      </c>
      <c r="F314" s="6">
        <v>2.0</v>
      </c>
      <c r="G314" s="10" t="str">
        <f t="shared" si="4"/>
        <v>BDN11-2</v>
      </c>
      <c r="H314" s="16"/>
      <c r="I314" s="16" t="str">
        <f t="shared" si="5"/>
        <v>collected</v>
      </c>
      <c r="J314" s="16" t="str">
        <f t="shared" si="6"/>
        <v>N</v>
      </c>
      <c r="K314" s="16"/>
      <c r="L314" s="16"/>
    </row>
    <row r="315">
      <c r="A315" s="40" t="s">
        <v>1822</v>
      </c>
      <c r="B315" s="10" t="str">
        <f t="shared" si="1"/>
        <v>DNA</v>
      </c>
      <c r="C315" s="49" t="str">
        <f t="shared" si="2"/>
        <v>S16486DN1</v>
      </c>
      <c r="D315" s="6">
        <v>9.0</v>
      </c>
      <c r="E315" s="10" t="str">
        <f t="shared" si="3"/>
        <v>BDN9</v>
      </c>
      <c r="F315" s="6">
        <v>73.0</v>
      </c>
      <c r="G315" s="10" t="str">
        <f t="shared" si="4"/>
        <v>BDN9-73</v>
      </c>
      <c r="H315" s="16"/>
      <c r="I315" s="16" t="str">
        <f t="shared" si="5"/>
        <v>collected</v>
      </c>
      <c r="J315" s="16" t="str">
        <f t="shared" si="6"/>
        <v>N</v>
      </c>
      <c r="K315" s="16"/>
      <c r="L315" s="16"/>
    </row>
    <row r="316">
      <c r="A316" s="40" t="s">
        <v>1823</v>
      </c>
      <c r="B316" s="10" t="str">
        <f t="shared" si="1"/>
        <v>DNA</v>
      </c>
      <c r="C316" s="49" t="str">
        <f t="shared" si="2"/>
        <v>S16490DN1</v>
      </c>
      <c r="D316" s="6">
        <v>9.0</v>
      </c>
      <c r="E316" s="10" t="str">
        <f t="shared" si="3"/>
        <v>BDN9</v>
      </c>
      <c r="F316" s="6">
        <v>74.0</v>
      </c>
      <c r="G316" s="10" t="str">
        <f t="shared" si="4"/>
        <v>BDN9-74</v>
      </c>
      <c r="H316" s="16"/>
      <c r="I316" s="16" t="str">
        <f t="shared" si="5"/>
        <v>collected</v>
      </c>
      <c r="J316" s="16" t="str">
        <f t="shared" si="6"/>
        <v>N</v>
      </c>
      <c r="K316" s="16"/>
      <c r="L316" s="16"/>
    </row>
    <row r="317">
      <c r="A317" s="40" t="s">
        <v>1824</v>
      </c>
      <c r="B317" s="10" t="str">
        <f t="shared" si="1"/>
        <v>DNA</v>
      </c>
      <c r="C317" s="49" t="str">
        <f t="shared" si="2"/>
        <v>S16487DN1</v>
      </c>
      <c r="D317" s="6">
        <v>9.0</v>
      </c>
      <c r="E317" s="10" t="str">
        <f t="shared" si="3"/>
        <v>BDN9</v>
      </c>
      <c r="F317" s="6">
        <v>75.0</v>
      </c>
      <c r="G317" s="10" t="str">
        <f t="shared" si="4"/>
        <v>BDN9-75</v>
      </c>
      <c r="H317" s="16"/>
      <c r="I317" s="16" t="str">
        <f t="shared" si="5"/>
        <v>collected</v>
      </c>
      <c r="J317" s="16" t="str">
        <f t="shared" si="6"/>
        <v>N</v>
      </c>
      <c r="K317" s="16"/>
      <c r="L317" s="16"/>
    </row>
    <row r="318">
      <c r="A318" s="40" t="s">
        <v>1825</v>
      </c>
      <c r="B318" s="10" t="str">
        <f t="shared" si="1"/>
        <v>DNA</v>
      </c>
      <c r="C318" s="49" t="str">
        <f t="shared" si="2"/>
        <v>S16488DN1</v>
      </c>
      <c r="D318" s="6">
        <v>9.0</v>
      </c>
      <c r="E318" s="10" t="str">
        <f t="shared" si="3"/>
        <v>BDN9</v>
      </c>
      <c r="F318" s="6">
        <v>76.0</v>
      </c>
      <c r="G318" s="10" t="str">
        <f t="shared" si="4"/>
        <v>BDN9-76</v>
      </c>
      <c r="H318" s="16"/>
      <c r="I318" s="16" t="str">
        <f t="shared" si="5"/>
        <v>collected</v>
      </c>
      <c r="J318" s="16" t="str">
        <f t="shared" si="6"/>
        <v>N</v>
      </c>
      <c r="K318" s="16"/>
      <c r="L318" s="16"/>
    </row>
    <row r="319">
      <c r="A319" s="43" t="s">
        <v>1827</v>
      </c>
      <c r="B319" s="10" t="str">
        <f t="shared" si="1"/>
        <v>DNA</v>
      </c>
      <c r="C319" s="49" t="str">
        <f t="shared" si="2"/>
        <v>S16489DN1</v>
      </c>
      <c r="D319" s="6">
        <v>9.0</v>
      </c>
      <c r="E319" s="10" t="str">
        <f t="shared" si="3"/>
        <v>BDN9</v>
      </c>
      <c r="F319" s="6">
        <v>77.0</v>
      </c>
      <c r="G319" s="10" t="str">
        <f t="shared" si="4"/>
        <v>BDN9-77</v>
      </c>
      <c r="H319" s="16"/>
      <c r="I319" s="16" t="str">
        <f t="shared" si="5"/>
        <v>collected</v>
      </c>
      <c r="J319" s="16" t="str">
        <f t="shared" si="6"/>
        <v>N</v>
      </c>
      <c r="K319" s="16"/>
      <c r="L319" s="16"/>
    </row>
    <row r="320">
      <c r="A320" s="43" t="s">
        <v>1828</v>
      </c>
      <c r="B320" s="10" t="str">
        <f t="shared" si="1"/>
        <v>DNA</v>
      </c>
      <c r="C320" s="49" t="str">
        <f t="shared" si="2"/>
        <v>S16484DN1</v>
      </c>
      <c r="D320" s="6">
        <v>9.0</v>
      </c>
      <c r="E320" s="10" t="str">
        <f t="shared" si="3"/>
        <v>BDN9</v>
      </c>
      <c r="F320" s="6">
        <v>78.0</v>
      </c>
      <c r="G320" s="10" t="str">
        <f t="shared" si="4"/>
        <v>BDN9-78</v>
      </c>
      <c r="H320" s="16"/>
      <c r="I320" s="16" t="str">
        <f t="shared" si="5"/>
        <v>collected</v>
      </c>
      <c r="J320" s="16" t="str">
        <f t="shared" si="6"/>
        <v>N</v>
      </c>
      <c r="K320" s="16"/>
      <c r="L320" s="16"/>
    </row>
    <row r="321">
      <c r="A321" s="43" t="s">
        <v>1829</v>
      </c>
      <c r="B321" s="10" t="str">
        <f t="shared" si="1"/>
        <v>DNA</v>
      </c>
      <c r="C321" s="49" t="str">
        <f t="shared" si="2"/>
        <v>S16483DN1</v>
      </c>
      <c r="D321" s="6">
        <v>9.0</v>
      </c>
      <c r="E321" s="10" t="str">
        <f t="shared" si="3"/>
        <v>BDN9</v>
      </c>
      <c r="F321" s="6">
        <v>79.0</v>
      </c>
      <c r="G321" s="10" t="str">
        <f t="shared" si="4"/>
        <v>BDN9-79</v>
      </c>
      <c r="H321" s="16"/>
      <c r="I321" s="16" t="str">
        <f t="shared" si="5"/>
        <v>collected</v>
      </c>
      <c r="J321" s="16" t="str">
        <f t="shared" si="6"/>
        <v>N</v>
      </c>
      <c r="K321" s="16"/>
      <c r="L321" s="16"/>
    </row>
    <row r="322">
      <c r="A322" s="43" t="s">
        <v>1830</v>
      </c>
      <c r="B322" s="10" t="str">
        <f t="shared" si="1"/>
        <v>DNA</v>
      </c>
      <c r="C322" s="49" t="str">
        <f t="shared" si="2"/>
        <v>S16482DN1</v>
      </c>
      <c r="D322" s="6">
        <v>9.0</v>
      </c>
      <c r="E322" s="10" t="str">
        <f t="shared" si="3"/>
        <v>BDN9</v>
      </c>
      <c r="F322" s="6">
        <v>80.0</v>
      </c>
      <c r="G322" s="10" t="str">
        <f t="shared" si="4"/>
        <v>BDN9-80</v>
      </c>
      <c r="H322" s="16"/>
      <c r="I322" s="16" t="str">
        <f t="shared" si="5"/>
        <v>collected</v>
      </c>
      <c r="J322" s="16" t="str">
        <f t="shared" si="6"/>
        <v>N</v>
      </c>
      <c r="K322" s="16"/>
      <c r="L322" s="16"/>
    </row>
    <row r="323">
      <c r="A323" s="43" t="s">
        <v>1832</v>
      </c>
      <c r="B323" s="10" t="str">
        <f t="shared" si="1"/>
        <v>DNA</v>
      </c>
      <c r="C323" s="49" t="str">
        <f t="shared" si="2"/>
        <v>S16485DN1</v>
      </c>
      <c r="D323" s="6">
        <v>9.0</v>
      </c>
      <c r="E323" s="10" t="str">
        <f t="shared" si="3"/>
        <v>BDN9</v>
      </c>
      <c r="F323" s="6">
        <v>81.0</v>
      </c>
      <c r="G323" s="10" t="str">
        <f t="shared" si="4"/>
        <v>BDN9-81</v>
      </c>
      <c r="H323" s="16"/>
      <c r="I323" s="16" t="str">
        <f t="shared" si="5"/>
        <v>collected</v>
      </c>
      <c r="J323" s="16" t="str">
        <f t="shared" si="6"/>
        <v>N</v>
      </c>
      <c r="K323" s="16"/>
      <c r="L323" s="16"/>
    </row>
    <row r="324">
      <c r="A324" s="43" t="s">
        <v>1833</v>
      </c>
      <c r="B324" s="10" t="str">
        <f t="shared" si="1"/>
        <v>DNA</v>
      </c>
      <c r="C324" s="49" t="str">
        <f t="shared" si="2"/>
        <v>S16481DN1</v>
      </c>
      <c r="D324" s="6">
        <v>9.0</v>
      </c>
      <c r="E324" s="10" t="str">
        <f t="shared" si="3"/>
        <v>BDN9</v>
      </c>
      <c r="F324" s="6">
        <v>82.0</v>
      </c>
      <c r="G324" s="10" t="str">
        <f t="shared" si="4"/>
        <v>BDN9-82</v>
      </c>
      <c r="H324" s="16"/>
      <c r="I324" s="16" t="str">
        <f t="shared" si="5"/>
        <v>collected</v>
      </c>
      <c r="J324" s="16" t="str">
        <f t="shared" si="6"/>
        <v>N</v>
      </c>
      <c r="K324" s="16"/>
      <c r="L324" s="16"/>
    </row>
    <row r="325">
      <c r="A325" s="43" t="s">
        <v>1835</v>
      </c>
      <c r="B325" s="10" t="str">
        <f t="shared" si="1"/>
        <v>DNA</v>
      </c>
      <c r="C325" s="49" t="str">
        <f t="shared" si="2"/>
        <v>S17190DN1</v>
      </c>
      <c r="D325" s="6">
        <v>9.0</v>
      </c>
      <c r="E325" s="10" t="str">
        <f t="shared" si="3"/>
        <v>BDN9</v>
      </c>
      <c r="F325" s="6">
        <v>83.0</v>
      </c>
      <c r="G325" s="10" t="str">
        <f t="shared" si="4"/>
        <v>BDN9-83</v>
      </c>
      <c r="H325" s="16"/>
      <c r="I325" s="16" t="str">
        <f t="shared" si="5"/>
        <v>collected</v>
      </c>
      <c r="J325" s="16" t="str">
        <f t="shared" si="6"/>
        <v>N</v>
      </c>
      <c r="K325" s="16"/>
      <c r="L325" s="16"/>
    </row>
    <row r="326">
      <c r="A326" s="43" t="s">
        <v>1836</v>
      </c>
      <c r="B326" s="10" t="str">
        <f t="shared" si="1"/>
        <v>DNA</v>
      </c>
      <c r="C326" s="49" t="str">
        <f t="shared" si="2"/>
        <v>S17189DN1</v>
      </c>
      <c r="D326" s="6">
        <v>9.0</v>
      </c>
      <c r="E326" s="10" t="str">
        <f t="shared" si="3"/>
        <v>BDN9</v>
      </c>
      <c r="F326" s="6">
        <v>84.0</v>
      </c>
      <c r="G326" s="10" t="str">
        <f t="shared" si="4"/>
        <v>BDN9-84</v>
      </c>
      <c r="H326" s="16"/>
      <c r="I326" s="16" t="str">
        <f t="shared" si="5"/>
        <v>collected</v>
      </c>
      <c r="J326" s="16" t="str">
        <f t="shared" si="6"/>
        <v>N</v>
      </c>
      <c r="K326" s="16"/>
      <c r="L326" s="16"/>
    </row>
    <row r="327">
      <c r="A327" s="43" t="s">
        <v>1838</v>
      </c>
      <c r="B327" s="10" t="str">
        <f t="shared" si="1"/>
        <v>DNA</v>
      </c>
      <c r="C327" s="49" t="str">
        <f t="shared" si="2"/>
        <v>S17188DN1</v>
      </c>
      <c r="D327" s="6">
        <v>9.0</v>
      </c>
      <c r="E327" s="10" t="str">
        <f t="shared" si="3"/>
        <v>BDN9</v>
      </c>
      <c r="F327" s="6">
        <v>85.0</v>
      </c>
      <c r="G327" s="10" t="str">
        <f t="shared" si="4"/>
        <v>BDN9-85</v>
      </c>
      <c r="H327" s="16"/>
      <c r="I327" s="16" t="str">
        <f t="shared" si="5"/>
        <v>collected</v>
      </c>
      <c r="J327" s="16" t="str">
        <f t="shared" si="6"/>
        <v>N</v>
      </c>
      <c r="K327" s="16"/>
      <c r="L327" s="16"/>
    </row>
    <row r="328">
      <c r="A328" s="43" t="s">
        <v>1840</v>
      </c>
      <c r="B328" s="10" t="str">
        <f t="shared" si="1"/>
        <v>DNA</v>
      </c>
      <c r="C328" s="49" t="str">
        <f t="shared" si="2"/>
        <v>S17187DN1</v>
      </c>
      <c r="D328" s="6">
        <v>9.0</v>
      </c>
      <c r="E328" s="10" t="str">
        <f t="shared" si="3"/>
        <v>BDN9</v>
      </c>
      <c r="F328" s="6">
        <v>86.0</v>
      </c>
      <c r="G328" s="10" t="str">
        <f t="shared" si="4"/>
        <v>BDN9-86</v>
      </c>
      <c r="H328" s="16"/>
      <c r="I328" s="16" t="str">
        <f t="shared" si="5"/>
        <v>collected</v>
      </c>
      <c r="J328" s="16" t="str">
        <f t="shared" si="6"/>
        <v>N</v>
      </c>
      <c r="K328" s="16"/>
      <c r="L328" s="16"/>
    </row>
    <row r="329">
      <c r="A329" s="43" t="s">
        <v>1841</v>
      </c>
      <c r="B329" s="10" t="str">
        <f t="shared" si="1"/>
        <v>DNA</v>
      </c>
      <c r="C329" s="49" t="str">
        <f t="shared" si="2"/>
        <v>S17186DN1</v>
      </c>
      <c r="D329" s="6">
        <v>9.0</v>
      </c>
      <c r="E329" s="10" t="str">
        <f t="shared" si="3"/>
        <v>BDN9</v>
      </c>
      <c r="F329" s="6">
        <v>87.0</v>
      </c>
      <c r="G329" s="10" t="str">
        <f t="shared" si="4"/>
        <v>BDN9-87</v>
      </c>
      <c r="H329" s="16"/>
      <c r="I329" s="16" t="str">
        <f t="shared" si="5"/>
        <v>collected</v>
      </c>
      <c r="J329" s="16" t="str">
        <f t="shared" si="6"/>
        <v>N</v>
      </c>
      <c r="K329" s="16"/>
      <c r="L329" s="16"/>
    </row>
    <row r="330">
      <c r="A330" s="43" t="s">
        <v>1843</v>
      </c>
      <c r="B330" s="10" t="str">
        <f t="shared" si="1"/>
        <v>DNA</v>
      </c>
      <c r="C330" s="49" t="str">
        <f t="shared" si="2"/>
        <v>S17185DN1</v>
      </c>
      <c r="D330" s="6">
        <v>9.0</v>
      </c>
      <c r="E330" s="10" t="str">
        <f t="shared" si="3"/>
        <v>BDN9</v>
      </c>
      <c r="F330" s="6">
        <v>88.0</v>
      </c>
      <c r="G330" s="10" t="str">
        <f t="shared" si="4"/>
        <v>BDN9-88</v>
      </c>
      <c r="H330" s="16"/>
      <c r="I330" s="16" t="str">
        <f t="shared" si="5"/>
        <v>collected</v>
      </c>
      <c r="J330" s="16" t="str">
        <f t="shared" si="6"/>
        <v>N</v>
      </c>
      <c r="K330" s="16"/>
      <c r="L330" s="16"/>
    </row>
    <row r="331">
      <c r="A331" s="43" t="s">
        <v>1844</v>
      </c>
      <c r="B331" s="10" t="str">
        <f t="shared" si="1"/>
        <v>DNA</v>
      </c>
      <c r="C331" s="49" t="str">
        <f t="shared" si="2"/>
        <v>S17184DN1</v>
      </c>
      <c r="D331" s="6">
        <v>9.0</v>
      </c>
      <c r="E331" s="10" t="str">
        <f t="shared" si="3"/>
        <v>BDN9</v>
      </c>
      <c r="F331" s="6">
        <v>89.0</v>
      </c>
      <c r="G331" s="10" t="str">
        <f t="shared" si="4"/>
        <v>BDN9-89</v>
      </c>
      <c r="H331" s="6"/>
      <c r="I331" s="16" t="str">
        <f t="shared" si="5"/>
        <v>collected</v>
      </c>
      <c r="J331" s="16" t="str">
        <f t="shared" si="6"/>
        <v>N</v>
      </c>
      <c r="K331" s="16"/>
      <c r="L331" s="16"/>
    </row>
    <row r="332">
      <c r="A332" s="43" t="s">
        <v>1845</v>
      </c>
      <c r="B332" s="10" t="str">
        <f t="shared" si="1"/>
        <v>DNA</v>
      </c>
      <c r="C332" s="49" t="str">
        <f t="shared" si="2"/>
        <v>S17181DN1</v>
      </c>
      <c r="D332" s="6">
        <v>9.0</v>
      </c>
      <c r="E332" s="10" t="str">
        <f t="shared" si="3"/>
        <v>BDN9</v>
      </c>
      <c r="F332" s="6">
        <v>90.0</v>
      </c>
      <c r="G332" s="10" t="str">
        <f t="shared" si="4"/>
        <v>BDN9-90</v>
      </c>
      <c r="H332" s="6"/>
      <c r="I332" s="16" t="str">
        <f t="shared" si="5"/>
        <v>collected</v>
      </c>
      <c r="J332" s="16" t="str">
        <f t="shared" si="6"/>
        <v>N</v>
      </c>
      <c r="K332" s="16"/>
      <c r="L332" s="16"/>
    </row>
    <row r="333">
      <c r="A333" s="43" t="s">
        <v>1846</v>
      </c>
      <c r="B333" s="10" t="str">
        <f t="shared" si="1"/>
        <v>DNA</v>
      </c>
      <c r="C333" s="49" t="str">
        <f t="shared" si="2"/>
        <v>S17182DN1</v>
      </c>
      <c r="D333" s="6">
        <v>9.0</v>
      </c>
      <c r="E333" s="10" t="str">
        <f t="shared" si="3"/>
        <v>BDN9</v>
      </c>
      <c r="F333" s="6">
        <v>91.0</v>
      </c>
      <c r="G333" s="10" t="str">
        <f t="shared" si="4"/>
        <v>BDN9-91</v>
      </c>
      <c r="H333" s="16"/>
      <c r="I333" s="16" t="str">
        <f t="shared" si="5"/>
        <v>collected</v>
      </c>
      <c r="J333" s="16" t="str">
        <f t="shared" si="6"/>
        <v>N</v>
      </c>
      <c r="K333" s="16"/>
      <c r="L333" s="16"/>
    </row>
    <row r="334">
      <c r="A334" s="43" t="s">
        <v>1847</v>
      </c>
      <c r="B334" s="10" t="str">
        <f t="shared" si="1"/>
        <v>DNA</v>
      </c>
      <c r="C334" s="49" t="str">
        <f t="shared" si="2"/>
        <v>S17183DN1</v>
      </c>
      <c r="D334" s="6">
        <v>9.0</v>
      </c>
      <c r="E334" s="10" t="str">
        <f t="shared" si="3"/>
        <v>BDN9</v>
      </c>
      <c r="F334" s="6">
        <v>92.0</v>
      </c>
      <c r="G334" s="10" t="str">
        <f t="shared" si="4"/>
        <v>BDN9-92</v>
      </c>
      <c r="H334" s="6"/>
      <c r="I334" s="16" t="str">
        <f t="shared" si="5"/>
        <v>collected</v>
      </c>
      <c r="J334" s="16" t="str">
        <f t="shared" si="6"/>
        <v>N</v>
      </c>
      <c r="K334" s="16"/>
      <c r="L334" s="16"/>
    </row>
    <row r="335">
      <c r="A335" s="43" t="s">
        <v>1848</v>
      </c>
      <c r="B335" s="10" t="str">
        <f t="shared" si="1"/>
        <v>DNA</v>
      </c>
      <c r="C335" s="49" t="str">
        <f t="shared" si="2"/>
        <v>S16655DN1</v>
      </c>
      <c r="D335" s="6">
        <v>11.0</v>
      </c>
      <c r="E335" s="10" t="str">
        <f t="shared" si="3"/>
        <v>BDN11</v>
      </c>
      <c r="F335" s="6">
        <v>3.0</v>
      </c>
      <c r="G335" s="10" t="str">
        <f t="shared" si="4"/>
        <v>BDN11-3</v>
      </c>
      <c r="H335" s="16"/>
      <c r="I335" s="16" t="str">
        <f t="shared" si="5"/>
        <v>collected</v>
      </c>
      <c r="J335" s="16" t="str">
        <f t="shared" si="6"/>
        <v>N</v>
      </c>
      <c r="K335" s="16"/>
      <c r="L335" s="16"/>
    </row>
    <row r="336">
      <c r="A336" s="43" t="s">
        <v>1849</v>
      </c>
      <c r="B336" s="10" t="str">
        <f t="shared" si="1"/>
        <v>DNA</v>
      </c>
      <c r="C336" s="49" t="str">
        <f t="shared" si="2"/>
        <v>S16652DN1</v>
      </c>
      <c r="D336" s="6">
        <v>11.0</v>
      </c>
      <c r="E336" s="10" t="str">
        <f t="shared" si="3"/>
        <v>BDN11</v>
      </c>
      <c r="F336" s="6">
        <v>4.0</v>
      </c>
      <c r="G336" s="10" t="str">
        <f t="shared" si="4"/>
        <v>BDN11-4</v>
      </c>
      <c r="H336" s="16"/>
      <c r="I336" s="16" t="str">
        <f t="shared" si="5"/>
        <v>collected</v>
      </c>
      <c r="J336" s="16" t="str">
        <f t="shared" si="6"/>
        <v>N</v>
      </c>
      <c r="K336" s="16"/>
      <c r="L336" s="16"/>
    </row>
    <row r="337">
      <c r="A337" s="40" t="s">
        <v>1850</v>
      </c>
      <c r="B337" s="10" t="str">
        <f t="shared" si="1"/>
        <v>DNA</v>
      </c>
      <c r="C337" s="49" t="str">
        <f t="shared" si="2"/>
        <v>S16653DN1</v>
      </c>
      <c r="D337" s="6">
        <v>11.0</v>
      </c>
      <c r="E337" s="10" t="str">
        <f t="shared" si="3"/>
        <v>BDN11</v>
      </c>
      <c r="F337" s="6">
        <v>5.0</v>
      </c>
      <c r="G337" s="10" t="str">
        <f t="shared" si="4"/>
        <v>BDN11-5</v>
      </c>
      <c r="H337" s="16"/>
      <c r="I337" s="16" t="str">
        <f t="shared" si="5"/>
        <v>collected</v>
      </c>
      <c r="J337" s="16" t="str">
        <f t="shared" si="6"/>
        <v>N</v>
      </c>
      <c r="K337" s="16"/>
      <c r="L337" s="16"/>
    </row>
    <row r="338">
      <c r="A338" s="40" t="s">
        <v>1852</v>
      </c>
      <c r="B338" s="10" t="str">
        <f t="shared" si="1"/>
        <v>DNA</v>
      </c>
      <c r="C338" s="49" t="str">
        <f t="shared" si="2"/>
        <v>S16658DN1</v>
      </c>
      <c r="D338" s="6">
        <v>11.0</v>
      </c>
      <c r="E338" s="10" t="str">
        <f t="shared" si="3"/>
        <v>BDN11</v>
      </c>
      <c r="F338" s="6">
        <v>6.0</v>
      </c>
      <c r="G338" s="10" t="str">
        <f t="shared" si="4"/>
        <v>BDN11-6</v>
      </c>
      <c r="H338" s="16"/>
      <c r="I338" s="16" t="str">
        <f t="shared" si="5"/>
        <v>collected</v>
      </c>
      <c r="J338" s="16" t="str">
        <f t="shared" si="6"/>
        <v>N</v>
      </c>
      <c r="K338" s="16"/>
      <c r="L338" s="16"/>
    </row>
    <row r="339">
      <c r="A339" s="40" t="s">
        <v>1853</v>
      </c>
      <c r="B339" s="10" t="str">
        <f t="shared" si="1"/>
        <v>DNA</v>
      </c>
      <c r="C339" s="49" t="str">
        <f t="shared" si="2"/>
        <v>S16659DN1</v>
      </c>
      <c r="D339" s="6">
        <v>11.0</v>
      </c>
      <c r="E339" s="10" t="str">
        <f t="shared" si="3"/>
        <v>BDN11</v>
      </c>
      <c r="F339" s="6">
        <v>7.0</v>
      </c>
      <c r="G339" s="10" t="str">
        <f t="shared" si="4"/>
        <v>BDN11-7</v>
      </c>
      <c r="H339" s="16"/>
      <c r="I339" s="16" t="str">
        <f t="shared" si="5"/>
        <v>collected</v>
      </c>
      <c r="J339" s="16" t="str">
        <f t="shared" si="6"/>
        <v>N</v>
      </c>
      <c r="K339" s="16"/>
      <c r="L339" s="16"/>
    </row>
    <row r="340">
      <c r="A340" s="40" t="s">
        <v>1854</v>
      </c>
      <c r="B340" s="10" t="str">
        <f t="shared" si="1"/>
        <v>DNA</v>
      </c>
      <c r="C340" s="49" t="str">
        <f t="shared" si="2"/>
        <v>S16656DN1</v>
      </c>
      <c r="D340" s="6">
        <v>11.0</v>
      </c>
      <c r="E340" s="10" t="str">
        <f t="shared" si="3"/>
        <v>BDN11</v>
      </c>
      <c r="F340" s="6">
        <v>8.0</v>
      </c>
      <c r="G340" s="10" t="str">
        <f t="shared" si="4"/>
        <v>BDN11-8</v>
      </c>
      <c r="H340" s="16"/>
      <c r="I340" s="16" t="str">
        <f t="shared" si="5"/>
        <v>collected</v>
      </c>
      <c r="J340" s="16" t="str">
        <f t="shared" si="6"/>
        <v>N</v>
      </c>
      <c r="K340" s="16"/>
      <c r="L340" s="16"/>
    </row>
    <row r="341">
      <c r="A341" s="40" t="s">
        <v>1855</v>
      </c>
      <c r="B341" s="10" t="str">
        <f t="shared" si="1"/>
        <v>DNA</v>
      </c>
      <c r="C341" s="49" t="str">
        <f t="shared" si="2"/>
        <v>S16660DN1</v>
      </c>
      <c r="D341" s="6">
        <v>11.0</v>
      </c>
      <c r="E341" s="10" t="str">
        <f t="shared" si="3"/>
        <v>BDN11</v>
      </c>
      <c r="F341" s="6">
        <v>9.0</v>
      </c>
      <c r="G341" s="10" t="str">
        <f t="shared" si="4"/>
        <v>BDN11-9</v>
      </c>
      <c r="H341" s="16"/>
      <c r="I341" s="16" t="str">
        <f t="shared" si="5"/>
        <v>collected</v>
      </c>
      <c r="J341" s="16" t="str">
        <f t="shared" si="6"/>
        <v>N</v>
      </c>
      <c r="K341" s="16"/>
      <c r="L341" s="16"/>
    </row>
    <row r="342">
      <c r="A342" s="40" t="s">
        <v>1857</v>
      </c>
      <c r="B342" s="10" t="str">
        <f t="shared" si="1"/>
        <v>DNA</v>
      </c>
      <c r="C342" s="49" t="str">
        <f t="shared" si="2"/>
        <v>S16657DN1</v>
      </c>
      <c r="D342" s="6">
        <v>11.0</v>
      </c>
      <c r="E342" s="10" t="str">
        <f t="shared" si="3"/>
        <v>BDN11</v>
      </c>
      <c r="F342" s="6">
        <v>10.0</v>
      </c>
      <c r="G342" s="10" t="str">
        <f t="shared" si="4"/>
        <v>BDN11-10</v>
      </c>
      <c r="H342" s="16"/>
      <c r="I342" s="16" t="str">
        <f t="shared" si="5"/>
        <v>collected</v>
      </c>
      <c r="J342" s="16" t="str">
        <f t="shared" si="6"/>
        <v>N</v>
      </c>
      <c r="K342" s="16"/>
      <c r="L342" s="16"/>
    </row>
    <row r="343">
      <c r="A343" s="40" t="s">
        <v>1858</v>
      </c>
      <c r="B343" s="10" t="str">
        <f t="shared" si="1"/>
        <v>DNA</v>
      </c>
      <c r="C343" s="49" t="str">
        <f t="shared" si="2"/>
        <v>S16654DN1</v>
      </c>
      <c r="D343" s="6">
        <v>11.0</v>
      </c>
      <c r="E343" s="10" t="str">
        <f t="shared" si="3"/>
        <v>BDN11</v>
      </c>
      <c r="F343" s="6">
        <v>11.0</v>
      </c>
      <c r="G343" s="10" t="str">
        <f t="shared" si="4"/>
        <v>BDN11-11</v>
      </c>
      <c r="H343" s="16"/>
      <c r="I343" s="16" t="str">
        <f t="shared" si="5"/>
        <v>collected</v>
      </c>
      <c r="J343" s="16" t="str">
        <f t="shared" si="6"/>
        <v>N</v>
      </c>
      <c r="K343" s="16"/>
      <c r="L343" s="16"/>
    </row>
    <row r="344">
      <c r="A344" s="40" t="s">
        <v>1859</v>
      </c>
      <c r="B344" s="10" t="str">
        <f t="shared" si="1"/>
        <v>DNA</v>
      </c>
      <c r="C344" s="49" t="str">
        <f t="shared" si="2"/>
        <v>S16651DN1</v>
      </c>
      <c r="D344" s="6">
        <v>11.0</v>
      </c>
      <c r="E344" s="10" t="str">
        <f t="shared" si="3"/>
        <v>BDN11</v>
      </c>
      <c r="F344" s="6">
        <v>12.0</v>
      </c>
      <c r="G344" s="10" t="str">
        <f t="shared" si="4"/>
        <v>BDN11-12</v>
      </c>
      <c r="H344" s="16"/>
      <c r="I344" s="16" t="str">
        <f t="shared" si="5"/>
        <v>collected</v>
      </c>
      <c r="J344" s="16" t="str">
        <f t="shared" si="6"/>
        <v>N</v>
      </c>
      <c r="K344" s="16"/>
      <c r="L344" s="16"/>
    </row>
    <row r="345">
      <c r="A345" s="43" t="s">
        <v>1860</v>
      </c>
      <c r="B345" s="10" t="str">
        <f t="shared" si="1"/>
        <v>DNA</v>
      </c>
      <c r="C345" s="49" t="str">
        <f t="shared" si="2"/>
        <v>S17470DN1</v>
      </c>
      <c r="D345" s="6">
        <v>11.0</v>
      </c>
      <c r="E345" s="10" t="str">
        <f t="shared" si="3"/>
        <v>BDN11</v>
      </c>
      <c r="F345" s="6">
        <v>13.0</v>
      </c>
      <c r="G345" s="10" t="str">
        <f t="shared" si="4"/>
        <v>BDN11-13</v>
      </c>
      <c r="H345" s="16"/>
      <c r="I345" s="16" t="str">
        <f t="shared" si="5"/>
        <v>collected</v>
      </c>
      <c r="J345" s="16" t="str">
        <f t="shared" si="6"/>
        <v>N</v>
      </c>
      <c r="K345" s="16"/>
      <c r="L345" s="16"/>
    </row>
    <row r="346">
      <c r="A346" s="40" t="s">
        <v>1861</v>
      </c>
      <c r="B346" s="10" t="str">
        <f t="shared" si="1"/>
        <v>DNA</v>
      </c>
      <c r="C346" s="49" t="str">
        <f t="shared" si="2"/>
        <v>S17469DN1</v>
      </c>
      <c r="D346" s="6">
        <v>11.0</v>
      </c>
      <c r="E346" s="10" t="str">
        <f t="shared" si="3"/>
        <v>BDN11</v>
      </c>
      <c r="F346" s="6">
        <v>14.0</v>
      </c>
      <c r="G346" s="10" t="str">
        <f t="shared" si="4"/>
        <v>BDN11-14</v>
      </c>
      <c r="H346" s="16"/>
      <c r="I346" s="16" t="str">
        <f t="shared" si="5"/>
        <v>collected</v>
      </c>
      <c r="J346" s="16" t="str">
        <f t="shared" si="6"/>
        <v>N</v>
      </c>
      <c r="K346" s="16"/>
      <c r="L346" s="16"/>
    </row>
    <row r="347">
      <c r="A347" s="40" t="s">
        <v>1863</v>
      </c>
      <c r="B347" s="10" t="str">
        <f t="shared" si="1"/>
        <v>DNA</v>
      </c>
      <c r="C347" s="49" t="str">
        <f t="shared" si="2"/>
        <v>S17468DN1</v>
      </c>
      <c r="D347" s="6">
        <v>11.0</v>
      </c>
      <c r="E347" s="10" t="str">
        <f t="shared" si="3"/>
        <v>BDN11</v>
      </c>
      <c r="F347" s="6">
        <v>15.0</v>
      </c>
      <c r="G347" s="10" t="str">
        <f t="shared" si="4"/>
        <v>BDN11-15</v>
      </c>
      <c r="H347" s="16"/>
      <c r="I347" s="16" t="str">
        <f t="shared" si="5"/>
        <v>collected</v>
      </c>
      <c r="J347" s="16" t="str">
        <f t="shared" si="6"/>
        <v>N</v>
      </c>
      <c r="K347" s="16"/>
      <c r="L347" s="16"/>
    </row>
    <row r="348">
      <c r="A348" s="40" t="s">
        <v>1864</v>
      </c>
      <c r="B348" s="10" t="str">
        <f t="shared" si="1"/>
        <v>DNA</v>
      </c>
      <c r="C348" s="49" t="str">
        <f t="shared" si="2"/>
        <v>S17467DN1</v>
      </c>
      <c r="D348" s="6">
        <v>11.0</v>
      </c>
      <c r="E348" s="10" t="str">
        <f t="shared" si="3"/>
        <v>BDN11</v>
      </c>
      <c r="F348" s="6">
        <v>16.0</v>
      </c>
      <c r="G348" s="10" t="str">
        <f t="shared" si="4"/>
        <v>BDN11-16</v>
      </c>
      <c r="H348" s="16"/>
      <c r="I348" s="16" t="str">
        <f t="shared" si="5"/>
        <v>collected</v>
      </c>
      <c r="J348" s="16" t="str">
        <f t="shared" si="6"/>
        <v>N</v>
      </c>
      <c r="K348" s="16"/>
      <c r="L348" s="16"/>
    </row>
    <row r="349">
      <c r="A349" s="40" t="s">
        <v>1865</v>
      </c>
      <c r="B349" s="10" t="str">
        <f t="shared" si="1"/>
        <v>DNA</v>
      </c>
      <c r="C349" s="49" t="str">
        <f t="shared" si="2"/>
        <v>S17454DN1</v>
      </c>
      <c r="D349" s="6">
        <v>9.0</v>
      </c>
      <c r="E349" s="10" t="str">
        <f t="shared" si="3"/>
        <v>BDN9</v>
      </c>
      <c r="F349" s="6">
        <v>93.0</v>
      </c>
      <c r="G349" s="10" t="str">
        <f t="shared" si="4"/>
        <v>BDN9-93</v>
      </c>
      <c r="H349" s="6"/>
      <c r="I349" s="16" t="str">
        <f t="shared" si="5"/>
        <v>collected</v>
      </c>
      <c r="J349" s="16" t="str">
        <f t="shared" si="6"/>
        <v>N</v>
      </c>
      <c r="K349" s="16"/>
      <c r="L349" s="16"/>
    </row>
    <row r="350">
      <c r="A350" s="40" t="s">
        <v>1866</v>
      </c>
      <c r="B350" s="10" t="str">
        <f t="shared" si="1"/>
        <v>DNA</v>
      </c>
      <c r="C350" s="49" t="str">
        <f t="shared" si="2"/>
        <v>S17458DN1</v>
      </c>
      <c r="D350" s="6">
        <v>9.0</v>
      </c>
      <c r="E350" s="10" t="str">
        <f t="shared" si="3"/>
        <v>BDN9</v>
      </c>
      <c r="F350" s="6">
        <v>94.0</v>
      </c>
      <c r="G350" s="10" t="str">
        <f t="shared" si="4"/>
        <v>BDN9-94</v>
      </c>
      <c r="H350" s="16"/>
      <c r="I350" s="16" t="str">
        <f t="shared" si="5"/>
        <v>collected</v>
      </c>
      <c r="J350" s="16" t="str">
        <f t="shared" si="6"/>
        <v>N</v>
      </c>
      <c r="K350" s="16"/>
      <c r="L350" s="16"/>
    </row>
    <row r="351">
      <c r="A351" s="40" t="s">
        <v>1867</v>
      </c>
      <c r="B351" s="10" t="str">
        <f t="shared" si="1"/>
        <v>DNA</v>
      </c>
      <c r="C351" s="49" t="str">
        <f t="shared" si="2"/>
        <v>S17459DN1</v>
      </c>
      <c r="D351" s="6">
        <v>9.0</v>
      </c>
      <c r="E351" s="10" t="str">
        <f t="shared" si="3"/>
        <v>BDN9</v>
      </c>
      <c r="F351" s="6">
        <v>95.0</v>
      </c>
      <c r="G351" s="10" t="str">
        <f t="shared" si="4"/>
        <v>BDN9-95</v>
      </c>
      <c r="H351" s="16"/>
      <c r="I351" s="16" t="str">
        <f t="shared" si="5"/>
        <v>collected</v>
      </c>
      <c r="J351" s="16" t="str">
        <f t="shared" si="6"/>
        <v>N</v>
      </c>
      <c r="K351" s="16"/>
      <c r="L351" s="16"/>
    </row>
    <row r="352">
      <c r="A352" s="40" t="s">
        <v>1869</v>
      </c>
      <c r="B352" s="10" t="str">
        <f t="shared" si="1"/>
        <v>DNA</v>
      </c>
      <c r="C352" s="49" t="str">
        <f t="shared" si="2"/>
        <v>S17456DN1</v>
      </c>
      <c r="D352" s="6">
        <v>9.0</v>
      </c>
      <c r="E352" s="10" t="str">
        <f t="shared" si="3"/>
        <v>BDN9</v>
      </c>
      <c r="F352" s="6">
        <v>96.0</v>
      </c>
      <c r="G352" s="10" t="str">
        <f t="shared" si="4"/>
        <v>BDN9-96</v>
      </c>
      <c r="H352" s="16"/>
      <c r="I352" s="16" t="str">
        <f t="shared" si="5"/>
        <v>collected</v>
      </c>
      <c r="J352" s="16" t="str">
        <f t="shared" si="6"/>
        <v>N</v>
      </c>
      <c r="K352" s="16"/>
      <c r="L352" s="16"/>
    </row>
    <row r="353">
      <c r="A353" s="40" t="s">
        <v>1870</v>
      </c>
      <c r="B353" s="10" t="str">
        <f t="shared" si="1"/>
        <v>DNA</v>
      </c>
      <c r="C353" s="49" t="str">
        <f t="shared" si="2"/>
        <v>S17460DN1</v>
      </c>
      <c r="D353" s="6">
        <v>9.0</v>
      </c>
      <c r="E353" s="10" t="str">
        <f t="shared" si="3"/>
        <v>BDN9</v>
      </c>
      <c r="F353" s="6">
        <v>97.0</v>
      </c>
      <c r="G353" s="10" t="str">
        <f t="shared" si="4"/>
        <v>BDN9-97</v>
      </c>
      <c r="H353" s="16"/>
      <c r="I353" s="16" t="str">
        <f t="shared" si="5"/>
        <v>collected</v>
      </c>
      <c r="J353" s="16" t="str">
        <f t="shared" si="6"/>
        <v>N</v>
      </c>
      <c r="K353" s="16"/>
      <c r="L353" s="16"/>
    </row>
    <row r="354">
      <c r="A354" s="40" t="s">
        <v>1871</v>
      </c>
      <c r="B354" s="10" t="str">
        <f t="shared" si="1"/>
        <v>DNA</v>
      </c>
      <c r="C354" s="49" t="str">
        <f t="shared" si="2"/>
        <v>S17455DN1</v>
      </c>
      <c r="D354" s="6">
        <v>9.0</v>
      </c>
      <c r="E354" s="10" t="str">
        <f t="shared" si="3"/>
        <v>BDN9</v>
      </c>
      <c r="F354" s="6">
        <v>98.0</v>
      </c>
      <c r="G354" s="10" t="str">
        <f t="shared" si="4"/>
        <v>BDN9-98</v>
      </c>
      <c r="H354" s="16"/>
      <c r="I354" s="16" t="str">
        <f t="shared" si="5"/>
        <v>collected</v>
      </c>
      <c r="J354" s="16" t="str">
        <f t="shared" si="6"/>
        <v>N</v>
      </c>
      <c r="K354" s="16"/>
      <c r="L354" s="16"/>
    </row>
    <row r="355">
      <c r="A355" s="40" t="s">
        <v>1872</v>
      </c>
      <c r="B355" s="10" t="str">
        <f t="shared" si="1"/>
        <v>DNA</v>
      </c>
      <c r="C355" s="49" t="str">
        <f t="shared" si="2"/>
        <v>S17451DN1</v>
      </c>
      <c r="D355" s="6">
        <v>9.0</v>
      </c>
      <c r="E355" s="10" t="str">
        <f t="shared" si="3"/>
        <v>BDN9</v>
      </c>
      <c r="F355" s="6">
        <v>99.0</v>
      </c>
      <c r="G355" s="10" t="str">
        <f t="shared" si="4"/>
        <v>BDN9-99</v>
      </c>
      <c r="H355" s="16"/>
      <c r="I355" s="16" t="str">
        <f t="shared" si="5"/>
        <v>collected</v>
      </c>
      <c r="J355" s="16" t="str">
        <f t="shared" si="6"/>
        <v>N</v>
      </c>
      <c r="K355" s="16"/>
      <c r="L355" s="16"/>
    </row>
    <row r="356">
      <c r="A356" s="40" t="s">
        <v>1874</v>
      </c>
      <c r="B356" s="10" t="str">
        <f t="shared" si="1"/>
        <v>DNA</v>
      </c>
      <c r="C356" s="49" t="str">
        <f t="shared" si="2"/>
        <v>S17452DN1</v>
      </c>
      <c r="D356" s="6">
        <v>9.0</v>
      </c>
      <c r="E356" s="10" t="str">
        <f t="shared" si="3"/>
        <v>BDN9</v>
      </c>
      <c r="F356" s="6">
        <v>100.0</v>
      </c>
      <c r="G356" s="10" t="str">
        <f t="shared" si="4"/>
        <v>BDN9-100</v>
      </c>
      <c r="H356" s="16"/>
      <c r="I356" s="16" t="str">
        <f t="shared" si="5"/>
        <v>collected</v>
      </c>
      <c r="J356" s="16" t="str">
        <f t="shared" si="6"/>
        <v>N</v>
      </c>
      <c r="K356" s="16"/>
      <c r="L356" s="16"/>
    </row>
    <row r="357">
      <c r="A357" s="40" t="s">
        <v>1875</v>
      </c>
      <c r="B357" s="10" t="str">
        <f t="shared" si="1"/>
        <v>DNA</v>
      </c>
      <c r="C357" s="49" t="str">
        <f t="shared" si="2"/>
        <v>S17457DN1</v>
      </c>
      <c r="D357" s="6">
        <v>12.0</v>
      </c>
      <c r="E357" s="10" t="str">
        <f t="shared" si="3"/>
        <v>BDN12</v>
      </c>
      <c r="F357" s="6">
        <v>1.0</v>
      </c>
      <c r="G357" s="10" t="str">
        <f t="shared" si="4"/>
        <v>BDN12-1</v>
      </c>
      <c r="H357" s="16"/>
      <c r="I357" s="16" t="str">
        <f t="shared" si="5"/>
        <v>collected</v>
      </c>
      <c r="J357" s="16" t="str">
        <f t="shared" si="6"/>
        <v>N</v>
      </c>
      <c r="K357" s="16"/>
      <c r="L357" s="16"/>
    </row>
    <row r="358">
      <c r="A358" s="43" t="s">
        <v>1876</v>
      </c>
      <c r="B358" s="10" t="str">
        <f t="shared" si="1"/>
        <v>DNA</v>
      </c>
      <c r="C358" s="49" t="str">
        <f t="shared" si="2"/>
        <v>S17453DN1</v>
      </c>
      <c r="D358" s="6">
        <v>12.0</v>
      </c>
      <c r="E358" s="10" t="str">
        <f t="shared" si="3"/>
        <v>BDN12</v>
      </c>
      <c r="F358" s="6">
        <v>2.0</v>
      </c>
      <c r="G358" s="10" t="str">
        <f t="shared" si="4"/>
        <v>BDN12-2</v>
      </c>
      <c r="H358" s="16"/>
      <c r="I358" s="16" t="str">
        <f t="shared" si="5"/>
        <v>collected</v>
      </c>
      <c r="J358" s="16" t="str">
        <f t="shared" si="6"/>
        <v>N</v>
      </c>
      <c r="K358" s="16"/>
      <c r="L358" s="16"/>
    </row>
    <row r="359">
      <c r="A359" s="43" t="s">
        <v>1877</v>
      </c>
      <c r="B359" s="10" t="str">
        <f t="shared" si="1"/>
        <v>DNA</v>
      </c>
      <c r="C359" s="49" t="str">
        <f t="shared" si="2"/>
        <v>S16031DN1</v>
      </c>
      <c r="D359" s="6">
        <v>12.0</v>
      </c>
      <c r="E359" s="10" t="str">
        <f t="shared" si="3"/>
        <v>BDN12</v>
      </c>
      <c r="F359" s="6">
        <v>3.0</v>
      </c>
      <c r="G359" s="10" t="str">
        <f t="shared" si="4"/>
        <v>BDN12-3</v>
      </c>
      <c r="H359" s="16"/>
      <c r="I359" s="16" t="str">
        <f t="shared" si="5"/>
        <v>collected</v>
      </c>
      <c r="J359" s="16" t="str">
        <f t="shared" si="6"/>
        <v>N</v>
      </c>
      <c r="K359" s="16"/>
      <c r="L359" s="16"/>
    </row>
    <row r="360">
      <c r="A360" s="43" t="s">
        <v>1878</v>
      </c>
      <c r="B360" s="10" t="str">
        <f t="shared" si="1"/>
        <v>DNA</v>
      </c>
      <c r="C360" s="49" t="str">
        <f t="shared" si="2"/>
        <v>S16037DN1</v>
      </c>
      <c r="D360" s="6">
        <v>12.0</v>
      </c>
      <c r="E360" s="10" t="str">
        <f t="shared" si="3"/>
        <v>BDN12</v>
      </c>
      <c r="F360" s="6">
        <v>4.0</v>
      </c>
      <c r="G360" s="10" t="str">
        <f t="shared" si="4"/>
        <v>BDN12-4</v>
      </c>
      <c r="H360" s="16"/>
      <c r="I360" s="16" t="str">
        <f t="shared" si="5"/>
        <v>collected</v>
      </c>
      <c r="J360" s="16" t="str">
        <f t="shared" si="6"/>
        <v>N</v>
      </c>
      <c r="K360" s="16"/>
      <c r="L360" s="16"/>
    </row>
    <row r="361">
      <c r="A361" s="43" t="s">
        <v>1880</v>
      </c>
      <c r="B361" s="10" t="str">
        <f t="shared" si="1"/>
        <v>DNA</v>
      </c>
      <c r="C361" s="49" t="str">
        <f t="shared" si="2"/>
        <v>S16038DN1</v>
      </c>
      <c r="D361" s="6">
        <v>12.0</v>
      </c>
      <c r="E361" s="10" t="str">
        <f t="shared" si="3"/>
        <v>BDN12</v>
      </c>
      <c r="F361" s="6">
        <v>5.0</v>
      </c>
      <c r="G361" s="10" t="str">
        <f t="shared" si="4"/>
        <v>BDN12-5</v>
      </c>
      <c r="H361" s="16"/>
      <c r="I361" s="16" t="str">
        <f t="shared" si="5"/>
        <v>collected</v>
      </c>
      <c r="J361" s="16" t="str">
        <f t="shared" si="6"/>
        <v>N</v>
      </c>
      <c r="K361" s="16"/>
      <c r="L361" s="16"/>
    </row>
    <row r="362">
      <c r="A362" s="43" t="s">
        <v>1881</v>
      </c>
      <c r="B362" s="10" t="str">
        <f t="shared" si="1"/>
        <v>DNA</v>
      </c>
      <c r="C362" s="49" t="str">
        <f t="shared" si="2"/>
        <v>S16034DN1</v>
      </c>
      <c r="D362" s="6">
        <v>12.0</v>
      </c>
      <c r="E362" s="10" t="str">
        <f t="shared" si="3"/>
        <v>BDN12</v>
      </c>
      <c r="F362" s="6">
        <v>6.0</v>
      </c>
      <c r="G362" s="10" t="str">
        <f t="shared" si="4"/>
        <v>BDN12-6</v>
      </c>
      <c r="H362" s="16"/>
      <c r="I362" s="16" t="str">
        <f t="shared" si="5"/>
        <v>collected</v>
      </c>
      <c r="J362" s="16" t="str">
        <f t="shared" si="6"/>
        <v>N</v>
      </c>
      <c r="K362" s="16"/>
      <c r="L362" s="16"/>
    </row>
    <row r="363">
      <c r="A363" s="43" t="s">
        <v>1882</v>
      </c>
      <c r="B363" s="10" t="str">
        <f t="shared" si="1"/>
        <v>DNA</v>
      </c>
      <c r="C363" s="49" t="str">
        <f t="shared" si="2"/>
        <v>S16039DN1</v>
      </c>
      <c r="D363" s="6">
        <v>12.0</v>
      </c>
      <c r="E363" s="10" t="str">
        <f t="shared" si="3"/>
        <v>BDN12</v>
      </c>
      <c r="F363" s="6">
        <v>7.0</v>
      </c>
      <c r="G363" s="10" t="str">
        <f t="shared" si="4"/>
        <v>BDN12-7</v>
      </c>
      <c r="H363" s="16"/>
      <c r="I363" s="16" t="str">
        <f t="shared" si="5"/>
        <v>collected</v>
      </c>
      <c r="J363" s="16" t="str">
        <f t="shared" si="6"/>
        <v>N</v>
      </c>
      <c r="K363" s="16"/>
      <c r="L363" s="16"/>
    </row>
    <row r="364">
      <c r="A364" s="43" t="s">
        <v>1883</v>
      </c>
      <c r="B364" s="10" t="str">
        <f t="shared" si="1"/>
        <v>DNA</v>
      </c>
      <c r="C364" s="49" t="str">
        <f t="shared" si="2"/>
        <v>S16035DN1</v>
      </c>
      <c r="D364" s="6">
        <v>12.0</v>
      </c>
      <c r="E364" s="10" t="str">
        <f t="shared" si="3"/>
        <v>BDN12</v>
      </c>
      <c r="F364" s="6">
        <v>8.0</v>
      </c>
      <c r="G364" s="10" t="str">
        <f t="shared" si="4"/>
        <v>BDN12-8</v>
      </c>
      <c r="H364" s="16"/>
      <c r="I364" s="16" t="str">
        <f t="shared" si="5"/>
        <v>collected</v>
      </c>
      <c r="J364" s="16" t="str">
        <f t="shared" si="6"/>
        <v>N</v>
      </c>
      <c r="K364" s="16"/>
      <c r="L364" s="16"/>
    </row>
    <row r="365">
      <c r="A365" s="40" t="s">
        <v>1885</v>
      </c>
      <c r="B365" s="10" t="str">
        <f t="shared" si="1"/>
        <v>DNA</v>
      </c>
      <c r="C365" s="49" t="str">
        <f t="shared" si="2"/>
        <v>S16032DN1</v>
      </c>
      <c r="D365" s="6">
        <v>12.0</v>
      </c>
      <c r="E365" s="10" t="str">
        <f t="shared" si="3"/>
        <v>BDN12</v>
      </c>
      <c r="F365" s="6">
        <v>9.0</v>
      </c>
      <c r="G365" s="10" t="str">
        <f t="shared" si="4"/>
        <v>BDN12-9</v>
      </c>
      <c r="H365" s="16"/>
      <c r="I365" s="16" t="str">
        <f t="shared" si="5"/>
        <v>collected</v>
      </c>
      <c r="J365" s="16" t="str">
        <f t="shared" si="6"/>
        <v>N</v>
      </c>
      <c r="K365" s="16"/>
      <c r="L365" s="16"/>
    </row>
    <row r="366">
      <c r="A366" s="40" t="s">
        <v>1886</v>
      </c>
      <c r="B366" s="10" t="str">
        <f t="shared" si="1"/>
        <v>DNA</v>
      </c>
      <c r="C366" s="49" t="str">
        <f t="shared" si="2"/>
        <v>S16040DN1</v>
      </c>
      <c r="D366" s="6">
        <v>12.0</v>
      </c>
      <c r="E366" s="10" t="str">
        <f t="shared" si="3"/>
        <v>BDN12</v>
      </c>
      <c r="F366" s="6">
        <v>10.0</v>
      </c>
      <c r="G366" s="10" t="str">
        <f t="shared" si="4"/>
        <v>BDN12-10</v>
      </c>
      <c r="H366" s="16"/>
      <c r="I366" s="16" t="str">
        <f t="shared" si="5"/>
        <v>collected</v>
      </c>
      <c r="J366" s="16" t="str">
        <f t="shared" si="6"/>
        <v>N</v>
      </c>
      <c r="K366" s="16"/>
      <c r="L366" s="16"/>
    </row>
    <row r="367">
      <c r="A367" s="40" t="s">
        <v>1887</v>
      </c>
      <c r="B367" s="10" t="str">
        <f t="shared" si="1"/>
        <v>DNA</v>
      </c>
      <c r="C367" s="49" t="str">
        <f t="shared" si="2"/>
        <v>S16033DN1</v>
      </c>
      <c r="D367" s="6">
        <v>12.0</v>
      </c>
      <c r="E367" s="10" t="str">
        <f t="shared" si="3"/>
        <v>BDN12</v>
      </c>
      <c r="F367" s="6">
        <v>11.0</v>
      </c>
      <c r="G367" s="10" t="str">
        <f t="shared" si="4"/>
        <v>BDN12-11</v>
      </c>
      <c r="H367" s="16"/>
      <c r="I367" s="16" t="str">
        <f t="shared" si="5"/>
        <v>collected</v>
      </c>
      <c r="J367" s="16" t="str">
        <f t="shared" si="6"/>
        <v>N</v>
      </c>
      <c r="K367" s="16"/>
      <c r="L367" s="16"/>
    </row>
    <row r="368">
      <c r="A368" s="43" t="s">
        <v>1888</v>
      </c>
      <c r="B368" s="10" t="str">
        <f t="shared" si="1"/>
        <v>DNA</v>
      </c>
      <c r="C368" s="49" t="str">
        <f t="shared" si="2"/>
        <v>S16036DN1</v>
      </c>
      <c r="D368" s="6">
        <v>12.0</v>
      </c>
      <c r="E368" s="10" t="str">
        <f t="shared" si="3"/>
        <v>BDN12</v>
      </c>
      <c r="F368" s="6">
        <v>12.0</v>
      </c>
      <c r="G368" s="10" t="str">
        <f t="shared" si="4"/>
        <v>BDN12-12</v>
      </c>
      <c r="H368" s="16"/>
      <c r="I368" s="16" t="str">
        <f t="shared" si="5"/>
        <v>collected</v>
      </c>
      <c r="J368" s="16" t="str">
        <f t="shared" si="6"/>
        <v>N</v>
      </c>
      <c r="K368" s="16"/>
      <c r="L368" s="16"/>
    </row>
    <row r="369">
      <c r="A369" s="43" t="s">
        <v>1889</v>
      </c>
      <c r="B369" s="10" t="str">
        <f t="shared" si="1"/>
        <v>DNA</v>
      </c>
      <c r="C369" s="49" t="str">
        <f t="shared" si="2"/>
        <v>S17466DN1</v>
      </c>
      <c r="D369" s="6">
        <v>11.0</v>
      </c>
      <c r="E369" s="10" t="str">
        <f t="shared" si="3"/>
        <v>BDN11</v>
      </c>
      <c r="F369" s="6">
        <v>17.0</v>
      </c>
      <c r="G369" s="10" t="str">
        <f t="shared" si="4"/>
        <v>BDN11-17</v>
      </c>
      <c r="H369" s="16"/>
      <c r="I369" s="16" t="str">
        <f t="shared" si="5"/>
        <v>collected</v>
      </c>
      <c r="J369" s="16" t="str">
        <f t="shared" si="6"/>
        <v>N</v>
      </c>
      <c r="K369" s="16"/>
      <c r="L369" s="16"/>
    </row>
    <row r="370">
      <c r="A370" s="43" t="s">
        <v>1891</v>
      </c>
      <c r="B370" s="10" t="str">
        <f t="shared" si="1"/>
        <v>DNA</v>
      </c>
      <c r="C370" s="49" t="str">
        <f t="shared" si="2"/>
        <v>S17465DN1</v>
      </c>
      <c r="D370" s="6">
        <v>11.0</v>
      </c>
      <c r="E370" s="10" t="str">
        <f t="shared" si="3"/>
        <v>BDN11</v>
      </c>
      <c r="F370" s="6">
        <v>18.0</v>
      </c>
      <c r="G370" s="10" t="str">
        <f t="shared" si="4"/>
        <v>BDN11-18</v>
      </c>
      <c r="H370" s="16"/>
      <c r="I370" s="16" t="str">
        <f t="shared" si="5"/>
        <v>collected</v>
      </c>
      <c r="J370" s="16" t="str">
        <f t="shared" si="6"/>
        <v>N</v>
      </c>
      <c r="K370" s="16"/>
      <c r="L370" s="16"/>
    </row>
    <row r="371">
      <c r="A371" s="43" t="s">
        <v>1892</v>
      </c>
      <c r="B371" s="10" t="str">
        <f t="shared" si="1"/>
        <v>DNA</v>
      </c>
      <c r="C371" s="49" t="str">
        <f t="shared" si="2"/>
        <v>S17464DN1</v>
      </c>
      <c r="D371" s="6">
        <v>11.0</v>
      </c>
      <c r="E371" s="10" t="str">
        <f t="shared" si="3"/>
        <v>BDN11</v>
      </c>
      <c r="F371" s="6">
        <v>19.0</v>
      </c>
      <c r="G371" s="10" t="str">
        <f t="shared" si="4"/>
        <v>BDN11-19</v>
      </c>
      <c r="H371" s="16"/>
      <c r="I371" s="16" t="str">
        <f t="shared" si="5"/>
        <v>collected</v>
      </c>
      <c r="J371" s="16" t="str">
        <f t="shared" si="6"/>
        <v>N</v>
      </c>
      <c r="K371" s="16"/>
      <c r="L371" s="16"/>
    </row>
    <row r="372">
      <c r="A372" s="43" t="s">
        <v>1893</v>
      </c>
      <c r="B372" s="10" t="str">
        <f t="shared" si="1"/>
        <v>DNA</v>
      </c>
      <c r="C372" s="49" t="str">
        <f t="shared" si="2"/>
        <v>S17463DN1</v>
      </c>
      <c r="D372" s="6">
        <v>11.0</v>
      </c>
      <c r="E372" s="10" t="str">
        <f t="shared" si="3"/>
        <v>BDN11</v>
      </c>
      <c r="F372" s="6">
        <v>20.0</v>
      </c>
      <c r="G372" s="10" t="str">
        <f t="shared" si="4"/>
        <v>BDN11-20</v>
      </c>
      <c r="H372" s="16"/>
      <c r="I372" s="16" t="str">
        <f t="shared" si="5"/>
        <v>collected</v>
      </c>
      <c r="J372" s="16" t="str">
        <f t="shared" si="6"/>
        <v>N</v>
      </c>
      <c r="K372" s="16"/>
      <c r="L372" s="16"/>
    </row>
    <row r="373">
      <c r="A373" s="43" t="s">
        <v>1894</v>
      </c>
      <c r="B373" s="10" t="str">
        <f t="shared" si="1"/>
        <v>DNA</v>
      </c>
      <c r="C373" s="49" t="str">
        <f t="shared" si="2"/>
        <v>S17462DN1</v>
      </c>
      <c r="D373" s="6">
        <v>11.0</v>
      </c>
      <c r="E373" s="10" t="str">
        <f t="shared" si="3"/>
        <v>BDN11</v>
      </c>
      <c r="F373" s="6">
        <v>21.0</v>
      </c>
      <c r="G373" s="10" t="str">
        <f t="shared" si="4"/>
        <v>BDN11-21</v>
      </c>
      <c r="H373" s="16"/>
      <c r="I373" s="16" t="str">
        <f t="shared" si="5"/>
        <v>collected</v>
      </c>
      <c r="J373" s="16" t="str">
        <f t="shared" si="6"/>
        <v>N</v>
      </c>
      <c r="K373" s="16"/>
      <c r="L373" s="16"/>
    </row>
    <row r="374">
      <c r="A374" s="43" t="s">
        <v>1895</v>
      </c>
      <c r="B374" s="10" t="str">
        <f t="shared" si="1"/>
        <v>DNA</v>
      </c>
      <c r="C374" s="49" t="str">
        <f t="shared" si="2"/>
        <v>S17461DN1</v>
      </c>
      <c r="D374" s="6">
        <v>11.0</v>
      </c>
      <c r="E374" s="10" t="str">
        <f t="shared" si="3"/>
        <v>BDN11</v>
      </c>
      <c r="F374" s="6">
        <v>22.0</v>
      </c>
      <c r="G374" s="10" t="str">
        <f t="shared" si="4"/>
        <v>BDN11-22</v>
      </c>
      <c r="H374" s="16"/>
      <c r="I374" s="16" t="str">
        <f t="shared" si="5"/>
        <v>collected</v>
      </c>
      <c r="J374" s="16" t="str">
        <f t="shared" si="6"/>
        <v>N</v>
      </c>
      <c r="K374" s="16"/>
      <c r="L374" s="16"/>
    </row>
    <row r="375">
      <c r="A375" s="43" t="s">
        <v>1896</v>
      </c>
      <c r="B375" s="10" t="str">
        <f t="shared" si="1"/>
        <v>DNA</v>
      </c>
      <c r="C375" s="49" t="str">
        <f t="shared" si="2"/>
        <v>S16736DN1</v>
      </c>
      <c r="D375" s="6">
        <v>11.0</v>
      </c>
      <c r="E375" s="10" t="str">
        <f t="shared" si="3"/>
        <v>BDN11</v>
      </c>
      <c r="F375" s="6">
        <v>23.0</v>
      </c>
      <c r="G375" s="10" t="str">
        <f t="shared" si="4"/>
        <v>BDN11-23</v>
      </c>
      <c r="H375" s="16"/>
      <c r="I375" s="16" t="str">
        <f t="shared" si="5"/>
        <v>collected</v>
      </c>
      <c r="J375" s="16" t="str">
        <f t="shared" si="6"/>
        <v>N</v>
      </c>
      <c r="K375" s="16"/>
      <c r="L375" s="16"/>
    </row>
    <row r="376">
      <c r="A376" s="43" t="s">
        <v>1897</v>
      </c>
      <c r="B376" s="10" t="str">
        <f t="shared" si="1"/>
        <v>DNA</v>
      </c>
      <c r="C376" s="49" t="str">
        <f t="shared" si="2"/>
        <v>S16738DN1</v>
      </c>
      <c r="D376" s="6">
        <v>11.0</v>
      </c>
      <c r="E376" s="10" t="str">
        <f t="shared" si="3"/>
        <v>BDN11</v>
      </c>
      <c r="F376" s="6">
        <v>24.0</v>
      </c>
      <c r="G376" s="10" t="str">
        <f t="shared" si="4"/>
        <v>BDN11-24</v>
      </c>
      <c r="H376" s="16"/>
      <c r="I376" s="16" t="str">
        <f t="shared" si="5"/>
        <v>collected</v>
      </c>
      <c r="J376" s="16" t="str">
        <f t="shared" si="6"/>
        <v>N</v>
      </c>
      <c r="K376" s="16"/>
      <c r="L376" s="16"/>
    </row>
    <row r="377">
      <c r="A377" s="43" t="s">
        <v>1898</v>
      </c>
      <c r="B377" s="10" t="str">
        <f t="shared" si="1"/>
        <v>DNA</v>
      </c>
      <c r="C377" s="49" t="str">
        <f t="shared" si="2"/>
        <v>S16740DN1</v>
      </c>
      <c r="D377" s="6">
        <v>11.0</v>
      </c>
      <c r="E377" s="10" t="str">
        <f t="shared" si="3"/>
        <v>BDN11</v>
      </c>
      <c r="F377" s="6">
        <v>25.0</v>
      </c>
      <c r="G377" s="10" t="str">
        <f t="shared" si="4"/>
        <v>BDN11-25</v>
      </c>
      <c r="H377" s="16"/>
      <c r="I377" s="16" t="str">
        <f t="shared" si="5"/>
        <v>collected</v>
      </c>
      <c r="J377" s="16" t="str">
        <f t="shared" si="6"/>
        <v>N</v>
      </c>
      <c r="K377" s="16"/>
      <c r="L377" s="16"/>
    </row>
    <row r="378">
      <c r="A378" s="43" t="s">
        <v>1900</v>
      </c>
      <c r="B378" s="10" t="str">
        <f t="shared" si="1"/>
        <v>DNA</v>
      </c>
      <c r="C378" s="49" t="str">
        <f t="shared" si="2"/>
        <v>S16735DN1</v>
      </c>
      <c r="D378" s="6">
        <v>11.0</v>
      </c>
      <c r="E378" s="10" t="str">
        <f t="shared" si="3"/>
        <v>BDN11</v>
      </c>
      <c r="F378" s="6">
        <v>26.0</v>
      </c>
      <c r="G378" s="10" t="str">
        <f t="shared" si="4"/>
        <v>BDN11-26</v>
      </c>
      <c r="H378" s="16"/>
      <c r="I378" s="16" t="str">
        <f t="shared" si="5"/>
        <v>collected</v>
      </c>
      <c r="J378" s="16" t="str">
        <f t="shared" si="6"/>
        <v>N</v>
      </c>
      <c r="K378" s="16"/>
      <c r="L378" s="16"/>
    </row>
    <row r="379">
      <c r="A379" s="43" t="s">
        <v>1901</v>
      </c>
      <c r="B379" s="10" t="str">
        <f t="shared" si="1"/>
        <v>DNA</v>
      </c>
      <c r="C379" s="49" t="str">
        <f t="shared" si="2"/>
        <v>S16737DN1</v>
      </c>
      <c r="D379" s="6">
        <v>11.0</v>
      </c>
      <c r="E379" s="10" t="str">
        <f t="shared" si="3"/>
        <v>BDN11</v>
      </c>
      <c r="F379" s="6">
        <v>27.0</v>
      </c>
      <c r="G379" s="10" t="str">
        <f t="shared" si="4"/>
        <v>BDN11-27</v>
      </c>
      <c r="H379" s="16"/>
      <c r="I379" s="16" t="str">
        <f t="shared" si="5"/>
        <v>collected</v>
      </c>
      <c r="J379" s="16" t="str">
        <f t="shared" si="6"/>
        <v>N</v>
      </c>
      <c r="K379" s="16"/>
      <c r="L379" s="16"/>
    </row>
    <row r="380">
      <c r="A380" s="43" t="s">
        <v>1902</v>
      </c>
      <c r="B380" s="10" t="str">
        <f t="shared" si="1"/>
        <v>DNA</v>
      </c>
      <c r="C380" s="49" t="str">
        <f t="shared" si="2"/>
        <v>S16733DN1</v>
      </c>
      <c r="D380" s="6">
        <v>11.0</v>
      </c>
      <c r="E380" s="10" t="str">
        <f t="shared" si="3"/>
        <v>BDN11</v>
      </c>
      <c r="F380" s="6">
        <v>28.0</v>
      </c>
      <c r="G380" s="10" t="str">
        <f t="shared" si="4"/>
        <v>BDN11-28</v>
      </c>
      <c r="H380" s="16"/>
      <c r="I380" s="16" t="str">
        <f t="shared" si="5"/>
        <v>collected</v>
      </c>
      <c r="J380" s="16" t="str">
        <f t="shared" si="6"/>
        <v>N</v>
      </c>
      <c r="K380" s="16"/>
      <c r="L380" s="16"/>
    </row>
    <row r="381">
      <c r="A381" s="43" t="s">
        <v>1903</v>
      </c>
      <c r="B381" s="10" t="str">
        <f t="shared" si="1"/>
        <v>DNA</v>
      </c>
      <c r="C381" s="49" t="str">
        <f t="shared" si="2"/>
        <v>S16734DN1</v>
      </c>
      <c r="D381" s="6">
        <v>11.0</v>
      </c>
      <c r="E381" s="10" t="str">
        <f t="shared" si="3"/>
        <v>BDN11</v>
      </c>
      <c r="F381" s="6">
        <v>29.0</v>
      </c>
      <c r="G381" s="10" t="str">
        <f t="shared" si="4"/>
        <v>BDN11-29</v>
      </c>
      <c r="H381" s="16"/>
      <c r="I381" s="16" t="str">
        <f t="shared" si="5"/>
        <v>collected</v>
      </c>
      <c r="J381" s="16" t="str">
        <f t="shared" si="6"/>
        <v>N</v>
      </c>
      <c r="K381" s="16"/>
      <c r="L381" s="16"/>
    </row>
    <row r="382">
      <c r="A382" s="43" t="s">
        <v>1904</v>
      </c>
      <c r="B382" s="10" t="str">
        <f t="shared" si="1"/>
        <v>DNA</v>
      </c>
      <c r="C382" s="49" t="str">
        <f t="shared" si="2"/>
        <v>S16731DN1</v>
      </c>
      <c r="D382" s="6">
        <v>11.0</v>
      </c>
      <c r="E382" s="10" t="str">
        <f t="shared" si="3"/>
        <v>BDN11</v>
      </c>
      <c r="F382" s="6">
        <v>30.0</v>
      </c>
      <c r="G382" s="10" t="str">
        <f t="shared" si="4"/>
        <v>BDN11-30</v>
      </c>
      <c r="H382" s="16"/>
      <c r="I382" s="16" t="str">
        <f t="shared" si="5"/>
        <v>collected</v>
      </c>
      <c r="J382" s="16" t="str">
        <f t="shared" si="6"/>
        <v>N</v>
      </c>
      <c r="K382" s="16"/>
      <c r="L382" s="16"/>
    </row>
    <row r="383">
      <c r="A383" s="43" t="s">
        <v>1905</v>
      </c>
      <c r="B383" s="10" t="str">
        <f t="shared" si="1"/>
        <v>DNA</v>
      </c>
      <c r="C383" s="49" t="str">
        <f t="shared" si="2"/>
        <v>S16739DN1</v>
      </c>
      <c r="D383" s="6">
        <v>11.0</v>
      </c>
      <c r="E383" s="10" t="str">
        <f t="shared" si="3"/>
        <v>BDN11</v>
      </c>
      <c r="F383" s="6">
        <v>31.0</v>
      </c>
      <c r="G383" s="10" t="str">
        <f t="shared" si="4"/>
        <v>BDN11-31</v>
      </c>
      <c r="H383" s="16"/>
      <c r="I383" s="16" t="str">
        <f t="shared" si="5"/>
        <v>collected</v>
      </c>
      <c r="J383" s="16" t="str">
        <f t="shared" si="6"/>
        <v>N</v>
      </c>
      <c r="K383" s="16"/>
      <c r="L383" s="16"/>
    </row>
    <row r="384">
      <c r="A384" s="43" t="s">
        <v>1906</v>
      </c>
      <c r="B384" s="10" t="str">
        <f t="shared" si="1"/>
        <v>DNA</v>
      </c>
      <c r="C384" s="49" t="str">
        <f t="shared" si="2"/>
        <v>S16732DN1</v>
      </c>
      <c r="D384" s="6">
        <v>11.0</v>
      </c>
      <c r="E384" s="10" t="str">
        <f t="shared" si="3"/>
        <v>BDN11</v>
      </c>
      <c r="F384" s="6">
        <v>32.0</v>
      </c>
      <c r="G384" s="10" t="str">
        <f t="shared" si="4"/>
        <v>BDN11-32</v>
      </c>
      <c r="H384" s="16"/>
      <c r="I384" s="16" t="str">
        <f t="shared" si="5"/>
        <v>collected</v>
      </c>
      <c r="J384" s="16" t="str">
        <f t="shared" si="6"/>
        <v>N</v>
      </c>
      <c r="K384" s="16"/>
      <c r="L384" s="16"/>
    </row>
    <row r="385">
      <c r="A385" s="43" t="s">
        <v>1907</v>
      </c>
      <c r="B385" s="10" t="str">
        <f t="shared" si="1"/>
        <v>DNA</v>
      </c>
      <c r="C385" s="49" t="str">
        <f t="shared" si="2"/>
        <v>S17939DN1</v>
      </c>
      <c r="D385" s="6">
        <v>11.0</v>
      </c>
      <c r="E385" s="10" t="str">
        <f t="shared" si="3"/>
        <v>BDN11</v>
      </c>
      <c r="F385" s="6">
        <v>33.0</v>
      </c>
      <c r="G385" s="10" t="str">
        <f t="shared" si="4"/>
        <v>BDN11-33</v>
      </c>
      <c r="H385" s="16"/>
      <c r="I385" s="16" t="str">
        <f t="shared" si="5"/>
        <v>collected</v>
      </c>
      <c r="J385" s="16" t="str">
        <f t="shared" si="6"/>
        <v>N</v>
      </c>
      <c r="K385" s="16"/>
      <c r="L385" s="16"/>
    </row>
    <row r="386">
      <c r="A386" s="43" t="s">
        <v>1908</v>
      </c>
      <c r="B386" s="10" t="str">
        <f t="shared" si="1"/>
        <v>DNA</v>
      </c>
      <c r="C386" s="49" t="str">
        <f t="shared" si="2"/>
        <v>S17936DN1</v>
      </c>
      <c r="D386" s="6">
        <v>11.0</v>
      </c>
      <c r="E386" s="10" t="str">
        <f t="shared" si="3"/>
        <v>BDN11</v>
      </c>
      <c r="F386" s="6">
        <v>34.0</v>
      </c>
      <c r="G386" s="10" t="str">
        <f t="shared" si="4"/>
        <v>BDN11-34</v>
      </c>
      <c r="H386" s="16"/>
      <c r="I386" s="16" t="str">
        <f t="shared" si="5"/>
        <v>collected</v>
      </c>
      <c r="J386" s="16" t="str">
        <f t="shared" si="6"/>
        <v>N</v>
      </c>
      <c r="K386" s="16"/>
      <c r="L386" s="16"/>
    </row>
    <row r="387">
      <c r="A387" s="43" t="s">
        <v>1909</v>
      </c>
      <c r="B387" s="10" t="str">
        <f t="shared" si="1"/>
        <v>DNA</v>
      </c>
      <c r="C387" s="49" t="str">
        <f t="shared" si="2"/>
        <v>S17940DN1</v>
      </c>
      <c r="D387" s="6">
        <v>11.0</v>
      </c>
      <c r="E387" s="10" t="str">
        <f t="shared" si="3"/>
        <v>BDN11</v>
      </c>
      <c r="F387" s="6">
        <v>35.0</v>
      </c>
      <c r="G387" s="10" t="str">
        <f t="shared" si="4"/>
        <v>BDN11-35</v>
      </c>
      <c r="H387" s="16"/>
      <c r="I387" s="16" t="str">
        <f t="shared" si="5"/>
        <v>collected</v>
      </c>
      <c r="J387" s="16" t="str">
        <f t="shared" si="6"/>
        <v>N</v>
      </c>
      <c r="K387" s="16"/>
      <c r="L387" s="16"/>
    </row>
    <row r="388">
      <c r="A388" s="26" t="s">
        <v>1910</v>
      </c>
      <c r="B388" s="10" t="str">
        <f t="shared" si="1"/>
        <v>DNA</v>
      </c>
      <c r="C388" s="49" t="str">
        <f t="shared" si="2"/>
        <v>S17932DN1</v>
      </c>
      <c r="D388" s="6">
        <v>11.0</v>
      </c>
      <c r="E388" s="10" t="str">
        <f t="shared" si="3"/>
        <v>BDN11</v>
      </c>
      <c r="F388" s="6">
        <v>36.0</v>
      </c>
      <c r="G388" s="10" t="str">
        <f t="shared" si="4"/>
        <v>BDN11-36</v>
      </c>
      <c r="H388" s="16"/>
      <c r="I388" s="16" t="str">
        <f t="shared" si="5"/>
        <v>collected</v>
      </c>
      <c r="J388" s="16" t="str">
        <f t="shared" si="6"/>
        <v>N</v>
      </c>
      <c r="K388" s="16"/>
      <c r="L388" s="16"/>
    </row>
    <row r="389">
      <c r="A389" s="26" t="s">
        <v>1911</v>
      </c>
      <c r="B389" s="10" t="str">
        <f t="shared" si="1"/>
        <v>DNA</v>
      </c>
      <c r="C389" s="49" t="str">
        <f t="shared" si="2"/>
        <v>S17931DN1</v>
      </c>
      <c r="D389" s="6">
        <v>11.0</v>
      </c>
      <c r="E389" s="10" t="str">
        <f t="shared" si="3"/>
        <v>BDN11</v>
      </c>
      <c r="F389" s="6">
        <v>37.0</v>
      </c>
      <c r="G389" s="10" t="str">
        <f t="shared" si="4"/>
        <v>BDN11-37</v>
      </c>
      <c r="H389" s="16"/>
      <c r="I389" s="16" t="str">
        <f t="shared" si="5"/>
        <v>collected</v>
      </c>
      <c r="J389" s="16" t="str">
        <f t="shared" si="6"/>
        <v>N</v>
      </c>
      <c r="K389" s="16"/>
      <c r="L389" s="16"/>
    </row>
    <row r="390">
      <c r="A390" s="26" t="s">
        <v>1912</v>
      </c>
      <c r="B390" s="10" t="str">
        <f t="shared" si="1"/>
        <v>DNA</v>
      </c>
      <c r="C390" s="49" t="str">
        <f t="shared" si="2"/>
        <v>S17934DN1</v>
      </c>
      <c r="D390" s="6">
        <v>11.0</v>
      </c>
      <c r="E390" s="10" t="str">
        <f t="shared" si="3"/>
        <v>BDN11</v>
      </c>
      <c r="F390" s="6">
        <v>38.0</v>
      </c>
      <c r="G390" s="10" t="str">
        <f t="shared" si="4"/>
        <v>BDN11-38</v>
      </c>
      <c r="H390" s="16"/>
      <c r="I390" s="16" t="str">
        <f t="shared" si="5"/>
        <v>collected</v>
      </c>
      <c r="J390" s="16" t="str">
        <f t="shared" si="6"/>
        <v>N</v>
      </c>
      <c r="K390" s="16"/>
      <c r="L390" s="16"/>
    </row>
    <row r="391">
      <c r="A391" s="26" t="s">
        <v>1913</v>
      </c>
      <c r="B391" s="10" t="str">
        <f t="shared" si="1"/>
        <v>DNA</v>
      </c>
      <c r="C391" s="49" t="str">
        <f t="shared" si="2"/>
        <v>S17935DN1</v>
      </c>
      <c r="D391" s="6">
        <v>11.0</v>
      </c>
      <c r="E391" s="10" t="str">
        <f t="shared" si="3"/>
        <v>BDN11</v>
      </c>
      <c r="F391" s="6">
        <v>39.0</v>
      </c>
      <c r="G391" s="10" t="str">
        <f t="shared" si="4"/>
        <v>BDN11-39</v>
      </c>
      <c r="H391" s="16"/>
      <c r="I391" s="16" t="str">
        <f t="shared" si="5"/>
        <v>collected</v>
      </c>
      <c r="J391" s="16" t="str">
        <f t="shared" si="6"/>
        <v>N</v>
      </c>
      <c r="K391" s="16"/>
      <c r="L391" s="16"/>
    </row>
    <row r="392">
      <c r="A392" s="6" t="s">
        <v>1915</v>
      </c>
      <c r="B392" s="10" t="str">
        <f t="shared" si="1"/>
        <v>DNA</v>
      </c>
      <c r="C392" s="49" t="str">
        <f t="shared" si="2"/>
        <v>S17937DN1</v>
      </c>
      <c r="D392" s="6">
        <v>11.0</v>
      </c>
      <c r="E392" s="10" t="str">
        <f t="shared" si="3"/>
        <v>BDN11</v>
      </c>
      <c r="F392" s="6">
        <v>40.0</v>
      </c>
      <c r="G392" s="10" t="str">
        <f t="shared" si="4"/>
        <v>BDN11-40</v>
      </c>
      <c r="H392" s="16"/>
      <c r="I392" s="16" t="str">
        <f t="shared" si="5"/>
        <v>collected</v>
      </c>
      <c r="J392" s="16" t="str">
        <f t="shared" si="6"/>
        <v>N</v>
      </c>
      <c r="K392" s="16"/>
      <c r="L392" s="16"/>
    </row>
    <row r="393">
      <c r="A393" s="6" t="s">
        <v>1916</v>
      </c>
      <c r="B393" s="10" t="str">
        <f t="shared" si="1"/>
        <v>DNA</v>
      </c>
      <c r="C393" s="49" t="str">
        <f t="shared" si="2"/>
        <v>S17933DN1</v>
      </c>
      <c r="D393" s="6">
        <v>11.0</v>
      </c>
      <c r="E393" s="10" t="str">
        <f t="shared" si="3"/>
        <v>BDN11</v>
      </c>
      <c r="F393" s="6">
        <v>41.0</v>
      </c>
      <c r="G393" s="10" t="str">
        <f t="shared" si="4"/>
        <v>BDN11-41</v>
      </c>
      <c r="H393" s="16"/>
      <c r="I393" s="16" t="str">
        <f t="shared" si="5"/>
        <v>collected</v>
      </c>
      <c r="J393" s="16" t="str">
        <f t="shared" si="6"/>
        <v>N</v>
      </c>
      <c r="K393" s="16"/>
      <c r="L393" s="16"/>
    </row>
    <row r="394">
      <c r="A394" s="6" t="s">
        <v>1918</v>
      </c>
      <c r="B394" s="10" t="str">
        <f t="shared" si="1"/>
        <v>DNA</v>
      </c>
      <c r="C394" s="49" t="str">
        <f t="shared" si="2"/>
        <v>S17938DN1</v>
      </c>
      <c r="D394" s="6">
        <v>11.0</v>
      </c>
      <c r="E394" s="10" t="str">
        <f t="shared" si="3"/>
        <v>BDN11</v>
      </c>
      <c r="F394" s="6">
        <v>42.0</v>
      </c>
      <c r="G394" s="10" t="str">
        <f t="shared" si="4"/>
        <v>BDN11-42</v>
      </c>
      <c r="H394" s="16"/>
      <c r="I394" s="16" t="str">
        <f t="shared" si="5"/>
        <v>collected</v>
      </c>
      <c r="J394" s="16" t="str">
        <f t="shared" si="6"/>
        <v>N</v>
      </c>
      <c r="K394" s="16"/>
      <c r="L394" s="16"/>
    </row>
    <row r="395">
      <c r="A395" s="43" t="s">
        <v>1919</v>
      </c>
      <c r="B395" s="10" t="str">
        <f t="shared" si="1"/>
        <v>DNA</v>
      </c>
      <c r="C395" s="49" t="str">
        <f t="shared" si="2"/>
        <v>S16047DN1</v>
      </c>
      <c r="D395" s="6">
        <v>12.0</v>
      </c>
      <c r="E395" s="10" t="str">
        <f t="shared" si="3"/>
        <v>BDN12</v>
      </c>
      <c r="F395" s="6">
        <v>13.0</v>
      </c>
      <c r="G395" s="10" t="str">
        <f t="shared" si="4"/>
        <v>BDN12-13</v>
      </c>
      <c r="H395" s="16"/>
      <c r="I395" s="16" t="str">
        <f t="shared" si="5"/>
        <v>collected</v>
      </c>
      <c r="J395" s="16" t="str">
        <f t="shared" si="6"/>
        <v>N</v>
      </c>
      <c r="K395" s="16"/>
      <c r="L395" s="16"/>
    </row>
    <row r="396">
      <c r="A396" s="43" t="s">
        <v>1920</v>
      </c>
      <c r="B396" s="10" t="str">
        <f t="shared" si="1"/>
        <v>DNA</v>
      </c>
      <c r="C396" s="49" t="str">
        <f t="shared" si="2"/>
        <v>S16043DN1</v>
      </c>
      <c r="D396" s="6">
        <v>12.0</v>
      </c>
      <c r="E396" s="10" t="str">
        <f t="shared" si="3"/>
        <v>BDN12</v>
      </c>
      <c r="F396" s="6">
        <v>14.0</v>
      </c>
      <c r="G396" s="10" t="str">
        <f t="shared" si="4"/>
        <v>BDN12-14</v>
      </c>
      <c r="H396" s="16"/>
      <c r="I396" s="16" t="str">
        <f t="shared" si="5"/>
        <v>collected</v>
      </c>
      <c r="J396" s="16" t="str">
        <f t="shared" si="6"/>
        <v>N</v>
      </c>
      <c r="K396" s="16"/>
      <c r="L396" s="16"/>
    </row>
    <row r="397">
      <c r="A397" s="43" t="s">
        <v>1921</v>
      </c>
      <c r="B397" s="10" t="str">
        <f t="shared" si="1"/>
        <v>DNA</v>
      </c>
      <c r="C397" s="49" t="str">
        <f t="shared" si="2"/>
        <v>S16049DN1</v>
      </c>
      <c r="D397" s="6">
        <v>12.0</v>
      </c>
      <c r="E397" s="10" t="str">
        <f t="shared" si="3"/>
        <v>BDN12</v>
      </c>
      <c r="F397" s="6">
        <v>15.0</v>
      </c>
      <c r="G397" s="10" t="str">
        <f t="shared" si="4"/>
        <v>BDN12-15</v>
      </c>
      <c r="H397" s="16"/>
      <c r="I397" s="16" t="str">
        <f t="shared" si="5"/>
        <v>collected</v>
      </c>
      <c r="J397" s="16" t="str">
        <f t="shared" si="6"/>
        <v>N</v>
      </c>
      <c r="K397" s="16"/>
      <c r="L397" s="16"/>
    </row>
    <row r="398">
      <c r="A398" s="43" t="s">
        <v>1922</v>
      </c>
      <c r="B398" s="10" t="str">
        <f t="shared" si="1"/>
        <v>DNA</v>
      </c>
      <c r="C398" s="49" t="str">
        <f t="shared" si="2"/>
        <v>S16050DN1</v>
      </c>
      <c r="D398" s="6">
        <v>12.0</v>
      </c>
      <c r="E398" s="10" t="str">
        <f t="shared" si="3"/>
        <v>BDN12</v>
      </c>
      <c r="F398" s="6">
        <v>16.0</v>
      </c>
      <c r="G398" s="10" t="str">
        <f t="shared" si="4"/>
        <v>BDN12-16</v>
      </c>
      <c r="H398" s="16"/>
      <c r="I398" s="16" t="str">
        <f t="shared" si="5"/>
        <v>collected</v>
      </c>
      <c r="J398" s="16" t="str">
        <f t="shared" si="6"/>
        <v>N</v>
      </c>
      <c r="K398" s="16"/>
      <c r="L398" s="16"/>
    </row>
    <row r="399">
      <c r="A399" s="43" t="s">
        <v>1923</v>
      </c>
      <c r="B399" s="10" t="str">
        <f t="shared" si="1"/>
        <v>DNA</v>
      </c>
      <c r="C399" s="49" t="str">
        <f t="shared" si="2"/>
        <v>S16044DN1</v>
      </c>
      <c r="D399" s="6">
        <v>12.0</v>
      </c>
      <c r="E399" s="10" t="str">
        <f t="shared" si="3"/>
        <v>BDN12</v>
      </c>
      <c r="F399" s="6">
        <v>17.0</v>
      </c>
      <c r="G399" s="10" t="str">
        <f t="shared" si="4"/>
        <v>BDN12-17</v>
      </c>
      <c r="H399" s="16"/>
      <c r="I399" s="16" t="str">
        <f t="shared" si="5"/>
        <v>collected</v>
      </c>
      <c r="J399" s="16" t="str">
        <f t="shared" si="6"/>
        <v>N</v>
      </c>
      <c r="K399" s="16"/>
      <c r="L399" s="16"/>
    </row>
    <row r="400">
      <c r="A400" s="43" t="s">
        <v>1924</v>
      </c>
      <c r="B400" s="10" t="str">
        <f t="shared" si="1"/>
        <v>DNA</v>
      </c>
      <c r="C400" s="49" t="str">
        <f t="shared" si="2"/>
        <v>S16045DN1</v>
      </c>
      <c r="D400" s="6">
        <v>12.0</v>
      </c>
      <c r="E400" s="10" t="str">
        <f t="shared" si="3"/>
        <v>BDN12</v>
      </c>
      <c r="F400" s="6">
        <v>18.0</v>
      </c>
      <c r="G400" s="10" t="str">
        <f t="shared" si="4"/>
        <v>BDN12-18</v>
      </c>
      <c r="H400" s="16"/>
      <c r="I400" s="16" t="str">
        <f t="shared" si="5"/>
        <v>collected</v>
      </c>
      <c r="J400" s="16" t="str">
        <f t="shared" si="6"/>
        <v>N</v>
      </c>
      <c r="K400" s="16"/>
      <c r="L400" s="16"/>
    </row>
    <row r="401">
      <c r="A401" s="43" t="s">
        <v>1925</v>
      </c>
      <c r="B401" s="10" t="str">
        <f t="shared" si="1"/>
        <v>DNA</v>
      </c>
      <c r="C401" s="49" t="str">
        <f t="shared" si="2"/>
        <v>S16046DN1</v>
      </c>
      <c r="D401" s="6">
        <v>12.0</v>
      </c>
      <c r="E401" s="10" t="str">
        <f t="shared" si="3"/>
        <v>BDN12</v>
      </c>
      <c r="F401" s="6">
        <v>19.0</v>
      </c>
      <c r="G401" s="10" t="str">
        <f t="shared" si="4"/>
        <v>BDN12-19</v>
      </c>
      <c r="H401" s="16"/>
      <c r="I401" s="16" t="str">
        <f t="shared" si="5"/>
        <v>collected</v>
      </c>
      <c r="J401" s="16" t="str">
        <f t="shared" si="6"/>
        <v>N</v>
      </c>
      <c r="K401" s="16"/>
      <c r="L401" s="16"/>
    </row>
    <row r="402">
      <c r="A402" s="43" t="s">
        <v>1926</v>
      </c>
      <c r="B402" s="10" t="str">
        <f t="shared" si="1"/>
        <v>DNA</v>
      </c>
      <c r="C402" s="49" t="str">
        <f t="shared" si="2"/>
        <v>S16048DN1</v>
      </c>
      <c r="D402" s="6">
        <v>12.0</v>
      </c>
      <c r="E402" s="10" t="str">
        <f t="shared" si="3"/>
        <v>BDN12</v>
      </c>
      <c r="F402" s="6">
        <v>20.0</v>
      </c>
      <c r="G402" s="10" t="str">
        <f t="shared" si="4"/>
        <v>BDN12-20</v>
      </c>
      <c r="H402" s="16"/>
      <c r="I402" s="16" t="str">
        <f t="shared" si="5"/>
        <v>collected</v>
      </c>
      <c r="J402" s="16" t="str">
        <f t="shared" si="6"/>
        <v>N</v>
      </c>
      <c r="K402" s="16"/>
      <c r="L402" s="16"/>
    </row>
    <row r="403">
      <c r="A403" s="43" t="s">
        <v>1927</v>
      </c>
      <c r="B403" s="10" t="str">
        <f t="shared" si="1"/>
        <v>DNA</v>
      </c>
      <c r="C403" s="49" t="str">
        <f t="shared" si="2"/>
        <v>S16041DN1</v>
      </c>
      <c r="D403" s="6">
        <v>12.0</v>
      </c>
      <c r="E403" s="10" t="str">
        <f t="shared" si="3"/>
        <v>BDN12</v>
      </c>
      <c r="F403" s="6">
        <v>21.0</v>
      </c>
      <c r="G403" s="10" t="str">
        <f t="shared" si="4"/>
        <v>BDN12-21</v>
      </c>
      <c r="H403" s="16"/>
      <c r="I403" s="16" t="str">
        <f t="shared" si="5"/>
        <v>collected</v>
      </c>
      <c r="J403" s="16" t="str">
        <f t="shared" si="6"/>
        <v>N</v>
      </c>
      <c r="K403" s="16"/>
      <c r="L403" s="16"/>
    </row>
    <row r="404">
      <c r="A404" s="40" t="s">
        <v>1928</v>
      </c>
      <c r="B404" s="10" t="str">
        <f t="shared" si="1"/>
        <v>DNA</v>
      </c>
      <c r="C404" s="49" t="str">
        <f t="shared" si="2"/>
        <v>S16042DN1</v>
      </c>
      <c r="D404" s="6">
        <v>12.0</v>
      </c>
      <c r="E404" s="10" t="str">
        <f t="shared" si="3"/>
        <v>BDN12</v>
      </c>
      <c r="F404" s="6">
        <v>22.0</v>
      </c>
      <c r="G404" s="10" t="str">
        <f t="shared" si="4"/>
        <v>BDN12-22</v>
      </c>
      <c r="H404" s="16"/>
      <c r="I404" s="16" t="str">
        <f t="shared" si="5"/>
        <v>collected</v>
      </c>
      <c r="J404" s="16" t="str">
        <f t="shared" si="6"/>
        <v>N</v>
      </c>
      <c r="K404" s="16"/>
      <c r="L404" s="16"/>
    </row>
    <row r="405">
      <c r="A405" s="40" t="s">
        <v>1929</v>
      </c>
      <c r="B405" s="10" t="str">
        <f t="shared" si="1"/>
        <v>DNA</v>
      </c>
      <c r="C405" s="49" t="str">
        <f t="shared" si="2"/>
        <v>S16004DN1</v>
      </c>
      <c r="D405" s="6">
        <v>12.0</v>
      </c>
      <c r="E405" s="10" t="str">
        <f t="shared" si="3"/>
        <v>BDN12</v>
      </c>
      <c r="F405" s="6">
        <v>23.0</v>
      </c>
      <c r="G405" s="10" t="str">
        <f t="shared" si="4"/>
        <v>BDN12-23</v>
      </c>
      <c r="H405" s="16"/>
      <c r="I405" s="16" t="str">
        <f t="shared" si="5"/>
        <v>collected</v>
      </c>
      <c r="J405" s="16" t="str">
        <f t="shared" si="6"/>
        <v>N</v>
      </c>
      <c r="K405" s="16"/>
      <c r="L405" s="16"/>
    </row>
    <row r="406">
      <c r="A406" s="40" t="s">
        <v>1930</v>
      </c>
      <c r="B406" s="10" t="str">
        <f t="shared" si="1"/>
        <v>DNA</v>
      </c>
      <c r="C406" s="49" t="str">
        <f t="shared" si="2"/>
        <v>S16002DN1</v>
      </c>
      <c r="D406" s="6">
        <v>12.0</v>
      </c>
      <c r="E406" s="10" t="str">
        <f t="shared" si="3"/>
        <v>BDN12</v>
      </c>
      <c r="F406" s="6">
        <v>24.0</v>
      </c>
      <c r="G406" s="10" t="str">
        <f t="shared" si="4"/>
        <v>BDN12-24</v>
      </c>
      <c r="H406" s="16"/>
      <c r="I406" s="16" t="str">
        <f t="shared" si="5"/>
        <v>collected</v>
      </c>
      <c r="J406" s="16" t="str">
        <f t="shared" si="6"/>
        <v>N</v>
      </c>
      <c r="K406" s="16"/>
      <c r="L406" s="16"/>
    </row>
    <row r="407">
      <c r="A407" s="40" t="s">
        <v>1931</v>
      </c>
      <c r="B407" s="10" t="str">
        <f t="shared" si="1"/>
        <v>DNA</v>
      </c>
      <c r="C407" s="49" t="str">
        <f t="shared" si="2"/>
        <v>S16001DN1</v>
      </c>
      <c r="D407" s="6">
        <v>12.0</v>
      </c>
      <c r="E407" s="10" t="str">
        <f t="shared" si="3"/>
        <v>BDN12</v>
      </c>
      <c r="F407" s="6">
        <v>25.0</v>
      </c>
      <c r="G407" s="10" t="str">
        <f t="shared" si="4"/>
        <v>BDN12-25</v>
      </c>
      <c r="H407" s="16"/>
      <c r="I407" s="16" t="str">
        <f t="shared" si="5"/>
        <v>collected</v>
      </c>
      <c r="J407" s="16" t="str">
        <f t="shared" si="6"/>
        <v>N</v>
      </c>
      <c r="K407" s="16"/>
      <c r="L407" s="16"/>
    </row>
    <row r="408">
      <c r="A408" s="40" t="s">
        <v>1932</v>
      </c>
      <c r="B408" s="10" t="str">
        <f t="shared" si="1"/>
        <v>DNA</v>
      </c>
      <c r="C408" s="49" t="str">
        <f t="shared" si="2"/>
        <v>S16005DN1</v>
      </c>
      <c r="D408" s="6">
        <v>12.0</v>
      </c>
      <c r="E408" s="10" t="str">
        <f t="shared" si="3"/>
        <v>BDN12</v>
      </c>
      <c r="F408" s="6">
        <v>26.0</v>
      </c>
      <c r="G408" s="10" t="str">
        <f t="shared" si="4"/>
        <v>BDN12-26</v>
      </c>
      <c r="H408" s="16"/>
      <c r="I408" s="16" t="str">
        <f t="shared" si="5"/>
        <v>collected</v>
      </c>
      <c r="J408" s="16" t="str">
        <f t="shared" si="6"/>
        <v>N</v>
      </c>
      <c r="K408" s="16"/>
      <c r="L408" s="16"/>
    </row>
    <row r="409">
      <c r="A409" s="40" t="s">
        <v>1933</v>
      </c>
      <c r="B409" s="10" t="str">
        <f t="shared" si="1"/>
        <v>DNA</v>
      </c>
      <c r="C409" s="49" t="str">
        <f t="shared" si="2"/>
        <v>S16010DN1</v>
      </c>
      <c r="D409" s="6">
        <v>12.0</v>
      </c>
      <c r="E409" s="10" t="str">
        <f t="shared" si="3"/>
        <v>BDN12</v>
      </c>
      <c r="F409" s="6">
        <v>27.0</v>
      </c>
      <c r="G409" s="10" t="str">
        <f t="shared" si="4"/>
        <v>BDN12-27</v>
      </c>
      <c r="H409" s="16"/>
      <c r="I409" s="16" t="str">
        <f t="shared" si="5"/>
        <v>collected</v>
      </c>
      <c r="J409" s="16" t="str">
        <f t="shared" si="6"/>
        <v>N</v>
      </c>
      <c r="K409" s="16"/>
      <c r="L409" s="16"/>
    </row>
    <row r="410">
      <c r="A410" s="40" t="s">
        <v>1934</v>
      </c>
      <c r="B410" s="10" t="str">
        <f t="shared" si="1"/>
        <v>DNA</v>
      </c>
      <c r="C410" s="49" t="str">
        <f t="shared" si="2"/>
        <v>S16006DN1</v>
      </c>
      <c r="D410" s="6">
        <v>12.0</v>
      </c>
      <c r="E410" s="10" t="str">
        <f t="shared" si="3"/>
        <v>BDN12</v>
      </c>
      <c r="F410" s="6">
        <v>28.0</v>
      </c>
      <c r="G410" s="10" t="str">
        <f t="shared" si="4"/>
        <v>BDN12-28</v>
      </c>
      <c r="H410" s="16"/>
      <c r="I410" s="16" t="str">
        <f t="shared" si="5"/>
        <v>collected</v>
      </c>
      <c r="J410" s="16" t="str">
        <f t="shared" si="6"/>
        <v>N</v>
      </c>
      <c r="K410" s="16"/>
      <c r="L410" s="16"/>
    </row>
    <row r="411">
      <c r="A411" s="40" t="s">
        <v>1935</v>
      </c>
      <c r="B411" s="10" t="str">
        <f t="shared" si="1"/>
        <v>DNA</v>
      </c>
      <c r="C411" s="49" t="str">
        <f t="shared" si="2"/>
        <v>S16009DN1</v>
      </c>
      <c r="D411" s="6">
        <v>12.0</v>
      </c>
      <c r="E411" s="10" t="str">
        <f t="shared" si="3"/>
        <v>BDN12</v>
      </c>
      <c r="F411" s="6">
        <v>29.0</v>
      </c>
      <c r="G411" s="10" t="str">
        <f t="shared" si="4"/>
        <v>BDN12-29</v>
      </c>
      <c r="H411" s="16"/>
      <c r="I411" s="16" t="str">
        <f t="shared" si="5"/>
        <v>collected</v>
      </c>
      <c r="J411" s="16" t="str">
        <f t="shared" si="6"/>
        <v>N</v>
      </c>
      <c r="K411" s="16"/>
      <c r="L411" s="16"/>
    </row>
    <row r="412">
      <c r="A412" s="40" t="s">
        <v>1936</v>
      </c>
      <c r="B412" s="10" t="str">
        <f t="shared" si="1"/>
        <v>DNA</v>
      </c>
      <c r="C412" s="49" t="str">
        <f t="shared" si="2"/>
        <v>S16008DN1</v>
      </c>
      <c r="D412" s="6">
        <v>12.0</v>
      </c>
      <c r="E412" s="10" t="str">
        <f t="shared" si="3"/>
        <v>BDN12</v>
      </c>
      <c r="F412" s="6">
        <v>30.0</v>
      </c>
      <c r="G412" s="10" t="str">
        <f t="shared" si="4"/>
        <v>BDN12-30</v>
      </c>
      <c r="H412" s="16"/>
      <c r="I412" s="16" t="str">
        <f t="shared" si="5"/>
        <v>collected</v>
      </c>
      <c r="J412" s="16" t="str">
        <f t="shared" si="6"/>
        <v>N</v>
      </c>
      <c r="K412" s="16"/>
      <c r="L412" s="16"/>
    </row>
    <row r="413">
      <c r="A413" s="40" t="s">
        <v>1937</v>
      </c>
      <c r="B413" s="10" t="str">
        <f t="shared" si="1"/>
        <v>DNA</v>
      </c>
      <c r="C413" s="49" t="str">
        <f t="shared" si="2"/>
        <v>S16007DN1</v>
      </c>
      <c r="D413" s="6">
        <v>12.0</v>
      </c>
      <c r="E413" s="10" t="str">
        <f t="shared" si="3"/>
        <v>BDN12</v>
      </c>
      <c r="F413" s="6">
        <v>31.0</v>
      </c>
      <c r="G413" s="10" t="str">
        <f t="shared" si="4"/>
        <v>BDN12-31</v>
      </c>
      <c r="H413" s="16"/>
      <c r="I413" s="16" t="str">
        <f t="shared" si="5"/>
        <v>collected</v>
      </c>
      <c r="J413" s="16" t="str">
        <f t="shared" si="6"/>
        <v>N</v>
      </c>
      <c r="K413" s="16"/>
      <c r="L413" s="16"/>
    </row>
    <row r="414">
      <c r="A414" s="40" t="s">
        <v>1938</v>
      </c>
      <c r="B414" s="10" t="str">
        <f t="shared" si="1"/>
        <v>DNA</v>
      </c>
      <c r="C414" s="49" t="str">
        <f t="shared" si="2"/>
        <v>S16003DN1</v>
      </c>
      <c r="D414" s="6">
        <v>12.0</v>
      </c>
      <c r="E414" s="10" t="str">
        <f t="shared" si="3"/>
        <v>BDN12</v>
      </c>
      <c r="F414" s="6">
        <v>32.0</v>
      </c>
      <c r="G414" s="10" t="str">
        <f t="shared" si="4"/>
        <v>BDN12-32</v>
      </c>
      <c r="H414" s="16"/>
      <c r="I414" s="16" t="str">
        <f t="shared" si="5"/>
        <v>collected</v>
      </c>
      <c r="J414" s="16" t="str">
        <f t="shared" si="6"/>
        <v>N</v>
      </c>
      <c r="K414" s="16"/>
      <c r="L414" s="16"/>
    </row>
    <row r="415">
      <c r="A415" s="43" t="s">
        <v>1939</v>
      </c>
      <c r="B415" s="10" t="str">
        <f t="shared" si="1"/>
        <v>DNA</v>
      </c>
      <c r="C415" s="49" t="str">
        <f t="shared" si="2"/>
        <v>S16441DN1</v>
      </c>
      <c r="D415" s="6">
        <v>12.0</v>
      </c>
      <c r="E415" s="10" t="str">
        <f t="shared" si="3"/>
        <v>BDN12</v>
      </c>
      <c r="F415" s="6">
        <v>33.0</v>
      </c>
      <c r="G415" s="10" t="str">
        <f t="shared" si="4"/>
        <v>BDN12-33</v>
      </c>
      <c r="H415" s="16"/>
      <c r="I415" s="16" t="str">
        <f t="shared" si="5"/>
        <v>collected</v>
      </c>
      <c r="J415" s="16" t="str">
        <f t="shared" si="6"/>
        <v>N</v>
      </c>
      <c r="K415" s="16"/>
      <c r="L415" s="16"/>
    </row>
    <row r="416">
      <c r="A416" s="43" t="s">
        <v>1940</v>
      </c>
      <c r="B416" s="10" t="str">
        <f t="shared" si="1"/>
        <v>DNA</v>
      </c>
      <c r="C416" s="49" t="str">
        <f t="shared" si="2"/>
        <v>S16442DN1</v>
      </c>
      <c r="D416" s="6">
        <v>12.0</v>
      </c>
      <c r="E416" s="10" t="str">
        <f t="shared" si="3"/>
        <v>BDN12</v>
      </c>
      <c r="F416" s="6">
        <v>34.0</v>
      </c>
      <c r="G416" s="10" t="str">
        <f t="shared" si="4"/>
        <v>BDN12-34</v>
      </c>
      <c r="H416" s="16"/>
      <c r="I416" s="16" t="str">
        <f t="shared" si="5"/>
        <v>collected</v>
      </c>
      <c r="J416" s="16" t="str">
        <f t="shared" si="6"/>
        <v>N</v>
      </c>
      <c r="K416" s="16"/>
      <c r="L416" s="16"/>
    </row>
    <row r="417">
      <c r="A417" s="43" t="s">
        <v>1941</v>
      </c>
      <c r="B417" s="10" t="str">
        <f t="shared" si="1"/>
        <v>DNA</v>
      </c>
      <c r="C417" s="49" t="str">
        <f t="shared" si="2"/>
        <v>S16444DN1</v>
      </c>
      <c r="D417" s="6">
        <v>12.0</v>
      </c>
      <c r="E417" s="10" t="str">
        <f t="shared" si="3"/>
        <v>BDN12</v>
      </c>
      <c r="F417" s="6">
        <v>35.0</v>
      </c>
      <c r="G417" s="10" t="str">
        <f t="shared" si="4"/>
        <v>BDN12-35</v>
      </c>
      <c r="H417" s="16"/>
      <c r="I417" s="16" t="str">
        <f t="shared" si="5"/>
        <v>collected</v>
      </c>
      <c r="J417" s="16" t="str">
        <f t="shared" si="6"/>
        <v>N</v>
      </c>
      <c r="K417" s="16"/>
      <c r="L417" s="16"/>
    </row>
    <row r="418">
      <c r="A418" s="40" t="s">
        <v>1942</v>
      </c>
      <c r="B418" s="10" t="str">
        <f t="shared" si="1"/>
        <v>DNA</v>
      </c>
      <c r="C418" s="49" t="str">
        <f t="shared" si="2"/>
        <v>S16443DN1</v>
      </c>
      <c r="D418" s="6">
        <v>12.0</v>
      </c>
      <c r="E418" s="10" t="str">
        <f t="shared" si="3"/>
        <v>BDN12</v>
      </c>
      <c r="F418" s="6">
        <v>36.0</v>
      </c>
      <c r="G418" s="10" t="str">
        <f t="shared" si="4"/>
        <v>BDN12-36</v>
      </c>
      <c r="H418" s="16"/>
      <c r="I418" s="16" t="str">
        <f t="shared" si="5"/>
        <v>collected</v>
      </c>
      <c r="J418" s="16" t="str">
        <f t="shared" si="6"/>
        <v>N</v>
      </c>
      <c r="K418" s="16"/>
      <c r="L418" s="16"/>
    </row>
    <row r="419">
      <c r="A419" s="40" t="s">
        <v>1943</v>
      </c>
      <c r="B419" s="10" t="str">
        <f t="shared" si="1"/>
        <v>DNA</v>
      </c>
      <c r="C419" s="49" t="str">
        <f t="shared" si="2"/>
        <v>S16445DN1</v>
      </c>
      <c r="D419" s="6">
        <v>12.0</v>
      </c>
      <c r="E419" s="10" t="str">
        <f t="shared" si="3"/>
        <v>BDN12</v>
      </c>
      <c r="F419" s="6">
        <v>37.0</v>
      </c>
      <c r="G419" s="10" t="str">
        <f t="shared" si="4"/>
        <v>BDN12-37</v>
      </c>
      <c r="H419" s="16"/>
      <c r="I419" s="16" t="str">
        <f t="shared" si="5"/>
        <v>collected</v>
      </c>
      <c r="J419" s="16" t="str">
        <f t="shared" si="6"/>
        <v>N</v>
      </c>
      <c r="K419" s="16"/>
      <c r="L419" s="16"/>
    </row>
    <row r="420">
      <c r="A420" s="40" t="s">
        <v>1944</v>
      </c>
      <c r="B420" s="10" t="str">
        <f t="shared" si="1"/>
        <v>DNA</v>
      </c>
      <c r="C420" s="49" t="str">
        <f t="shared" si="2"/>
        <v>S16450DN1</v>
      </c>
      <c r="D420" s="6">
        <v>12.0</v>
      </c>
      <c r="E420" s="10" t="str">
        <f t="shared" si="3"/>
        <v>BDN12</v>
      </c>
      <c r="F420" s="6">
        <v>38.0</v>
      </c>
      <c r="G420" s="10" t="str">
        <f t="shared" si="4"/>
        <v>BDN12-38</v>
      </c>
      <c r="H420" s="16"/>
      <c r="I420" s="16" t="str">
        <f t="shared" si="5"/>
        <v>collected</v>
      </c>
      <c r="J420" s="16" t="str">
        <f t="shared" si="6"/>
        <v>N</v>
      </c>
      <c r="K420" s="16"/>
      <c r="L420" s="16"/>
    </row>
    <row r="421">
      <c r="A421" s="40" t="s">
        <v>1945</v>
      </c>
      <c r="B421" s="10" t="str">
        <f t="shared" si="1"/>
        <v>DNA</v>
      </c>
      <c r="C421" s="49" t="str">
        <f t="shared" si="2"/>
        <v>S16446DN1</v>
      </c>
      <c r="D421" s="6">
        <v>12.0</v>
      </c>
      <c r="E421" s="10" t="str">
        <f t="shared" si="3"/>
        <v>BDN12</v>
      </c>
      <c r="F421" s="6">
        <v>39.0</v>
      </c>
      <c r="G421" s="10" t="str">
        <f t="shared" si="4"/>
        <v>BDN12-39</v>
      </c>
      <c r="H421" s="16"/>
      <c r="I421" s="16" t="str">
        <f t="shared" si="5"/>
        <v>collected</v>
      </c>
      <c r="J421" s="16" t="str">
        <f t="shared" si="6"/>
        <v>N</v>
      </c>
      <c r="K421" s="16"/>
      <c r="L421" s="16"/>
    </row>
    <row r="422">
      <c r="A422" s="43" t="s">
        <v>1946</v>
      </c>
      <c r="B422" s="10" t="str">
        <f t="shared" si="1"/>
        <v>DNA</v>
      </c>
      <c r="C422" s="49" t="str">
        <f t="shared" si="2"/>
        <v>S16447DN1</v>
      </c>
      <c r="D422" s="6">
        <v>12.0</v>
      </c>
      <c r="E422" s="10" t="str">
        <f t="shared" si="3"/>
        <v>BDN12</v>
      </c>
      <c r="F422" s="6">
        <v>40.0</v>
      </c>
      <c r="G422" s="10" t="str">
        <f t="shared" si="4"/>
        <v>BDN12-40</v>
      </c>
      <c r="H422" s="16"/>
      <c r="I422" s="16" t="str">
        <f t="shared" si="5"/>
        <v>collected</v>
      </c>
      <c r="J422" s="16" t="str">
        <f t="shared" si="6"/>
        <v>N</v>
      </c>
      <c r="K422" s="16"/>
      <c r="L422" s="16"/>
    </row>
    <row r="423">
      <c r="A423" s="43" t="s">
        <v>1947</v>
      </c>
      <c r="B423" s="10" t="str">
        <f t="shared" si="1"/>
        <v>DNA</v>
      </c>
      <c r="C423" s="49" t="str">
        <f t="shared" si="2"/>
        <v>S16448DN1</v>
      </c>
      <c r="D423" s="6">
        <v>12.0</v>
      </c>
      <c r="E423" s="10" t="str">
        <f t="shared" si="3"/>
        <v>BDN12</v>
      </c>
      <c r="F423" s="6">
        <v>41.0</v>
      </c>
      <c r="G423" s="10" t="str">
        <f t="shared" si="4"/>
        <v>BDN12-41</v>
      </c>
      <c r="H423" s="16"/>
      <c r="I423" s="16" t="str">
        <f t="shared" si="5"/>
        <v>collected</v>
      </c>
      <c r="J423" s="16" t="str">
        <f t="shared" si="6"/>
        <v>N</v>
      </c>
      <c r="K423" s="16"/>
      <c r="L423" s="16"/>
    </row>
    <row r="424">
      <c r="A424" s="43" t="s">
        <v>1948</v>
      </c>
      <c r="B424" s="10" t="str">
        <f t="shared" si="1"/>
        <v>DNA</v>
      </c>
      <c r="C424" s="49" t="str">
        <f t="shared" si="2"/>
        <v>S16449DN1</v>
      </c>
      <c r="D424" s="6">
        <v>12.0</v>
      </c>
      <c r="E424" s="10" t="str">
        <f t="shared" si="3"/>
        <v>BDN12</v>
      </c>
      <c r="F424" s="6">
        <v>42.0</v>
      </c>
      <c r="G424" s="10" t="str">
        <f t="shared" si="4"/>
        <v>BDN12-42</v>
      </c>
      <c r="H424" s="16"/>
      <c r="I424" s="16" t="str">
        <f t="shared" si="5"/>
        <v>collected</v>
      </c>
      <c r="J424" s="16" t="str">
        <f t="shared" si="6"/>
        <v>N</v>
      </c>
      <c r="K424" s="16"/>
      <c r="L424" s="16"/>
    </row>
    <row r="425">
      <c r="A425" s="43" t="s">
        <v>1949</v>
      </c>
      <c r="B425" s="10" t="str">
        <f t="shared" si="1"/>
        <v>DNA</v>
      </c>
      <c r="C425" s="49" t="str">
        <f t="shared" si="2"/>
        <v>S16478DN1</v>
      </c>
      <c r="D425" s="6">
        <v>12.0</v>
      </c>
      <c r="E425" s="10" t="str">
        <f t="shared" si="3"/>
        <v>BDN12</v>
      </c>
      <c r="F425" s="6">
        <v>43.0</v>
      </c>
      <c r="G425" s="10" t="str">
        <f t="shared" si="4"/>
        <v>BDN12-43</v>
      </c>
      <c r="H425" s="16"/>
      <c r="I425" s="16" t="str">
        <f t="shared" si="5"/>
        <v>collected</v>
      </c>
      <c r="J425" s="16" t="str">
        <f t="shared" si="6"/>
        <v>N</v>
      </c>
      <c r="K425" s="16"/>
      <c r="L425" s="16"/>
    </row>
    <row r="426">
      <c r="A426" s="43" t="s">
        <v>1950</v>
      </c>
      <c r="B426" s="10" t="str">
        <f t="shared" si="1"/>
        <v>DNA</v>
      </c>
      <c r="C426" s="49" t="str">
        <f t="shared" si="2"/>
        <v>S16477DN1</v>
      </c>
      <c r="D426" s="6">
        <v>12.0</v>
      </c>
      <c r="E426" s="10" t="str">
        <f t="shared" si="3"/>
        <v>BDN12</v>
      </c>
      <c r="F426" s="6">
        <v>44.0</v>
      </c>
      <c r="G426" s="10" t="str">
        <f t="shared" si="4"/>
        <v>BDN12-44</v>
      </c>
      <c r="H426" s="16"/>
      <c r="I426" s="16" t="str">
        <f t="shared" si="5"/>
        <v>collected</v>
      </c>
      <c r="J426" s="16" t="str">
        <f t="shared" si="6"/>
        <v>N</v>
      </c>
      <c r="K426" s="16"/>
      <c r="L426" s="16"/>
    </row>
    <row r="427">
      <c r="A427" s="43" t="s">
        <v>1951</v>
      </c>
      <c r="B427" s="10" t="str">
        <f t="shared" si="1"/>
        <v>DNA</v>
      </c>
      <c r="C427" s="49" t="str">
        <f t="shared" si="2"/>
        <v>S16476DN1</v>
      </c>
      <c r="D427" s="6">
        <v>12.0</v>
      </c>
      <c r="E427" s="10" t="str">
        <f t="shared" si="3"/>
        <v>BDN12</v>
      </c>
      <c r="F427" s="6">
        <v>45.0</v>
      </c>
      <c r="G427" s="10" t="str">
        <f t="shared" si="4"/>
        <v>BDN12-45</v>
      </c>
      <c r="H427" s="16"/>
      <c r="I427" s="16" t="str">
        <f t="shared" si="5"/>
        <v>collected</v>
      </c>
      <c r="J427" s="16" t="str">
        <f t="shared" si="6"/>
        <v>N</v>
      </c>
      <c r="K427" s="16"/>
      <c r="L427" s="16"/>
    </row>
    <row r="428">
      <c r="A428" s="43" t="s">
        <v>1952</v>
      </c>
      <c r="B428" s="10" t="str">
        <f t="shared" si="1"/>
        <v>DNA</v>
      </c>
      <c r="C428" s="49" t="str">
        <f t="shared" si="2"/>
        <v>S16475DN1</v>
      </c>
      <c r="D428" s="6">
        <v>12.0</v>
      </c>
      <c r="E428" s="10" t="str">
        <f t="shared" si="3"/>
        <v>BDN12</v>
      </c>
      <c r="F428" s="6">
        <v>46.0</v>
      </c>
      <c r="G428" s="10" t="str">
        <f t="shared" si="4"/>
        <v>BDN12-46</v>
      </c>
      <c r="H428" s="16"/>
      <c r="I428" s="16" t="str">
        <f t="shared" si="5"/>
        <v>collected</v>
      </c>
      <c r="J428" s="16" t="str">
        <f t="shared" si="6"/>
        <v>N</v>
      </c>
      <c r="K428" s="16"/>
      <c r="L428" s="16"/>
    </row>
    <row r="429">
      <c r="A429" s="43" t="s">
        <v>1953</v>
      </c>
      <c r="B429" s="10" t="str">
        <f t="shared" si="1"/>
        <v>DNA</v>
      </c>
      <c r="C429" s="49" t="str">
        <f t="shared" si="2"/>
        <v>S17305DN1</v>
      </c>
      <c r="D429" s="6">
        <v>11.0</v>
      </c>
      <c r="E429" s="10" t="str">
        <f t="shared" si="3"/>
        <v>BDN11</v>
      </c>
      <c r="F429" s="6">
        <v>43.0</v>
      </c>
      <c r="G429" s="10" t="str">
        <f t="shared" si="4"/>
        <v>BDN11-43</v>
      </c>
      <c r="H429" s="16"/>
      <c r="I429" s="16" t="str">
        <f t="shared" si="5"/>
        <v>collected</v>
      </c>
      <c r="J429" s="16" t="str">
        <f t="shared" si="6"/>
        <v>N</v>
      </c>
      <c r="K429" s="16"/>
      <c r="L429" s="16"/>
    </row>
    <row r="430">
      <c r="A430" s="43" t="s">
        <v>1954</v>
      </c>
      <c r="B430" s="10" t="str">
        <f t="shared" si="1"/>
        <v>DNA</v>
      </c>
      <c r="C430" s="49" t="str">
        <f t="shared" si="2"/>
        <v>S17308DN1</v>
      </c>
      <c r="D430" s="6">
        <v>11.0</v>
      </c>
      <c r="E430" s="10" t="str">
        <f t="shared" si="3"/>
        <v>BDN11</v>
      </c>
      <c r="F430" s="6">
        <v>44.0</v>
      </c>
      <c r="G430" s="10" t="str">
        <f t="shared" si="4"/>
        <v>BDN11-44</v>
      </c>
      <c r="H430" s="16"/>
      <c r="I430" s="16" t="str">
        <f t="shared" si="5"/>
        <v>collected</v>
      </c>
      <c r="J430" s="16" t="str">
        <f t="shared" si="6"/>
        <v>N</v>
      </c>
      <c r="K430" s="16"/>
      <c r="L430" s="16"/>
    </row>
    <row r="431">
      <c r="A431" s="43" t="s">
        <v>1955</v>
      </c>
      <c r="B431" s="10" t="str">
        <f t="shared" si="1"/>
        <v>DNA</v>
      </c>
      <c r="C431" s="49" t="str">
        <f t="shared" si="2"/>
        <v>S17309DN1</v>
      </c>
      <c r="D431" s="6">
        <v>11.0</v>
      </c>
      <c r="E431" s="10" t="str">
        <f t="shared" si="3"/>
        <v>BDN11</v>
      </c>
      <c r="F431" s="6">
        <v>45.0</v>
      </c>
      <c r="G431" s="10" t="str">
        <f t="shared" si="4"/>
        <v>BDN11-45</v>
      </c>
      <c r="H431" s="16"/>
      <c r="I431" s="16" t="str">
        <f t="shared" si="5"/>
        <v>collected</v>
      </c>
      <c r="J431" s="16" t="str">
        <f t="shared" si="6"/>
        <v>N</v>
      </c>
      <c r="K431" s="16"/>
      <c r="L431" s="16"/>
    </row>
    <row r="432">
      <c r="A432" s="43" t="s">
        <v>1956</v>
      </c>
      <c r="B432" s="10" t="str">
        <f t="shared" si="1"/>
        <v>DNA</v>
      </c>
      <c r="C432" s="49" t="str">
        <f t="shared" si="2"/>
        <v>S17310DN1</v>
      </c>
      <c r="D432" s="6">
        <v>11.0</v>
      </c>
      <c r="E432" s="10" t="str">
        <f t="shared" si="3"/>
        <v>BDN11</v>
      </c>
      <c r="F432" s="6">
        <v>46.0</v>
      </c>
      <c r="G432" s="10" t="str">
        <f t="shared" si="4"/>
        <v>BDN11-46</v>
      </c>
      <c r="H432" s="16"/>
      <c r="I432" s="16" t="str">
        <f t="shared" si="5"/>
        <v>collected</v>
      </c>
      <c r="J432" s="16" t="str">
        <f t="shared" si="6"/>
        <v>N</v>
      </c>
      <c r="K432" s="16"/>
      <c r="L432" s="16"/>
    </row>
    <row r="433">
      <c r="A433" s="43" t="s">
        <v>1957</v>
      </c>
      <c r="B433" s="10" t="str">
        <f t="shared" si="1"/>
        <v>DNA</v>
      </c>
      <c r="C433" s="49" t="str">
        <f t="shared" si="2"/>
        <v>S17302DN1</v>
      </c>
      <c r="D433" s="6">
        <v>11.0</v>
      </c>
      <c r="E433" s="10" t="str">
        <f t="shared" si="3"/>
        <v>BDN11</v>
      </c>
      <c r="F433" s="6">
        <v>47.0</v>
      </c>
      <c r="G433" s="10" t="str">
        <f t="shared" si="4"/>
        <v>BDN11-47</v>
      </c>
      <c r="H433" s="16"/>
      <c r="I433" s="16" t="str">
        <f t="shared" si="5"/>
        <v>collected</v>
      </c>
      <c r="J433" s="16" t="str">
        <f t="shared" si="6"/>
        <v>N</v>
      </c>
      <c r="K433" s="16"/>
      <c r="L433" s="16"/>
    </row>
    <row r="434">
      <c r="A434" s="40" t="s">
        <v>1958</v>
      </c>
      <c r="B434" s="10" t="str">
        <f t="shared" si="1"/>
        <v>DNA</v>
      </c>
      <c r="C434" s="49" t="str">
        <f t="shared" si="2"/>
        <v>S17301DN1</v>
      </c>
      <c r="D434" s="6">
        <v>11.0</v>
      </c>
      <c r="E434" s="10" t="str">
        <f t="shared" si="3"/>
        <v>BDN11</v>
      </c>
      <c r="F434" s="6">
        <v>48.0</v>
      </c>
      <c r="G434" s="10" t="str">
        <f t="shared" si="4"/>
        <v>BDN11-48</v>
      </c>
      <c r="H434" s="16"/>
      <c r="I434" s="16" t="str">
        <f t="shared" si="5"/>
        <v>collected</v>
      </c>
      <c r="J434" s="16" t="str">
        <f t="shared" si="6"/>
        <v>N</v>
      </c>
      <c r="K434" s="16"/>
      <c r="L434" s="16"/>
    </row>
    <row r="435">
      <c r="A435" s="40" t="s">
        <v>1959</v>
      </c>
      <c r="B435" s="10" t="str">
        <f t="shared" si="1"/>
        <v>DNA</v>
      </c>
      <c r="C435" s="49" t="str">
        <f t="shared" si="2"/>
        <v>S17307DN1</v>
      </c>
      <c r="D435" s="6">
        <v>11.0</v>
      </c>
      <c r="E435" s="10" t="str">
        <f t="shared" si="3"/>
        <v>BDN11</v>
      </c>
      <c r="F435" s="6">
        <v>49.0</v>
      </c>
      <c r="G435" s="10" t="str">
        <f t="shared" si="4"/>
        <v>BDN11-49</v>
      </c>
      <c r="H435" s="16"/>
      <c r="I435" s="16" t="str">
        <f t="shared" si="5"/>
        <v>collected</v>
      </c>
      <c r="J435" s="16" t="str">
        <f t="shared" si="6"/>
        <v>N</v>
      </c>
      <c r="K435" s="16"/>
      <c r="L435" s="16"/>
    </row>
    <row r="436">
      <c r="A436" s="40" t="s">
        <v>1960</v>
      </c>
      <c r="B436" s="10" t="str">
        <f t="shared" si="1"/>
        <v>DNA</v>
      </c>
      <c r="C436" s="49" t="str">
        <f t="shared" si="2"/>
        <v>S17303DN1</v>
      </c>
      <c r="D436" s="6">
        <v>11.0</v>
      </c>
      <c r="E436" s="10" t="str">
        <f t="shared" si="3"/>
        <v>BDN11</v>
      </c>
      <c r="F436" s="6">
        <v>50.0</v>
      </c>
      <c r="G436" s="10" t="str">
        <f t="shared" si="4"/>
        <v>BDN11-50</v>
      </c>
      <c r="H436" s="16"/>
      <c r="I436" s="16" t="str">
        <f t="shared" si="5"/>
        <v>collected</v>
      </c>
      <c r="J436" s="16" t="str">
        <f t="shared" si="6"/>
        <v>N</v>
      </c>
      <c r="K436" s="16"/>
      <c r="L436" s="16"/>
    </row>
    <row r="437">
      <c r="A437" s="40" t="s">
        <v>1961</v>
      </c>
      <c r="B437" s="10" t="str">
        <f t="shared" si="1"/>
        <v>DNA</v>
      </c>
      <c r="C437" s="49" t="str">
        <f t="shared" si="2"/>
        <v>S17306DN1</v>
      </c>
      <c r="D437" s="6">
        <v>11.0</v>
      </c>
      <c r="E437" s="10" t="str">
        <f t="shared" si="3"/>
        <v>BDN11</v>
      </c>
      <c r="F437" s="6">
        <v>51.0</v>
      </c>
      <c r="G437" s="10" t="str">
        <f t="shared" si="4"/>
        <v>BDN11-51</v>
      </c>
      <c r="H437" s="16"/>
      <c r="I437" s="16" t="str">
        <f t="shared" si="5"/>
        <v>collected</v>
      </c>
      <c r="J437" s="16" t="str">
        <f t="shared" si="6"/>
        <v>N</v>
      </c>
      <c r="K437" s="16"/>
      <c r="L437" s="16"/>
    </row>
    <row r="438">
      <c r="A438" s="43" t="s">
        <v>1962</v>
      </c>
      <c r="B438" s="10" t="str">
        <f t="shared" si="1"/>
        <v>DNA</v>
      </c>
      <c r="C438" s="49" t="str">
        <f t="shared" si="2"/>
        <v>S17304DN1</v>
      </c>
      <c r="D438" s="6">
        <v>11.0</v>
      </c>
      <c r="E438" s="10" t="str">
        <f t="shared" si="3"/>
        <v>BDN11</v>
      </c>
      <c r="F438" s="6">
        <v>52.0</v>
      </c>
      <c r="G438" s="10" t="str">
        <f t="shared" si="4"/>
        <v>BDN11-52</v>
      </c>
      <c r="H438" s="16"/>
      <c r="I438" s="16" t="str">
        <f t="shared" si="5"/>
        <v>collected</v>
      </c>
      <c r="J438" s="16" t="str">
        <f t="shared" si="6"/>
        <v>N</v>
      </c>
      <c r="K438" s="16"/>
      <c r="L438" s="16"/>
    </row>
    <row r="439">
      <c r="A439" s="43" t="s">
        <v>1963</v>
      </c>
      <c r="B439" s="10" t="str">
        <f t="shared" si="1"/>
        <v>DNA</v>
      </c>
      <c r="C439" s="49" t="str">
        <f t="shared" si="2"/>
        <v>S17471DN1</v>
      </c>
      <c r="D439" s="6">
        <v>11.0</v>
      </c>
      <c r="E439" s="10" t="str">
        <f t="shared" si="3"/>
        <v>BDN11</v>
      </c>
      <c r="F439" s="6">
        <v>53.0</v>
      </c>
      <c r="G439" s="10" t="str">
        <f t="shared" si="4"/>
        <v>BDN11-53</v>
      </c>
      <c r="H439" s="16"/>
      <c r="I439" s="16" t="str">
        <f t="shared" si="5"/>
        <v>collected</v>
      </c>
      <c r="J439" s="16" t="str">
        <f t="shared" si="6"/>
        <v>N</v>
      </c>
      <c r="K439" s="16"/>
      <c r="L439" s="16"/>
    </row>
    <row r="440">
      <c r="A440" s="43" t="s">
        <v>1964</v>
      </c>
      <c r="B440" s="10" t="str">
        <f t="shared" si="1"/>
        <v>DNA</v>
      </c>
      <c r="C440" s="49" t="str">
        <f t="shared" si="2"/>
        <v>S17480DN1</v>
      </c>
      <c r="D440" s="6">
        <v>11.0</v>
      </c>
      <c r="E440" s="10" t="str">
        <f t="shared" si="3"/>
        <v>BDN11</v>
      </c>
      <c r="F440" s="6">
        <v>54.0</v>
      </c>
      <c r="G440" s="10" t="str">
        <f t="shared" si="4"/>
        <v>BDN11-54</v>
      </c>
      <c r="H440" s="16"/>
      <c r="I440" s="16" t="str">
        <f t="shared" si="5"/>
        <v>collected</v>
      </c>
      <c r="J440" s="16" t="str">
        <f t="shared" si="6"/>
        <v>N</v>
      </c>
      <c r="K440" s="16"/>
      <c r="L440" s="16"/>
    </row>
    <row r="441">
      <c r="A441" s="40" t="s">
        <v>1965</v>
      </c>
      <c r="B441" s="10" t="str">
        <f t="shared" si="1"/>
        <v>DNA</v>
      </c>
      <c r="C441" s="49" t="str">
        <f t="shared" si="2"/>
        <v>S17472DN1</v>
      </c>
      <c r="D441" s="6">
        <v>11.0</v>
      </c>
      <c r="E441" s="10" t="str">
        <f t="shared" si="3"/>
        <v>BDN11</v>
      </c>
      <c r="F441" s="6">
        <v>55.0</v>
      </c>
      <c r="G441" s="10" t="str">
        <f t="shared" si="4"/>
        <v>BDN11-55</v>
      </c>
      <c r="H441" s="16"/>
      <c r="I441" s="16" t="str">
        <f t="shared" si="5"/>
        <v>collected</v>
      </c>
      <c r="J441" s="16" t="str">
        <f t="shared" si="6"/>
        <v>N</v>
      </c>
      <c r="K441" s="16"/>
      <c r="L441" s="16"/>
    </row>
    <row r="442">
      <c r="A442" s="40" t="s">
        <v>1966</v>
      </c>
      <c r="B442" s="10" t="str">
        <f t="shared" si="1"/>
        <v>DNA</v>
      </c>
      <c r="C442" s="49" t="str">
        <f t="shared" si="2"/>
        <v>S17479DN1</v>
      </c>
      <c r="D442" s="6">
        <v>11.0</v>
      </c>
      <c r="E442" s="10" t="str">
        <f t="shared" si="3"/>
        <v>BDN11</v>
      </c>
      <c r="F442" s="6">
        <v>56.0</v>
      </c>
      <c r="G442" s="10" t="str">
        <f t="shared" si="4"/>
        <v>BDN11-56</v>
      </c>
      <c r="H442" s="16"/>
      <c r="I442" s="16" t="str">
        <f t="shared" si="5"/>
        <v>collected</v>
      </c>
      <c r="J442" s="16" t="str">
        <f t="shared" si="6"/>
        <v>N</v>
      </c>
      <c r="K442" s="16"/>
      <c r="L442" s="16"/>
    </row>
    <row r="443">
      <c r="A443" s="40" t="s">
        <v>1967</v>
      </c>
      <c r="B443" s="10" t="str">
        <f t="shared" si="1"/>
        <v>DNA</v>
      </c>
      <c r="C443" s="49" t="str">
        <f t="shared" si="2"/>
        <v>S17478DN1</v>
      </c>
      <c r="D443" s="6">
        <v>11.0</v>
      </c>
      <c r="E443" s="10" t="str">
        <f t="shared" si="3"/>
        <v>BDN11</v>
      </c>
      <c r="F443" s="6">
        <v>57.0</v>
      </c>
      <c r="G443" s="10" t="str">
        <f t="shared" si="4"/>
        <v>BDN11-57</v>
      </c>
      <c r="H443" s="16"/>
      <c r="I443" s="16" t="str">
        <f t="shared" si="5"/>
        <v>collected</v>
      </c>
      <c r="J443" s="16" t="str">
        <f t="shared" si="6"/>
        <v>N</v>
      </c>
      <c r="K443" s="16"/>
      <c r="L443" s="16"/>
    </row>
    <row r="444">
      <c r="A444" s="40" t="s">
        <v>1968</v>
      </c>
      <c r="B444" s="10" t="str">
        <f t="shared" si="1"/>
        <v>DNA</v>
      </c>
      <c r="C444" s="49" t="str">
        <f t="shared" si="2"/>
        <v>S17475DN1</v>
      </c>
      <c r="D444" s="6">
        <v>11.0</v>
      </c>
      <c r="E444" s="10" t="str">
        <f t="shared" si="3"/>
        <v>BDN11</v>
      </c>
      <c r="F444" s="6">
        <v>58.0</v>
      </c>
      <c r="G444" s="10" t="str">
        <f t="shared" si="4"/>
        <v>BDN11-58</v>
      </c>
      <c r="H444" s="16"/>
      <c r="I444" s="16" t="str">
        <f t="shared" si="5"/>
        <v>collected</v>
      </c>
      <c r="J444" s="16" t="str">
        <f t="shared" si="6"/>
        <v>N</v>
      </c>
      <c r="K444" s="16"/>
      <c r="L444" s="16"/>
    </row>
    <row r="445">
      <c r="A445" s="40" t="s">
        <v>1969</v>
      </c>
      <c r="B445" s="10" t="str">
        <f t="shared" si="1"/>
        <v>DNA</v>
      </c>
      <c r="C445" s="49" t="str">
        <f t="shared" si="2"/>
        <v>S17473DN1</v>
      </c>
      <c r="D445" s="6">
        <v>11.0</v>
      </c>
      <c r="E445" s="10" t="str">
        <f t="shared" si="3"/>
        <v>BDN11</v>
      </c>
      <c r="F445" s="6">
        <v>59.0</v>
      </c>
      <c r="G445" s="10" t="str">
        <f t="shared" si="4"/>
        <v>BDN11-59</v>
      </c>
      <c r="H445" s="16"/>
      <c r="I445" s="16" t="str">
        <f t="shared" si="5"/>
        <v>collected</v>
      </c>
      <c r="J445" s="16" t="str">
        <f t="shared" si="6"/>
        <v>N</v>
      </c>
      <c r="K445" s="16"/>
      <c r="L445" s="16"/>
    </row>
    <row r="446">
      <c r="A446" s="40" t="s">
        <v>1970</v>
      </c>
      <c r="B446" s="10" t="str">
        <f t="shared" si="1"/>
        <v>DNA</v>
      </c>
      <c r="C446" s="49" t="str">
        <f t="shared" si="2"/>
        <v>S17474DN1</v>
      </c>
      <c r="D446" s="6">
        <v>11.0</v>
      </c>
      <c r="E446" s="10" t="str">
        <f t="shared" si="3"/>
        <v>BDN11</v>
      </c>
      <c r="F446" s="6">
        <v>60.0</v>
      </c>
      <c r="G446" s="10" t="str">
        <f t="shared" si="4"/>
        <v>BDN11-60</v>
      </c>
      <c r="H446" s="16"/>
      <c r="I446" s="16" t="str">
        <f t="shared" si="5"/>
        <v>collected</v>
      </c>
      <c r="J446" s="16" t="str">
        <f t="shared" si="6"/>
        <v>N</v>
      </c>
      <c r="K446" s="16"/>
      <c r="L446" s="16"/>
    </row>
    <row r="447">
      <c r="A447" s="40" t="s">
        <v>1971</v>
      </c>
      <c r="B447" s="10" t="str">
        <f t="shared" si="1"/>
        <v>DNA</v>
      </c>
      <c r="C447" s="49" t="str">
        <f t="shared" si="2"/>
        <v>S17477DN1</v>
      </c>
      <c r="D447" s="6">
        <v>11.0</v>
      </c>
      <c r="E447" s="10" t="str">
        <f t="shared" si="3"/>
        <v>BDN11</v>
      </c>
      <c r="F447" s="6">
        <v>61.0</v>
      </c>
      <c r="G447" s="10" t="str">
        <f t="shared" si="4"/>
        <v>BDN11-61</v>
      </c>
      <c r="H447" s="16"/>
      <c r="I447" s="16" t="str">
        <f t="shared" si="5"/>
        <v>collected</v>
      </c>
      <c r="J447" s="16" t="str">
        <f t="shared" si="6"/>
        <v>N</v>
      </c>
      <c r="K447" s="16"/>
      <c r="L447" s="16"/>
    </row>
    <row r="448">
      <c r="A448" s="40" t="s">
        <v>1972</v>
      </c>
      <c r="B448" s="10" t="str">
        <f t="shared" si="1"/>
        <v>DNA</v>
      </c>
      <c r="C448" s="49" t="str">
        <f t="shared" si="2"/>
        <v>S17476DN1</v>
      </c>
      <c r="D448" s="6">
        <v>11.0</v>
      </c>
      <c r="E448" s="10" t="str">
        <f t="shared" si="3"/>
        <v>BDN11</v>
      </c>
      <c r="F448" s="6">
        <v>62.0</v>
      </c>
      <c r="G448" s="10" t="str">
        <f t="shared" si="4"/>
        <v>BDN11-62</v>
      </c>
      <c r="H448" s="16"/>
      <c r="I448" s="16" t="str">
        <f t="shared" si="5"/>
        <v>collected</v>
      </c>
      <c r="J448" s="16" t="str">
        <f t="shared" si="6"/>
        <v>N</v>
      </c>
      <c r="K448" s="16"/>
      <c r="L448" s="16"/>
    </row>
    <row r="449">
      <c r="A449" s="40" t="s">
        <v>1973</v>
      </c>
      <c r="B449" s="10" t="str">
        <f t="shared" si="1"/>
        <v>DNA</v>
      </c>
      <c r="C449" s="49" t="str">
        <f t="shared" si="2"/>
        <v>S17209DN1</v>
      </c>
      <c r="D449" s="6">
        <v>11.0</v>
      </c>
      <c r="E449" s="10" t="str">
        <f t="shared" si="3"/>
        <v>BDN11</v>
      </c>
      <c r="F449" s="6">
        <v>63.0</v>
      </c>
      <c r="G449" s="10" t="str">
        <f t="shared" si="4"/>
        <v>BDN11-63</v>
      </c>
      <c r="H449" s="16"/>
      <c r="I449" s="16" t="str">
        <f t="shared" si="5"/>
        <v>collected</v>
      </c>
      <c r="J449" s="16" t="str">
        <f t="shared" si="6"/>
        <v>N</v>
      </c>
      <c r="K449" s="16"/>
      <c r="L449" s="16"/>
    </row>
    <row r="450">
      <c r="A450" s="43" t="s">
        <v>1974</v>
      </c>
      <c r="B450" s="10" t="str">
        <f t="shared" si="1"/>
        <v>DNA</v>
      </c>
      <c r="C450" s="49" t="str">
        <f t="shared" si="2"/>
        <v>S17207DN1</v>
      </c>
      <c r="D450" s="6">
        <v>11.0</v>
      </c>
      <c r="E450" s="10" t="str">
        <f t="shared" si="3"/>
        <v>BDN11</v>
      </c>
      <c r="F450" s="6">
        <v>64.0</v>
      </c>
      <c r="G450" s="10" t="str">
        <f t="shared" si="4"/>
        <v>BDN11-64</v>
      </c>
      <c r="H450" s="16"/>
      <c r="I450" s="16" t="str">
        <f t="shared" si="5"/>
        <v>collected</v>
      </c>
      <c r="J450" s="16" t="str">
        <f t="shared" si="6"/>
        <v>N</v>
      </c>
      <c r="K450" s="16"/>
      <c r="L450" s="16"/>
    </row>
    <row r="451">
      <c r="A451" s="43" t="s">
        <v>1975</v>
      </c>
      <c r="B451" s="10" t="str">
        <f t="shared" si="1"/>
        <v>DNA</v>
      </c>
      <c r="C451" s="49" t="str">
        <f t="shared" si="2"/>
        <v>S17208DN1</v>
      </c>
      <c r="D451" s="6">
        <v>11.0</v>
      </c>
      <c r="E451" s="10" t="str">
        <f t="shared" si="3"/>
        <v>BDN11</v>
      </c>
      <c r="F451" s="6">
        <v>65.0</v>
      </c>
      <c r="G451" s="10" t="str">
        <f t="shared" si="4"/>
        <v>BDN11-65</v>
      </c>
      <c r="H451" s="16"/>
      <c r="I451" s="16" t="str">
        <f t="shared" si="5"/>
        <v>collected</v>
      </c>
      <c r="J451" s="16" t="str">
        <f t="shared" si="6"/>
        <v>N</v>
      </c>
      <c r="K451" s="16"/>
      <c r="L451" s="16"/>
    </row>
    <row r="452">
      <c r="A452" s="43" t="s">
        <v>1976</v>
      </c>
      <c r="B452" s="10" t="str">
        <f t="shared" si="1"/>
        <v>DNA</v>
      </c>
      <c r="C452" s="49" t="str">
        <f t="shared" si="2"/>
        <v>S17205DN1</v>
      </c>
      <c r="D452" s="6">
        <v>11.0</v>
      </c>
      <c r="E452" s="10" t="str">
        <f t="shared" si="3"/>
        <v>BDN11</v>
      </c>
      <c r="F452" s="6">
        <v>66.0</v>
      </c>
      <c r="G452" s="10" t="str">
        <f t="shared" si="4"/>
        <v>BDN11-66</v>
      </c>
      <c r="H452" s="16"/>
      <c r="I452" s="16" t="str">
        <f t="shared" si="5"/>
        <v>collected</v>
      </c>
      <c r="J452" s="16" t="str">
        <f t="shared" si="6"/>
        <v>N</v>
      </c>
      <c r="K452" s="16"/>
      <c r="L452" s="16"/>
    </row>
    <row r="453">
      <c r="A453" s="43" t="s">
        <v>1977</v>
      </c>
      <c r="B453" s="10" t="str">
        <f t="shared" si="1"/>
        <v>DNA</v>
      </c>
      <c r="C453" s="49" t="str">
        <f t="shared" si="2"/>
        <v>S17206DN1</v>
      </c>
      <c r="D453" s="6">
        <v>11.0</v>
      </c>
      <c r="E453" s="10" t="str">
        <f t="shared" si="3"/>
        <v>BDN11</v>
      </c>
      <c r="F453" s="6">
        <v>67.0</v>
      </c>
      <c r="G453" s="10" t="str">
        <f t="shared" si="4"/>
        <v>BDN11-67</v>
      </c>
      <c r="H453" s="16"/>
      <c r="I453" s="16" t="str">
        <f t="shared" si="5"/>
        <v>collected</v>
      </c>
      <c r="J453" s="16" t="str">
        <f t="shared" si="6"/>
        <v>N</v>
      </c>
      <c r="K453" s="16"/>
      <c r="L453" s="16"/>
    </row>
    <row r="454">
      <c r="A454" s="43" t="s">
        <v>1978</v>
      </c>
      <c r="B454" s="10" t="str">
        <f t="shared" si="1"/>
        <v>DNA</v>
      </c>
      <c r="C454" s="49" t="str">
        <f t="shared" si="2"/>
        <v>S17202DN1</v>
      </c>
      <c r="D454" s="6">
        <v>11.0</v>
      </c>
      <c r="E454" s="10" t="str">
        <f t="shared" si="3"/>
        <v>BDN11</v>
      </c>
      <c r="F454" s="6">
        <v>68.0</v>
      </c>
      <c r="G454" s="10" t="str">
        <f t="shared" si="4"/>
        <v>BDN11-68</v>
      </c>
      <c r="H454" s="16"/>
      <c r="I454" s="16" t="str">
        <f t="shared" si="5"/>
        <v>collected</v>
      </c>
      <c r="J454" s="16" t="str">
        <f t="shared" si="6"/>
        <v>N</v>
      </c>
      <c r="K454" s="16"/>
      <c r="L454" s="16"/>
    </row>
    <row r="455">
      <c r="A455" s="43" t="s">
        <v>1979</v>
      </c>
      <c r="B455" s="10" t="str">
        <f t="shared" si="1"/>
        <v>DNA</v>
      </c>
      <c r="C455" s="49" t="str">
        <f t="shared" si="2"/>
        <v>S17201DN1</v>
      </c>
      <c r="D455" s="6">
        <v>11.0</v>
      </c>
      <c r="E455" s="10" t="str">
        <f t="shared" si="3"/>
        <v>BDN11</v>
      </c>
      <c r="F455" s="6">
        <v>69.0</v>
      </c>
      <c r="G455" s="10" t="str">
        <f t="shared" si="4"/>
        <v>BDN11-69</v>
      </c>
      <c r="H455" s="16"/>
      <c r="I455" s="16" t="str">
        <f t="shared" si="5"/>
        <v>collected</v>
      </c>
      <c r="J455" s="16" t="str">
        <f t="shared" si="6"/>
        <v>N</v>
      </c>
      <c r="K455" s="16"/>
      <c r="L455" s="16"/>
    </row>
    <row r="456">
      <c r="A456" s="43" t="s">
        <v>1980</v>
      </c>
      <c r="B456" s="10" t="str">
        <f t="shared" si="1"/>
        <v>DNA</v>
      </c>
      <c r="C456" s="49" t="str">
        <f t="shared" si="2"/>
        <v>S17203DN1</v>
      </c>
      <c r="D456" s="6">
        <v>11.0</v>
      </c>
      <c r="E456" s="10" t="str">
        <f t="shared" si="3"/>
        <v>BDN11</v>
      </c>
      <c r="F456" s="6">
        <v>70.0</v>
      </c>
      <c r="G456" s="10" t="str">
        <f t="shared" si="4"/>
        <v>BDN11-70</v>
      </c>
      <c r="H456" s="16"/>
      <c r="I456" s="16" t="str">
        <f t="shared" si="5"/>
        <v>collected</v>
      </c>
      <c r="J456" s="16" t="str">
        <f t="shared" si="6"/>
        <v>N</v>
      </c>
      <c r="K456" s="16"/>
      <c r="L456" s="16"/>
    </row>
    <row r="457">
      <c r="A457" s="43" t="s">
        <v>1981</v>
      </c>
      <c r="B457" s="10" t="str">
        <f t="shared" si="1"/>
        <v>DNA</v>
      </c>
      <c r="C457" s="49" t="str">
        <f t="shared" si="2"/>
        <v>S17204DN1</v>
      </c>
      <c r="D457" s="6">
        <v>11.0</v>
      </c>
      <c r="E457" s="10" t="str">
        <f t="shared" si="3"/>
        <v>BDN11</v>
      </c>
      <c r="F457" s="6">
        <v>71.0</v>
      </c>
      <c r="G457" s="10" t="str">
        <f t="shared" si="4"/>
        <v>BDN11-71</v>
      </c>
      <c r="H457" s="16"/>
      <c r="I457" s="16" t="str">
        <f t="shared" si="5"/>
        <v>collected</v>
      </c>
      <c r="J457" s="16" t="str">
        <f t="shared" si="6"/>
        <v>N</v>
      </c>
      <c r="K457" s="16"/>
      <c r="L457" s="16"/>
    </row>
    <row r="458">
      <c r="A458" s="43" t="s">
        <v>1982</v>
      </c>
      <c r="B458" s="10" t="str">
        <f t="shared" si="1"/>
        <v>DNA</v>
      </c>
      <c r="C458" s="49" t="str">
        <f t="shared" si="2"/>
        <v>S17210DN1</v>
      </c>
      <c r="D458" s="6">
        <v>11.0</v>
      </c>
      <c r="E458" s="10" t="str">
        <f t="shared" si="3"/>
        <v>BDN11</v>
      </c>
      <c r="F458" s="6">
        <v>72.0</v>
      </c>
      <c r="G458" s="10" t="str">
        <f t="shared" si="4"/>
        <v>BDN11-72</v>
      </c>
      <c r="H458" s="16"/>
      <c r="I458" s="16" t="str">
        <f t="shared" si="5"/>
        <v>collected</v>
      </c>
      <c r="J458" s="16" t="str">
        <f t="shared" si="6"/>
        <v>N</v>
      </c>
      <c r="K458" s="16"/>
      <c r="L458" s="16"/>
    </row>
    <row r="459">
      <c r="A459" s="43" t="s">
        <v>1983</v>
      </c>
      <c r="B459" s="10" t="str">
        <f t="shared" si="1"/>
        <v>DNA</v>
      </c>
      <c r="C459" s="49" t="str">
        <f t="shared" si="2"/>
        <v>S17491DN1</v>
      </c>
      <c r="D459" s="6">
        <v>11.0</v>
      </c>
      <c r="E459" s="10" t="str">
        <f t="shared" si="3"/>
        <v>BDN11</v>
      </c>
      <c r="F459" s="6">
        <v>73.0</v>
      </c>
      <c r="G459" s="10" t="str">
        <f t="shared" si="4"/>
        <v>BDN11-73</v>
      </c>
      <c r="H459" s="16"/>
      <c r="I459" s="16" t="str">
        <f t="shared" si="5"/>
        <v>collected</v>
      </c>
      <c r="J459" s="16" t="str">
        <f t="shared" si="6"/>
        <v>N</v>
      </c>
      <c r="K459" s="16"/>
      <c r="L459" s="16"/>
    </row>
    <row r="460">
      <c r="A460" s="43" t="s">
        <v>1984</v>
      </c>
      <c r="B460" s="10" t="str">
        <f t="shared" si="1"/>
        <v>DNA</v>
      </c>
      <c r="C460" s="49" t="str">
        <f t="shared" si="2"/>
        <v>S17496DN1</v>
      </c>
      <c r="D460" s="6">
        <v>11.0</v>
      </c>
      <c r="E460" s="10" t="str">
        <f t="shared" si="3"/>
        <v>BDN11</v>
      </c>
      <c r="F460" s="6">
        <v>74.0</v>
      </c>
      <c r="G460" s="10" t="str">
        <f t="shared" si="4"/>
        <v>BDN11-74</v>
      </c>
      <c r="H460" s="16"/>
      <c r="I460" s="16" t="str">
        <f t="shared" si="5"/>
        <v>collected</v>
      </c>
      <c r="J460" s="16" t="str">
        <f t="shared" si="6"/>
        <v>N</v>
      </c>
      <c r="K460" s="16"/>
      <c r="L460" s="16"/>
    </row>
    <row r="461">
      <c r="A461" s="43" t="s">
        <v>1985</v>
      </c>
      <c r="B461" s="10" t="str">
        <f t="shared" si="1"/>
        <v>DNA</v>
      </c>
      <c r="C461" s="49" t="str">
        <f t="shared" si="2"/>
        <v>S17494DN1</v>
      </c>
      <c r="D461" s="6">
        <v>11.0</v>
      </c>
      <c r="E461" s="10" t="str">
        <f t="shared" si="3"/>
        <v>BDN11</v>
      </c>
      <c r="F461" s="6">
        <v>75.0</v>
      </c>
      <c r="G461" s="10" t="str">
        <f t="shared" si="4"/>
        <v>BDN11-75</v>
      </c>
      <c r="H461" s="16"/>
      <c r="I461" s="16" t="str">
        <f t="shared" si="5"/>
        <v>collected</v>
      </c>
      <c r="J461" s="16" t="str">
        <f t="shared" si="6"/>
        <v>N</v>
      </c>
      <c r="K461" s="16"/>
      <c r="L461" s="16"/>
    </row>
    <row r="462">
      <c r="A462" s="43" t="s">
        <v>1987</v>
      </c>
      <c r="B462" s="10" t="str">
        <f t="shared" si="1"/>
        <v>DNA</v>
      </c>
      <c r="C462" s="49" t="str">
        <f t="shared" si="2"/>
        <v>S17495DN1</v>
      </c>
      <c r="D462" s="6">
        <v>11.0</v>
      </c>
      <c r="E462" s="10" t="str">
        <f t="shared" si="3"/>
        <v>BDN11</v>
      </c>
      <c r="F462" s="6">
        <v>76.0</v>
      </c>
      <c r="G462" s="10" t="str">
        <f t="shared" si="4"/>
        <v>BDN11-76</v>
      </c>
      <c r="H462" s="16"/>
      <c r="I462" s="16" t="str">
        <f t="shared" si="5"/>
        <v>collected</v>
      </c>
      <c r="J462" s="16" t="str">
        <f t="shared" si="6"/>
        <v>N</v>
      </c>
      <c r="K462" s="16"/>
      <c r="L462" s="16"/>
    </row>
    <row r="463">
      <c r="A463" s="43" t="s">
        <v>1988</v>
      </c>
      <c r="B463" s="10" t="str">
        <f t="shared" si="1"/>
        <v>DNA</v>
      </c>
      <c r="C463" s="49" t="str">
        <f t="shared" si="2"/>
        <v>S17492DN1</v>
      </c>
      <c r="D463" s="6">
        <v>11.0</v>
      </c>
      <c r="E463" s="10" t="str">
        <f t="shared" si="3"/>
        <v>BDN11</v>
      </c>
      <c r="F463" s="6">
        <v>77.0</v>
      </c>
      <c r="G463" s="10" t="str">
        <f t="shared" si="4"/>
        <v>BDN11-77</v>
      </c>
      <c r="H463" s="16"/>
      <c r="I463" s="16" t="str">
        <f t="shared" si="5"/>
        <v>collected</v>
      </c>
      <c r="J463" s="16" t="str">
        <f t="shared" si="6"/>
        <v>N</v>
      </c>
      <c r="K463" s="16"/>
      <c r="L463" s="16"/>
    </row>
    <row r="464">
      <c r="A464" s="43" t="s">
        <v>1989</v>
      </c>
      <c r="B464" s="10" t="str">
        <f t="shared" si="1"/>
        <v>DNA</v>
      </c>
      <c r="C464" s="49" t="str">
        <f t="shared" si="2"/>
        <v>S17493DN1</v>
      </c>
      <c r="D464" s="6">
        <v>11.0</v>
      </c>
      <c r="E464" s="10" t="str">
        <f t="shared" si="3"/>
        <v>BDN11</v>
      </c>
      <c r="F464" s="6">
        <v>78.0</v>
      </c>
      <c r="G464" s="10" t="str">
        <f t="shared" si="4"/>
        <v>BDN11-78</v>
      </c>
      <c r="H464" s="16"/>
      <c r="I464" s="16" t="str">
        <f t="shared" si="5"/>
        <v>collected</v>
      </c>
      <c r="J464" s="16" t="str">
        <f t="shared" si="6"/>
        <v>N</v>
      </c>
      <c r="K464" s="16"/>
      <c r="L464" s="16"/>
    </row>
    <row r="465">
      <c r="A465" s="43" t="s">
        <v>1990</v>
      </c>
      <c r="B465" s="10" t="str">
        <f t="shared" si="1"/>
        <v>DNA</v>
      </c>
      <c r="C465" s="49" t="str">
        <f t="shared" si="2"/>
        <v>S16225DN1</v>
      </c>
      <c r="D465" s="6">
        <v>11.0</v>
      </c>
      <c r="E465" s="10" t="str">
        <f t="shared" si="3"/>
        <v>BDN11</v>
      </c>
      <c r="F465" s="6">
        <v>79.0</v>
      </c>
      <c r="G465" s="10" t="str">
        <f t="shared" si="4"/>
        <v>BDN11-79</v>
      </c>
      <c r="H465" s="16"/>
      <c r="I465" s="16" t="str">
        <f t="shared" si="5"/>
        <v>collected</v>
      </c>
      <c r="J465" s="16" t="str">
        <f t="shared" si="6"/>
        <v>N</v>
      </c>
      <c r="K465" s="16"/>
      <c r="L465" s="16"/>
    </row>
    <row r="466">
      <c r="A466" s="43" t="s">
        <v>1991</v>
      </c>
      <c r="B466" s="10" t="str">
        <f t="shared" si="1"/>
        <v>DNA</v>
      </c>
      <c r="C466" s="49" t="str">
        <f t="shared" si="2"/>
        <v>S16223DN1</v>
      </c>
      <c r="D466" s="6">
        <v>11.0</v>
      </c>
      <c r="E466" s="10" t="str">
        <f t="shared" si="3"/>
        <v>BDN11</v>
      </c>
      <c r="F466" s="6">
        <v>80.0</v>
      </c>
      <c r="G466" s="10" t="str">
        <f t="shared" si="4"/>
        <v>BDN11-80</v>
      </c>
      <c r="H466" s="16"/>
      <c r="I466" s="16" t="str">
        <f t="shared" si="5"/>
        <v>collected</v>
      </c>
      <c r="J466" s="16" t="str">
        <f t="shared" si="6"/>
        <v>N</v>
      </c>
      <c r="K466" s="16"/>
      <c r="L466" s="16"/>
    </row>
    <row r="467">
      <c r="A467" s="43" t="s">
        <v>1992</v>
      </c>
      <c r="B467" s="10" t="str">
        <f t="shared" si="1"/>
        <v>DNA</v>
      </c>
      <c r="C467" s="49" t="str">
        <f t="shared" si="2"/>
        <v>S16224DN1</v>
      </c>
      <c r="D467" s="6">
        <v>11.0</v>
      </c>
      <c r="E467" s="10" t="str">
        <f t="shared" si="3"/>
        <v>BDN11</v>
      </c>
      <c r="F467" s="6">
        <v>81.0</v>
      </c>
      <c r="G467" s="10" t="str">
        <f t="shared" si="4"/>
        <v>BDN11-81</v>
      </c>
      <c r="H467" s="16"/>
      <c r="I467" s="16" t="str">
        <f t="shared" si="5"/>
        <v>collected</v>
      </c>
      <c r="J467" s="16" t="str">
        <f t="shared" si="6"/>
        <v>N</v>
      </c>
      <c r="K467" s="16"/>
      <c r="L467" s="16"/>
    </row>
    <row r="468">
      <c r="A468" s="43" t="s">
        <v>1993</v>
      </c>
      <c r="B468" s="10" t="str">
        <f t="shared" si="1"/>
        <v>DNA</v>
      </c>
      <c r="C468" s="49" t="str">
        <f t="shared" si="2"/>
        <v>S16221DN1</v>
      </c>
      <c r="D468" s="6">
        <v>11.0</v>
      </c>
      <c r="E468" s="10" t="str">
        <f t="shared" si="3"/>
        <v>BDN11</v>
      </c>
      <c r="F468" s="6">
        <v>82.0</v>
      </c>
      <c r="G468" s="10" t="str">
        <f t="shared" si="4"/>
        <v>BDN11-82</v>
      </c>
      <c r="H468" s="16"/>
      <c r="I468" s="16" t="str">
        <f t="shared" si="5"/>
        <v>collected</v>
      </c>
      <c r="J468" s="16" t="str">
        <f t="shared" si="6"/>
        <v>N</v>
      </c>
      <c r="K468" s="16"/>
      <c r="L468" s="16"/>
    </row>
    <row r="469">
      <c r="A469" s="43" t="s">
        <v>1994</v>
      </c>
      <c r="B469" s="10" t="str">
        <f t="shared" si="1"/>
        <v>DNA</v>
      </c>
      <c r="C469" s="49" t="str">
        <f t="shared" si="2"/>
        <v>S16222DN1</v>
      </c>
      <c r="D469" s="6">
        <v>11.0</v>
      </c>
      <c r="E469" s="10" t="str">
        <f t="shared" si="3"/>
        <v>BDN11</v>
      </c>
      <c r="F469" s="6">
        <v>83.0</v>
      </c>
      <c r="G469" s="10" t="str">
        <f t="shared" si="4"/>
        <v>BDN11-83</v>
      </c>
      <c r="H469" s="16"/>
      <c r="I469" s="16" t="str">
        <f t="shared" si="5"/>
        <v>collected</v>
      </c>
      <c r="J469" s="16" t="str">
        <f t="shared" si="6"/>
        <v>N</v>
      </c>
      <c r="K469" s="16"/>
      <c r="L469" s="16"/>
    </row>
    <row r="470">
      <c r="A470" s="43" t="s">
        <v>1995</v>
      </c>
      <c r="B470" s="10" t="str">
        <f t="shared" si="1"/>
        <v>DNA</v>
      </c>
      <c r="C470" s="49" t="str">
        <f t="shared" si="2"/>
        <v>S16474DN1</v>
      </c>
      <c r="D470" s="6">
        <v>12.0</v>
      </c>
      <c r="E470" s="10" t="str">
        <f t="shared" si="3"/>
        <v>BDN12</v>
      </c>
      <c r="F470" s="6">
        <v>47.0</v>
      </c>
      <c r="G470" s="10" t="str">
        <f t="shared" si="4"/>
        <v>BDN12-47</v>
      </c>
      <c r="H470" s="16"/>
      <c r="I470" s="16" t="str">
        <f t="shared" si="5"/>
        <v>collected</v>
      </c>
      <c r="J470" s="16" t="str">
        <f t="shared" si="6"/>
        <v>N</v>
      </c>
      <c r="K470" s="16"/>
      <c r="L470" s="16"/>
    </row>
    <row r="471">
      <c r="A471" s="43" t="s">
        <v>1996</v>
      </c>
      <c r="B471" s="10" t="str">
        <f t="shared" si="1"/>
        <v>DNA</v>
      </c>
      <c r="C471" s="49" t="str">
        <f t="shared" si="2"/>
        <v>S16471DN1</v>
      </c>
      <c r="D471" s="6">
        <v>12.0</v>
      </c>
      <c r="E471" s="10" t="str">
        <f t="shared" si="3"/>
        <v>BDN12</v>
      </c>
      <c r="F471" s="6">
        <v>48.0</v>
      </c>
      <c r="G471" s="10" t="str">
        <f t="shared" si="4"/>
        <v>BDN12-48</v>
      </c>
      <c r="H471" s="16"/>
      <c r="I471" s="16" t="str">
        <f t="shared" si="5"/>
        <v>collected</v>
      </c>
      <c r="J471" s="16" t="str">
        <f t="shared" si="6"/>
        <v>N</v>
      </c>
      <c r="K471" s="16"/>
      <c r="L471" s="16"/>
    </row>
    <row r="472">
      <c r="A472" s="40" t="s">
        <v>1997</v>
      </c>
      <c r="B472" s="10" t="str">
        <f t="shared" si="1"/>
        <v>DNA</v>
      </c>
      <c r="C472" s="49" t="str">
        <f t="shared" si="2"/>
        <v>S16473DN1</v>
      </c>
      <c r="D472" s="6">
        <v>12.0</v>
      </c>
      <c r="E472" s="10" t="str">
        <f t="shared" si="3"/>
        <v>BDN12</v>
      </c>
      <c r="F472" s="6">
        <v>49.0</v>
      </c>
      <c r="G472" s="10" t="str">
        <f t="shared" si="4"/>
        <v>BDN12-49</v>
      </c>
      <c r="H472" s="16"/>
      <c r="I472" s="16" t="str">
        <f t="shared" si="5"/>
        <v>collected</v>
      </c>
      <c r="J472" s="16" t="str">
        <f t="shared" si="6"/>
        <v>N</v>
      </c>
      <c r="K472" s="16"/>
      <c r="L472" s="16"/>
    </row>
    <row r="473">
      <c r="A473" s="40" t="s">
        <v>1998</v>
      </c>
      <c r="B473" s="10" t="str">
        <f t="shared" si="1"/>
        <v>DNA</v>
      </c>
      <c r="C473" s="49" t="str">
        <f t="shared" si="2"/>
        <v>S16472DN1</v>
      </c>
      <c r="D473" s="6">
        <v>12.0</v>
      </c>
      <c r="E473" s="10" t="str">
        <f t="shared" si="3"/>
        <v>BDN12</v>
      </c>
      <c r="F473" s="6">
        <v>50.0</v>
      </c>
      <c r="G473" s="10" t="str">
        <f t="shared" si="4"/>
        <v>BDN12-50</v>
      </c>
      <c r="H473" s="16"/>
      <c r="I473" s="16" t="str">
        <f t="shared" si="5"/>
        <v>collected</v>
      </c>
      <c r="J473" s="16" t="str">
        <f t="shared" si="6"/>
        <v>N</v>
      </c>
      <c r="K473" s="16"/>
      <c r="L473" s="16"/>
    </row>
    <row r="474">
      <c r="A474" s="40" t="s">
        <v>1999</v>
      </c>
      <c r="B474" s="10" t="str">
        <f t="shared" si="1"/>
        <v>DNA</v>
      </c>
      <c r="C474" s="49" t="str">
        <f t="shared" si="2"/>
        <v>S16841DN1</v>
      </c>
      <c r="D474" s="6">
        <v>12.0</v>
      </c>
      <c r="E474" s="10" t="str">
        <f t="shared" si="3"/>
        <v>BDN12</v>
      </c>
      <c r="F474" s="6">
        <v>51.0</v>
      </c>
      <c r="G474" s="10" t="str">
        <f t="shared" si="4"/>
        <v>BDN12-51</v>
      </c>
      <c r="H474" s="16"/>
      <c r="I474" s="16" t="str">
        <f t="shared" si="5"/>
        <v>collected</v>
      </c>
      <c r="J474" s="16" t="str">
        <f t="shared" si="6"/>
        <v>N</v>
      </c>
      <c r="K474" s="16"/>
      <c r="L474" s="16"/>
    </row>
    <row r="475">
      <c r="A475" s="40" t="s">
        <v>2000</v>
      </c>
      <c r="B475" s="10" t="str">
        <f t="shared" si="1"/>
        <v>DNA</v>
      </c>
      <c r="C475" s="49" t="str">
        <f t="shared" si="2"/>
        <v>S16845DN1</v>
      </c>
      <c r="D475" s="6">
        <v>12.0</v>
      </c>
      <c r="E475" s="10" t="str">
        <f t="shared" si="3"/>
        <v>BDN12</v>
      </c>
      <c r="F475" s="6">
        <v>52.0</v>
      </c>
      <c r="G475" s="10" t="str">
        <f t="shared" si="4"/>
        <v>BDN12-52</v>
      </c>
      <c r="H475" s="16"/>
      <c r="I475" s="16" t="str">
        <f t="shared" si="5"/>
        <v>collected</v>
      </c>
      <c r="J475" s="16" t="str">
        <f t="shared" si="6"/>
        <v>N</v>
      </c>
      <c r="K475" s="16"/>
      <c r="L475" s="16"/>
    </row>
    <row r="476">
      <c r="A476" s="40" t="s">
        <v>2001</v>
      </c>
      <c r="B476" s="10" t="str">
        <f t="shared" si="1"/>
        <v>DNA</v>
      </c>
      <c r="C476" s="49" t="str">
        <f t="shared" si="2"/>
        <v>S16844DN1</v>
      </c>
      <c r="D476" s="6">
        <v>12.0</v>
      </c>
      <c r="E476" s="10" t="str">
        <f t="shared" si="3"/>
        <v>BDN12</v>
      </c>
      <c r="F476" s="6">
        <v>53.0</v>
      </c>
      <c r="G476" s="10" t="str">
        <f t="shared" si="4"/>
        <v>BDN12-53</v>
      </c>
      <c r="H476" s="16"/>
      <c r="I476" s="16" t="str">
        <f t="shared" si="5"/>
        <v>collected</v>
      </c>
      <c r="J476" s="16" t="str">
        <f t="shared" si="6"/>
        <v>N</v>
      </c>
      <c r="K476" s="16"/>
      <c r="L476" s="16"/>
    </row>
    <row r="477">
      <c r="A477" s="40" t="s">
        <v>2002</v>
      </c>
      <c r="B477" s="10" t="str">
        <f t="shared" si="1"/>
        <v>DNA</v>
      </c>
      <c r="C477" s="49" t="str">
        <f t="shared" si="2"/>
        <v>S16849DN1</v>
      </c>
      <c r="D477" s="6">
        <v>12.0</v>
      </c>
      <c r="E477" s="10" t="str">
        <f t="shared" si="3"/>
        <v>BDN12</v>
      </c>
      <c r="F477" s="6">
        <v>54.0</v>
      </c>
      <c r="G477" s="10" t="str">
        <f t="shared" si="4"/>
        <v>BDN12-54</v>
      </c>
      <c r="H477" s="16"/>
      <c r="I477" s="16" t="str">
        <f t="shared" si="5"/>
        <v>collected</v>
      </c>
      <c r="J477" s="16" t="str">
        <f t="shared" si="6"/>
        <v>N</v>
      </c>
      <c r="K477" s="16"/>
      <c r="L477" s="16"/>
    </row>
    <row r="478">
      <c r="A478" s="40" t="s">
        <v>2003</v>
      </c>
      <c r="B478" s="10" t="str">
        <f t="shared" si="1"/>
        <v>DNA</v>
      </c>
      <c r="C478" s="49" t="str">
        <f t="shared" si="2"/>
        <v>S16847DN1</v>
      </c>
      <c r="D478" s="6">
        <v>12.0</v>
      </c>
      <c r="E478" s="10" t="str">
        <f t="shared" si="3"/>
        <v>BDN12</v>
      </c>
      <c r="F478" s="6">
        <v>55.0</v>
      </c>
      <c r="G478" s="10" t="str">
        <f t="shared" si="4"/>
        <v>BDN12-55</v>
      </c>
      <c r="H478" s="16"/>
      <c r="I478" s="16" t="str">
        <f t="shared" si="5"/>
        <v>collected</v>
      </c>
      <c r="J478" s="16" t="str">
        <f t="shared" si="6"/>
        <v>N</v>
      </c>
      <c r="K478" s="16"/>
      <c r="L478" s="16"/>
    </row>
    <row r="479">
      <c r="A479" s="40" t="s">
        <v>2005</v>
      </c>
      <c r="B479" s="10" t="str">
        <f t="shared" si="1"/>
        <v>DNA</v>
      </c>
      <c r="C479" s="49" t="str">
        <f t="shared" si="2"/>
        <v>S16848DN1</v>
      </c>
      <c r="D479" s="6">
        <v>12.0</v>
      </c>
      <c r="E479" s="10" t="str">
        <f t="shared" si="3"/>
        <v>BDN12</v>
      </c>
      <c r="F479" s="6">
        <v>56.0</v>
      </c>
      <c r="G479" s="10" t="str">
        <f t="shared" si="4"/>
        <v>BDN12-56</v>
      </c>
      <c r="H479" s="16"/>
      <c r="I479" s="16" t="str">
        <f t="shared" si="5"/>
        <v>collected</v>
      </c>
      <c r="J479" s="16" t="str">
        <f t="shared" si="6"/>
        <v>N</v>
      </c>
      <c r="K479" s="16"/>
      <c r="L479" s="16"/>
    </row>
    <row r="480">
      <c r="A480" s="40" t="s">
        <v>2007</v>
      </c>
      <c r="B480" s="10" t="str">
        <f t="shared" si="1"/>
        <v>DNA</v>
      </c>
      <c r="C480" s="49" t="str">
        <f t="shared" si="2"/>
        <v>S16850DN1</v>
      </c>
      <c r="D480" s="6">
        <v>12.0</v>
      </c>
      <c r="E480" s="10" t="str">
        <f t="shared" si="3"/>
        <v>BDN12</v>
      </c>
      <c r="F480" s="6">
        <v>57.0</v>
      </c>
      <c r="G480" s="10" t="str">
        <f t="shared" si="4"/>
        <v>BDN12-57</v>
      </c>
      <c r="H480" s="16"/>
      <c r="I480" s="16" t="str">
        <f t="shared" si="5"/>
        <v>collected</v>
      </c>
      <c r="J480" s="16" t="str">
        <f t="shared" si="6"/>
        <v>N</v>
      </c>
      <c r="K480" s="16"/>
      <c r="L480" s="16"/>
    </row>
    <row r="481">
      <c r="A481" s="40" t="s">
        <v>2008</v>
      </c>
      <c r="B481" s="10" t="str">
        <f t="shared" si="1"/>
        <v>DNA</v>
      </c>
      <c r="C481" s="49" t="str">
        <f t="shared" si="2"/>
        <v>S16843DN1</v>
      </c>
      <c r="D481" s="6">
        <v>12.0</v>
      </c>
      <c r="E481" s="10" t="str">
        <f t="shared" si="3"/>
        <v>BDN12</v>
      </c>
      <c r="F481" s="6">
        <v>58.0</v>
      </c>
      <c r="G481" s="10" t="str">
        <f t="shared" si="4"/>
        <v>BDN12-58</v>
      </c>
      <c r="H481" s="16"/>
      <c r="I481" s="16" t="str">
        <f t="shared" si="5"/>
        <v>collected</v>
      </c>
      <c r="J481" s="16" t="str">
        <f t="shared" si="6"/>
        <v>N</v>
      </c>
      <c r="K481" s="16"/>
      <c r="L481" s="16"/>
    </row>
    <row r="482">
      <c r="A482" s="40" t="s">
        <v>2009</v>
      </c>
      <c r="B482" s="10" t="str">
        <f t="shared" si="1"/>
        <v>DNA</v>
      </c>
      <c r="C482" s="49" t="str">
        <f t="shared" si="2"/>
        <v>S16846DN1</v>
      </c>
      <c r="D482" s="6">
        <v>12.0</v>
      </c>
      <c r="E482" s="10" t="str">
        <f t="shared" si="3"/>
        <v>BDN12</v>
      </c>
      <c r="F482" s="6">
        <v>59.0</v>
      </c>
      <c r="G482" s="10" t="str">
        <f t="shared" si="4"/>
        <v>BDN12-59</v>
      </c>
      <c r="H482" s="16"/>
      <c r="I482" s="16" t="str">
        <f t="shared" si="5"/>
        <v>collected</v>
      </c>
      <c r="J482" s="16" t="str">
        <f t="shared" si="6"/>
        <v>N</v>
      </c>
      <c r="K482" s="16"/>
      <c r="L482" s="16"/>
    </row>
    <row r="483">
      <c r="A483" s="40" t="s">
        <v>2010</v>
      </c>
      <c r="B483" s="10" t="str">
        <f t="shared" si="1"/>
        <v>DNA</v>
      </c>
      <c r="C483" s="49" t="str">
        <f t="shared" si="2"/>
        <v>S16842DN1</v>
      </c>
      <c r="D483" s="6">
        <v>12.0</v>
      </c>
      <c r="E483" s="10" t="str">
        <f t="shared" si="3"/>
        <v>BDN12</v>
      </c>
      <c r="F483" s="6">
        <v>60.0</v>
      </c>
      <c r="G483" s="10" t="str">
        <f t="shared" si="4"/>
        <v>BDN12-60</v>
      </c>
      <c r="H483" s="16"/>
      <c r="I483" s="16" t="str">
        <f t="shared" si="5"/>
        <v>collected</v>
      </c>
      <c r="J483" s="16" t="str">
        <f t="shared" si="6"/>
        <v>N</v>
      </c>
      <c r="K483" s="16"/>
      <c r="L483" s="16"/>
    </row>
    <row r="484">
      <c r="A484" s="40" t="s">
        <v>2012</v>
      </c>
      <c r="B484" s="10" t="str">
        <f t="shared" si="1"/>
        <v>DNA</v>
      </c>
      <c r="C484" s="49" t="str">
        <f t="shared" si="2"/>
        <v>S16771DN1</v>
      </c>
      <c r="D484" s="6">
        <v>12.0</v>
      </c>
      <c r="E484" s="10" t="str">
        <f t="shared" si="3"/>
        <v>BDN12</v>
      </c>
      <c r="F484" s="6">
        <v>61.0</v>
      </c>
      <c r="G484" s="10" t="str">
        <f t="shared" si="4"/>
        <v>BDN12-61</v>
      </c>
      <c r="H484" s="16"/>
      <c r="I484" s="16" t="str">
        <f t="shared" si="5"/>
        <v>collected</v>
      </c>
      <c r="J484" s="16" t="str">
        <f t="shared" si="6"/>
        <v>N</v>
      </c>
      <c r="K484" s="16"/>
      <c r="L484" s="16"/>
    </row>
    <row r="485">
      <c r="A485" s="40" t="s">
        <v>2013</v>
      </c>
      <c r="B485" s="10" t="str">
        <f t="shared" si="1"/>
        <v>DNA</v>
      </c>
      <c r="C485" s="49" t="str">
        <f t="shared" si="2"/>
        <v>S16779DN1</v>
      </c>
      <c r="D485" s="6">
        <v>12.0</v>
      </c>
      <c r="E485" s="10" t="str">
        <f t="shared" si="3"/>
        <v>BDN12</v>
      </c>
      <c r="F485" s="6">
        <v>62.0</v>
      </c>
      <c r="G485" s="10" t="str">
        <f t="shared" si="4"/>
        <v>BDN12-62</v>
      </c>
      <c r="H485" s="16"/>
      <c r="I485" s="16" t="str">
        <f t="shared" si="5"/>
        <v>collected</v>
      </c>
      <c r="J485" s="16" t="str">
        <f t="shared" si="6"/>
        <v>N</v>
      </c>
      <c r="K485" s="16"/>
      <c r="L485" s="16"/>
    </row>
    <row r="486">
      <c r="A486" s="40" t="s">
        <v>2014</v>
      </c>
      <c r="B486" s="10" t="str">
        <f t="shared" si="1"/>
        <v>DNA</v>
      </c>
      <c r="C486" s="49" t="str">
        <f t="shared" si="2"/>
        <v>S16776DN1</v>
      </c>
      <c r="D486" s="6">
        <v>12.0</v>
      </c>
      <c r="E486" s="10" t="str">
        <f t="shared" si="3"/>
        <v>BDN12</v>
      </c>
      <c r="F486" s="6">
        <v>63.0</v>
      </c>
      <c r="G486" s="10" t="str">
        <f t="shared" si="4"/>
        <v>BDN12-63</v>
      </c>
      <c r="H486" s="16"/>
      <c r="I486" s="16" t="str">
        <f t="shared" si="5"/>
        <v>collected</v>
      </c>
      <c r="J486" s="16" t="str">
        <f t="shared" si="6"/>
        <v>N</v>
      </c>
      <c r="K486" s="16"/>
      <c r="L486" s="16"/>
    </row>
    <row r="487">
      <c r="A487" s="40" t="s">
        <v>2015</v>
      </c>
      <c r="B487" s="10" t="str">
        <f t="shared" si="1"/>
        <v>DNA</v>
      </c>
      <c r="C487" s="49" t="str">
        <f t="shared" si="2"/>
        <v>S16780DN1</v>
      </c>
      <c r="D487" s="6">
        <v>12.0</v>
      </c>
      <c r="E487" s="10" t="str">
        <f t="shared" si="3"/>
        <v>BDN12</v>
      </c>
      <c r="F487" s="6">
        <v>64.0</v>
      </c>
      <c r="G487" s="10" t="str">
        <f t="shared" si="4"/>
        <v>BDN12-64</v>
      </c>
      <c r="H487" s="16"/>
      <c r="I487" s="16" t="str">
        <f t="shared" si="5"/>
        <v>collected</v>
      </c>
      <c r="J487" s="16" t="str">
        <f t="shared" si="6"/>
        <v>N</v>
      </c>
      <c r="K487" s="16"/>
      <c r="L487" s="16"/>
    </row>
    <row r="488">
      <c r="A488" s="40" t="s">
        <v>2016</v>
      </c>
      <c r="B488" s="10" t="str">
        <f t="shared" si="1"/>
        <v>DNA</v>
      </c>
      <c r="C488" s="49" t="str">
        <f t="shared" si="2"/>
        <v>S16774DN1</v>
      </c>
      <c r="D488" s="6">
        <v>12.0</v>
      </c>
      <c r="E488" s="10" t="str">
        <f t="shared" si="3"/>
        <v>BDN12</v>
      </c>
      <c r="F488" s="6">
        <v>65.0</v>
      </c>
      <c r="G488" s="10" t="str">
        <f t="shared" si="4"/>
        <v>BDN12-65</v>
      </c>
      <c r="H488" s="16"/>
      <c r="I488" s="16" t="str">
        <f t="shared" si="5"/>
        <v>collected</v>
      </c>
      <c r="J488" s="16" t="str">
        <f t="shared" si="6"/>
        <v>N</v>
      </c>
      <c r="K488" s="16"/>
      <c r="L488" s="16"/>
    </row>
    <row r="489">
      <c r="A489" s="40" t="s">
        <v>2017</v>
      </c>
      <c r="B489" s="10" t="str">
        <f t="shared" si="1"/>
        <v>DNA</v>
      </c>
      <c r="C489" s="49" t="str">
        <f t="shared" si="2"/>
        <v>S16773DN1</v>
      </c>
      <c r="D489" s="6">
        <v>12.0</v>
      </c>
      <c r="E489" s="10" t="str">
        <f t="shared" si="3"/>
        <v>BDN12</v>
      </c>
      <c r="F489" s="6">
        <v>66.0</v>
      </c>
      <c r="G489" s="10" t="str">
        <f t="shared" si="4"/>
        <v>BDN12-66</v>
      </c>
      <c r="H489" s="16"/>
      <c r="I489" s="16" t="str">
        <f t="shared" si="5"/>
        <v>collected</v>
      </c>
      <c r="J489" s="16" t="str">
        <f t="shared" si="6"/>
        <v>N</v>
      </c>
      <c r="K489" s="16"/>
      <c r="L489" s="16"/>
    </row>
    <row r="490">
      <c r="A490" s="27" t="s">
        <v>2018</v>
      </c>
      <c r="B490" s="10" t="str">
        <f t="shared" si="1"/>
        <v>DNA</v>
      </c>
      <c r="C490" s="49" t="str">
        <f t="shared" si="2"/>
        <v>S17179DN1</v>
      </c>
      <c r="D490" s="6">
        <v>11.0</v>
      </c>
      <c r="E490" s="10" t="str">
        <f t="shared" si="3"/>
        <v>BDN11</v>
      </c>
      <c r="F490" s="6">
        <v>84.0</v>
      </c>
      <c r="G490" s="10" t="str">
        <f t="shared" si="4"/>
        <v>BDN11-84</v>
      </c>
      <c r="H490" s="16"/>
      <c r="I490" s="16" t="str">
        <f t="shared" si="5"/>
        <v>collected</v>
      </c>
      <c r="J490" s="16" t="str">
        <f t="shared" si="6"/>
        <v>N</v>
      </c>
      <c r="K490" s="16"/>
      <c r="L490" s="16"/>
    </row>
    <row r="491">
      <c r="A491" s="27" t="s">
        <v>2019</v>
      </c>
      <c r="B491" s="10" t="str">
        <f t="shared" si="1"/>
        <v>DNA</v>
      </c>
      <c r="C491" s="49" t="str">
        <f t="shared" si="2"/>
        <v>S17178DN1</v>
      </c>
      <c r="D491" s="6">
        <v>11.0</v>
      </c>
      <c r="E491" s="10" t="str">
        <f t="shared" si="3"/>
        <v>BDN11</v>
      </c>
      <c r="F491" s="6">
        <v>85.0</v>
      </c>
      <c r="G491" s="10" t="str">
        <f t="shared" si="4"/>
        <v>BDN11-85</v>
      </c>
      <c r="H491" s="16"/>
      <c r="I491" s="16" t="str">
        <f t="shared" si="5"/>
        <v>collected</v>
      </c>
      <c r="J491" s="16" t="str">
        <f t="shared" si="6"/>
        <v>N</v>
      </c>
      <c r="K491" s="16"/>
      <c r="L491" s="16"/>
    </row>
    <row r="492">
      <c r="A492" s="27" t="s">
        <v>2020</v>
      </c>
      <c r="B492" s="10" t="str">
        <f t="shared" si="1"/>
        <v>DNA</v>
      </c>
      <c r="C492" s="49" t="str">
        <f t="shared" si="2"/>
        <v>S17171DN1</v>
      </c>
      <c r="D492" s="6">
        <v>11.0</v>
      </c>
      <c r="E492" s="10" t="str">
        <f t="shared" si="3"/>
        <v>BDN11</v>
      </c>
      <c r="F492" s="6">
        <v>86.0</v>
      </c>
      <c r="G492" s="10" t="str">
        <f t="shared" si="4"/>
        <v>BDN11-86</v>
      </c>
      <c r="H492" s="16"/>
      <c r="I492" s="16" t="str">
        <f t="shared" si="5"/>
        <v>collected</v>
      </c>
      <c r="J492" s="16" t="str">
        <f t="shared" si="6"/>
        <v>N</v>
      </c>
      <c r="K492" s="16"/>
      <c r="L492" s="16"/>
    </row>
    <row r="493">
      <c r="A493" s="27" t="s">
        <v>2021</v>
      </c>
      <c r="B493" s="10" t="str">
        <f t="shared" si="1"/>
        <v>DNA</v>
      </c>
      <c r="C493" s="49" t="str">
        <f t="shared" si="2"/>
        <v>S17175DN1</v>
      </c>
      <c r="D493" s="6">
        <v>11.0</v>
      </c>
      <c r="E493" s="10" t="str">
        <f t="shared" si="3"/>
        <v>BDN11</v>
      </c>
      <c r="F493" s="6">
        <v>87.0</v>
      </c>
      <c r="G493" s="10" t="str">
        <f t="shared" si="4"/>
        <v>BDN11-87</v>
      </c>
      <c r="H493" s="16"/>
      <c r="I493" s="16" t="str">
        <f t="shared" si="5"/>
        <v>collected</v>
      </c>
      <c r="J493" s="16" t="str">
        <f t="shared" si="6"/>
        <v>N</v>
      </c>
      <c r="K493" s="16"/>
      <c r="L493" s="16"/>
    </row>
    <row r="494">
      <c r="A494" s="27" t="s">
        <v>2022</v>
      </c>
      <c r="B494" s="10" t="str">
        <f t="shared" si="1"/>
        <v>DNA</v>
      </c>
      <c r="C494" s="49" t="str">
        <f t="shared" si="2"/>
        <v>S17174DN1</v>
      </c>
      <c r="D494" s="6">
        <v>11.0</v>
      </c>
      <c r="E494" s="10" t="str">
        <f t="shared" si="3"/>
        <v>BDN11</v>
      </c>
      <c r="F494" s="6">
        <v>88.0</v>
      </c>
      <c r="G494" s="10" t="str">
        <f t="shared" si="4"/>
        <v>BDN11-88</v>
      </c>
      <c r="H494" s="16"/>
      <c r="I494" s="16" t="str">
        <f t="shared" si="5"/>
        <v>collected</v>
      </c>
      <c r="J494" s="16" t="str">
        <f t="shared" si="6"/>
        <v>N</v>
      </c>
      <c r="K494" s="16"/>
      <c r="L494" s="16"/>
    </row>
    <row r="495">
      <c r="A495" s="27" t="s">
        <v>2023</v>
      </c>
      <c r="B495" s="10" t="str">
        <f t="shared" si="1"/>
        <v>DNA</v>
      </c>
      <c r="C495" s="49" t="str">
        <f t="shared" si="2"/>
        <v>S17177DN1</v>
      </c>
      <c r="D495" s="6">
        <v>11.0</v>
      </c>
      <c r="E495" s="10" t="str">
        <f t="shared" si="3"/>
        <v>BDN11</v>
      </c>
      <c r="F495" s="6">
        <v>89.0</v>
      </c>
      <c r="G495" s="10" t="str">
        <f t="shared" si="4"/>
        <v>BDN11-89</v>
      </c>
      <c r="H495" s="16"/>
      <c r="I495" s="16" t="str">
        <f t="shared" si="5"/>
        <v>collected</v>
      </c>
      <c r="J495" s="16" t="str">
        <f t="shared" si="6"/>
        <v>N</v>
      </c>
      <c r="K495" s="16"/>
      <c r="L495" s="16"/>
    </row>
    <row r="496">
      <c r="A496" s="27" t="s">
        <v>2024</v>
      </c>
      <c r="B496" s="10" t="str">
        <f t="shared" si="1"/>
        <v>DNA</v>
      </c>
      <c r="C496" s="49" t="str">
        <f t="shared" si="2"/>
        <v>S17176DN1</v>
      </c>
      <c r="D496" s="6">
        <v>11.0</v>
      </c>
      <c r="E496" s="10" t="str">
        <f t="shared" si="3"/>
        <v>BDN11</v>
      </c>
      <c r="F496" s="6">
        <v>90.0</v>
      </c>
      <c r="G496" s="10" t="str">
        <f t="shared" si="4"/>
        <v>BDN11-90</v>
      </c>
      <c r="H496" s="16"/>
      <c r="I496" s="16" t="str">
        <f t="shared" si="5"/>
        <v>collected</v>
      </c>
      <c r="J496" s="16" t="str">
        <f t="shared" si="6"/>
        <v>N</v>
      </c>
      <c r="K496" s="16"/>
      <c r="L496" s="16"/>
    </row>
    <row r="497">
      <c r="A497" s="27" t="s">
        <v>2025</v>
      </c>
      <c r="B497" s="10" t="str">
        <f t="shared" si="1"/>
        <v>DNA</v>
      </c>
      <c r="C497" s="49" t="str">
        <f t="shared" si="2"/>
        <v>S17172DN1</v>
      </c>
      <c r="D497" s="6">
        <v>11.0</v>
      </c>
      <c r="E497" s="10" t="str">
        <f t="shared" si="3"/>
        <v>BDN11</v>
      </c>
      <c r="F497" s="6">
        <v>91.0</v>
      </c>
      <c r="G497" s="10" t="str">
        <f t="shared" si="4"/>
        <v>BDN11-91</v>
      </c>
      <c r="H497" s="16"/>
      <c r="I497" s="16" t="str">
        <f t="shared" si="5"/>
        <v>collected</v>
      </c>
      <c r="J497" s="16" t="str">
        <f t="shared" si="6"/>
        <v>N</v>
      </c>
      <c r="K497" s="16"/>
      <c r="L497" s="16"/>
    </row>
    <row r="498">
      <c r="A498" s="27" t="s">
        <v>2026</v>
      </c>
      <c r="B498" s="10" t="str">
        <f t="shared" si="1"/>
        <v>DNA</v>
      </c>
      <c r="C498" s="49" t="str">
        <f t="shared" si="2"/>
        <v>S17173DN1</v>
      </c>
      <c r="D498" s="6">
        <v>11.0</v>
      </c>
      <c r="E498" s="10" t="str">
        <f t="shared" si="3"/>
        <v>BDN11</v>
      </c>
      <c r="F498" s="6">
        <v>92.0</v>
      </c>
      <c r="G498" s="10" t="str">
        <f t="shared" si="4"/>
        <v>BDN11-92</v>
      </c>
      <c r="H498" s="16"/>
      <c r="I498" s="16" t="str">
        <f t="shared" si="5"/>
        <v>collected</v>
      </c>
      <c r="J498" s="16" t="str">
        <f t="shared" si="6"/>
        <v>N</v>
      </c>
      <c r="K498" s="16"/>
      <c r="L498" s="16"/>
    </row>
    <row r="499">
      <c r="A499" s="27" t="s">
        <v>2027</v>
      </c>
      <c r="B499" s="10" t="str">
        <f t="shared" si="1"/>
        <v>DNA</v>
      </c>
      <c r="C499" s="49" t="str">
        <f t="shared" si="2"/>
        <v>S16595DN1</v>
      </c>
      <c r="D499" s="6">
        <v>11.0</v>
      </c>
      <c r="E499" s="10" t="str">
        <f t="shared" si="3"/>
        <v>BDN11</v>
      </c>
      <c r="F499" s="6">
        <v>93.0</v>
      </c>
      <c r="G499" s="10" t="str">
        <f t="shared" si="4"/>
        <v>BDN11-93</v>
      </c>
      <c r="H499" s="16"/>
      <c r="I499" s="16" t="str">
        <f t="shared" si="5"/>
        <v>collected</v>
      </c>
      <c r="J499" s="16" t="str">
        <f t="shared" si="6"/>
        <v>N</v>
      </c>
      <c r="K499" s="16"/>
      <c r="L499" s="16"/>
    </row>
    <row r="500">
      <c r="A500" s="27" t="s">
        <v>2028</v>
      </c>
      <c r="B500" s="10" t="str">
        <f t="shared" si="1"/>
        <v>DNA</v>
      </c>
      <c r="C500" s="49" t="str">
        <f t="shared" si="2"/>
        <v>S16591DN1</v>
      </c>
      <c r="D500" s="6">
        <v>11.0</v>
      </c>
      <c r="E500" s="10" t="str">
        <f t="shared" si="3"/>
        <v>BDN11</v>
      </c>
      <c r="F500" s="6">
        <v>94.0</v>
      </c>
      <c r="G500" s="10" t="str">
        <f t="shared" si="4"/>
        <v>BDN11-94</v>
      </c>
      <c r="H500" s="16"/>
      <c r="I500" s="16" t="str">
        <f t="shared" si="5"/>
        <v>collected</v>
      </c>
      <c r="J500" s="16" t="str">
        <f t="shared" si="6"/>
        <v>N</v>
      </c>
      <c r="K500" s="16"/>
      <c r="L500" s="16"/>
    </row>
    <row r="501">
      <c r="A501" s="27" t="s">
        <v>2029</v>
      </c>
      <c r="B501" s="10" t="str">
        <f t="shared" si="1"/>
        <v>DNA</v>
      </c>
      <c r="C501" s="49" t="str">
        <f t="shared" si="2"/>
        <v>S16593DN1</v>
      </c>
      <c r="D501" s="6">
        <v>11.0</v>
      </c>
      <c r="E501" s="10" t="str">
        <f t="shared" si="3"/>
        <v>BDN11</v>
      </c>
      <c r="F501" s="6">
        <v>95.0</v>
      </c>
      <c r="G501" s="10" t="str">
        <f t="shared" si="4"/>
        <v>BDN11-95</v>
      </c>
      <c r="H501" s="16"/>
      <c r="I501" s="16" t="str">
        <f t="shared" si="5"/>
        <v>collected</v>
      </c>
      <c r="J501" s="16" t="str">
        <f t="shared" si="6"/>
        <v>N</v>
      </c>
      <c r="K501" s="16"/>
      <c r="L501" s="16"/>
    </row>
    <row r="502">
      <c r="A502" s="27" t="s">
        <v>2030</v>
      </c>
      <c r="B502" s="10" t="str">
        <f t="shared" si="1"/>
        <v>DNA</v>
      </c>
      <c r="C502" s="49" t="str">
        <f t="shared" si="2"/>
        <v>S16594DN1</v>
      </c>
      <c r="D502" s="6">
        <v>11.0</v>
      </c>
      <c r="E502" s="10" t="str">
        <f t="shared" si="3"/>
        <v>BDN11</v>
      </c>
      <c r="F502" s="6">
        <v>96.0</v>
      </c>
      <c r="G502" s="10" t="str">
        <f t="shared" si="4"/>
        <v>BDN11-96</v>
      </c>
      <c r="H502" s="16"/>
      <c r="I502" s="16" t="str">
        <f t="shared" si="5"/>
        <v>collected</v>
      </c>
      <c r="J502" s="16" t="str">
        <f t="shared" si="6"/>
        <v>N</v>
      </c>
      <c r="K502" s="16"/>
      <c r="L502" s="16"/>
    </row>
    <row r="503">
      <c r="A503" s="27" t="s">
        <v>2031</v>
      </c>
      <c r="B503" s="10" t="str">
        <f t="shared" si="1"/>
        <v>DNA</v>
      </c>
      <c r="C503" s="49" t="str">
        <f t="shared" si="2"/>
        <v>S16592DN1</v>
      </c>
      <c r="D503" s="6">
        <v>11.0</v>
      </c>
      <c r="E503" s="10" t="str">
        <f t="shared" si="3"/>
        <v>BDN11</v>
      </c>
      <c r="F503" s="6">
        <v>97.0</v>
      </c>
      <c r="G503" s="10" t="str">
        <f t="shared" si="4"/>
        <v>BDN11-97</v>
      </c>
      <c r="H503" s="16"/>
      <c r="I503" s="16" t="str">
        <f t="shared" si="5"/>
        <v>collected</v>
      </c>
      <c r="J503" s="16" t="str">
        <f t="shared" si="6"/>
        <v>N</v>
      </c>
      <c r="K503" s="16"/>
      <c r="L503" s="16"/>
    </row>
    <row r="504">
      <c r="A504" s="27" t="s">
        <v>2032</v>
      </c>
      <c r="B504" s="10" t="str">
        <f t="shared" si="1"/>
        <v>DNA</v>
      </c>
      <c r="C504" s="49" t="str">
        <f t="shared" si="2"/>
        <v>S16635DN1</v>
      </c>
      <c r="D504" s="6">
        <v>11.0</v>
      </c>
      <c r="E504" s="10" t="str">
        <f t="shared" si="3"/>
        <v>BDN11</v>
      </c>
      <c r="F504" s="6">
        <v>98.0</v>
      </c>
      <c r="G504" s="10" t="str">
        <f t="shared" si="4"/>
        <v>BDN11-98</v>
      </c>
      <c r="H504" s="16"/>
      <c r="I504" s="16" t="str">
        <f t="shared" si="5"/>
        <v>collected</v>
      </c>
      <c r="J504" s="16" t="str">
        <f t="shared" si="6"/>
        <v>N</v>
      </c>
      <c r="K504" s="16"/>
      <c r="L504" s="16"/>
    </row>
    <row r="505">
      <c r="A505" s="27" t="s">
        <v>2033</v>
      </c>
      <c r="B505" s="10" t="str">
        <f t="shared" si="1"/>
        <v>DNA</v>
      </c>
      <c r="C505" s="49" t="str">
        <f t="shared" si="2"/>
        <v>S16640DN1</v>
      </c>
      <c r="D505" s="6">
        <v>11.0</v>
      </c>
      <c r="E505" s="10" t="str">
        <f t="shared" si="3"/>
        <v>BDN11</v>
      </c>
      <c r="F505" s="6">
        <v>99.0</v>
      </c>
      <c r="G505" s="10" t="str">
        <f t="shared" si="4"/>
        <v>BDN11-99</v>
      </c>
      <c r="H505" s="16"/>
      <c r="I505" s="16" t="str">
        <f t="shared" si="5"/>
        <v>collected</v>
      </c>
      <c r="J505" s="16" t="str">
        <f t="shared" si="6"/>
        <v>N</v>
      </c>
      <c r="K505" s="16"/>
      <c r="L505" s="16"/>
    </row>
    <row r="506">
      <c r="A506" s="27" t="s">
        <v>2034</v>
      </c>
      <c r="B506" s="10" t="str">
        <f t="shared" si="1"/>
        <v>DNA</v>
      </c>
      <c r="C506" s="49" t="str">
        <f t="shared" si="2"/>
        <v>S16639DN1</v>
      </c>
      <c r="D506" s="6">
        <v>11.0</v>
      </c>
      <c r="E506" s="10" t="str">
        <f t="shared" si="3"/>
        <v>BDN11</v>
      </c>
      <c r="F506" s="6">
        <v>100.0</v>
      </c>
      <c r="G506" s="10" t="str">
        <f t="shared" si="4"/>
        <v>BDN11-100</v>
      </c>
      <c r="H506" s="16"/>
      <c r="I506" s="16" t="str">
        <f t="shared" si="5"/>
        <v>collected</v>
      </c>
      <c r="J506" s="16" t="str">
        <f t="shared" si="6"/>
        <v>N</v>
      </c>
      <c r="K506" s="16"/>
      <c r="L506" s="16"/>
    </row>
    <row r="507">
      <c r="A507" s="27" t="s">
        <v>2035</v>
      </c>
      <c r="B507" s="10" t="str">
        <f t="shared" si="1"/>
        <v>DNA</v>
      </c>
      <c r="C507" s="49" t="str">
        <f t="shared" si="2"/>
        <v>S16634DN1</v>
      </c>
      <c r="D507" s="6">
        <v>13.0</v>
      </c>
      <c r="E507" s="10" t="str">
        <f t="shared" si="3"/>
        <v>BDN13</v>
      </c>
      <c r="F507" s="6">
        <v>1.0</v>
      </c>
      <c r="G507" s="10" t="str">
        <f t="shared" si="4"/>
        <v>BDN13-1</v>
      </c>
      <c r="H507" s="16"/>
      <c r="I507" s="16" t="str">
        <f t="shared" si="5"/>
        <v>collected</v>
      </c>
      <c r="J507" s="16" t="str">
        <f t="shared" si="6"/>
        <v>N</v>
      </c>
      <c r="K507" s="16"/>
      <c r="L507" s="16"/>
    </row>
    <row r="508">
      <c r="A508" s="27" t="s">
        <v>2036</v>
      </c>
      <c r="B508" s="10" t="str">
        <f t="shared" si="1"/>
        <v>DNA</v>
      </c>
      <c r="C508" s="49" t="str">
        <f t="shared" si="2"/>
        <v>S16631DN1</v>
      </c>
      <c r="D508" s="6">
        <v>13.0</v>
      </c>
      <c r="E508" s="10" t="str">
        <f t="shared" si="3"/>
        <v>BDN13</v>
      </c>
      <c r="F508" s="6">
        <v>2.0</v>
      </c>
      <c r="G508" s="10" t="str">
        <f t="shared" si="4"/>
        <v>BDN13-2</v>
      </c>
      <c r="H508" s="16"/>
      <c r="I508" s="16" t="str">
        <f t="shared" si="5"/>
        <v>collected</v>
      </c>
      <c r="J508" s="16" t="str">
        <f t="shared" si="6"/>
        <v>N</v>
      </c>
      <c r="K508" s="16"/>
      <c r="L508" s="16"/>
    </row>
    <row r="509">
      <c r="A509" s="27" t="s">
        <v>2037</v>
      </c>
      <c r="B509" s="10" t="str">
        <f t="shared" si="1"/>
        <v>DNA</v>
      </c>
      <c r="C509" s="49" t="str">
        <f t="shared" si="2"/>
        <v>S16636DN1</v>
      </c>
      <c r="D509" s="6">
        <v>13.0</v>
      </c>
      <c r="E509" s="10" t="str">
        <f t="shared" si="3"/>
        <v>BDN13</v>
      </c>
      <c r="F509" s="6">
        <v>3.0</v>
      </c>
      <c r="G509" s="10" t="str">
        <f t="shared" si="4"/>
        <v>BDN13-3</v>
      </c>
      <c r="H509" s="16"/>
      <c r="I509" s="16" t="str">
        <f t="shared" si="5"/>
        <v>collected</v>
      </c>
      <c r="J509" s="16" t="str">
        <f t="shared" si="6"/>
        <v>N</v>
      </c>
      <c r="K509" s="16"/>
      <c r="L509" s="16"/>
    </row>
    <row r="510">
      <c r="A510" s="27" t="s">
        <v>2038</v>
      </c>
      <c r="B510" s="10" t="str">
        <f t="shared" si="1"/>
        <v>DNA</v>
      </c>
      <c r="C510" s="49" t="str">
        <f t="shared" si="2"/>
        <v>S16632DN1</v>
      </c>
      <c r="D510" s="6">
        <v>13.0</v>
      </c>
      <c r="E510" s="10" t="str">
        <f t="shared" si="3"/>
        <v>BDN13</v>
      </c>
      <c r="F510" s="6">
        <v>4.0</v>
      </c>
      <c r="G510" s="10" t="str">
        <f t="shared" si="4"/>
        <v>BDN13-4</v>
      </c>
      <c r="H510" s="16"/>
      <c r="I510" s="16" t="str">
        <f t="shared" si="5"/>
        <v>collected</v>
      </c>
      <c r="J510" s="16" t="str">
        <f t="shared" si="6"/>
        <v>N</v>
      </c>
      <c r="K510" s="16"/>
      <c r="L510" s="16"/>
    </row>
    <row r="511">
      <c r="A511" s="27" t="s">
        <v>2039</v>
      </c>
      <c r="B511" s="10" t="str">
        <f t="shared" si="1"/>
        <v>DNA</v>
      </c>
      <c r="C511" s="49" t="str">
        <f t="shared" si="2"/>
        <v>S16638DN1</v>
      </c>
      <c r="D511" s="6">
        <v>13.0</v>
      </c>
      <c r="E511" s="10" t="str">
        <f t="shared" si="3"/>
        <v>BDN13</v>
      </c>
      <c r="F511" s="6">
        <v>5.0</v>
      </c>
      <c r="G511" s="10" t="str">
        <f t="shared" si="4"/>
        <v>BDN13-5</v>
      </c>
      <c r="H511" s="16"/>
      <c r="I511" s="16" t="str">
        <f t="shared" si="5"/>
        <v>collected</v>
      </c>
      <c r="J511" s="16" t="str">
        <f t="shared" si="6"/>
        <v>N</v>
      </c>
      <c r="K511" s="16"/>
      <c r="L511" s="16"/>
    </row>
    <row r="512">
      <c r="A512" s="40" t="s">
        <v>2040</v>
      </c>
      <c r="B512" s="10" t="str">
        <f t="shared" si="1"/>
        <v>DNA</v>
      </c>
      <c r="C512" s="49" t="str">
        <f t="shared" si="2"/>
        <v>S16775DN1</v>
      </c>
      <c r="D512" s="6">
        <v>12.0</v>
      </c>
      <c r="E512" s="10" t="str">
        <f t="shared" si="3"/>
        <v>BDN12</v>
      </c>
      <c r="F512" s="6">
        <v>67.0</v>
      </c>
      <c r="G512" s="10" t="str">
        <f t="shared" si="4"/>
        <v>BDN12-67</v>
      </c>
      <c r="H512" s="16"/>
      <c r="I512" s="16" t="str">
        <f t="shared" si="5"/>
        <v>collected</v>
      </c>
      <c r="J512" s="16" t="str">
        <f t="shared" si="6"/>
        <v>N</v>
      </c>
      <c r="K512" s="16"/>
      <c r="L512" s="16"/>
    </row>
    <row r="513">
      <c r="A513" s="40" t="s">
        <v>2041</v>
      </c>
      <c r="B513" s="10" t="str">
        <f t="shared" si="1"/>
        <v>DNA</v>
      </c>
      <c r="C513" s="49" t="str">
        <f t="shared" si="2"/>
        <v>S16772DN1</v>
      </c>
      <c r="D513" s="6">
        <v>12.0</v>
      </c>
      <c r="E513" s="10" t="str">
        <f t="shared" si="3"/>
        <v>BDN12</v>
      </c>
      <c r="F513" s="6">
        <v>68.0</v>
      </c>
      <c r="G513" s="10" t="str">
        <f t="shared" si="4"/>
        <v>BDN12-68</v>
      </c>
      <c r="H513" s="16"/>
      <c r="I513" s="16" t="str">
        <f t="shared" si="5"/>
        <v>collected</v>
      </c>
      <c r="J513" s="16" t="str">
        <f t="shared" si="6"/>
        <v>N</v>
      </c>
      <c r="K513" s="16"/>
      <c r="L513" s="16"/>
    </row>
    <row r="514">
      <c r="A514" s="40" t="s">
        <v>2042</v>
      </c>
      <c r="B514" s="10" t="str">
        <f t="shared" si="1"/>
        <v>DNA</v>
      </c>
      <c r="C514" s="49" t="str">
        <f t="shared" si="2"/>
        <v>S16778DN1</v>
      </c>
      <c r="D514" s="6">
        <v>12.0</v>
      </c>
      <c r="E514" s="10" t="str">
        <f t="shared" si="3"/>
        <v>BDN12</v>
      </c>
      <c r="F514" s="6">
        <v>69.0</v>
      </c>
      <c r="G514" s="10" t="str">
        <f t="shared" si="4"/>
        <v>BDN12-69</v>
      </c>
      <c r="H514" s="16"/>
      <c r="I514" s="16" t="str">
        <f t="shared" si="5"/>
        <v>collected</v>
      </c>
      <c r="J514" s="16" t="str">
        <f t="shared" si="6"/>
        <v>N</v>
      </c>
      <c r="K514" s="16"/>
      <c r="L514" s="16"/>
    </row>
    <row r="515">
      <c r="A515" s="40" t="s">
        <v>2043</v>
      </c>
      <c r="B515" s="10" t="str">
        <f t="shared" si="1"/>
        <v>DNA</v>
      </c>
      <c r="C515" s="49" t="str">
        <f t="shared" si="2"/>
        <v>S16777DN1</v>
      </c>
      <c r="D515" s="6">
        <v>12.0</v>
      </c>
      <c r="E515" s="10" t="str">
        <f t="shared" si="3"/>
        <v>BDN12</v>
      </c>
      <c r="F515" s="6">
        <v>70.0</v>
      </c>
      <c r="G515" s="10" t="str">
        <f t="shared" si="4"/>
        <v>BDN12-70</v>
      </c>
      <c r="H515" s="16"/>
      <c r="I515" s="16" t="str">
        <f t="shared" si="5"/>
        <v>collected</v>
      </c>
      <c r="J515" s="16" t="str">
        <f t="shared" si="6"/>
        <v>N</v>
      </c>
      <c r="K515" s="16"/>
      <c r="L515" s="16"/>
    </row>
    <row r="516">
      <c r="A516" s="40" t="s">
        <v>2044</v>
      </c>
      <c r="B516" s="10" t="str">
        <f t="shared" si="1"/>
        <v>DNA</v>
      </c>
      <c r="C516" s="49" t="str">
        <f t="shared" si="2"/>
        <v>S16091DN1</v>
      </c>
      <c r="D516" s="6">
        <v>12.0</v>
      </c>
      <c r="E516" s="10" t="str">
        <f t="shared" si="3"/>
        <v>BDN12</v>
      </c>
      <c r="F516" s="6">
        <v>71.0</v>
      </c>
      <c r="G516" s="10" t="str">
        <f t="shared" si="4"/>
        <v>BDN12-71</v>
      </c>
      <c r="H516" s="16"/>
      <c r="I516" s="16" t="str">
        <f t="shared" si="5"/>
        <v>collected</v>
      </c>
      <c r="J516" s="16" t="str">
        <f t="shared" si="6"/>
        <v>N</v>
      </c>
      <c r="K516" s="16"/>
      <c r="L516" s="16"/>
    </row>
    <row r="517">
      <c r="A517" s="40" t="s">
        <v>2045</v>
      </c>
      <c r="B517" s="10" t="str">
        <f t="shared" si="1"/>
        <v>DNA</v>
      </c>
      <c r="C517" s="49" t="str">
        <f t="shared" si="2"/>
        <v>S16097DN1</v>
      </c>
      <c r="D517" s="6">
        <v>12.0</v>
      </c>
      <c r="E517" s="10" t="str">
        <f t="shared" si="3"/>
        <v>BDN12</v>
      </c>
      <c r="F517" s="6">
        <v>72.0</v>
      </c>
      <c r="G517" s="10" t="str">
        <f t="shared" si="4"/>
        <v>BDN12-72</v>
      </c>
      <c r="H517" s="16"/>
      <c r="I517" s="16" t="str">
        <f t="shared" si="5"/>
        <v>collected</v>
      </c>
      <c r="J517" s="16" t="str">
        <f t="shared" si="6"/>
        <v>N</v>
      </c>
      <c r="K517" s="16"/>
      <c r="L517" s="16"/>
    </row>
    <row r="518">
      <c r="A518" s="40" t="s">
        <v>2046</v>
      </c>
      <c r="B518" s="10" t="str">
        <f t="shared" si="1"/>
        <v>DNA</v>
      </c>
      <c r="C518" s="49" t="str">
        <f t="shared" si="2"/>
        <v>S16093DN1</v>
      </c>
      <c r="D518" s="6">
        <v>12.0</v>
      </c>
      <c r="E518" s="10" t="str">
        <f t="shared" si="3"/>
        <v>BDN12</v>
      </c>
      <c r="F518" s="6">
        <v>73.0</v>
      </c>
      <c r="G518" s="10" t="str">
        <f t="shared" si="4"/>
        <v>BDN12-73</v>
      </c>
      <c r="H518" s="16"/>
      <c r="I518" s="16" t="str">
        <f t="shared" si="5"/>
        <v>collected</v>
      </c>
      <c r="J518" s="16" t="str">
        <f t="shared" si="6"/>
        <v>N</v>
      </c>
      <c r="K518" s="16"/>
      <c r="L518" s="16"/>
    </row>
    <row r="519">
      <c r="A519" s="40" t="s">
        <v>2047</v>
      </c>
      <c r="B519" s="10" t="str">
        <f t="shared" si="1"/>
        <v>DNA</v>
      </c>
      <c r="C519" s="49" t="str">
        <f t="shared" si="2"/>
        <v>S16092DN1</v>
      </c>
      <c r="D519" s="6">
        <v>12.0</v>
      </c>
      <c r="E519" s="10" t="str">
        <f t="shared" si="3"/>
        <v>BDN12</v>
      </c>
      <c r="F519" s="6">
        <v>74.0</v>
      </c>
      <c r="G519" s="10" t="str">
        <f t="shared" si="4"/>
        <v>BDN12-74</v>
      </c>
      <c r="H519" s="16"/>
      <c r="I519" s="16" t="str">
        <f t="shared" si="5"/>
        <v>collected</v>
      </c>
      <c r="J519" s="16" t="str">
        <f t="shared" si="6"/>
        <v>N</v>
      </c>
      <c r="K519" s="16"/>
      <c r="L519" s="16"/>
    </row>
    <row r="520">
      <c r="A520" s="40" t="s">
        <v>2048</v>
      </c>
      <c r="B520" s="10" t="str">
        <f t="shared" si="1"/>
        <v>DNA</v>
      </c>
      <c r="C520" s="49" t="str">
        <f t="shared" si="2"/>
        <v>S16095DN1</v>
      </c>
      <c r="D520" s="6">
        <v>12.0</v>
      </c>
      <c r="E520" s="10" t="str">
        <f t="shared" si="3"/>
        <v>BDN12</v>
      </c>
      <c r="F520" s="6">
        <v>75.0</v>
      </c>
      <c r="G520" s="10" t="str">
        <f t="shared" si="4"/>
        <v>BDN12-75</v>
      </c>
      <c r="H520" s="16"/>
      <c r="I520" s="16" t="str">
        <f t="shared" si="5"/>
        <v>collected</v>
      </c>
      <c r="J520" s="16" t="str">
        <f t="shared" si="6"/>
        <v>N</v>
      </c>
      <c r="K520" s="16"/>
      <c r="L520" s="16"/>
    </row>
    <row r="521">
      <c r="A521" s="40" t="s">
        <v>2049</v>
      </c>
      <c r="B521" s="10" t="str">
        <f t="shared" si="1"/>
        <v>DNA</v>
      </c>
      <c r="C521" s="49" t="str">
        <f t="shared" si="2"/>
        <v>S16098DN1</v>
      </c>
      <c r="D521" s="6">
        <v>12.0</v>
      </c>
      <c r="E521" s="10" t="str">
        <f t="shared" si="3"/>
        <v>BDN12</v>
      </c>
      <c r="F521" s="6">
        <v>76.0</v>
      </c>
      <c r="G521" s="10" t="str">
        <f t="shared" si="4"/>
        <v>BDN12-76</v>
      </c>
      <c r="H521" s="16"/>
      <c r="I521" s="16" t="str">
        <f t="shared" si="5"/>
        <v>collected</v>
      </c>
      <c r="J521" s="16" t="str">
        <f t="shared" si="6"/>
        <v>N</v>
      </c>
      <c r="K521" s="16"/>
      <c r="L521" s="16"/>
    </row>
    <row r="522">
      <c r="A522" s="40" t="s">
        <v>2050</v>
      </c>
      <c r="B522" s="10" t="str">
        <f t="shared" si="1"/>
        <v>DNA</v>
      </c>
      <c r="C522" s="49" t="str">
        <f t="shared" si="2"/>
        <v>S16100DN1</v>
      </c>
      <c r="D522" s="6">
        <v>12.0</v>
      </c>
      <c r="E522" s="10" t="str">
        <f t="shared" si="3"/>
        <v>BDN12</v>
      </c>
      <c r="F522" s="6">
        <v>77.0</v>
      </c>
      <c r="G522" s="10" t="str">
        <f t="shared" si="4"/>
        <v>BDN12-77</v>
      </c>
      <c r="H522" s="16"/>
      <c r="I522" s="16" t="str">
        <f t="shared" si="5"/>
        <v>collected</v>
      </c>
      <c r="J522" s="16" t="str">
        <f t="shared" si="6"/>
        <v>N</v>
      </c>
      <c r="K522" s="16"/>
      <c r="L522" s="16"/>
    </row>
    <row r="523">
      <c r="A523" s="40" t="s">
        <v>2051</v>
      </c>
      <c r="B523" s="10" t="str">
        <f t="shared" si="1"/>
        <v>DNA</v>
      </c>
      <c r="C523" s="49" t="str">
        <f t="shared" si="2"/>
        <v>S16096DN1</v>
      </c>
      <c r="D523" s="6">
        <v>12.0</v>
      </c>
      <c r="E523" s="10" t="str">
        <f t="shared" si="3"/>
        <v>BDN12</v>
      </c>
      <c r="F523" s="6">
        <v>78.0</v>
      </c>
      <c r="G523" s="10" t="str">
        <f t="shared" si="4"/>
        <v>BDN12-78</v>
      </c>
      <c r="H523" s="16"/>
      <c r="I523" s="16" t="str">
        <f t="shared" si="5"/>
        <v>collected</v>
      </c>
      <c r="J523" s="16" t="str">
        <f t="shared" si="6"/>
        <v>N</v>
      </c>
      <c r="K523" s="16"/>
      <c r="L523" s="16"/>
    </row>
    <row r="524">
      <c r="A524" s="40" t="s">
        <v>2052</v>
      </c>
      <c r="B524" s="10" t="str">
        <f t="shared" si="1"/>
        <v>DNA</v>
      </c>
      <c r="C524" s="49" t="str">
        <f t="shared" si="2"/>
        <v>S16099DN1</v>
      </c>
      <c r="D524" s="6">
        <v>12.0</v>
      </c>
      <c r="E524" s="10" t="str">
        <f t="shared" si="3"/>
        <v>BDN12</v>
      </c>
      <c r="F524" s="6">
        <v>79.0</v>
      </c>
      <c r="G524" s="10" t="str">
        <f t="shared" si="4"/>
        <v>BDN12-79</v>
      </c>
      <c r="H524" s="16"/>
      <c r="I524" s="16" t="str">
        <f t="shared" si="5"/>
        <v>collected</v>
      </c>
      <c r="J524" s="16" t="str">
        <f t="shared" si="6"/>
        <v>N</v>
      </c>
      <c r="K524" s="16"/>
      <c r="L524" s="16"/>
    </row>
    <row r="525">
      <c r="A525" s="40" t="s">
        <v>2053</v>
      </c>
      <c r="B525" s="10" t="str">
        <f t="shared" si="1"/>
        <v>DNA</v>
      </c>
      <c r="C525" s="49" t="str">
        <f t="shared" si="2"/>
        <v>S16094DN1</v>
      </c>
      <c r="D525" s="6">
        <v>12.0</v>
      </c>
      <c r="E525" s="10" t="str">
        <f t="shared" si="3"/>
        <v>BDN12</v>
      </c>
      <c r="F525" s="6">
        <v>80.0</v>
      </c>
      <c r="G525" s="10" t="str">
        <f t="shared" si="4"/>
        <v>BDN12-80</v>
      </c>
      <c r="H525" s="16"/>
      <c r="I525" s="16" t="str">
        <f t="shared" si="5"/>
        <v>collected</v>
      </c>
      <c r="J525" s="16" t="str">
        <f t="shared" si="6"/>
        <v>N</v>
      </c>
      <c r="K525" s="16"/>
      <c r="L525" s="16"/>
    </row>
    <row r="526">
      <c r="A526" s="40" t="s">
        <v>2054</v>
      </c>
      <c r="B526" s="10" t="str">
        <f t="shared" si="1"/>
        <v>DNA</v>
      </c>
      <c r="C526" s="49" t="str">
        <f t="shared" si="2"/>
        <v>S17921DN1</v>
      </c>
      <c r="D526" s="6">
        <v>12.0</v>
      </c>
      <c r="E526" s="10" t="str">
        <f t="shared" si="3"/>
        <v>BDN12</v>
      </c>
      <c r="F526" s="6">
        <v>81.0</v>
      </c>
      <c r="G526" s="10" t="str">
        <f t="shared" si="4"/>
        <v>BDN12-81</v>
      </c>
      <c r="H526" s="16"/>
      <c r="I526" s="16" t="str">
        <f t="shared" si="5"/>
        <v>collected</v>
      </c>
      <c r="J526" s="16" t="str">
        <f t="shared" si="6"/>
        <v>N</v>
      </c>
      <c r="K526" s="16"/>
      <c r="L526" s="16"/>
    </row>
    <row r="527">
      <c r="A527" s="40" t="s">
        <v>2055</v>
      </c>
      <c r="B527" s="10" t="str">
        <f t="shared" si="1"/>
        <v>DNA</v>
      </c>
      <c r="C527" s="49" t="str">
        <f t="shared" si="2"/>
        <v>S16691DN1</v>
      </c>
      <c r="D527" s="6">
        <v>12.0</v>
      </c>
      <c r="E527" s="10" t="str">
        <f t="shared" si="3"/>
        <v>BDN12</v>
      </c>
      <c r="F527" s="6">
        <v>82.0</v>
      </c>
      <c r="G527" s="10" t="str">
        <f t="shared" si="4"/>
        <v>BDN12-82</v>
      </c>
      <c r="H527" s="16"/>
      <c r="I527" s="16" t="str">
        <f t="shared" si="5"/>
        <v>collected</v>
      </c>
      <c r="J527" s="16" t="str">
        <f t="shared" si="6"/>
        <v>N</v>
      </c>
      <c r="K527" s="16"/>
      <c r="L527" s="16"/>
    </row>
    <row r="528">
      <c r="A528" s="40" t="s">
        <v>2056</v>
      </c>
      <c r="B528" s="10" t="str">
        <f t="shared" si="1"/>
        <v>DNA</v>
      </c>
      <c r="C528" s="49" t="str">
        <f t="shared" si="2"/>
        <v>S16421DN1</v>
      </c>
      <c r="D528" s="6">
        <v>12.0</v>
      </c>
      <c r="E528" s="10" t="str">
        <f t="shared" si="3"/>
        <v>BDN12</v>
      </c>
      <c r="F528" s="6">
        <v>83.0</v>
      </c>
      <c r="G528" s="10" t="str">
        <f t="shared" si="4"/>
        <v>BDN12-83</v>
      </c>
      <c r="H528" s="16"/>
      <c r="I528" s="16" t="str">
        <f t="shared" si="5"/>
        <v>collected</v>
      </c>
      <c r="J528" s="16" t="str">
        <f t="shared" si="6"/>
        <v>N</v>
      </c>
      <c r="K528" s="16"/>
      <c r="L528" s="16"/>
    </row>
    <row r="529">
      <c r="A529" s="43" t="s">
        <v>2057</v>
      </c>
      <c r="B529" s="10" t="str">
        <f t="shared" si="1"/>
        <v>DNA</v>
      </c>
      <c r="C529" s="49" t="str">
        <f t="shared" si="2"/>
        <v>S16422DN1</v>
      </c>
      <c r="D529" s="6">
        <v>12.0</v>
      </c>
      <c r="E529" s="10" t="str">
        <f t="shared" si="3"/>
        <v>BDN12</v>
      </c>
      <c r="F529" s="6">
        <v>84.0</v>
      </c>
      <c r="G529" s="10" t="str">
        <f t="shared" si="4"/>
        <v>BDN12-84</v>
      </c>
      <c r="H529" s="16"/>
      <c r="I529" s="16" t="str">
        <f t="shared" si="5"/>
        <v>collected</v>
      </c>
      <c r="J529" s="16" t="str">
        <f t="shared" si="6"/>
        <v>N</v>
      </c>
      <c r="K529" s="16"/>
      <c r="L529" s="16"/>
    </row>
    <row r="530">
      <c r="A530" s="43" t="s">
        <v>2058</v>
      </c>
      <c r="B530" s="10" t="str">
        <f t="shared" si="1"/>
        <v>DNA</v>
      </c>
      <c r="C530" s="49" t="str">
        <f t="shared" si="2"/>
        <v>S16862DN1</v>
      </c>
      <c r="D530" s="6">
        <v>12.0</v>
      </c>
      <c r="E530" s="10" t="str">
        <f t="shared" si="3"/>
        <v>BDN12</v>
      </c>
      <c r="F530" s="6">
        <v>85.0</v>
      </c>
      <c r="G530" s="10" t="str">
        <f t="shared" si="4"/>
        <v>BDN12-85</v>
      </c>
      <c r="H530" s="16"/>
      <c r="I530" s="16" t="str">
        <f t="shared" si="5"/>
        <v>collected</v>
      </c>
      <c r="J530" s="16" t="str">
        <f t="shared" si="6"/>
        <v>N</v>
      </c>
      <c r="K530" s="16"/>
      <c r="L530" s="16"/>
    </row>
    <row r="531">
      <c r="A531" s="43" t="s">
        <v>2059</v>
      </c>
      <c r="B531" s="10" t="str">
        <f t="shared" si="1"/>
        <v>DNA</v>
      </c>
      <c r="C531" s="49" t="str">
        <f t="shared" si="2"/>
        <v>S16863DN1</v>
      </c>
      <c r="D531" s="6">
        <v>12.0</v>
      </c>
      <c r="E531" s="10" t="str">
        <f t="shared" si="3"/>
        <v>BDN12</v>
      </c>
      <c r="F531" s="6">
        <v>86.0</v>
      </c>
      <c r="G531" s="10" t="str">
        <f t="shared" si="4"/>
        <v>BDN12-86</v>
      </c>
      <c r="H531" s="16"/>
      <c r="I531" s="16" t="str">
        <f t="shared" si="5"/>
        <v>collected</v>
      </c>
      <c r="J531" s="16" t="str">
        <f t="shared" si="6"/>
        <v>N</v>
      </c>
      <c r="K531" s="16"/>
      <c r="L531" s="16"/>
    </row>
    <row r="532">
      <c r="A532" s="43" t="s">
        <v>2060</v>
      </c>
      <c r="B532" s="10" t="str">
        <f t="shared" si="1"/>
        <v>DNA</v>
      </c>
      <c r="C532" s="49" t="str">
        <f t="shared" si="2"/>
        <v>S16861DN1</v>
      </c>
      <c r="D532" s="6">
        <v>12.0</v>
      </c>
      <c r="E532" s="10" t="str">
        <f t="shared" si="3"/>
        <v>BDN12</v>
      </c>
      <c r="F532" s="6">
        <v>87.0</v>
      </c>
      <c r="G532" s="10" t="str">
        <f t="shared" si="4"/>
        <v>BDN12-87</v>
      </c>
      <c r="H532" s="16"/>
      <c r="I532" s="16" t="str">
        <f t="shared" si="5"/>
        <v>collected</v>
      </c>
      <c r="J532" s="16" t="str">
        <f t="shared" si="6"/>
        <v>N</v>
      </c>
      <c r="K532" s="16"/>
      <c r="L532" s="16"/>
    </row>
    <row r="533">
      <c r="A533" s="43" t="s">
        <v>2061</v>
      </c>
      <c r="B533" s="10" t="str">
        <f t="shared" si="1"/>
        <v>DNA</v>
      </c>
      <c r="C533" s="49" t="str">
        <f t="shared" si="2"/>
        <v>S16721DN1</v>
      </c>
      <c r="D533" s="6">
        <v>12.0</v>
      </c>
      <c r="E533" s="10" t="str">
        <f t="shared" si="3"/>
        <v>BDN12</v>
      </c>
      <c r="F533" s="6">
        <v>88.0</v>
      </c>
      <c r="G533" s="10" t="str">
        <f t="shared" si="4"/>
        <v>BDN12-88</v>
      </c>
      <c r="H533" s="16"/>
      <c r="I533" s="16" t="str">
        <f t="shared" si="5"/>
        <v>collected</v>
      </c>
      <c r="J533" s="16" t="str">
        <f t="shared" si="6"/>
        <v>N</v>
      </c>
      <c r="K533" s="16"/>
      <c r="L533" s="16"/>
    </row>
    <row r="534">
      <c r="A534" s="43" t="s">
        <v>2062</v>
      </c>
      <c r="B534" s="10" t="str">
        <f t="shared" si="1"/>
        <v>DNA</v>
      </c>
      <c r="C534" s="49" t="str">
        <f t="shared" si="2"/>
        <v>S16131DN1</v>
      </c>
      <c r="D534" s="6">
        <v>12.0</v>
      </c>
      <c r="E534" s="10" t="str">
        <f t="shared" si="3"/>
        <v>BDN12</v>
      </c>
      <c r="F534" s="6">
        <v>89.0</v>
      </c>
      <c r="G534" s="10" t="str">
        <f t="shared" si="4"/>
        <v>BDN12-89</v>
      </c>
      <c r="H534" s="16"/>
      <c r="I534" s="16" t="str">
        <f t="shared" si="5"/>
        <v>collected</v>
      </c>
      <c r="J534" s="16" t="str">
        <f t="shared" si="6"/>
        <v>N</v>
      </c>
      <c r="K534" s="16"/>
      <c r="L534" s="16"/>
    </row>
    <row r="535">
      <c r="A535" s="27" t="s">
        <v>2063</v>
      </c>
      <c r="B535" s="10" t="str">
        <f t="shared" si="1"/>
        <v>DNA</v>
      </c>
      <c r="C535" s="49" t="str">
        <f t="shared" si="2"/>
        <v>S17841DN1</v>
      </c>
      <c r="D535" s="6">
        <v>12.0</v>
      </c>
      <c r="E535" s="10" t="str">
        <f t="shared" si="3"/>
        <v>BDN12</v>
      </c>
      <c r="F535" s="6">
        <v>90.0</v>
      </c>
      <c r="G535" s="10" t="str">
        <f t="shared" si="4"/>
        <v>BDN12-90</v>
      </c>
      <c r="H535" s="16"/>
      <c r="I535" s="16" t="str">
        <f t="shared" si="5"/>
        <v>collected</v>
      </c>
      <c r="J535" s="16" t="str">
        <f t="shared" si="6"/>
        <v>N</v>
      </c>
      <c r="K535" s="16"/>
      <c r="L535" s="16"/>
    </row>
    <row r="536">
      <c r="A536" s="27" t="s">
        <v>2064</v>
      </c>
      <c r="B536" s="10" t="str">
        <f t="shared" si="1"/>
        <v>DNA</v>
      </c>
      <c r="C536" s="49" t="str">
        <f t="shared" si="2"/>
        <v>S16331DN1</v>
      </c>
      <c r="D536" s="6">
        <v>12.0</v>
      </c>
      <c r="E536" s="10" t="str">
        <f t="shared" si="3"/>
        <v>BDN12</v>
      </c>
      <c r="F536" s="6">
        <v>91.0</v>
      </c>
      <c r="G536" s="10" t="str">
        <f t="shared" si="4"/>
        <v>BDN12-91</v>
      </c>
      <c r="H536" s="16"/>
      <c r="I536" s="16" t="str">
        <f t="shared" si="5"/>
        <v>collected</v>
      </c>
      <c r="J536" s="16" t="str">
        <f t="shared" si="6"/>
        <v>N</v>
      </c>
      <c r="K536" s="16"/>
      <c r="L536" s="16"/>
    </row>
    <row r="537">
      <c r="A537" s="27" t="s">
        <v>2065</v>
      </c>
      <c r="B537" s="10" t="str">
        <f t="shared" si="1"/>
        <v>DNA</v>
      </c>
      <c r="C537" s="49" t="str">
        <f t="shared" si="2"/>
        <v>S17481DN1</v>
      </c>
      <c r="D537" s="6">
        <v>12.0</v>
      </c>
      <c r="E537" s="10" t="str">
        <f t="shared" si="3"/>
        <v>BDN12</v>
      </c>
      <c r="F537" s="6">
        <v>92.0</v>
      </c>
      <c r="G537" s="10" t="str">
        <f t="shared" si="4"/>
        <v>BDN12-92</v>
      </c>
      <c r="H537" s="16"/>
      <c r="I537" s="16" t="str">
        <f t="shared" si="5"/>
        <v>collected</v>
      </c>
      <c r="J537" s="16" t="str">
        <f t="shared" si="6"/>
        <v>N</v>
      </c>
      <c r="K537" s="16"/>
      <c r="L537" s="16"/>
    </row>
    <row r="538">
      <c r="A538" s="27" t="s">
        <v>2066</v>
      </c>
      <c r="B538" s="10" t="str">
        <f t="shared" si="1"/>
        <v>DNA</v>
      </c>
      <c r="C538" s="49" t="str">
        <f t="shared" si="2"/>
        <v>S16071DN1</v>
      </c>
      <c r="D538" s="6">
        <v>12.0</v>
      </c>
      <c r="E538" s="10" t="str">
        <f t="shared" si="3"/>
        <v>BDN12</v>
      </c>
      <c r="F538" s="6">
        <v>93.0</v>
      </c>
      <c r="G538" s="10" t="str">
        <f t="shared" si="4"/>
        <v>BDN12-93</v>
      </c>
      <c r="H538" s="16"/>
      <c r="I538" s="16" t="str">
        <f t="shared" si="5"/>
        <v>collected</v>
      </c>
      <c r="J538" s="16" t="str">
        <f t="shared" si="6"/>
        <v>N</v>
      </c>
      <c r="K538" s="16"/>
      <c r="L538" s="16"/>
    </row>
    <row r="539">
      <c r="A539" s="27" t="s">
        <v>2067</v>
      </c>
      <c r="B539" s="10" t="str">
        <f t="shared" si="1"/>
        <v>DNA</v>
      </c>
      <c r="C539" s="49" t="str">
        <f t="shared" si="2"/>
        <v>S17031DN1</v>
      </c>
      <c r="D539" s="6">
        <v>12.0</v>
      </c>
      <c r="E539" s="10" t="str">
        <f t="shared" si="3"/>
        <v>BDN12</v>
      </c>
      <c r="F539" s="6">
        <v>94.0</v>
      </c>
      <c r="G539" s="10" t="str">
        <f t="shared" si="4"/>
        <v>BDN12-94</v>
      </c>
      <c r="H539" s="16"/>
      <c r="I539" s="16" t="str">
        <f t="shared" si="5"/>
        <v>collected</v>
      </c>
      <c r="J539" s="16" t="str">
        <f t="shared" si="6"/>
        <v>N</v>
      </c>
      <c r="K539" s="16"/>
      <c r="L539" s="16"/>
    </row>
    <row r="540">
      <c r="A540" s="27" t="s">
        <v>2068</v>
      </c>
      <c r="B540" s="10" t="str">
        <f t="shared" si="1"/>
        <v>DNA</v>
      </c>
      <c r="C540" s="49" t="str">
        <f t="shared" si="2"/>
        <v>S17061DN1</v>
      </c>
      <c r="D540" s="6">
        <v>12.0</v>
      </c>
      <c r="E540" s="10" t="str">
        <f t="shared" si="3"/>
        <v>BDN12</v>
      </c>
      <c r="F540" s="6">
        <v>95.0</v>
      </c>
      <c r="G540" s="10" t="str">
        <f t="shared" si="4"/>
        <v>BDN12-95</v>
      </c>
      <c r="H540" s="16"/>
      <c r="I540" s="16" t="str">
        <f t="shared" si="5"/>
        <v>collected</v>
      </c>
      <c r="J540" s="16" t="str">
        <f t="shared" si="6"/>
        <v>N</v>
      </c>
      <c r="K540" s="16"/>
      <c r="L540" s="16"/>
    </row>
    <row r="541">
      <c r="A541" s="27" t="s">
        <v>2069</v>
      </c>
      <c r="B541" s="10" t="str">
        <f t="shared" si="1"/>
        <v>DNA</v>
      </c>
      <c r="C541" s="49" t="str">
        <f t="shared" si="2"/>
        <v>S16381DN1</v>
      </c>
      <c r="D541" s="6">
        <v>12.0</v>
      </c>
      <c r="E541" s="10" t="str">
        <f t="shared" si="3"/>
        <v>BDN12</v>
      </c>
      <c r="F541" s="6">
        <v>96.0</v>
      </c>
      <c r="G541" s="10" t="str">
        <f t="shared" si="4"/>
        <v>BDN12-96</v>
      </c>
      <c r="H541" s="16"/>
      <c r="I541" s="16" t="str">
        <f t="shared" si="5"/>
        <v>collected</v>
      </c>
      <c r="J541" s="16" t="str">
        <f t="shared" si="6"/>
        <v>N</v>
      </c>
      <c r="K541" s="16"/>
      <c r="L541" s="16"/>
    </row>
    <row r="542">
      <c r="A542" s="27" t="s">
        <v>2070</v>
      </c>
      <c r="B542" s="10" t="str">
        <f t="shared" si="1"/>
        <v>DNA</v>
      </c>
      <c r="C542" s="49" t="str">
        <f t="shared" si="2"/>
        <v>S16311DN1</v>
      </c>
      <c r="D542" s="6">
        <v>12.0</v>
      </c>
      <c r="E542" s="10" t="str">
        <f t="shared" si="3"/>
        <v>BDN12</v>
      </c>
      <c r="F542" s="6">
        <v>97.0</v>
      </c>
      <c r="G542" s="10" t="str">
        <f t="shared" si="4"/>
        <v>BDN12-97</v>
      </c>
      <c r="H542" s="16"/>
      <c r="I542" s="16" t="str">
        <f t="shared" si="5"/>
        <v>collected</v>
      </c>
      <c r="J542" s="16" t="str">
        <f t="shared" si="6"/>
        <v>N</v>
      </c>
      <c r="K542" s="16"/>
      <c r="L542" s="16"/>
    </row>
    <row r="543">
      <c r="A543" s="27" t="s">
        <v>2071</v>
      </c>
      <c r="B543" s="10" t="str">
        <f t="shared" si="1"/>
        <v>DNA</v>
      </c>
      <c r="C543" s="49" t="str">
        <f t="shared" si="2"/>
        <v>S16312DN1</v>
      </c>
      <c r="D543" s="6">
        <v>12.0</v>
      </c>
      <c r="E543" s="10" t="str">
        <f t="shared" si="3"/>
        <v>BDN12</v>
      </c>
      <c r="F543" s="6">
        <v>98.0</v>
      </c>
      <c r="G543" s="10" t="str">
        <f t="shared" si="4"/>
        <v>BDN12-98</v>
      </c>
      <c r="H543" s="16"/>
      <c r="I543" s="16" t="str">
        <f t="shared" si="5"/>
        <v>collected</v>
      </c>
      <c r="J543" s="16" t="str">
        <f t="shared" si="6"/>
        <v>N</v>
      </c>
      <c r="K543" s="16"/>
      <c r="L543" s="16"/>
    </row>
    <row r="544">
      <c r="A544" s="27" t="s">
        <v>2072</v>
      </c>
      <c r="B544" s="10" t="str">
        <f t="shared" si="1"/>
        <v>DNA</v>
      </c>
      <c r="C544" s="49" t="str">
        <f t="shared" si="2"/>
        <v>S16371DN1</v>
      </c>
      <c r="D544" s="6">
        <v>12.0</v>
      </c>
      <c r="E544" s="10" t="str">
        <f t="shared" si="3"/>
        <v>BDN12</v>
      </c>
      <c r="F544" s="6">
        <v>99.0</v>
      </c>
      <c r="G544" s="10" t="str">
        <f t="shared" si="4"/>
        <v>BDN12-99</v>
      </c>
      <c r="H544" s="16"/>
      <c r="I544" s="16" t="str">
        <f t="shared" si="5"/>
        <v>collected</v>
      </c>
      <c r="J544" s="16" t="str">
        <f t="shared" si="6"/>
        <v>N</v>
      </c>
      <c r="K544" s="16"/>
      <c r="L544" s="16"/>
    </row>
    <row r="545">
      <c r="A545" s="27" t="s">
        <v>2073</v>
      </c>
      <c r="B545" s="10" t="str">
        <f t="shared" si="1"/>
        <v>DNA</v>
      </c>
      <c r="C545" s="49" t="str">
        <f t="shared" si="2"/>
        <v>S16372DN1</v>
      </c>
      <c r="D545" s="6">
        <v>14.0</v>
      </c>
      <c r="E545" s="10" t="str">
        <f t="shared" si="3"/>
        <v>BDN14</v>
      </c>
      <c r="F545" s="6">
        <v>1.0</v>
      </c>
      <c r="G545" s="10" t="str">
        <f t="shared" si="4"/>
        <v>BDN14-1</v>
      </c>
      <c r="H545" s="16"/>
      <c r="I545" s="16" t="str">
        <f t="shared" si="5"/>
        <v>collected</v>
      </c>
      <c r="J545" s="16" t="str">
        <f t="shared" si="6"/>
        <v>N</v>
      </c>
      <c r="K545" s="16"/>
      <c r="L545" s="16"/>
    </row>
    <row r="546">
      <c r="A546" s="27" t="s">
        <v>2074</v>
      </c>
      <c r="B546" s="10" t="str">
        <f t="shared" si="1"/>
        <v>DNA</v>
      </c>
      <c r="C546" s="49" t="str">
        <f t="shared" si="2"/>
        <v>S16171DN1</v>
      </c>
      <c r="D546" s="6">
        <v>14.0</v>
      </c>
      <c r="E546" s="10" t="str">
        <f t="shared" si="3"/>
        <v>BDN14</v>
      </c>
      <c r="F546" s="6">
        <v>2.0</v>
      </c>
      <c r="G546" s="10" t="str">
        <f t="shared" si="4"/>
        <v>BDN14-2</v>
      </c>
      <c r="H546" s="16"/>
      <c r="I546" s="16" t="str">
        <f t="shared" si="5"/>
        <v>collected</v>
      </c>
      <c r="J546" s="16" t="str">
        <f t="shared" si="6"/>
        <v>N</v>
      </c>
      <c r="K546" s="16"/>
      <c r="L546" s="16"/>
    </row>
    <row r="547">
      <c r="A547" s="27" t="s">
        <v>2075</v>
      </c>
      <c r="B547" s="10" t="str">
        <f t="shared" si="1"/>
        <v>DNA</v>
      </c>
      <c r="C547" s="49" t="str">
        <f t="shared" si="2"/>
        <v>S16172DN1</v>
      </c>
      <c r="D547" s="6">
        <v>14.0</v>
      </c>
      <c r="E547" s="10" t="str">
        <f t="shared" si="3"/>
        <v>BDN14</v>
      </c>
      <c r="F547" s="6">
        <v>3.0</v>
      </c>
      <c r="G547" s="10" t="str">
        <f t="shared" si="4"/>
        <v>BDN14-3</v>
      </c>
      <c r="H547" s="16"/>
      <c r="I547" s="16" t="str">
        <f t="shared" si="5"/>
        <v>collected</v>
      </c>
      <c r="J547" s="16" t="str">
        <f t="shared" si="6"/>
        <v>N</v>
      </c>
      <c r="K547" s="16"/>
      <c r="L547" s="16"/>
    </row>
    <row r="548">
      <c r="A548" s="27" t="s">
        <v>2076</v>
      </c>
      <c r="B548" s="10" t="str">
        <f t="shared" si="1"/>
        <v>DNA</v>
      </c>
      <c r="C548" s="49" t="str">
        <f t="shared" si="2"/>
        <v>S16216DN1</v>
      </c>
      <c r="D548" s="6">
        <v>14.0</v>
      </c>
      <c r="E548" s="10" t="str">
        <f t="shared" si="3"/>
        <v>BDN14</v>
      </c>
      <c r="F548" s="6">
        <v>4.0</v>
      </c>
      <c r="G548" s="10" t="str">
        <f t="shared" si="4"/>
        <v>BDN14-4</v>
      </c>
      <c r="H548" s="16"/>
      <c r="I548" s="16" t="str">
        <f t="shared" si="5"/>
        <v>collected</v>
      </c>
      <c r="J548" s="16" t="str">
        <f t="shared" si="6"/>
        <v>N</v>
      </c>
      <c r="K548" s="16"/>
      <c r="L548" s="16"/>
    </row>
    <row r="549">
      <c r="A549" s="27" t="s">
        <v>2077</v>
      </c>
      <c r="B549" s="10" t="str">
        <f t="shared" si="1"/>
        <v>DNA</v>
      </c>
      <c r="C549" s="49" t="str">
        <f t="shared" si="2"/>
        <v>S16211DN1</v>
      </c>
      <c r="D549" s="6">
        <v>14.0</v>
      </c>
      <c r="E549" s="10" t="str">
        <f t="shared" si="3"/>
        <v>BDN14</v>
      </c>
      <c r="F549" s="6">
        <v>5.0</v>
      </c>
      <c r="G549" s="10" t="str">
        <f t="shared" si="4"/>
        <v>BDN14-5</v>
      </c>
      <c r="H549" s="16"/>
      <c r="I549" s="16" t="str">
        <f t="shared" si="5"/>
        <v>collected</v>
      </c>
      <c r="J549" s="16" t="str">
        <f t="shared" si="6"/>
        <v>N</v>
      </c>
      <c r="K549" s="16"/>
      <c r="L549" s="16"/>
    </row>
    <row r="550">
      <c r="A550" s="27" t="s">
        <v>2078</v>
      </c>
      <c r="B550" s="10" t="str">
        <f t="shared" si="1"/>
        <v>DNA</v>
      </c>
      <c r="C550" s="49" t="str">
        <f t="shared" si="2"/>
        <v>S16212DN1</v>
      </c>
      <c r="D550" s="6">
        <v>14.0</v>
      </c>
      <c r="E550" s="10" t="str">
        <f t="shared" si="3"/>
        <v>BDN14</v>
      </c>
      <c r="F550" s="6">
        <v>6.0</v>
      </c>
      <c r="G550" s="10" t="str">
        <f t="shared" si="4"/>
        <v>BDN14-6</v>
      </c>
      <c r="H550" s="16"/>
      <c r="I550" s="16" t="str">
        <f t="shared" si="5"/>
        <v>collected</v>
      </c>
      <c r="J550" s="16" t="str">
        <f t="shared" si="6"/>
        <v>N</v>
      </c>
      <c r="K550" s="16"/>
      <c r="L550" s="16"/>
    </row>
    <row r="551">
      <c r="A551" s="27" t="s">
        <v>2079</v>
      </c>
      <c r="B551" s="10" t="str">
        <f t="shared" si="1"/>
        <v>DNA</v>
      </c>
      <c r="C551" s="49" t="str">
        <f t="shared" si="2"/>
        <v>S16213DN1</v>
      </c>
      <c r="D551" s="6">
        <v>14.0</v>
      </c>
      <c r="E551" s="10" t="str">
        <f t="shared" si="3"/>
        <v>BDN14</v>
      </c>
      <c r="F551" s="6">
        <v>7.0</v>
      </c>
      <c r="G551" s="10" t="str">
        <f t="shared" si="4"/>
        <v>BDN14-7</v>
      </c>
      <c r="H551" s="16"/>
      <c r="I551" s="16" t="str">
        <f t="shared" si="5"/>
        <v>collected</v>
      </c>
      <c r="J551" s="16" t="str">
        <f t="shared" si="6"/>
        <v>N</v>
      </c>
      <c r="K551" s="16"/>
      <c r="L551" s="16"/>
    </row>
    <row r="552">
      <c r="A552" s="27" t="s">
        <v>2080</v>
      </c>
      <c r="B552" s="10" t="str">
        <f t="shared" si="1"/>
        <v>DNA</v>
      </c>
      <c r="C552" s="49" t="str">
        <f t="shared" si="2"/>
        <v>S16215DN1</v>
      </c>
      <c r="D552" s="6">
        <v>14.0</v>
      </c>
      <c r="E552" s="10" t="str">
        <f t="shared" si="3"/>
        <v>BDN14</v>
      </c>
      <c r="F552" s="6">
        <v>8.0</v>
      </c>
      <c r="G552" s="10" t="str">
        <f t="shared" si="4"/>
        <v>BDN14-8</v>
      </c>
      <c r="H552" s="16"/>
      <c r="I552" s="16" t="str">
        <f t="shared" si="5"/>
        <v>collected</v>
      </c>
      <c r="J552" s="16" t="str">
        <f t="shared" si="6"/>
        <v>N</v>
      </c>
      <c r="K552" s="16"/>
      <c r="L552" s="16"/>
    </row>
    <row r="553">
      <c r="A553" s="27" t="s">
        <v>2081</v>
      </c>
      <c r="B553" s="10" t="str">
        <f t="shared" si="1"/>
        <v>DNA</v>
      </c>
      <c r="C553" s="49" t="str">
        <f t="shared" si="2"/>
        <v>S16214DN1</v>
      </c>
      <c r="D553" s="6">
        <v>14.0</v>
      </c>
      <c r="E553" s="10" t="str">
        <f t="shared" si="3"/>
        <v>BDN14</v>
      </c>
      <c r="F553" s="6">
        <v>9.0</v>
      </c>
      <c r="G553" s="10" t="str">
        <f t="shared" si="4"/>
        <v>BDN14-9</v>
      </c>
      <c r="H553" s="16"/>
      <c r="I553" s="16" t="str">
        <f t="shared" si="5"/>
        <v>collected</v>
      </c>
      <c r="J553" s="16" t="str">
        <f t="shared" si="6"/>
        <v>N</v>
      </c>
      <c r="K553" s="16"/>
      <c r="L553" s="16"/>
    </row>
    <row r="554">
      <c r="A554" s="27" t="s">
        <v>2082</v>
      </c>
      <c r="B554" s="10" t="str">
        <f t="shared" si="1"/>
        <v>DNA</v>
      </c>
      <c r="C554" s="49" t="str">
        <f t="shared" si="2"/>
        <v>S17641DN1</v>
      </c>
      <c r="D554" s="6">
        <v>14.0</v>
      </c>
      <c r="E554" s="10" t="str">
        <f t="shared" si="3"/>
        <v>BDN14</v>
      </c>
      <c r="F554" s="6">
        <v>11.0</v>
      </c>
      <c r="G554" s="10" t="str">
        <f t="shared" si="4"/>
        <v>BDN14-11</v>
      </c>
      <c r="H554" s="16"/>
      <c r="I554" s="16" t="str">
        <f t="shared" si="5"/>
        <v>collected</v>
      </c>
      <c r="J554" s="16" t="str">
        <f t="shared" si="6"/>
        <v>N</v>
      </c>
      <c r="K554" s="16"/>
      <c r="L554" s="16"/>
    </row>
    <row r="555">
      <c r="A555" s="27" t="s">
        <v>2083</v>
      </c>
      <c r="B555" s="10" t="str">
        <f t="shared" si="1"/>
        <v>DNA</v>
      </c>
      <c r="C555" s="49" t="str">
        <f t="shared" si="2"/>
        <v>S16531DN1</v>
      </c>
      <c r="D555" s="6">
        <v>14.0</v>
      </c>
      <c r="E555" s="10" t="str">
        <f t="shared" si="3"/>
        <v>BDN14</v>
      </c>
      <c r="F555" s="6">
        <v>12.0</v>
      </c>
      <c r="G555" s="10" t="str">
        <f t="shared" si="4"/>
        <v>BDN14-12</v>
      </c>
      <c r="H555" s="16"/>
      <c r="I555" s="16" t="str">
        <f t="shared" si="5"/>
        <v>collected</v>
      </c>
      <c r="J555" s="16" t="str">
        <f t="shared" si="6"/>
        <v>N</v>
      </c>
      <c r="K555" s="16"/>
      <c r="L555" s="16"/>
    </row>
    <row r="556">
      <c r="A556" s="27" t="s">
        <v>2084</v>
      </c>
      <c r="B556" s="10" t="str">
        <f t="shared" si="1"/>
        <v>DNA</v>
      </c>
      <c r="C556" s="49" t="str">
        <f t="shared" si="2"/>
        <v>S17431DN1</v>
      </c>
      <c r="D556" s="6">
        <v>14.0</v>
      </c>
      <c r="E556" s="10" t="str">
        <f t="shared" si="3"/>
        <v>BDN14</v>
      </c>
      <c r="F556" s="6">
        <v>13.0</v>
      </c>
      <c r="G556" s="10" t="str">
        <f t="shared" si="4"/>
        <v>BDN14-13</v>
      </c>
      <c r="H556" s="16"/>
      <c r="I556" s="16" t="str">
        <f t="shared" si="5"/>
        <v>collected</v>
      </c>
      <c r="J556" s="16" t="str">
        <f t="shared" si="6"/>
        <v>N</v>
      </c>
      <c r="K556" s="16"/>
      <c r="L556" s="16"/>
    </row>
    <row r="557">
      <c r="A557" s="40" t="s">
        <v>2085</v>
      </c>
      <c r="B557" s="10" t="str">
        <f t="shared" si="1"/>
        <v>DNA</v>
      </c>
      <c r="C557" s="49" t="str">
        <f t="shared" si="2"/>
        <v>S16633DN1</v>
      </c>
      <c r="D557" s="6">
        <v>13.0</v>
      </c>
      <c r="E557" s="10" t="str">
        <f t="shared" si="3"/>
        <v>BDN13</v>
      </c>
      <c r="F557" s="6">
        <v>6.0</v>
      </c>
      <c r="G557" s="10" t="str">
        <f t="shared" si="4"/>
        <v>BDN13-6</v>
      </c>
      <c r="H557" s="16"/>
      <c r="I557" s="16" t="str">
        <f t="shared" si="5"/>
        <v>collected</v>
      </c>
      <c r="J557" s="16" t="str">
        <f t="shared" si="6"/>
        <v>N</v>
      </c>
      <c r="K557" s="16"/>
      <c r="L557" s="16"/>
    </row>
    <row r="558">
      <c r="A558" s="40" t="s">
        <v>2086</v>
      </c>
      <c r="B558" s="10" t="str">
        <f t="shared" si="1"/>
        <v>DNA</v>
      </c>
      <c r="C558" s="49" t="str">
        <f t="shared" si="2"/>
        <v>S16637DN1</v>
      </c>
      <c r="D558" s="6">
        <v>13.0</v>
      </c>
      <c r="E558" s="10" t="str">
        <f t="shared" si="3"/>
        <v>BDN13</v>
      </c>
      <c r="F558" s="6">
        <v>7.0</v>
      </c>
      <c r="G558" s="10" t="str">
        <f t="shared" si="4"/>
        <v>BDN13-7</v>
      </c>
      <c r="H558" s="16"/>
      <c r="I558" s="16" t="str">
        <f t="shared" si="5"/>
        <v>collected</v>
      </c>
      <c r="J558" s="16" t="str">
        <f t="shared" si="6"/>
        <v>N</v>
      </c>
      <c r="K558" s="16"/>
      <c r="L558" s="16"/>
    </row>
    <row r="559">
      <c r="A559" s="40" t="s">
        <v>2087</v>
      </c>
      <c r="B559" s="10" t="str">
        <f t="shared" si="1"/>
        <v>DNA</v>
      </c>
      <c r="C559" s="49" t="str">
        <f t="shared" si="2"/>
        <v>S17250DN1</v>
      </c>
      <c r="D559" s="6">
        <v>13.0</v>
      </c>
      <c r="E559" s="10" t="str">
        <f t="shared" si="3"/>
        <v>BDN13</v>
      </c>
      <c r="F559" s="6">
        <v>8.0</v>
      </c>
      <c r="G559" s="10" t="str">
        <f t="shared" si="4"/>
        <v>BDN13-8</v>
      </c>
      <c r="H559" s="16"/>
      <c r="I559" s="16" t="str">
        <f t="shared" si="5"/>
        <v>collected</v>
      </c>
      <c r="J559" s="16" t="str">
        <f t="shared" si="6"/>
        <v>N</v>
      </c>
      <c r="K559" s="16"/>
      <c r="L559" s="16"/>
    </row>
    <row r="560">
      <c r="A560" s="40" t="s">
        <v>2088</v>
      </c>
      <c r="B560" s="10" t="str">
        <f t="shared" si="1"/>
        <v>DNA</v>
      </c>
      <c r="C560" s="49" t="str">
        <f t="shared" si="2"/>
        <v>S17249DN1</v>
      </c>
      <c r="D560" s="6">
        <v>13.0</v>
      </c>
      <c r="E560" s="10" t="str">
        <f t="shared" si="3"/>
        <v>BDN13</v>
      </c>
      <c r="F560" s="6">
        <v>9.0</v>
      </c>
      <c r="G560" s="10" t="str">
        <f t="shared" si="4"/>
        <v>BDN13-9</v>
      </c>
      <c r="H560" s="16"/>
      <c r="I560" s="16" t="str">
        <f t="shared" si="5"/>
        <v>collected</v>
      </c>
      <c r="J560" s="16" t="str">
        <f t="shared" si="6"/>
        <v>N</v>
      </c>
      <c r="K560" s="16"/>
      <c r="L560" s="16"/>
    </row>
    <row r="561">
      <c r="A561" s="40" t="s">
        <v>2089</v>
      </c>
      <c r="B561" s="10" t="str">
        <f t="shared" si="1"/>
        <v>DNA</v>
      </c>
      <c r="C561" s="49" t="str">
        <f t="shared" si="2"/>
        <v>S17247DN1</v>
      </c>
      <c r="D561" s="6">
        <v>13.0</v>
      </c>
      <c r="E561" s="10" t="str">
        <f t="shared" si="3"/>
        <v>BDN13</v>
      </c>
      <c r="F561" s="6">
        <v>10.0</v>
      </c>
      <c r="G561" s="10" t="str">
        <f t="shared" si="4"/>
        <v>BDN13-10</v>
      </c>
      <c r="H561" s="16"/>
      <c r="I561" s="16" t="str">
        <f t="shared" si="5"/>
        <v>collected</v>
      </c>
      <c r="J561" s="16" t="str">
        <f t="shared" si="6"/>
        <v>N</v>
      </c>
      <c r="K561" s="16"/>
      <c r="L561" s="16"/>
    </row>
    <row r="562">
      <c r="A562" s="40" t="s">
        <v>2090</v>
      </c>
      <c r="B562" s="10" t="str">
        <f t="shared" si="1"/>
        <v>DNA</v>
      </c>
      <c r="C562" s="49" t="str">
        <f t="shared" si="2"/>
        <v>S17248DN1</v>
      </c>
      <c r="D562" s="6">
        <v>13.0</v>
      </c>
      <c r="E562" s="10" t="str">
        <f t="shared" si="3"/>
        <v>BDN13</v>
      </c>
      <c r="F562" s="6">
        <v>11.0</v>
      </c>
      <c r="G562" s="10" t="str">
        <f t="shared" si="4"/>
        <v>BDN13-11</v>
      </c>
      <c r="H562" s="16"/>
      <c r="I562" s="16" t="str">
        <f t="shared" si="5"/>
        <v>collected</v>
      </c>
      <c r="J562" s="16" t="str">
        <f t="shared" si="6"/>
        <v>N</v>
      </c>
      <c r="K562" s="16"/>
      <c r="L562" s="16"/>
    </row>
    <row r="563">
      <c r="A563" s="40" t="s">
        <v>2091</v>
      </c>
      <c r="B563" s="10" t="str">
        <f t="shared" si="1"/>
        <v>DNA</v>
      </c>
      <c r="C563" s="49" t="str">
        <f t="shared" si="2"/>
        <v>S17245DN1</v>
      </c>
      <c r="D563" s="6">
        <v>13.0</v>
      </c>
      <c r="E563" s="10" t="str">
        <f t="shared" si="3"/>
        <v>BDN13</v>
      </c>
      <c r="F563" s="6">
        <v>12.0</v>
      </c>
      <c r="G563" s="10" t="str">
        <f t="shared" si="4"/>
        <v>BDN13-12</v>
      </c>
      <c r="H563" s="16"/>
      <c r="I563" s="16" t="str">
        <f t="shared" si="5"/>
        <v>collected</v>
      </c>
      <c r="J563" s="16" t="str">
        <f t="shared" si="6"/>
        <v>N</v>
      </c>
      <c r="K563" s="16"/>
      <c r="L563" s="16"/>
    </row>
    <row r="564">
      <c r="A564" s="40" t="s">
        <v>2092</v>
      </c>
      <c r="B564" s="10" t="str">
        <f t="shared" si="1"/>
        <v>DNA</v>
      </c>
      <c r="C564" s="49" t="str">
        <f t="shared" si="2"/>
        <v>S17246DN1</v>
      </c>
      <c r="D564" s="6">
        <v>13.0</v>
      </c>
      <c r="E564" s="10" t="str">
        <f t="shared" si="3"/>
        <v>BDN13</v>
      </c>
      <c r="F564" s="6">
        <v>13.0</v>
      </c>
      <c r="G564" s="10" t="str">
        <f t="shared" si="4"/>
        <v>BDN13-13</v>
      </c>
      <c r="H564" s="16"/>
      <c r="I564" s="16" t="str">
        <f t="shared" si="5"/>
        <v>collected</v>
      </c>
      <c r="J564" s="16" t="str">
        <f t="shared" si="6"/>
        <v>N</v>
      </c>
      <c r="K564" s="16"/>
      <c r="L564" s="16"/>
    </row>
    <row r="565">
      <c r="A565" s="43" t="s">
        <v>2094</v>
      </c>
      <c r="B565" s="10" t="str">
        <f t="shared" si="1"/>
        <v>DNA</v>
      </c>
      <c r="C565" s="49" t="str">
        <f t="shared" si="2"/>
        <v>S17243DN1</v>
      </c>
      <c r="D565" s="6">
        <v>13.0</v>
      </c>
      <c r="E565" s="10" t="str">
        <f t="shared" si="3"/>
        <v>BDN13</v>
      </c>
      <c r="F565" s="6">
        <v>14.0</v>
      </c>
      <c r="G565" s="10" t="str">
        <f t="shared" si="4"/>
        <v>BDN13-14</v>
      </c>
      <c r="H565" s="16"/>
      <c r="I565" s="16" t="str">
        <f t="shared" si="5"/>
        <v>collected</v>
      </c>
      <c r="J565" s="16" t="str">
        <f t="shared" si="6"/>
        <v>N</v>
      </c>
      <c r="K565" s="16"/>
      <c r="L565" s="16"/>
    </row>
    <row r="566">
      <c r="A566" s="43" t="s">
        <v>2095</v>
      </c>
      <c r="B566" s="10" t="str">
        <f t="shared" si="1"/>
        <v>DNA</v>
      </c>
      <c r="C566" s="49" t="str">
        <f t="shared" si="2"/>
        <v>S17244DN1</v>
      </c>
      <c r="D566" s="6">
        <v>13.0</v>
      </c>
      <c r="E566" s="10" t="str">
        <f t="shared" si="3"/>
        <v>BDN13</v>
      </c>
      <c r="F566" s="6">
        <v>15.0</v>
      </c>
      <c r="G566" s="10" t="str">
        <f t="shared" si="4"/>
        <v>BDN13-15</v>
      </c>
      <c r="H566" s="16"/>
      <c r="I566" s="16" t="str">
        <f t="shared" si="5"/>
        <v>collected</v>
      </c>
      <c r="J566" s="16" t="str">
        <f t="shared" si="6"/>
        <v>N</v>
      </c>
      <c r="K566" s="16"/>
      <c r="L566" s="16"/>
    </row>
    <row r="567">
      <c r="A567" s="43" t="s">
        <v>2096</v>
      </c>
      <c r="B567" s="10" t="str">
        <f t="shared" si="1"/>
        <v>DNA</v>
      </c>
      <c r="C567" s="49" t="str">
        <f t="shared" si="2"/>
        <v>S17242DN1</v>
      </c>
      <c r="D567" s="6">
        <v>13.0</v>
      </c>
      <c r="E567" s="10" t="str">
        <f t="shared" si="3"/>
        <v>BDN13</v>
      </c>
      <c r="F567" s="6">
        <v>17.0</v>
      </c>
      <c r="G567" s="10" t="str">
        <f t="shared" si="4"/>
        <v>BDN13-17</v>
      </c>
      <c r="H567" s="16"/>
      <c r="I567" s="16" t="str">
        <f t="shared" si="5"/>
        <v>collected</v>
      </c>
      <c r="J567" s="16" t="str">
        <f t="shared" si="6"/>
        <v>N</v>
      </c>
      <c r="K567" s="16"/>
      <c r="L567" s="16"/>
    </row>
    <row r="568">
      <c r="A568" s="43" t="s">
        <v>2097</v>
      </c>
      <c r="B568" s="10" t="str">
        <f t="shared" si="1"/>
        <v>DNA</v>
      </c>
      <c r="C568" s="49" t="str">
        <f t="shared" si="2"/>
        <v>S17241DN1</v>
      </c>
      <c r="D568" s="6">
        <v>13.0</v>
      </c>
      <c r="E568" s="10" t="str">
        <f t="shared" si="3"/>
        <v>BDN13</v>
      </c>
      <c r="F568" s="6">
        <v>18.0</v>
      </c>
      <c r="G568" s="10" t="str">
        <f t="shared" si="4"/>
        <v>BDN13-18</v>
      </c>
      <c r="H568" s="16"/>
      <c r="I568" s="16" t="str">
        <f t="shared" si="5"/>
        <v>collected</v>
      </c>
      <c r="J568" s="16" t="str">
        <f t="shared" si="6"/>
        <v>N</v>
      </c>
      <c r="K568" s="16"/>
      <c r="L568" s="16"/>
    </row>
    <row r="569">
      <c r="A569" s="43" t="s">
        <v>2098</v>
      </c>
      <c r="B569" s="10" t="str">
        <f t="shared" si="1"/>
        <v>DNA</v>
      </c>
      <c r="C569" s="49" t="str">
        <f t="shared" si="2"/>
        <v>S16851DN1</v>
      </c>
      <c r="D569" s="6">
        <v>13.0</v>
      </c>
      <c r="E569" s="10" t="str">
        <f t="shared" si="3"/>
        <v>BDN13</v>
      </c>
      <c r="F569" s="6">
        <v>19.0</v>
      </c>
      <c r="G569" s="10" t="str">
        <f t="shared" si="4"/>
        <v>BDN13-19</v>
      </c>
      <c r="H569" s="16"/>
      <c r="I569" s="16" t="str">
        <f t="shared" si="5"/>
        <v>collected</v>
      </c>
      <c r="J569" s="16" t="str">
        <f t="shared" si="6"/>
        <v>N</v>
      </c>
      <c r="K569" s="16"/>
      <c r="L569" s="16"/>
    </row>
    <row r="570">
      <c r="A570" s="43" t="s">
        <v>2099</v>
      </c>
      <c r="B570" s="10" t="str">
        <f t="shared" si="1"/>
        <v>DNA</v>
      </c>
      <c r="C570" s="49" t="str">
        <f t="shared" si="2"/>
        <v>S16855DN1</v>
      </c>
      <c r="D570" s="6">
        <v>13.0</v>
      </c>
      <c r="E570" s="10" t="str">
        <f t="shared" si="3"/>
        <v>BDN13</v>
      </c>
      <c r="F570" s="6">
        <v>20.0</v>
      </c>
      <c r="G570" s="10" t="str">
        <f t="shared" si="4"/>
        <v>BDN13-20</v>
      </c>
      <c r="H570" s="16"/>
      <c r="I570" s="16" t="str">
        <f t="shared" si="5"/>
        <v>collected</v>
      </c>
      <c r="J570" s="16" t="str">
        <f t="shared" si="6"/>
        <v>N</v>
      </c>
      <c r="K570" s="16"/>
      <c r="L570" s="16"/>
    </row>
    <row r="571">
      <c r="A571" s="43" t="s">
        <v>2100</v>
      </c>
      <c r="B571" s="10" t="str">
        <f t="shared" si="1"/>
        <v>DNA</v>
      </c>
      <c r="C571" s="49" t="str">
        <f t="shared" si="2"/>
        <v>S16852DN1</v>
      </c>
      <c r="D571" s="6">
        <v>13.0</v>
      </c>
      <c r="E571" s="10" t="str">
        <f t="shared" si="3"/>
        <v>BDN13</v>
      </c>
      <c r="F571" s="6">
        <v>21.0</v>
      </c>
      <c r="G571" s="10" t="str">
        <f t="shared" si="4"/>
        <v>BDN13-21</v>
      </c>
      <c r="H571" s="16"/>
      <c r="I571" s="16" t="str">
        <f t="shared" si="5"/>
        <v>collected</v>
      </c>
      <c r="J571" s="16" t="str">
        <f t="shared" si="6"/>
        <v>N</v>
      </c>
      <c r="K571" s="16"/>
      <c r="L571" s="16"/>
    </row>
    <row r="572">
      <c r="A572" s="43" t="s">
        <v>2101</v>
      </c>
      <c r="B572" s="10" t="str">
        <f t="shared" si="1"/>
        <v>DNA</v>
      </c>
      <c r="C572" s="49" t="str">
        <f t="shared" si="2"/>
        <v>S16854DN1</v>
      </c>
      <c r="D572" s="6">
        <v>13.0</v>
      </c>
      <c r="E572" s="10" t="str">
        <f t="shared" si="3"/>
        <v>BDN13</v>
      </c>
      <c r="F572" s="6">
        <v>22.0</v>
      </c>
      <c r="G572" s="10" t="str">
        <f t="shared" si="4"/>
        <v>BDN13-22</v>
      </c>
      <c r="H572" s="16"/>
      <c r="I572" s="16" t="str">
        <f t="shared" si="5"/>
        <v>collected</v>
      </c>
      <c r="J572" s="16" t="str">
        <f t="shared" si="6"/>
        <v>N</v>
      </c>
      <c r="K572" s="16"/>
      <c r="L572" s="16"/>
    </row>
    <row r="573">
      <c r="A573" s="43" t="s">
        <v>2102</v>
      </c>
      <c r="B573" s="10" t="str">
        <f t="shared" si="1"/>
        <v>DNA</v>
      </c>
      <c r="C573" s="49" t="str">
        <f t="shared" si="2"/>
        <v>S16853DN1</v>
      </c>
      <c r="D573" s="6">
        <v>13.0</v>
      </c>
      <c r="E573" s="10" t="str">
        <f t="shared" si="3"/>
        <v>BDN13</v>
      </c>
      <c r="F573" s="6">
        <v>23.0</v>
      </c>
      <c r="G573" s="10" t="str">
        <f t="shared" si="4"/>
        <v>BDN13-23</v>
      </c>
      <c r="H573" s="16"/>
      <c r="I573" s="16" t="str">
        <f t="shared" si="5"/>
        <v>collected</v>
      </c>
      <c r="J573" s="16" t="str">
        <f t="shared" si="6"/>
        <v>N</v>
      </c>
      <c r="K573" s="16"/>
      <c r="L573" s="16"/>
    </row>
  </sheetData>
  <conditionalFormatting sqref="J1:J573">
    <cfRule type="cellIs" dxfId="0" priority="1" operator="equal">
      <formula>"Y"</formula>
    </cfRule>
  </conditionalFormatting>
  <dataValidations>
    <dataValidation type="list" allowBlank="1" showDropDown="1" showInputMessage="1" showErrorMessage="1" prompt="Ensure there are no duplicate UFNs" sqref="A1 A18:A573">
      <formula1>fish_lab_data!$C:$C</formula1>
    </dataValidation>
  </dataValidations>
  <drawing r:id="rId2"/>
  <legacy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93C47D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4" max="4" width="18.14"/>
    <col customWidth="1" min="8" max="8" width="25.14"/>
  </cols>
  <sheetData>
    <row r="1">
      <c r="A1" s="1" t="s">
        <v>0</v>
      </c>
      <c r="B1" s="4" t="s">
        <v>1</v>
      </c>
      <c r="C1" s="48" t="s">
        <v>16</v>
      </c>
      <c r="D1" s="1" t="s">
        <v>2192</v>
      </c>
      <c r="E1" s="4" t="s">
        <v>18</v>
      </c>
      <c r="F1" s="1" t="s">
        <v>21</v>
      </c>
      <c r="G1" s="4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</row>
    <row r="2">
      <c r="A2" s="6" t="s">
        <v>28</v>
      </c>
      <c r="B2" s="10" t="str">
        <f t="shared" ref="B2:B362" si="1">if(isblank(A2),"","stomach")</f>
        <v>stomach</v>
      </c>
      <c r="C2" s="49" t="str">
        <f t="shared" ref="C2:C362" si="2">if(isblank(A2),"",concatenate("S",mid(A2,2,5),"ST1"))</f>
        <v>S5471ST1</v>
      </c>
      <c r="D2" s="6">
        <v>244.0</v>
      </c>
      <c r="E2" s="10" t="str">
        <f t="shared" ref="E2:E362" si="3">if(isblank(D2),"",concatenate("BST",D2))</f>
        <v>BST244</v>
      </c>
      <c r="F2" s="6">
        <v>20.0</v>
      </c>
      <c r="G2" s="10" t="str">
        <f t="shared" ref="G2:G362" si="4">if(F2="","",concatenate(E2,"-",F2))</f>
        <v>BST244-20</v>
      </c>
      <c r="H2" s="15"/>
      <c r="I2" s="16" t="str">
        <f t="shared" ref="I2:I362" si="5">if(G2="","","collected")</f>
        <v>collected</v>
      </c>
      <c r="J2" s="16" t="str">
        <f t="shared" ref="J2:J362" si="6">if(G2="","",if(or(countif(A:A,A2)&gt;1,countif(G:G,G2)&gt;1),"Y","N"))</f>
        <v>N</v>
      </c>
      <c r="K2" s="16"/>
      <c r="L2" s="16"/>
    </row>
    <row r="3">
      <c r="A3" s="6" t="s">
        <v>55</v>
      </c>
      <c r="B3" s="10" t="str">
        <f t="shared" si="1"/>
        <v>stomach</v>
      </c>
      <c r="C3" s="49" t="str">
        <f t="shared" si="2"/>
        <v>S5472ST1</v>
      </c>
      <c r="D3" s="6">
        <v>244.0</v>
      </c>
      <c r="E3" s="10" t="str">
        <f t="shared" si="3"/>
        <v>BST244</v>
      </c>
      <c r="F3" s="6">
        <v>21.0</v>
      </c>
      <c r="G3" s="10" t="str">
        <f t="shared" si="4"/>
        <v>BST244-21</v>
      </c>
      <c r="H3" s="15"/>
      <c r="I3" s="16" t="str">
        <f t="shared" si="5"/>
        <v>collected</v>
      </c>
      <c r="J3" s="16" t="str">
        <f t="shared" si="6"/>
        <v>N</v>
      </c>
      <c r="K3" s="16"/>
      <c r="L3" s="16"/>
    </row>
    <row r="4">
      <c r="A4" s="6" t="s">
        <v>59</v>
      </c>
      <c r="B4" s="10" t="str">
        <f t="shared" si="1"/>
        <v>stomach</v>
      </c>
      <c r="C4" s="49" t="str">
        <f t="shared" si="2"/>
        <v>S5473ST1</v>
      </c>
      <c r="D4" s="6">
        <v>244.0</v>
      </c>
      <c r="E4" s="10" t="str">
        <f t="shared" si="3"/>
        <v>BST244</v>
      </c>
      <c r="F4" s="6">
        <v>22.0</v>
      </c>
      <c r="G4" s="10" t="str">
        <f t="shared" si="4"/>
        <v>BST244-22</v>
      </c>
      <c r="H4" s="15"/>
      <c r="I4" s="16" t="str">
        <f t="shared" si="5"/>
        <v>collected</v>
      </c>
      <c r="J4" s="16" t="str">
        <f t="shared" si="6"/>
        <v>N</v>
      </c>
      <c r="K4" s="16"/>
      <c r="L4" s="16"/>
    </row>
    <row r="5">
      <c r="A5" s="6" t="s">
        <v>65</v>
      </c>
      <c r="B5" s="10" t="str">
        <f t="shared" si="1"/>
        <v>stomach</v>
      </c>
      <c r="C5" s="49" t="str">
        <f t="shared" si="2"/>
        <v>S5474ST1</v>
      </c>
      <c r="D5" s="6">
        <v>244.0</v>
      </c>
      <c r="E5" s="10" t="str">
        <f t="shared" si="3"/>
        <v>BST244</v>
      </c>
      <c r="F5" s="6">
        <v>23.0</v>
      </c>
      <c r="G5" s="10" t="str">
        <f t="shared" si="4"/>
        <v>BST244-23</v>
      </c>
      <c r="H5" s="16"/>
      <c r="I5" s="16" t="str">
        <f t="shared" si="5"/>
        <v>collected</v>
      </c>
      <c r="J5" s="16" t="str">
        <f t="shared" si="6"/>
        <v>N</v>
      </c>
      <c r="K5" s="16"/>
      <c r="L5" s="16"/>
    </row>
    <row r="6">
      <c r="A6" s="6" t="s">
        <v>67</v>
      </c>
      <c r="B6" s="10" t="str">
        <f t="shared" si="1"/>
        <v>stomach</v>
      </c>
      <c r="C6" s="49" t="str">
        <f t="shared" si="2"/>
        <v>S5475ST1</v>
      </c>
      <c r="D6" s="6">
        <v>244.0</v>
      </c>
      <c r="E6" s="10" t="str">
        <f t="shared" si="3"/>
        <v>BST244</v>
      </c>
      <c r="F6" s="6">
        <v>24.0</v>
      </c>
      <c r="G6" s="10" t="str">
        <f t="shared" si="4"/>
        <v>BST244-24</v>
      </c>
      <c r="H6" s="16"/>
      <c r="I6" s="16" t="str">
        <f t="shared" si="5"/>
        <v>collected</v>
      </c>
      <c r="J6" s="16" t="str">
        <f t="shared" si="6"/>
        <v>N</v>
      </c>
      <c r="K6" s="16"/>
      <c r="L6" s="16"/>
    </row>
    <row r="7">
      <c r="A7" s="6" t="s">
        <v>71</v>
      </c>
      <c r="B7" s="10" t="str">
        <f t="shared" si="1"/>
        <v>stomach</v>
      </c>
      <c r="C7" s="49" t="str">
        <f t="shared" si="2"/>
        <v>S5476ST1</v>
      </c>
      <c r="D7" s="6">
        <v>244.0</v>
      </c>
      <c r="E7" s="10" t="str">
        <f t="shared" si="3"/>
        <v>BST244</v>
      </c>
      <c r="F7" s="6">
        <v>25.0</v>
      </c>
      <c r="G7" s="10" t="str">
        <f t="shared" si="4"/>
        <v>BST244-25</v>
      </c>
      <c r="H7" s="15"/>
      <c r="I7" s="16" t="str">
        <f t="shared" si="5"/>
        <v>collected</v>
      </c>
      <c r="J7" s="16" t="str">
        <f t="shared" si="6"/>
        <v>N</v>
      </c>
      <c r="K7" s="16"/>
      <c r="L7" s="16"/>
    </row>
    <row r="8">
      <c r="A8" s="6" t="s">
        <v>73</v>
      </c>
      <c r="B8" s="10" t="str">
        <f t="shared" si="1"/>
        <v>stomach</v>
      </c>
      <c r="C8" s="49" t="str">
        <f t="shared" si="2"/>
        <v>S5477ST1</v>
      </c>
      <c r="D8" s="6">
        <v>239.0</v>
      </c>
      <c r="E8" s="10" t="str">
        <f t="shared" si="3"/>
        <v>BST239</v>
      </c>
      <c r="F8" s="6">
        <v>21.0</v>
      </c>
      <c r="G8" s="10" t="str">
        <f t="shared" si="4"/>
        <v>BST239-21</v>
      </c>
      <c r="H8" s="15"/>
      <c r="I8" s="16" t="str">
        <f t="shared" si="5"/>
        <v>collected</v>
      </c>
      <c r="J8" s="16" t="str">
        <f t="shared" si="6"/>
        <v>N</v>
      </c>
      <c r="K8" s="16"/>
      <c r="L8" s="16"/>
    </row>
    <row r="9">
      <c r="A9" s="6" t="s">
        <v>75</v>
      </c>
      <c r="B9" s="10" t="str">
        <f t="shared" si="1"/>
        <v>stomach</v>
      </c>
      <c r="C9" s="49" t="str">
        <f t="shared" si="2"/>
        <v>S5478ST1</v>
      </c>
      <c r="D9" s="6">
        <v>239.0</v>
      </c>
      <c r="E9" s="10" t="str">
        <f t="shared" si="3"/>
        <v>BST239</v>
      </c>
      <c r="F9" s="6">
        <v>22.0</v>
      </c>
      <c r="G9" s="10" t="str">
        <f t="shared" si="4"/>
        <v>BST239-22</v>
      </c>
      <c r="H9" s="15"/>
      <c r="I9" s="16" t="str">
        <f t="shared" si="5"/>
        <v>collected</v>
      </c>
      <c r="J9" s="16" t="str">
        <f t="shared" si="6"/>
        <v>N</v>
      </c>
      <c r="K9" s="16"/>
      <c r="L9" s="16"/>
    </row>
    <row r="10">
      <c r="A10" s="6" t="s">
        <v>77</v>
      </c>
      <c r="B10" s="10" t="str">
        <f t="shared" si="1"/>
        <v>stomach</v>
      </c>
      <c r="C10" s="49" t="str">
        <f t="shared" si="2"/>
        <v>S5479ST1</v>
      </c>
      <c r="D10" s="6">
        <v>239.0</v>
      </c>
      <c r="E10" s="10" t="str">
        <f t="shared" si="3"/>
        <v>BST239</v>
      </c>
      <c r="F10" s="6">
        <v>23.0</v>
      </c>
      <c r="G10" s="10" t="str">
        <f t="shared" si="4"/>
        <v>BST239-23</v>
      </c>
      <c r="H10" s="15"/>
      <c r="I10" s="16" t="str">
        <f t="shared" si="5"/>
        <v>collected</v>
      </c>
      <c r="J10" s="16" t="str">
        <f t="shared" si="6"/>
        <v>N</v>
      </c>
      <c r="K10" s="16"/>
      <c r="L10" s="16"/>
    </row>
    <row r="11">
      <c r="A11" s="6" t="s">
        <v>79</v>
      </c>
      <c r="B11" s="10" t="str">
        <f t="shared" si="1"/>
        <v>stomach</v>
      </c>
      <c r="C11" s="49" t="str">
        <f t="shared" si="2"/>
        <v>S5480ST1</v>
      </c>
      <c r="D11" s="6">
        <v>239.0</v>
      </c>
      <c r="E11" s="10" t="str">
        <f t="shared" si="3"/>
        <v>BST239</v>
      </c>
      <c r="F11" s="6">
        <v>24.0</v>
      </c>
      <c r="G11" s="10" t="str">
        <f t="shared" si="4"/>
        <v>BST239-24</v>
      </c>
      <c r="H11" s="15"/>
      <c r="I11" s="16" t="str">
        <f t="shared" si="5"/>
        <v>collected</v>
      </c>
      <c r="J11" s="16" t="str">
        <f t="shared" si="6"/>
        <v>N</v>
      </c>
      <c r="K11" s="16"/>
      <c r="L11" s="16"/>
    </row>
    <row r="12">
      <c r="A12" s="6" t="s">
        <v>82</v>
      </c>
      <c r="B12" s="10" t="str">
        <f t="shared" si="1"/>
        <v>stomach</v>
      </c>
      <c r="C12" s="49" t="str">
        <f t="shared" si="2"/>
        <v>S5481ST1</v>
      </c>
      <c r="D12" s="6">
        <v>239.0</v>
      </c>
      <c r="E12" s="10" t="str">
        <f t="shared" si="3"/>
        <v>BST239</v>
      </c>
      <c r="F12" s="6">
        <v>25.0</v>
      </c>
      <c r="G12" s="10" t="str">
        <f t="shared" si="4"/>
        <v>BST239-25</v>
      </c>
      <c r="H12" s="15"/>
      <c r="I12" s="16" t="str">
        <f t="shared" si="5"/>
        <v>collected</v>
      </c>
      <c r="J12" s="16" t="str">
        <f t="shared" si="6"/>
        <v>N</v>
      </c>
      <c r="K12" s="16"/>
      <c r="L12" s="16"/>
    </row>
    <row r="13">
      <c r="A13" s="6" t="s">
        <v>85</v>
      </c>
      <c r="B13" s="10" t="str">
        <f t="shared" si="1"/>
        <v>stomach</v>
      </c>
      <c r="C13" s="49" t="str">
        <f t="shared" si="2"/>
        <v>S5482ST1</v>
      </c>
      <c r="D13" s="6">
        <v>233.0</v>
      </c>
      <c r="E13" s="10" t="str">
        <f t="shared" si="3"/>
        <v>BST233</v>
      </c>
      <c r="F13" s="6">
        <v>21.0</v>
      </c>
      <c r="G13" s="10" t="str">
        <f t="shared" si="4"/>
        <v>BST233-21</v>
      </c>
      <c r="H13" s="15"/>
      <c r="I13" s="16" t="str">
        <f t="shared" si="5"/>
        <v>collected</v>
      </c>
      <c r="J13" s="16" t="str">
        <f t="shared" si="6"/>
        <v>N</v>
      </c>
      <c r="K13" s="16"/>
      <c r="L13" s="16"/>
    </row>
    <row r="14">
      <c r="A14" s="6" t="s">
        <v>86</v>
      </c>
      <c r="B14" s="10" t="str">
        <f t="shared" si="1"/>
        <v>stomach</v>
      </c>
      <c r="C14" s="49" t="str">
        <f t="shared" si="2"/>
        <v>S5483ST1</v>
      </c>
      <c r="D14" s="6">
        <v>233.0</v>
      </c>
      <c r="E14" s="10" t="str">
        <f t="shared" si="3"/>
        <v>BST233</v>
      </c>
      <c r="F14" s="6">
        <v>22.0</v>
      </c>
      <c r="G14" s="10" t="str">
        <f t="shared" si="4"/>
        <v>BST233-22</v>
      </c>
      <c r="H14" s="15"/>
      <c r="I14" s="16" t="str">
        <f t="shared" si="5"/>
        <v>collected</v>
      </c>
      <c r="J14" s="16" t="str">
        <f t="shared" si="6"/>
        <v>N</v>
      </c>
      <c r="K14" s="16"/>
      <c r="L14" s="16"/>
    </row>
    <row r="15">
      <c r="A15" s="6" t="s">
        <v>87</v>
      </c>
      <c r="B15" s="10" t="str">
        <f t="shared" si="1"/>
        <v>stomach</v>
      </c>
      <c r="C15" s="49" t="str">
        <f t="shared" si="2"/>
        <v>S5484ST1</v>
      </c>
      <c r="D15" s="6">
        <v>233.0</v>
      </c>
      <c r="E15" s="10" t="str">
        <f t="shared" si="3"/>
        <v>BST233</v>
      </c>
      <c r="F15" s="6">
        <v>23.0</v>
      </c>
      <c r="G15" s="10" t="str">
        <f t="shared" si="4"/>
        <v>BST233-23</v>
      </c>
      <c r="H15" s="15"/>
      <c r="I15" s="16" t="str">
        <f t="shared" si="5"/>
        <v>collected</v>
      </c>
      <c r="J15" s="16" t="str">
        <f t="shared" si="6"/>
        <v>N</v>
      </c>
      <c r="K15" s="16"/>
      <c r="L15" s="16"/>
    </row>
    <row r="16">
      <c r="A16" s="6" t="s">
        <v>89</v>
      </c>
      <c r="B16" s="10" t="str">
        <f t="shared" si="1"/>
        <v>stomach</v>
      </c>
      <c r="C16" s="49" t="str">
        <f t="shared" si="2"/>
        <v>S5115ST1</v>
      </c>
      <c r="D16" s="6">
        <v>233.0</v>
      </c>
      <c r="E16" s="10" t="str">
        <f t="shared" si="3"/>
        <v>BST233</v>
      </c>
      <c r="F16" s="6">
        <v>24.0</v>
      </c>
      <c r="G16" s="10" t="str">
        <f t="shared" si="4"/>
        <v>BST233-24</v>
      </c>
      <c r="H16" s="15"/>
      <c r="I16" s="16" t="str">
        <f t="shared" si="5"/>
        <v>collected</v>
      </c>
      <c r="J16" s="16" t="str">
        <f t="shared" si="6"/>
        <v>N</v>
      </c>
      <c r="K16" s="16"/>
      <c r="L16" s="16"/>
    </row>
    <row r="17">
      <c r="A17" s="6" t="s">
        <v>90</v>
      </c>
      <c r="B17" s="10" t="str">
        <f t="shared" si="1"/>
        <v>stomach</v>
      </c>
      <c r="C17" s="49" t="str">
        <f t="shared" si="2"/>
        <v>S5485ST1</v>
      </c>
      <c r="D17" s="6">
        <v>233.0</v>
      </c>
      <c r="E17" s="10" t="str">
        <f t="shared" si="3"/>
        <v>BST233</v>
      </c>
      <c r="F17" s="6">
        <v>25.0</v>
      </c>
      <c r="G17" s="10" t="str">
        <f t="shared" si="4"/>
        <v>BST233-25</v>
      </c>
      <c r="H17" s="15"/>
      <c r="I17" s="16" t="str">
        <f t="shared" si="5"/>
        <v>collected</v>
      </c>
      <c r="J17" s="16" t="str">
        <f t="shared" si="6"/>
        <v>N</v>
      </c>
      <c r="K17" s="16"/>
      <c r="L17" s="16"/>
    </row>
    <row r="18">
      <c r="A18" s="6" t="s">
        <v>92</v>
      </c>
      <c r="B18" s="10" t="str">
        <f t="shared" si="1"/>
        <v>stomach</v>
      </c>
      <c r="C18" s="49" t="str">
        <f t="shared" si="2"/>
        <v>S5486ST1</v>
      </c>
      <c r="D18" s="6">
        <v>233.0</v>
      </c>
      <c r="E18" s="10" t="str">
        <f t="shared" si="3"/>
        <v>BST233</v>
      </c>
      <c r="F18" s="6">
        <v>16.0</v>
      </c>
      <c r="G18" s="10" t="str">
        <f t="shared" si="4"/>
        <v>BST233-16</v>
      </c>
      <c r="H18" s="15"/>
      <c r="I18" s="16" t="str">
        <f t="shared" si="5"/>
        <v>collected</v>
      </c>
      <c r="J18" s="16" t="str">
        <f t="shared" si="6"/>
        <v>N</v>
      </c>
      <c r="K18" s="16"/>
      <c r="L18" s="16"/>
    </row>
    <row r="19">
      <c r="A19" s="6" t="s">
        <v>93</v>
      </c>
      <c r="B19" s="10" t="str">
        <f t="shared" si="1"/>
        <v>stomach</v>
      </c>
      <c r="C19" s="49" t="str">
        <f t="shared" si="2"/>
        <v>S5487ST1</v>
      </c>
      <c r="D19" s="6">
        <v>233.0</v>
      </c>
      <c r="E19" s="10" t="str">
        <f t="shared" si="3"/>
        <v>BST233</v>
      </c>
      <c r="F19" s="6">
        <v>17.0</v>
      </c>
      <c r="G19" s="10" t="str">
        <f t="shared" si="4"/>
        <v>BST233-17</v>
      </c>
      <c r="H19" s="15"/>
      <c r="I19" s="16" t="str">
        <f t="shared" si="5"/>
        <v>collected</v>
      </c>
      <c r="J19" s="16" t="str">
        <f t="shared" si="6"/>
        <v>N</v>
      </c>
      <c r="K19" s="16"/>
      <c r="L19" s="16"/>
    </row>
    <row r="20">
      <c r="A20" s="6" t="s">
        <v>95</v>
      </c>
      <c r="B20" s="10" t="str">
        <f t="shared" si="1"/>
        <v>stomach</v>
      </c>
      <c r="C20" s="49" t="str">
        <f t="shared" si="2"/>
        <v>S5488ST1</v>
      </c>
      <c r="D20" s="6">
        <v>233.0</v>
      </c>
      <c r="E20" s="10" t="str">
        <f t="shared" si="3"/>
        <v>BST233</v>
      </c>
      <c r="F20" s="6">
        <v>18.0</v>
      </c>
      <c r="G20" s="10" t="str">
        <f t="shared" si="4"/>
        <v>BST233-18</v>
      </c>
      <c r="H20" s="15"/>
      <c r="I20" s="16" t="str">
        <f t="shared" si="5"/>
        <v>collected</v>
      </c>
      <c r="J20" s="16" t="str">
        <f t="shared" si="6"/>
        <v>N</v>
      </c>
      <c r="K20" s="16"/>
      <c r="L20" s="16"/>
    </row>
    <row r="21">
      <c r="A21" s="6" t="s">
        <v>96</v>
      </c>
      <c r="B21" s="10" t="str">
        <f t="shared" si="1"/>
        <v>stomach</v>
      </c>
      <c r="C21" s="49" t="str">
        <f t="shared" si="2"/>
        <v>S5489ST1</v>
      </c>
      <c r="D21" s="6">
        <v>233.0</v>
      </c>
      <c r="E21" s="10" t="str">
        <f t="shared" si="3"/>
        <v>BST233</v>
      </c>
      <c r="F21" s="6">
        <v>19.0</v>
      </c>
      <c r="G21" s="10" t="str">
        <f t="shared" si="4"/>
        <v>BST233-19</v>
      </c>
      <c r="H21" s="15"/>
      <c r="I21" s="16" t="str">
        <f t="shared" si="5"/>
        <v>collected</v>
      </c>
      <c r="J21" s="16" t="str">
        <f t="shared" si="6"/>
        <v>N</v>
      </c>
      <c r="K21" s="16"/>
      <c r="L21" s="16"/>
    </row>
    <row r="22">
      <c r="A22" s="6" t="s">
        <v>99</v>
      </c>
      <c r="B22" s="10" t="str">
        <f t="shared" si="1"/>
        <v>stomach</v>
      </c>
      <c r="C22" s="49" t="str">
        <f t="shared" si="2"/>
        <v>S5490ST1</v>
      </c>
      <c r="D22" s="6">
        <v>233.0</v>
      </c>
      <c r="E22" s="10" t="str">
        <f t="shared" si="3"/>
        <v>BST233</v>
      </c>
      <c r="F22" s="6">
        <v>20.0</v>
      </c>
      <c r="G22" s="10" t="str">
        <f t="shared" si="4"/>
        <v>BST233-20</v>
      </c>
      <c r="H22" s="15"/>
      <c r="I22" s="16" t="str">
        <f t="shared" si="5"/>
        <v>collected</v>
      </c>
      <c r="J22" s="16" t="str">
        <f t="shared" si="6"/>
        <v>N</v>
      </c>
      <c r="K22" s="16"/>
      <c r="L22" s="16"/>
    </row>
    <row r="23">
      <c r="A23" s="6" t="s">
        <v>100</v>
      </c>
      <c r="B23" s="10" t="str">
        <f t="shared" si="1"/>
        <v>stomach</v>
      </c>
      <c r="C23" s="49" t="str">
        <f t="shared" si="2"/>
        <v>S5491ST1</v>
      </c>
      <c r="D23" s="6">
        <v>233.0</v>
      </c>
      <c r="E23" s="10" t="str">
        <f t="shared" si="3"/>
        <v>BST233</v>
      </c>
      <c r="F23" s="6">
        <v>11.0</v>
      </c>
      <c r="G23" s="10" t="str">
        <f t="shared" si="4"/>
        <v>BST233-11</v>
      </c>
      <c r="H23" s="15"/>
      <c r="I23" s="16" t="str">
        <f t="shared" si="5"/>
        <v>collected</v>
      </c>
      <c r="J23" s="16" t="str">
        <f t="shared" si="6"/>
        <v>N</v>
      </c>
      <c r="K23" s="16"/>
      <c r="L23" s="16"/>
    </row>
    <row r="24">
      <c r="A24" s="6" t="s">
        <v>102</v>
      </c>
      <c r="B24" s="10" t="str">
        <f t="shared" si="1"/>
        <v>stomach</v>
      </c>
      <c r="C24" s="49" t="str">
        <f t="shared" si="2"/>
        <v>S5492ST1</v>
      </c>
      <c r="D24" s="6">
        <v>233.0</v>
      </c>
      <c r="E24" s="10" t="str">
        <f t="shared" si="3"/>
        <v>BST233</v>
      </c>
      <c r="F24" s="6">
        <v>12.0</v>
      </c>
      <c r="G24" s="10" t="str">
        <f t="shared" si="4"/>
        <v>BST233-12</v>
      </c>
      <c r="H24" s="15"/>
      <c r="I24" s="16" t="str">
        <f t="shared" si="5"/>
        <v>collected</v>
      </c>
      <c r="J24" s="16" t="str">
        <f t="shared" si="6"/>
        <v>N</v>
      </c>
      <c r="K24" s="16"/>
      <c r="L24" s="16"/>
    </row>
    <row r="25">
      <c r="A25" s="6" t="s">
        <v>103</v>
      </c>
      <c r="B25" s="10" t="str">
        <f t="shared" si="1"/>
        <v>stomach</v>
      </c>
      <c r="C25" s="49" t="str">
        <f t="shared" si="2"/>
        <v>S5493ST1</v>
      </c>
      <c r="D25" s="6">
        <v>233.0</v>
      </c>
      <c r="E25" s="10" t="str">
        <f t="shared" si="3"/>
        <v>BST233</v>
      </c>
      <c r="F25" s="6">
        <v>13.0</v>
      </c>
      <c r="G25" s="10" t="str">
        <f t="shared" si="4"/>
        <v>BST233-13</v>
      </c>
      <c r="H25" s="15"/>
      <c r="I25" s="16" t="str">
        <f t="shared" si="5"/>
        <v>collected</v>
      </c>
      <c r="J25" s="16" t="str">
        <f t="shared" si="6"/>
        <v>N</v>
      </c>
      <c r="K25" s="16"/>
      <c r="L25" s="16"/>
    </row>
    <row r="26">
      <c r="A26" s="6" t="s">
        <v>104</v>
      </c>
      <c r="B26" s="10" t="str">
        <f t="shared" si="1"/>
        <v>stomach</v>
      </c>
      <c r="C26" s="49" t="str">
        <f t="shared" si="2"/>
        <v>S5494ST1</v>
      </c>
      <c r="D26" s="6">
        <v>233.0</v>
      </c>
      <c r="E26" s="10" t="str">
        <f t="shared" si="3"/>
        <v>BST233</v>
      </c>
      <c r="F26" s="6">
        <v>14.0</v>
      </c>
      <c r="G26" s="10" t="str">
        <f t="shared" si="4"/>
        <v>BST233-14</v>
      </c>
      <c r="H26" s="15"/>
      <c r="I26" s="16" t="str">
        <f t="shared" si="5"/>
        <v>collected</v>
      </c>
      <c r="J26" s="16" t="str">
        <f t="shared" si="6"/>
        <v>N</v>
      </c>
      <c r="K26" s="16"/>
      <c r="L26" s="16"/>
    </row>
    <row r="27">
      <c r="A27" s="6" t="s">
        <v>106</v>
      </c>
      <c r="B27" s="10" t="str">
        <f t="shared" si="1"/>
        <v>stomach</v>
      </c>
      <c r="C27" s="49" t="str">
        <f t="shared" si="2"/>
        <v>S5495ST1</v>
      </c>
      <c r="D27" s="6">
        <v>233.0</v>
      </c>
      <c r="E27" s="10" t="str">
        <f t="shared" si="3"/>
        <v>BST233</v>
      </c>
      <c r="F27" s="6">
        <v>15.0</v>
      </c>
      <c r="G27" s="10" t="str">
        <f t="shared" si="4"/>
        <v>BST233-15</v>
      </c>
      <c r="H27" s="15"/>
      <c r="I27" s="16" t="str">
        <f t="shared" si="5"/>
        <v>collected</v>
      </c>
      <c r="J27" s="16" t="str">
        <f t="shared" si="6"/>
        <v>N</v>
      </c>
      <c r="K27" s="16"/>
      <c r="L27" s="16"/>
    </row>
    <row r="28">
      <c r="A28" s="6" t="s">
        <v>109</v>
      </c>
      <c r="B28" s="10" t="str">
        <f t="shared" si="1"/>
        <v>stomach</v>
      </c>
      <c r="C28" s="49" t="str">
        <f t="shared" si="2"/>
        <v>S5496ST1</v>
      </c>
      <c r="D28" s="6">
        <v>233.0</v>
      </c>
      <c r="E28" s="10" t="str">
        <f t="shared" si="3"/>
        <v>BST233</v>
      </c>
      <c r="F28" s="6">
        <v>6.0</v>
      </c>
      <c r="G28" s="10" t="str">
        <f t="shared" si="4"/>
        <v>BST233-6</v>
      </c>
      <c r="H28" s="15"/>
      <c r="I28" s="16" t="str">
        <f t="shared" si="5"/>
        <v>collected</v>
      </c>
      <c r="J28" s="16" t="str">
        <f t="shared" si="6"/>
        <v>N</v>
      </c>
      <c r="K28" s="16"/>
      <c r="L28" s="16"/>
    </row>
    <row r="29">
      <c r="A29" s="6" t="s">
        <v>110</v>
      </c>
      <c r="B29" s="10" t="str">
        <f t="shared" si="1"/>
        <v>stomach</v>
      </c>
      <c r="C29" s="49" t="str">
        <f t="shared" si="2"/>
        <v>S5497ST1</v>
      </c>
      <c r="D29" s="6">
        <v>233.0</v>
      </c>
      <c r="E29" s="10" t="str">
        <f t="shared" si="3"/>
        <v>BST233</v>
      </c>
      <c r="F29" s="6">
        <v>7.0</v>
      </c>
      <c r="G29" s="10" t="str">
        <f t="shared" si="4"/>
        <v>BST233-7</v>
      </c>
      <c r="H29" s="15"/>
      <c r="I29" s="16" t="str">
        <f t="shared" si="5"/>
        <v>collected</v>
      </c>
      <c r="J29" s="16" t="str">
        <f t="shared" si="6"/>
        <v>N</v>
      </c>
      <c r="K29" s="16"/>
      <c r="L29" s="16"/>
    </row>
    <row r="30">
      <c r="A30" s="6" t="s">
        <v>111</v>
      </c>
      <c r="B30" s="10" t="str">
        <f t="shared" si="1"/>
        <v>stomach</v>
      </c>
      <c r="C30" s="49" t="str">
        <f t="shared" si="2"/>
        <v>S5498ST1</v>
      </c>
      <c r="D30" s="6">
        <v>233.0</v>
      </c>
      <c r="E30" s="10" t="str">
        <f t="shared" si="3"/>
        <v>BST233</v>
      </c>
      <c r="F30" s="6">
        <v>8.0</v>
      </c>
      <c r="G30" s="10" t="str">
        <f t="shared" si="4"/>
        <v>BST233-8</v>
      </c>
      <c r="H30" s="15"/>
      <c r="I30" s="16" t="str">
        <f t="shared" si="5"/>
        <v>collected</v>
      </c>
      <c r="J30" s="16" t="str">
        <f t="shared" si="6"/>
        <v>N</v>
      </c>
      <c r="K30" s="16"/>
      <c r="L30" s="16"/>
    </row>
    <row r="31">
      <c r="A31" s="6" t="s">
        <v>112</v>
      </c>
      <c r="B31" s="10" t="str">
        <f t="shared" si="1"/>
        <v>stomach</v>
      </c>
      <c r="C31" s="49" t="str">
        <f t="shared" si="2"/>
        <v>S5499ST1</v>
      </c>
      <c r="D31" s="6">
        <v>233.0</v>
      </c>
      <c r="E31" s="10" t="str">
        <f t="shared" si="3"/>
        <v>BST233</v>
      </c>
      <c r="F31" s="6">
        <v>9.0</v>
      </c>
      <c r="G31" s="10" t="str">
        <f t="shared" si="4"/>
        <v>BST233-9</v>
      </c>
      <c r="H31" s="15"/>
      <c r="I31" s="16" t="str">
        <f t="shared" si="5"/>
        <v>collected</v>
      </c>
      <c r="J31" s="16" t="str">
        <f t="shared" si="6"/>
        <v>N</v>
      </c>
      <c r="K31" s="16"/>
      <c r="L31" s="16"/>
    </row>
    <row r="32">
      <c r="A32" s="6" t="s">
        <v>114</v>
      </c>
      <c r="B32" s="10" t="str">
        <f t="shared" si="1"/>
        <v>stomach</v>
      </c>
      <c r="C32" s="49" t="str">
        <f t="shared" si="2"/>
        <v>S5500ST1</v>
      </c>
      <c r="D32" s="6">
        <v>233.0</v>
      </c>
      <c r="E32" s="10" t="str">
        <f t="shared" si="3"/>
        <v>BST233</v>
      </c>
      <c r="F32" s="6">
        <v>10.0</v>
      </c>
      <c r="G32" s="10" t="str">
        <f t="shared" si="4"/>
        <v>BST233-10</v>
      </c>
      <c r="H32" s="15"/>
      <c r="I32" s="16" t="str">
        <f t="shared" si="5"/>
        <v>collected</v>
      </c>
      <c r="J32" s="16" t="str">
        <f t="shared" si="6"/>
        <v>N</v>
      </c>
      <c r="K32" s="16"/>
      <c r="L32" s="16"/>
    </row>
    <row r="33">
      <c r="A33" s="6" t="s">
        <v>116</v>
      </c>
      <c r="B33" s="10" t="str">
        <f t="shared" si="1"/>
        <v>stomach</v>
      </c>
      <c r="C33" s="49" t="str">
        <f t="shared" si="2"/>
        <v>S5132ST1</v>
      </c>
      <c r="D33" s="6">
        <v>233.0</v>
      </c>
      <c r="E33" s="10" t="str">
        <f t="shared" si="3"/>
        <v>BST233</v>
      </c>
      <c r="F33" s="6">
        <v>1.0</v>
      </c>
      <c r="G33" s="10" t="str">
        <f t="shared" si="4"/>
        <v>BST233-1</v>
      </c>
      <c r="H33" s="15"/>
      <c r="I33" s="16" t="str">
        <f t="shared" si="5"/>
        <v>collected</v>
      </c>
      <c r="J33" s="16" t="str">
        <f t="shared" si="6"/>
        <v>N</v>
      </c>
      <c r="K33" s="16"/>
      <c r="L33" s="16"/>
    </row>
    <row r="34">
      <c r="A34" s="6" t="s">
        <v>117</v>
      </c>
      <c r="B34" s="10" t="str">
        <f t="shared" si="1"/>
        <v>stomach</v>
      </c>
      <c r="C34" s="49" t="str">
        <f t="shared" si="2"/>
        <v>S5133ST1</v>
      </c>
      <c r="D34" s="6">
        <v>233.0</v>
      </c>
      <c r="E34" s="10" t="str">
        <f t="shared" si="3"/>
        <v>BST233</v>
      </c>
      <c r="F34" s="6">
        <v>2.0</v>
      </c>
      <c r="G34" s="10" t="str">
        <f t="shared" si="4"/>
        <v>BST233-2</v>
      </c>
      <c r="H34" s="15"/>
      <c r="I34" s="16" t="str">
        <f t="shared" si="5"/>
        <v>collected</v>
      </c>
      <c r="J34" s="16" t="str">
        <f t="shared" si="6"/>
        <v>N</v>
      </c>
      <c r="K34" s="16"/>
      <c r="L34" s="16"/>
    </row>
    <row r="35">
      <c r="A35" s="6" t="s">
        <v>119</v>
      </c>
      <c r="B35" s="10" t="str">
        <f t="shared" si="1"/>
        <v>stomach</v>
      </c>
      <c r="C35" s="49" t="str">
        <f t="shared" si="2"/>
        <v>S5134ST1</v>
      </c>
      <c r="D35" s="6">
        <v>233.0</v>
      </c>
      <c r="E35" s="10" t="str">
        <f t="shared" si="3"/>
        <v>BST233</v>
      </c>
      <c r="F35" s="6">
        <v>3.0</v>
      </c>
      <c r="G35" s="10" t="str">
        <f t="shared" si="4"/>
        <v>BST233-3</v>
      </c>
      <c r="H35" s="15"/>
      <c r="I35" s="16" t="str">
        <f t="shared" si="5"/>
        <v>collected</v>
      </c>
      <c r="J35" s="16" t="str">
        <f t="shared" si="6"/>
        <v>N</v>
      </c>
      <c r="K35" s="16"/>
      <c r="L35" s="16"/>
    </row>
    <row r="36">
      <c r="A36" s="6" t="s">
        <v>121</v>
      </c>
      <c r="B36" s="10" t="str">
        <f t="shared" si="1"/>
        <v>stomach</v>
      </c>
      <c r="C36" s="49" t="str">
        <f t="shared" si="2"/>
        <v>S5135ST1</v>
      </c>
      <c r="D36" s="6">
        <v>233.0</v>
      </c>
      <c r="E36" s="10" t="str">
        <f t="shared" si="3"/>
        <v>BST233</v>
      </c>
      <c r="F36" s="6">
        <v>4.0</v>
      </c>
      <c r="G36" s="10" t="str">
        <f t="shared" si="4"/>
        <v>BST233-4</v>
      </c>
      <c r="H36" s="15"/>
      <c r="I36" s="16" t="str">
        <f t="shared" si="5"/>
        <v>collected</v>
      </c>
      <c r="J36" s="16" t="str">
        <f t="shared" si="6"/>
        <v>N</v>
      </c>
      <c r="K36" s="16"/>
      <c r="L36" s="16"/>
    </row>
    <row r="37">
      <c r="A37" s="6" t="s">
        <v>124</v>
      </c>
      <c r="B37" s="10" t="str">
        <f t="shared" si="1"/>
        <v>stomach</v>
      </c>
      <c r="C37" s="49" t="str">
        <f t="shared" si="2"/>
        <v>S5136ST1</v>
      </c>
      <c r="D37" s="6">
        <v>233.0</v>
      </c>
      <c r="E37" s="10" t="str">
        <f t="shared" si="3"/>
        <v>BST233</v>
      </c>
      <c r="F37" s="6">
        <v>5.0</v>
      </c>
      <c r="G37" s="10" t="str">
        <f t="shared" si="4"/>
        <v>BST233-5</v>
      </c>
      <c r="H37" s="15"/>
      <c r="I37" s="16" t="str">
        <f t="shared" si="5"/>
        <v>collected</v>
      </c>
      <c r="J37" s="16" t="str">
        <f t="shared" si="6"/>
        <v>N</v>
      </c>
      <c r="K37" s="16"/>
      <c r="L37" s="16"/>
    </row>
    <row r="38">
      <c r="A38" s="6" t="s">
        <v>126</v>
      </c>
      <c r="B38" s="10" t="str">
        <f t="shared" si="1"/>
        <v>stomach</v>
      </c>
      <c r="C38" s="49" t="str">
        <f t="shared" si="2"/>
        <v>S5137ST1</v>
      </c>
      <c r="D38" s="6">
        <v>231.0</v>
      </c>
      <c r="E38" s="10" t="str">
        <f t="shared" si="3"/>
        <v>BST231</v>
      </c>
      <c r="F38" s="6">
        <v>21.0</v>
      </c>
      <c r="G38" s="10" t="str">
        <f t="shared" si="4"/>
        <v>BST231-21</v>
      </c>
      <c r="H38" s="15"/>
      <c r="I38" s="16" t="str">
        <f t="shared" si="5"/>
        <v>collected</v>
      </c>
      <c r="J38" s="16" t="str">
        <f t="shared" si="6"/>
        <v>N</v>
      </c>
      <c r="K38" s="16"/>
      <c r="L38" s="16"/>
    </row>
    <row r="39">
      <c r="A39" s="6" t="s">
        <v>128</v>
      </c>
      <c r="B39" s="10" t="str">
        <f t="shared" si="1"/>
        <v>stomach</v>
      </c>
      <c r="C39" s="49" t="str">
        <f t="shared" si="2"/>
        <v>S5138ST1</v>
      </c>
      <c r="D39" s="6">
        <v>231.0</v>
      </c>
      <c r="E39" s="10" t="str">
        <f t="shared" si="3"/>
        <v>BST231</v>
      </c>
      <c r="F39" s="6">
        <v>22.0</v>
      </c>
      <c r="G39" s="10" t="str">
        <f t="shared" si="4"/>
        <v>BST231-22</v>
      </c>
      <c r="H39" s="15"/>
      <c r="I39" s="16" t="str">
        <f t="shared" si="5"/>
        <v>collected</v>
      </c>
      <c r="J39" s="16" t="str">
        <f t="shared" si="6"/>
        <v>N</v>
      </c>
      <c r="K39" s="16"/>
      <c r="L39" s="16"/>
    </row>
    <row r="40">
      <c r="A40" s="6" t="s">
        <v>129</v>
      </c>
      <c r="B40" s="10" t="str">
        <f t="shared" si="1"/>
        <v>stomach</v>
      </c>
      <c r="C40" s="49" t="str">
        <f t="shared" si="2"/>
        <v>S5139ST1</v>
      </c>
      <c r="D40" s="6">
        <v>231.0</v>
      </c>
      <c r="E40" s="10" t="str">
        <f t="shared" si="3"/>
        <v>BST231</v>
      </c>
      <c r="F40" s="6">
        <v>23.0</v>
      </c>
      <c r="G40" s="10" t="str">
        <f t="shared" si="4"/>
        <v>BST231-23</v>
      </c>
      <c r="H40" s="15"/>
      <c r="I40" s="16" t="str">
        <f t="shared" si="5"/>
        <v>collected</v>
      </c>
      <c r="J40" s="16" t="str">
        <f t="shared" si="6"/>
        <v>N</v>
      </c>
      <c r="K40" s="16"/>
      <c r="L40" s="16"/>
    </row>
    <row r="41">
      <c r="A41" s="6" t="s">
        <v>131</v>
      </c>
      <c r="B41" s="10" t="str">
        <f t="shared" si="1"/>
        <v>stomach</v>
      </c>
      <c r="C41" s="49" t="str">
        <f t="shared" si="2"/>
        <v>S5140ST1</v>
      </c>
      <c r="D41" s="6">
        <v>231.0</v>
      </c>
      <c r="E41" s="10" t="str">
        <f t="shared" si="3"/>
        <v>BST231</v>
      </c>
      <c r="F41" s="6">
        <v>24.0</v>
      </c>
      <c r="G41" s="10" t="str">
        <f t="shared" si="4"/>
        <v>BST231-24</v>
      </c>
      <c r="H41" s="15"/>
      <c r="I41" s="16" t="str">
        <f t="shared" si="5"/>
        <v>collected</v>
      </c>
      <c r="J41" s="16" t="str">
        <f t="shared" si="6"/>
        <v>N</v>
      </c>
      <c r="K41" s="16"/>
      <c r="L41" s="16"/>
    </row>
    <row r="42">
      <c r="A42" s="6" t="s">
        <v>133</v>
      </c>
      <c r="B42" s="10" t="str">
        <f t="shared" si="1"/>
        <v>stomach</v>
      </c>
      <c r="C42" s="49" t="str">
        <f t="shared" si="2"/>
        <v>S5141ST1</v>
      </c>
      <c r="D42" s="6">
        <v>231.0</v>
      </c>
      <c r="E42" s="10" t="str">
        <f t="shared" si="3"/>
        <v>BST231</v>
      </c>
      <c r="F42" s="6">
        <v>25.0</v>
      </c>
      <c r="G42" s="10" t="str">
        <f t="shared" si="4"/>
        <v>BST231-25</v>
      </c>
      <c r="H42" s="15"/>
      <c r="I42" s="16" t="str">
        <f t="shared" si="5"/>
        <v>collected</v>
      </c>
      <c r="J42" s="16" t="str">
        <f t="shared" si="6"/>
        <v>N</v>
      </c>
      <c r="K42" s="16"/>
      <c r="L42" s="16"/>
    </row>
    <row r="43">
      <c r="A43" s="6" t="s">
        <v>135</v>
      </c>
      <c r="B43" s="10" t="str">
        <f t="shared" si="1"/>
        <v>stomach</v>
      </c>
      <c r="C43" s="49" t="str">
        <f t="shared" si="2"/>
        <v>S5142ST1</v>
      </c>
      <c r="D43" s="6">
        <v>231.0</v>
      </c>
      <c r="E43" s="10" t="str">
        <f t="shared" si="3"/>
        <v>BST231</v>
      </c>
      <c r="F43" s="6">
        <v>16.0</v>
      </c>
      <c r="G43" s="10" t="str">
        <f t="shared" si="4"/>
        <v>BST231-16</v>
      </c>
      <c r="H43" s="15"/>
      <c r="I43" s="16" t="str">
        <f t="shared" si="5"/>
        <v>collected</v>
      </c>
      <c r="J43" s="16" t="str">
        <f t="shared" si="6"/>
        <v>N</v>
      </c>
      <c r="K43" s="16"/>
      <c r="L43" s="16"/>
    </row>
    <row r="44">
      <c r="A44" s="6" t="s">
        <v>136</v>
      </c>
      <c r="B44" s="10" t="str">
        <f t="shared" si="1"/>
        <v>stomach</v>
      </c>
      <c r="C44" s="49" t="str">
        <f t="shared" si="2"/>
        <v>S5143ST1</v>
      </c>
      <c r="D44" s="6">
        <v>231.0</v>
      </c>
      <c r="E44" s="10" t="str">
        <f t="shared" si="3"/>
        <v>BST231</v>
      </c>
      <c r="F44" s="6">
        <v>17.0</v>
      </c>
      <c r="G44" s="10" t="str">
        <f t="shared" si="4"/>
        <v>BST231-17</v>
      </c>
      <c r="H44" s="15"/>
      <c r="I44" s="16" t="str">
        <f t="shared" si="5"/>
        <v>collected</v>
      </c>
      <c r="J44" s="16" t="str">
        <f t="shared" si="6"/>
        <v>N</v>
      </c>
      <c r="K44" s="16"/>
      <c r="L44" s="16"/>
    </row>
    <row r="45">
      <c r="A45" s="6" t="s">
        <v>138</v>
      </c>
      <c r="B45" s="10" t="str">
        <f t="shared" si="1"/>
        <v>stomach</v>
      </c>
      <c r="C45" s="49" t="str">
        <f t="shared" si="2"/>
        <v>S5144ST1</v>
      </c>
      <c r="D45" s="6">
        <v>231.0</v>
      </c>
      <c r="E45" s="10" t="str">
        <f t="shared" si="3"/>
        <v>BST231</v>
      </c>
      <c r="F45" s="6">
        <v>18.0</v>
      </c>
      <c r="G45" s="10" t="str">
        <f t="shared" si="4"/>
        <v>BST231-18</v>
      </c>
      <c r="H45" s="15"/>
      <c r="I45" s="16" t="str">
        <f t="shared" si="5"/>
        <v>collected</v>
      </c>
      <c r="J45" s="16" t="str">
        <f t="shared" si="6"/>
        <v>N</v>
      </c>
      <c r="K45" s="16"/>
      <c r="L45" s="16"/>
    </row>
    <row r="46">
      <c r="A46" s="6" t="s">
        <v>139</v>
      </c>
      <c r="B46" s="10" t="str">
        <f t="shared" si="1"/>
        <v>stomach</v>
      </c>
      <c r="C46" s="49" t="str">
        <f t="shared" si="2"/>
        <v>S5145ST1</v>
      </c>
      <c r="D46" s="6">
        <v>231.0</v>
      </c>
      <c r="E46" s="10" t="str">
        <f t="shared" si="3"/>
        <v>BST231</v>
      </c>
      <c r="F46" s="6">
        <v>19.0</v>
      </c>
      <c r="G46" s="10" t="str">
        <f t="shared" si="4"/>
        <v>BST231-19</v>
      </c>
      <c r="H46" s="15"/>
      <c r="I46" s="16" t="str">
        <f t="shared" si="5"/>
        <v>collected</v>
      </c>
      <c r="J46" s="16" t="str">
        <f t="shared" si="6"/>
        <v>N</v>
      </c>
      <c r="K46" s="16"/>
      <c r="L46" s="16"/>
    </row>
    <row r="47">
      <c r="A47" s="6" t="s">
        <v>141</v>
      </c>
      <c r="B47" s="10" t="str">
        <f t="shared" si="1"/>
        <v>stomach</v>
      </c>
      <c r="C47" s="49" t="str">
        <f t="shared" si="2"/>
        <v>S5146ST1</v>
      </c>
      <c r="D47" s="6">
        <v>231.0</v>
      </c>
      <c r="E47" s="10" t="str">
        <f t="shared" si="3"/>
        <v>BST231</v>
      </c>
      <c r="F47" s="6">
        <v>20.0</v>
      </c>
      <c r="G47" s="10" t="str">
        <f t="shared" si="4"/>
        <v>BST231-20</v>
      </c>
      <c r="H47" s="16"/>
      <c r="I47" s="16" t="str">
        <f t="shared" si="5"/>
        <v>collected</v>
      </c>
      <c r="J47" s="16" t="str">
        <f t="shared" si="6"/>
        <v>N</v>
      </c>
      <c r="K47" s="16"/>
      <c r="L47" s="16"/>
    </row>
    <row r="48">
      <c r="A48" s="6" t="s">
        <v>143</v>
      </c>
      <c r="B48" s="10" t="str">
        <f t="shared" si="1"/>
        <v>stomach</v>
      </c>
      <c r="C48" s="49" t="str">
        <f t="shared" si="2"/>
        <v>S5147ST1</v>
      </c>
      <c r="D48" s="6">
        <v>231.0</v>
      </c>
      <c r="E48" s="10" t="str">
        <f t="shared" si="3"/>
        <v>BST231</v>
      </c>
      <c r="F48" s="6">
        <v>11.0</v>
      </c>
      <c r="G48" s="10" t="str">
        <f t="shared" si="4"/>
        <v>BST231-11</v>
      </c>
      <c r="H48" s="16"/>
      <c r="I48" s="16" t="str">
        <f t="shared" si="5"/>
        <v>collected</v>
      </c>
      <c r="J48" s="16" t="str">
        <f t="shared" si="6"/>
        <v>N</v>
      </c>
      <c r="K48" s="16"/>
      <c r="L48" s="16"/>
    </row>
    <row r="49">
      <c r="A49" s="6" t="s">
        <v>144</v>
      </c>
      <c r="B49" s="10" t="str">
        <f t="shared" si="1"/>
        <v>stomach</v>
      </c>
      <c r="C49" s="49" t="str">
        <f t="shared" si="2"/>
        <v>S5148ST1</v>
      </c>
      <c r="D49" s="6">
        <v>231.0</v>
      </c>
      <c r="E49" s="10" t="str">
        <f t="shared" si="3"/>
        <v>BST231</v>
      </c>
      <c r="F49" s="6">
        <v>12.0</v>
      </c>
      <c r="G49" s="10" t="str">
        <f t="shared" si="4"/>
        <v>BST231-12</v>
      </c>
      <c r="H49" s="15"/>
      <c r="I49" s="16" t="str">
        <f t="shared" si="5"/>
        <v>collected</v>
      </c>
      <c r="J49" s="16" t="str">
        <f t="shared" si="6"/>
        <v>N</v>
      </c>
      <c r="K49" s="16"/>
      <c r="L49" s="16"/>
    </row>
    <row r="50">
      <c r="A50" s="6" t="s">
        <v>146</v>
      </c>
      <c r="B50" s="10" t="str">
        <f t="shared" si="1"/>
        <v>stomach</v>
      </c>
      <c r="C50" s="49" t="str">
        <f t="shared" si="2"/>
        <v>S5149ST1</v>
      </c>
      <c r="D50" s="6">
        <v>231.0</v>
      </c>
      <c r="E50" s="10" t="str">
        <f t="shared" si="3"/>
        <v>BST231</v>
      </c>
      <c r="F50" s="6">
        <v>13.0</v>
      </c>
      <c r="G50" s="10" t="str">
        <f t="shared" si="4"/>
        <v>BST231-13</v>
      </c>
      <c r="H50" s="15"/>
      <c r="I50" s="16" t="str">
        <f t="shared" si="5"/>
        <v>collected</v>
      </c>
      <c r="J50" s="16" t="str">
        <f t="shared" si="6"/>
        <v>N</v>
      </c>
      <c r="K50" s="16"/>
      <c r="L50" s="16"/>
    </row>
    <row r="51">
      <c r="A51" s="6" t="s">
        <v>149</v>
      </c>
      <c r="B51" s="10" t="str">
        <f t="shared" si="1"/>
        <v>stomach</v>
      </c>
      <c r="C51" s="49" t="str">
        <f t="shared" si="2"/>
        <v>S5150ST1</v>
      </c>
      <c r="D51" s="6">
        <v>231.0</v>
      </c>
      <c r="E51" s="10" t="str">
        <f t="shared" si="3"/>
        <v>BST231</v>
      </c>
      <c r="F51" s="6">
        <v>14.0</v>
      </c>
      <c r="G51" s="10" t="str">
        <f t="shared" si="4"/>
        <v>BST231-14</v>
      </c>
      <c r="H51" s="15"/>
      <c r="I51" s="16" t="str">
        <f t="shared" si="5"/>
        <v>collected</v>
      </c>
      <c r="J51" s="16" t="str">
        <f t="shared" si="6"/>
        <v>N</v>
      </c>
      <c r="K51" s="16"/>
      <c r="L51" s="16"/>
    </row>
    <row r="52">
      <c r="A52" s="6" t="s">
        <v>151</v>
      </c>
      <c r="B52" s="10" t="str">
        <f t="shared" si="1"/>
        <v>stomach</v>
      </c>
      <c r="C52" s="49" t="str">
        <f t="shared" si="2"/>
        <v>S5161ST1</v>
      </c>
      <c r="D52" s="6">
        <v>231.0</v>
      </c>
      <c r="E52" s="10" t="str">
        <f t="shared" si="3"/>
        <v>BST231</v>
      </c>
      <c r="F52" s="6">
        <v>15.0</v>
      </c>
      <c r="G52" s="10" t="str">
        <f t="shared" si="4"/>
        <v>BST231-15</v>
      </c>
      <c r="H52" s="15"/>
      <c r="I52" s="16" t="str">
        <f t="shared" si="5"/>
        <v>collected</v>
      </c>
      <c r="J52" s="16" t="str">
        <f t="shared" si="6"/>
        <v>N</v>
      </c>
      <c r="K52" s="16"/>
      <c r="L52" s="16"/>
    </row>
    <row r="53">
      <c r="A53" s="6" t="s">
        <v>153</v>
      </c>
      <c r="B53" s="10" t="str">
        <f t="shared" si="1"/>
        <v>stomach</v>
      </c>
      <c r="C53" s="49" t="str">
        <f t="shared" si="2"/>
        <v>S5162ST1</v>
      </c>
      <c r="D53" s="6">
        <v>231.0</v>
      </c>
      <c r="E53" s="10" t="str">
        <f t="shared" si="3"/>
        <v>BST231</v>
      </c>
      <c r="F53" s="6">
        <v>6.0</v>
      </c>
      <c r="G53" s="10" t="str">
        <f t="shared" si="4"/>
        <v>BST231-6</v>
      </c>
      <c r="H53" s="15"/>
      <c r="I53" s="16" t="str">
        <f t="shared" si="5"/>
        <v>collected</v>
      </c>
      <c r="J53" s="16" t="str">
        <f t="shared" si="6"/>
        <v>N</v>
      </c>
      <c r="K53" s="16"/>
      <c r="L53" s="16"/>
    </row>
    <row r="54">
      <c r="A54" s="6" t="s">
        <v>154</v>
      </c>
      <c r="B54" s="10" t="str">
        <f t="shared" si="1"/>
        <v>stomach</v>
      </c>
      <c r="C54" s="49" t="str">
        <f t="shared" si="2"/>
        <v>S5163ST1</v>
      </c>
      <c r="D54" s="6">
        <v>231.0</v>
      </c>
      <c r="E54" s="10" t="str">
        <f t="shared" si="3"/>
        <v>BST231</v>
      </c>
      <c r="F54" s="6">
        <v>7.0</v>
      </c>
      <c r="G54" s="10" t="str">
        <f t="shared" si="4"/>
        <v>BST231-7</v>
      </c>
      <c r="H54" s="15"/>
      <c r="I54" s="16" t="str">
        <f t="shared" si="5"/>
        <v>collected</v>
      </c>
      <c r="J54" s="16" t="str">
        <f t="shared" si="6"/>
        <v>N</v>
      </c>
      <c r="K54" s="16"/>
      <c r="L54" s="16"/>
    </row>
    <row r="55">
      <c r="A55" s="6" t="s">
        <v>156</v>
      </c>
      <c r="B55" s="10" t="str">
        <f t="shared" si="1"/>
        <v>stomach</v>
      </c>
      <c r="C55" s="49" t="str">
        <f t="shared" si="2"/>
        <v>S5164ST1</v>
      </c>
      <c r="D55" s="6">
        <v>231.0</v>
      </c>
      <c r="E55" s="10" t="str">
        <f t="shared" si="3"/>
        <v>BST231</v>
      </c>
      <c r="F55" s="6">
        <v>8.0</v>
      </c>
      <c r="G55" s="10" t="str">
        <f t="shared" si="4"/>
        <v>BST231-8</v>
      </c>
      <c r="H55" s="15"/>
      <c r="I55" s="16" t="str">
        <f t="shared" si="5"/>
        <v>collected</v>
      </c>
      <c r="J55" s="16" t="str">
        <f t="shared" si="6"/>
        <v>N</v>
      </c>
      <c r="K55" s="16"/>
      <c r="L55" s="16"/>
    </row>
    <row r="56">
      <c r="A56" s="6" t="s">
        <v>158</v>
      </c>
      <c r="B56" s="10" t="str">
        <f t="shared" si="1"/>
        <v>stomach</v>
      </c>
      <c r="C56" s="49" t="str">
        <f t="shared" si="2"/>
        <v>S5165ST1</v>
      </c>
      <c r="D56" s="6">
        <v>231.0</v>
      </c>
      <c r="E56" s="10" t="str">
        <f t="shared" si="3"/>
        <v>BST231</v>
      </c>
      <c r="F56" s="6">
        <v>9.0</v>
      </c>
      <c r="G56" s="10" t="str">
        <f t="shared" si="4"/>
        <v>BST231-9</v>
      </c>
      <c r="H56" s="15"/>
      <c r="I56" s="16" t="str">
        <f t="shared" si="5"/>
        <v>collected</v>
      </c>
      <c r="J56" s="16" t="str">
        <f t="shared" si="6"/>
        <v>N</v>
      </c>
      <c r="K56" s="16"/>
      <c r="L56" s="16"/>
    </row>
    <row r="57">
      <c r="A57" s="6" t="s">
        <v>160</v>
      </c>
      <c r="B57" s="10" t="str">
        <f t="shared" si="1"/>
        <v>stomach</v>
      </c>
      <c r="C57" s="49" t="str">
        <f t="shared" si="2"/>
        <v>S5166ST1</v>
      </c>
      <c r="D57" s="6">
        <v>231.0</v>
      </c>
      <c r="E57" s="10" t="str">
        <f t="shared" si="3"/>
        <v>BST231</v>
      </c>
      <c r="F57" s="6">
        <v>10.0</v>
      </c>
      <c r="G57" s="10" t="str">
        <f t="shared" si="4"/>
        <v>BST231-10</v>
      </c>
      <c r="H57" s="15"/>
      <c r="I57" s="16" t="str">
        <f t="shared" si="5"/>
        <v>collected</v>
      </c>
      <c r="J57" s="16" t="str">
        <f t="shared" si="6"/>
        <v>N</v>
      </c>
      <c r="K57" s="16"/>
      <c r="L57" s="16"/>
    </row>
    <row r="58">
      <c r="A58" s="6" t="s">
        <v>161</v>
      </c>
      <c r="B58" s="10" t="str">
        <f t="shared" si="1"/>
        <v>stomach</v>
      </c>
      <c r="C58" s="49" t="str">
        <f t="shared" si="2"/>
        <v>S5167ST1</v>
      </c>
      <c r="D58" s="6">
        <v>231.0</v>
      </c>
      <c r="E58" s="10" t="str">
        <f t="shared" si="3"/>
        <v>BST231</v>
      </c>
      <c r="F58" s="6">
        <v>1.0</v>
      </c>
      <c r="G58" s="10" t="str">
        <f t="shared" si="4"/>
        <v>BST231-1</v>
      </c>
      <c r="H58" s="15"/>
      <c r="I58" s="16" t="str">
        <f t="shared" si="5"/>
        <v>collected</v>
      </c>
      <c r="J58" s="16" t="str">
        <f t="shared" si="6"/>
        <v>N</v>
      </c>
      <c r="K58" s="16"/>
      <c r="L58" s="16"/>
    </row>
    <row r="59">
      <c r="A59" s="6" t="s">
        <v>163</v>
      </c>
      <c r="B59" s="10" t="str">
        <f t="shared" si="1"/>
        <v>stomach</v>
      </c>
      <c r="C59" s="49" t="str">
        <f t="shared" si="2"/>
        <v>S5168ST1</v>
      </c>
      <c r="D59" s="6">
        <v>231.0</v>
      </c>
      <c r="E59" s="10" t="str">
        <f t="shared" si="3"/>
        <v>BST231</v>
      </c>
      <c r="F59" s="6">
        <v>2.0</v>
      </c>
      <c r="G59" s="10" t="str">
        <f t="shared" si="4"/>
        <v>BST231-2</v>
      </c>
      <c r="H59" s="15"/>
      <c r="I59" s="16" t="str">
        <f t="shared" si="5"/>
        <v>collected</v>
      </c>
      <c r="J59" s="16" t="str">
        <f t="shared" si="6"/>
        <v>N</v>
      </c>
      <c r="K59" s="16"/>
      <c r="L59" s="16"/>
    </row>
    <row r="60">
      <c r="A60" s="6" t="s">
        <v>166</v>
      </c>
      <c r="B60" s="10" t="str">
        <f t="shared" si="1"/>
        <v>stomach</v>
      </c>
      <c r="C60" s="49" t="str">
        <f t="shared" si="2"/>
        <v>S5169ST1</v>
      </c>
      <c r="D60" s="6">
        <v>231.0</v>
      </c>
      <c r="E60" s="10" t="str">
        <f t="shared" si="3"/>
        <v>BST231</v>
      </c>
      <c r="F60" s="6">
        <v>3.0</v>
      </c>
      <c r="G60" s="10" t="str">
        <f t="shared" si="4"/>
        <v>BST231-3</v>
      </c>
      <c r="H60" s="15"/>
      <c r="I60" s="16" t="str">
        <f t="shared" si="5"/>
        <v>collected</v>
      </c>
      <c r="J60" s="16" t="str">
        <f t="shared" si="6"/>
        <v>N</v>
      </c>
      <c r="K60" s="16"/>
      <c r="L60" s="16"/>
    </row>
    <row r="61">
      <c r="A61" s="6" t="s">
        <v>167</v>
      </c>
      <c r="B61" s="10" t="str">
        <f t="shared" si="1"/>
        <v>stomach</v>
      </c>
      <c r="C61" s="49" t="str">
        <f t="shared" si="2"/>
        <v>S5170ST1</v>
      </c>
      <c r="D61" s="6">
        <v>231.0</v>
      </c>
      <c r="E61" s="10" t="str">
        <f t="shared" si="3"/>
        <v>BST231</v>
      </c>
      <c r="F61" s="6">
        <v>4.0</v>
      </c>
      <c r="G61" s="10" t="str">
        <f t="shared" si="4"/>
        <v>BST231-4</v>
      </c>
      <c r="H61" s="15"/>
      <c r="I61" s="16" t="str">
        <f t="shared" si="5"/>
        <v>collected</v>
      </c>
      <c r="J61" s="16" t="str">
        <f t="shared" si="6"/>
        <v>N</v>
      </c>
      <c r="K61" s="16"/>
      <c r="L61" s="16"/>
    </row>
    <row r="62">
      <c r="A62" s="6" t="s">
        <v>168</v>
      </c>
      <c r="B62" s="10" t="str">
        <f t="shared" si="1"/>
        <v>stomach</v>
      </c>
      <c r="C62" s="49" t="str">
        <f t="shared" si="2"/>
        <v>S5151ST1</v>
      </c>
      <c r="D62" s="6">
        <v>232.0</v>
      </c>
      <c r="E62" s="10" t="str">
        <f t="shared" si="3"/>
        <v>BST232</v>
      </c>
      <c r="F62" s="6">
        <v>1.0</v>
      </c>
      <c r="G62" s="10" t="str">
        <f t="shared" si="4"/>
        <v>BST232-1</v>
      </c>
      <c r="H62" s="15"/>
      <c r="I62" s="16" t="str">
        <f t="shared" si="5"/>
        <v>collected</v>
      </c>
      <c r="J62" s="16" t="str">
        <f t="shared" si="6"/>
        <v>N</v>
      </c>
      <c r="K62" s="16"/>
      <c r="L62" s="16"/>
    </row>
    <row r="63">
      <c r="A63" s="6" t="s">
        <v>171</v>
      </c>
      <c r="B63" s="10" t="str">
        <f t="shared" si="1"/>
        <v>stomach</v>
      </c>
      <c r="C63" s="49" t="str">
        <f t="shared" si="2"/>
        <v>S5152ST1</v>
      </c>
      <c r="D63" s="6">
        <v>232.0</v>
      </c>
      <c r="E63" s="10" t="str">
        <f t="shared" si="3"/>
        <v>BST232</v>
      </c>
      <c r="F63" s="6">
        <v>2.0</v>
      </c>
      <c r="G63" s="10" t="str">
        <f t="shared" si="4"/>
        <v>BST232-2</v>
      </c>
      <c r="H63" s="15"/>
      <c r="I63" s="16" t="str">
        <f t="shared" si="5"/>
        <v>collected</v>
      </c>
      <c r="J63" s="16" t="str">
        <f t="shared" si="6"/>
        <v>N</v>
      </c>
      <c r="K63" s="16"/>
      <c r="L63" s="16"/>
    </row>
    <row r="64">
      <c r="A64" s="6" t="s">
        <v>173</v>
      </c>
      <c r="B64" s="10" t="str">
        <f t="shared" si="1"/>
        <v>stomach</v>
      </c>
      <c r="C64" s="49" t="str">
        <f t="shared" si="2"/>
        <v>S5153ST1</v>
      </c>
      <c r="D64" s="6">
        <v>232.0</v>
      </c>
      <c r="E64" s="10" t="str">
        <f t="shared" si="3"/>
        <v>BST232</v>
      </c>
      <c r="F64" s="6">
        <v>3.0</v>
      </c>
      <c r="G64" s="10" t="str">
        <f t="shared" si="4"/>
        <v>BST232-3</v>
      </c>
      <c r="H64" s="15"/>
      <c r="I64" s="16" t="str">
        <f t="shared" si="5"/>
        <v>collected</v>
      </c>
      <c r="J64" s="16" t="str">
        <f t="shared" si="6"/>
        <v>N</v>
      </c>
      <c r="K64" s="16"/>
      <c r="L64" s="16"/>
    </row>
    <row r="65">
      <c r="A65" s="6" t="s">
        <v>175</v>
      </c>
      <c r="B65" s="10" t="str">
        <f t="shared" si="1"/>
        <v>stomach</v>
      </c>
      <c r="C65" s="49" t="str">
        <f t="shared" si="2"/>
        <v>S5154ST1</v>
      </c>
      <c r="D65" s="6">
        <v>232.0</v>
      </c>
      <c r="E65" s="10" t="str">
        <f t="shared" si="3"/>
        <v>BST232</v>
      </c>
      <c r="F65" s="6">
        <v>4.0</v>
      </c>
      <c r="G65" s="10" t="str">
        <f t="shared" si="4"/>
        <v>BST232-4</v>
      </c>
      <c r="H65" s="15"/>
      <c r="I65" s="16" t="str">
        <f t="shared" si="5"/>
        <v>collected</v>
      </c>
      <c r="J65" s="16" t="str">
        <f t="shared" si="6"/>
        <v>N</v>
      </c>
      <c r="K65" s="16"/>
      <c r="L65" s="16"/>
    </row>
    <row r="66">
      <c r="A66" s="6" t="s">
        <v>177</v>
      </c>
      <c r="B66" s="10" t="str">
        <f t="shared" si="1"/>
        <v>stomach</v>
      </c>
      <c r="C66" s="49" t="str">
        <f t="shared" si="2"/>
        <v>S5155ST1</v>
      </c>
      <c r="D66" s="6">
        <v>232.0</v>
      </c>
      <c r="E66" s="10" t="str">
        <f t="shared" si="3"/>
        <v>BST232</v>
      </c>
      <c r="F66" s="6">
        <v>5.0</v>
      </c>
      <c r="G66" s="10" t="str">
        <f t="shared" si="4"/>
        <v>BST232-5</v>
      </c>
      <c r="H66" s="15"/>
      <c r="I66" s="16" t="str">
        <f t="shared" si="5"/>
        <v>collected</v>
      </c>
      <c r="J66" s="16" t="str">
        <f t="shared" si="6"/>
        <v>N</v>
      </c>
      <c r="K66" s="16"/>
      <c r="L66" s="16"/>
    </row>
    <row r="67">
      <c r="A67" s="6" t="s">
        <v>179</v>
      </c>
      <c r="B67" s="10" t="str">
        <f t="shared" si="1"/>
        <v>stomach</v>
      </c>
      <c r="C67" s="49" t="str">
        <f t="shared" si="2"/>
        <v>S5156ST1</v>
      </c>
      <c r="D67" s="6">
        <v>232.0</v>
      </c>
      <c r="E67" s="10" t="str">
        <f t="shared" si="3"/>
        <v>BST232</v>
      </c>
      <c r="F67" s="6">
        <v>6.0</v>
      </c>
      <c r="G67" s="10" t="str">
        <f t="shared" si="4"/>
        <v>BST232-6</v>
      </c>
      <c r="H67" s="15"/>
      <c r="I67" s="16" t="str">
        <f t="shared" si="5"/>
        <v>collected</v>
      </c>
      <c r="J67" s="16" t="str">
        <f t="shared" si="6"/>
        <v>N</v>
      </c>
      <c r="K67" s="16"/>
      <c r="L67" s="16"/>
    </row>
    <row r="68">
      <c r="A68" s="6" t="s">
        <v>180</v>
      </c>
      <c r="B68" s="10" t="str">
        <f t="shared" si="1"/>
        <v>stomach</v>
      </c>
      <c r="C68" s="49" t="str">
        <f t="shared" si="2"/>
        <v>S5157ST1</v>
      </c>
      <c r="D68" s="6">
        <v>232.0</v>
      </c>
      <c r="E68" s="10" t="str">
        <f t="shared" si="3"/>
        <v>BST232</v>
      </c>
      <c r="F68" s="6">
        <v>7.0</v>
      </c>
      <c r="G68" s="10" t="str">
        <f t="shared" si="4"/>
        <v>BST232-7</v>
      </c>
      <c r="H68" s="15"/>
      <c r="I68" s="16" t="str">
        <f t="shared" si="5"/>
        <v>collected</v>
      </c>
      <c r="J68" s="16" t="str">
        <f t="shared" si="6"/>
        <v>N</v>
      </c>
      <c r="K68" s="16"/>
      <c r="L68" s="16"/>
    </row>
    <row r="69">
      <c r="A69" s="6" t="s">
        <v>184</v>
      </c>
      <c r="B69" s="10" t="str">
        <f t="shared" si="1"/>
        <v>stomach</v>
      </c>
      <c r="C69" s="49" t="str">
        <f t="shared" si="2"/>
        <v>S5158ST1</v>
      </c>
      <c r="D69" s="6">
        <v>232.0</v>
      </c>
      <c r="E69" s="10" t="str">
        <f t="shared" si="3"/>
        <v>BST232</v>
      </c>
      <c r="F69" s="6">
        <v>8.0</v>
      </c>
      <c r="G69" s="10" t="str">
        <f t="shared" si="4"/>
        <v>BST232-8</v>
      </c>
      <c r="H69" s="15"/>
      <c r="I69" s="16" t="str">
        <f t="shared" si="5"/>
        <v>collected</v>
      </c>
      <c r="J69" s="16" t="str">
        <f t="shared" si="6"/>
        <v>N</v>
      </c>
      <c r="K69" s="16"/>
      <c r="L69" s="16"/>
    </row>
    <row r="70">
      <c r="A70" s="6" t="s">
        <v>185</v>
      </c>
      <c r="B70" s="10" t="str">
        <f t="shared" si="1"/>
        <v>stomach</v>
      </c>
      <c r="C70" s="49" t="str">
        <f t="shared" si="2"/>
        <v>S5159ST1</v>
      </c>
      <c r="D70" s="6">
        <v>232.0</v>
      </c>
      <c r="E70" s="10" t="str">
        <f t="shared" si="3"/>
        <v>BST232</v>
      </c>
      <c r="F70" s="6">
        <v>9.0</v>
      </c>
      <c r="G70" s="10" t="str">
        <f t="shared" si="4"/>
        <v>BST232-9</v>
      </c>
      <c r="H70" s="15"/>
      <c r="I70" s="16" t="str">
        <f t="shared" si="5"/>
        <v>collected</v>
      </c>
      <c r="J70" s="16" t="str">
        <f t="shared" si="6"/>
        <v>N</v>
      </c>
      <c r="K70" s="16"/>
      <c r="L70" s="16"/>
    </row>
    <row r="71">
      <c r="A71" s="6" t="s">
        <v>187</v>
      </c>
      <c r="B71" s="10" t="str">
        <f t="shared" si="1"/>
        <v>stomach</v>
      </c>
      <c r="C71" s="49" t="str">
        <f t="shared" si="2"/>
        <v>S5160ST1</v>
      </c>
      <c r="D71" s="6">
        <v>232.0</v>
      </c>
      <c r="E71" s="10" t="str">
        <f t="shared" si="3"/>
        <v>BST232</v>
      </c>
      <c r="F71" s="6">
        <v>10.0</v>
      </c>
      <c r="G71" s="10" t="str">
        <f t="shared" si="4"/>
        <v>BST232-10</v>
      </c>
      <c r="H71" s="15"/>
      <c r="I71" s="16" t="str">
        <f t="shared" si="5"/>
        <v>collected</v>
      </c>
      <c r="J71" s="16" t="str">
        <f t="shared" si="6"/>
        <v>N</v>
      </c>
      <c r="K71" s="16"/>
      <c r="L71" s="16"/>
    </row>
    <row r="72">
      <c r="A72" s="6" t="s">
        <v>189</v>
      </c>
      <c r="B72" s="10" t="str">
        <f t="shared" si="1"/>
        <v>stomach</v>
      </c>
      <c r="C72" s="49" t="str">
        <f t="shared" si="2"/>
        <v>S5179ST1</v>
      </c>
      <c r="D72" s="6">
        <v>232.0</v>
      </c>
      <c r="E72" s="10" t="str">
        <f t="shared" si="3"/>
        <v>BST232</v>
      </c>
      <c r="F72" s="6">
        <v>11.0</v>
      </c>
      <c r="G72" s="10" t="str">
        <f t="shared" si="4"/>
        <v>BST232-11</v>
      </c>
      <c r="H72" s="15"/>
      <c r="I72" s="16" t="str">
        <f t="shared" si="5"/>
        <v>collected</v>
      </c>
      <c r="J72" s="16" t="str">
        <f t="shared" si="6"/>
        <v>N</v>
      </c>
      <c r="K72" s="16"/>
      <c r="L72" s="16"/>
    </row>
    <row r="73">
      <c r="A73" s="6" t="s">
        <v>191</v>
      </c>
      <c r="B73" s="10" t="str">
        <f t="shared" si="1"/>
        <v>stomach</v>
      </c>
      <c r="C73" s="49" t="str">
        <f t="shared" si="2"/>
        <v>S5180ST1</v>
      </c>
      <c r="D73" s="6">
        <v>232.0</v>
      </c>
      <c r="E73" s="10" t="str">
        <f t="shared" si="3"/>
        <v>BST232</v>
      </c>
      <c r="F73" s="6">
        <v>12.0</v>
      </c>
      <c r="G73" s="10" t="str">
        <f t="shared" si="4"/>
        <v>BST232-12</v>
      </c>
      <c r="H73" s="15"/>
      <c r="I73" s="16" t="str">
        <f t="shared" si="5"/>
        <v>collected</v>
      </c>
      <c r="J73" s="16" t="str">
        <f t="shared" si="6"/>
        <v>N</v>
      </c>
      <c r="K73" s="16"/>
      <c r="L73" s="16"/>
    </row>
    <row r="74">
      <c r="A74" s="6" t="s">
        <v>194</v>
      </c>
      <c r="B74" s="10" t="str">
        <f t="shared" si="1"/>
        <v>stomach</v>
      </c>
      <c r="C74" s="49" t="str">
        <f t="shared" si="2"/>
        <v>S5181ST1</v>
      </c>
      <c r="D74" s="6">
        <v>232.0</v>
      </c>
      <c r="E74" s="10" t="str">
        <f t="shared" si="3"/>
        <v>BST232</v>
      </c>
      <c r="F74" s="6">
        <v>13.0</v>
      </c>
      <c r="G74" s="10" t="str">
        <f t="shared" si="4"/>
        <v>BST232-13</v>
      </c>
      <c r="H74" s="15"/>
      <c r="I74" s="16" t="str">
        <f t="shared" si="5"/>
        <v>collected</v>
      </c>
      <c r="J74" s="16" t="str">
        <f t="shared" si="6"/>
        <v>N</v>
      </c>
      <c r="K74" s="16"/>
      <c r="L74" s="16"/>
    </row>
    <row r="75">
      <c r="A75" s="6" t="s">
        <v>195</v>
      </c>
      <c r="B75" s="10" t="str">
        <f t="shared" si="1"/>
        <v>stomach</v>
      </c>
      <c r="C75" s="49" t="str">
        <f t="shared" si="2"/>
        <v>S5182ST1</v>
      </c>
      <c r="D75" s="6">
        <v>232.0</v>
      </c>
      <c r="E75" s="10" t="str">
        <f t="shared" si="3"/>
        <v>BST232</v>
      </c>
      <c r="F75" s="6">
        <v>14.0</v>
      </c>
      <c r="G75" s="10" t="str">
        <f t="shared" si="4"/>
        <v>BST232-14</v>
      </c>
      <c r="H75" s="15"/>
      <c r="I75" s="16" t="str">
        <f t="shared" si="5"/>
        <v>collected</v>
      </c>
      <c r="J75" s="16" t="str">
        <f t="shared" si="6"/>
        <v>N</v>
      </c>
      <c r="K75" s="16"/>
      <c r="L75" s="16"/>
    </row>
    <row r="76">
      <c r="A76" s="6" t="s">
        <v>196</v>
      </c>
      <c r="B76" s="10" t="str">
        <f t="shared" si="1"/>
        <v>stomach</v>
      </c>
      <c r="C76" s="49" t="str">
        <f t="shared" si="2"/>
        <v>S5183ST1</v>
      </c>
      <c r="D76" s="6">
        <v>232.0</v>
      </c>
      <c r="E76" s="10" t="str">
        <f t="shared" si="3"/>
        <v>BST232</v>
      </c>
      <c r="F76" s="6">
        <v>15.0</v>
      </c>
      <c r="G76" s="10" t="str">
        <f t="shared" si="4"/>
        <v>BST232-15</v>
      </c>
      <c r="H76" s="15"/>
      <c r="I76" s="16" t="str">
        <f t="shared" si="5"/>
        <v>collected</v>
      </c>
      <c r="J76" s="16" t="str">
        <f t="shared" si="6"/>
        <v>N</v>
      </c>
      <c r="K76" s="16"/>
      <c r="L76" s="16"/>
    </row>
    <row r="77">
      <c r="A77" s="6" t="s">
        <v>198</v>
      </c>
      <c r="B77" s="10" t="str">
        <f t="shared" si="1"/>
        <v>stomach</v>
      </c>
      <c r="C77" s="49" t="str">
        <f t="shared" si="2"/>
        <v>S5184ST1</v>
      </c>
      <c r="D77" s="6">
        <v>232.0</v>
      </c>
      <c r="E77" s="10" t="str">
        <f t="shared" si="3"/>
        <v>BST232</v>
      </c>
      <c r="F77" s="6">
        <v>16.0</v>
      </c>
      <c r="G77" s="10" t="str">
        <f t="shared" si="4"/>
        <v>BST232-16</v>
      </c>
      <c r="H77" s="15"/>
      <c r="I77" s="16" t="str">
        <f t="shared" si="5"/>
        <v>collected</v>
      </c>
      <c r="J77" s="16" t="str">
        <f t="shared" si="6"/>
        <v>N</v>
      </c>
      <c r="K77" s="16"/>
      <c r="L77" s="16"/>
    </row>
    <row r="78">
      <c r="A78" s="6" t="s">
        <v>199</v>
      </c>
      <c r="B78" s="10" t="str">
        <f t="shared" si="1"/>
        <v>stomach</v>
      </c>
      <c r="C78" s="49" t="str">
        <f t="shared" si="2"/>
        <v>S5171ST1</v>
      </c>
      <c r="D78" s="6">
        <v>231.0</v>
      </c>
      <c r="E78" s="10" t="str">
        <f t="shared" si="3"/>
        <v>BST231</v>
      </c>
      <c r="F78" s="6">
        <v>5.0</v>
      </c>
      <c r="G78" s="10" t="str">
        <f t="shared" si="4"/>
        <v>BST231-5</v>
      </c>
      <c r="H78" s="16"/>
      <c r="I78" s="16" t="str">
        <f t="shared" si="5"/>
        <v>collected</v>
      </c>
      <c r="J78" s="16" t="str">
        <f t="shared" si="6"/>
        <v>N</v>
      </c>
      <c r="K78" s="16"/>
      <c r="L78" s="16"/>
    </row>
    <row r="79">
      <c r="A79" s="6" t="s">
        <v>202</v>
      </c>
      <c r="B79" s="10" t="str">
        <f t="shared" si="1"/>
        <v>stomach</v>
      </c>
      <c r="C79" s="49" t="str">
        <f t="shared" si="2"/>
        <v>S5172ST1</v>
      </c>
      <c r="D79" s="6">
        <v>234.0</v>
      </c>
      <c r="E79" s="10" t="str">
        <f t="shared" si="3"/>
        <v>BST234</v>
      </c>
      <c r="F79" s="6">
        <v>1.0</v>
      </c>
      <c r="G79" s="10" t="str">
        <f t="shared" si="4"/>
        <v>BST234-1</v>
      </c>
      <c r="H79" s="16"/>
      <c r="I79" s="16" t="str">
        <f t="shared" si="5"/>
        <v>collected</v>
      </c>
      <c r="J79" s="16" t="str">
        <f t="shared" si="6"/>
        <v>N</v>
      </c>
      <c r="K79" s="16"/>
      <c r="L79" s="16"/>
    </row>
    <row r="80">
      <c r="A80" s="6" t="s">
        <v>204</v>
      </c>
      <c r="B80" s="10" t="str">
        <f t="shared" si="1"/>
        <v>stomach</v>
      </c>
      <c r="C80" s="49" t="str">
        <f t="shared" si="2"/>
        <v>S5173ST1</v>
      </c>
      <c r="D80" s="6">
        <v>234.0</v>
      </c>
      <c r="E80" s="10" t="str">
        <f t="shared" si="3"/>
        <v>BST234</v>
      </c>
      <c r="F80" s="6">
        <v>2.0</v>
      </c>
      <c r="G80" s="10" t="str">
        <f t="shared" si="4"/>
        <v>BST234-2</v>
      </c>
      <c r="H80" s="16"/>
      <c r="I80" s="16" t="str">
        <f t="shared" si="5"/>
        <v>collected</v>
      </c>
      <c r="J80" s="16" t="str">
        <f t="shared" si="6"/>
        <v>N</v>
      </c>
      <c r="K80" s="16"/>
      <c r="L80" s="16"/>
    </row>
    <row r="81">
      <c r="A81" s="6" t="s">
        <v>205</v>
      </c>
      <c r="B81" s="10" t="str">
        <f t="shared" si="1"/>
        <v>stomach</v>
      </c>
      <c r="C81" s="49" t="str">
        <f t="shared" si="2"/>
        <v>S5174ST1</v>
      </c>
      <c r="D81" s="6">
        <v>234.0</v>
      </c>
      <c r="E81" s="10" t="str">
        <f t="shared" si="3"/>
        <v>BST234</v>
      </c>
      <c r="F81" s="6">
        <v>3.0</v>
      </c>
      <c r="G81" s="10" t="str">
        <f t="shared" si="4"/>
        <v>BST234-3</v>
      </c>
      <c r="H81" s="16"/>
      <c r="I81" s="16" t="str">
        <f t="shared" si="5"/>
        <v>collected</v>
      </c>
      <c r="J81" s="16" t="str">
        <f t="shared" si="6"/>
        <v>N</v>
      </c>
      <c r="K81" s="16"/>
      <c r="L81" s="16"/>
    </row>
    <row r="82">
      <c r="A82" s="25" t="s">
        <v>209</v>
      </c>
      <c r="B82" s="10" t="str">
        <f t="shared" si="1"/>
        <v>stomach</v>
      </c>
      <c r="C82" s="49" t="str">
        <f t="shared" si="2"/>
        <v>S5175ST1</v>
      </c>
      <c r="D82" s="6">
        <v>234.0</v>
      </c>
      <c r="E82" s="10" t="str">
        <f t="shared" si="3"/>
        <v>BST234</v>
      </c>
      <c r="F82" s="6">
        <v>4.0</v>
      </c>
      <c r="G82" s="10" t="str">
        <f t="shared" si="4"/>
        <v>BST234-4</v>
      </c>
      <c r="H82" s="16"/>
      <c r="I82" s="16" t="str">
        <f t="shared" si="5"/>
        <v>collected</v>
      </c>
      <c r="J82" s="16" t="str">
        <f t="shared" si="6"/>
        <v>N</v>
      </c>
      <c r="K82" s="16"/>
      <c r="L82" s="16"/>
    </row>
    <row r="83">
      <c r="A83" s="25" t="s">
        <v>210</v>
      </c>
      <c r="B83" s="10" t="str">
        <f t="shared" si="1"/>
        <v>stomach</v>
      </c>
      <c r="C83" s="49" t="str">
        <f t="shared" si="2"/>
        <v>S5176ST1</v>
      </c>
      <c r="D83" s="6">
        <v>234.0</v>
      </c>
      <c r="E83" s="10" t="str">
        <f t="shared" si="3"/>
        <v>BST234</v>
      </c>
      <c r="F83" s="6">
        <v>5.0</v>
      </c>
      <c r="G83" s="10" t="str">
        <f t="shared" si="4"/>
        <v>BST234-5</v>
      </c>
      <c r="H83" s="16"/>
      <c r="I83" s="16" t="str">
        <f t="shared" si="5"/>
        <v>collected</v>
      </c>
      <c r="J83" s="16" t="str">
        <f t="shared" si="6"/>
        <v>N</v>
      </c>
      <c r="K83" s="16"/>
      <c r="L83" s="16"/>
    </row>
    <row r="84">
      <c r="A84" s="25" t="s">
        <v>212</v>
      </c>
      <c r="B84" s="10" t="str">
        <f t="shared" si="1"/>
        <v>stomach</v>
      </c>
      <c r="C84" s="49" t="str">
        <f t="shared" si="2"/>
        <v>S5177ST1</v>
      </c>
      <c r="D84" s="6">
        <v>234.0</v>
      </c>
      <c r="E84" s="10" t="str">
        <f t="shared" si="3"/>
        <v>BST234</v>
      </c>
      <c r="F84" s="6">
        <v>6.0</v>
      </c>
      <c r="G84" s="10" t="str">
        <f t="shared" si="4"/>
        <v>BST234-6</v>
      </c>
      <c r="H84" s="16"/>
      <c r="I84" s="16" t="str">
        <f t="shared" si="5"/>
        <v>collected</v>
      </c>
      <c r="J84" s="16" t="str">
        <f t="shared" si="6"/>
        <v>N</v>
      </c>
      <c r="K84" s="16"/>
      <c r="L84" s="16"/>
    </row>
    <row r="85">
      <c r="A85" s="25" t="s">
        <v>215</v>
      </c>
      <c r="B85" s="10" t="str">
        <f t="shared" si="1"/>
        <v>stomach</v>
      </c>
      <c r="C85" s="49" t="str">
        <f t="shared" si="2"/>
        <v>S5178ST1</v>
      </c>
      <c r="D85" s="6">
        <v>234.0</v>
      </c>
      <c r="E85" s="10" t="str">
        <f t="shared" si="3"/>
        <v>BST234</v>
      </c>
      <c r="F85" s="6">
        <v>7.0</v>
      </c>
      <c r="G85" s="10" t="str">
        <f t="shared" si="4"/>
        <v>BST234-7</v>
      </c>
      <c r="H85" s="16"/>
      <c r="I85" s="16" t="str">
        <f t="shared" si="5"/>
        <v>collected</v>
      </c>
      <c r="J85" s="16" t="str">
        <f t="shared" si="6"/>
        <v>N</v>
      </c>
      <c r="K85" s="16"/>
      <c r="L85" s="16"/>
    </row>
    <row r="86">
      <c r="A86" s="25" t="s">
        <v>217</v>
      </c>
      <c r="B86" s="10" t="str">
        <f t="shared" si="1"/>
        <v>stomach</v>
      </c>
      <c r="C86" s="49" t="str">
        <f t="shared" si="2"/>
        <v>S5194ST1</v>
      </c>
      <c r="D86" s="6">
        <v>234.0</v>
      </c>
      <c r="E86" s="10" t="str">
        <f t="shared" si="3"/>
        <v>BST234</v>
      </c>
      <c r="F86" s="6">
        <v>8.0</v>
      </c>
      <c r="G86" s="10" t="str">
        <f t="shared" si="4"/>
        <v>BST234-8</v>
      </c>
      <c r="H86" s="16"/>
      <c r="I86" s="16" t="str">
        <f t="shared" si="5"/>
        <v>collected</v>
      </c>
      <c r="J86" s="16" t="str">
        <f t="shared" si="6"/>
        <v>N</v>
      </c>
      <c r="K86" s="16"/>
      <c r="L86" s="16"/>
    </row>
    <row r="87">
      <c r="A87" s="25" t="s">
        <v>220</v>
      </c>
      <c r="B87" s="10" t="str">
        <f t="shared" si="1"/>
        <v>stomach</v>
      </c>
      <c r="C87" s="49" t="str">
        <f t="shared" si="2"/>
        <v>S5195ST1</v>
      </c>
      <c r="D87" s="6">
        <v>234.0</v>
      </c>
      <c r="E87" s="10" t="str">
        <f t="shared" si="3"/>
        <v>BST234</v>
      </c>
      <c r="F87" s="6">
        <v>9.0</v>
      </c>
      <c r="G87" s="10" t="str">
        <f t="shared" si="4"/>
        <v>BST234-9</v>
      </c>
      <c r="H87" s="16"/>
      <c r="I87" s="16" t="str">
        <f t="shared" si="5"/>
        <v>collected</v>
      </c>
      <c r="J87" s="16" t="str">
        <f t="shared" si="6"/>
        <v>N</v>
      </c>
      <c r="K87" s="16"/>
      <c r="L87" s="16"/>
    </row>
    <row r="88">
      <c r="A88" s="25" t="s">
        <v>222</v>
      </c>
      <c r="B88" s="10" t="str">
        <f t="shared" si="1"/>
        <v>stomach</v>
      </c>
      <c r="C88" s="49" t="str">
        <f t="shared" si="2"/>
        <v>S5196ST1</v>
      </c>
      <c r="D88" s="6">
        <v>234.0</v>
      </c>
      <c r="E88" s="10" t="str">
        <f t="shared" si="3"/>
        <v>BST234</v>
      </c>
      <c r="F88" s="6">
        <v>10.0</v>
      </c>
      <c r="G88" s="10" t="str">
        <f t="shared" si="4"/>
        <v>BST234-10</v>
      </c>
      <c r="H88" s="16"/>
      <c r="I88" s="16" t="str">
        <f t="shared" si="5"/>
        <v>collected</v>
      </c>
      <c r="J88" s="16" t="str">
        <f t="shared" si="6"/>
        <v>N</v>
      </c>
      <c r="K88" s="16"/>
      <c r="L88" s="16"/>
    </row>
    <row r="89">
      <c r="A89" s="25" t="s">
        <v>225</v>
      </c>
      <c r="B89" s="10" t="str">
        <f t="shared" si="1"/>
        <v>stomach</v>
      </c>
      <c r="C89" s="49" t="str">
        <f t="shared" si="2"/>
        <v>S5197ST1</v>
      </c>
      <c r="D89" s="6">
        <v>234.0</v>
      </c>
      <c r="E89" s="10" t="str">
        <f t="shared" si="3"/>
        <v>BST234</v>
      </c>
      <c r="F89" s="6">
        <v>11.0</v>
      </c>
      <c r="G89" s="10" t="str">
        <f t="shared" si="4"/>
        <v>BST234-11</v>
      </c>
      <c r="H89" s="16"/>
      <c r="I89" s="16" t="str">
        <f t="shared" si="5"/>
        <v>collected</v>
      </c>
      <c r="J89" s="16" t="str">
        <f t="shared" si="6"/>
        <v>N</v>
      </c>
      <c r="K89" s="16"/>
      <c r="L89" s="16"/>
    </row>
    <row r="90">
      <c r="A90" s="25" t="s">
        <v>226</v>
      </c>
      <c r="B90" s="10" t="str">
        <f t="shared" si="1"/>
        <v>stomach</v>
      </c>
      <c r="C90" s="49" t="str">
        <f t="shared" si="2"/>
        <v>S5198ST1</v>
      </c>
      <c r="D90" s="6">
        <v>234.0</v>
      </c>
      <c r="E90" s="10" t="str">
        <f t="shared" si="3"/>
        <v>BST234</v>
      </c>
      <c r="F90" s="6">
        <v>12.0</v>
      </c>
      <c r="G90" s="10" t="str">
        <f t="shared" si="4"/>
        <v>BST234-12</v>
      </c>
      <c r="H90" s="16"/>
      <c r="I90" s="16" t="str">
        <f t="shared" si="5"/>
        <v>collected</v>
      </c>
      <c r="J90" s="16" t="str">
        <f t="shared" si="6"/>
        <v>N</v>
      </c>
      <c r="K90" s="16"/>
      <c r="L90" s="16"/>
    </row>
    <row r="91">
      <c r="A91" s="25" t="s">
        <v>228</v>
      </c>
      <c r="B91" s="10" t="str">
        <f t="shared" si="1"/>
        <v>stomach</v>
      </c>
      <c r="C91" s="49" t="str">
        <f t="shared" si="2"/>
        <v>S5199ST1</v>
      </c>
      <c r="D91" s="6">
        <v>234.0</v>
      </c>
      <c r="E91" s="10" t="str">
        <f t="shared" si="3"/>
        <v>BST234</v>
      </c>
      <c r="F91" s="6">
        <v>13.0</v>
      </c>
      <c r="G91" s="10" t="str">
        <f t="shared" si="4"/>
        <v>BST234-13</v>
      </c>
      <c r="H91" s="16"/>
      <c r="I91" s="16" t="str">
        <f t="shared" si="5"/>
        <v>collected</v>
      </c>
      <c r="J91" s="16" t="str">
        <f t="shared" si="6"/>
        <v>N</v>
      </c>
      <c r="K91" s="16"/>
      <c r="L91" s="16"/>
    </row>
    <row r="92">
      <c r="A92" s="25" t="s">
        <v>230</v>
      </c>
      <c r="B92" s="10" t="str">
        <f t="shared" si="1"/>
        <v>stomach</v>
      </c>
      <c r="C92" s="49" t="str">
        <f t="shared" si="2"/>
        <v>S5200ST1</v>
      </c>
      <c r="D92" s="6">
        <v>234.0</v>
      </c>
      <c r="E92" s="10" t="str">
        <f t="shared" si="3"/>
        <v>BST234</v>
      </c>
      <c r="F92" s="6">
        <v>14.0</v>
      </c>
      <c r="G92" s="10" t="str">
        <f t="shared" si="4"/>
        <v>BST234-14</v>
      </c>
      <c r="H92" s="16"/>
      <c r="I92" s="16" t="str">
        <f t="shared" si="5"/>
        <v>collected</v>
      </c>
      <c r="J92" s="16" t="str">
        <f t="shared" si="6"/>
        <v>N</v>
      </c>
      <c r="K92" s="16"/>
      <c r="L92" s="16"/>
    </row>
    <row r="93">
      <c r="A93" s="25" t="s">
        <v>232</v>
      </c>
      <c r="B93" s="10" t="str">
        <f t="shared" si="1"/>
        <v>stomach</v>
      </c>
      <c r="C93" s="49" t="str">
        <f t="shared" si="2"/>
        <v>S5201ST1</v>
      </c>
      <c r="D93" s="6">
        <v>234.0</v>
      </c>
      <c r="E93" s="10" t="str">
        <f t="shared" si="3"/>
        <v>BST234</v>
      </c>
      <c r="F93" s="6">
        <v>15.0</v>
      </c>
      <c r="G93" s="10" t="str">
        <f t="shared" si="4"/>
        <v>BST234-15</v>
      </c>
      <c r="H93" s="16"/>
      <c r="I93" s="16" t="str">
        <f t="shared" si="5"/>
        <v>collected</v>
      </c>
      <c r="J93" s="16" t="str">
        <f t="shared" si="6"/>
        <v>N</v>
      </c>
      <c r="K93" s="16"/>
      <c r="L93" s="16"/>
    </row>
    <row r="94">
      <c r="A94" s="25" t="s">
        <v>234</v>
      </c>
      <c r="B94" s="10" t="str">
        <f t="shared" si="1"/>
        <v>stomach</v>
      </c>
      <c r="C94" s="49" t="str">
        <f t="shared" si="2"/>
        <v>S5202ST1</v>
      </c>
      <c r="D94" s="6">
        <v>234.0</v>
      </c>
      <c r="E94" s="10" t="str">
        <f t="shared" si="3"/>
        <v>BST234</v>
      </c>
      <c r="F94" s="6">
        <v>16.0</v>
      </c>
      <c r="G94" s="10" t="str">
        <f t="shared" si="4"/>
        <v>BST234-16</v>
      </c>
      <c r="H94" s="16"/>
      <c r="I94" s="16" t="str">
        <f t="shared" si="5"/>
        <v>collected</v>
      </c>
      <c r="J94" s="16" t="str">
        <f t="shared" si="6"/>
        <v>N</v>
      </c>
      <c r="K94" s="16"/>
      <c r="L94" s="16"/>
    </row>
    <row r="95">
      <c r="A95" s="25" t="s">
        <v>235</v>
      </c>
      <c r="B95" s="10" t="str">
        <f t="shared" si="1"/>
        <v>stomach</v>
      </c>
      <c r="C95" s="49" t="str">
        <f t="shared" si="2"/>
        <v>S5203ST1</v>
      </c>
      <c r="D95" s="6">
        <v>234.0</v>
      </c>
      <c r="E95" s="10" t="str">
        <f t="shared" si="3"/>
        <v>BST234</v>
      </c>
      <c r="F95" s="6">
        <v>17.0</v>
      </c>
      <c r="G95" s="10" t="str">
        <f t="shared" si="4"/>
        <v>BST234-17</v>
      </c>
      <c r="H95" s="16"/>
      <c r="I95" s="16" t="str">
        <f t="shared" si="5"/>
        <v>collected</v>
      </c>
      <c r="J95" s="16" t="str">
        <f t="shared" si="6"/>
        <v>N</v>
      </c>
      <c r="K95" s="16"/>
      <c r="L95" s="16"/>
    </row>
    <row r="96">
      <c r="A96" s="25" t="s">
        <v>238</v>
      </c>
      <c r="B96" s="10" t="str">
        <f t="shared" si="1"/>
        <v>stomach</v>
      </c>
      <c r="C96" s="49" t="str">
        <f t="shared" si="2"/>
        <v>S5204ST1</v>
      </c>
      <c r="D96" s="6">
        <v>234.0</v>
      </c>
      <c r="E96" s="10" t="str">
        <f t="shared" si="3"/>
        <v>BST234</v>
      </c>
      <c r="F96" s="6">
        <v>18.0</v>
      </c>
      <c r="G96" s="10" t="str">
        <f t="shared" si="4"/>
        <v>BST234-18</v>
      </c>
      <c r="H96" s="16"/>
      <c r="I96" s="16" t="str">
        <f t="shared" si="5"/>
        <v>collected</v>
      </c>
      <c r="J96" s="16" t="str">
        <f t="shared" si="6"/>
        <v>N</v>
      </c>
      <c r="K96" s="16"/>
      <c r="L96" s="16"/>
    </row>
    <row r="97">
      <c r="A97" s="25" t="s">
        <v>239</v>
      </c>
      <c r="B97" s="10" t="str">
        <f t="shared" si="1"/>
        <v>stomach</v>
      </c>
      <c r="C97" s="49" t="str">
        <f t="shared" si="2"/>
        <v>S5205ST1</v>
      </c>
      <c r="D97" s="6">
        <v>234.0</v>
      </c>
      <c r="E97" s="10" t="str">
        <f t="shared" si="3"/>
        <v>BST234</v>
      </c>
      <c r="F97" s="6">
        <v>19.0</v>
      </c>
      <c r="G97" s="10" t="str">
        <f t="shared" si="4"/>
        <v>BST234-19</v>
      </c>
      <c r="H97" s="16"/>
      <c r="I97" s="16" t="str">
        <f t="shared" si="5"/>
        <v>collected</v>
      </c>
      <c r="J97" s="16" t="str">
        <f t="shared" si="6"/>
        <v>N</v>
      </c>
      <c r="K97" s="16"/>
      <c r="L97" s="16"/>
    </row>
    <row r="98">
      <c r="A98" s="26" t="s">
        <v>241</v>
      </c>
      <c r="B98" s="10" t="str">
        <f t="shared" si="1"/>
        <v>stomach</v>
      </c>
      <c r="C98" s="49" t="str">
        <f t="shared" si="2"/>
        <v>S5206ST1</v>
      </c>
      <c r="D98" s="6">
        <v>234.0</v>
      </c>
      <c r="E98" s="10" t="str">
        <f t="shared" si="3"/>
        <v>BST234</v>
      </c>
      <c r="F98" s="6">
        <v>20.0</v>
      </c>
      <c r="G98" s="10" t="str">
        <f t="shared" si="4"/>
        <v>BST234-20</v>
      </c>
      <c r="H98" s="16"/>
      <c r="I98" s="16" t="str">
        <f t="shared" si="5"/>
        <v>collected</v>
      </c>
      <c r="J98" s="16" t="str">
        <f t="shared" si="6"/>
        <v>N</v>
      </c>
      <c r="K98" s="16"/>
      <c r="L98" s="16"/>
    </row>
    <row r="99">
      <c r="A99" s="26" t="s">
        <v>245</v>
      </c>
      <c r="B99" s="10" t="str">
        <f t="shared" si="1"/>
        <v>stomach</v>
      </c>
      <c r="C99" s="49" t="str">
        <f t="shared" si="2"/>
        <v>S5207ST1</v>
      </c>
      <c r="D99" s="6">
        <v>234.0</v>
      </c>
      <c r="E99" s="10" t="str">
        <f t="shared" si="3"/>
        <v>BST234</v>
      </c>
      <c r="F99" s="6">
        <v>21.0</v>
      </c>
      <c r="G99" s="10" t="str">
        <f t="shared" si="4"/>
        <v>BST234-21</v>
      </c>
      <c r="H99" s="6" t="s">
        <v>2206</v>
      </c>
      <c r="I99" s="16" t="str">
        <f t="shared" si="5"/>
        <v>collected</v>
      </c>
      <c r="J99" s="16" t="str">
        <f t="shared" si="6"/>
        <v>N</v>
      </c>
      <c r="K99" s="16"/>
      <c r="L99" s="16"/>
    </row>
    <row r="100">
      <c r="A100" s="26" t="s">
        <v>247</v>
      </c>
      <c r="B100" s="10" t="str">
        <f t="shared" si="1"/>
        <v>stomach</v>
      </c>
      <c r="C100" s="49" t="str">
        <f t="shared" si="2"/>
        <v>S5208ST1</v>
      </c>
      <c r="D100" s="6">
        <v>234.0</v>
      </c>
      <c r="E100" s="10" t="str">
        <f t="shared" si="3"/>
        <v>BST234</v>
      </c>
      <c r="F100" s="6">
        <v>22.0</v>
      </c>
      <c r="G100" s="10" t="str">
        <f t="shared" si="4"/>
        <v>BST234-22</v>
      </c>
      <c r="H100" s="16"/>
      <c r="I100" s="16" t="str">
        <f t="shared" si="5"/>
        <v>collected</v>
      </c>
      <c r="J100" s="16" t="str">
        <f t="shared" si="6"/>
        <v>N</v>
      </c>
      <c r="K100" s="16"/>
      <c r="L100" s="16"/>
    </row>
    <row r="101">
      <c r="A101" s="26" t="s">
        <v>248</v>
      </c>
      <c r="B101" s="10" t="str">
        <f t="shared" si="1"/>
        <v>stomach</v>
      </c>
      <c r="C101" s="49" t="str">
        <f t="shared" si="2"/>
        <v>S5209ST1</v>
      </c>
      <c r="D101" s="6">
        <v>234.0</v>
      </c>
      <c r="E101" s="10" t="str">
        <f t="shared" si="3"/>
        <v>BST234</v>
      </c>
      <c r="F101" s="6">
        <v>23.0</v>
      </c>
      <c r="G101" s="10" t="str">
        <f t="shared" si="4"/>
        <v>BST234-23</v>
      </c>
      <c r="H101" s="6" t="s">
        <v>2207</v>
      </c>
      <c r="I101" s="16" t="str">
        <f t="shared" si="5"/>
        <v>collected</v>
      </c>
      <c r="J101" s="16" t="str">
        <f t="shared" si="6"/>
        <v>N</v>
      </c>
      <c r="K101" s="16"/>
      <c r="L101" s="16"/>
    </row>
    <row r="102">
      <c r="A102" s="26" t="s">
        <v>250</v>
      </c>
      <c r="B102" s="10" t="str">
        <f t="shared" si="1"/>
        <v>stomach</v>
      </c>
      <c r="C102" s="49" t="str">
        <f t="shared" si="2"/>
        <v>S5210ST1</v>
      </c>
      <c r="D102" s="6">
        <v>234.0</v>
      </c>
      <c r="E102" s="10" t="str">
        <f t="shared" si="3"/>
        <v>BST234</v>
      </c>
      <c r="F102" s="6">
        <v>24.0</v>
      </c>
      <c r="G102" s="10" t="str">
        <f t="shared" si="4"/>
        <v>BST234-24</v>
      </c>
      <c r="H102" s="16"/>
      <c r="I102" s="16" t="str">
        <f t="shared" si="5"/>
        <v>collected</v>
      </c>
      <c r="J102" s="16" t="str">
        <f t="shared" si="6"/>
        <v>N</v>
      </c>
      <c r="K102" s="16"/>
      <c r="L102" s="16"/>
    </row>
    <row r="103">
      <c r="A103" s="26" t="s">
        <v>252</v>
      </c>
      <c r="B103" s="10" t="str">
        <f t="shared" si="1"/>
        <v>stomach</v>
      </c>
      <c r="C103" s="49" t="str">
        <f t="shared" si="2"/>
        <v>S5211ST1</v>
      </c>
      <c r="D103" s="6">
        <v>234.0</v>
      </c>
      <c r="E103" s="10" t="str">
        <f t="shared" si="3"/>
        <v>BST234</v>
      </c>
      <c r="F103" s="6">
        <v>25.0</v>
      </c>
      <c r="G103" s="10" t="str">
        <f t="shared" si="4"/>
        <v>BST234-25</v>
      </c>
      <c r="H103" s="16"/>
      <c r="I103" s="16" t="str">
        <f t="shared" si="5"/>
        <v>collected</v>
      </c>
      <c r="J103" s="16" t="str">
        <f t="shared" si="6"/>
        <v>N</v>
      </c>
      <c r="K103" s="16"/>
      <c r="L103" s="16"/>
    </row>
    <row r="104">
      <c r="A104" s="26" t="s">
        <v>254</v>
      </c>
      <c r="B104" s="10" t="str">
        <f t="shared" si="1"/>
        <v>stomach</v>
      </c>
      <c r="C104" s="49" t="str">
        <f t="shared" si="2"/>
        <v>S5185ST1</v>
      </c>
      <c r="D104" s="6">
        <v>232.0</v>
      </c>
      <c r="E104" s="10" t="str">
        <f t="shared" si="3"/>
        <v>BST232</v>
      </c>
      <c r="F104" s="6">
        <v>17.0</v>
      </c>
      <c r="G104" s="10" t="str">
        <f t="shared" si="4"/>
        <v>BST232-17</v>
      </c>
      <c r="H104" s="16"/>
      <c r="I104" s="16" t="str">
        <f t="shared" si="5"/>
        <v>collected</v>
      </c>
      <c r="J104" s="16" t="str">
        <f t="shared" si="6"/>
        <v>N</v>
      </c>
      <c r="K104" s="16"/>
      <c r="L104" s="16"/>
    </row>
    <row r="105">
      <c r="A105" s="26" t="s">
        <v>256</v>
      </c>
      <c r="B105" s="10" t="str">
        <f t="shared" si="1"/>
        <v>stomach</v>
      </c>
      <c r="C105" s="49" t="str">
        <f t="shared" si="2"/>
        <v>S5186ST1</v>
      </c>
      <c r="D105" s="6">
        <v>232.0</v>
      </c>
      <c r="E105" s="10" t="str">
        <f t="shared" si="3"/>
        <v>BST232</v>
      </c>
      <c r="F105" s="6">
        <v>18.0</v>
      </c>
      <c r="G105" s="10" t="str">
        <f t="shared" si="4"/>
        <v>BST232-18</v>
      </c>
      <c r="H105" s="16"/>
      <c r="I105" s="16" t="str">
        <f t="shared" si="5"/>
        <v>collected</v>
      </c>
      <c r="J105" s="16" t="str">
        <f t="shared" si="6"/>
        <v>N</v>
      </c>
      <c r="K105" s="16"/>
      <c r="L105" s="16"/>
    </row>
    <row r="106">
      <c r="A106" s="26" t="s">
        <v>258</v>
      </c>
      <c r="B106" s="10" t="str">
        <f t="shared" si="1"/>
        <v>stomach</v>
      </c>
      <c r="C106" s="49" t="str">
        <f t="shared" si="2"/>
        <v>S5187ST1</v>
      </c>
      <c r="D106" s="6">
        <v>232.0</v>
      </c>
      <c r="E106" s="10" t="str">
        <f t="shared" si="3"/>
        <v>BST232</v>
      </c>
      <c r="F106" s="6">
        <v>19.0</v>
      </c>
      <c r="G106" s="10" t="str">
        <f t="shared" si="4"/>
        <v>BST232-19</v>
      </c>
      <c r="H106" s="16"/>
      <c r="I106" s="16" t="str">
        <f t="shared" si="5"/>
        <v>collected</v>
      </c>
      <c r="J106" s="16" t="str">
        <f t="shared" si="6"/>
        <v>N</v>
      </c>
      <c r="K106" s="16"/>
      <c r="L106" s="16"/>
    </row>
    <row r="107">
      <c r="A107" s="27" t="s">
        <v>260</v>
      </c>
      <c r="B107" s="10" t="str">
        <f t="shared" si="1"/>
        <v>stomach</v>
      </c>
      <c r="C107" s="49" t="str">
        <f t="shared" si="2"/>
        <v>S5188ST1</v>
      </c>
      <c r="D107" s="6">
        <v>232.0</v>
      </c>
      <c r="E107" s="10" t="str">
        <f t="shared" si="3"/>
        <v>BST232</v>
      </c>
      <c r="F107" s="6">
        <v>20.0</v>
      </c>
      <c r="G107" s="10" t="str">
        <f t="shared" si="4"/>
        <v>BST232-20</v>
      </c>
      <c r="H107" s="16"/>
      <c r="I107" s="16" t="str">
        <f t="shared" si="5"/>
        <v>collected</v>
      </c>
      <c r="J107" s="16" t="str">
        <f t="shared" si="6"/>
        <v>N</v>
      </c>
      <c r="K107" s="16"/>
      <c r="L107" s="16"/>
    </row>
    <row r="108">
      <c r="A108" s="27" t="s">
        <v>262</v>
      </c>
      <c r="B108" s="10" t="str">
        <f t="shared" si="1"/>
        <v>stomach</v>
      </c>
      <c r="C108" s="49" t="str">
        <f t="shared" si="2"/>
        <v>S5189ST1</v>
      </c>
      <c r="D108" s="6">
        <v>232.0</v>
      </c>
      <c r="E108" s="10" t="str">
        <f t="shared" si="3"/>
        <v>BST232</v>
      </c>
      <c r="F108" s="6">
        <v>21.0</v>
      </c>
      <c r="G108" s="10" t="str">
        <f t="shared" si="4"/>
        <v>BST232-21</v>
      </c>
      <c r="H108" s="16"/>
      <c r="I108" s="16" t="str">
        <f t="shared" si="5"/>
        <v>collected</v>
      </c>
      <c r="J108" s="16" t="str">
        <f t="shared" si="6"/>
        <v>N</v>
      </c>
      <c r="K108" s="16"/>
      <c r="L108" s="16"/>
    </row>
    <row r="109">
      <c r="A109" s="27" t="s">
        <v>264</v>
      </c>
      <c r="B109" s="10" t="str">
        <f t="shared" si="1"/>
        <v>stomach</v>
      </c>
      <c r="C109" s="49" t="str">
        <f t="shared" si="2"/>
        <v>S5190ST1</v>
      </c>
      <c r="D109" s="6">
        <v>232.0</v>
      </c>
      <c r="E109" s="10" t="str">
        <f t="shared" si="3"/>
        <v>BST232</v>
      </c>
      <c r="F109" s="6">
        <v>22.0</v>
      </c>
      <c r="G109" s="10" t="str">
        <f t="shared" si="4"/>
        <v>BST232-22</v>
      </c>
      <c r="H109" s="16"/>
      <c r="I109" s="16" t="str">
        <f t="shared" si="5"/>
        <v>collected</v>
      </c>
      <c r="J109" s="16" t="str">
        <f t="shared" si="6"/>
        <v>N</v>
      </c>
      <c r="K109" s="16"/>
      <c r="L109" s="16"/>
    </row>
    <row r="110">
      <c r="A110" s="27" t="s">
        <v>266</v>
      </c>
      <c r="B110" s="10" t="str">
        <f t="shared" si="1"/>
        <v>stomach</v>
      </c>
      <c r="C110" s="49" t="str">
        <f t="shared" si="2"/>
        <v>S5191ST1</v>
      </c>
      <c r="D110" s="6">
        <v>232.0</v>
      </c>
      <c r="E110" s="10" t="str">
        <f t="shared" si="3"/>
        <v>BST232</v>
      </c>
      <c r="F110" s="6">
        <v>23.0</v>
      </c>
      <c r="G110" s="10" t="str">
        <f t="shared" si="4"/>
        <v>BST232-23</v>
      </c>
      <c r="H110" s="16"/>
      <c r="I110" s="16" t="str">
        <f t="shared" si="5"/>
        <v>collected</v>
      </c>
      <c r="J110" s="16" t="str">
        <f t="shared" si="6"/>
        <v>N</v>
      </c>
      <c r="K110" s="16"/>
      <c r="L110" s="16"/>
    </row>
    <row r="111">
      <c r="A111" s="27" t="s">
        <v>269</v>
      </c>
      <c r="B111" s="10" t="str">
        <f t="shared" si="1"/>
        <v>stomach</v>
      </c>
      <c r="C111" s="49" t="str">
        <f t="shared" si="2"/>
        <v>S5192ST1</v>
      </c>
      <c r="D111" s="6">
        <v>232.0</v>
      </c>
      <c r="E111" s="10" t="str">
        <f t="shared" si="3"/>
        <v>BST232</v>
      </c>
      <c r="F111" s="6">
        <v>24.0</v>
      </c>
      <c r="G111" s="10" t="str">
        <f t="shared" si="4"/>
        <v>BST232-24</v>
      </c>
      <c r="H111" s="16"/>
      <c r="I111" s="16" t="str">
        <f t="shared" si="5"/>
        <v>collected</v>
      </c>
      <c r="J111" s="16" t="str">
        <f t="shared" si="6"/>
        <v>N</v>
      </c>
      <c r="K111" s="16"/>
      <c r="L111" s="16"/>
    </row>
    <row r="112">
      <c r="A112" s="27" t="s">
        <v>271</v>
      </c>
      <c r="B112" s="10" t="str">
        <f t="shared" si="1"/>
        <v>stomach</v>
      </c>
      <c r="C112" s="49" t="str">
        <f t="shared" si="2"/>
        <v>S5193ST1</v>
      </c>
      <c r="D112" s="6">
        <v>232.0</v>
      </c>
      <c r="E112" s="10" t="str">
        <f t="shared" si="3"/>
        <v>BST232</v>
      </c>
      <c r="F112" s="6">
        <v>25.0</v>
      </c>
      <c r="G112" s="10" t="str">
        <f t="shared" si="4"/>
        <v>BST232-25</v>
      </c>
      <c r="H112" s="16"/>
      <c r="I112" s="16" t="str">
        <f t="shared" si="5"/>
        <v>collected</v>
      </c>
      <c r="J112" s="16" t="str">
        <f t="shared" si="6"/>
        <v>N</v>
      </c>
      <c r="K112" s="16"/>
      <c r="L112" s="16"/>
    </row>
    <row r="113">
      <c r="A113" s="27" t="s">
        <v>272</v>
      </c>
      <c r="B113" s="10" t="str">
        <f t="shared" si="1"/>
        <v>stomach</v>
      </c>
      <c r="C113" s="49" t="str">
        <f t="shared" si="2"/>
        <v>S5232ST1</v>
      </c>
      <c r="D113" s="6">
        <v>236.0</v>
      </c>
      <c r="E113" s="10" t="str">
        <f t="shared" si="3"/>
        <v>BST236</v>
      </c>
      <c r="F113" s="6">
        <v>1.0</v>
      </c>
      <c r="G113" s="10" t="str">
        <f t="shared" si="4"/>
        <v>BST236-1</v>
      </c>
      <c r="H113" s="16"/>
      <c r="I113" s="16" t="str">
        <f t="shared" si="5"/>
        <v>collected</v>
      </c>
      <c r="J113" s="16" t="str">
        <f t="shared" si="6"/>
        <v>N</v>
      </c>
      <c r="K113" s="16"/>
      <c r="L113" s="16"/>
    </row>
    <row r="114">
      <c r="A114" s="27" t="s">
        <v>274</v>
      </c>
      <c r="B114" s="10" t="str">
        <f t="shared" si="1"/>
        <v>stomach</v>
      </c>
      <c r="C114" s="49" t="str">
        <f t="shared" si="2"/>
        <v>S5233ST1</v>
      </c>
      <c r="D114" s="6">
        <v>236.0</v>
      </c>
      <c r="E114" s="10" t="str">
        <f t="shared" si="3"/>
        <v>BST236</v>
      </c>
      <c r="F114" s="6">
        <v>2.0</v>
      </c>
      <c r="G114" s="10" t="str">
        <f t="shared" si="4"/>
        <v>BST236-2</v>
      </c>
      <c r="H114" s="16"/>
      <c r="I114" s="16" t="str">
        <f t="shared" si="5"/>
        <v>collected</v>
      </c>
      <c r="J114" s="16" t="str">
        <f t="shared" si="6"/>
        <v>N</v>
      </c>
      <c r="K114" s="16"/>
      <c r="L114" s="16"/>
    </row>
    <row r="115">
      <c r="A115" s="27" t="s">
        <v>276</v>
      </c>
      <c r="B115" s="10" t="str">
        <f t="shared" si="1"/>
        <v>stomach</v>
      </c>
      <c r="C115" s="49" t="str">
        <f t="shared" si="2"/>
        <v>S5234ST1</v>
      </c>
      <c r="D115" s="6">
        <v>236.0</v>
      </c>
      <c r="E115" s="10" t="str">
        <f t="shared" si="3"/>
        <v>BST236</v>
      </c>
      <c r="F115" s="6">
        <v>3.0</v>
      </c>
      <c r="G115" s="10" t="str">
        <f t="shared" si="4"/>
        <v>BST236-3</v>
      </c>
      <c r="H115" s="16"/>
      <c r="I115" s="16" t="str">
        <f t="shared" si="5"/>
        <v>collected</v>
      </c>
      <c r="J115" s="16" t="str">
        <f t="shared" si="6"/>
        <v>N</v>
      </c>
      <c r="K115" s="16"/>
      <c r="L115" s="16"/>
    </row>
    <row r="116">
      <c r="A116" s="26" t="s">
        <v>278</v>
      </c>
      <c r="B116" s="10" t="str">
        <f t="shared" si="1"/>
        <v>stomach</v>
      </c>
      <c r="C116" s="49" t="str">
        <f t="shared" si="2"/>
        <v>S5235ST1</v>
      </c>
      <c r="D116" s="6">
        <v>236.0</v>
      </c>
      <c r="E116" s="10" t="str">
        <f t="shared" si="3"/>
        <v>BST236</v>
      </c>
      <c r="F116" s="6">
        <v>4.0</v>
      </c>
      <c r="G116" s="10" t="str">
        <f t="shared" si="4"/>
        <v>BST236-4</v>
      </c>
      <c r="H116" s="16"/>
      <c r="I116" s="16" t="str">
        <f t="shared" si="5"/>
        <v>collected</v>
      </c>
      <c r="J116" s="16" t="str">
        <f t="shared" si="6"/>
        <v>N</v>
      </c>
      <c r="K116" s="16"/>
      <c r="L116" s="16"/>
    </row>
    <row r="117">
      <c r="A117" s="26" t="s">
        <v>279</v>
      </c>
      <c r="B117" s="10" t="str">
        <f t="shared" si="1"/>
        <v>stomach</v>
      </c>
      <c r="C117" s="49" t="str">
        <f t="shared" si="2"/>
        <v>S5236ST1</v>
      </c>
      <c r="D117" s="6">
        <v>236.0</v>
      </c>
      <c r="E117" s="10" t="str">
        <f t="shared" si="3"/>
        <v>BST236</v>
      </c>
      <c r="F117" s="6">
        <v>5.0</v>
      </c>
      <c r="G117" s="10" t="str">
        <f t="shared" si="4"/>
        <v>BST236-5</v>
      </c>
      <c r="H117" s="16"/>
      <c r="I117" s="16" t="str">
        <f t="shared" si="5"/>
        <v>collected</v>
      </c>
      <c r="J117" s="16" t="str">
        <f t="shared" si="6"/>
        <v>N</v>
      </c>
      <c r="K117" s="16"/>
      <c r="L117" s="16"/>
    </row>
    <row r="118">
      <c r="A118" s="26" t="s">
        <v>280</v>
      </c>
      <c r="B118" s="10" t="str">
        <f t="shared" si="1"/>
        <v>stomach</v>
      </c>
      <c r="C118" s="49" t="str">
        <f t="shared" si="2"/>
        <v>S5212ST1</v>
      </c>
      <c r="D118" s="6">
        <v>235.0</v>
      </c>
      <c r="E118" s="10" t="str">
        <f t="shared" si="3"/>
        <v>BST235</v>
      </c>
      <c r="F118" s="6">
        <v>1.0</v>
      </c>
      <c r="G118" s="10" t="str">
        <f t="shared" si="4"/>
        <v>BST235-1</v>
      </c>
      <c r="H118" s="6" t="s">
        <v>2211</v>
      </c>
      <c r="I118" s="16" t="str">
        <f t="shared" si="5"/>
        <v>collected</v>
      </c>
      <c r="J118" s="16" t="str">
        <f t="shared" si="6"/>
        <v>N</v>
      </c>
      <c r="K118" s="16"/>
      <c r="L118" s="16"/>
    </row>
    <row r="119">
      <c r="A119" s="26" t="s">
        <v>286</v>
      </c>
      <c r="B119" s="10" t="str">
        <f t="shared" si="1"/>
        <v>stomach</v>
      </c>
      <c r="C119" s="49" t="str">
        <f t="shared" si="2"/>
        <v>S5213ST1</v>
      </c>
      <c r="D119" s="6">
        <v>235.0</v>
      </c>
      <c r="E119" s="10" t="str">
        <f t="shared" si="3"/>
        <v>BST235</v>
      </c>
      <c r="F119" s="6">
        <v>2.0</v>
      </c>
      <c r="G119" s="10" t="str">
        <f t="shared" si="4"/>
        <v>BST235-2</v>
      </c>
      <c r="H119" s="16"/>
      <c r="I119" s="16" t="str">
        <f t="shared" si="5"/>
        <v>collected</v>
      </c>
      <c r="J119" s="16" t="str">
        <f t="shared" si="6"/>
        <v>N</v>
      </c>
      <c r="K119" s="16"/>
      <c r="L119" s="16"/>
    </row>
    <row r="120">
      <c r="A120" s="26" t="s">
        <v>287</v>
      </c>
      <c r="B120" s="10" t="str">
        <f t="shared" si="1"/>
        <v>stomach</v>
      </c>
      <c r="C120" s="49" t="str">
        <f t="shared" si="2"/>
        <v>S5214ST1</v>
      </c>
      <c r="D120" s="6">
        <v>235.0</v>
      </c>
      <c r="E120" s="10" t="str">
        <f t="shared" si="3"/>
        <v>BST235</v>
      </c>
      <c r="F120" s="6">
        <v>3.0</v>
      </c>
      <c r="G120" s="10" t="str">
        <f t="shared" si="4"/>
        <v>BST235-3</v>
      </c>
      <c r="H120" s="16"/>
      <c r="I120" s="16" t="str">
        <f t="shared" si="5"/>
        <v>collected</v>
      </c>
      <c r="J120" s="16" t="str">
        <f t="shared" si="6"/>
        <v>N</v>
      </c>
      <c r="K120" s="16"/>
      <c r="L120" s="16"/>
    </row>
    <row r="121">
      <c r="A121" s="26" t="s">
        <v>289</v>
      </c>
      <c r="B121" s="10" t="str">
        <f t="shared" si="1"/>
        <v>stomach</v>
      </c>
      <c r="C121" s="49" t="str">
        <f t="shared" si="2"/>
        <v>S5215ST1</v>
      </c>
      <c r="D121" s="6">
        <v>235.0</v>
      </c>
      <c r="E121" s="10" t="str">
        <f t="shared" si="3"/>
        <v>BST235</v>
      </c>
      <c r="F121" s="6">
        <v>4.0</v>
      </c>
      <c r="G121" s="10" t="str">
        <f t="shared" si="4"/>
        <v>BST235-4</v>
      </c>
      <c r="H121" s="16"/>
      <c r="I121" s="16" t="str">
        <f t="shared" si="5"/>
        <v>collected</v>
      </c>
      <c r="J121" s="16" t="str">
        <f t="shared" si="6"/>
        <v>N</v>
      </c>
      <c r="K121" s="16"/>
      <c r="L121" s="16"/>
    </row>
    <row r="122">
      <c r="A122" s="26" t="s">
        <v>291</v>
      </c>
      <c r="B122" s="10" t="str">
        <f t="shared" si="1"/>
        <v>stomach</v>
      </c>
      <c r="C122" s="49" t="str">
        <f t="shared" si="2"/>
        <v>S5216ST1</v>
      </c>
      <c r="D122" s="6">
        <v>235.0</v>
      </c>
      <c r="E122" s="10" t="str">
        <f t="shared" si="3"/>
        <v>BST235</v>
      </c>
      <c r="F122" s="6">
        <v>5.0</v>
      </c>
      <c r="G122" s="10" t="str">
        <f t="shared" si="4"/>
        <v>BST235-5</v>
      </c>
      <c r="H122" s="16"/>
      <c r="I122" s="16" t="str">
        <f t="shared" si="5"/>
        <v>collected</v>
      </c>
      <c r="J122" s="16" t="str">
        <f t="shared" si="6"/>
        <v>N</v>
      </c>
      <c r="K122" s="16"/>
      <c r="L122" s="16"/>
    </row>
    <row r="123">
      <c r="A123" s="26" t="s">
        <v>292</v>
      </c>
      <c r="B123" s="10" t="str">
        <f t="shared" si="1"/>
        <v>stomach</v>
      </c>
      <c r="C123" s="49" t="str">
        <f t="shared" si="2"/>
        <v>S5217ST1</v>
      </c>
      <c r="D123" s="6">
        <v>235.0</v>
      </c>
      <c r="E123" s="10" t="str">
        <f t="shared" si="3"/>
        <v>BST235</v>
      </c>
      <c r="F123" s="6">
        <v>6.0</v>
      </c>
      <c r="G123" s="10" t="str">
        <f t="shared" si="4"/>
        <v>BST235-6</v>
      </c>
      <c r="H123" s="16"/>
      <c r="I123" s="16" t="str">
        <f t="shared" si="5"/>
        <v>collected</v>
      </c>
      <c r="J123" s="16" t="str">
        <f t="shared" si="6"/>
        <v>N</v>
      </c>
      <c r="K123" s="16"/>
      <c r="L123" s="16"/>
    </row>
    <row r="124">
      <c r="A124" s="26" t="s">
        <v>294</v>
      </c>
      <c r="B124" s="10" t="str">
        <f t="shared" si="1"/>
        <v>stomach</v>
      </c>
      <c r="C124" s="49" t="str">
        <f t="shared" si="2"/>
        <v>S5218ST1</v>
      </c>
      <c r="D124" s="6">
        <v>235.0</v>
      </c>
      <c r="E124" s="10" t="str">
        <f t="shared" si="3"/>
        <v>BST235</v>
      </c>
      <c r="F124" s="6">
        <v>7.0</v>
      </c>
      <c r="G124" s="10" t="str">
        <f t="shared" si="4"/>
        <v>BST235-7</v>
      </c>
      <c r="H124" s="16"/>
      <c r="I124" s="16" t="str">
        <f t="shared" si="5"/>
        <v>collected</v>
      </c>
      <c r="J124" s="16" t="str">
        <f t="shared" si="6"/>
        <v>N</v>
      </c>
      <c r="K124" s="16"/>
      <c r="L124" s="16"/>
    </row>
    <row r="125">
      <c r="A125" s="26" t="s">
        <v>295</v>
      </c>
      <c r="B125" s="10" t="str">
        <f t="shared" si="1"/>
        <v>stomach</v>
      </c>
      <c r="C125" s="49" t="str">
        <f t="shared" si="2"/>
        <v>S5219ST1</v>
      </c>
      <c r="D125" s="6">
        <v>235.0</v>
      </c>
      <c r="E125" s="10" t="str">
        <f t="shared" si="3"/>
        <v>BST235</v>
      </c>
      <c r="F125" s="6">
        <v>8.0</v>
      </c>
      <c r="G125" s="10" t="str">
        <f t="shared" si="4"/>
        <v>BST235-8</v>
      </c>
      <c r="H125" s="16"/>
      <c r="I125" s="16" t="str">
        <f t="shared" si="5"/>
        <v>collected</v>
      </c>
      <c r="J125" s="16" t="str">
        <f t="shared" si="6"/>
        <v>N</v>
      </c>
      <c r="K125" s="16"/>
      <c r="L125" s="16"/>
    </row>
    <row r="126">
      <c r="A126" s="6" t="s">
        <v>297</v>
      </c>
      <c r="B126" s="10" t="str">
        <f t="shared" si="1"/>
        <v>stomach</v>
      </c>
      <c r="C126" s="49" t="str">
        <f t="shared" si="2"/>
        <v>S5220ST1</v>
      </c>
      <c r="D126" s="6">
        <v>235.0</v>
      </c>
      <c r="E126" s="10" t="str">
        <f t="shared" si="3"/>
        <v>BST235</v>
      </c>
      <c r="F126" s="6">
        <v>9.0</v>
      </c>
      <c r="G126" s="10" t="str">
        <f t="shared" si="4"/>
        <v>BST235-9</v>
      </c>
      <c r="H126" s="16"/>
      <c r="I126" s="16" t="str">
        <f t="shared" si="5"/>
        <v>collected</v>
      </c>
      <c r="J126" s="16" t="str">
        <f t="shared" si="6"/>
        <v>N</v>
      </c>
      <c r="K126" s="16"/>
      <c r="L126" s="16"/>
    </row>
    <row r="127">
      <c r="A127" s="6" t="s">
        <v>298</v>
      </c>
      <c r="B127" s="10" t="str">
        <f t="shared" si="1"/>
        <v>stomach</v>
      </c>
      <c r="C127" s="49" t="str">
        <f t="shared" si="2"/>
        <v>S5221ST1</v>
      </c>
      <c r="D127" s="6">
        <v>235.0</v>
      </c>
      <c r="E127" s="10" t="str">
        <f t="shared" si="3"/>
        <v>BST235</v>
      </c>
      <c r="F127" s="6">
        <v>10.0</v>
      </c>
      <c r="G127" s="10" t="str">
        <f t="shared" si="4"/>
        <v>BST235-10</v>
      </c>
      <c r="H127" s="6" t="s">
        <v>2212</v>
      </c>
      <c r="I127" s="16" t="str">
        <f t="shared" si="5"/>
        <v>collected</v>
      </c>
      <c r="J127" s="16" t="str">
        <f t="shared" si="6"/>
        <v>N</v>
      </c>
      <c r="K127" s="16"/>
      <c r="L127" s="16"/>
    </row>
    <row r="128">
      <c r="A128" s="27" t="s">
        <v>301</v>
      </c>
      <c r="B128" s="10" t="str">
        <f t="shared" si="1"/>
        <v>stomach</v>
      </c>
      <c r="C128" s="49" t="str">
        <f t="shared" si="2"/>
        <v>S5222ST1</v>
      </c>
      <c r="D128" s="6">
        <v>235.0</v>
      </c>
      <c r="E128" s="10" t="str">
        <f t="shared" si="3"/>
        <v>BST235</v>
      </c>
      <c r="F128" s="6">
        <v>11.0</v>
      </c>
      <c r="G128" s="10" t="str">
        <f t="shared" si="4"/>
        <v>BST235-11</v>
      </c>
      <c r="H128" s="15"/>
      <c r="I128" s="16" t="str">
        <f t="shared" si="5"/>
        <v>collected</v>
      </c>
      <c r="J128" s="16" t="str">
        <f t="shared" si="6"/>
        <v>N</v>
      </c>
      <c r="K128" s="16"/>
      <c r="L128" s="16"/>
    </row>
    <row r="129">
      <c r="A129" s="27" t="s">
        <v>302</v>
      </c>
      <c r="B129" s="10" t="str">
        <f t="shared" si="1"/>
        <v>stomach</v>
      </c>
      <c r="C129" s="49" t="str">
        <f t="shared" si="2"/>
        <v>S5223ST1</v>
      </c>
      <c r="D129" s="6">
        <v>235.0</v>
      </c>
      <c r="E129" s="10" t="str">
        <f t="shared" si="3"/>
        <v>BST235</v>
      </c>
      <c r="F129" s="6">
        <v>12.0</v>
      </c>
      <c r="G129" s="10" t="str">
        <f t="shared" si="4"/>
        <v>BST235-12</v>
      </c>
      <c r="H129" s="16"/>
      <c r="I129" s="16" t="str">
        <f t="shared" si="5"/>
        <v>collected</v>
      </c>
      <c r="J129" s="16" t="str">
        <f t="shared" si="6"/>
        <v>N</v>
      </c>
      <c r="K129" s="16"/>
      <c r="L129" s="16"/>
    </row>
    <row r="130">
      <c r="A130" s="27" t="s">
        <v>304</v>
      </c>
      <c r="B130" s="10" t="str">
        <f t="shared" si="1"/>
        <v>stomach</v>
      </c>
      <c r="C130" s="49" t="str">
        <f t="shared" si="2"/>
        <v>S5224ST1</v>
      </c>
      <c r="D130" s="6">
        <v>235.0</v>
      </c>
      <c r="E130" s="10" t="str">
        <f t="shared" si="3"/>
        <v>BST235</v>
      </c>
      <c r="F130" s="6">
        <v>13.0</v>
      </c>
      <c r="G130" s="10" t="str">
        <f t="shared" si="4"/>
        <v>BST235-13</v>
      </c>
      <c r="H130" s="15"/>
      <c r="I130" s="16" t="str">
        <f t="shared" si="5"/>
        <v>collected</v>
      </c>
      <c r="J130" s="16" t="str">
        <f t="shared" si="6"/>
        <v>N</v>
      </c>
      <c r="K130" s="16"/>
      <c r="L130" s="16"/>
    </row>
    <row r="131">
      <c r="A131" s="27" t="s">
        <v>305</v>
      </c>
      <c r="B131" s="10" t="str">
        <f t="shared" si="1"/>
        <v>stomach</v>
      </c>
      <c r="C131" s="49" t="str">
        <f t="shared" si="2"/>
        <v>S5225ST1</v>
      </c>
      <c r="D131" s="6">
        <v>235.0</v>
      </c>
      <c r="E131" s="10" t="str">
        <f t="shared" si="3"/>
        <v>BST235</v>
      </c>
      <c r="F131" s="6">
        <v>14.0</v>
      </c>
      <c r="G131" s="10" t="str">
        <f t="shared" si="4"/>
        <v>BST235-14</v>
      </c>
      <c r="H131" s="16"/>
      <c r="I131" s="16" t="str">
        <f t="shared" si="5"/>
        <v>collected</v>
      </c>
      <c r="J131" s="16" t="str">
        <f t="shared" si="6"/>
        <v>N</v>
      </c>
      <c r="K131" s="16"/>
      <c r="L131" s="16"/>
    </row>
    <row r="132">
      <c r="A132" s="27" t="s">
        <v>307</v>
      </c>
      <c r="B132" s="10" t="str">
        <f t="shared" si="1"/>
        <v>stomach</v>
      </c>
      <c r="C132" s="49" t="str">
        <f t="shared" si="2"/>
        <v>S5226ST1</v>
      </c>
      <c r="D132" s="6">
        <v>235.0</v>
      </c>
      <c r="E132" s="10" t="str">
        <f t="shared" si="3"/>
        <v>BST235</v>
      </c>
      <c r="F132" s="6">
        <v>15.0</v>
      </c>
      <c r="G132" s="10" t="str">
        <f t="shared" si="4"/>
        <v>BST235-15</v>
      </c>
      <c r="H132" s="15"/>
      <c r="I132" s="16" t="str">
        <f t="shared" si="5"/>
        <v>collected</v>
      </c>
      <c r="J132" s="16" t="str">
        <f t="shared" si="6"/>
        <v>N</v>
      </c>
      <c r="K132" s="16"/>
      <c r="L132" s="16"/>
    </row>
    <row r="133">
      <c r="A133" s="27" t="s">
        <v>309</v>
      </c>
      <c r="B133" s="10" t="str">
        <f t="shared" si="1"/>
        <v>stomach</v>
      </c>
      <c r="C133" s="49" t="str">
        <f t="shared" si="2"/>
        <v>S5227ST1</v>
      </c>
      <c r="D133" s="6">
        <v>235.0</v>
      </c>
      <c r="E133" s="10" t="str">
        <f t="shared" si="3"/>
        <v>BST235</v>
      </c>
      <c r="F133" s="6">
        <v>16.0</v>
      </c>
      <c r="G133" s="10" t="str">
        <f t="shared" si="4"/>
        <v>BST235-16</v>
      </c>
      <c r="H133" s="16"/>
      <c r="I133" s="16" t="str">
        <f t="shared" si="5"/>
        <v>collected</v>
      </c>
      <c r="J133" s="16" t="str">
        <f t="shared" si="6"/>
        <v>N</v>
      </c>
      <c r="K133" s="16"/>
      <c r="L133" s="16"/>
    </row>
    <row r="134">
      <c r="A134" s="27" t="s">
        <v>310</v>
      </c>
      <c r="B134" s="10" t="str">
        <f t="shared" si="1"/>
        <v>stomach</v>
      </c>
      <c r="C134" s="49" t="str">
        <f t="shared" si="2"/>
        <v>S5228ST1</v>
      </c>
      <c r="D134" s="6">
        <v>235.0</v>
      </c>
      <c r="E134" s="10" t="str">
        <f t="shared" si="3"/>
        <v>BST235</v>
      </c>
      <c r="F134" s="6">
        <v>17.0</v>
      </c>
      <c r="G134" s="10" t="str">
        <f t="shared" si="4"/>
        <v>BST235-17</v>
      </c>
      <c r="H134" s="15"/>
      <c r="I134" s="16" t="str">
        <f t="shared" si="5"/>
        <v>collected</v>
      </c>
      <c r="J134" s="16" t="str">
        <f t="shared" si="6"/>
        <v>N</v>
      </c>
      <c r="K134" s="16"/>
      <c r="L134" s="16"/>
    </row>
    <row r="135">
      <c r="A135" s="44" t="s">
        <v>312</v>
      </c>
      <c r="B135" s="10" t="str">
        <f t="shared" si="1"/>
        <v>stomach</v>
      </c>
      <c r="C135" s="49" t="str">
        <f t="shared" si="2"/>
        <v>S5229ST1</v>
      </c>
      <c r="D135" s="6">
        <v>235.0</v>
      </c>
      <c r="E135" s="10" t="str">
        <f t="shared" si="3"/>
        <v>BST235</v>
      </c>
      <c r="F135" s="6">
        <v>18.0</v>
      </c>
      <c r="G135" s="10" t="str">
        <f t="shared" si="4"/>
        <v>BST235-18</v>
      </c>
      <c r="H135" s="16"/>
      <c r="I135" s="16" t="str">
        <f t="shared" si="5"/>
        <v>collected</v>
      </c>
      <c r="J135" s="16" t="str">
        <f t="shared" si="6"/>
        <v>N</v>
      </c>
      <c r="K135" s="16"/>
      <c r="L135" s="16"/>
    </row>
    <row r="136">
      <c r="A136" s="44" t="s">
        <v>314</v>
      </c>
      <c r="B136" s="10" t="str">
        <f t="shared" si="1"/>
        <v>stomach</v>
      </c>
      <c r="C136" s="49" t="str">
        <f t="shared" si="2"/>
        <v>S5230ST1</v>
      </c>
      <c r="D136" s="6">
        <v>235.0</v>
      </c>
      <c r="E136" s="10" t="str">
        <f t="shared" si="3"/>
        <v>BST235</v>
      </c>
      <c r="F136" s="6">
        <v>19.0</v>
      </c>
      <c r="G136" s="10" t="str">
        <f t="shared" si="4"/>
        <v>BST235-19</v>
      </c>
      <c r="H136" s="6" t="s">
        <v>2213</v>
      </c>
      <c r="I136" s="16" t="str">
        <f t="shared" si="5"/>
        <v>collected</v>
      </c>
      <c r="J136" s="16" t="str">
        <f t="shared" si="6"/>
        <v>N</v>
      </c>
      <c r="K136" s="16"/>
      <c r="L136" s="16"/>
    </row>
    <row r="137">
      <c r="A137" s="44" t="s">
        <v>316</v>
      </c>
      <c r="B137" s="10" t="str">
        <f t="shared" si="1"/>
        <v>stomach</v>
      </c>
      <c r="C137" s="49" t="str">
        <f t="shared" si="2"/>
        <v>S5231ST1</v>
      </c>
      <c r="D137" s="6">
        <v>235.0</v>
      </c>
      <c r="E137" s="10" t="str">
        <f t="shared" si="3"/>
        <v>BST235</v>
      </c>
      <c r="F137" s="6">
        <v>20.0</v>
      </c>
      <c r="G137" s="10" t="str">
        <f t="shared" si="4"/>
        <v>BST235-20</v>
      </c>
      <c r="H137" s="16"/>
      <c r="I137" s="16" t="str">
        <f t="shared" si="5"/>
        <v>collected</v>
      </c>
      <c r="J137" s="16" t="str">
        <f t="shared" si="6"/>
        <v>N</v>
      </c>
      <c r="K137" s="16"/>
      <c r="L137" s="16"/>
    </row>
    <row r="138">
      <c r="A138" s="44" t="s">
        <v>317</v>
      </c>
      <c r="B138" s="10" t="str">
        <f t="shared" si="1"/>
        <v>stomach</v>
      </c>
      <c r="C138" s="49" t="str">
        <f t="shared" si="2"/>
        <v>S5245ST1</v>
      </c>
      <c r="D138" s="6">
        <v>235.0</v>
      </c>
      <c r="E138" s="10" t="str">
        <f t="shared" si="3"/>
        <v>BST235</v>
      </c>
      <c r="F138" s="6">
        <v>21.0</v>
      </c>
      <c r="G138" s="10" t="str">
        <f t="shared" si="4"/>
        <v>BST235-21</v>
      </c>
      <c r="H138" s="16"/>
      <c r="I138" s="16" t="str">
        <f t="shared" si="5"/>
        <v>collected</v>
      </c>
      <c r="J138" s="16" t="str">
        <f t="shared" si="6"/>
        <v>N</v>
      </c>
      <c r="K138" s="16"/>
      <c r="L138" s="16"/>
    </row>
    <row r="139">
      <c r="A139" s="44" t="s">
        <v>318</v>
      </c>
      <c r="B139" s="10" t="str">
        <f t="shared" si="1"/>
        <v>stomach</v>
      </c>
      <c r="C139" s="49" t="str">
        <f t="shared" si="2"/>
        <v>S5246ST1</v>
      </c>
      <c r="D139" s="6">
        <v>235.0</v>
      </c>
      <c r="E139" s="10" t="str">
        <f t="shared" si="3"/>
        <v>BST235</v>
      </c>
      <c r="F139" s="6">
        <v>22.0</v>
      </c>
      <c r="G139" s="10" t="str">
        <f t="shared" si="4"/>
        <v>BST235-22</v>
      </c>
      <c r="H139" s="16"/>
      <c r="I139" s="16" t="str">
        <f t="shared" si="5"/>
        <v>collected</v>
      </c>
      <c r="J139" s="16" t="str">
        <f t="shared" si="6"/>
        <v>N</v>
      </c>
      <c r="K139" s="16"/>
      <c r="L139" s="16"/>
    </row>
    <row r="140">
      <c r="A140" s="44" t="s">
        <v>322</v>
      </c>
      <c r="B140" s="10" t="str">
        <f t="shared" si="1"/>
        <v>stomach</v>
      </c>
      <c r="C140" s="49" t="str">
        <f t="shared" si="2"/>
        <v>S5247ST1</v>
      </c>
      <c r="D140" s="6">
        <v>235.0</v>
      </c>
      <c r="E140" s="10" t="str">
        <f t="shared" si="3"/>
        <v>BST235</v>
      </c>
      <c r="F140" s="6">
        <v>23.0</v>
      </c>
      <c r="G140" s="10" t="str">
        <f t="shared" si="4"/>
        <v>BST235-23</v>
      </c>
      <c r="H140" s="16"/>
      <c r="I140" s="16" t="str">
        <f t="shared" si="5"/>
        <v>collected</v>
      </c>
      <c r="J140" s="16" t="str">
        <f t="shared" si="6"/>
        <v>N</v>
      </c>
      <c r="K140" s="16"/>
      <c r="L140" s="16"/>
    </row>
    <row r="141">
      <c r="A141" s="44" t="s">
        <v>327</v>
      </c>
      <c r="B141" s="10" t="str">
        <f t="shared" si="1"/>
        <v>stomach</v>
      </c>
      <c r="C141" s="49" t="str">
        <f t="shared" si="2"/>
        <v>S5248ST1</v>
      </c>
      <c r="D141" s="6">
        <v>235.0</v>
      </c>
      <c r="E141" s="10" t="str">
        <f t="shared" si="3"/>
        <v>BST235</v>
      </c>
      <c r="F141" s="6">
        <v>24.0</v>
      </c>
      <c r="G141" s="10" t="str">
        <f t="shared" si="4"/>
        <v>BST235-24</v>
      </c>
      <c r="H141" s="16"/>
      <c r="I141" s="16" t="str">
        <f t="shared" si="5"/>
        <v>collected</v>
      </c>
      <c r="J141" s="16" t="str">
        <f t="shared" si="6"/>
        <v>N</v>
      </c>
      <c r="K141" s="16"/>
      <c r="L141" s="16"/>
    </row>
    <row r="142">
      <c r="A142" s="40" t="s">
        <v>328</v>
      </c>
      <c r="B142" s="10" t="str">
        <f t="shared" si="1"/>
        <v>stomach</v>
      </c>
      <c r="C142" s="49" t="str">
        <f t="shared" si="2"/>
        <v>S5249ST1</v>
      </c>
      <c r="D142" s="6">
        <v>235.0</v>
      </c>
      <c r="E142" s="10" t="str">
        <f t="shared" si="3"/>
        <v>BST235</v>
      </c>
      <c r="F142" s="6">
        <v>25.0</v>
      </c>
      <c r="G142" s="10" t="str">
        <f t="shared" si="4"/>
        <v>BST235-25</v>
      </c>
      <c r="H142" s="16"/>
      <c r="I142" s="16" t="str">
        <f t="shared" si="5"/>
        <v>collected</v>
      </c>
      <c r="J142" s="16" t="str">
        <f t="shared" si="6"/>
        <v>N</v>
      </c>
      <c r="K142" s="16"/>
      <c r="L142" s="16"/>
    </row>
    <row r="143">
      <c r="A143" s="40" t="s">
        <v>332</v>
      </c>
      <c r="B143" s="10" t="str">
        <f t="shared" si="1"/>
        <v>stomach</v>
      </c>
      <c r="C143" s="49" t="str">
        <f t="shared" si="2"/>
        <v>S5250ST1</v>
      </c>
      <c r="D143" s="6">
        <v>237.0</v>
      </c>
      <c r="E143" s="10" t="str">
        <f t="shared" si="3"/>
        <v>BST237</v>
      </c>
      <c r="F143" s="6">
        <v>1.0</v>
      </c>
      <c r="G143" s="10" t="str">
        <f t="shared" si="4"/>
        <v>BST237-1</v>
      </c>
      <c r="H143" s="16"/>
      <c r="I143" s="16" t="str">
        <f t="shared" si="5"/>
        <v>collected</v>
      </c>
      <c r="J143" s="16" t="str">
        <f t="shared" si="6"/>
        <v>N</v>
      </c>
      <c r="K143" s="16"/>
      <c r="L143" s="16"/>
    </row>
    <row r="144">
      <c r="A144" s="40" t="s">
        <v>334</v>
      </c>
      <c r="B144" s="10" t="str">
        <f t="shared" si="1"/>
        <v>stomach</v>
      </c>
      <c r="C144" s="49" t="str">
        <f t="shared" si="2"/>
        <v>S5251ST1</v>
      </c>
      <c r="D144" s="6">
        <v>237.0</v>
      </c>
      <c r="E144" s="10" t="str">
        <f t="shared" si="3"/>
        <v>BST237</v>
      </c>
      <c r="F144" s="6">
        <v>2.0</v>
      </c>
      <c r="G144" s="10" t="str">
        <f t="shared" si="4"/>
        <v>BST237-2</v>
      </c>
      <c r="H144" s="6" t="s">
        <v>2214</v>
      </c>
      <c r="I144" s="16" t="str">
        <f t="shared" si="5"/>
        <v>collected</v>
      </c>
      <c r="J144" s="16" t="str">
        <f t="shared" si="6"/>
        <v>N</v>
      </c>
      <c r="K144" s="16"/>
      <c r="L144" s="16"/>
    </row>
    <row r="145">
      <c r="A145" s="40" t="s">
        <v>335</v>
      </c>
      <c r="B145" s="10" t="str">
        <f t="shared" si="1"/>
        <v>stomach</v>
      </c>
      <c r="C145" s="49" t="str">
        <f t="shared" si="2"/>
        <v>S5252ST1</v>
      </c>
      <c r="D145" s="6">
        <v>237.0</v>
      </c>
      <c r="E145" s="10" t="str">
        <f t="shared" si="3"/>
        <v>BST237</v>
      </c>
      <c r="F145" s="6">
        <v>3.0</v>
      </c>
      <c r="G145" s="10" t="str">
        <f t="shared" si="4"/>
        <v>BST237-3</v>
      </c>
      <c r="H145" s="16"/>
      <c r="I145" s="16" t="str">
        <f t="shared" si="5"/>
        <v>collected</v>
      </c>
      <c r="J145" s="16" t="str">
        <f t="shared" si="6"/>
        <v>N</v>
      </c>
      <c r="K145" s="16"/>
      <c r="L145" s="16"/>
    </row>
    <row r="146">
      <c r="A146" s="40" t="s">
        <v>336</v>
      </c>
      <c r="B146" s="10" t="str">
        <f t="shared" si="1"/>
        <v>stomach</v>
      </c>
      <c r="C146" s="49" t="str">
        <f t="shared" si="2"/>
        <v>S5253ST1</v>
      </c>
      <c r="D146" s="6">
        <v>237.0</v>
      </c>
      <c r="E146" s="10" t="str">
        <f t="shared" si="3"/>
        <v>BST237</v>
      </c>
      <c r="F146" s="6">
        <v>4.0</v>
      </c>
      <c r="G146" s="10" t="str">
        <f t="shared" si="4"/>
        <v>BST237-4</v>
      </c>
      <c r="H146" s="16"/>
      <c r="I146" s="16" t="str">
        <f t="shared" si="5"/>
        <v>collected</v>
      </c>
      <c r="J146" s="16" t="str">
        <f t="shared" si="6"/>
        <v>N</v>
      </c>
      <c r="K146" s="16"/>
      <c r="L146" s="16"/>
    </row>
    <row r="147">
      <c r="A147" s="40" t="s">
        <v>338</v>
      </c>
      <c r="B147" s="10" t="str">
        <f t="shared" si="1"/>
        <v>stomach</v>
      </c>
      <c r="C147" s="49" t="str">
        <f t="shared" si="2"/>
        <v>S5254ST1</v>
      </c>
      <c r="D147" s="6">
        <v>237.0</v>
      </c>
      <c r="E147" s="10" t="str">
        <f t="shared" si="3"/>
        <v>BST237</v>
      </c>
      <c r="F147" s="6">
        <v>5.0</v>
      </c>
      <c r="G147" s="10" t="str">
        <f t="shared" si="4"/>
        <v>BST237-5</v>
      </c>
      <c r="H147" s="16"/>
      <c r="I147" s="16" t="str">
        <f t="shared" si="5"/>
        <v>collected</v>
      </c>
      <c r="J147" s="16" t="str">
        <f t="shared" si="6"/>
        <v>N</v>
      </c>
      <c r="K147" s="16"/>
      <c r="L147" s="16"/>
    </row>
    <row r="148">
      <c r="A148" s="40" t="s">
        <v>339</v>
      </c>
      <c r="B148" s="10" t="str">
        <f t="shared" si="1"/>
        <v>stomach</v>
      </c>
      <c r="C148" s="49" t="str">
        <f t="shared" si="2"/>
        <v>S5255ST1</v>
      </c>
      <c r="D148" s="6">
        <v>237.0</v>
      </c>
      <c r="E148" s="10" t="str">
        <f t="shared" si="3"/>
        <v>BST237</v>
      </c>
      <c r="F148" s="6">
        <v>6.0</v>
      </c>
      <c r="G148" s="10" t="str">
        <f t="shared" si="4"/>
        <v>BST237-6</v>
      </c>
      <c r="H148" s="6" t="s">
        <v>2215</v>
      </c>
      <c r="I148" s="16" t="str">
        <f t="shared" si="5"/>
        <v>collected</v>
      </c>
      <c r="J148" s="16" t="str">
        <f t="shared" si="6"/>
        <v>N</v>
      </c>
      <c r="K148" s="16"/>
      <c r="L148" s="16"/>
    </row>
    <row r="149">
      <c r="A149" s="40" t="s">
        <v>340</v>
      </c>
      <c r="B149" s="10" t="str">
        <f t="shared" si="1"/>
        <v>stomach</v>
      </c>
      <c r="C149" s="49" t="str">
        <f t="shared" si="2"/>
        <v>S5256ST1</v>
      </c>
      <c r="D149" s="6">
        <v>237.0</v>
      </c>
      <c r="E149" s="10" t="str">
        <f t="shared" si="3"/>
        <v>BST237</v>
      </c>
      <c r="F149" s="6">
        <v>7.0</v>
      </c>
      <c r="G149" s="10" t="str">
        <f t="shared" si="4"/>
        <v>BST237-7</v>
      </c>
      <c r="H149" s="16"/>
      <c r="I149" s="16" t="str">
        <f t="shared" si="5"/>
        <v>collected</v>
      </c>
      <c r="J149" s="16" t="str">
        <f t="shared" si="6"/>
        <v>N</v>
      </c>
      <c r="K149" s="16"/>
      <c r="L149" s="16"/>
    </row>
    <row r="150">
      <c r="A150" s="40" t="s">
        <v>341</v>
      </c>
      <c r="B150" s="10" t="str">
        <f t="shared" si="1"/>
        <v>stomach</v>
      </c>
      <c r="C150" s="49" t="str">
        <f t="shared" si="2"/>
        <v>S5257ST1</v>
      </c>
      <c r="D150" s="6">
        <v>237.0</v>
      </c>
      <c r="E150" s="10" t="str">
        <f t="shared" si="3"/>
        <v>BST237</v>
      </c>
      <c r="F150" s="6">
        <v>8.0</v>
      </c>
      <c r="G150" s="10" t="str">
        <f t="shared" si="4"/>
        <v>BST237-8</v>
      </c>
      <c r="H150" s="16"/>
      <c r="I150" s="16" t="str">
        <f t="shared" si="5"/>
        <v>collected</v>
      </c>
      <c r="J150" s="16" t="str">
        <f t="shared" si="6"/>
        <v>N</v>
      </c>
      <c r="K150" s="16"/>
      <c r="L150" s="16"/>
    </row>
    <row r="151">
      <c r="A151" s="26" t="s">
        <v>342</v>
      </c>
      <c r="B151" s="10" t="str">
        <f t="shared" si="1"/>
        <v>stomach</v>
      </c>
      <c r="C151" s="49" t="str">
        <f t="shared" si="2"/>
        <v>S5262ST1</v>
      </c>
      <c r="D151" s="6">
        <v>236.0</v>
      </c>
      <c r="E151" s="10" t="str">
        <f t="shared" si="3"/>
        <v>BST236</v>
      </c>
      <c r="F151" s="6">
        <v>25.0</v>
      </c>
      <c r="G151" s="10" t="str">
        <f t="shared" si="4"/>
        <v>BST236-25</v>
      </c>
      <c r="H151" s="16"/>
      <c r="I151" s="16" t="str">
        <f t="shared" si="5"/>
        <v>collected</v>
      </c>
      <c r="J151" s="16" t="str">
        <f t="shared" si="6"/>
        <v>N</v>
      </c>
      <c r="K151" s="16"/>
      <c r="L151" s="16"/>
    </row>
    <row r="152">
      <c r="A152" s="26" t="s">
        <v>344</v>
      </c>
      <c r="B152" s="10" t="str">
        <f t="shared" si="1"/>
        <v>stomach</v>
      </c>
      <c r="C152" s="49" t="str">
        <f t="shared" si="2"/>
        <v>S5263ST1</v>
      </c>
      <c r="D152" s="6">
        <v>236.0</v>
      </c>
      <c r="E152" s="10" t="str">
        <f t="shared" si="3"/>
        <v>BST236</v>
      </c>
      <c r="F152" s="6">
        <v>24.0</v>
      </c>
      <c r="G152" s="10" t="str">
        <f t="shared" si="4"/>
        <v>BST236-24</v>
      </c>
      <c r="H152" s="16"/>
      <c r="I152" s="16" t="str">
        <f t="shared" si="5"/>
        <v>collected</v>
      </c>
      <c r="J152" s="16" t="str">
        <f t="shared" si="6"/>
        <v>N</v>
      </c>
      <c r="K152" s="16"/>
      <c r="L152" s="16"/>
    </row>
    <row r="153">
      <c r="A153" s="26" t="s">
        <v>345</v>
      </c>
      <c r="B153" s="10" t="str">
        <f t="shared" si="1"/>
        <v>stomach</v>
      </c>
      <c r="C153" s="49" t="str">
        <f t="shared" si="2"/>
        <v>S5264ST1</v>
      </c>
      <c r="D153" s="6">
        <v>236.0</v>
      </c>
      <c r="E153" s="10" t="str">
        <f t="shared" si="3"/>
        <v>BST236</v>
      </c>
      <c r="F153" s="6">
        <v>23.0</v>
      </c>
      <c r="G153" s="10" t="str">
        <f t="shared" si="4"/>
        <v>BST236-23</v>
      </c>
      <c r="H153" s="16"/>
      <c r="I153" s="16" t="str">
        <f t="shared" si="5"/>
        <v>collected</v>
      </c>
      <c r="J153" s="16" t="str">
        <f t="shared" si="6"/>
        <v>N</v>
      </c>
      <c r="K153" s="16"/>
      <c r="L153" s="16"/>
    </row>
    <row r="154">
      <c r="A154" s="26" t="s">
        <v>347</v>
      </c>
      <c r="B154" s="10" t="str">
        <f t="shared" si="1"/>
        <v>stomach</v>
      </c>
      <c r="C154" s="49" t="str">
        <f t="shared" si="2"/>
        <v>S5265ST1</v>
      </c>
      <c r="D154" s="6">
        <v>236.0</v>
      </c>
      <c r="E154" s="10" t="str">
        <f t="shared" si="3"/>
        <v>BST236</v>
      </c>
      <c r="F154" s="6">
        <v>22.0</v>
      </c>
      <c r="G154" s="10" t="str">
        <f t="shared" si="4"/>
        <v>BST236-22</v>
      </c>
      <c r="H154" s="16"/>
      <c r="I154" s="16" t="str">
        <f t="shared" si="5"/>
        <v>collected</v>
      </c>
      <c r="J154" s="16" t="str">
        <f t="shared" si="6"/>
        <v>N</v>
      </c>
      <c r="K154" s="16"/>
      <c r="L154" s="16"/>
    </row>
    <row r="155">
      <c r="A155" s="26" t="s">
        <v>348</v>
      </c>
      <c r="B155" s="10" t="str">
        <f t="shared" si="1"/>
        <v>stomach</v>
      </c>
      <c r="C155" s="49" t="str">
        <f t="shared" si="2"/>
        <v>S5266ST1</v>
      </c>
      <c r="D155" s="6">
        <v>236.0</v>
      </c>
      <c r="E155" s="10" t="str">
        <f t="shared" si="3"/>
        <v>BST236</v>
      </c>
      <c r="F155" s="6">
        <v>21.0</v>
      </c>
      <c r="G155" s="10" t="str">
        <f t="shared" si="4"/>
        <v>BST236-21</v>
      </c>
      <c r="H155" s="16"/>
      <c r="I155" s="16" t="str">
        <f t="shared" si="5"/>
        <v>collected</v>
      </c>
      <c r="J155" s="16" t="str">
        <f t="shared" si="6"/>
        <v>N</v>
      </c>
      <c r="K155" s="16"/>
      <c r="L155" s="16"/>
    </row>
    <row r="156">
      <c r="A156" s="26" t="s">
        <v>349</v>
      </c>
      <c r="B156" s="10" t="str">
        <f t="shared" si="1"/>
        <v>stomach</v>
      </c>
      <c r="C156" s="49" t="str">
        <f t="shared" si="2"/>
        <v>S5267ST1</v>
      </c>
      <c r="D156" s="6">
        <v>236.0</v>
      </c>
      <c r="E156" s="10" t="str">
        <f t="shared" si="3"/>
        <v>BST236</v>
      </c>
      <c r="F156" s="6">
        <v>20.0</v>
      </c>
      <c r="G156" s="10" t="str">
        <f t="shared" si="4"/>
        <v>BST236-20</v>
      </c>
      <c r="H156" s="16"/>
      <c r="I156" s="16" t="str">
        <f t="shared" si="5"/>
        <v>collected</v>
      </c>
      <c r="J156" s="16" t="str">
        <f t="shared" si="6"/>
        <v>N</v>
      </c>
      <c r="K156" s="16"/>
      <c r="L156" s="16"/>
    </row>
    <row r="157">
      <c r="A157" s="26" t="s">
        <v>351</v>
      </c>
      <c r="B157" s="10" t="str">
        <f t="shared" si="1"/>
        <v>stomach</v>
      </c>
      <c r="C157" s="49" t="str">
        <f t="shared" si="2"/>
        <v>S5268ST1</v>
      </c>
      <c r="D157" s="6">
        <v>236.0</v>
      </c>
      <c r="E157" s="10" t="str">
        <f t="shared" si="3"/>
        <v>BST236</v>
      </c>
      <c r="F157" s="6">
        <v>19.0</v>
      </c>
      <c r="G157" s="10" t="str">
        <f t="shared" si="4"/>
        <v>BST236-19</v>
      </c>
      <c r="H157" s="16"/>
      <c r="I157" s="16" t="str">
        <f t="shared" si="5"/>
        <v>collected</v>
      </c>
      <c r="J157" s="16" t="str">
        <f t="shared" si="6"/>
        <v>N</v>
      </c>
      <c r="K157" s="16"/>
      <c r="L157" s="16"/>
    </row>
    <row r="158">
      <c r="A158" s="26" t="s">
        <v>353</v>
      </c>
      <c r="B158" s="10" t="str">
        <f t="shared" si="1"/>
        <v>stomach</v>
      </c>
      <c r="C158" s="49" t="str">
        <f t="shared" si="2"/>
        <v>S5269ST1</v>
      </c>
      <c r="D158" s="6">
        <v>236.0</v>
      </c>
      <c r="E158" s="10" t="str">
        <f t="shared" si="3"/>
        <v>BST236</v>
      </c>
      <c r="F158" s="6">
        <v>18.0</v>
      </c>
      <c r="G158" s="10" t="str">
        <f t="shared" si="4"/>
        <v>BST236-18</v>
      </c>
      <c r="H158" s="16"/>
      <c r="I158" s="16" t="str">
        <f t="shared" si="5"/>
        <v>collected</v>
      </c>
      <c r="J158" s="16" t="str">
        <f t="shared" si="6"/>
        <v>N</v>
      </c>
      <c r="K158" s="16"/>
      <c r="L158" s="16"/>
    </row>
    <row r="159">
      <c r="A159" s="26" t="s">
        <v>354</v>
      </c>
      <c r="B159" s="10" t="str">
        <f t="shared" si="1"/>
        <v>stomach</v>
      </c>
      <c r="C159" s="49" t="str">
        <f t="shared" si="2"/>
        <v>S5270ST1</v>
      </c>
      <c r="D159" s="6">
        <v>236.0</v>
      </c>
      <c r="E159" s="10" t="str">
        <f t="shared" si="3"/>
        <v>BST236</v>
      </c>
      <c r="F159" s="6">
        <v>17.0</v>
      </c>
      <c r="G159" s="10" t="str">
        <f t="shared" si="4"/>
        <v>BST236-17</v>
      </c>
      <c r="H159" s="16"/>
      <c r="I159" s="16" t="str">
        <f t="shared" si="5"/>
        <v>collected</v>
      </c>
      <c r="J159" s="16" t="str">
        <f t="shared" si="6"/>
        <v>N</v>
      </c>
      <c r="K159" s="16"/>
      <c r="L159" s="16"/>
    </row>
    <row r="160">
      <c r="A160" s="26" t="s">
        <v>355</v>
      </c>
      <c r="B160" s="10" t="str">
        <f t="shared" si="1"/>
        <v>stomach</v>
      </c>
      <c r="C160" s="49" t="str">
        <f t="shared" si="2"/>
        <v>S5271ST1</v>
      </c>
      <c r="D160" s="6">
        <v>236.0</v>
      </c>
      <c r="E160" s="10" t="str">
        <f t="shared" si="3"/>
        <v>BST236</v>
      </c>
      <c r="F160" s="6">
        <v>16.0</v>
      </c>
      <c r="G160" s="10" t="str">
        <f t="shared" si="4"/>
        <v>BST236-16</v>
      </c>
      <c r="H160" s="16"/>
      <c r="I160" s="16" t="str">
        <f t="shared" si="5"/>
        <v>collected</v>
      </c>
      <c r="J160" s="16" t="str">
        <f t="shared" si="6"/>
        <v>N</v>
      </c>
      <c r="K160" s="16"/>
      <c r="L160" s="16"/>
    </row>
    <row r="161">
      <c r="A161" s="26" t="s">
        <v>356</v>
      </c>
      <c r="B161" s="10" t="str">
        <f t="shared" si="1"/>
        <v>stomach</v>
      </c>
      <c r="C161" s="49" t="str">
        <f t="shared" si="2"/>
        <v>S5272ST1</v>
      </c>
      <c r="D161" s="6">
        <v>236.0</v>
      </c>
      <c r="E161" s="10" t="str">
        <f t="shared" si="3"/>
        <v>BST236</v>
      </c>
      <c r="F161" s="6">
        <v>15.0</v>
      </c>
      <c r="G161" s="10" t="str">
        <f t="shared" si="4"/>
        <v>BST236-15</v>
      </c>
      <c r="H161" s="16"/>
      <c r="I161" s="16" t="str">
        <f t="shared" si="5"/>
        <v>collected</v>
      </c>
      <c r="J161" s="16" t="str">
        <f t="shared" si="6"/>
        <v>N</v>
      </c>
      <c r="K161" s="16"/>
      <c r="L161" s="16"/>
    </row>
    <row r="162">
      <c r="A162" s="26" t="s">
        <v>359</v>
      </c>
      <c r="B162" s="10" t="str">
        <f t="shared" si="1"/>
        <v>stomach</v>
      </c>
      <c r="C162" s="49" t="str">
        <f t="shared" si="2"/>
        <v>S5273ST1</v>
      </c>
      <c r="D162" s="6">
        <v>236.0</v>
      </c>
      <c r="E162" s="10" t="str">
        <f t="shared" si="3"/>
        <v>BST236</v>
      </c>
      <c r="F162" s="6">
        <v>14.0</v>
      </c>
      <c r="G162" s="10" t="str">
        <f t="shared" si="4"/>
        <v>BST236-14</v>
      </c>
      <c r="H162" s="16"/>
      <c r="I162" s="16" t="str">
        <f t="shared" si="5"/>
        <v>collected</v>
      </c>
      <c r="J162" s="16" t="str">
        <f t="shared" si="6"/>
        <v>N</v>
      </c>
      <c r="K162" s="16"/>
      <c r="L162" s="16"/>
    </row>
    <row r="163">
      <c r="A163" s="26" t="s">
        <v>360</v>
      </c>
      <c r="B163" s="10" t="str">
        <f t="shared" si="1"/>
        <v>stomach</v>
      </c>
      <c r="C163" s="49" t="str">
        <f t="shared" si="2"/>
        <v>S5237ST1</v>
      </c>
      <c r="D163" s="6">
        <v>236.0</v>
      </c>
      <c r="E163" s="10" t="str">
        <f t="shared" si="3"/>
        <v>BST236</v>
      </c>
      <c r="F163" s="6">
        <v>6.0</v>
      </c>
      <c r="G163" s="10" t="str">
        <f t="shared" si="4"/>
        <v>BST236-6</v>
      </c>
      <c r="H163" s="16"/>
      <c r="I163" s="16" t="str">
        <f t="shared" si="5"/>
        <v>collected</v>
      </c>
      <c r="J163" s="16" t="str">
        <f t="shared" si="6"/>
        <v>N</v>
      </c>
      <c r="K163" s="16"/>
      <c r="L163" s="16"/>
    </row>
    <row r="164">
      <c r="A164" s="26" t="s">
        <v>361</v>
      </c>
      <c r="B164" s="10" t="str">
        <f t="shared" si="1"/>
        <v>stomach</v>
      </c>
      <c r="C164" s="49" t="str">
        <f t="shared" si="2"/>
        <v>S5238ST1</v>
      </c>
      <c r="D164" s="6">
        <v>236.0</v>
      </c>
      <c r="E164" s="10" t="str">
        <f t="shared" si="3"/>
        <v>BST236</v>
      </c>
      <c r="F164" s="6">
        <v>7.0</v>
      </c>
      <c r="G164" s="10" t="str">
        <f t="shared" si="4"/>
        <v>BST236-7</v>
      </c>
      <c r="H164" s="16"/>
      <c r="I164" s="16" t="str">
        <f t="shared" si="5"/>
        <v>collected</v>
      </c>
      <c r="J164" s="16" t="str">
        <f t="shared" si="6"/>
        <v>N</v>
      </c>
      <c r="K164" s="16"/>
      <c r="L164" s="16"/>
    </row>
    <row r="165">
      <c r="A165" s="26" t="s">
        <v>362</v>
      </c>
      <c r="B165" s="10" t="str">
        <f t="shared" si="1"/>
        <v>stomach</v>
      </c>
      <c r="C165" s="49" t="str">
        <f t="shared" si="2"/>
        <v>S5239ST1</v>
      </c>
      <c r="D165" s="6">
        <v>236.0</v>
      </c>
      <c r="E165" s="10" t="str">
        <f t="shared" si="3"/>
        <v>BST236</v>
      </c>
      <c r="F165" s="6">
        <v>8.0</v>
      </c>
      <c r="G165" s="10" t="str">
        <f t="shared" si="4"/>
        <v>BST236-8</v>
      </c>
      <c r="H165" s="16"/>
      <c r="I165" s="16" t="str">
        <f t="shared" si="5"/>
        <v>collected</v>
      </c>
      <c r="J165" s="16" t="str">
        <f t="shared" si="6"/>
        <v>N</v>
      </c>
      <c r="K165" s="16"/>
      <c r="L165" s="16"/>
    </row>
    <row r="166">
      <c r="A166" s="26" t="s">
        <v>365</v>
      </c>
      <c r="B166" s="10" t="str">
        <f t="shared" si="1"/>
        <v>stomach</v>
      </c>
      <c r="C166" s="49" t="str">
        <f t="shared" si="2"/>
        <v>S5240ST1</v>
      </c>
      <c r="D166" s="6">
        <v>236.0</v>
      </c>
      <c r="E166" s="10" t="str">
        <f t="shared" si="3"/>
        <v>BST236</v>
      </c>
      <c r="F166" s="6">
        <v>9.0</v>
      </c>
      <c r="G166" s="10" t="str">
        <f t="shared" si="4"/>
        <v>BST236-9</v>
      </c>
      <c r="H166" s="16"/>
      <c r="I166" s="16" t="str">
        <f t="shared" si="5"/>
        <v>collected</v>
      </c>
      <c r="J166" s="16" t="str">
        <f t="shared" si="6"/>
        <v>N</v>
      </c>
      <c r="K166" s="16"/>
      <c r="L166" s="16"/>
    </row>
    <row r="167">
      <c r="A167" s="27" t="s">
        <v>367</v>
      </c>
      <c r="B167" s="10" t="str">
        <f t="shared" si="1"/>
        <v>stomach</v>
      </c>
      <c r="C167" s="49" t="str">
        <f t="shared" si="2"/>
        <v>S5241ST1</v>
      </c>
      <c r="D167" s="6">
        <v>236.0</v>
      </c>
      <c r="E167" s="10" t="str">
        <f t="shared" si="3"/>
        <v>BST236</v>
      </c>
      <c r="F167" s="6">
        <v>10.0</v>
      </c>
      <c r="G167" s="10" t="str">
        <f t="shared" si="4"/>
        <v>BST236-10</v>
      </c>
      <c r="H167" s="16"/>
      <c r="I167" s="16" t="str">
        <f t="shared" si="5"/>
        <v>collected</v>
      </c>
      <c r="J167" s="16" t="str">
        <f t="shared" si="6"/>
        <v>N</v>
      </c>
      <c r="K167" s="16"/>
      <c r="L167" s="16"/>
    </row>
    <row r="168">
      <c r="A168" s="27" t="s">
        <v>368</v>
      </c>
      <c r="B168" s="10" t="str">
        <f t="shared" si="1"/>
        <v>stomach</v>
      </c>
      <c r="C168" s="49" t="str">
        <f t="shared" si="2"/>
        <v>S5242ST1</v>
      </c>
      <c r="D168" s="6">
        <v>236.0</v>
      </c>
      <c r="E168" s="10" t="str">
        <f t="shared" si="3"/>
        <v>BST236</v>
      </c>
      <c r="F168" s="6">
        <v>11.0</v>
      </c>
      <c r="G168" s="10" t="str">
        <f t="shared" si="4"/>
        <v>BST236-11</v>
      </c>
      <c r="H168" s="16"/>
      <c r="I168" s="16" t="str">
        <f t="shared" si="5"/>
        <v>collected</v>
      </c>
      <c r="J168" s="16" t="str">
        <f t="shared" si="6"/>
        <v>N</v>
      </c>
      <c r="K168" s="16"/>
      <c r="L168" s="16"/>
    </row>
    <row r="169">
      <c r="A169" s="27" t="s">
        <v>369</v>
      </c>
      <c r="B169" s="10" t="str">
        <f t="shared" si="1"/>
        <v>stomach</v>
      </c>
      <c r="C169" s="49" t="str">
        <f t="shared" si="2"/>
        <v>S5243ST1</v>
      </c>
      <c r="D169" s="6">
        <v>236.0</v>
      </c>
      <c r="E169" s="10" t="str">
        <f t="shared" si="3"/>
        <v>BST236</v>
      </c>
      <c r="F169" s="6">
        <v>12.0</v>
      </c>
      <c r="G169" s="10" t="str">
        <f t="shared" si="4"/>
        <v>BST236-12</v>
      </c>
      <c r="H169" s="16"/>
      <c r="I169" s="16" t="str">
        <f t="shared" si="5"/>
        <v>collected</v>
      </c>
      <c r="J169" s="16" t="str">
        <f t="shared" si="6"/>
        <v>N</v>
      </c>
      <c r="K169" s="16"/>
      <c r="L169" s="16"/>
    </row>
    <row r="170">
      <c r="A170" s="27" t="s">
        <v>371</v>
      </c>
      <c r="B170" s="10" t="str">
        <f t="shared" si="1"/>
        <v>stomach</v>
      </c>
      <c r="C170" s="49" t="str">
        <f t="shared" si="2"/>
        <v>S5244ST1</v>
      </c>
      <c r="D170" s="6">
        <v>236.0</v>
      </c>
      <c r="E170" s="10" t="str">
        <f t="shared" si="3"/>
        <v>BST236</v>
      </c>
      <c r="F170" s="6">
        <v>13.0</v>
      </c>
      <c r="G170" s="10" t="str">
        <f t="shared" si="4"/>
        <v>BST236-13</v>
      </c>
      <c r="H170" s="16"/>
      <c r="I170" s="16" t="str">
        <f t="shared" si="5"/>
        <v>collected</v>
      </c>
      <c r="J170" s="16" t="str">
        <f t="shared" si="6"/>
        <v>N</v>
      </c>
      <c r="K170" s="16"/>
      <c r="L170" s="16"/>
    </row>
    <row r="171">
      <c r="A171" s="27" t="s">
        <v>373</v>
      </c>
      <c r="B171" s="10" t="str">
        <f t="shared" si="1"/>
        <v>stomach</v>
      </c>
      <c r="C171" s="49" t="str">
        <f t="shared" si="2"/>
        <v>S5287ST1</v>
      </c>
      <c r="D171" s="6">
        <v>238.0</v>
      </c>
      <c r="E171" s="10" t="str">
        <f t="shared" si="3"/>
        <v>BST238</v>
      </c>
      <c r="F171" s="6">
        <v>1.0</v>
      </c>
      <c r="G171" s="10" t="str">
        <f t="shared" si="4"/>
        <v>BST238-1</v>
      </c>
      <c r="H171" s="16"/>
      <c r="I171" s="16" t="str">
        <f t="shared" si="5"/>
        <v>collected</v>
      </c>
      <c r="J171" s="16" t="str">
        <f t="shared" si="6"/>
        <v>N</v>
      </c>
      <c r="K171" s="16"/>
      <c r="L171" s="16"/>
    </row>
    <row r="172">
      <c r="A172" s="27" t="s">
        <v>374</v>
      </c>
      <c r="B172" s="10" t="str">
        <f t="shared" si="1"/>
        <v>stomach</v>
      </c>
      <c r="C172" s="49" t="str">
        <f t="shared" si="2"/>
        <v>S5288ST1</v>
      </c>
      <c r="D172" s="6">
        <v>238.0</v>
      </c>
      <c r="E172" s="10" t="str">
        <f t="shared" si="3"/>
        <v>BST238</v>
      </c>
      <c r="F172" s="6">
        <v>2.0</v>
      </c>
      <c r="G172" s="10" t="str">
        <f t="shared" si="4"/>
        <v>BST238-2</v>
      </c>
      <c r="H172" s="16"/>
      <c r="I172" s="16" t="str">
        <f t="shared" si="5"/>
        <v>collected</v>
      </c>
      <c r="J172" s="16" t="str">
        <f t="shared" si="6"/>
        <v>N</v>
      </c>
      <c r="K172" s="16"/>
      <c r="L172" s="16"/>
    </row>
    <row r="173">
      <c r="A173" s="27" t="s">
        <v>375</v>
      </c>
      <c r="B173" s="10" t="str">
        <f t="shared" si="1"/>
        <v>stomach</v>
      </c>
      <c r="C173" s="49" t="str">
        <f t="shared" si="2"/>
        <v>S5289ST1</v>
      </c>
      <c r="D173" s="6">
        <v>238.0</v>
      </c>
      <c r="E173" s="10" t="str">
        <f t="shared" si="3"/>
        <v>BST238</v>
      </c>
      <c r="F173" s="6">
        <v>3.0</v>
      </c>
      <c r="G173" s="10" t="str">
        <f t="shared" si="4"/>
        <v>BST238-3</v>
      </c>
      <c r="H173" s="16"/>
      <c r="I173" s="16" t="str">
        <f t="shared" si="5"/>
        <v>collected</v>
      </c>
      <c r="J173" s="16" t="str">
        <f t="shared" si="6"/>
        <v>N</v>
      </c>
      <c r="K173" s="16"/>
      <c r="L173" s="16"/>
    </row>
    <row r="174">
      <c r="A174" s="27" t="s">
        <v>377</v>
      </c>
      <c r="B174" s="10" t="str">
        <f t="shared" si="1"/>
        <v>stomach</v>
      </c>
      <c r="C174" s="49" t="str">
        <f t="shared" si="2"/>
        <v>S5290ST1</v>
      </c>
      <c r="D174" s="6">
        <v>238.0</v>
      </c>
      <c r="E174" s="10" t="str">
        <f t="shared" si="3"/>
        <v>BST238</v>
      </c>
      <c r="F174" s="6">
        <v>4.0</v>
      </c>
      <c r="G174" s="10" t="str">
        <f t="shared" si="4"/>
        <v>BST238-4</v>
      </c>
      <c r="H174" s="16"/>
      <c r="I174" s="16" t="str">
        <f t="shared" si="5"/>
        <v>collected</v>
      </c>
      <c r="J174" s="16" t="str">
        <f t="shared" si="6"/>
        <v>N</v>
      </c>
      <c r="K174" s="16"/>
      <c r="L174" s="16"/>
    </row>
    <row r="175">
      <c r="A175" s="6" t="s">
        <v>382</v>
      </c>
      <c r="B175" s="10" t="str">
        <f t="shared" si="1"/>
        <v>stomach</v>
      </c>
      <c r="C175" s="49" t="str">
        <f t="shared" si="2"/>
        <v>S5291ST1</v>
      </c>
      <c r="D175" s="6">
        <v>238.0</v>
      </c>
      <c r="E175" s="10" t="str">
        <f t="shared" si="3"/>
        <v>BST238</v>
      </c>
      <c r="F175" s="6">
        <v>5.0</v>
      </c>
      <c r="G175" s="10" t="str">
        <f t="shared" si="4"/>
        <v>BST238-5</v>
      </c>
      <c r="H175" s="16"/>
      <c r="I175" s="16" t="str">
        <f t="shared" si="5"/>
        <v>collected</v>
      </c>
      <c r="J175" s="16" t="str">
        <f t="shared" si="6"/>
        <v>N</v>
      </c>
      <c r="K175" s="16"/>
      <c r="L175" s="16"/>
    </row>
    <row r="176">
      <c r="A176" s="6" t="s">
        <v>384</v>
      </c>
      <c r="B176" s="10" t="str">
        <f t="shared" si="1"/>
        <v>stomach</v>
      </c>
      <c r="C176" s="49" t="str">
        <f t="shared" si="2"/>
        <v>S5292ST1</v>
      </c>
      <c r="D176" s="6">
        <v>238.0</v>
      </c>
      <c r="E176" s="10" t="str">
        <f t="shared" si="3"/>
        <v>BST238</v>
      </c>
      <c r="F176" s="6">
        <v>6.0</v>
      </c>
      <c r="G176" s="10" t="str">
        <f t="shared" si="4"/>
        <v>BST238-6</v>
      </c>
      <c r="H176" s="16"/>
      <c r="I176" s="16" t="str">
        <f t="shared" si="5"/>
        <v>collected</v>
      </c>
      <c r="J176" s="16" t="str">
        <f t="shared" si="6"/>
        <v>N</v>
      </c>
      <c r="K176" s="16"/>
      <c r="L176" s="16"/>
    </row>
    <row r="177">
      <c r="A177" s="6" t="s">
        <v>387</v>
      </c>
      <c r="B177" s="10" t="str">
        <f t="shared" si="1"/>
        <v>stomach</v>
      </c>
      <c r="C177" s="49" t="str">
        <f t="shared" si="2"/>
        <v>S5293ST1</v>
      </c>
      <c r="D177" s="6">
        <v>238.0</v>
      </c>
      <c r="E177" s="10" t="str">
        <f t="shared" si="3"/>
        <v>BST238</v>
      </c>
      <c r="F177" s="6">
        <v>7.0</v>
      </c>
      <c r="G177" s="10" t="str">
        <f t="shared" si="4"/>
        <v>BST238-7</v>
      </c>
      <c r="H177" s="16"/>
      <c r="I177" s="16" t="str">
        <f t="shared" si="5"/>
        <v>collected</v>
      </c>
      <c r="J177" s="16" t="str">
        <f t="shared" si="6"/>
        <v>N</v>
      </c>
      <c r="K177" s="16"/>
      <c r="L177" s="16"/>
    </row>
    <row r="178">
      <c r="A178" s="6" t="s">
        <v>389</v>
      </c>
      <c r="B178" s="10" t="str">
        <f t="shared" si="1"/>
        <v>stomach</v>
      </c>
      <c r="C178" s="49" t="str">
        <f t="shared" si="2"/>
        <v>S5294ST1</v>
      </c>
      <c r="D178" s="6">
        <v>238.0</v>
      </c>
      <c r="E178" s="10" t="str">
        <f t="shared" si="3"/>
        <v>BST238</v>
      </c>
      <c r="F178" s="6">
        <v>8.0</v>
      </c>
      <c r="G178" s="10" t="str">
        <f t="shared" si="4"/>
        <v>BST238-8</v>
      </c>
      <c r="H178" s="16"/>
      <c r="I178" s="16" t="str">
        <f t="shared" si="5"/>
        <v>collected</v>
      </c>
      <c r="J178" s="16" t="str">
        <f t="shared" si="6"/>
        <v>N</v>
      </c>
      <c r="K178" s="16"/>
      <c r="L178" s="16"/>
    </row>
    <row r="179">
      <c r="A179" s="6" t="s">
        <v>391</v>
      </c>
      <c r="B179" s="10" t="str">
        <f t="shared" si="1"/>
        <v>stomach</v>
      </c>
      <c r="C179" s="49" t="str">
        <f t="shared" si="2"/>
        <v>S5295ST1</v>
      </c>
      <c r="D179" s="6">
        <v>238.0</v>
      </c>
      <c r="E179" s="10" t="str">
        <f t="shared" si="3"/>
        <v>BST238</v>
      </c>
      <c r="F179" s="6">
        <v>9.0</v>
      </c>
      <c r="G179" s="10" t="str">
        <f t="shared" si="4"/>
        <v>BST238-9</v>
      </c>
      <c r="I179" s="16" t="str">
        <f t="shared" si="5"/>
        <v>collected</v>
      </c>
      <c r="J179" s="16" t="str">
        <f t="shared" si="6"/>
        <v>N</v>
      </c>
      <c r="K179" s="16"/>
      <c r="L179" s="16"/>
    </row>
    <row r="180">
      <c r="A180" s="6" t="s">
        <v>392</v>
      </c>
      <c r="B180" s="10" t="str">
        <f t="shared" si="1"/>
        <v>stomach</v>
      </c>
      <c r="C180" s="49" t="str">
        <f t="shared" si="2"/>
        <v>S5296ST1</v>
      </c>
      <c r="D180" s="6">
        <v>238.0</v>
      </c>
      <c r="E180" s="10" t="str">
        <f t="shared" si="3"/>
        <v>BST238</v>
      </c>
      <c r="F180" s="6">
        <v>10.0</v>
      </c>
      <c r="G180" s="10" t="str">
        <f t="shared" si="4"/>
        <v>BST238-10</v>
      </c>
      <c r="I180" s="16" t="str">
        <f t="shared" si="5"/>
        <v>collected</v>
      </c>
      <c r="J180" s="16" t="str">
        <f t="shared" si="6"/>
        <v>N</v>
      </c>
      <c r="K180" s="16"/>
      <c r="L180" s="16"/>
    </row>
    <row r="181">
      <c r="A181" s="6" t="s">
        <v>394</v>
      </c>
      <c r="B181" s="10" t="str">
        <f t="shared" si="1"/>
        <v>stomach</v>
      </c>
      <c r="C181" s="49" t="str">
        <f t="shared" si="2"/>
        <v>S5258ST1</v>
      </c>
      <c r="D181" s="6">
        <v>237.0</v>
      </c>
      <c r="E181" s="10" t="str">
        <f t="shared" si="3"/>
        <v>BST237</v>
      </c>
      <c r="F181" s="6">
        <v>9.0</v>
      </c>
      <c r="G181" s="10" t="str">
        <f t="shared" si="4"/>
        <v>BST237-9</v>
      </c>
      <c r="H181" s="16"/>
      <c r="I181" s="16" t="str">
        <f t="shared" si="5"/>
        <v>collected</v>
      </c>
      <c r="J181" s="16" t="str">
        <f t="shared" si="6"/>
        <v>N</v>
      </c>
      <c r="K181" s="16"/>
      <c r="L181" s="16"/>
    </row>
    <row r="182">
      <c r="A182" s="26" t="s">
        <v>395</v>
      </c>
      <c r="B182" s="10" t="str">
        <f t="shared" si="1"/>
        <v>stomach</v>
      </c>
      <c r="C182" s="49" t="str">
        <f t="shared" si="2"/>
        <v>S5259ST1</v>
      </c>
      <c r="D182" s="6">
        <v>237.0</v>
      </c>
      <c r="E182" s="10" t="str">
        <f t="shared" si="3"/>
        <v>BST237</v>
      </c>
      <c r="F182" s="6">
        <v>10.0</v>
      </c>
      <c r="G182" s="10" t="str">
        <f t="shared" si="4"/>
        <v>BST237-10</v>
      </c>
      <c r="H182" s="16"/>
      <c r="I182" s="16" t="str">
        <f t="shared" si="5"/>
        <v>collected</v>
      </c>
      <c r="J182" s="16" t="str">
        <f t="shared" si="6"/>
        <v>N</v>
      </c>
      <c r="K182" s="16"/>
      <c r="L182" s="16"/>
    </row>
    <row r="183">
      <c r="A183" s="26" t="s">
        <v>396</v>
      </c>
      <c r="B183" s="10" t="str">
        <f t="shared" si="1"/>
        <v>stomach</v>
      </c>
      <c r="C183" s="49" t="str">
        <f t="shared" si="2"/>
        <v>S5260ST1</v>
      </c>
      <c r="D183" s="6">
        <v>237.0</v>
      </c>
      <c r="E183" s="10" t="str">
        <f t="shared" si="3"/>
        <v>BST237</v>
      </c>
      <c r="F183" s="6">
        <v>11.0</v>
      </c>
      <c r="G183" s="10" t="str">
        <f t="shared" si="4"/>
        <v>BST237-11</v>
      </c>
      <c r="H183" s="16"/>
      <c r="I183" s="16" t="str">
        <f t="shared" si="5"/>
        <v>collected</v>
      </c>
      <c r="J183" s="16" t="str">
        <f t="shared" si="6"/>
        <v>N</v>
      </c>
      <c r="K183" s="16"/>
      <c r="L183" s="16"/>
    </row>
    <row r="184">
      <c r="A184" s="26" t="s">
        <v>397</v>
      </c>
      <c r="B184" s="10" t="str">
        <f t="shared" si="1"/>
        <v>stomach</v>
      </c>
      <c r="C184" s="49" t="str">
        <f t="shared" si="2"/>
        <v>S5261ST1</v>
      </c>
      <c r="D184" s="6">
        <v>237.0</v>
      </c>
      <c r="E184" s="10" t="str">
        <f t="shared" si="3"/>
        <v>BST237</v>
      </c>
      <c r="F184" s="6">
        <v>12.0</v>
      </c>
      <c r="G184" s="10" t="str">
        <f t="shared" si="4"/>
        <v>BST237-12</v>
      </c>
      <c r="H184" s="16"/>
      <c r="I184" s="16" t="str">
        <f t="shared" si="5"/>
        <v>collected</v>
      </c>
      <c r="J184" s="16" t="str">
        <f t="shared" si="6"/>
        <v>N</v>
      </c>
      <c r="K184" s="16"/>
      <c r="L184" s="16"/>
    </row>
    <row r="185">
      <c r="A185" s="26" t="s">
        <v>400</v>
      </c>
      <c r="B185" s="10" t="str">
        <f t="shared" si="1"/>
        <v>stomach</v>
      </c>
      <c r="C185" s="49" t="str">
        <f t="shared" si="2"/>
        <v>S5274ST1</v>
      </c>
      <c r="D185" s="6">
        <v>237.0</v>
      </c>
      <c r="E185" s="10" t="str">
        <f t="shared" si="3"/>
        <v>BST237</v>
      </c>
      <c r="F185" s="6">
        <v>13.0</v>
      </c>
      <c r="G185" s="10" t="str">
        <f t="shared" si="4"/>
        <v>BST237-13</v>
      </c>
      <c r="H185" s="16"/>
      <c r="I185" s="16" t="str">
        <f t="shared" si="5"/>
        <v>collected</v>
      </c>
      <c r="J185" s="16" t="str">
        <f t="shared" si="6"/>
        <v>N</v>
      </c>
      <c r="K185" s="16"/>
      <c r="L185" s="16"/>
    </row>
    <row r="186">
      <c r="A186" s="26" t="s">
        <v>401</v>
      </c>
      <c r="B186" s="10" t="str">
        <f t="shared" si="1"/>
        <v>stomach</v>
      </c>
      <c r="C186" s="49" t="str">
        <f t="shared" si="2"/>
        <v>S5275ST1</v>
      </c>
      <c r="D186" s="6">
        <v>237.0</v>
      </c>
      <c r="E186" s="10" t="str">
        <f t="shared" si="3"/>
        <v>BST237</v>
      </c>
      <c r="F186" s="6">
        <v>14.0</v>
      </c>
      <c r="G186" s="10" t="str">
        <f t="shared" si="4"/>
        <v>BST237-14</v>
      </c>
      <c r="H186" s="16"/>
      <c r="I186" s="16" t="str">
        <f t="shared" si="5"/>
        <v>collected</v>
      </c>
      <c r="J186" s="16" t="str">
        <f t="shared" si="6"/>
        <v>N</v>
      </c>
      <c r="K186" s="16"/>
      <c r="L186" s="16"/>
    </row>
    <row r="187">
      <c r="A187" s="26" t="s">
        <v>402</v>
      </c>
      <c r="B187" s="10" t="str">
        <f t="shared" si="1"/>
        <v>stomach</v>
      </c>
      <c r="C187" s="49" t="str">
        <f t="shared" si="2"/>
        <v>S5276ST1</v>
      </c>
      <c r="D187" s="6">
        <v>237.0</v>
      </c>
      <c r="E187" s="10" t="str">
        <f t="shared" si="3"/>
        <v>BST237</v>
      </c>
      <c r="F187" s="6">
        <v>15.0</v>
      </c>
      <c r="G187" s="10" t="str">
        <f t="shared" si="4"/>
        <v>BST237-15</v>
      </c>
      <c r="H187" s="16"/>
      <c r="I187" s="16" t="str">
        <f t="shared" si="5"/>
        <v>collected</v>
      </c>
      <c r="J187" s="16" t="str">
        <f t="shared" si="6"/>
        <v>N</v>
      </c>
      <c r="K187" s="16"/>
      <c r="L187" s="16"/>
    </row>
    <row r="188">
      <c r="A188" s="26" t="s">
        <v>404</v>
      </c>
      <c r="B188" s="10" t="str">
        <f t="shared" si="1"/>
        <v>stomach</v>
      </c>
      <c r="C188" s="49" t="str">
        <f t="shared" si="2"/>
        <v>S5277ST1</v>
      </c>
      <c r="D188" s="6">
        <v>237.0</v>
      </c>
      <c r="E188" s="10" t="str">
        <f t="shared" si="3"/>
        <v>BST237</v>
      </c>
      <c r="F188" s="6">
        <v>16.0</v>
      </c>
      <c r="G188" s="10" t="str">
        <f t="shared" si="4"/>
        <v>BST237-16</v>
      </c>
      <c r="H188" s="16"/>
      <c r="I188" s="16" t="str">
        <f t="shared" si="5"/>
        <v>collected</v>
      </c>
      <c r="J188" s="16" t="str">
        <f t="shared" si="6"/>
        <v>N</v>
      </c>
      <c r="K188" s="16"/>
      <c r="L188" s="16"/>
    </row>
    <row r="189">
      <c r="A189" s="26" t="s">
        <v>405</v>
      </c>
      <c r="B189" s="10" t="str">
        <f t="shared" si="1"/>
        <v>stomach</v>
      </c>
      <c r="C189" s="49" t="str">
        <f t="shared" si="2"/>
        <v>S5278ST1</v>
      </c>
      <c r="D189" s="6">
        <v>237.0</v>
      </c>
      <c r="E189" s="10" t="str">
        <f t="shared" si="3"/>
        <v>BST237</v>
      </c>
      <c r="F189" s="6">
        <v>17.0</v>
      </c>
      <c r="G189" s="10" t="str">
        <f t="shared" si="4"/>
        <v>BST237-17</v>
      </c>
      <c r="H189" s="16"/>
      <c r="I189" s="16" t="str">
        <f t="shared" si="5"/>
        <v>collected</v>
      </c>
      <c r="J189" s="16" t="str">
        <f t="shared" si="6"/>
        <v>N</v>
      </c>
      <c r="K189" s="16"/>
      <c r="L189" s="16"/>
    </row>
    <row r="190">
      <c r="A190" s="26" t="s">
        <v>408</v>
      </c>
      <c r="B190" s="10" t="str">
        <f t="shared" si="1"/>
        <v>stomach</v>
      </c>
      <c r="C190" s="49" t="str">
        <f t="shared" si="2"/>
        <v>S5279ST1</v>
      </c>
      <c r="D190" s="6">
        <v>237.0</v>
      </c>
      <c r="E190" s="10" t="str">
        <f t="shared" si="3"/>
        <v>BST237</v>
      </c>
      <c r="F190" s="6">
        <v>18.0</v>
      </c>
      <c r="G190" s="10" t="str">
        <f t="shared" si="4"/>
        <v>BST237-18</v>
      </c>
      <c r="H190" s="16"/>
      <c r="I190" s="16" t="str">
        <f t="shared" si="5"/>
        <v>collected</v>
      </c>
      <c r="J190" s="16" t="str">
        <f t="shared" si="6"/>
        <v>N</v>
      </c>
      <c r="K190" s="16"/>
      <c r="L190" s="16"/>
    </row>
    <row r="191">
      <c r="A191" s="6" t="s">
        <v>409</v>
      </c>
      <c r="B191" s="10" t="str">
        <f t="shared" si="1"/>
        <v>stomach</v>
      </c>
      <c r="C191" s="49" t="str">
        <f t="shared" si="2"/>
        <v>S5280ST1</v>
      </c>
      <c r="D191" s="6">
        <v>237.0</v>
      </c>
      <c r="E191" s="10" t="str">
        <f t="shared" si="3"/>
        <v>BST237</v>
      </c>
      <c r="F191" s="6">
        <v>19.0</v>
      </c>
      <c r="G191" s="10" t="str">
        <f t="shared" si="4"/>
        <v>BST237-19</v>
      </c>
      <c r="H191" s="16"/>
      <c r="I191" s="16" t="str">
        <f t="shared" si="5"/>
        <v>collected</v>
      </c>
      <c r="J191" s="16" t="str">
        <f t="shared" si="6"/>
        <v>N</v>
      </c>
      <c r="K191" s="16"/>
      <c r="L191" s="16"/>
    </row>
    <row r="192">
      <c r="A192" s="6" t="s">
        <v>410</v>
      </c>
      <c r="B192" s="10" t="str">
        <f t="shared" si="1"/>
        <v>stomach</v>
      </c>
      <c r="C192" s="49" t="str">
        <f t="shared" si="2"/>
        <v>S5281ST1</v>
      </c>
      <c r="D192" s="6">
        <v>237.0</v>
      </c>
      <c r="E192" s="10" t="str">
        <f t="shared" si="3"/>
        <v>BST237</v>
      </c>
      <c r="F192" s="6">
        <v>20.0</v>
      </c>
      <c r="G192" s="10" t="str">
        <f t="shared" si="4"/>
        <v>BST237-20</v>
      </c>
      <c r="H192" s="16"/>
      <c r="I192" s="16" t="str">
        <f t="shared" si="5"/>
        <v>collected</v>
      </c>
      <c r="J192" s="16" t="str">
        <f t="shared" si="6"/>
        <v>N</v>
      </c>
      <c r="K192" s="16"/>
      <c r="L192" s="16"/>
    </row>
    <row r="193">
      <c r="A193" s="26" t="s">
        <v>412</v>
      </c>
      <c r="B193" s="10" t="str">
        <f t="shared" si="1"/>
        <v>stomach</v>
      </c>
      <c r="C193" s="49" t="str">
        <f t="shared" si="2"/>
        <v>S5282ST1</v>
      </c>
      <c r="D193" s="6">
        <v>237.0</v>
      </c>
      <c r="E193" s="10" t="str">
        <f t="shared" si="3"/>
        <v>BST237</v>
      </c>
      <c r="F193" s="6">
        <v>21.0</v>
      </c>
      <c r="G193" s="10" t="str">
        <f t="shared" si="4"/>
        <v>BST237-21</v>
      </c>
      <c r="H193" s="16"/>
      <c r="I193" s="16" t="str">
        <f t="shared" si="5"/>
        <v>collected</v>
      </c>
      <c r="J193" s="16" t="str">
        <f t="shared" si="6"/>
        <v>N</v>
      </c>
      <c r="K193" s="16"/>
      <c r="L193" s="16"/>
    </row>
    <row r="194">
      <c r="A194" s="26" t="s">
        <v>413</v>
      </c>
      <c r="B194" s="10" t="str">
        <f t="shared" si="1"/>
        <v>stomach</v>
      </c>
      <c r="C194" s="49" t="str">
        <f t="shared" si="2"/>
        <v>S5283ST1</v>
      </c>
      <c r="D194" s="6">
        <v>237.0</v>
      </c>
      <c r="E194" s="10" t="str">
        <f t="shared" si="3"/>
        <v>BST237</v>
      </c>
      <c r="F194" s="6">
        <v>22.0</v>
      </c>
      <c r="G194" s="10" t="str">
        <f t="shared" si="4"/>
        <v>BST237-22</v>
      </c>
      <c r="H194" s="16"/>
      <c r="I194" s="16" t="str">
        <f t="shared" si="5"/>
        <v>collected</v>
      </c>
      <c r="J194" s="16" t="str">
        <f t="shared" si="6"/>
        <v>N</v>
      </c>
      <c r="K194" s="16"/>
      <c r="L194" s="16"/>
    </row>
    <row r="195">
      <c r="A195" s="26" t="s">
        <v>415</v>
      </c>
      <c r="B195" s="10" t="str">
        <f t="shared" si="1"/>
        <v>stomach</v>
      </c>
      <c r="C195" s="49" t="str">
        <f t="shared" si="2"/>
        <v>S5284ST1</v>
      </c>
      <c r="D195" s="6">
        <v>237.0</v>
      </c>
      <c r="E195" s="10" t="str">
        <f t="shared" si="3"/>
        <v>BST237</v>
      </c>
      <c r="F195" s="6">
        <v>23.0</v>
      </c>
      <c r="G195" s="10" t="str">
        <f t="shared" si="4"/>
        <v>BST237-23</v>
      </c>
      <c r="H195" s="16"/>
      <c r="I195" s="16" t="str">
        <f t="shared" si="5"/>
        <v>collected</v>
      </c>
      <c r="J195" s="16" t="str">
        <f t="shared" si="6"/>
        <v>N</v>
      </c>
      <c r="K195" s="16"/>
      <c r="L195" s="16"/>
    </row>
    <row r="196">
      <c r="A196" s="26" t="s">
        <v>417</v>
      </c>
      <c r="B196" s="10" t="str">
        <f t="shared" si="1"/>
        <v>stomach</v>
      </c>
      <c r="C196" s="49" t="str">
        <f t="shared" si="2"/>
        <v>S5285ST1</v>
      </c>
      <c r="D196" s="6">
        <v>237.0</v>
      </c>
      <c r="E196" s="10" t="str">
        <f t="shared" si="3"/>
        <v>BST237</v>
      </c>
      <c r="F196" s="6">
        <v>24.0</v>
      </c>
      <c r="G196" s="10" t="str">
        <f t="shared" si="4"/>
        <v>BST237-24</v>
      </c>
      <c r="H196" s="16"/>
      <c r="I196" s="16" t="str">
        <f t="shared" si="5"/>
        <v>collected</v>
      </c>
      <c r="J196" s="16" t="str">
        <f t="shared" si="6"/>
        <v>N</v>
      </c>
      <c r="K196" s="16"/>
      <c r="L196" s="16"/>
    </row>
    <row r="197">
      <c r="A197" s="26" t="s">
        <v>419</v>
      </c>
      <c r="B197" s="10" t="str">
        <f t="shared" si="1"/>
        <v>stomach</v>
      </c>
      <c r="C197" s="49" t="str">
        <f t="shared" si="2"/>
        <v>S5286ST1</v>
      </c>
      <c r="D197" s="6">
        <v>237.0</v>
      </c>
      <c r="E197" s="10" t="str">
        <f t="shared" si="3"/>
        <v>BST237</v>
      </c>
      <c r="F197" s="6">
        <v>25.0</v>
      </c>
      <c r="G197" s="10" t="str">
        <f t="shared" si="4"/>
        <v>BST237-25</v>
      </c>
      <c r="H197" s="16"/>
      <c r="I197" s="16" t="str">
        <f t="shared" si="5"/>
        <v>collected</v>
      </c>
      <c r="J197" s="16" t="str">
        <f t="shared" si="6"/>
        <v>N</v>
      </c>
      <c r="K197" s="16"/>
      <c r="L197" s="16"/>
    </row>
    <row r="198">
      <c r="A198" s="26" t="s">
        <v>421</v>
      </c>
      <c r="B198" s="10" t="str">
        <f t="shared" si="1"/>
        <v>stomach</v>
      </c>
      <c r="C198" s="49" t="str">
        <f t="shared" si="2"/>
        <v>S5337ST1</v>
      </c>
      <c r="D198" s="6">
        <v>240.0</v>
      </c>
      <c r="E198" s="10" t="str">
        <f t="shared" si="3"/>
        <v>BST240</v>
      </c>
      <c r="F198" s="6">
        <v>1.0</v>
      </c>
      <c r="G198" s="10" t="str">
        <f t="shared" si="4"/>
        <v>BST240-1</v>
      </c>
      <c r="H198" s="6" t="s">
        <v>2213</v>
      </c>
      <c r="I198" s="16" t="str">
        <f t="shared" si="5"/>
        <v>collected</v>
      </c>
      <c r="J198" s="16" t="str">
        <f t="shared" si="6"/>
        <v>N</v>
      </c>
      <c r="K198" s="16"/>
      <c r="L198" s="16"/>
    </row>
    <row r="199">
      <c r="A199" s="26" t="s">
        <v>422</v>
      </c>
      <c r="B199" s="10" t="str">
        <f t="shared" si="1"/>
        <v>stomach</v>
      </c>
      <c r="C199" s="49" t="str">
        <f t="shared" si="2"/>
        <v>S5338ST1</v>
      </c>
      <c r="D199" s="6">
        <v>240.0</v>
      </c>
      <c r="E199" s="10" t="str">
        <f t="shared" si="3"/>
        <v>BST240</v>
      </c>
      <c r="F199" s="6">
        <v>2.0</v>
      </c>
      <c r="G199" s="10" t="str">
        <f t="shared" si="4"/>
        <v>BST240-2</v>
      </c>
      <c r="H199" s="16"/>
      <c r="I199" s="16" t="str">
        <f t="shared" si="5"/>
        <v>collected</v>
      </c>
      <c r="J199" s="16" t="str">
        <f t="shared" si="6"/>
        <v>N</v>
      </c>
      <c r="K199" s="16"/>
      <c r="L199" s="16"/>
    </row>
    <row r="200">
      <c r="A200" s="26" t="s">
        <v>423</v>
      </c>
      <c r="B200" s="10" t="str">
        <f t="shared" si="1"/>
        <v>stomach</v>
      </c>
      <c r="C200" s="49" t="str">
        <f t="shared" si="2"/>
        <v>S5339ST1</v>
      </c>
      <c r="D200" s="6">
        <v>240.0</v>
      </c>
      <c r="E200" s="10" t="str">
        <f t="shared" si="3"/>
        <v>BST240</v>
      </c>
      <c r="F200" s="6">
        <v>3.0</v>
      </c>
      <c r="G200" s="10" t="str">
        <f t="shared" si="4"/>
        <v>BST240-3</v>
      </c>
      <c r="H200" s="16"/>
      <c r="I200" s="16" t="str">
        <f t="shared" si="5"/>
        <v>collected</v>
      </c>
      <c r="J200" s="16" t="str">
        <f t="shared" si="6"/>
        <v>N</v>
      </c>
      <c r="K200" s="16"/>
      <c r="L200" s="16"/>
    </row>
    <row r="201">
      <c r="A201" s="26" t="s">
        <v>427</v>
      </c>
      <c r="B201" s="10" t="str">
        <f t="shared" si="1"/>
        <v>stomach</v>
      </c>
      <c r="C201" s="49" t="str">
        <f t="shared" si="2"/>
        <v>S5340ST1</v>
      </c>
      <c r="D201" s="6">
        <v>240.0</v>
      </c>
      <c r="E201" s="10" t="str">
        <f t="shared" si="3"/>
        <v>BST240</v>
      </c>
      <c r="F201" s="6">
        <v>4.0</v>
      </c>
      <c r="G201" s="10" t="str">
        <f t="shared" si="4"/>
        <v>BST240-4</v>
      </c>
      <c r="H201" s="16"/>
      <c r="I201" s="16" t="str">
        <f t="shared" si="5"/>
        <v>collected</v>
      </c>
      <c r="J201" s="16" t="str">
        <f t="shared" si="6"/>
        <v>N</v>
      </c>
      <c r="K201" s="16"/>
      <c r="L201" s="16"/>
    </row>
    <row r="202">
      <c r="A202" s="26" t="s">
        <v>428</v>
      </c>
      <c r="B202" s="10" t="str">
        <f t="shared" si="1"/>
        <v>stomach</v>
      </c>
      <c r="C202" s="49" t="str">
        <f t="shared" si="2"/>
        <v>S5297ST1</v>
      </c>
      <c r="D202" s="6">
        <v>238.0</v>
      </c>
      <c r="E202" s="10" t="str">
        <f t="shared" si="3"/>
        <v>BST238</v>
      </c>
      <c r="F202" s="6">
        <v>11.0</v>
      </c>
      <c r="G202" s="10" t="str">
        <f t="shared" si="4"/>
        <v>BST238-11</v>
      </c>
      <c r="H202" s="16"/>
      <c r="I202" s="16" t="str">
        <f t="shared" si="5"/>
        <v>collected</v>
      </c>
      <c r="J202" s="16" t="str">
        <f t="shared" si="6"/>
        <v>N</v>
      </c>
      <c r="K202" s="16"/>
      <c r="L202" s="16"/>
    </row>
    <row r="203">
      <c r="A203" s="26" t="s">
        <v>430</v>
      </c>
      <c r="B203" s="10" t="str">
        <f t="shared" si="1"/>
        <v>stomach</v>
      </c>
      <c r="C203" s="49" t="str">
        <f t="shared" si="2"/>
        <v>S5298ST1</v>
      </c>
      <c r="D203" s="6">
        <v>238.0</v>
      </c>
      <c r="E203" s="10" t="str">
        <f t="shared" si="3"/>
        <v>BST238</v>
      </c>
      <c r="F203" s="6">
        <v>12.0</v>
      </c>
      <c r="G203" s="10" t="str">
        <f t="shared" si="4"/>
        <v>BST238-12</v>
      </c>
      <c r="H203" s="16"/>
      <c r="I203" s="16" t="str">
        <f t="shared" si="5"/>
        <v>collected</v>
      </c>
      <c r="J203" s="16" t="str">
        <f t="shared" si="6"/>
        <v>N</v>
      </c>
      <c r="K203" s="16"/>
      <c r="L203" s="16"/>
    </row>
    <row r="204">
      <c r="A204" s="26" t="s">
        <v>431</v>
      </c>
      <c r="B204" s="10" t="str">
        <f t="shared" si="1"/>
        <v>stomach</v>
      </c>
      <c r="C204" s="49" t="str">
        <f t="shared" si="2"/>
        <v>S5299ST1</v>
      </c>
      <c r="D204" s="6">
        <v>238.0</v>
      </c>
      <c r="E204" s="10" t="str">
        <f t="shared" si="3"/>
        <v>BST238</v>
      </c>
      <c r="F204" s="6">
        <v>13.0</v>
      </c>
      <c r="G204" s="10" t="str">
        <f t="shared" si="4"/>
        <v>BST238-13</v>
      </c>
      <c r="H204" s="16"/>
      <c r="I204" s="16" t="str">
        <f t="shared" si="5"/>
        <v>collected</v>
      </c>
      <c r="J204" s="16" t="str">
        <f t="shared" si="6"/>
        <v>N</v>
      </c>
      <c r="K204" s="16"/>
      <c r="L204" s="16"/>
    </row>
    <row r="205">
      <c r="A205" s="28" t="s">
        <v>432</v>
      </c>
      <c r="B205" s="10" t="str">
        <f t="shared" si="1"/>
        <v>stomach</v>
      </c>
      <c r="C205" s="49" t="str">
        <f t="shared" si="2"/>
        <v>S5300ST1</v>
      </c>
      <c r="D205" s="6">
        <v>238.0</v>
      </c>
      <c r="E205" s="10" t="str">
        <f t="shared" si="3"/>
        <v>BST238</v>
      </c>
      <c r="F205" s="6">
        <v>14.0</v>
      </c>
      <c r="G205" s="10" t="str">
        <f t="shared" si="4"/>
        <v>BST238-14</v>
      </c>
      <c r="H205" s="16"/>
      <c r="I205" s="16" t="str">
        <f t="shared" si="5"/>
        <v>collected</v>
      </c>
      <c r="J205" s="16" t="str">
        <f t="shared" si="6"/>
        <v>N</v>
      </c>
      <c r="K205" s="16"/>
      <c r="L205" s="16"/>
    </row>
    <row r="206">
      <c r="A206" s="28" t="s">
        <v>435</v>
      </c>
      <c r="B206" s="10" t="str">
        <f t="shared" si="1"/>
        <v>stomach</v>
      </c>
      <c r="C206" s="49" t="str">
        <f t="shared" si="2"/>
        <v>S5301ST1</v>
      </c>
      <c r="D206" s="6">
        <v>238.0</v>
      </c>
      <c r="E206" s="10" t="str">
        <f t="shared" si="3"/>
        <v>BST238</v>
      </c>
      <c r="F206" s="6">
        <v>15.0</v>
      </c>
      <c r="G206" s="10" t="str">
        <f t="shared" si="4"/>
        <v>BST238-15</v>
      </c>
      <c r="H206" s="16"/>
      <c r="I206" s="16" t="str">
        <f t="shared" si="5"/>
        <v>collected</v>
      </c>
      <c r="J206" s="16" t="str">
        <f t="shared" si="6"/>
        <v>N</v>
      </c>
      <c r="K206" s="16"/>
      <c r="L206" s="16"/>
    </row>
    <row r="207">
      <c r="A207" s="28" t="s">
        <v>436</v>
      </c>
      <c r="B207" s="10" t="str">
        <f t="shared" si="1"/>
        <v>stomach</v>
      </c>
      <c r="C207" s="49" t="str">
        <f t="shared" si="2"/>
        <v>S5327ST1</v>
      </c>
      <c r="D207" s="6">
        <v>238.0</v>
      </c>
      <c r="E207" s="10" t="str">
        <f t="shared" si="3"/>
        <v>BST238</v>
      </c>
      <c r="F207" s="6">
        <v>16.0</v>
      </c>
      <c r="G207" s="10" t="str">
        <f t="shared" si="4"/>
        <v>BST238-16</v>
      </c>
      <c r="H207" s="16"/>
      <c r="I207" s="16" t="str">
        <f t="shared" si="5"/>
        <v>collected</v>
      </c>
      <c r="J207" s="16" t="str">
        <f t="shared" si="6"/>
        <v>N</v>
      </c>
      <c r="K207" s="16"/>
      <c r="L207" s="16"/>
    </row>
    <row r="208">
      <c r="A208" s="28" t="s">
        <v>438</v>
      </c>
      <c r="B208" s="10" t="str">
        <f t="shared" si="1"/>
        <v>stomach</v>
      </c>
      <c r="C208" s="49" t="str">
        <f t="shared" si="2"/>
        <v>S5328ST1</v>
      </c>
      <c r="D208" s="6">
        <v>238.0</v>
      </c>
      <c r="E208" s="10" t="str">
        <f t="shared" si="3"/>
        <v>BST238</v>
      </c>
      <c r="F208" s="6">
        <v>17.0</v>
      </c>
      <c r="G208" s="10" t="str">
        <f t="shared" si="4"/>
        <v>BST238-17</v>
      </c>
      <c r="H208" s="16"/>
      <c r="I208" s="16" t="str">
        <f t="shared" si="5"/>
        <v>collected</v>
      </c>
      <c r="J208" s="16" t="str">
        <f t="shared" si="6"/>
        <v>N</v>
      </c>
      <c r="K208" s="16"/>
      <c r="L208" s="16"/>
    </row>
    <row r="209">
      <c r="A209" s="28" t="s">
        <v>440</v>
      </c>
      <c r="B209" s="10" t="str">
        <f t="shared" si="1"/>
        <v>stomach</v>
      </c>
      <c r="C209" s="49" t="str">
        <f t="shared" si="2"/>
        <v>S5329ST1</v>
      </c>
      <c r="D209" s="6">
        <v>238.0</v>
      </c>
      <c r="E209" s="10" t="str">
        <f t="shared" si="3"/>
        <v>BST238</v>
      </c>
      <c r="F209" s="6">
        <v>18.0</v>
      </c>
      <c r="G209" s="10" t="str">
        <f t="shared" si="4"/>
        <v>BST238-18</v>
      </c>
      <c r="H209" s="16"/>
      <c r="I209" s="16" t="str">
        <f t="shared" si="5"/>
        <v>collected</v>
      </c>
      <c r="J209" s="16" t="str">
        <f t="shared" si="6"/>
        <v>N</v>
      </c>
      <c r="K209" s="16"/>
      <c r="L209" s="16"/>
    </row>
    <row r="210">
      <c r="A210" s="28" t="s">
        <v>441</v>
      </c>
      <c r="B210" s="10" t="str">
        <f t="shared" si="1"/>
        <v>stomach</v>
      </c>
      <c r="C210" s="49" t="str">
        <f t="shared" si="2"/>
        <v>S5330ST1</v>
      </c>
      <c r="D210" s="6">
        <v>238.0</v>
      </c>
      <c r="E210" s="10" t="str">
        <f t="shared" si="3"/>
        <v>BST238</v>
      </c>
      <c r="F210" s="6">
        <v>19.0</v>
      </c>
      <c r="G210" s="10" t="str">
        <f t="shared" si="4"/>
        <v>BST238-19</v>
      </c>
      <c r="H210" s="16"/>
      <c r="I210" s="16" t="str">
        <f t="shared" si="5"/>
        <v>collected</v>
      </c>
      <c r="J210" s="16" t="str">
        <f t="shared" si="6"/>
        <v>N</v>
      </c>
      <c r="K210" s="16"/>
      <c r="L210" s="16"/>
    </row>
    <row r="211">
      <c r="A211" s="28" t="s">
        <v>444</v>
      </c>
      <c r="B211" s="10" t="str">
        <f t="shared" si="1"/>
        <v>stomach</v>
      </c>
      <c r="C211" s="49" t="str">
        <f t="shared" si="2"/>
        <v>S5331ST1</v>
      </c>
      <c r="D211" s="6">
        <v>238.0</v>
      </c>
      <c r="E211" s="10" t="str">
        <f t="shared" si="3"/>
        <v>BST238</v>
      </c>
      <c r="F211" s="6">
        <v>20.0</v>
      </c>
      <c r="G211" s="10" t="str">
        <f t="shared" si="4"/>
        <v>BST238-20</v>
      </c>
      <c r="H211" s="16"/>
      <c r="I211" s="16" t="str">
        <f t="shared" si="5"/>
        <v>collected</v>
      </c>
      <c r="J211" s="16" t="str">
        <f t="shared" si="6"/>
        <v>N</v>
      </c>
      <c r="K211" s="16"/>
      <c r="L211" s="16"/>
    </row>
    <row r="212">
      <c r="A212" s="28" t="s">
        <v>445</v>
      </c>
      <c r="B212" s="10" t="str">
        <f t="shared" si="1"/>
        <v>stomach</v>
      </c>
      <c r="C212" s="49" t="str">
        <f t="shared" si="2"/>
        <v>S5332ST1</v>
      </c>
      <c r="D212" s="6">
        <v>238.0</v>
      </c>
      <c r="E212" s="10" t="str">
        <f t="shared" si="3"/>
        <v>BST238</v>
      </c>
      <c r="F212" s="6">
        <v>21.0</v>
      </c>
      <c r="G212" s="10" t="str">
        <f t="shared" si="4"/>
        <v>BST238-21</v>
      </c>
      <c r="H212" s="16"/>
      <c r="I212" s="16" t="str">
        <f t="shared" si="5"/>
        <v>collected</v>
      </c>
      <c r="J212" s="16" t="str">
        <f t="shared" si="6"/>
        <v>N</v>
      </c>
      <c r="K212" s="16"/>
      <c r="L212" s="16"/>
    </row>
    <row r="213">
      <c r="A213" s="28" t="s">
        <v>446</v>
      </c>
      <c r="B213" s="10" t="str">
        <f t="shared" si="1"/>
        <v>stomach</v>
      </c>
      <c r="C213" s="49" t="str">
        <f t="shared" si="2"/>
        <v>S5333ST1</v>
      </c>
      <c r="D213" s="6">
        <v>238.0</v>
      </c>
      <c r="E213" s="10" t="str">
        <f t="shared" si="3"/>
        <v>BST238</v>
      </c>
      <c r="F213" s="6">
        <v>22.0</v>
      </c>
      <c r="G213" s="10" t="str">
        <f t="shared" si="4"/>
        <v>BST238-22</v>
      </c>
      <c r="H213" s="16"/>
      <c r="I213" s="16" t="str">
        <f t="shared" si="5"/>
        <v>collected</v>
      </c>
      <c r="J213" s="16" t="str">
        <f t="shared" si="6"/>
        <v>N</v>
      </c>
      <c r="K213" s="16"/>
      <c r="L213" s="16"/>
    </row>
    <row r="214">
      <c r="A214" s="28" t="s">
        <v>448</v>
      </c>
      <c r="B214" s="10" t="str">
        <f t="shared" si="1"/>
        <v>stomach</v>
      </c>
      <c r="C214" s="49" t="str">
        <f t="shared" si="2"/>
        <v>S5334ST1</v>
      </c>
      <c r="D214" s="6">
        <v>238.0</v>
      </c>
      <c r="E214" s="10" t="str">
        <f t="shared" si="3"/>
        <v>BST238</v>
      </c>
      <c r="F214" s="6">
        <v>23.0</v>
      </c>
      <c r="G214" s="10" t="str">
        <f t="shared" si="4"/>
        <v>BST238-23</v>
      </c>
      <c r="H214" s="16"/>
      <c r="I214" s="16" t="str">
        <f t="shared" si="5"/>
        <v>collected</v>
      </c>
      <c r="J214" s="16" t="str">
        <f t="shared" si="6"/>
        <v>N</v>
      </c>
      <c r="K214" s="16"/>
      <c r="L214" s="16"/>
    </row>
    <row r="215">
      <c r="A215" s="28" t="s">
        <v>449</v>
      </c>
      <c r="B215" s="10" t="str">
        <f t="shared" si="1"/>
        <v>stomach</v>
      </c>
      <c r="C215" s="49" t="str">
        <f t="shared" si="2"/>
        <v>S5335ST1</v>
      </c>
      <c r="D215" s="6">
        <v>238.0</v>
      </c>
      <c r="E215" s="10" t="str">
        <f t="shared" si="3"/>
        <v>BST238</v>
      </c>
      <c r="F215" s="6">
        <v>24.0</v>
      </c>
      <c r="G215" s="10" t="str">
        <f t="shared" si="4"/>
        <v>BST238-24</v>
      </c>
      <c r="H215" s="16"/>
      <c r="I215" s="16" t="str">
        <f t="shared" si="5"/>
        <v>collected</v>
      </c>
      <c r="J215" s="16" t="str">
        <f t="shared" si="6"/>
        <v>N</v>
      </c>
      <c r="K215" s="16"/>
      <c r="L215" s="16"/>
    </row>
    <row r="216">
      <c r="A216" s="27" t="s">
        <v>451</v>
      </c>
      <c r="B216" s="10" t="str">
        <f t="shared" si="1"/>
        <v>stomach</v>
      </c>
      <c r="C216" s="49" t="str">
        <f t="shared" si="2"/>
        <v>S5336ST1</v>
      </c>
      <c r="D216" s="6">
        <v>238.0</v>
      </c>
      <c r="E216" s="10" t="str">
        <f t="shared" si="3"/>
        <v>BST238</v>
      </c>
      <c r="F216" s="6">
        <v>25.0</v>
      </c>
      <c r="G216" s="10" t="str">
        <f t="shared" si="4"/>
        <v>BST238-25</v>
      </c>
      <c r="H216" s="16"/>
      <c r="I216" s="16" t="str">
        <f t="shared" si="5"/>
        <v>collected</v>
      </c>
      <c r="J216" s="16" t="str">
        <f t="shared" si="6"/>
        <v>N</v>
      </c>
      <c r="K216" s="16"/>
      <c r="L216" s="16"/>
    </row>
    <row r="217">
      <c r="A217" s="27" t="s">
        <v>452</v>
      </c>
      <c r="B217" s="10" t="str">
        <f t="shared" si="1"/>
        <v>stomach</v>
      </c>
      <c r="C217" s="49" t="str">
        <f t="shared" si="2"/>
        <v>S5362ST1</v>
      </c>
      <c r="D217" s="6">
        <v>241.0</v>
      </c>
      <c r="E217" s="10" t="str">
        <f t="shared" si="3"/>
        <v>BST241</v>
      </c>
      <c r="F217" s="6">
        <v>1.0</v>
      </c>
      <c r="G217" s="10" t="str">
        <f t="shared" si="4"/>
        <v>BST241-1</v>
      </c>
      <c r="H217" s="16"/>
      <c r="I217" s="16" t="str">
        <f t="shared" si="5"/>
        <v>collected</v>
      </c>
      <c r="J217" s="16" t="str">
        <f t="shared" si="6"/>
        <v>N</v>
      </c>
      <c r="K217" s="16"/>
      <c r="L217" s="16"/>
    </row>
    <row r="218">
      <c r="A218" s="27" t="s">
        <v>454</v>
      </c>
      <c r="B218" s="10" t="str">
        <f t="shared" si="1"/>
        <v>stomach</v>
      </c>
      <c r="C218" s="49" t="str">
        <f t="shared" si="2"/>
        <v>S5363ST1</v>
      </c>
      <c r="D218" s="6">
        <v>241.0</v>
      </c>
      <c r="E218" s="10" t="str">
        <f t="shared" si="3"/>
        <v>BST241</v>
      </c>
      <c r="F218" s="6">
        <v>2.0</v>
      </c>
      <c r="G218" s="10" t="str">
        <f t="shared" si="4"/>
        <v>BST241-2</v>
      </c>
      <c r="H218" s="16"/>
      <c r="I218" s="16" t="str">
        <f t="shared" si="5"/>
        <v>collected</v>
      </c>
      <c r="J218" s="16" t="str">
        <f t="shared" si="6"/>
        <v>N</v>
      </c>
      <c r="K218" s="16"/>
      <c r="L218" s="16"/>
    </row>
    <row r="219">
      <c r="A219" s="27" t="s">
        <v>455</v>
      </c>
      <c r="B219" s="10" t="str">
        <f t="shared" si="1"/>
        <v>stomach</v>
      </c>
      <c r="C219" s="49" t="str">
        <f t="shared" si="2"/>
        <v>S5364ST1</v>
      </c>
      <c r="D219" s="6">
        <v>241.0</v>
      </c>
      <c r="E219" s="10" t="str">
        <f t="shared" si="3"/>
        <v>BST241</v>
      </c>
      <c r="F219" s="6">
        <v>3.0</v>
      </c>
      <c r="G219" s="10" t="str">
        <f t="shared" si="4"/>
        <v>BST241-3</v>
      </c>
      <c r="H219" s="16"/>
      <c r="I219" s="16" t="str">
        <f t="shared" si="5"/>
        <v>collected</v>
      </c>
      <c r="J219" s="16" t="str">
        <f t="shared" si="6"/>
        <v>N</v>
      </c>
      <c r="K219" s="16"/>
      <c r="L219" s="16"/>
    </row>
    <row r="220">
      <c r="A220" s="27" t="s">
        <v>456</v>
      </c>
      <c r="B220" s="10" t="str">
        <f t="shared" si="1"/>
        <v>stomach</v>
      </c>
      <c r="C220" s="49" t="str">
        <f t="shared" si="2"/>
        <v>S5365ST1</v>
      </c>
      <c r="D220" s="6">
        <v>241.0</v>
      </c>
      <c r="E220" s="10" t="str">
        <f t="shared" si="3"/>
        <v>BST241</v>
      </c>
      <c r="F220" s="6">
        <v>4.0</v>
      </c>
      <c r="G220" s="10" t="str">
        <f t="shared" si="4"/>
        <v>BST241-4</v>
      </c>
      <c r="H220" s="16"/>
      <c r="I220" s="16" t="str">
        <f t="shared" si="5"/>
        <v>collected</v>
      </c>
      <c r="J220" s="16" t="str">
        <f t="shared" si="6"/>
        <v>N</v>
      </c>
      <c r="K220" s="16"/>
      <c r="L220" s="16"/>
    </row>
    <row r="221">
      <c r="A221" s="27" t="s">
        <v>457</v>
      </c>
      <c r="B221" s="10" t="str">
        <f t="shared" si="1"/>
        <v>stomach</v>
      </c>
      <c r="C221" s="49" t="str">
        <f t="shared" si="2"/>
        <v>S5366ST1</v>
      </c>
      <c r="D221" s="6">
        <v>241.0</v>
      </c>
      <c r="E221" s="10" t="str">
        <f t="shared" si="3"/>
        <v>BST241</v>
      </c>
      <c r="F221" s="6">
        <v>5.0</v>
      </c>
      <c r="G221" s="10" t="str">
        <f t="shared" si="4"/>
        <v>BST241-5</v>
      </c>
      <c r="H221" s="16"/>
      <c r="I221" s="16" t="str">
        <f t="shared" si="5"/>
        <v>collected</v>
      </c>
      <c r="J221" s="16" t="str">
        <f t="shared" si="6"/>
        <v>N</v>
      </c>
      <c r="K221" s="16"/>
      <c r="L221" s="16"/>
    </row>
    <row r="222">
      <c r="A222" s="27" t="s">
        <v>459</v>
      </c>
      <c r="B222" s="10" t="str">
        <f t="shared" si="1"/>
        <v>stomach</v>
      </c>
      <c r="C222" s="49" t="str">
        <f t="shared" si="2"/>
        <v>S5367ST1</v>
      </c>
      <c r="D222" s="6">
        <v>241.0</v>
      </c>
      <c r="E222" s="10" t="str">
        <f t="shared" si="3"/>
        <v>BST241</v>
      </c>
      <c r="F222" s="6">
        <v>6.0</v>
      </c>
      <c r="G222" s="10" t="str">
        <f t="shared" si="4"/>
        <v>BST241-6</v>
      </c>
      <c r="H222" s="16"/>
      <c r="I222" s="16" t="str">
        <f t="shared" si="5"/>
        <v>collected</v>
      </c>
      <c r="J222" s="16" t="str">
        <f t="shared" si="6"/>
        <v>N</v>
      </c>
      <c r="K222" s="16"/>
      <c r="L222" s="16"/>
    </row>
    <row r="223">
      <c r="A223" s="27" t="s">
        <v>461</v>
      </c>
      <c r="B223" s="10" t="str">
        <f t="shared" si="1"/>
        <v>stomach</v>
      </c>
      <c r="C223" s="49" t="str">
        <f t="shared" si="2"/>
        <v>S5368ST1</v>
      </c>
      <c r="D223" s="6">
        <v>241.0</v>
      </c>
      <c r="E223" s="10" t="str">
        <f t="shared" si="3"/>
        <v>BST241</v>
      </c>
      <c r="F223" s="6">
        <v>7.0</v>
      </c>
      <c r="G223" s="10" t="str">
        <f t="shared" si="4"/>
        <v>BST241-7</v>
      </c>
      <c r="H223" s="16"/>
      <c r="I223" s="16" t="str">
        <f t="shared" si="5"/>
        <v>collected</v>
      </c>
      <c r="J223" s="16" t="str">
        <f t="shared" si="6"/>
        <v>N</v>
      </c>
      <c r="K223" s="16"/>
      <c r="L223" s="16"/>
    </row>
    <row r="224">
      <c r="A224" s="27" t="s">
        <v>462</v>
      </c>
      <c r="B224" s="10" t="str">
        <f t="shared" si="1"/>
        <v>stomach</v>
      </c>
      <c r="C224" s="49" t="str">
        <f t="shared" si="2"/>
        <v>S5369ST1</v>
      </c>
      <c r="D224" s="6">
        <v>241.0</v>
      </c>
      <c r="E224" s="10" t="str">
        <f t="shared" si="3"/>
        <v>BST241</v>
      </c>
      <c r="F224" s="6">
        <v>8.0</v>
      </c>
      <c r="G224" s="10" t="str">
        <f t="shared" si="4"/>
        <v>BST241-8</v>
      </c>
      <c r="H224" s="16"/>
      <c r="I224" s="16" t="str">
        <f t="shared" si="5"/>
        <v>collected</v>
      </c>
      <c r="J224" s="16" t="str">
        <f t="shared" si="6"/>
        <v>N</v>
      </c>
      <c r="K224" s="16"/>
      <c r="L224" s="16"/>
    </row>
    <row r="225">
      <c r="A225" s="27" t="s">
        <v>463</v>
      </c>
      <c r="B225" s="10" t="str">
        <f t="shared" si="1"/>
        <v>stomach</v>
      </c>
      <c r="C225" s="49" t="str">
        <f t="shared" si="2"/>
        <v>S5370ST1</v>
      </c>
      <c r="D225" s="6">
        <v>241.0</v>
      </c>
      <c r="E225" s="10" t="str">
        <f t="shared" si="3"/>
        <v>BST241</v>
      </c>
      <c r="F225" s="6">
        <v>9.0</v>
      </c>
      <c r="G225" s="10" t="str">
        <f t="shared" si="4"/>
        <v>BST241-9</v>
      </c>
      <c r="H225" s="16"/>
      <c r="I225" s="16" t="str">
        <f t="shared" si="5"/>
        <v>collected</v>
      </c>
      <c r="J225" s="16" t="str">
        <f t="shared" si="6"/>
        <v>N</v>
      </c>
      <c r="K225" s="16"/>
      <c r="L225" s="16"/>
    </row>
    <row r="226">
      <c r="A226" s="27" t="s">
        <v>466</v>
      </c>
      <c r="B226" s="10" t="str">
        <f t="shared" si="1"/>
        <v>stomach</v>
      </c>
      <c r="C226" s="49" t="str">
        <f t="shared" si="2"/>
        <v>S5371ST1</v>
      </c>
      <c r="D226" s="6">
        <v>241.0</v>
      </c>
      <c r="E226" s="10" t="str">
        <f t="shared" si="3"/>
        <v>BST241</v>
      </c>
      <c r="F226" s="6">
        <v>10.0</v>
      </c>
      <c r="G226" s="10" t="str">
        <f t="shared" si="4"/>
        <v>BST241-10</v>
      </c>
      <c r="H226" s="16"/>
      <c r="I226" s="16" t="str">
        <f t="shared" si="5"/>
        <v>collected</v>
      </c>
      <c r="J226" s="16" t="str">
        <f t="shared" si="6"/>
        <v>N</v>
      </c>
      <c r="K226" s="16"/>
      <c r="L226" s="16"/>
    </row>
    <row r="227">
      <c r="A227" s="27" t="s">
        <v>467</v>
      </c>
      <c r="B227" s="10" t="str">
        <f t="shared" si="1"/>
        <v>stomach</v>
      </c>
      <c r="C227" s="49" t="str">
        <f t="shared" si="2"/>
        <v>S5372ST1</v>
      </c>
      <c r="D227" s="6">
        <v>241.0</v>
      </c>
      <c r="E227" s="10" t="str">
        <f t="shared" si="3"/>
        <v>BST241</v>
      </c>
      <c r="F227" s="6">
        <v>11.0</v>
      </c>
      <c r="G227" s="10" t="str">
        <f t="shared" si="4"/>
        <v>BST241-11</v>
      </c>
      <c r="H227" s="16"/>
      <c r="I227" s="16" t="str">
        <f t="shared" si="5"/>
        <v>collected</v>
      </c>
      <c r="J227" s="16" t="str">
        <f t="shared" si="6"/>
        <v>N</v>
      </c>
      <c r="K227" s="16"/>
      <c r="L227" s="16"/>
    </row>
    <row r="228">
      <c r="A228" s="27" t="s">
        <v>468</v>
      </c>
      <c r="B228" s="10" t="str">
        <f t="shared" si="1"/>
        <v>stomach</v>
      </c>
      <c r="C228" s="49" t="str">
        <f t="shared" si="2"/>
        <v>S5373ST1</v>
      </c>
      <c r="D228" s="6">
        <v>241.0</v>
      </c>
      <c r="E228" s="10" t="str">
        <f t="shared" si="3"/>
        <v>BST241</v>
      </c>
      <c r="F228" s="6">
        <v>12.0</v>
      </c>
      <c r="G228" s="10" t="str">
        <f t="shared" si="4"/>
        <v>BST241-12</v>
      </c>
      <c r="H228" s="16"/>
      <c r="I228" s="16" t="str">
        <f t="shared" si="5"/>
        <v>collected</v>
      </c>
      <c r="J228" s="16" t="str">
        <f t="shared" si="6"/>
        <v>N</v>
      </c>
      <c r="K228" s="16"/>
      <c r="L228" s="16"/>
    </row>
    <row r="229">
      <c r="A229" s="6" t="s">
        <v>470</v>
      </c>
      <c r="B229" s="10" t="str">
        <f t="shared" si="1"/>
        <v>stomach</v>
      </c>
      <c r="C229" s="49" t="str">
        <f t="shared" si="2"/>
        <v>S5374ST1</v>
      </c>
      <c r="D229" s="6">
        <v>241.0</v>
      </c>
      <c r="E229" s="10" t="str">
        <f t="shared" si="3"/>
        <v>BST241</v>
      </c>
      <c r="F229" s="6">
        <v>13.0</v>
      </c>
      <c r="G229" s="10" t="str">
        <f t="shared" si="4"/>
        <v>BST241-13</v>
      </c>
      <c r="H229" s="16"/>
      <c r="I229" s="16" t="str">
        <f t="shared" si="5"/>
        <v>collected</v>
      </c>
      <c r="J229" s="16" t="str">
        <f t="shared" si="6"/>
        <v>N</v>
      </c>
      <c r="K229" s="16"/>
      <c r="L229" s="16"/>
    </row>
    <row r="230">
      <c r="A230" s="27" t="s">
        <v>471</v>
      </c>
      <c r="B230" s="10" t="str">
        <f t="shared" si="1"/>
        <v>stomach</v>
      </c>
      <c r="C230" s="49" t="str">
        <f t="shared" si="2"/>
        <v>S5375ST1</v>
      </c>
      <c r="D230" s="6">
        <v>241.0</v>
      </c>
      <c r="E230" s="10" t="str">
        <f t="shared" si="3"/>
        <v>BST241</v>
      </c>
      <c r="F230" s="6">
        <v>14.0</v>
      </c>
      <c r="G230" s="10" t="str">
        <f t="shared" si="4"/>
        <v>BST241-14</v>
      </c>
      <c r="H230" s="16"/>
      <c r="I230" s="16" t="str">
        <f t="shared" si="5"/>
        <v>collected</v>
      </c>
      <c r="J230" s="16" t="str">
        <f t="shared" si="6"/>
        <v>N</v>
      </c>
      <c r="K230" s="16"/>
      <c r="L230" s="16"/>
    </row>
    <row r="231">
      <c r="A231" s="27" t="s">
        <v>476</v>
      </c>
      <c r="B231" s="10" t="str">
        <f t="shared" si="1"/>
        <v>stomach</v>
      </c>
      <c r="C231" s="49" t="str">
        <f t="shared" si="2"/>
        <v>S5376ST1</v>
      </c>
      <c r="D231" s="6">
        <v>241.0</v>
      </c>
      <c r="E231" s="10" t="str">
        <f t="shared" si="3"/>
        <v>BST241</v>
      </c>
      <c r="F231" s="6">
        <v>15.0</v>
      </c>
      <c r="G231" s="10" t="str">
        <f t="shared" si="4"/>
        <v>BST241-15</v>
      </c>
      <c r="H231" s="16"/>
      <c r="I231" s="16" t="str">
        <f t="shared" si="5"/>
        <v>collected</v>
      </c>
      <c r="J231" s="16" t="str">
        <f t="shared" si="6"/>
        <v>N</v>
      </c>
      <c r="K231" s="16"/>
      <c r="L231" s="16"/>
    </row>
    <row r="232">
      <c r="A232" s="27" t="s">
        <v>478</v>
      </c>
      <c r="B232" s="10" t="str">
        <f t="shared" si="1"/>
        <v>stomach</v>
      </c>
      <c r="C232" s="49" t="str">
        <f t="shared" si="2"/>
        <v>S5377ST1</v>
      </c>
      <c r="D232" s="6">
        <v>241.0</v>
      </c>
      <c r="E232" s="10" t="str">
        <f t="shared" si="3"/>
        <v>BST241</v>
      </c>
      <c r="F232" s="6">
        <v>16.0</v>
      </c>
      <c r="G232" s="10" t="str">
        <f t="shared" si="4"/>
        <v>BST241-16</v>
      </c>
      <c r="H232" s="16"/>
      <c r="I232" s="16" t="str">
        <f t="shared" si="5"/>
        <v>collected</v>
      </c>
      <c r="J232" s="16" t="str">
        <f t="shared" si="6"/>
        <v>N</v>
      </c>
      <c r="K232" s="16"/>
      <c r="L232" s="16"/>
    </row>
    <row r="233">
      <c r="A233" s="27" t="s">
        <v>480</v>
      </c>
      <c r="B233" s="10" t="str">
        <f t="shared" si="1"/>
        <v>stomach</v>
      </c>
      <c r="C233" s="49" t="str">
        <f t="shared" si="2"/>
        <v>S5378ST1</v>
      </c>
      <c r="D233" s="6">
        <v>241.0</v>
      </c>
      <c r="E233" s="10" t="str">
        <f t="shared" si="3"/>
        <v>BST241</v>
      </c>
      <c r="F233" s="6">
        <v>17.0</v>
      </c>
      <c r="G233" s="10" t="str">
        <f t="shared" si="4"/>
        <v>BST241-17</v>
      </c>
      <c r="H233" s="16"/>
      <c r="I233" s="16" t="str">
        <f t="shared" si="5"/>
        <v>collected</v>
      </c>
      <c r="J233" s="16" t="str">
        <f t="shared" si="6"/>
        <v>N</v>
      </c>
      <c r="K233" s="16"/>
      <c r="L233" s="16"/>
    </row>
    <row r="234">
      <c r="A234" s="27" t="s">
        <v>482</v>
      </c>
      <c r="B234" s="10" t="str">
        <f t="shared" si="1"/>
        <v>stomach</v>
      </c>
      <c r="C234" s="49" t="str">
        <f t="shared" si="2"/>
        <v>S5379ST1</v>
      </c>
      <c r="D234" s="6">
        <v>241.0</v>
      </c>
      <c r="E234" s="10" t="str">
        <f t="shared" si="3"/>
        <v>BST241</v>
      </c>
      <c r="F234" s="6">
        <v>18.0</v>
      </c>
      <c r="G234" s="10" t="str">
        <f t="shared" si="4"/>
        <v>BST241-18</v>
      </c>
      <c r="H234" s="16"/>
      <c r="I234" s="16" t="str">
        <f t="shared" si="5"/>
        <v>collected</v>
      </c>
      <c r="J234" s="16" t="str">
        <f t="shared" si="6"/>
        <v>N</v>
      </c>
      <c r="K234" s="16"/>
      <c r="L234" s="16"/>
    </row>
    <row r="235">
      <c r="A235" s="27" t="s">
        <v>483</v>
      </c>
      <c r="B235" s="10" t="str">
        <f t="shared" si="1"/>
        <v>stomach</v>
      </c>
      <c r="C235" s="49" t="str">
        <f t="shared" si="2"/>
        <v>S5380ST1</v>
      </c>
      <c r="D235" s="6">
        <v>241.0</v>
      </c>
      <c r="E235" s="10" t="str">
        <f t="shared" si="3"/>
        <v>BST241</v>
      </c>
      <c r="F235" s="6">
        <v>19.0</v>
      </c>
      <c r="G235" s="10" t="str">
        <f t="shared" si="4"/>
        <v>BST241-19</v>
      </c>
      <c r="H235" s="16"/>
      <c r="I235" s="16" t="str">
        <f t="shared" si="5"/>
        <v>collected</v>
      </c>
      <c r="J235" s="16" t="str">
        <f t="shared" si="6"/>
        <v>N</v>
      </c>
      <c r="K235" s="16"/>
      <c r="L235" s="16"/>
    </row>
    <row r="236">
      <c r="A236" s="27" t="s">
        <v>484</v>
      </c>
      <c r="B236" s="10" t="str">
        <f t="shared" si="1"/>
        <v>stomach</v>
      </c>
      <c r="C236" s="49" t="str">
        <f t="shared" si="2"/>
        <v>S5381ST1</v>
      </c>
      <c r="D236" s="6">
        <v>241.0</v>
      </c>
      <c r="E236" s="10" t="str">
        <f t="shared" si="3"/>
        <v>BST241</v>
      </c>
      <c r="F236" s="6">
        <v>20.0</v>
      </c>
      <c r="G236" s="10" t="str">
        <f t="shared" si="4"/>
        <v>BST241-20</v>
      </c>
      <c r="H236" s="16"/>
      <c r="I236" s="16" t="str">
        <f t="shared" si="5"/>
        <v>collected</v>
      </c>
      <c r="J236" s="16" t="str">
        <f t="shared" si="6"/>
        <v>N</v>
      </c>
      <c r="K236" s="16"/>
      <c r="L236" s="16"/>
    </row>
    <row r="237">
      <c r="A237" s="27" t="s">
        <v>487</v>
      </c>
      <c r="B237" s="10" t="str">
        <f t="shared" si="1"/>
        <v>stomach</v>
      </c>
      <c r="C237" s="49" t="str">
        <f t="shared" si="2"/>
        <v>S5382ST1</v>
      </c>
      <c r="D237" s="6">
        <v>241.0</v>
      </c>
      <c r="E237" s="10" t="str">
        <f t="shared" si="3"/>
        <v>BST241</v>
      </c>
      <c r="F237" s="6">
        <v>21.0</v>
      </c>
      <c r="G237" s="10" t="str">
        <f t="shared" si="4"/>
        <v>BST241-21</v>
      </c>
      <c r="H237" s="16"/>
      <c r="I237" s="16" t="str">
        <f t="shared" si="5"/>
        <v>collected</v>
      </c>
      <c r="J237" s="16" t="str">
        <f t="shared" si="6"/>
        <v>N</v>
      </c>
      <c r="K237" s="16"/>
      <c r="L237" s="16"/>
    </row>
    <row r="238">
      <c r="A238" s="27" t="s">
        <v>488</v>
      </c>
      <c r="B238" s="10" t="str">
        <f t="shared" si="1"/>
        <v>stomach</v>
      </c>
      <c r="C238" s="49" t="str">
        <f t="shared" si="2"/>
        <v>S5383ST1</v>
      </c>
      <c r="D238" s="6">
        <v>241.0</v>
      </c>
      <c r="E238" s="10" t="str">
        <f t="shared" si="3"/>
        <v>BST241</v>
      </c>
      <c r="F238" s="6">
        <v>22.0</v>
      </c>
      <c r="G238" s="10" t="str">
        <f t="shared" si="4"/>
        <v>BST241-22</v>
      </c>
      <c r="H238" s="16"/>
      <c r="I238" s="16" t="str">
        <f t="shared" si="5"/>
        <v>collected</v>
      </c>
      <c r="J238" s="16" t="str">
        <f t="shared" si="6"/>
        <v>N</v>
      </c>
      <c r="K238" s="16"/>
      <c r="L238" s="16"/>
    </row>
    <row r="239">
      <c r="A239" s="27" t="s">
        <v>490</v>
      </c>
      <c r="B239" s="10" t="str">
        <f t="shared" si="1"/>
        <v>stomach</v>
      </c>
      <c r="C239" s="49" t="str">
        <f t="shared" si="2"/>
        <v>S5384ST1</v>
      </c>
      <c r="D239" s="6">
        <v>241.0</v>
      </c>
      <c r="E239" s="10" t="str">
        <f t="shared" si="3"/>
        <v>BST241</v>
      </c>
      <c r="F239" s="6">
        <v>23.0</v>
      </c>
      <c r="G239" s="10" t="str">
        <f t="shared" si="4"/>
        <v>BST241-23</v>
      </c>
      <c r="H239" s="16"/>
      <c r="I239" s="16" t="str">
        <f t="shared" si="5"/>
        <v>collected</v>
      </c>
      <c r="J239" s="16" t="str">
        <f t="shared" si="6"/>
        <v>N</v>
      </c>
      <c r="K239" s="16"/>
      <c r="L239" s="16"/>
    </row>
    <row r="240">
      <c r="A240" s="27" t="s">
        <v>492</v>
      </c>
      <c r="B240" s="10" t="str">
        <f t="shared" si="1"/>
        <v>stomach</v>
      </c>
      <c r="C240" s="49" t="str">
        <f t="shared" si="2"/>
        <v>S5385ST1</v>
      </c>
      <c r="D240" s="6">
        <v>241.0</v>
      </c>
      <c r="E240" s="10" t="str">
        <f t="shared" si="3"/>
        <v>BST241</v>
      </c>
      <c r="F240" s="6">
        <v>24.0</v>
      </c>
      <c r="G240" s="10" t="str">
        <f t="shared" si="4"/>
        <v>BST241-24</v>
      </c>
      <c r="H240" s="16"/>
      <c r="I240" s="16" t="str">
        <f t="shared" si="5"/>
        <v>collected</v>
      </c>
      <c r="J240" s="16" t="str">
        <f t="shared" si="6"/>
        <v>N</v>
      </c>
      <c r="K240" s="16"/>
      <c r="L240" s="16"/>
    </row>
    <row r="241">
      <c r="A241" s="27" t="s">
        <v>493</v>
      </c>
      <c r="B241" s="10" t="str">
        <f t="shared" si="1"/>
        <v>stomach</v>
      </c>
      <c r="C241" s="49" t="str">
        <f t="shared" si="2"/>
        <v>S5386ST1</v>
      </c>
      <c r="D241" s="6">
        <v>241.0</v>
      </c>
      <c r="E241" s="10" t="str">
        <f t="shared" si="3"/>
        <v>BST241</v>
      </c>
      <c r="F241" s="6">
        <v>25.0</v>
      </c>
      <c r="G241" s="10" t="str">
        <f t="shared" si="4"/>
        <v>BST241-25</v>
      </c>
      <c r="H241" s="16"/>
      <c r="I241" s="16" t="str">
        <f t="shared" si="5"/>
        <v>collected</v>
      </c>
      <c r="J241" s="16" t="str">
        <f t="shared" si="6"/>
        <v>N</v>
      </c>
      <c r="K241" s="16"/>
      <c r="L241" s="16"/>
    </row>
    <row r="242">
      <c r="A242" s="27" t="s">
        <v>495</v>
      </c>
      <c r="B242" s="10" t="str">
        <f t="shared" si="1"/>
        <v>stomach</v>
      </c>
      <c r="C242" s="49" t="str">
        <f t="shared" si="2"/>
        <v>S5387ST1</v>
      </c>
      <c r="D242" s="6">
        <v>242.0</v>
      </c>
      <c r="E242" s="10" t="str">
        <f t="shared" si="3"/>
        <v>BST242</v>
      </c>
      <c r="F242" s="6">
        <v>1.0</v>
      </c>
      <c r="G242" s="10" t="str">
        <f t="shared" si="4"/>
        <v>BST242-1</v>
      </c>
      <c r="H242" s="16"/>
      <c r="I242" s="16" t="str">
        <f t="shared" si="5"/>
        <v>collected</v>
      </c>
      <c r="J242" s="16" t="str">
        <f t="shared" si="6"/>
        <v>N</v>
      </c>
      <c r="K242" s="16"/>
      <c r="L242" s="16"/>
    </row>
    <row r="243">
      <c r="A243" s="27" t="s">
        <v>498</v>
      </c>
      <c r="B243" s="10" t="str">
        <f t="shared" si="1"/>
        <v>stomach</v>
      </c>
      <c r="C243" s="49" t="str">
        <f t="shared" si="2"/>
        <v>S5388ST1</v>
      </c>
      <c r="D243" s="6">
        <v>242.0</v>
      </c>
      <c r="E243" s="10" t="str">
        <f t="shared" si="3"/>
        <v>BST242</v>
      </c>
      <c r="F243" s="6">
        <v>2.0</v>
      </c>
      <c r="G243" s="10" t="str">
        <f t="shared" si="4"/>
        <v>BST242-2</v>
      </c>
      <c r="H243" s="16"/>
      <c r="I243" s="16" t="str">
        <f t="shared" si="5"/>
        <v>collected</v>
      </c>
      <c r="J243" s="16" t="str">
        <f t="shared" si="6"/>
        <v>N</v>
      </c>
      <c r="K243" s="16"/>
      <c r="L243" s="16"/>
    </row>
    <row r="244">
      <c r="A244" s="27" t="s">
        <v>500</v>
      </c>
      <c r="B244" s="10" t="str">
        <f t="shared" si="1"/>
        <v>stomach</v>
      </c>
      <c r="C244" s="49" t="str">
        <f t="shared" si="2"/>
        <v>S5341ST1</v>
      </c>
      <c r="D244" s="6">
        <v>240.0</v>
      </c>
      <c r="E244" s="10" t="str">
        <f t="shared" si="3"/>
        <v>BST240</v>
      </c>
      <c r="F244" s="6">
        <v>5.0</v>
      </c>
      <c r="G244" s="10" t="str">
        <f t="shared" si="4"/>
        <v>BST240-5</v>
      </c>
      <c r="H244" s="6" t="s">
        <v>2219</v>
      </c>
      <c r="I244" s="16" t="str">
        <f t="shared" si="5"/>
        <v>collected</v>
      </c>
      <c r="J244" s="16" t="str">
        <f t="shared" si="6"/>
        <v>N</v>
      </c>
      <c r="K244" s="16"/>
      <c r="L244" s="16"/>
    </row>
    <row r="245">
      <c r="A245" s="27" t="s">
        <v>501</v>
      </c>
      <c r="B245" s="10" t="str">
        <f t="shared" si="1"/>
        <v>stomach</v>
      </c>
      <c r="C245" s="49" t="str">
        <f t="shared" si="2"/>
        <v>S5342ST1</v>
      </c>
      <c r="D245" s="6">
        <v>240.0</v>
      </c>
      <c r="E245" s="10" t="str">
        <f t="shared" si="3"/>
        <v>BST240</v>
      </c>
      <c r="F245" s="6">
        <v>6.0</v>
      </c>
      <c r="G245" s="10" t="str">
        <f t="shared" si="4"/>
        <v>BST240-6</v>
      </c>
      <c r="H245" s="16"/>
      <c r="I245" s="16" t="str">
        <f t="shared" si="5"/>
        <v>collected</v>
      </c>
      <c r="J245" s="16" t="str">
        <f t="shared" si="6"/>
        <v>N</v>
      </c>
      <c r="K245" s="16"/>
      <c r="L245" s="16"/>
    </row>
    <row r="246">
      <c r="A246" s="29" t="s">
        <v>504</v>
      </c>
      <c r="B246" s="10" t="str">
        <f t="shared" si="1"/>
        <v>stomach</v>
      </c>
      <c r="C246" s="49" t="str">
        <f t="shared" si="2"/>
        <v>S5343ST1</v>
      </c>
      <c r="D246" s="6">
        <v>240.0</v>
      </c>
      <c r="E246" s="10" t="str">
        <f t="shared" si="3"/>
        <v>BST240</v>
      </c>
      <c r="F246" s="6">
        <v>7.0</v>
      </c>
      <c r="G246" s="10" t="str">
        <f t="shared" si="4"/>
        <v>BST240-7</v>
      </c>
      <c r="H246" s="16"/>
      <c r="I246" s="16" t="str">
        <f t="shared" si="5"/>
        <v>collected</v>
      </c>
      <c r="J246" s="16" t="str">
        <f t="shared" si="6"/>
        <v>N</v>
      </c>
      <c r="K246" s="16"/>
      <c r="L246" s="16"/>
    </row>
    <row r="247">
      <c r="A247" s="29" t="s">
        <v>506</v>
      </c>
      <c r="B247" s="10" t="str">
        <f t="shared" si="1"/>
        <v>stomach</v>
      </c>
      <c r="C247" s="49" t="str">
        <f t="shared" si="2"/>
        <v>S5344ST1</v>
      </c>
      <c r="D247" s="6">
        <v>240.0</v>
      </c>
      <c r="E247" s="10" t="str">
        <f t="shared" si="3"/>
        <v>BST240</v>
      </c>
      <c r="F247" s="6">
        <v>8.0</v>
      </c>
      <c r="G247" s="10" t="str">
        <f t="shared" si="4"/>
        <v>BST240-8</v>
      </c>
      <c r="H247" s="16"/>
      <c r="I247" s="16" t="str">
        <f t="shared" si="5"/>
        <v>collected</v>
      </c>
      <c r="J247" s="16" t="str">
        <f t="shared" si="6"/>
        <v>N</v>
      </c>
      <c r="K247" s="16"/>
      <c r="L247" s="16"/>
    </row>
    <row r="248">
      <c r="A248" s="29" t="s">
        <v>507</v>
      </c>
      <c r="B248" s="10" t="str">
        <f t="shared" si="1"/>
        <v>stomach</v>
      </c>
      <c r="C248" s="49" t="str">
        <f t="shared" si="2"/>
        <v>S5345ST1</v>
      </c>
      <c r="D248" s="6">
        <v>240.0</v>
      </c>
      <c r="E248" s="10" t="str">
        <f t="shared" si="3"/>
        <v>BST240</v>
      </c>
      <c r="F248" s="6">
        <v>9.0</v>
      </c>
      <c r="G248" s="10" t="str">
        <f t="shared" si="4"/>
        <v>BST240-9</v>
      </c>
      <c r="H248" s="16"/>
      <c r="I248" s="16" t="str">
        <f t="shared" si="5"/>
        <v>collected</v>
      </c>
      <c r="J248" s="16" t="str">
        <f t="shared" si="6"/>
        <v>N</v>
      </c>
      <c r="K248" s="16"/>
      <c r="L248" s="16"/>
    </row>
    <row r="249">
      <c r="A249" s="29" t="s">
        <v>509</v>
      </c>
      <c r="B249" s="10" t="str">
        <f t="shared" si="1"/>
        <v>stomach</v>
      </c>
      <c r="C249" s="49" t="str">
        <f t="shared" si="2"/>
        <v>S5346ST1</v>
      </c>
      <c r="D249" s="6">
        <v>240.0</v>
      </c>
      <c r="E249" s="10" t="str">
        <f t="shared" si="3"/>
        <v>BST240</v>
      </c>
      <c r="F249" s="6">
        <v>10.0</v>
      </c>
      <c r="G249" s="10" t="str">
        <f t="shared" si="4"/>
        <v>BST240-10</v>
      </c>
      <c r="H249" s="16"/>
      <c r="I249" s="16" t="str">
        <f t="shared" si="5"/>
        <v>collected</v>
      </c>
      <c r="J249" s="16" t="str">
        <f t="shared" si="6"/>
        <v>N</v>
      </c>
      <c r="K249" s="16"/>
      <c r="L249" s="16"/>
    </row>
    <row r="250">
      <c r="A250" s="26" t="s">
        <v>511</v>
      </c>
      <c r="B250" s="10" t="str">
        <f t="shared" si="1"/>
        <v>stomach</v>
      </c>
      <c r="C250" s="49" t="str">
        <f t="shared" si="2"/>
        <v>S5347ST1</v>
      </c>
      <c r="D250" s="6">
        <v>240.0</v>
      </c>
      <c r="E250" s="10" t="str">
        <f t="shared" si="3"/>
        <v>BST240</v>
      </c>
      <c r="F250" s="6">
        <v>11.0</v>
      </c>
      <c r="G250" s="10" t="str">
        <f t="shared" si="4"/>
        <v>BST240-11</v>
      </c>
      <c r="H250" s="16"/>
      <c r="I250" s="16" t="str">
        <f t="shared" si="5"/>
        <v>collected</v>
      </c>
      <c r="J250" s="16" t="str">
        <f t="shared" si="6"/>
        <v>N</v>
      </c>
      <c r="K250" s="16"/>
      <c r="L250" s="16"/>
    </row>
    <row r="251">
      <c r="A251" s="26" t="s">
        <v>512</v>
      </c>
      <c r="B251" s="10" t="str">
        <f t="shared" si="1"/>
        <v>stomach</v>
      </c>
      <c r="C251" s="49" t="str">
        <f t="shared" si="2"/>
        <v>S5348ST1</v>
      </c>
      <c r="D251" s="6">
        <v>240.0</v>
      </c>
      <c r="E251" s="10" t="str">
        <f t="shared" si="3"/>
        <v>BST240</v>
      </c>
      <c r="F251" s="6">
        <v>12.0</v>
      </c>
      <c r="G251" s="10" t="str">
        <f t="shared" si="4"/>
        <v>BST240-12</v>
      </c>
      <c r="H251" s="16"/>
      <c r="I251" s="16" t="str">
        <f t="shared" si="5"/>
        <v>collected</v>
      </c>
      <c r="J251" s="16" t="str">
        <f t="shared" si="6"/>
        <v>N</v>
      </c>
      <c r="K251" s="16"/>
      <c r="L251" s="16"/>
    </row>
    <row r="252">
      <c r="A252" s="26" t="s">
        <v>514</v>
      </c>
      <c r="B252" s="10" t="str">
        <f t="shared" si="1"/>
        <v>stomach</v>
      </c>
      <c r="C252" s="49" t="str">
        <f t="shared" si="2"/>
        <v>S5349ST1</v>
      </c>
      <c r="D252" s="6">
        <v>240.0</v>
      </c>
      <c r="E252" s="10" t="str">
        <f t="shared" si="3"/>
        <v>BST240</v>
      </c>
      <c r="F252" s="6">
        <v>13.0</v>
      </c>
      <c r="G252" s="10" t="str">
        <f t="shared" si="4"/>
        <v>BST240-13</v>
      </c>
      <c r="H252" s="6"/>
      <c r="I252" s="16" t="str">
        <f t="shared" si="5"/>
        <v>collected</v>
      </c>
      <c r="J252" s="16" t="str">
        <f t="shared" si="6"/>
        <v>N</v>
      </c>
      <c r="K252" s="16"/>
      <c r="L252" s="16"/>
    </row>
    <row r="253">
      <c r="A253" s="26" t="s">
        <v>515</v>
      </c>
      <c r="B253" s="10" t="str">
        <f t="shared" si="1"/>
        <v>stomach</v>
      </c>
      <c r="C253" s="49" t="str">
        <f t="shared" si="2"/>
        <v>S5350ST1</v>
      </c>
      <c r="D253" s="6">
        <v>240.0</v>
      </c>
      <c r="E253" s="10" t="str">
        <f t="shared" si="3"/>
        <v>BST240</v>
      </c>
      <c r="F253" s="6">
        <v>14.0</v>
      </c>
      <c r="G253" s="10" t="str">
        <f t="shared" si="4"/>
        <v>BST240-14</v>
      </c>
      <c r="H253" s="6"/>
      <c r="I253" s="16" t="str">
        <f t="shared" si="5"/>
        <v>collected</v>
      </c>
      <c r="J253" s="16" t="str">
        <f t="shared" si="6"/>
        <v>N</v>
      </c>
      <c r="K253" s="16"/>
      <c r="L253" s="16"/>
    </row>
    <row r="254">
      <c r="A254" s="26" t="s">
        <v>516</v>
      </c>
      <c r="B254" s="10" t="str">
        <f t="shared" si="1"/>
        <v>stomach</v>
      </c>
      <c r="C254" s="49" t="str">
        <f t="shared" si="2"/>
        <v>S5351ST1</v>
      </c>
      <c r="D254" s="6">
        <v>240.0</v>
      </c>
      <c r="E254" s="10" t="str">
        <f t="shared" si="3"/>
        <v>BST240</v>
      </c>
      <c r="F254" s="6">
        <v>15.0</v>
      </c>
      <c r="G254" s="10" t="str">
        <f t="shared" si="4"/>
        <v>BST240-15</v>
      </c>
      <c r="H254" s="6"/>
      <c r="I254" s="16" t="str">
        <f t="shared" si="5"/>
        <v>collected</v>
      </c>
      <c r="J254" s="16" t="str">
        <f t="shared" si="6"/>
        <v>N</v>
      </c>
      <c r="K254" s="16"/>
      <c r="L254" s="16"/>
    </row>
    <row r="255">
      <c r="A255" s="26" t="s">
        <v>519</v>
      </c>
      <c r="B255" s="10" t="str">
        <f t="shared" si="1"/>
        <v>stomach</v>
      </c>
      <c r="C255" s="49" t="str">
        <f t="shared" si="2"/>
        <v>S5352ST1</v>
      </c>
      <c r="D255" s="6">
        <v>240.0</v>
      </c>
      <c r="E255" s="10" t="str">
        <f t="shared" si="3"/>
        <v>BST240</v>
      </c>
      <c r="F255" s="6">
        <v>16.0</v>
      </c>
      <c r="G255" s="10" t="str">
        <f t="shared" si="4"/>
        <v>BST240-16</v>
      </c>
      <c r="H255" s="6"/>
      <c r="I255" s="16" t="str">
        <f t="shared" si="5"/>
        <v>collected</v>
      </c>
      <c r="J255" s="16" t="str">
        <f t="shared" si="6"/>
        <v>N</v>
      </c>
      <c r="K255" s="16"/>
      <c r="L255" s="16"/>
    </row>
    <row r="256">
      <c r="A256" s="26" t="s">
        <v>520</v>
      </c>
      <c r="B256" s="10" t="str">
        <f t="shared" si="1"/>
        <v>stomach</v>
      </c>
      <c r="C256" s="49" t="str">
        <f t="shared" si="2"/>
        <v>S5353ST1</v>
      </c>
      <c r="D256" s="6">
        <v>240.0</v>
      </c>
      <c r="E256" s="10" t="str">
        <f t="shared" si="3"/>
        <v>BST240</v>
      </c>
      <c r="F256" s="6">
        <v>17.0</v>
      </c>
      <c r="G256" s="10" t="str">
        <f t="shared" si="4"/>
        <v>BST240-17</v>
      </c>
      <c r="H256" s="16"/>
      <c r="I256" s="16" t="str">
        <f t="shared" si="5"/>
        <v>collected</v>
      </c>
      <c r="J256" s="16" t="str">
        <f t="shared" si="6"/>
        <v>N</v>
      </c>
      <c r="K256" s="16"/>
      <c r="L256" s="16"/>
    </row>
    <row r="257">
      <c r="A257" s="26" t="s">
        <v>522</v>
      </c>
      <c r="B257" s="10" t="str">
        <f t="shared" si="1"/>
        <v>stomach</v>
      </c>
      <c r="C257" s="49" t="str">
        <f t="shared" si="2"/>
        <v>S5354ST1</v>
      </c>
      <c r="D257" s="6">
        <v>240.0</v>
      </c>
      <c r="E257" s="10" t="str">
        <f t="shared" si="3"/>
        <v>BST240</v>
      </c>
      <c r="F257" s="6">
        <v>18.0</v>
      </c>
      <c r="G257" s="10" t="str">
        <f t="shared" si="4"/>
        <v>BST240-18</v>
      </c>
      <c r="H257" s="16"/>
      <c r="I257" s="16" t="str">
        <f t="shared" si="5"/>
        <v>collected</v>
      </c>
      <c r="J257" s="16" t="str">
        <f t="shared" si="6"/>
        <v>N</v>
      </c>
      <c r="K257" s="16"/>
      <c r="L257" s="16"/>
    </row>
    <row r="258">
      <c r="A258" s="26" t="s">
        <v>523</v>
      </c>
      <c r="B258" s="10" t="str">
        <f t="shared" si="1"/>
        <v>stomach</v>
      </c>
      <c r="C258" s="49" t="str">
        <f t="shared" si="2"/>
        <v>S5355ST1</v>
      </c>
      <c r="D258" s="6">
        <v>240.0</v>
      </c>
      <c r="E258" s="10" t="str">
        <f t="shared" si="3"/>
        <v>BST240</v>
      </c>
      <c r="F258" s="6">
        <v>19.0</v>
      </c>
      <c r="G258" s="10" t="str">
        <f t="shared" si="4"/>
        <v>BST240-19</v>
      </c>
      <c r="H258" s="6" t="s">
        <v>2220</v>
      </c>
      <c r="I258" s="16" t="str">
        <f t="shared" si="5"/>
        <v>collected</v>
      </c>
      <c r="J258" s="16" t="str">
        <f t="shared" si="6"/>
        <v>N</v>
      </c>
      <c r="K258" s="16"/>
      <c r="L258" s="16"/>
    </row>
    <row r="259">
      <c r="A259" s="26" t="s">
        <v>524</v>
      </c>
      <c r="B259" s="10" t="str">
        <f t="shared" si="1"/>
        <v>stomach</v>
      </c>
      <c r="C259" s="49" t="str">
        <f t="shared" si="2"/>
        <v>S5356ST1</v>
      </c>
      <c r="D259" s="6">
        <v>240.0</v>
      </c>
      <c r="E259" s="10" t="str">
        <f t="shared" si="3"/>
        <v>BST240</v>
      </c>
      <c r="F259" s="6">
        <v>20.0</v>
      </c>
      <c r="G259" s="10" t="str">
        <f t="shared" si="4"/>
        <v>BST240-20</v>
      </c>
      <c r="H259" s="16"/>
      <c r="I259" s="16" t="str">
        <f t="shared" si="5"/>
        <v>collected</v>
      </c>
      <c r="J259" s="16" t="str">
        <f t="shared" si="6"/>
        <v>N</v>
      </c>
      <c r="K259" s="16"/>
      <c r="L259" s="16"/>
    </row>
    <row r="260">
      <c r="A260" s="26" t="s">
        <v>527</v>
      </c>
      <c r="B260" s="10" t="str">
        <f t="shared" si="1"/>
        <v>stomach</v>
      </c>
      <c r="C260" s="49" t="str">
        <f t="shared" si="2"/>
        <v>S5302ST1</v>
      </c>
      <c r="D260" s="6">
        <v>239.0</v>
      </c>
      <c r="E260" s="10" t="str">
        <f t="shared" si="3"/>
        <v>BST239</v>
      </c>
      <c r="F260" s="6">
        <v>1.0</v>
      </c>
      <c r="G260" s="10" t="str">
        <f t="shared" si="4"/>
        <v>BST239-1</v>
      </c>
      <c r="H260" s="6" t="s">
        <v>2221</v>
      </c>
      <c r="I260" s="16" t="str">
        <f t="shared" si="5"/>
        <v>collected</v>
      </c>
      <c r="J260" s="16" t="str">
        <f t="shared" si="6"/>
        <v>N</v>
      </c>
      <c r="K260" s="16"/>
      <c r="L260" s="16"/>
    </row>
    <row r="261">
      <c r="A261" s="26" t="s">
        <v>528</v>
      </c>
      <c r="B261" s="10" t="str">
        <f t="shared" si="1"/>
        <v>stomach</v>
      </c>
      <c r="C261" s="49" t="str">
        <f t="shared" si="2"/>
        <v>S5303ST1</v>
      </c>
      <c r="D261" s="6">
        <v>239.0</v>
      </c>
      <c r="E261" s="10" t="str">
        <f t="shared" si="3"/>
        <v>BST239</v>
      </c>
      <c r="F261" s="6">
        <v>2.0</v>
      </c>
      <c r="G261" s="10" t="str">
        <f t="shared" si="4"/>
        <v>BST239-2</v>
      </c>
      <c r="H261" s="16"/>
      <c r="I261" s="16" t="str">
        <f t="shared" si="5"/>
        <v>collected</v>
      </c>
      <c r="J261" s="16" t="str">
        <f t="shared" si="6"/>
        <v>N</v>
      </c>
      <c r="K261" s="16"/>
      <c r="L261" s="16"/>
    </row>
    <row r="262">
      <c r="A262" s="26" t="s">
        <v>529</v>
      </c>
      <c r="B262" s="10" t="str">
        <f t="shared" si="1"/>
        <v>stomach</v>
      </c>
      <c r="C262" s="49" t="str">
        <f t="shared" si="2"/>
        <v>S5304ST1</v>
      </c>
      <c r="D262" s="6">
        <v>239.0</v>
      </c>
      <c r="E262" s="10" t="str">
        <f t="shared" si="3"/>
        <v>BST239</v>
      </c>
      <c r="F262" s="6">
        <v>3.0</v>
      </c>
      <c r="G262" s="10" t="str">
        <f t="shared" si="4"/>
        <v>BST239-3</v>
      </c>
      <c r="H262" s="16"/>
      <c r="I262" s="16" t="str">
        <f t="shared" si="5"/>
        <v>collected</v>
      </c>
      <c r="J262" s="16" t="str">
        <f t="shared" si="6"/>
        <v>N</v>
      </c>
      <c r="K262" s="16"/>
      <c r="L262" s="16"/>
    </row>
    <row r="263">
      <c r="A263" s="26" t="s">
        <v>530</v>
      </c>
      <c r="B263" s="10" t="str">
        <f t="shared" si="1"/>
        <v>stomach</v>
      </c>
      <c r="C263" s="49" t="str">
        <f t="shared" si="2"/>
        <v>S5305ST1</v>
      </c>
      <c r="D263" s="6">
        <v>239.0</v>
      </c>
      <c r="E263" s="10" t="str">
        <f t="shared" si="3"/>
        <v>BST239</v>
      </c>
      <c r="F263" s="6">
        <v>4.0</v>
      </c>
      <c r="G263" s="10" t="str">
        <f t="shared" si="4"/>
        <v>BST239-4</v>
      </c>
      <c r="H263" s="16"/>
      <c r="I263" s="16" t="str">
        <f t="shared" si="5"/>
        <v>collected</v>
      </c>
      <c r="J263" s="16" t="str">
        <f t="shared" si="6"/>
        <v>N</v>
      </c>
      <c r="K263" s="16"/>
      <c r="L263" s="16"/>
    </row>
    <row r="264">
      <c r="A264" s="26" t="s">
        <v>531</v>
      </c>
      <c r="B264" s="10" t="str">
        <f t="shared" si="1"/>
        <v>stomach</v>
      </c>
      <c r="C264" s="49" t="str">
        <f t="shared" si="2"/>
        <v>S5306ST1</v>
      </c>
      <c r="D264" s="6">
        <v>239.0</v>
      </c>
      <c r="E264" s="10" t="str">
        <f t="shared" si="3"/>
        <v>BST239</v>
      </c>
      <c r="F264" s="6">
        <v>5.0</v>
      </c>
      <c r="G264" s="10" t="str">
        <f t="shared" si="4"/>
        <v>BST239-5</v>
      </c>
      <c r="H264" s="16"/>
      <c r="I264" s="16" t="str">
        <f t="shared" si="5"/>
        <v>collected</v>
      </c>
      <c r="J264" s="16" t="str">
        <f t="shared" si="6"/>
        <v>N</v>
      </c>
      <c r="K264" s="16"/>
      <c r="L264" s="16"/>
    </row>
    <row r="265">
      <c r="A265" s="26" t="s">
        <v>534</v>
      </c>
      <c r="B265" s="10" t="str">
        <f t="shared" si="1"/>
        <v>stomach</v>
      </c>
      <c r="C265" s="49" t="str">
        <f t="shared" si="2"/>
        <v>S5307ST1</v>
      </c>
      <c r="D265" s="6">
        <v>239.0</v>
      </c>
      <c r="E265" s="10" t="str">
        <f t="shared" si="3"/>
        <v>BST239</v>
      </c>
      <c r="F265" s="6">
        <v>6.0</v>
      </c>
      <c r="G265" s="10" t="str">
        <f t="shared" si="4"/>
        <v>BST239-6</v>
      </c>
      <c r="H265" s="16"/>
      <c r="I265" s="16" t="str">
        <f t="shared" si="5"/>
        <v>collected</v>
      </c>
      <c r="J265" s="16" t="str">
        <f t="shared" si="6"/>
        <v>N</v>
      </c>
      <c r="K265" s="16"/>
      <c r="L265" s="16"/>
    </row>
    <row r="266">
      <c r="A266" s="26" t="s">
        <v>535</v>
      </c>
      <c r="B266" s="10" t="str">
        <f t="shared" si="1"/>
        <v>stomach</v>
      </c>
      <c r="C266" s="49" t="str">
        <f t="shared" si="2"/>
        <v>S5308ST1</v>
      </c>
      <c r="D266" s="6">
        <v>239.0</v>
      </c>
      <c r="E266" s="10" t="str">
        <f t="shared" si="3"/>
        <v>BST239</v>
      </c>
      <c r="F266" s="6">
        <v>7.0</v>
      </c>
      <c r="G266" s="10" t="str">
        <f t="shared" si="4"/>
        <v>BST239-7</v>
      </c>
      <c r="H266" s="16"/>
      <c r="I266" s="16" t="str">
        <f t="shared" si="5"/>
        <v>collected</v>
      </c>
      <c r="J266" s="16" t="str">
        <f t="shared" si="6"/>
        <v>N</v>
      </c>
      <c r="K266" s="16"/>
      <c r="L266" s="16"/>
    </row>
    <row r="267">
      <c r="A267" s="26" t="s">
        <v>537</v>
      </c>
      <c r="B267" s="10" t="str">
        <f t="shared" si="1"/>
        <v>stomach</v>
      </c>
      <c r="C267" s="49" t="str">
        <f t="shared" si="2"/>
        <v>S5309ST1</v>
      </c>
      <c r="D267" s="6">
        <v>239.0</v>
      </c>
      <c r="E267" s="10" t="str">
        <f t="shared" si="3"/>
        <v>BST239</v>
      </c>
      <c r="F267" s="6">
        <v>8.0</v>
      </c>
      <c r="G267" s="10" t="str">
        <f t="shared" si="4"/>
        <v>BST239-8</v>
      </c>
      <c r="H267" s="16"/>
      <c r="I267" s="16" t="str">
        <f t="shared" si="5"/>
        <v>collected</v>
      </c>
      <c r="J267" s="16" t="str">
        <f t="shared" si="6"/>
        <v>N</v>
      </c>
      <c r="K267" s="16"/>
      <c r="L267" s="16"/>
    </row>
    <row r="268">
      <c r="A268" s="26" t="s">
        <v>539</v>
      </c>
      <c r="B268" s="10" t="str">
        <f t="shared" si="1"/>
        <v>stomach</v>
      </c>
      <c r="C268" s="49" t="str">
        <f t="shared" si="2"/>
        <v>S5310ST1</v>
      </c>
      <c r="D268" s="6">
        <v>239.0</v>
      </c>
      <c r="E268" s="10" t="str">
        <f t="shared" si="3"/>
        <v>BST239</v>
      </c>
      <c r="F268" s="6">
        <v>9.0</v>
      </c>
      <c r="G268" s="10" t="str">
        <f t="shared" si="4"/>
        <v>BST239-9</v>
      </c>
      <c r="H268" s="6"/>
      <c r="I268" s="16" t="str">
        <f t="shared" si="5"/>
        <v>collected</v>
      </c>
      <c r="J268" s="16" t="str">
        <f t="shared" si="6"/>
        <v>N</v>
      </c>
      <c r="K268" s="16"/>
      <c r="L268" s="16"/>
    </row>
    <row r="269">
      <c r="A269" s="26" t="s">
        <v>540</v>
      </c>
      <c r="B269" s="10" t="str">
        <f t="shared" si="1"/>
        <v>stomach</v>
      </c>
      <c r="C269" s="49" t="str">
        <f t="shared" si="2"/>
        <v>S5311ST1</v>
      </c>
      <c r="D269" s="6">
        <v>239.0</v>
      </c>
      <c r="E269" s="10" t="str">
        <f t="shared" si="3"/>
        <v>BST239</v>
      </c>
      <c r="F269" s="6">
        <v>10.0</v>
      </c>
      <c r="G269" s="10" t="str">
        <f t="shared" si="4"/>
        <v>BST239-10</v>
      </c>
      <c r="H269" s="6"/>
      <c r="I269" s="16" t="str">
        <f t="shared" si="5"/>
        <v>collected</v>
      </c>
      <c r="J269" s="16" t="str">
        <f t="shared" si="6"/>
        <v>N</v>
      </c>
      <c r="K269" s="16"/>
      <c r="L269" s="16"/>
    </row>
    <row r="270">
      <c r="A270" s="26" t="s">
        <v>543</v>
      </c>
      <c r="B270" s="10" t="str">
        <f t="shared" si="1"/>
        <v>stomach</v>
      </c>
      <c r="C270" s="49" t="str">
        <f t="shared" si="2"/>
        <v>S5312ST1</v>
      </c>
      <c r="D270" s="6">
        <v>239.0</v>
      </c>
      <c r="E270" s="10" t="str">
        <f t="shared" si="3"/>
        <v>BST239</v>
      </c>
      <c r="F270" s="6">
        <v>11.0</v>
      </c>
      <c r="G270" s="10" t="str">
        <f t="shared" si="4"/>
        <v>BST239-11</v>
      </c>
      <c r="H270" s="6"/>
      <c r="I270" s="16" t="str">
        <f t="shared" si="5"/>
        <v>collected</v>
      </c>
      <c r="J270" s="16" t="str">
        <f t="shared" si="6"/>
        <v>N</v>
      </c>
      <c r="K270" s="16"/>
      <c r="L270" s="16"/>
    </row>
    <row r="271">
      <c r="A271" s="26" t="s">
        <v>544</v>
      </c>
      <c r="B271" s="10" t="str">
        <f t="shared" si="1"/>
        <v>stomach</v>
      </c>
      <c r="C271" s="49" t="str">
        <f t="shared" si="2"/>
        <v>S5313ST1</v>
      </c>
      <c r="D271" s="6">
        <v>239.0</v>
      </c>
      <c r="E271" s="10" t="str">
        <f t="shared" si="3"/>
        <v>BST239</v>
      </c>
      <c r="F271" s="6">
        <v>12.0</v>
      </c>
      <c r="G271" s="10" t="str">
        <f t="shared" si="4"/>
        <v>BST239-12</v>
      </c>
      <c r="H271" s="6"/>
      <c r="I271" s="16" t="str">
        <f t="shared" si="5"/>
        <v>collected</v>
      </c>
      <c r="J271" s="16" t="str">
        <f t="shared" si="6"/>
        <v>N</v>
      </c>
      <c r="K271" s="16"/>
      <c r="L271" s="16"/>
    </row>
    <row r="272">
      <c r="A272" s="26" t="s">
        <v>546</v>
      </c>
      <c r="B272" s="10" t="str">
        <f t="shared" si="1"/>
        <v>stomach</v>
      </c>
      <c r="C272" s="49" t="str">
        <f t="shared" si="2"/>
        <v>S5314ST1</v>
      </c>
      <c r="D272" s="6">
        <v>239.0</v>
      </c>
      <c r="E272" s="10" t="str">
        <f t="shared" si="3"/>
        <v>BST239</v>
      </c>
      <c r="F272" s="6">
        <v>13.0</v>
      </c>
      <c r="G272" s="10" t="str">
        <f t="shared" si="4"/>
        <v>BST239-13</v>
      </c>
      <c r="H272" s="6"/>
      <c r="I272" s="16" t="str">
        <f t="shared" si="5"/>
        <v>collected</v>
      </c>
      <c r="J272" s="16" t="str">
        <f t="shared" si="6"/>
        <v>N</v>
      </c>
      <c r="K272" s="16"/>
      <c r="L272" s="16"/>
    </row>
    <row r="273">
      <c r="A273" s="44" t="s">
        <v>547</v>
      </c>
      <c r="B273" s="10" t="str">
        <f t="shared" si="1"/>
        <v>stomach</v>
      </c>
      <c r="C273" s="49" t="str">
        <f t="shared" si="2"/>
        <v>S5357ST1</v>
      </c>
      <c r="D273" s="6">
        <v>240.0</v>
      </c>
      <c r="E273" s="10" t="str">
        <f t="shared" si="3"/>
        <v>BST240</v>
      </c>
      <c r="F273" s="6">
        <v>21.0</v>
      </c>
      <c r="G273" s="10" t="str">
        <f t="shared" si="4"/>
        <v>BST240-21</v>
      </c>
      <c r="H273" s="6"/>
      <c r="I273" s="16" t="str">
        <f t="shared" si="5"/>
        <v>collected</v>
      </c>
      <c r="J273" s="16" t="str">
        <f t="shared" si="6"/>
        <v>N</v>
      </c>
      <c r="K273" s="16"/>
      <c r="L273" s="16"/>
    </row>
    <row r="274">
      <c r="A274" s="44" t="s">
        <v>548</v>
      </c>
      <c r="B274" s="10" t="str">
        <f t="shared" si="1"/>
        <v>stomach</v>
      </c>
      <c r="C274" s="49" t="str">
        <f t="shared" si="2"/>
        <v>S5358ST1</v>
      </c>
      <c r="D274" s="6">
        <v>240.0</v>
      </c>
      <c r="E274" s="10" t="str">
        <f t="shared" si="3"/>
        <v>BST240</v>
      </c>
      <c r="F274" s="6">
        <v>22.0</v>
      </c>
      <c r="G274" s="10" t="str">
        <f t="shared" si="4"/>
        <v>BST240-22</v>
      </c>
      <c r="H274" s="6"/>
      <c r="I274" s="16" t="str">
        <f t="shared" si="5"/>
        <v>collected</v>
      </c>
      <c r="J274" s="16" t="str">
        <f t="shared" si="6"/>
        <v>N</v>
      </c>
      <c r="K274" s="16"/>
      <c r="L274" s="16"/>
    </row>
    <row r="275">
      <c r="A275" s="44" t="s">
        <v>549</v>
      </c>
      <c r="B275" s="10" t="str">
        <f t="shared" si="1"/>
        <v>stomach</v>
      </c>
      <c r="C275" s="49" t="str">
        <f t="shared" si="2"/>
        <v>S5359ST1</v>
      </c>
      <c r="D275" s="6">
        <v>240.0</v>
      </c>
      <c r="E275" s="10" t="str">
        <f t="shared" si="3"/>
        <v>BST240</v>
      </c>
      <c r="F275" s="6">
        <v>23.0</v>
      </c>
      <c r="G275" s="10" t="str">
        <f t="shared" si="4"/>
        <v>BST240-23</v>
      </c>
      <c r="H275" s="6"/>
      <c r="I275" s="16" t="str">
        <f t="shared" si="5"/>
        <v>collected</v>
      </c>
      <c r="J275" s="16" t="str">
        <f t="shared" si="6"/>
        <v>N</v>
      </c>
      <c r="K275" s="16"/>
      <c r="L275" s="16"/>
    </row>
    <row r="276">
      <c r="A276" s="44" t="s">
        <v>552</v>
      </c>
      <c r="B276" s="10" t="str">
        <f t="shared" si="1"/>
        <v>stomach</v>
      </c>
      <c r="C276" s="49" t="str">
        <f t="shared" si="2"/>
        <v>S5360ST1</v>
      </c>
      <c r="D276" s="6">
        <v>240.0</v>
      </c>
      <c r="E276" s="10" t="str">
        <f t="shared" si="3"/>
        <v>BST240</v>
      </c>
      <c r="F276" s="6">
        <v>24.0</v>
      </c>
      <c r="G276" s="10" t="str">
        <f t="shared" si="4"/>
        <v>BST240-24</v>
      </c>
      <c r="H276" s="6"/>
      <c r="I276" s="16" t="str">
        <f t="shared" si="5"/>
        <v>collected</v>
      </c>
      <c r="J276" s="16" t="str">
        <f t="shared" si="6"/>
        <v>N</v>
      </c>
      <c r="K276" s="16"/>
      <c r="L276" s="16"/>
    </row>
    <row r="277">
      <c r="A277" s="44" t="s">
        <v>553</v>
      </c>
      <c r="B277" s="10" t="str">
        <f t="shared" si="1"/>
        <v>stomach</v>
      </c>
      <c r="C277" s="49" t="str">
        <f t="shared" si="2"/>
        <v>S5361ST1</v>
      </c>
      <c r="D277" s="6">
        <v>240.0</v>
      </c>
      <c r="E277" s="10" t="str">
        <f t="shared" si="3"/>
        <v>BST240</v>
      </c>
      <c r="F277" s="6">
        <v>25.0</v>
      </c>
      <c r="G277" s="10" t="str">
        <f t="shared" si="4"/>
        <v>BST240-25</v>
      </c>
      <c r="H277" s="6"/>
      <c r="I277" s="16" t="str">
        <f t="shared" si="5"/>
        <v>collected</v>
      </c>
      <c r="J277" s="16" t="str">
        <f t="shared" si="6"/>
        <v>N</v>
      </c>
      <c r="K277" s="16"/>
      <c r="L277" s="16"/>
    </row>
    <row r="278">
      <c r="A278" s="44" t="s">
        <v>554</v>
      </c>
      <c r="B278" s="10" t="str">
        <f t="shared" si="1"/>
        <v>stomach</v>
      </c>
      <c r="C278" s="49" t="str">
        <f t="shared" si="2"/>
        <v>S5412ST1</v>
      </c>
      <c r="D278" s="6">
        <v>243.0</v>
      </c>
      <c r="E278" s="10" t="str">
        <f t="shared" si="3"/>
        <v>BST243</v>
      </c>
      <c r="F278" s="6">
        <v>1.0</v>
      </c>
      <c r="G278" s="10" t="str">
        <f t="shared" si="4"/>
        <v>BST243-1</v>
      </c>
      <c r="H278" s="16"/>
      <c r="I278" s="16" t="str">
        <f t="shared" si="5"/>
        <v>collected</v>
      </c>
      <c r="J278" s="16" t="str">
        <f t="shared" si="6"/>
        <v>N</v>
      </c>
      <c r="K278" s="16"/>
      <c r="L278" s="16"/>
    </row>
    <row r="279">
      <c r="A279" s="44" t="s">
        <v>556</v>
      </c>
      <c r="B279" s="10" t="str">
        <f t="shared" si="1"/>
        <v>stomach</v>
      </c>
      <c r="C279" s="49" t="str">
        <f t="shared" si="2"/>
        <v>S5413ST1</v>
      </c>
      <c r="D279" s="6">
        <v>243.0</v>
      </c>
      <c r="E279" s="10" t="str">
        <f t="shared" si="3"/>
        <v>BST243</v>
      </c>
      <c r="F279" s="6">
        <v>2.0</v>
      </c>
      <c r="G279" s="10" t="str">
        <f t="shared" si="4"/>
        <v>BST243-2</v>
      </c>
      <c r="H279" s="16"/>
      <c r="I279" s="16" t="str">
        <f t="shared" si="5"/>
        <v>collected</v>
      </c>
      <c r="J279" s="16" t="str">
        <f t="shared" si="6"/>
        <v>N</v>
      </c>
      <c r="K279" s="16"/>
      <c r="L279" s="16"/>
    </row>
    <row r="280">
      <c r="A280" s="44" t="s">
        <v>558</v>
      </c>
      <c r="B280" s="10" t="str">
        <f t="shared" si="1"/>
        <v>stomach</v>
      </c>
      <c r="C280" s="49" t="str">
        <f t="shared" si="2"/>
        <v>S5414ST1</v>
      </c>
      <c r="D280" s="6">
        <v>243.0</v>
      </c>
      <c r="E280" s="10" t="str">
        <f t="shared" si="3"/>
        <v>BST243</v>
      </c>
      <c r="F280" s="6">
        <v>3.0</v>
      </c>
      <c r="G280" s="10" t="str">
        <f t="shared" si="4"/>
        <v>BST243-3</v>
      </c>
      <c r="H280" s="16"/>
      <c r="I280" s="16" t="str">
        <f t="shared" si="5"/>
        <v>collected</v>
      </c>
      <c r="J280" s="16" t="str">
        <f t="shared" si="6"/>
        <v>N</v>
      </c>
      <c r="K280" s="16"/>
      <c r="L280" s="16"/>
    </row>
    <row r="281">
      <c r="A281" s="44" t="s">
        <v>559</v>
      </c>
      <c r="B281" s="10" t="str">
        <f t="shared" si="1"/>
        <v>stomach</v>
      </c>
      <c r="C281" s="49" t="str">
        <f t="shared" si="2"/>
        <v>S5415ST1</v>
      </c>
      <c r="D281" s="6">
        <v>243.0</v>
      </c>
      <c r="E281" s="10" t="str">
        <f t="shared" si="3"/>
        <v>BST243</v>
      </c>
      <c r="F281" s="6">
        <v>4.0</v>
      </c>
      <c r="G281" s="10" t="str">
        <f t="shared" si="4"/>
        <v>BST243-4</v>
      </c>
      <c r="H281" s="16"/>
      <c r="I281" s="16" t="str">
        <f t="shared" si="5"/>
        <v>collected</v>
      </c>
      <c r="J281" s="16" t="str">
        <f t="shared" si="6"/>
        <v>N</v>
      </c>
      <c r="K281" s="16"/>
      <c r="L281" s="16"/>
    </row>
    <row r="282">
      <c r="A282" s="44" t="s">
        <v>561</v>
      </c>
      <c r="B282" s="10" t="str">
        <f t="shared" si="1"/>
        <v>stomach</v>
      </c>
      <c r="C282" s="49" t="str">
        <f t="shared" si="2"/>
        <v>S5416ST1</v>
      </c>
      <c r="D282" s="6">
        <v>243.0</v>
      </c>
      <c r="E282" s="10" t="str">
        <f t="shared" si="3"/>
        <v>BST243</v>
      </c>
      <c r="F282" s="6">
        <v>5.0</v>
      </c>
      <c r="G282" s="10" t="str">
        <f t="shared" si="4"/>
        <v>BST243-5</v>
      </c>
      <c r="H282" s="16"/>
      <c r="I282" s="16" t="str">
        <f t="shared" si="5"/>
        <v>collected</v>
      </c>
      <c r="J282" s="16" t="str">
        <f t="shared" si="6"/>
        <v>N</v>
      </c>
      <c r="K282" s="16"/>
      <c r="L282" s="16"/>
    </row>
    <row r="283">
      <c r="A283" s="44" t="s">
        <v>562</v>
      </c>
      <c r="B283" s="10" t="str">
        <f t="shared" si="1"/>
        <v>stomach</v>
      </c>
      <c r="C283" s="49" t="str">
        <f t="shared" si="2"/>
        <v>S5417ST1</v>
      </c>
      <c r="D283" s="6">
        <v>243.0</v>
      </c>
      <c r="E283" s="10" t="str">
        <f t="shared" si="3"/>
        <v>BST243</v>
      </c>
      <c r="F283" s="6">
        <v>6.0</v>
      </c>
      <c r="G283" s="10" t="str">
        <f t="shared" si="4"/>
        <v>BST243-6</v>
      </c>
      <c r="H283" s="16"/>
      <c r="I283" s="16" t="str">
        <f t="shared" si="5"/>
        <v>collected</v>
      </c>
      <c r="J283" s="16" t="str">
        <f t="shared" si="6"/>
        <v>N</v>
      </c>
      <c r="K283" s="16"/>
      <c r="L283" s="16"/>
    </row>
    <row r="284">
      <c r="A284" s="44" t="s">
        <v>564</v>
      </c>
      <c r="B284" s="10" t="str">
        <f t="shared" si="1"/>
        <v>stomach</v>
      </c>
      <c r="C284" s="49" t="str">
        <f t="shared" si="2"/>
        <v>S5418ST1</v>
      </c>
      <c r="D284" s="6">
        <v>243.0</v>
      </c>
      <c r="E284" s="10" t="str">
        <f t="shared" si="3"/>
        <v>BST243</v>
      </c>
      <c r="F284" s="6">
        <v>7.0</v>
      </c>
      <c r="G284" s="10" t="str">
        <f t="shared" si="4"/>
        <v>BST243-7</v>
      </c>
      <c r="H284" s="16"/>
      <c r="I284" s="16" t="str">
        <f t="shared" si="5"/>
        <v>collected</v>
      </c>
      <c r="J284" s="16" t="str">
        <f t="shared" si="6"/>
        <v>N</v>
      </c>
      <c r="K284" s="16"/>
      <c r="L284" s="16"/>
    </row>
    <row r="285">
      <c r="A285" s="44" t="s">
        <v>566</v>
      </c>
      <c r="B285" s="10" t="str">
        <f t="shared" si="1"/>
        <v>stomach</v>
      </c>
      <c r="C285" s="49" t="str">
        <f t="shared" si="2"/>
        <v>S5419ST1</v>
      </c>
      <c r="D285" s="6">
        <v>243.0</v>
      </c>
      <c r="E285" s="10" t="str">
        <f t="shared" si="3"/>
        <v>BST243</v>
      </c>
      <c r="F285" s="6">
        <v>8.0</v>
      </c>
      <c r="G285" s="10" t="str">
        <f t="shared" si="4"/>
        <v>BST243-8</v>
      </c>
      <c r="H285" s="16"/>
      <c r="I285" s="16" t="str">
        <f t="shared" si="5"/>
        <v>collected</v>
      </c>
      <c r="J285" s="16" t="str">
        <f t="shared" si="6"/>
        <v>N</v>
      </c>
      <c r="K285" s="16"/>
      <c r="L285" s="16"/>
    </row>
    <row r="286">
      <c r="A286" s="44" t="s">
        <v>567</v>
      </c>
      <c r="B286" s="10" t="str">
        <f t="shared" si="1"/>
        <v>stomach</v>
      </c>
      <c r="C286" s="49" t="str">
        <f t="shared" si="2"/>
        <v>S5420ST1</v>
      </c>
      <c r="D286" s="6">
        <v>243.0</v>
      </c>
      <c r="E286" s="10" t="str">
        <f t="shared" si="3"/>
        <v>BST243</v>
      </c>
      <c r="F286" s="6">
        <v>9.0</v>
      </c>
      <c r="G286" s="10" t="str">
        <f t="shared" si="4"/>
        <v>BST243-9</v>
      </c>
      <c r="H286" s="16"/>
      <c r="I286" s="16" t="str">
        <f t="shared" si="5"/>
        <v>collected</v>
      </c>
      <c r="J286" s="16" t="str">
        <f t="shared" si="6"/>
        <v>N</v>
      </c>
      <c r="K286" s="16"/>
      <c r="L286" s="16"/>
    </row>
    <row r="287">
      <c r="A287" s="44" t="s">
        <v>569</v>
      </c>
      <c r="B287" s="10" t="str">
        <f t="shared" si="1"/>
        <v>stomach</v>
      </c>
      <c r="C287" s="49" t="str">
        <f t="shared" si="2"/>
        <v>S5421ST1</v>
      </c>
      <c r="D287" s="6">
        <v>243.0</v>
      </c>
      <c r="E287" s="10" t="str">
        <f t="shared" si="3"/>
        <v>BST243</v>
      </c>
      <c r="F287" s="6">
        <v>10.0</v>
      </c>
      <c r="G287" s="10" t="str">
        <f t="shared" si="4"/>
        <v>BST243-10</v>
      </c>
      <c r="H287" s="6" t="s">
        <v>2223</v>
      </c>
      <c r="I287" s="16" t="str">
        <f t="shared" si="5"/>
        <v>collected</v>
      </c>
      <c r="J287" s="16" t="str">
        <f t="shared" si="6"/>
        <v>N</v>
      </c>
      <c r="K287" s="16"/>
      <c r="L287" s="16"/>
    </row>
    <row r="288">
      <c r="A288" s="26" t="s">
        <v>570</v>
      </c>
      <c r="B288" s="10" t="str">
        <f t="shared" si="1"/>
        <v>stomach</v>
      </c>
      <c r="C288" s="49" t="str">
        <f t="shared" si="2"/>
        <v>S5389ST1</v>
      </c>
      <c r="D288" s="6">
        <v>242.0</v>
      </c>
      <c r="E288" s="10" t="str">
        <f t="shared" si="3"/>
        <v>BST242</v>
      </c>
      <c r="F288" s="6">
        <v>3.0</v>
      </c>
      <c r="G288" s="10" t="str">
        <f t="shared" si="4"/>
        <v>BST242-3</v>
      </c>
      <c r="H288" s="16"/>
      <c r="I288" s="16" t="str">
        <f t="shared" si="5"/>
        <v>collected</v>
      </c>
      <c r="J288" s="16" t="str">
        <f t="shared" si="6"/>
        <v>N</v>
      </c>
      <c r="K288" s="16"/>
      <c r="L288" s="16"/>
    </row>
    <row r="289">
      <c r="A289" s="26" t="s">
        <v>571</v>
      </c>
      <c r="B289" s="10" t="str">
        <f t="shared" si="1"/>
        <v>stomach</v>
      </c>
      <c r="C289" s="49" t="str">
        <f t="shared" si="2"/>
        <v>S5390ST1</v>
      </c>
      <c r="D289" s="6">
        <v>242.0</v>
      </c>
      <c r="E289" s="10" t="str">
        <f t="shared" si="3"/>
        <v>BST242</v>
      </c>
      <c r="F289" s="6">
        <v>4.0</v>
      </c>
      <c r="G289" s="10" t="str">
        <f t="shared" si="4"/>
        <v>BST242-4</v>
      </c>
      <c r="H289" s="16"/>
      <c r="I289" s="16" t="str">
        <f t="shared" si="5"/>
        <v>collected</v>
      </c>
      <c r="J289" s="16" t="str">
        <f t="shared" si="6"/>
        <v>N</v>
      </c>
      <c r="K289" s="16"/>
      <c r="L289" s="16"/>
    </row>
    <row r="290">
      <c r="A290" s="26" t="s">
        <v>574</v>
      </c>
      <c r="B290" s="10" t="str">
        <f t="shared" si="1"/>
        <v>stomach</v>
      </c>
      <c r="C290" s="49" t="str">
        <f t="shared" si="2"/>
        <v>S5391ST1</v>
      </c>
      <c r="D290" s="6">
        <v>242.0</v>
      </c>
      <c r="E290" s="10" t="str">
        <f t="shared" si="3"/>
        <v>BST242</v>
      </c>
      <c r="F290" s="6">
        <v>5.0</v>
      </c>
      <c r="G290" s="10" t="str">
        <f t="shared" si="4"/>
        <v>BST242-5</v>
      </c>
      <c r="H290" s="16"/>
      <c r="I290" s="16" t="str">
        <f t="shared" si="5"/>
        <v>collected</v>
      </c>
      <c r="J290" s="16" t="str">
        <f t="shared" si="6"/>
        <v>N</v>
      </c>
      <c r="K290" s="16"/>
      <c r="L290" s="16"/>
    </row>
    <row r="291">
      <c r="A291" s="26" t="s">
        <v>575</v>
      </c>
      <c r="B291" s="10" t="str">
        <f t="shared" si="1"/>
        <v>stomach</v>
      </c>
      <c r="C291" s="49" t="str">
        <f t="shared" si="2"/>
        <v>S5392ST1</v>
      </c>
      <c r="D291" s="6">
        <v>242.0</v>
      </c>
      <c r="E291" s="10" t="str">
        <f t="shared" si="3"/>
        <v>BST242</v>
      </c>
      <c r="F291" s="6">
        <v>6.0</v>
      </c>
      <c r="G291" s="10" t="str">
        <f t="shared" si="4"/>
        <v>BST242-6</v>
      </c>
      <c r="H291" s="16"/>
      <c r="I291" s="16" t="str">
        <f t="shared" si="5"/>
        <v>collected</v>
      </c>
      <c r="J291" s="16" t="str">
        <f t="shared" si="6"/>
        <v>N</v>
      </c>
      <c r="K291" s="16"/>
      <c r="L291" s="16"/>
    </row>
    <row r="292">
      <c r="A292" s="27" t="s">
        <v>577</v>
      </c>
      <c r="B292" s="10" t="str">
        <f t="shared" si="1"/>
        <v>stomach</v>
      </c>
      <c r="C292" s="49" t="str">
        <f t="shared" si="2"/>
        <v>S5393ST1</v>
      </c>
      <c r="D292" s="6">
        <v>242.0</v>
      </c>
      <c r="E292" s="10" t="str">
        <f t="shared" si="3"/>
        <v>BST242</v>
      </c>
      <c r="F292" s="6">
        <v>7.0</v>
      </c>
      <c r="G292" s="10" t="str">
        <f t="shared" si="4"/>
        <v>BST242-7</v>
      </c>
      <c r="H292" s="16"/>
      <c r="I292" s="16" t="str">
        <f t="shared" si="5"/>
        <v>collected</v>
      </c>
      <c r="J292" s="16" t="str">
        <f t="shared" si="6"/>
        <v>N</v>
      </c>
      <c r="K292" s="16"/>
      <c r="L292" s="16"/>
    </row>
    <row r="293">
      <c r="A293" s="27" t="s">
        <v>578</v>
      </c>
      <c r="B293" s="10" t="str">
        <f t="shared" si="1"/>
        <v>stomach</v>
      </c>
      <c r="C293" s="49" t="str">
        <f t="shared" si="2"/>
        <v>S5394ST1</v>
      </c>
      <c r="D293" s="6">
        <v>242.0</v>
      </c>
      <c r="E293" s="10" t="str">
        <f t="shared" si="3"/>
        <v>BST242</v>
      </c>
      <c r="F293" s="6">
        <v>8.0</v>
      </c>
      <c r="G293" s="10" t="str">
        <f t="shared" si="4"/>
        <v>BST242-8</v>
      </c>
      <c r="H293" s="16"/>
      <c r="I293" s="16" t="str">
        <f t="shared" si="5"/>
        <v>collected</v>
      </c>
      <c r="J293" s="16" t="str">
        <f t="shared" si="6"/>
        <v>N</v>
      </c>
      <c r="K293" s="16"/>
      <c r="L293" s="16"/>
    </row>
    <row r="294">
      <c r="A294" s="27" t="s">
        <v>580</v>
      </c>
      <c r="B294" s="10" t="str">
        <f t="shared" si="1"/>
        <v>stomach</v>
      </c>
      <c r="C294" s="49" t="str">
        <f t="shared" si="2"/>
        <v>S5395ST1</v>
      </c>
      <c r="D294" s="6">
        <v>242.0</v>
      </c>
      <c r="E294" s="10" t="str">
        <f t="shared" si="3"/>
        <v>BST242</v>
      </c>
      <c r="F294" s="6">
        <v>9.0</v>
      </c>
      <c r="G294" s="10" t="str">
        <f t="shared" si="4"/>
        <v>BST242-9</v>
      </c>
      <c r="H294" s="16"/>
      <c r="I294" s="16" t="str">
        <f t="shared" si="5"/>
        <v>collected</v>
      </c>
      <c r="J294" s="16" t="str">
        <f t="shared" si="6"/>
        <v>N</v>
      </c>
      <c r="K294" s="16"/>
      <c r="L294" s="16"/>
    </row>
    <row r="295">
      <c r="A295" s="27" t="s">
        <v>581</v>
      </c>
      <c r="B295" s="10" t="str">
        <f t="shared" si="1"/>
        <v>stomach</v>
      </c>
      <c r="C295" s="49" t="str">
        <f t="shared" si="2"/>
        <v>S5396ST1</v>
      </c>
      <c r="D295" s="6">
        <v>242.0</v>
      </c>
      <c r="E295" s="10" t="str">
        <f t="shared" si="3"/>
        <v>BST242</v>
      </c>
      <c r="F295" s="6">
        <v>10.0</v>
      </c>
      <c r="G295" s="10" t="str">
        <f t="shared" si="4"/>
        <v>BST242-10</v>
      </c>
      <c r="H295" s="16"/>
      <c r="I295" s="16" t="str">
        <f t="shared" si="5"/>
        <v>collected</v>
      </c>
      <c r="J295" s="16" t="str">
        <f t="shared" si="6"/>
        <v>N</v>
      </c>
      <c r="K295" s="16"/>
      <c r="L295" s="16"/>
    </row>
    <row r="296">
      <c r="A296" s="27" t="s">
        <v>583</v>
      </c>
      <c r="B296" s="10" t="str">
        <f t="shared" si="1"/>
        <v>stomach</v>
      </c>
      <c r="C296" s="49" t="str">
        <f t="shared" si="2"/>
        <v>S5397ST1</v>
      </c>
      <c r="D296" s="6">
        <v>242.0</v>
      </c>
      <c r="E296" s="10" t="str">
        <f t="shared" si="3"/>
        <v>BST242</v>
      </c>
      <c r="F296" s="6">
        <v>11.0</v>
      </c>
      <c r="G296" s="10" t="str">
        <f t="shared" si="4"/>
        <v>BST242-11</v>
      </c>
      <c r="H296" s="16"/>
      <c r="I296" s="16" t="str">
        <f t="shared" si="5"/>
        <v>collected</v>
      </c>
      <c r="J296" s="16" t="str">
        <f t="shared" si="6"/>
        <v>N</v>
      </c>
      <c r="K296" s="16"/>
      <c r="L296" s="16"/>
    </row>
    <row r="297">
      <c r="A297" s="27" t="s">
        <v>584</v>
      </c>
      <c r="B297" s="10" t="str">
        <f t="shared" si="1"/>
        <v>stomach</v>
      </c>
      <c r="C297" s="49" t="str">
        <f t="shared" si="2"/>
        <v>S5398ST1</v>
      </c>
      <c r="D297" s="6">
        <v>242.0</v>
      </c>
      <c r="E297" s="10" t="str">
        <f t="shared" si="3"/>
        <v>BST242</v>
      </c>
      <c r="F297" s="6">
        <v>12.0</v>
      </c>
      <c r="G297" s="10" t="str">
        <f t="shared" si="4"/>
        <v>BST242-12</v>
      </c>
      <c r="H297" s="16"/>
      <c r="I297" s="16" t="str">
        <f t="shared" si="5"/>
        <v>collected</v>
      </c>
      <c r="J297" s="16" t="str">
        <f t="shared" si="6"/>
        <v>N</v>
      </c>
      <c r="K297" s="16"/>
      <c r="L297" s="16"/>
    </row>
    <row r="298">
      <c r="A298" s="27" t="s">
        <v>585</v>
      </c>
      <c r="B298" s="10" t="str">
        <f t="shared" si="1"/>
        <v>stomach</v>
      </c>
      <c r="C298" s="49" t="str">
        <f t="shared" si="2"/>
        <v>S5399ST1</v>
      </c>
      <c r="D298" s="6">
        <v>242.0</v>
      </c>
      <c r="E298" s="10" t="str">
        <f t="shared" si="3"/>
        <v>BST242</v>
      </c>
      <c r="F298" s="6">
        <v>13.0</v>
      </c>
      <c r="G298" s="10" t="str">
        <f t="shared" si="4"/>
        <v>BST242-13</v>
      </c>
      <c r="H298" s="16"/>
      <c r="I298" s="16" t="str">
        <f t="shared" si="5"/>
        <v>collected</v>
      </c>
      <c r="J298" s="16" t="str">
        <f t="shared" si="6"/>
        <v>N</v>
      </c>
      <c r="K298" s="16"/>
      <c r="L298" s="16"/>
    </row>
    <row r="299">
      <c r="A299" s="27" t="s">
        <v>588</v>
      </c>
      <c r="B299" s="10" t="str">
        <f t="shared" si="1"/>
        <v>stomach</v>
      </c>
      <c r="C299" s="49" t="str">
        <f t="shared" si="2"/>
        <v>S5400ST1</v>
      </c>
      <c r="D299" s="6">
        <v>242.0</v>
      </c>
      <c r="E299" s="10" t="str">
        <f t="shared" si="3"/>
        <v>BST242</v>
      </c>
      <c r="F299" s="6">
        <v>14.0</v>
      </c>
      <c r="G299" s="10" t="str">
        <f t="shared" si="4"/>
        <v>BST242-14</v>
      </c>
      <c r="H299" s="16"/>
      <c r="I299" s="16" t="str">
        <f t="shared" si="5"/>
        <v>collected</v>
      </c>
      <c r="J299" s="16" t="str">
        <f t="shared" si="6"/>
        <v>N</v>
      </c>
      <c r="K299" s="16"/>
      <c r="L299" s="16"/>
    </row>
    <row r="300">
      <c r="A300" s="27" t="s">
        <v>590</v>
      </c>
      <c r="B300" s="10" t="str">
        <f t="shared" si="1"/>
        <v>stomach</v>
      </c>
      <c r="C300" s="49" t="str">
        <f t="shared" si="2"/>
        <v>S5401ST1</v>
      </c>
      <c r="D300" s="6">
        <v>242.0</v>
      </c>
      <c r="E300" s="10" t="str">
        <f t="shared" si="3"/>
        <v>BST242</v>
      </c>
      <c r="F300" s="6">
        <v>15.0</v>
      </c>
      <c r="G300" s="10" t="str">
        <f t="shared" si="4"/>
        <v>BST242-15</v>
      </c>
      <c r="H300" s="16"/>
      <c r="I300" s="16" t="str">
        <f t="shared" si="5"/>
        <v>collected</v>
      </c>
      <c r="J300" s="16" t="str">
        <f t="shared" si="6"/>
        <v>N</v>
      </c>
      <c r="K300" s="16"/>
      <c r="L300" s="16"/>
    </row>
    <row r="301">
      <c r="A301" s="27" t="s">
        <v>591</v>
      </c>
      <c r="B301" s="10" t="str">
        <f t="shared" si="1"/>
        <v>stomach</v>
      </c>
      <c r="C301" s="49" t="str">
        <f t="shared" si="2"/>
        <v>S5402ST1</v>
      </c>
      <c r="D301" s="6">
        <v>242.0</v>
      </c>
      <c r="E301" s="10" t="str">
        <f t="shared" si="3"/>
        <v>BST242</v>
      </c>
      <c r="F301" s="6">
        <v>16.0</v>
      </c>
      <c r="G301" s="10" t="str">
        <f t="shared" si="4"/>
        <v>BST242-16</v>
      </c>
      <c r="H301" s="16"/>
      <c r="I301" s="16" t="str">
        <f t="shared" si="5"/>
        <v>collected</v>
      </c>
      <c r="J301" s="16" t="str">
        <f t="shared" si="6"/>
        <v>N</v>
      </c>
      <c r="K301" s="16"/>
      <c r="L301" s="16"/>
    </row>
    <row r="302">
      <c r="A302" s="27" t="s">
        <v>592</v>
      </c>
      <c r="B302" s="10" t="str">
        <f t="shared" si="1"/>
        <v>stomach</v>
      </c>
      <c r="C302" s="49" t="str">
        <f t="shared" si="2"/>
        <v>S5403ST1</v>
      </c>
      <c r="D302" s="6">
        <v>242.0</v>
      </c>
      <c r="E302" s="10" t="str">
        <f t="shared" si="3"/>
        <v>BST242</v>
      </c>
      <c r="F302" s="6">
        <v>17.0</v>
      </c>
      <c r="G302" s="10" t="str">
        <f t="shared" si="4"/>
        <v>BST242-17</v>
      </c>
      <c r="H302" s="16"/>
      <c r="I302" s="16" t="str">
        <f t="shared" si="5"/>
        <v>collected</v>
      </c>
      <c r="J302" s="16" t="str">
        <f t="shared" si="6"/>
        <v>N</v>
      </c>
      <c r="K302" s="16"/>
      <c r="L302" s="16"/>
    </row>
    <row r="303">
      <c r="A303" s="27" t="s">
        <v>593</v>
      </c>
      <c r="B303" s="10" t="str">
        <f t="shared" si="1"/>
        <v>stomach</v>
      </c>
      <c r="C303" s="49" t="str">
        <f t="shared" si="2"/>
        <v>S5404ST1</v>
      </c>
      <c r="D303" s="6">
        <v>242.0</v>
      </c>
      <c r="E303" s="10" t="str">
        <f t="shared" si="3"/>
        <v>BST242</v>
      </c>
      <c r="F303" s="6">
        <v>18.0</v>
      </c>
      <c r="G303" s="10" t="str">
        <f t="shared" si="4"/>
        <v>BST242-18</v>
      </c>
      <c r="H303" s="16"/>
      <c r="I303" s="16" t="str">
        <f t="shared" si="5"/>
        <v>collected</v>
      </c>
      <c r="J303" s="16" t="str">
        <f t="shared" si="6"/>
        <v>N</v>
      </c>
      <c r="K303" s="16"/>
      <c r="L303" s="16"/>
    </row>
    <row r="304">
      <c r="A304" s="27" t="s">
        <v>595</v>
      </c>
      <c r="B304" s="10" t="str">
        <f t="shared" si="1"/>
        <v>stomach</v>
      </c>
      <c r="C304" s="49" t="str">
        <f t="shared" si="2"/>
        <v>S5405ST1</v>
      </c>
      <c r="D304" s="6">
        <v>242.0</v>
      </c>
      <c r="E304" s="10" t="str">
        <f t="shared" si="3"/>
        <v>BST242</v>
      </c>
      <c r="F304" s="6">
        <v>19.0</v>
      </c>
      <c r="G304" s="10" t="str">
        <f t="shared" si="4"/>
        <v>BST242-19</v>
      </c>
      <c r="H304" s="16"/>
      <c r="I304" s="16" t="str">
        <f t="shared" si="5"/>
        <v>collected</v>
      </c>
      <c r="J304" s="16" t="str">
        <f t="shared" si="6"/>
        <v>N</v>
      </c>
      <c r="K304" s="16"/>
      <c r="L304" s="16"/>
    </row>
    <row r="305">
      <c r="A305" s="28" t="s">
        <v>596</v>
      </c>
      <c r="B305" s="10" t="str">
        <f t="shared" si="1"/>
        <v>stomach</v>
      </c>
      <c r="C305" s="49" t="str">
        <f t="shared" si="2"/>
        <v>S5315ST1</v>
      </c>
      <c r="D305" s="6">
        <v>239.0</v>
      </c>
      <c r="E305" s="10" t="str">
        <f t="shared" si="3"/>
        <v>BST239</v>
      </c>
      <c r="F305" s="6">
        <v>14.0</v>
      </c>
      <c r="G305" s="10" t="str">
        <f t="shared" si="4"/>
        <v>BST239-14</v>
      </c>
      <c r="H305" s="16"/>
      <c r="I305" s="16" t="str">
        <f t="shared" si="5"/>
        <v>collected</v>
      </c>
      <c r="J305" s="16" t="str">
        <f t="shared" si="6"/>
        <v>N</v>
      </c>
      <c r="K305" s="16"/>
      <c r="L305" s="16"/>
    </row>
    <row r="306">
      <c r="A306" s="28" t="s">
        <v>597</v>
      </c>
      <c r="B306" s="10" t="str">
        <f t="shared" si="1"/>
        <v>stomach</v>
      </c>
      <c r="C306" s="49" t="str">
        <f t="shared" si="2"/>
        <v>S5316ST1</v>
      </c>
      <c r="D306" s="6">
        <v>239.0</v>
      </c>
      <c r="E306" s="10" t="str">
        <f t="shared" si="3"/>
        <v>BST239</v>
      </c>
      <c r="F306" s="6">
        <v>15.0</v>
      </c>
      <c r="G306" s="10" t="str">
        <f t="shared" si="4"/>
        <v>BST239-15</v>
      </c>
      <c r="H306" s="16"/>
      <c r="I306" s="16" t="str">
        <f t="shared" si="5"/>
        <v>collected</v>
      </c>
      <c r="J306" s="16" t="str">
        <f t="shared" si="6"/>
        <v>N</v>
      </c>
      <c r="K306" s="16"/>
      <c r="L306" s="16"/>
    </row>
    <row r="307">
      <c r="A307" s="29" t="s">
        <v>598</v>
      </c>
      <c r="B307" s="10" t="str">
        <f t="shared" si="1"/>
        <v>stomach</v>
      </c>
      <c r="C307" s="49" t="str">
        <f t="shared" si="2"/>
        <v>S5317ST1</v>
      </c>
      <c r="D307" s="6">
        <v>239.0</v>
      </c>
      <c r="E307" s="10" t="str">
        <f t="shared" si="3"/>
        <v>BST239</v>
      </c>
      <c r="F307" s="6">
        <v>16.0</v>
      </c>
      <c r="G307" s="10" t="str">
        <f t="shared" si="4"/>
        <v>BST239-16</v>
      </c>
      <c r="H307" s="16"/>
      <c r="I307" s="16" t="str">
        <f t="shared" si="5"/>
        <v>collected</v>
      </c>
      <c r="J307" s="16" t="str">
        <f t="shared" si="6"/>
        <v>N</v>
      </c>
      <c r="K307" s="16"/>
      <c r="L307" s="16"/>
    </row>
    <row r="308">
      <c r="A308" s="29" t="s">
        <v>600</v>
      </c>
      <c r="B308" s="10" t="str">
        <f t="shared" si="1"/>
        <v>stomach</v>
      </c>
      <c r="C308" s="49" t="str">
        <f t="shared" si="2"/>
        <v>S5318ST1</v>
      </c>
      <c r="D308" s="6">
        <v>239.0</v>
      </c>
      <c r="E308" s="10" t="str">
        <f t="shared" si="3"/>
        <v>BST239</v>
      </c>
      <c r="F308" s="6">
        <v>17.0</v>
      </c>
      <c r="G308" s="10" t="str">
        <f t="shared" si="4"/>
        <v>BST239-17</v>
      </c>
      <c r="H308" s="16"/>
      <c r="I308" s="16" t="str">
        <f t="shared" si="5"/>
        <v>collected</v>
      </c>
      <c r="J308" s="16" t="str">
        <f t="shared" si="6"/>
        <v>N</v>
      </c>
      <c r="K308" s="16"/>
      <c r="L308" s="16"/>
    </row>
    <row r="309">
      <c r="A309" s="29" t="s">
        <v>601</v>
      </c>
      <c r="B309" s="10" t="str">
        <f t="shared" si="1"/>
        <v>stomach</v>
      </c>
      <c r="C309" s="49" t="str">
        <f t="shared" si="2"/>
        <v>S5319ST1</v>
      </c>
      <c r="D309" s="6">
        <v>239.0</v>
      </c>
      <c r="E309" s="10" t="str">
        <f t="shared" si="3"/>
        <v>BST239</v>
      </c>
      <c r="F309" s="6">
        <v>18.0</v>
      </c>
      <c r="G309" s="10" t="str">
        <f t="shared" si="4"/>
        <v>BST239-18</v>
      </c>
      <c r="H309" s="6" t="s">
        <v>2224</v>
      </c>
      <c r="I309" s="16" t="str">
        <f t="shared" si="5"/>
        <v>collected</v>
      </c>
      <c r="J309" s="16" t="str">
        <f t="shared" si="6"/>
        <v>N</v>
      </c>
      <c r="K309" s="16"/>
      <c r="L309" s="16"/>
    </row>
    <row r="310">
      <c r="A310" s="29" t="s">
        <v>603</v>
      </c>
      <c r="B310" s="10" t="str">
        <f t="shared" si="1"/>
        <v>stomach</v>
      </c>
      <c r="C310" s="49" t="str">
        <f t="shared" si="2"/>
        <v>S5320ST1</v>
      </c>
      <c r="D310" s="6">
        <v>239.0</v>
      </c>
      <c r="E310" s="10" t="str">
        <f t="shared" si="3"/>
        <v>BST239</v>
      </c>
      <c r="F310" s="6">
        <v>19.0</v>
      </c>
      <c r="G310" s="10" t="str">
        <f t="shared" si="4"/>
        <v>BST239-19</v>
      </c>
      <c r="H310" s="16"/>
      <c r="I310" s="16" t="str">
        <f t="shared" si="5"/>
        <v>collected</v>
      </c>
      <c r="J310" s="16" t="str">
        <f t="shared" si="6"/>
        <v>N</v>
      </c>
      <c r="K310" s="16"/>
      <c r="L310" s="16"/>
    </row>
    <row r="311">
      <c r="A311" s="29" t="s">
        <v>604</v>
      </c>
      <c r="B311" s="10" t="str">
        <f t="shared" si="1"/>
        <v>stomach</v>
      </c>
      <c r="C311" s="49" t="str">
        <f t="shared" si="2"/>
        <v>S5321ST1</v>
      </c>
      <c r="D311" s="6">
        <v>239.0</v>
      </c>
      <c r="E311" s="10" t="str">
        <f t="shared" si="3"/>
        <v>BST239</v>
      </c>
      <c r="F311" s="6">
        <v>20.0</v>
      </c>
      <c r="G311" s="10" t="str">
        <f t="shared" si="4"/>
        <v>BST239-20</v>
      </c>
      <c r="H311" s="16"/>
      <c r="I311" s="16" t="str">
        <f t="shared" si="5"/>
        <v>collected</v>
      </c>
      <c r="J311" s="16" t="str">
        <f t="shared" si="6"/>
        <v>N</v>
      </c>
      <c r="K311" s="16"/>
      <c r="L311" s="16"/>
    </row>
    <row r="312">
      <c r="A312" s="27" t="s">
        <v>606</v>
      </c>
      <c r="B312" s="10" t="str">
        <f t="shared" si="1"/>
        <v>stomach</v>
      </c>
      <c r="C312" s="49" t="str">
        <f t="shared" si="2"/>
        <v>S5406ST1</v>
      </c>
      <c r="D312" s="6">
        <v>242.0</v>
      </c>
      <c r="E312" s="10" t="str">
        <f t="shared" si="3"/>
        <v>BST242</v>
      </c>
      <c r="F312" s="6">
        <v>20.0</v>
      </c>
      <c r="G312" s="10" t="str">
        <f t="shared" si="4"/>
        <v>BST242-20</v>
      </c>
      <c r="H312" s="16"/>
      <c r="I312" s="16" t="str">
        <f t="shared" si="5"/>
        <v>collected</v>
      </c>
      <c r="J312" s="16" t="str">
        <f t="shared" si="6"/>
        <v>N</v>
      </c>
      <c r="K312" s="16"/>
      <c r="L312" s="16"/>
    </row>
    <row r="313">
      <c r="A313" s="27" t="s">
        <v>607</v>
      </c>
      <c r="B313" s="10" t="str">
        <f t="shared" si="1"/>
        <v>stomach</v>
      </c>
      <c r="C313" s="49" t="str">
        <f t="shared" si="2"/>
        <v>S5407ST1</v>
      </c>
      <c r="D313" s="6">
        <v>242.0</v>
      </c>
      <c r="E313" s="10" t="str">
        <f t="shared" si="3"/>
        <v>BST242</v>
      </c>
      <c r="F313" s="6">
        <v>21.0</v>
      </c>
      <c r="G313" s="10" t="str">
        <f t="shared" si="4"/>
        <v>BST242-21</v>
      </c>
      <c r="H313" s="16"/>
      <c r="I313" s="16" t="str">
        <f t="shared" si="5"/>
        <v>collected</v>
      </c>
      <c r="J313" s="16" t="str">
        <f t="shared" si="6"/>
        <v>N</v>
      </c>
      <c r="K313" s="16"/>
      <c r="L313" s="16"/>
    </row>
    <row r="314">
      <c r="A314" s="27" t="s">
        <v>608</v>
      </c>
      <c r="B314" s="10" t="str">
        <f t="shared" si="1"/>
        <v>stomach</v>
      </c>
      <c r="C314" s="49" t="str">
        <f t="shared" si="2"/>
        <v>S5408ST1</v>
      </c>
      <c r="D314" s="6">
        <v>242.0</v>
      </c>
      <c r="E314" s="10" t="str">
        <f t="shared" si="3"/>
        <v>BST242</v>
      </c>
      <c r="F314" s="6">
        <v>22.0</v>
      </c>
      <c r="G314" s="10" t="str">
        <f t="shared" si="4"/>
        <v>BST242-22</v>
      </c>
      <c r="H314" s="16"/>
      <c r="I314" s="16" t="str">
        <f t="shared" si="5"/>
        <v>collected</v>
      </c>
      <c r="J314" s="16" t="str">
        <f t="shared" si="6"/>
        <v>N</v>
      </c>
      <c r="K314" s="16"/>
      <c r="L314" s="16"/>
    </row>
    <row r="315">
      <c r="A315" s="27" t="s">
        <v>610</v>
      </c>
      <c r="B315" s="10" t="str">
        <f t="shared" si="1"/>
        <v>stomach</v>
      </c>
      <c r="C315" s="49" t="str">
        <f t="shared" si="2"/>
        <v>S5409ST1</v>
      </c>
      <c r="D315" s="6">
        <v>242.0</v>
      </c>
      <c r="E315" s="10" t="str">
        <f t="shared" si="3"/>
        <v>BST242</v>
      </c>
      <c r="F315" s="6">
        <v>23.0</v>
      </c>
      <c r="G315" s="10" t="str">
        <f t="shared" si="4"/>
        <v>BST242-23</v>
      </c>
      <c r="H315" s="16"/>
      <c r="I315" s="16" t="str">
        <f t="shared" si="5"/>
        <v>collected</v>
      </c>
      <c r="J315" s="16" t="str">
        <f t="shared" si="6"/>
        <v>N</v>
      </c>
      <c r="K315" s="16"/>
      <c r="L315" s="16"/>
    </row>
    <row r="316">
      <c r="A316" s="27" t="s">
        <v>611</v>
      </c>
      <c r="B316" s="10" t="str">
        <f t="shared" si="1"/>
        <v>stomach</v>
      </c>
      <c r="C316" s="49" t="str">
        <f t="shared" si="2"/>
        <v>S5410ST1</v>
      </c>
      <c r="D316" s="6">
        <v>242.0</v>
      </c>
      <c r="E316" s="10" t="str">
        <f t="shared" si="3"/>
        <v>BST242</v>
      </c>
      <c r="F316" s="6">
        <v>24.0</v>
      </c>
      <c r="G316" s="10" t="str">
        <f t="shared" si="4"/>
        <v>BST242-24</v>
      </c>
      <c r="H316" s="16"/>
      <c r="I316" s="16" t="str">
        <f t="shared" si="5"/>
        <v>collected</v>
      </c>
      <c r="J316" s="16" t="str">
        <f t="shared" si="6"/>
        <v>N</v>
      </c>
      <c r="K316" s="16"/>
      <c r="L316" s="16"/>
    </row>
    <row r="317">
      <c r="A317" s="27" t="s">
        <v>613</v>
      </c>
      <c r="B317" s="10" t="str">
        <f t="shared" si="1"/>
        <v>stomach</v>
      </c>
      <c r="C317" s="49" t="str">
        <f t="shared" si="2"/>
        <v>S5411ST1</v>
      </c>
      <c r="D317" s="6">
        <v>242.0</v>
      </c>
      <c r="E317" s="10" t="str">
        <f t="shared" si="3"/>
        <v>BST242</v>
      </c>
      <c r="F317" s="6">
        <v>25.0</v>
      </c>
      <c r="G317" s="10" t="str">
        <f t="shared" si="4"/>
        <v>BST242-25</v>
      </c>
      <c r="H317" s="16"/>
      <c r="I317" s="16" t="str">
        <f t="shared" si="5"/>
        <v>collected</v>
      </c>
      <c r="J317" s="16" t="str">
        <f t="shared" si="6"/>
        <v>N</v>
      </c>
      <c r="K317" s="16"/>
      <c r="L317" s="16"/>
    </row>
    <row r="318">
      <c r="A318" s="27" t="s">
        <v>614</v>
      </c>
      <c r="B318" s="10" t="str">
        <f t="shared" si="1"/>
        <v>stomach</v>
      </c>
      <c r="C318" s="49" t="str">
        <f t="shared" si="2"/>
        <v>S5437ST1</v>
      </c>
      <c r="D318" s="6">
        <v>244.0</v>
      </c>
      <c r="E318" s="10" t="str">
        <f t="shared" si="3"/>
        <v>BST244</v>
      </c>
      <c r="F318" s="6">
        <v>1.0</v>
      </c>
      <c r="G318" s="10" t="str">
        <f t="shared" si="4"/>
        <v>BST244-1</v>
      </c>
      <c r="H318" s="16"/>
      <c r="I318" s="16" t="str">
        <f t="shared" si="5"/>
        <v>collected</v>
      </c>
      <c r="J318" s="16" t="str">
        <f t="shared" si="6"/>
        <v>N</v>
      </c>
      <c r="K318" s="16"/>
      <c r="L318" s="16"/>
    </row>
    <row r="319">
      <c r="A319" s="26" t="s">
        <v>615</v>
      </c>
      <c r="B319" s="10" t="str">
        <f t="shared" si="1"/>
        <v>stomach</v>
      </c>
      <c r="C319" s="49" t="str">
        <f t="shared" si="2"/>
        <v>S5438ST1</v>
      </c>
      <c r="D319" s="6">
        <v>244.0</v>
      </c>
      <c r="E319" s="10" t="str">
        <f t="shared" si="3"/>
        <v>BST244</v>
      </c>
      <c r="F319" s="6">
        <v>2.0</v>
      </c>
      <c r="G319" s="10" t="str">
        <f t="shared" si="4"/>
        <v>BST244-2</v>
      </c>
      <c r="H319" s="16"/>
      <c r="I319" s="16" t="str">
        <f t="shared" si="5"/>
        <v>collected</v>
      </c>
      <c r="J319" s="16" t="str">
        <f t="shared" si="6"/>
        <v>N</v>
      </c>
      <c r="K319" s="16"/>
      <c r="L319" s="16"/>
    </row>
    <row r="320">
      <c r="A320" s="26" t="s">
        <v>618</v>
      </c>
      <c r="B320" s="10" t="str">
        <f t="shared" si="1"/>
        <v>stomach</v>
      </c>
      <c r="C320" s="49" t="str">
        <f t="shared" si="2"/>
        <v>S5439ST1</v>
      </c>
      <c r="D320" s="6">
        <v>244.0</v>
      </c>
      <c r="E320" s="10" t="str">
        <f t="shared" si="3"/>
        <v>BST244</v>
      </c>
      <c r="F320" s="6">
        <v>3.0</v>
      </c>
      <c r="G320" s="10" t="str">
        <f t="shared" si="4"/>
        <v>BST244-3</v>
      </c>
      <c r="H320" s="16"/>
      <c r="I320" s="16" t="str">
        <f t="shared" si="5"/>
        <v>collected</v>
      </c>
      <c r="J320" s="16" t="str">
        <f t="shared" si="6"/>
        <v>N</v>
      </c>
      <c r="K320" s="16"/>
      <c r="L320" s="16"/>
    </row>
    <row r="321">
      <c r="A321" s="26" t="s">
        <v>619</v>
      </c>
      <c r="B321" s="10" t="str">
        <f t="shared" si="1"/>
        <v>stomach</v>
      </c>
      <c r="C321" s="49" t="str">
        <f t="shared" si="2"/>
        <v>S5440ST1</v>
      </c>
      <c r="D321" s="6">
        <v>244.0</v>
      </c>
      <c r="E321" s="10" t="str">
        <f t="shared" si="3"/>
        <v>BST244</v>
      </c>
      <c r="F321" s="6">
        <v>4.0</v>
      </c>
      <c r="G321" s="10" t="str">
        <f t="shared" si="4"/>
        <v>BST244-4</v>
      </c>
      <c r="H321" s="16"/>
      <c r="I321" s="16" t="str">
        <f t="shared" si="5"/>
        <v>collected</v>
      </c>
      <c r="J321" s="16" t="str">
        <f t="shared" si="6"/>
        <v>N</v>
      </c>
      <c r="K321" s="16"/>
      <c r="L321" s="16"/>
    </row>
    <row r="322">
      <c r="A322" s="26" t="s">
        <v>621</v>
      </c>
      <c r="B322" s="10" t="str">
        <f t="shared" si="1"/>
        <v>stomach</v>
      </c>
      <c r="C322" s="49" t="str">
        <f t="shared" si="2"/>
        <v>S5441ST1</v>
      </c>
      <c r="D322" s="6">
        <v>244.0</v>
      </c>
      <c r="E322" s="10" t="str">
        <f t="shared" si="3"/>
        <v>BST244</v>
      </c>
      <c r="F322" s="6">
        <v>5.0</v>
      </c>
      <c r="G322" s="10" t="str">
        <f t="shared" si="4"/>
        <v>BST244-5</v>
      </c>
      <c r="H322" s="16"/>
      <c r="I322" s="16" t="str">
        <f t="shared" si="5"/>
        <v>collected</v>
      </c>
      <c r="J322" s="16" t="str">
        <f t="shared" si="6"/>
        <v>N</v>
      </c>
      <c r="K322" s="16"/>
      <c r="L322" s="16"/>
    </row>
    <row r="323">
      <c r="A323" s="26" t="s">
        <v>622</v>
      </c>
      <c r="B323" s="10" t="str">
        <f t="shared" si="1"/>
        <v>stomach</v>
      </c>
      <c r="C323" s="49" t="str">
        <f t="shared" si="2"/>
        <v>S5442ST1</v>
      </c>
      <c r="D323" s="6">
        <v>244.0</v>
      </c>
      <c r="E323" s="10" t="str">
        <f t="shared" si="3"/>
        <v>BST244</v>
      </c>
      <c r="F323" s="6">
        <v>6.0</v>
      </c>
      <c r="G323" s="10" t="str">
        <f t="shared" si="4"/>
        <v>BST244-6</v>
      </c>
      <c r="H323" s="16"/>
      <c r="I323" s="16" t="str">
        <f t="shared" si="5"/>
        <v>collected</v>
      </c>
      <c r="J323" s="16" t="str">
        <f t="shared" si="6"/>
        <v>N</v>
      </c>
      <c r="K323" s="16"/>
      <c r="L323" s="16"/>
    </row>
    <row r="324">
      <c r="A324" s="26" t="s">
        <v>624</v>
      </c>
      <c r="B324" s="10" t="str">
        <f t="shared" si="1"/>
        <v>stomach</v>
      </c>
      <c r="C324" s="49" t="str">
        <f t="shared" si="2"/>
        <v>S5443ST1</v>
      </c>
      <c r="D324" s="6">
        <v>244.0</v>
      </c>
      <c r="E324" s="10" t="str">
        <f t="shared" si="3"/>
        <v>BST244</v>
      </c>
      <c r="F324" s="6">
        <v>7.0</v>
      </c>
      <c r="G324" s="10" t="str">
        <f t="shared" si="4"/>
        <v>BST244-7</v>
      </c>
      <c r="H324" s="16"/>
      <c r="I324" s="16" t="str">
        <f t="shared" si="5"/>
        <v>collected</v>
      </c>
      <c r="J324" s="16" t="str">
        <f t="shared" si="6"/>
        <v>N</v>
      </c>
      <c r="K324" s="16"/>
      <c r="L324" s="16"/>
    </row>
    <row r="325">
      <c r="A325" s="26" t="s">
        <v>626</v>
      </c>
      <c r="B325" s="10" t="str">
        <f t="shared" si="1"/>
        <v>stomach</v>
      </c>
      <c r="C325" s="49" t="str">
        <f t="shared" si="2"/>
        <v>S5444ST1</v>
      </c>
      <c r="D325" s="6">
        <v>244.0</v>
      </c>
      <c r="E325" s="10" t="str">
        <f t="shared" si="3"/>
        <v>BST244</v>
      </c>
      <c r="F325" s="6">
        <v>8.0</v>
      </c>
      <c r="G325" s="10" t="str">
        <f t="shared" si="4"/>
        <v>BST244-8</v>
      </c>
      <c r="H325" s="16"/>
      <c r="I325" s="16" t="str">
        <f t="shared" si="5"/>
        <v>collected</v>
      </c>
      <c r="J325" s="16" t="str">
        <f t="shared" si="6"/>
        <v>N</v>
      </c>
      <c r="K325" s="16"/>
      <c r="L325" s="16"/>
    </row>
    <row r="326">
      <c r="A326" s="26" t="s">
        <v>627</v>
      </c>
      <c r="B326" s="10" t="str">
        <f t="shared" si="1"/>
        <v>stomach</v>
      </c>
      <c r="C326" s="49" t="str">
        <f t="shared" si="2"/>
        <v>S5445ST1</v>
      </c>
      <c r="D326" s="6">
        <v>244.0</v>
      </c>
      <c r="E326" s="10" t="str">
        <f t="shared" si="3"/>
        <v>BST244</v>
      </c>
      <c r="F326" s="6">
        <v>9.0</v>
      </c>
      <c r="G326" s="10" t="str">
        <f t="shared" si="4"/>
        <v>BST244-9</v>
      </c>
      <c r="H326" s="16"/>
      <c r="I326" s="16" t="str">
        <f t="shared" si="5"/>
        <v>collected</v>
      </c>
      <c r="J326" s="16" t="str">
        <f t="shared" si="6"/>
        <v>N</v>
      </c>
      <c r="K326" s="16"/>
      <c r="L326" s="16"/>
    </row>
    <row r="327">
      <c r="A327" s="26" t="s">
        <v>628</v>
      </c>
      <c r="B327" s="10" t="str">
        <f t="shared" si="1"/>
        <v>stomach</v>
      </c>
      <c r="C327" s="49" t="str">
        <f t="shared" si="2"/>
        <v>S5446ST1</v>
      </c>
      <c r="D327" s="6">
        <v>244.0</v>
      </c>
      <c r="E327" s="10" t="str">
        <f t="shared" si="3"/>
        <v>BST244</v>
      </c>
      <c r="F327" s="6">
        <v>10.0</v>
      </c>
      <c r="G327" s="10" t="str">
        <f t="shared" si="4"/>
        <v>BST244-10</v>
      </c>
      <c r="H327" s="16"/>
      <c r="I327" s="16" t="str">
        <f t="shared" si="5"/>
        <v>collected</v>
      </c>
      <c r="J327" s="16" t="str">
        <f t="shared" si="6"/>
        <v>N</v>
      </c>
      <c r="K327" s="16"/>
      <c r="L327" s="16"/>
    </row>
    <row r="328">
      <c r="A328" s="26" t="s">
        <v>632</v>
      </c>
      <c r="B328" s="10" t="str">
        <f t="shared" si="1"/>
        <v>stomach</v>
      </c>
      <c r="C328" s="49" t="str">
        <f t="shared" si="2"/>
        <v>S5447ST1</v>
      </c>
      <c r="D328" s="6">
        <v>244.0</v>
      </c>
      <c r="E328" s="10" t="str">
        <f t="shared" si="3"/>
        <v>BST244</v>
      </c>
      <c r="F328" s="6">
        <v>11.0</v>
      </c>
      <c r="G328" s="10" t="str">
        <f t="shared" si="4"/>
        <v>BST244-11</v>
      </c>
      <c r="H328" s="16"/>
      <c r="I328" s="16" t="str">
        <f t="shared" si="5"/>
        <v>collected</v>
      </c>
      <c r="J328" s="16" t="str">
        <f t="shared" si="6"/>
        <v>N</v>
      </c>
      <c r="K328" s="16"/>
      <c r="L328" s="16"/>
    </row>
    <row r="329">
      <c r="A329" s="26" t="s">
        <v>633</v>
      </c>
      <c r="B329" s="10" t="str">
        <f t="shared" si="1"/>
        <v>stomach</v>
      </c>
      <c r="C329" s="49" t="str">
        <f t="shared" si="2"/>
        <v>S5448ST1</v>
      </c>
      <c r="D329" s="6">
        <v>244.0</v>
      </c>
      <c r="E329" s="10" t="str">
        <f t="shared" si="3"/>
        <v>BST244</v>
      </c>
      <c r="F329" s="6">
        <v>12.0</v>
      </c>
      <c r="G329" s="10" t="str">
        <f t="shared" si="4"/>
        <v>BST244-12</v>
      </c>
      <c r="H329" s="16"/>
      <c r="I329" s="16" t="str">
        <f t="shared" si="5"/>
        <v>collected</v>
      </c>
      <c r="J329" s="16" t="str">
        <f t="shared" si="6"/>
        <v>N</v>
      </c>
      <c r="K329" s="16"/>
      <c r="L329" s="16"/>
    </row>
    <row r="330">
      <c r="A330" s="26" t="s">
        <v>634</v>
      </c>
      <c r="B330" s="10" t="str">
        <f t="shared" si="1"/>
        <v>stomach</v>
      </c>
      <c r="C330" s="49" t="str">
        <f t="shared" si="2"/>
        <v>S5449ST1</v>
      </c>
      <c r="D330" s="6">
        <v>244.0</v>
      </c>
      <c r="E330" s="10" t="str">
        <f t="shared" si="3"/>
        <v>BST244</v>
      </c>
      <c r="F330" s="6">
        <v>13.0</v>
      </c>
      <c r="G330" s="10" t="str">
        <f t="shared" si="4"/>
        <v>BST244-13</v>
      </c>
      <c r="H330" s="16"/>
      <c r="I330" s="16" t="str">
        <f t="shared" si="5"/>
        <v>collected</v>
      </c>
      <c r="J330" s="16" t="str">
        <f t="shared" si="6"/>
        <v>N</v>
      </c>
      <c r="K330" s="16"/>
      <c r="L330" s="16"/>
    </row>
    <row r="331">
      <c r="A331" s="26" t="s">
        <v>653</v>
      </c>
      <c r="B331" s="10" t="str">
        <f t="shared" si="1"/>
        <v>stomach</v>
      </c>
      <c r="C331" s="49" t="str">
        <f t="shared" si="2"/>
        <v>S5422ST1</v>
      </c>
      <c r="D331" s="6">
        <v>243.0</v>
      </c>
      <c r="E331" s="10" t="str">
        <f t="shared" si="3"/>
        <v>BST243</v>
      </c>
      <c r="F331" s="6">
        <v>11.0</v>
      </c>
      <c r="G331" s="10" t="str">
        <f t="shared" si="4"/>
        <v>BST243-11</v>
      </c>
      <c r="H331" s="6" t="s">
        <v>2225</v>
      </c>
      <c r="I331" s="16" t="str">
        <f t="shared" si="5"/>
        <v>collected</v>
      </c>
      <c r="J331" s="16" t="str">
        <f t="shared" si="6"/>
        <v>N</v>
      </c>
      <c r="K331" s="16"/>
      <c r="L331" s="16"/>
    </row>
    <row r="332">
      <c r="A332" s="26" t="s">
        <v>656</v>
      </c>
      <c r="B332" s="10" t="str">
        <f t="shared" si="1"/>
        <v>stomach</v>
      </c>
      <c r="C332" s="49" t="str">
        <f t="shared" si="2"/>
        <v>S5423ST1</v>
      </c>
      <c r="D332" s="6">
        <v>243.0</v>
      </c>
      <c r="E332" s="10" t="str">
        <f t="shared" si="3"/>
        <v>BST243</v>
      </c>
      <c r="F332" s="6">
        <v>12.0</v>
      </c>
      <c r="G332" s="10" t="str">
        <f t="shared" si="4"/>
        <v>BST243-12</v>
      </c>
      <c r="H332" s="6" t="s">
        <v>2213</v>
      </c>
      <c r="I332" s="16" t="str">
        <f t="shared" si="5"/>
        <v>collected</v>
      </c>
      <c r="J332" s="16" t="str">
        <f t="shared" si="6"/>
        <v>N</v>
      </c>
      <c r="K332" s="16"/>
      <c r="L332" s="16"/>
    </row>
    <row r="333">
      <c r="A333" s="26" t="s">
        <v>657</v>
      </c>
      <c r="B333" s="10" t="str">
        <f t="shared" si="1"/>
        <v>stomach</v>
      </c>
      <c r="C333" s="49" t="str">
        <f t="shared" si="2"/>
        <v>S5424ST1</v>
      </c>
      <c r="D333" s="6">
        <v>243.0</v>
      </c>
      <c r="E333" s="10" t="str">
        <f t="shared" si="3"/>
        <v>BST243</v>
      </c>
      <c r="F333" s="6">
        <v>13.0</v>
      </c>
      <c r="G333" s="10" t="str">
        <f t="shared" si="4"/>
        <v>BST243-13</v>
      </c>
      <c r="H333" s="16"/>
      <c r="I333" s="16" t="str">
        <f t="shared" si="5"/>
        <v>collected</v>
      </c>
      <c r="J333" s="16" t="str">
        <f t="shared" si="6"/>
        <v>N</v>
      </c>
      <c r="K333" s="16"/>
      <c r="L333" s="16"/>
    </row>
    <row r="334">
      <c r="A334" s="26" t="s">
        <v>658</v>
      </c>
      <c r="B334" s="10" t="str">
        <f t="shared" si="1"/>
        <v>stomach</v>
      </c>
      <c r="C334" s="49" t="str">
        <f t="shared" si="2"/>
        <v>S5425ST1</v>
      </c>
      <c r="D334" s="6">
        <v>243.0</v>
      </c>
      <c r="E334" s="10" t="str">
        <f t="shared" si="3"/>
        <v>BST243</v>
      </c>
      <c r="F334" s="6">
        <v>14.0</v>
      </c>
      <c r="G334" s="10" t="str">
        <f t="shared" si="4"/>
        <v>BST243-14</v>
      </c>
      <c r="H334" s="6" t="s">
        <v>2226</v>
      </c>
      <c r="I334" s="16" t="str">
        <f t="shared" si="5"/>
        <v>collected</v>
      </c>
      <c r="J334" s="16" t="str">
        <f t="shared" si="6"/>
        <v>N</v>
      </c>
      <c r="K334" s="16"/>
      <c r="L334" s="16"/>
    </row>
    <row r="335">
      <c r="A335" s="26" t="s">
        <v>659</v>
      </c>
      <c r="B335" s="10" t="str">
        <f t="shared" si="1"/>
        <v>stomach</v>
      </c>
      <c r="C335" s="49" t="str">
        <f t="shared" si="2"/>
        <v>S5426ST1</v>
      </c>
      <c r="D335" s="6">
        <v>243.0</v>
      </c>
      <c r="E335" s="10" t="str">
        <f t="shared" si="3"/>
        <v>BST243</v>
      </c>
      <c r="F335" s="6">
        <v>15.0</v>
      </c>
      <c r="G335" s="10" t="str">
        <f t="shared" si="4"/>
        <v>BST243-15</v>
      </c>
      <c r="H335" s="16"/>
      <c r="I335" s="16" t="str">
        <f t="shared" si="5"/>
        <v>collected</v>
      </c>
      <c r="J335" s="16" t="str">
        <f t="shared" si="6"/>
        <v>N</v>
      </c>
      <c r="K335" s="16"/>
      <c r="L335" s="16"/>
    </row>
    <row r="336">
      <c r="A336" s="26" t="s">
        <v>661</v>
      </c>
      <c r="B336" s="10" t="str">
        <f t="shared" si="1"/>
        <v>stomach</v>
      </c>
      <c r="C336" s="49" t="str">
        <f t="shared" si="2"/>
        <v>S5427ST1</v>
      </c>
      <c r="D336" s="6">
        <v>243.0</v>
      </c>
      <c r="E336" s="10" t="str">
        <f t="shared" si="3"/>
        <v>BST243</v>
      </c>
      <c r="F336" s="6">
        <v>16.0</v>
      </c>
      <c r="G336" s="10" t="str">
        <f t="shared" si="4"/>
        <v>BST243-16</v>
      </c>
      <c r="H336" s="16"/>
      <c r="I336" s="16" t="str">
        <f t="shared" si="5"/>
        <v>collected</v>
      </c>
      <c r="J336" s="16" t="str">
        <f t="shared" si="6"/>
        <v>N</v>
      </c>
      <c r="K336" s="16"/>
      <c r="L336" s="16"/>
    </row>
    <row r="337">
      <c r="A337" s="25" t="s">
        <v>662</v>
      </c>
      <c r="B337" s="10" t="str">
        <f t="shared" si="1"/>
        <v>stomach</v>
      </c>
      <c r="C337" s="49" t="str">
        <f t="shared" si="2"/>
        <v>S5428ST1</v>
      </c>
      <c r="D337" s="6">
        <v>243.0</v>
      </c>
      <c r="E337" s="10" t="str">
        <f t="shared" si="3"/>
        <v>BST243</v>
      </c>
      <c r="F337" s="6">
        <v>17.0</v>
      </c>
      <c r="G337" s="10" t="str">
        <f t="shared" si="4"/>
        <v>BST243-17</v>
      </c>
      <c r="H337" s="16"/>
      <c r="I337" s="16" t="str">
        <f t="shared" si="5"/>
        <v>collected</v>
      </c>
      <c r="J337" s="16" t="str">
        <f t="shared" si="6"/>
        <v>N</v>
      </c>
      <c r="K337" s="16"/>
      <c r="L337" s="16"/>
    </row>
    <row r="338">
      <c r="A338" s="27" t="s">
        <v>664</v>
      </c>
      <c r="B338" s="10" t="str">
        <f t="shared" si="1"/>
        <v>stomach</v>
      </c>
      <c r="C338" s="49" t="str">
        <f t="shared" si="2"/>
        <v>S5429ST1</v>
      </c>
      <c r="D338" s="6">
        <v>243.0</v>
      </c>
      <c r="E338" s="10" t="str">
        <f t="shared" si="3"/>
        <v>BST243</v>
      </c>
      <c r="F338" s="6">
        <v>18.0</v>
      </c>
      <c r="G338" s="10" t="str">
        <f t="shared" si="4"/>
        <v>BST243-18</v>
      </c>
      <c r="H338" s="16"/>
      <c r="I338" s="16" t="str">
        <f t="shared" si="5"/>
        <v>collected</v>
      </c>
      <c r="J338" s="16" t="str">
        <f t="shared" si="6"/>
        <v>N</v>
      </c>
      <c r="K338" s="16"/>
      <c r="L338" s="16"/>
    </row>
    <row r="339">
      <c r="A339" s="27" t="s">
        <v>665</v>
      </c>
      <c r="B339" s="10" t="str">
        <f t="shared" si="1"/>
        <v>stomach</v>
      </c>
      <c r="C339" s="49" t="str">
        <f t="shared" si="2"/>
        <v>S5430ST1</v>
      </c>
      <c r="D339" s="6">
        <v>243.0</v>
      </c>
      <c r="E339" s="10" t="str">
        <f t="shared" si="3"/>
        <v>BST243</v>
      </c>
      <c r="F339" s="6">
        <v>19.0</v>
      </c>
      <c r="G339" s="10" t="str">
        <f t="shared" si="4"/>
        <v>BST243-19</v>
      </c>
      <c r="H339" s="16"/>
      <c r="I339" s="16" t="str">
        <f t="shared" si="5"/>
        <v>collected</v>
      </c>
      <c r="J339" s="16" t="str">
        <f t="shared" si="6"/>
        <v>N</v>
      </c>
      <c r="K339" s="16"/>
      <c r="L339" s="16"/>
    </row>
    <row r="340">
      <c r="A340" s="27" t="s">
        <v>666</v>
      </c>
      <c r="B340" s="10" t="str">
        <f t="shared" si="1"/>
        <v>stomach</v>
      </c>
      <c r="C340" s="49" t="str">
        <f t="shared" si="2"/>
        <v>S5431ST1</v>
      </c>
      <c r="D340" s="6">
        <v>243.0</v>
      </c>
      <c r="E340" s="10" t="str">
        <f t="shared" si="3"/>
        <v>BST243</v>
      </c>
      <c r="F340" s="6">
        <v>20.0</v>
      </c>
      <c r="G340" s="10" t="str">
        <f t="shared" si="4"/>
        <v>BST243-20</v>
      </c>
      <c r="H340" s="16"/>
      <c r="I340" s="16" t="str">
        <f t="shared" si="5"/>
        <v>collected</v>
      </c>
      <c r="J340" s="16" t="str">
        <f t="shared" si="6"/>
        <v>N</v>
      </c>
      <c r="K340" s="16"/>
      <c r="L340" s="16"/>
    </row>
    <row r="341">
      <c r="A341" s="27" t="s">
        <v>668</v>
      </c>
      <c r="B341" s="10" t="str">
        <f t="shared" si="1"/>
        <v>stomach</v>
      </c>
      <c r="C341" s="49" t="str">
        <f t="shared" si="2"/>
        <v>S5432ST1</v>
      </c>
      <c r="D341" s="6">
        <v>243.0</v>
      </c>
      <c r="E341" s="10" t="str">
        <f t="shared" si="3"/>
        <v>BST243</v>
      </c>
      <c r="F341" s="6">
        <v>21.0</v>
      </c>
      <c r="G341" s="10" t="str">
        <f t="shared" si="4"/>
        <v>BST243-21</v>
      </c>
      <c r="H341" s="16"/>
      <c r="I341" s="16" t="str">
        <f t="shared" si="5"/>
        <v>collected</v>
      </c>
      <c r="J341" s="16" t="str">
        <f t="shared" si="6"/>
        <v>N</v>
      </c>
      <c r="K341" s="16"/>
      <c r="L341" s="16"/>
    </row>
    <row r="342">
      <c r="A342" s="27" t="s">
        <v>670</v>
      </c>
      <c r="B342" s="10" t="str">
        <f t="shared" si="1"/>
        <v>stomach</v>
      </c>
      <c r="C342" s="49" t="str">
        <f t="shared" si="2"/>
        <v>S5433ST1</v>
      </c>
      <c r="D342" s="6">
        <v>243.0</v>
      </c>
      <c r="E342" s="10" t="str">
        <f t="shared" si="3"/>
        <v>BST243</v>
      </c>
      <c r="F342" s="6">
        <v>22.0</v>
      </c>
      <c r="G342" s="10" t="str">
        <f t="shared" si="4"/>
        <v>BST243-22</v>
      </c>
      <c r="H342" s="16"/>
      <c r="I342" s="16" t="str">
        <f t="shared" si="5"/>
        <v>collected</v>
      </c>
      <c r="J342" s="16" t="str">
        <f t="shared" si="6"/>
        <v>N</v>
      </c>
      <c r="K342" s="16"/>
      <c r="L342" s="16"/>
    </row>
    <row r="343">
      <c r="A343" s="27" t="s">
        <v>671</v>
      </c>
      <c r="B343" s="10" t="str">
        <f t="shared" si="1"/>
        <v>stomach</v>
      </c>
      <c r="C343" s="49" t="str">
        <f t="shared" si="2"/>
        <v>S5434ST1</v>
      </c>
      <c r="D343" s="6">
        <v>243.0</v>
      </c>
      <c r="E343" s="10" t="str">
        <f t="shared" si="3"/>
        <v>BST243</v>
      </c>
      <c r="F343" s="6">
        <v>23.0</v>
      </c>
      <c r="G343" s="10" t="str">
        <f t="shared" si="4"/>
        <v>BST243-23</v>
      </c>
      <c r="H343" s="16"/>
      <c r="I343" s="16" t="str">
        <f t="shared" si="5"/>
        <v>collected</v>
      </c>
      <c r="J343" s="16" t="str">
        <f t="shared" si="6"/>
        <v>N</v>
      </c>
      <c r="K343" s="16"/>
      <c r="L343" s="16"/>
    </row>
    <row r="344">
      <c r="A344" s="27" t="s">
        <v>674</v>
      </c>
      <c r="B344" s="10" t="str">
        <f t="shared" si="1"/>
        <v>stomach</v>
      </c>
      <c r="C344" s="49" t="str">
        <f t="shared" si="2"/>
        <v>S5435ST1</v>
      </c>
      <c r="D344" s="6">
        <v>243.0</v>
      </c>
      <c r="E344" s="10" t="str">
        <f t="shared" si="3"/>
        <v>BST243</v>
      </c>
      <c r="F344" s="6">
        <v>24.0</v>
      </c>
      <c r="G344" s="10" t="str">
        <f t="shared" si="4"/>
        <v>BST243-24</v>
      </c>
      <c r="H344" s="16"/>
      <c r="I344" s="16" t="str">
        <f t="shared" si="5"/>
        <v>collected</v>
      </c>
      <c r="J344" s="16" t="str">
        <f t="shared" si="6"/>
        <v>N</v>
      </c>
      <c r="K344" s="16"/>
      <c r="L344" s="16"/>
    </row>
    <row r="345">
      <c r="A345" s="6" t="s">
        <v>676</v>
      </c>
      <c r="B345" s="10" t="str">
        <f t="shared" si="1"/>
        <v>stomach</v>
      </c>
      <c r="C345" s="49" t="str">
        <f t="shared" si="2"/>
        <v>S5436ST1</v>
      </c>
      <c r="D345" s="6">
        <v>243.0</v>
      </c>
      <c r="E345" s="10" t="str">
        <f t="shared" si="3"/>
        <v>BST243</v>
      </c>
      <c r="F345" s="6">
        <v>25.0</v>
      </c>
      <c r="G345" s="10" t="str">
        <f t="shared" si="4"/>
        <v>BST243-25</v>
      </c>
      <c r="H345" s="16"/>
      <c r="I345" s="16" t="str">
        <f t="shared" si="5"/>
        <v>collected</v>
      </c>
      <c r="J345" s="16" t="str">
        <f t="shared" si="6"/>
        <v>N</v>
      </c>
      <c r="K345" s="16"/>
      <c r="L345" s="16"/>
    </row>
    <row r="346">
      <c r="A346" s="27" t="s">
        <v>677</v>
      </c>
      <c r="B346" s="10" t="str">
        <f t="shared" si="1"/>
        <v>stomach</v>
      </c>
      <c r="C346" s="49" t="str">
        <f t="shared" si="2"/>
        <v>S5462ST1</v>
      </c>
      <c r="D346" s="6">
        <v>244.0</v>
      </c>
      <c r="E346" s="10" t="str">
        <f t="shared" si="3"/>
        <v>BST244</v>
      </c>
      <c r="F346" s="6">
        <v>14.0</v>
      </c>
      <c r="G346" s="10" t="str">
        <f t="shared" si="4"/>
        <v>BST244-14</v>
      </c>
      <c r="H346" s="16"/>
      <c r="I346" s="16" t="str">
        <f t="shared" si="5"/>
        <v>collected</v>
      </c>
      <c r="J346" s="16" t="str">
        <f t="shared" si="6"/>
        <v>N</v>
      </c>
      <c r="K346" s="16"/>
      <c r="L346" s="16"/>
    </row>
    <row r="347">
      <c r="A347" s="27" t="s">
        <v>678</v>
      </c>
      <c r="B347" s="10" t="str">
        <f t="shared" si="1"/>
        <v>stomach</v>
      </c>
      <c r="C347" s="49" t="str">
        <f t="shared" si="2"/>
        <v>S5463ST1</v>
      </c>
      <c r="D347" s="6">
        <v>244.0</v>
      </c>
      <c r="E347" s="10" t="str">
        <f t="shared" si="3"/>
        <v>BST244</v>
      </c>
      <c r="F347" s="6">
        <v>15.0</v>
      </c>
      <c r="G347" s="10" t="str">
        <f t="shared" si="4"/>
        <v>BST244-15</v>
      </c>
      <c r="H347" s="16"/>
      <c r="I347" s="16" t="str">
        <f t="shared" si="5"/>
        <v>collected</v>
      </c>
      <c r="J347" s="16" t="str">
        <f t="shared" si="6"/>
        <v>N</v>
      </c>
      <c r="K347" s="16"/>
      <c r="L347" s="16"/>
    </row>
    <row r="348">
      <c r="A348" s="27" t="s">
        <v>681</v>
      </c>
      <c r="B348" s="10" t="str">
        <f t="shared" si="1"/>
        <v>stomach</v>
      </c>
      <c r="C348" s="49" t="str">
        <f t="shared" si="2"/>
        <v>S5464ST1</v>
      </c>
      <c r="D348" s="6">
        <v>244.0</v>
      </c>
      <c r="E348" s="10" t="str">
        <f t="shared" si="3"/>
        <v>BST244</v>
      </c>
      <c r="F348" s="6">
        <v>16.0</v>
      </c>
      <c r="G348" s="10" t="str">
        <f t="shared" si="4"/>
        <v>BST244-16</v>
      </c>
      <c r="H348" s="16"/>
      <c r="I348" s="16" t="str">
        <f t="shared" si="5"/>
        <v>collected</v>
      </c>
      <c r="J348" s="16" t="str">
        <f t="shared" si="6"/>
        <v>N</v>
      </c>
      <c r="K348" s="16"/>
      <c r="L348" s="16"/>
    </row>
    <row r="349">
      <c r="A349" s="27" t="s">
        <v>682</v>
      </c>
      <c r="B349" s="10" t="str">
        <f t="shared" si="1"/>
        <v>stomach</v>
      </c>
      <c r="C349" s="49" t="str">
        <f t="shared" si="2"/>
        <v>S5465ST1</v>
      </c>
      <c r="D349" s="6">
        <v>244.0</v>
      </c>
      <c r="E349" s="10" t="str">
        <f t="shared" si="3"/>
        <v>BST244</v>
      </c>
      <c r="F349" s="6">
        <v>17.0</v>
      </c>
      <c r="G349" s="10" t="str">
        <f t="shared" si="4"/>
        <v>BST244-17</v>
      </c>
      <c r="H349" s="6" t="s">
        <v>2219</v>
      </c>
      <c r="I349" s="16" t="str">
        <f t="shared" si="5"/>
        <v>collected</v>
      </c>
      <c r="J349" s="16" t="str">
        <f t="shared" si="6"/>
        <v>N</v>
      </c>
      <c r="K349" s="16"/>
      <c r="L349" s="16"/>
    </row>
    <row r="350">
      <c r="A350" s="27" t="s">
        <v>683</v>
      </c>
      <c r="B350" s="10" t="str">
        <f t="shared" si="1"/>
        <v>stomach</v>
      </c>
      <c r="C350" s="49" t="str">
        <f t="shared" si="2"/>
        <v>S5466ST1</v>
      </c>
      <c r="D350" s="6">
        <v>244.0</v>
      </c>
      <c r="E350" s="10" t="str">
        <f t="shared" si="3"/>
        <v>BST244</v>
      </c>
      <c r="F350" s="6">
        <v>18.0</v>
      </c>
      <c r="G350" s="10" t="str">
        <f t="shared" si="4"/>
        <v>BST244-18</v>
      </c>
      <c r="H350" s="16"/>
      <c r="I350" s="16" t="str">
        <f t="shared" si="5"/>
        <v>collected</v>
      </c>
      <c r="J350" s="16" t="str">
        <f t="shared" si="6"/>
        <v>N</v>
      </c>
      <c r="K350" s="16"/>
      <c r="L350" s="16"/>
    </row>
    <row r="351">
      <c r="A351" s="27" t="s">
        <v>1486</v>
      </c>
      <c r="B351" s="10" t="str">
        <f t="shared" si="1"/>
        <v>stomach</v>
      </c>
      <c r="C351" s="49" t="str">
        <f t="shared" si="2"/>
        <v>S5450ST1</v>
      </c>
      <c r="D351" s="6">
        <v>246.0</v>
      </c>
      <c r="E351" s="10" t="str">
        <f t="shared" si="3"/>
        <v>BST246</v>
      </c>
      <c r="F351" s="6">
        <v>1.0</v>
      </c>
      <c r="G351" s="10" t="str">
        <f t="shared" si="4"/>
        <v>BST246-1</v>
      </c>
      <c r="H351" s="16"/>
      <c r="I351" s="16" t="str">
        <f t="shared" si="5"/>
        <v>collected</v>
      </c>
      <c r="J351" s="16" t="str">
        <f t="shared" si="6"/>
        <v>N</v>
      </c>
      <c r="K351" s="16"/>
      <c r="L351" s="16"/>
    </row>
    <row r="352">
      <c r="A352" s="27" t="s">
        <v>1487</v>
      </c>
      <c r="B352" s="10" t="str">
        <f t="shared" si="1"/>
        <v>stomach</v>
      </c>
      <c r="C352" s="49" t="str">
        <f t="shared" si="2"/>
        <v>S5451ST1</v>
      </c>
      <c r="D352" s="6">
        <v>246.0</v>
      </c>
      <c r="E352" s="10" t="str">
        <f t="shared" si="3"/>
        <v>BST246</v>
      </c>
      <c r="F352" s="6">
        <v>2.0</v>
      </c>
      <c r="G352" s="10" t="str">
        <f t="shared" si="4"/>
        <v>BST246-2</v>
      </c>
      <c r="H352" s="16"/>
      <c r="I352" s="16" t="str">
        <f t="shared" si="5"/>
        <v>collected</v>
      </c>
      <c r="J352" s="16" t="str">
        <f t="shared" si="6"/>
        <v>N</v>
      </c>
      <c r="K352" s="16"/>
      <c r="L352" s="16"/>
    </row>
    <row r="353">
      <c r="A353" s="27" t="s">
        <v>1489</v>
      </c>
      <c r="B353" s="10" t="str">
        <f t="shared" si="1"/>
        <v>stomach</v>
      </c>
      <c r="C353" s="49" t="str">
        <f t="shared" si="2"/>
        <v>S5452ST1</v>
      </c>
      <c r="D353" s="6">
        <v>246.0</v>
      </c>
      <c r="E353" s="10" t="str">
        <f t="shared" si="3"/>
        <v>BST246</v>
      </c>
      <c r="F353" s="6">
        <v>3.0</v>
      </c>
      <c r="G353" s="10" t="str">
        <f t="shared" si="4"/>
        <v>BST246-3</v>
      </c>
      <c r="H353" s="16"/>
      <c r="I353" s="16" t="str">
        <f t="shared" si="5"/>
        <v>collected</v>
      </c>
      <c r="J353" s="16" t="str">
        <f t="shared" si="6"/>
        <v>N</v>
      </c>
      <c r="K353" s="16"/>
      <c r="L353" s="16"/>
    </row>
    <row r="354">
      <c r="A354" s="27" t="s">
        <v>1491</v>
      </c>
      <c r="B354" s="10" t="str">
        <f t="shared" si="1"/>
        <v>stomach</v>
      </c>
      <c r="C354" s="49" t="str">
        <f t="shared" si="2"/>
        <v>S5453ST1</v>
      </c>
      <c r="D354" s="6">
        <v>246.0</v>
      </c>
      <c r="E354" s="10" t="str">
        <f t="shared" si="3"/>
        <v>BST246</v>
      </c>
      <c r="F354" s="6">
        <v>4.0</v>
      </c>
      <c r="G354" s="10" t="str">
        <f t="shared" si="4"/>
        <v>BST246-4</v>
      </c>
      <c r="H354" s="16"/>
      <c r="I354" s="16" t="str">
        <f t="shared" si="5"/>
        <v>collected</v>
      </c>
      <c r="J354" s="16" t="str">
        <f t="shared" si="6"/>
        <v>N</v>
      </c>
      <c r="K354" s="16"/>
      <c r="L354" s="16"/>
    </row>
    <row r="355">
      <c r="A355" s="27" t="s">
        <v>1492</v>
      </c>
      <c r="B355" s="10" t="str">
        <f t="shared" si="1"/>
        <v>stomach</v>
      </c>
      <c r="C355" s="49" t="str">
        <f t="shared" si="2"/>
        <v>S5454ST1</v>
      </c>
      <c r="D355" s="6">
        <v>246.0</v>
      </c>
      <c r="E355" s="10" t="str">
        <f t="shared" si="3"/>
        <v>BST246</v>
      </c>
      <c r="F355" s="6">
        <v>5.0</v>
      </c>
      <c r="G355" s="10" t="str">
        <f t="shared" si="4"/>
        <v>BST246-5</v>
      </c>
      <c r="H355" s="16"/>
      <c r="I355" s="16" t="str">
        <f t="shared" si="5"/>
        <v>collected</v>
      </c>
      <c r="J355" s="16" t="str">
        <f t="shared" si="6"/>
        <v>N</v>
      </c>
      <c r="K355" s="16"/>
      <c r="L355" s="16"/>
    </row>
    <row r="356">
      <c r="A356" s="27" t="s">
        <v>1493</v>
      </c>
      <c r="B356" s="10" t="str">
        <f t="shared" si="1"/>
        <v>stomach</v>
      </c>
      <c r="C356" s="49" t="str">
        <f t="shared" si="2"/>
        <v>S5455ST1</v>
      </c>
      <c r="D356" s="6">
        <v>246.0</v>
      </c>
      <c r="E356" s="10" t="str">
        <f t="shared" si="3"/>
        <v>BST246</v>
      </c>
      <c r="F356" s="6">
        <v>6.0</v>
      </c>
      <c r="G356" s="10" t="str">
        <f t="shared" si="4"/>
        <v>BST246-6</v>
      </c>
      <c r="H356" s="16"/>
      <c r="I356" s="16" t="str">
        <f t="shared" si="5"/>
        <v>collected</v>
      </c>
      <c r="J356" s="16" t="str">
        <f t="shared" si="6"/>
        <v>N</v>
      </c>
      <c r="K356" s="16"/>
      <c r="L356" s="16"/>
    </row>
    <row r="357">
      <c r="A357" s="27" t="s">
        <v>1494</v>
      </c>
      <c r="B357" s="10" t="str">
        <f t="shared" si="1"/>
        <v>stomach</v>
      </c>
      <c r="C357" s="49" t="str">
        <f t="shared" si="2"/>
        <v>S5456ST1</v>
      </c>
      <c r="D357" s="6">
        <v>246.0</v>
      </c>
      <c r="E357" s="10" t="str">
        <f t="shared" si="3"/>
        <v>BST246</v>
      </c>
      <c r="F357" s="6">
        <v>7.0</v>
      </c>
      <c r="G357" s="10" t="str">
        <f t="shared" si="4"/>
        <v>BST246-7</v>
      </c>
      <c r="H357" s="16"/>
      <c r="I357" s="16" t="str">
        <f t="shared" si="5"/>
        <v>collected</v>
      </c>
      <c r="J357" s="16" t="str">
        <f t="shared" si="6"/>
        <v>N</v>
      </c>
      <c r="K357" s="16"/>
      <c r="L357" s="16"/>
    </row>
    <row r="358">
      <c r="A358" s="27" t="s">
        <v>1497</v>
      </c>
      <c r="B358" s="10" t="str">
        <f t="shared" si="1"/>
        <v>stomach</v>
      </c>
      <c r="C358" s="49" t="str">
        <f t="shared" si="2"/>
        <v>S5457ST1</v>
      </c>
      <c r="D358" s="6">
        <v>246.0</v>
      </c>
      <c r="E358" s="10" t="str">
        <f t="shared" si="3"/>
        <v>BST246</v>
      </c>
      <c r="F358" s="6">
        <v>8.0</v>
      </c>
      <c r="G358" s="10" t="str">
        <f t="shared" si="4"/>
        <v>BST246-8</v>
      </c>
      <c r="H358" s="16"/>
      <c r="I358" s="16" t="str">
        <f t="shared" si="5"/>
        <v>collected</v>
      </c>
      <c r="J358" s="16" t="str">
        <f t="shared" si="6"/>
        <v>N</v>
      </c>
      <c r="K358" s="16"/>
      <c r="L358" s="16"/>
    </row>
    <row r="359">
      <c r="A359" s="27" t="s">
        <v>1498</v>
      </c>
      <c r="B359" s="10" t="str">
        <f t="shared" si="1"/>
        <v>stomach</v>
      </c>
      <c r="C359" s="49" t="str">
        <f t="shared" si="2"/>
        <v>S5458ST1</v>
      </c>
      <c r="D359" s="6">
        <v>246.0</v>
      </c>
      <c r="E359" s="10" t="str">
        <f t="shared" si="3"/>
        <v>BST246</v>
      </c>
      <c r="F359" s="6">
        <v>9.0</v>
      </c>
      <c r="G359" s="10" t="str">
        <f t="shared" si="4"/>
        <v>BST246-9</v>
      </c>
      <c r="H359" s="16"/>
      <c r="I359" s="16" t="str">
        <f t="shared" si="5"/>
        <v>collected</v>
      </c>
      <c r="J359" s="16" t="str">
        <f t="shared" si="6"/>
        <v>N</v>
      </c>
      <c r="K359" s="16"/>
      <c r="L359" s="16"/>
    </row>
    <row r="360">
      <c r="A360" s="27" t="s">
        <v>1499</v>
      </c>
      <c r="B360" s="10" t="str">
        <f t="shared" si="1"/>
        <v>stomach</v>
      </c>
      <c r="C360" s="49" t="str">
        <f t="shared" si="2"/>
        <v>S5459ST1</v>
      </c>
      <c r="D360" s="6">
        <v>246.0</v>
      </c>
      <c r="E360" s="10" t="str">
        <f t="shared" si="3"/>
        <v>BST246</v>
      </c>
      <c r="F360" s="6">
        <v>10.0</v>
      </c>
      <c r="G360" s="10" t="str">
        <f t="shared" si="4"/>
        <v>BST246-10</v>
      </c>
      <c r="H360" s="16"/>
      <c r="I360" s="16" t="str">
        <f t="shared" si="5"/>
        <v>collected</v>
      </c>
      <c r="J360" s="16" t="str">
        <f t="shared" si="6"/>
        <v>N</v>
      </c>
      <c r="K360" s="16"/>
      <c r="L360" s="16"/>
    </row>
    <row r="361">
      <c r="A361" s="27" t="s">
        <v>1501</v>
      </c>
      <c r="B361" s="10" t="str">
        <f t="shared" si="1"/>
        <v>stomach</v>
      </c>
      <c r="C361" s="49" t="str">
        <f t="shared" si="2"/>
        <v>S5460ST1</v>
      </c>
      <c r="D361" s="6">
        <v>246.0</v>
      </c>
      <c r="E361" s="10" t="str">
        <f t="shared" si="3"/>
        <v>BST246</v>
      </c>
      <c r="F361" s="6">
        <v>11.0</v>
      </c>
      <c r="G361" s="10" t="str">
        <f t="shared" si="4"/>
        <v>BST246-11</v>
      </c>
      <c r="H361" s="16"/>
      <c r="I361" s="16" t="str">
        <f t="shared" si="5"/>
        <v>collected</v>
      </c>
      <c r="J361" s="16" t="str">
        <f t="shared" si="6"/>
        <v>N</v>
      </c>
      <c r="K361" s="16"/>
      <c r="L361" s="16"/>
    </row>
    <row r="362">
      <c r="A362" s="27" t="s">
        <v>1503</v>
      </c>
      <c r="B362" s="10" t="str">
        <f t="shared" si="1"/>
        <v>stomach</v>
      </c>
      <c r="C362" s="49" t="str">
        <f t="shared" si="2"/>
        <v>S5461ST1</v>
      </c>
      <c r="D362" s="6">
        <v>246.0</v>
      </c>
      <c r="E362" s="10" t="str">
        <f t="shared" si="3"/>
        <v>BST246</v>
      </c>
      <c r="F362" s="6">
        <v>12.0</v>
      </c>
      <c r="G362" s="10" t="str">
        <f t="shared" si="4"/>
        <v>BST246-12</v>
      </c>
      <c r="H362" s="16"/>
      <c r="I362" s="16" t="str">
        <f t="shared" si="5"/>
        <v>collected</v>
      </c>
      <c r="J362" s="16" t="str">
        <f t="shared" si="6"/>
        <v>N</v>
      </c>
      <c r="K362" s="16"/>
      <c r="L362" s="16"/>
    </row>
  </sheetData>
  <conditionalFormatting sqref="J1:J362">
    <cfRule type="cellIs" dxfId="0" priority="1" operator="equal">
      <formula>"Y"</formula>
    </cfRule>
  </conditionalFormatting>
  <dataValidations>
    <dataValidation type="list" allowBlank="1" showDropDown="1" showInputMessage="1" showErrorMessage="1" prompt="Ensure there are no duplicate UFNs" sqref="A1:A362">
      <formula1>fish_lab_data!$C:$C</formula1>
    </dataValidation>
  </dataValidation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93C47D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8" max="8" width="25.14"/>
  </cols>
  <sheetData>
    <row r="1">
      <c r="A1" s="1" t="s">
        <v>0</v>
      </c>
      <c r="B1" s="1" t="s">
        <v>1</v>
      </c>
      <c r="C1" s="48" t="s">
        <v>16</v>
      </c>
      <c r="D1" s="1" t="s">
        <v>2193</v>
      </c>
      <c r="E1" s="4" t="s">
        <v>18</v>
      </c>
      <c r="F1" s="1" t="s">
        <v>21</v>
      </c>
      <c r="G1" s="4" t="s">
        <v>22</v>
      </c>
      <c r="H1" s="1" t="s">
        <v>23</v>
      </c>
      <c r="I1" s="1" t="s">
        <v>24</v>
      </c>
      <c r="J1" s="1" t="s">
        <v>25</v>
      </c>
      <c r="K1" s="1" t="s">
        <v>26</v>
      </c>
      <c r="L1" s="1" t="s">
        <v>27</v>
      </c>
    </row>
    <row r="2">
      <c r="A2" s="6" t="s">
        <v>65</v>
      </c>
      <c r="B2" s="6" t="s">
        <v>2194</v>
      </c>
      <c r="C2" s="49" t="str">
        <f t="shared" ref="C2:C10" si="1">if(isblank(A2),"",concatenate("S",mid(A2,2,5),"SL1"))</f>
        <v>S5474SL1</v>
      </c>
      <c r="D2" s="6">
        <v>5.0</v>
      </c>
      <c r="E2" s="10" t="str">
        <f t="shared" ref="E2:E308" si="2">if(isblank(D2),"",concatenate("BSL",D2))</f>
        <v>BSL5</v>
      </c>
      <c r="F2" s="39">
        <v>85.0</v>
      </c>
      <c r="G2" s="10" t="str">
        <f t="shared" ref="G2:G308" si="3">if(isblank(F2),"",concatenate(E2,"-",F2))</f>
        <v>BSL5-85</v>
      </c>
      <c r="H2" s="16"/>
      <c r="I2" s="16" t="str">
        <f t="shared" ref="I2:I308" si="4">if(G2="","","collected")</f>
        <v>collected</v>
      </c>
      <c r="J2" s="16" t="str">
        <f t="shared" ref="J2:J308" si="5">if(G2="","",if(or(countif(G:G,G2)&gt;1,countif(C:C,C2)&gt;1),"Y","N"))</f>
        <v>N</v>
      </c>
      <c r="K2" s="16"/>
      <c r="L2" s="16"/>
    </row>
    <row r="3">
      <c r="A3" s="6" t="s">
        <v>67</v>
      </c>
      <c r="B3" s="6" t="s">
        <v>2194</v>
      </c>
      <c r="C3" s="49" t="str">
        <f t="shared" si="1"/>
        <v>S5475SL1</v>
      </c>
      <c r="D3" s="6">
        <v>5.0</v>
      </c>
      <c r="E3" s="10" t="str">
        <f t="shared" si="2"/>
        <v>BSL5</v>
      </c>
      <c r="F3" s="39">
        <v>84.0</v>
      </c>
      <c r="G3" s="10" t="str">
        <f t="shared" si="3"/>
        <v>BSL5-84</v>
      </c>
      <c r="H3" s="16"/>
      <c r="I3" s="16" t="str">
        <f t="shared" si="4"/>
        <v>collected</v>
      </c>
      <c r="J3" s="16" t="str">
        <f t="shared" si="5"/>
        <v>N</v>
      </c>
      <c r="K3" s="16"/>
      <c r="L3" s="16"/>
    </row>
    <row r="4">
      <c r="A4" s="6" t="s">
        <v>73</v>
      </c>
      <c r="B4" s="6" t="s">
        <v>2194</v>
      </c>
      <c r="C4" s="49" t="str">
        <f t="shared" si="1"/>
        <v>S5477SL1</v>
      </c>
      <c r="D4" s="6">
        <v>5.0</v>
      </c>
      <c r="E4" s="10" t="str">
        <f t="shared" si="2"/>
        <v>BSL5</v>
      </c>
      <c r="F4" s="39">
        <v>83.0</v>
      </c>
      <c r="G4" s="10" t="str">
        <f t="shared" si="3"/>
        <v>BSL5-83</v>
      </c>
      <c r="H4" s="16"/>
      <c r="I4" s="16" t="str">
        <f t="shared" si="4"/>
        <v>collected</v>
      </c>
      <c r="J4" s="16" t="str">
        <f t="shared" si="5"/>
        <v>N</v>
      </c>
      <c r="K4" s="16"/>
      <c r="L4" s="16"/>
    </row>
    <row r="5">
      <c r="A5" s="6" t="s">
        <v>75</v>
      </c>
      <c r="B5" s="6" t="s">
        <v>2194</v>
      </c>
      <c r="C5" s="49" t="str">
        <f t="shared" si="1"/>
        <v>S5478SL1</v>
      </c>
      <c r="D5" s="6">
        <v>5.0</v>
      </c>
      <c r="E5" s="10" t="str">
        <f t="shared" si="2"/>
        <v>BSL5</v>
      </c>
      <c r="F5" s="39">
        <v>82.0</v>
      </c>
      <c r="G5" s="10" t="str">
        <f t="shared" si="3"/>
        <v>BSL5-82</v>
      </c>
      <c r="H5" s="16"/>
      <c r="I5" s="16" t="str">
        <f t="shared" si="4"/>
        <v>collected</v>
      </c>
      <c r="J5" s="16" t="str">
        <f t="shared" si="5"/>
        <v>N</v>
      </c>
      <c r="K5" s="16"/>
      <c r="L5" s="16"/>
    </row>
    <row r="6">
      <c r="A6" s="6" t="s">
        <v>87</v>
      </c>
      <c r="B6" s="6" t="s">
        <v>2194</v>
      </c>
      <c r="C6" s="49" t="str">
        <f t="shared" si="1"/>
        <v>S5484SL1</v>
      </c>
      <c r="D6" s="6">
        <v>6.0</v>
      </c>
      <c r="E6" s="10" t="str">
        <f t="shared" si="2"/>
        <v>BSL6</v>
      </c>
      <c r="F6" s="39">
        <v>1.0</v>
      </c>
      <c r="G6" s="10" t="str">
        <f t="shared" si="3"/>
        <v>BSL6-1</v>
      </c>
      <c r="H6" s="6"/>
      <c r="I6" s="16" t="str">
        <f t="shared" si="4"/>
        <v>collected</v>
      </c>
      <c r="J6" s="16" t="str">
        <f t="shared" si="5"/>
        <v>N</v>
      </c>
      <c r="K6" s="16"/>
      <c r="L6" s="16"/>
    </row>
    <row r="7">
      <c r="A7" s="6" t="s">
        <v>89</v>
      </c>
      <c r="B7" s="6" t="s">
        <v>2194</v>
      </c>
      <c r="C7" s="49" t="str">
        <f t="shared" si="1"/>
        <v>S5115SL1</v>
      </c>
      <c r="D7" s="6">
        <v>6.0</v>
      </c>
      <c r="E7" s="10" t="str">
        <f t="shared" si="2"/>
        <v>BSL6</v>
      </c>
      <c r="F7" s="39">
        <v>2.0</v>
      </c>
      <c r="G7" s="10" t="str">
        <f t="shared" si="3"/>
        <v>BSL6-2</v>
      </c>
      <c r="H7" s="6"/>
      <c r="I7" s="16" t="str">
        <f t="shared" si="4"/>
        <v>collected</v>
      </c>
      <c r="J7" s="16" t="str">
        <f t="shared" si="5"/>
        <v>N</v>
      </c>
      <c r="K7" s="16"/>
      <c r="L7" s="16"/>
    </row>
    <row r="8">
      <c r="A8" s="6" t="s">
        <v>92</v>
      </c>
      <c r="B8" s="6" t="s">
        <v>2194</v>
      </c>
      <c r="C8" s="49" t="str">
        <f t="shared" si="1"/>
        <v>S5486SL1</v>
      </c>
      <c r="D8" s="6">
        <v>6.0</v>
      </c>
      <c r="E8" s="10" t="str">
        <f t="shared" si="2"/>
        <v>BSL6</v>
      </c>
      <c r="F8" s="39">
        <v>3.0</v>
      </c>
      <c r="G8" s="10" t="str">
        <f t="shared" si="3"/>
        <v>BSL6-3</v>
      </c>
      <c r="H8" s="18"/>
      <c r="I8" s="16" t="str">
        <f t="shared" si="4"/>
        <v>collected</v>
      </c>
      <c r="J8" s="16" t="str">
        <f t="shared" si="5"/>
        <v>N</v>
      </c>
      <c r="K8" s="16"/>
      <c r="L8" s="16"/>
    </row>
    <row r="9">
      <c r="A9" s="6" t="s">
        <v>93</v>
      </c>
      <c r="B9" s="6" t="s">
        <v>2194</v>
      </c>
      <c r="C9" s="49" t="str">
        <f t="shared" si="1"/>
        <v>S5487SL1</v>
      </c>
      <c r="D9" s="6">
        <v>6.0</v>
      </c>
      <c r="E9" s="10" t="str">
        <f t="shared" si="2"/>
        <v>BSL6</v>
      </c>
      <c r="F9" s="39">
        <v>4.0</v>
      </c>
      <c r="G9" s="10" t="str">
        <f t="shared" si="3"/>
        <v>BSL6-4</v>
      </c>
      <c r="H9" s="18"/>
      <c r="I9" s="16" t="str">
        <f t="shared" si="4"/>
        <v>collected</v>
      </c>
      <c r="J9" s="16" t="str">
        <f t="shared" si="5"/>
        <v>N</v>
      </c>
      <c r="K9" s="16"/>
      <c r="L9" s="16"/>
    </row>
    <row r="10">
      <c r="A10" s="6" t="s">
        <v>95</v>
      </c>
      <c r="B10" s="6" t="s">
        <v>2194</v>
      </c>
      <c r="C10" s="49" t="str">
        <f t="shared" si="1"/>
        <v>S5488SL1</v>
      </c>
      <c r="D10" s="6">
        <v>6.0</v>
      </c>
      <c r="E10" s="10" t="str">
        <f t="shared" si="2"/>
        <v>BSL6</v>
      </c>
      <c r="F10" s="39">
        <v>5.0</v>
      </c>
      <c r="G10" s="10" t="str">
        <f t="shared" si="3"/>
        <v>BSL6-5</v>
      </c>
      <c r="H10" s="16"/>
      <c r="I10" s="16" t="str">
        <f t="shared" si="4"/>
        <v>collected</v>
      </c>
      <c r="J10" s="16" t="str">
        <f t="shared" si="5"/>
        <v>N</v>
      </c>
      <c r="K10" s="16"/>
      <c r="L10" s="16"/>
    </row>
    <row r="11">
      <c r="A11" s="9" t="s">
        <v>637</v>
      </c>
      <c r="B11" s="6" t="s">
        <v>2194</v>
      </c>
      <c r="C11" s="54" t="s">
        <v>2195</v>
      </c>
      <c r="D11" s="6">
        <v>6.0</v>
      </c>
      <c r="E11" s="17" t="str">
        <f t="shared" si="2"/>
        <v>BSL6</v>
      </c>
      <c r="F11" s="13">
        <v>6.0</v>
      </c>
      <c r="G11" s="17" t="str">
        <f t="shared" si="3"/>
        <v>BSL6-6</v>
      </c>
      <c r="I11" t="str">
        <f t="shared" si="4"/>
        <v>collected</v>
      </c>
      <c r="J11" t="str">
        <f t="shared" si="5"/>
        <v>N</v>
      </c>
    </row>
    <row r="12">
      <c r="A12" s="9" t="s">
        <v>640</v>
      </c>
      <c r="B12" s="6" t="s">
        <v>2194</v>
      </c>
      <c r="C12" s="54" t="s">
        <v>2196</v>
      </c>
      <c r="D12" s="6">
        <v>6.0</v>
      </c>
      <c r="E12" s="17" t="str">
        <f t="shared" si="2"/>
        <v>BSL6</v>
      </c>
      <c r="F12" s="13">
        <v>7.0</v>
      </c>
      <c r="G12" s="17" t="str">
        <f t="shared" si="3"/>
        <v>BSL6-7</v>
      </c>
      <c r="I12" t="str">
        <f t="shared" si="4"/>
        <v>collected</v>
      </c>
      <c r="J12" t="str">
        <f t="shared" si="5"/>
        <v>N</v>
      </c>
    </row>
    <row r="13">
      <c r="A13" s="9" t="s">
        <v>685</v>
      </c>
      <c r="B13" s="6" t="s">
        <v>2194</v>
      </c>
      <c r="C13" s="54" t="s">
        <v>2197</v>
      </c>
      <c r="D13" s="6">
        <v>6.0</v>
      </c>
      <c r="E13" s="17" t="str">
        <f t="shared" si="2"/>
        <v>BSL6</v>
      </c>
      <c r="F13" s="13">
        <v>10.0</v>
      </c>
      <c r="G13" s="17" t="str">
        <f t="shared" si="3"/>
        <v>BSL6-10</v>
      </c>
      <c r="I13" t="str">
        <f t="shared" si="4"/>
        <v>collected</v>
      </c>
      <c r="J13" t="str">
        <f t="shared" si="5"/>
        <v>N</v>
      </c>
    </row>
    <row r="14">
      <c r="A14" s="9" t="s">
        <v>686</v>
      </c>
      <c r="B14" s="6" t="s">
        <v>2194</v>
      </c>
      <c r="C14" s="54" t="s">
        <v>2198</v>
      </c>
      <c r="D14" s="6">
        <v>6.0</v>
      </c>
      <c r="E14" s="17" t="str">
        <f t="shared" si="2"/>
        <v>BSL6</v>
      </c>
      <c r="F14" s="13">
        <v>12.0</v>
      </c>
      <c r="G14" s="17" t="str">
        <f t="shared" si="3"/>
        <v>BSL6-12</v>
      </c>
      <c r="I14" t="str">
        <f t="shared" si="4"/>
        <v>collected</v>
      </c>
      <c r="J14" t="str">
        <f t="shared" si="5"/>
        <v>N</v>
      </c>
    </row>
    <row r="15">
      <c r="A15" s="9" t="s">
        <v>689</v>
      </c>
      <c r="B15" s="6" t="s">
        <v>2194</v>
      </c>
      <c r="C15" s="54" t="s">
        <v>2199</v>
      </c>
      <c r="D15" s="6">
        <v>6.0</v>
      </c>
      <c r="E15" s="17" t="str">
        <f t="shared" si="2"/>
        <v>BSL6</v>
      </c>
      <c r="F15" s="13">
        <v>13.0</v>
      </c>
      <c r="G15" s="17" t="str">
        <f t="shared" si="3"/>
        <v>BSL6-13</v>
      </c>
      <c r="I15" t="str">
        <f t="shared" si="4"/>
        <v>collected</v>
      </c>
      <c r="J15" t="str">
        <f t="shared" si="5"/>
        <v>N</v>
      </c>
    </row>
    <row r="16">
      <c r="A16" s="9" t="s">
        <v>704</v>
      </c>
      <c r="B16" s="6" t="s">
        <v>2194</v>
      </c>
      <c r="C16" s="49" t="str">
        <f t="shared" ref="C16:C17" si="6">if(isblank(A16),"",concatenate("S",mid(A16,2,5),"LL1"))</f>
        <v>S16705LL1</v>
      </c>
      <c r="D16" s="6">
        <v>6.0</v>
      </c>
      <c r="E16" s="17" t="str">
        <f t="shared" si="2"/>
        <v>BSL6</v>
      </c>
      <c r="F16" s="13">
        <v>16.0</v>
      </c>
      <c r="G16" s="17" t="str">
        <f t="shared" si="3"/>
        <v>BSL6-16</v>
      </c>
      <c r="I16" t="str">
        <f t="shared" si="4"/>
        <v>collected</v>
      </c>
      <c r="J16" t="str">
        <f t="shared" si="5"/>
        <v>N</v>
      </c>
    </row>
    <row r="17">
      <c r="A17" s="9" t="s">
        <v>707</v>
      </c>
      <c r="B17" s="6" t="s">
        <v>2194</v>
      </c>
      <c r="C17" s="49" t="str">
        <f t="shared" si="6"/>
        <v>S16706LL1</v>
      </c>
      <c r="D17" s="6">
        <v>6.0</v>
      </c>
      <c r="E17" s="17" t="str">
        <f t="shared" si="2"/>
        <v>BSL6</v>
      </c>
      <c r="F17" s="13">
        <v>18.0</v>
      </c>
      <c r="G17" s="17" t="str">
        <f t="shared" si="3"/>
        <v>BSL6-18</v>
      </c>
      <c r="I17" t="str">
        <f t="shared" si="4"/>
        <v>collected</v>
      </c>
      <c r="J17" t="str">
        <f t="shared" si="5"/>
        <v>N</v>
      </c>
    </row>
    <row r="18">
      <c r="A18" s="9" t="s">
        <v>711</v>
      </c>
      <c r="B18" s="6" t="s">
        <v>2194</v>
      </c>
      <c r="C18" s="54" t="s">
        <v>2200</v>
      </c>
      <c r="D18" s="6">
        <v>6.0</v>
      </c>
      <c r="E18" s="17" t="str">
        <f t="shared" si="2"/>
        <v>BSL6</v>
      </c>
      <c r="F18" s="13">
        <v>8.0</v>
      </c>
      <c r="G18" s="17" t="str">
        <f t="shared" si="3"/>
        <v>BSL6-8</v>
      </c>
      <c r="H18" s="18"/>
      <c r="I18" t="str">
        <f t="shared" si="4"/>
        <v>collected</v>
      </c>
      <c r="J18" t="str">
        <f t="shared" si="5"/>
        <v>N</v>
      </c>
    </row>
    <row r="19">
      <c r="A19" s="9" t="s">
        <v>715</v>
      </c>
      <c r="B19" s="6" t="s">
        <v>2194</v>
      </c>
      <c r="C19" s="54" t="s">
        <v>2201</v>
      </c>
      <c r="D19" s="6">
        <v>6.0</v>
      </c>
      <c r="E19" s="17" t="str">
        <f t="shared" si="2"/>
        <v>BSL6</v>
      </c>
      <c r="F19" s="13">
        <v>9.0</v>
      </c>
      <c r="G19" s="17" t="str">
        <f t="shared" si="3"/>
        <v>BSL6-9</v>
      </c>
      <c r="I19" t="str">
        <f t="shared" si="4"/>
        <v>collected</v>
      </c>
      <c r="J19" t="str">
        <f t="shared" si="5"/>
        <v>N</v>
      </c>
    </row>
    <row r="20">
      <c r="A20" s="9" t="s">
        <v>716</v>
      </c>
      <c r="B20" s="6" t="s">
        <v>2194</v>
      </c>
      <c r="C20" s="54" t="s">
        <v>2202</v>
      </c>
      <c r="D20" s="6">
        <v>6.0</v>
      </c>
      <c r="E20" s="17" t="str">
        <f t="shared" si="2"/>
        <v>BSL6</v>
      </c>
      <c r="F20" s="13">
        <v>11.0</v>
      </c>
      <c r="G20" s="17" t="str">
        <f t="shared" si="3"/>
        <v>BSL6-11</v>
      </c>
      <c r="I20" t="str">
        <f t="shared" si="4"/>
        <v>collected</v>
      </c>
      <c r="J20" t="str">
        <f t="shared" si="5"/>
        <v>N</v>
      </c>
    </row>
    <row r="21">
      <c r="A21" s="9" t="s">
        <v>723</v>
      </c>
      <c r="B21" s="6" t="s">
        <v>2194</v>
      </c>
      <c r="C21" s="49" t="str">
        <f t="shared" ref="C21:C67" si="7">if(isblank(A21),"",concatenate("S",mid(A21,2,5),"LL1"))</f>
        <v>S16761LL1</v>
      </c>
      <c r="D21" s="6">
        <v>6.0</v>
      </c>
      <c r="E21" s="17" t="str">
        <f t="shared" si="2"/>
        <v>BSL6</v>
      </c>
      <c r="F21" s="13">
        <v>14.0</v>
      </c>
      <c r="G21" s="17" t="str">
        <f t="shared" si="3"/>
        <v>BSL6-14</v>
      </c>
      <c r="I21" t="str">
        <f t="shared" si="4"/>
        <v>collected</v>
      </c>
      <c r="J21" t="str">
        <f t="shared" si="5"/>
        <v>N</v>
      </c>
    </row>
    <row r="22">
      <c r="A22" s="9" t="s">
        <v>726</v>
      </c>
      <c r="B22" s="6" t="s">
        <v>2194</v>
      </c>
      <c r="C22" s="49" t="str">
        <f t="shared" si="7"/>
        <v>S16763LL1</v>
      </c>
      <c r="D22" s="6">
        <v>6.0</v>
      </c>
      <c r="E22" s="17" t="str">
        <f t="shared" si="2"/>
        <v>BSL6</v>
      </c>
      <c r="F22" s="13">
        <v>15.0</v>
      </c>
      <c r="G22" s="17" t="str">
        <f t="shared" si="3"/>
        <v>BSL6-15</v>
      </c>
      <c r="I22" t="str">
        <f t="shared" si="4"/>
        <v>collected</v>
      </c>
      <c r="J22" t="str">
        <f t="shared" si="5"/>
        <v>N</v>
      </c>
    </row>
    <row r="23">
      <c r="A23" s="9" t="s">
        <v>728</v>
      </c>
      <c r="B23" s="6" t="s">
        <v>2194</v>
      </c>
      <c r="C23" s="49" t="str">
        <f t="shared" si="7"/>
        <v>S16765LL1</v>
      </c>
      <c r="D23" s="6">
        <v>6.0</v>
      </c>
      <c r="E23" s="17" t="str">
        <f t="shared" si="2"/>
        <v>BSL6</v>
      </c>
      <c r="F23" s="13">
        <v>17.0</v>
      </c>
      <c r="G23" s="17" t="str">
        <f t="shared" si="3"/>
        <v>BSL6-17</v>
      </c>
      <c r="I23" t="str">
        <f t="shared" si="4"/>
        <v>collected</v>
      </c>
      <c r="J23" t="str">
        <f t="shared" si="5"/>
        <v>N</v>
      </c>
    </row>
    <row r="24">
      <c r="A24" s="6" t="s">
        <v>735</v>
      </c>
      <c r="B24" s="6" t="s">
        <v>2194</v>
      </c>
      <c r="C24" s="49" t="str">
        <f t="shared" si="7"/>
        <v>S16707LL1</v>
      </c>
      <c r="D24" s="6">
        <v>6.0</v>
      </c>
      <c r="E24" s="17" t="str">
        <f t="shared" si="2"/>
        <v>BSL6</v>
      </c>
      <c r="F24" s="13">
        <v>19.0</v>
      </c>
      <c r="G24" s="17" t="str">
        <f t="shared" si="3"/>
        <v>BSL6-19</v>
      </c>
      <c r="I24" t="str">
        <f t="shared" si="4"/>
        <v>collected</v>
      </c>
      <c r="J24" t="str">
        <f t="shared" si="5"/>
        <v>N</v>
      </c>
    </row>
    <row r="25">
      <c r="A25" s="6" t="s">
        <v>744</v>
      </c>
      <c r="B25" s="6" t="s">
        <v>2194</v>
      </c>
      <c r="C25" s="49" t="str">
        <f t="shared" si="7"/>
        <v>S16923LL1</v>
      </c>
      <c r="D25" s="6">
        <v>6.0</v>
      </c>
      <c r="E25" s="17" t="str">
        <f t="shared" si="2"/>
        <v>BSL6</v>
      </c>
      <c r="F25" s="13">
        <v>22.0</v>
      </c>
      <c r="G25" s="17" t="str">
        <f t="shared" si="3"/>
        <v>BSL6-22</v>
      </c>
      <c r="I25" t="str">
        <f t="shared" si="4"/>
        <v>collected</v>
      </c>
      <c r="J25" t="str">
        <f t="shared" si="5"/>
        <v>N</v>
      </c>
    </row>
    <row r="26">
      <c r="A26" s="6" t="s">
        <v>745</v>
      </c>
      <c r="B26" s="6" t="s">
        <v>2194</v>
      </c>
      <c r="C26" s="49" t="str">
        <f t="shared" si="7"/>
        <v>S17351LL1</v>
      </c>
      <c r="D26" s="6">
        <v>6.0</v>
      </c>
      <c r="E26" s="17" t="str">
        <f t="shared" si="2"/>
        <v>BSL6</v>
      </c>
      <c r="F26" s="13">
        <v>24.0</v>
      </c>
      <c r="G26" s="17" t="str">
        <f t="shared" si="3"/>
        <v>BSL6-24</v>
      </c>
      <c r="I26" t="str">
        <f t="shared" si="4"/>
        <v>collected</v>
      </c>
      <c r="J26" t="str">
        <f t="shared" si="5"/>
        <v>N</v>
      </c>
    </row>
    <row r="27">
      <c r="A27" s="33" t="s">
        <v>764</v>
      </c>
      <c r="B27" s="6" t="s">
        <v>2194</v>
      </c>
      <c r="C27" s="49" t="str">
        <f t="shared" si="7"/>
        <v>S16953LL1</v>
      </c>
      <c r="D27" s="6">
        <v>6.0</v>
      </c>
      <c r="E27" s="17" t="str">
        <f t="shared" si="2"/>
        <v>BSL6</v>
      </c>
      <c r="F27" s="13">
        <v>20.0</v>
      </c>
      <c r="G27" s="17" t="str">
        <f t="shared" si="3"/>
        <v>BSL6-20</v>
      </c>
      <c r="I27" t="str">
        <f t="shared" si="4"/>
        <v>collected</v>
      </c>
      <c r="J27" t="str">
        <f t="shared" si="5"/>
        <v>N</v>
      </c>
    </row>
    <row r="28">
      <c r="A28" s="33" t="s">
        <v>768</v>
      </c>
      <c r="B28" s="6" t="s">
        <v>2194</v>
      </c>
      <c r="C28" s="49" t="str">
        <f t="shared" si="7"/>
        <v>S16951LL1</v>
      </c>
      <c r="D28" s="6">
        <v>6.0</v>
      </c>
      <c r="E28" s="17" t="str">
        <f t="shared" si="2"/>
        <v>BSL6</v>
      </c>
      <c r="F28" s="13">
        <v>21.0</v>
      </c>
      <c r="G28" s="17" t="str">
        <f t="shared" si="3"/>
        <v>BSL6-21</v>
      </c>
      <c r="I28" t="str">
        <f t="shared" si="4"/>
        <v>collected</v>
      </c>
      <c r="J28" t="str">
        <f t="shared" si="5"/>
        <v>N</v>
      </c>
    </row>
    <row r="29">
      <c r="A29" s="33" t="s">
        <v>771</v>
      </c>
      <c r="B29" s="6" t="s">
        <v>2194</v>
      </c>
      <c r="C29" s="49" t="str">
        <f t="shared" si="7"/>
        <v>S17429LL1</v>
      </c>
      <c r="D29" s="6">
        <v>6.0</v>
      </c>
      <c r="E29" s="17" t="str">
        <f t="shared" si="2"/>
        <v>BSL6</v>
      </c>
      <c r="F29" s="13">
        <v>23.0</v>
      </c>
      <c r="G29" s="17" t="str">
        <f t="shared" si="3"/>
        <v>BSL6-23</v>
      </c>
      <c r="I29" t="str">
        <f t="shared" si="4"/>
        <v>collected</v>
      </c>
      <c r="J29" t="str">
        <f t="shared" si="5"/>
        <v>N</v>
      </c>
    </row>
    <row r="30">
      <c r="A30" s="33" t="s">
        <v>781</v>
      </c>
      <c r="B30" s="6" t="s">
        <v>2194</v>
      </c>
      <c r="C30" s="49" t="str">
        <f t="shared" si="7"/>
        <v>S17421LL1</v>
      </c>
      <c r="D30" s="6">
        <v>6.0</v>
      </c>
      <c r="E30" s="17" t="str">
        <f t="shared" si="2"/>
        <v>BSL6</v>
      </c>
      <c r="F30" s="13">
        <v>25.0</v>
      </c>
      <c r="G30" s="17" t="str">
        <f t="shared" si="3"/>
        <v>BSL6-25</v>
      </c>
      <c r="I30" t="str">
        <f t="shared" si="4"/>
        <v>collected</v>
      </c>
      <c r="J30" t="str">
        <f t="shared" si="5"/>
        <v>N</v>
      </c>
    </row>
    <row r="31">
      <c r="A31" s="33" t="s">
        <v>782</v>
      </c>
      <c r="B31" s="6" t="s">
        <v>2194</v>
      </c>
      <c r="C31" s="49" t="str">
        <f t="shared" si="7"/>
        <v>S17430LL1</v>
      </c>
      <c r="D31" s="6">
        <v>6.0</v>
      </c>
      <c r="E31" s="17" t="str">
        <f t="shared" si="2"/>
        <v>BSL6</v>
      </c>
      <c r="F31" s="13">
        <v>26.0</v>
      </c>
      <c r="G31" s="17" t="str">
        <f t="shared" si="3"/>
        <v>BSL6-26</v>
      </c>
      <c r="I31" t="str">
        <f t="shared" si="4"/>
        <v>collected</v>
      </c>
      <c r="J31" t="str">
        <f t="shared" si="5"/>
        <v>N</v>
      </c>
    </row>
    <row r="32">
      <c r="A32" s="33" t="s">
        <v>783</v>
      </c>
      <c r="B32" s="6" t="s">
        <v>2194</v>
      </c>
      <c r="C32" s="49" t="str">
        <f t="shared" si="7"/>
        <v>S17424LL1</v>
      </c>
      <c r="D32" s="6">
        <v>6.0</v>
      </c>
      <c r="E32" s="17" t="str">
        <f t="shared" si="2"/>
        <v>BSL6</v>
      </c>
      <c r="F32" s="13">
        <v>27.0</v>
      </c>
      <c r="G32" s="17" t="str">
        <f t="shared" si="3"/>
        <v>BSL6-27</v>
      </c>
      <c r="H32" s="18"/>
      <c r="I32" t="str">
        <f t="shared" si="4"/>
        <v>collected</v>
      </c>
      <c r="J32" t="str">
        <f t="shared" si="5"/>
        <v>N</v>
      </c>
    </row>
    <row r="33">
      <c r="A33" s="33" t="s">
        <v>789</v>
      </c>
      <c r="B33" s="6" t="s">
        <v>2194</v>
      </c>
      <c r="C33" s="49" t="str">
        <f t="shared" si="7"/>
        <v>S17197LL1</v>
      </c>
      <c r="D33" s="6">
        <v>6.0</v>
      </c>
      <c r="E33" s="17" t="str">
        <f t="shared" si="2"/>
        <v>BSL6</v>
      </c>
      <c r="F33" s="13">
        <v>28.0</v>
      </c>
      <c r="G33" s="17" t="str">
        <f t="shared" si="3"/>
        <v>BSL6-28</v>
      </c>
      <c r="H33" s="18"/>
      <c r="I33" t="str">
        <f t="shared" si="4"/>
        <v>collected</v>
      </c>
      <c r="J33" t="str">
        <f t="shared" si="5"/>
        <v>N</v>
      </c>
    </row>
    <row r="34">
      <c r="A34" s="33" t="s">
        <v>806</v>
      </c>
      <c r="B34" s="6" t="s">
        <v>2194</v>
      </c>
      <c r="C34" s="49" t="str">
        <f t="shared" si="7"/>
        <v>S16993LL1</v>
      </c>
      <c r="D34" s="6">
        <v>6.0</v>
      </c>
      <c r="E34" s="17" t="str">
        <f t="shared" si="2"/>
        <v>BSL6</v>
      </c>
      <c r="F34" s="13">
        <v>29.0</v>
      </c>
      <c r="G34" s="17" t="str">
        <f t="shared" si="3"/>
        <v>BSL6-29</v>
      </c>
      <c r="I34" t="str">
        <f t="shared" si="4"/>
        <v>collected</v>
      </c>
      <c r="J34" t="str">
        <f t="shared" si="5"/>
        <v>N</v>
      </c>
    </row>
    <row r="35">
      <c r="A35" s="33" t="s">
        <v>826</v>
      </c>
      <c r="B35" s="6" t="s">
        <v>2194</v>
      </c>
      <c r="C35" s="49" t="str">
        <f t="shared" si="7"/>
        <v>S17270LL1</v>
      </c>
      <c r="D35" s="6">
        <v>6.0</v>
      </c>
      <c r="E35" s="17" t="str">
        <f t="shared" si="2"/>
        <v>BSL6</v>
      </c>
      <c r="F35" s="13">
        <v>34.0</v>
      </c>
      <c r="G35" s="17" t="str">
        <f t="shared" si="3"/>
        <v>BSL6-34</v>
      </c>
      <c r="I35" t="str">
        <f t="shared" si="4"/>
        <v>collected</v>
      </c>
      <c r="J35" t="str">
        <f t="shared" si="5"/>
        <v>N</v>
      </c>
    </row>
    <row r="36">
      <c r="A36" s="33" t="s">
        <v>843</v>
      </c>
      <c r="B36" s="6" t="s">
        <v>2194</v>
      </c>
      <c r="C36" s="49" t="str">
        <f t="shared" si="7"/>
        <v>S16933LL1</v>
      </c>
      <c r="D36" s="6">
        <v>6.0</v>
      </c>
      <c r="E36" s="17" t="str">
        <f t="shared" si="2"/>
        <v>BSL6</v>
      </c>
      <c r="F36" s="13">
        <v>30.0</v>
      </c>
      <c r="G36" s="17" t="str">
        <f t="shared" si="3"/>
        <v>BSL6-30</v>
      </c>
      <c r="I36" t="str">
        <f t="shared" si="4"/>
        <v>collected</v>
      </c>
      <c r="J36" t="str">
        <f t="shared" si="5"/>
        <v>N</v>
      </c>
    </row>
    <row r="37">
      <c r="A37" s="33" t="s">
        <v>849</v>
      </c>
      <c r="B37" s="6" t="s">
        <v>2194</v>
      </c>
      <c r="C37" s="49" t="str">
        <f t="shared" si="7"/>
        <v>S16936LL1</v>
      </c>
      <c r="D37" s="6">
        <v>6.0</v>
      </c>
      <c r="E37" s="17" t="str">
        <f t="shared" si="2"/>
        <v>BSL6</v>
      </c>
      <c r="F37" s="13">
        <v>31.0</v>
      </c>
      <c r="G37" s="17" t="str">
        <f t="shared" si="3"/>
        <v>BSL6-31</v>
      </c>
      <c r="I37" t="str">
        <f t="shared" si="4"/>
        <v>collected</v>
      </c>
      <c r="J37" t="str">
        <f t="shared" si="5"/>
        <v>N</v>
      </c>
    </row>
    <row r="38">
      <c r="A38" s="33" t="s">
        <v>852</v>
      </c>
      <c r="B38" s="6" t="s">
        <v>2194</v>
      </c>
      <c r="C38" s="49" t="str">
        <f t="shared" si="7"/>
        <v>S17941LL1</v>
      </c>
      <c r="D38" s="6">
        <v>6.0</v>
      </c>
      <c r="E38" s="17" t="str">
        <f t="shared" si="2"/>
        <v>BSL6</v>
      </c>
      <c r="F38" s="13">
        <v>32.0</v>
      </c>
      <c r="G38" s="17" t="str">
        <f t="shared" si="3"/>
        <v>BSL6-32</v>
      </c>
      <c r="I38" t="str">
        <f t="shared" si="4"/>
        <v>collected</v>
      </c>
      <c r="J38" t="str">
        <f t="shared" si="5"/>
        <v>N</v>
      </c>
    </row>
    <row r="39">
      <c r="A39" s="33" t="s">
        <v>854</v>
      </c>
      <c r="B39" s="6" t="s">
        <v>2194</v>
      </c>
      <c r="C39" s="49" t="str">
        <f t="shared" si="7"/>
        <v>S17943LL1</v>
      </c>
      <c r="D39" s="6">
        <v>6.0</v>
      </c>
      <c r="E39" s="17" t="str">
        <f t="shared" si="2"/>
        <v>BSL6</v>
      </c>
      <c r="F39" s="13">
        <v>33.0</v>
      </c>
      <c r="G39" s="17" t="str">
        <f t="shared" si="3"/>
        <v>BSL6-33</v>
      </c>
      <c r="H39" s="18"/>
      <c r="I39" t="str">
        <f t="shared" si="4"/>
        <v>collected</v>
      </c>
      <c r="J39" t="str">
        <f t="shared" si="5"/>
        <v>N</v>
      </c>
    </row>
    <row r="40">
      <c r="A40" s="33" t="s">
        <v>870</v>
      </c>
      <c r="B40" s="6" t="s">
        <v>2194</v>
      </c>
      <c r="C40" s="49" t="str">
        <f t="shared" si="7"/>
        <v>S16882LL1</v>
      </c>
      <c r="D40" s="6">
        <v>6.0</v>
      </c>
      <c r="E40" s="17" t="str">
        <f t="shared" si="2"/>
        <v>BSL6</v>
      </c>
      <c r="F40" s="13">
        <v>35.0</v>
      </c>
      <c r="G40" s="17" t="str">
        <f t="shared" si="3"/>
        <v>BSL6-35</v>
      </c>
      <c r="I40" t="str">
        <f t="shared" si="4"/>
        <v>collected</v>
      </c>
      <c r="J40" t="str">
        <f t="shared" si="5"/>
        <v>N</v>
      </c>
    </row>
    <row r="41">
      <c r="A41" s="9" t="s">
        <v>873</v>
      </c>
      <c r="B41" s="6" t="s">
        <v>2194</v>
      </c>
      <c r="C41" s="49" t="str">
        <f t="shared" si="7"/>
        <v>S16885LL1</v>
      </c>
      <c r="D41" s="6">
        <v>6.0</v>
      </c>
      <c r="E41" s="17" t="str">
        <f t="shared" si="2"/>
        <v>BSL6</v>
      </c>
      <c r="F41" s="13">
        <v>36.0</v>
      </c>
      <c r="G41" s="17" t="str">
        <f t="shared" si="3"/>
        <v>BSL6-36</v>
      </c>
      <c r="I41" t="str">
        <f t="shared" si="4"/>
        <v>collected</v>
      </c>
      <c r="J41" t="str">
        <f t="shared" si="5"/>
        <v>N</v>
      </c>
    </row>
    <row r="42">
      <c r="A42" s="9" t="s">
        <v>882</v>
      </c>
      <c r="B42" s="6" t="s">
        <v>2194</v>
      </c>
      <c r="C42" s="49" t="str">
        <f t="shared" si="7"/>
        <v>S16890LL1</v>
      </c>
      <c r="D42" s="6">
        <v>6.0</v>
      </c>
      <c r="E42" s="17" t="str">
        <f t="shared" si="2"/>
        <v>BSL6</v>
      </c>
      <c r="F42" s="13">
        <v>37.0</v>
      </c>
      <c r="G42" s="17" t="str">
        <f t="shared" si="3"/>
        <v>BSL6-37</v>
      </c>
      <c r="I42" t="str">
        <f t="shared" si="4"/>
        <v>collected</v>
      </c>
      <c r="J42" t="str">
        <f t="shared" si="5"/>
        <v>N</v>
      </c>
    </row>
    <row r="43">
      <c r="A43" s="9" t="s">
        <v>893</v>
      </c>
      <c r="B43" s="6" t="s">
        <v>2194</v>
      </c>
      <c r="C43" s="49" t="str">
        <f t="shared" si="7"/>
        <v>S16298LL1</v>
      </c>
      <c r="D43" s="6">
        <v>6.0</v>
      </c>
      <c r="E43" s="17" t="str">
        <f t="shared" si="2"/>
        <v>BSL6</v>
      </c>
      <c r="F43" s="13">
        <v>39.0</v>
      </c>
      <c r="G43" s="17" t="str">
        <f t="shared" si="3"/>
        <v>BSL6-39</v>
      </c>
      <c r="H43" s="18"/>
      <c r="I43" t="str">
        <f t="shared" si="4"/>
        <v>collected</v>
      </c>
      <c r="J43" t="str">
        <f t="shared" si="5"/>
        <v>N</v>
      </c>
    </row>
    <row r="44">
      <c r="A44" s="9" t="s">
        <v>905</v>
      </c>
      <c r="B44" s="6" t="s">
        <v>2194</v>
      </c>
      <c r="C44" s="49" t="str">
        <f t="shared" si="7"/>
        <v>S17240LL1</v>
      </c>
      <c r="D44" s="6">
        <v>6.0</v>
      </c>
      <c r="E44" s="17" t="str">
        <f t="shared" si="2"/>
        <v>BSL6</v>
      </c>
      <c r="F44" s="13">
        <v>38.0</v>
      </c>
      <c r="G44" s="17" t="str">
        <f t="shared" si="3"/>
        <v>BSL6-38</v>
      </c>
      <c r="H44" s="18"/>
      <c r="I44" t="str">
        <f t="shared" si="4"/>
        <v>collected</v>
      </c>
      <c r="J44" t="str">
        <f t="shared" si="5"/>
        <v>N</v>
      </c>
    </row>
    <row r="45">
      <c r="A45" s="9" t="s">
        <v>908</v>
      </c>
      <c r="B45" s="6" t="s">
        <v>2203</v>
      </c>
      <c r="C45" s="49" t="str">
        <f t="shared" si="7"/>
        <v>S17092LL1</v>
      </c>
      <c r="D45" s="6">
        <v>2.0</v>
      </c>
      <c r="E45" s="17" t="str">
        <f t="shared" si="2"/>
        <v>BSL2</v>
      </c>
      <c r="F45" s="13">
        <v>47.0</v>
      </c>
      <c r="G45" s="17" t="str">
        <f t="shared" si="3"/>
        <v>BSL2-47</v>
      </c>
      <c r="H45" s="18"/>
      <c r="I45" t="str">
        <f t="shared" si="4"/>
        <v>collected</v>
      </c>
      <c r="J45" t="str">
        <f t="shared" si="5"/>
        <v>N</v>
      </c>
    </row>
    <row r="46">
      <c r="A46" s="9" t="s">
        <v>934</v>
      </c>
      <c r="B46" s="6" t="s">
        <v>2203</v>
      </c>
      <c r="C46" s="49" t="str">
        <f t="shared" si="7"/>
        <v>S16014LL1</v>
      </c>
      <c r="D46" s="6">
        <v>2.0</v>
      </c>
      <c r="E46" s="17" t="str">
        <f t="shared" si="2"/>
        <v>BSL2</v>
      </c>
      <c r="F46" s="13">
        <v>54.0</v>
      </c>
      <c r="G46" s="17" t="str">
        <f t="shared" si="3"/>
        <v>BSL2-54</v>
      </c>
      <c r="H46" s="9" t="s">
        <v>2204</v>
      </c>
      <c r="I46" t="str">
        <f t="shared" si="4"/>
        <v>collected</v>
      </c>
      <c r="J46" t="str">
        <f t="shared" si="5"/>
        <v>N</v>
      </c>
    </row>
    <row r="47">
      <c r="A47" s="9" t="s">
        <v>938</v>
      </c>
      <c r="B47" s="6" t="s">
        <v>2203</v>
      </c>
      <c r="C47" s="49" t="str">
        <f t="shared" si="7"/>
        <v>S16017LL1</v>
      </c>
      <c r="D47" s="6">
        <v>2.0</v>
      </c>
      <c r="E47" s="17" t="str">
        <f t="shared" si="2"/>
        <v>BSL2</v>
      </c>
      <c r="F47" s="13">
        <v>56.0</v>
      </c>
      <c r="G47" s="17" t="str">
        <f t="shared" si="3"/>
        <v>BSL2-56</v>
      </c>
      <c r="H47" s="18"/>
      <c r="I47" t="str">
        <f t="shared" si="4"/>
        <v>collected</v>
      </c>
      <c r="J47" t="str">
        <f t="shared" si="5"/>
        <v>N</v>
      </c>
    </row>
    <row r="48">
      <c r="A48" s="9" t="s">
        <v>946</v>
      </c>
      <c r="B48" s="6" t="s">
        <v>2203</v>
      </c>
      <c r="C48" s="49" t="str">
        <f t="shared" si="7"/>
        <v>S17096LL1</v>
      </c>
      <c r="D48" s="6">
        <v>2.0</v>
      </c>
      <c r="E48" s="17" t="str">
        <f t="shared" si="2"/>
        <v>BSL2</v>
      </c>
      <c r="F48" s="13">
        <v>49.0</v>
      </c>
      <c r="G48" s="17" t="str">
        <f t="shared" si="3"/>
        <v>BSL2-49</v>
      </c>
      <c r="I48" t="str">
        <f t="shared" si="4"/>
        <v>collected</v>
      </c>
      <c r="J48" t="str">
        <f t="shared" si="5"/>
        <v>N</v>
      </c>
    </row>
    <row r="49">
      <c r="A49" s="9" t="s">
        <v>947</v>
      </c>
      <c r="B49" s="6" t="s">
        <v>2203</v>
      </c>
      <c r="C49" s="49" t="str">
        <f t="shared" si="7"/>
        <v>S17094LL1</v>
      </c>
      <c r="D49" s="6">
        <v>2.0</v>
      </c>
      <c r="E49" s="17" t="str">
        <f t="shared" si="2"/>
        <v>BSL2</v>
      </c>
      <c r="F49" s="13">
        <v>52.0</v>
      </c>
      <c r="G49" s="17" t="str">
        <f t="shared" si="3"/>
        <v>BSL2-52</v>
      </c>
      <c r="I49" t="str">
        <f t="shared" si="4"/>
        <v>collected</v>
      </c>
      <c r="J49" t="str">
        <f t="shared" si="5"/>
        <v>N</v>
      </c>
    </row>
    <row r="50">
      <c r="A50" s="9" t="s">
        <v>969</v>
      </c>
      <c r="B50" s="6" t="s">
        <v>2194</v>
      </c>
      <c r="C50" s="49" t="str">
        <f t="shared" si="7"/>
        <v>S16344LL1</v>
      </c>
      <c r="D50" s="6">
        <v>6.0</v>
      </c>
      <c r="E50" s="17" t="str">
        <f t="shared" si="2"/>
        <v>BSL6</v>
      </c>
      <c r="F50" s="13">
        <v>40.0</v>
      </c>
      <c r="G50" s="17" t="str">
        <f t="shared" si="3"/>
        <v>BSL6-40</v>
      </c>
      <c r="I50" t="str">
        <f t="shared" si="4"/>
        <v>collected</v>
      </c>
      <c r="J50" t="str">
        <f t="shared" si="5"/>
        <v>N</v>
      </c>
    </row>
    <row r="51">
      <c r="A51" s="9" t="s">
        <v>971</v>
      </c>
      <c r="B51" s="6" t="s">
        <v>2194</v>
      </c>
      <c r="C51" s="49" t="str">
        <f t="shared" si="7"/>
        <v>S16341LL1</v>
      </c>
      <c r="D51" s="6">
        <v>6.0</v>
      </c>
      <c r="E51" s="17" t="str">
        <f t="shared" si="2"/>
        <v>BSL6</v>
      </c>
      <c r="F51" s="13">
        <v>41.0</v>
      </c>
      <c r="G51" s="17" t="str">
        <f t="shared" si="3"/>
        <v>BSL6-41</v>
      </c>
      <c r="I51" t="str">
        <f t="shared" si="4"/>
        <v>collected</v>
      </c>
      <c r="J51" t="str">
        <f t="shared" si="5"/>
        <v>N</v>
      </c>
    </row>
    <row r="52">
      <c r="A52" s="9" t="s">
        <v>974</v>
      </c>
      <c r="B52" s="6" t="s">
        <v>2194</v>
      </c>
      <c r="C52" s="49" t="str">
        <f t="shared" si="7"/>
        <v>S16971LL1</v>
      </c>
      <c r="D52" s="6">
        <v>6.0</v>
      </c>
      <c r="E52" s="17" t="str">
        <f t="shared" si="2"/>
        <v>BSL6</v>
      </c>
      <c r="F52" s="13">
        <v>42.0</v>
      </c>
      <c r="G52" s="17" t="str">
        <f t="shared" si="3"/>
        <v>BSL6-42</v>
      </c>
      <c r="H52" s="18"/>
      <c r="I52" t="str">
        <f t="shared" si="4"/>
        <v>collected</v>
      </c>
      <c r="J52" t="str">
        <f t="shared" si="5"/>
        <v>N</v>
      </c>
    </row>
    <row r="53">
      <c r="A53" s="9" t="s">
        <v>986</v>
      </c>
      <c r="B53" s="6" t="s">
        <v>2194</v>
      </c>
      <c r="C53" s="49" t="str">
        <f t="shared" si="7"/>
        <v>S16978LL1</v>
      </c>
      <c r="D53" s="6">
        <v>6.0</v>
      </c>
      <c r="E53" s="17" t="str">
        <f t="shared" si="2"/>
        <v>BSL6</v>
      </c>
      <c r="F53" s="13">
        <v>44.0</v>
      </c>
      <c r="G53" s="17" t="str">
        <f t="shared" si="3"/>
        <v>BSL6-44</v>
      </c>
      <c r="I53" t="str">
        <f t="shared" si="4"/>
        <v>collected</v>
      </c>
      <c r="J53" t="str">
        <f t="shared" si="5"/>
        <v>N</v>
      </c>
    </row>
    <row r="54">
      <c r="A54" s="9" t="s">
        <v>990</v>
      </c>
      <c r="B54" s="6" t="s">
        <v>2194</v>
      </c>
      <c r="C54" s="49" t="str">
        <f t="shared" si="7"/>
        <v>S16662LL1</v>
      </c>
      <c r="D54" s="6">
        <v>6.0</v>
      </c>
      <c r="E54" s="17" t="str">
        <f t="shared" si="2"/>
        <v>BSL6</v>
      </c>
      <c r="F54" s="13">
        <v>45.0</v>
      </c>
      <c r="G54" s="17" t="str">
        <f t="shared" si="3"/>
        <v>BSL6-45</v>
      </c>
      <c r="I54" t="str">
        <f t="shared" si="4"/>
        <v>collected</v>
      </c>
      <c r="J54" t="str">
        <f t="shared" si="5"/>
        <v>N</v>
      </c>
    </row>
    <row r="55">
      <c r="A55" s="9" t="s">
        <v>1016</v>
      </c>
      <c r="B55" s="6" t="s">
        <v>2194</v>
      </c>
      <c r="C55" s="49" t="str">
        <f t="shared" si="7"/>
        <v>S16719LL1</v>
      </c>
      <c r="D55" s="6">
        <v>6.0</v>
      </c>
      <c r="E55" s="17" t="str">
        <f t="shared" si="2"/>
        <v>BSL6</v>
      </c>
      <c r="F55" s="13">
        <v>43.0</v>
      </c>
      <c r="G55" s="17" t="str">
        <f t="shared" si="3"/>
        <v>BSL6-43</v>
      </c>
      <c r="I55" t="str">
        <f t="shared" si="4"/>
        <v>collected</v>
      </c>
      <c r="J55" t="str">
        <f t="shared" si="5"/>
        <v>N</v>
      </c>
    </row>
    <row r="56">
      <c r="A56" s="9" t="s">
        <v>1032</v>
      </c>
      <c r="B56" s="6" t="s">
        <v>2194</v>
      </c>
      <c r="C56" s="49" t="str">
        <f t="shared" si="7"/>
        <v>S16509LL1</v>
      </c>
      <c r="D56" s="6">
        <v>6.0</v>
      </c>
      <c r="E56" s="17" t="str">
        <f t="shared" si="2"/>
        <v>BSL6</v>
      </c>
      <c r="F56" s="13">
        <v>46.0</v>
      </c>
      <c r="G56" s="17" t="str">
        <f t="shared" si="3"/>
        <v>BSL6-46</v>
      </c>
      <c r="I56" t="str">
        <f t="shared" si="4"/>
        <v>collected</v>
      </c>
      <c r="J56" t="str">
        <f t="shared" si="5"/>
        <v>N</v>
      </c>
    </row>
    <row r="57">
      <c r="A57" s="9" t="s">
        <v>1039</v>
      </c>
      <c r="B57" s="6" t="s">
        <v>2194</v>
      </c>
      <c r="C57" s="49" t="str">
        <f t="shared" si="7"/>
        <v>S16164LL1</v>
      </c>
      <c r="D57" s="6">
        <v>6.0</v>
      </c>
      <c r="E57" s="17" t="str">
        <f t="shared" si="2"/>
        <v>BSL6</v>
      </c>
      <c r="F57" s="13">
        <v>50.0</v>
      </c>
      <c r="G57" s="17" t="str">
        <f t="shared" si="3"/>
        <v>BSL6-50</v>
      </c>
      <c r="I57" t="str">
        <f t="shared" si="4"/>
        <v>collected</v>
      </c>
      <c r="J57" t="str">
        <f t="shared" si="5"/>
        <v>N</v>
      </c>
    </row>
    <row r="58">
      <c r="A58" s="9" t="s">
        <v>1057</v>
      </c>
      <c r="B58" s="6" t="s">
        <v>2194</v>
      </c>
      <c r="C58" s="49" t="str">
        <f t="shared" si="7"/>
        <v>S16506LL1</v>
      </c>
      <c r="D58" s="6">
        <v>6.0</v>
      </c>
      <c r="E58" s="17" t="str">
        <f t="shared" si="2"/>
        <v>BSL6</v>
      </c>
      <c r="F58" s="13">
        <v>47.0</v>
      </c>
      <c r="G58" s="17" t="str">
        <f t="shared" si="3"/>
        <v>BSL6-47</v>
      </c>
      <c r="I58" t="str">
        <f t="shared" si="4"/>
        <v>collected</v>
      </c>
      <c r="J58" t="str">
        <f t="shared" si="5"/>
        <v>N</v>
      </c>
    </row>
    <row r="59">
      <c r="A59" s="9" t="s">
        <v>1059</v>
      </c>
      <c r="B59" s="6" t="s">
        <v>2194</v>
      </c>
      <c r="C59" s="49" t="str">
        <f t="shared" si="7"/>
        <v>S16510LL1</v>
      </c>
      <c r="D59" s="6">
        <v>6.0</v>
      </c>
      <c r="E59" s="17" t="str">
        <f t="shared" si="2"/>
        <v>BSL6</v>
      </c>
      <c r="F59" s="13">
        <v>48.0</v>
      </c>
      <c r="G59" s="17" t="str">
        <f t="shared" si="3"/>
        <v>BSL6-48</v>
      </c>
      <c r="I59" t="str">
        <f t="shared" si="4"/>
        <v>collected</v>
      </c>
      <c r="J59" t="str">
        <f t="shared" si="5"/>
        <v>N</v>
      </c>
    </row>
    <row r="60">
      <c r="A60" s="9" t="s">
        <v>1060</v>
      </c>
      <c r="B60" s="6" t="s">
        <v>2194</v>
      </c>
      <c r="C60" s="49" t="str">
        <f t="shared" si="7"/>
        <v>S16507LL1</v>
      </c>
      <c r="D60" s="6">
        <v>6.0</v>
      </c>
      <c r="E60" s="17" t="str">
        <f t="shared" si="2"/>
        <v>BSL6</v>
      </c>
      <c r="F60" s="13">
        <v>49.0</v>
      </c>
      <c r="G60" s="17" t="str">
        <f t="shared" si="3"/>
        <v>BSL6-49</v>
      </c>
      <c r="I60" t="str">
        <f t="shared" si="4"/>
        <v>collected</v>
      </c>
      <c r="J60" t="str">
        <f t="shared" si="5"/>
        <v>N</v>
      </c>
    </row>
    <row r="61">
      <c r="A61" s="9" t="s">
        <v>1061</v>
      </c>
      <c r="B61" s="6" t="s">
        <v>2194</v>
      </c>
      <c r="C61" s="49" t="str">
        <f t="shared" si="7"/>
        <v>S16503LL1</v>
      </c>
      <c r="D61" s="6">
        <v>6.0</v>
      </c>
      <c r="E61" s="17" t="str">
        <f t="shared" si="2"/>
        <v>BSL6</v>
      </c>
      <c r="F61" s="13">
        <v>51.0</v>
      </c>
      <c r="G61" s="17" t="str">
        <f t="shared" si="3"/>
        <v>BSL6-51</v>
      </c>
      <c r="I61" t="str">
        <f t="shared" si="4"/>
        <v>collected</v>
      </c>
      <c r="J61" t="str">
        <f t="shared" si="5"/>
        <v>N</v>
      </c>
    </row>
    <row r="62">
      <c r="A62" s="9" t="s">
        <v>1068</v>
      </c>
      <c r="B62" s="6" t="s">
        <v>2194</v>
      </c>
      <c r="C62" s="49" t="str">
        <f t="shared" si="7"/>
        <v>S16809LL1</v>
      </c>
      <c r="D62" s="6">
        <v>6.0</v>
      </c>
      <c r="E62" s="17" t="str">
        <f t="shared" si="2"/>
        <v>BSL6</v>
      </c>
      <c r="F62" s="13">
        <v>52.0</v>
      </c>
      <c r="G62" s="17" t="str">
        <f t="shared" si="3"/>
        <v>BSL6-52</v>
      </c>
      <c r="I62" t="str">
        <f t="shared" si="4"/>
        <v>collected</v>
      </c>
      <c r="J62" t="str">
        <f t="shared" si="5"/>
        <v>N</v>
      </c>
    </row>
    <row r="63">
      <c r="A63" s="9" t="s">
        <v>1069</v>
      </c>
      <c r="B63" s="6" t="s">
        <v>2194</v>
      </c>
      <c r="C63" s="49" t="str">
        <f t="shared" si="7"/>
        <v>S16803LL1</v>
      </c>
      <c r="D63" s="6">
        <v>6.0</v>
      </c>
      <c r="E63" s="17" t="str">
        <f t="shared" si="2"/>
        <v>BSL6</v>
      </c>
      <c r="F63" s="13">
        <v>53.0</v>
      </c>
      <c r="G63" s="17" t="str">
        <f t="shared" si="3"/>
        <v>BSL6-53</v>
      </c>
      <c r="I63" t="str">
        <f t="shared" si="4"/>
        <v>collected</v>
      </c>
      <c r="J63" t="str">
        <f t="shared" si="5"/>
        <v>N</v>
      </c>
    </row>
    <row r="64">
      <c r="A64" s="33" t="s">
        <v>1147</v>
      </c>
      <c r="B64" s="6" t="s">
        <v>2194</v>
      </c>
      <c r="C64" s="49" t="str">
        <f t="shared" si="7"/>
        <v>S17277LL1</v>
      </c>
      <c r="D64" s="6">
        <v>6.0</v>
      </c>
      <c r="E64" s="17" t="str">
        <f t="shared" si="2"/>
        <v>BSL6</v>
      </c>
      <c r="F64" s="13">
        <v>54.0</v>
      </c>
      <c r="G64" s="17" t="str">
        <f t="shared" si="3"/>
        <v>BSL6-54</v>
      </c>
      <c r="I64" t="str">
        <f t="shared" si="4"/>
        <v>collected</v>
      </c>
      <c r="J64" t="str">
        <f t="shared" si="5"/>
        <v>N</v>
      </c>
    </row>
    <row r="65">
      <c r="A65" s="33" t="s">
        <v>1154</v>
      </c>
      <c r="B65" s="6" t="s">
        <v>2194</v>
      </c>
      <c r="C65" s="49" t="str">
        <f t="shared" si="7"/>
        <v>S17274LL1</v>
      </c>
      <c r="D65" s="6">
        <v>6.0</v>
      </c>
      <c r="E65" s="17" t="str">
        <f t="shared" si="2"/>
        <v>BSL6</v>
      </c>
      <c r="F65" s="13">
        <v>55.0</v>
      </c>
      <c r="G65" s="17" t="str">
        <f t="shared" si="3"/>
        <v>BSL6-55</v>
      </c>
      <c r="I65" t="str">
        <f t="shared" si="4"/>
        <v>collected</v>
      </c>
      <c r="J65" t="str">
        <f t="shared" si="5"/>
        <v>N</v>
      </c>
    </row>
    <row r="66">
      <c r="A66" s="33" t="s">
        <v>1157</v>
      </c>
      <c r="B66" s="6" t="s">
        <v>2194</v>
      </c>
      <c r="C66" s="49" t="str">
        <f t="shared" si="7"/>
        <v>S17279LL1</v>
      </c>
      <c r="D66" s="6">
        <v>6.0</v>
      </c>
      <c r="E66" s="17" t="str">
        <f t="shared" si="2"/>
        <v>BSL6</v>
      </c>
      <c r="F66" s="13">
        <v>56.0</v>
      </c>
      <c r="G66" s="17" t="str">
        <f t="shared" si="3"/>
        <v>BSL6-56</v>
      </c>
      <c r="I66" t="str">
        <f t="shared" si="4"/>
        <v>collected</v>
      </c>
      <c r="J66" t="str">
        <f t="shared" si="5"/>
        <v>N</v>
      </c>
    </row>
    <row r="67">
      <c r="A67" s="22" t="s">
        <v>83</v>
      </c>
      <c r="B67" s="6" t="s">
        <v>2203</v>
      </c>
      <c r="C67" s="49" t="str">
        <f t="shared" si="7"/>
        <v>S17041LL1</v>
      </c>
      <c r="D67" s="6">
        <v>2.0</v>
      </c>
      <c r="E67" s="17" t="str">
        <f t="shared" si="2"/>
        <v>BSL2</v>
      </c>
      <c r="F67" s="13">
        <v>58.0</v>
      </c>
      <c r="G67" s="17" t="str">
        <f t="shared" si="3"/>
        <v>BSL2-58</v>
      </c>
      <c r="I67" t="str">
        <f t="shared" si="4"/>
        <v>collected</v>
      </c>
      <c r="J67" t="str">
        <f t="shared" si="5"/>
        <v>N</v>
      </c>
    </row>
    <row r="68">
      <c r="A68" s="22" t="s">
        <v>97</v>
      </c>
      <c r="B68" s="6" t="s">
        <v>2194</v>
      </c>
      <c r="C68" s="49" t="str">
        <f t="shared" ref="C68:C128" si="8">if(isblank(A68),"",concatenate("S",mid(A68,2,5),"SL1"))</f>
        <v>S16583SL1</v>
      </c>
      <c r="D68" s="6">
        <v>6.0</v>
      </c>
      <c r="E68" s="17" t="str">
        <f t="shared" si="2"/>
        <v>BSL6</v>
      </c>
      <c r="F68" s="13">
        <v>58.0</v>
      </c>
      <c r="G68" s="17" t="str">
        <f t="shared" si="3"/>
        <v>BSL6-58</v>
      </c>
      <c r="H68" s="9" t="s">
        <v>2208</v>
      </c>
      <c r="I68" t="str">
        <f t="shared" si="4"/>
        <v>collected</v>
      </c>
      <c r="J68" t="str">
        <f t="shared" si="5"/>
        <v>N</v>
      </c>
    </row>
    <row r="69">
      <c r="A69" s="22" t="s">
        <v>140</v>
      </c>
      <c r="B69" s="6" t="s">
        <v>2194</v>
      </c>
      <c r="C69" s="49" t="str">
        <f t="shared" si="8"/>
        <v>S17125SL1</v>
      </c>
      <c r="D69" s="6">
        <v>6.0</v>
      </c>
      <c r="E69" s="17" t="str">
        <f t="shared" si="2"/>
        <v>BSL6</v>
      </c>
      <c r="F69" s="13">
        <v>61.0</v>
      </c>
      <c r="G69" s="17" t="str">
        <f t="shared" si="3"/>
        <v>BSL6-61</v>
      </c>
      <c r="H69" s="9" t="s">
        <v>2209</v>
      </c>
      <c r="I69" t="str">
        <f t="shared" si="4"/>
        <v>collected</v>
      </c>
      <c r="J69" t="str">
        <f t="shared" si="5"/>
        <v>N</v>
      </c>
    </row>
    <row r="70">
      <c r="A70" s="22" t="s">
        <v>1183</v>
      </c>
      <c r="B70" s="6" t="s">
        <v>2194</v>
      </c>
      <c r="C70" s="49" t="str">
        <f t="shared" si="8"/>
        <v>S16546SL1</v>
      </c>
      <c r="D70" s="6">
        <v>6.0</v>
      </c>
      <c r="E70" s="17" t="str">
        <f t="shared" si="2"/>
        <v>BSL6</v>
      </c>
      <c r="F70" s="13">
        <v>57.0</v>
      </c>
      <c r="G70" s="17" t="str">
        <f t="shared" si="3"/>
        <v>BSL6-57</v>
      </c>
      <c r="I70" t="str">
        <f t="shared" si="4"/>
        <v>collected</v>
      </c>
      <c r="J70" t="str">
        <f t="shared" si="5"/>
        <v>N</v>
      </c>
    </row>
    <row r="71">
      <c r="A71" s="22" t="s">
        <v>1188</v>
      </c>
      <c r="B71" s="6" t="s">
        <v>2194</v>
      </c>
      <c r="C71" s="49" t="str">
        <f t="shared" si="8"/>
        <v>S16623SL1</v>
      </c>
      <c r="D71" s="6">
        <v>6.0</v>
      </c>
      <c r="E71" s="17" t="str">
        <f t="shared" si="2"/>
        <v>BSL6</v>
      </c>
      <c r="F71" s="13">
        <v>59.0</v>
      </c>
      <c r="G71" s="17" t="str">
        <f t="shared" si="3"/>
        <v>BSL6-59</v>
      </c>
      <c r="I71" t="str">
        <f t="shared" si="4"/>
        <v>collected</v>
      </c>
      <c r="J71" t="str">
        <f t="shared" si="5"/>
        <v>N</v>
      </c>
    </row>
    <row r="72">
      <c r="A72" s="22" t="s">
        <v>1189</v>
      </c>
      <c r="B72" s="6" t="s">
        <v>2194</v>
      </c>
      <c r="C72" s="49" t="str">
        <f t="shared" si="8"/>
        <v>S16624SL1</v>
      </c>
      <c r="D72" s="6">
        <v>6.0</v>
      </c>
      <c r="E72" s="17" t="str">
        <f t="shared" si="2"/>
        <v>BSL6</v>
      </c>
      <c r="F72" s="13">
        <v>60.0</v>
      </c>
      <c r="G72" s="17" t="str">
        <f t="shared" si="3"/>
        <v>BSL6-60</v>
      </c>
      <c r="I72" t="str">
        <f t="shared" si="4"/>
        <v>collected</v>
      </c>
      <c r="J72" t="str">
        <f t="shared" si="5"/>
        <v>N</v>
      </c>
    </row>
    <row r="73">
      <c r="A73" s="22" t="s">
        <v>251</v>
      </c>
      <c r="B73" s="6" t="s">
        <v>2194</v>
      </c>
      <c r="C73" s="49" t="str">
        <f t="shared" si="8"/>
        <v>S16912SL1</v>
      </c>
      <c r="D73" s="6">
        <v>6.0</v>
      </c>
      <c r="E73" s="17" t="str">
        <f t="shared" si="2"/>
        <v>BSL6</v>
      </c>
      <c r="F73" s="13">
        <v>62.0</v>
      </c>
      <c r="G73" s="17" t="str">
        <f t="shared" si="3"/>
        <v>BSL6-62</v>
      </c>
      <c r="H73" s="9" t="s">
        <v>2208</v>
      </c>
      <c r="I73" t="str">
        <f t="shared" si="4"/>
        <v>collected</v>
      </c>
      <c r="J73" t="str">
        <f t="shared" si="5"/>
        <v>N</v>
      </c>
    </row>
    <row r="74">
      <c r="A74" s="22" t="s">
        <v>299</v>
      </c>
      <c r="B74" s="6" t="s">
        <v>2194</v>
      </c>
      <c r="C74" s="49" t="str">
        <f t="shared" si="8"/>
        <v>S16918SL1</v>
      </c>
      <c r="D74" s="6">
        <v>6.0</v>
      </c>
      <c r="E74" s="17" t="str">
        <f t="shared" si="2"/>
        <v>BSL6</v>
      </c>
      <c r="F74" s="13">
        <v>63.0</v>
      </c>
      <c r="G74" s="17" t="str">
        <f t="shared" si="3"/>
        <v>BSL6-63</v>
      </c>
      <c r="H74" s="9" t="s">
        <v>2209</v>
      </c>
      <c r="I74" t="str">
        <f t="shared" si="4"/>
        <v>collected</v>
      </c>
      <c r="J74" t="str">
        <f t="shared" si="5"/>
        <v>N</v>
      </c>
    </row>
    <row r="75">
      <c r="A75" s="22" t="s">
        <v>306</v>
      </c>
      <c r="B75" s="6" t="s">
        <v>2194</v>
      </c>
      <c r="C75" s="49" t="str">
        <f t="shared" si="8"/>
        <v>S16919SL1</v>
      </c>
      <c r="D75" s="6">
        <v>6.0</v>
      </c>
      <c r="E75" s="17" t="str">
        <f t="shared" si="2"/>
        <v>BSL6</v>
      </c>
      <c r="F75" s="13">
        <v>64.0</v>
      </c>
      <c r="G75" s="17" t="str">
        <f t="shared" si="3"/>
        <v>BSL6-64</v>
      </c>
      <c r="H75" s="9" t="s">
        <v>2209</v>
      </c>
      <c r="I75" t="str">
        <f t="shared" si="4"/>
        <v>collected</v>
      </c>
      <c r="J75" t="str">
        <f t="shared" si="5"/>
        <v>N</v>
      </c>
    </row>
    <row r="76">
      <c r="A76" s="22" t="s">
        <v>313</v>
      </c>
      <c r="B76" s="6" t="s">
        <v>2194</v>
      </c>
      <c r="C76" s="49" t="str">
        <f t="shared" si="8"/>
        <v>S16920SL1</v>
      </c>
      <c r="D76" s="6">
        <v>6.0</v>
      </c>
      <c r="E76" s="17" t="str">
        <f t="shared" si="2"/>
        <v>BSL6</v>
      </c>
      <c r="F76" s="13">
        <v>65.0</v>
      </c>
      <c r="G76" s="17" t="str">
        <f t="shared" si="3"/>
        <v>BSL6-65</v>
      </c>
      <c r="H76" s="9" t="s">
        <v>2210</v>
      </c>
      <c r="I76" t="str">
        <f t="shared" si="4"/>
        <v>collected</v>
      </c>
      <c r="J76" t="str">
        <f t="shared" si="5"/>
        <v>N</v>
      </c>
    </row>
    <row r="77">
      <c r="A77" s="22" t="s">
        <v>390</v>
      </c>
      <c r="B77" s="6" t="s">
        <v>2194</v>
      </c>
      <c r="C77" s="49" t="str">
        <f t="shared" si="8"/>
        <v>S16837SL1</v>
      </c>
      <c r="D77" s="6">
        <v>6.0</v>
      </c>
      <c r="E77" s="17" t="str">
        <f t="shared" si="2"/>
        <v>BSL6</v>
      </c>
      <c r="F77" s="13">
        <v>66.0</v>
      </c>
      <c r="G77" s="17" t="str">
        <f t="shared" si="3"/>
        <v>BSL6-66</v>
      </c>
      <c r="I77" t="str">
        <f t="shared" si="4"/>
        <v>collected</v>
      </c>
      <c r="J77" t="str">
        <f t="shared" si="5"/>
        <v>N</v>
      </c>
    </row>
    <row r="78">
      <c r="A78" s="22" t="s">
        <v>416</v>
      </c>
      <c r="B78" s="6" t="s">
        <v>2194</v>
      </c>
      <c r="C78" s="49" t="str">
        <f t="shared" si="8"/>
        <v>S16839SL1</v>
      </c>
      <c r="D78" s="6">
        <v>6.0</v>
      </c>
      <c r="E78" s="17" t="str">
        <f t="shared" si="2"/>
        <v>BSL6</v>
      </c>
      <c r="F78" s="13">
        <v>67.0</v>
      </c>
      <c r="G78" s="17" t="str">
        <f t="shared" si="3"/>
        <v>BSL6-67</v>
      </c>
      <c r="I78" t="str">
        <f t="shared" si="4"/>
        <v>collected</v>
      </c>
      <c r="J78" t="str">
        <f t="shared" si="5"/>
        <v>N</v>
      </c>
    </row>
    <row r="79">
      <c r="A79" s="22" t="s">
        <v>458</v>
      </c>
      <c r="B79" s="6" t="s">
        <v>2194</v>
      </c>
      <c r="C79" s="49" t="str">
        <f t="shared" si="8"/>
        <v>S16948SL1</v>
      </c>
      <c r="D79" s="6">
        <v>6.0</v>
      </c>
      <c r="E79" s="17" t="str">
        <f t="shared" si="2"/>
        <v>BSL6</v>
      </c>
      <c r="F79" s="13">
        <v>68.0</v>
      </c>
      <c r="G79" s="17" t="str">
        <f t="shared" si="3"/>
        <v>BSL6-68</v>
      </c>
      <c r="I79" t="str">
        <f t="shared" si="4"/>
        <v>collected</v>
      </c>
      <c r="J79" t="str">
        <f t="shared" si="5"/>
        <v>N</v>
      </c>
    </row>
    <row r="80">
      <c r="A80" s="22" t="s">
        <v>465</v>
      </c>
      <c r="B80" s="6" t="s">
        <v>2194</v>
      </c>
      <c r="C80" s="49" t="str">
        <f t="shared" si="8"/>
        <v>S16942SL1</v>
      </c>
      <c r="D80" s="6">
        <v>6.0</v>
      </c>
      <c r="E80" s="17" t="str">
        <f t="shared" si="2"/>
        <v>BSL6</v>
      </c>
      <c r="F80" s="13">
        <v>69.0</v>
      </c>
      <c r="G80" s="17" t="str">
        <f t="shared" si="3"/>
        <v>BSL6-69</v>
      </c>
      <c r="I80" t="str">
        <f t="shared" si="4"/>
        <v>collected</v>
      </c>
      <c r="J80" t="str">
        <f t="shared" si="5"/>
        <v>N</v>
      </c>
    </row>
    <row r="81">
      <c r="A81" s="9" t="s">
        <v>472</v>
      </c>
      <c r="B81" s="6" t="s">
        <v>2194</v>
      </c>
      <c r="C81" s="49" t="str">
        <f t="shared" si="8"/>
        <v>S16950SL1</v>
      </c>
      <c r="D81" s="6">
        <v>6.0</v>
      </c>
      <c r="E81" s="17" t="str">
        <f t="shared" si="2"/>
        <v>BSL6</v>
      </c>
      <c r="F81" s="13">
        <v>70.0</v>
      </c>
      <c r="G81" s="17" t="str">
        <f t="shared" si="3"/>
        <v>BSL6-70</v>
      </c>
      <c r="I81" t="str">
        <f t="shared" si="4"/>
        <v>collected</v>
      </c>
      <c r="J81" t="str">
        <f t="shared" si="5"/>
        <v>N</v>
      </c>
    </row>
    <row r="82">
      <c r="A82" s="9" t="s">
        <v>479</v>
      </c>
      <c r="B82" s="6" t="s">
        <v>2194</v>
      </c>
      <c r="C82" s="49" t="str">
        <f t="shared" si="8"/>
        <v>S16944SL1</v>
      </c>
      <c r="D82" s="6">
        <v>6.0</v>
      </c>
      <c r="E82" s="17" t="str">
        <f t="shared" si="2"/>
        <v>BSL6</v>
      </c>
      <c r="F82" s="13">
        <v>71.0</v>
      </c>
      <c r="G82" s="17" t="str">
        <f t="shared" si="3"/>
        <v>BSL6-71</v>
      </c>
      <c r="I82" t="str">
        <f t="shared" si="4"/>
        <v>collected</v>
      </c>
      <c r="J82" t="str">
        <f t="shared" si="5"/>
        <v>N</v>
      </c>
    </row>
    <row r="83">
      <c r="A83" s="9" t="s">
        <v>486</v>
      </c>
      <c r="B83" s="6" t="s">
        <v>2194</v>
      </c>
      <c r="C83" s="49" t="str">
        <f t="shared" si="8"/>
        <v>S16945SL1</v>
      </c>
      <c r="D83" s="6">
        <v>6.0</v>
      </c>
      <c r="E83" s="17" t="str">
        <f t="shared" si="2"/>
        <v>BSL6</v>
      </c>
      <c r="F83" s="13">
        <v>72.0</v>
      </c>
      <c r="G83" s="17" t="str">
        <f t="shared" si="3"/>
        <v>BSL6-72</v>
      </c>
      <c r="I83" t="str">
        <f t="shared" si="4"/>
        <v>collected</v>
      </c>
      <c r="J83" t="str">
        <f t="shared" si="5"/>
        <v>N</v>
      </c>
    </row>
    <row r="84">
      <c r="A84" s="9" t="s">
        <v>525</v>
      </c>
      <c r="B84" s="6" t="s">
        <v>2194</v>
      </c>
      <c r="C84" s="49" t="str">
        <f t="shared" si="8"/>
        <v>S16941SL1</v>
      </c>
      <c r="D84" s="6">
        <v>6.0</v>
      </c>
      <c r="E84" s="17" t="str">
        <f t="shared" si="2"/>
        <v>BSL6</v>
      </c>
      <c r="F84" s="13">
        <v>73.0</v>
      </c>
      <c r="G84" s="17" t="str">
        <f t="shared" si="3"/>
        <v>BSL6-73</v>
      </c>
      <c r="I84" t="str">
        <f t="shared" si="4"/>
        <v>collected</v>
      </c>
      <c r="J84" t="str">
        <f t="shared" si="5"/>
        <v>N</v>
      </c>
    </row>
    <row r="85">
      <c r="A85" s="9" t="s">
        <v>579</v>
      </c>
      <c r="B85" s="6" t="s">
        <v>2194</v>
      </c>
      <c r="C85" s="49" t="str">
        <f t="shared" si="8"/>
        <v>S16824SL1</v>
      </c>
      <c r="D85" s="6">
        <v>6.0</v>
      </c>
      <c r="E85" s="17" t="str">
        <f t="shared" si="2"/>
        <v>BSL6</v>
      </c>
      <c r="F85" s="13">
        <v>77.0</v>
      </c>
      <c r="G85" s="17" t="str">
        <f t="shared" si="3"/>
        <v>BSL6-77</v>
      </c>
      <c r="I85" t="str">
        <f t="shared" si="4"/>
        <v>collected</v>
      </c>
      <c r="J85" t="str">
        <f t="shared" si="5"/>
        <v>N</v>
      </c>
    </row>
    <row r="86">
      <c r="A86" s="9" t="s">
        <v>599</v>
      </c>
      <c r="B86" s="6" t="s">
        <v>2194</v>
      </c>
      <c r="C86" s="49" t="str">
        <f t="shared" si="8"/>
        <v>S16827SL1</v>
      </c>
      <c r="D86" s="6">
        <v>6.0</v>
      </c>
      <c r="E86" s="17" t="str">
        <f t="shared" si="2"/>
        <v>BSL6</v>
      </c>
      <c r="F86" s="13">
        <v>79.0</v>
      </c>
      <c r="G86" s="17" t="str">
        <f t="shared" si="3"/>
        <v>BSL6-79</v>
      </c>
      <c r="I86" t="str">
        <f t="shared" si="4"/>
        <v>collected</v>
      </c>
      <c r="J86" t="str">
        <f t="shared" si="5"/>
        <v>N</v>
      </c>
    </row>
    <row r="87">
      <c r="A87" s="9" t="s">
        <v>703</v>
      </c>
      <c r="B87" s="6" t="s">
        <v>2194</v>
      </c>
      <c r="C87" s="49" t="str">
        <f t="shared" si="8"/>
        <v>S17737SL1</v>
      </c>
      <c r="D87" s="6">
        <v>6.0</v>
      </c>
      <c r="E87" s="17" t="str">
        <f t="shared" si="2"/>
        <v>BSL6</v>
      </c>
      <c r="F87" s="13">
        <v>74.0</v>
      </c>
      <c r="G87" s="17" t="str">
        <f t="shared" si="3"/>
        <v>BSL6-74</v>
      </c>
      <c r="I87" t="str">
        <f t="shared" si="4"/>
        <v>collected</v>
      </c>
      <c r="J87" t="str">
        <f t="shared" si="5"/>
        <v>N</v>
      </c>
    </row>
    <row r="88">
      <c r="A88" s="9" t="s">
        <v>710</v>
      </c>
      <c r="B88" s="6" t="s">
        <v>2194</v>
      </c>
      <c r="C88" s="49" t="str">
        <f t="shared" si="8"/>
        <v>S17733SL1</v>
      </c>
      <c r="D88" s="6">
        <v>6.0</v>
      </c>
      <c r="E88" s="17" t="str">
        <f t="shared" si="2"/>
        <v>BSL6</v>
      </c>
      <c r="F88" s="13">
        <v>75.0</v>
      </c>
      <c r="G88" s="17" t="str">
        <f t="shared" si="3"/>
        <v>BSL6-75</v>
      </c>
      <c r="I88" t="str">
        <f t="shared" si="4"/>
        <v>collected</v>
      </c>
      <c r="J88" t="str">
        <f t="shared" si="5"/>
        <v>N</v>
      </c>
    </row>
    <row r="89">
      <c r="A89" s="9" t="s">
        <v>718</v>
      </c>
      <c r="B89" s="6" t="s">
        <v>2194</v>
      </c>
      <c r="C89" s="49" t="str">
        <f t="shared" si="8"/>
        <v>S17731SL1</v>
      </c>
      <c r="D89" s="6">
        <v>6.0</v>
      </c>
      <c r="E89" s="17" t="str">
        <f t="shared" si="2"/>
        <v>BSL6</v>
      </c>
      <c r="F89" s="13">
        <v>76.0</v>
      </c>
      <c r="G89" s="17" t="str">
        <f t="shared" si="3"/>
        <v>BSL6-76</v>
      </c>
      <c r="I89" t="str">
        <f t="shared" si="4"/>
        <v>collected</v>
      </c>
      <c r="J89" t="str">
        <f t="shared" si="5"/>
        <v>N</v>
      </c>
    </row>
    <row r="90">
      <c r="A90" s="6" t="s">
        <v>733</v>
      </c>
      <c r="B90" s="6" t="s">
        <v>2194</v>
      </c>
      <c r="C90" s="49" t="str">
        <f t="shared" si="8"/>
        <v>S17732SL1</v>
      </c>
      <c r="D90" s="6">
        <v>6.0</v>
      </c>
      <c r="E90" s="17" t="str">
        <f t="shared" si="2"/>
        <v>BSL6</v>
      </c>
      <c r="F90" s="13">
        <v>78.0</v>
      </c>
      <c r="G90" s="17" t="str">
        <f t="shared" si="3"/>
        <v>BSL6-78</v>
      </c>
      <c r="I90" t="str">
        <f t="shared" si="4"/>
        <v>collected</v>
      </c>
      <c r="J90" t="str">
        <f t="shared" si="5"/>
        <v>N</v>
      </c>
    </row>
    <row r="91">
      <c r="A91" s="9" t="s">
        <v>761</v>
      </c>
      <c r="B91" s="6" t="s">
        <v>2194</v>
      </c>
      <c r="C91" s="49" t="str">
        <f t="shared" si="8"/>
        <v>S16642SL1</v>
      </c>
      <c r="D91" s="6">
        <v>6.0</v>
      </c>
      <c r="E91" s="17" t="str">
        <f t="shared" si="2"/>
        <v>BSL6</v>
      </c>
      <c r="F91" s="13">
        <v>80.0</v>
      </c>
      <c r="G91" s="17" t="str">
        <f t="shared" si="3"/>
        <v>BSL6-80</v>
      </c>
      <c r="I91" t="str">
        <f t="shared" si="4"/>
        <v>collected</v>
      </c>
      <c r="J91" t="str">
        <f t="shared" si="5"/>
        <v>N</v>
      </c>
    </row>
    <row r="92">
      <c r="A92" s="9" t="s">
        <v>769</v>
      </c>
      <c r="B92" s="6" t="s">
        <v>2194</v>
      </c>
      <c r="C92" s="49" t="str">
        <f t="shared" si="8"/>
        <v>S16641SL1</v>
      </c>
      <c r="D92" s="6">
        <v>6.0</v>
      </c>
      <c r="E92" s="17" t="str">
        <f t="shared" si="2"/>
        <v>BSL6</v>
      </c>
      <c r="F92" s="13">
        <v>81.0</v>
      </c>
      <c r="G92" s="17" t="str">
        <f t="shared" si="3"/>
        <v>BSL6-81</v>
      </c>
      <c r="I92" t="str">
        <f t="shared" si="4"/>
        <v>collected</v>
      </c>
      <c r="J92" t="str">
        <f t="shared" si="5"/>
        <v>N</v>
      </c>
    </row>
    <row r="93">
      <c r="A93" s="9" t="s">
        <v>824</v>
      </c>
      <c r="B93" s="6" t="s">
        <v>2194</v>
      </c>
      <c r="C93" s="49" t="str">
        <f t="shared" si="8"/>
        <v>S17088SL1</v>
      </c>
      <c r="D93" s="6">
        <v>6.0</v>
      </c>
      <c r="E93" s="17" t="str">
        <f t="shared" si="2"/>
        <v>BSL6</v>
      </c>
      <c r="F93" s="13">
        <v>82.0</v>
      </c>
      <c r="G93" s="17" t="str">
        <f t="shared" si="3"/>
        <v>BSL6-82</v>
      </c>
      <c r="I93" t="str">
        <f t="shared" si="4"/>
        <v>collected</v>
      </c>
      <c r="J93" t="str">
        <f t="shared" si="5"/>
        <v>N</v>
      </c>
    </row>
    <row r="94">
      <c r="A94" s="9" t="s">
        <v>890</v>
      </c>
      <c r="B94" s="6" t="s">
        <v>2194</v>
      </c>
      <c r="C94" s="49" t="str">
        <f t="shared" si="8"/>
        <v>S17347SL1</v>
      </c>
      <c r="D94" s="6">
        <v>6.0</v>
      </c>
      <c r="E94" s="17" t="str">
        <f t="shared" si="2"/>
        <v>BSL6</v>
      </c>
      <c r="F94" s="13">
        <v>84.0</v>
      </c>
      <c r="G94" s="17" t="str">
        <f t="shared" si="3"/>
        <v>BSL6-84</v>
      </c>
      <c r="I94" t="str">
        <f t="shared" si="4"/>
        <v>collected</v>
      </c>
      <c r="J94" t="str">
        <f t="shared" si="5"/>
        <v>N</v>
      </c>
    </row>
    <row r="95">
      <c r="A95" s="9" t="s">
        <v>900</v>
      </c>
      <c r="B95" s="6" t="s">
        <v>2194</v>
      </c>
      <c r="C95" s="49" t="str">
        <f t="shared" si="8"/>
        <v>S17349SL1</v>
      </c>
      <c r="D95" s="6">
        <v>6.0</v>
      </c>
      <c r="E95" s="17" t="str">
        <f t="shared" si="2"/>
        <v>BSL6</v>
      </c>
      <c r="F95" s="13">
        <v>86.0</v>
      </c>
      <c r="G95" s="17" t="str">
        <f t="shared" si="3"/>
        <v>BSL6-86</v>
      </c>
      <c r="I95" t="str">
        <f t="shared" si="4"/>
        <v>collected</v>
      </c>
      <c r="J95" t="str">
        <f t="shared" si="5"/>
        <v>N</v>
      </c>
    </row>
    <row r="96">
      <c r="A96" s="9" t="s">
        <v>919</v>
      </c>
      <c r="B96" s="6" t="s">
        <v>2194</v>
      </c>
      <c r="C96" s="49" t="str">
        <f t="shared" si="8"/>
        <v>S17342SL1</v>
      </c>
      <c r="D96" s="6">
        <v>6.0</v>
      </c>
      <c r="E96" s="17" t="str">
        <f t="shared" si="2"/>
        <v>BSL6</v>
      </c>
      <c r="F96" s="13">
        <v>87.0</v>
      </c>
      <c r="G96" s="17" t="str">
        <f t="shared" si="3"/>
        <v>BSL6-87</v>
      </c>
      <c r="I96" t="str">
        <f t="shared" si="4"/>
        <v>collected</v>
      </c>
      <c r="J96" t="str">
        <f t="shared" si="5"/>
        <v>N</v>
      </c>
    </row>
    <row r="97">
      <c r="A97" s="6" t="s">
        <v>936</v>
      </c>
      <c r="B97" s="6" t="s">
        <v>2194</v>
      </c>
      <c r="C97" s="49" t="str">
        <f t="shared" si="8"/>
        <v>S17058SL1</v>
      </c>
      <c r="D97" s="6">
        <v>6.0</v>
      </c>
      <c r="E97" s="17" t="str">
        <f t="shared" si="2"/>
        <v>BSL6</v>
      </c>
      <c r="F97" s="13">
        <v>83.0</v>
      </c>
      <c r="G97" s="17" t="str">
        <f t="shared" si="3"/>
        <v>BSL6-83</v>
      </c>
      <c r="I97" t="str">
        <f t="shared" si="4"/>
        <v>collected</v>
      </c>
      <c r="J97" t="str">
        <f t="shared" si="5"/>
        <v>N</v>
      </c>
    </row>
    <row r="98">
      <c r="A98" s="6" t="s">
        <v>961</v>
      </c>
      <c r="B98" s="6" t="s">
        <v>2194</v>
      </c>
      <c r="C98" s="49" t="str">
        <f t="shared" si="8"/>
        <v>S16081SL1</v>
      </c>
      <c r="D98" s="6">
        <v>6.0</v>
      </c>
      <c r="E98" s="17" t="str">
        <f t="shared" si="2"/>
        <v>BSL6</v>
      </c>
      <c r="F98" s="13">
        <v>85.0</v>
      </c>
      <c r="G98" s="17" t="str">
        <f t="shared" si="3"/>
        <v>BSL6-85</v>
      </c>
      <c r="I98" t="str">
        <f t="shared" si="4"/>
        <v>collected</v>
      </c>
      <c r="J98" t="str">
        <f t="shared" si="5"/>
        <v>N</v>
      </c>
    </row>
    <row r="99">
      <c r="A99" s="6" t="s">
        <v>1000</v>
      </c>
      <c r="B99" s="6" t="s">
        <v>2194</v>
      </c>
      <c r="C99" s="49" t="str">
        <f t="shared" si="8"/>
        <v>S16086SL1</v>
      </c>
      <c r="D99" s="6">
        <v>6.0</v>
      </c>
      <c r="E99" s="17" t="str">
        <f t="shared" si="2"/>
        <v>BSL6</v>
      </c>
      <c r="F99" s="13">
        <v>88.0</v>
      </c>
      <c r="G99" s="17" t="str">
        <f t="shared" si="3"/>
        <v>BSL6-88</v>
      </c>
      <c r="I99" t="str">
        <f t="shared" si="4"/>
        <v>collected</v>
      </c>
      <c r="J99" t="str">
        <f t="shared" si="5"/>
        <v>N</v>
      </c>
    </row>
    <row r="100">
      <c r="A100" s="6" t="s">
        <v>1063</v>
      </c>
      <c r="B100" s="6" t="s">
        <v>2194</v>
      </c>
      <c r="C100" s="49" t="str">
        <f t="shared" si="8"/>
        <v>S17144SL1</v>
      </c>
      <c r="D100" s="6">
        <v>6.0</v>
      </c>
      <c r="E100" s="17" t="str">
        <f t="shared" si="2"/>
        <v>BSL6</v>
      </c>
      <c r="F100" s="13">
        <v>89.0</v>
      </c>
      <c r="G100" s="17" t="str">
        <f t="shared" si="3"/>
        <v>BSL6-89</v>
      </c>
      <c r="I100" t="str">
        <f t="shared" si="4"/>
        <v>collected</v>
      </c>
      <c r="J100" t="str">
        <f t="shared" si="5"/>
        <v>N</v>
      </c>
    </row>
    <row r="101">
      <c r="A101" s="9" t="s">
        <v>1190</v>
      </c>
      <c r="B101" s="6" t="s">
        <v>2194</v>
      </c>
      <c r="C101" s="49" t="str">
        <f t="shared" si="8"/>
        <v>S17215SL1</v>
      </c>
      <c r="D101" s="6">
        <v>6.0</v>
      </c>
      <c r="E101" s="17" t="str">
        <f t="shared" si="2"/>
        <v>BSL6</v>
      </c>
      <c r="F101" s="13">
        <v>90.0</v>
      </c>
      <c r="G101" s="17" t="str">
        <f t="shared" si="3"/>
        <v>BSL6-90</v>
      </c>
      <c r="I101" t="str">
        <f t="shared" si="4"/>
        <v>collected</v>
      </c>
      <c r="J101" t="str">
        <f t="shared" si="5"/>
        <v>N</v>
      </c>
    </row>
    <row r="102">
      <c r="A102" s="9" t="s">
        <v>1211</v>
      </c>
      <c r="B102" s="6" t="s">
        <v>2194</v>
      </c>
      <c r="C102" s="49" t="str">
        <f t="shared" si="8"/>
        <v>S17170SL1</v>
      </c>
      <c r="D102" s="6">
        <v>6.0</v>
      </c>
      <c r="E102" s="17" t="str">
        <f t="shared" si="2"/>
        <v>BSL6</v>
      </c>
      <c r="F102" s="13">
        <v>91.0</v>
      </c>
      <c r="G102" s="17" t="str">
        <f t="shared" si="3"/>
        <v>BSL6-91</v>
      </c>
      <c r="I102" t="str">
        <f t="shared" si="4"/>
        <v>collected</v>
      </c>
      <c r="J102" t="str">
        <f t="shared" si="5"/>
        <v>N</v>
      </c>
    </row>
    <row r="103">
      <c r="A103" s="9" t="s">
        <v>1232</v>
      </c>
      <c r="B103" s="6" t="s">
        <v>2194</v>
      </c>
      <c r="C103" s="49" t="str">
        <f t="shared" si="8"/>
        <v>S17165SL1</v>
      </c>
      <c r="D103" s="6">
        <v>6.0</v>
      </c>
      <c r="E103" s="17" t="str">
        <f t="shared" si="2"/>
        <v>BSL6</v>
      </c>
      <c r="F103" s="13">
        <v>93.0</v>
      </c>
      <c r="G103" s="17" t="str">
        <f t="shared" si="3"/>
        <v>BSL6-93</v>
      </c>
      <c r="I103" t="str">
        <f t="shared" si="4"/>
        <v>collected</v>
      </c>
      <c r="J103" t="str">
        <f t="shared" si="5"/>
        <v>N</v>
      </c>
    </row>
    <row r="104">
      <c r="A104" s="9" t="s">
        <v>1236</v>
      </c>
      <c r="B104" s="6" t="s">
        <v>2194</v>
      </c>
      <c r="C104" s="49" t="str">
        <f t="shared" si="8"/>
        <v>S17166SL1</v>
      </c>
      <c r="D104" s="6">
        <v>6.0</v>
      </c>
      <c r="E104" s="17" t="str">
        <f t="shared" si="2"/>
        <v>BSL6</v>
      </c>
      <c r="F104" s="13">
        <v>94.0</v>
      </c>
      <c r="G104" s="17" t="str">
        <f t="shared" si="3"/>
        <v>BSL6-94</v>
      </c>
      <c r="I104" t="str">
        <f t="shared" si="4"/>
        <v>collected</v>
      </c>
      <c r="J104" t="str">
        <f t="shared" si="5"/>
        <v>N</v>
      </c>
    </row>
    <row r="105">
      <c r="A105" s="9" t="s">
        <v>1238</v>
      </c>
      <c r="B105" s="6" t="s">
        <v>2194</v>
      </c>
      <c r="C105" s="49" t="str">
        <f t="shared" si="8"/>
        <v>S17167SL1</v>
      </c>
      <c r="D105" s="6">
        <v>6.0</v>
      </c>
      <c r="E105" s="17" t="str">
        <f t="shared" si="2"/>
        <v>BSL6</v>
      </c>
      <c r="F105" s="13">
        <v>95.0</v>
      </c>
      <c r="G105" s="17" t="str">
        <f t="shared" si="3"/>
        <v>BSL6-95</v>
      </c>
      <c r="I105" t="str">
        <f t="shared" si="4"/>
        <v>collected</v>
      </c>
      <c r="J105" t="str">
        <f t="shared" si="5"/>
        <v>N</v>
      </c>
    </row>
    <row r="106">
      <c r="A106" s="9" t="s">
        <v>1240</v>
      </c>
      <c r="B106" s="6" t="s">
        <v>2194</v>
      </c>
      <c r="C106" s="49" t="str">
        <f t="shared" si="8"/>
        <v>S17169SL1</v>
      </c>
      <c r="D106" s="6">
        <v>6.0</v>
      </c>
      <c r="E106" s="17" t="str">
        <f t="shared" si="2"/>
        <v>BSL6</v>
      </c>
      <c r="F106" s="13">
        <v>96.0</v>
      </c>
      <c r="G106" s="17" t="str">
        <f t="shared" si="3"/>
        <v>BSL6-96</v>
      </c>
      <c r="I106" t="str">
        <f t="shared" si="4"/>
        <v>collected</v>
      </c>
      <c r="J106" t="str">
        <f t="shared" si="5"/>
        <v>N</v>
      </c>
    </row>
    <row r="107">
      <c r="A107" s="9" t="s">
        <v>1244</v>
      </c>
      <c r="B107" s="6" t="s">
        <v>2194</v>
      </c>
      <c r="C107" s="49" t="str">
        <f t="shared" si="8"/>
        <v>S17168SL1</v>
      </c>
      <c r="D107" s="6">
        <v>6.0</v>
      </c>
      <c r="E107" s="17" t="str">
        <f t="shared" si="2"/>
        <v>BSL6</v>
      </c>
      <c r="F107" s="13">
        <v>97.0</v>
      </c>
      <c r="G107" s="17" t="str">
        <f t="shared" si="3"/>
        <v>BSL6-97</v>
      </c>
      <c r="I107" t="str">
        <f t="shared" si="4"/>
        <v>collected</v>
      </c>
      <c r="J107" t="str">
        <f t="shared" si="5"/>
        <v>N</v>
      </c>
    </row>
    <row r="108">
      <c r="A108" s="9" t="s">
        <v>1246</v>
      </c>
      <c r="B108" s="6" t="s">
        <v>2194</v>
      </c>
      <c r="C108" s="49" t="str">
        <f t="shared" si="8"/>
        <v>S17164SL1</v>
      </c>
      <c r="D108" s="6">
        <v>6.0</v>
      </c>
      <c r="E108" s="17" t="str">
        <f t="shared" si="2"/>
        <v>BSL6</v>
      </c>
      <c r="F108" s="13">
        <v>98.0</v>
      </c>
      <c r="G108" s="17" t="str">
        <f t="shared" si="3"/>
        <v>BSL6-98</v>
      </c>
      <c r="I108" t="str">
        <f t="shared" si="4"/>
        <v>collected</v>
      </c>
      <c r="J108" t="str">
        <f t="shared" si="5"/>
        <v>N</v>
      </c>
    </row>
    <row r="109">
      <c r="A109" s="9" t="s">
        <v>1249</v>
      </c>
      <c r="B109" s="6" t="s">
        <v>2203</v>
      </c>
      <c r="C109" s="49" t="str">
        <f t="shared" si="8"/>
        <v>S17326SL1</v>
      </c>
      <c r="D109" s="6">
        <v>2.0</v>
      </c>
      <c r="E109" s="17" t="str">
        <f t="shared" si="2"/>
        <v>BSL2</v>
      </c>
      <c r="F109" s="13">
        <v>60.0</v>
      </c>
      <c r="G109" s="17" t="str">
        <f t="shared" si="3"/>
        <v>BSL2-60</v>
      </c>
      <c r="I109" t="str">
        <f t="shared" si="4"/>
        <v>collected</v>
      </c>
      <c r="J109" t="str">
        <f t="shared" si="5"/>
        <v>N</v>
      </c>
    </row>
    <row r="110">
      <c r="A110" s="26" t="s">
        <v>1278</v>
      </c>
      <c r="B110" s="6" t="s">
        <v>2194</v>
      </c>
      <c r="C110" s="49" t="str">
        <f t="shared" si="8"/>
        <v>S17028SL1</v>
      </c>
      <c r="D110" s="6">
        <v>6.0</v>
      </c>
      <c r="E110" s="17" t="str">
        <f t="shared" si="2"/>
        <v>BSL6</v>
      </c>
      <c r="F110" s="13">
        <v>92.0</v>
      </c>
      <c r="G110" s="17" t="str">
        <f t="shared" si="3"/>
        <v>BSL6-92</v>
      </c>
      <c r="I110" t="str">
        <f t="shared" si="4"/>
        <v>collected</v>
      </c>
      <c r="J110" t="str">
        <f t="shared" si="5"/>
        <v>N</v>
      </c>
    </row>
    <row r="111">
      <c r="A111" s="26" t="s">
        <v>1304</v>
      </c>
      <c r="B111" s="6" t="s">
        <v>2194</v>
      </c>
      <c r="C111" s="49" t="str">
        <f t="shared" si="8"/>
        <v>S16438SL1</v>
      </c>
      <c r="D111" s="6">
        <v>7.0</v>
      </c>
      <c r="E111" s="17" t="str">
        <f t="shared" si="2"/>
        <v>BSL7</v>
      </c>
      <c r="F111" s="13">
        <v>1.0</v>
      </c>
      <c r="G111" s="17" t="str">
        <f t="shared" si="3"/>
        <v>BSL7-1</v>
      </c>
      <c r="I111" t="str">
        <f t="shared" si="4"/>
        <v>collected</v>
      </c>
      <c r="J111" t="str">
        <f t="shared" si="5"/>
        <v>N</v>
      </c>
    </row>
    <row r="112">
      <c r="A112" s="26" t="s">
        <v>1317</v>
      </c>
      <c r="B112" s="6" t="s">
        <v>2194</v>
      </c>
      <c r="C112" s="49" t="str">
        <f t="shared" si="8"/>
        <v>S16270SL1</v>
      </c>
      <c r="D112" s="6">
        <v>6.0</v>
      </c>
      <c r="E112" s="17" t="str">
        <f t="shared" si="2"/>
        <v>BSL6</v>
      </c>
      <c r="F112" s="13">
        <v>99.0</v>
      </c>
      <c r="G112" s="17" t="str">
        <f t="shared" si="3"/>
        <v>BSL6-99</v>
      </c>
      <c r="I112" t="str">
        <f t="shared" si="4"/>
        <v>collected</v>
      </c>
      <c r="J112" t="str">
        <f t="shared" si="5"/>
        <v>N</v>
      </c>
    </row>
    <row r="113">
      <c r="A113" s="6" t="s">
        <v>1318</v>
      </c>
      <c r="B113" s="6" t="s">
        <v>2194</v>
      </c>
      <c r="C113" s="49" t="str">
        <f t="shared" si="8"/>
        <v>S16267SL1</v>
      </c>
      <c r="D113" s="6">
        <v>6.0</v>
      </c>
      <c r="E113" s="17" t="str">
        <f t="shared" si="2"/>
        <v>BSL6</v>
      </c>
      <c r="F113" s="13">
        <v>100.0</v>
      </c>
      <c r="G113" s="17" t="str">
        <f t="shared" si="3"/>
        <v>BSL6-100</v>
      </c>
      <c r="I113" t="str">
        <f t="shared" si="4"/>
        <v>collected</v>
      </c>
      <c r="J113" t="str">
        <f t="shared" si="5"/>
        <v>N</v>
      </c>
    </row>
    <row r="114">
      <c r="A114" s="6" t="s">
        <v>1322</v>
      </c>
      <c r="B114" s="6" t="s">
        <v>2203</v>
      </c>
      <c r="C114" s="49" t="str">
        <f t="shared" si="8"/>
        <v>S17381SL1</v>
      </c>
      <c r="D114" s="6">
        <v>2.0</v>
      </c>
      <c r="E114" s="17" t="str">
        <f t="shared" si="2"/>
        <v>BSL2</v>
      </c>
      <c r="F114" s="13">
        <v>61.0</v>
      </c>
      <c r="G114" s="17" t="str">
        <f t="shared" si="3"/>
        <v>BSL2-61</v>
      </c>
      <c r="I114" t="str">
        <f t="shared" si="4"/>
        <v>collected</v>
      </c>
      <c r="J114" t="str">
        <f t="shared" si="5"/>
        <v>N</v>
      </c>
    </row>
    <row r="115">
      <c r="A115" s="6" t="s">
        <v>1329</v>
      </c>
      <c r="B115" s="6" t="s">
        <v>2203</v>
      </c>
      <c r="C115" s="49" t="str">
        <f t="shared" si="8"/>
        <v>S17389SL1</v>
      </c>
      <c r="D115" s="6">
        <v>2.0</v>
      </c>
      <c r="E115" s="17" t="str">
        <f t="shared" si="2"/>
        <v>BSL2</v>
      </c>
      <c r="F115" s="13">
        <v>63.0</v>
      </c>
      <c r="G115" s="17" t="str">
        <f t="shared" si="3"/>
        <v>BSL2-63</v>
      </c>
      <c r="I115" t="str">
        <f t="shared" si="4"/>
        <v>collected</v>
      </c>
      <c r="J115" t="str">
        <f t="shared" si="5"/>
        <v>N</v>
      </c>
    </row>
    <row r="116">
      <c r="A116" s="6" t="s">
        <v>1332</v>
      </c>
      <c r="B116" s="6" t="s">
        <v>2194</v>
      </c>
      <c r="C116" s="49" t="str">
        <f t="shared" si="8"/>
        <v>S17711SL1</v>
      </c>
      <c r="D116" s="6">
        <v>7.0</v>
      </c>
      <c r="E116" s="17" t="str">
        <f t="shared" si="2"/>
        <v>BSL7</v>
      </c>
      <c r="F116" s="13">
        <v>5.0</v>
      </c>
      <c r="G116" s="17" t="str">
        <f t="shared" si="3"/>
        <v>BSL7-5</v>
      </c>
      <c r="I116" t="str">
        <f t="shared" si="4"/>
        <v>collected</v>
      </c>
      <c r="J116" t="str">
        <f t="shared" si="5"/>
        <v>N</v>
      </c>
    </row>
    <row r="117">
      <c r="A117" s="6" t="s">
        <v>1334</v>
      </c>
      <c r="B117" s="6" t="s">
        <v>2194</v>
      </c>
      <c r="C117" s="49" t="str">
        <f t="shared" si="8"/>
        <v>S17717SL1</v>
      </c>
      <c r="D117" s="6">
        <v>7.0</v>
      </c>
      <c r="E117" s="17" t="str">
        <f t="shared" si="2"/>
        <v>BSL7</v>
      </c>
      <c r="F117" s="13">
        <v>9.0</v>
      </c>
      <c r="G117" s="17" t="str">
        <f t="shared" si="3"/>
        <v>BSL7-9</v>
      </c>
      <c r="I117" t="str">
        <f t="shared" si="4"/>
        <v>collected</v>
      </c>
      <c r="J117" t="str">
        <f t="shared" si="5"/>
        <v>N</v>
      </c>
    </row>
    <row r="118">
      <c r="A118" s="6" t="s">
        <v>1336</v>
      </c>
      <c r="B118" s="6" t="s">
        <v>2194</v>
      </c>
      <c r="C118" s="49" t="str">
        <f t="shared" si="8"/>
        <v>S17713SL1</v>
      </c>
      <c r="D118" s="6">
        <v>7.0</v>
      </c>
      <c r="E118" s="17" t="str">
        <f t="shared" si="2"/>
        <v>BSL7</v>
      </c>
      <c r="F118" s="13">
        <v>10.0</v>
      </c>
      <c r="G118" s="17" t="str">
        <f t="shared" si="3"/>
        <v>BSL7-10</v>
      </c>
      <c r="I118" t="str">
        <f t="shared" si="4"/>
        <v>collected</v>
      </c>
      <c r="J118" t="str">
        <f t="shared" si="5"/>
        <v>N</v>
      </c>
    </row>
    <row r="119">
      <c r="A119" s="6" t="s">
        <v>1340</v>
      </c>
      <c r="B119" s="6" t="s">
        <v>2194</v>
      </c>
      <c r="C119" s="49" t="str">
        <f t="shared" si="8"/>
        <v>S17712SL1</v>
      </c>
      <c r="D119" s="6">
        <v>7.0</v>
      </c>
      <c r="E119" s="17" t="str">
        <f t="shared" si="2"/>
        <v>BSL7</v>
      </c>
      <c r="F119" s="13">
        <v>12.0</v>
      </c>
      <c r="G119" s="17" t="str">
        <f t="shared" si="3"/>
        <v>BSL7-12</v>
      </c>
      <c r="I119" t="str">
        <f t="shared" si="4"/>
        <v>collected</v>
      </c>
      <c r="J119" t="str">
        <f t="shared" si="5"/>
        <v>N</v>
      </c>
    </row>
    <row r="120">
      <c r="A120" s="6" t="s">
        <v>1344</v>
      </c>
      <c r="B120" s="6" t="s">
        <v>2194</v>
      </c>
      <c r="C120" s="49" t="str">
        <f t="shared" si="8"/>
        <v>S17971SL1</v>
      </c>
      <c r="D120" s="6">
        <v>7.0</v>
      </c>
      <c r="E120" s="17" t="str">
        <f t="shared" si="2"/>
        <v>BSL7</v>
      </c>
      <c r="F120" s="13">
        <v>2.0</v>
      </c>
      <c r="G120" s="17" t="str">
        <f t="shared" si="3"/>
        <v>BSL7-2</v>
      </c>
      <c r="I120" t="str">
        <f t="shared" si="4"/>
        <v>collected</v>
      </c>
      <c r="J120" t="str">
        <f t="shared" si="5"/>
        <v>N</v>
      </c>
    </row>
    <row r="121">
      <c r="A121" s="9" t="s">
        <v>1346</v>
      </c>
      <c r="B121" s="6" t="s">
        <v>2194</v>
      </c>
      <c r="C121" s="49" t="str">
        <f t="shared" si="8"/>
        <v>S17973SL1</v>
      </c>
      <c r="D121" s="6">
        <v>7.0</v>
      </c>
      <c r="E121" s="17" t="str">
        <f t="shared" si="2"/>
        <v>BSL7</v>
      </c>
      <c r="F121" s="13">
        <v>3.0</v>
      </c>
      <c r="G121" s="17" t="str">
        <f t="shared" si="3"/>
        <v>BSL7-3</v>
      </c>
      <c r="I121" t="str">
        <f t="shared" si="4"/>
        <v>collected</v>
      </c>
      <c r="J121" t="str">
        <f t="shared" si="5"/>
        <v>N</v>
      </c>
    </row>
    <row r="122">
      <c r="A122" s="9" t="s">
        <v>1348</v>
      </c>
      <c r="B122" s="6" t="s">
        <v>2194</v>
      </c>
      <c r="C122" s="49" t="str">
        <f t="shared" si="8"/>
        <v>S17975SL1</v>
      </c>
      <c r="D122" s="6">
        <v>7.0</v>
      </c>
      <c r="E122" s="17" t="str">
        <f t="shared" si="2"/>
        <v>BSL7</v>
      </c>
      <c r="F122" s="13">
        <v>4.0</v>
      </c>
      <c r="G122" s="17" t="str">
        <f t="shared" si="3"/>
        <v>BSL7-4</v>
      </c>
      <c r="I122" t="str">
        <f t="shared" si="4"/>
        <v>collected</v>
      </c>
      <c r="J122" t="str">
        <f t="shared" si="5"/>
        <v>N</v>
      </c>
    </row>
    <row r="123">
      <c r="A123" s="9" t="s">
        <v>1350</v>
      </c>
      <c r="B123" s="6" t="s">
        <v>2194</v>
      </c>
      <c r="C123" s="49" t="str">
        <f t="shared" si="8"/>
        <v>S17976SL1</v>
      </c>
      <c r="D123" s="6">
        <v>7.0</v>
      </c>
      <c r="E123" s="17" t="str">
        <f t="shared" si="2"/>
        <v>BSL7</v>
      </c>
      <c r="F123" s="13">
        <v>6.0</v>
      </c>
      <c r="G123" s="17" t="str">
        <f t="shared" si="3"/>
        <v>BSL7-6</v>
      </c>
      <c r="I123" t="str">
        <f t="shared" si="4"/>
        <v>collected</v>
      </c>
      <c r="J123" t="str">
        <f t="shared" si="5"/>
        <v>N</v>
      </c>
    </row>
    <row r="124">
      <c r="A124" s="9" t="s">
        <v>1351</v>
      </c>
      <c r="B124" s="6" t="s">
        <v>2194</v>
      </c>
      <c r="C124" s="49" t="str">
        <f t="shared" si="8"/>
        <v>S17977SL1</v>
      </c>
      <c r="D124" s="6">
        <v>7.0</v>
      </c>
      <c r="E124" s="17" t="str">
        <f t="shared" si="2"/>
        <v>BSL7</v>
      </c>
      <c r="F124" s="13">
        <v>7.0</v>
      </c>
      <c r="G124" s="17" t="str">
        <f t="shared" si="3"/>
        <v>BSL7-7</v>
      </c>
      <c r="I124" t="str">
        <f t="shared" si="4"/>
        <v>collected</v>
      </c>
      <c r="J124" t="str">
        <f t="shared" si="5"/>
        <v>N</v>
      </c>
    </row>
    <row r="125">
      <c r="A125" s="6" t="s">
        <v>1353</v>
      </c>
      <c r="B125" s="6" t="s">
        <v>2194</v>
      </c>
      <c r="C125" s="49" t="str">
        <f t="shared" si="8"/>
        <v>S17979SL1</v>
      </c>
      <c r="D125" s="6">
        <v>7.0</v>
      </c>
      <c r="E125" s="17" t="str">
        <f t="shared" si="2"/>
        <v>BSL7</v>
      </c>
      <c r="F125" s="13">
        <v>8.0</v>
      </c>
      <c r="G125" s="17" t="str">
        <f t="shared" si="3"/>
        <v>BSL7-8</v>
      </c>
      <c r="I125" t="str">
        <f t="shared" si="4"/>
        <v>collected</v>
      </c>
      <c r="J125" t="str">
        <f t="shared" si="5"/>
        <v>N</v>
      </c>
    </row>
    <row r="126">
      <c r="A126" s="6" t="s">
        <v>1358</v>
      </c>
      <c r="B126" s="6" t="s">
        <v>2194</v>
      </c>
      <c r="C126" s="49" t="str">
        <f t="shared" si="8"/>
        <v>S17563SL1</v>
      </c>
      <c r="D126" s="6">
        <v>7.0</v>
      </c>
      <c r="E126" s="17" t="str">
        <f t="shared" si="2"/>
        <v>BSL7</v>
      </c>
      <c r="F126" s="13">
        <v>11.0</v>
      </c>
      <c r="G126" s="17" t="str">
        <f t="shared" si="3"/>
        <v>BSL7-11</v>
      </c>
      <c r="I126" t="str">
        <f t="shared" si="4"/>
        <v>collected</v>
      </c>
      <c r="J126" t="str">
        <f t="shared" si="5"/>
        <v>N</v>
      </c>
    </row>
    <row r="127">
      <c r="A127" s="6" t="s">
        <v>1361</v>
      </c>
      <c r="B127" s="6" t="s">
        <v>2194</v>
      </c>
      <c r="C127" s="49" t="str">
        <f t="shared" si="8"/>
        <v>S17566SL1</v>
      </c>
      <c r="D127" s="6">
        <v>7.0</v>
      </c>
      <c r="E127" s="17" t="str">
        <f t="shared" si="2"/>
        <v>BSL7</v>
      </c>
      <c r="F127" s="13">
        <v>13.0</v>
      </c>
      <c r="G127" s="17" t="str">
        <f t="shared" si="3"/>
        <v>BSL7-13</v>
      </c>
      <c r="I127" t="str">
        <f t="shared" si="4"/>
        <v>collected</v>
      </c>
      <c r="J127" t="str">
        <f t="shared" si="5"/>
        <v>N</v>
      </c>
    </row>
    <row r="128">
      <c r="A128" s="9" t="s">
        <v>1364</v>
      </c>
      <c r="B128" s="6" t="s">
        <v>2194</v>
      </c>
      <c r="C128" s="49" t="str">
        <f t="shared" si="8"/>
        <v>S17569SL1</v>
      </c>
      <c r="D128" s="6">
        <v>7.0</v>
      </c>
      <c r="E128" s="17" t="str">
        <f t="shared" si="2"/>
        <v>BSL7</v>
      </c>
      <c r="F128" s="13">
        <v>14.0</v>
      </c>
      <c r="G128" s="17" t="str">
        <f t="shared" si="3"/>
        <v>BSL7-14</v>
      </c>
      <c r="I128" t="str">
        <f t="shared" si="4"/>
        <v>collected</v>
      </c>
      <c r="J128" t="str">
        <f t="shared" si="5"/>
        <v>N</v>
      </c>
    </row>
    <row r="129">
      <c r="A129" s="9" t="s">
        <v>1370</v>
      </c>
      <c r="B129" s="6" t="s">
        <v>2194</v>
      </c>
      <c r="C129" s="49" t="str">
        <f t="shared" ref="C129:C131" si="9">if(isblank(A129),"",concatenate("S",mid(A129,2,5),"LL1"))</f>
        <v>S16070LL1</v>
      </c>
      <c r="D129" s="6">
        <v>7.0</v>
      </c>
      <c r="E129" s="17" t="str">
        <f t="shared" si="2"/>
        <v>BSL7</v>
      </c>
      <c r="F129" s="13">
        <v>15.0</v>
      </c>
      <c r="G129" s="17" t="str">
        <f t="shared" si="3"/>
        <v>BSL7-15</v>
      </c>
      <c r="I129" t="str">
        <f t="shared" si="4"/>
        <v>collected</v>
      </c>
      <c r="J129" t="str">
        <f t="shared" si="5"/>
        <v>N</v>
      </c>
    </row>
    <row r="130">
      <c r="A130" s="33" t="s">
        <v>1371</v>
      </c>
      <c r="B130" s="6" t="s">
        <v>2194</v>
      </c>
      <c r="C130" s="49" t="str">
        <f t="shared" si="9"/>
        <v>S16066LL1</v>
      </c>
      <c r="D130" s="6">
        <v>7.0</v>
      </c>
      <c r="E130" s="17" t="str">
        <f t="shared" si="2"/>
        <v>BSL7</v>
      </c>
      <c r="F130" s="13">
        <v>16.0</v>
      </c>
      <c r="G130" s="17" t="str">
        <f t="shared" si="3"/>
        <v>BSL7-16</v>
      </c>
      <c r="I130" t="str">
        <f t="shared" si="4"/>
        <v>collected</v>
      </c>
      <c r="J130" t="str">
        <f t="shared" si="5"/>
        <v>N</v>
      </c>
    </row>
    <row r="131">
      <c r="A131" s="33" t="s">
        <v>1374</v>
      </c>
      <c r="B131" s="6" t="s">
        <v>2194</v>
      </c>
      <c r="C131" s="49" t="str">
        <f t="shared" si="9"/>
        <v>S16067LL1</v>
      </c>
      <c r="D131" s="6">
        <v>7.0</v>
      </c>
      <c r="E131" s="17" t="str">
        <f t="shared" si="2"/>
        <v>BSL7</v>
      </c>
      <c r="F131" s="13">
        <v>17.0</v>
      </c>
      <c r="G131" s="17" t="str">
        <f t="shared" si="3"/>
        <v>BSL7-17</v>
      </c>
      <c r="I131" t="str">
        <f t="shared" si="4"/>
        <v>collected</v>
      </c>
      <c r="J131" t="str">
        <f t="shared" si="5"/>
        <v>N</v>
      </c>
    </row>
    <row r="132">
      <c r="A132" s="33" t="s">
        <v>1381</v>
      </c>
      <c r="B132" s="6" t="s">
        <v>2203</v>
      </c>
      <c r="C132" s="49" t="str">
        <f t="shared" ref="C132:C308" si="10">if(isblank(A132),"",concatenate("S",mid(A132,2,5),"SL1"))</f>
        <v>S17117SL1</v>
      </c>
      <c r="D132" s="6">
        <v>2.0</v>
      </c>
      <c r="E132" s="17" t="str">
        <f t="shared" si="2"/>
        <v>BSL2</v>
      </c>
      <c r="F132" s="13">
        <v>65.0</v>
      </c>
      <c r="G132" s="17" t="str">
        <f t="shared" si="3"/>
        <v>BSL2-65</v>
      </c>
      <c r="I132" t="str">
        <f t="shared" si="4"/>
        <v>collected</v>
      </c>
      <c r="J132" t="str">
        <f t="shared" si="5"/>
        <v>N</v>
      </c>
    </row>
    <row r="133">
      <c r="A133" s="33" t="s">
        <v>1382</v>
      </c>
      <c r="B133" s="6" t="s">
        <v>2203</v>
      </c>
      <c r="C133" s="49" t="str">
        <f t="shared" si="10"/>
        <v>S17111SL1</v>
      </c>
      <c r="D133" s="6">
        <v>2.0</v>
      </c>
      <c r="E133" s="17" t="str">
        <f t="shared" si="2"/>
        <v>BSL2</v>
      </c>
      <c r="F133" s="13">
        <v>67.0</v>
      </c>
      <c r="G133" s="17" t="str">
        <f t="shared" si="3"/>
        <v>BSL2-67</v>
      </c>
      <c r="I133" t="str">
        <f t="shared" si="4"/>
        <v>collected</v>
      </c>
      <c r="J133" t="str">
        <f t="shared" si="5"/>
        <v>N</v>
      </c>
    </row>
    <row r="134">
      <c r="A134" s="33" t="s">
        <v>1387</v>
      </c>
      <c r="B134" s="6" t="s">
        <v>2203</v>
      </c>
      <c r="C134" s="49" t="str">
        <f t="shared" si="10"/>
        <v>S17118SL1</v>
      </c>
      <c r="D134" s="6">
        <v>2.0</v>
      </c>
      <c r="E134" s="17" t="str">
        <f t="shared" si="2"/>
        <v>BSL2</v>
      </c>
      <c r="F134" s="13">
        <v>69.0</v>
      </c>
      <c r="G134" s="17" t="str">
        <f t="shared" si="3"/>
        <v>BSL2-69</v>
      </c>
      <c r="I134" t="str">
        <f t="shared" si="4"/>
        <v>collected</v>
      </c>
      <c r="J134" t="str">
        <f t="shared" si="5"/>
        <v>N</v>
      </c>
    </row>
    <row r="135">
      <c r="A135" s="33" t="s">
        <v>1390</v>
      </c>
      <c r="B135" s="6" t="s">
        <v>2194</v>
      </c>
      <c r="C135" s="49" t="str">
        <f t="shared" si="10"/>
        <v>S17570SL1</v>
      </c>
      <c r="D135" s="6">
        <v>7.0</v>
      </c>
      <c r="E135" s="17" t="str">
        <f t="shared" si="2"/>
        <v>BSL7</v>
      </c>
      <c r="F135" s="13">
        <v>18.0</v>
      </c>
      <c r="G135" s="17" t="str">
        <f t="shared" si="3"/>
        <v>BSL7-18</v>
      </c>
      <c r="H135" s="9" t="s">
        <v>2216</v>
      </c>
      <c r="I135" t="str">
        <f t="shared" si="4"/>
        <v>collected</v>
      </c>
      <c r="J135" t="str">
        <f t="shared" si="5"/>
        <v>N</v>
      </c>
    </row>
    <row r="136">
      <c r="A136" s="33" t="s">
        <v>1391</v>
      </c>
      <c r="B136" s="6" t="s">
        <v>2194</v>
      </c>
      <c r="C136" s="49" t="str">
        <f t="shared" si="10"/>
        <v>S17631SL1</v>
      </c>
      <c r="D136" s="6">
        <v>7.0</v>
      </c>
      <c r="E136" s="17" t="str">
        <f t="shared" si="2"/>
        <v>BSL7</v>
      </c>
      <c r="F136" s="13">
        <v>19.0</v>
      </c>
      <c r="G136" s="17" t="str">
        <f t="shared" si="3"/>
        <v>BSL7-19</v>
      </c>
      <c r="H136" s="9" t="s">
        <v>2217</v>
      </c>
      <c r="I136" t="str">
        <f t="shared" si="4"/>
        <v>collected</v>
      </c>
      <c r="J136" t="str">
        <f t="shared" si="5"/>
        <v>N</v>
      </c>
    </row>
    <row r="137">
      <c r="A137" s="33" t="s">
        <v>1395</v>
      </c>
      <c r="B137" s="6" t="s">
        <v>2194</v>
      </c>
      <c r="C137" s="49" t="str">
        <f t="shared" si="10"/>
        <v>S17633SL1</v>
      </c>
      <c r="D137" s="6">
        <v>7.0</v>
      </c>
      <c r="E137" s="17" t="str">
        <f t="shared" si="2"/>
        <v>BSL7</v>
      </c>
      <c r="F137" s="13">
        <v>20.0</v>
      </c>
      <c r="G137" s="17" t="str">
        <f t="shared" si="3"/>
        <v>BSL7-20</v>
      </c>
      <c r="I137" t="str">
        <f t="shared" si="4"/>
        <v>collected</v>
      </c>
      <c r="J137" t="str">
        <f t="shared" si="5"/>
        <v>N</v>
      </c>
    </row>
    <row r="138">
      <c r="A138" s="9" t="s">
        <v>1396</v>
      </c>
      <c r="B138" s="6" t="s">
        <v>2194</v>
      </c>
      <c r="C138" s="49" t="str">
        <f t="shared" si="10"/>
        <v>S17634SL1</v>
      </c>
      <c r="D138" s="6">
        <v>7.0</v>
      </c>
      <c r="E138" s="17" t="str">
        <f t="shared" si="2"/>
        <v>BSL7</v>
      </c>
      <c r="F138" s="13">
        <v>21.0</v>
      </c>
      <c r="G138" s="17" t="str">
        <f t="shared" si="3"/>
        <v>BSL7-21</v>
      </c>
      <c r="I138" t="str">
        <f t="shared" si="4"/>
        <v>collected</v>
      </c>
      <c r="J138" t="str">
        <f t="shared" si="5"/>
        <v>N</v>
      </c>
    </row>
    <row r="139">
      <c r="A139" s="33" t="s">
        <v>1397</v>
      </c>
      <c r="B139" s="6" t="s">
        <v>2194</v>
      </c>
      <c r="C139" s="49" t="str">
        <f t="shared" si="10"/>
        <v>S17635SL1</v>
      </c>
      <c r="D139" s="6">
        <v>7.0</v>
      </c>
      <c r="E139" s="17" t="str">
        <f t="shared" si="2"/>
        <v>BSL7</v>
      </c>
      <c r="F139" s="13">
        <v>22.0</v>
      </c>
      <c r="G139" s="17" t="str">
        <f t="shared" si="3"/>
        <v>BSL7-22</v>
      </c>
      <c r="I139" t="str">
        <f t="shared" si="4"/>
        <v>collected</v>
      </c>
      <c r="J139" t="str">
        <f t="shared" si="5"/>
        <v>N</v>
      </c>
    </row>
    <row r="140">
      <c r="A140" s="9" t="s">
        <v>1398</v>
      </c>
      <c r="B140" s="6" t="s">
        <v>2194</v>
      </c>
      <c r="C140" s="49" t="str">
        <f t="shared" si="10"/>
        <v>S17636SL1</v>
      </c>
      <c r="D140" s="6">
        <v>7.0</v>
      </c>
      <c r="E140" s="17" t="str">
        <f t="shared" si="2"/>
        <v>BSL7</v>
      </c>
      <c r="F140" s="13">
        <v>23.0</v>
      </c>
      <c r="G140" s="17" t="str">
        <f t="shared" si="3"/>
        <v>BSL7-23</v>
      </c>
      <c r="I140" t="str">
        <f t="shared" si="4"/>
        <v>collected</v>
      </c>
      <c r="J140" t="str">
        <f t="shared" si="5"/>
        <v>N</v>
      </c>
    </row>
    <row r="141">
      <c r="A141" s="33" t="s">
        <v>1399</v>
      </c>
      <c r="B141" s="6" t="s">
        <v>2194</v>
      </c>
      <c r="C141" s="49" t="str">
        <f t="shared" si="10"/>
        <v>S17637SL1</v>
      </c>
      <c r="D141" s="6">
        <v>7.0</v>
      </c>
      <c r="E141" s="17" t="str">
        <f t="shared" si="2"/>
        <v>BSL7</v>
      </c>
      <c r="F141" s="13">
        <v>24.0</v>
      </c>
      <c r="G141" s="17" t="str">
        <f t="shared" si="3"/>
        <v>BSL7-24</v>
      </c>
      <c r="I141" t="str">
        <f t="shared" si="4"/>
        <v>collected</v>
      </c>
      <c r="J141" t="str">
        <f t="shared" si="5"/>
        <v>N</v>
      </c>
    </row>
    <row r="142">
      <c r="A142" s="9" t="s">
        <v>1400</v>
      </c>
      <c r="B142" s="6" t="s">
        <v>2194</v>
      </c>
      <c r="C142" s="49" t="str">
        <f t="shared" si="10"/>
        <v>S17638SL1</v>
      </c>
      <c r="D142" s="6">
        <v>7.0</v>
      </c>
      <c r="E142" s="17" t="str">
        <f t="shared" si="2"/>
        <v>BSL7</v>
      </c>
      <c r="F142" s="13">
        <v>25.0</v>
      </c>
      <c r="G142" s="17" t="str">
        <f t="shared" si="3"/>
        <v>BSL7-25</v>
      </c>
      <c r="I142" t="str">
        <f t="shared" si="4"/>
        <v>collected</v>
      </c>
      <c r="J142" t="str">
        <f t="shared" si="5"/>
        <v>N</v>
      </c>
    </row>
    <row r="143">
      <c r="A143" s="9" t="s">
        <v>1406</v>
      </c>
      <c r="B143" s="6" t="s">
        <v>2194</v>
      </c>
      <c r="C143" s="49" t="str">
        <f t="shared" si="10"/>
        <v>S17319SL1</v>
      </c>
      <c r="D143" s="6">
        <v>7.0</v>
      </c>
      <c r="E143" s="17" t="str">
        <f t="shared" si="2"/>
        <v>BSL7</v>
      </c>
      <c r="F143" s="13">
        <v>26.0</v>
      </c>
      <c r="G143" s="17" t="str">
        <f t="shared" si="3"/>
        <v>BSL7-26</v>
      </c>
      <c r="I143" t="str">
        <f t="shared" si="4"/>
        <v>collected</v>
      </c>
      <c r="J143" t="str">
        <f t="shared" si="5"/>
        <v>N</v>
      </c>
    </row>
    <row r="144">
      <c r="A144" s="9" t="s">
        <v>1416</v>
      </c>
      <c r="B144" s="6" t="s">
        <v>2194</v>
      </c>
      <c r="C144" s="49" t="str">
        <f t="shared" si="10"/>
        <v>S16115SL1</v>
      </c>
      <c r="D144" s="6">
        <v>7.0</v>
      </c>
      <c r="E144" s="17" t="str">
        <f t="shared" si="2"/>
        <v>BSL7</v>
      </c>
      <c r="F144" s="13">
        <v>27.0</v>
      </c>
      <c r="G144" s="17" t="str">
        <f t="shared" si="3"/>
        <v>BSL7-27</v>
      </c>
      <c r="I144" t="str">
        <f t="shared" si="4"/>
        <v>collected</v>
      </c>
      <c r="J144" t="str">
        <f t="shared" si="5"/>
        <v>N</v>
      </c>
    </row>
    <row r="145">
      <c r="A145" s="9" t="s">
        <v>1422</v>
      </c>
      <c r="B145" s="6" t="s">
        <v>2194</v>
      </c>
      <c r="C145" s="49" t="str">
        <f t="shared" si="10"/>
        <v>S16111SL1</v>
      </c>
      <c r="D145" s="6">
        <v>7.0</v>
      </c>
      <c r="E145" s="17" t="str">
        <f t="shared" si="2"/>
        <v>BSL7</v>
      </c>
      <c r="F145" s="13">
        <v>28.0</v>
      </c>
      <c r="G145" s="17" t="str">
        <f t="shared" si="3"/>
        <v>BSL7-28</v>
      </c>
      <c r="I145" t="str">
        <f t="shared" si="4"/>
        <v>collected</v>
      </c>
      <c r="J145" t="str">
        <f t="shared" si="5"/>
        <v>N</v>
      </c>
    </row>
    <row r="146">
      <c r="A146" s="9" t="s">
        <v>1436</v>
      </c>
      <c r="B146" s="6" t="s">
        <v>2194</v>
      </c>
      <c r="C146" s="49" t="str">
        <f t="shared" si="10"/>
        <v>S16981SL1</v>
      </c>
      <c r="D146" s="6">
        <v>7.0</v>
      </c>
      <c r="E146" s="17" t="str">
        <f t="shared" si="2"/>
        <v>BSL7</v>
      </c>
      <c r="F146" s="13">
        <v>29.0</v>
      </c>
      <c r="G146" s="17" t="str">
        <f t="shared" si="3"/>
        <v>BSL7-29</v>
      </c>
      <c r="I146" t="str">
        <f t="shared" si="4"/>
        <v>collected</v>
      </c>
      <c r="J146" t="str">
        <f t="shared" si="5"/>
        <v>N</v>
      </c>
    </row>
    <row r="147">
      <c r="A147" s="9" t="s">
        <v>1439</v>
      </c>
      <c r="B147" s="6" t="s">
        <v>2194</v>
      </c>
      <c r="C147" s="49" t="str">
        <f t="shared" si="10"/>
        <v>S16983SL1</v>
      </c>
      <c r="D147" s="6">
        <v>7.0</v>
      </c>
      <c r="E147" s="17" t="str">
        <f t="shared" si="2"/>
        <v>BSL7</v>
      </c>
      <c r="F147" s="13">
        <v>30.0</v>
      </c>
      <c r="G147" s="17" t="str">
        <f t="shared" si="3"/>
        <v>BSL7-30</v>
      </c>
      <c r="I147" t="str">
        <f t="shared" si="4"/>
        <v>collected</v>
      </c>
      <c r="J147" t="str">
        <f t="shared" si="5"/>
        <v>N</v>
      </c>
    </row>
    <row r="148">
      <c r="A148" s="9" t="s">
        <v>1440</v>
      </c>
      <c r="B148" s="6" t="s">
        <v>2194</v>
      </c>
      <c r="C148" s="49" t="str">
        <f t="shared" si="10"/>
        <v>S16984SL1</v>
      </c>
      <c r="D148" s="6">
        <v>7.0</v>
      </c>
      <c r="E148" s="17" t="str">
        <f t="shared" si="2"/>
        <v>BSL7</v>
      </c>
      <c r="F148" s="13">
        <v>31.0</v>
      </c>
      <c r="G148" s="17" t="str">
        <f t="shared" si="3"/>
        <v>BSL7-31</v>
      </c>
      <c r="I148" t="str">
        <f t="shared" si="4"/>
        <v>collected</v>
      </c>
      <c r="J148" t="str">
        <f t="shared" si="5"/>
        <v>N</v>
      </c>
    </row>
    <row r="149">
      <c r="A149" s="9" t="s">
        <v>1446</v>
      </c>
      <c r="B149" s="6" t="s">
        <v>2194</v>
      </c>
      <c r="C149" s="49" t="str">
        <f t="shared" si="10"/>
        <v>S16990SL1</v>
      </c>
      <c r="D149" s="6">
        <v>7.0</v>
      </c>
      <c r="E149" s="17" t="str">
        <f t="shared" si="2"/>
        <v>BSL7</v>
      </c>
      <c r="F149" s="13">
        <v>32.0</v>
      </c>
      <c r="G149" s="17" t="str">
        <f t="shared" si="3"/>
        <v>BSL7-32</v>
      </c>
      <c r="I149" t="str">
        <f t="shared" si="4"/>
        <v>collected</v>
      </c>
      <c r="J149" t="str">
        <f t="shared" si="5"/>
        <v>N</v>
      </c>
    </row>
    <row r="150">
      <c r="A150" s="9" t="s">
        <v>1447</v>
      </c>
      <c r="B150" s="6" t="s">
        <v>2194</v>
      </c>
      <c r="C150" s="49" t="str">
        <f t="shared" si="10"/>
        <v>S16988SL1</v>
      </c>
      <c r="D150" s="6">
        <v>7.0</v>
      </c>
      <c r="E150" s="17" t="str">
        <f t="shared" si="2"/>
        <v>BSL7</v>
      </c>
      <c r="F150" s="13">
        <v>33.0</v>
      </c>
      <c r="G150" s="17" t="str">
        <f t="shared" si="3"/>
        <v>BSL7-33</v>
      </c>
      <c r="I150" t="str">
        <f t="shared" si="4"/>
        <v>collected</v>
      </c>
      <c r="J150" t="str">
        <f t="shared" si="5"/>
        <v>N</v>
      </c>
    </row>
    <row r="151">
      <c r="A151" s="9" t="s">
        <v>1452</v>
      </c>
      <c r="B151" s="6" t="s">
        <v>2194</v>
      </c>
      <c r="C151" s="49" t="str">
        <f t="shared" si="10"/>
        <v>S16234SL1</v>
      </c>
      <c r="D151" s="6">
        <v>7.0</v>
      </c>
      <c r="E151" s="17" t="str">
        <f t="shared" si="2"/>
        <v>BSL7</v>
      </c>
      <c r="F151" s="13">
        <v>34.0</v>
      </c>
      <c r="G151" s="17" t="str">
        <f t="shared" si="3"/>
        <v>BSL7-34</v>
      </c>
      <c r="I151" t="str">
        <f t="shared" si="4"/>
        <v>collected</v>
      </c>
      <c r="J151" t="str">
        <f t="shared" si="5"/>
        <v>N</v>
      </c>
    </row>
    <row r="152">
      <c r="A152" s="9" t="s">
        <v>1472</v>
      </c>
      <c r="B152" s="6" t="s">
        <v>2194</v>
      </c>
      <c r="C152" s="49" t="str">
        <f t="shared" si="10"/>
        <v>S16526SL1</v>
      </c>
      <c r="D152" s="6">
        <v>7.0</v>
      </c>
      <c r="E152" s="17" t="str">
        <f t="shared" si="2"/>
        <v>BSL7</v>
      </c>
      <c r="F152" s="13">
        <v>35.0</v>
      </c>
      <c r="G152" s="17" t="str">
        <f t="shared" si="3"/>
        <v>BSL7-35</v>
      </c>
      <c r="I152" t="str">
        <f t="shared" si="4"/>
        <v>collected</v>
      </c>
      <c r="J152" t="str">
        <f t="shared" si="5"/>
        <v>N</v>
      </c>
    </row>
    <row r="153">
      <c r="A153" s="9" t="s">
        <v>1478</v>
      </c>
      <c r="B153" s="6" t="s">
        <v>2194</v>
      </c>
      <c r="C153" s="49" t="str">
        <f t="shared" si="10"/>
        <v>S16521SL1</v>
      </c>
      <c r="D153" s="6">
        <v>7.0</v>
      </c>
      <c r="E153" s="17" t="str">
        <f t="shared" si="2"/>
        <v>BSL7</v>
      </c>
      <c r="F153" s="13">
        <v>36.0</v>
      </c>
      <c r="G153" s="17" t="str">
        <f t="shared" si="3"/>
        <v>BSL7-36</v>
      </c>
      <c r="I153" t="str">
        <f t="shared" si="4"/>
        <v>collected</v>
      </c>
      <c r="J153" t="str">
        <f t="shared" si="5"/>
        <v>N</v>
      </c>
    </row>
    <row r="154">
      <c r="A154" s="9" t="s">
        <v>1479</v>
      </c>
      <c r="B154" s="6" t="s">
        <v>2194</v>
      </c>
      <c r="C154" s="49" t="str">
        <f t="shared" si="10"/>
        <v>S16491SL1</v>
      </c>
      <c r="D154" s="6">
        <v>7.0</v>
      </c>
      <c r="E154" s="17" t="str">
        <f t="shared" si="2"/>
        <v>BSL7</v>
      </c>
      <c r="F154" s="13">
        <v>37.0</v>
      </c>
      <c r="G154" s="17" t="str">
        <f t="shared" si="3"/>
        <v>BSL7-37</v>
      </c>
      <c r="I154" t="str">
        <f t="shared" si="4"/>
        <v>collected</v>
      </c>
      <c r="J154" t="str">
        <f t="shared" si="5"/>
        <v>N</v>
      </c>
    </row>
    <row r="155">
      <c r="A155" s="9" t="s">
        <v>1483</v>
      </c>
      <c r="B155" s="6" t="s">
        <v>2194</v>
      </c>
      <c r="C155" s="49" t="str">
        <f t="shared" si="10"/>
        <v>S16499SL1</v>
      </c>
      <c r="D155" s="6">
        <v>7.0</v>
      </c>
      <c r="E155" s="17" t="str">
        <f t="shared" si="2"/>
        <v>BSL7</v>
      </c>
      <c r="F155" s="13">
        <v>39.0</v>
      </c>
      <c r="G155" s="17" t="str">
        <f t="shared" si="3"/>
        <v>BSL7-39</v>
      </c>
      <c r="I155" t="str">
        <f t="shared" si="4"/>
        <v>collected</v>
      </c>
      <c r="J155" t="str">
        <f t="shared" si="5"/>
        <v>N</v>
      </c>
    </row>
    <row r="156">
      <c r="A156" s="9" t="s">
        <v>1486</v>
      </c>
      <c r="B156" s="6" t="s">
        <v>2194</v>
      </c>
      <c r="C156" s="49" t="str">
        <f t="shared" si="10"/>
        <v>S5450SL1</v>
      </c>
      <c r="D156" s="6">
        <v>7.0</v>
      </c>
      <c r="E156" s="17" t="str">
        <f t="shared" si="2"/>
        <v>BSL7</v>
      </c>
      <c r="F156" s="13">
        <v>38.0</v>
      </c>
      <c r="G156" s="17" t="str">
        <f t="shared" si="3"/>
        <v>BSL7-38</v>
      </c>
      <c r="I156" t="str">
        <f t="shared" si="4"/>
        <v>collected</v>
      </c>
      <c r="J156" t="str">
        <f t="shared" si="5"/>
        <v>N</v>
      </c>
    </row>
    <row r="157">
      <c r="A157" s="9" t="s">
        <v>1487</v>
      </c>
      <c r="B157" s="6" t="s">
        <v>2194</v>
      </c>
      <c r="C157" s="49" t="str">
        <f t="shared" si="10"/>
        <v>S5451SL1</v>
      </c>
      <c r="D157" s="6">
        <v>7.0</v>
      </c>
      <c r="E157" s="17" t="str">
        <f t="shared" si="2"/>
        <v>BSL7</v>
      </c>
      <c r="F157" s="13">
        <v>40.0</v>
      </c>
      <c r="G157" s="17" t="str">
        <f t="shared" si="3"/>
        <v>BSL7-40</v>
      </c>
      <c r="I157" t="str">
        <f t="shared" si="4"/>
        <v>collected</v>
      </c>
      <c r="J157" t="str">
        <f t="shared" si="5"/>
        <v>N</v>
      </c>
    </row>
    <row r="158">
      <c r="A158" s="9" t="s">
        <v>1491</v>
      </c>
      <c r="B158" s="6" t="s">
        <v>2194</v>
      </c>
      <c r="C158" s="49" t="str">
        <f t="shared" si="10"/>
        <v>S5453SL1</v>
      </c>
      <c r="D158" s="6">
        <v>7.0</v>
      </c>
      <c r="E158" s="17" t="str">
        <f t="shared" si="2"/>
        <v>BSL7</v>
      </c>
      <c r="F158" s="13">
        <v>41.0</v>
      </c>
      <c r="G158" s="17" t="str">
        <f t="shared" si="3"/>
        <v>BSL7-41</v>
      </c>
      <c r="I158" t="str">
        <f t="shared" si="4"/>
        <v>collected</v>
      </c>
      <c r="J158" t="str">
        <f t="shared" si="5"/>
        <v>N</v>
      </c>
    </row>
    <row r="159">
      <c r="A159" s="9" t="s">
        <v>1494</v>
      </c>
      <c r="B159" s="6" t="s">
        <v>2194</v>
      </c>
      <c r="C159" s="49" t="str">
        <f t="shared" si="10"/>
        <v>S5456SL1</v>
      </c>
      <c r="D159" s="6">
        <v>7.0</v>
      </c>
      <c r="E159" s="17" t="str">
        <f t="shared" si="2"/>
        <v>BSL7</v>
      </c>
      <c r="F159" s="13">
        <v>42.0</v>
      </c>
      <c r="G159" s="17" t="str">
        <f t="shared" si="3"/>
        <v>BSL7-42</v>
      </c>
      <c r="I159" t="str">
        <f t="shared" si="4"/>
        <v>collected</v>
      </c>
      <c r="J159" t="str">
        <f t="shared" si="5"/>
        <v>N</v>
      </c>
    </row>
    <row r="160">
      <c r="A160" s="9" t="s">
        <v>1498</v>
      </c>
      <c r="B160" s="6" t="s">
        <v>2194</v>
      </c>
      <c r="C160" s="49" t="str">
        <f t="shared" si="10"/>
        <v>S5458SL1</v>
      </c>
      <c r="D160" s="6">
        <v>7.0</v>
      </c>
      <c r="E160" s="17" t="str">
        <f t="shared" si="2"/>
        <v>BSL7</v>
      </c>
      <c r="F160" s="13">
        <v>43.0</v>
      </c>
      <c r="G160" s="17" t="str">
        <f t="shared" si="3"/>
        <v>BSL7-43</v>
      </c>
      <c r="I160" t="str">
        <f t="shared" si="4"/>
        <v>collected</v>
      </c>
      <c r="J160" t="str">
        <f t="shared" si="5"/>
        <v>N</v>
      </c>
    </row>
    <row r="161">
      <c r="A161" s="9" t="s">
        <v>1540</v>
      </c>
      <c r="B161" s="6" t="s">
        <v>2194</v>
      </c>
      <c r="C161" s="49" t="str">
        <f t="shared" si="10"/>
        <v>S16361SL1</v>
      </c>
      <c r="D161" s="6">
        <v>7.0</v>
      </c>
      <c r="E161" s="17" t="str">
        <f t="shared" si="2"/>
        <v>BSL7</v>
      </c>
      <c r="F161" s="13">
        <v>44.0</v>
      </c>
      <c r="G161" s="17" t="str">
        <f t="shared" si="3"/>
        <v>BSL7-44</v>
      </c>
      <c r="H161" s="9" t="s">
        <v>2218</v>
      </c>
      <c r="I161" t="str">
        <f t="shared" si="4"/>
        <v>collected</v>
      </c>
      <c r="J161" t="str">
        <f t="shared" si="5"/>
        <v>N</v>
      </c>
    </row>
    <row r="162">
      <c r="A162" s="9" t="s">
        <v>1545</v>
      </c>
      <c r="B162" s="6" t="s">
        <v>2203</v>
      </c>
      <c r="C162" s="49" t="str">
        <f t="shared" si="10"/>
        <v>S17011SL1</v>
      </c>
      <c r="D162" s="6">
        <v>2.0</v>
      </c>
      <c r="E162" s="17" t="str">
        <f t="shared" si="2"/>
        <v>BSL2</v>
      </c>
      <c r="F162" s="13">
        <v>72.0</v>
      </c>
      <c r="G162" s="17" t="str">
        <f t="shared" si="3"/>
        <v>BSL2-72</v>
      </c>
      <c r="I162" t="str">
        <f t="shared" si="4"/>
        <v>collected</v>
      </c>
      <c r="J162" t="str">
        <f t="shared" si="5"/>
        <v>N</v>
      </c>
    </row>
    <row r="163">
      <c r="A163" s="9" t="s">
        <v>1555</v>
      </c>
      <c r="B163" s="6" t="s">
        <v>2194</v>
      </c>
      <c r="C163" s="49" t="str">
        <f t="shared" si="10"/>
        <v>S16819SL1</v>
      </c>
      <c r="D163" s="6">
        <v>7.0</v>
      </c>
      <c r="E163" s="17" t="str">
        <f t="shared" si="2"/>
        <v>BSL7</v>
      </c>
      <c r="F163" s="13">
        <v>45.0</v>
      </c>
      <c r="G163" s="17" t="str">
        <f t="shared" si="3"/>
        <v>BSL7-45</v>
      </c>
      <c r="I163" t="str">
        <f t="shared" si="4"/>
        <v>collected</v>
      </c>
      <c r="J163" t="str">
        <f t="shared" si="5"/>
        <v>N</v>
      </c>
    </row>
    <row r="164">
      <c r="A164" s="9" t="s">
        <v>1558</v>
      </c>
      <c r="B164" s="6" t="s">
        <v>2194</v>
      </c>
      <c r="C164" s="49" t="str">
        <f t="shared" si="10"/>
        <v>S16812SL1</v>
      </c>
      <c r="D164" s="6">
        <v>7.0</v>
      </c>
      <c r="E164" s="17" t="str">
        <f t="shared" si="2"/>
        <v>BSL7</v>
      </c>
      <c r="F164" s="13">
        <v>46.0</v>
      </c>
      <c r="G164" s="17" t="str">
        <f t="shared" si="3"/>
        <v>BSL7-46</v>
      </c>
      <c r="I164" t="str">
        <f t="shared" si="4"/>
        <v>collected</v>
      </c>
      <c r="J164" t="str">
        <f t="shared" si="5"/>
        <v>N</v>
      </c>
    </row>
    <row r="165">
      <c r="A165" s="9" t="s">
        <v>1561</v>
      </c>
      <c r="B165" s="6" t="s">
        <v>2194</v>
      </c>
      <c r="C165" s="49" t="str">
        <f t="shared" si="10"/>
        <v>S16814SL1</v>
      </c>
      <c r="D165" s="6">
        <v>7.0</v>
      </c>
      <c r="E165" s="17" t="str">
        <f t="shared" si="2"/>
        <v>BSL7</v>
      </c>
      <c r="F165" s="13">
        <v>47.0</v>
      </c>
      <c r="G165" s="17" t="str">
        <f t="shared" si="3"/>
        <v>BSL7-47</v>
      </c>
      <c r="I165" t="str">
        <f t="shared" si="4"/>
        <v>collected</v>
      </c>
      <c r="J165" t="str">
        <f t="shared" si="5"/>
        <v>N</v>
      </c>
    </row>
    <row r="166">
      <c r="A166" s="9" t="s">
        <v>1563</v>
      </c>
      <c r="B166" s="6" t="s">
        <v>2194</v>
      </c>
      <c r="C166" s="49" t="str">
        <f t="shared" si="10"/>
        <v>S17138SL1</v>
      </c>
      <c r="D166" s="6">
        <v>7.0</v>
      </c>
      <c r="E166" s="17" t="str">
        <f t="shared" si="2"/>
        <v>BSL7</v>
      </c>
      <c r="F166" s="13">
        <v>48.0</v>
      </c>
      <c r="G166" s="17" t="str">
        <f t="shared" si="3"/>
        <v>BSL7-48</v>
      </c>
      <c r="I166" t="str">
        <f t="shared" si="4"/>
        <v>collected</v>
      </c>
      <c r="J166" t="str">
        <f t="shared" si="5"/>
        <v>N</v>
      </c>
    </row>
    <row r="167">
      <c r="A167" s="9" t="s">
        <v>1564</v>
      </c>
      <c r="B167" s="6" t="s">
        <v>2194</v>
      </c>
      <c r="C167" s="49" t="str">
        <f t="shared" si="10"/>
        <v>S17131SL1</v>
      </c>
      <c r="D167" s="6">
        <v>7.0</v>
      </c>
      <c r="E167" s="17" t="str">
        <f t="shared" si="2"/>
        <v>BSL7</v>
      </c>
      <c r="F167" s="13">
        <v>49.0</v>
      </c>
      <c r="G167" s="17" t="str">
        <f t="shared" si="3"/>
        <v>BSL7-49</v>
      </c>
      <c r="I167" t="str">
        <f t="shared" si="4"/>
        <v>collected</v>
      </c>
      <c r="J167" t="str">
        <f t="shared" si="5"/>
        <v>N</v>
      </c>
    </row>
    <row r="168">
      <c r="A168" s="9" t="s">
        <v>1565</v>
      </c>
      <c r="B168" s="6" t="s">
        <v>2194</v>
      </c>
      <c r="C168" s="49" t="str">
        <f t="shared" si="10"/>
        <v>S17133SL1</v>
      </c>
      <c r="D168" s="6">
        <v>7.0</v>
      </c>
      <c r="E168" s="17" t="str">
        <f t="shared" si="2"/>
        <v>BSL7</v>
      </c>
      <c r="F168" s="13">
        <v>50.0</v>
      </c>
      <c r="G168" s="17" t="str">
        <f t="shared" si="3"/>
        <v>BSL7-50</v>
      </c>
      <c r="I168" t="str">
        <f t="shared" si="4"/>
        <v>collected</v>
      </c>
      <c r="J168" t="str">
        <f t="shared" si="5"/>
        <v>N</v>
      </c>
    </row>
    <row r="169">
      <c r="A169" s="9" t="s">
        <v>1566</v>
      </c>
      <c r="B169" s="6" t="s">
        <v>2194</v>
      </c>
      <c r="C169" s="49" t="str">
        <f t="shared" si="10"/>
        <v>S17135SL1</v>
      </c>
      <c r="D169" s="6">
        <v>7.0</v>
      </c>
      <c r="E169" s="17" t="str">
        <f t="shared" si="2"/>
        <v>BSL7</v>
      </c>
      <c r="F169" s="13">
        <v>51.0</v>
      </c>
      <c r="G169" s="17" t="str">
        <f t="shared" si="3"/>
        <v>BSL7-51</v>
      </c>
      <c r="I169" t="str">
        <f t="shared" si="4"/>
        <v>collected</v>
      </c>
      <c r="J169" t="str">
        <f t="shared" si="5"/>
        <v>N</v>
      </c>
    </row>
    <row r="170">
      <c r="A170" s="9" t="s">
        <v>1568</v>
      </c>
      <c r="B170" s="6" t="s">
        <v>2194</v>
      </c>
      <c r="C170" s="49" t="str">
        <f t="shared" si="10"/>
        <v>S17139SL1</v>
      </c>
      <c r="D170" s="6">
        <v>7.0</v>
      </c>
      <c r="E170" s="17" t="str">
        <f t="shared" si="2"/>
        <v>BSL7</v>
      </c>
      <c r="F170" s="13">
        <v>53.0</v>
      </c>
      <c r="G170" s="17" t="str">
        <f t="shared" si="3"/>
        <v>BSL7-53</v>
      </c>
      <c r="I170" t="str">
        <f t="shared" si="4"/>
        <v>collected</v>
      </c>
      <c r="J170" t="str">
        <f t="shared" si="5"/>
        <v>N</v>
      </c>
    </row>
    <row r="171">
      <c r="A171" s="9" t="s">
        <v>1576</v>
      </c>
      <c r="B171" s="6" t="s">
        <v>2194</v>
      </c>
      <c r="C171" s="49" t="str">
        <f t="shared" si="10"/>
        <v>S17132SL1</v>
      </c>
      <c r="D171" s="6">
        <v>7.0</v>
      </c>
      <c r="E171" s="17" t="str">
        <f t="shared" si="2"/>
        <v>BSL7</v>
      </c>
      <c r="F171" s="13">
        <v>56.0</v>
      </c>
      <c r="G171" s="17" t="str">
        <f t="shared" si="3"/>
        <v>BSL7-56</v>
      </c>
      <c r="I171" t="str">
        <f t="shared" si="4"/>
        <v>collected</v>
      </c>
      <c r="J171" t="str">
        <f t="shared" si="5"/>
        <v>N</v>
      </c>
    </row>
    <row r="172">
      <c r="A172" s="9" t="s">
        <v>1578</v>
      </c>
      <c r="B172" s="6" t="s">
        <v>2194</v>
      </c>
      <c r="C172" s="49" t="str">
        <f t="shared" si="10"/>
        <v>S17227SL1</v>
      </c>
      <c r="D172" s="6">
        <v>7.0</v>
      </c>
      <c r="E172" s="17" t="str">
        <f t="shared" si="2"/>
        <v>BSL7</v>
      </c>
      <c r="F172" s="13">
        <v>52.0</v>
      </c>
      <c r="G172" s="17" t="str">
        <f t="shared" si="3"/>
        <v>BSL7-52</v>
      </c>
      <c r="H172" s="6"/>
      <c r="I172" t="str">
        <f t="shared" si="4"/>
        <v>collected</v>
      </c>
      <c r="J172" t="str">
        <f t="shared" si="5"/>
        <v>N</v>
      </c>
    </row>
    <row r="173">
      <c r="A173" s="9" t="s">
        <v>1580</v>
      </c>
      <c r="B173" s="6" t="s">
        <v>2194</v>
      </c>
      <c r="C173" s="49" t="str">
        <f t="shared" si="10"/>
        <v>S17221SL1</v>
      </c>
      <c r="D173" s="6">
        <v>7.0</v>
      </c>
      <c r="E173" s="17" t="str">
        <f t="shared" si="2"/>
        <v>BSL7</v>
      </c>
      <c r="F173" s="13">
        <v>54.0</v>
      </c>
      <c r="G173" s="17" t="str">
        <f t="shared" si="3"/>
        <v>BSL7-54</v>
      </c>
      <c r="H173" s="6"/>
      <c r="I173" t="str">
        <f t="shared" si="4"/>
        <v>collected</v>
      </c>
      <c r="J173" t="str">
        <f t="shared" si="5"/>
        <v>N</v>
      </c>
    </row>
    <row r="174">
      <c r="A174" s="9" t="s">
        <v>1585</v>
      </c>
      <c r="B174" s="6" t="s">
        <v>2194</v>
      </c>
      <c r="C174" s="49" t="str">
        <f t="shared" si="10"/>
        <v>S17224SL1</v>
      </c>
      <c r="D174" s="6">
        <v>7.0</v>
      </c>
      <c r="E174" s="17" t="str">
        <f t="shared" si="2"/>
        <v>BSL7</v>
      </c>
      <c r="F174" s="13">
        <v>55.0</v>
      </c>
      <c r="G174" s="17" t="str">
        <f t="shared" si="3"/>
        <v>BSL7-55</v>
      </c>
      <c r="H174" s="6"/>
      <c r="I174" t="str">
        <f t="shared" si="4"/>
        <v>collected</v>
      </c>
      <c r="J174" t="str">
        <f t="shared" si="5"/>
        <v>N</v>
      </c>
    </row>
    <row r="175">
      <c r="A175" s="9" t="s">
        <v>1587</v>
      </c>
      <c r="B175" s="6" t="s">
        <v>2194</v>
      </c>
      <c r="C175" s="49" t="str">
        <f t="shared" si="10"/>
        <v>S17225SL1</v>
      </c>
      <c r="D175" s="6">
        <v>7.0</v>
      </c>
      <c r="E175" s="17" t="str">
        <f t="shared" si="2"/>
        <v>BSL7</v>
      </c>
      <c r="F175" s="13">
        <v>57.0</v>
      </c>
      <c r="G175" s="17" t="str">
        <f t="shared" si="3"/>
        <v>BSL7-57</v>
      </c>
      <c r="H175" s="6"/>
      <c r="I175" t="str">
        <f t="shared" si="4"/>
        <v>collected</v>
      </c>
      <c r="J175" t="str">
        <f t="shared" si="5"/>
        <v>N</v>
      </c>
    </row>
    <row r="176">
      <c r="A176" s="9" t="s">
        <v>1588</v>
      </c>
      <c r="B176" s="6" t="s">
        <v>2194</v>
      </c>
      <c r="C176" s="49" t="str">
        <f t="shared" si="10"/>
        <v>S17226SL1</v>
      </c>
      <c r="D176" s="6">
        <v>7.0</v>
      </c>
      <c r="E176" s="17" t="str">
        <f t="shared" si="2"/>
        <v>BSL7</v>
      </c>
      <c r="F176" s="13">
        <v>58.0</v>
      </c>
      <c r="G176" s="17" t="str">
        <f t="shared" si="3"/>
        <v>BSL7-58</v>
      </c>
      <c r="H176" s="6"/>
      <c r="I176" t="str">
        <f t="shared" si="4"/>
        <v>collected</v>
      </c>
      <c r="J176" t="str">
        <f t="shared" si="5"/>
        <v>N</v>
      </c>
    </row>
    <row r="177">
      <c r="A177" s="9" t="s">
        <v>1589</v>
      </c>
      <c r="B177" s="6" t="s">
        <v>2194</v>
      </c>
      <c r="C177" s="49" t="str">
        <f t="shared" si="10"/>
        <v>S17228SL1</v>
      </c>
      <c r="D177" s="6">
        <v>7.0</v>
      </c>
      <c r="E177" s="17" t="str">
        <f t="shared" si="2"/>
        <v>BSL7</v>
      </c>
      <c r="F177" s="13">
        <v>59.0</v>
      </c>
      <c r="G177" s="17" t="str">
        <f t="shared" si="3"/>
        <v>BSL7-59</v>
      </c>
      <c r="H177" s="6"/>
      <c r="I177" t="str">
        <f t="shared" si="4"/>
        <v>collected</v>
      </c>
      <c r="J177" t="str">
        <f t="shared" si="5"/>
        <v>N</v>
      </c>
    </row>
    <row r="178">
      <c r="A178" s="26" t="s">
        <v>1599</v>
      </c>
      <c r="B178" s="6" t="s">
        <v>2194</v>
      </c>
      <c r="C178" s="49" t="str">
        <f t="shared" si="10"/>
        <v>S16401SL1</v>
      </c>
      <c r="D178" s="6">
        <v>7.0</v>
      </c>
      <c r="E178" s="17" t="str">
        <f t="shared" si="2"/>
        <v>BSL7</v>
      </c>
      <c r="F178" s="13">
        <v>61.0</v>
      </c>
      <c r="G178" s="17" t="str">
        <f t="shared" si="3"/>
        <v>BSL7-61</v>
      </c>
      <c r="I178" t="str">
        <f t="shared" si="4"/>
        <v>collected</v>
      </c>
      <c r="J178" t="str">
        <f t="shared" si="5"/>
        <v>N</v>
      </c>
    </row>
    <row r="179">
      <c r="A179" s="26" t="s">
        <v>1606</v>
      </c>
      <c r="B179" s="6" t="s">
        <v>2194</v>
      </c>
      <c r="C179" s="49" t="str">
        <f t="shared" si="10"/>
        <v>S17610SL1</v>
      </c>
      <c r="D179" s="6">
        <v>7.0</v>
      </c>
      <c r="E179" s="17" t="str">
        <f t="shared" si="2"/>
        <v>BSL7</v>
      </c>
      <c r="F179" s="13">
        <v>64.0</v>
      </c>
      <c r="G179" s="17" t="str">
        <f t="shared" si="3"/>
        <v>BSL7-64</v>
      </c>
      <c r="I179" t="str">
        <f t="shared" si="4"/>
        <v>collected</v>
      </c>
      <c r="J179" t="str">
        <f t="shared" si="5"/>
        <v>N</v>
      </c>
    </row>
    <row r="180">
      <c r="A180" s="26" t="s">
        <v>1608</v>
      </c>
      <c r="B180" s="6" t="s">
        <v>2194</v>
      </c>
      <c r="C180" s="49" t="str">
        <f t="shared" si="10"/>
        <v>S17604SL1</v>
      </c>
      <c r="D180" s="6">
        <v>7.0</v>
      </c>
      <c r="E180" s="17" t="str">
        <f t="shared" si="2"/>
        <v>BSL7</v>
      </c>
      <c r="F180" s="13">
        <v>65.0</v>
      </c>
      <c r="G180" s="17" t="str">
        <f t="shared" si="3"/>
        <v>BSL7-65</v>
      </c>
      <c r="I180" t="str">
        <f t="shared" si="4"/>
        <v>collected</v>
      </c>
      <c r="J180" t="str">
        <f t="shared" si="5"/>
        <v>N</v>
      </c>
    </row>
    <row r="181">
      <c r="A181" s="26" t="s">
        <v>1610</v>
      </c>
      <c r="B181" s="6" t="s">
        <v>2194</v>
      </c>
      <c r="C181" s="49" t="str">
        <f t="shared" si="10"/>
        <v>S17605SL1</v>
      </c>
      <c r="D181" s="6">
        <v>7.0</v>
      </c>
      <c r="E181" s="17" t="str">
        <f t="shared" si="2"/>
        <v>BSL7</v>
      </c>
      <c r="F181" s="13">
        <v>67.0</v>
      </c>
      <c r="G181" s="17" t="str">
        <f t="shared" si="3"/>
        <v>BSL7-67</v>
      </c>
      <c r="I181" t="str">
        <f t="shared" si="4"/>
        <v>collected</v>
      </c>
      <c r="J181" t="str">
        <f t="shared" si="5"/>
        <v>N</v>
      </c>
    </row>
    <row r="182">
      <c r="A182" s="26" t="s">
        <v>1612</v>
      </c>
      <c r="B182" s="6" t="s">
        <v>2194</v>
      </c>
      <c r="C182" s="49" t="str">
        <f t="shared" si="10"/>
        <v>S17603SL1</v>
      </c>
      <c r="D182" s="6">
        <v>7.0</v>
      </c>
      <c r="E182" s="17" t="str">
        <f t="shared" si="2"/>
        <v>BSL7</v>
      </c>
      <c r="F182" s="13">
        <v>69.0</v>
      </c>
      <c r="G182" s="17" t="str">
        <f t="shared" si="3"/>
        <v>BSL7-69</v>
      </c>
      <c r="I182" t="str">
        <f t="shared" si="4"/>
        <v>collected</v>
      </c>
      <c r="J182" t="str">
        <f t="shared" si="5"/>
        <v>N</v>
      </c>
    </row>
    <row r="183">
      <c r="A183" s="26" t="s">
        <v>1613</v>
      </c>
      <c r="B183" s="6" t="s">
        <v>2194</v>
      </c>
      <c r="C183" s="49" t="str">
        <f t="shared" si="10"/>
        <v>S17606SL1</v>
      </c>
      <c r="D183" s="6">
        <v>7.0</v>
      </c>
      <c r="E183" s="17" t="str">
        <f t="shared" si="2"/>
        <v>BSL7</v>
      </c>
      <c r="F183" s="13">
        <v>70.0</v>
      </c>
      <c r="G183" s="17" t="str">
        <f t="shared" si="3"/>
        <v>BSL7-70</v>
      </c>
      <c r="I183" t="str">
        <f t="shared" si="4"/>
        <v>collected</v>
      </c>
      <c r="J183" t="str">
        <f t="shared" si="5"/>
        <v>N</v>
      </c>
    </row>
    <row r="184">
      <c r="A184" s="26" t="s">
        <v>1620</v>
      </c>
      <c r="B184" s="6" t="s">
        <v>2194</v>
      </c>
      <c r="C184" s="49" t="str">
        <f t="shared" si="10"/>
        <v>S16879SL1</v>
      </c>
      <c r="D184" s="6">
        <v>7.0</v>
      </c>
      <c r="E184" s="17" t="str">
        <f t="shared" si="2"/>
        <v>BSL7</v>
      </c>
      <c r="F184" s="13">
        <v>60.0</v>
      </c>
      <c r="G184" s="17" t="str">
        <f t="shared" si="3"/>
        <v>BSL7-60</v>
      </c>
      <c r="I184" t="str">
        <f t="shared" si="4"/>
        <v>collected</v>
      </c>
      <c r="J184" t="str">
        <f t="shared" si="5"/>
        <v>N</v>
      </c>
    </row>
    <row r="185">
      <c r="A185" s="26" t="s">
        <v>1623</v>
      </c>
      <c r="B185" s="6" t="s">
        <v>2194</v>
      </c>
      <c r="C185" s="49" t="str">
        <f t="shared" si="10"/>
        <v>S16874SL1</v>
      </c>
      <c r="D185" s="6">
        <v>7.0</v>
      </c>
      <c r="E185" s="17" t="str">
        <f t="shared" si="2"/>
        <v>BSL7</v>
      </c>
      <c r="F185" s="13">
        <v>62.0</v>
      </c>
      <c r="G185" s="17" t="str">
        <f t="shared" si="3"/>
        <v>BSL7-62</v>
      </c>
      <c r="I185" t="str">
        <f t="shared" si="4"/>
        <v>collected</v>
      </c>
      <c r="J185" t="str">
        <f t="shared" si="5"/>
        <v>N</v>
      </c>
    </row>
    <row r="186">
      <c r="A186" s="26" t="s">
        <v>1624</v>
      </c>
      <c r="B186" s="6" t="s">
        <v>2194</v>
      </c>
      <c r="C186" s="49" t="str">
        <f t="shared" si="10"/>
        <v>S16878SL1</v>
      </c>
      <c r="D186" s="6">
        <v>7.0</v>
      </c>
      <c r="E186" s="17" t="str">
        <f t="shared" si="2"/>
        <v>BSL7</v>
      </c>
      <c r="F186" s="13">
        <v>63.0</v>
      </c>
      <c r="G186" s="17" t="str">
        <f t="shared" si="3"/>
        <v>BSL7-63</v>
      </c>
      <c r="I186" t="str">
        <f t="shared" si="4"/>
        <v>collected</v>
      </c>
      <c r="J186" t="str">
        <f t="shared" si="5"/>
        <v>N</v>
      </c>
    </row>
    <row r="187">
      <c r="A187" s="26" t="s">
        <v>1629</v>
      </c>
      <c r="B187" s="6" t="s">
        <v>2194</v>
      </c>
      <c r="C187" s="49" t="str">
        <f t="shared" si="10"/>
        <v>S17560SL1</v>
      </c>
      <c r="D187" s="6">
        <v>7.0</v>
      </c>
      <c r="E187" s="17" t="str">
        <f t="shared" si="2"/>
        <v>BSL7</v>
      </c>
      <c r="F187" s="13">
        <v>66.0</v>
      </c>
      <c r="G187" s="17" t="str">
        <f t="shared" si="3"/>
        <v>BSL7-66</v>
      </c>
      <c r="I187" t="str">
        <f t="shared" si="4"/>
        <v>collected</v>
      </c>
      <c r="J187" t="str">
        <f t="shared" si="5"/>
        <v>N</v>
      </c>
    </row>
    <row r="188">
      <c r="A188" s="26" t="s">
        <v>1632</v>
      </c>
      <c r="B188" s="6" t="s">
        <v>2194</v>
      </c>
      <c r="C188" s="49" t="str">
        <f t="shared" si="10"/>
        <v>S17551SL1</v>
      </c>
      <c r="D188" s="6">
        <v>7.0</v>
      </c>
      <c r="E188" s="17" t="str">
        <f t="shared" si="2"/>
        <v>BSL7</v>
      </c>
      <c r="F188" s="13">
        <v>68.0</v>
      </c>
      <c r="G188" s="17" t="str">
        <f t="shared" si="3"/>
        <v>BSL7-68</v>
      </c>
      <c r="I188" t="str">
        <f t="shared" si="4"/>
        <v>collected</v>
      </c>
      <c r="J188" t="str">
        <f t="shared" si="5"/>
        <v>N</v>
      </c>
    </row>
    <row r="189">
      <c r="A189" s="26" t="s">
        <v>1636</v>
      </c>
      <c r="B189" s="6" t="s">
        <v>2194</v>
      </c>
      <c r="C189" s="49" t="str">
        <f t="shared" si="10"/>
        <v>S17554SL1</v>
      </c>
      <c r="D189" s="6">
        <v>7.0</v>
      </c>
      <c r="E189" s="17" t="str">
        <f t="shared" si="2"/>
        <v>BSL7</v>
      </c>
      <c r="F189" s="13">
        <v>71.0</v>
      </c>
      <c r="G189" s="17" t="str">
        <f t="shared" si="3"/>
        <v>BSL7-71</v>
      </c>
      <c r="I189" t="str">
        <f t="shared" si="4"/>
        <v>collected</v>
      </c>
      <c r="J189" t="str">
        <f t="shared" si="5"/>
        <v>N</v>
      </c>
    </row>
    <row r="190">
      <c r="A190" s="26" t="s">
        <v>1638</v>
      </c>
      <c r="B190" s="6" t="s">
        <v>2194</v>
      </c>
      <c r="C190" s="49" t="str">
        <f t="shared" si="10"/>
        <v>S17601SL1</v>
      </c>
      <c r="D190" s="6">
        <v>7.0</v>
      </c>
      <c r="E190" s="17" t="str">
        <f t="shared" si="2"/>
        <v>BSL7</v>
      </c>
      <c r="F190" s="13">
        <v>72.0</v>
      </c>
      <c r="G190" s="17" t="str">
        <f t="shared" si="3"/>
        <v>BSL7-72</v>
      </c>
      <c r="I190" t="str">
        <f t="shared" si="4"/>
        <v>collected</v>
      </c>
      <c r="J190" t="str">
        <f t="shared" si="5"/>
        <v>N</v>
      </c>
    </row>
    <row r="191">
      <c r="A191" s="26" t="s">
        <v>1639</v>
      </c>
      <c r="B191" s="6" t="s">
        <v>2194</v>
      </c>
      <c r="C191" s="49" t="str">
        <f t="shared" si="10"/>
        <v>S17607SL1</v>
      </c>
      <c r="D191" s="6">
        <v>7.0</v>
      </c>
      <c r="E191" s="17" t="str">
        <f t="shared" si="2"/>
        <v>BSL7</v>
      </c>
      <c r="F191" s="13">
        <v>73.0</v>
      </c>
      <c r="G191" s="17" t="str">
        <f t="shared" si="3"/>
        <v>BSL7-73</v>
      </c>
      <c r="H191" s="6"/>
      <c r="I191" t="str">
        <f t="shared" si="4"/>
        <v>collected</v>
      </c>
      <c r="J191" t="str">
        <f t="shared" si="5"/>
        <v>N</v>
      </c>
    </row>
    <row r="192">
      <c r="A192" s="26" t="s">
        <v>1642</v>
      </c>
      <c r="B192" s="6" t="s">
        <v>2194</v>
      </c>
      <c r="C192" s="49" t="str">
        <f t="shared" si="10"/>
        <v>S16748SL1</v>
      </c>
      <c r="D192" s="6">
        <v>7.0</v>
      </c>
      <c r="E192" s="17" t="str">
        <f t="shared" si="2"/>
        <v>BSL7</v>
      </c>
      <c r="F192" s="13">
        <v>74.0</v>
      </c>
      <c r="G192" s="17" t="str">
        <f t="shared" si="3"/>
        <v>BSL7-74</v>
      </c>
      <c r="H192" s="6"/>
      <c r="I192" t="str">
        <f t="shared" si="4"/>
        <v>collected</v>
      </c>
      <c r="J192" t="str">
        <f t="shared" si="5"/>
        <v>N</v>
      </c>
    </row>
    <row r="193">
      <c r="A193" s="26" t="s">
        <v>1644</v>
      </c>
      <c r="B193" s="6" t="s">
        <v>2194</v>
      </c>
      <c r="C193" s="49" t="str">
        <f t="shared" si="10"/>
        <v>S16742SL1</v>
      </c>
      <c r="D193" s="6">
        <v>7.0</v>
      </c>
      <c r="E193" s="17" t="str">
        <f t="shared" si="2"/>
        <v>BSL7</v>
      </c>
      <c r="F193" s="13">
        <v>75.0</v>
      </c>
      <c r="G193" s="17" t="str">
        <f t="shared" si="3"/>
        <v>BSL7-75</v>
      </c>
      <c r="H193" s="6"/>
      <c r="I193" t="str">
        <f t="shared" si="4"/>
        <v>collected</v>
      </c>
      <c r="J193" t="str">
        <f t="shared" si="5"/>
        <v>N</v>
      </c>
    </row>
    <row r="194">
      <c r="A194" s="26" t="s">
        <v>1646</v>
      </c>
      <c r="B194" s="6" t="s">
        <v>2194</v>
      </c>
      <c r="C194" s="49" t="str">
        <f t="shared" si="10"/>
        <v>S16745SL1</v>
      </c>
      <c r="D194" s="6">
        <v>7.0</v>
      </c>
      <c r="E194" s="17" t="str">
        <f t="shared" si="2"/>
        <v>BSL7</v>
      </c>
      <c r="F194" s="13">
        <v>76.0</v>
      </c>
      <c r="G194" s="17" t="str">
        <f t="shared" si="3"/>
        <v>BSL7-76</v>
      </c>
      <c r="I194" t="str">
        <f t="shared" si="4"/>
        <v>collected</v>
      </c>
      <c r="J194" t="str">
        <f t="shared" si="5"/>
        <v>N</v>
      </c>
    </row>
    <row r="195">
      <c r="A195" s="26" t="s">
        <v>1647</v>
      </c>
      <c r="B195" s="6" t="s">
        <v>2194</v>
      </c>
      <c r="C195" s="49" t="str">
        <f t="shared" si="10"/>
        <v>S16741SL1</v>
      </c>
      <c r="D195" s="6">
        <v>7.0</v>
      </c>
      <c r="E195" s="17" t="str">
        <f t="shared" si="2"/>
        <v>BSL7</v>
      </c>
      <c r="F195" s="13">
        <v>77.0</v>
      </c>
      <c r="G195" s="17" t="str">
        <f t="shared" si="3"/>
        <v>BSL7-77</v>
      </c>
      <c r="H195" s="6"/>
      <c r="I195" t="str">
        <f t="shared" si="4"/>
        <v>collected</v>
      </c>
      <c r="J195" t="str">
        <f t="shared" si="5"/>
        <v>N</v>
      </c>
    </row>
    <row r="196">
      <c r="A196" s="26" t="s">
        <v>1650</v>
      </c>
      <c r="B196" s="6" t="s">
        <v>2194</v>
      </c>
      <c r="C196" s="49" t="str">
        <f t="shared" si="10"/>
        <v>S16747SL1</v>
      </c>
      <c r="D196" s="6">
        <v>7.0</v>
      </c>
      <c r="E196" s="17" t="str">
        <f t="shared" si="2"/>
        <v>BSL7</v>
      </c>
      <c r="F196" s="13">
        <v>78.0</v>
      </c>
      <c r="G196" s="17" t="str">
        <f t="shared" si="3"/>
        <v>BSL7-78</v>
      </c>
      <c r="H196" s="6"/>
      <c r="I196" t="str">
        <f t="shared" si="4"/>
        <v>collected</v>
      </c>
      <c r="J196" t="str">
        <f t="shared" si="5"/>
        <v>N</v>
      </c>
    </row>
    <row r="197">
      <c r="A197" s="26" t="s">
        <v>1652</v>
      </c>
      <c r="B197" s="6" t="s">
        <v>2194</v>
      </c>
      <c r="C197" s="49" t="str">
        <f t="shared" si="10"/>
        <v>S16749SL1</v>
      </c>
      <c r="D197" s="6">
        <v>7.0</v>
      </c>
      <c r="E197" s="17" t="str">
        <f t="shared" si="2"/>
        <v>BSL7</v>
      </c>
      <c r="F197" s="13">
        <v>79.0</v>
      </c>
      <c r="G197" s="17" t="str">
        <f t="shared" si="3"/>
        <v>BSL7-79</v>
      </c>
      <c r="H197" s="6"/>
      <c r="I197" t="str">
        <f t="shared" si="4"/>
        <v>collected</v>
      </c>
      <c r="J197" t="str">
        <f t="shared" si="5"/>
        <v>N</v>
      </c>
    </row>
    <row r="198">
      <c r="A198" s="26" t="s">
        <v>1653</v>
      </c>
      <c r="B198" s="6" t="s">
        <v>2194</v>
      </c>
      <c r="C198" s="49" t="str">
        <f t="shared" si="10"/>
        <v>S16746SL1</v>
      </c>
      <c r="D198" s="6">
        <v>7.0</v>
      </c>
      <c r="E198" s="17" t="str">
        <f t="shared" si="2"/>
        <v>BSL7</v>
      </c>
      <c r="F198" s="13">
        <v>80.0</v>
      </c>
      <c r="G198" s="17" t="str">
        <f t="shared" si="3"/>
        <v>BSL7-80</v>
      </c>
      <c r="H198" s="6"/>
      <c r="I198" t="str">
        <f t="shared" si="4"/>
        <v>collected</v>
      </c>
      <c r="J198" t="str">
        <f t="shared" si="5"/>
        <v>N</v>
      </c>
    </row>
    <row r="199">
      <c r="A199" s="26" t="s">
        <v>1660</v>
      </c>
      <c r="B199" s="6" t="s">
        <v>2203</v>
      </c>
      <c r="C199" s="49" t="str">
        <f t="shared" si="10"/>
        <v>S16281SL1</v>
      </c>
      <c r="D199" s="6">
        <v>2.0</v>
      </c>
      <c r="E199" s="17" t="str">
        <f t="shared" si="2"/>
        <v>BSL2</v>
      </c>
      <c r="F199" s="13">
        <v>74.0</v>
      </c>
      <c r="G199" s="17" t="str">
        <f t="shared" si="3"/>
        <v>BSL2-74</v>
      </c>
      <c r="H199" s="6" t="s">
        <v>2222</v>
      </c>
      <c r="I199" t="str">
        <f t="shared" si="4"/>
        <v>collected</v>
      </c>
      <c r="J199" t="str">
        <f t="shared" si="5"/>
        <v>N</v>
      </c>
    </row>
    <row r="200">
      <c r="A200" s="9" t="s">
        <v>1666</v>
      </c>
      <c r="B200" s="6" t="s">
        <v>2194</v>
      </c>
      <c r="C200" s="49" t="str">
        <f t="shared" si="10"/>
        <v>S16615SL1</v>
      </c>
      <c r="D200" s="6">
        <v>7.0</v>
      </c>
      <c r="E200" s="17" t="str">
        <f t="shared" si="2"/>
        <v>BSL7</v>
      </c>
      <c r="F200" s="13">
        <v>84.0</v>
      </c>
      <c r="G200" s="17" t="str">
        <f t="shared" si="3"/>
        <v>BSL7-84</v>
      </c>
      <c r="H200" s="6"/>
      <c r="I200" t="str">
        <f t="shared" si="4"/>
        <v>collected</v>
      </c>
      <c r="J200" t="str">
        <f t="shared" si="5"/>
        <v>N</v>
      </c>
    </row>
    <row r="201">
      <c r="A201" s="9" t="s">
        <v>1669</v>
      </c>
      <c r="B201" s="6" t="s">
        <v>2194</v>
      </c>
      <c r="C201" s="49" t="str">
        <f t="shared" si="10"/>
        <v>S16614SL1</v>
      </c>
      <c r="D201" s="6">
        <v>7.0</v>
      </c>
      <c r="E201" s="17" t="str">
        <f t="shared" si="2"/>
        <v>BSL7</v>
      </c>
      <c r="F201" s="13">
        <v>86.0</v>
      </c>
      <c r="G201" s="17" t="str">
        <f t="shared" si="3"/>
        <v>BSL7-86</v>
      </c>
      <c r="H201" s="6"/>
      <c r="I201" t="str">
        <f t="shared" si="4"/>
        <v>collected</v>
      </c>
      <c r="J201" t="str">
        <f t="shared" si="5"/>
        <v>N</v>
      </c>
    </row>
    <row r="202">
      <c r="A202" s="26" t="s">
        <v>1670</v>
      </c>
      <c r="B202" s="6" t="s">
        <v>2194</v>
      </c>
      <c r="C202" s="49" t="str">
        <f t="shared" si="10"/>
        <v>S16613SL1</v>
      </c>
      <c r="D202" s="6">
        <v>7.0</v>
      </c>
      <c r="E202" s="17" t="str">
        <f t="shared" si="2"/>
        <v>BSL7</v>
      </c>
      <c r="F202" s="13">
        <v>87.0</v>
      </c>
      <c r="G202" s="17" t="str">
        <f t="shared" si="3"/>
        <v>BSL7-87</v>
      </c>
      <c r="I202" t="str">
        <f t="shared" si="4"/>
        <v>collected</v>
      </c>
      <c r="J202" t="str">
        <f t="shared" si="5"/>
        <v>N</v>
      </c>
    </row>
    <row r="203">
      <c r="A203" s="26" t="s">
        <v>1671</v>
      </c>
      <c r="B203" s="6" t="s">
        <v>2194</v>
      </c>
      <c r="C203" s="49" t="str">
        <f t="shared" si="10"/>
        <v>S16616SL1</v>
      </c>
      <c r="D203" s="6">
        <v>7.0</v>
      </c>
      <c r="E203" s="17" t="str">
        <f t="shared" si="2"/>
        <v>BSL7</v>
      </c>
      <c r="F203" s="13">
        <v>88.0</v>
      </c>
      <c r="G203" s="17" t="str">
        <f t="shared" si="3"/>
        <v>BSL7-88</v>
      </c>
      <c r="I203" t="str">
        <f t="shared" si="4"/>
        <v>collected</v>
      </c>
      <c r="J203" t="str">
        <f t="shared" si="5"/>
        <v>N</v>
      </c>
    </row>
    <row r="204">
      <c r="A204" s="26" t="s">
        <v>1672</v>
      </c>
      <c r="B204" s="6" t="s">
        <v>2194</v>
      </c>
      <c r="C204" s="49" t="str">
        <f t="shared" si="10"/>
        <v>S16618SL1</v>
      </c>
      <c r="D204" s="6">
        <v>7.0</v>
      </c>
      <c r="E204" s="17" t="str">
        <f t="shared" si="2"/>
        <v>BSL7</v>
      </c>
      <c r="F204" s="13">
        <v>89.0</v>
      </c>
      <c r="G204" s="17" t="str">
        <f t="shared" si="3"/>
        <v>BSL7-89</v>
      </c>
      <c r="I204" t="str">
        <f t="shared" si="4"/>
        <v>collected</v>
      </c>
      <c r="J204" t="str">
        <f t="shared" si="5"/>
        <v>N</v>
      </c>
    </row>
    <row r="205">
      <c r="A205" s="26" t="s">
        <v>1674</v>
      </c>
      <c r="B205" s="6" t="s">
        <v>2194</v>
      </c>
      <c r="C205" s="49" t="str">
        <f t="shared" si="10"/>
        <v>S16612SL1</v>
      </c>
      <c r="D205" s="6">
        <v>7.0</v>
      </c>
      <c r="E205" s="17" t="str">
        <f t="shared" si="2"/>
        <v>BSL7</v>
      </c>
      <c r="F205" s="13">
        <v>90.0</v>
      </c>
      <c r="G205" s="17" t="str">
        <f t="shared" si="3"/>
        <v>BSL7-90</v>
      </c>
      <c r="I205" t="str">
        <f t="shared" si="4"/>
        <v>collected</v>
      </c>
      <c r="J205" t="str">
        <f t="shared" si="5"/>
        <v>N</v>
      </c>
    </row>
    <row r="206">
      <c r="A206" s="9" t="s">
        <v>1675</v>
      </c>
      <c r="B206" s="6" t="s">
        <v>2194</v>
      </c>
      <c r="C206" s="49" t="str">
        <f t="shared" si="10"/>
        <v>S16617SL1</v>
      </c>
      <c r="D206" s="6">
        <v>7.0</v>
      </c>
      <c r="E206" s="17" t="str">
        <f t="shared" si="2"/>
        <v>BSL7</v>
      </c>
      <c r="F206" s="13">
        <v>91.0</v>
      </c>
      <c r="G206" s="17" t="str">
        <f t="shared" si="3"/>
        <v>BSL7-91</v>
      </c>
      <c r="H206" s="6"/>
      <c r="I206" t="str">
        <f t="shared" si="4"/>
        <v>collected</v>
      </c>
      <c r="J206" t="str">
        <f t="shared" si="5"/>
        <v>N</v>
      </c>
    </row>
    <row r="207">
      <c r="A207" s="9" t="s">
        <v>1686</v>
      </c>
      <c r="B207" s="6" t="s">
        <v>2194</v>
      </c>
      <c r="C207" s="49" t="str">
        <f t="shared" si="10"/>
        <v>S16056SL1</v>
      </c>
      <c r="D207" s="6">
        <v>7.0</v>
      </c>
      <c r="E207" s="17" t="str">
        <f t="shared" si="2"/>
        <v>BSL7</v>
      </c>
      <c r="F207" s="13">
        <v>93.0</v>
      </c>
      <c r="G207" s="17" t="str">
        <f t="shared" si="3"/>
        <v>BSL7-93</v>
      </c>
      <c r="H207" s="6"/>
      <c r="I207" t="str">
        <f t="shared" si="4"/>
        <v>collected</v>
      </c>
      <c r="J207" t="str">
        <f t="shared" si="5"/>
        <v>N</v>
      </c>
    </row>
    <row r="208">
      <c r="A208" s="26" t="s">
        <v>1688</v>
      </c>
      <c r="B208" s="6" t="s">
        <v>2194</v>
      </c>
      <c r="C208" s="49" t="str">
        <f t="shared" si="10"/>
        <v>S16054SL1</v>
      </c>
      <c r="D208" s="6">
        <v>7.0</v>
      </c>
      <c r="E208" s="17" t="str">
        <f t="shared" si="2"/>
        <v>BSL7</v>
      </c>
      <c r="F208" s="13">
        <v>94.0</v>
      </c>
      <c r="G208" s="17" t="str">
        <f t="shared" si="3"/>
        <v>BSL7-94</v>
      </c>
      <c r="H208" s="6"/>
      <c r="I208" t="str">
        <f t="shared" si="4"/>
        <v>collected</v>
      </c>
      <c r="J208" t="str">
        <f t="shared" si="5"/>
        <v>N</v>
      </c>
    </row>
    <row r="209">
      <c r="A209" s="26" t="s">
        <v>1696</v>
      </c>
      <c r="B209" s="6" t="s">
        <v>2194</v>
      </c>
      <c r="C209" s="49" t="str">
        <f t="shared" si="10"/>
        <v>S17558SL1</v>
      </c>
      <c r="D209" s="6">
        <v>7.0</v>
      </c>
      <c r="E209" s="17" t="str">
        <f t="shared" si="2"/>
        <v>BSL7</v>
      </c>
      <c r="F209" s="13">
        <v>81.0</v>
      </c>
      <c r="G209" s="17" t="str">
        <f t="shared" si="3"/>
        <v>BSL7-81</v>
      </c>
      <c r="I209" t="str">
        <f t="shared" si="4"/>
        <v>collected</v>
      </c>
      <c r="J209" t="str">
        <f t="shared" si="5"/>
        <v>N</v>
      </c>
    </row>
    <row r="210">
      <c r="A210" s="26" t="s">
        <v>1697</v>
      </c>
      <c r="B210" s="6" t="s">
        <v>2194</v>
      </c>
      <c r="C210" s="49" t="str">
        <f t="shared" si="10"/>
        <v>S17557SL1</v>
      </c>
      <c r="D210" s="6">
        <v>7.0</v>
      </c>
      <c r="E210" s="17" t="str">
        <f t="shared" si="2"/>
        <v>BSL7</v>
      </c>
      <c r="F210" s="13">
        <v>82.0</v>
      </c>
      <c r="G210" s="17" t="str">
        <f t="shared" si="3"/>
        <v>BSL7-82</v>
      </c>
      <c r="I210" t="str">
        <f t="shared" si="4"/>
        <v>collected</v>
      </c>
      <c r="J210" t="str">
        <f t="shared" si="5"/>
        <v>N</v>
      </c>
    </row>
    <row r="211">
      <c r="A211" s="26" t="s">
        <v>1698</v>
      </c>
      <c r="B211" s="6" t="s">
        <v>2194</v>
      </c>
      <c r="C211" s="49" t="str">
        <f t="shared" si="10"/>
        <v>S17555SL1</v>
      </c>
      <c r="D211" s="6">
        <v>7.0</v>
      </c>
      <c r="E211" s="17" t="str">
        <f t="shared" si="2"/>
        <v>BSL7</v>
      </c>
      <c r="F211" s="13">
        <v>83.0</v>
      </c>
      <c r="G211" s="17" t="str">
        <f t="shared" si="3"/>
        <v>BSL7-83</v>
      </c>
      <c r="I211" t="str">
        <f t="shared" si="4"/>
        <v>collected</v>
      </c>
      <c r="J211" t="str">
        <f t="shared" si="5"/>
        <v>N</v>
      </c>
    </row>
    <row r="212">
      <c r="A212" s="26" t="s">
        <v>1704</v>
      </c>
      <c r="B212" s="6" t="s">
        <v>2194</v>
      </c>
      <c r="C212" s="49" t="str">
        <f t="shared" si="10"/>
        <v>S17287SL1</v>
      </c>
      <c r="D212" s="6">
        <v>7.0</v>
      </c>
      <c r="E212" s="17" t="str">
        <f t="shared" si="2"/>
        <v>BSL7</v>
      </c>
      <c r="F212" s="13">
        <v>85.0</v>
      </c>
      <c r="G212" s="17" t="str">
        <f t="shared" si="3"/>
        <v>BSL7-85</v>
      </c>
      <c r="I212" t="str">
        <f t="shared" si="4"/>
        <v>collected</v>
      </c>
      <c r="J212" t="str">
        <f t="shared" si="5"/>
        <v>N</v>
      </c>
    </row>
    <row r="213">
      <c r="A213" s="26" t="s">
        <v>1708</v>
      </c>
      <c r="B213" s="6" t="s">
        <v>2194</v>
      </c>
      <c r="C213" s="49" t="str">
        <f t="shared" si="10"/>
        <v>S17289SL1</v>
      </c>
      <c r="D213" s="6">
        <v>7.0</v>
      </c>
      <c r="E213" s="17" t="str">
        <f t="shared" si="2"/>
        <v>BSL7</v>
      </c>
      <c r="F213" s="39">
        <v>92.0</v>
      </c>
      <c r="G213" s="17" t="str">
        <f t="shared" si="3"/>
        <v>BSL7-92</v>
      </c>
      <c r="I213" t="str">
        <f t="shared" si="4"/>
        <v>collected</v>
      </c>
      <c r="J213" t="str">
        <f t="shared" si="5"/>
        <v>N</v>
      </c>
    </row>
    <row r="214">
      <c r="A214" s="26" t="s">
        <v>1715</v>
      </c>
      <c r="B214" s="6" t="s">
        <v>2194</v>
      </c>
      <c r="C214" s="49" t="str">
        <f t="shared" si="10"/>
        <v>S17685SL1</v>
      </c>
      <c r="D214" s="6">
        <v>7.0</v>
      </c>
      <c r="E214" s="17" t="str">
        <f t="shared" si="2"/>
        <v>BSL7</v>
      </c>
      <c r="F214" s="39">
        <v>95.0</v>
      </c>
      <c r="G214" s="17" t="str">
        <f t="shared" si="3"/>
        <v>BSL7-95</v>
      </c>
      <c r="I214" t="str">
        <f t="shared" si="4"/>
        <v>collected</v>
      </c>
      <c r="J214" t="str">
        <f t="shared" si="5"/>
        <v>N</v>
      </c>
    </row>
    <row r="215">
      <c r="A215" s="26" t="s">
        <v>1717</v>
      </c>
      <c r="B215" s="6" t="s">
        <v>2194</v>
      </c>
      <c r="C215" s="49" t="str">
        <f t="shared" si="10"/>
        <v>S17688SL1</v>
      </c>
      <c r="D215" s="6">
        <v>7.0</v>
      </c>
      <c r="E215" s="17" t="str">
        <f t="shared" si="2"/>
        <v>BSL7</v>
      </c>
      <c r="F215" s="39">
        <v>96.0</v>
      </c>
      <c r="G215" s="17" t="str">
        <f t="shared" si="3"/>
        <v>BSL7-96</v>
      </c>
      <c r="I215" t="str">
        <f t="shared" si="4"/>
        <v>collected</v>
      </c>
      <c r="J215" t="str">
        <f t="shared" si="5"/>
        <v>N</v>
      </c>
    </row>
    <row r="216">
      <c r="A216" s="26" t="s">
        <v>1718</v>
      </c>
      <c r="B216" s="6" t="s">
        <v>2194</v>
      </c>
      <c r="C216" s="49" t="str">
        <f t="shared" si="10"/>
        <v>S17681SL1</v>
      </c>
      <c r="D216" s="6">
        <v>7.0</v>
      </c>
      <c r="E216" s="17" t="str">
        <f t="shared" si="2"/>
        <v>BSL7</v>
      </c>
      <c r="F216" s="39">
        <v>97.0</v>
      </c>
      <c r="G216" s="17" t="str">
        <f t="shared" si="3"/>
        <v>BSL7-97</v>
      </c>
      <c r="I216" t="str">
        <f t="shared" si="4"/>
        <v>collected</v>
      </c>
      <c r="J216" t="str">
        <f t="shared" si="5"/>
        <v>N</v>
      </c>
    </row>
    <row r="217">
      <c r="A217" s="26" t="s">
        <v>1721</v>
      </c>
      <c r="B217" s="6" t="s">
        <v>2194</v>
      </c>
      <c r="C217" s="49" t="str">
        <f t="shared" si="10"/>
        <v>S17689SL1</v>
      </c>
      <c r="D217" s="6">
        <v>7.0</v>
      </c>
      <c r="E217" s="17" t="str">
        <f t="shared" si="2"/>
        <v>BSL7</v>
      </c>
      <c r="F217" s="39">
        <v>98.0</v>
      </c>
      <c r="G217" s="17" t="str">
        <f t="shared" si="3"/>
        <v>BSL7-98</v>
      </c>
      <c r="I217" t="str">
        <f t="shared" si="4"/>
        <v>collected</v>
      </c>
      <c r="J217" t="str">
        <f t="shared" si="5"/>
        <v>N</v>
      </c>
    </row>
    <row r="218">
      <c r="A218" s="26" t="s">
        <v>1724</v>
      </c>
      <c r="B218" s="6" t="s">
        <v>2194</v>
      </c>
      <c r="C218" s="49" t="str">
        <f t="shared" si="10"/>
        <v>S17690SL1</v>
      </c>
      <c r="D218" s="6">
        <v>7.0</v>
      </c>
      <c r="E218" s="17" t="str">
        <f t="shared" si="2"/>
        <v>BSL7</v>
      </c>
      <c r="F218" s="39">
        <v>99.0</v>
      </c>
      <c r="G218" s="17" t="str">
        <f t="shared" si="3"/>
        <v>BSL7-99</v>
      </c>
      <c r="I218" t="str">
        <f t="shared" si="4"/>
        <v>collected</v>
      </c>
      <c r="J218" t="str">
        <f t="shared" si="5"/>
        <v>N</v>
      </c>
    </row>
    <row r="219">
      <c r="A219" s="26" t="s">
        <v>1732</v>
      </c>
      <c r="B219" s="6" t="s">
        <v>2194</v>
      </c>
      <c r="C219" s="49" t="str">
        <f t="shared" si="10"/>
        <v>S17504SL1</v>
      </c>
      <c r="D219" s="6">
        <v>8.0</v>
      </c>
      <c r="E219" s="17" t="str">
        <f t="shared" si="2"/>
        <v>BSL8</v>
      </c>
      <c r="F219" s="39">
        <v>2.0</v>
      </c>
      <c r="G219" s="17" t="str">
        <f t="shared" si="3"/>
        <v>BSL8-2</v>
      </c>
      <c r="I219" t="str">
        <f t="shared" si="4"/>
        <v>collected</v>
      </c>
      <c r="J219" t="str">
        <f t="shared" si="5"/>
        <v>N</v>
      </c>
    </row>
    <row r="220">
      <c r="A220" s="26" t="s">
        <v>1733</v>
      </c>
      <c r="B220" s="6" t="s">
        <v>2194</v>
      </c>
      <c r="C220" s="49" t="str">
        <f t="shared" si="10"/>
        <v>S17509SL1</v>
      </c>
      <c r="D220" s="6">
        <v>8.0</v>
      </c>
      <c r="E220" s="17" t="str">
        <f t="shared" si="2"/>
        <v>BSL8</v>
      </c>
      <c r="F220" s="39">
        <v>3.0</v>
      </c>
      <c r="G220" s="17" t="str">
        <f t="shared" si="3"/>
        <v>BSL8-3</v>
      </c>
      <c r="I220" t="str">
        <f t="shared" si="4"/>
        <v>collected</v>
      </c>
      <c r="J220" t="str">
        <f t="shared" si="5"/>
        <v>N</v>
      </c>
    </row>
    <row r="221">
      <c r="A221" s="26" t="s">
        <v>1734</v>
      </c>
      <c r="B221" s="6" t="s">
        <v>2194</v>
      </c>
      <c r="C221" s="49" t="str">
        <f t="shared" si="10"/>
        <v>S17502SL1</v>
      </c>
      <c r="D221" s="6">
        <v>8.0</v>
      </c>
      <c r="E221" s="17" t="str">
        <f t="shared" si="2"/>
        <v>BSL8</v>
      </c>
      <c r="F221" s="39">
        <v>4.0</v>
      </c>
      <c r="G221" s="17" t="str">
        <f t="shared" si="3"/>
        <v>BSL8-4</v>
      </c>
      <c r="I221" t="str">
        <f t="shared" si="4"/>
        <v>collected</v>
      </c>
      <c r="J221" t="str">
        <f t="shared" si="5"/>
        <v>N</v>
      </c>
    </row>
    <row r="222">
      <c r="A222" s="6" t="s">
        <v>1735</v>
      </c>
      <c r="B222" s="6" t="s">
        <v>2194</v>
      </c>
      <c r="C222" s="49" t="str">
        <f t="shared" si="10"/>
        <v>S17507SL1</v>
      </c>
      <c r="D222" s="6">
        <v>8.0</v>
      </c>
      <c r="E222" s="17" t="str">
        <f t="shared" si="2"/>
        <v>BSL8</v>
      </c>
      <c r="F222" s="39">
        <v>6.0</v>
      </c>
      <c r="G222" s="17" t="str">
        <f t="shared" si="3"/>
        <v>BSL8-6</v>
      </c>
      <c r="I222" t="str">
        <f t="shared" si="4"/>
        <v>collected</v>
      </c>
      <c r="J222" t="str">
        <f t="shared" si="5"/>
        <v>N</v>
      </c>
    </row>
    <row r="223">
      <c r="A223" s="9" t="s">
        <v>1736</v>
      </c>
      <c r="B223" s="6" t="s">
        <v>2194</v>
      </c>
      <c r="C223" s="49" t="str">
        <f t="shared" si="10"/>
        <v>S17508SL1</v>
      </c>
      <c r="D223" s="6">
        <v>8.0</v>
      </c>
      <c r="E223" s="17" t="str">
        <f t="shared" si="2"/>
        <v>BSL8</v>
      </c>
      <c r="F223" s="13">
        <v>8.0</v>
      </c>
      <c r="G223" s="17" t="str">
        <f t="shared" si="3"/>
        <v>BSL8-8</v>
      </c>
      <c r="I223" t="str">
        <f t="shared" si="4"/>
        <v>collected</v>
      </c>
      <c r="J223" t="str">
        <f t="shared" si="5"/>
        <v>N</v>
      </c>
    </row>
    <row r="224">
      <c r="A224" s="9" t="s">
        <v>1737</v>
      </c>
      <c r="B224" s="6" t="s">
        <v>2194</v>
      </c>
      <c r="C224" s="49" t="str">
        <f t="shared" si="10"/>
        <v>S17505SL1</v>
      </c>
      <c r="D224" s="6">
        <v>8.0</v>
      </c>
      <c r="E224" s="17" t="str">
        <f t="shared" si="2"/>
        <v>BSL8</v>
      </c>
      <c r="F224" s="13">
        <v>9.0</v>
      </c>
      <c r="G224" s="17" t="str">
        <f t="shared" si="3"/>
        <v>BSL8-9</v>
      </c>
      <c r="I224" t="str">
        <f t="shared" si="4"/>
        <v>collected</v>
      </c>
      <c r="J224" t="str">
        <f t="shared" si="5"/>
        <v>N</v>
      </c>
    </row>
    <row r="225">
      <c r="A225" s="9" t="s">
        <v>1738</v>
      </c>
      <c r="B225" s="6" t="s">
        <v>2194</v>
      </c>
      <c r="C225" s="49" t="str">
        <f t="shared" si="10"/>
        <v>S17510SL1</v>
      </c>
      <c r="D225" s="6">
        <v>8.0</v>
      </c>
      <c r="E225" s="17" t="str">
        <f t="shared" si="2"/>
        <v>BSL8</v>
      </c>
      <c r="F225" s="13">
        <v>10.0</v>
      </c>
      <c r="G225" s="17" t="str">
        <f t="shared" si="3"/>
        <v>BSL8-10</v>
      </c>
      <c r="I225" t="str">
        <f t="shared" si="4"/>
        <v>collected</v>
      </c>
      <c r="J225" t="str">
        <f t="shared" si="5"/>
        <v>N</v>
      </c>
    </row>
    <row r="226">
      <c r="A226" s="9" t="s">
        <v>1739</v>
      </c>
      <c r="B226" s="6" t="s">
        <v>2194</v>
      </c>
      <c r="C226" s="49" t="str">
        <f t="shared" si="10"/>
        <v>S17506SL1</v>
      </c>
      <c r="D226" s="6">
        <v>8.0</v>
      </c>
      <c r="E226" s="17" t="str">
        <f t="shared" si="2"/>
        <v>BSL8</v>
      </c>
      <c r="F226" s="13">
        <v>11.0</v>
      </c>
      <c r="G226" s="17" t="str">
        <f t="shared" si="3"/>
        <v>BSL8-11</v>
      </c>
      <c r="I226" t="str">
        <f t="shared" si="4"/>
        <v>collected</v>
      </c>
      <c r="J226" t="str">
        <f t="shared" si="5"/>
        <v>N</v>
      </c>
    </row>
    <row r="227">
      <c r="A227" s="9" t="s">
        <v>1740</v>
      </c>
      <c r="B227" s="6" t="s">
        <v>2194</v>
      </c>
      <c r="C227" s="49" t="str">
        <f t="shared" si="10"/>
        <v>S17501SL1</v>
      </c>
      <c r="D227" s="6">
        <v>8.0</v>
      </c>
      <c r="E227" s="17" t="str">
        <f t="shared" si="2"/>
        <v>BSL8</v>
      </c>
      <c r="F227" s="13">
        <v>13.0</v>
      </c>
      <c r="G227" s="17" t="str">
        <f t="shared" si="3"/>
        <v>BSL8-13</v>
      </c>
      <c r="I227" t="str">
        <f t="shared" si="4"/>
        <v>collected</v>
      </c>
      <c r="J227" t="str">
        <f t="shared" si="5"/>
        <v>N</v>
      </c>
    </row>
    <row r="228">
      <c r="A228" s="9" t="s">
        <v>1742</v>
      </c>
      <c r="B228" s="6" t="s">
        <v>2203</v>
      </c>
      <c r="C228" s="49" t="str">
        <f t="shared" si="10"/>
        <v>S17102SL1</v>
      </c>
      <c r="D228" s="6">
        <v>2.0</v>
      </c>
      <c r="E228" s="17" t="str">
        <f t="shared" si="2"/>
        <v>BSL2</v>
      </c>
      <c r="F228" s="13">
        <v>76.0</v>
      </c>
      <c r="G228" s="17" t="str">
        <f t="shared" si="3"/>
        <v>BSL2-76</v>
      </c>
      <c r="I228" t="str">
        <f t="shared" si="4"/>
        <v>collected</v>
      </c>
      <c r="J228" t="str">
        <f t="shared" si="5"/>
        <v>N</v>
      </c>
    </row>
    <row r="229">
      <c r="A229" s="9" t="s">
        <v>1743</v>
      </c>
      <c r="B229" s="6" t="s">
        <v>2203</v>
      </c>
      <c r="C229" s="49" t="str">
        <f t="shared" si="10"/>
        <v>S17107SL1</v>
      </c>
      <c r="D229" s="6">
        <v>2.0</v>
      </c>
      <c r="E229" s="17" t="str">
        <f t="shared" si="2"/>
        <v>BSL2</v>
      </c>
      <c r="F229" s="13">
        <v>78.0</v>
      </c>
      <c r="G229" s="17" t="str">
        <f t="shared" si="3"/>
        <v>BSL2-78</v>
      </c>
      <c r="I229" t="str">
        <f t="shared" si="4"/>
        <v>collected</v>
      </c>
      <c r="J229" t="str">
        <f t="shared" si="5"/>
        <v>N</v>
      </c>
    </row>
    <row r="230">
      <c r="A230" s="9" t="s">
        <v>1744</v>
      </c>
      <c r="B230" s="6" t="s">
        <v>2194</v>
      </c>
      <c r="C230" s="49" t="str">
        <f t="shared" si="10"/>
        <v>S17259SL1</v>
      </c>
      <c r="D230" s="6">
        <v>7.0</v>
      </c>
      <c r="E230" s="17" t="str">
        <f t="shared" si="2"/>
        <v>BSL7</v>
      </c>
      <c r="F230" s="13">
        <v>100.0</v>
      </c>
      <c r="G230" s="17" t="str">
        <f t="shared" si="3"/>
        <v>BSL7-100</v>
      </c>
      <c r="I230" t="str">
        <f t="shared" si="4"/>
        <v>collected</v>
      </c>
      <c r="J230" t="str">
        <f t="shared" si="5"/>
        <v>N</v>
      </c>
    </row>
    <row r="231">
      <c r="A231" s="9" t="s">
        <v>1746</v>
      </c>
      <c r="B231" s="6" t="s">
        <v>2194</v>
      </c>
      <c r="C231" s="49" t="str">
        <f t="shared" si="10"/>
        <v>S17258SL1</v>
      </c>
      <c r="D231" s="6">
        <v>8.0</v>
      </c>
      <c r="E231" s="17" t="str">
        <f t="shared" si="2"/>
        <v>BSL8</v>
      </c>
      <c r="F231" s="13">
        <v>1.0</v>
      </c>
      <c r="G231" s="17" t="str">
        <f t="shared" si="3"/>
        <v>BSL8-1</v>
      </c>
      <c r="I231" t="str">
        <f t="shared" si="4"/>
        <v>collected</v>
      </c>
      <c r="J231" t="str">
        <f t="shared" si="5"/>
        <v>N</v>
      </c>
    </row>
    <row r="232">
      <c r="A232" s="9" t="s">
        <v>1750</v>
      </c>
      <c r="B232" s="6" t="s">
        <v>2194</v>
      </c>
      <c r="C232" s="49" t="str">
        <f t="shared" si="10"/>
        <v>S17252SL1</v>
      </c>
      <c r="D232" s="6">
        <v>8.0</v>
      </c>
      <c r="E232" s="17" t="str">
        <f t="shared" si="2"/>
        <v>BSL8</v>
      </c>
      <c r="F232" s="13">
        <v>5.0</v>
      </c>
      <c r="G232" s="17" t="str">
        <f t="shared" si="3"/>
        <v>BSL8-5</v>
      </c>
      <c r="I232" t="str">
        <f t="shared" si="4"/>
        <v>collected</v>
      </c>
      <c r="J232" t="str">
        <f t="shared" si="5"/>
        <v>N</v>
      </c>
    </row>
    <row r="233">
      <c r="A233" s="9" t="s">
        <v>1751</v>
      </c>
      <c r="B233" s="6" t="s">
        <v>2194</v>
      </c>
      <c r="C233" s="49" t="str">
        <f t="shared" si="10"/>
        <v>S17255SL1</v>
      </c>
      <c r="D233" s="6">
        <v>8.0</v>
      </c>
      <c r="E233" s="17" t="str">
        <f t="shared" si="2"/>
        <v>BSL8</v>
      </c>
      <c r="F233" s="13">
        <v>7.0</v>
      </c>
      <c r="G233" s="17" t="str">
        <f t="shared" si="3"/>
        <v>BSL8-7</v>
      </c>
      <c r="I233" t="str">
        <f t="shared" si="4"/>
        <v>collected</v>
      </c>
      <c r="J233" t="str">
        <f t="shared" si="5"/>
        <v>N</v>
      </c>
    </row>
    <row r="234">
      <c r="A234" s="9" t="s">
        <v>1754</v>
      </c>
      <c r="B234" s="6" t="s">
        <v>2194</v>
      </c>
      <c r="C234" s="49" t="str">
        <f t="shared" si="10"/>
        <v>S16677SL1</v>
      </c>
      <c r="D234" s="6">
        <v>8.0</v>
      </c>
      <c r="E234" s="17" t="str">
        <f t="shared" si="2"/>
        <v>BSL8</v>
      </c>
      <c r="F234" s="13">
        <v>12.0</v>
      </c>
      <c r="G234" s="17" t="str">
        <f t="shared" si="3"/>
        <v>BSL8-12</v>
      </c>
      <c r="I234" t="str">
        <f t="shared" si="4"/>
        <v>collected</v>
      </c>
      <c r="J234" t="str">
        <f t="shared" si="5"/>
        <v>N</v>
      </c>
    </row>
    <row r="235">
      <c r="A235" s="9" t="s">
        <v>1760</v>
      </c>
      <c r="B235" s="6" t="s">
        <v>2194</v>
      </c>
      <c r="C235" s="49" t="str">
        <f t="shared" si="10"/>
        <v>S16676SL1</v>
      </c>
      <c r="D235" s="6">
        <v>8.0</v>
      </c>
      <c r="E235" s="17" t="str">
        <f t="shared" si="2"/>
        <v>BSL8</v>
      </c>
      <c r="F235" s="13">
        <v>14.0</v>
      </c>
      <c r="G235" s="17" t="str">
        <f t="shared" si="3"/>
        <v>BSL8-14</v>
      </c>
      <c r="I235" t="str">
        <f t="shared" si="4"/>
        <v>collected</v>
      </c>
      <c r="J235" t="str">
        <f t="shared" si="5"/>
        <v>N</v>
      </c>
    </row>
    <row r="236">
      <c r="A236" s="9" t="s">
        <v>1762</v>
      </c>
      <c r="B236" s="6" t="s">
        <v>2194</v>
      </c>
      <c r="C236" s="49" t="str">
        <f t="shared" si="10"/>
        <v>S16672SL1</v>
      </c>
      <c r="D236" s="6">
        <v>8.0</v>
      </c>
      <c r="E236" s="17" t="str">
        <f t="shared" si="2"/>
        <v>BSL8</v>
      </c>
      <c r="F236" s="13">
        <v>15.0</v>
      </c>
      <c r="G236" s="17" t="str">
        <f t="shared" si="3"/>
        <v>BSL8-15</v>
      </c>
      <c r="I236" t="str">
        <f t="shared" si="4"/>
        <v>collected</v>
      </c>
      <c r="J236" t="str">
        <f t="shared" si="5"/>
        <v>N</v>
      </c>
    </row>
    <row r="237">
      <c r="A237" s="9" t="s">
        <v>1763</v>
      </c>
      <c r="B237" s="6" t="s">
        <v>2194</v>
      </c>
      <c r="C237" s="49" t="str">
        <f t="shared" si="10"/>
        <v>S17254SL1</v>
      </c>
      <c r="D237" s="6">
        <v>8.0</v>
      </c>
      <c r="E237" s="17" t="str">
        <f t="shared" si="2"/>
        <v>BSL8</v>
      </c>
      <c r="F237" s="13">
        <v>16.0</v>
      </c>
      <c r="G237" s="17" t="str">
        <f t="shared" si="3"/>
        <v>BSL8-16</v>
      </c>
      <c r="I237" t="str">
        <f t="shared" si="4"/>
        <v>collected</v>
      </c>
      <c r="J237" t="str">
        <f t="shared" si="5"/>
        <v>N</v>
      </c>
    </row>
    <row r="238">
      <c r="A238" s="9" t="s">
        <v>1767</v>
      </c>
      <c r="B238" s="6" t="s">
        <v>2203</v>
      </c>
      <c r="C238" s="49" t="str">
        <f t="shared" si="10"/>
        <v>S17106SL1</v>
      </c>
      <c r="D238" s="6">
        <v>2.0</v>
      </c>
      <c r="E238" s="17" t="str">
        <f t="shared" si="2"/>
        <v>BSL2</v>
      </c>
      <c r="F238" s="13">
        <v>80.0</v>
      </c>
      <c r="G238" s="17" t="str">
        <f t="shared" si="3"/>
        <v>BSL2-80</v>
      </c>
      <c r="I238" t="str">
        <f t="shared" si="4"/>
        <v>collected</v>
      </c>
      <c r="J238" t="str">
        <f t="shared" si="5"/>
        <v>N</v>
      </c>
    </row>
    <row r="239">
      <c r="A239" s="9" t="s">
        <v>1771</v>
      </c>
      <c r="B239" s="6" t="s">
        <v>2203</v>
      </c>
      <c r="C239" s="49" t="str">
        <f t="shared" si="10"/>
        <v>S17110SL1</v>
      </c>
      <c r="D239" s="6">
        <v>2.0</v>
      </c>
      <c r="E239" s="17" t="str">
        <f t="shared" si="2"/>
        <v>BSL2</v>
      </c>
      <c r="F239" s="13">
        <v>81.0</v>
      </c>
      <c r="G239" s="17" t="str">
        <f t="shared" si="3"/>
        <v>BSL2-81</v>
      </c>
      <c r="I239" t="str">
        <f t="shared" si="4"/>
        <v>collected</v>
      </c>
      <c r="J239" t="str">
        <f t="shared" si="5"/>
        <v>N</v>
      </c>
    </row>
    <row r="240">
      <c r="A240" s="9" t="s">
        <v>1792</v>
      </c>
      <c r="B240" s="6" t="s">
        <v>2194</v>
      </c>
      <c r="C240" s="49" t="str">
        <f t="shared" si="10"/>
        <v>S17379SL1</v>
      </c>
      <c r="D240" s="6">
        <v>8.0</v>
      </c>
      <c r="E240" s="17" t="str">
        <f t="shared" si="2"/>
        <v>BSL8</v>
      </c>
      <c r="F240" s="13">
        <v>25.0</v>
      </c>
      <c r="G240" s="17" t="str">
        <f t="shared" si="3"/>
        <v>BSL8-25</v>
      </c>
      <c r="I240" t="str">
        <f t="shared" si="4"/>
        <v>collected</v>
      </c>
      <c r="J240" t="str">
        <f t="shared" si="5"/>
        <v>N</v>
      </c>
    </row>
    <row r="241">
      <c r="A241" s="9" t="s">
        <v>1795</v>
      </c>
      <c r="B241" s="6" t="s">
        <v>2194</v>
      </c>
      <c r="C241" s="49" t="str">
        <f t="shared" si="10"/>
        <v>S17372SL1</v>
      </c>
      <c r="D241" s="6">
        <v>8.0</v>
      </c>
      <c r="E241" s="17" t="str">
        <f t="shared" si="2"/>
        <v>BSL8</v>
      </c>
      <c r="F241" s="13">
        <v>26.0</v>
      </c>
      <c r="G241" s="17" t="str">
        <f t="shared" si="3"/>
        <v>BSL8-26</v>
      </c>
      <c r="I241" t="str">
        <f t="shared" si="4"/>
        <v>collected</v>
      </c>
      <c r="J241" t="str">
        <f t="shared" si="5"/>
        <v>N</v>
      </c>
    </row>
    <row r="242">
      <c r="A242" s="9" t="s">
        <v>1796</v>
      </c>
      <c r="B242" s="6" t="s">
        <v>2194</v>
      </c>
      <c r="C242" s="49" t="str">
        <f t="shared" si="10"/>
        <v>S17373SL1</v>
      </c>
      <c r="D242" s="6">
        <v>8.0</v>
      </c>
      <c r="E242" s="17" t="str">
        <f t="shared" si="2"/>
        <v>BSL8</v>
      </c>
      <c r="F242" s="13">
        <v>27.0</v>
      </c>
      <c r="G242" s="17" t="str">
        <f t="shared" si="3"/>
        <v>BSL8-27</v>
      </c>
      <c r="I242" t="str">
        <f t="shared" si="4"/>
        <v>collected</v>
      </c>
      <c r="J242" t="str">
        <f t="shared" si="5"/>
        <v>N</v>
      </c>
    </row>
    <row r="243">
      <c r="A243" s="9" t="s">
        <v>1798</v>
      </c>
      <c r="B243" s="6" t="s">
        <v>2194</v>
      </c>
      <c r="C243" s="49" t="str">
        <f t="shared" si="10"/>
        <v>S17160SL1</v>
      </c>
      <c r="D243" s="6">
        <v>8.0</v>
      </c>
      <c r="E243" s="17" t="str">
        <f t="shared" si="2"/>
        <v>BSL8</v>
      </c>
      <c r="F243" s="13">
        <v>17.0</v>
      </c>
      <c r="G243" s="17" t="str">
        <f t="shared" si="3"/>
        <v>BSL8-17</v>
      </c>
      <c r="I243" t="str">
        <f t="shared" si="4"/>
        <v>collected</v>
      </c>
      <c r="J243" t="str">
        <f t="shared" si="5"/>
        <v>N</v>
      </c>
    </row>
    <row r="244">
      <c r="A244" s="9" t="s">
        <v>1801</v>
      </c>
      <c r="B244" s="6" t="s">
        <v>2194</v>
      </c>
      <c r="C244" s="49" t="str">
        <f t="shared" si="10"/>
        <v>S17155SL1</v>
      </c>
      <c r="D244" s="6">
        <v>8.0</v>
      </c>
      <c r="E244" s="17" t="str">
        <f t="shared" si="2"/>
        <v>BSL8</v>
      </c>
      <c r="F244" s="13">
        <v>18.0</v>
      </c>
      <c r="G244" s="17" t="str">
        <f t="shared" si="3"/>
        <v>BSL8-18</v>
      </c>
      <c r="I244" t="str">
        <f t="shared" si="4"/>
        <v>collected</v>
      </c>
      <c r="J244" t="str">
        <f t="shared" si="5"/>
        <v>N</v>
      </c>
    </row>
    <row r="245">
      <c r="A245" s="9" t="s">
        <v>1805</v>
      </c>
      <c r="B245" s="6" t="s">
        <v>2194</v>
      </c>
      <c r="C245" s="49" t="str">
        <f t="shared" si="10"/>
        <v>S17158SL1</v>
      </c>
      <c r="D245" s="6">
        <v>8.0</v>
      </c>
      <c r="E245" s="17" t="str">
        <f t="shared" si="2"/>
        <v>BSL8</v>
      </c>
      <c r="F245" s="13">
        <v>19.0</v>
      </c>
      <c r="G245" s="17" t="str">
        <f t="shared" si="3"/>
        <v>BSL8-19</v>
      </c>
      <c r="I245" t="str">
        <f t="shared" si="4"/>
        <v>collected</v>
      </c>
      <c r="J245" t="str">
        <f t="shared" si="5"/>
        <v>N</v>
      </c>
    </row>
    <row r="246">
      <c r="A246" s="9" t="s">
        <v>1806</v>
      </c>
      <c r="B246" s="6" t="s">
        <v>2194</v>
      </c>
      <c r="C246" s="49" t="str">
        <f t="shared" si="10"/>
        <v>S17151SL1</v>
      </c>
      <c r="D246" s="6">
        <v>8.0</v>
      </c>
      <c r="E246" s="17" t="str">
        <f t="shared" si="2"/>
        <v>BSL8</v>
      </c>
      <c r="F246" s="13">
        <v>20.0</v>
      </c>
      <c r="G246" s="17" t="str">
        <f t="shared" si="3"/>
        <v>BSL8-20</v>
      </c>
      <c r="I246" t="str">
        <f t="shared" si="4"/>
        <v>collected</v>
      </c>
      <c r="J246" t="str">
        <f t="shared" si="5"/>
        <v>N</v>
      </c>
    </row>
    <row r="247">
      <c r="A247" s="9" t="s">
        <v>1808</v>
      </c>
      <c r="B247" s="6" t="s">
        <v>2194</v>
      </c>
      <c r="C247" s="49" t="str">
        <f t="shared" si="10"/>
        <v>S17153SL1</v>
      </c>
      <c r="D247" s="6">
        <v>8.0</v>
      </c>
      <c r="E247" s="17" t="str">
        <f t="shared" si="2"/>
        <v>BSL8</v>
      </c>
      <c r="F247" s="13">
        <v>21.0</v>
      </c>
      <c r="G247" s="17" t="str">
        <f t="shared" si="3"/>
        <v>BSL8-21</v>
      </c>
      <c r="I247" t="str">
        <f t="shared" si="4"/>
        <v>collected</v>
      </c>
      <c r="J247" t="str">
        <f t="shared" si="5"/>
        <v>N</v>
      </c>
    </row>
    <row r="248">
      <c r="A248" s="9" t="s">
        <v>1811</v>
      </c>
      <c r="B248" s="6" t="s">
        <v>2194</v>
      </c>
      <c r="C248" s="49" t="str">
        <f t="shared" si="10"/>
        <v>S16573SL1</v>
      </c>
      <c r="D248" s="6">
        <v>8.0</v>
      </c>
      <c r="E248" s="17" t="str">
        <f t="shared" si="2"/>
        <v>BSL8</v>
      </c>
      <c r="F248" s="13">
        <v>22.0</v>
      </c>
      <c r="G248" s="17" t="str">
        <f t="shared" si="3"/>
        <v>BSL8-22</v>
      </c>
      <c r="I248" t="str">
        <f t="shared" si="4"/>
        <v>collected</v>
      </c>
      <c r="J248" t="str">
        <f t="shared" si="5"/>
        <v>N</v>
      </c>
    </row>
    <row r="249">
      <c r="A249" s="9" t="s">
        <v>1815</v>
      </c>
      <c r="B249" s="6" t="s">
        <v>2194</v>
      </c>
      <c r="C249" s="49" t="str">
        <f t="shared" si="10"/>
        <v>S16574SL1</v>
      </c>
      <c r="D249" s="6">
        <v>8.0</v>
      </c>
      <c r="E249" s="17" t="str">
        <f t="shared" si="2"/>
        <v>BSL8</v>
      </c>
      <c r="F249" s="13">
        <v>23.0</v>
      </c>
      <c r="G249" s="17" t="str">
        <f t="shared" si="3"/>
        <v>BSL8-23</v>
      </c>
      <c r="I249" t="str">
        <f t="shared" si="4"/>
        <v>collected</v>
      </c>
      <c r="J249" t="str">
        <f t="shared" si="5"/>
        <v>N</v>
      </c>
    </row>
    <row r="250">
      <c r="A250" s="9" t="s">
        <v>1816</v>
      </c>
      <c r="B250" s="6" t="s">
        <v>2194</v>
      </c>
      <c r="C250" s="49" t="str">
        <f t="shared" si="10"/>
        <v>S16577SL1</v>
      </c>
      <c r="D250" s="6">
        <v>8.0</v>
      </c>
      <c r="E250" s="17" t="str">
        <f t="shared" si="2"/>
        <v>BSL8</v>
      </c>
      <c r="F250" s="13">
        <v>24.0</v>
      </c>
      <c r="G250" s="17" t="str">
        <f t="shared" si="3"/>
        <v>BSL8-24</v>
      </c>
      <c r="I250" t="str">
        <f t="shared" si="4"/>
        <v>collected</v>
      </c>
      <c r="J250" t="str">
        <f t="shared" si="5"/>
        <v>N</v>
      </c>
    </row>
    <row r="251">
      <c r="A251" s="9" t="s">
        <v>1822</v>
      </c>
      <c r="B251" s="6" t="s">
        <v>2194</v>
      </c>
      <c r="C251" s="49" t="str">
        <f t="shared" si="10"/>
        <v>S16486SL1</v>
      </c>
      <c r="D251" s="6">
        <v>8.0</v>
      </c>
      <c r="E251" s="17" t="str">
        <f t="shared" si="2"/>
        <v>BSL8</v>
      </c>
      <c r="F251" s="13">
        <v>28.0</v>
      </c>
      <c r="G251" s="17" t="str">
        <f t="shared" si="3"/>
        <v>BSL8-28</v>
      </c>
      <c r="I251" t="str">
        <f t="shared" si="4"/>
        <v>collected</v>
      </c>
      <c r="J251" t="str">
        <f t="shared" si="5"/>
        <v>N</v>
      </c>
    </row>
    <row r="252">
      <c r="A252" s="9" t="s">
        <v>1836</v>
      </c>
      <c r="B252" s="6" t="s">
        <v>2203</v>
      </c>
      <c r="C252" s="49" t="str">
        <f t="shared" si="10"/>
        <v>S17189SL1</v>
      </c>
      <c r="D252" s="6">
        <v>2.0</v>
      </c>
      <c r="E252" s="17" t="str">
        <f t="shared" si="2"/>
        <v>BSL2</v>
      </c>
      <c r="F252" s="13">
        <v>83.0</v>
      </c>
      <c r="G252" s="17" t="str">
        <f t="shared" si="3"/>
        <v>BSL2-83</v>
      </c>
      <c r="I252" t="str">
        <f t="shared" si="4"/>
        <v>collected</v>
      </c>
      <c r="J252" t="str">
        <f t="shared" si="5"/>
        <v>N</v>
      </c>
    </row>
    <row r="253">
      <c r="A253" s="9" t="s">
        <v>1841</v>
      </c>
      <c r="B253" s="6" t="s">
        <v>2203</v>
      </c>
      <c r="C253" s="49" t="str">
        <f t="shared" si="10"/>
        <v>S17186SL1</v>
      </c>
      <c r="D253" s="6">
        <v>2.0</v>
      </c>
      <c r="E253" s="17" t="str">
        <f t="shared" si="2"/>
        <v>BSL2</v>
      </c>
      <c r="F253" s="13">
        <v>85.0</v>
      </c>
      <c r="G253" s="17" t="str">
        <f t="shared" si="3"/>
        <v>BSL2-85</v>
      </c>
      <c r="I253" t="str">
        <f t="shared" si="4"/>
        <v>collected</v>
      </c>
      <c r="J253" t="str">
        <f t="shared" si="5"/>
        <v>N</v>
      </c>
    </row>
    <row r="254">
      <c r="A254" s="9" t="s">
        <v>1846</v>
      </c>
      <c r="B254" s="6" t="s">
        <v>2203</v>
      </c>
      <c r="C254" s="49" t="str">
        <f t="shared" si="10"/>
        <v>S17182SL1</v>
      </c>
      <c r="D254" s="6">
        <v>2.0</v>
      </c>
      <c r="E254" s="17" t="str">
        <f t="shared" si="2"/>
        <v>BSL2</v>
      </c>
      <c r="F254" s="13">
        <v>87.0</v>
      </c>
      <c r="G254" s="17" t="str">
        <f t="shared" si="3"/>
        <v>BSL2-87</v>
      </c>
      <c r="I254" t="str">
        <f t="shared" si="4"/>
        <v>collected</v>
      </c>
      <c r="J254" t="str">
        <f t="shared" si="5"/>
        <v>N</v>
      </c>
    </row>
    <row r="255">
      <c r="A255" s="9" t="s">
        <v>1847</v>
      </c>
      <c r="B255" s="6" t="s">
        <v>2203</v>
      </c>
      <c r="C255" s="49" t="str">
        <f t="shared" si="10"/>
        <v>S17183SL1</v>
      </c>
      <c r="D255" s="6">
        <v>2.0</v>
      </c>
      <c r="E255" s="17" t="str">
        <f t="shared" si="2"/>
        <v>BSL2</v>
      </c>
      <c r="F255" s="13">
        <v>89.0</v>
      </c>
      <c r="G255" s="17" t="str">
        <f t="shared" si="3"/>
        <v>BSL2-89</v>
      </c>
      <c r="I255" t="str">
        <f t="shared" si="4"/>
        <v>collected</v>
      </c>
      <c r="J255" t="str">
        <f t="shared" si="5"/>
        <v>N</v>
      </c>
    </row>
    <row r="256">
      <c r="A256" s="9" t="s">
        <v>1852</v>
      </c>
      <c r="B256" s="6" t="s">
        <v>2194</v>
      </c>
      <c r="C256" s="49" t="str">
        <f t="shared" si="10"/>
        <v>S16658SL1</v>
      </c>
      <c r="D256" s="6">
        <v>8.0</v>
      </c>
      <c r="E256" s="17" t="str">
        <f t="shared" si="2"/>
        <v>BSL8</v>
      </c>
      <c r="F256" s="13">
        <v>29.0</v>
      </c>
      <c r="G256" s="17" t="str">
        <f t="shared" si="3"/>
        <v>BSL8-29</v>
      </c>
      <c r="I256" t="str">
        <f t="shared" si="4"/>
        <v>collected</v>
      </c>
      <c r="J256" t="str">
        <f t="shared" si="5"/>
        <v>N</v>
      </c>
    </row>
    <row r="257">
      <c r="A257" s="9" t="s">
        <v>1853</v>
      </c>
      <c r="B257" s="6" t="s">
        <v>2194</v>
      </c>
      <c r="C257" s="49" t="str">
        <f t="shared" si="10"/>
        <v>S16659SL1</v>
      </c>
      <c r="D257" s="6">
        <v>8.0</v>
      </c>
      <c r="E257" s="17" t="str">
        <f t="shared" si="2"/>
        <v>BSL8</v>
      </c>
      <c r="F257" s="13">
        <v>30.0</v>
      </c>
      <c r="G257" s="17" t="str">
        <f t="shared" si="3"/>
        <v>BSL8-30</v>
      </c>
      <c r="I257" t="str">
        <f t="shared" si="4"/>
        <v>collected</v>
      </c>
      <c r="J257" t="str">
        <f t="shared" si="5"/>
        <v>N</v>
      </c>
    </row>
    <row r="258">
      <c r="A258" s="9" t="s">
        <v>1861</v>
      </c>
      <c r="B258" s="6" t="s">
        <v>2194</v>
      </c>
      <c r="C258" s="49" t="str">
        <f t="shared" si="10"/>
        <v>S17469SL1</v>
      </c>
      <c r="D258" s="6">
        <v>8.0</v>
      </c>
      <c r="E258" s="17" t="str">
        <f t="shared" si="2"/>
        <v>BSL8</v>
      </c>
      <c r="F258" s="13">
        <v>31.0</v>
      </c>
      <c r="G258" s="17" t="str">
        <f t="shared" si="3"/>
        <v>BSL8-31</v>
      </c>
      <c r="I258" t="str">
        <f t="shared" si="4"/>
        <v>collected</v>
      </c>
      <c r="J258" t="str">
        <f t="shared" si="5"/>
        <v>N</v>
      </c>
    </row>
    <row r="259">
      <c r="A259" s="9" t="s">
        <v>1863</v>
      </c>
      <c r="B259" s="6" t="s">
        <v>2194</v>
      </c>
      <c r="C259" s="49" t="str">
        <f t="shared" si="10"/>
        <v>S17468SL1</v>
      </c>
      <c r="D259" s="6">
        <v>8.0</v>
      </c>
      <c r="E259" s="17" t="str">
        <f t="shared" si="2"/>
        <v>BSL8</v>
      </c>
      <c r="F259" s="13">
        <v>32.0</v>
      </c>
      <c r="G259" s="17" t="str">
        <f t="shared" si="3"/>
        <v>BSL8-32</v>
      </c>
      <c r="I259" t="str">
        <f t="shared" si="4"/>
        <v>collected</v>
      </c>
      <c r="J259" t="str">
        <f t="shared" si="5"/>
        <v>N</v>
      </c>
    </row>
    <row r="260">
      <c r="A260" s="9" t="s">
        <v>1876</v>
      </c>
      <c r="B260" s="6" t="s">
        <v>2194</v>
      </c>
      <c r="C260" s="49" t="str">
        <f t="shared" si="10"/>
        <v>S17453SL1</v>
      </c>
      <c r="D260" s="6">
        <v>8.0</v>
      </c>
      <c r="E260" s="17" t="str">
        <f t="shared" si="2"/>
        <v>BSL8</v>
      </c>
      <c r="F260" s="13">
        <v>38.0</v>
      </c>
      <c r="G260" s="17" t="str">
        <f t="shared" si="3"/>
        <v>BSL8-38</v>
      </c>
      <c r="I260" t="str">
        <f t="shared" si="4"/>
        <v>collected</v>
      </c>
      <c r="J260" t="str">
        <f t="shared" si="5"/>
        <v>N</v>
      </c>
    </row>
    <row r="261">
      <c r="A261" s="9" t="s">
        <v>1882</v>
      </c>
      <c r="B261" s="6" t="s">
        <v>2194</v>
      </c>
      <c r="C261" s="49" t="str">
        <f t="shared" si="10"/>
        <v>S16039SL1</v>
      </c>
      <c r="D261" s="6">
        <v>8.0</v>
      </c>
      <c r="E261" s="17" t="str">
        <f t="shared" si="2"/>
        <v>BSL8</v>
      </c>
      <c r="F261" s="13">
        <v>44.0</v>
      </c>
      <c r="G261" s="17" t="str">
        <f t="shared" si="3"/>
        <v>BSL8-44</v>
      </c>
      <c r="I261" t="str">
        <f t="shared" si="4"/>
        <v>collected</v>
      </c>
      <c r="J261" t="str">
        <f t="shared" si="5"/>
        <v>N</v>
      </c>
    </row>
    <row r="262">
      <c r="A262" s="40" t="s">
        <v>1889</v>
      </c>
      <c r="B262" s="6" t="s">
        <v>2194</v>
      </c>
      <c r="C262" s="49" t="str">
        <f t="shared" si="10"/>
        <v>S17466SL1</v>
      </c>
      <c r="D262" s="6">
        <v>8.0</v>
      </c>
      <c r="E262" s="17" t="str">
        <f t="shared" si="2"/>
        <v>BSL8</v>
      </c>
      <c r="F262" s="13">
        <v>33.0</v>
      </c>
      <c r="G262" s="17" t="str">
        <f t="shared" si="3"/>
        <v>BSL8-33</v>
      </c>
      <c r="I262" t="str">
        <f t="shared" si="4"/>
        <v>collected</v>
      </c>
      <c r="J262" t="str">
        <f t="shared" si="5"/>
        <v>N</v>
      </c>
    </row>
    <row r="263">
      <c r="A263" s="40" t="s">
        <v>1893</v>
      </c>
      <c r="B263" s="6" t="s">
        <v>2194</v>
      </c>
      <c r="C263" s="49" t="str">
        <f t="shared" si="10"/>
        <v>S17463SL1</v>
      </c>
      <c r="D263" s="6">
        <v>8.0</v>
      </c>
      <c r="E263" s="17" t="str">
        <f t="shared" si="2"/>
        <v>BSL8</v>
      </c>
      <c r="F263" s="13">
        <v>34.0</v>
      </c>
      <c r="G263" s="17" t="str">
        <f t="shared" si="3"/>
        <v>BSL8-34</v>
      </c>
      <c r="I263" t="str">
        <f t="shared" si="4"/>
        <v>collected</v>
      </c>
      <c r="J263" t="str">
        <f t="shared" si="5"/>
        <v>N</v>
      </c>
    </row>
    <row r="264">
      <c r="A264" s="40" t="s">
        <v>1894</v>
      </c>
      <c r="B264" s="6" t="s">
        <v>2194</v>
      </c>
      <c r="C264" s="49" t="str">
        <f t="shared" si="10"/>
        <v>S17462SL1</v>
      </c>
      <c r="D264" s="6">
        <v>8.0</v>
      </c>
      <c r="E264" s="17" t="str">
        <f t="shared" si="2"/>
        <v>BSL8</v>
      </c>
      <c r="F264" s="13">
        <v>35.0</v>
      </c>
      <c r="G264" s="17" t="str">
        <f t="shared" si="3"/>
        <v>BSL8-35</v>
      </c>
      <c r="I264" t="str">
        <f t="shared" si="4"/>
        <v>collected</v>
      </c>
      <c r="J264" t="str">
        <f t="shared" si="5"/>
        <v>N</v>
      </c>
    </row>
    <row r="265">
      <c r="A265" s="40" t="s">
        <v>1895</v>
      </c>
      <c r="B265" s="6" t="s">
        <v>2194</v>
      </c>
      <c r="C265" s="49" t="str">
        <f t="shared" si="10"/>
        <v>S17461SL1</v>
      </c>
      <c r="D265" s="6">
        <v>8.0</v>
      </c>
      <c r="E265" s="17" t="str">
        <f t="shared" si="2"/>
        <v>BSL8</v>
      </c>
      <c r="F265" s="13">
        <v>36.0</v>
      </c>
      <c r="G265" s="17" t="str">
        <f t="shared" si="3"/>
        <v>BSL8-36</v>
      </c>
      <c r="I265" t="str">
        <f t="shared" si="4"/>
        <v>collected</v>
      </c>
      <c r="J265" t="str">
        <f t="shared" si="5"/>
        <v>N</v>
      </c>
    </row>
    <row r="266">
      <c r="A266" s="40" t="s">
        <v>1896</v>
      </c>
      <c r="B266" s="6" t="s">
        <v>2194</v>
      </c>
      <c r="C266" s="49" t="str">
        <f t="shared" si="10"/>
        <v>S16736SL1</v>
      </c>
      <c r="D266" s="6">
        <v>8.0</v>
      </c>
      <c r="E266" s="17" t="str">
        <f t="shared" si="2"/>
        <v>BSL8</v>
      </c>
      <c r="F266" s="13">
        <v>37.0</v>
      </c>
      <c r="G266" s="17" t="str">
        <f t="shared" si="3"/>
        <v>BSL8-37</v>
      </c>
      <c r="I266" t="str">
        <f t="shared" si="4"/>
        <v>collected</v>
      </c>
      <c r="J266" t="str">
        <f t="shared" si="5"/>
        <v>N</v>
      </c>
    </row>
    <row r="267">
      <c r="A267" s="40" t="s">
        <v>1897</v>
      </c>
      <c r="B267" s="6" t="s">
        <v>2194</v>
      </c>
      <c r="C267" s="49" t="str">
        <f t="shared" si="10"/>
        <v>S16738SL1</v>
      </c>
      <c r="D267" s="6">
        <v>8.0</v>
      </c>
      <c r="E267" s="17" t="str">
        <f t="shared" si="2"/>
        <v>BSL8</v>
      </c>
      <c r="F267" s="13">
        <v>39.0</v>
      </c>
      <c r="G267" s="17" t="str">
        <f t="shared" si="3"/>
        <v>BSL8-39</v>
      </c>
      <c r="I267" t="str">
        <f t="shared" si="4"/>
        <v>collected</v>
      </c>
      <c r="J267" t="str">
        <f t="shared" si="5"/>
        <v>N</v>
      </c>
    </row>
    <row r="268">
      <c r="A268" s="40" t="s">
        <v>1898</v>
      </c>
      <c r="B268" s="6" t="s">
        <v>2194</v>
      </c>
      <c r="C268" s="49" t="str">
        <f t="shared" si="10"/>
        <v>S16740SL1</v>
      </c>
      <c r="D268" s="6">
        <v>8.0</v>
      </c>
      <c r="E268" s="17" t="str">
        <f t="shared" si="2"/>
        <v>BSL8</v>
      </c>
      <c r="F268" s="13">
        <v>40.0</v>
      </c>
      <c r="G268" s="17" t="str">
        <f t="shared" si="3"/>
        <v>BSL8-40</v>
      </c>
      <c r="I268" t="str">
        <f t="shared" si="4"/>
        <v>collected</v>
      </c>
      <c r="J268" t="str">
        <f t="shared" si="5"/>
        <v>N</v>
      </c>
    </row>
    <row r="269">
      <c r="A269" s="40" t="s">
        <v>1900</v>
      </c>
      <c r="B269" s="6" t="s">
        <v>2194</v>
      </c>
      <c r="C269" s="49" t="str">
        <f t="shared" si="10"/>
        <v>S16735SL1</v>
      </c>
      <c r="D269" s="6">
        <v>8.0</v>
      </c>
      <c r="E269" s="17" t="str">
        <f t="shared" si="2"/>
        <v>BSL8</v>
      </c>
      <c r="F269" s="13">
        <v>41.0</v>
      </c>
      <c r="G269" s="17" t="str">
        <f t="shared" si="3"/>
        <v>BSL8-41</v>
      </c>
      <c r="I269" t="str">
        <f t="shared" si="4"/>
        <v>collected</v>
      </c>
      <c r="J269" t="str">
        <f t="shared" si="5"/>
        <v>N</v>
      </c>
    </row>
    <row r="270">
      <c r="A270" s="40" t="s">
        <v>1901</v>
      </c>
      <c r="B270" s="6" t="s">
        <v>2194</v>
      </c>
      <c r="C270" s="49" t="str">
        <f t="shared" si="10"/>
        <v>S16737SL1</v>
      </c>
      <c r="D270" s="6">
        <v>8.0</v>
      </c>
      <c r="E270" s="17" t="str">
        <f t="shared" si="2"/>
        <v>BSL8</v>
      </c>
      <c r="F270" s="13">
        <v>42.0</v>
      </c>
      <c r="G270" s="17" t="str">
        <f t="shared" si="3"/>
        <v>BSL8-42</v>
      </c>
      <c r="I270" t="str">
        <f t="shared" si="4"/>
        <v>collected</v>
      </c>
      <c r="J270" t="str">
        <f t="shared" si="5"/>
        <v>N</v>
      </c>
    </row>
    <row r="271">
      <c r="A271" s="40" t="s">
        <v>1903</v>
      </c>
      <c r="B271" s="6" t="s">
        <v>2194</v>
      </c>
      <c r="C271" s="49" t="str">
        <f t="shared" si="10"/>
        <v>S16734SL1</v>
      </c>
      <c r="D271" s="6">
        <v>8.0</v>
      </c>
      <c r="E271" s="17" t="str">
        <f t="shared" si="2"/>
        <v>BSL8</v>
      </c>
      <c r="F271" s="13">
        <v>43.0</v>
      </c>
      <c r="G271" s="17" t="str">
        <f t="shared" si="3"/>
        <v>BSL8-43</v>
      </c>
      <c r="I271" t="str">
        <f t="shared" si="4"/>
        <v>collected</v>
      </c>
      <c r="J271" t="str">
        <f t="shared" si="5"/>
        <v>N</v>
      </c>
    </row>
    <row r="272">
      <c r="A272" s="40" t="s">
        <v>1905</v>
      </c>
      <c r="B272" s="6" t="s">
        <v>2194</v>
      </c>
      <c r="C272" s="49" t="str">
        <f t="shared" si="10"/>
        <v>S16739SL1</v>
      </c>
      <c r="D272" s="6">
        <v>8.0</v>
      </c>
      <c r="E272" s="17" t="str">
        <f t="shared" si="2"/>
        <v>BSL8</v>
      </c>
      <c r="F272" s="13">
        <v>45.0</v>
      </c>
      <c r="G272" s="17" t="str">
        <f t="shared" si="3"/>
        <v>BSL8-45</v>
      </c>
      <c r="I272" t="str">
        <f t="shared" si="4"/>
        <v>collected</v>
      </c>
      <c r="J272" t="str">
        <f t="shared" si="5"/>
        <v>N</v>
      </c>
    </row>
    <row r="273">
      <c r="A273" s="33" t="s">
        <v>1912</v>
      </c>
      <c r="B273" s="6" t="s">
        <v>2194</v>
      </c>
      <c r="C273" s="49" t="str">
        <f t="shared" si="10"/>
        <v>S17934SL1</v>
      </c>
      <c r="D273" s="6">
        <v>8.0</v>
      </c>
      <c r="E273" s="17" t="str">
        <f t="shared" si="2"/>
        <v>BSL8</v>
      </c>
      <c r="F273" s="13">
        <v>46.0</v>
      </c>
      <c r="G273" s="17" t="str">
        <f t="shared" si="3"/>
        <v>BSL8-46</v>
      </c>
      <c r="I273" t="str">
        <f t="shared" si="4"/>
        <v>collected</v>
      </c>
      <c r="J273" t="str">
        <f t="shared" si="5"/>
        <v>N</v>
      </c>
    </row>
    <row r="274">
      <c r="A274" s="9" t="s">
        <v>1913</v>
      </c>
      <c r="B274" s="6" t="s">
        <v>2194</v>
      </c>
      <c r="C274" s="49" t="str">
        <f t="shared" si="10"/>
        <v>S17935SL1</v>
      </c>
      <c r="D274" s="6">
        <v>8.0</v>
      </c>
      <c r="E274" s="17" t="str">
        <f t="shared" si="2"/>
        <v>BSL8</v>
      </c>
      <c r="F274" s="13">
        <v>47.0</v>
      </c>
      <c r="G274" s="17" t="str">
        <f t="shared" si="3"/>
        <v>BSL8-47</v>
      </c>
      <c r="I274" t="str">
        <f t="shared" si="4"/>
        <v>collected</v>
      </c>
      <c r="J274" t="str">
        <f t="shared" si="5"/>
        <v>N</v>
      </c>
    </row>
    <row r="275">
      <c r="A275" s="33" t="s">
        <v>1915</v>
      </c>
      <c r="B275" s="6" t="s">
        <v>2194</v>
      </c>
      <c r="C275" s="49" t="str">
        <f t="shared" si="10"/>
        <v>S17937SL1</v>
      </c>
      <c r="D275" s="6">
        <v>8.0</v>
      </c>
      <c r="E275" s="17" t="str">
        <f t="shared" si="2"/>
        <v>BSL8</v>
      </c>
      <c r="F275" s="13">
        <v>48.0</v>
      </c>
      <c r="G275" s="17" t="str">
        <f t="shared" si="3"/>
        <v>BSL8-48</v>
      </c>
      <c r="I275" t="str">
        <f t="shared" si="4"/>
        <v>collected</v>
      </c>
      <c r="J275" t="str">
        <f t="shared" si="5"/>
        <v>N</v>
      </c>
    </row>
    <row r="276">
      <c r="A276" s="40" t="s">
        <v>1919</v>
      </c>
      <c r="B276" s="6" t="s">
        <v>2194</v>
      </c>
      <c r="C276" s="49" t="str">
        <f t="shared" si="10"/>
        <v>S16047SL1</v>
      </c>
      <c r="D276" s="6">
        <v>8.0</v>
      </c>
      <c r="E276" s="17" t="str">
        <f t="shared" si="2"/>
        <v>BSL8</v>
      </c>
      <c r="F276" s="13">
        <v>49.0</v>
      </c>
      <c r="G276" s="17" t="str">
        <f t="shared" si="3"/>
        <v>BSL8-49</v>
      </c>
      <c r="I276" t="str">
        <f t="shared" si="4"/>
        <v>collected</v>
      </c>
      <c r="J276" t="str">
        <f t="shared" si="5"/>
        <v>N</v>
      </c>
    </row>
    <row r="277">
      <c r="A277" s="40" t="s">
        <v>1920</v>
      </c>
      <c r="B277" s="6" t="s">
        <v>2194</v>
      </c>
      <c r="C277" s="49" t="str">
        <f t="shared" si="10"/>
        <v>S16043SL1</v>
      </c>
      <c r="D277" s="6">
        <v>8.0</v>
      </c>
      <c r="E277" s="17" t="str">
        <f t="shared" si="2"/>
        <v>BSL8</v>
      </c>
      <c r="F277" s="13">
        <v>50.0</v>
      </c>
      <c r="G277" s="17" t="str">
        <f t="shared" si="3"/>
        <v>BSL8-50</v>
      </c>
      <c r="I277" t="str">
        <f t="shared" si="4"/>
        <v>collected</v>
      </c>
      <c r="J277" t="str">
        <f t="shared" si="5"/>
        <v>N</v>
      </c>
    </row>
    <row r="278">
      <c r="A278" s="40" t="s">
        <v>1921</v>
      </c>
      <c r="B278" s="6" t="s">
        <v>2194</v>
      </c>
      <c r="C278" s="49" t="str">
        <f t="shared" si="10"/>
        <v>S16049SL1</v>
      </c>
      <c r="D278" s="6">
        <v>8.0</v>
      </c>
      <c r="E278" s="17" t="str">
        <f t="shared" si="2"/>
        <v>BSL8</v>
      </c>
      <c r="F278" s="13">
        <v>51.0</v>
      </c>
      <c r="G278" s="17" t="str">
        <f t="shared" si="3"/>
        <v>BSL8-51</v>
      </c>
      <c r="I278" t="str">
        <f t="shared" si="4"/>
        <v>collected</v>
      </c>
      <c r="J278" t="str">
        <f t="shared" si="5"/>
        <v>N</v>
      </c>
    </row>
    <row r="279">
      <c r="A279" s="40" t="s">
        <v>1922</v>
      </c>
      <c r="B279" s="6" t="s">
        <v>2194</v>
      </c>
      <c r="C279" s="49" t="str">
        <f t="shared" si="10"/>
        <v>S16050SL1</v>
      </c>
      <c r="D279" s="6">
        <v>8.0</v>
      </c>
      <c r="E279" s="17" t="str">
        <f t="shared" si="2"/>
        <v>BSL8</v>
      </c>
      <c r="F279" s="13">
        <v>52.0</v>
      </c>
      <c r="G279" s="17" t="str">
        <f t="shared" si="3"/>
        <v>BSL8-52</v>
      </c>
      <c r="I279" t="str">
        <f t="shared" si="4"/>
        <v>collected</v>
      </c>
      <c r="J279" t="str">
        <f t="shared" si="5"/>
        <v>N</v>
      </c>
    </row>
    <row r="280">
      <c r="A280" s="40" t="s">
        <v>1925</v>
      </c>
      <c r="B280" s="6" t="s">
        <v>2194</v>
      </c>
      <c r="C280" s="49" t="str">
        <f t="shared" si="10"/>
        <v>S16046SL1</v>
      </c>
      <c r="D280" s="6">
        <v>8.0</v>
      </c>
      <c r="E280" s="17" t="str">
        <f t="shared" si="2"/>
        <v>BSL8</v>
      </c>
      <c r="F280" s="13">
        <v>53.0</v>
      </c>
      <c r="G280" s="17" t="str">
        <f t="shared" si="3"/>
        <v>BSL8-53</v>
      </c>
      <c r="I280" t="str">
        <f t="shared" si="4"/>
        <v>collected</v>
      </c>
      <c r="J280" t="str">
        <f t="shared" si="5"/>
        <v>N</v>
      </c>
    </row>
    <row r="281">
      <c r="A281" s="40" t="s">
        <v>1926</v>
      </c>
      <c r="B281" s="6" t="s">
        <v>2194</v>
      </c>
      <c r="C281" s="49" t="str">
        <f t="shared" si="10"/>
        <v>S16048SL1</v>
      </c>
      <c r="D281" s="6">
        <v>8.0</v>
      </c>
      <c r="E281" s="17" t="str">
        <f t="shared" si="2"/>
        <v>BSL8</v>
      </c>
      <c r="F281" s="13">
        <v>54.0</v>
      </c>
      <c r="G281" s="17" t="str">
        <f t="shared" si="3"/>
        <v>BSL8-54</v>
      </c>
      <c r="I281" t="str">
        <f t="shared" si="4"/>
        <v>collected</v>
      </c>
      <c r="J281" t="str">
        <f t="shared" si="5"/>
        <v>N</v>
      </c>
    </row>
    <row r="282">
      <c r="A282" s="40" t="s">
        <v>1927</v>
      </c>
      <c r="B282" s="6" t="s">
        <v>2194</v>
      </c>
      <c r="C282" s="49" t="str">
        <f t="shared" si="10"/>
        <v>S16041SL1</v>
      </c>
      <c r="D282" s="6">
        <v>8.0</v>
      </c>
      <c r="E282" s="17" t="str">
        <f t="shared" si="2"/>
        <v>BSL8</v>
      </c>
      <c r="F282" s="13">
        <v>56.0</v>
      </c>
      <c r="G282" s="17" t="str">
        <f t="shared" si="3"/>
        <v>BSL8-56</v>
      </c>
      <c r="I282" t="str">
        <f t="shared" si="4"/>
        <v>collected</v>
      </c>
      <c r="J282" t="str">
        <f t="shared" si="5"/>
        <v>N</v>
      </c>
    </row>
    <row r="283">
      <c r="A283" s="9" t="s">
        <v>1955</v>
      </c>
      <c r="B283" s="6" t="s">
        <v>2194</v>
      </c>
      <c r="C283" s="49" t="str">
        <f t="shared" si="10"/>
        <v>S17309SL1</v>
      </c>
      <c r="D283" s="6">
        <v>8.0</v>
      </c>
      <c r="E283" s="17" t="str">
        <f t="shared" si="2"/>
        <v>BSL8</v>
      </c>
      <c r="F283" s="13">
        <v>55.0</v>
      </c>
      <c r="G283" s="17" t="str">
        <f t="shared" si="3"/>
        <v>BSL8-55</v>
      </c>
      <c r="I283" t="str">
        <f t="shared" si="4"/>
        <v>collected</v>
      </c>
      <c r="J283" t="str">
        <f t="shared" si="5"/>
        <v>N</v>
      </c>
    </row>
    <row r="284">
      <c r="A284" s="9" t="s">
        <v>1959</v>
      </c>
      <c r="B284" s="6" t="s">
        <v>2194</v>
      </c>
      <c r="C284" s="49" t="str">
        <f t="shared" si="10"/>
        <v>S17307SL1</v>
      </c>
      <c r="D284" s="6">
        <v>8.0</v>
      </c>
      <c r="E284" s="17" t="str">
        <f t="shared" si="2"/>
        <v>BSL8</v>
      </c>
      <c r="F284" s="13">
        <v>57.0</v>
      </c>
      <c r="G284" s="17" t="str">
        <f t="shared" si="3"/>
        <v>BSL8-57</v>
      </c>
      <c r="I284" t="str">
        <f t="shared" si="4"/>
        <v>collected</v>
      </c>
      <c r="J284" t="str">
        <f t="shared" si="5"/>
        <v>N</v>
      </c>
    </row>
    <row r="285">
      <c r="A285" s="9" t="s">
        <v>1964</v>
      </c>
      <c r="B285" s="6" t="s">
        <v>2203</v>
      </c>
      <c r="C285" s="49" t="str">
        <f t="shared" si="10"/>
        <v>S17480SL1</v>
      </c>
      <c r="D285" s="6">
        <v>2.0</v>
      </c>
      <c r="E285" s="17" t="str">
        <f t="shared" si="2"/>
        <v>BSL2</v>
      </c>
      <c r="F285" s="13">
        <v>92.0</v>
      </c>
      <c r="G285" s="17" t="str">
        <f t="shared" si="3"/>
        <v>BSL2-92</v>
      </c>
      <c r="I285" t="str">
        <f t="shared" si="4"/>
        <v>collected</v>
      </c>
      <c r="J285" t="str">
        <f t="shared" si="5"/>
        <v>N</v>
      </c>
    </row>
    <row r="286">
      <c r="A286" s="9" t="s">
        <v>1965</v>
      </c>
      <c r="B286" s="6" t="s">
        <v>2203</v>
      </c>
      <c r="C286" s="49" t="str">
        <f t="shared" si="10"/>
        <v>S17472SL1</v>
      </c>
      <c r="D286" s="6">
        <v>2.0</v>
      </c>
      <c r="E286" s="17" t="str">
        <f t="shared" si="2"/>
        <v>BSL2</v>
      </c>
      <c r="F286" s="13">
        <v>94.0</v>
      </c>
      <c r="G286" s="17" t="str">
        <f t="shared" si="3"/>
        <v>BSL2-94</v>
      </c>
      <c r="I286" t="str">
        <f t="shared" si="4"/>
        <v>collected</v>
      </c>
      <c r="J286" t="str">
        <f t="shared" si="5"/>
        <v>N</v>
      </c>
    </row>
    <row r="287">
      <c r="A287" s="9" t="s">
        <v>1968</v>
      </c>
      <c r="B287" s="6" t="s">
        <v>2203</v>
      </c>
      <c r="C287" s="49" t="str">
        <f t="shared" si="10"/>
        <v>S17475SL1</v>
      </c>
      <c r="D287" s="6">
        <v>2.0</v>
      </c>
      <c r="E287" s="17" t="str">
        <f t="shared" si="2"/>
        <v>BSL2</v>
      </c>
      <c r="F287" s="13">
        <v>96.0</v>
      </c>
      <c r="G287" s="17" t="str">
        <f t="shared" si="3"/>
        <v>BSL2-96</v>
      </c>
      <c r="I287" t="str">
        <f t="shared" si="4"/>
        <v>collected</v>
      </c>
      <c r="J287" t="str">
        <f t="shared" si="5"/>
        <v>N</v>
      </c>
    </row>
    <row r="288">
      <c r="A288" s="9" t="s">
        <v>1974</v>
      </c>
      <c r="B288" s="6" t="s">
        <v>2194</v>
      </c>
      <c r="C288" s="49" t="str">
        <f t="shared" si="10"/>
        <v>S17207SL1</v>
      </c>
      <c r="D288" s="6">
        <v>8.0</v>
      </c>
      <c r="E288" s="17" t="str">
        <f t="shared" si="2"/>
        <v>BSL8</v>
      </c>
      <c r="F288" s="13">
        <v>58.0</v>
      </c>
      <c r="G288" s="17" t="str">
        <f t="shared" si="3"/>
        <v>BSL8-58</v>
      </c>
      <c r="I288" t="str">
        <f t="shared" si="4"/>
        <v>collected</v>
      </c>
      <c r="J288" t="str">
        <f t="shared" si="5"/>
        <v>N</v>
      </c>
    </row>
    <row r="289">
      <c r="A289" s="9" t="s">
        <v>1976</v>
      </c>
      <c r="B289" s="6" t="s">
        <v>2194</v>
      </c>
      <c r="C289" s="49" t="str">
        <f t="shared" si="10"/>
        <v>S17205SL1</v>
      </c>
      <c r="D289" s="6">
        <v>8.0</v>
      </c>
      <c r="E289" s="17" t="str">
        <f t="shared" si="2"/>
        <v>BSL8</v>
      </c>
      <c r="F289" s="13">
        <v>59.0</v>
      </c>
      <c r="G289" s="17" t="str">
        <f t="shared" si="3"/>
        <v>BSL8-59</v>
      </c>
      <c r="I289" t="str">
        <f t="shared" si="4"/>
        <v>collected</v>
      </c>
      <c r="J289" t="str">
        <f t="shared" si="5"/>
        <v>N</v>
      </c>
    </row>
    <row r="290">
      <c r="A290" s="9" t="s">
        <v>1977</v>
      </c>
      <c r="B290" s="6" t="s">
        <v>2194</v>
      </c>
      <c r="C290" s="49" t="str">
        <f t="shared" si="10"/>
        <v>S17206SL1</v>
      </c>
      <c r="D290" s="6">
        <v>8.0</v>
      </c>
      <c r="E290" s="17" t="str">
        <f t="shared" si="2"/>
        <v>BSL8</v>
      </c>
      <c r="F290" s="13">
        <v>60.0</v>
      </c>
      <c r="G290" s="17" t="str">
        <f t="shared" si="3"/>
        <v>BSL8-60</v>
      </c>
      <c r="I290" t="str">
        <f t="shared" si="4"/>
        <v>collected</v>
      </c>
      <c r="J290" t="str">
        <f t="shared" si="5"/>
        <v>N</v>
      </c>
    </row>
    <row r="291">
      <c r="A291" s="9" t="s">
        <v>1979</v>
      </c>
      <c r="B291" s="6" t="s">
        <v>2194</v>
      </c>
      <c r="C291" s="49" t="str">
        <f t="shared" si="10"/>
        <v>S17201SL1</v>
      </c>
      <c r="D291" s="6">
        <v>8.0</v>
      </c>
      <c r="E291" s="17" t="str">
        <f t="shared" si="2"/>
        <v>BSL8</v>
      </c>
      <c r="F291" s="13">
        <v>61.0</v>
      </c>
      <c r="G291" s="17" t="str">
        <f t="shared" si="3"/>
        <v>BSL8-61</v>
      </c>
      <c r="I291" t="str">
        <f t="shared" si="4"/>
        <v>collected</v>
      </c>
      <c r="J291" t="str">
        <f t="shared" si="5"/>
        <v>N</v>
      </c>
    </row>
    <row r="292">
      <c r="A292" s="9" t="s">
        <v>1981</v>
      </c>
      <c r="B292" s="6" t="s">
        <v>2194</v>
      </c>
      <c r="C292" s="49" t="str">
        <f t="shared" si="10"/>
        <v>S17204SL1</v>
      </c>
      <c r="D292" s="6">
        <v>8.0</v>
      </c>
      <c r="E292" s="17" t="str">
        <f t="shared" si="2"/>
        <v>BSL8</v>
      </c>
      <c r="F292" s="13">
        <v>63.0</v>
      </c>
      <c r="G292" s="17" t="str">
        <f t="shared" si="3"/>
        <v>BSL8-63</v>
      </c>
      <c r="I292" t="str">
        <f t="shared" si="4"/>
        <v>collected</v>
      </c>
      <c r="J292" t="str">
        <f t="shared" si="5"/>
        <v>N</v>
      </c>
    </row>
    <row r="293">
      <c r="A293" s="9" t="s">
        <v>1982</v>
      </c>
      <c r="B293" s="6" t="s">
        <v>2194</v>
      </c>
      <c r="C293" s="49" t="str">
        <f t="shared" si="10"/>
        <v>S17210SL1</v>
      </c>
      <c r="D293" s="6">
        <v>8.0</v>
      </c>
      <c r="E293" s="17" t="str">
        <f t="shared" si="2"/>
        <v>BSL8</v>
      </c>
      <c r="F293" s="13">
        <v>64.0</v>
      </c>
      <c r="G293" s="17" t="str">
        <f t="shared" si="3"/>
        <v>BSL8-64</v>
      </c>
      <c r="I293" t="str">
        <f t="shared" si="4"/>
        <v>collected</v>
      </c>
      <c r="J293" t="str">
        <f t="shared" si="5"/>
        <v>N</v>
      </c>
    </row>
    <row r="294">
      <c r="A294" s="9" t="s">
        <v>1987</v>
      </c>
      <c r="B294" s="6" t="s">
        <v>2203</v>
      </c>
      <c r="C294" s="49" t="str">
        <f t="shared" si="10"/>
        <v>S17495SL1</v>
      </c>
      <c r="D294" s="6">
        <v>2.0</v>
      </c>
      <c r="E294" s="17" t="str">
        <f t="shared" si="2"/>
        <v>BSL2</v>
      </c>
      <c r="F294" s="13">
        <v>98.0</v>
      </c>
      <c r="G294" s="17" t="str">
        <f t="shared" si="3"/>
        <v>BSL2-98</v>
      </c>
      <c r="I294" t="str">
        <f t="shared" si="4"/>
        <v>collected</v>
      </c>
      <c r="J294" t="str">
        <f t="shared" si="5"/>
        <v>N</v>
      </c>
    </row>
    <row r="295">
      <c r="A295" s="9" t="s">
        <v>2007</v>
      </c>
      <c r="B295" s="6" t="s">
        <v>2194</v>
      </c>
      <c r="C295" s="49" t="str">
        <f t="shared" si="10"/>
        <v>S16850SL1</v>
      </c>
      <c r="D295" s="6">
        <v>8.0</v>
      </c>
      <c r="E295" s="17" t="str">
        <f t="shared" si="2"/>
        <v>BSL8</v>
      </c>
      <c r="F295" s="13">
        <v>62.0</v>
      </c>
      <c r="G295" s="17" t="str">
        <f t="shared" si="3"/>
        <v>BSL8-62</v>
      </c>
      <c r="I295" t="str">
        <f t="shared" si="4"/>
        <v>collected</v>
      </c>
      <c r="J295" t="str">
        <f t="shared" si="5"/>
        <v>N</v>
      </c>
    </row>
    <row r="296">
      <c r="A296" s="9" t="s">
        <v>2009</v>
      </c>
      <c r="B296" s="6" t="s">
        <v>2194</v>
      </c>
      <c r="C296" s="49" t="str">
        <f t="shared" si="10"/>
        <v>S16846SL1</v>
      </c>
      <c r="D296" s="6">
        <v>8.0</v>
      </c>
      <c r="E296" s="17" t="str">
        <f t="shared" si="2"/>
        <v>BSL8</v>
      </c>
      <c r="F296" s="13">
        <v>65.0</v>
      </c>
      <c r="G296" s="17" t="str">
        <f t="shared" si="3"/>
        <v>BSL8-65</v>
      </c>
      <c r="I296" t="str">
        <f t="shared" si="4"/>
        <v>collected</v>
      </c>
      <c r="J296" t="str">
        <f t="shared" si="5"/>
        <v>N</v>
      </c>
    </row>
    <row r="297">
      <c r="A297" s="9" t="s">
        <v>2027</v>
      </c>
      <c r="B297" s="6" t="s">
        <v>2194</v>
      </c>
      <c r="C297" s="49" t="str">
        <f t="shared" si="10"/>
        <v>S16595SL1</v>
      </c>
      <c r="D297" s="6">
        <v>8.0</v>
      </c>
      <c r="E297" s="17" t="str">
        <f t="shared" si="2"/>
        <v>BSL8</v>
      </c>
      <c r="F297" s="13">
        <v>68.0</v>
      </c>
      <c r="G297" s="17" t="str">
        <f t="shared" si="3"/>
        <v>BSL8-68</v>
      </c>
      <c r="I297" t="str">
        <f t="shared" si="4"/>
        <v>collected</v>
      </c>
      <c r="J297" t="str">
        <f t="shared" si="5"/>
        <v>N</v>
      </c>
    </row>
    <row r="298">
      <c r="A298" s="9" t="s">
        <v>2033</v>
      </c>
      <c r="B298" s="6" t="s">
        <v>2194</v>
      </c>
      <c r="C298" s="49" t="str">
        <f t="shared" si="10"/>
        <v>S16640SL1</v>
      </c>
      <c r="D298" s="6">
        <v>8.0</v>
      </c>
      <c r="E298" s="17" t="str">
        <f t="shared" si="2"/>
        <v>BSL8</v>
      </c>
      <c r="F298" s="13">
        <v>69.0</v>
      </c>
      <c r="G298" s="17" t="str">
        <f t="shared" si="3"/>
        <v>BSL8-69</v>
      </c>
      <c r="I298" t="str">
        <f t="shared" si="4"/>
        <v>collected</v>
      </c>
      <c r="J298" t="str">
        <f t="shared" si="5"/>
        <v>N</v>
      </c>
    </row>
    <row r="299">
      <c r="A299" s="9" t="s">
        <v>2041</v>
      </c>
      <c r="B299" s="6" t="s">
        <v>2194</v>
      </c>
      <c r="C299" s="49" t="str">
        <f t="shared" si="10"/>
        <v>S16772SL1</v>
      </c>
      <c r="D299" s="6">
        <v>8.0</v>
      </c>
      <c r="E299" s="17" t="str">
        <f t="shared" si="2"/>
        <v>BSL8</v>
      </c>
      <c r="F299" s="13">
        <v>66.0</v>
      </c>
      <c r="G299" s="17" t="str">
        <f t="shared" si="3"/>
        <v>BSL8-66</v>
      </c>
      <c r="I299" t="str">
        <f t="shared" si="4"/>
        <v>collected</v>
      </c>
      <c r="J299" t="str">
        <f t="shared" si="5"/>
        <v>N</v>
      </c>
    </row>
    <row r="300">
      <c r="A300" s="9" t="s">
        <v>2047</v>
      </c>
      <c r="B300" s="6" t="s">
        <v>2194</v>
      </c>
      <c r="C300" s="49" t="str">
        <f t="shared" si="10"/>
        <v>S16092SL1</v>
      </c>
      <c r="D300" s="6">
        <v>8.0</v>
      </c>
      <c r="E300" s="17" t="str">
        <f t="shared" si="2"/>
        <v>BSL8</v>
      </c>
      <c r="F300" s="13">
        <v>67.0</v>
      </c>
      <c r="G300" s="17" t="str">
        <f t="shared" si="3"/>
        <v>BSL8-67</v>
      </c>
      <c r="I300" t="str">
        <f t="shared" si="4"/>
        <v>collected</v>
      </c>
      <c r="J300" t="str">
        <f t="shared" si="5"/>
        <v>N</v>
      </c>
    </row>
    <row r="301">
      <c r="A301" s="9" t="s">
        <v>2056</v>
      </c>
      <c r="B301" s="6" t="s">
        <v>2194</v>
      </c>
      <c r="C301" s="49" t="str">
        <f t="shared" si="10"/>
        <v>S16421SL1</v>
      </c>
      <c r="D301" s="6">
        <v>8.0</v>
      </c>
      <c r="E301" s="17" t="str">
        <f t="shared" si="2"/>
        <v>BSL8</v>
      </c>
      <c r="F301" s="13">
        <v>70.0</v>
      </c>
      <c r="G301" s="17" t="str">
        <f t="shared" si="3"/>
        <v>BSL8-70</v>
      </c>
      <c r="I301" t="str">
        <f t="shared" si="4"/>
        <v>collected</v>
      </c>
      <c r="J301" t="str">
        <f t="shared" si="5"/>
        <v>N</v>
      </c>
    </row>
    <row r="302">
      <c r="A302" s="9" t="s">
        <v>2061</v>
      </c>
      <c r="B302" s="6" t="s">
        <v>2194</v>
      </c>
      <c r="C302" s="49" t="str">
        <f t="shared" si="10"/>
        <v>S16721SL1</v>
      </c>
      <c r="D302" s="6">
        <v>8.0</v>
      </c>
      <c r="E302" s="17" t="str">
        <f t="shared" si="2"/>
        <v>BSL8</v>
      </c>
      <c r="F302" s="13">
        <v>71.0</v>
      </c>
      <c r="G302" s="17" t="str">
        <f t="shared" si="3"/>
        <v>BSL8-71</v>
      </c>
      <c r="I302" t="str">
        <f t="shared" si="4"/>
        <v>collected</v>
      </c>
      <c r="J302" t="str">
        <f t="shared" si="5"/>
        <v>N</v>
      </c>
    </row>
    <row r="303">
      <c r="A303" s="9" t="s">
        <v>2062</v>
      </c>
      <c r="B303" s="6" t="s">
        <v>2194</v>
      </c>
      <c r="C303" s="49" t="str">
        <f t="shared" si="10"/>
        <v>S16131SL1</v>
      </c>
      <c r="D303" s="6">
        <v>8.0</v>
      </c>
      <c r="E303" s="17" t="str">
        <f t="shared" si="2"/>
        <v>BSL8</v>
      </c>
      <c r="F303" s="13">
        <v>72.0</v>
      </c>
      <c r="G303" s="17" t="str">
        <f t="shared" si="3"/>
        <v>BSL8-72</v>
      </c>
      <c r="I303" t="str">
        <f t="shared" si="4"/>
        <v>collected</v>
      </c>
      <c r="J303" t="str">
        <f t="shared" si="5"/>
        <v>N</v>
      </c>
    </row>
    <row r="304">
      <c r="A304" s="9" t="s">
        <v>2067</v>
      </c>
      <c r="B304" s="6" t="s">
        <v>2194</v>
      </c>
      <c r="C304" s="49" t="str">
        <f t="shared" si="10"/>
        <v>S17031SL1</v>
      </c>
      <c r="D304" s="6">
        <v>8.0</v>
      </c>
      <c r="E304" s="17" t="str">
        <f t="shared" si="2"/>
        <v>BSL8</v>
      </c>
      <c r="F304" s="13">
        <v>73.0</v>
      </c>
      <c r="G304" s="17" t="str">
        <f t="shared" si="3"/>
        <v>BSL8-73</v>
      </c>
      <c r="I304" t="str">
        <f t="shared" si="4"/>
        <v>collected</v>
      </c>
      <c r="J304" t="str">
        <f t="shared" si="5"/>
        <v>N</v>
      </c>
    </row>
    <row r="305">
      <c r="A305" s="9" t="s">
        <v>2073</v>
      </c>
      <c r="B305" s="6" t="s">
        <v>2194</v>
      </c>
      <c r="C305" s="49" t="str">
        <f t="shared" si="10"/>
        <v>S16372SL1</v>
      </c>
      <c r="D305" s="6">
        <v>8.0</v>
      </c>
      <c r="E305" s="17" t="str">
        <f t="shared" si="2"/>
        <v>BSL8</v>
      </c>
      <c r="F305" s="13">
        <v>75.0</v>
      </c>
      <c r="G305" s="17" t="str">
        <f t="shared" si="3"/>
        <v>BSL8-75</v>
      </c>
      <c r="I305" t="str">
        <f t="shared" si="4"/>
        <v>collected</v>
      </c>
      <c r="J305" t="str">
        <f t="shared" si="5"/>
        <v>N</v>
      </c>
    </row>
    <row r="306">
      <c r="A306" s="9" t="s">
        <v>2078</v>
      </c>
      <c r="B306" s="6" t="s">
        <v>2194</v>
      </c>
      <c r="C306" s="49" t="str">
        <f t="shared" si="10"/>
        <v>S16212SL1</v>
      </c>
      <c r="D306" s="6">
        <v>8.0</v>
      </c>
      <c r="E306" s="17" t="str">
        <f t="shared" si="2"/>
        <v>BSL8</v>
      </c>
      <c r="F306" s="13">
        <v>76.0</v>
      </c>
      <c r="G306" s="17" t="str">
        <f t="shared" si="3"/>
        <v>BSL8-76</v>
      </c>
      <c r="I306" t="str">
        <f t="shared" si="4"/>
        <v>collected</v>
      </c>
      <c r="J306" t="str">
        <f t="shared" si="5"/>
        <v>N</v>
      </c>
    </row>
    <row r="307">
      <c r="A307" s="9" t="s">
        <v>2079</v>
      </c>
      <c r="B307" s="6" t="s">
        <v>2194</v>
      </c>
      <c r="C307" s="49" t="str">
        <f t="shared" si="10"/>
        <v>S16213SL1</v>
      </c>
      <c r="D307" s="6">
        <v>8.0</v>
      </c>
      <c r="E307" s="17" t="str">
        <f t="shared" si="2"/>
        <v>BSL8</v>
      </c>
      <c r="F307" s="13">
        <v>77.0</v>
      </c>
      <c r="G307" s="17" t="str">
        <f t="shared" si="3"/>
        <v>BSL8-77</v>
      </c>
      <c r="I307" t="str">
        <f t="shared" si="4"/>
        <v>collected</v>
      </c>
      <c r="J307" t="str">
        <f t="shared" si="5"/>
        <v>N</v>
      </c>
    </row>
    <row r="308">
      <c r="A308" s="9" t="s">
        <v>2085</v>
      </c>
      <c r="B308" s="6" t="s">
        <v>2194</v>
      </c>
      <c r="C308" s="49" t="str">
        <f t="shared" si="10"/>
        <v>S16633SL1</v>
      </c>
      <c r="D308" s="6">
        <v>8.0</v>
      </c>
      <c r="E308" s="17" t="str">
        <f t="shared" si="2"/>
        <v>BSL8</v>
      </c>
      <c r="F308" s="13">
        <v>74.0</v>
      </c>
      <c r="G308" s="17" t="str">
        <f t="shared" si="3"/>
        <v>BSL8-74</v>
      </c>
      <c r="I308" t="str">
        <f t="shared" si="4"/>
        <v>collected</v>
      </c>
      <c r="J308" t="str">
        <f t="shared" si="5"/>
        <v>N</v>
      </c>
    </row>
  </sheetData>
  <conditionalFormatting sqref="J1:J308">
    <cfRule type="cellIs" dxfId="0" priority="1" operator="equal">
      <formula>"Y"</formula>
    </cfRule>
  </conditionalFormatting>
  <dataValidations>
    <dataValidation type="decimal" allowBlank="1" showDropDown="1" showErrorMessage="1" sqref="F2:F128 F132:F308">
      <formula1>1.0</formula1>
      <formula2>100.0</formula2>
    </dataValidation>
    <dataValidation type="list" allowBlank="1" showDropDown="1" showErrorMessage="1" sqref="A1:A80 A85:A261 A283:A308">
      <formula1>fish_lab_data!$C:$C</formula1>
    </dataValidation>
    <dataValidation type="list" allowBlank="1" showErrorMessage="1" sqref="B2:B308">
      <formula1>"sealice_eth,sealice_cryo"</formula1>
    </dataValidation>
  </dataValidations>
  <drawing r:id="rId2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93C47D"/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4" max="5" width="17.29"/>
    <col customWidth="1" min="9" max="9" width="25.14"/>
  </cols>
  <sheetData>
    <row r="1">
      <c r="A1" s="1" t="s">
        <v>0</v>
      </c>
      <c r="B1" s="4" t="s">
        <v>1</v>
      </c>
      <c r="C1" s="48" t="s">
        <v>16</v>
      </c>
      <c r="D1" s="4" t="s">
        <v>29</v>
      </c>
      <c r="E1" s="1" t="s">
        <v>2228</v>
      </c>
      <c r="F1" s="4" t="s">
        <v>18</v>
      </c>
      <c r="G1" s="1" t="s">
        <v>21</v>
      </c>
      <c r="H1" s="4" t="s">
        <v>22</v>
      </c>
      <c r="I1" s="1" t="s">
        <v>23</v>
      </c>
      <c r="J1" s="1" t="s">
        <v>24</v>
      </c>
      <c r="K1" s="1" t="s">
        <v>25</v>
      </c>
      <c r="L1" s="1" t="s">
        <v>26</v>
      </c>
      <c r="M1" s="1" t="s">
        <v>27</v>
      </c>
    </row>
    <row r="2">
      <c r="A2" s="6" t="s">
        <v>28</v>
      </c>
      <c r="B2" s="10" t="str">
        <f t="shared" ref="B2:B1558" si="1">if(isblank(A2),"","fish")</f>
        <v>fish</v>
      </c>
      <c r="C2" s="49" t="str">
        <f t="shared" ref="C2:C1558" si="2">A2</f>
        <v>U5471</v>
      </c>
      <c r="D2" s="11" t="str">
        <f t="array" ref="D2">iferror(index(fish_lab_data!D:D,match(A2,fish_lab_data!C:C,0)))</f>
        <v>JP445</v>
      </c>
      <c r="E2" s="6">
        <v>99.0</v>
      </c>
      <c r="F2" s="10" t="str">
        <f t="shared" ref="F2:F1558" si="3">if(isblank(E2),"",concatenate("BCA",E2))</f>
        <v>BCA99</v>
      </c>
      <c r="G2" s="55" t="str">
        <f t="shared" ref="G2:G1558" si="4">if(isblank(E2),"","NA")</f>
        <v>NA</v>
      </c>
      <c r="H2" s="10" t="str">
        <f t="shared" ref="H2:H1558" si="5">if(G2="","",concatenate(F2,"-",G2))</f>
        <v>BCA99-NA</v>
      </c>
      <c r="I2" s="16"/>
      <c r="J2" s="16" t="str">
        <f t="shared" ref="J2:J1558" si="6">if(H2="","","collected")</f>
        <v>collected</v>
      </c>
      <c r="K2" s="16" t="str">
        <f t="shared" ref="K2:K1558" si="7">if(A2="","",if(countif(A:A,A2)&gt;1,"Y","N"))</f>
        <v>N</v>
      </c>
      <c r="L2" s="16"/>
      <c r="M2" s="16"/>
    </row>
    <row r="3">
      <c r="A3" s="6" t="s">
        <v>55</v>
      </c>
      <c r="B3" s="10" t="str">
        <f t="shared" si="1"/>
        <v>fish</v>
      </c>
      <c r="C3" s="49" t="str">
        <f t="shared" si="2"/>
        <v>U5472</v>
      </c>
      <c r="D3" s="11" t="str">
        <f t="array" ref="D3">iferror(index(fish_lab_data!D:D,match(A3,fish_lab_data!C:C,0)))</f>
        <v>JP445</v>
      </c>
      <c r="E3" s="6">
        <v>99.0</v>
      </c>
      <c r="F3" s="10" t="str">
        <f t="shared" si="3"/>
        <v>BCA99</v>
      </c>
      <c r="G3" s="55" t="str">
        <f t="shared" si="4"/>
        <v>NA</v>
      </c>
      <c r="H3" s="10" t="str">
        <f t="shared" si="5"/>
        <v>BCA99-NA</v>
      </c>
      <c r="I3" s="16"/>
      <c r="J3" s="16" t="str">
        <f t="shared" si="6"/>
        <v>collected</v>
      </c>
      <c r="K3" s="16" t="str">
        <f t="shared" si="7"/>
        <v>N</v>
      </c>
      <c r="L3" s="16"/>
      <c r="M3" s="16"/>
    </row>
    <row r="4">
      <c r="A4" s="6" t="s">
        <v>59</v>
      </c>
      <c r="B4" s="10" t="str">
        <f t="shared" si="1"/>
        <v>fish</v>
      </c>
      <c r="C4" s="49" t="str">
        <f t="shared" si="2"/>
        <v>U5473</v>
      </c>
      <c r="D4" s="11" t="str">
        <f t="array" ref="D4">iferror(index(fish_lab_data!D:D,match(A4,fish_lab_data!C:C,0)))</f>
        <v>JP445</v>
      </c>
      <c r="E4" s="6">
        <v>99.0</v>
      </c>
      <c r="F4" s="10" t="str">
        <f t="shared" si="3"/>
        <v>BCA99</v>
      </c>
      <c r="G4" s="55" t="str">
        <f t="shared" si="4"/>
        <v>NA</v>
      </c>
      <c r="H4" s="10" t="str">
        <f t="shared" si="5"/>
        <v>BCA99-NA</v>
      </c>
      <c r="I4" s="16"/>
      <c r="J4" s="16" t="str">
        <f t="shared" si="6"/>
        <v>collected</v>
      </c>
      <c r="K4" s="16" t="str">
        <f t="shared" si="7"/>
        <v>N</v>
      </c>
      <c r="L4" s="16"/>
      <c r="M4" s="16"/>
    </row>
    <row r="5">
      <c r="A5" s="6" t="s">
        <v>65</v>
      </c>
      <c r="B5" s="10" t="str">
        <f t="shared" si="1"/>
        <v>fish</v>
      </c>
      <c r="C5" s="49" t="str">
        <f t="shared" si="2"/>
        <v>U5474</v>
      </c>
      <c r="D5" s="11" t="str">
        <f t="array" ref="D5">iferror(index(fish_lab_data!D:D,match(A5,fish_lab_data!C:C,0)))</f>
        <v>JP445</v>
      </c>
      <c r="E5" s="6">
        <v>99.0</v>
      </c>
      <c r="F5" s="10" t="str">
        <f t="shared" si="3"/>
        <v>BCA99</v>
      </c>
      <c r="G5" s="55" t="str">
        <f t="shared" si="4"/>
        <v>NA</v>
      </c>
      <c r="H5" s="10" t="str">
        <f t="shared" si="5"/>
        <v>BCA99-NA</v>
      </c>
      <c r="I5" s="16"/>
      <c r="J5" s="16" t="str">
        <f t="shared" si="6"/>
        <v>collected</v>
      </c>
      <c r="K5" s="16" t="str">
        <f t="shared" si="7"/>
        <v>N</v>
      </c>
      <c r="L5" s="16"/>
      <c r="M5" s="16"/>
    </row>
    <row r="6">
      <c r="A6" s="6" t="s">
        <v>67</v>
      </c>
      <c r="B6" s="10" t="str">
        <f t="shared" si="1"/>
        <v>fish</v>
      </c>
      <c r="C6" s="49" t="str">
        <f t="shared" si="2"/>
        <v>U5475</v>
      </c>
      <c r="D6" s="11" t="str">
        <f t="array" ref="D6">iferror(index(fish_lab_data!D:D,match(A6,fish_lab_data!C:C,0)))</f>
        <v>JP445</v>
      </c>
      <c r="E6" s="6">
        <v>99.0</v>
      </c>
      <c r="F6" s="10" t="str">
        <f t="shared" si="3"/>
        <v>BCA99</v>
      </c>
      <c r="G6" s="55" t="str">
        <f t="shared" si="4"/>
        <v>NA</v>
      </c>
      <c r="H6" s="10" t="str">
        <f t="shared" si="5"/>
        <v>BCA99-NA</v>
      </c>
      <c r="I6" s="16"/>
      <c r="J6" s="16" t="str">
        <f t="shared" si="6"/>
        <v>collected</v>
      </c>
      <c r="K6" s="16" t="str">
        <f t="shared" si="7"/>
        <v>N</v>
      </c>
      <c r="L6" s="16"/>
      <c r="M6" s="16"/>
    </row>
    <row r="7">
      <c r="A7" s="6" t="s">
        <v>71</v>
      </c>
      <c r="B7" s="10" t="str">
        <f t="shared" si="1"/>
        <v>fish</v>
      </c>
      <c r="C7" s="49" t="str">
        <f t="shared" si="2"/>
        <v>U5476</v>
      </c>
      <c r="D7" s="11" t="str">
        <f t="array" ref="D7">iferror(index(fish_lab_data!D:D,match(A7,fish_lab_data!C:C,0)))</f>
        <v>JP445</v>
      </c>
      <c r="E7" s="6">
        <v>99.0</v>
      </c>
      <c r="F7" s="10" t="str">
        <f t="shared" si="3"/>
        <v>BCA99</v>
      </c>
      <c r="G7" s="55" t="str">
        <f t="shared" si="4"/>
        <v>NA</v>
      </c>
      <c r="H7" s="10" t="str">
        <f t="shared" si="5"/>
        <v>BCA99-NA</v>
      </c>
      <c r="I7" s="16"/>
      <c r="J7" s="16" t="str">
        <f t="shared" si="6"/>
        <v>collected</v>
      </c>
      <c r="K7" s="16" t="str">
        <f t="shared" si="7"/>
        <v>N</v>
      </c>
      <c r="L7" s="16"/>
      <c r="M7" s="16"/>
    </row>
    <row r="8">
      <c r="A8" s="6" t="s">
        <v>73</v>
      </c>
      <c r="B8" s="10" t="str">
        <f t="shared" si="1"/>
        <v>fish</v>
      </c>
      <c r="C8" s="49" t="str">
        <f t="shared" si="2"/>
        <v>U5477</v>
      </c>
      <c r="D8" s="11" t="str">
        <f t="array" ref="D8">iferror(index(fish_lab_data!D:D,match(A8,fish_lab_data!C:C,0)))</f>
        <v>JP445</v>
      </c>
      <c r="E8" s="6">
        <v>99.0</v>
      </c>
      <c r="F8" s="10" t="str">
        <f t="shared" si="3"/>
        <v>BCA99</v>
      </c>
      <c r="G8" s="55" t="str">
        <f t="shared" si="4"/>
        <v>NA</v>
      </c>
      <c r="H8" s="10" t="str">
        <f t="shared" si="5"/>
        <v>BCA99-NA</v>
      </c>
      <c r="I8" s="16"/>
      <c r="J8" s="16" t="str">
        <f t="shared" si="6"/>
        <v>collected</v>
      </c>
      <c r="K8" s="16" t="str">
        <f t="shared" si="7"/>
        <v>N</v>
      </c>
      <c r="L8" s="16"/>
      <c r="M8" s="16"/>
    </row>
    <row r="9">
      <c r="A9" s="6" t="s">
        <v>75</v>
      </c>
      <c r="B9" s="10" t="str">
        <f t="shared" si="1"/>
        <v>fish</v>
      </c>
      <c r="C9" s="49" t="str">
        <f t="shared" si="2"/>
        <v>U5478</v>
      </c>
      <c r="D9" s="11" t="str">
        <f t="array" ref="D9">iferror(index(fish_lab_data!D:D,match(A9,fish_lab_data!C:C,0)))</f>
        <v>JP377</v>
      </c>
      <c r="E9" s="6">
        <v>99.0</v>
      </c>
      <c r="F9" s="10" t="str">
        <f t="shared" si="3"/>
        <v>BCA99</v>
      </c>
      <c r="G9" s="55" t="str">
        <f t="shared" si="4"/>
        <v>NA</v>
      </c>
      <c r="H9" s="10" t="str">
        <f t="shared" si="5"/>
        <v>BCA99-NA</v>
      </c>
      <c r="I9" s="16"/>
      <c r="J9" s="16" t="str">
        <f t="shared" si="6"/>
        <v>collected</v>
      </c>
      <c r="K9" s="16" t="str">
        <f t="shared" si="7"/>
        <v>N</v>
      </c>
      <c r="L9" s="16"/>
      <c r="M9" s="16"/>
    </row>
    <row r="10">
      <c r="A10" s="6" t="s">
        <v>77</v>
      </c>
      <c r="B10" s="10" t="str">
        <f t="shared" si="1"/>
        <v>fish</v>
      </c>
      <c r="C10" s="49" t="str">
        <f t="shared" si="2"/>
        <v>U5479</v>
      </c>
      <c r="D10" s="11" t="str">
        <f t="array" ref="D10">iferror(index(fish_lab_data!D:D,match(A10,fish_lab_data!C:C,0)))</f>
        <v>JP377</v>
      </c>
      <c r="E10" s="6">
        <v>99.0</v>
      </c>
      <c r="F10" s="10" t="str">
        <f t="shared" si="3"/>
        <v>BCA99</v>
      </c>
      <c r="G10" s="55" t="str">
        <f t="shared" si="4"/>
        <v>NA</v>
      </c>
      <c r="H10" s="10" t="str">
        <f t="shared" si="5"/>
        <v>BCA99-NA</v>
      </c>
      <c r="I10" s="16"/>
      <c r="J10" s="16" t="str">
        <f t="shared" si="6"/>
        <v>collected</v>
      </c>
      <c r="K10" s="16" t="str">
        <f t="shared" si="7"/>
        <v>N</v>
      </c>
      <c r="L10" s="16"/>
      <c r="M10" s="16"/>
    </row>
    <row r="11">
      <c r="A11" s="6" t="s">
        <v>79</v>
      </c>
      <c r="B11" s="10" t="str">
        <f t="shared" si="1"/>
        <v>fish</v>
      </c>
      <c r="C11" s="49" t="str">
        <f t="shared" si="2"/>
        <v>U5480</v>
      </c>
      <c r="D11" s="11" t="str">
        <f t="array" ref="D11">iferror(index(fish_lab_data!D:D,match(A11,fish_lab_data!C:C,0)))</f>
        <v>JP377</v>
      </c>
      <c r="E11" s="6">
        <v>99.0</v>
      </c>
      <c r="F11" s="10" t="str">
        <f t="shared" si="3"/>
        <v>BCA99</v>
      </c>
      <c r="G11" s="55" t="str">
        <f t="shared" si="4"/>
        <v>NA</v>
      </c>
      <c r="H11" s="10" t="str">
        <f t="shared" si="5"/>
        <v>BCA99-NA</v>
      </c>
      <c r="I11" s="16"/>
      <c r="J11" s="16" t="str">
        <f t="shared" si="6"/>
        <v>collected</v>
      </c>
      <c r="K11" s="16" t="str">
        <f t="shared" si="7"/>
        <v>N</v>
      </c>
      <c r="L11" s="16"/>
      <c r="M11" s="16"/>
    </row>
    <row r="12">
      <c r="A12" s="6" t="s">
        <v>82</v>
      </c>
      <c r="B12" s="10" t="str">
        <f t="shared" si="1"/>
        <v>fish</v>
      </c>
      <c r="C12" s="49" t="str">
        <f t="shared" si="2"/>
        <v>U5481</v>
      </c>
      <c r="D12" s="11" t="str">
        <f t="array" ref="D12">iferror(index(fish_lab_data!D:D,match(A12,fish_lab_data!C:C,0)))</f>
        <v>JP412</v>
      </c>
      <c r="E12" s="6">
        <v>99.0</v>
      </c>
      <c r="F12" s="10" t="str">
        <f t="shared" si="3"/>
        <v>BCA99</v>
      </c>
      <c r="G12" s="55" t="str">
        <f t="shared" si="4"/>
        <v>NA</v>
      </c>
      <c r="H12" s="10" t="str">
        <f t="shared" si="5"/>
        <v>BCA99-NA</v>
      </c>
      <c r="I12" s="16"/>
      <c r="J12" s="16" t="str">
        <f t="shared" si="6"/>
        <v>collected</v>
      </c>
      <c r="K12" s="16" t="str">
        <f t="shared" si="7"/>
        <v>N</v>
      </c>
      <c r="L12" s="16"/>
      <c r="M12" s="16"/>
    </row>
    <row r="13">
      <c r="A13" s="6" t="s">
        <v>85</v>
      </c>
      <c r="B13" s="10" t="str">
        <f t="shared" si="1"/>
        <v>fish</v>
      </c>
      <c r="C13" s="49" t="str">
        <f t="shared" si="2"/>
        <v>U5482</v>
      </c>
      <c r="D13" s="11" t="str">
        <f t="array" ref="D13">iferror(index(fish_lab_data!D:D,match(A13,fish_lab_data!C:C,0)))</f>
        <v>JP412</v>
      </c>
      <c r="E13" s="6">
        <v>99.0</v>
      </c>
      <c r="F13" s="10" t="str">
        <f t="shared" si="3"/>
        <v>BCA99</v>
      </c>
      <c r="G13" s="55" t="str">
        <f t="shared" si="4"/>
        <v>NA</v>
      </c>
      <c r="H13" s="10" t="str">
        <f t="shared" si="5"/>
        <v>BCA99-NA</v>
      </c>
      <c r="I13" s="16"/>
      <c r="J13" s="16" t="str">
        <f t="shared" si="6"/>
        <v>collected</v>
      </c>
      <c r="K13" s="16" t="str">
        <f t="shared" si="7"/>
        <v>N</v>
      </c>
      <c r="L13" s="16"/>
      <c r="M13" s="16"/>
    </row>
    <row r="14">
      <c r="A14" s="6" t="s">
        <v>86</v>
      </c>
      <c r="B14" s="10" t="str">
        <f t="shared" si="1"/>
        <v>fish</v>
      </c>
      <c r="C14" s="49" t="str">
        <f t="shared" si="2"/>
        <v>U5483</v>
      </c>
      <c r="D14" s="11" t="str">
        <f t="array" ref="D14">iferror(index(fish_lab_data!D:D,match(A14,fish_lab_data!C:C,0)))</f>
        <v>JP412</v>
      </c>
      <c r="E14" s="6">
        <v>99.0</v>
      </c>
      <c r="F14" s="10" t="str">
        <f t="shared" si="3"/>
        <v>BCA99</v>
      </c>
      <c r="G14" s="55" t="str">
        <f t="shared" si="4"/>
        <v>NA</v>
      </c>
      <c r="H14" s="10" t="str">
        <f t="shared" si="5"/>
        <v>BCA99-NA</v>
      </c>
      <c r="I14" s="16"/>
      <c r="J14" s="16" t="str">
        <f t="shared" si="6"/>
        <v>collected</v>
      </c>
      <c r="K14" s="16" t="str">
        <f t="shared" si="7"/>
        <v>N</v>
      </c>
      <c r="L14" s="16"/>
      <c r="M14" s="16"/>
    </row>
    <row r="15">
      <c r="A15" s="6" t="s">
        <v>87</v>
      </c>
      <c r="B15" s="10" t="str">
        <f t="shared" si="1"/>
        <v>fish</v>
      </c>
      <c r="C15" s="49" t="str">
        <f t="shared" si="2"/>
        <v>U5484</v>
      </c>
      <c r="D15" s="11" t="str">
        <f t="array" ref="D15">iferror(index(fish_lab_data!D:D,match(A15,fish_lab_data!C:C,0)))</f>
        <v>JP412</v>
      </c>
      <c r="E15" s="6">
        <v>99.0</v>
      </c>
      <c r="F15" s="10" t="str">
        <f t="shared" si="3"/>
        <v>BCA99</v>
      </c>
      <c r="G15" s="55" t="str">
        <f t="shared" si="4"/>
        <v>NA</v>
      </c>
      <c r="H15" s="10" t="str">
        <f t="shared" si="5"/>
        <v>BCA99-NA</v>
      </c>
      <c r="I15" s="16"/>
      <c r="J15" s="16" t="str">
        <f t="shared" si="6"/>
        <v>collected</v>
      </c>
      <c r="K15" s="16" t="str">
        <f t="shared" si="7"/>
        <v>N</v>
      </c>
      <c r="L15" s="16"/>
      <c r="M15" s="16"/>
    </row>
    <row r="16">
      <c r="A16" s="6" t="s">
        <v>89</v>
      </c>
      <c r="B16" s="10" t="str">
        <f t="shared" si="1"/>
        <v>fish</v>
      </c>
      <c r="C16" s="49" t="str">
        <f t="shared" si="2"/>
        <v>U5115</v>
      </c>
      <c r="D16" s="11" t="str">
        <f t="array" ref="D16">iferror(index(fish_lab_data!D:D,match(A16,fish_lab_data!C:C,0)))</f>
        <v>JP412</v>
      </c>
      <c r="E16" s="6">
        <v>99.0</v>
      </c>
      <c r="F16" s="10" t="str">
        <f t="shared" si="3"/>
        <v>BCA99</v>
      </c>
      <c r="G16" s="55" t="str">
        <f t="shared" si="4"/>
        <v>NA</v>
      </c>
      <c r="H16" s="10" t="str">
        <f t="shared" si="5"/>
        <v>BCA99-NA</v>
      </c>
      <c r="I16" s="16"/>
      <c r="J16" s="16" t="str">
        <f t="shared" si="6"/>
        <v>collected</v>
      </c>
      <c r="K16" s="16" t="str">
        <f t="shared" si="7"/>
        <v>N</v>
      </c>
      <c r="L16" s="16"/>
      <c r="M16" s="16"/>
    </row>
    <row r="17">
      <c r="A17" s="6" t="s">
        <v>90</v>
      </c>
      <c r="B17" s="10" t="str">
        <f t="shared" si="1"/>
        <v>fish</v>
      </c>
      <c r="C17" s="49" t="str">
        <f t="shared" si="2"/>
        <v>U5485</v>
      </c>
      <c r="D17" s="11" t="str">
        <f t="array" ref="D17">iferror(index(fish_lab_data!D:D,match(A17,fish_lab_data!C:C,0)))</f>
        <v>JP412</v>
      </c>
      <c r="E17" s="6">
        <v>99.0</v>
      </c>
      <c r="F17" s="10" t="str">
        <f t="shared" si="3"/>
        <v>BCA99</v>
      </c>
      <c r="G17" s="55" t="str">
        <f t="shared" si="4"/>
        <v>NA</v>
      </c>
      <c r="H17" s="10" t="str">
        <f t="shared" si="5"/>
        <v>BCA99-NA</v>
      </c>
      <c r="I17" s="16"/>
      <c r="J17" s="16" t="str">
        <f t="shared" si="6"/>
        <v>collected</v>
      </c>
      <c r="K17" s="16" t="str">
        <f t="shared" si="7"/>
        <v>N</v>
      </c>
      <c r="L17" s="16"/>
      <c r="M17" s="16"/>
    </row>
    <row r="18">
      <c r="A18" s="6" t="s">
        <v>92</v>
      </c>
      <c r="B18" s="10" t="str">
        <f t="shared" si="1"/>
        <v>fish</v>
      </c>
      <c r="C18" s="49" t="str">
        <f t="shared" si="2"/>
        <v>U5486</v>
      </c>
      <c r="D18" s="11" t="str">
        <f t="array" ref="D18">iferror(index(fish_lab_data!D:D,match(A18,fish_lab_data!C:C,0)))</f>
        <v>JP412</v>
      </c>
      <c r="E18" s="6">
        <v>99.0</v>
      </c>
      <c r="F18" s="10" t="str">
        <f t="shared" si="3"/>
        <v>BCA99</v>
      </c>
      <c r="G18" s="55" t="str">
        <f t="shared" si="4"/>
        <v>NA</v>
      </c>
      <c r="H18" s="10" t="str">
        <f t="shared" si="5"/>
        <v>BCA99-NA</v>
      </c>
      <c r="I18" s="16"/>
      <c r="J18" s="16" t="str">
        <f t="shared" si="6"/>
        <v>collected</v>
      </c>
      <c r="K18" s="16" t="str">
        <f t="shared" si="7"/>
        <v>N</v>
      </c>
      <c r="L18" s="16"/>
      <c r="M18" s="16"/>
    </row>
    <row r="19">
      <c r="A19" s="6" t="s">
        <v>93</v>
      </c>
      <c r="B19" s="10" t="str">
        <f t="shared" si="1"/>
        <v>fish</v>
      </c>
      <c r="C19" s="49" t="str">
        <f t="shared" si="2"/>
        <v>U5487</v>
      </c>
      <c r="D19" s="11" t="str">
        <f t="array" ref="D19">iferror(index(fish_lab_data!D:D,match(A19,fish_lab_data!C:C,0)))</f>
        <v>JP412</v>
      </c>
      <c r="E19" s="6">
        <v>99.0</v>
      </c>
      <c r="F19" s="10" t="str">
        <f t="shared" si="3"/>
        <v>BCA99</v>
      </c>
      <c r="G19" s="55" t="str">
        <f t="shared" si="4"/>
        <v>NA</v>
      </c>
      <c r="H19" s="10" t="str">
        <f t="shared" si="5"/>
        <v>BCA99-NA</v>
      </c>
      <c r="I19" s="16"/>
      <c r="J19" s="16" t="str">
        <f t="shared" si="6"/>
        <v>collected</v>
      </c>
      <c r="K19" s="16" t="str">
        <f t="shared" si="7"/>
        <v>N</v>
      </c>
      <c r="L19" s="16"/>
      <c r="M19" s="16"/>
    </row>
    <row r="20">
      <c r="A20" s="6" t="s">
        <v>95</v>
      </c>
      <c r="B20" s="10" t="str">
        <f t="shared" si="1"/>
        <v>fish</v>
      </c>
      <c r="C20" s="49" t="str">
        <f t="shared" si="2"/>
        <v>U5488</v>
      </c>
      <c r="D20" s="11" t="str">
        <f t="array" ref="D20">iferror(index(fish_lab_data!D:D,match(A20,fish_lab_data!C:C,0)))</f>
        <v>JP412</v>
      </c>
      <c r="E20" s="6">
        <v>99.0</v>
      </c>
      <c r="F20" s="10" t="str">
        <f t="shared" si="3"/>
        <v>BCA99</v>
      </c>
      <c r="G20" s="55" t="str">
        <f t="shared" si="4"/>
        <v>NA</v>
      </c>
      <c r="H20" s="10" t="str">
        <f t="shared" si="5"/>
        <v>BCA99-NA</v>
      </c>
      <c r="I20" s="16"/>
      <c r="J20" s="16" t="str">
        <f t="shared" si="6"/>
        <v>collected</v>
      </c>
      <c r="K20" s="16" t="str">
        <f t="shared" si="7"/>
        <v>N</v>
      </c>
      <c r="L20" s="16"/>
      <c r="M20" s="16"/>
    </row>
    <row r="21">
      <c r="A21" s="6" t="s">
        <v>96</v>
      </c>
      <c r="B21" s="10" t="str">
        <f t="shared" si="1"/>
        <v>fish</v>
      </c>
      <c r="C21" s="49" t="str">
        <f t="shared" si="2"/>
        <v>U5489</v>
      </c>
      <c r="D21" s="11" t="str">
        <f t="array" ref="D21">iferror(index(fish_lab_data!D:D,match(A21,fish_lab_data!C:C,0)))</f>
        <v>JP412</v>
      </c>
      <c r="E21" s="6">
        <v>99.0</v>
      </c>
      <c r="F21" s="10" t="str">
        <f t="shared" si="3"/>
        <v>BCA99</v>
      </c>
      <c r="G21" s="55" t="str">
        <f t="shared" si="4"/>
        <v>NA</v>
      </c>
      <c r="H21" s="10" t="str">
        <f t="shared" si="5"/>
        <v>BCA99-NA</v>
      </c>
      <c r="I21" s="16"/>
      <c r="J21" s="16" t="str">
        <f t="shared" si="6"/>
        <v>collected</v>
      </c>
      <c r="K21" s="16" t="str">
        <f t="shared" si="7"/>
        <v>N</v>
      </c>
      <c r="L21" s="16"/>
      <c r="M21" s="16"/>
    </row>
    <row r="22">
      <c r="A22" s="6" t="s">
        <v>99</v>
      </c>
      <c r="B22" s="10" t="str">
        <f t="shared" si="1"/>
        <v>fish</v>
      </c>
      <c r="C22" s="49" t="str">
        <f t="shared" si="2"/>
        <v>U5490</v>
      </c>
      <c r="D22" s="11" t="str">
        <f t="array" ref="D22">iferror(index(fish_lab_data!D:D,match(A22,fish_lab_data!C:C,0)))</f>
        <v>JP452</v>
      </c>
      <c r="E22" s="6">
        <v>99.0</v>
      </c>
      <c r="F22" s="10" t="str">
        <f t="shared" si="3"/>
        <v>BCA99</v>
      </c>
      <c r="G22" s="55" t="str">
        <f t="shared" si="4"/>
        <v>NA</v>
      </c>
      <c r="H22" s="10" t="str">
        <f t="shared" si="5"/>
        <v>BCA99-NA</v>
      </c>
      <c r="I22" s="16"/>
      <c r="J22" s="16" t="str">
        <f t="shared" si="6"/>
        <v>collected</v>
      </c>
      <c r="K22" s="16" t="str">
        <f t="shared" si="7"/>
        <v>N</v>
      </c>
      <c r="L22" s="16"/>
      <c r="M22" s="16"/>
    </row>
    <row r="23">
      <c r="A23" s="6" t="s">
        <v>100</v>
      </c>
      <c r="B23" s="10" t="str">
        <f t="shared" si="1"/>
        <v>fish</v>
      </c>
      <c r="C23" s="49" t="str">
        <f t="shared" si="2"/>
        <v>U5491</v>
      </c>
      <c r="D23" s="11" t="str">
        <f t="array" ref="D23">iferror(index(fish_lab_data!D:D,match(A23,fish_lab_data!C:C,0)))</f>
        <v>JP452</v>
      </c>
      <c r="E23" s="6">
        <v>99.0</v>
      </c>
      <c r="F23" s="10" t="str">
        <f t="shared" si="3"/>
        <v>BCA99</v>
      </c>
      <c r="G23" s="55" t="str">
        <f t="shared" si="4"/>
        <v>NA</v>
      </c>
      <c r="H23" s="10" t="str">
        <f t="shared" si="5"/>
        <v>BCA99-NA</v>
      </c>
      <c r="I23" s="16"/>
      <c r="J23" s="16" t="str">
        <f t="shared" si="6"/>
        <v>collected</v>
      </c>
      <c r="K23" s="16" t="str">
        <f t="shared" si="7"/>
        <v>N</v>
      </c>
      <c r="L23" s="16"/>
      <c r="M23" s="16"/>
    </row>
    <row r="24">
      <c r="A24" s="6" t="s">
        <v>102</v>
      </c>
      <c r="B24" s="10" t="str">
        <f t="shared" si="1"/>
        <v>fish</v>
      </c>
      <c r="C24" s="49" t="str">
        <f t="shared" si="2"/>
        <v>U5492</v>
      </c>
      <c r="D24" s="11" t="str">
        <f t="array" ref="D24">iferror(index(fish_lab_data!D:D,match(A24,fish_lab_data!C:C,0)))</f>
        <v>JP452</v>
      </c>
      <c r="E24" s="6">
        <v>99.0</v>
      </c>
      <c r="F24" s="10" t="str">
        <f t="shared" si="3"/>
        <v>BCA99</v>
      </c>
      <c r="G24" s="55" t="str">
        <f t="shared" si="4"/>
        <v>NA</v>
      </c>
      <c r="H24" s="10" t="str">
        <f t="shared" si="5"/>
        <v>BCA99-NA</v>
      </c>
      <c r="I24" s="16"/>
      <c r="J24" s="16" t="str">
        <f t="shared" si="6"/>
        <v>collected</v>
      </c>
      <c r="K24" s="16" t="str">
        <f t="shared" si="7"/>
        <v>N</v>
      </c>
      <c r="L24" s="16"/>
      <c r="M24" s="16"/>
    </row>
    <row r="25">
      <c r="A25" s="6" t="s">
        <v>103</v>
      </c>
      <c r="B25" s="10" t="str">
        <f t="shared" si="1"/>
        <v>fish</v>
      </c>
      <c r="C25" s="49" t="str">
        <f t="shared" si="2"/>
        <v>U5493</v>
      </c>
      <c r="D25" s="11" t="str">
        <f t="array" ref="D25">iferror(index(fish_lab_data!D:D,match(A25,fish_lab_data!C:C,0)))</f>
        <v>JP452</v>
      </c>
      <c r="E25" s="6">
        <v>99.0</v>
      </c>
      <c r="F25" s="10" t="str">
        <f t="shared" si="3"/>
        <v>BCA99</v>
      </c>
      <c r="G25" s="55" t="str">
        <f t="shared" si="4"/>
        <v>NA</v>
      </c>
      <c r="H25" s="10" t="str">
        <f t="shared" si="5"/>
        <v>BCA99-NA</v>
      </c>
      <c r="I25" s="16"/>
      <c r="J25" s="16" t="str">
        <f t="shared" si="6"/>
        <v>collected</v>
      </c>
      <c r="K25" s="16" t="str">
        <f t="shared" si="7"/>
        <v>N</v>
      </c>
      <c r="L25" s="16"/>
      <c r="M25" s="16"/>
    </row>
    <row r="26">
      <c r="A26" s="6" t="s">
        <v>104</v>
      </c>
      <c r="B26" s="10" t="str">
        <f t="shared" si="1"/>
        <v>fish</v>
      </c>
      <c r="C26" s="49" t="str">
        <f t="shared" si="2"/>
        <v>U5494</v>
      </c>
      <c r="D26" s="11" t="str">
        <f t="array" ref="D26">iferror(index(fish_lab_data!D:D,match(A26,fish_lab_data!C:C,0)))</f>
        <v>JP452</v>
      </c>
      <c r="E26" s="6">
        <v>99.0</v>
      </c>
      <c r="F26" s="10" t="str">
        <f t="shared" si="3"/>
        <v>BCA99</v>
      </c>
      <c r="G26" s="55" t="str">
        <f t="shared" si="4"/>
        <v>NA</v>
      </c>
      <c r="H26" s="10" t="str">
        <f t="shared" si="5"/>
        <v>BCA99-NA</v>
      </c>
      <c r="I26" s="16"/>
      <c r="J26" s="16" t="str">
        <f t="shared" si="6"/>
        <v>collected</v>
      </c>
      <c r="K26" s="16" t="str">
        <f t="shared" si="7"/>
        <v>N</v>
      </c>
      <c r="L26" s="16"/>
      <c r="M26" s="16"/>
    </row>
    <row r="27">
      <c r="A27" s="6" t="s">
        <v>106</v>
      </c>
      <c r="B27" s="10" t="str">
        <f t="shared" si="1"/>
        <v>fish</v>
      </c>
      <c r="C27" s="49" t="str">
        <f t="shared" si="2"/>
        <v>U5495</v>
      </c>
      <c r="D27" s="11" t="str">
        <f t="array" ref="D27">iferror(index(fish_lab_data!D:D,match(A27,fish_lab_data!C:C,0)))</f>
        <v>JP452</v>
      </c>
      <c r="E27" s="6">
        <v>99.0</v>
      </c>
      <c r="F27" s="10" t="str">
        <f t="shared" si="3"/>
        <v>BCA99</v>
      </c>
      <c r="G27" s="55" t="str">
        <f t="shared" si="4"/>
        <v>NA</v>
      </c>
      <c r="H27" s="10" t="str">
        <f t="shared" si="5"/>
        <v>BCA99-NA</v>
      </c>
      <c r="I27" s="16"/>
      <c r="J27" s="16" t="str">
        <f t="shared" si="6"/>
        <v>collected</v>
      </c>
      <c r="K27" s="16" t="str">
        <f t="shared" si="7"/>
        <v>N</v>
      </c>
      <c r="L27" s="16"/>
      <c r="M27" s="16"/>
    </row>
    <row r="28">
      <c r="A28" s="6" t="s">
        <v>109</v>
      </c>
      <c r="B28" s="10" t="str">
        <f t="shared" si="1"/>
        <v>fish</v>
      </c>
      <c r="C28" s="49" t="str">
        <f t="shared" si="2"/>
        <v>U5496</v>
      </c>
      <c r="D28" s="11" t="str">
        <f t="array" ref="D28">iferror(index(fish_lab_data!D:D,match(A28,fish_lab_data!C:C,0)))</f>
        <v>JP452</v>
      </c>
      <c r="E28" s="6">
        <v>99.0</v>
      </c>
      <c r="F28" s="10" t="str">
        <f t="shared" si="3"/>
        <v>BCA99</v>
      </c>
      <c r="G28" s="55" t="str">
        <f t="shared" si="4"/>
        <v>NA</v>
      </c>
      <c r="H28" s="10" t="str">
        <f t="shared" si="5"/>
        <v>BCA99-NA</v>
      </c>
      <c r="I28" s="16"/>
      <c r="J28" s="16" t="str">
        <f t="shared" si="6"/>
        <v>collected</v>
      </c>
      <c r="K28" s="16" t="str">
        <f t="shared" si="7"/>
        <v>N</v>
      </c>
      <c r="L28" s="16"/>
      <c r="M28" s="16"/>
    </row>
    <row r="29">
      <c r="A29" s="6" t="s">
        <v>110</v>
      </c>
      <c r="B29" s="10" t="str">
        <f t="shared" si="1"/>
        <v>fish</v>
      </c>
      <c r="C29" s="49" t="str">
        <f t="shared" si="2"/>
        <v>U5497</v>
      </c>
      <c r="D29" s="11" t="str">
        <f t="array" ref="D29">iferror(index(fish_lab_data!D:D,match(A29,fish_lab_data!C:C,0)))</f>
        <v>JP452</v>
      </c>
      <c r="E29" s="6">
        <v>99.0</v>
      </c>
      <c r="F29" s="10" t="str">
        <f t="shared" si="3"/>
        <v>BCA99</v>
      </c>
      <c r="G29" s="55" t="str">
        <f t="shared" si="4"/>
        <v>NA</v>
      </c>
      <c r="H29" s="10" t="str">
        <f t="shared" si="5"/>
        <v>BCA99-NA</v>
      </c>
      <c r="I29" s="16"/>
      <c r="J29" s="16" t="str">
        <f t="shared" si="6"/>
        <v>collected</v>
      </c>
      <c r="K29" s="16" t="str">
        <f t="shared" si="7"/>
        <v>N</v>
      </c>
      <c r="L29" s="16"/>
      <c r="M29" s="16"/>
    </row>
    <row r="30">
      <c r="A30" s="6" t="s">
        <v>111</v>
      </c>
      <c r="B30" s="10" t="str">
        <f t="shared" si="1"/>
        <v>fish</v>
      </c>
      <c r="C30" s="49" t="str">
        <f t="shared" si="2"/>
        <v>U5498</v>
      </c>
      <c r="D30" s="11" t="str">
        <f t="array" ref="D30">iferror(index(fish_lab_data!D:D,match(A30,fish_lab_data!C:C,0)))</f>
        <v>JP452</v>
      </c>
      <c r="E30" s="6">
        <v>99.0</v>
      </c>
      <c r="F30" s="10" t="str">
        <f t="shared" si="3"/>
        <v>BCA99</v>
      </c>
      <c r="G30" s="55" t="str">
        <f t="shared" si="4"/>
        <v>NA</v>
      </c>
      <c r="H30" s="10" t="str">
        <f t="shared" si="5"/>
        <v>BCA99-NA</v>
      </c>
      <c r="I30" s="16"/>
      <c r="J30" s="16" t="str">
        <f t="shared" si="6"/>
        <v>collected</v>
      </c>
      <c r="K30" s="16" t="str">
        <f t="shared" si="7"/>
        <v>N</v>
      </c>
      <c r="L30" s="16"/>
      <c r="M30" s="16"/>
    </row>
    <row r="31">
      <c r="A31" s="6" t="s">
        <v>112</v>
      </c>
      <c r="B31" s="10" t="str">
        <f t="shared" si="1"/>
        <v>fish</v>
      </c>
      <c r="C31" s="49" t="str">
        <f t="shared" si="2"/>
        <v>U5499</v>
      </c>
      <c r="D31" s="11" t="str">
        <f t="array" ref="D31">iferror(index(fish_lab_data!D:D,match(A31,fish_lab_data!C:C,0)))</f>
        <v>JP452</v>
      </c>
      <c r="E31" s="6">
        <v>99.0</v>
      </c>
      <c r="F31" s="10" t="str">
        <f t="shared" si="3"/>
        <v>BCA99</v>
      </c>
      <c r="G31" s="55" t="str">
        <f t="shared" si="4"/>
        <v>NA</v>
      </c>
      <c r="H31" s="10" t="str">
        <f t="shared" si="5"/>
        <v>BCA99-NA</v>
      </c>
      <c r="I31" s="16"/>
      <c r="J31" s="16" t="str">
        <f t="shared" si="6"/>
        <v>collected</v>
      </c>
      <c r="K31" s="16" t="str">
        <f t="shared" si="7"/>
        <v>N</v>
      </c>
      <c r="L31" s="16"/>
      <c r="M31" s="16"/>
    </row>
    <row r="32">
      <c r="A32" s="6" t="s">
        <v>114</v>
      </c>
      <c r="B32" s="10" t="str">
        <f t="shared" si="1"/>
        <v>fish</v>
      </c>
      <c r="C32" s="49" t="str">
        <f t="shared" si="2"/>
        <v>U5500</v>
      </c>
      <c r="D32" s="11" t="str">
        <f t="array" ref="D32">iferror(index(fish_lab_data!D:D,match(A32,fish_lab_data!C:C,0)))</f>
        <v>DP717</v>
      </c>
      <c r="E32" s="6">
        <v>99.0</v>
      </c>
      <c r="F32" s="10" t="str">
        <f t="shared" si="3"/>
        <v>BCA99</v>
      </c>
      <c r="G32" s="55" t="str">
        <f t="shared" si="4"/>
        <v>NA</v>
      </c>
      <c r="H32" s="10" t="str">
        <f t="shared" si="5"/>
        <v>BCA99-NA</v>
      </c>
      <c r="I32" s="16"/>
      <c r="J32" s="16" t="str">
        <f t="shared" si="6"/>
        <v>collected</v>
      </c>
      <c r="K32" s="16" t="str">
        <f t="shared" si="7"/>
        <v>N</v>
      </c>
      <c r="L32" s="16"/>
      <c r="M32" s="16"/>
    </row>
    <row r="33">
      <c r="A33" s="6" t="s">
        <v>116</v>
      </c>
      <c r="B33" s="10" t="str">
        <f t="shared" si="1"/>
        <v>fish</v>
      </c>
      <c r="C33" s="49" t="str">
        <f t="shared" si="2"/>
        <v>U5132</v>
      </c>
      <c r="D33" s="11" t="str">
        <f t="array" ref="D33">iferror(index(fish_lab_data!D:D,match(A33,fish_lab_data!C:C,0)))</f>
        <v>DP717</v>
      </c>
      <c r="E33" s="6">
        <v>99.0</v>
      </c>
      <c r="F33" s="10" t="str">
        <f t="shared" si="3"/>
        <v>BCA99</v>
      </c>
      <c r="G33" s="55" t="str">
        <f t="shared" si="4"/>
        <v>NA</v>
      </c>
      <c r="H33" s="10" t="str">
        <f t="shared" si="5"/>
        <v>BCA99-NA</v>
      </c>
      <c r="I33" s="16"/>
      <c r="J33" s="16" t="str">
        <f t="shared" si="6"/>
        <v>collected</v>
      </c>
      <c r="K33" s="16" t="str">
        <f t="shared" si="7"/>
        <v>N</v>
      </c>
      <c r="L33" s="16"/>
      <c r="M33" s="16"/>
    </row>
    <row r="34">
      <c r="A34" s="6" t="s">
        <v>117</v>
      </c>
      <c r="B34" s="10" t="str">
        <f t="shared" si="1"/>
        <v>fish</v>
      </c>
      <c r="C34" s="49" t="str">
        <f t="shared" si="2"/>
        <v>U5133</v>
      </c>
      <c r="D34" s="11" t="str">
        <f t="array" ref="D34">iferror(index(fish_lab_data!D:D,match(A34,fish_lab_data!C:C,0)))</f>
        <v>DP717</v>
      </c>
      <c r="E34" s="6">
        <v>99.0</v>
      </c>
      <c r="F34" s="10" t="str">
        <f t="shared" si="3"/>
        <v>BCA99</v>
      </c>
      <c r="G34" s="55" t="str">
        <f t="shared" si="4"/>
        <v>NA</v>
      </c>
      <c r="H34" s="10" t="str">
        <f t="shared" si="5"/>
        <v>BCA99-NA</v>
      </c>
      <c r="I34" s="16"/>
      <c r="J34" s="16" t="str">
        <f t="shared" si="6"/>
        <v>collected</v>
      </c>
      <c r="K34" s="16" t="str">
        <f t="shared" si="7"/>
        <v>N</v>
      </c>
      <c r="L34" s="16"/>
      <c r="M34" s="16"/>
    </row>
    <row r="35">
      <c r="A35" s="6" t="s">
        <v>119</v>
      </c>
      <c r="B35" s="10" t="str">
        <f t="shared" si="1"/>
        <v>fish</v>
      </c>
      <c r="C35" s="49" t="str">
        <f t="shared" si="2"/>
        <v>U5134</v>
      </c>
      <c r="D35" s="11" t="str">
        <f t="array" ref="D35">iferror(index(fish_lab_data!D:D,match(A35,fish_lab_data!C:C,0)))</f>
        <v>DP717</v>
      </c>
      <c r="E35" s="6">
        <v>99.0</v>
      </c>
      <c r="F35" s="10" t="str">
        <f t="shared" si="3"/>
        <v>BCA99</v>
      </c>
      <c r="G35" s="55" t="str">
        <f t="shared" si="4"/>
        <v>NA</v>
      </c>
      <c r="H35" s="10" t="str">
        <f t="shared" si="5"/>
        <v>BCA99-NA</v>
      </c>
      <c r="I35" s="16"/>
      <c r="J35" s="16" t="str">
        <f t="shared" si="6"/>
        <v>collected</v>
      </c>
      <c r="K35" s="16" t="str">
        <f t="shared" si="7"/>
        <v>N</v>
      </c>
      <c r="L35" s="16"/>
      <c r="M35" s="16"/>
    </row>
    <row r="36">
      <c r="A36" s="6" t="s">
        <v>121</v>
      </c>
      <c r="B36" s="10" t="str">
        <f t="shared" si="1"/>
        <v>fish</v>
      </c>
      <c r="C36" s="49" t="str">
        <f t="shared" si="2"/>
        <v>U5135</v>
      </c>
      <c r="D36" s="11" t="str">
        <f t="array" ref="D36">iferror(index(fish_lab_data!D:D,match(A36,fish_lab_data!C:C,0)))</f>
        <v>DP717</v>
      </c>
      <c r="E36" s="6">
        <v>99.0</v>
      </c>
      <c r="F36" s="10" t="str">
        <f t="shared" si="3"/>
        <v>BCA99</v>
      </c>
      <c r="G36" s="55" t="str">
        <f t="shared" si="4"/>
        <v>NA</v>
      </c>
      <c r="H36" s="10" t="str">
        <f t="shared" si="5"/>
        <v>BCA99-NA</v>
      </c>
      <c r="I36" s="16"/>
      <c r="J36" s="16" t="str">
        <f t="shared" si="6"/>
        <v>collected</v>
      </c>
      <c r="K36" s="16" t="str">
        <f t="shared" si="7"/>
        <v>N</v>
      </c>
      <c r="L36" s="16"/>
      <c r="M36" s="16"/>
    </row>
    <row r="37">
      <c r="A37" s="6" t="s">
        <v>124</v>
      </c>
      <c r="B37" s="10" t="str">
        <f t="shared" si="1"/>
        <v>fish</v>
      </c>
      <c r="C37" s="49" t="str">
        <f t="shared" si="2"/>
        <v>U5136</v>
      </c>
      <c r="D37" s="11" t="str">
        <f t="array" ref="D37">iferror(index(fish_lab_data!D:D,match(A37,fish_lab_data!C:C,0)))</f>
        <v>DP717</v>
      </c>
      <c r="E37" s="6">
        <v>99.0</v>
      </c>
      <c r="F37" s="10" t="str">
        <f t="shared" si="3"/>
        <v>BCA99</v>
      </c>
      <c r="G37" s="55" t="str">
        <f t="shared" si="4"/>
        <v>NA</v>
      </c>
      <c r="H37" s="10" t="str">
        <f t="shared" si="5"/>
        <v>BCA99-NA</v>
      </c>
      <c r="I37" s="16"/>
      <c r="J37" s="16" t="str">
        <f t="shared" si="6"/>
        <v>collected</v>
      </c>
      <c r="K37" s="16" t="str">
        <f t="shared" si="7"/>
        <v>N</v>
      </c>
      <c r="L37" s="16"/>
      <c r="M37" s="16"/>
    </row>
    <row r="38">
      <c r="A38" s="6" t="s">
        <v>126</v>
      </c>
      <c r="B38" s="10" t="str">
        <f t="shared" si="1"/>
        <v>fish</v>
      </c>
      <c r="C38" s="49" t="str">
        <f t="shared" si="2"/>
        <v>U5137</v>
      </c>
      <c r="D38" s="11" t="str">
        <f t="array" ref="D38">iferror(index(fish_lab_data!D:D,match(A38,fish_lab_data!C:C,0)))</f>
        <v>DP717</v>
      </c>
      <c r="E38" s="6">
        <v>99.0</v>
      </c>
      <c r="F38" s="10" t="str">
        <f t="shared" si="3"/>
        <v>BCA99</v>
      </c>
      <c r="G38" s="55" t="str">
        <f t="shared" si="4"/>
        <v>NA</v>
      </c>
      <c r="H38" s="10" t="str">
        <f t="shared" si="5"/>
        <v>BCA99-NA</v>
      </c>
      <c r="I38" s="16"/>
      <c r="J38" s="16" t="str">
        <f t="shared" si="6"/>
        <v>collected</v>
      </c>
      <c r="K38" s="16" t="str">
        <f t="shared" si="7"/>
        <v>N</v>
      </c>
      <c r="L38" s="16"/>
      <c r="M38" s="16"/>
    </row>
    <row r="39">
      <c r="A39" s="6" t="s">
        <v>128</v>
      </c>
      <c r="B39" s="10" t="str">
        <f t="shared" si="1"/>
        <v>fish</v>
      </c>
      <c r="C39" s="49" t="str">
        <f t="shared" si="2"/>
        <v>U5138</v>
      </c>
      <c r="D39" s="11" t="str">
        <f t="array" ref="D39">iferror(index(fish_lab_data!D:D,match(A39,fish_lab_data!C:C,0)))</f>
        <v>DP717</v>
      </c>
      <c r="E39" s="6">
        <v>99.0</v>
      </c>
      <c r="F39" s="10" t="str">
        <f t="shared" si="3"/>
        <v>BCA99</v>
      </c>
      <c r="G39" s="55" t="str">
        <f t="shared" si="4"/>
        <v>NA</v>
      </c>
      <c r="H39" s="10" t="str">
        <f t="shared" si="5"/>
        <v>BCA99-NA</v>
      </c>
      <c r="I39" s="16"/>
      <c r="J39" s="16" t="str">
        <f t="shared" si="6"/>
        <v>collected</v>
      </c>
      <c r="K39" s="16" t="str">
        <f t="shared" si="7"/>
        <v>N</v>
      </c>
      <c r="L39" s="16"/>
      <c r="M39" s="16"/>
    </row>
    <row r="40">
      <c r="A40" s="6" t="s">
        <v>129</v>
      </c>
      <c r="B40" s="10" t="str">
        <f t="shared" si="1"/>
        <v>fish</v>
      </c>
      <c r="C40" s="49" t="str">
        <f t="shared" si="2"/>
        <v>U5139</v>
      </c>
      <c r="D40" s="11" t="str">
        <f t="array" ref="D40">iferror(index(fish_lab_data!D:D,match(A40,fish_lab_data!C:C,0)))</f>
        <v>DP717</v>
      </c>
      <c r="E40" s="6">
        <v>99.0</v>
      </c>
      <c r="F40" s="10" t="str">
        <f t="shared" si="3"/>
        <v>BCA99</v>
      </c>
      <c r="G40" s="55" t="str">
        <f t="shared" si="4"/>
        <v>NA</v>
      </c>
      <c r="H40" s="10" t="str">
        <f t="shared" si="5"/>
        <v>BCA99-NA</v>
      </c>
      <c r="I40" s="16"/>
      <c r="J40" s="16" t="str">
        <f t="shared" si="6"/>
        <v>collected</v>
      </c>
      <c r="K40" s="16" t="str">
        <f t="shared" si="7"/>
        <v>N</v>
      </c>
      <c r="L40" s="16"/>
      <c r="M40" s="16"/>
    </row>
    <row r="41">
      <c r="A41" s="6" t="s">
        <v>131</v>
      </c>
      <c r="B41" s="10" t="str">
        <f t="shared" si="1"/>
        <v>fish</v>
      </c>
      <c r="C41" s="49" t="str">
        <f t="shared" si="2"/>
        <v>U5140</v>
      </c>
      <c r="D41" s="11" t="str">
        <f t="array" ref="D41">iferror(index(fish_lab_data!D:D,match(A41,fish_lab_data!C:C,0)))</f>
        <v>DP717</v>
      </c>
      <c r="E41" s="6">
        <v>99.0</v>
      </c>
      <c r="F41" s="10" t="str">
        <f t="shared" si="3"/>
        <v>BCA99</v>
      </c>
      <c r="G41" s="55" t="str">
        <f t="shared" si="4"/>
        <v>NA</v>
      </c>
      <c r="H41" s="10" t="str">
        <f t="shared" si="5"/>
        <v>BCA99-NA</v>
      </c>
      <c r="I41" s="16"/>
      <c r="J41" s="16" t="str">
        <f t="shared" si="6"/>
        <v>collected</v>
      </c>
      <c r="K41" s="16" t="str">
        <f t="shared" si="7"/>
        <v>N</v>
      </c>
      <c r="L41" s="16"/>
      <c r="M41" s="16"/>
    </row>
    <row r="42">
      <c r="A42" s="6" t="s">
        <v>133</v>
      </c>
      <c r="B42" s="10" t="str">
        <f t="shared" si="1"/>
        <v>fish</v>
      </c>
      <c r="C42" s="49" t="str">
        <f t="shared" si="2"/>
        <v>U5141</v>
      </c>
      <c r="D42" s="11" t="str">
        <f t="array" ref="D42">iferror(index(fish_lab_data!D:D,match(A42,fish_lab_data!C:C,0)))</f>
        <v>DP718</v>
      </c>
      <c r="E42" s="6">
        <v>99.0</v>
      </c>
      <c r="F42" s="10" t="str">
        <f t="shared" si="3"/>
        <v>BCA99</v>
      </c>
      <c r="G42" s="55" t="str">
        <f t="shared" si="4"/>
        <v>NA</v>
      </c>
      <c r="H42" s="10" t="str">
        <f t="shared" si="5"/>
        <v>BCA99-NA</v>
      </c>
      <c r="I42" s="16"/>
      <c r="J42" s="16" t="str">
        <f t="shared" si="6"/>
        <v>collected</v>
      </c>
      <c r="K42" s="16" t="str">
        <f t="shared" si="7"/>
        <v>N</v>
      </c>
      <c r="L42" s="16"/>
      <c r="M42" s="16"/>
    </row>
    <row r="43">
      <c r="A43" s="6" t="s">
        <v>135</v>
      </c>
      <c r="B43" s="10" t="str">
        <f t="shared" si="1"/>
        <v>fish</v>
      </c>
      <c r="C43" s="49" t="str">
        <f t="shared" si="2"/>
        <v>U5142</v>
      </c>
      <c r="D43" s="11" t="str">
        <f t="array" ref="D43">iferror(index(fish_lab_data!D:D,match(A43,fish_lab_data!C:C,0)))</f>
        <v>DP718</v>
      </c>
      <c r="E43" s="6">
        <v>99.0</v>
      </c>
      <c r="F43" s="10" t="str">
        <f t="shared" si="3"/>
        <v>BCA99</v>
      </c>
      <c r="G43" s="55" t="str">
        <f t="shared" si="4"/>
        <v>NA</v>
      </c>
      <c r="H43" s="10" t="str">
        <f t="shared" si="5"/>
        <v>BCA99-NA</v>
      </c>
      <c r="I43" s="16"/>
      <c r="J43" s="16" t="str">
        <f t="shared" si="6"/>
        <v>collected</v>
      </c>
      <c r="K43" s="16" t="str">
        <f t="shared" si="7"/>
        <v>N</v>
      </c>
      <c r="L43" s="16"/>
      <c r="M43" s="16"/>
    </row>
    <row r="44">
      <c r="A44" s="6" t="s">
        <v>136</v>
      </c>
      <c r="B44" s="10" t="str">
        <f t="shared" si="1"/>
        <v>fish</v>
      </c>
      <c r="C44" s="49" t="str">
        <f t="shared" si="2"/>
        <v>U5143</v>
      </c>
      <c r="D44" s="11" t="str">
        <f t="array" ref="D44">iferror(index(fish_lab_data!D:D,match(A44,fish_lab_data!C:C,0)))</f>
        <v>DP718</v>
      </c>
      <c r="E44" s="6">
        <v>99.0</v>
      </c>
      <c r="F44" s="10" t="str">
        <f t="shared" si="3"/>
        <v>BCA99</v>
      </c>
      <c r="G44" s="55" t="str">
        <f t="shared" si="4"/>
        <v>NA</v>
      </c>
      <c r="H44" s="10" t="str">
        <f t="shared" si="5"/>
        <v>BCA99-NA</v>
      </c>
      <c r="I44" s="16"/>
      <c r="J44" s="16" t="str">
        <f t="shared" si="6"/>
        <v>collected</v>
      </c>
      <c r="K44" s="16" t="str">
        <f t="shared" si="7"/>
        <v>N</v>
      </c>
      <c r="L44" s="16"/>
      <c r="M44" s="16"/>
    </row>
    <row r="45">
      <c r="A45" s="6" t="s">
        <v>138</v>
      </c>
      <c r="B45" s="10" t="str">
        <f t="shared" si="1"/>
        <v>fish</v>
      </c>
      <c r="C45" s="49" t="str">
        <f t="shared" si="2"/>
        <v>U5144</v>
      </c>
      <c r="D45" s="11" t="str">
        <f t="array" ref="D45">iferror(index(fish_lab_data!D:D,match(A45,fish_lab_data!C:C,0)))</f>
        <v>DP718</v>
      </c>
      <c r="E45" s="6">
        <v>99.0</v>
      </c>
      <c r="F45" s="10" t="str">
        <f t="shared" si="3"/>
        <v>BCA99</v>
      </c>
      <c r="G45" s="55" t="str">
        <f t="shared" si="4"/>
        <v>NA</v>
      </c>
      <c r="H45" s="10" t="str">
        <f t="shared" si="5"/>
        <v>BCA99-NA</v>
      </c>
      <c r="I45" s="16"/>
      <c r="J45" s="16" t="str">
        <f t="shared" si="6"/>
        <v>collected</v>
      </c>
      <c r="K45" s="16" t="str">
        <f t="shared" si="7"/>
        <v>N</v>
      </c>
      <c r="L45" s="16"/>
      <c r="M45" s="16"/>
    </row>
    <row r="46">
      <c r="A46" s="6" t="s">
        <v>139</v>
      </c>
      <c r="B46" s="10" t="str">
        <f t="shared" si="1"/>
        <v>fish</v>
      </c>
      <c r="C46" s="49" t="str">
        <f t="shared" si="2"/>
        <v>U5145</v>
      </c>
      <c r="D46" s="11" t="str">
        <f t="array" ref="D46">iferror(index(fish_lab_data!D:D,match(A46,fish_lab_data!C:C,0)))</f>
        <v>DP718</v>
      </c>
      <c r="E46" s="6">
        <v>99.0</v>
      </c>
      <c r="F46" s="10" t="str">
        <f t="shared" si="3"/>
        <v>BCA99</v>
      </c>
      <c r="G46" s="55" t="str">
        <f t="shared" si="4"/>
        <v>NA</v>
      </c>
      <c r="H46" s="10" t="str">
        <f t="shared" si="5"/>
        <v>BCA99-NA</v>
      </c>
      <c r="I46" s="16"/>
      <c r="J46" s="16" t="str">
        <f t="shared" si="6"/>
        <v>collected</v>
      </c>
      <c r="K46" s="16" t="str">
        <f t="shared" si="7"/>
        <v>N</v>
      </c>
      <c r="L46" s="16"/>
      <c r="M46" s="16"/>
    </row>
    <row r="47">
      <c r="A47" s="6" t="s">
        <v>141</v>
      </c>
      <c r="B47" s="10" t="str">
        <f t="shared" si="1"/>
        <v>fish</v>
      </c>
      <c r="C47" s="49" t="str">
        <f t="shared" si="2"/>
        <v>U5146</v>
      </c>
      <c r="D47" s="11" t="str">
        <f t="array" ref="D47">iferror(index(fish_lab_data!D:D,match(A47,fish_lab_data!C:C,0)))</f>
        <v>DP718</v>
      </c>
      <c r="E47" s="6">
        <v>99.0</v>
      </c>
      <c r="F47" s="10" t="str">
        <f t="shared" si="3"/>
        <v>BCA99</v>
      </c>
      <c r="G47" s="55" t="str">
        <f t="shared" si="4"/>
        <v>NA</v>
      </c>
      <c r="H47" s="10" t="str">
        <f t="shared" si="5"/>
        <v>BCA99-NA</v>
      </c>
      <c r="I47" s="16"/>
      <c r="J47" s="16" t="str">
        <f t="shared" si="6"/>
        <v>collected</v>
      </c>
      <c r="K47" s="16" t="str">
        <f t="shared" si="7"/>
        <v>N</v>
      </c>
      <c r="L47" s="16"/>
      <c r="M47" s="16"/>
    </row>
    <row r="48">
      <c r="A48" s="6" t="s">
        <v>143</v>
      </c>
      <c r="B48" s="10" t="str">
        <f t="shared" si="1"/>
        <v>fish</v>
      </c>
      <c r="C48" s="49" t="str">
        <f t="shared" si="2"/>
        <v>U5147</v>
      </c>
      <c r="D48" s="11" t="str">
        <f t="array" ref="D48">iferror(index(fish_lab_data!D:D,match(A48,fish_lab_data!C:C,0)))</f>
        <v>DP718</v>
      </c>
      <c r="E48" s="6">
        <v>99.0</v>
      </c>
      <c r="F48" s="10" t="str">
        <f t="shared" si="3"/>
        <v>BCA99</v>
      </c>
      <c r="G48" s="55" t="str">
        <f t="shared" si="4"/>
        <v>NA</v>
      </c>
      <c r="H48" s="10" t="str">
        <f t="shared" si="5"/>
        <v>BCA99-NA</v>
      </c>
      <c r="I48" s="16"/>
      <c r="J48" s="16" t="str">
        <f t="shared" si="6"/>
        <v>collected</v>
      </c>
      <c r="K48" s="16" t="str">
        <f t="shared" si="7"/>
        <v>N</v>
      </c>
      <c r="L48" s="16"/>
      <c r="M48" s="16"/>
    </row>
    <row r="49">
      <c r="A49" s="6" t="s">
        <v>144</v>
      </c>
      <c r="B49" s="10" t="str">
        <f t="shared" si="1"/>
        <v>fish</v>
      </c>
      <c r="C49" s="49" t="str">
        <f t="shared" si="2"/>
        <v>U5148</v>
      </c>
      <c r="D49" s="11" t="str">
        <f t="array" ref="D49">iferror(index(fish_lab_data!D:D,match(A49,fish_lab_data!C:C,0)))</f>
        <v>DP718</v>
      </c>
      <c r="E49" s="6">
        <v>99.0</v>
      </c>
      <c r="F49" s="10" t="str">
        <f t="shared" si="3"/>
        <v>BCA99</v>
      </c>
      <c r="G49" s="55" t="str">
        <f t="shared" si="4"/>
        <v>NA</v>
      </c>
      <c r="H49" s="10" t="str">
        <f t="shared" si="5"/>
        <v>BCA99-NA</v>
      </c>
      <c r="I49" s="16"/>
      <c r="J49" s="16" t="str">
        <f t="shared" si="6"/>
        <v>collected</v>
      </c>
      <c r="K49" s="16" t="str">
        <f t="shared" si="7"/>
        <v>N</v>
      </c>
      <c r="L49" s="16"/>
      <c r="M49" s="16"/>
    </row>
    <row r="50">
      <c r="A50" s="6" t="s">
        <v>146</v>
      </c>
      <c r="B50" s="10" t="str">
        <f t="shared" si="1"/>
        <v>fish</v>
      </c>
      <c r="C50" s="49" t="str">
        <f t="shared" si="2"/>
        <v>U5149</v>
      </c>
      <c r="D50" s="11" t="str">
        <f t="array" ref="D50">iferror(index(fish_lab_data!D:D,match(A50,fish_lab_data!C:C,0)))</f>
        <v>DP718</v>
      </c>
      <c r="E50" s="6">
        <v>99.0</v>
      </c>
      <c r="F50" s="10" t="str">
        <f t="shared" si="3"/>
        <v>BCA99</v>
      </c>
      <c r="G50" s="55" t="str">
        <f t="shared" si="4"/>
        <v>NA</v>
      </c>
      <c r="H50" s="10" t="str">
        <f t="shared" si="5"/>
        <v>BCA99-NA</v>
      </c>
      <c r="I50" s="16"/>
      <c r="J50" s="16" t="str">
        <f t="shared" si="6"/>
        <v>collected</v>
      </c>
      <c r="K50" s="16" t="str">
        <f t="shared" si="7"/>
        <v>N</v>
      </c>
      <c r="L50" s="16"/>
      <c r="M50" s="16"/>
    </row>
    <row r="51">
      <c r="A51" s="6" t="s">
        <v>149</v>
      </c>
      <c r="B51" s="10" t="str">
        <f t="shared" si="1"/>
        <v>fish</v>
      </c>
      <c r="C51" s="49" t="str">
        <f t="shared" si="2"/>
        <v>U5150</v>
      </c>
      <c r="D51" s="11" t="str">
        <f t="array" ref="D51">iferror(index(fish_lab_data!D:D,match(A51,fish_lab_data!C:C,0)))</f>
        <v>DP718</v>
      </c>
      <c r="E51" s="6">
        <v>99.0</v>
      </c>
      <c r="F51" s="10" t="str">
        <f t="shared" si="3"/>
        <v>BCA99</v>
      </c>
      <c r="G51" s="55" t="str">
        <f t="shared" si="4"/>
        <v>NA</v>
      </c>
      <c r="H51" s="10" t="str">
        <f t="shared" si="5"/>
        <v>BCA99-NA</v>
      </c>
      <c r="I51" s="16"/>
      <c r="J51" s="16" t="str">
        <f t="shared" si="6"/>
        <v>collected</v>
      </c>
      <c r="K51" s="16" t="str">
        <f t="shared" si="7"/>
        <v>N</v>
      </c>
      <c r="L51" s="16"/>
      <c r="M51" s="16"/>
    </row>
    <row r="52">
      <c r="A52" s="6" t="s">
        <v>151</v>
      </c>
      <c r="B52" s="10" t="str">
        <f t="shared" si="1"/>
        <v>fish</v>
      </c>
      <c r="C52" s="49" t="str">
        <f t="shared" si="2"/>
        <v>U5161</v>
      </c>
      <c r="D52" s="11" t="str">
        <f t="array" ref="D52">iferror(index(fish_lab_data!D:D,match(A52,fish_lab_data!C:C,0)))</f>
        <v>DP719</v>
      </c>
      <c r="E52" s="6">
        <v>99.0</v>
      </c>
      <c r="F52" s="10" t="str">
        <f t="shared" si="3"/>
        <v>BCA99</v>
      </c>
      <c r="G52" s="55" t="str">
        <f t="shared" si="4"/>
        <v>NA</v>
      </c>
      <c r="H52" s="10" t="str">
        <f t="shared" si="5"/>
        <v>BCA99-NA</v>
      </c>
      <c r="I52" s="16"/>
      <c r="J52" s="16" t="str">
        <f t="shared" si="6"/>
        <v>collected</v>
      </c>
      <c r="K52" s="16" t="str">
        <f t="shared" si="7"/>
        <v>N</v>
      </c>
      <c r="L52" s="16"/>
      <c r="M52" s="16"/>
    </row>
    <row r="53">
      <c r="A53" s="6" t="s">
        <v>153</v>
      </c>
      <c r="B53" s="10" t="str">
        <f t="shared" si="1"/>
        <v>fish</v>
      </c>
      <c r="C53" s="49" t="str">
        <f t="shared" si="2"/>
        <v>U5162</v>
      </c>
      <c r="D53" s="11" t="str">
        <f t="array" ref="D53">iferror(index(fish_lab_data!D:D,match(A53,fish_lab_data!C:C,0)))</f>
        <v>DP719</v>
      </c>
      <c r="E53" s="6">
        <v>99.0</v>
      </c>
      <c r="F53" s="10" t="str">
        <f t="shared" si="3"/>
        <v>BCA99</v>
      </c>
      <c r="G53" s="55" t="str">
        <f t="shared" si="4"/>
        <v>NA</v>
      </c>
      <c r="H53" s="10" t="str">
        <f t="shared" si="5"/>
        <v>BCA99-NA</v>
      </c>
      <c r="I53" s="16"/>
      <c r="J53" s="16" t="str">
        <f t="shared" si="6"/>
        <v>collected</v>
      </c>
      <c r="K53" s="16" t="str">
        <f t="shared" si="7"/>
        <v>N</v>
      </c>
      <c r="L53" s="16"/>
      <c r="M53" s="16"/>
    </row>
    <row r="54">
      <c r="A54" s="6" t="s">
        <v>154</v>
      </c>
      <c r="B54" s="10" t="str">
        <f t="shared" si="1"/>
        <v>fish</v>
      </c>
      <c r="C54" s="49" t="str">
        <f t="shared" si="2"/>
        <v>U5163</v>
      </c>
      <c r="D54" s="11" t="str">
        <f t="array" ref="D54">iferror(index(fish_lab_data!D:D,match(A54,fish_lab_data!C:C,0)))</f>
        <v>DP719</v>
      </c>
      <c r="E54" s="6">
        <v>99.0</v>
      </c>
      <c r="F54" s="10" t="str">
        <f t="shared" si="3"/>
        <v>BCA99</v>
      </c>
      <c r="G54" s="55" t="str">
        <f t="shared" si="4"/>
        <v>NA</v>
      </c>
      <c r="H54" s="10" t="str">
        <f t="shared" si="5"/>
        <v>BCA99-NA</v>
      </c>
      <c r="I54" s="16"/>
      <c r="J54" s="16" t="str">
        <f t="shared" si="6"/>
        <v>collected</v>
      </c>
      <c r="K54" s="16" t="str">
        <f t="shared" si="7"/>
        <v>N</v>
      </c>
      <c r="L54" s="16"/>
      <c r="M54" s="16"/>
    </row>
    <row r="55">
      <c r="A55" s="6" t="s">
        <v>156</v>
      </c>
      <c r="B55" s="10" t="str">
        <f t="shared" si="1"/>
        <v>fish</v>
      </c>
      <c r="C55" s="49" t="str">
        <f t="shared" si="2"/>
        <v>U5164</v>
      </c>
      <c r="D55" s="11" t="str">
        <f t="array" ref="D55">iferror(index(fish_lab_data!D:D,match(A55,fish_lab_data!C:C,0)))</f>
        <v>DP719</v>
      </c>
      <c r="E55" s="6">
        <v>99.0</v>
      </c>
      <c r="F55" s="10" t="str">
        <f t="shared" si="3"/>
        <v>BCA99</v>
      </c>
      <c r="G55" s="55" t="str">
        <f t="shared" si="4"/>
        <v>NA</v>
      </c>
      <c r="H55" s="10" t="str">
        <f t="shared" si="5"/>
        <v>BCA99-NA</v>
      </c>
      <c r="I55" s="16"/>
      <c r="J55" s="16" t="str">
        <f t="shared" si="6"/>
        <v>collected</v>
      </c>
      <c r="K55" s="16" t="str">
        <f t="shared" si="7"/>
        <v>N</v>
      </c>
      <c r="L55" s="16"/>
      <c r="M55" s="16"/>
    </row>
    <row r="56">
      <c r="A56" s="6" t="s">
        <v>158</v>
      </c>
      <c r="B56" s="10" t="str">
        <f t="shared" si="1"/>
        <v>fish</v>
      </c>
      <c r="C56" s="49" t="str">
        <f t="shared" si="2"/>
        <v>U5165</v>
      </c>
      <c r="D56" s="11" t="str">
        <f t="array" ref="D56">iferror(index(fish_lab_data!D:D,match(A56,fish_lab_data!C:C,0)))</f>
        <v>DP719</v>
      </c>
      <c r="E56" s="6">
        <v>99.0</v>
      </c>
      <c r="F56" s="10" t="str">
        <f t="shared" si="3"/>
        <v>BCA99</v>
      </c>
      <c r="G56" s="55" t="str">
        <f t="shared" si="4"/>
        <v>NA</v>
      </c>
      <c r="H56" s="10" t="str">
        <f t="shared" si="5"/>
        <v>BCA99-NA</v>
      </c>
      <c r="I56" s="16"/>
      <c r="J56" s="16" t="str">
        <f t="shared" si="6"/>
        <v>collected</v>
      </c>
      <c r="K56" s="16" t="str">
        <f t="shared" si="7"/>
        <v>N</v>
      </c>
      <c r="L56" s="16"/>
      <c r="M56" s="16"/>
    </row>
    <row r="57">
      <c r="A57" s="6" t="s">
        <v>160</v>
      </c>
      <c r="B57" s="10" t="str">
        <f t="shared" si="1"/>
        <v>fish</v>
      </c>
      <c r="C57" s="49" t="str">
        <f t="shared" si="2"/>
        <v>U5166</v>
      </c>
      <c r="D57" s="11" t="str">
        <f t="array" ref="D57">iferror(index(fish_lab_data!D:D,match(A57,fish_lab_data!C:C,0)))</f>
        <v>DP719</v>
      </c>
      <c r="E57" s="6">
        <v>99.0</v>
      </c>
      <c r="F57" s="10" t="str">
        <f t="shared" si="3"/>
        <v>BCA99</v>
      </c>
      <c r="G57" s="55" t="str">
        <f t="shared" si="4"/>
        <v>NA</v>
      </c>
      <c r="H57" s="10" t="str">
        <f t="shared" si="5"/>
        <v>BCA99-NA</v>
      </c>
      <c r="I57" s="16"/>
      <c r="J57" s="16" t="str">
        <f t="shared" si="6"/>
        <v>collected</v>
      </c>
      <c r="K57" s="16" t="str">
        <f t="shared" si="7"/>
        <v>N</v>
      </c>
      <c r="L57" s="16"/>
      <c r="M57" s="16"/>
    </row>
    <row r="58">
      <c r="A58" s="6" t="s">
        <v>161</v>
      </c>
      <c r="B58" s="10" t="str">
        <f t="shared" si="1"/>
        <v>fish</v>
      </c>
      <c r="C58" s="49" t="str">
        <f t="shared" si="2"/>
        <v>U5167</v>
      </c>
      <c r="D58" s="11" t="str">
        <f t="array" ref="D58">iferror(index(fish_lab_data!D:D,match(A58,fish_lab_data!C:C,0)))</f>
        <v>DP719</v>
      </c>
      <c r="E58" s="6">
        <v>99.0</v>
      </c>
      <c r="F58" s="10" t="str">
        <f t="shared" si="3"/>
        <v>BCA99</v>
      </c>
      <c r="G58" s="55" t="str">
        <f t="shared" si="4"/>
        <v>NA</v>
      </c>
      <c r="H58" s="10" t="str">
        <f t="shared" si="5"/>
        <v>BCA99-NA</v>
      </c>
      <c r="I58" s="16"/>
      <c r="J58" s="16" t="str">
        <f t="shared" si="6"/>
        <v>collected</v>
      </c>
      <c r="K58" s="16" t="str">
        <f t="shared" si="7"/>
        <v>N</v>
      </c>
      <c r="L58" s="16"/>
      <c r="M58" s="16"/>
    </row>
    <row r="59">
      <c r="A59" s="6" t="s">
        <v>163</v>
      </c>
      <c r="B59" s="10" t="str">
        <f t="shared" si="1"/>
        <v>fish</v>
      </c>
      <c r="C59" s="49" t="str">
        <f t="shared" si="2"/>
        <v>U5168</v>
      </c>
      <c r="D59" s="11" t="str">
        <f t="array" ref="D59">iferror(index(fish_lab_data!D:D,match(A59,fish_lab_data!C:C,0)))</f>
        <v>DP719</v>
      </c>
      <c r="E59" s="6">
        <v>99.0</v>
      </c>
      <c r="F59" s="10" t="str">
        <f t="shared" si="3"/>
        <v>BCA99</v>
      </c>
      <c r="G59" s="55" t="str">
        <f t="shared" si="4"/>
        <v>NA</v>
      </c>
      <c r="H59" s="10" t="str">
        <f t="shared" si="5"/>
        <v>BCA99-NA</v>
      </c>
      <c r="I59" s="16"/>
      <c r="J59" s="16" t="str">
        <f t="shared" si="6"/>
        <v>collected</v>
      </c>
      <c r="K59" s="16" t="str">
        <f t="shared" si="7"/>
        <v>N</v>
      </c>
      <c r="L59" s="16"/>
      <c r="M59" s="16"/>
    </row>
    <row r="60">
      <c r="A60" s="6" t="s">
        <v>166</v>
      </c>
      <c r="B60" s="10" t="str">
        <f t="shared" si="1"/>
        <v>fish</v>
      </c>
      <c r="C60" s="49" t="str">
        <f t="shared" si="2"/>
        <v>U5169</v>
      </c>
      <c r="D60" s="11" t="str">
        <f t="array" ref="D60">iferror(index(fish_lab_data!D:D,match(A60,fish_lab_data!C:C,0)))</f>
        <v>DP719</v>
      </c>
      <c r="E60" s="6">
        <v>99.0</v>
      </c>
      <c r="F60" s="10" t="str">
        <f t="shared" si="3"/>
        <v>BCA99</v>
      </c>
      <c r="G60" s="55" t="str">
        <f t="shared" si="4"/>
        <v>NA</v>
      </c>
      <c r="H60" s="10" t="str">
        <f t="shared" si="5"/>
        <v>BCA99-NA</v>
      </c>
      <c r="I60" s="16"/>
      <c r="J60" s="16" t="str">
        <f t="shared" si="6"/>
        <v>collected</v>
      </c>
      <c r="K60" s="16" t="str">
        <f t="shared" si="7"/>
        <v>N</v>
      </c>
      <c r="L60" s="16"/>
      <c r="M60" s="16"/>
    </row>
    <row r="61">
      <c r="A61" s="6" t="s">
        <v>167</v>
      </c>
      <c r="B61" s="10" t="str">
        <f t="shared" si="1"/>
        <v>fish</v>
      </c>
      <c r="C61" s="49" t="str">
        <f t="shared" si="2"/>
        <v>U5170</v>
      </c>
      <c r="D61" s="11" t="str">
        <f t="array" ref="D61">iferror(index(fish_lab_data!D:D,match(A61,fish_lab_data!C:C,0)))</f>
        <v>DP719</v>
      </c>
      <c r="E61" s="6">
        <v>99.0</v>
      </c>
      <c r="F61" s="10" t="str">
        <f t="shared" si="3"/>
        <v>BCA99</v>
      </c>
      <c r="G61" s="55" t="str">
        <f t="shared" si="4"/>
        <v>NA</v>
      </c>
      <c r="H61" s="10" t="str">
        <f t="shared" si="5"/>
        <v>BCA99-NA</v>
      </c>
      <c r="I61" s="16"/>
      <c r="J61" s="16" t="str">
        <f t="shared" si="6"/>
        <v>collected</v>
      </c>
      <c r="K61" s="16" t="str">
        <f t="shared" si="7"/>
        <v>N</v>
      </c>
      <c r="L61" s="16"/>
      <c r="M61" s="16"/>
    </row>
    <row r="62">
      <c r="A62" s="18" t="s">
        <v>168</v>
      </c>
      <c r="B62" s="10" t="str">
        <f t="shared" si="1"/>
        <v>fish</v>
      </c>
      <c r="C62" s="49" t="str">
        <f t="shared" si="2"/>
        <v>U5151</v>
      </c>
      <c r="D62" s="11" t="str">
        <f t="array" ref="D62">iferror(index(fish_lab_data!D:D,match(A62,fish_lab_data!C:C,0)))</f>
        <v>JP453</v>
      </c>
      <c r="E62" s="6">
        <v>99.0</v>
      </c>
      <c r="F62" s="10" t="str">
        <f t="shared" si="3"/>
        <v>BCA99</v>
      </c>
      <c r="G62" s="55" t="str">
        <f t="shared" si="4"/>
        <v>NA</v>
      </c>
      <c r="H62" s="10" t="str">
        <f t="shared" si="5"/>
        <v>BCA99-NA</v>
      </c>
      <c r="I62" s="16"/>
      <c r="J62" s="16" t="str">
        <f t="shared" si="6"/>
        <v>collected</v>
      </c>
      <c r="K62" s="16" t="str">
        <f t="shared" si="7"/>
        <v>N</v>
      </c>
      <c r="L62" s="16"/>
      <c r="M62" s="16"/>
    </row>
    <row r="63">
      <c r="A63" s="18" t="s">
        <v>171</v>
      </c>
      <c r="B63" s="10" t="str">
        <f t="shared" si="1"/>
        <v>fish</v>
      </c>
      <c r="C63" s="49" t="str">
        <f t="shared" si="2"/>
        <v>U5152</v>
      </c>
      <c r="D63" s="11" t="str">
        <f t="array" ref="D63">iferror(index(fish_lab_data!D:D,match(A63,fish_lab_data!C:C,0)))</f>
        <v>JP453</v>
      </c>
      <c r="E63" s="6">
        <v>99.0</v>
      </c>
      <c r="F63" s="10" t="str">
        <f t="shared" si="3"/>
        <v>BCA99</v>
      </c>
      <c r="G63" s="55" t="str">
        <f t="shared" si="4"/>
        <v>NA</v>
      </c>
      <c r="H63" s="10" t="str">
        <f t="shared" si="5"/>
        <v>BCA99-NA</v>
      </c>
      <c r="I63" s="16"/>
      <c r="J63" s="16" t="str">
        <f t="shared" si="6"/>
        <v>collected</v>
      </c>
      <c r="K63" s="16" t="str">
        <f t="shared" si="7"/>
        <v>N</v>
      </c>
      <c r="L63" s="16"/>
      <c r="M63" s="16"/>
    </row>
    <row r="64">
      <c r="A64" s="18" t="s">
        <v>173</v>
      </c>
      <c r="B64" s="10" t="str">
        <f t="shared" si="1"/>
        <v>fish</v>
      </c>
      <c r="C64" s="49" t="str">
        <f t="shared" si="2"/>
        <v>U5153</v>
      </c>
      <c r="D64" s="11" t="str">
        <f t="array" ref="D64">iferror(index(fish_lab_data!D:D,match(A64,fish_lab_data!C:C,0)))</f>
        <v>JP453</v>
      </c>
      <c r="E64" s="6">
        <v>99.0</v>
      </c>
      <c r="F64" s="10" t="str">
        <f t="shared" si="3"/>
        <v>BCA99</v>
      </c>
      <c r="G64" s="55" t="str">
        <f t="shared" si="4"/>
        <v>NA</v>
      </c>
      <c r="H64" s="10" t="str">
        <f t="shared" si="5"/>
        <v>BCA99-NA</v>
      </c>
      <c r="I64" s="16"/>
      <c r="J64" s="16" t="str">
        <f t="shared" si="6"/>
        <v>collected</v>
      </c>
      <c r="K64" s="16" t="str">
        <f t="shared" si="7"/>
        <v>N</v>
      </c>
      <c r="L64" s="16"/>
      <c r="M64" s="16"/>
    </row>
    <row r="65">
      <c r="A65" s="18" t="s">
        <v>175</v>
      </c>
      <c r="B65" s="10" t="str">
        <f t="shared" si="1"/>
        <v>fish</v>
      </c>
      <c r="C65" s="49" t="str">
        <f t="shared" si="2"/>
        <v>U5154</v>
      </c>
      <c r="D65" s="11" t="str">
        <f t="array" ref="D65">iferror(index(fish_lab_data!D:D,match(A65,fish_lab_data!C:C,0)))</f>
        <v>JP453</v>
      </c>
      <c r="E65" s="6">
        <v>99.0</v>
      </c>
      <c r="F65" s="10" t="str">
        <f t="shared" si="3"/>
        <v>BCA99</v>
      </c>
      <c r="G65" s="55" t="str">
        <f t="shared" si="4"/>
        <v>NA</v>
      </c>
      <c r="H65" s="10" t="str">
        <f t="shared" si="5"/>
        <v>BCA99-NA</v>
      </c>
      <c r="I65" s="16"/>
      <c r="J65" s="16" t="str">
        <f t="shared" si="6"/>
        <v>collected</v>
      </c>
      <c r="K65" s="16" t="str">
        <f t="shared" si="7"/>
        <v>N</v>
      </c>
      <c r="L65" s="16"/>
      <c r="M65" s="16"/>
    </row>
    <row r="66">
      <c r="A66" s="18" t="s">
        <v>177</v>
      </c>
      <c r="B66" s="10" t="str">
        <f t="shared" si="1"/>
        <v>fish</v>
      </c>
      <c r="C66" s="49" t="str">
        <f t="shared" si="2"/>
        <v>U5155</v>
      </c>
      <c r="D66" s="11" t="str">
        <f t="array" ref="D66">iferror(index(fish_lab_data!D:D,match(A66,fish_lab_data!C:C,0)))</f>
        <v>JP453</v>
      </c>
      <c r="E66" s="6">
        <v>99.0</v>
      </c>
      <c r="F66" s="10" t="str">
        <f t="shared" si="3"/>
        <v>BCA99</v>
      </c>
      <c r="G66" s="55" t="str">
        <f t="shared" si="4"/>
        <v>NA</v>
      </c>
      <c r="H66" s="10" t="str">
        <f t="shared" si="5"/>
        <v>BCA99-NA</v>
      </c>
      <c r="I66" s="16"/>
      <c r="J66" s="16" t="str">
        <f t="shared" si="6"/>
        <v>collected</v>
      </c>
      <c r="K66" s="16" t="str">
        <f t="shared" si="7"/>
        <v>N</v>
      </c>
      <c r="L66" s="16"/>
      <c r="M66" s="16"/>
    </row>
    <row r="67">
      <c r="A67" s="18" t="s">
        <v>179</v>
      </c>
      <c r="B67" s="10" t="str">
        <f t="shared" si="1"/>
        <v>fish</v>
      </c>
      <c r="C67" s="49" t="str">
        <f t="shared" si="2"/>
        <v>U5156</v>
      </c>
      <c r="D67" s="11" t="str">
        <f t="array" ref="D67">iferror(index(fish_lab_data!D:D,match(A67,fish_lab_data!C:C,0)))</f>
        <v>JP453</v>
      </c>
      <c r="E67" s="6">
        <v>99.0</v>
      </c>
      <c r="F67" s="10" t="str">
        <f t="shared" si="3"/>
        <v>BCA99</v>
      </c>
      <c r="G67" s="55" t="str">
        <f t="shared" si="4"/>
        <v>NA</v>
      </c>
      <c r="H67" s="10" t="str">
        <f t="shared" si="5"/>
        <v>BCA99-NA</v>
      </c>
      <c r="I67" s="16"/>
      <c r="J67" s="16" t="str">
        <f t="shared" si="6"/>
        <v>collected</v>
      </c>
      <c r="K67" s="16" t="str">
        <f t="shared" si="7"/>
        <v>N</v>
      </c>
      <c r="L67" s="16"/>
      <c r="M67" s="16"/>
    </row>
    <row r="68">
      <c r="A68" s="18" t="s">
        <v>180</v>
      </c>
      <c r="B68" s="10" t="str">
        <f t="shared" si="1"/>
        <v>fish</v>
      </c>
      <c r="C68" s="49" t="str">
        <f t="shared" si="2"/>
        <v>U5157</v>
      </c>
      <c r="D68" s="11" t="str">
        <f t="array" ref="D68">iferror(index(fish_lab_data!D:D,match(A68,fish_lab_data!C:C,0)))</f>
        <v>JP453</v>
      </c>
      <c r="E68" s="6">
        <v>99.0</v>
      </c>
      <c r="F68" s="10" t="str">
        <f t="shared" si="3"/>
        <v>BCA99</v>
      </c>
      <c r="G68" s="55" t="str">
        <f t="shared" si="4"/>
        <v>NA</v>
      </c>
      <c r="H68" s="10" t="str">
        <f t="shared" si="5"/>
        <v>BCA99-NA</v>
      </c>
      <c r="I68" s="16"/>
      <c r="J68" s="16" t="str">
        <f t="shared" si="6"/>
        <v>collected</v>
      </c>
      <c r="K68" s="16" t="str">
        <f t="shared" si="7"/>
        <v>N</v>
      </c>
      <c r="L68" s="16"/>
      <c r="M68" s="16"/>
    </row>
    <row r="69">
      <c r="A69" s="18" t="s">
        <v>184</v>
      </c>
      <c r="B69" s="10" t="str">
        <f t="shared" si="1"/>
        <v>fish</v>
      </c>
      <c r="C69" s="49" t="str">
        <f t="shared" si="2"/>
        <v>U5158</v>
      </c>
      <c r="D69" s="11" t="str">
        <f t="array" ref="D69">iferror(index(fish_lab_data!D:D,match(A69,fish_lab_data!C:C,0)))</f>
        <v>JP453</v>
      </c>
      <c r="E69" s="6">
        <v>99.0</v>
      </c>
      <c r="F69" s="10" t="str">
        <f t="shared" si="3"/>
        <v>BCA99</v>
      </c>
      <c r="G69" s="55" t="str">
        <f t="shared" si="4"/>
        <v>NA</v>
      </c>
      <c r="H69" s="10" t="str">
        <f t="shared" si="5"/>
        <v>BCA99-NA</v>
      </c>
      <c r="I69" s="16"/>
      <c r="J69" s="16" t="str">
        <f t="shared" si="6"/>
        <v>collected</v>
      </c>
      <c r="K69" s="16" t="str">
        <f t="shared" si="7"/>
        <v>N</v>
      </c>
      <c r="L69" s="16"/>
      <c r="M69" s="16"/>
    </row>
    <row r="70">
      <c r="A70" s="18" t="s">
        <v>185</v>
      </c>
      <c r="B70" s="10" t="str">
        <f t="shared" si="1"/>
        <v>fish</v>
      </c>
      <c r="C70" s="49" t="str">
        <f t="shared" si="2"/>
        <v>U5159</v>
      </c>
      <c r="D70" s="11" t="str">
        <f t="array" ref="D70">iferror(index(fish_lab_data!D:D,match(A70,fish_lab_data!C:C,0)))</f>
        <v>JP453</v>
      </c>
      <c r="E70" s="6">
        <v>99.0</v>
      </c>
      <c r="F70" s="10" t="str">
        <f t="shared" si="3"/>
        <v>BCA99</v>
      </c>
      <c r="G70" s="55" t="str">
        <f t="shared" si="4"/>
        <v>NA</v>
      </c>
      <c r="H70" s="10" t="str">
        <f t="shared" si="5"/>
        <v>BCA99-NA</v>
      </c>
      <c r="I70" s="16"/>
      <c r="J70" s="16" t="str">
        <f t="shared" si="6"/>
        <v>collected</v>
      </c>
      <c r="K70" s="16" t="str">
        <f t="shared" si="7"/>
        <v>N</v>
      </c>
      <c r="L70" s="16"/>
      <c r="M70" s="16"/>
    </row>
    <row r="71">
      <c r="A71" s="18" t="s">
        <v>187</v>
      </c>
      <c r="B71" s="10" t="str">
        <f t="shared" si="1"/>
        <v>fish</v>
      </c>
      <c r="C71" s="49" t="str">
        <f t="shared" si="2"/>
        <v>U5160</v>
      </c>
      <c r="D71" s="11" t="str">
        <f t="array" ref="D71">iferror(index(fish_lab_data!D:D,match(A71,fish_lab_data!C:C,0)))</f>
        <v>JP453</v>
      </c>
      <c r="E71" s="6">
        <v>99.0</v>
      </c>
      <c r="F71" s="10" t="str">
        <f t="shared" si="3"/>
        <v>BCA99</v>
      </c>
      <c r="G71" s="55" t="str">
        <f t="shared" si="4"/>
        <v>NA</v>
      </c>
      <c r="H71" s="10" t="str">
        <f t="shared" si="5"/>
        <v>BCA99-NA</v>
      </c>
      <c r="I71" s="16"/>
      <c r="J71" s="16" t="str">
        <f t="shared" si="6"/>
        <v>collected</v>
      </c>
      <c r="K71" s="16" t="str">
        <f t="shared" si="7"/>
        <v>N</v>
      </c>
      <c r="L71" s="16"/>
      <c r="M71" s="16"/>
    </row>
    <row r="72">
      <c r="A72" s="18" t="s">
        <v>189</v>
      </c>
      <c r="B72" s="10" t="str">
        <f t="shared" si="1"/>
        <v>fish</v>
      </c>
      <c r="C72" s="49" t="str">
        <f t="shared" si="2"/>
        <v>U5179</v>
      </c>
      <c r="D72" s="11" t="str">
        <f t="array" ref="D72">iferror(index(fish_lab_data!D:D,match(A72,fish_lab_data!C:C,0)))</f>
        <v>JP455</v>
      </c>
      <c r="E72" s="6">
        <v>100.0</v>
      </c>
      <c r="F72" s="10" t="str">
        <f t="shared" si="3"/>
        <v>BCA100</v>
      </c>
      <c r="G72" s="55" t="str">
        <f t="shared" si="4"/>
        <v>NA</v>
      </c>
      <c r="H72" s="10" t="str">
        <f t="shared" si="5"/>
        <v>BCA100-NA</v>
      </c>
      <c r="I72" s="16"/>
      <c r="J72" s="16" t="str">
        <f t="shared" si="6"/>
        <v>collected</v>
      </c>
      <c r="K72" s="16" t="str">
        <f t="shared" si="7"/>
        <v>N</v>
      </c>
      <c r="L72" s="16"/>
      <c r="M72" s="16"/>
    </row>
    <row r="73">
      <c r="A73" s="18" t="s">
        <v>191</v>
      </c>
      <c r="B73" s="10" t="str">
        <f t="shared" si="1"/>
        <v>fish</v>
      </c>
      <c r="C73" s="49" t="str">
        <f t="shared" si="2"/>
        <v>U5180</v>
      </c>
      <c r="D73" s="11" t="str">
        <f t="array" ref="D73">iferror(index(fish_lab_data!D:D,match(A73,fish_lab_data!C:C,0)))</f>
        <v>JP455</v>
      </c>
      <c r="E73" s="6">
        <v>100.0</v>
      </c>
      <c r="F73" s="10" t="str">
        <f t="shared" si="3"/>
        <v>BCA100</v>
      </c>
      <c r="G73" s="55" t="str">
        <f t="shared" si="4"/>
        <v>NA</v>
      </c>
      <c r="H73" s="10" t="str">
        <f t="shared" si="5"/>
        <v>BCA100-NA</v>
      </c>
      <c r="I73" s="16"/>
      <c r="J73" s="16" t="str">
        <f t="shared" si="6"/>
        <v>collected</v>
      </c>
      <c r="K73" s="16" t="str">
        <f t="shared" si="7"/>
        <v>N</v>
      </c>
      <c r="L73" s="16"/>
      <c r="M73" s="16"/>
    </row>
    <row r="74">
      <c r="A74" s="62" t="s">
        <v>194</v>
      </c>
      <c r="B74" s="10" t="str">
        <f t="shared" si="1"/>
        <v>fish</v>
      </c>
      <c r="C74" s="49" t="str">
        <f t="shared" si="2"/>
        <v>U5181</v>
      </c>
      <c r="D74" s="11" t="str">
        <f t="array" ref="D74">iferror(index(fish_lab_data!D:D,match(A74,fish_lab_data!C:C,0)))</f>
        <v>JP455</v>
      </c>
      <c r="E74" s="6">
        <v>100.0</v>
      </c>
      <c r="F74" s="10" t="str">
        <f t="shared" si="3"/>
        <v>BCA100</v>
      </c>
      <c r="G74" s="55" t="str">
        <f t="shared" si="4"/>
        <v>NA</v>
      </c>
      <c r="H74" s="10" t="str">
        <f t="shared" si="5"/>
        <v>BCA100-NA</v>
      </c>
      <c r="I74" s="16"/>
      <c r="J74" s="16" t="str">
        <f t="shared" si="6"/>
        <v>collected</v>
      </c>
      <c r="K74" s="16" t="str">
        <f t="shared" si="7"/>
        <v>N</v>
      </c>
      <c r="L74" s="16"/>
      <c r="M74" s="16"/>
    </row>
    <row r="75">
      <c r="A75" s="62" t="s">
        <v>195</v>
      </c>
      <c r="B75" s="10" t="str">
        <f t="shared" si="1"/>
        <v>fish</v>
      </c>
      <c r="C75" s="49" t="str">
        <f t="shared" si="2"/>
        <v>U5182</v>
      </c>
      <c r="D75" s="11" t="str">
        <f t="array" ref="D75">iferror(index(fish_lab_data!D:D,match(A75,fish_lab_data!C:C,0)))</f>
        <v>JP455</v>
      </c>
      <c r="E75" s="6">
        <v>100.0</v>
      </c>
      <c r="F75" s="10" t="str">
        <f t="shared" si="3"/>
        <v>BCA100</v>
      </c>
      <c r="G75" s="55" t="str">
        <f t="shared" si="4"/>
        <v>NA</v>
      </c>
      <c r="H75" s="10" t="str">
        <f t="shared" si="5"/>
        <v>BCA100-NA</v>
      </c>
      <c r="I75" s="16"/>
      <c r="J75" s="16" t="str">
        <f t="shared" si="6"/>
        <v>collected</v>
      </c>
      <c r="K75" s="16" t="str">
        <f t="shared" si="7"/>
        <v>N</v>
      </c>
      <c r="L75" s="16"/>
      <c r="M75" s="16"/>
    </row>
    <row r="76">
      <c r="A76" s="62" t="s">
        <v>196</v>
      </c>
      <c r="B76" s="10" t="str">
        <f t="shared" si="1"/>
        <v>fish</v>
      </c>
      <c r="C76" s="49" t="str">
        <f t="shared" si="2"/>
        <v>U5183</v>
      </c>
      <c r="D76" s="11" t="str">
        <f t="array" ref="D76">iferror(index(fish_lab_data!D:D,match(A76,fish_lab_data!C:C,0)))</f>
        <v>JP455</v>
      </c>
      <c r="E76" s="6">
        <v>100.0</v>
      </c>
      <c r="F76" s="10" t="str">
        <f t="shared" si="3"/>
        <v>BCA100</v>
      </c>
      <c r="G76" s="55" t="str">
        <f t="shared" si="4"/>
        <v>NA</v>
      </c>
      <c r="H76" s="10" t="str">
        <f t="shared" si="5"/>
        <v>BCA100-NA</v>
      </c>
      <c r="I76" s="16"/>
      <c r="J76" s="16" t="str">
        <f t="shared" si="6"/>
        <v>collected</v>
      </c>
      <c r="K76" s="16" t="str">
        <f t="shared" si="7"/>
        <v>N</v>
      </c>
      <c r="L76" s="16"/>
      <c r="M76" s="16"/>
    </row>
    <row r="77">
      <c r="A77" s="62" t="s">
        <v>198</v>
      </c>
      <c r="B77" s="10" t="str">
        <f t="shared" si="1"/>
        <v>fish</v>
      </c>
      <c r="C77" s="49" t="str">
        <f t="shared" si="2"/>
        <v>U5184</v>
      </c>
      <c r="D77" s="11" t="str">
        <f t="array" ref="D77">iferror(index(fish_lab_data!D:D,match(A77,fish_lab_data!C:C,0)))</f>
        <v>JP455</v>
      </c>
      <c r="E77" s="6">
        <v>100.0</v>
      </c>
      <c r="F77" s="10" t="str">
        <f t="shared" si="3"/>
        <v>BCA100</v>
      </c>
      <c r="G77" s="55" t="str">
        <f t="shared" si="4"/>
        <v>NA</v>
      </c>
      <c r="H77" s="10" t="str">
        <f t="shared" si="5"/>
        <v>BCA100-NA</v>
      </c>
      <c r="I77" s="16"/>
      <c r="J77" s="16" t="str">
        <f t="shared" si="6"/>
        <v>collected</v>
      </c>
      <c r="K77" s="16" t="str">
        <f t="shared" si="7"/>
        <v>N</v>
      </c>
      <c r="L77" s="16"/>
      <c r="M77" s="16"/>
    </row>
    <row r="78">
      <c r="A78" s="6" t="s">
        <v>199</v>
      </c>
      <c r="B78" s="10" t="str">
        <f t="shared" si="1"/>
        <v>fish</v>
      </c>
      <c r="C78" s="49" t="str">
        <f t="shared" si="2"/>
        <v>U5171</v>
      </c>
      <c r="D78" s="11" t="str">
        <f t="array" ref="D78">iferror(index(fish_lab_data!D:D,match(A78,fish_lab_data!C:C,0)))</f>
        <v>JP454</v>
      </c>
      <c r="E78" s="6">
        <v>99.0</v>
      </c>
      <c r="F78" s="10" t="str">
        <f t="shared" si="3"/>
        <v>BCA99</v>
      </c>
      <c r="G78" s="55" t="str">
        <f t="shared" si="4"/>
        <v>NA</v>
      </c>
      <c r="H78" s="10" t="str">
        <f t="shared" si="5"/>
        <v>BCA99-NA</v>
      </c>
      <c r="I78" s="16"/>
      <c r="J78" s="16" t="str">
        <f t="shared" si="6"/>
        <v>collected</v>
      </c>
      <c r="K78" s="16" t="str">
        <f t="shared" si="7"/>
        <v>N</v>
      </c>
      <c r="L78" s="16"/>
      <c r="M78" s="16"/>
    </row>
    <row r="79">
      <c r="A79" s="6" t="s">
        <v>202</v>
      </c>
      <c r="B79" s="10" t="str">
        <f t="shared" si="1"/>
        <v>fish</v>
      </c>
      <c r="C79" s="49" t="str">
        <f t="shared" si="2"/>
        <v>U5172</v>
      </c>
      <c r="D79" s="11" t="str">
        <f t="array" ref="D79">iferror(index(fish_lab_data!D:D,match(A79,fish_lab_data!C:C,0)))</f>
        <v>JP454</v>
      </c>
      <c r="E79" s="6">
        <v>99.0</v>
      </c>
      <c r="F79" s="10" t="str">
        <f t="shared" si="3"/>
        <v>BCA99</v>
      </c>
      <c r="G79" s="55" t="str">
        <f t="shared" si="4"/>
        <v>NA</v>
      </c>
      <c r="H79" s="10" t="str">
        <f t="shared" si="5"/>
        <v>BCA99-NA</v>
      </c>
      <c r="I79" s="16"/>
      <c r="J79" s="16" t="str">
        <f t="shared" si="6"/>
        <v>collected</v>
      </c>
      <c r="K79" s="16" t="str">
        <f t="shared" si="7"/>
        <v>N</v>
      </c>
      <c r="L79" s="16"/>
      <c r="M79" s="16"/>
    </row>
    <row r="80">
      <c r="A80" s="6" t="s">
        <v>204</v>
      </c>
      <c r="B80" s="10" t="str">
        <f t="shared" si="1"/>
        <v>fish</v>
      </c>
      <c r="C80" s="49" t="str">
        <f t="shared" si="2"/>
        <v>U5173</v>
      </c>
      <c r="D80" s="11" t="str">
        <f t="array" ref="D80">iferror(index(fish_lab_data!D:D,match(A80,fish_lab_data!C:C,0)))</f>
        <v>JP454</v>
      </c>
      <c r="E80" s="6">
        <v>99.0</v>
      </c>
      <c r="F80" s="10" t="str">
        <f t="shared" si="3"/>
        <v>BCA99</v>
      </c>
      <c r="G80" s="55" t="str">
        <f t="shared" si="4"/>
        <v>NA</v>
      </c>
      <c r="H80" s="10" t="str">
        <f t="shared" si="5"/>
        <v>BCA99-NA</v>
      </c>
      <c r="I80" s="16"/>
      <c r="J80" s="16" t="str">
        <f t="shared" si="6"/>
        <v>collected</v>
      </c>
      <c r="K80" s="16" t="str">
        <f t="shared" si="7"/>
        <v>N</v>
      </c>
      <c r="L80" s="16"/>
      <c r="M80" s="16"/>
    </row>
    <row r="81">
      <c r="A81" s="6" t="s">
        <v>205</v>
      </c>
      <c r="B81" s="10" t="str">
        <f t="shared" si="1"/>
        <v>fish</v>
      </c>
      <c r="C81" s="49" t="str">
        <f t="shared" si="2"/>
        <v>U5174</v>
      </c>
      <c r="D81" s="11" t="str">
        <f t="array" ref="D81">iferror(index(fish_lab_data!D:D,match(A81,fish_lab_data!C:C,0)))</f>
        <v>JP454</v>
      </c>
      <c r="E81" s="6">
        <v>99.0</v>
      </c>
      <c r="F81" s="10" t="str">
        <f t="shared" si="3"/>
        <v>BCA99</v>
      </c>
      <c r="G81" s="55" t="str">
        <f t="shared" si="4"/>
        <v>NA</v>
      </c>
      <c r="H81" s="10" t="str">
        <f t="shared" si="5"/>
        <v>BCA99-NA</v>
      </c>
      <c r="I81" s="16"/>
      <c r="J81" s="16" t="str">
        <f t="shared" si="6"/>
        <v>collected</v>
      </c>
      <c r="K81" s="16" t="str">
        <f t="shared" si="7"/>
        <v>N</v>
      </c>
      <c r="L81" s="16"/>
      <c r="M81" s="16"/>
    </row>
    <row r="82">
      <c r="A82" s="25" t="s">
        <v>209</v>
      </c>
      <c r="B82" s="10" t="str">
        <f t="shared" si="1"/>
        <v>fish</v>
      </c>
      <c r="C82" s="63" t="str">
        <f t="shared" si="2"/>
        <v>U5175</v>
      </c>
      <c r="D82" s="11" t="str">
        <f t="array" ref="D82">iferror(index(fish_lab_data!D:D,match(A82,fish_lab_data!C:C,0)))</f>
        <v>JP454</v>
      </c>
      <c r="E82" s="6">
        <v>99.0</v>
      </c>
      <c r="F82" s="17" t="str">
        <f t="shared" si="3"/>
        <v>BCA99</v>
      </c>
      <c r="G82" s="43" t="str">
        <f t="shared" si="4"/>
        <v>NA</v>
      </c>
      <c r="H82" s="17" t="str">
        <f t="shared" si="5"/>
        <v>BCA99-NA</v>
      </c>
      <c r="J82" t="str">
        <f t="shared" si="6"/>
        <v>collected</v>
      </c>
      <c r="K82" t="str">
        <f t="shared" si="7"/>
        <v>N</v>
      </c>
    </row>
    <row r="83">
      <c r="A83" s="25" t="s">
        <v>210</v>
      </c>
      <c r="B83" s="10" t="str">
        <f t="shared" si="1"/>
        <v>fish</v>
      </c>
      <c r="C83" s="63" t="str">
        <f t="shared" si="2"/>
        <v>U5176</v>
      </c>
      <c r="D83" s="11" t="str">
        <f t="array" ref="D83">iferror(index(fish_lab_data!D:D,match(A83,fish_lab_data!C:C,0)))</f>
        <v>JP454</v>
      </c>
      <c r="E83" s="6">
        <v>99.0</v>
      </c>
      <c r="F83" s="17" t="str">
        <f t="shared" si="3"/>
        <v>BCA99</v>
      </c>
      <c r="G83" s="43" t="str">
        <f t="shared" si="4"/>
        <v>NA</v>
      </c>
      <c r="H83" s="17" t="str">
        <f t="shared" si="5"/>
        <v>BCA99-NA</v>
      </c>
      <c r="J83" t="str">
        <f t="shared" si="6"/>
        <v>collected</v>
      </c>
      <c r="K83" t="str">
        <f t="shared" si="7"/>
        <v>N</v>
      </c>
    </row>
    <row r="84">
      <c r="A84" s="25" t="s">
        <v>212</v>
      </c>
      <c r="B84" s="10" t="str">
        <f t="shared" si="1"/>
        <v>fish</v>
      </c>
      <c r="C84" s="63" t="str">
        <f t="shared" si="2"/>
        <v>U5177</v>
      </c>
      <c r="D84" s="11" t="str">
        <f t="array" ref="D84">iferror(index(fish_lab_data!D:D,match(A84,fish_lab_data!C:C,0)))</f>
        <v>JP454</v>
      </c>
      <c r="E84" s="6">
        <v>99.0</v>
      </c>
      <c r="F84" s="17" t="str">
        <f t="shared" si="3"/>
        <v>BCA99</v>
      </c>
      <c r="G84" s="43" t="str">
        <f t="shared" si="4"/>
        <v>NA</v>
      </c>
      <c r="H84" s="17" t="str">
        <f t="shared" si="5"/>
        <v>BCA99-NA</v>
      </c>
      <c r="J84" t="str">
        <f t="shared" si="6"/>
        <v>collected</v>
      </c>
      <c r="K84" t="str">
        <f t="shared" si="7"/>
        <v>N</v>
      </c>
    </row>
    <row r="85">
      <c r="A85" s="25" t="s">
        <v>215</v>
      </c>
      <c r="B85" s="10" t="str">
        <f t="shared" si="1"/>
        <v>fish</v>
      </c>
      <c r="C85" s="63" t="str">
        <f t="shared" si="2"/>
        <v>U5178</v>
      </c>
      <c r="D85" s="11" t="str">
        <f t="array" ref="D85">iferror(index(fish_lab_data!D:D,match(A85,fish_lab_data!C:C,0)))</f>
        <v>JP454</v>
      </c>
      <c r="E85" s="6">
        <v>99.0</v>
      </c>
      <c r="F85" s="17" t="str">
        <f t="shared" si="3"/>
        <v>BCA99</v>
      </c>
      <c r="G85" s="43" t="str">
        <f t="shared" si="4"/>
        <v>NA</v>
      </c>
      <c r="H85" s="17" t="str">
        <f t="shared" si="5"/>
        <v>BCA99-NA</v>
      </c>
      <c r="J85" t="str">
        <f t="shared" si="6"/>
        <v>collected</v>
      </c>
      <c r="K85" t="str">
        <f t="shared" si="7"/>
        <v>N</v>
      </c>
    </row>
    <row r="86">
      <c r="A86" s="25" t="s">
        <v>217</v>
      </c>
      <c r="B86" s="10" t="str">
        <f t="shared" si="1"/>
        <v>fish</v>
      </c>
      <c r="C86" s="63" t="str">
        <f t="shared" si="2"/>
        <v>U5194</v>
      </c>
      <c r="D86" s="11" t="str">
        <f t="array" ref="D86">iferror(index(fish_lab_data!D:D,match(A86,fish_lab_data!C:C,0)))</f>
        <v>JP454</v>
      </c>
      <c r="E86" s="6">
        <v>99.0</v>
      </c>
      <c r="F86" s="17" t="str">
        <f t="shared" si="3"/>
        <v>BCA99</v>
      </c>
      <c r="G86" s="43" t="str">
        <f t="shared" si="4"/>
        <v>NA</v>
      </c>
      <c r="H86" s="17" t="str">
        <f t="shared" si="5"/>
        <v>BCA99-NA</v>
      </c>
      <c r="J86" t="str">
        <f t="shared" si="6"/>
        <v>collected</v>
      </c>
      <c r="K86" t="str">
        <f t="shared" si="7"/>
        <v>N</v>
      </c>
    </row>
    <row r="87">
      <c r="A87" s="25" t="s">
        <v>220</v>
      </c>
      <c r="B87" s="10" t="str">
        <f t="shared" si="1"/>
        <v>fish</v>
      </c>
      <c r="C87" s="63" t="str">
        <f t="shared" si="2"/>
        <v>U5195</v>
      </c>
      <c r="D87" s="11" t="str">
        <f t="array" ref="D87">iferror(index(fish_lab_data!D:D,match(A87,fish_lab_data!C:C,0)))</f>
        <v>JP454</v>
      </c>
      <c r="E87" s="6">
        <v>99.0</v>
      </c>
      <c r="F87" s="17" t="str">
        <f t="shared" si="3"/>
        <v>BCA99</v>
      </c>
      <c r="G87" s="43" t="str">
        <f t="shared" si="4"/>
        <v>NA</v>
      </c>
      <c r="H87" s="17" t="str">
        <f t="shared" si="5"/>
        <v>BCA99-NA</v>
      </c>
      <c r="J87" t="str">
        <f t="shared" si="6"/>
        <v>collected</v>
      </c>
      <c r="K87" t="str">
        <f t="shared" si="7"/>
        <v>N</v>
      </c>
    </row>
    <row r="88">
      <c r="A88" s="25" t="s">
        <v>222</v>
      </c>
      <c r="B88" s="10" t="str">
        <f t="shared" si="1"/>
        <v>fish</v>
      </c>
      <c r="C88" s="63" t="str">
        <f t="shared" si="2"/>
        <v>U5196</v>
      </c>
      <c r="D88" s="11" t="str">
        <f t="array" ref="D88">iferror(index(fish_lab_data!D:D,match(A88,fish_lab_data!C:C,0)))</f>
        <v>JP456</v>
      </c>
      <c r="E88" s="6">
        <v>100.0</v>
      </c>
      <c r="F88" s="17" t="str">
        <f t="shared" si="3"/>
        <v>BCA100</v>
      </c>
      <c r="G88" s="43" t="str">
        <f t="shared" si="4"/>
        <v>NA</v>
      </c>
      <c r="H88" s="17" t="str">
        <f t="shared" si="5"/>
        <v>BCA100-NA</v>
      </c>
      <c r="J88" t="str">
        <f t="shared" si="6"/>
        <v>collected</v>
      </c>
      <c r="K88" t="str">
        <f t="shared" si="7"/>
        <v>N</v>
      </c>
    </row>
    <row r="89">
      <c r="A89" s="25" t="s">
        <v>225</v>
      </c>
      <c r="B89" s="10" t="str">
        <f t="shared" si="1"/>
        <v>fish</v>
      </c>
      <c r="C89" s="63" t="str">
        <f t="shared" si="2"/>
        <v>U5197</v>
      </c>
      <c r="D89" s="11" t="str">
        <f t="array" ref="D89">iferror(index(fish_lab_data!D:D,match(A89,fish_lab_data!C:C,0)))</f>
        <v>JP456</v>
      </c>
      <c r="E89" s="6">
        <v>100.0</v>
      </c>
      <c r="F89" s="17" t="str">
        <f t="shared" si="3"/>
        <v>BCA100</v>
      </c>
      <c r="G89" s="43" t="str">
        <f t="shared" si="4"/>
        <v>NA</v>
      </c>
      <c r="H89" s="17" t="str">
        <f t="shared" si="5"/>
        <v>BCA100-NA</v>
      </c>
      <c r="J89" t="str">
        <f t="shared" si="6"/>
        <v>collected</v>
      </c>
      <c r="K89" t="str">
        <f t="shared" si="7"/>
        <v>N</v>
      </c>
    </row>
    <row r="90">
      <c r="A90" s="25" t="s">
        <v>226</v>
      </c>
      <c r="B90" s="10" t="str">
        <f t="shared" si="1"/>
        <v>fish</v>
      </c>
      <c r="C90" s="63" t="str">
        <f t="shared" si="2"/>
        <v>U5198</v>
      </c>
      <c r="D90" s="11" t="str">
        <f t="array" ref="D90">iferror(index(fish_lab_data!D:D,match(A90,fish_lab_data!C:C,0)))</f>
        <v>JP456</v>
      </c>
      <c r="E90" s="6">
        <v>100.0</v>
      </c>
      <c r="F90" s="17" t="str">
        <f t="shared" si="3"/>
        <v>BCA100</v>
      </c>
      <c r="G90" s="43" t="str">
        <f t="shared" si="4"/>
        <v>NA</v>
      </c>
      <c r="H90" s="17" t="str">
        <f t="shared" si="5"/>
        <v>BCA100-NA</v>
      </c>
      <c r="J90" t="str">
        <f t="shared" si="6"/>
        <v>collected</v>
      </c>
      <c r="K90" t="str">
        <f t="shared" si="7"/>
        <v>N</v>
      </c>
    </row>
    <row r="91">
      <c r="A91" s="25" t="s">
        <v>228</v>
      </c>
      <c r="B91" s="10" t="str">
        <f t="shared" si="1"/>
        <v>fish</v>
      </c>
      <c r="C91" s="63" t="str">
        <f t="shared" si="2"/>
        <v>U5199</v>
      </c>
      <c r="D91" s="11" t="str">
        <f t="array" ref="D91">iferror(index(fish_lab_data!D:D,match(A91,fish_lab_data!C:C,0)))</f>
        <v>JP456</v>
      </c>
      <c r="E91" s="6">
        <v>100.0</v>
      </c>
      <c r="F91" s="17" t="str">
        <f t="shared" si="3"/>
        <v>BCA100</v>
      </c>
      <c r="G91" s="43" t="str">
        <f t="shared" si="4"/>
        <v>NA</v>
      </c>
      <c r="H91" s="17" t="str">
        <f t="shared" si="5"/>
        <v>BCA100-NA</v>
      </c>
      <c r="J91" t="str">
        <f t="shared" si="6"/>
        <v>collected</v>
      </c>
      <c r="K91" t="str">
        <f t="shared" si="7"/>
        <v>N</v>
      </c>
    </row>
    <row r="92">
      <c r="A92" s="25" t="s">
        <v>230</v>
      </c>
      <c r="B92" s="10" t="str">
        <f t="shared" si="1"/>
        <v>fish</v>
      </c>
      <c r="C92" s="63" t="str">
        <f t="shared" si="2"/>
        <v>U5200</v>
      </c>
      <c r="D92" s="11" t="str">
        <f t="array" ref="D92">iferror(index(fish_lab_data!D:D,match(A92,fish_lab_data!C:C,0)))</f>
        <v>JP456</v>
      </c>
      <c r="E92" s="6">
        <v>100.0</v>
      </c>
      <c r="F92" s="17" t="str">
        <f t="shared" si="3"/>
        <v>BCA100</v>
      </c>
      <c r="G92" s="43" t="str">
        <f t="shared" si="4"/>
        <v>NA</v>
      </c>
      <c r="H92" s="17" t="str">
        <f t="shared" si="5"/>
        <v>BCA100-NA</v>
      </c>
      <c r="J92" t="str">
        <f t="shared" si="6"/>
        <v>collected</v>
      </c>
      <c r="K92" t="str">
        <f t="shared" si="7"/>
        <v>N</v>
      </c>
    </row>
    <row r="93">
      <c r="A93" s="25" t="s">
        <v>232</v>
      </c>
      <c r="B93" s="10" t="str">
        <f t="shared" si="1"/>
        <v>fish</v>
      </c>
      <c r="C93" s="63" t="str">
        <f t="shared" si="2"/>
        <v>U5201</v>
      </c>
      <c r="D93" s="11" t="str">
        <f t="array" ref="D93">iferror(index(fish_lab_data!D:D,match(A93,fish_lab_data!C:C,0)))</f>
        <v>JP456</v>
      </c>
      <c r="E93" s="6">
        <v>100.0</v>
      </c>
      <c r="F93" s="17" t="str">
        <f t="shared" si="3"/>
        <v>BCA100</v>
      </c>
      <c r="G93" s="43" t="str">
        <f t="shared" si="4"/>
        <v>NA</v>
      </c>
      <c r="H93" s="17" t="str">
        <f t="shared" si="5"/>
        <v>BCA100-NA</v>
      </c>
      <c r="J93" t="str">
        <f t="shared" si="6"/>
        <v>collected</v>
      </c>
      <c r="K93" t="str">
        <f t="shared" si="7"/>
        <v>N</v>
      </c>
    </row>
    <row r="94">
      <c r="A94" s="25" t="s">
        <v>234</v>
      </c>
      <c r="B94" s="10" t="str">
        <f t="shared" si="1"/>
        <v>fish</v>
      </c>
      <c r="C94" s="63" t="str">
        <f t="shared" si="2"/>
        <v>U5202</v>
      </c>
      <c r="D94" s="11" t="str">
        <f t="array" ref="D94">iferror(index(fish_lab_data!D:D,match(A94,fish_lab_data!C:C,0)))</f>
        <v>JP456</v>
      </c>
      <c r="E94" s="6">
        <v>100.0</v>
      </c>
      <c r="F94" s="17" t="str">
        <f t="shared" si="3"/>
        <v>BCA100</v>
      </c>
      <c r="G94" s="43" t="str">
        <f t="shared" si="4"/>
        <v>NA</v>
      </c>
      <c r="H94" s="17" t="str">
        <f t="shared" si="5"/>
        <v>BCA100-NA</v>
      </c>
      <c r="J94" t="str">
        <f t="shared" si="6"/>
        <v>collected</v>
      </c>
      <c r="K94" t="str">
        <f t="shared" si="7"/>
        <v>N</v>
      </c>
    </row>
    <row r="95">
      <c r="A95" s="25" t="s">
        <v>235</v>
      </c>
      <c r="B95" s="10" t="str">
        <f t="shared" si="1"/>
        <v>fish</v>
      </c>
      <c r="C95" s="63" t="str">
        <f t="shared" si="2"/>
        <v>U5203</v>
      </c>
      <c r="D95" s="11" t="str">
        <f t="array" ref="D95">iferror(index(fish_lab_data!D:D,match(A95,fish_lab_data!C:C,0)))</f>
        <v>JP456</v>
      </c>
      <c r="E95" s="6">
        <v>100.0</v>
      </c>
      <c r="F95" s="17" t="str">
        <f t="shared" si="3"/>
        <v>BCA100</v>
      </c>
      <c r="G95" s="43" t="str">
        <f t="shared" si="4"/>
        <v>NA</v>
      </c>
      <c r="H95" s="17" t="str">
        <f t="shared" si="5"/>
        <v>BCA100-NA</v>
      </c>
      <c r="J95" t="str">
        <f t="shared" si="6"/>
        <v>collected</v>
      </c>
      <c r="K95" t="str">
        <f t="shared" si="7"/>
        <v>N</v>
      </c>
    </row>
    <row r="96">
      <c r="A96" s="25" t="s">
        <v>238</v>
      </c>
      <c r="B96" s="10" t="str">
        <f t="shared" si="1"/>
        <v>fish</v>
      </c>
      <c r="C96" s="63" t="str">
        <f t="shared" si="2"/>
        <v>U5204</v>
      </c>
      <c r="D96" s="11" t="str">
        <f t="array" ref="D96">iferror(index(fish_lab_data!D:D,match(A96,fish_lab_data!C:C,0)))</f>
        <v>JP456</v>
      </c>
      <c r="E96" s="6">
        <v>100.0</v>
      </c>
      <c r="F96" s="17" t="str">
        <f t="shared" si="3"/>
        <v>BCA100</v>
      </c>
      <c r="G96" s="43" t="str">
        <f t="shared" si="4"/>
        <v>NA</v>
      </c>
      <c r="H96" s="17" t="str">
        <f t="shared" si="5"/>
        <v>BCA100-NA</v>
      </c>
      <c r="J96" t="str">
        <f t="shared" si="6"/>
        <v>collected</v>
      </c>
      <c r="K96" t="str">
        <f t="shared" si="7"/>
        <v>N</v>
      </c>
    </row>
    <row r="97">
      <c r="A97" s="25" t="s">
        <v>239</v>
      </c>
      <c r="B97" s="10" t="str">
        <f t="shared" si="1"/>
        <v>fish</v>
      </c>
      <c r="C97" s="63" t="str">
        <f t="shared" si="2"/>
        <v>U5205</v>
      </c>
      <c r="D97" s="11" t="str">
        <f t="array" ref="D97">iferror(index(fish_lab_data!D:D,match(A97,fish_lab_data!C:C,0)))</f>
        <v>JP456</v>
      </c>
      <c r="E97" s="6">
        <v>100.0</v>
      </c>
      <c r="F97" s="17" t="str">
        <f t="shared" si="3"/>
        <v>BCA100</v>
      </c>
      <c r="G97" s="43" t="str">
        <f t="shared" si="4"/>
        <v>NA</v>
      </c>
      <c r="H97" s="17" t="str">
        <f t="shared" si="5"/>
        <v>BCA100-NA</v>
      </c>
      <c r="J97" t="str">
        <f t="shared" si="6"/>
        <v>collected</v>
      </c>
      <c r="K97" t="str">
        <f t="shared" si="7"/>
        <v>N</v>
      </c>
    </row>
    <row r="98">
      <c r="A98" s="26" t="s">
        <v>241</v>
      </c>
      <c r="B98" s="10" t="str">
        <f t="shared" si="1"/>
        <v>fish</v>
      </c>
      <c r="C98" s="63" t="str">
        <f t="shared" si="2"/>
        <v>U5206</v>
      </c>
      <c r="D98" s="11" t="str">
        <f t="array" ref="D98">iferror(index(fish_lab_data!D:D,match(A98,fish_lab_data!C:C,0)))</f>
        <v>JP720</v>
      </c>
      <c r="E98" s="6">
        <v>100.0</v>
      </c>
      <c r="F98" s="17" t="str">
        <f t="shared" si="3"/>
        <v>BCA100</v>
      </c>
      <c r="G98" s="43" t="str">
        <f t="shared" si="4"/>
        <v>NA</v>
      </c>
      <c r="H98" s="17" t="str">
        <f t="shared" si="5"/>
        <v>BCA100-NA</v>
      </c>
      <c r="J98" t="str">
        <f t="shared" si="6"/>
        <v>collected</v>
      </c>
      <c r="K98" t="str">
        <f t="shared" si="7"/>
        <v>N</v>
      </c>
    </row>
    <row r="99">
      <c r="A99" s="26" t="s">
        <v>245</v>
      </c>
      <c r="B99" s="10" t="str">
        <f t="shared" si="1"/>
        <v>fish</v>
      </c>
      <c r="C99" s="63" t="str">
        <f t="shared" si="2"/>
        <v>U5207</v>
      </c>
      <c r="D99" s="11" t="str">
        <f t="array" ref="D99">iferror(index(fish_lab_data!D:D,match(A99,fish_lab_data!C:C,0)))</f>
        <v>JP720</v>
      </c>
      <c r="E99" s="6">
        <v>100.0</v>
      </c>
      <c r="F99" s="17" t="str">
        <f t="shared" si="3"/>
        <v>BCA100</v>
      </c>
      <c r="G99" s="43" t="str">
        <f t="shared" si="4"/>
        <v>NA</v>
      </c>
      <c r="H99" s="17" t="str">
        <f t="shared" si="5"/>
        <v>BCA100-NA</v>
      </c>
      <c r="J99" t="str">
        <f t="shared" si="6"/>
        <v>collected</v>
      </c>
      <c r="K99" t="str">
        <f t="shared" si="7"/>
        <v>N</v>
      </c>
    </row>
    <row r="100">
      <c r="A100" s="26" t="s">
        <v>247</v>
      </c>
      <c r="B100" s="10" t="str">
        <f t="shared" si="1"/>
        <v>fish</v>
      </c>
      <c r="C100" s="63" t="str">
        <f t="shared" si="2"/>
        <v>U5208</v>
      </c>
      <c r="D100" s="11" t="str">
        <f t="array" ref="D100">iferror(index(fish_lab_data!D:D,match(A100,fish_lab_data!C:C,0)))</f>
        <v>JP720</v>
      </c>
      <c r="E100" s="6">
        <v>100.0</v>
      </c>
      <c r="F100" s="17" t="str">
        <f t="shared" si="3"/>
        <v>BCA100</v>
      </c>
      <c r="G100" s="43" t="str">
        <f t="shared" si="4"/>
        <v>NA</v>
      </c>
      <c r="H100" s="17" t="str">
        <f t="shared" si="5"/>
        <v>BCA100-NA</v>
      </c>
      <c r="J100" t="str">
        <f t="shared" si="6"/>
        <v>collected</v>
      </c>
      <c r="K100" t="str">
        <f t="shared" si="7"/>
        <v>N</v>
      </c>
    </row>
    <row r="101">
      <c r="A101" s="26" t="s">
        <v>248</v>
      </c>
      <c r="B101" s="10" t="str">
        <f t="shared" si="1"/>
        <v>fish</v>
      </c>
      <c r="C101" s="63" t="str">
        <f t="shared" si="2"/>
        <v>U5209</v>
      </c>
      <c r="D101" s="11" t="str">
        <f t="array" ref="D101">iferror(index(fish_lab_data!D:D,match(A101,fish_lab_data!C:C,0)))</f>
        <v>JP720</v>
      </c>
      <c r="E101" s="6">
        <v>100.0</v>
      </c>
      <c r="F101" s="17" t="str">
        <f t="shared" si="3"/>
        <v>BCA100</v>
      </c>
      <c r="G101" s="43" t="str">
        <f t="shared" si="4"/>
        <v>NA</v>
      </c>
      <c r="H101" s="17" t="str">
        <f t="shared" si="5"/>
        <v>BCA100-NA</v>
      </c>
      <c r="J101" t="str">
        <f t="shared" si="6"/>
        <v>collected</v>
      </c>
      <c r="K101" t="str">
        <f t="shared" si="7"/>
        <v>N</v>
      </c>
    </row>
    <row r="102">
      <c r="A102" s="26" t="s">
        <v>250</v>
      </c>
      <c r="B102" s="10" t="str">
        <f t="shared" si="1"/>
        <v>fish</v>
      </c>
      <c r="C102" s="63" t="str">
        <f t="shared" si="2"/>
        <v>U5210</v>
      </c>
      <c r="D102" s="11" t="str">
        <f t="array" ref="D102">iferror(index(fish_lab_data!D:D,match(A102,fish_lab_data!C:C,0)))</f>
        <v>JP720</v>
      </c>
      <c r="E102" s="6">
        <v>100.0</v>
      </c>
      <c r="F102" s="17" t="str">
        <f t="shared" si="3"/>
        <v>BCA100</v>
      </c>
      <c r="G102" s="43" t="str">
        <f t="shared" si="4"/>
        <v>NA</v>
      </c>
      <c r="H102" s="17" t="str">
        <f t="shared" si="5"/>
        <v>BCA100-NA</v>
      </c>
      <c r="J102" t="str">
        <f t="shared" si="6"/>
        <v>collected</v>
      </c>
      <c r="K102" t="str">
        <f t="shared" si="7"/>
        <v>N</v>
      </c>
    </row>
    <row r="103">
      <c r="A103" s="26" t="s">
        <v>252</v>
      </c>
      <c r="B103" s="10" t="str">
        <f t="shared" si="1"/>
        <v>fish</v>
      </c>
      <c r="C103" s="63" t="str">
        <f t="shared" si="2"/>
        <v>U5211</v>
      </c>
      <c r="D103" s="11" t="str">
        <f t="array" ref="D103">iferror(index(fish_lab_data!D:D,match(A103,fish_lab_data!C:C,0)))</f>
        <v>JP457</v>
      </c>
      <c r="E103" s="6">
        <v>100.0</v>
      </c>
      <c r="F103" s="17" t="str">
        <f t="shared" si="3"/>
        <v>BCA100</v>
      </c>
      <c r="G103" s="43" t="str">
        <f t="shared" si="4"/>
        <v>NA</v>
      </c>
      <c r="H103" s="17" t="str">
        <f t="shared" si="5"/>
        <v>BCA100-NA</v>
      </c>
      <c r="J103" t="str">
        <f t="shared" si="6"/>
        <v>collected</v>
      </c>
      <c r="K103" t="str">
        <f t="shared" si="7"/>
        <v>N</v>
      </c>
    </row>
    <row r="104">
      <c r="A104" s="26" t="s">
        <v>254</v>
      </c>
      <c r="B104" s="10" t="str">
        <f t="shared" si="1"/>
        <v>fish</v>
      </c>
      <c r="C104" s="63" t="str">
        <f t="shared" si="2"/>
        <v>U5185</v>
      </c>
      <c r="D104" s="11" t="str">
        <f t="array" ref="D104">iferror(index(fish_lab_data!D:D,match(A104,fish_lab_data!C:C,0)))</f>
        <v>JP455</v>
      </c>
      <c r="E104" s="6">
        <v>100.0</v>
      </c>
      <c r="F104" s="17" t="str">
        <f t="shared" si="3"/>
        <v>BCA100</v>
      </c>
      <c r="G104" s="43" t="str">
        <f t="shared" si="4"/>
        <v>NA</v>
      </c>
      <c r="H104" s="17" t="str">
        <f t="shared" si="5"/>
        <v>BCA100-NA</v>
      </c>
      <c r="J104" t="str">
        <f t="shared" si="6"/>
        <v>collected</v>
      </c>
      <c r="K104" t="str">
        <f t="shared" si="7"/>
        <v>N</v>
      </c>
    </row>
    <row r="105">
      <c r="A105" s="26" t="s">
        <v>256</v>
      </c>
      <c r="B105" s="10" t="str">
        <f t="shared" si="1"/>
        <v>fish</v>
      </c>
      <c r="C105" s="63" t="str">
        <f t="shared" si="2"/>
        <v>U5186</v>
      </c>
      <c r="D105" s="11" t="str">
        <f t="array" ref="D105">iferror(index(fish_lab_data!D:D,match(A105,fish_lab_data!C:C,0)))</f>
        <v>JP455</v>
      </c>
      <c r="E105" s="6">
        <v>100.0</v>
      </c>
      <c r="F105" s="17" t="str">
        <f t="shared" si="3"/>
        <v>BCA100</v>
      </c>
      <c r="G105" s="43" t="str">
        <f t="shared" si="4"/>
        <v>NA</v>
      </c>
      <c r="H105" s="17" t="str">
        <f t="shared" si="5"/>
        <v>BCA100-NA</v>
      </c>
      <c r="J105" t="str">
        <f t="shared" si="6"/>
        <v>collected</v>
      </c>
      <c r="K105" t="str">
        <f t="shared" si="7"/>
        <v>N</v>
      </c>
    </row>
    <row r="106">
      <c r="A106" s="26" t="s">
        <v>258</v>
      </c>
      <c r="B106" s="10" t="str">
        <f t="shared" si="1"/>
        <v>fish</v>
      </c>
      <c r="C106" s="63" t="str">
        <f t="shared" si="2"/>
        <v>U5187</v>
      </c>
      <c r="D106" s="11" t="str">
        <f t="array" ref="D106">iferror(index(fish_lab_data!D:D,match(A106,fish_lab_data!C:C,0)))</f>
        <v>JP455</v>
      </c>
      <c r="E106" s="6">
        <v>100.0</v>
      </c>
      <c r="F106" s="17" t="str">
        <f t="shared" si="3"/>
        <v>BCA100</v>
      </c>
      <c r="G106" s="43" t="str">
        <f t="shared" si="4"/>
        <v>NA</v>
      </c>
      <c r="H106" s="17" t="str">
        <f t="shared" si="5"/>
        <v>BCA100-NA</v>
      </c>
      <c r="J106" t="str">
        <f t="shared" si="6"/>
        <v>collected</v>
      </c>
      <c r="K106" t="str">
        <f t="shared" si="7"/>
        <v>N</v>
      </c>
    </row>
    <row r="107">
      <c r="A107" s="27" t="s">
        <v>260</v>
      </c>
      <c r="B107" s="10" t="str">
        <f t="shared" si="1"/>
        <v>fish</v>
      </c>
      <c r="C107" s="63" t="str">
        <f t="shared" si="2"/>
        <v>U5188</v>
      </c>
      <c r="D107" s="11" t="str">
        <f t="array" ref="D107">iferror(index(fish_lab_data!D:D,match(A107,fish_lab_data!C:C,0)))</f>
        <v>JP455</v>
      </c>
      <c r="E107" s="6">
        <v>100.0</v>
      </c>
      <c r="F107" s="17" t="str">
        <f t="shared" si="3"/>
        <v>BCA100</v>
      </c>
      <c r="G107" s="43" t="str">
        <f t="shared" si="4"/>
        <v>NA</v>
      </c>
      <c r="H107" s="17" t="str">
        <f t="shared" si="5"/>
        <v>BCA100-NA</v>
      </c>
      <c r="J107" t="str">
        <f t="shared" si="6"/>
        <v>collected</v>
      </c>
      <c r="K107" t="str">
        <f t="shared" si="7"/>
        <v>N</v>
      </c>
    </row>
    <row r="108">
      <c r="A108" s="27" t="s">
        <v>262</v>
      </c>
      <c r="B108" s="10" t="str">
        <f t="shared" si="1"/>
        <v>fish</v>
      </c>
      <c r="C108" s="63" t="str">
        <f t="shared" si="2"/>
        <v>U5189</v>
      </c>
      <c r="D108" s="11" t="str">
        <f t="array" ref="D108">iferror(index(fish_lab_data!D:D,match(A108,fish_lab_data!C:C,0)))</f>
        <v>JP458</v>
      </c>
      <c r="E108" s="6">
        <v>100.0</v>
      </c>
      <c r="F108" s="17" t="str">
        <f t="shared" si="3"/>
        <v>BCA100</v>
      </c>
      <c r="G108" s="43" t="str">
        <f t="shared" si="4"/>
        <v>NA</v>
      </c>
      <c r="H108" s="17" t="str">
        <f t="shared" si="5"/>
        <v>BCA100-NA</v>
      </c>
      <c r="J108" t="str">
        <f t="shared" si="6"/>
        <v>collected</v>
      </c>
      <c r="K108" t="str">
        <f t="shared" si="7"/>
        <v>N</v>
      </c>
    </row>
    <row r="109">
      <c r="A109" s="27" t="s">
        <v>264</v>
      </c>
      <c r="B109" s="10" t="str">
        <f t="shared" si="1"/>
        <v>fish</v>
      </c>
      <c r="C109" s="63" t="str">
        <f t="shared" si="2"/>
        <v>U5190</v>
      </c>
      <c r="D109" s="11" t="str">
        <f t="array" ref="D109">iferror(index(fish_lab_data!D:D,match(A109,fish_lab_data!C:C,0)))</f>
        <v>JP458</v>
      </c>
      <c r="E109" s="6">
        <v>100.0</v>
      </c>
      <c r="F109" s="17" t="str">
        <f t="shared" si="3"/>
        <v>BCA100</v>
      </c>
      <c r="G109" s="43" t="str">
        <f t="shared" si="4"/>
        <v>NA</v>
      </c>
      <c r="H109" s="17" t="str">
        <f t="shared" si="5"/>
        <v>BCA100-NA</v>
      </c>
      <c r="J109" t="str">
        <f t="shared" si="6"/>
        <v>collected</v>
      </c>
      <c r="K109" t="str">
        <f t="shared" si="7"/>
        <v>N</v>
      </c>
    </row>
    <row r="110">
      <c r="A110" s="27" t="s">
        <v>266</v>
      </c>
      <c r="B110" s="10" t="str">
        <f t="shared" si="1"/>
        <v>fish</v>
      </c>
      <c r="C110" s="63" t="str">
        <f t="shared" si="2"/>
        <v>U5191</v>
      </c>
      <c r="D110" s="11" t="str">
        <f t="array" ref="D110">iferror(index(fish_lab_data!D:D,match(A110,fish_lab_data!C:C,0)))</f>
        <v>JP458</v>
      </c>
      <c r="E110" s="6">
        <v>100.0</v>
      </c>
      <c r="F110" s="17" t="str">
        <f t="shared" si="3"/>
        <v>BCA100</v>
      </c>
      <c r="G110" s="43" t="str">
        <f t="shared" si="4"/>
        <v>NA</v>
      </c>
      <c r="H110" s="17" t="str">
        <f t="shared" si="5"/>
        <v>BCA100-NA</v>
      </c>
      <c r="J110" t="str">
        <f t="shared" si="6"/>
        <v>collected</v>
      </c>
      <c r="K110" t="str">
        <f t="shared" si="7"/>
        <v>N</v>
      </c>
    </row>
    <row r="111">
      <c r="A111" s="27" t="s">
        <v>269</v>
      </c>
      <c r="B111" s="10" t="str">
        <f t="shared" si="1"/>
        <v>fish</v>
      </c>
      <c r="C111" s="63" t="str">
        <f t="shared" si="2"/>
        <v>U5192</v>
      </c>
      <c r="D111" s="11" t="str">
        <f t="array" ref="D111">iferror(index(fish_lab_data!D:D,match(A111,fish_lab_data!C:C,0)))</f>
        <v>JP458</v>
      </c>
      <c r="E111" s="6">
        <v>100.0</v>
      </c>
      <c r="F111" s="17" t="str">
        <f t="shared" si="3"/>
        <v>BCA100</v>
      </c>
      <c r="G111" s="43" t="str">
        <f t="shared" si="4"/>
        <v>NA</v>
      </c>
      <c r="H111" s="17" t="str">
        <f t="shared" si="5"/>
        <v>BCA100-NA</v>
      </c>
      <c r="J111" t="str">
        <f t="shared" si="6"/>
        <v>collected</v>
      </c>
      <c r="K111" t="str">
        <f t="shared" si="7"/>
        <v>N</v>
      </c>
    </row>
    <row r="112">
      <c r="A112" s="27" t="s">
        <v>271</v>
      </c>
      <c r="B112" s="10" t="str">
        <f t="shared" si="1"/>
        <v>fish</v>
      </c>
      <c r="C112" s="63" t="str">
        <f t="shared" si="2"/>
        <v>U5193</v>
      </c>
      <c r="D112" s="11" t="str">
        <f t="array" ref="D112">iferror(index(fish_lab_data!D:D,match(A112,fish_lab_data!C:C,0)))</f>
        <v>JP458</v>
      </c>
      <c r="E112" s="6">
        <v>100.0</v>
      </c>
      <c r="F112" s="17" t="str">
        <f t="shared" si="3"/>
        <v>BCA100</v>
      </c>
      <c r="G112" s="43" t="str">
        <f t="shared" si="4"/>
        <v>NA</v>
      </c>
      <c r="H112" s="17" t="str">
        <f t="shared" si="5"/>
        <v>BCA100-NA</v>
      </c>
      <c r="J112" t="str">
        <f t="shared" si="6"/>
        <v>collected</v>
      </c>
      <c r="K112" t="str">
        <f t="shared" si="7"/>
        <v>N</v>
      </c>
    </row>
    <row r="113">
      <c r="A113" s="27" t="s">
        <v>272</v>
      </c>
      <c r="B113" s="10" t="str">
        <f t="shared" si="1"/>
        <v>fish</v>
      </c>
      <c r="C113" s="63" t="str">
        <f t="shared" si="2"/>
        <v>U5232</v>
      </c>
      <c r="D113" s="11" t="str">
        <f t="array" ref="D113">iferror(index(fish_lab_data!D:D,match(A113,fish_lab_data!C:C,0)))</f>
        <v>JP458</v>
      </c>
      <c r="E113" s="6">
        <v>100.0</v>
      </c>
      <c r="F113" s="17" t="str">
        <f t="shared" si="3"/>
        <v>BCA100</v>
      </c>
      <c r="G113" s="43" t="str">
        <f t="shared" si="4"/>
        <v>NA</v>
      </c>
      <c r="H113" s="17" t="str">
        <f t="shared" si="5"/>
        <v>BCA100-NA</v>
      </c>
      <c r="J113" t="str">
        <f t="shared" si="6"/>
        <v>collected</v>
      </c>
      <c r="K113" t="str">
        <f t="shared" si="7"/>
        <v>N</v>
      </c>
    </row>
    <row r="114">
      <c r="A114" s="27" t="s">
        <v>274</v>
      </c>
      <c r="B114" s="10" t="str">
        <f t="shared" si="1"/>
        <v>fish</v>
      </c>
      <c r="C114" s="63" t="str">
        <f t="shared" si="2"/>
        <v>U5233</v>
      </c>
      <c r="D114" s="11" t="str">
        <f t="array" ref="D114">iferror(index(fish_lab_data!D:D,match(A114,fish_lab_data!C:C,0)))</f>
        <v>JP458</v>
      </c>
      <c r="E114" s="6">
        <v>100.0</v>
      </c>
      <c r="F114" s="17" t="str">
        <f t="shared" si="3"/>
        <v>BCA100</v>
      </c>
      <c r="G114" s="43" t="str">
        <f t="shared" si="4"/>
        <v>NA</v>
      </c>
      <c r="H114" s="17" t="str">
        <f t="shared" si="5"/>
        <v>BCA100-NA</v>
      </c>
      <c r="J114" t="str">
        <f t="shared" si="6"/>
        <v>collected</v>
      </c>
      <c r="K114" t="str">
        <f t="shared" si="7"/>
        <v>N</v>
      </c>
    </row>
    <row r="115">
      <c r="A115" s="27" t="s">
        <v>276</v>
      </c>
      <c r="B115" s="10" t="str">
        <f t="shared" si="1"/>
        <v>fish</v>
      </c>
      <c r="C115" s="63" t="str">
        <f t="shared" si="2"/>
        <v>U5234</v>
      </c>
      <c r="D115" s="11" t="str">
        <f t="array" ref="D115">iferror(index(fish_lab_data!D:D,match(A115,fish_lab_data!C:C,0)))</f>
        <v>JP458</v>
      </c>
      <c r="E115" s="6">
        <v>100.0</v>
      </c>
      <c r="F115" s="17" t="str">
        <f t="shared" si="3"/>
        <v>BCA100</v>
      </c>
      <c r="G115" s="43" t="str">
        <f t="shared" si="4"/>
        <v>NA</v>
      </c>
      <c r="H115" s="17" t="str">
        <f t="shared" si="5"/>
        <v>BCA100-NA</v>
      </c>
      <c r="J115" t="str">
        <f t="shared" si="6"/>
        <v>collected</v>
      </c>
      <c r="K115" t="str">
        <f t="shared" si="7"/>
        <v>N</v>
      </c>
    </row>
    <row r="116">
      <c r="A116" s="26" t="s">
        <v>278</v>
      </c>
      <c r="B116" s="10" t="str">
        <f t="shared" si="1"/>
        <v>fish</v>
      </c>
      <c r="C116" s="63" t="str">
        <f t="shared" si="2"/>
        <v>U5235</v>
      </c>
      <c r="D116" s="11" t="str">
        <f t="array" ref="D116">iferror(index(fish_lab_data!D:D,match(A116,fish_lab_data!C:C,0)))</f>
        <v>JP458</v>
      </c>
      <c r="E116" s="6">
        <v>100.0</v>
      </c>
      <c r="F116" s="17" t="str">
        <f t="shared" si="3"/>
        <v>BCA100</v>
      </c>
      <c r="G116" s="43" t="str">
        <f t="shared" si="4"/>
        <v>NA</v>
      </c>
      <c r="H116" s="17" t="str">
        <f t="shared" si="5"/>
        <v>BCA100-NA</v>
      </c>
      <c r="J116" t="str">
        <f t="shared" si="6"/>
        <v>collected</v>
      </c>
      <c r="K116" t="str">
        <f t="shared" si="7"/>
        <v>N</v>
      </c>
    </row>
    <row r="117">
      <c r="A117" s="26" t="s">
        <v>279</v>
      </c>
      <c r="B117" s="10" t="str">
        <f t="shared" si="1"/>
        <v>fish</v>
      </c>
      <c r="C117" s="63" t="str">
        <f t="shared" si="2"/>
        <v>U5236</v>
      </c>
      <c r="D117" s="11" t="str">
        <f t="array" ref="D117">iferror(index(fish_lab_data!D:D,match(A117,fish_lab_data!C:C,0)))</f>
        <v>JP458</v>
      </c>
      <c r="E117" s="6">
        <v>100.0</v>
      </c>
      <c r="F117" s="17" t="str">
        <f t="shared" si="3"/>
        <v>BCA100</v>
      </c>
      <c r="G117" s="43" t="str">
        <f t="shared" si="4"/>
        <v>NA</v>
      </c>
      <c r="H117" s="17" t="str">
        <f t="shared" si="5"/>
        <v>BCA100-NA</v>
      </c>
      <c r="J117" t="str">
        <f t="shared" si="6"/>
        <v>collected</v>
      </c>
      <c r="K117" t="str">
        <f t="shared" si="7"/>
        <v>N</v>
      </c>
    </row>
    <row r="118">
      <c r="A118" s="26" t="s">
        <v>280</v>
      </c>
      <c r="B118" s="10" t="str">
        <f t="shared" si="1"/>
        <v>fish</v>
      </c>
      <c r="C118" s="63" t="str">
        <f t="shared" si="2"/>
        <v>U5212</v>
      </c>
      <c r="D118" s="11" t="str">
        <f t="array" ref="D118">iferror(index(fish_lab_data!D:D,match(A118,fish_lab_data!C:C,0)))</f>
        <v>JP457</v>
      </c>
      <c r="E118" s="6">
        <v>100.0</v>
      </c>
      <c r="F118" s="17" t="str">
        <f t="shared" si="3"/>
        <v>BCA100</v>
      </c>
      <c r="G118" s="43" t="str">
        <f t="shared" si="4"/>
        <v>NA</v>
      </c>
      <c r="H118" s="17" t="str">
        <f t="shared" si="5"/>
        <v>BCA100-NA</v>
      </c>
      <c r="J118" t="str">
        <f t="shared" si="6"/>
        <v>collected</v>
      </c>
      <c r="K118" t="str">
        <f t="shared" si="7"/>
        <v>N</v>
      </c>
    </row>
    <row r="119">
      <c r="A119" s="26" t="s">
        <v>286</v>
      </c>
      <c r="B119" s="10" t="str">
        <f t="shared" si="1"/>
        <v>fish</v>
      </c>
      <c r="C119" s="63" t="str">
        <f t="shared" si="2"/>
        <v>U5213</v>
      </c>
      <c r="D119" s="11" t="str">
        <f t="array" ref="D119">iferror(index(fish_lab_data!D:D,match(A119,fish_lab_data!C:C,0)))</f>
        <v>JP457</v>
      </c>
      <c r="E119" s="6">
        <v>100.0</v>
      </c>
      <c r="F119" s="17" t="str">
        <f t="shared" si="3"/>
        <v>BCA100</v>
      </c>
      <c r="G119" s="43" t="str">
        <f t="shared" si="4"/>
        <v>NA</v>
      </c>
      <c r="H119" s="17" t="str">
        <f t="shared" si="5"/>
        <v>BCA100-NA</v>
      </c>
      <c r="J119" t="str">
        <f t="shared" si="6"/>
        <v>collected</v>
      </c>
      <c r="K119" t="str">
        <f t="shared" si="7"/>
        <v>N</v>
      </c>
    </row>
    <row r="120">
      <c r="A120" s="26" t="s">
        <v>287</v>
      </c>
      <c r="B120" s="10" t="str">
        <f t="shared" si="1"/>
        <v>fish</v>
      </c>
      <c r="C120" s="63" t="str">
        <f t="shared" si="2"/>
        <v>U5214</v>
      </c>
      <c r="D120" s="11" t="str">
        <f t="array" ref="D120">iferror(index(fish_lab_data!D:D,match(A120,fish_lab_data!C:C,0)))</f>
        <v>JP457</v>
      </c>
      <c r="E120" s="6">
        <v>100.0</v>
      </c>
      <c r="F120" s="17" t="str">
        <f t="shared" si="3"/>
        <v>BCA100</v>
      </c>
      <c r="G120" s="43" t="str">
        <f t="shared" si="4"/>
        <v>NA</v>
      </c>
      <c r="H120" s="17" t="str">
        <f t="shared" si="5"/>
        <v>BCA100-NA</v>
      </c>
      <c r="J120" t="str">
        <f t="shared" si="6"/>
        <v>collected</v>
      </c>
      <c r="K120" t="str">
        <f t="shared" si="7"/>
        <v>N</v>
      </c>
    </row>
    <row r="121">
      <c r="A121" s="26" t="s">
        <v>289</v>
      </c>
      <c r="B121" s="10" t="str">
        <f t="shared" si="1"/>
        <v>fish</v>
      </c>
      <c r="C121" s="63" t="str">
        <f t="shared" si="2"/>
        <v>U5215</v>
      </c>
      <c r="D121" s="11" t="str">
        <f t="array" ref="D121">iferror(index(fish_lab_data!D:D,match(A121,fish_lab_data!C:C,0)))</f>
        <v>JP457</v>
      </c>
      <c r="E121" s="6">
        <v>100.0</v>
      </c>
      <c r="F121" s="17" t="str">
        <f t="shared" si="3"/>
        <v>BCA100</v>
      </c>
      <c r="G121" s="43" t="str">
        <f t="shared" si="4"/>
        <v>NA</v>
      </c>
      <c r="H121" s="17" t="str">
        <f t="shared" si="5"/>
        <v>BCA100-NA</v>
      </c>
      <c r="J121" t="str">
        <f t="shared" si="6"/>
        <v>collected</v>
      </c>
      <c r="K121" t="str">
        <f t="shared" si="7"/>
        <v>N</v>
      </c>
    </row>
    <row r="122">
      <c r="A122" s="26" t="s">
        <v>291</v>
      </c>
      <c r="B122" s="10" t="str">
        <f t="shared" si="1"/>
        <v>fish</v>
      </c>
      <c r="C122" s="63" t="str">
        <f t="shared" si="2"/>
        <v>U5216</v>
      </c>
      <c r="D122" s="11" t="str">
        <f t="array" ref="D122">iferror(index(fish_lab_data!D:D,match(A122,fish_lab_data!C:C,0)))</f>
        <v>JP457</v>
      </c>
      <c r="E122" s="6">
        <v>100.0</v>
      </c>
      <c r="F122" s="17" t="str">
        <f t="shared" si="3"/>
        <v>BCA100</v>
      </c>
      <c r="G122" s="43" t="str">
        <f t="shared" si="4"/>
        <v>NA</v>
      </c>
      <c r="H122" s="17" t="str">
        <f t="shared" si="5"/>
        <v>BCA100-NA</v>
      </c>
      <c r="J122" t="str">
        <f t="shared" si="6"/>
        <v>collected</v>
      </c>
      <c r="K122" t="str">
        <f t="shared" si="7"/>
        <v>N</v>
      </c>
    </row>
    <row r="123">
      <c r="A123" s="26" t="s">
        <v>292</v>
      </c>
      <c r="B123" s="10" t="str">
        <f t="shared" si="1"/>
        <v>fish</v>
      </c>
      <c r="C123" s="63" t="str">
        <f t="shared" si="2"/>
        <v>U5217</v>
      </c>
      <c r="D123" s="11" t="str">
        <f t="array" ref="D123">iferror(index(fish_lab_data!D:D,match(A123,fish_lab_data!C:C,0)))</f>
        <v>JP457</v>
      </c>
      <c r="E123" s="6">
        <v>100.0</v>
      </c>
      <c r="F123" s="17" t="str">
        <f t="shared" si="3"/>
        <v>BCA100</v>
      </c>
      <c r="G123" s="43" t="str">
        <f t="shared" si="4"/>
        <v>NA</v>
      </c>
      <c r="H123" s="17" t="str">
        <f t="shared" si="5"/>
        <v>BCA100-NA</v>
      </c>
      <c r="J123" t="str">
        <f t="shared" si="6"/>
        <v>collected</v>
      </c>
      <c r="K123" t="str">
        <f t="shared" si="7"/>
        <v>N</v>
      </c>
    </row>
    <row r="124">
      <c r="A124" s="26" t="s">
        <v>294</v>
      </c>
      <c r="B124" s="10" t="str">
        <f t="shared" si="1"/>
        <v>fish</v>
      </c>
      <c r="C124" s="63" t="str">
        <f t="shared" si="2"/>
        <v>U5218</v>
      </c>
      <c r="D124" s="11" t="str">
        <f t="array" ref="D124">iferror(index(fish_lab_data!D:D,match(A124,fish_lab_data!C:C,0)))</f>
        <v>JP457</v>
      </c>
      <c r="E124" s="6">
        <v>100.0</v>
      </c>
      <c r="F124" s="17" t="str">
        <f t="shared" si="3"/>
        <v>BCA100</v>
      </c>
      <c r="G124" s="43" t="str">
        <f t="shared" si="4"/>
        <v>NA</v>
      </c>
      <c r="H124" s="17" t="str">
        <f t="shared" si="5"/>
        <v>BCA100-NA</v>
      </c>
      <c r="J124" t="str">
        <f t="shared" si="6"/>
        <v>collected</v>
      </c>
      <c r="K124" t="str">
        <f t="shared" si="7"/>
        <v>N</v>
      </c>
    </row>
    <row r="125">
      <c r="A125" s="26" t="s">
        <v>295</v>
      </c>
      <c r="B125" s="10" t="str">
        <f t="shared" si="1"/>
        <v>fish</v>
      </c>
      <c r="C125" s="63" t="str">
        <f t="shared" si="2"/>
        <v>U5219</v>
      </c>
      <c r="D125" s="11" t="str">
        <f t="array" ref="D125">iferror(index(fish_lab_data!D:D,match(A125,fish_lab_data!C:C,0)))</f>
        <v>JP457</v>
      </c>
      <c r="E125" s="6">
        <v>100.0</v>
      </c>
      <c r="F125" s="17" t="str">
        <f t="shared" si="3"/>
        <v>BCA100</v>
      </c>
      <c r="G125" s="43" t="str">
        <f t="shared" si="4"/>
        <v>NA</v>
      </c>
      <c r="H125" s="17" t="str">
        <f t="shared" si="5"/>
        <v>BCA100-NA</v>
      </c>
      <c r="J125" t="str">
        <f t="shared" si="6"/>
        <v>collected</v>
      </c>
      <c r="K125" t="str">
        <f t="shared" si="7"/>
        <v>N</v>
      </c>
    </row>
    <row r="126">
      <c r="A126" s="6" t="s">
        <v>297</v>
      </c>
      <c r="B126" s="10" t="str">
        <f t="shared" si="1"/>
        <v>fish</v>
      </c>
      <c r="C126" s="63" t="str">
        <f t="shared" si="2"/>
        <v>U5220</v>
      </c>
      <c r="D126" s="11" t="str">
        <f t="array" ref="D126">iferror(index(fish_lab_data!D:D,match(A126,fish_lab_data!C:C,0)))</f>
        <v>JP457</v>
      </c>
      <c r="E126" s="6">
        <v>100.0</v>
      </c>
      <c r="F126" s="17" t="str">
        <f t="shared" si="3"/>
        <v>BCA100</v>
      </c>
      <c r="G126" s="43" t="str">
        <f t="shared" si="4"/>
        <v>NA</v>
      </c>
      <c r="H126" s="17" t="str">
        <f t="shared" si="5"/>
        <v>BCA100-NA</v>
      </c>
      <c r="J126" t="str">
        <f t="shared" si="6"/>
        <v>collected</v>
      </c>
      <c r="K126" t="str">
        <f t="shared" si="7"/>
        <v>N</v>
      </c>
    </row>
    <row r="127">
      <c r="A127" s="6" t="s">
        <v>298</v>
      </c>
      <c r="B127" s="10" t="str">
        <f t="shared" si="1"/>
        <v>fish</v>
      </c>
      <c r="C127" s="63" t="str">
        <f t="shared" si="2"/>
        <v>U5221</v>
      </c>
      <c r="D127" s="11" t="str">
        <f t="array" ref="D127">iferror(index(fish_lab_data!D:D,match(A127,fish_lab_data!C:C,0)))</f>
        <v>DP721</v>
      </c>
      <c r="E127" s="6">
        <v>100.0</v>
      </c>
      <c r="F127" s="17" t="str">
        <f t="shared" si="3"/>
        <v>BCA100</v>
      </c>
      <c r="G127" s="43" t="str">
        <f t="shared" si="4"/>
        <v>NA</v>
      </c>
      <c r="H127" s="17" t="str">
        <f t="shared" si="5"/>
        <v>BCA100-NA</v>
      </c>
      <c r="J127" t="str">
        <f t="shared" si="6"/>
        <v>collected</v>
      </c>
      <c r="K127" t="str">
        <f t="shared" si="7"/>
        <v>N</v>
      </c>
    </row>
    <row r="128">
      <c r="A128" s="27" t="s">
        <v>301</v>
      </c>
      <c r="B128" s="10" t="str">
        <f t="shared" si="1"/>
        <v>fish</v>
      </c>
      <c r="C128" s="63" t="str">
        <f t="shared" si="2"/>
        <v>U5222</v>
      </c>
      <c r="D128" s="11" t="str">
        <f t="array" ref="D128">iferror(index(fish_lab_data!D:D,match(A128,fish_lab_data!C:C,0)))</f>
        <v>DP721</v>
      </c>
      <c r="E128" s="6">
        <v>100.0</v>
      </c>
      <c r="F128" s="17" t="str">
        <f t="shared" si="3"/>
        <v>BCA100</v>
      </c>
      <c r="G128" s="43" t="str">
        <f t="shared" si="4"/>
        <v>NA</v>
      </c>
      <c r="H128" s="17" t="str">
        <f t="shared" si="5"/>
        <v>BCA100-NA</v>
      </c>
      <c r="J128" t="str">
        <f t="shared" si="6"/>
        <v>collected</v>
      </c>
      <c r="K128" t="str">
        <f t="shared" si="7"/>
        <v>N</v>
      </c>
    </row>
    <row r="129">
      <c r="A129" s="27" t="s">
        <v>302</v>
      </c>
      <c r="B129" s="10" t="str">
        <f t="shared" si="1"/>
        <v>fish</v>
      </c>
      <c r="C129" s="63" t="str">
        <f t="shared" si="2"/>
        <v>U5223</v>
      </c>
      <c r="D129" s="11" t="str">
        <f t="array" ref="D129">iferror(index(fish_lab_data!D:D,match(A129,fish_lab_data!C:C,0)))</f>
        <v>DP721</v>
      </c>
      <c r="E129" s="6">
        <v>100.0</v>
      </c>
      <c r="F129" s="17" t="str">
        <f t="shared" si="3"/>
        <v>BCA100</v>
      </c>
      <c r="G129" s="43" t="str">
        <f t="shared" si="4"/>
        <v>NA</v>
      </c>
      <c r="H129" s="17" t="str">
        <f t="shared" si="5"/>
        <v>BCA100-NA</v>
      </c>
      <c r="J129" t="str">
        <f t="shared" si="6"/>
        <v>collected</v>
      </c>
      <c r="K129" t="str">
        <f t="shared" si="7"/>
        <v>N</v>
      </c>
    </row>
    <row r="130">
      <c r="A130" s="27" t="s">
        <v>304</v>
      </c>
      <c r="B130" s="10" t="str">
        <f t="shared" si="1"/>
        <v>fish</v>
      </c>
      <c r="C130" s="63" t="str">
        <f t="shared" si="2"/>
        <v>U5224</v>
      </c>
      <c r="D130" s="11" t="str">
        <f t="array" ref="D130">iferror(index(fish_lab_data!D:D,match(A130,fish_lab_data!C:C,0)))</f>
        <v>DP721</v>
      </c>
      <c r="E130" s="6">
        <v>100.0</v>
      </c>
      <c r="F130" s="17" t="str">
        <f t="shared" si="3"/>
        <v>BCA100</v>
      </c>
      <c r="G130" s="43" t="str">
        <f t="shared" si="4"/>
        <v>NA</v>
      </c>
      <c r="H130" s="17" t="str">
        <f t="shared" si="5"/>
        <v>BCA100-NA</v>
      </c>
      <c r="J130" t="str">
        <f t="shared" si="6"/>
        <v>collected</v>
      </c>
      <c r="K130" t="str">
        <f t="shared" si="7"/>
        <v>N</v>
      </c>
    </row>
    <row r="131">
      <c r="A131" s="27" t="s">
        <v>305</v>
      </c>
      <c r="B131" s="10" t="str">
        <f t="shared" si="1"/>
        <v>fish</v>
      </c>
      <c r="C131" s="63" t="str">
        <f t="shared" si="2"/>
        <v>U5225</v>
      </c>
      <c r="D131" s="11" t="str">
        <f t="array" ref="D131">iferror(index(fish_lab_data!D:D,match(A131,fish_lab_data!C:C,0)))</f>
        <v>JP459</v>
      </c>
      <c r="E131" s="6">
        <v>100.0</v>
      </c>
      <c r="F131" s="17" t="str">
        <f t="shared" si="3"/>
        <v>BCA100</v>
      </c>
      <c r="G131" s="43" t="str">
        <f t="shared" si="4"/>
        <v>NA</v>
      </c>
      <c r="H131" s="17" t="str">
        <f t="shared" si="5"/>
        <v>BCA100-NA</v>
      </c>
      <c r="J131" t="str">
        <f t="shared" si="6"/>
        <v>collected</v>
      </c>
      <c r="K131" t="str">
        <f t="shared" si="7"/>
        <v>N</v>
      </c>
    </row>
    <row r="132">
      <c r="A132" s="27" t="s">
        <v>307</v>
      </c>
      <c r="B132" s="10" t="str">
        <f t="shared" si="1"/>
        <v>fish</v>
      </c>
      <c r="C132" s="63" t="str">
        <f t="shared" si="2"/>
        <v>U5226</v>
      </c>
      <c r="D132" s="11" t="str">
        <f t="array" ref="D132">iferror(index(fish_lab_data!D:D,match(A132,fish_lab_data!C:C,0)))</f>
        <v>JP459</v>
      </c>
      <c r="E132" s="6">
        <v>100.0</v>
      </c>
      <c r="F132" s="17" t="str">
        <f t="shared" si="3"/>
        <v>BCA100</v>
      </c>
      <c r="G132" s="43" t="str">
        <f t="shared" si="4"/>
        <v>NA</v>
      </c>
      <c r="H132" s="17" t="str">
        <f t="shared" si="5"/>
        <v>BCA100-NA</v>
      </c>
      <c r="J132" t="str">
        <f t="shared" si="6"/>
        <v>collected</v>
      </c>
      <c r="K132" t="str">
        <f t="shared" si="7"/>
        <v>N</v>
      </c>
    </row>
    <row r="133">
      <c r="A133" s="27" t="s">
        <v>309</v>
      </c>
      <c r="B133" s="10" t="str">
        <f t="shared" si="1"/>
        <v>fish</v>
      </c>
      <c r="C133" s="63" t="str">
        <f t="shared" si="2"/>
        <v>U5227</v>
      </c>
      <c r="D133" s="11" t="str">
        <f t="array" ref="D133">iferror(index(fish_lab_data!D:D,match(A133,fish_lab_data!C:C,0)))</f>
        <v>JP459</v>
      </c>
      <c r="E133" s="6">
        <v>100.0</v>
      </c>
      <c r="F133" s="17" t="str">
        <f t="shared" si="3"/>
        <v>BCA100</v>
      </c>
      <c r="G133" s="43" t="str">
        <f t="shared" si="4"/>
        <v>NA</v>
      </c>
      <c r="H133" s="17" t="str">
        <f t="shared" si="5"/>
        <v>BCA100-NA</v>
      </c>
      <c r="J133" t="str">
        <f t="shared" si="6"/>
        <v>collected</v>
      </c>
      <c r="K133" t="str">
        <f t="shared" si="7"/>
        <v>N</v>
      </c>
    </row>
    <row r="134">
      <c r="A134" s="27" t="s">
        <v>310</v>
      </c>
      <c r="B134" s="10" t="str">
        <f t="shared" si="1"/>
        <v>fish</v>
      </c>
      <c r="C134" s="63" t="str">
        <f t="shared" si="2"/>
        <v>U5228</v>
      </c>
      <c r="D134" s="11" t="str">
        <f t="array" ref="D134">iferror(index(fish_lab_data!D:D,match(A134,fish_lab_data!C:C,0)))</f>
        <v>JP459</v>
      </c>
      <c r="E134" s="6">
        <v>100.0</v>
      </c>
      <c r="F134" s="17" t="str">
        <f t="shared" si="3"/>
        <v>BCA100</v>
      </c>
      <c r="G134" s="43" t="str">
        <f t="shared" si="4"/>
        <v>NA</v>
      </c>
      <c r="H134" s="17" t="str">
        <f t="shared" si="5"/>
        <v>BCA100-NA</v>
      </c>
      <c r="J134" t="str">
        <f t="shared" si="6"/>
        <v>collected</v>
      </c>
      <c r="K134" t="str">
        <f t="shared" si="7"/>
        <v>N</v>
      </c>
    </row>
    <row r="135">
      <c r="A135" s="26" t="s">
        <v>342</v>
      </c>
      <c r="B135" s="10" t="str">
        <f t="shared" si="1"/>
        <v>fish</v>
      </c>
      <c r="C135" s="63" t="str">
        <f t="shared" si="2"/>
        <v>U5262</v>
      </c>
      <c r="D135" s="11" t="str">
        <f t="array" ref="D135">iferror(index(fish_lab_data!D:D,match(A135,fish_lab_data!C:C,0)))</f>
        <v>JP460</v>
      </c>
      <c r="E135" s="6">
        <v>100.0</v>
      </c>
      <c r="F135" s="17" t="str">
        <f t="shared" si="3"/>
        <v>BCA100</v>
      </c>
      <c r="G135" s="43" t="str">
        <f t="shared" si="4"/>
        <v>NA</v>
      </c>
      <c r="H135" s="17" t="str">
        <f t="shared" si="5"/>
        <v>BCA100-NA</v>
      </c>
      <c r="J135" t="str">
        <f t="shared" si="6"/>
        <v>collected</v>
      </c>
      <c r="K135" t="str">
        <f t="shared" si="7"/>
        <v>N</v>
      </c>
    </row>
    <row r="136">
      <c r="A136" s="26" t="s">
        <v>344</v>
      </c>
      <c r="B136" s="10" t="str">
        <f t="shared" si="1"/>
        <v>fish</v>
      </c>
      <c r="C136" s="63" t="str">
        <f t="shared" si="2"/>
        <v>U5263</v>
      </c>
      <c r="D136" s="11" t="str">
        <f t="array" ref="D136">iferror(index(fish_lab_data!D:D,match(A136,fish_lab_data!C:C,0)))</f>
        <v>JP460</v>
      </c>
      <c r="E136" s="6">
        <v>100.0</v>
      </c>
      <c r="F136" s="17" t="str">
        <f t="shared" si="3"/>
        <v>BCA100</v>
      </c>
      <c r="G136" s="43" t="str">
        <f t="shared" si="4"/>
        <v>NA</v>
      </c>
      <c r="H136" s="17" t="str">
        <f t="shared" si="5"/>
        <v>BCA100-NA</v>
      </c>
      <c r="J136" t="str">
        <f t="shared" si="6"/>
        <v>collected</v>
      </c>
      <c r="K136" t="str">
        <f t="shared" si="7"/>
        <v>N</v>
      </c>
    </row>
    <row r="137">
      <c r="A137" s="26" t="s">
        <v>345</v>
      </c>
      <c r="B137" s="10" t="str">
        <f t="shared" si="1"/>
        <v>fish</v>
      </c>
      <c r="C137" s="63" t="str">
        <f t="shared" si="2"/>
        <v>U5264</v>
      </c>
      <c r="D137" s="11" t="str">
        <f t="array" ref="D137">iferror(index(fish_lab_data!D:D,match(A137,fish_lab_data!C:C,0)))</f>
        <v>JP460</v>
      </c>
      <c r="E137" s="6">
        <v>100.0</v>
      </c>
      <c r="F137" s="17" t="str">
        <f t="shared" si="3"/>
        <v>BCA100</v>
      </c>
      <c r="G137" s="43" t="str">
        <f t="shared" si="4"/>
        <v>NA</v>
      </c>
      <c r="H137" s="17" t="str">
        <f t="shared" si="5"/>
        <v>BCA100-NA</v>
      </c>
      <c r="J137" t="str">
        <f t="shared" si="6"/>
        <v>collected</v>
      </c>
      <c r="K137" t="str">
        <f t="shared" si="7"/>
        <v>N</v>
      </c>
    </row>
    <row r="138">
      <c r="A138" s="26" t="s">
        <v>347</v>
      </c>
      <c r="B138" s="10" t="str">
        <f t="shared" si="1"/>
        <v>fish</v>
      </c>
      <c r="C138" s="63" t="str">
        <f t="shared" si="2"/>
        <v>U5265</v>
      </c>
      <c r="D138" s="11" t="str">
        <f t="array" ref="D138">iferror(index(fish_lab_data!D:D,match(A138,fish_lab_data!C:C,0)))</f>
        <v>JP460</v>
      </c>
      <c r="E138" s="6">
        <v>100.0</v>
      </c>
      <c r="F138" s="17" t="str">
        <f t="shared" si="3"/>
        <v>BCA100</v>
      </c>
      <c r="G138" s="43" t="str">
        <f t="shared" si="4"/>
        <v>NA</v>
      </c>
      <c r="H138" s="17" t="str">
        <f t="shared" si="5"/>
        <v>BCA100-NA</v>
      </c>
      <c r="J138" t="str">
        <f t="shared" si="6"/>
        <v>collected</v>
      </c>
      <c r="K138" t="str">
        <f t="shared" si="7"/>
        <v>N</v>
      </c>
    </row>
    <row r="139">
      <c r="A139" s="26" t="s">
        <v>348</v>
      </c>
      <c r="B139" s="10" t="str">
        <f t="shared" si="1"/>
        <v>fish</v>
      </c>
      <c r="C139" s="63" t="str">
        <f t="shared" si="2"/>
        <v>U5266</v>
      </c>
      <c r="D139" s="11" t="str">
        <f t="array" ref="D139">iferror(index(fish_lab_data!D:D,match(A139,fish_lab_data!C:C,0)))</f>
        <v>JP460</v>
      </c>
      <c r="E139" s="6">
        <v>100.0</v>
      </c>
      <c r="F139" s="17" t="str">
        <f t="shared" si="3"/>
        <v>BCA100</v>
      </c>
      <c r="G139" s="43" t="str">
        <f t="shared" si="4"/>
        <v>NA</v>
      </c>
      <c r="H139" s="17" t="str">
        <f t="shared" si="5"/>
        <v>BCA100-NA</v>
      </c>
      <c r="J139" t="str">
        <f t="shared" si="6"/>
        <v>collected</v>
      </c>
      <c r="K139" t="str">
        <f t="shared" si="7"/>
        <v>N</v>
      </c>
    </row>
    <row r="140">
      <c r="A140" s="26" t="s">
        <v>349</v>
      </c>
      <c r="B140" s="10" t="str">
        <f t="shared" si="1"/>
        <v>fish</v>
      </c>
      <c r="C140" s="63" t="str">
        <f t="shared" si="2"/>
        <v>U5267</v>
      </c>
      <c r="D140" s="11" t="str">
        <f t="array" ref="D140">iferror(index(fish_lab_data!D:D,match(A140,fish_lab_data!C:C,0)))</f>
        <v>JP460</v>
      </c>
      <c r="E140" s="6">
        <v>100.0</v>
      </c>
      <c r="F140" s="17" t="str">
        <f t="shared" si="3"/>
        <v>BCA100</v>
      </c>
      <c r="G140" s="43" t="str">
        <f t="shared" si="4"/>
        <v>NA</v>
      </c>
      <c r="H140" s="17" t="str">
        <f t="shared" si="5"/>
        <v>BCA100-NA</v>
      </c>
      <c r="J140" t="str">
        <f t="shared" si="6"/>
        <v>collected</v>
      </c>
      <c r="K140" t="str">
        <f t="shared" si="7"/>
        <v>N</v>
      </c>
    </row>
    <row r="141">
      <c r="A141" s="26" t="s">
        <v>351</v>
      </c>
      <c r="B141" s="10" t="str">
        <f t="shared" si="1"/>
        <v>fish</v>
      </c>
      <c r="C141" s="63" t="str">
        <f t="shared" si="2"/>
        <v>U5268</v>
      </c>
      <c r="D141" s="11" t="str">
        <f t="array" ref="D141">iferror(index(fish_lab_data!D:D,match(A141,fish_lab_data!C:C,0)))</f>
        <v>JP460</v>
      </c>
      <c r="E141" s="6">
        <v>100.0</v>
      </c>
      <c r="F141" s="17" t="str">
        <f t="shared" si="3"/>
        <v>BCA100</v>
      </c>
      <c r="G141" s="43" t="str">
        <f t="shared" si="4"/>
        <v>NA</v>
      </c>
      <c r="H141" s="17" t="str">
        <f t="shared" si="5"/>
        <v>BCA100-NA</v>
      </c>
      <c r="J141" t="str">
        <f t="shared" si="6"/>
        <v>collected</v>
      </c>
      <c r="K141" t="str">
        <f t="shared" si="7"/>
        <v>N</v>
      </c>
    </row>
    <row r="142">
      <c r="A142" s="26" t="s">
        <v>353</v>
      </c>
      <c r="B142" s="10" t="str">
        <f t="shared" si="1"/>
        <v>fish</v>
      </c>
      <c r="C142" s="63" t="str">
        <f t="shared" si="2"/>
        <v>U5269</v>
      </c>
      <c r="D142" s="11" t="str">
        <f t="array" ref="D142">iferror(index(fish_lab_data!D:D,match(A142,fish_lab_data!C:C,0)))</f>
        <v>JP460</v>
      </c>
      <c r="E142" s="6">
        <v>100.0</v>
      </c>
      <c r="F142" s="17" t="str">
        <f t="shared" si="3"/>
        <v>BCA100</v>
      </c>
      <c r="G142" s="43" t="str">
        <f t="shared" si="4"/>
        <v>NA</v>
      </c>
      <c r="H142" s="17" t="str">
        <f t="shared" si="5"/>
        <v>BCA100-NA</v>
      </c>
      <c r="J142" t="str">
        <f t="shared" si="6"/>
        <v>collected</v>
      </c>
      <c r="K142" t="str">
        <f t="shared" si="7"/>
        <v>N</v>
      </c>
    </row>
    <row r="143">
      <c r="A143" s="26" t="s">
        <v>354</v>
      </c>
      <c r="B143" s="10" t="str">
        <f t="shared" si="1"/>
        <v>fish</v>
      </c>
      <c r="C143" s="63" t="str">
        <f t="shared" si="2"/>
        <v>U5270</v>
      </c>
      <c r="D143" s="11" t="str">
        <f t="array" ref="D143">iferror(index(fish_lab_data!D:D,match(A143,fish_lab_data!C:C,0)))</f>
        <v>JP460</v>
      </c>
      <c r="E143" s="6">
        <v>100.0</v>
      </c>
      <c r="F143" s="17" t="str">
        <f t="shared" si="3"/>
        <v>BCA100</v>
      </c>
      <c r="G143" s="43" t="str">
        <f t="shared" si="4"/>
        <v>NA</v>
      </c>
      <c r="H143" s="17" t="str">
        <f t="shared" si="5"/>
        <v>BCA100-NA</v>
      </c>
      <c r="J143" t="str">
        <f t="shared" si="6"/>
        <v>collected</v>
      </c>
      <c r="K143" t="str">
        <f t="shared" si="7"/>
        <v>N</v>
      </c>
    </row>
    <row r="144">
      <c r="A144" s="26" t="s">
        <v>355</v>
      </c>
      <c r="B144" s="10" t="str">
        <f t="shared" si="1"/>
        <v>fish</v>
      </c>
      <c r="C144" s="63" t="str">
        <f t="shared" si="2"/>
        <v>U5271</v>
      </c>
      <c r="D144" s="11" t="str">
        <f t="array" ref="D144">iferror(index(fish_lab_data!D:D,match(A144,fish_lab_data!C:C,0)))</f>
        <v>JP460</v>
      </c>
      <c r="E144" s="6">
        <v>100.0</v>
      </c>
      <c r="F144" s="17" t="str">
        <f t="shared" si="3"/>
        <v>BCA100</v>
      </c>
      <c r="G144" s="43" t="str">
        <f t="shared" si="4"/>
        <v>NA</v>
      </c>
      <c r="H144" s="17" t="str">
        <f t="shared" si="5"/>
        <v>BCA100-NA</v>
      </c>
      <c r="J144" t="str">
        <f t="shared" si="6"/>
        <v>collected</v>
      </c>
      <c r="K144" t="str">
        <f t="shared" si="7"/>
        <v>N</v>
      </c>
    </row>
    <row r="145">
      <c r="A145" s="26" t="s">
        <v>356</v>
      </c>
      <c r="B145" s="10" t="str">
        <f t="shared" si="1"/>
        <v>fish</v>
      </c>
      <c r="C145" s="63" t="str">
        <f t="shared" si="2"/>
        <v>U5272</v>
      </c>
      <c r="D145" s="11" t="str">
        <f t="array" ref="D145">iferror(index(fish_lab_data!D:D,match(A145,fish_lab_data!C:C,0)))</f>
        <v>DP723</v>
      </c>
      <c r="E145" s="6">
        <v>100.0</v>
      </c>
      <c r="F145" s="17" t="str">
        <f t="shared" si="3"/>
        <v>BCA100</v>
      </c>
      <c r="G145" s="43" t="str">
        <f t="shared" si="4"/>
        <v>NA</v>
      </c>
      <c r="H145" s="17" t="str">
        <f t="shared" si="5"/>
        <v>BCA100-NA</v>
      </c>
      <c r="J145" t="str">
        <f t="shared" si="6"/>
        <v>collected</v>
      </c>
      <c r="K145" t="str">
        <f t="shared" si="7"/>
        <v>N</v>
      </c>
    </row>
    <row r="146">
      <c r="A146" s="26" t="s">
        <v>359</v>
      </c>
      <c r="B146" s="10" t="str">
        <f t="shared" si="1"/>
        <v>fish</v>
      </c>
      <c r="C146" s="63" t="str">
        <f t="shared" si="2"/>
        <v>U5273</v>
      </c>
      <c r="D146" s="11" t="str">
        <f t="array" ref="D146">iferror(index(fish_lab_data!D:D,match(A146,fish_lab_data!C:C,0)))</f>
        <v>DP723</v>
      </c>
      <c r="E146" s="6">
        <v>100.0</v>
      </c>
      <c r="F146" s="17" t="str">
        <f t="shared" si="3"/>
        <v>BCA100</v>
      </c>
      <c r="G146" s="43" t="str">
        <f t="shared" si="4"/>
        <v>NA</v>
      </c>
      <c r="H146" s="17" t="str">
        <f t="shared" si="5"/>
        <v>BCA100-NA</v>
      </c>
      <c r="J146" t="str">
        <f t="shared" si="6"/>
        <v>collected</v>
      </c>
      <c r="K146" t="str">
        <f t="shared" si="7"/>
        <v>N</v>
      </c>
    </row>
    <row r="147">
      <c r="A147" s="26" t="s">
        <v>360</v>
      </c>
      <c r="B147" s="10" t="str">
        <f t="shared" si="1"/>
        <v>fish</v>
      </c>
      <c r="C147" s="63" t="str">
        <f t="shared" si="2"/>
        <v>U5237</v>
      </c>
      <c r="D147" s="11" t="str">
        <f t="array" ref="D147">iferror(index(fish_lab_data!D:D,match(A147,fish_lab_data!C:C,0)))</f>
        <v>DP723</v>
      </c>
      <c r="E147" s="6">
        <v>100.0</v>
      </c>
      <c r="F147" s="17" t="str">
        <f t="shared" si="3"/>
        <v>BCA100</v>
      </c>
      <c r="G147" s="43" t="str">
        <f t="shared" si="4"/>
        <v>NA</v>
      </c>
      <c r="H147" s="17" t="str">
        <f t="shared" si="5"/>
        <v>BCA100-NA</v>
      </c>
      <c r="J147" t="str">
        <f t="shared" si="6"/>
        <v>collected</v>
      </c>
      <c r="K147" t="str">
        <f t="shared" si="7"/>
        <v>N</v>
      </c>
    </row>
    <row r="148">
      <c r="A148" s="26" t="s">
        <v>361</v>
      </c>
      <c r="B148" s="10" t="str">
        <f t="shared" si="1"/>
        <v>fish</v>
      </c>
      <c r="C148" s="63" t="str">
        <f t="shared" si="2"/>
        <v>U5238</v>
      </c>
      <c r="D148" s="11" t="str">
        <f t="array" ref="D148">iferror(index(fish_lab_data!D:D,match(A148,fish_lab_data!C:C,0)))</f>
        <v>DP723</v>
      </c>
      <c r="E148" s="6">
        <v>100.0</v>
      </c>
      <c r="F148" s="17" t="str">
        <f t="shared" si="3"/>
        <v>BCA100</v>
      </c>
      <c r="G148" s="43" t="str">
        <f t="shared" si="4"/>
        <v>NA</v>
      </c>
      <c r="H148" s="17" t="str">
        <f t="shared" si="5"/>
        <v>BCA100-NA</v>
      </c>
      <c r="J148" t="str">
        <f t="shared" si="6"/>
        <v>collected</v>
      </c>
      <c r="K148" t="str">
        <f t="shared" si="7"/>
        <v>N</v>
      </c>
    </row>
    <row r="149">
      <c r="A149" s="26" t="s">
        <v>362</v>
      </c>
      <c r="B149" s="10" t="str">
        <f t="shared" si="1"/>
        <v>fish</v>
      </c>
      <c r="C149" s="63" t="str">
        <f t="shared" si="2"/>
        <v>U5239</v>
      </c>
      <c r="D149" s="11" t="str">
        <f t="array" ref="D149">iferror(index(fish_lab_data!D:D,match(A149,fish_lab_data!C:C,0)))</f>
        <v>DP723</v>
      </c>
      <c r="E149" s="6">
        <v>100.0</v>
      </c>
      <c r="F149" s="17" t="str">
        <f t="shared" si="3"/>
        <v>BCA100</v>
      </c>
      <c r="G149" s="43" t="str">
        <f t="shared" si="4"/>
        <v>NA</v>
      </c>
      <c r="H149" s="17" t="str">
        <f t="shared" si="5"/>
        <v>BCA100-NA</v>
      </c>
      <c r="J149" t="str">
        <f t="shared" si="6"/>
        <v>collected</v>
      </c>
      <c r="K149" t="str">
        <f t="shared" si="7"/>
        <v>N</v>
      </c>
    </row>
    <row r="150">
      <c r="A150" s="26" t="s">
        <v>365</v>
      </c>
      <c r="B150" s="10" t="str">
        <f t="shared" si="1"/>
        <v>fish</v>
      </c>
      <c r="C150" s="63" t="str">
        <f t="shared" si="2"/>
        <v>U5240</v>
      </c>
      <c r="D150" s="11" t="str">
        <f t="array" ref="D150">iferror(index(fish_lab_data!D:D,match(A150,fish_lab_data!C:C,0)))</f>
        <v>DP723</v>
      </c>
      <c r="E150" s="6">
        <v>100.0</v>
      </c>
      <c r="F150" s="17" t="str">
        <f t="shared" si="3"/>
        <v>BCA100</v>
      </c>
      <c r="G150" s="43" t="str">
        <f t="shared" si="4"/>
        <v>NA</v>
      </c>
      <c r="H150" s="17" t="str">
        <f t="shared" si="5"/>
        <v>BCA100-NA</v>
      </c>
      <c r="J150" t="str">
        <f t="shared" si="6"/>
        <v>collected</v>
      </c>
      <c r="K150" t="str">
        <f t="shared" si="7"/>
        <v>N</v>
      </c>
    </row>
    <row r="151">
      <c r="A151" s="27" t="s">
        <v>367</v>
      </c>
      <c r="B151" s="10" t="str">
        <f t="shared" si="1"/>
        <v>fish</v>
      </c>
      <c r="C151" s="63" t="str">
        <f t="shared" si="2"/>
        <v>U5241</v>
      </c>
      <c r="D151" s="11" t="str">
        <f t="array" ref="D151">iferror(index(fish_lab_data!D:D,match(A151,fish_lab_data!C:C,0)))</f>
        <v>DP723</v>
      </c>
      <c r="E151" s="6">
        <v>100.0</v>
      </c>
      <c r="F151" s="17" t="str">
        <f t="shared" si="3"/>
        <v>BCA100</v>
      </c>
      <c r="G151" s="43" t="str">
        <f t="shared" si="4"/>
        <v>NA</v>
      </c>
      <c r="H151" s="17" t="str">
        <f t="shared" si="5"/>
        <v>BCA100-NA</v>
      </c>
      <c r="J151" t="str">
        <f t="shared" si="6"/>
        <v>collected</v>
      </c>
      <c r="K151" t="str">
        <f t="shared" si="7"/>
        <v>N</v>
      </c>
    </row>
    <row r="152">
      <c r="A152" s="27" t="s">
        <v>368</v>
      </c>
      <c r="B152" s="10" t="str">
        <f t="shared" si="1"/>
        <v>fish</v>
      </c>
      <c r="C152" s="63" t="str">
        <f t="shared" si="2"/>
        <v>U5242</v>
      </c>
      <c r="D152" s="11" t="str">
        <f t="array" ref="D152">iferror(index(fish_lab_data!D:D,match(A152,fish_lab_data!C:C,0)))</f>
        <v>DP723</v>
      </c>
      <c r="E152" s="6">
        <v>100.0</v>
      </c>
      <c r="F152" s="17" t="str">
        <f t="shared" si="3"/>
        <v>BCA100</v>
      </c>
      <c r="G152" s="43" t="str">
        <f t="shared" si="4"/>
        <v>NA</v>
      </c>
      <c r="H152" s="17" t="str">
        <f t="shared" si="5"/>
        <v>BCA100-NA</v>
      </c>
      <c r="J152" t="str">
        <f t="shared" si="6"/>
        <v>collected</v>
      </c>
      <c r="K152" t="str">
        <f t="shared" si="7"/>
        <v>N</v>
      </c>
    </row>
    <row r="153">
      <c r="A153" s="27" t="s">
        <v>369</v>
      </c>
      <c r="B153" s="10" t="str">
        <f t="shared" si="1"/>
        <v>fish</v>
      </c>
      <c r="C153" s="63" t="str">
        <f t="shared" si="2"/>
        <v>U5243</v>
      </c>
      <c r="D153" s="11" t="str">
        <f t="array" ref="D153">iferror(index(fish_lab_data!D:D,match(A153,fish_lab_data!C:C,0)))</f>
        <v>DP723</v>
      </c>
      <c r="E153" s="6">
        <v>100.0</v>
      </c>
      <c r="F153" s="17" t="str">
        <f t="shared" si="3"/>
        <v>BCA100</v>
      </c>
      <c r="G153" s="43" t="str">
        <f t="shared" si="4"/>
        <v>NA</v>
      </c>
      <c r="H153" s="17" t="str">
        <f t="shared" si="5"/>
        <v>BCA100-NA</v>
      </c>
      <c r="J153" t="str">
        <f t="shared" si="6"/>
        <v>collected</v>
      </c>
      <c r="K153" t="str">
        <f t="shared" si="7"/>
        <v>N</v>
      </c>
    </row>
    <row r="154">
      <c r="A154" s="27" t="s">
        <v>371</v>
      </c>
      <c r="B154" s="10" t="str">
        <f t="shared" si="1"/>
        <v>fish</v>
      </c>
      <c r="C154" s="63" t="str">
        <f t="shared" si="2"/>
        <v>U5244</v>
      </c>
      <c r="D154" s="11" t="str">
        <f t="array" ref="D154">iferror(index(fish_lab_data!D:D,match(A154,fish_lab_data!C:C,0)))</f>
        <v>DP723</v>
      </c>
      <c r="E154" s="6">
        <v>100.0</v>
      </c>
      <c r="F154" s="17" t="str">
        <f t="shared" si="3"/>
        <v>BCA100</v>
      </c>
      <c r="G154" s="43" t="str">
        <f t="shared" si="4"/>
        <v>NA</v>
      </c>
      <c r="H154" s="17" t="str">
        <f t="shared" si="5"/>
        <v>BCA100-NA</v>
      </c>
      <c r="J154" t="str">
        <f t="shared" si="6"/>
        <v>collected</v>
      </c>
      <c r="K154" t="str">
        <f t="shared" si="7"/>
        <v>N</v>
      </c>
    </row>
    <row r="155">
      <c r="A155" s="27" t="s">
        <v>373</v>
      </c>
      <c r="B155" s="10" t="str">
        <f t="shared" si="1"/>
        <v>fish</v>
      </c>
      <c r="C155" s="63" t="str">
        <f t="shared" si="2"/>
        <v>U5287</v>
      </c>
      <c r="D155" s="11" t="str">
        <f t="array" ref="D155">iferror(index(fish_lab_data!D:D,match(A155,fish_lab_data!C:C,0)))</f>
        <v>JP461</v>
      </c>
      <c r="E155" s="6">
        <v>100.0</v>
      </c>
      <c r="F155" s="17" t="str">
        <f t="shared" si="3"/>
        <v>BCA100</v>
      </c>
      <c r="G155" s="43" t="str">
        <f t="shared" si="4"/>
        <v>NA</v>
      </c>
      <c r="H155" s="17" t="str">
        <f t="shared" si="5"/>
        <v>BCA100-NA</v>
      </c>
      <c r="J155" t="str">
        <f t="shared" si="6"/>
        <v>collected</v>
      </c>
      <c r="K155" t="str">
        <f t="shared" si="7"/>
        <v>N</v>
      </c>
    </row>
    <row r="156">
      <c r="A156" s="27" t="s">
        <v>374</v>
      </c>
      <c r="B156" s="10" t="str">
        <f t="shared" si="1"/>
        <v>fish</v>
      </c>
      <c r="C156" s="63" t="str">
        <f t="shared" si="2"/>
        <v>U5288</v>
      </c>
      <c r="D156" s="11" t="str">
        <f t="array" ref="D156">iferror(index(fish_lab_data!D:D,match(A156,fish_lab_data!C:C,0)))</f>
        <v>JP461</v>
      </c>
      <c r="E156" s="6">
        <v>100.0</v>
      </c>
      <c r="F156" s="17" t="str">
        <f t="shared" si="3"/>
        <v>BCA100</v>
      </c>
      <c r="G156" s="43" t="str">
        <f t="shared" si="4"/>
        <v>NA</v>
      </c>
      <c r="H156" s="17" t="str">
        <f t="shared" si="5"/>
        <v>BCA100-NA</v>
      </c>
      <c r="J156" t="str">
        <f t="shared" si="6"/>
        <v>collected</v>
      </c>
      <c r="K156" t="str">
        <f t="shared" si="7"/>
        <v>N</v>
      </c>
    </row>
    <row r="157">
      <c r="A157" s="27" t="s">
        <v>375</v>
      </c>
      <c r="B157" s="10" t="str">
        <f t="shared" si="1"/>
        <v>fish</v>
      </c>
      <c r="C157" s="63" t="str">
        <f t="shared" si="2"/>
        <v>U5289</v>
      </c>
      <c r="D157" s="11" t="str">
        <f t="array" ref="D157">iferror(index(fish_lab_data!D:D,match(A157,fish_lab_data!C:C,0)))</f>
        <v>JP461</v>
      </c>
      <c r="E157" s="6">
        <v>100.0</v>
      </c>
      <c r="F157" s="17" t="str">
        <f t="shared" si="3"/>
        <v>BCA100</v>
      </c>
      <c r="G157" s="43" t="str">
        <f t="shared" si="4"/>
        <v>NA</v>
      </c>
      <c r="H157" s="17" t="str">
        <f t="shared" si="5"/>
        <v>BCA100-NA</v>
      </c>
      <c r="J157" t="str">
        <f t="shared" si="6"/>
        <v>collected</v>
      </c>
      <c r="K157" t="str">
        <f t="shared" si="7"/>
        <v>N</v>
      </c>
    </row>
    <row r="158">
      <c r="A158" s="27" t="s">
        <v>377</v>
      </c>
      <c r="B158" s="10" t="str">
        <f t="shared" si="1"/>
        <v>fish</v>
      </c>
      <c r="C158" s="63" t="str">
        <f t="shared" si="2"/>
        <v>U5290</v>
      </c>
      <c r="D158" s="11" t="str">
        <f t="array" ref="D158">iferror(index(fish_lab_data!D:D,match(A158,fish_lab_data!C:C,0)))</f>
        <v>JP461</v>
      </c>
      <c r="E158" s="6">
        <v>100.0</v>
      </c>
      <c r="F158" s="17" t="str">
        <f t="shared" si="3"/>
        <v>BCA100</v>
      </c>
      <c r="G158" s="43" t="str">
        <f t="shared" si="4"/>
        <v>NA</v>
      </c>
      <c r="H158" s="17" t="str">
        <f t="shared" si="5"/>
        <v>BCA100-NA</v>
      </c>
      <c r="J158" t="str">
        <f t="shared" si="6"/>
        <v>collected</v>
      </c>
      <c r="K158" t="str">
        <f t="shared" si="7"/>
        <v>N</v>
      </c>
    </row>
    <row r="159">
      <c r="A159" s="6" t="s">
        <v>382</v>
      </c>
      <c r="B159" s="10" t="str">
        <f t="shared" si="1"/>
        <v>fish</v>
      </c>
      <c r="C159" s="63" t="str">
        <f t="shared" si="2"/>
        <v>U5291</v>
      </c>
      <c r="D159" s="11" t="str">
        <f t="array" ref="D159">iferror(index(fish_lab_data!D:D,match(A159,fish_lab_data!C:C,0)))</f>
        <v>JP461</v>
      </c>
      <c r="E159" s="6">
        <v>100.0</v>
      </c>
      <c r="F159" s="17" t="str">
        <f t="shared" si="3"/>
        <v>BCA100</v>
      </c>
      <c r="G159" s="43" t="str">
        <f t="shared" si="4"/>
        <v>NA</v>
      </c>
      <c r="H159" s="17" t="str">
        <f t="shared" si="5"/>
        <v>BCA100-NA</v>
      </c>
      <c r="J159" t="str">
        <f t="shared" si="6"/>
        <v>collected</v>
      </c>
      <c r="K159" t="str">
        <f t="shared" si="7"/>
        <v>N</v>
      </c>
    </row>
    <row r="160">
      <c r="A160" s="6" t="s">
        <v>384</v>
      </c>
      <c r="B160" s="10" t="str">
        <f t="shared" si="1"/>
        <v>fish</v>
      </c>
      <c r="C160" s="63" t="str">
        <f t="shared" si="2"/>
        <v>U5292</v>
      </c>
      <c r="D160" s="11" t="str">
        <f t="array" ref="D160">iferror(index(fish_lab_data!D:D,match(A160,fish_lab_data!C:C,0)))</f>
        <v>JP461</v>
      </c>
      <c r="E160" s="6">
        <v>100.0</v>
      </c>
      <c r="F160" s="17" t="str">
        <f t="shared" si="3"/>
        <v>BCA100</v>
      </c>
      <c r="G160" s="43" t="str">
        <f t="shared" si="4"/>
        <v>NA</v>
      </c>
      <c r="H160" s="17" t="str">
        <f t="shared" si="5"/>
        <v>BCA100-NA</v>
      </c>
      <c r="J160" t="str">
        <f t="shared" si="6"/>
        <v>collected</v>
      </c>
      <c r="K160" t="str">
        <f t="shared" si="7"/>
        <v>N</v>
      </c>
    </row>
    <row r="161">
      <c r="A161" s="6" t="s">
        <v>387</v>
      </c>
      <c r="B161" s="10" t="str">
        <f t="shared" si="1"/>
        <v>fish</v>
      </c>
      <c r="C161" s="63" t="str">
        <f t="shared" si="2"/>
        <v>U5293</v>
      </c>
      <c r="D161" s="11" t="str">
        <f t="array" ref="D161">iferror(index(fish_lab_data!D:D,match(A161,fish_lab_data!C:C,0)))</f>
        <v>JP461</v>
      </c>
      <c r="E161" s="6">
        <v>100.0</v>
      </c>
      <c r="F161" s="17" t="str">
        <f t="shared" si="3"/>
        <v>BCA100</v>
      </c>
      <c r="G161" s="43" t="str">
        <f t="shared" si="4"/>
        <v>NA</v>
      </c>
      <c r="H161" s="17" t="str">
        <f t="shared" si="5"/>
        <v>BCA100-NA</v>
      </c>
      <c r="J161" t="str">
        <f t="shared" si="6"/>
        <v>collected</v>
      </c>
      <c r="K161" t="str">
        <f t="shared" si="7"/>
        <v>N</v>
      </c>
    </row>
    <row r="162">
      <c r="A162" s="6" t="s">
        <v>389</v>
      </c>
      <c r="B162" s="10" t="str">
        <f t="shared" si="1"/>
        <v>fish</v>
      </c>
      <c r="C162" s="63" t="str">
        <f t="shared" si="2"/>
        <v>U5294</v>
      </c>
      <c r="D162" s="11" t="str">
        <f t="array" ref="D162">iferror(index(fish_lab_data!D:D,match(A162,fish_lab_data!C:C,0)))</f>
        <v>JP461</v>
      </c>
      <c r="E162" s="6">
        <v>100.0</v>
      </c>
      <c r="F162" s="17" t="str">
        <f t="shared" si="3"/>
        <v>BCA100</v>
      </c>
      <c r="G162" s="43" t="str">
        <f t="shared" si="4"/>
        <v>NA</v>
      </c>
      <c r="H162" s="17" t="str">
        <f t="shared" si="5"/>
        <v>BCA100-NA</v>
      </c>
      <c r="J162" t="str">
        <f t="shared" si="6"/>
        <v>collected</v>
      </c>
      <c r="K162" t="str">
        <f t="shared" si="7"/>
        <v>N</v>
      </c>
    </row>
    <row r="163">
      <c r="A163" s="6" t="s">
        <v>391</v>
      </c>
      <c r="B163" s="10" t="str">
        <f t="shared" si="1"/>
        <v>fish</v>
      </c>
      <c r="C163" s="63" t="str">
        <f t="shared" si="2"/>
        <v>U5295</v>
      </c>
      <c r="D163" s="11" t="str">
        <f t="array" ref="D163">iferror(index(fish_lab_data!D:D,match(A163,fish_lab_data!C:C,0)))</f>
        <v>JP461</v>
      </c>
      <c r="E163" s="6">
        <v>100.0</v>
      </c>
      <c r="F163" s="17" t="str">
        <f t="shared" si="3"/>
        <v>BCA100</v>
      </c>
      <c r="G163" s="43" t="str">
        <f t="shared" si="4"/>
        <v>NA</v>
      </c>
      <c r="H163" s="17" t="str">
        <f t="shared" si="5"/>
        <v>BCA100-NA</v>
      </c>
      <c r="J163" t="str">
        <f t="shared" si="6"/>
        <v>collected</v>
      </c>
      <c r="K163" t="str">
        <f t="shared" si="7"/>
        <v>N</v>
      </c>
    </row>
    <row r="164">
      <c r="A164" s="6" t="s">
        <v>392</v>
      </c>
      <c r="B164" s="10" t="str">
        <f t="shared" si="1"/>
        <v>fish</v>
      </c>
      <c r="C164" s="63" t="str">
        <f t="shared" si="2"/>
        <v>U5296</v>
      </c>
      <c r="D164" s="11" t="str">
        <f t="array" ref="D164">iferror(index(fish_lab_data!D:D,match(A164,fish_lab_data!C:C,0)))</f>
        <v>JP461</v>
      </c>
      <c r="E164" s="6">
        <v>100.0</v>
      </c>
      <c r="F164" s="17" t="str">
        <f t="shared" si="3"/>
        <v>BCA100</v>
      </c>
      <c r="G164" s="43" t="str">
        <f t="shared" si="4"/>
        <v>NA</v>
      </c>
      <c r="H164" s="17" t="str">
        <f t="shared" si="5"/>
        <v>BCA100-NA</v>
      </c>
      <c r="J164" t="str">
        <f t="shared" si="6"/>
        <v>collected</v>
      </c>
      <c r="K164" t="str">
        <f t="shared" si="7"/>
        <v>N</v>
      </c>
    </row>
    <row r="165">
      <c r="A165" s="6" t="s">
        <v>394</v>
      </c>
      <c r="B165" s="10" t="str">
        <f t="shared" si="1"/>
        <v>fish</v>
      </c>
      <c r="C165" s="63" t="str">
        <f t="shared" si="2"/>
        <v>U5258</v>
      </c>
      <c r="D165" s="11" t="str">
        <f t="array" ref="D165">iferror(index(fish_lab_data!D:D,match(A165,fish_lab_data!C:C,0)))</f>
        <v>DP724</v>
      </c>
      <c r="E165" s="6">
        <v>100.0</v>
      </c>
      <c r="F165" s="17" t="str">
        <f t="shared" si="3"/>
        <v>BCA100</v>
      </c>
      <c r="G165" s="43" t="str">
        <f t="shared" si="4"/>
        <v>NA</v>
      </c>
      <c r="H165" s="17" t="str">
        <f t="shared" si="5"/>
        <v>BCA100-NA</v>
      </c>
      <c r="J165" t="str">
        <f t="shared" si="6"/>
        <v>collected</v>
      </c>
      <c r="K165" t="str">
        <f t="shared" si="7"/>
        <v>N</v>
      </c>
    </row>
    <row r="166">
      <c r="A166" s="26" t="s">
        <v>395</v>
      </c>
      <c r="B166" s="10" t="str">
        <f t="shared" si="1"/>
        <v>fish</v>
      </c>
      <c r="C166" s="63" t="str">
        <f t="shared" si="2"/>
        <v>U5259</v>
      </c>
      <c r="D166" s="11" t="str">
        <f t="array" ref="D166">iferror(index(fish_lab_data!D:D,match(A166,fish_lab_data!C:C,0)))</f>
        <v>DP724</v>
      </c>
      <c r="E166" s="6">
        <v>100.0</v>
      </c>
      <c r="F166" s="17" t="str">
        <f t="shared" si="3"/>
        <v>BCA100</v>
      </c>
      <c r="G166" s="43" t="str">
        <f t="shared" si="4"/>
        <v>NA</v>
      </c>
      <c r="H166" s="17" t="str">
        <f t="shared" si="5"/>
        <v>BCA100-NA</v>
      </c>
      <c r="J166" t="str">
        <f t="shared" si="6"/>
        <v>collected</v>
      </c>
      <c r="K166" t="str">
        <f t="shared" si="7"/>
        <v>N</v>
      </c>
    </row>
    <row r="167">
      <c r="A167" s="26" t="s">
        <v>396</v>
      </c>
      <c r="B167" s="10" t="str">
        <f t="shared" si="1"/>
        <v>fish</v>
      </c>
      <c r="C167" s="63" t="str">
        <f t="shared" si="2"/>
        <v>U5260</v>
      </c>
      <c r="D167" s="11" t="str">
        <f t="array" ref="D167">iferror(index(fish_lab_data!D:D,match(A167,fish_lab_data!C:C,0)))</f>
        <v>DP724</v>
      </c>
      <c r="E167" s="6">
        <v>100.0</v>
      </c>
      <c r="F167" s="17" t="str">
        <f t="shared" si="3"/>
        <v>BCA100</v>
      </c>
      <c r="G167" s="43" t="str">
        <f t="shared" si="4"/>
        <v>NA</v>
      </c>
      <c r="H167" s="17" t="str">
        <f t="shared" si="5"/>
        <v>BCA100-NA</v>
      </c>
      <c r="J167" t="str">
        <f t="shared" si="6"/>
        <v>collected</v>
      </c>
      <c r="K167" t="str">
        <f t="shared" si="7"/>
        <v>N</v>
      </c>
    </row>
    <row r="168">
      <c r="A168" s="26" t="s">
        <v>397</v>
      </c>
      <c r="B168" s="10" t="str">
        <f t="shared" si="1"/>
        <v>fish</v>
      </c>
      <c r="C168" s="63" t="str">
        <f t="shared" si="2"/>
        <v>U5261</v>
      </c>
      <c r="D168" s="11" t="str">
        <f t="array" ref="D168">iferror(index(fish_lab_data!D:D,match(A168,fish_lab_data!C:C,0)))</f>
        <v>DP724</v>
      </c>
      <c r="E168" s="6">
        <v>100.0</v>
      </c>
      <c r="F168" s="17" t="str">
        <f t="shared" si="3"/>
        <v>BCA100</v>
      </c>
      <c r="G168" s="43" t="str">
        <f t="shared" si="4"/>
        <v>NA</v>
      </c>
      <c r="H168" s="17" t="str">
        <f t="shared" si="5"/>
        <v>BCA100-NA</v>
      </c>
      <c r="J168" t="str">
        <f t="shared" si="6"/>
        <v>collected</v>
      </c>
      <c r="K168" t="str">
        <f t="shared" si="7"/>
        <v>N</v>
      </c>
    </row>
    <row r="169">
      <c r="A169" s="26" t="s">
        <v>400</v>
      </c>
      <c r="B169" s="10" t="str">
        <f t="shared" si="1"/>
        <v>fish</v>
      </c>
      <c r="C169" s="63" t="str">
        <f t="shared" si="2"/>
        <v>U5274</v>
      </c>
      <c r="D169" s="11" t="str">
        <f t="array" ref="D169">iferror(index(fish_lab_data!D:D,match(A169,fish_lab_data!C:C,0)))</f>
        <v>DP724</v>
      </c>
      <c r="E169" s="6">
        <v>100.0</v>
      </c>
      <c r="F169" s="17" t="str">
        <f t="shared" si="3"/>
        <v>BCA100</v>
      </c>
      <c r="G169" s="43" t="str">
        <f t="shared" si="4"/>
        <v>NA</v>
      </c>
      <c r="H169" s="17" t="str">
        <f t="shared" si="5"/>
        <v>BCA100-NA</v>
      </c>
      <c r="J169" t="str">
        <f t="shared" si="6"/>
        <v>collected</v>
      </c>
      <c r="K169" t="str">
        <f t="shared" si="7"/>
        <v>N</v>
      </c>
    </row>
    <row r="170">
      <c r="A170" s="26" t="s">
        <v>401</v>
      </c>
      <c r="B170" s="10" t="str">
        <f t="shared" si="1"/>
        <v>fish</v>
      </c>
      <c r="C170" s="63" t="str">
        <f t="shared" si="2"/>
        <v>U5275</v>
      </c>
      <c r="D170" s="11" t="str">
        <f t="array" ref="D170">iferror(index(fish_lab_data!D:D,match(A170,fish_lab_data!C:C,0)))</f>
        <v>DP724</v>
      </c>
      <c r="E170" s="6">
        <v>100.0</v>
      </c>
      <c r="F170" s="17" t="str">
        <f t="shared" si="3"/>
        <v>BCA100</v>
      </c>
      <c r="G170" s="43" t="str">
        <f t="shared" si="4"/>
        <v>NA</v>
      </c>
      <c r="H170" s="17" t="str">
        <f t="shared" si="5"/>
        <v>BCA100-NA</v>
      </c>
      <c r="J170" t="str">
        <f t="shared" si="6"/>
        <v>collected</v>
      </c>
      <c r="K170" t="str">
        <f t="shared" si="7"/>
        <v>N</v>
      </c>
    </row>
    <row r="171">
      <c r="A171" s="26" t="s">
        <v>402</v>
      </c>
      <c r="B171" s="10" t="str">
        <f t="shared" si="1"/>
        <v>fish</v>
      </c>
      <c r="C171" s="63" t="str">
        <f t="shared" si="2"/>
        <v>U5276</v>
      </c>
      <c r="D171" s="11" t="str">
        <f t="array" ref="D171">iferror(index(fish_lab_data!D:D,match(A171,fish_lab_data!C:C,0)))</f>
        <v>DP724</v>
      </c>
      <c r="E171" s="6">
        <v>100.0</v>
      </c>
      <c r="F171" s="17" t="str">
        <f t="shared" si="3"/>
        <v>BCA100</v>
      </c>
      <c r="G171" s="43" t="str">
        <f t="shared" si="4"/>
        <v>NA</v>
      </c>
      <c r="H171" s="17" t="str">
        <f t="shared" si="5"/>
        <v>BCA100-NA</v>
      </c>
      <c r="J171" t="str">
        <f t="shared" si="6"/>
        <v>collected</v>
      </c>
      <c r="K171" t="str">
        <f t="shared" si="7"/>
        <v>N</v>
      </c>
    </row>
    <row r="172">
      <c r="A172" s="26" t="s">
        <v>404</v>
      </c>
      <c r="B172" s="10" t="str">
        <f t="shared" si="1"/>
        <v>fish</v>
      </c>
      <c r="C172" s="63" t="str">
        <f t="shared" si="2"/>
        <v>U5277</v>
      </c>
      <c r="D172" s="11" t="str">
        <f t="array" ref="D172">iferror(index(fish_lab_data!D:D,match(A172,fish_lab_data!C:C,0)))</f>
        <v>JP462</v>
      </c>
      <c r="E172" s="6">
        <v>101.0</v>
      </c>
      <c r="F172" s="17" t="str">
        <f t="shared" si="3"/>
        <v>BCA101</v>
      </c>
      <c r="G172" s="43" t="str">
        <f t="shared" si="4"/>
        <v>NA</v>
      </c>
      <c r="H172" s="17" t="str">
        <f t="shared" si="5"/>
        <v>BCA101-NA</v>
      </c>
      <c r="J172" t="str">
        <f t="shared" si="6"/>
        <v>collected</v>
      </c>
      <c r="K172" t="str">
        <f t="shared" si="7"/>
        <v>N</v>
      </c>
    </row>
    <row r="173">
      <c r="A173" s="26" t="s">
        <v>405</v>
      </c>
      <c r="B173" s="10" t="str">
        <f t="shared" si="1"/>
        <v>fish</v>
      </c>
      <c r="C173" s="63" t="str">
        <f t="shared" si="2"/>
        <v>U5278</v>
      </c>
      <c r="D173" s="11" t="str">
        <f t="array" ref="D173">iferror(index(fish_lab_data!D:D,match(A173,fish_lab_data!C:C,0)))</f>
        <v>JP462</v>
      </c>
      <c r="E173" s="6">
        <v>101.0</v>
      </c>
      <c r="F173" s="17" t="str">
        <f t="shared" si="3"/>
        <v>BCA101</v>
      </c>
      <c r="G173" s="43" t="str">
        <f t="shared" si="4"/>
        <v>NA</v>
      </c>
      <c r="H173" s="17" t="str">
        <f t="shared" si="5"/>
        <v>BCA101-NA</v>
      </c>
      <c r="J173" t="str">
        <f t="shared" si="6"/>
        <v>collected</v>
      </c>
      <c r="K173" t="str">
        <f t="shared" si="7"/>
        <v>N</v>
      </c>
    </row>
    <row r="174">
      <c r="A174" s="26" t="s">
        <v>408</v>
      </c>
      <c r="B174" s="10" t="str">
        <f t="shared" si="1"/>
        <v>fish</v>
      </c>
      <c r="C174" s="63" t="str">
        <f t="shared" si="2"/>
        <v>U5279</v>
      </c>
      <c r="D174" s="11" t="str">
        <f t="array" ref="D174">iferror(index(fish_lab_data!D:D,match(A174,fish_lab_data!C:C,0)))</f>
        <v>JP462</v>
      </c>
      <c r="E174" s="6">
        <v>101.0</v>
      </c>
      <c r="F174" s="17" t="str">
        <f t="shared" si="3"/>
        <v>BCA101</v>
      </c>
      <c r="G174" s="43" t="str">
        <f t="shared" si="4"/>
        <v>NA</v>
      </c>
      <c r="H174" s="17" t="str">
        <f t="shared" si="5"/>
        <v>BCA101-NA</v>
      </c>
      <c r="J174" t="str">
        <f t="shared" si="6"/>
        <v>collected</v>
      </c>
      <c r="K174" t="str">
        <f t="shared" si="7"/>
        <v>N</v>
      </c>
    </row>
    <row r="175">
      <c r="A175" s="6" t="s">
        <v>409</v>
      </c>
      <c r="B175" s="10" t="str">
        <f t="shared" si="1"/>
        <v>fish</v>
      </c>
      <c r="C175" s="63" t="str">
        <f t="shared" si="2"/>
        <v>U5280</v>
      </c>
      <c r="D175" s="11" t="str">
        <f t="array" ref="D175">iferror(index(fish_lab_data!D:D,match(A175,fish_lab_data!C:C,0)))</f>
        <v>JP462</v>
      </c>
      <c r="E175" s="6">
        <v>101.0</v>
      </c>
      <c r="F175" s="17" t="str">
        <f t="shared" si="3"/>
        <v>BCA101</v>
      </c>
      <c r="G175" s="43" t="str">
        <f t="shared" si="4"/>
        <v>NA</v>
      </c>
      <c r="H175" s="17" t="str">
        <f t="shared" si="5"/>
        <v>BCA101-NA</v>
      </c>
      <c r="J175" t="str">
        <f t="shared" si="6"/>
        <v>collected</v>
      </c>
      <c r="K175" t="str">
        <f t="shared" si="7"/>
        <v>N</v>
      </c>
    </row>
    <row r="176">
      <c r="A176" s="6" t="s">
        <v>410</v>
      </c>
      <c r="B176" s="10" t="str">
        <f t="shared" si="1"/>
        <v>fish</v>
      </c>
      <c r="C176" s="63" t="str">
        <f t="shared" si="2"/>
        <v>U5281</v>
      </c>
      <c r="D176" s="11" t="str">
        <f t="array" ref="D176">iferror(index(fish_lab_data!D:D,match(A176,fish_lab_data!C:C,0)))</f>
        <v>JP462</v>
      </c>
      <c r="E176" s="6">
        <v>101.0</v>
      </c>
      <c r="F176" s="17" t="str">
        <f t="shared" si="3"/>
        <v>BCA101</v>
      </c>
      <c r="G176" s="43" t="str">
        <f t="shared" si="4"/>
        <v>NA</v>
      </c>
      <c r="H176" s="17" t="str">
        <f t="shared" si="5"/>
        <v>BCA101-NA</v>
      </c>
      <c r="J176" t="str">
        <f t="shared" si="6"/>
        <v>collected</v>
      </c>
      <c r="K176" t="str">
        <f t="shared" si="7"/>
        <v>N</v>
      </c>
    </row>
    <row r="177">
      <c r="A177" s="26" t="s">
        <v>412</v>
      </c>
      <c r="B177" s="10" t="str">
        <f t="shared" si="1"/>
        <v>fish</v>
      </c>
      <c r="C177" s="63" t="str">
        <f t="shared" si="2"/>
        <v>U5282</v>
      </c>
      <c r="D177" s="11" t="str">
        <f t="array" ref="D177">iferror(index(fish_lab_data!D:D,match(A177,fish_lab_data!C:C,0)))</f>
        <v>JP462</v>
      </c>
      <c r="E177" s="6">
        <v>101.0</v>
      </c>
      <c r="F177" s="17" t="str">
        <f t="shared" si="3"/>
        <v>BCA101</v>
      </c>
      <c r="G177" s="43" t="str">
        <f t="shared" si="4"/>
        <v>NA</v>
      </c>
      <c r="H177" s="17" t="str">
        <f t="shared" si="5"/>
        <v>BCA101-NA</v>
      </c>
      <c r="J177" t="str">
        <f t="shared" si="6"/>
        <v>collected</v>
      </c>
      <c r="K177" t="str">
        <f t="shared" si="7"/>
        <v>N</v>
      </c>
    </row>
    <row r="178">
      <c r="A178" s="26" t="s">
        <v>413</v>
      </c>
      <c r="B178" s="10" t="str">
        <f t="shared" si="1"/>
        <v>fish</v>
      </c>
      <c r="C178" s="63" t="str">
        <f t="shared" si="2"/>
        <v>U5283</v>
      </c>
      <c r="D178" s="11" t="str">
        <f t="array" ref="D178">iferror(index(fish_lab_data!D:D,match(A178,fish_lab_data!C:C,0)))</f>
        <v>JP462</v>
      </c>
      <c r="E178" s="6">
        <v>101.0</v>
      </c>
      <c r="F178" s="17" t="str">
        <f t="shared" si="3"/>
        <v>BCA101</v>
      </c>
      <c r="G178" s="43" t="str">
        <f t="shared" si="4"/>
        <v>NA</v>
      </c>
      <c r="H178" s="17" t="str">
        <f t="shared" si="5"/>
        <v>BCA101-NA</v>
      </c>
      <c r="J178" t="str">
        <f t="shared" si="6"/>
        <v>collected</v>
      </c>
      <c r="K178" t="str">
        <f t="shared" si="7"/>
        <v>N</v>
      </c>
    </row>
    <row r="179">
      <c r="A179" s="26" t="s">
        <v>415</v>
      </c>
      <c r="B179" s="10" t="str">
        <f t="shared" si="1"/>
        <v>fish</v>
      </c>
      <c r="C179" s="63" t="str">
        <f t="shared" si="2"/>
        <v>U5284</v>
      </c>
      <c r="D179" s="11" t="str">
        <f t="array" ref="D179">iferror(index(fish_lab_data!D:D,match(A179,fish_lab_data!C:C,0)))</f>
        <v>JP462</v>
      </c>
      <c r="E179" s="6">
        <v>101.0</v>
      </c>
      <c r="F179" s="17" t="str">
        <f t="shared" si="3"/>
        <v>BCA101</v>
      </c>
      <c r="G179" s="43" t="str">
        <f t="shared" si="4"/>
        <v>NA</v>
      </c>
      <c r="H179" s="17" t="str">
        <f t="shared" si="5"/>
        <v>BCA101-NA</v>
      </c>
      <c r="J179" t="str">
        <f t="shared" si="6"/>
        <v>collected</v>
      </c>
      <c r="K179" t="str">
        <f t="shared" si="7"/>
        <v>N</v>
      </c>
    </row>
    <row r="180">
      <c r="A180" s="26" t="s">
        <v>417</v>
      </c>
      <c r="B180" s="10" t="str">
        <f t="shared" si="1"/>
        <v>fish</v>
      </c>
      <c r="C180" s="63" t="str">
        <f t="shared" si="2"/>
        <v>U5285</v>
      </c>
      <c r="D180" s="11" t="str">
        <f t="array" ref="D180">iferror(index(fish_lab_data!D:D,match(A180,fish_lab_data!C:C,0)))</f>
        <v>JP462</v>
      </c>
      <c r="E180" s="6">
        <v>101.0</v>
      </c>
      <c r="F180" s="17" t="str">
        <f t="shared" si="3"/>
        <v>BCA101</v>
      </c>
      <c r="G180" s="43" t="str">
        <f t="shared" si="4"/>
        <v>NA</v>
      </c>
      <c r="H180" s="17" t="str">
        <f t="shared" si="5"/>
        <v>BCA101-NA</v>
      </c>
      <c r="J180" t="str">
        <f t="shared" si="6"/>
        <v>collected</v>
      </c>
      <c r="K180" t="str">
        <f t="shared" si="7"/>
        <v>N</v>
      </c>
    </row>
    <row r="181">
      <c r="A181" s="26" t="s">
        <v>419</v>
      </c>
      <c r="B181" s="10" t="str">
        <f t="shared" si="1"/>
        <v>fish</v>
      </c>
      <c r="C181" s="63" t="str">
        <f t="shared" si="2"/>
        <v>U5286</v>
      </c>
      <c r="D181" s="11" t="str">
        <f t="array" ref="D181">iferror(index(fish_lab_data!D:D,match(A181,fish_lab_data!C:C,0)))</f>
        <v>JP462</v>
      </c>
      <c r="E181" s="6">
        <v>101.0</v>
      </c>
      <c r="F181" s="17" t="str">
        <f t="shared" si="3"/>
        <v>BCA101</v>
      </c>
      <c r="G181" s="43" t="str">
        <f t="shared" si="4"/>
        <v>NA</v>
      </c>
      <c r="H181" s="17" t="str">
        <f t="shared" si="5"/>
        <v>BCA101-NA</v>
      </c>
      <c r="J181" t="str">
        <f t="shared" si="6"/>
        <v>collected</v>
      </c>
      <c r="K181" t="str">
        <f t="shared" si="7"/>
        <v>N</v>
      </c>
    </row>
    <row r="182">
      <c r="A182" s="26" t="s">
        <v>421</v>
      </c>
      <c r="B182" s="10" t="str">
        <f t="shared" si="1"/>
        <v>fish</v>
      </c>
      <c r="C182" s="63" t="str">
        <f t="shared" si="2"/>
        <v>U5337</v>
      </c>
      <c r="D182" s="11" t="str">
        <f t="array" ref="D182">iferror(index(fish_lab_data!D:D,match(A182,fish_lab_data!C:C,0)))</f>
        <v>JP464</v>
      </c>
      <c r="E182" s="6">
        <v>101.0</v>
      </c>
      <c r="F182" s="17" t="str">
        <f t="shared" si="3"/>
        <v>BCA101</v>
      </c>
      <c r="G182" s="43" t="str">
        <f t="shared" si="4"/>
        <v>NA</v>
      </c>
      <c r="H182" s="17" t="str">
        <f t="shared" si="5"/>
        <v>BCA101-NA</v>
      </c>
      <c r="J182" t="str">
        <f t="shared" si="6"/>
        <v>collected</v>
      </c>
      <c r="K182" t="str">
        <f t="shared" si="7"/>
        <v>N</v>
      </c>
    </row>
    <row r="183">
      <c r="A183" s="26" t="s">
        <v>422</v>
      </c>
      <c r="B183" s="10" t="str">
        <f t="shared" si="1"/>
        <v>fish</v>
      </c>
      <c r="C183" s="63" t="str">
        <f t="shared" si="2"/>
        <v>U5338</v>
      </c>
      <c r="D183" s="11" t="str">
        <f t="array" ref="D183">iferror(index(fish_lab_data!D:D,match(A183,fish_lab_data!C:C,0)))</f>
        <v>JP464</v>
      </c>
      <c r="E183" s="6">
        <v>101.0</v>
      </c>
      <c r="F183" s="17" t="str">
        <f t="shared" si="3"/>
        <v>BCA101</v>
      </c>
      <c r="G183" s="43" t="str">
        <f t="shared" si="4"/>
        <v>NA</v>
      </c>
      <c r="H183" s="17" t="str">
        <f t="shared" si="5"/>
        <v>BCA101-NA</v>
      </c>
      <c r="J183" t="str">
        <f t="shared" si="6"/>
        <v>collected</v>
      </c>
      <c r="K183" t="str">
        <f t="shared" si="7"/>
        <v>N</v>
      </c>
    </row>
    <row r="184">
      <c r="A184" s="26" t="s">
        <v>423</v>
      </c>
      <c r="B184" s="10" t="str">
        <f t="shared" si="1"/>
        <v>fish</v>
      </c>
      <c r="C184" s="63" t="str">
        <f t="shared" si="2"/>
        <v>U5339</v>
      </c>
      <c r="D184" s="11" t="str">
        <f t="array" ref="D184">iferror(index(fish_lab_data!D:D,match(A184,fish_lab_data!C:C,0)))</f>
        <v>JP464</v>
      </c>
      <c r="E184" s="6">
        <v>101.0</v>
      </c>
      <c r="F184" s="17" t="str">
        <f t="shared" si="3"/>
        <v>BCA101</v>
      </c>
      <c r="G184" s="43" t="str">
        <f t="shared" si="4"/>
        <v>NA</v>
      </c>
      <c r="H184" s="17" t="str">
        <f t="shared" si="5"/>
        <v>BCA101-NA</v>
      </c>
      <c r="J184" t="str">
        <f t="shared" si="6"/>
        <v>collected</v>
      </c>
      <c r="K184" t="str">
        <f t="shared" si="7"/>
        <v>N</v>
      </c>
    </row>
    <row r="185">
      <c r="A185" s="26" t="s">
        <v>427</v>
      </c>
      <c r="B185" s="10" t="str">
        <f t="shared" si="1"/>
        <v>fish</v>
      </c>
      <c r="C185" s="63" t="str">
        <f t="shared" si="2"/>
        <v>U5340</v>
      </c>
      <c r="D185" s="11" t="str">
        <f t="array" ref="D185">iferror(index(fish_lab_data!D:D,match(A185,fish_lab_data!C:C,0)))</f>
        <v>JP464</v>
      </c>
      <c r="E185" s="6">
        <v>101.0</v>
      </c>
      <c r="F185" s="17" t="str">
        <f t="shared" si="3"/>
        <v>BCA101</v>
      </c>
      <c r="G185" s="43" t="str">
        <f t="shared" si="4"/>
        <v>NA</v>
      </c>
      <c r="H185" s="17" t="str">
        <f t="shared" si="5"/>
        <v>BCA101-NA</v>
      </c>
      <c r="J185" t="str">
        <f t="shared" si="6"/>
        <v>collected</v>
      </c>
      <c r="K185" t="str">
        <f t="shared" si="7"/>
        <v>N</v>
      </c>
    </row>
    <row r="186">
      <c r="A186" s="26" t="s">
        <v>428</v>
      </c>
      <c r="B186" s="10" t="str">
        <f t="shared" si="1"/>
        <v>fish</v>
      </c>
      <c r="C186" s="63" t="str">
        <f t="shared" si="2"/>
        <v>U5297</v>
      </c>
      <c r="D186" s="11" t="str">
        <f t="array" ref="D186">iferror(index(fish_lab_data!D:D,match(A186,fish_lab_data!C:C,0)))</f>
        <v>JP463</v>
      </c>
      <c r="E186" s="6">
        <v>101.0</v>
      </c>
      <c r="F186" s="17" t="str">
        <f t="shared" si="3"/>
        <v>BCA101</v>
      </c>
      <c r="G186" s="43" t="str">
        <f t="shared" si="4"/>
        <v>NA</v>
      </c>
      <c r="H186" s="17" t="str">
        <f t="shared" si="5"/>
        <v>BCA101-NA</v>
      </c>
      <c r="J186" t="str">
        <f t="shared" si="6"/>
        <v>collected</v>
      </c>
      <c r="K186" t="str">
        <f t="shared" si="7"/>
        <v>N</v>
      </c>
    </row>
    <row r="187">
      <c r="A187" s="26" t="s">
        <v>430</v>
      </c>
      <c r="B187" s="10" t="str">
        <f t="shared" si="1"/>
        <v>fish</v>
      </c>
      <c r="C187" s="63" t="str">
        <f t="shared" si="2"/>
        <v>U5298</v>
      </c>
      <c r="D187" s="11" t="str">
        <f t="array" ref="D187">iferror(index(fish_lab_data!D:D,match(A187,fish_lab_data!C:C,0)))</f>
        <v>JP463</v>
      </c>
      <c r="E187" s="6">
        <v>101.0</v>
      </c>
      <c r="F187" s="17" t="str">
        <f t="shared" si="3"/>
        <v>BCA101</v>
      </c>
      <c r="G187" s="43" t="str">
        <f t="shared" si="4"/>
        <v>NA</v>
      </c>
      <c r="H187" s="17" t="str">
        <f t="shared" si="5"/>
        <v>BCA101-NA</v>
      </c>
      <c r="J187" t="str">
        <f t="shared" si="6"/>
        <v>collected</v>
      </c>
      <c r="K187" t="str">
        <f t="shared" si="7"/>
        <v>N</v>
      </c>
    </row>
    <row r="188">
      <c r="A188" s="26" t="s">
        <v>431</v>
      </c>
      <c r="B188" s="10" t="str">
        <f t="shared" si="1"/>
        <v>fish</v>
      </c>
      <c r="C188" s="63" t="str">
        <f t="shared" si="2"/>
        <v>U5299</v>
      </c>
      <c r="D188" s="11" t="str">
        <f t="array" ref="D188">iferror(index(fish_lab_data!D:D,match(A188,fish_lab_data!C:C,0)))</f>
        <v>JP463</v>
      </c>
      <c r="E188" s="6">
        <v>101.0</v>
      </c>
      <c r="F188" s="17" t="str">
        <f t="shared" si="3"/>
        <v>BCA101</v>
      </c>
      <c r="G188" s="43" t="str">
        <f t="shared" si="4"/>
        <v>NA</v>
      </c>
      <c r="H188" s="17" t="str">
        <f t="shared" si="5"/>
        <v>BCA101-NA</v>
      </c>
      <c r="J188" t="str">
        <f t="shared" si="6"/>
        <v>collected</v>
      </c>
      <c r="K188" t="str">
        <f t="shared" si="7"/>
        <v>N</v>
      </c>
    </row>
    <row r="189">
      <c r="A189" s="26" t="s">
        <v>432</v>
      </c>
      <c r="B189" s="10" t="str">
        <f t="shared" si="1"/>
        <v>fish</v>
      </c>
      <c r="C189" s="63" t="str">
        <f t="shared" si="2"/>
        <v>U5300</v>
      </c>
      <c r="D189" s="11" t="str">
        <f t="array" ref="D189">iferror(index(fish_lab_data!D:D,match(A189,fish_lab_data!C:C,0)))</f>
        <v>JP463</v>
      </c>
      <c r="E189" s="6">
        <v>101.0</v>
      </c>
      <c r="F189" s="17" t="str">
        <f t="shared" si="3"/>
        <v>BCA101</v>
      </c>
      <c r="G189" s="43" t="str">
        <f t="shared" si="4"/>
        <v>NA</v>
      </c>
      <c r="H189" s="17" t="str">
        <f t="shared" si="5"/>
        <v>BCA101-NA</v>
      </c>
      <c r="J189" t="str">
        <f t="shared" si="6"/>
        <v>collected</v>
      </c>
      <c r="K189" t="str">
        <f t="shared" si="7"/>
        <v>N</v>
      </c>
    </row>
    <row r="190">
      <c r="A190" s="26" t="s">
        <v>435</v>
      </c>
      <c r="B190" s="10" t="str">
        <f t="shared" si="1"/>
        <v>fish</v>
      </c>
      <c r="C190" s="63" t="str">
        <f t="shared" si="2"/>
        <v>U5301</v>
      </c>
      <c r="D190" s="11" t="str">
        <f t="array" ref="D190">iferror(index(fish_lab_data!D:D,match(A190,fish_lab_data!C:C,0)))</f>
        <v>JP463</v>
      </c>
      <c r="E190" s="6">
        <v>101.0</v>
      </c>
      <c r="F190" s="17" t="str">
        <f t="shared" si="3"/>
        <v>BCA101</v>
      </c>
      <c r="G190" s="43" t="str">
        <f t="shared" si="4"/>
        <v>NA</v>
      </c>
      <c r="H190" s="17" t="str">
        <f t="shared" si="5"/>
        <v>BCA101-NA</v>
      </c>
      <c r="J190" t="str">
        <f t="shared" si="6"/>
        <v>collected</v>
      </c>
      <c r="K190" t="str">
        <f t="shared" si="7"/>
        <v>N</v>
      </c>
    </row>
    <row r="191">
      <c r="A191" s="6" t="s">
        <v>436</v>
      </c>
      <c r="B191" s="10" t="str">
        <f t="shared" si="1"/>
        <v>fish</v>
      </c>
      <c r="C191" s="63" t="str">
        <f t="shared" si="2"/>
        <v>U5327</v>
      </c>
      <c r="D191" s="11" t="str">
        <f t="array" ref="D191">iferror(index(fish_lab_data!D:D,match(A191,fish_lab_data!C:C,0)))</f>
        <v>JP463</v>
      </c>
      <c r="E191" s="6">
        <v>101.0</v>
      </c>
      <c r="F191" s="17" t="str">
        <f t="shared" si="3"/>
        <v>BCA101</v>
      </c>
      <c r="G191" s="43" t="str">
        <f t="shared" si="4"/>
        <v>NA</v>
      </c>
      <c r="H191" s="17" t="str">
        <f t="shared" si="5"/>
        <v>BCA101-NA</v>
      </c>
      <c r="J191" t="str">
        <f t="shared" si="6"/>
        <v>collected</v>
      </c>
      <c r="K191" t="str">
        <f t="shared" si="7"/>
        <v>N</v>
      </c>
    </row>
    <row r="192">
      <c r="A192" s="6" t="s">
        <v>438</v>
      </c>
      <c r="B192" s="10" t="str">
        <f t="shared" si="1"/>
        <v>fish</v>
      </c>
      <c r="C192" s="63" t="str">
        <f t="shared" si="2"/>
        <v>U5328</v>
      </c>
      <c r="D192" s="11" t="str">
        <f t="array" ref="D192">iferror(index(fish_lab_data!D:D,match(A192,fish_lab_data!C:C,0)))</f>
        <v>JP463</v>
      </c>
      <c r="E192" s="6">
        <v>101.0</v>
      </c>
      <c r="F192" s="17" t="str">
        <f t="shared" si="3"/>
        <v>BCA101</v>
      </c>
      <c r="G192" s="43" t="str">
        <f t="shared" si="4"/>
        <v>NA</v>
      </c>
      <c r="H192" s="17" t="str">
        <f t="shared" si="5"/>
        <v>BCA101-NA</v>
      </c>
      <c r="J192" t="str">
        <f t="shared" si="6"/>
        <v>collected</v>
      </c>
      <c r="K192" t="str">
        <f t="shared" si="7"/>
        <v>N</v>
      </c>
    </row>
    <row r="193">
      <c r="A193" s="26" t="s">
        <v>440</v>
      </c>
      <c r="B193" s="10" t="str">
        <f t="shared" si="1"/>
        <v>fish</v>
      </c>
      <c r="C193" s="63" t="str">
        <f t="shared" si="2"/>
        <v>U5329</v>
      </c>
      <c r="D193" s="11" t="str">
        <f t="array" ref="D193">iferror(index(fish_lab_data!D:D,match(A193,fish_lab_data!C:C,0)))</f>
        <v>JP463</v>
      </c>
      <c r="E193" s="6">
        <v>101.0</v>
      </c>
      <c r="F193" s="17" t="str">
        <f t="shared" si="3"/>
        <v>BCA101</v>
      </c>
      <c r="G193" s="43" t="str">
        <f t="shared" si="4"/>
        <v>NA</v>
      </c>
      <c r="H193" s="17" t="str">
        <f t="shared" si="5"/>
        <v>BCA101-NA</v>
      </c>
      <c r="J193" t="str">
        <f t="shared" si="6"/>
        <v>collected</v>
      </c>
      <c r="K193" t="str">
        <f t="shared" si="7"/>
        <v>N</v>
      </c>
    </row>
    <row r="194">
      <c r="A194" s="26" t="s">
        <v>441</v>
      </c>
      <c r="B194" s="10" t="str">
        <f t="shared" si="1"/>
        <v>fish</v>
      </c>
      <c r="C194" s="63" t="str">
        <f t="shared" si="2"/>
        <v>U5330</v>
      </c>
      <c r="D194" s="11" t="str">
        <f t="array" ref="D194">iferror(index(fish_lab_data!D:D,match(A194,fish_lab_data!C:C,0)))</f>
        <v>JP463</v>
      </c>
      <c r="E194" s="6">
        <v>101.0</v>
      </c>
      <c r="F194" s="17" t="str">
        <f t="shared" si="3"/>
        <v>BCA101</v>
      </c>
      <c r="G194" s="43" t="str">
        <f t="shared" si="4"/>
        <v>NA</v>
      </c>
      <c r="H194" s="17" t="str">
        <f t="shared" si="5"/>
        <v>BCA101-NA</v>
      </c>
      <c r="J194" t="str">
        <f t="shared" si="6"/>
        <v>collected</v>
      </c>
      <c r="K194" t="str">
        <f t="shared" si="7"/>
        <v>N</v>
      </c>
    </row>
    <row r="195">
      <c r="A195" s="26" t="s">
        <v>444</v>
      </c>
      <c r="B195" s="10" t="str">
        <f t="shared" si="1"/>
        <v>fish</v>
      </c>
      <c r="C195" s="63" t="str">
        <f t="shared" si="2"/>
        <v>U5331</v>
      </c>
      <c r="D195" s="11" t="str">
        <f t="array" ref="D195">iferror(index(fish_lab_data!D:D,match(A195,fish_lab_data!C:C,0)))</f>
        <v>JP463</v>
      </c>
      <c r="E195" s="6">
        <v>101.0</v>
      </c>
      <c r="F195" s="17" t="str">
        <f t="shared" si="3"/>
        <v>BCA101</v>
      </c>
      <c r="G195" s="43" t="str">
        <f t="shared" si="4"/>
        <v>NA</v>
      </c>
      <c r="H195" s="17" t="str">
        <f t="shared" si="5"/>
        <v>BCA101-NA</v>
      </c>
      <c r="J195" t="str">
        <f t="shared" si="6"/>
        <v>collected</v>
      </c>
      <c r="K195" t="str">
        <f t="shared" si="7"/>
        <v>N</v>
      </c>
    </row>
    <row r="196">
      <c r="A196" s="26" t="s">
        <v>445</v>
      </c>
      <c r="B196" s="10" t="str">
        <f t="shared" si="1"/>
        <v>fish</v>
      </c>
      <c r="C196" s="63" t="str">
        <f t="shared" si="2"/>
        <v>U5332</v>
      </c>
      <c r="D196" s="11" t="str">
        <f t="array" ref="D196">iferror(index(fish_lab_data!D:D,match(A196,fish_lab_data!C:C,0)))</f>
        <v>JP465</v>
      </c>
      <c r="E196" s="6">
        <v>101.0</v>
      </c>
      <c r="F196" s="17" t="str">
        <f t="shared" si="3"/>
        <v>BCA101</v>
      </c>
      <c r="G196" s="43" t="str">
        <f t="shared" si="4"/>
        <v>NA</v>
      </c>
      <c r="H196" s="17" t="str">
        <f t="shared" si="5"/>
        <v>BCA101-NA</v>
      </c>
      <c r="J196" t="str">
        <f t="shared" si="6"/>
        <v>collected</v>
      </c>
      <c r="K196" t="str">
        <f t="shared" si="7"/>
        <v>N</v>
      </c>
    </row>
    <row r="197">
      <c r="A197" s="26" t="s">
        <v>446</v>
      </c>
      <c r="B197" s="10" t="str">
        <f t="shared" si="1"/>
        <v>fish</v>
      </c>
      <c r="C197" s="63" t="str">
        <f t="shared" si="2"/>
        <v>U5333</v>
      </c>
      <c r="D197" s="11" t="str">
        <f t="array" ref="D197">iferror(index(fish_lab_data!D:D,match(A197,fish_lab_data!C:C,0)))</f>
        <v>JP465</v>
      </c>
      <c r="E197" s="6">
        <v>101.0</v>
      </c>
      <c r="F197" s="17" t="str">
        <f t="shared" si="3"/>
        <v>BCA101</v>
      </c>
      <c r="G197" s="43" t="str">
        <f t="shared" si="4"/>
        <v>NA</v>
      </c>
      <c r="H197" s="17" t="str">
        <f t="shared" si="5"/>
        <v>BCA101-NA</v>
      </c>
      <c r="J197" t="str">
        <f t="shared" si="6"/>
        <v>collected</v>
      </c>
      <c r="K197" t="str">
        <f t="shared" si="7"/>
        <v>N</v>
      </c>
    </row>
    <row r="198">
      <c r="A198" s="26" t="s">
        <v>448</v>
      </c>
      <c r="B198" s="10" t="str">
        <f t="shared" si="1"/>
        <v>fish</v>
      </c>
      <c r="C198" s="63" t="str">
        <f t="shared" si="2"/>
        <v>U5334</v>
      </c>
      <c r="D198" s="11" t="str">
        <f t="array" ref="D198">iferror(index(fish_lab_data!D:D,match(A198,fish_lab_data!C:C,0)))</f>
        <v>JP465</v>
      </c>
      <c r="E198" s="6">
        <v>101.0</v>
      </c>
      <c r="F198" s="17" t="str">
        <f t="shared" si="3"/>
        <v>BCA101</v>
      </c>
      <c r="G198" s="43" t="str">
        <f t="shared" si="4"/>
        <v>NA</v>
      </c>
      <c r="H198" s="17" t="str">
        <f t="shared" si="5"/>
        <v>BCA101-NA</v>
      </c>
      <c r="J198" t="str">
        <f t="shared" si="6"/>
        <v>collected</v>
      </c>
      <c r="K198" t="str">
        <f t="shared" si="7"/>
        <v>N</v>
      </c>
    </row>
    <row r="199">
      <c r="A199" s="26" t="s">
        <v>449</v>
      </c>
      <c r="B199" s="10" t="str">
        <f t="shared" si="1"/>
        <v>fish</v>
      </c>
      <c r="C199" s="63" t="str">
        <f t="shared" si="2"/>
        <v>U5335</v>
      </c>
      <c r="D199" s="11" t="str">
        <f t="array" ref="D199">iferror(index(fish_lab_data!D:D,match(A199,fish_lab_data!C:C,0)))</f>
        <v>JP465</v>
      </c>
      <c r="E199" s="6">
        <v>101.0</v>
      </c>
      <c r="F199" s="17" t="str">
        <f t="shared" si="3"/>
        <v>BCA101</v>
      </c>
      <c r="G199" s="43" t="str">
        <f t="shared" si="4"/>
        <v>NA</v>
      </c>
      <c r="H199" s="17" t="str">
        <f t="shared" si="5"/>
        <v>BCA101-NA</v>
      </c>
      <c r="J199" t="str">
        <f t="shared" si="6"/>
        <v>collected</v>
      </c>
      <c r="K199" t="str">
        <f t="shared" si="7"/>
        <v>N</v>
      </c>
    </row>
    <row r="200">
      <c r="A200" s="26" t="s">
        <v>451</v>
      </c>
      <c r="B200" s="10" t="str">
        <f t="shared" si="1"/>
        <v>fish</v>
      </c>
      <c r="C200" s="63" t="str">
        <f t="shared" si="2"/>
        <v>U5336</v>
      </c>
      <c r="D200" s="11" t="str">
        <f t="array" ref="D200">iferror(index(fish_lab_data!D:D,match(A200,fish_lab_data!C:C,0)))</f>
        <v>JP465</v>
      </c>
      <c r="E200" s="6">
        <v>101.0</v>
      </c>
      <c r="F200" s="17" t="str">
        <f t="shared" si="3"/>
        <v>BCA101</v>
      </c>
      <c r="G200" s="43" t="str">
        <f t="shared" si="4"/>
        <v>NA</v>
      </c>
      <c r="H200" s="17" t="str">
        <f t="shared" si="5"/>
        <v>BCA101-NA</v>
      </c>
      <c r="J200" t="str">
        <f t="shared" si="6"/>
        <v>collected</v>
      </c>
      <c r="K200" t="str">
        <f t="shared" si="7"/>
        <v>N</v>
      </c>
    </row>
    <row r="201">
      <c r="A201" s="26" t="s">
        <v>452</v>
      </c>
      <c r="B201" s="10" t="str">
        <f t="shared" si="1"/>
        <v>fish</v>
      </c>
      <c r="C201" s="63" t="str">
        <f t="shared" si="2"/>
        <v>U5362</v>
      </c>
      <c r="D201" s="11" t="str">
        <f t="array" ref="D201">iferror(index(fish_lab_data!D:D,match(A201,fish_lab_data!C:C,0)))</f>
        <v>JP465</v>
      </c>
      <c r="E201" s="6">
        <v>101.0</v>
      </c>
      <c r="F201" s="17" t="str">
        <f t="shared" si="3"/>
        <v>BCA101</v>
      </c>
      <c r="G201" s="43" t="str">
        <f t="shared" si="4"/>
        <v>NA</v>
      </c>
      <c r="H201" s="17" t="str">
        <f t="shared" si="5"/>
        <v>BCA101-NA</v>
      </c>
      <c r="J201" t="str">
        <f t="shared" si="6"/>
        <v>collected</v>
      </c>
      <c r="K201" t="str">
        <f t="shared" si="7"/>
        <v>N</v>
      </c>
    </row>
    <row r="202">
      <c r="A202" s="26" t="s">
        <v>454</v>
      </c>
      <c r="B202" s="10" t="str">
        <f t="shared" si="1"/>
        <v>fish</v>
      </c>
      <c r="C202" s="63" t="str">
        <f t="shared" si="2"/>
        <v>U5363</v>
      </c>
      <c r="D202" s="11" t="str">
        <f t="array" ref="D202">iferror(index(fish_lab_data!D:D,match(A202,fish_lab_data!C:C,0)))</f>
        <v>JP465</v>
      </c>
      <c r="E202" s="6">
        <v>101.0</v>
      </c>
      <c r="F202" s="17" t="str">
        <f t="shared" si="3"/>
        <v>BCA101</v>
      </c>
      <c r="G202" s="43" t="str">
        <f t="shared" si="4"/>
        <v>NA</v>
      </c>
      <c r="H202" s="17" t="str">
        <f t="shared" si="5"/>
        <v>BCA101-NA</v>
      </c>
      <c r="J202" t="str">
        <f t="shared" si="6"/>
        <v>collected</v>
      </c>
      <c r="K202" t="str">
        <f t="shared" si="7"/>
        <v>N</v>
      </c>
    </row>
    <row r="203">
      <c r="A203" s="26" t="s">
        <v>455</v>
      </c>
      <c r="B203" s="10" t="str">
        <f t="shared" si="1"/>
        <v>fish</v>
      </c>
      <c r="C203" s="63" t="str">
        <f t="shared" si="2"/>
        <v>U5364</v>
      </c>
      <c r="D203" s="11" t="str">
        <f t="array" ref="D203">iferror(index(fish_lab_data!D:D,match(A203,fish_lab_data!C:C,0)))</f>
        <v>JP465</v>
      </c>
      <c r="E203" s="6">
        <v>101.0</v>
      </c>
      <c r="F203" s="17" t="str">
        <f t="shared" si="3"/>
        <v>BCA101</v>
      </c>
      <c r="G203" s="43" t="str">
        <f t="shared" si="4"/>
        <v>NA</v>
      </c>
      <c r="H203" s="17" t="str">
        <f t="shared" si="5"/>
        <v>BCA101-NA</v>
      </c>
      <c r="J203" t="str">
        <f t="shared" si="6"/>
        <v>collected</v>
      </c>
      <c r="K203" t="str">
        <f t="shared" si="7"/>
        <v>N</v>
      </c>
    </row>
    <row r="204">
      <c r="A204" s="26" t="s">
        <v>456</v>
      </c>
      <c r="B204" s="10" t="str">
        <f t="shared" si="1"/>
        <v>fish</v>
      </c>
      <c r="C204" s="63" t="str">
        <f t="shared" si="2"/>
        <v>U5365</v>
      </c>
      <c r="D204" s="11" t="str">
        <f t="array" ref="D204">iferror(index(fish_lab_data!D:D,match(A204,fish_lab_data!C:C,0)))</f>
        <v>JP465</v>
      </c>
      <c r="E204" s="6">
        <v>101.0</v>
      </c>
      <c r="F204" s="17" t="str">
        <f t="shared" si="3"/>
        <v>BCA101</v>
      </c>
      <c r="G204" s="43" t="str">
        <f t="shared" si="4"/>
        <v>NA</v>
      </c>
      <c r="H204" s="17" t="str">
        <f t="shared" si="5"/>
        <v>BCA101-NA</v>
      </c>
      <c r="J204" t="str">
        <f t="shared" si="6"/>
        <v>collected</v>
      </c>
      <c r="K204" t="str">
        <f t="shared" si="7"/>
        <v>N</v>
      </c>
    </row>
    <row r="205">
      <c r="A205" s="28" t="s">
        <v>457</v>
      </c>
      <c r="B205" s="10" t="str">
        <f t="shared" si="1"/>
        <v>fish</v>
      </c>
      <c r="C205" s="63" t="str">
        <f t="shared" si="2"/>
        <v>U5366</v>
      </c>
      <c r="D205" s="11" t="str">
        <f t="array" ref="D205">iferror(index(fish_lab_data!D:D,match(A205,fish_lab_data!C:C,0)))</f>
        <v>JP466</v>
      </c>
      <c r="E205" s="6">
        <v>101.0</v>
      </c>
      <c r="F205" s="17" t="str">
        <f t="shared" si="3"/>
        <v>BCA101</v>
      </c>
      <c r="G205" s="43" t="str">
        <f t="shared" si="4"/>
        <v>NA</v>
      </c>
      <c r="H205" s="17" t="str">
        <f t="shared" si="5"/>
        <v>BCA101-NA</v>
      </c>
      <c r="J205" t="str">
        <f t="shared" si="6"/>
        <v>collected</v>
      </c>
      <c r="K205" t="str">
        <f t="shared" si="7"/>
        <v>N</v>
      </c>
    </row>
    <row r="206">
      <c r="A206" s="28" t="s">
        <v>459</v>
      </c>
      <c r="B206" s="10" t="str">
        <f t="shared" si="1"/>
        <v>fish</v>
      </c>
      <c r="C206" s="63" t="str">
        <f t="shared" si="2"/>
        <v>U5367</v>
      </c>
      <c r="D206" s="11" t="str">
        <f t="array" ref="D206">iferror(index(fish_lab_data!D:D,match(A206,fish_lab_data!C:C,0)))</f>
        <v>JP466</v>
      </c>
      <c r="E206" s="6">
        <v>101.0</v>
      </c>
      <c r="F206" s="17" t="str">
        <f t="shared" si="3"/>
        <v>BCA101</v>
      </c>
      <c r="G206" s="43" t="str">
        <f t="shared" si="4"/>
        <v>NA</v>
      </c>
      <c r="H206" s="17" t="str">
        <f t="shared" si="5"/>
        <v>BCA101-NA</v>
      </c>
      <c r="J206" t="str">
        <f t="shared" si="6"/>
        <v>collected</v>
      </c>
      <c r="K206" t="str">
        <f t="shared" si="7"/>
        <v>N</v>
      </c>
    </row>
    <row r="207">
      <c r="A207" s="28" t="s">
        <v>461</v>
      </c>
      <c r="B207" s="10" t="str">
        <f t="shared" si="1"/>
        <v>fish</v>
      </c>
      <c r="C207" s="63" t="str">
        <f t="shared" si="2"/>
        <v>U5368</v>
      </c>
      <c r="D207" s="11" t="str">
        <f t="array" ref="D207">iferror(index(fish_lab_data!D:D,match(A207,fish_lab_data!C:C,0)))</f>
        <v>JP466</v>
      </c>
      <c r="E207" s="6">
        <v>101.0</v>
      </c>
      <c r="F207" s="17" t="str">
        <f t="shared" si="3"/>
        <v>BCA101</v>
      </c>
      <c r="G207" s="43" t="str">
        <f t="shared" si="4"/>
        <v>NA</v>
      </c>
      <c r="H207" s="17" t="str">
        <f t="shared" si="5"/>
        <v>BCA101-NA</v>
      </c>
      <c r="J207" t="str">
        <f t="shared" si="6"/>
        <v>collected</v>
      </c>
      <c r="K207" t="str">
        <f t="shared" si="7"/>
        <v>N</v>
      </c>
    </row>
    <row r="208">
      <c r="A208" s="28" t="s">
        <v>462</v>
      </c>
      <c r="B208" s="10" t="str">
        <f t="shared" si="1"/>
        <v>fish</v>
      </c>
      <c r="C208" s="63" t="str">
        <f t="shared" si="2"/>
        <v>U5369</v>
      </c>
      <c r="D208" s="11" t="str">
        <f t="array" ref="D208">iferror(index(fish_lab_data!D:D,match(A208,fish_lab_data!C:C,0)))</f>
        <v>JP466</v>
      </c>
      <c r="E208" s="6">
        <v>101.0</v>
      </c>
      <c r="F208" s="17" t="str">
        <f t="shared" si="3"/>
        <v>BCA101</v>
      </c>
      <c r="G208" s="43" t="str">
        <f t="shared" si="4"/>
        <v>NA</v>
      </c>
      <c r="H208" s="17" t="str">
        <f t="shared" si="5"/>
        <v>BCA101-NA</v>
      </c>
      <c r="J208" t="str">
        <f t="shared" si="6"/>
        <v>collected</v>
      </c>
      <c r="K208" t="str">
        <f t="shared" si="7"/>
        <v>N</v>
      </c>
    </row>
    <row r="209">
      <c r="A209" s="28" t="s">
        <v>463</v>
      </c>
      <c r="B209" s="10" t="str">
        <f t="shared" si="1"/>
        <v>fish</v>
      </c>
      <c r="C209" s="63" t="str">
        <f t="shared" si="2"/>
        <v>U5370</v>
      </c>
      <c r="D209" s="11" t="str">
        <f t="array" ref="D209">iferror(index(fish_lab_data!D:D,match(A209,fish_lab_data!C:C,0)))</f>
        <v>JP466</v>
      </c>
      <c r="E209" s="6">
        <v>101.0</v>
      </c>
      <c r="F209" s="17" t="str">
        <f t="shared" si="3"/>
        <v>BCA101</v>
      </c>
      <c r="G209" s="43" t="str">
        <f t="shared" si="4"/>
        <v>NA</v>
      </c>
      <c r="H209" s="17" t="str">
        <f t="shared" si="5"/>
        <v>BCA101-NA</v>
      </c>
      <c r="J209" t="str">
        <f t="shared" si="6"/>
        <v>collected</v>
      </c>
      <c r="K209" t="str">
        <f t="shared" si="7"/>
        <v>N</v>
      </c>
    </row>
    <row r="210">
      <c r="A210" s="28" t="s">
        <v>466</v>
      </c>
      <c r="B210" s="10" t="str">
        <f t="shared" si="1"/>
        <v>fish</v>
      </c>
      <c r="C210" s="63" t="str">
        <f t="shared" si="2"/>
        <v>U5371</v>
      </c>
      <c r="D210" s="11" t="str">
        <f t="array" ref="D210">iferror(index(fish_lab_data!D:D,match(A210,fish_lab_data!C:C,0)))</f>
        <v>JP466</v>
      </c>
      <c r="E210" s="6">
        <v>101.0</v>
      </c>
      <c r="F210" s="17" t="str">
        <f t="shared" si="3"/>
        <v>BCA101</v>
      </c>
      <c r="G210" s="43" t="str">
        <f t="shared" si="4"/>
        <v>NA</v>
      </c>
      <c r="H210" s="17" t="str">
        <f t="shared" si="5"/>
        <v>BCA101-NA</v>
      </c>
      <c r="J210" t="str">
        <f t="shared" si="6"/>
        <v>collected</v>
      </c>
      <c r="K210" t="str">
        <f t="shared" si="7"/>
        <v>N</v>
      </c>
    </row>
    <row r="211">
      <c r="A211" s="28" t="s">
        <v>467</v>
      </c>
      <c r="B211" s="10" t="str">
        <f t="shared" si="1"/>
        <v>fish</v>
      </c>
      <c r="C211" s="63" t="str">
        <f t="shared" si="2"/>
        <v>U5372</v>
      </c>
      <c r="D211" s="11" t="str">
        <f t="array" ref="D211">iferror(index(fish_lab_data!D:D,match(A211,fish_lab_data!C:C,0)))</f>
        <v>JP466</v>
      </c>
      <c r="E211" s="6">
        <v>101.0</v>
      </c>
      <c r="F211" s="17" t="str">
        <f t="shared" si="3"/>
        <v>BCA101</v>
      </c>
      <c r="G211" s="43" t="str">
        <f t="shared" si="4"/>
        <v>NA</v>
      </c>
      <c r="H211" s="17" t="str">
        <f t="shared" si="5"/>
        <v>BCA101-NA</v>
      </c>
      <c r="J211" t="str">
        <f t="shared" si="6"/>
        <v>collected</v>
      </c>
      <c r="K211" t="str">
        <f t="shared" si="7"/>
        <v>N</v>
      </c>
    </row>
    <row r="212">
      <c r="A212" s="28" t="s">
        <v>468</v>
      </c>
      <c r="B212" s="10" t="str">
        <f t="shared" si="1"/>
        <v>fish</v>
      </c>
      <c r="C212" s="63" t="str">
        <f t="shared" si="2"/>
        <v>U5373</v>
      </c>
      <c r="D212" s="11" t="str">
        <f t="array" ref="D212">iferror(index(fish_lab_data!D:D,match(A212,fish_lab_data!C:C,0)))</f>
        <v>JP466</v>
      </c>
      <c r="E212" s="6">
        <v>101.0</v>
      </c>
      <c r="F212" s="17" t="str">
        <f t="shared" si="3"/>
        <v>BCA101</v>
      </c>
      <c r="G212" s="43" t="str">
        <f t="shared" si="4"/>
        <v>NA</v>
      </c>
      <c r="H212" s="17" t="str">
        <f t="shared" si="5"/>
        <v>BCA101-NA</v>
      </c>
      <c r="J212" t="str">
        <f t="shared" si="6"/>
        <v>collected</v>
      </c>
      <c r="K212" t="str">
        <f t="shared" si="7"/>
        <v>N</v>
      </c>
    </row>
    <row r="213">
      <c r="A213" s="33" t="s">
        <v>470</v>
      </c>
      <c r="B213" s="10" t="str">
        <f t="shared" si="1"/>
        <v>fish</v>
      </c>
      <c r="C213" s="63" t="str">
        <f t="shared" si="2"/>
        <v>U5374</v>
      </c>
      <c r="D213" s="11" t="str">
        <f t="array" ref="D213">iferror(index(fish_lab_data!D:D,match(A213,fish_lab_data!C:C,0)))</f>
        <v>JP466</v>
      </c>
      <c r="E213" s="6">
        <v>101.0</v>
      </c>
      <c r="F213" s="17" t="str">
        <f t="shared" si="3"/>
        <v>BCA101</v>
      </c>
      <c r="G213" s="43" t="str">
        <f t="shared" si="4"/>
        <v>NA</v>
      </c>
      <c r="H213" s="17" t="str">
        <f t="shared" si="5"/>
        <v>BCA101-NA</v>
      </c>
      <c r="J213" t="str">
        <f t="shared" si="6"/>
        <v>collected</v>
      </c>
      <c r="K213" t="str">
        <f t="shared" si="7"/>
        <v>N</v>
      </c>
    </row>
    <row r="214">
      <c r="A214" s="28" t="s">
        <v>471</v>
      </c>
      <c r="B214" s="10" t="str">
        <f t="shared" si="1"/>
        <v>fish</v>
      </c>
      <c r="C214" s="63" t="str">
        <f t="shared" si="2"/>
        <v>U5375</v>
      </c>
      <c r="D214" s="11" t="str">
        <f t="array" ref="D214">iferror(index(fish_lab_data!D:D,match(A214,fish_lab_data!C:C,0)))</f>
        <v>JP467</v>
      </c>
      <c r="E214" s="6">
        <v>101.0</v>
      </c>
      <c r="F214" s="17" t="str">
        <f t="shared" si="3"/>
        <v>BCA101</v>
      </c>
      <c r="G214" s="43" t="str">
        <f t="shared" si="4"/>
        <v>NA</v>
      </c>
      <c r="H214" s="17" t="str">
        <f t="shared" si="5"/>
        <v>BCA101-NA</v>
      </c>
      <c r="J214" t="str">
        <f t="shared" si="6"/>
        <v>collected</v>
      </c>
      <c r="K214" t="str">
        <f t="shared" si="7"/>
        <v>N</v>
      </c>
    </row>
    <row r="215">
      <c r="A215" s="27" t="s">
        <v>476</v>
      </c>
      <c r="B215" s="10" t="str">
        <f t="shared" si="1"/>
        <v>fish</v>
      </c>
      <c r="C215" s="63" t="str">
        <f t="shared" si="2"/>
        <v>U5376</v>
      </c>
      <c r="D215" s="11" t="str">
        <f t="array" ref="D215">iferror(index(fish_lab_data!D:D,match(A215,fish_lab_data!C:C,0)))</f>
        <v>JP467</v>
      </c>
      <c r="E215" s="6">
        <v>101.0</v>
      </c>
      <c r="F215" s="17" t="str">
        <f t="shared" si="3"/>
        <v>BCA101</v>
      </c>
      <c r="G215" s="43" t="str">
        <f t="shared" si="4"/>
        <v>NA</v>
      </c>
      <c r="H215" s="17" t="str">
        <f t="shared" si="5"/>
        <v>BCA101-NA</v>
      </c>
      <c r="J215" t="str">
        <f t="shared" si="6"/>
        <v>collected</v>
      </c>
      <c r="K215" t="str">
        <f t="shared" si="7"/>
        <v>N</v>
      </c>
    </row>
    <row r="216">
      <c r="A216" s="27" t="s">
        <v>478</v>
      </c>
      <c r="B216" s="10" t="str">
        <f t="shared" si="1"/>
        <v>fish</v>
      </c>
      <c r="C216" s="63" t="str">
        <f t="shared" si="2"/>
        <v>U5377</v>
      </c>
      <c r="D216" s="11" t="str">
        <f t="array" ref="D216">iferror(index(fish_lab_data!D:D,match(A216,fish_lab_data!C:C,0)))</f>
        <v>JP467</v>
      </c>
      <c r="E216" s="6">
        <v>101.0</v>
      </c>
      <c r="F216" s="17" t="str">
        <f t="shared" si="3"/>
        <v>BCA101</v>
      </c>
      <c r="G216" s="43" t="str">
        <f t="shared" si="4"/>
        <v>NA</v>
      </c>
      <c r="H216" s="17" t="str">
        <f t="shared" si="5"/>
        <v>BCA101-NA</v>
      </c>
      <c r="J216" t="str">
        <f t="shared" si="6"/>
        <v>collected</v>
      </c>
      <c r="K216" t="str">
        <f t="shared" si="7"/>
        <v>N</v>
      </c>
    </row>
    <row r="217">
      <c r="A217" s="27" t="s">
        <v>480</v>
      </c>
      <c r="B217" s="10" t="str">
        <f t="shared" si="1"/>
        <v>fish</v>
      </c>
      <c r="C217" s="63" t="str">
        <f t="shared" si="2"/>
        <v>U5378</v>
      </c>
      <c r="D217" s="11" t="str">
        <f t="array" ref="D217">iferror(index(fish_lab_data!D:D,match(A217,fish_lab_data!C:C,0)))</f>
        <v>JP467</v>
      </c>
      <c r="E217" s="6">
        <v>101.0</v>
      </c>
      <c r="F217" s="17" t="str">
        <f t="shared" si="3"/>
        <v>BCA101</v>
      </c>
      <c r="G217" s="43" t="str">
        <f t="shared" si="4"/>
        <v>NA</v>
      </c>
      <c r="H217" s="17" t="str">
        <f t="shared" si="5"/>
        <v>BCA101-NA</v>
      </c>
      <c r="J217" t="str">
        <f t="shared" si="6"/>
        <v>collected</v>
      </c>
      <c r="K217" t="str">
        <f t="shared" si="7"/>
        <v>N</v>
      </c>
    </row>
    <row r="218">
      <c r="A218" s="27" t="s">
        <v>482</v>
      </c>
      <c r="B218" s="10" t="str">
        <f t="shared" si="1"/>
        <v>fish</v>
      </c>
      <c r="C218" s="63" t="str">
        <f t="shared" si="2"/>
        <v>U5379</v>
      </c>
      <c r="D218" s="11" t="str">
        <f t="array" ref="D218">iferror(index(fish_lab_data!D:D,match(A218,fish_lab_data!C:C,0)))</f>
        <v>JP467</v>
      </c>
      <c r="E218" s="6">
        <v>101.0</v>
      </c>
      <c r="F218" s="17" t="str">
        <f t="shared" si="3"/>
        <v>BCA101</v>
      </c>
      <c r="G218" s="43" t="str">
        <f t="shared" si="4"/>
        <v>NA</v>
      </c>
      <c r="H218" s="17" t="str">
        <f t="shared" si="5"/>
        <v>BCA101-NA</v>
      </c>
      <c r="J218" t="str">
        <f t="shared" si="6"/>
        <v>collected</v>
      </c>
      <c r="K218" t="str">
        <f t="shared" si="7"/>
        <v>N</v>
      </c>
    </row>
    <row r="219">
      <c r="A219" s="27" t="s">
        <v>483</v>
      </c>
      <c r="B219" s="10" t="str">
        <f t="shared" si="1"/>
        <v>fish</v>
      </c>
      <c r="C219" s="63" t="str">
        <f t="shared" si="2"/>
        <v>U5380</v>
      </c>
      <c r="D219" s="11" t="str">
        <f t="array" ref="D219">iferror(index(fish_lab_data!D:D,match(A219,fish_lab_data!C:C,0)))</f>
        <v>JP467</v>
      </c>
      <c r="E219" s="6">
        <v>101.0</v>
      </c>
      <c r="F219" s="17" t="str">
        <f t="shared" si="3"/>
        <v>BCA101</v>
      </c>
      <c r="G219" s="43" t="str">
        <f t="shared" si="4"/>
        <v>NA</v>
      </c>
      <c r="H219" s="17" t="str">
        <f t="shared" si="5"/>
        <v>BCA101-NA</v>
      </c>
      <c r="J219" t="str">
        <f t="shared" si="6"/>
        <v>collected</v>
      </c>
      <c r="K219" t="str">
        <f t="shared" si="7"/>
        <v>N</v>
      </c>
    </row>
    <row r="220">
      <c r="A220" s="27" t="s">
        <v>484</v>
      </c>
      <c r="B220" s="10" t="str">
        <f t="shared" si="1"/>
        <v>fish</v>
      </c>
      <c r="C220" s="63" t="str">
        <f t="shared" si="2"/>
        <v>U5381</v>
      </c>
      <c r="D220" s="11" t="str">
        <f t="array" ref="D220">iferror(index(fish_lab_data!D:D,match(A220,fish_lab_data!C:C,0)))</f>
        <v>JP467</v>
      </c>
      <c r="E220" s="6">
        <v>101.0</v>
      </c>
      <c r="F220" s="17" t="str">
        <f t="shared" si="3"/>
        <v>BCA101</v>
      </c>
      <c r="G220" s="43" t="str">
        <f t="shared" si="4"/>
        <v>NA</v>
      </c>
      <c r="H220" s="17" t="str">
        <f t="shared" si="5"/>
        <v>BCA101-NA</v>
      </c>
      <c r="J220" t="str">
        <f t="shared" si="6"/>
        <v>collected</v>
      </c>
      <c r="K220" t="str">
        <f t="shared" si="7"/>
        <v>N</v>
      </c>
    </row>
    <row r="221">
      <c r="A221" s="27" t="s">
        <v>487</v>
      </c>
      <c r="B221" s="10" t="str">
        <f t="shared" si="1"/>
        <v>fish</v>
      </c>
      <c r="C221" s="63" t="str">
        <f t="shared" si="2"/>
        <v>U5382</v>
      </c>
      <c r="D221" s="11" t="str">
        <f t="array" ref="D221">iferror(index(fish_lab_data!D:D,match(A221,fish_lab_data!C:C,0)))</f>
        <v>JP467</v>
      </c>
      <c r="E221" s="6">
        <v>101.0</v>
      </c>
      <c r="F221" s="17" t="str">
        <f t="shared" si="3"/>
        <v>BCA101</v>
      </c>
      <c r="G221" s="43" t="str">
        <f t="shared" si="4"/>
        <v>NA</v>
      </c>
      <c r="H221" s="17" t="str">
        <f t="shared" si="5"/>
        <v>BCA101-NA</v>
      </c>
      <c r="J221" t="str">
        <f t="shared" si="6"/>
        <v>collected</v>
      </c>
      <c r="K221" t="str">
        <f t="shared" si="7"/>
        <v>N</v>
      </c>
    </row>
    <row r="222">
      <c r="A222" s="27" t="s">
        <v>488</v>
      </c>
      <c r="B222" s="10" t="str">
        <f t="shared" si="1"/>
        <v>fish</v>
      </c>
      <c r="C222" s="63" t="str">
        <f t="shared" si="2"/>
        <v>U5383</v>
      </c>
      <c r="D222" s="11" t="str">
        <f t="array" ref="D222">iferror(index(fish_lab_data!D:D,match(A222,fish_lab_data!C:C,0)))</f>
        <v>JP467</v>
      </c>
      <c r="E222" s="6">
        <v>101.0</v>
      </c>
      <c r="F222" s="17" t="str">
        <f t="shared" si="3"/>
        <v>BCA101</v>
      </c>
      <c r="G222" s="43" t="str">
        <f t="shared" si="4"/>
        <v>NA</v>
      </c>
      <c r="H222" s="17" t="str">
        <f t="shared" si="5"/>
        <v>BCA101-NA</v>
      </c>
      <c r="J222" t="str">
        <f t="shared" si="6"/>
        <v>collected</v>
      </c>
      <c r="K222" t="str">
        <f t="shared" si="7"/>
        <v>N</v>
      </c>
    </row>
    <row r="223">
      <c r="A223" s="27" t="s">
        <v>490</v>
      </c>
      <c r="B223" s="10" t="str">
        <f t="shared" si="1"/>
        <v>fish</v>
      </c>
      <c r="C223" s="63" t="str">
        <f t="shared" si="2"/>
        <v>U5384</v>
      </c>
      <c r="D223" s="11" t="str">
        <f t="array" ref="D223">iferror(index(fish_lab_data!D:D,match(A223,fish_lab_data!C:C,0)))</f>
        <v>JP467</v>
      </c>
      <c r="E223" s="6">
        <v>101.0</v>
      </c>
      <c r="F223" s="17" t="str">
        <f t="shared" si="3"/>
        <v>BCA101</v>
      </c>
      <c r="G223" s="43" t="str">
        <f t="shared" si="4"/>
        <v>NA</v>
      </c>
      <c r="H223" s="17" t="str">
        <f t="shared" si="5"/>
        <v>BCA101-NA</v>
      </c>
      <c r="J223" t="str">
        <f t="shared" si="6"/>
        <v>collected</v>
      </c>
      <c r="K223" t="str">
        <f t="shared" si="7"/>
        <v>N</v>
      </c>
    </row>
    <row r="224">
      <c r="A224" s="27" t="s">
        <v>492</v>
      </c>
      <c r="B224" s="10" t="str">
        <f t="shared" si="1"/>
        <v>fish</v>
      </c>
      <c r="C224" s="63" t="str">
        <f t="shared" si="2"/>
        <v>U5385</v>
      </c>
      <c r="D224" s="11" t="str">
        <f t="array" ref="D224">iferror(index(fish_lab_data!D:D,match(A224,fish_lab_data!C:C,0)))</f>
        <v>DP727</v>
      </c>
      <c r="E224" s="6">
        <v>101.0</v>
      </c>
      <c r="F224" s="17" t="str">
        <f t="shared" si="3"/>
        <v>BCA101</v>
      </c>
      <c r="G224" s="43" t="str">
        <f t="shared" si="4"/>
        <v>NA</v>
      </c>
      <c r="H224" s="17" t="str">
        <f t="shared" si="5"/>
        <v>BCA101-NA</v>
      </c>
      <c r="J224" t="str">
        <f t="shared" si="6"/>
        <v>collected</v>
      </c>
      <c r="K224" t="str">
        <f t="shared" si="7"/>
        <v>N</v>
      </c>
    </row>
    <row r="225">
      <c r="A225" s="27" t="s">
        <v>493</v>
      </c>
      <c r="B225" s="10" t="str">
        <f t="shared" si="1"/>
        <v>fish</v>
      </c>
      <c r="C225" s="63" t="str">
        <f t="shared" si="2"/>
        <v>U5386</v>
      </c>
      <c r="D225" s="11" t="str">
        <f t="array" ref="D225">iferror(index(fish_lab_data!D:D,match(A225,fish_lab_data!C:C,0)))</f>
        <v>DP727</v>
      </c>
      <c r="E225" s="6">
        <v>101.0</v>
      </c>
      <c r="F225" s="17" t="str">
        <f t="shared" si="3"/>
        <v>BCA101</v>
      </c>
      <c r="G225" s="43" t="str">
        <f t="shared" si="4"/>
        <v>NA</v>
      </c>
      <c r="H225" s="17" t="str">
        <f t="shared" si="5"/>
        <v>BCA101-NA</v>
      </c>
      <c r="J225" t="str">
        <f t="shared" si="6"/>
        <v>collected</v>
      </c>
      <c r="K225" t="str">
        <f t="shared" si="7"/>
        <v>N</v>
      </c>
    </row>
    <row r="226">
      <c r="A226" s="27" t="s">
        <v>495</v>
      </c>
      <c r="B226" s="10" t="str">
        <f t="shared" si="1"/>
        <v>fish</v>
      </c>
      <c r="C226" s="63" t="str">
        <f t="shared" si="2"/>
        <v>U5387</v>
      </c>
      <c r="D226" s="11" t="str">
        <f t="array" ref="D226">iferror(index(fish_lab_data!D:D,match(A226,fish_lab_data!C:C,0)))</f>
        <v>DP727</v>
      </c>
      <c r="E226" s="6">
        <v>101.0</v>
      </c>
      <c r="F226" s="17" t="str">
        <f t="shared" si="3"/>
        <v>BCA101</v>
      </c>
      <c r="G226" s="43" t="str">
        <f t="shared" si="4"/>
        <v>NA</v>
      </c>
      <c r="H226" s="17" t="str">
        <f t="shared" si="5"/>
        <v>BCA101-NA</v>
      </c>
      <c r="J226" t="str">
        <f t="shared" si="6"/>
        <v>collected</v>
      </c>
      <c r="K226" t="str">
        <f t="shared" si="7"/>
        <v>N</v>
      </c>
    </row>
    <row r="227">
      <c r="A227" s="27" t="s">
        <v>498</v>
      </c>
      <c r="B227" s="10" t="str">
        <f t="shared" si="1"/>
        <v>fish</v>
      </c>
      <c r="C227" s="63" t="str">
        <f t="shared" si="2"/>
        <v>U5388</v>
      </c>
      <c r="D227" s="11" t="str">
        <f t="array" ref="D227">iferror(index(fish_lab_data!D:D,match(A227,fish_lab_data!C:C,0)))</f>
        <v>DP727</v>
      </c>
      <c r="E227" s="6">
        <v>101.0</v>
      </c>
      <c r="F227" s="17" t="str">
        <f t="shared" si="3"/>
        <v>BCA101</v>
      </c>
      <c r="G227" s="43" t="str">
        <f t="shared" si="4"/>
        <v>NA</v>
      </c>
      <c r="H227" s="17" t="str">
        <f t="shared" si="5"/>
        <v>BCA101-NA</v>
      </c>
      <c r="J227" t="str">
        <f t="shared" si="6"/>
        <v>collected</v>
      </c>
      <c r="K227" t="str">
        <f t="shared" si="7"/>
        <v>N</v>
      </c>
    </row>
    <row r="228">
      <c r="A228" s="27" t="s">
        <v>500</v>
      </c>
      <c r="B228" s="10" t="str">
        <f t="shared" si="1"/>
        <v>fish</v>
      </c>
      <c r="C228" s="63" t="str">
        <f t="shared" si="2"/>
        <v>U5341</v>
      </c>
      <c r="D228" s="11" t="str">
        <f t="array" ref="D228">iferror(index(fish_lab_data!D:D,match(A228,fish_lab_data!C:C,0)))</f>
        <v>JP464</v>
      </c>
      <c r="E228" s="6">
        <v>101.0</v>
      </c>
      <c r="F228" s="17" t="str">
        <f t="shared" si="3"/>
        <v>BCA101</v>
      </c>
      <c r="G228" s="43" t="str">
        <f t="shared" si="4"/>
        <v>NA</v>
      </c>
      <c r="H228" s="17" t="str">
        <f t="shared" si="5"/>
        <v>BCA101-NA</v>
      </c>
      <c r="J228" t="str">
        <f t="shared" si="6"/>
        <v>collected</v>
      </c>
      <c r="K228" t="str">
        <f t="shared" si="7"/>
        <v>N</v>
      </c>
    </row>
    <row r="229">
      <c r="A229" s="27" t="s">
        <v>501</v>
      </c>
      <c r="B229" s="10" t="str">
        <f t="shared" si="1"/>
        <v>fish</v>
      </c>
      <c r="C229" s="63" t="str">
        <f t="shared" si="2"/>
        <v>U5342</v>
      </c>
      <c r="D229" s="11" t="str">
        <f t="array" ref="D229">iferror(index(fish_lab_data!D:D,match(A229,fish_lab_data!C:C,0)))</f>
        <v>JP464</v>
      </c>
      <c r="E229" s="6">
        <v>101.0</v>
      </c>
      <c r="F229" s="17" t="str">
        <f t="shared" si="3"/>
        <v>BCA101</v>
      </c>
      <c r="G229" s="43" t="str">
        <f t="shared" si="4"/>
        <v>NA</v>
      </c>
      <c r="H229" s="17" t="str">
        <f t="shared" si="5"/>
        <v>BCA101-NA</v>
      </c>
      <c r="J229" t="str">
        <f t="shared" si="6"/>
        <v>collected</v>
      </c>
      <c r="K229" t="str">
        <f t="shared" si="7"/>
        <v>N</v>
      </c>
    </row>
    <row r="230">
      <c r="A230" s="29" t="s">
        <v>504</v>
      </c>
      <c r="B230" s="10" t="str">
        <f t="shared" si="1"/>
        <v>fish</v>
      </c>
      <c r="C230" s="63" t="str">
        <f t="shared" si="2"/>
        <v>U5343</v>
      </c>
      <c r="D230" s="11" t="str">
        <f t="array" ref="D230">iferror(index(fish_lab_data!D:D,match(A230,fish_lab_data!C:C,0)))</f>
        <v>JP464</v>
      </c>
      <c r="E230" s="6">
        <v>101.0</v>
      </c>
      <c r="F230" s="17" t="str">
        <f t="shared" si="3"/>
        <v>BCA101</v>
      </c>
      <c r="G230" s="43" t="str">
        <f t="shared" si="4"/>
        <v>NA</v>
      </c>
      <c r="H230" s="17" t="str">
        <f t="shared" si="5"/>
        <v>BCA101-NA</v>
      </c>
      <c r="J230" t="str">
        <f t="shared" si="6"/>
        <v>collected</v>
      </c>
      <c r="K230" t="str">
        <f t="shared" si="7"/>
        <v>N</v>
      </c>
    </row>
    <row r="231">
      <c r="A231" s="29" t="s">
        <v>506</v>
      </c>
      <c r="B231" s="10" t="str">
        <f t="shared" si="1"/>
        <v>fish</v>
      </c>
      <c r="C231" s="63" t="str">
        <f t="shared" si="2"/>
        <v>U5344</v>
      </c>
      <c r="D231" s="11" t="str">
        <f t="array" ref="D231">iferror(index(fish_lab_data!D:D,match(A231,fish_lab_data!C:C,0)))</f>
        <v>JP464</v>
      </c>
      <c r="E231" s="6">
        <v>101.0</v>
      </c>
      <c r="F231" s="17" t="str">
        <f t="shared" si="3"/>
        <v>BCA101</v>
      </c>
      <c r="G231" s="43" t="str">
        <f t="shared" si="4"/>
        <v>NA</v>
      </c>
      <c r="H231" s="17" t="str">
        <f t="shared" si="5"/>
        <v>BCA101-NA</v>
      </c>
      <c r="J231" t="str">
        <f t="shared" si="6"/>
        <v>collected</v>
      </c>
      <c r="K231" t="str">
        <f t="shared" si="7"/>
        <v>N</v>
      </c>
    </row>
    <row r="232">
      <c r="A232" s="29" t="s">
        <v>507</v>
      </c>
      <c r="B232" s="10" t="str">
        <f t="shared" si="1"/>
        <v>fish</v>
      </c>
      <c r="C232" s="63" t="str">
        <f t="shared" si="2"/>
        <v>U5345</v>
      </c>
      <c r="D232" s="11" t="str">
        <f t="array" ref="D232">iferror(index(fish_lab_data!D:D,match(A232,fish_lab_data!C:C,0)))</f>
        <v>JP464</v>
      </c>
      <c r="E232" s="6">
        <v>101.0</v>
      </c>
      <c r="F232" s="17" t="str">
        <f t="shared" si="3"/>
        <v>BCA101</v>
      </c>
      <c r="G232" s="43" t="str">
        <f t="shared" si="4"/>
        <v>NA</v>
      </c>
      <c r="H232" s="17" t="str">
        <f t="shared" si="5"/>
        <v>BCA101-NA</v>
      </c>
      <c r="J232" t="str">
        <f t="shared" si="6"/>
        <v>collected</v>
      </c>
      <c r="K232" t="str">
        <f t="shared" si="7"/>
        <v>N</v>
      </c>
    </row>
    <row r="233">
      <c r="A233" s="29" t="s">
        <v>509</v>
      </c>
      <c r="B233" s="10" t="str">
        <f t="shared" si="1"/>
        <v>fish</v>
      </c>
      <c r="C233" s="63" t="str">
        <f t="shared" si="2"/>
        <v>U5346</v>
      </c>
      <c r="D233" s="11" t="str">
        <f t="array" ref="D233">iferror(index(fish_lab_data!D:D,match(A233,fish_lab_data!C:C,0)))</f>
        <v>JP464</v>
      </c>
      <c r="E233" s="6">
        <v>101.0</v>
      </c>
      <c r="F233" s="17" t="str">
        <f t="shared" si="3"/>
        <v>BCA101</v>
      </c>
      <c r="G233" s="43" t="str">
        <f t="shared" si="4"/>
        <v>NA</v>
      </c>
      <c r="H233" s="17" t="str">
        <f t="shared" si="5"/>
        <v>BCA101-NA</v>
      </c>
      <c r="J233" t="str">
        <f t="shared" si="6"/>
        <v>collected</v>
      </c>
      <c r="K233" t="str">
        <f t="shared" si="7"/>
        <v>N</v>
      </c>
    </row>
    <row r="234">
      <c r="A234" s="26" t="s">
        <v>511</v>
      </c>
      <c r="B234" s="10" t="str">
        <f t="shared" si="1"/>
        <v>fish</v>
      </c>
      <c r="C234" s="63" t="str">
        <f t="shared" si="2"/>
        <v>U5347</v>
      </c>
      <c r="D234" s="11" t="str">
        <f t="array" ref="D234">iferror(index(fish_lab_data!D:D,match(A234,fish_lab_data!C:C,0)))</f>
        <v>JP468</v>
      </c>
      <c r="E234" s="6">
        <v>101.0</v>
      </c>
      <c r="F234" s="17" t="str">
        <f t="shared" si="3"/>
        <v>BCA101</v>
      </c>
      <c r="G234" s="43" t="str">
        <f t="shared" si="4"/>
        <v>NA</v>
      </c>
      <c r="H234" s="17" t="str">
        <f t="shared" si="5"/>
        <v>BCA101-NA</v>
      </c>
      <c r="J234" t="str">
        <f t="shared" si="6"/>
        <v>collected</v>
      </c>
      <c r="K234" t="str">
        <f t="shared" si="7"/>
        <v>N</v>
      </c>
    </row>
    <row r="235">
      <c r="A235" s="26" t="s">
        <v>512</v>
      </c>
      <c r="B235" s="10" t="str">
        <f t="shared" si="1"/>
        <v>fish</v>
      </c>
      <c r="C235" s="63" t="str">
        <f t="shared" si="2"/>
        <v>U5348</v>
      </c>
      <c r="D235" s="11" t="str">
        <f t="array" ref="D235">iferror(index(fish_lab_data!D:D,match(A235,fish_lab_data!C:C,0)))</f>
        <v>JP468</v>
      </c>
      <c r="E235" s="6">
        <v>101.0</v>
      </c>
      <c r="F235" s="17" t="str">
        <f t="shared" si="3"/>
        <v>BCA101</v>
      </c>
      <c r="G235" s="43" t="str">
        <f t="shared" si="4"/>
        <v>NA</v>
      </c>
      <c r="H235" s="17" t="str">
        <f t="shared" si="5"/>
        <v>BCA101-NA</v>
      </c>
      <c r="J235" t="str">
        <f t="shared" si="6"/>
        <v>collected</v>
      </c>
      <c r="K235" t="str">
        <f t="shared" si="7"/>
        <v>N</v>
      </c>
    </row>
    <row r="236">
      <c r="A236" s="26" t="s">
        <v>514</v>
      </c>
      <c r="B236" s="10" t="str">
        <f t="shared" si="1"/>
        <v>fish</v>
      </c>
      <c r="C236" s="63" t="str">
        <f t="shared" si="2"/>
        <v>U5349</v>
      </c>
      <c r="D236" s="11" t="str">
        <f t="array" ref="D236">iferror(index(fish_lab_data!D:D,match(A236,fish_lab_data!C:C,0)))</f>
        <v>JP468</v>
      </c>
      <c r="E236" s="6">
        <v>101.0</v>
      </c>
      <c r="F236" s="17" t="str">
        <f t="shared" si="3"/>
        <v>BCA101</v>
      </c>
      <c r="G236" s="43" t="str">
        <f t="shared" si="4"/>
        <v>NA</v>
      </c>
      <c r="H236" s="17" t="str">
        <f t="shared" si="5"/>
        <v>BCA101-NA</v>
      </c>
      <c r="J236" t="str">
        <f t="shared" si="6"/>
        <v>collected</v>
      </c>
      <c r="K236" t="str">
        <f t="shared" si="7"/>
        <v>N</v>
      </c>
    </row>
    <row r="237">
      <c r="A237" s="26" t="s">
        <v>515</v>
      </c>
      <c r="B237" s="10" t="str">
        <f t="shared" si="1"/>
        <v>fish</v>
      </c>
      <c r="C237" s="63" t="str">
        <f t="shared" si="2"/>
        <v>U5350</v>
      </c>
      <c r="D237" s="11" t="str">
        <f t="array" ref="D237">iferror(index(fish_lab_data!D:D,match(A237,fish_lab_data!C:C,0)))</f>
        <v>JP468</v>
      </c>
      <c r="E237" s="6">
        <v>101.0</v>
      </c>
      <c r="F237" s="17" t="str">
        <f t="shared" si="3"/>
        <v>BCA101</v>
      </c>
      <c r="G237" s="43" t="str">
        <f t="shared" si="4"/>
        <v>NA</v>
      </c>
      <c r="H237" s="17" t="str">
        <f t="shared" si="5"/>
        <v>BCA101-NA</v>
      </c>
      <c r="J237" t="str">
        <f t="shared" si="6"/>
        <v>collected</v>
      </c>
      <c r="K237" t="str">
        <f t="shared" si="7"/>
        <v>N</v>
      </c>
    </row>
    <row r="238">
      <c r="A238" s="26" t="s">
        <v>516</v>
      </c>
      <c r="B238" s="10" t="str">
        <f t="shared" si="1"/>
        <v>fish</v>
      </c>
      <c r="C238" s="63" t="str">
        <f t="shared" si="2"/>
        <v>U5351</v>
      </c>
      <c r="D238" s="11" t="str">
        <f t="array" ref="D238">iferror(index(fish_lab_data!D:D,match(A238,fish_lab_data!C:C,0)))</f>
        <v>JP468</v>
      </c>
      <c r="E238" s="6">
        <v>101.0</v>
      </c>
      <c r="F238" s="17" t="str">
        <f t="shared" si="3"/>
        <v>BCA101</v>
      </c>
      <c r="G238" s="43" t="str">
        <f t="shared" si="4"/>
        <v>NA</v>
      </c>
      <c r="H238" s="17" t="str">
        <f t="shared" si="5"/>
        <v>BCA101-NA</v>
      </c>
      <c r="J238" t="str">
        <f t="shared" si="6"/>
        <v>collected</v>
      </c>
      <c r="K238" t="str">
        <f t="shared" si="7"/>
        <v>N</v>
      </c>
    </row>
    <row r="239">
      <c r="A239" s="26" t="s">
        <v>519</v>
      </c>
      <c r="B239" s="10" t="str">
        <f t="shared" si="1"/>
        <v>fish</v>
      </c>
      <c r="C239" s="63" t="str">
        <f t="shared" si="2"/>
        <v>U5352</v>
      </c>
      <c r="D239" s="11" t="str">
        <f t="array" ref="D239">iferror(index(fish_lab_data!D:D,match(A239,fish_lab_data!C:C,0)))</f>
        <v>JP468</v>
      </c>
      <c r="E239" s="6">
        <v>101.0</v>
      </c>
      <c r="F239" s="17" t="str">
        <f t="shared" si="3"/>
        <v>BCA101</v>
      </c>
      <c r="G239" s="43" t="str">
        <f t="shared" si="4"/>
        <v>NA</v>
      </c>
      <c r="H239" s="17" t="str">
        <f t="shared" si="5"/>
        <v>BCA101-NA</v>
      </c>
      <c r="J239" t="str">
        <f t="shared" si="6"/>
        <v>collected</v>
      </c>
      <c r="K239" t="str">
        <f t="shared" si="7"/>
        <v>N</v>
      </c>
    </row>
    <row r="240">
      <c r="A240" s="26" t="s">
        <v>520</v>
      </c>
      <c r="B240" s="10" t="str">
        <f t="shared" si="1"/>
        <v>fish</v>
      </c>
      <c r="C240" s="63" t="str">
        <f t="shared" si="2"/>
        <v>U5353</v>
      </c>
      <c r="D240" s="11" t="str">
        <f t="array" ref="D240">iferror(index(fish_lab_data!D:D,match(A240,fish_lab_data!C:C,0)))</f>
        <v>JP468</v>
      </c>
      <c r="E240" s="6">
        <v>101.0</v>
      </c>
      <c r="F240" s="17" t="str">
        <f t="shared" si="3"/>
        <v>BCA101</v>
      </c>
      <c r="G240" s="43" t="str">
        <f t="shared" si="4"/>
        <v>NA</v>
      </c>
      <c r="H240" s="17" t="str">
        <f t="shared" si="5"/>
        <v>BCA101-NA</v>
      </c>
      <c r="J240" t="str">
        <f t="shared" si="6"/>
        <v>collected</v>
      </c>
      <c r="K240" t="str">
        <f t="shared" si="7"/>
        <v>N</v>
      </c>
    </row>
    <row r="241">
      <c r="A241" s="26" t="s">
        <v>522</v>
      </c>
      <c r="B241" s="10" t="str">
        <f t="shared" si="1"/>
        <v>fish</v>
      </c>
      <c r="C241" s="63" t="str">
        <f t="shared" si="2"/>
        <v>U5354</v>
      </c>
      <c r="D241" s="11" t="str">
        <f t="array" ref="D241">iferror(index(fish_lab_data!D:D,match(A241,fish_lab_data!C:C,0)))</f>
        <v>JP468</v>
      </c>
      <c r="E241" s="6">
        <v>101.0</v>
      </c>
      <c r="F241" s="17" t="str">
        <f t="shared" si="3"/>
        <v>BCA101</v>
      </c>
      <c r="G241" s="43" t="str">
        <f t="shared" si="4"/>
        <v>NA</v>
      </c>
      <c r="H241" s="17" t="str">
        <f t="shared" si="5"/>
        <v>BCA101-NA</v>
      </c>
      <c r="J241" t="str">
        <f t="shared" si="6"/>
        <v>collected</v>
      </c>
      <c r="K241" t="str">
        <f t="shared" si="7"/>
        <v>N</v>
      </c>
    </row>
    <row r="242">
      <c r="A242" s="26" t="s">
        <v>523</v>
      </c>
      <c r="B242" s="10" t="str">
        <f t="shared" si="1"/>
        <v>fish</v>
      </c>
      <c r="C242" s="63" t="str">
        <f t="shared" si="2"/>
        <v>U5355</v>
      </c>
      <c r="D242" s="11" t="str">
        <f t="array" ref="D242">iferror(index(fish_lab_data!D:D,match(A242,fish_lab_data!C:C,0)))</f>
        <v>JP468</v>
      </c>
      <c r="E242" s="6">
        <v>101.0</v>
      </c>
      <c r="F242" s="17" t="str">
        <f t="shared" si="3"/>
        <v>BCA101</v>
      </c>
      <c r="G242" s="43" t="str">
        <f t="shared" si="4"/>
        <v>NA</v>
      </c>
      <c r="H242" s="17" t="str">
        <f t="shared" si="5"/>
        <v>BCA101-NA</v>
      </c>
      <c r="J242" t="str">
        <f t="shared" si="6"/>
        <v>collected</v>
      </c>
      <c r="K242" t="str">
        <f t="shared" si="7"/>
        <v>N</v>
      </c>
    </row>
    <row r="243">
      <c r="A243" s="26" t="s">
        <v>524</v>
      </c>
      <c r="B243" s="10" t="str">
        <f t="shared" si="1"/>
        <v>fish</v>
      </c>
      <c r="C243" s="63" t="str">
        <f t="shared" si="2"/>
        <v>U5356</v>
      </c>
      <c r="D243" s="11" t="str">
        <f t="array" ref="D243">iferror(index(fish_lab_data!D:D,match(A243,fish_lab_data!C:C,0)))</f>
        <v>JP468</v>
      </c>
      <c r="E243" s="6">
        <v>101.0</v>
      </c>
      <c r="F243" s="17" t="str">
        <f t="shared" si="3"/>
        <v>BCA101</v>
      </c>
      <c r="G243" s="43" t="str">
        <f t="shared" si="4"/>
        <v>NA</v>
      </c>
      <c r="H243" s="17" t="str">
        <f t="shared" si="5"/>
        <v>BCA101-NA</v>
      </c>
      <c r="J243" t="str">
        <f t="shared" si="6"/>
        <v>collected</v>
      </c>
      <c r="K243" t="str">
        <f t="shared" si="7"/>
        <v>N</v>
      </c>
    </row>
    <row r="244">
      <c r="A244" s="27" t="s">
        <v>527</v>
      </c>
      <c r="B244" s="10" t="str">
        <f t="shared" si="1"/>
        <v>fish</v>
      </c>
      <c r="C244" s="63" t="str">
        <f t="shared" si="2"/>
        <v>U5302</v>
      </c>
      <c r="D244" s="11" t="str">
        <f t="array" ref="D244">iferror(index(fish_lab_data!D:D,match(A244,fish_lab_data!C:C,0)))</f>
        <v>DP725</v>
      </c>
      <c r="E244" s="6">
        <v>101.0</v>
      </c>
      <c r="F244" s="17" t="str">
        <f t="shared" si="3"/>
        <v>BCA101</v>
      </c>
      <c r="G244" s="43" t="str">
        <f t="shared" si="4"/>
        <v>NA</v>
      </c>
      <c r="H244" s="17" t="str">
        <f t="shared" si="5"/>
        <v>BCA101-NA</v>
      </c>
      <c r="J244" t="str">
        <f t="shared" si="6"/>
        <v>collected</v>
      </c>
      <c r="K244" t="str">
        <f t="shared" si="7"/>
        <v>N</v>
      </c>
    </row>
    <row r="245">
      <c r="A245" s="27" t="s">
        <v>528</v>
      </c>
      <c r="B245" s="10" t="str">
        <f t="shared" si="1"/>
        <v>fish</v>
      </c>
      <c r="C245" s="63" t="str">
        <f t="shared" si="2"/>
        <v>U5303</v>
      </c>
      <c r="D245" s="11" t="str">
        <f t="array" ref="D245">iferror(index(fish_lab_data!D:D,match(A245,fish_lab_data!C:C,0)))</f>
        <v>DP725</v>
      </c>
      <c r="E245" s="6">
        <v>101.0</v>
      </c>
      <c r="F245" s="17" t="str">
        <f t="shared" si="3"/>
        <v>BCA101</v>
      </c>
      <c r="G245" s="43" t="str">
        <f t="shared" si="4"/>
        <v>NA</v>
      </c>
      <c r="H245" s="17" t="str">
        <f t="shared" si="5"/>
        <v>BCA101-NA</v>
      </c>
      <c r="J245" t="str">
        <f t="shared" si="6"/>
        <v>collected</v>
      </c>
      <c r="K245" t="str">
        <f t="shared" si="7"/>
        <v>N</v>
      </c>
    </row>
    <row r="246">
      <c r="A246" s="29" t="s">
        <v>529</v>
      </c>
      <c r="B246" s="10" t="str">
        <f t="shared" si="1"/>
        <v>fish</v>
      </c>
      <c r="C246" s="63" t="str">
        <f t="shared" si="2"/>
        <v>U5304</v>
      </c>
      <c r="D246" s="11" t="str">
        <f t="array" ref="D246">iferror(index(fish_lab_data!D:D,match(A246,fish_lab_data!C:C,0)))</f>
        <v>DP725</v>
      </c>
      <c r="E246" s="6">
        <v>101.0</v>
      </c>
      <c r="F246" s="17" t="str">
        <f t="shared" si="3"/>
        <v>BCA101</v>
      </c>
      <c r="G246" s="43" t="str">
        <f t="shared" si="4"/>
        <v>NA</v>
      </c>
      <c r="H246" s="17" t="str">
        <f t="shared" si="5"/>
        <v>BCA101-NA</v>
      </c>
      <c r="J246" t="str">
        <f t="shared" si="6"/>
        <v>collected</v>
      </c>
      <c r="K246" t="str">
        <f t="shared" si="7"/>
        <v>N</v>
      </c>
    </row>
    <row r="247">
      <c r="A247" s="29" t="s">
        <v>530</v>
      </c>
      <c r="B247" s="10" t="str">
        <f t="shared" si="1"/>
        <v>fish</v>
      </c>
      <c r="C247" s="63" t="str">
        <f t="shared" si="2"/>
        <v>U5305</v>
      </c>
      <c r="D247" s="11" t="str">
        <f t="array" ref="D247">iferror(index(fish_lab_data!D:D,match(A247,fish_lab_data!C:C,0)))</f>
        <v>DP725</v>
      </c>
      <c r="E247" s="6">
        <v>101.0</v>
      </c>
      <c r="F247" s="17" t="str">
        <f t="shared" si="3"/>
        <v>BCA101</v>
      </c>
      <c r="G247" s="43" t="str">
        <f t="shared" si="4"/>
        <v>NA</v>
      </c>
      <c r="H247" s="17" t="str">
        <f t="shared" si="5"/>
        <v>BCA101-NA</v>
      </c>
      <c r="J247" t="str">
        <f t="shared" si="6"/>
        <v>collected</v>
      </c>
      <c r="K247" t="str">
        <f t="shared" si="7"/>
        <v>N</v>
      </c>
    </row>
    <row r="248">
      <c r="A248" s="29" t="s">
        <v>531</v>
      </c>
      <c r="B248" s="10" t="str">
        <f t="shared" si="1"/>
        <v>fish</v>
      </c>
      <c r="C248" s="63" t="str">
        <f t="shared" si="2"/>
        <v>U5306</v>
      </c>
      <c r="D248" s="11" t="str">
        <f t="array" ref="D248">iferror(index(fish_lab_data!D:D,match(A248,fish_lab_data!C:C,0)))</f>
        <v>DP725</v>
      </c>
      <c r="E248" s="6">
        <v>101.0</v>
      </c>
      <c r="F248" s="17" t="str">
        <f t="shared" si="3"/>
        <v>BCA101</v>
      </c>
      <c r="G248" s="43" t="str">
        <f t="shared" si="4"/>
        <v>NA</v>
      </c>
      <c r="H248" s="17" t="str">
        <f t="shared" si="5"/>
        <v>BCA101-NA</v>
      </c>
      <c r="J248" t="str">
        <f t="shared" si="6"/>
        <v>collected</v>
      </c>
      <c r="K248" t="str">
        <f t="shared" si="7"/>
        <v>N</v>
      </c>
    </row>
    <row r="249">
      <c r="A249" s="29" t="s">
        <v>534</v>
      </c>
      <c r="B249" s="10" t="str">
        <f t="shared" si="1"/>
        <v>fish</v>
      </c>
      <c r="C249" s="63" t="str">
        <f t="shared" si="2"/>
        <v>U5307</v>
      </c>
      <c r="D249" s="11" t="str">
        <f t="array" ref="D249">iferror(index(fish_lab_data!D:D,match(A249,fish_lab_data!C:C,0)))</f>
        <v>DP725</v>
      </c>
      <c r="E249" s="6">
        <v>101.0</v>
      </c>
      <c r="F249" s="17" t="str">
        <f t="shared" si="3"/>
        <v>BCA101</v>
      </c>
      <c r="G249" s="43" t="str">
        <f t="shared" si="4"/>
        <v>NA</v>
      </c>
      <c r="H249" s="17" t="str">
        <f t="shared" si="5"/>
        <v>BCA101-NA</v>
      </c>
      <c r="J249" t="str">
        <f t="shared" si="6"/>
        <v>collected</v>
      </c>
      <c r="K249" t="str">
        <f t="shared" si="7"/>
        <v>N</v>
      </c>
    </row>
    <row r="250">
      <c r="A250" s="26" t="s">
        <v>535</v>
      </c>
      <c r="B250" s="10" t="str">
        <f t="shared" si="1"/>
        <v>fish</v>
      </c>
      <c r="C250" s="63" t="str">
        <f t="shared" si="2"/>
        <v>U5308</v>
      </c>
      <c r="D250" s="11" t="str">
        <f t="array" ref="D250">iferror(index(fish_lab_data!D:D,match(A250,fish_lab_data!C:C,0)))</f>
        <v>DP725</v>
      </c>
      <c r="E250" s="6">
        <v>101.0</v>
      </c>
      <c r="F250" s="17" t="str">
        <f t="shared" si="3"/>
        <v>BCA101</v>
      </c>
      <c r="G250" s="43" t="str">
        <f t="shared" si="4"/>
        <v>NA</v>
      </c>
      <c r="H250" s="17" t="str">
        <f t="shared" si="5"/>
        <v>BCA101-NA</v>
      </c>
      <c r="J250" t="str">
        <f t="shared" si="6"/>
        <v>collected</v>
      </c>
      <c r="K250" t="str">
        <f t="shared" si="7"/>
        <v>N</v>
      </c>
    </row>
    <row r="251">
      <c r="A251" s="26" t="s">
        <v>537</v>
      </c>
      <c r="B251" s="10" t="str">
        <f t="shared" si="1"/>
        <v>fish</v>
      </c>
      <c r="C251" s="63" t="str">
        <f t="shared" si="2"/>
        <v>U5309</v>
      </c>
      <c r="D251" s="11" t="str">
        <f t="array" ref="D251">iferror(index(fish_lab_data!D:D,match(A251,fish_lab_data!C:C,0)))</f>
        <v>DP725</v>
      </c>
      <c r="E251" s="6">
        <v>101.0</v>
      </c>
      <c r="F251" s="17" t="str">
        <f t="shared" si="3"/>
        <v>BCA101</v>
      </c>
      <c r="G251" s="43" t="str">
        <f t="shared" si="4"/>
        <v>NA</v>
      </c>
      <c r="H251" s="17" t="str">
        <f t="shared" si="5"/>
        <v>BCA101-NA</v>
      </c>
      <c r="J251" t="str">
        <f t="shared" si="6"/>
        <v>collected</v>
      </c>
      <c r="K251" t="str">
        <f t="shared" si="7"/>
        <v>N</v>
      </c>
    </row>
    <row r="252">
      <c r="A252" s="26" t="s">
        <v>539</v>
      </c>
      <c r="B252" s="10" t="str">
        <f t="shared" si="1"/>
        <v>fish</v>
      </c>
      <c r="C252" s="63" t="str">
        <f t="shared" si="2"/>
        <v>U5310</v>
      </c>
      <c r="D252" s="11" t="str">
        <f t="array" ref="D252">iferror(index(fish_lab_data!D:D,match(A252,fish_lab_data!C:C,0)))</f>
        <v>DP725</v>
      </c>
      <c r="E252" s="6">
        <v>101.0</v>
      </c>
      <c r="F252" s="17" t="str">
        <f t="shared" si="3"/>
        <v>BCA101</v>
      </c>
      <c r="G252" s="43" t="str">
        <f t="shared" si="4"/>
        <v>NA</v>
      </c>
      <c r="H252" s="17" t="str">
        <f t="shared" si="5"/>
        <v>BCA101-NA</v>
      </c>
      <c r="J252" t="str">
        <f t="shared" si="6"/>
        <v>collected</v>
      </c>
      <c r="K252" t="str">
        <f t="shared" si="7"/>
        <v>N</v>
      </c>
    </row>
    <row r="253">
      <c r="A253" s="26" t="s">
        <v>540</v>
      </c>
      <c r="B253" s="10" t="str">
        <f t="shared" si="1"/>
        <v>fish</v>
      </c>
      <c r="C253" s="63" t="str">
        <f t="shared" si="2"/>
        <v>U5311</v>
      </c>
      <c r="D253" s="11" t="str">
        <f t="array" ref="D253">iferror(index(fish_lab_data!D:D,match(A253,fish_lab_data!C:C,0)))</f>
        <v>DP725</v>
      </c>
      <c r="E253" s="6">
        <v>101.0</v>
      </c>
      <c r="F253" s="17" t="str">
        <f t="shared" si="3"/>
        <v>BCA101</v>
      </c>
      <c r="G253" s="43" t="str">
        <f t="shared" si="4"/>
        <v>NA</v>
      </c>
      <c r="H253" s="17" t="str">
        <f t="shared" si="5"/>
        <v>BCA101-NA</v>
      </c>
      <c r="J253" t="str">
        <f t="shared" si="6"/>
        <v>collected</v>
      </c>
      <c r="K253" t="str">
        <f t="shared" si="7"/>
        <v>N</v>
      </c>
    </row>
    <row r="254">
      <c r="A254" s="26" t="s">
        <v>543</v>
      </c>
      <c r="B254" s="10" t="str">
        <f t="shared" si="1"/>
        <v>fish</v>
      </c>
      <c r="C254" s="63" t="str">
        <f t="shared" si="2"/>
        <v>U5312</v>
      </c>
      <c r="D254" s="11" t="str">
        <f t="array" ref="D254">iferror(index(fish_lab_data!D:D,match(A254,fish_lab_data!C:C,0)))</f>
        <v>DP726</v>
      </c>
      <c r="E254" s="6">
        <v>102.0</v>
      </c>
      <c r="F254" s="17" t="str">
        <f t="shared" si="3"/>
        <v>BCA102</v>
      </c>
      <c r="G254" s="43" t="str">
        <f t="shared" si="4"/>
        <v>NA</v>
      </c>
      <c r="H254" s="17" t="str">
        <f t="shared" si="5"/>
        <v>BCA102-NA</v>
      </c>
      <c r="J254" t="str">
        <f t="shared" si="6"/>
        <v>collected</v>
      </c>
      <c r="K254" t="str">
        <f t="shared" si="7"/>
        <v>N</v>
      </c>
    </row>
    <row r="255">
      <c r="A255" s="26" t="s">
        <v>544</v>
      </c>
      <c r="B255" s="10" t="str">
        <f t="shared" si="1"/>
        <v>fish</v>
      </c>
      <c r="C255" s="63" t="str">
        <f t="shared" si="2"/>
        <v>U5313</v>
      </c>
      <c r="D255" s="11" t="str">
        <f t="array" ref="D255">iferror(index(fish_lab_data!D:D,match(A255,fish_lab_data!C:C,0)))</f>
        <v>DP726</v>
      </c>
      <c r="E255" s="6">
        <v>102.0</v>
      </c>
      <c r="F255" s="17" t="str">
        <f t="shared" si="3"/>
        <v>BCA102</v>
      </c>
      <c r="G255" s="43" t="str">
        <f t="shared" si="4"/>
        <v>NA</v>
      </c>
      <c r="H255" s="17" t="str">
        <f t="shared" si="5"/>
        <v>BCA102-NA</v>
      </c>
      <c r="J255" t="str">
        <f t="shared" si="6"/>
        <v>collected</v>
      </c>
      <c r="K255" t="str">
        <f t="shared" si="7"/>
        <v>N</v>
      </c>
    </row>
    <row r="256">
      <c r="A256" s="26" t="s">
        <v>546</v>
      </c>
      <c r="B256" s="10" t="str">
        <f t="shared" si="1"/>
        <v>fish</v>
      </c>
      <c r="C256" s="63" t="str">
        <f t="shared" si="2"/>
        <v>U5314</v>
      </c>
      <c r="D256" s="11" t="str">
        <f t="array" ref="D256">iferror(index(fish_lab_data!D:D,match(A256,fish_lab_data!C:C,0)))</f>
        <v>DP726</v>
      </c>
      <c r="E256" s="6">
        <v>102.0</v>
      </c>
      <c r="F256" s="17" t="str">
        <f t="shared" si="3"/>
        <v>BCA102</v>
      </c>
      <c r="G256" s="43" t="str">
        <f t="shared" si="4"/>
        <v>NA</v>
      </c>
      <c r="H256" s="17" t="str">
        <f t="shared" si="5"/>
        <v>BCA102-NA</v>
      </c>
      <c r="J256" t="str">
        <f t="shared" si="6"/>
        <v>collected</v>
      </c>
      <c r="K256" t="str">
        <f t="shared" si="7"/>
        <v>N</v>
      </c>
    </row>
    <row r="257">
      <c r="A257" s="30" t="s">
        <v>312</v>
      </c>
      <c r="B257" s="10" t="str">
        <f t="shared" si="1"/>
        <v>fish</v>
      </c>
      <c r="C257" s="63" t="str">
        <f t="shared" si="2"/>
        <v>U5229</v>
      </c>
      <c r="D257" s="11" t="str">
        <f t="array" ref="D257">iferror(index(fish_lab_data!D:D,match(A257,fish_lab_data!C:C,0)))</f>
        <v>JP459</v>
      </c>
      <c r="E257" s="6">
        <v>100.0</v>
      </c>
      <c r="F257" s="17" t="str">
        <f t="shared" si="3"/>
        <v>BCA100</v>
      </c>
      <c r="G257" s="43" t="str">
        <f t="shared" si="4"/>
        <v>NA</v>
      </c>
      <c r="H257" s="17" t="str">
        <f t="shared" si="5"/>
        <v>BCA100-NA</v>
      </c>
      <c r="J257" t="str">
        <f t="shared" si="6"/>
        <v>collected</v>
      </c>
      <c r="K257" t="str">
        <f t="shared" si="7"/>
        <v>N</v>
      </c>
    </row>
    <row r="258">
      <c r="A258" s="30" t="s">
        <v>314</v>
      </c>
      <c r="B258" s="10" t="str">
        <f t="shared" si="1"/>
        <v>fish</v>
      </c>
      <c r="C258" s="63" t="str">
        <f t="shared" si="2"/>
        <v>U5230</v>
      </c>
      <c r="D258" s="11" t="str">
        <f t="array" ref="D258">iferror(index(fish_lab_data!D:D,match(A258,fish_lab_data!C:C,0)))</f>
        <v>JP459</v>
      </c>
      <c r="E258" s="6">
        <v>100.0</v>
      </c>
      <c r="F258" s="17" t="str">
        <f t="shared" si="3"/>
        <v>BCA100</v>
      </c>
      <c r="G258" s="43" t="str">
        <f t="shared" si="4"/>
        <v>NA</v>
      </c>
      <c r="H258" s="17" t="str">
        <f t="shared" si="5"/>
        <v>BCA100-NA</v>
      </c>
      <c r="J258" t="str">
        <f t="shared" si="6"/>
        <v>collected</v>
      </c>
      <c r="K258" t="str">
        <f t="shared" si="7"/>
        <v>N</v>
      </c>
    </row>
    <row r="259">
      <c r="A259" s="30" t="s">
        <v>316</v>
      </c>
      <c r="B259" s="10" t="str">
        <f t="shared" si="1"/>
        <v>fish</v>
      </c>
      <c r="C259" s="63" t="str">
        <f t="shared" si="2"/>
        <v>U5231</v>
      </c>
      <c r="D259" s="11" t="str">
        <f t="array" ref="D259">iferror(index(fish_lab_data!D:D,match(A259,fish_lab_data!C:C,0)))</f>
        <v>JP459</v>
      </c>
      <c r="E259" s="6">
        <v>100.0</v>
      </c>
      <c r="F259" s="17" t="str">
        <f t="shared" si="3"/>
        <v>BCA100</v>
      </c>
      <c r="G259" s="43" t="str">
        <f t="shared" si="4"/>
        <v>NA</v>
      </c>
      <c r="H259" s="17" t="str">
        <f t="shared" si="5"/>
        <v>BCA100-NA</v>
      </c>
      <c r="J259" t="str">
        <f t="shared" si="6"/>
        <v>collected</v>
      </c>
      <c r="K259" t="str">
        <f t="shared" si="7"/>
        <v>N</v>
      </c>
    </row>
    <row r="260">
      <c r="A260" s="30" t="s">
        <v>317</v>
      </c>
      <c r="B260" s="10" t="str">
        <f t="shared" si="1"/>
        <v>fish</v>
      </c>
      <c r="C260" s="63" t="str">
        <f t="shared" si="2"/>
        <v>U5245</v>
      </c>
      <c r="D260" s="11" t="str">
        <f t="array" ref="D260">iferror(index(fish_lab_data!D:D,match(A260,fish_lab_data!C:C,0)))</f>
        <v>JP459</v>
      </c>
      <c r="E260" s="6">
        <v>100.0</v>
      </c>
      <c r="F260" s="17" t="str">
        <f t="shared" si="3"/>
        <v>BCA100</v>
      </c>
      <c r="G260" s="43" t="str">
        <f t="shared" si="4"/>
        <v>NA</v>
      </c>
      <c r="H260" s="17" t="str">
        <f t="shared" si="5"/>
        <v>BCA100-NA</v>
      </c>
      <c r="J260" t="str">
        <f t="shared" si="6"/>
        <v>collected</v>
      </c>
      <c r="K260" t="str">
        <f t="shared" si="7"/>
        <v>N</v>
      </c>
    </row>
    <row r="261">
      <c r="A261" s="30" t="s">
        <v>318</v>
      </c>
      <c r="B261" s="10" t="str">
        <f t="shared" si="1"/>
        <v>fish</v>
      </c>
      <c r="C261" s="63" t="str">
        <f t="shared" si="2"/>
        <v>U5246</v>
      </c>
      <c r="D261" s="11" t="str">
        <f t="array" ref="D261">iferror(index(fish_lab_data!D:D,match(A261,fish_lab_data!C:C,0)))</f>
        <v>JP459</v>
      </c>
      <c r="E261" s="6">
        <v>100.0</v>
      </c>
      <c r="F261" s="17" t="str">
        <f t="shared" si="3"/>
        <v>BCA100</v>
      </c>
      <c r="G261" s="43" t="str">
        <f t="shared" si="4"/>
        <v>NA</v>
      </c>
      <c r="H261" s="17" t="str">
        <f t="shared" si="5"/>
        <v>BCA100-NA</v>
      </c>
      <c r="J261" t="str">
        <f t="shared" si="6"/>
        <v>collected</v>
      </c>
      <c r="K261" t="str">
        <f t="shared" si="7"/>
        <v>N</v>
      </c>
    </row>
    <row r="262">
      <c r="A262" s="30" t="s">
        <v>322</v>
      </c>
      <c r="B262" s="10" t="str">
        <f t="shared" si="1"/>
        <v>fish</v>
      </c>
      <c r="C262" s="63" t="str">
        <f t="shared" si="2"/>
        <v>U5247</v>
      </c>
      <c r="D262" s="11" t="str">
        <f t="array" ref="D262">iferror(index(fish_lab_data!D:D,match(A262,fish_lab_data!C:C,0)))</f>
        <v>JP459</v>
      </c>
      <c r="E262" s="6">
        <v>100.0</v>
      </c>
      <c r="F262" s="17" t="str">
        <f t="shared" si="3"/>
        <v>BCA100</v>
      </c>
      <c r="G262" s="43" t="str">
        <f t="shared" si="4"/>
        <v>NA</v>
      </c>
      <c r="H262" s="17" t="str">
        <f t="shared" si="5"/>
        <v>BCA100-NA</v>
      </c>
      <c r="J262" t="str">
        <f t="shared" si="6"/>
        <v>collected</v>
      </c>
      <c r="K262" t="str">
        <f t="shared" si="7"/>
        <v>N</v>
      </c>
    </row>
    <row r="263">
      <c r="A263" s="30" t="s">
        <v>327</v>
      </c>
      <c r="B263" s="10" t="str">
        <f t="shared" si="1"/>
        <v>fish</v>
      </c>
      <c r="C263" s="63" t="str">
        <f t="shared" si="2"/>
        <v>U5248</v>
      </c>
      <c r="D263" s="11" t="str">
        <f t="array" ref="D263">iferror(index(fish_lab_data!D:D,match(A263,fish_lab_data!C:C,0)))</f>
        <v>DP722</v>
      </c>
      <c r="E263" s="6">
        <v>100.0</v>
      </c>
      <c r="F263" s="17" t="str">
        <f t="shared" si="3"/>
        <v>BCA100</v>
      </c>
      <c r="G263" s="43" t="str">
        <f t="shared" si="4"/>
        <v>NA</v>
      </c>
      <c r="H263" s="17" t="str">
        <f t="shared" si="5"/>
        <v>BCA100-NA</v>
      </c>
      <c r="J263" t="str">
        <f t="shared" si="6"/>
        <v>collected</v>
      </c>
      <c r="K263" t="str">
        <f t="shared" si="7"/>
        <v>N</v>
      </c>
    </row>
    <row r="264">
      <c r="A264" s="30" t="s">
        <v>328</v>
      </c>
      <c r="B264" s="10" t="str">
        <f t="shared" si="1"/>
        <v>fish</v>
      </c>
      <c r="C264" s="63" t="str">
        <f t="shared" si="2"/>
        <v>U5249</v>
      </c>
      <c r="D264" s="11" t="str">
        <f t="array" ref="D264">iferror(index(fish_lab_data!D:D,match(A264,fish_lab_data!C:C,0)))</f>
        <v>DP722</v>
      </c>
      <c r="E264" s="6">
        <v>100.0</v>
      </c>
      <c r="F264" s="17" t="str">
        <f t="shared" si="3"/>
        <v>BCA100</v>
      </c>
      <c r="G264" s="43" t="str">
        <f t="shared" si="4"/>
        <v>NA</v>
      </c>
      <c r="H264" s="17" t="str">
        <f t="shared" si="5"/>
        <v>BCA100-NA</v>
      </c>
      <c r="J264" t="str">
        <f t="shared" si="6"/>
        <v>collected</v>
      </c>
      <c r="K264" t="str">
        <f t="shared" si="7"/>
        <v>N</v>
      </c>
    </row>
    <row r="265">
      <c r="A265" s="30" t="s">
        <v>332</v>
      </c>
      <c r="B265" s="10" t="str">
        <f t="shared" si="1"/>
        <v>fish</v>
      </c>
      <c r="C265" s="63" t="str">
        <f t="shared" si="2"/>
        <v>U5250</v>
      </c>
      <c r="D265" s="11" t="str">
        <f t="array" ref="D265">iferror(index(fish_lab_data!D:D,match(A265,fish_lab_data!C:C,0)))</f>
        <v>DP722</v>
      </c>
      <c r="E265" s="6">
        <v>100.0</v>
      </c>
      <c r="F265" s="17" t="str">
        <f t="shared" si="3"/>
        <v>BCA100</v>
      </c>
      <c r="G265" s="43" t="str">
        <f t="shared" si="4"/>
        <v>NA</v>
      </c>
      <c r="H265" s="17" t="str">
        <f t="shared" si="5"/>
        <v>BCA100-NA</v>
      </c>
      <c r="J265" t="str">
        <f t="shared" si="6"/>
        <v>collected</v>
      </c>
      <c r="K265" t="str">
        <f t="shared" si="7"/>
        <v>N</v>
      </c>
    </row>
    <row r="266">
      <c r="A266" s="30" t="s">
        <v>334</v>
      </c>
      <c r="B266" s="10" t="str">
        <f t="shared" si="1"/>
        <v>fish</v>
      </c>
      <c r="C266" s="63" t="str">
        <f t="shared" si="2"/>
        <v>U5251</v>
      </c>
      <c r="D266" s="11" t="str">
        <f t="array" ref="D266">iferror(index(fish_lab_data!D:D,match(A266,fish_lab_data!C:C,0)))</f>
        <v>DP722</v>
      </c>
      <c r="E266" s="6">
        <v>100.0</v>
      </c>
      <c r="F266" s="17" t="str">
        <f t="shared" si="3"/>
        <v>BCA100</v>
      </c>
      <c r="G266" s="43" t="str">
        <f t="shared" si="4"/>
        <v>NA</v>
      </c>
      <c r="H266" s="17" t="str">
        <f t="shared" si="5"/>
        <v>BCA100-NA</v>
      </c>
      <c r="J266" t="str">
        <f t="shared" si="6"/>
        <v>collected</v>
      </c>
      <c r="K266" t="str">
        <f t="shared" si="7"/>
        <v>N</v>
      </c>
    </row>
    <row r="267">
      <c r="A267" s="30" t="s">
        <v>335</v>
      </c>
      <c r="B267" s="10" t="str">
        <f t="shared" si="1"/>
        <v>fish</v>
      </c>
      <c r="C267" s="63" t="str">
        <f t="shared" si="2"/>
        <v>U5252</v>
      </c>
      <c r="D267" s="11" t="str">
        <f t="array" ref="D267">iferror(index(fish_lab_data!D:D,match(A267,fish_lab_data!C:C,0)))</f>
        <v>DP722</v>
      </c>
      <c r="E267" s="6">
        <v>100.0</v>
      </c>
      <c r="F267" s="17" t="str">
        <f t="shared" si="3"/>
        <v>BCA100</v>
      </c>
      <c r="G267" s="43" t="str">
        <f t="shared" si="4"/>
        <v>NA</v>
      </c>
      <c r="H267" s="17" t="str">
        <f t="shared" si="5"/>
        <v>BCA100-NA</v>
      </c>
      <c r="J267" t="str">
        <f t="shared" si="6"/>
        <v>collected</v>
      </c>
      <c r="K267" t="str">
        <f t="shared" si="7"/>
        <v>N</v>
      </c>
    </row>
    <row r="268">
      <c r="A268" s="30" t="s">
        <v>336</v>
      </c>
      <c r="B268" s="10" t="str">
        <f t="shared" si="1"/>
        <v>fish</v>
      </c>
      <c r="C268" s="63" t="str">
        <f t="shared" si="2"/>
        <v>U5253</v>
      </c>
      <c r="D268" s="11" t="str">
        <f t="array" ref="D268">iferror(index(fish_lab_data!D:D,match(A268,fish_lab_data!C:C,0)))</f>
        <v>DP722</v>
      </c>
      <c r="E268" s="6">
        <v>100.0</v>
      </c>
      <c r="F268" s="17" t="str">
        <f t="shared" si="3"/>
        <v>BCA100</v>
      </c>
      <c r="G268" s="43" t="str">
        <f t="shared" si="4"/>
        <v>NA</v>
      </c>
      <c r="H268" s="17" t="str">
        <f t="shared" si="5"/>
        <v>BCA100-NA</v>
      </c>
      <c r="J268" t="str">
        <f t="shared" si="6"/>
        <v>collected</v>
      </c>
      <c r="K268" t="str">
        <f t="shared" si="7"/>
        <v>N</v>
      </c>
    </row>
    <row r="269">
      <c r="A269" s="30" t="s">
        <v>338</v>
      </c>
      <c r="B269" s="10" t="str">
        <f t="shared" si="1"/>
        <v>fish</v>
      </c>
      <c r="C269" s="63" t="str">
        <f t="shared" si="2"/>
        <v>U5254</v>
      </c>
      <c r="D269" s="11" t="str">
        <f t="array" ref="D269">iferror(index(fish_lab_data!D:D,match(A269,fish_lab_data!C:C,0)))</f>
        <v>DP722</v>
      </c>
      <c r="E269" s="6">
        <v>100.0</v>
      </c>
      <c r="F269" s="17" t="str">
        <f t="shared" si="3"/>
        <v>BCA100</v>
      </c>
      <c r="G269" s="43" t="str">
        <f t="shared" si="4"/>
        <v>NA</v>
      </c>
      <c r="H269" s="17" t="str">
        <f t="shared" si="5"/>
        <v>BCA100-NA</v>
      </c>
      <c r="J269" t="str">
        <f t="shared" si="6"/>
        <v>collected</v>
      </c>
      <c r="K269" t="str">
        <f t="shared" si="7"/>
        <v>N</v>
      </c>
    </row>
    <row r="270">
      <c r="A270" s="30" t="s">
        <v>339</v>
      </c>
      <c r="B270" s="10" t="str">
        <f t="shared" si="1"/>
        <v>fish</v>
      </c>
      <c r="C270" s="63" t="str">
        <f t="shared" si="2"/>
        <v>U5255</v>
      </c>
      <c r="D270" s="11" t="str">
        <f t="array" ref="D270">iferror(index(fish_lab_data!D:D,match(A270,fish_lab_data!C:C,0)))</f>
        <v>DP722</v>
      </c>
      <c r="E270" s="6">
        <v>100.0</v>
      </c>
      <c r="F270" s="17" t="str">
        <f t="shared" si="3"/>
        <v>BCA100</v>
      </c>
      <c r="G270" s="43" t="str">
        <f t="shared" si="4"/>
        <v>NA</v>
      </c>
      <c r="H270" s="17" t="str">
        <f t="shared" si="5"/>
        <v>BCA100-NA</v>
      </c>
      <c r="J270" t="str">
        <f t="shared" si="6"/>
        <v>collected</v>
      </c>
      <c r="K270" t="str">
        <f t="shared" si="7"/>
        <v>N</v>
      </c>
    </row>
    <row r="271">
      <c r="A271" s="30" t="s">
        <v>340</v>
      </c>
      <c r="B271" s="10" t="str">
        <f t="shared" si="1"/>
        <v>fish</v>
      </c>
      <c r="C271" s="63" t="str">
        <f t="shared" si="2"/>
        <v>U5256</v>
      </c>
      <c r="D271" s="11" t="str">
        <f t="array" ref="D271">iferror(index(fish_lab_data!D:D,match(A271,fish_lab_data!C:C,0)))</f>
        <v>DP722</v>
      </c>
      <c r="E271" s="6">
        <v>100.0</v>
      </c>
      <c r="F271" s="17" t="str">
        <f t="shared" si="3"/>
        <v>BCA100</v>
      </c>
      <c r="G271" s="43" t="str">
        <f t="shared" si="4"/>
        <v>NA</v>
      </c>
      <c r="H271" s="17" t="str">
        <f t="shared" si="5"/>
        <v>BCA100-NA</v>
      </c>
      <c r="J271" t="str">
        <f t="shared" si="6"/>
        <v>collected</v>
      </c>
      <c r="K271" t="str">
        <f t="shared" si="7"/>
        <v>N</v>
      </c>
    </row>
    <row r="272">
      <c r="A272" s="30" t="s">
        <v>341</v>
      </c>
      <c r="B272" s="10" t="str">
        <f t="shared" si="1"/>
        <v>fish</v>
      </c>
      <c r="C272" s="63" t="str">
        <f t="shared" si="2"/>
        <v>U5257</v>
      </c>
      <c r="D272" s="11" t="str">
        <f t="array" ref="D272">iferror(index(fish_lab_data!D:D,match(A272,fish_lab_data!C:C,0)))</f>
        <v>DP722</v>
      </c>
      <c r="E272" s="6">
        <v>100.0</v>
      </c>
      <c r="F272" s="17" t="str">
        <f t="shared" si="3"/>
        <v>BCA100</v>
      </c>
      <c r="G272" s="43" t="str">
        <f t="shared" si="4"/>
        <v>NA</v>
      </c>
      <c r="H272" s="17" t="str">
        <f t="shared" si="5"/>
        <v>BCA100-NA</v>
      </c>
      <c r="J272" t="str">
        <f t="shared" si="6"/>
        <v>collected</v>
      </c>
      <c r="K272" t="str">
        <f t="shared" si="7"/>
        <v>N</v>
      </c>
    </row>
    <row r="273">
      <c r="A273" s="44" t="s">
        <v>547</v>
      </c>
      <c r="B273" s="10" t="str">
        <f t="shared" si="1"/>
        <v>fish</v>
      </c>
      <c r="C273" s="63" t="str">
        <f t="shared" si="2"/>
        <v>U5357</v>
      </c>
      <c r="D273" s="11" t="str">
        <f t="array" ref="D273">iferror(index(fish_lab_data!D:D,match(A273,fish_lab_data!C:C,0)))</f>
        <v>JP470</v>
      </c>
      <c r="E273" s="6">
        <v>101.0</v>
      </c>
      <c r="F273" s="17" t="str">
        <f t="shared" si="3"/>
        <v>BCA101</v>
      </c>
      <c r="G273" s="43" t="str">
        <f t="shared" si="4"/>
        <v>NA</v>
      </c>
      <c r="H273" s="17" t="str">
        <f t="shared" si="5"/>
        <v>BCA101-NA</v>
      </c>
      <c r="J273" t="str">
        <f t="shared" si="6"/>
        <v>collected</v>
      </c>
      <c r="K273" t="str">
        <f t="shared" si="7"/>
        <v>N</v>
      </c>
    </row>
    <row r="274">
      <c r="A274" s="44" t="s">
        <v>548</v>
      </c>
      <c r="B274" s="10" t="str">
        <f t="shared" si="1"/>
        <v>fish</v>
      </c>
      <c r="C274" s="63" t="str">
        <f t="shared" si="2"/>
        <v>U5358</v>
      </c>
      <c r="D274" s="11" t="str">
        <f t="array" ref="D274">iferror(index(fish_lab_data!D:D,match(A274,fish_lab_data!C:C,0)))</f>
        <v>JP470</v>
      </c>
      <c r="E274" s="6">
        <v>101.0</v>
      </c>
      <c r="F274" s="17" t="str">
        <f t="shared" si="3"/>
        <v>BCA101</v>
      </c>
      <c r="G274" s="43" t="str">
        <f t="shared" si="4"/>
        <v>NA</v>
      </c>
      <c r="H274" s="17" t="str">
        <f t="shared" si="5"/>
        <v>BCA101-NA</v>
      </c>
      <c r="J274" t="str">
        <f t="shared" si="6"/>
        <v>collected</v>
      </c>
      <c r="K274" t="str">
        <f t="shared" si="7"/>
        <v>N</v>
      </c>
    </row>
    <row r="275">
      <c r="A275" s="44" t="s">
        <v>549</v>
      </c>
      <c r="B275" s="10" t="str">
        <f t="shared" si="1"/>
        <v>fish</v>
      </c>
      <c r="C275" s="63" t="str">
        <f t="shared" si="2"/>
        <v>U5359</v>
      </c>
      <c r="D275" s="11" t="str">
        <f t="array" ref="D275">iferror(index(fish_lab_data!D:D,match(A275,fish_lab_data!C:C,0)))</f>
        <v>JP470</v>
      </c>
      <c r="E275" s="6">
        <v>101.0</v>
      </c>
      <c r="F275" s="17" t="str">
        <f t="shared" si="3"/>
        <v>BCA101</v>
      </c>
      <c r="G275" s="43" t="str">
        <f t="shared" si="4"/>
        <v>NA</v>
      </c>
      <c r="H275" s="17" t="str">
        <f t="shared" si="5"/>
        <v>BCA101-NA</v>
      </c>
      <c r="J275" t="str">
        <f t="shared" si="6"/>
        <v>collected</v>
      </c>
      <c r="K275" t="str">
        <f t="shared" si="7"/>
        <v>N</v>
      </c>
    </row>
    <row r="276">
      <c r="A276" s="44" t="s">
        <v>552</v>
      </c>
      <c r="B276" s="10" t="str">
        <f t="shared" si="1"/>
        <v>fish</v>
      </c>
      <c r="C276" s="63" t="str">
        <f t="shared" si="2"/>
        <v>U5360</v>
      </c>
      <c r="D276" s="11" t="str">
        <f t="array" ref="D276">iferror(index(fish_lab_data!D:D,match(A276,fish_lab_data!C:C,0)))</f>
        <v>JP470</v>
      </c>
      <c r="E276" s="6">
        <v>101.0</v>
      </c>
      <c r="F276" s="17" t="str">
        <f t="shared" si="3"/>
        <v>BCA101</v>
      </c>
      <c r="G276" s="43" t="str">
        <f t="shared" si="4"/>
        <v>NA</v>
      </c>
      <c r="H276" s="17" t="str">
        <f t="shared" si="5"/>
        <v>BCA101-NA</v>
      </c>
      <c r="J276" t="str">
        <f t="shared" si="6"/>
        <v>collected</v>
      </c>
      <c r="K276" t="str">
        <f t="shared" si="7"/>
        <v>N</v>
      </c>
    </row>
    <row r="277">
      <c r="A277" s="44" t="s">
        <v>553</v>
      </c>
      <c r="B277" s="10" t="str">
        <f t="shared" si="1"/>
        <v>fish</v>
      </c>
      <c r="C277" s="63" t="str">
        <f t="shared" si="2"/>
        <v>U5361</v>
      </c>
      <c r="D277" s="11" t="str">
        <f t="array" ref="D277">iferror(index(fish_lab_data!D:D,match(A277,fish_lab_data!C:C,0)))</f>
        <v>JP470</v>
      </c>
      <c r="E277" s="6">
        <v>101.0</v>
      </c>
      <c r="F277" s="17" t="str">
        <f t="shared" si="3"/>
        <v>BCA101</v>
      </c>
      <c r="G277" s="43" t="str">
        <f t="shared" si="4"/>
        <v>NA</v>
      </c>
      <c r="H277" s="17" t="str">
        <f t="shared" si="5"/>
        <v>BCA101-NA</v>
      </c>
      <c r="J277" t="str">
        <f t="shared" si="6"/>
        <v>collected</v>
      </c>
      <c r="K277" t="str">
        <f t="shared" si="7"/>
        <v>N</v>
      </c>
    </row>
    <row r="278">
      <c r="A278" s="44" t="s">
        <v>554</v>
      </c>
      <c r="B278" s="10" t="str">
        <f t="shared" si="1"/>
        <v>fish</v>
      </c>
      <c r="C278" s="63" t="str">
        <f t="shared" si="2"/>
        <v>U5412</v>
      </c>
      <c r="D278" s="11" t="str">
        <f t="array" ref="D278">iferror(index(fish_lab_data!D:D,match(A278,fish_lab_data!C:C,0)))</f>
        <v>JP470</v>
      </c>
      <c r="E278" s="6">
        <v>101.0</v>
      </c>
      <c r="F278" s="17" t="str">
        <f t="shared" si="3"/>
        <v>BCA101</v>
      </c>
      <c r="G278" s="43" t="str">
        <f t="shared" si="4"/>
        <v>NA</v>
      </c>
      <c r="H278" s="17" t="str">
        <f t="shared" si="5"/>
        <v>BCA101-NA</v>
      </c>
      <c r="J278" t="str">
        <f t="shared" si="6"/>
        <v>collected</v>
      </c>
      <c r="K278" t="str">
        <f t="shared" si="7"/>
        <v>N</v>
      </c>
    </row>
    <row r="279">
      <c r="A279" s="44" t="s">
        <v>556</v>
      </c>
      <c r="B279" s="10" t="str">
        <f t="shared" si="1"/>
        <v>fish</v>
      </c>
      <c r="C279" s="63" t="str">
        <f t="shared" si="2"/>
        <v>U5413</v>
      </c>
      <c r="D279" s="11" t="str">
        <f t="array" ref="D279">iferror(index(fish_lab_data!D:D,match(A279,fish_lab_data!C:C,0)))</f>
        <v>JP470</v>
      </c>
      <c r="E279" s="6">
        <v>101.0</v>
      </c>
      <c r="F279" s="17" t="str">
        <f t="shared" si="3"/>
        <v>BCA101</v>
      </c>
      <c r="G279" s="43" t="str">
        <f t="shared" si="4"/>
        <v>NA</v>
      </c>
      <c r="H279" s="17" t="str">
        <f t="shared" si="5"/>
        <v>BCA101-NA</v>
      </c>
      <c r="J279" t="str">
        <f t="shared" si="6"/>
        <v>collected</v>
      </c>
      <c r="K279" t="str">
        <f t="shared" si="7"/>
        <v>N</v>
      </c>
    </row>
    <row r="280">
      <c r="A280" s="44" t="s">
        <v>558</v>
      </c>
      <c r="B280" s="10" t="str">
        <f t="shared" si="1"/>
        <v>fish</v>
      </c>
      <c r="C280" s="63" t="str">
        <f t="shared" si="2"/>
        <v>U5414</v>
      </c>
      <c r="D280" s="11" t="str">
        <f t="array" ref="D280">iferror(index(fish_lab_data!D:D,match(A280,fish_lab_data!C:C,0)))</f>
        <v>JP470</v>
      </c>
      <c r="E280" s="6">
        <v>101.0</v>
      </c>
      <c r="F280" s="17" t="str">
        <f t="shared" si="3"/>
        <v>BCA101</v>
      </c>
      <c r="G280" s="43" t="str">
        <f t="shared" si="4"/>
        <v>NA</v>
      </c>
      <c r="H280" s="17" t="str">
        <f t="shared" si="5"/>
        <v>BCA101-NA</v>
      </c>
      <c r="J280" t="str">
        <f t="shared" si="6"/>
        <v>collected</v>
      </c>
      <c r="K280" t="str">
        <f t="shared" si="7"/>
        <v>N</v>
      </c>
    </row>
    <row r="281">
      <c r="A281" s="44" t="s">
        <v>559</v>
      </c>
      <c r="B281" s="10" t="str">
        <f t="shared" si="1"/>
        <v>fish</v>
      </c>
      <c r="C281" s="63" t="str">
        <f t="shared" si="2"/>
        <v>U5415</v>
      </c>
      <c r="D281" s="11" t="str">
        <f t="array" ref="D281">iferror(index(fish_lab_data!D:D,match(A281,fish_lab_data!C:C,0)))</f>
        <v>JP470</v>
      </c>
      <c r="E281" s="6">
        <v>101.0</v>
      </c>
      <c r="F281" s="17" t="str">
        <f t="shared" si="3"/>
        <v>BCA101</v>
      </c>
      <c r="G281" s="43" t="str">
        <f t="shared" si="4"/>
        <v>NA</v>
      </c>
      <c r="H281" s="17" t="str">
        <f t="shared" si="5"/>
        <v>BCA101-NA</v>
      </c>
      <c r="J281" t="str">
        <f t="shared" si="6"/>
        <v>collected</v>
      </c>
      <c r="K281" t="str">
        <f t="shared" si="7"/>
        <v>N</v>
      </c>
    </row>
    <row r="282">
      <c r="A282" s="44" t="s">
        <v>561</v>
      </c>
      <c r="B282" s="10" t="str">
        <f t="shared" si="1"/>
        <v>fish</v>
      </c>
      <c r="C282" s="63" t="str">
        <f t="shared" si="2"/>
        <v>U5416</v>
      </c>
      <c r="D282" s="11" t="str">
        <f t="array" ref="D282">iferror(index(fish_lab_data!D:D,match(A282,fish_lab_data!C:C,0)))</f>
        <v>JP470</v>
      </c>
      <c r="E282" s="6">
        <v>101.0</v>
      </c>
      <c r="F282" s="17" t="str">
        <f t="shared" si="3"/>
        <v>BCA101</v>
      </c>
      <c r="G282" s="43" t="str">
        <f t="shared" si="4"/>
        <v>NA</v>
      </c>
      <c r="H282" s="17" t="str">
        <f t="shared" si="5"/>
        <v>BCA101-NA</v>
      </c>
      <c r="J282" t="str">
        <f t="shared" si="6"/>
        <v>collected</v>
      </c>
      <c r="K282" t="str">
        <f t="shared" si="7"/>
        <v>N</v>
      </c>
    </row>
    <row r="283">
      <c r="A283" s="44" t="s">
        <v>562</v>
      </c>
      <c r="B283" s="10" t="str">
        <f t="shared" si="1"/>
        <v>fish</v>
      </c>
      <c r="C283" s="63" t="str">
        <f t="shared" si="2"/>
        <v>U5417</v>
      </c>
      <c r="D283" s="11" t="str">
        <f t="array" ref="D283">iferror(index(fish_lab_data!D:D,match(A283,fish_lab_data!C:C,0)))</f>
        <v>JP411</v>
      </c>
      <c r="E283" s="6">
        <v>102.0</v>
      </c>
      <c r="F283" s="17" t="str">
        <f t="shared" si="3"/>
        <v>BCA102</v>
      </c>
      <c r="G283" s="43" t="str">
        <f t="shared" si="4"/>
        <v>NA</v>
      </c>
      <c r="H283" s="17" t="str">
        <f t="shared" si="5"/>
        <v>BCA102-NA</v>
      </c>
      <c r="J283" t="str">
        <f t="shared" si="6"/>
        <v>collected</v>
      </c>
      <c r="K283" t="str">
        <f t="shared" si="7"/>
        <v>N</v>
      </c>
    </row>
    <row r="284">
      <c r="A284" s="44" t="s">
        <v>564</v>
      </c>
      <c r="B284" s="10" t="str">
        <f t="shared" si="1"/>
        <v>fish</v>
      </c>
      <c r="C284" s="63" t="str">
        <f t="shared" si="2"/>
        <v>U5418</v>
      </c>
      <c r="D284" s="11" t="str">
        <f t="array" ref="D284">iferror(index(fish_lab_data!D:D,match(A284,fish_lab_data!C:C,0)))</f>
        <v>JP411</v>
      </c>
      <c r="E284" s="6">
        <v>102.0</v>
      </c>
      <c r="F284" s="17" t="str">
        <f t="shared" si="3"/>
        <v>BCA102</v>
      </c>
      <c r="G284" s="43" t="str">
        <f t="shared" si="4"/>
        <v>NA</v>
      </c>
      <c r="H284" s="17" t="str">
        <f t="shared" si="5"/>
        <v>BCA102-NA</v>
      </c>
      <c r="J284" t="str">
        <f t="shared" si="6"/>
        <v>collected</v>
      </c>
      <c r="K284" t="str">
        <f t="shared" si="7"/>
        <v>N</v>
      </c>
    </row>
    <row r="285">
      <c r="A285" s="44" t="s">
        <v>566</v>
      </c>
      <c r="B285" s="10" t="str">
        <f t="shared" si="1"/>
        <v>fish</v>
      </c>
      <c r="C285" s="63" t="str">
        <f t="shared" si="2"/>
        <v>U5419</v>
      </c>
      <c r="D285" s="11" t="str">
        <f t="array" ref="D285">iferror(index(fish_lab_data!D:D,match(A285,fish_lab_data!C:C,0)))</f>
        <v>JP411</v>
      </c>
      <c r="E285" s="6">
        <v>102.0</v>
      </c>
      <c r="F285" s="17" t="str">
        <f t="shared" si="3"/>
        <v>BCA102</v>
      </c>
      <c r="G285" s="43" t="str">
        <f t="shared" si="4"/>
        <v>NA</v>
      </c>
      <c r="H285" s="17" t="str">
        <f t="shared" si="5"/>
        <v>BCA102-NA</v>
      </c>
      <c r="J285" t="str">
        <f t="shared" si="6"/>
        <v>collected</v>
      </c>
      <c r="K285" t="str">
        <f t="shared" si="7"/>
        <v>N</v>
      </c>
    </row>
    <row r="286">
      <c r="A286" s="44" t="s">
        <v>567</v>
      </c>
      <c r="B286" s="10" t="str">
        <f t="shared" si="1"/>
        <v>fish</v>
      </c>
      <c r="C286" s="63" t="str">
        <f t="shared" si="2"/>
        <v>U5420</v>
      </c>
      <c r="D286" s="11" t="str">
        <f t="array" ref="D286">iferror(index(fish_lab_data!D:D,match(A286,fish_lab_data!C:C,0)))</f>
        <v>JP411</v>
      </c>
      <c r="E286" s="6">
        <v>102.0</v>
      </c>
      <c r="F286" s="17" t="str">
        <f t="shared" si="3"/>
        <v>BCA102</v>
      </c>
      <c r="G286" s="43" t="str">
        <f t="shared" si="4"/>
        <v>NA</v>
      </c>
      <c r="H286" s="17" t="str">
        <f t="shared" si="5"/>
        <v>BCA102-NA</v>
      </c>
      <c r="J286" t="str">
        <f t="shared" si="6"/>
        <v>collected</v>
      </c>
      <c r="K286" t="str">
        <f t="shared" si="7"/>
        <v>N</v>
      </c>
    </row>
    <row r="287">
      <c r="A287" s="44" t="s">
        <v>569</v>
      </c>
      <c r="B287" s="10" t="str">
        <f t="shared" si="1"/>
        <v>fish</v>
      </c>
      <c r="C287" s="63" t="str">
        <f t="shared" si="2"/>
        <v>U5421</v>
      </c>
      <c r="D287" s="11" t="str">
        <f t="array" ref="D287">iferror(index(fish_lab_data!D:D,match(A287,fish_lab_data!C:C,0)))</f>
        <v>JP411</v>
      </c>
      <c r="E287" s="6">
        <v>102.0</v>
      </c>
      <c r="F287" s="17" t="str">
        <f t="shared" si="3"/>
        <v>BCA102</v>
      </c>
      <c r="G287" s="43" t="str">
        <f t="shared" si="4"/>
        <v>NA</v>
      </c>
      <c r="H287" s="17" t="str">
        <f t="shared" si="5"/>
        <v>BCA102-NA</v>
      </c>
      <c r="J287" t="str">
        <f t="shared" si="6"/>
        <v>collected</v>
      </c>
      <c r="K287" t="str">
        <f t="shared" si="7"/>
        <v>N</v>
      </c>
    </row>
    <row r="288">
      <c r="A288" s="26" t="s">
        <v>570</v>
      </c>
      <c r="B288" s="10" t="str">
        <f t="shared" si="1"/>
        <v>fish</v>
      </c>
      <c r="C288" s="63" t="str">
        <f t="shared" si="2"/>
        <v>U5389</v>
      </c>
      <c r="D288" s="11" t="str">
        <f t="array" ref="D288">iferror(index(fish_lab_data!D:D,match(A288,fish_lab_data!C:C,0)))</f>
        <v>DP727</v>
      </c>
      <c r="E288" s="6">
        <v>101.0</v>
      </c>
      <c r="F288" s="17" t="str">
        <f t="shared" si="3"/>
        <v>BCA101</v>
      </c>
      <c r="G288" s="43" t="str">
        <f t="shared" si="4"/>
        <v>NA</v>
      </c>
      <c r="H288" s="17" t="str">
        <f t="shared" si="5"/>
        <v>BCA101-NA</v>
      </c>
      <c r="J288" t="str">
        <f t="shared" si="6"/>
        <v>collected</v>
      </c>
      <c r="K288" t="str">
        <f t="shared" si="7"/>
        <v>N</v>
      </c>
    </row>
    <row r="289">
      <c r="A289" s="26" t="s">
        <v>571</v>
      </c>
      <c r="B289" s="10" t="str">
        <f t="shared" si="1"/>
        <v>fish</v>
      </c>
      <c r="C289" s="63" t="str">
        <f t="shared" si="2"/>
        <v>U5390</v>
      </c>
      <c r="D289" s="11" t="str">
        <f t="array" ref="D289">iferror(index(fish_lab_data!D:D,match(A289,fish_lab_data!C:C,0)))</f>
        <v>DP728</v>
      </c>
      <c r="E289" s="6">
        <v>101.0</v>
      </c>
      <c r="F289" s="17" t="str">
        <f t="shared" si="3"/>
        <v>BCA101</v>
      </c>
      <c r="G289" s="43" t="str">
        <f t="shared" si="4"/>
        <v>NA</v>
      </c>
      <c r="H289" s="17" t="str">
        <f t="shared" si="5"/>
        <v>BCA101-NA</v>
      </c>
      <c r="J289" t="str">
        <f t="shared" si="6"/>
        <v>collected</v>
      </c>
      <c r="K289" t="str">
        <f t="shared" si="7"/>
        <v>N</v>
      </c>
    </row>
    <row r="290">
      <c r="A290" s="26" t="s">
        <v>574</v>
      </c>
      <c r="B290" s="10" t="str">
        <f t="shared" si="1"/>
        <v>fish</v>
      </c>
      <c r="C290" s="63" t="str">
        <f t="shared" si="2"/>
        <v>U5391</v>
      </c>
      <c r="D290" s="11" t="str">
        <f t="array" ref="D290">iferror(index(fish_lab_data!D:D,match(A290,fish_lab_data!C:C,0)))</f>
        <v>DP729</v>
      </c>
      <c r="E290" s="6">
        <v>101.0</v>
      </c>
      <c r="F290" s="17" t="str">
        <f t="shared" si="3"/>
        <v>BCA101</v>
      </c>
      <c r="G290" s="43" t="str">
        <f t="shared" si="4"/>
        <v>NA</v>
      </c>
      <c r="H290" s="17" t="str">
        <f t="shared" si="5"/>
        <v>BCA101-NA</v>
      </c>
      <c r="J290" t="str">
        <f t="shared" si="6"/>
        <v>collected</v>
      </c>
      <c r="K290" t="str">
        <f t="shared" si="7"/>
        <v>N</v>
      </c>
    </row>
    <row r="291">
      <c r="A291" s="26" t="s">
        <v>575</v>
      </c>
      <c r="B291" s="10" t="str">
        <f t="shared" si="1"/>
        <v>fish</v>
      </c>
      <c r="C291" s="63" t="str">
        <f t="shared" si="2"/>
        <v>U5392</v>
      </c>
      <c r="D291" s="11" t="str">
        <f t="array" ref="D291">iferror(index(fish_lab_data!D:D,match(A291,fish_lab_data!C:C,0)))</f>
        <v>DP730</v>
      </c>
      <c r="E291" s="6">
        <v>101.0</v>
      </c>
      <c r="F291" s="17" t="str">
        <f t="shared" si="3"/>
        <v>BCA101</v>
      </c>
      <c r="G291" s="43" t="str">
        <f t="shared" si="4"/>
        <v>NA</v>
      </c>
      <c r="H291" s="17" t="str">
        <f t="shared" si="5"/>
        <v>BCA101-NA</v>
      </c>
      <c r="J291" t="str">
        <f t="shared" si="6"/>
        <v>collected</v>
      </c>
      <c r="K291" t="str">
        <f t="shared" si="7"/>
        <v>N</v>
      </c>
    </row>
    <row r="292">
      <c r="A292" s="27" t="s">
        <v>577</v>
      </c>
      <c r="B292" s="10" t="str">
        <f t="shared" si="1"/>
        <v>fish</v>
      </c>
      <c r="C292" s="63" t="str">
        <f t="shared" si="2"/>
        <v>U5393</v>
      </c>
      <c r="D292" s="11" t="str">
        <f t="array" ref="D292">iferror(index(fish_lab_data!D:D,match(A292,fish_lab_data!C:C,0)))</f>
        <v>DP731</v>
      </c>
      <c r="E292" s="6">
        <v>101.0</v>
      </c>
      <c r="F292" s="17" t="str">
        <f t="shared" si="3"/>
        <v>BCA101</v>
      </c>
      <c r="G292" s="43" t="str">
        <f t="shared" si="4"/>
        <v>NA</v>
      </c>
      <c r="H292" s="17" t="str">
        <f t="shared" si="5"/>
        <v>BCA101-NA</v>
      </c>
      <c r="J292" t="str">
        <f t="shared" si="6"/>
        <v>collected</v>
      </c>
      <c r="K292" t="str">
        <f t="shared" si="7"/>
        <v>N</v>
      </c>
    </row>
    <row r="293">
      <c r="A293" s="27" t="s">
        <v>578</v>
      </c>
      <c r="B293" s="10" t="str">
        <f t="shared" si="1"/>
        <v>fish</v>
      </c>
      <c r="C293" s="63" t="str">
        <f t="shared" si="2"/>
        <v>U5394</v>
      </c>
      <c r="D293" s="11" t="str">
        <f t="array" ref="D293">iferror(index(fish_lab_data!D:D,match(A293,fish_lab_data!C:C,0)))</f>
        <v>DP732</v>
      </c>
      <c r="E293" s="6">
        <v>101.0</v>
      </c>
      <c r="F293" s="17" t="str">
        <f t="shared" si="3"/>
        <v>BCA101</v>
      </c>
      <c r="G293" s="43" t="str">
        <f t="shared" si="4"/>
        <v>NA</v>
      </c>
      <c r="H293" s="17" t="str">
        <f t="shared" si="5"/>
        <v>BCA101-NA</v>
      </c>
      <c r="J293" t="str">
        <f t="shared" si="6"/>
        <v>collected</v>
      </c>
      <c r="K293" t="str">
        <f t="shared" si="7"/>
        <v>N</v>
      </c>
    </row>
    <row r="294">
      <c r="A294" s="27" t="s">
        <v>580</v>
      </c>
      <c r="B294" s="10" t="str">
        <f t="shared" si="1"/>
        <v>fish</v>
      </c>
      <c r="C294" s="63" t="str">
        <f t="shared" si="2"/>
        <v>U5395</v>
      </c>
      <c r="D294" s="11" t="str">
        <f t="array" ref="D294">iferror(index(fish_lab_data!D:D,match(A294,fish_lab_data!C:C,0)))</f>
        <v>JP471</v>
      </c>
      <c r="E294" s="6">
        <v>102.0</v>
      </c>
      <c r="F294" s="17" t="str">
        <f t="shared" si="3"/>
        <v>BCA102</v>
      </c>
      <c r="G294" s="43" t="str">
        <f t="shared" si="4"/>
        <v>NA</v>
      </c>
      <c r="H294" s="17" t="str">
        <f t="shared" si="5"/>
        <v>BCA102-NA</v>
      </c>
      <c r="J294" t="str">
        <f t="shared" si="6"/>
        <v>collected</v>
      </c>
      <c r="K294" t="str">
        <f t="shared" si="7"/>
        <v>N</v>
      </c>
    </row>
    <row r="295">
      <c r="A295" s="27" t="s">
        <v>581</v>
      </c>
      <c r="B295" s="10" t="str">
        <f t="shared" si="1"/>
        <v>fish</v>
      </c>
      <c r="C295" s="63" t="str">
        <f t="shared" si="2"/>
        <v>U5396</v>
      </c>
      <c r="D295" s="11" t="str">
        <f t="array" ref="D295">iferror(index(fish_lab_data!D:D,match(A295,fish_lab_data!C:C,0)))</f>
        <v>JP472</v>
      </c>
      <c r="E295" s="6">
        <v>102.0</v>
      </c>
      <c r="F295" s="17" t="str">
        <f t="shared" si="3"/>
        <v>BCA102</v>
      </c>
      <c r="G295" s="43" t="str">
        <f t="shared" si="4"/>
        <v>NA</v>
      </c>
      <c r="H295" s="17" t="str">
        <f t="shared" si="5"/>
        <v>BCA102-NA</v>
      </c>
      <c r="J295" t="str">
        <f t="shared" si="6"/>
        <v>collected</v>
      </c>
      <c r="K295" t="str">
        <f t="shared" si="7"/>
        <v>N</v>
      </c>
    </row>
    <row r="296">
      <c r="A296" s="27" t="s">
        <v>583</v>
      </c>
      <c r="B296" s="10" t="str">
        <f t="shared" si="1"/>
        <v>fish</v>
      </c>
      <c r="C296" s="63" t="str">
        <f t="shared" si="2"/>
        <v>U5397</v>
      </c>
      <c r="D296" s="11" t="str">
        <f t="array" ref="D296">iferror(index(fish_lab_data!D:D,match(A296,fish_lab_data!C:C,0)))</f>
        <v>JP473</v>
      </c>
      <c r="E296" s="6">
        <v>102.0</v>
      </c>
      <c r="F296" s="17" t="str">
        <f t="shared" si="3"/>
        <v>BCA102</v>
      </c>
      <c r="G296" s="43" t="str">
        <f t="shared" si="4"/>
        <v>NA</v>
      </c>
      <c r="H296" s="17" t="str">
        <f t="shared" si="5"/>
        <v>BCA102-NA</v>
      </c>
      <c r="J296" t="str">
        <f t="shared" si="6"/>
        <v>collected</v>
      </c>
      <c r="K296" t="str">
        <f t="shared" si="7"/>
        <v>N</v>
      </c>
    </row>
    <row r="297">
      <c r="A297" s="27" t="s">
        <v>584</v>
      </c>
      <c r="B297" s="10" t="str">
        <f t="shared" si="1"/>
        <v>fish</v>
      </c>
      <c r="C297" s="63" t="str">
        <f t="shared" si="2"/>
        <v>U5398</v>
      </c>
      <c r="D297" s="11" t="str">
        <f t="array" ref="D297">iferror(index(fish_lab_data!D:D,match(A297,fish_lab_data!C:C,0)))</f>
        <v>JP474</v>
      </c>
      <c r="E297" s="6">
        <v>102.0</v>
      </c>
      <c r="F297" s="17" t="str">
        <f t="shared" si="3"/>
        <v>BCA102</v>
      </c>
      <c r="G297" s="43" t="str">
        <f t="shared" si="4"/>
        <v>NA</v>
      </c>
      <c r="H297" s="17" t="str">
        <f t="shared" si="5"/>
        <v>BCA102-NA</v>
      </c>
      <c r="J297" t="str">
        <f t="shared" si="6"/>
        <v>collected</v>
      </c>
      <c r="K297" t="str">
        <f t="shared" si="7"/>
        <v>N</v>
      </c>
    </row>
    <row r="298">
      <c r="A298" s="27" t="s">
        <v>585</v>
      </c>
      <c r="B298" s="10" t="str">
        <f t="shared" si="1"/>
        <v>fish</v>
      </c>
      <c r="C298" s="63" t="str">
        <f t="shared" si="2"/>
        <v>U5399</v>
      </c>
      <c r="D298" s="11" t="str">
        <f t="array" ref="D298">iferror(index(fish_lab_data!D:D,match(A298,fish_lab_data!C:C,0)))</f>
        <v>JP475</v>
      </c>
      <c r="E298" s="6">
        <v>102.0</v>
      </c>
      <c r="F298" s="17" t="str">
        <f t="shared" si="3"/>
        <v>BCA102</v>
      </c>
      <c r="G298" s="43" t="str">
        <f t="shared" si="4"/>
        <v>NA</v>
      </c>
      <c r="H298" s="17" t="str">
        <f t="shared" si="5"/>
        <v>BCA102-NA</v>
      </c>
      <c r="J298" t="str">
        <f t="shared" si="6"/>
        <v>collected</v>
      </c>
      <c r="K298" t="str">
        <f t="shared" si="7"/>
        <v>N</v>
      </c>
    </row>
    <row r="299">
      <c r="A299" s="27" t="s">
        <v>588</v>
      </c>
      <c r="B299" s="10" t="str">
        <f t="shared" si="1"/>
        <v>fish</v>
      </c>
      <c r="C299" s="63" t="str">
        <f t="shared" si="2"/>
        <v>U5400</v>
      </c>
      <c r="D299" s="11" t="str">
        <f t="array" ref="D299">iferror(index(fish_lab_data!D:D,match(A299,fish_lab_data!C:C,0)))</f>
        <v>JP476</v>
      </c>
      <c r="E299" s="6">
        <v>102.0</v>
      </c>
      <c r="F299" s="17" t="str">
        <f t="shared" si="3"/>
        <v>BCA102</v>
      </c>
      <c r="G299" s="43" t="str">
        <f t="shared" si="4"/>
        <v>NA</v>
      </c>
      <c r="H299" s="17" t="str">
        <f t="shared" si="5"/>
        <v>BCA102-NA</v>
      </c>
      <c r="J299" t="str">
        <f t="shared" si="6"/>
        <v>collected</v>
      </c>
      <c r="K299" t="str">
        <f t="shared" si="7"/>
        <v>N</v>
      </c>
    </row>
    <row r="300">
      <c r="A300" s="27" t="s">
        <v>590</v>
      </c>
      <c r="B300" s="10" t="str">
        <f t="shared" si="1"/>
        <v>fish</v>
      </c>
      <c r="C300" s="63" t="str">
        <f t="shared" si="2"/>
        <v>U5401</v>
      </c>
      <c r="D300" s="11" t="str">
        <f t="array" ref="D300">iferror(index(fish_lab_data!D:D,match(A300,fish_lab_data!C:C,0)))</f>
        <v>JP477</v>
      </c>
      <c r="E300" s="6">
        <v>102.0</v>
      </c>
      <c r="F300" s="17" t="str">
        <f t="shared" si="3"/>
        <v>BCA102</v>
      </c>
      <c r="G300" s="43" t="str">
        <f t="shared" si="4"/>
        <v>NA</v>
      </c>
      <c r="H300" s="17" t="str">
        <f t="shared" si="5"/>
        <v>BCA102-NA</v>
      </c>
      <c r="J300" t="str">
        <f t="shared" si="6"/>
        <v>collected</v>
      </c>
      <c r="K300" t="str">
        <f t="shared" si="7"/>
        <v>N</v>
      </c>
    </row>
    <row r="301">
      <c r="A301" s="27" t="s">
        <v>591</v>
      </c>
      <c r="B301" s="10" t="str">
        <f t="shared" si="1"/>
        <v>fish</v>
      </c>
      <c r="C301" s="63" t="str">
        <f t="shared" si="2"/>
        <v>U5402</v>
      </c>
      <c r="D301" s="11" t="str">
        <f t="array" ref="D301">iferror(index(fish_lab_data!D:D,match(A301,fish_lab_data!C:C,0)))</f>
        <v>JP478</v>
      </c>
      <c r="E301" s="6">
        <v>102.0</v>
      </c>
      <c r="F301" s="17" t="str">
        <f t="shared" si="3"/>
        <v>BCA102</v>
      </c>
      <c r="G301" s="43" t="str">
        <f t="shared" si="4"/>
        <v>NA</v>
      </c>
      <c r="H301" s="17" t="str">
        <f t="shared" si="5"/>
        <v>BCA102-NA</v>
      </c>
      <c r="J301" t="str">
        <f t="shared" si="6"/>
        <v>collected</v>
      </c>
      <c r="K301" t="str">
        <f t="shared" si="7"/>
        <v>N</v>
      </c>
    </row>
    <row r="302">
      <c r="A302" s="27" t="s">
        <v>592</v>
      </c>
      <c r="B302" s="10" t="str">
        <f t="shared" si="1"/>
        <v>fish</v>
      </c>
      <c r="C302" s="63" t="str">
        <f t="shared" si="2"/>
        <v>U5403</v>
      </c>
      <c r="D302" s="11" t="str">
        <f t="array" ref="D302">iferror(index(fish_lab_data!D:D,match(A302,fish_lab_data!C:C,0)))</f>
        <v>JP479</v>
      </c>
      <c r="E302" s="6">
        <v>102.0</v>
      </c>
      <c r="F302" s="17" t="str">
        <f t="shared" si="3"/>
        <v>BCA102</v>
      </c>
      <c r="G302" s="43" t="str">
        <f t="shared" si="4"/>
        <v>NA</v>
      </c>
      <c r="H302" s="17" t="str">
        <f t="shared" si="5"/>
        <v>BCA102-NA</v>
      </c>
      <c r="J302" t="str">
        <f t="shared" si="6"/>
        <v>collected</v>
      </c>
      <c r="K302" t="str">
        <f t="shared" si="7"/>
        <v>N</v>
      </c>
    </row>
    <row r="303">
      <c r="A303" s="27" t="s">
        <v>593</v>
      </c>
      <c r="B303" s="10" t="str">
        <f t="shared" si="1"/>
        <v>fish</v>
      </c>
      <c r="C303" s="63" t="str">
        <f t="shared" si="2"/>
        <v>U5404</v>
      </c>
      <c r="D303" s="11" t="str">
        <f t="array" ref="D303">iferror(index(fish_lab_data!D:D,match(A303,fish_lab_data!C:C,0)))</f>
        <v>JP480</v>
      </c>
      <c r="E303" s="6">
        <v>102.0</v>
      </c>
      <c r="F303" s="17" t="str">
        <f t="shared" si="3"/>
        <v>BCA102</v>
      </c>
      <c r="G303" s="43" t="str">
        <f t="shared" si="4"/>
        <v>NA</v>
      </c>
      <c r="H303" s="17" t="str">
        <f t="shared" si="5"/>
        <v>BCA102-NA</v>
      </c>
      <c r="J303" t="str">
        <f t="shared" si="6"/>
        <v>collected</v>
      </c>
      <c r="K303" t="str">
        <f t="shared" si="7"/>
        <v>N</v>
      </c>
    </row>
    <row r="304">
      <c r="A304" s="27" t="s">
        <v>595</v>
      </c>
      <c r="B304" s="10" t="str">
        <f t="shared" si="1"/>
        <v>fish</v>
      </c>
      <c r="C304" s="63" t="str">
        <f t="shared" si="2"/>
        <v>U5405</v>
      </c>
      <c r="D304" s="11" t="s">
        <v>1496</v>
      </c>
      <c r="E304" s="6">
        <v>102.0</v>
      </c>
      <c r="F304" s="17" t="str">
        <f t="shared" si="3"/>
        <v>BCA102</v>
      </c>
      <c r="G304" s="43" t="str">
        <f t="shared" si="4"/>
        <v>NA</v>
      </c>
      <c r="H304" s="17" t="str">
        <f t="shared" si="5"/>
        <v>BCA102-NA</v>
      </c>
      <c r="J304" t="str">
        <f t="shared" si="6"/>
        <v>collected</v>
      </c>
      <c r="K304" t="str">
        <f t="shared" si="7"/>
        <v>N</v>
      </c>
    </row>
    <row r="305">
      <c r="A305" s="28" t="s">
        <v>596</v>
      </c>
      <c r="B305" s="10" t="str">
        <f t="shared" si="1"/>
        <v>fish</v>
      </c>
      <c r="C305" s="63" t="str">
        <f t="shared" si="2"/>
        <v>U5315</v>
      </c>
      <c r="D305" s="11" t="str">
        <f t="array" ref="D305">iferror(index(fish_lab_data!D:D,match(A305,fish_lab_data!C:C,0)))</f>
        <v>DP726</v>
      </c>
      <c r="E305" s="6">
        <v>102.0</v>
      </c>
      <c r="F305" s="17" t="str">
        <f t="shared" si="3"/>
        <v>BCA102</v>
      </c>
      <c r="G305" s="43" t="str">
        <f t="shared" si="4"/>
        <v>NA</v>
      </c>
      <c r="H305" s="17" t="str">
        <f t="shared" si="5"/>
        <v>BCA102-NA</v>
      </c>
      <c r="J305" t="str">
        <f t="shared" si="6"/>
        <v>collected</v>
      </c>
      <c r="K305" t="str">
        <f t="shared" si="7"/>
        <v>N</v>
      </c>
    </row>
    <row r="306">
      <c r="A306" s="28" t="s">
        <v>597</v>
      </c>
      <c r="B306" s="10" t="str">
        <f t="shared" si="1"/>
        <v>fish</v>
      </c>
      <c r="C306" s="63" t="str">
        <f t="shared" si="2"/>
        <v>U5316</v>
      </c>
      <c r="D306" s="11" t="str">
        <f t="array" ref="D306">iferror(index(fish_lab_data!D:D,match(A306,fish_lab_data!C:C,0)))</f>
        <v>DP726</v>
      </c>
      <c r="E306" s="6">
        <v>102.0</v>
      </c>
      <c r="F306" s="17" t="str">
        <f t="shared" si="3"/>
        <v>BCA102</v>
      </c>
      <c r="G306" s="43" t="str">
        <f t="shared" si="4"/>
        <v>NA</v>
      </c>
      <c r="H306" s="17" t="str">
        <f t="shared" si="5"/>
        <v>BCA102-NA</v>
      </c>
      <c r="J306" t="str">
        <f t="shared" si="6"/>
        <v>collected</v>
      </c>
      <c r="K306" t="str">
        <f t="shared" si="7"/>
        <v>N</v>
      </c>
    </row>
    <row r="307">
      <c r="A307" s="29" t="s">
        <v>598</v>
      </c>
      <c r="B307" s="10" t="str">
        <f t="shared" si="1"/>
        <v>fish</v>
      </c>
      <c r="C307" s="63" t="str">
        <f t="shared" si="2"/>
        <v>U5317</v>
      </c>
      <c r="D307" s="11" t="str">
        <f t="array" ref="D307">iferror(index(fish_lab_data!D:D,match(A307,fish_lab_data!C:C,0)))</f>
        <v>DP726</v>
      </c>
      <c r="E307" s="6">
        <v>102.0</v>
      </c>
      <c r="F307" s="17" t="str">
        <f t="shared" si="3"/>
        <v>BCA102</v>
      </c>
      <c r="G307" s="43" t="str">
        <f t="shared" si="4"/>
        <v>NA</v>
      </c>
      <c r="H307" s="17" t="str">
        <f t="shared" si="5"/>
        <v>BCA102-NA</v>
      </c>
      <c r="J307" t="str">
        <f t="shared" si="6"/>
        <v>collected</v>
      </c>
      <c r="K307" t="str">
        <f t="shared" si="7"/>
        <v>N</v>
      </c>
    </row>
    <row r="308">
      <c r="A308" s="29" t="s">
        <v>600</v>
      </c>
      <c r="B308" s="10" t="str">
        <f t="shared" si="1"/>
        <v>fish</v>
      </c>
      <c r="C308" s="63" t="str">
        <f t="shared" si="2"/>
        <v>U5318</v>
      </c>
      <c r="D308" s="11" t="str">
        <f t="array" ref="D308">iferror(index(fish_lab_data!D:D,match(A308,fish_lab_data!C:C,0)))</f>
        <v>DP726</v>
      </c>
      <c r="E308" s="6">
        <v>102.0</v>
      </c>
      <c r="F308" s="17" t="str">
        <f t="shared" si="3"/>
        <v>BCA102</v>
      </c>
      <c r="G308" s="43" t="str">
        <f t="shared" si="4"/>
        <v>NA</v>
      </c>
      <c r="H308" s="17" t="str">
        <f t="shared" si="5"/>
        <v>BCA102-NA</v>
      </c>
      <c r="J308" t="str">
        <f t="shared" si="6"/>
        <v>collected</v>
      </c>
      <c r="K308" t="str">
        <f t="shared" si="7"/>
        <v>N</v>
      </c>
    </row>
    <row r="309">
      <c r="A309" s="29" t="s">
        <v>601</v>
      </c>
      <c r="B309" s="10" t="str">
        <f t="shared" si="1"/>
        <v>fish</v>
      </c>
      <c r="C309" s="63" t="str">
        <f t="shared" si="2"/>
        <v>U5319</v>
      </c>
      <c r="D309" s="11" t="str">
        <f t="array" ref="D309">iferror(index(fish_lab_data!D:D,match(A309,fish_lab_data!C:C,0)))</f>
        <v>DP726</v>
      </c>
      <c r="E309" s="6">
        <v>102.0</v>
      </c>
      <c r="F309" s="17" t="str">
        <f t="shared" si="3"/>
        <v>BCA102</v>
      </c>
      <c r="G309" s="43" t="str">
        <f t="shared" si="4"/>
        <v>NA</v>
      </c>
      <c r="H309" s="17" t="str">
        <f t="shared" si="5"/>
        <v>BCA102-NA</v>
      </c>
      <c r="J309" t="str">
        <f t="shared" si="6"/>
        <v>collected</v>
      </c>
      <c r="K309" t="str">
        <f t="shared" si="7"/>
        <v>N</v>
      </c>
    </row>
    <row r="310">
      <c r="A310" s="29" t="s">
        <v>603</v>
      </c>
      <c r="B310" s="10" t="str">
        <f t="shared" si="1"/>
        <v>fish</v>
      </c>
      <c r="C310" s="63" t="str">
        <f t="shared" si="2"/>
        <v>U5320</v>
      </c>
      <c r="D310" s="11" t="str">
        <f t="array" ref="D310">iferror(index(fish_lab_data!D:D,match(A310,fish_lab_data!C:C,0)))</f>
        <v>DP726</v>
      </c>
      <c r="E310" s="6">
        <v>102.0</v>
      </c>
      <c r="F310" s="17" t="str">
        <f t="shared" si="3"/>
        <v>BCA102</v>
      </c>
      <c r="G310" s="43" t="str">
        <f t="shared" si="4"/>
        <v>NA</v>
      </c>
      <c r="H310" s="17" t="str">
        <f t="shared" si="5"/>
        <v>BCA102-NA</v>
      </c>
      <c r="J310" t="str">
        <f t="shared" si="6"/>
        <v>collected</v>
      </c>
      <c r="K310" t="str">
        <f t="shared" si="7"/>
        <v>N</v>
      </c>
    </row>
    <row r="311">
      <c r="A311" s="29" t="s">
        <v>604</v>
      </c>
      <c r="B311" s="10" t="str">
        <f t="shared" si="1"/>
        <v>fish</v>
      </c>
      <c r="C311" s="63" t="str">
        <f t="shared" si="2"/>
        <v>U5321</v>
      </c>
      <c r="D311" s="11" t="str">
        <f t="array" ref="D311">iferror(index(fish_lab_data!D:D,match(A311,fish_lab_data!C:C,0)))</f>
        <v>DP726</v>
      </c>
      <c r="E311" s="6">
        <v>102.0</v>
      </c>
      <c r="F311" s="17" t="str">
        <f t="shared" si="3"/>
        <v>BCA102</v>
      </c>
      <c r="G311" s="43" t="str">
        <f t="shared" si="4"/>
        <v>NA</v>
      </c>
      <c r="H311" s="17" t="str">
        <f t="shared" si="5"/>
        <v>BCA102-NA</v>
      </c>
      <c r="J311" t="str">
        <f t="shared" si="6"/>
        <v>collected</v>
      </c>
      <c r="K311" t="str">
        <f t="shared" si="7"/>
        <v>N</v>
      </c>
    </row>
    <row r="312">
      <c r="A312" s="27" t="s">
        <v>606</v>
      </c>
      <c r="B312" s="10" t="str">
        <f t="shared" si="1"/>
        <v>fish</v>
      </c>
      <c r="C312" s="63" t="str">
        <f t="shared" si="2"/>
        <v>U5406</v>
      </c>
      <c r="D312" s="11" t="str">
        <f t="array" ref="D312">iferror(index(fish_lab_data!D:D,match(A312,fish_lab_data!C:C,0)))</f>
        <v>DP728</v>
      </c>
      <c r="E312" s="6">
        <v>102.0</v>
      </c>
      <c r="F312" s="17" t="str">
        <f t="shared" si="3"/>
        <v>BCA102</v>
      </c>
      <c r="G312" s="43" t="str">
        <f t="shared" si="4"/>
        <v>NA</v>
      </c>
      <c r="H312" s="17" t="str">
        <f t="shared" si="5"/>
        <v>BCA102-NA</v>
      </c>
      <c r="J312" t="str">
        <f t="shared" si="6"/>
        <v>collected</v>
      </c>
      <c r="K312" t="str">
        <f t="shared" si="7"/>
        <v>N</v>
      </c>
    </row>
    <row r="313">
      <c r="A313" s="27" t="s">
        <v>607</v>
      </c>
      <c r="B313" s="10" t="str">
        <f t="shared" si="1"/>
        <v>fish</v>
      </c>
      <c r="C313" s="63" t="str">
        <f t="shared" si="2"/>
        <v>U5407</v>
      </c>
      <c r="D313" s="11" t="str">
        <f t="array" ref="D313">iferror(index(fish_lab_data!D:D,match(A313,fish_lab_data!C:C,0)))</f>
        <v>DP728</v>
      </c>
      <c r="E313" s="6">
        <v>102.0</v>
      </c>
      <c r="F313" s="17" t="str">
        <f t="shared" si="3"/>
        <v>BCA102</v>
      </c>
      <c r="G313" s="43" t="str">
        <f t="shared" si="4"/>
        <v>NA</v>
      </c>
      <c r="H313" s="17" t="str">
        <f t="shared" si="5"/>
        <v>BCA102-NA</v>
      </c>
      <c r="J313" t="str">
        <f t="shared" si="6"/>
        <v>collected</v>
      </c>
      <c r="K313" t="str">
        <f t="shared" si="7"/>
        <v>N</v>
      </c>
    </row>
    <row r="314">
      <c r="A314" s="27" t="s">
        <v>608</v>
      </c>
      <c r="B314" s="10" t="str">
        <f t="shared" si="1"/>
        <v>fish</v>
      </c>
      <c r="C314" s="63" t="str">
        <f t="shared" si="2"/>
        <v>U5408</v>
      </c>
      <c r="D314" s="11" t="str">
        <f t="array" ref="D314">iferror(index(fish_lab_data!D:D,match(A314,fish_lab_data!C:C,0)))</f>
        <v>DP728</v>
      </c>
      <c r="E314" s="6">
        <v>102.0</v>
      </c>
      <c r="F314" s="17" t="str">
        <f t="shared" si="3"/>
        <v>BCA102</v>
      </c>
      <c r="G314" s="43" t="str">
        <f t="shared" si="4"/>
        <v>NA</v>
      </c>
      <c r="H314" s="17" t="str">
        <f t="shared" si="5"/>
        <v>BCA102-NA</v>
      </c>
      <c r="J314" t="str">
        <f t="shared" si="6"/>
        <v>collected</v>
      </c>
      <c r="K314" t="str">
        <f t="shared" si="7"/>
        <v>N</v>
      </c>
    </row>
    <row r="315">
      <c r="A315" s="27" t="s">
        <v>610</v>
      </c>
      <c r="B315" s="10" t="str">
        <f t="shared" si="1"/>
        <v>fish</v>
      </c>
      <c r="C315" s="63" t="str">
        <f t="shared" si="2"/>
        <v>U5409</v>
      </c>
      <c r="D315" s="11" t="str">
        <f t="array" ref="D315">iferror(index(fish_lab_data!D:D,match(A315,fish_lab_data!C:C,0)))</f>
        <v>DP728</v>
      </c>
      <c r="E315" s="6">
        <v>102.0</v>
      </c>
      <c r="F315" s="17" t="str">
        <f t="shared" si="3"/>
        <v>BCA102</v>
      </c>
      <c r="G315" s="43" t="str">
        <f t="shared" si="4"/>
        <v>NA</v>
      </c>
      <c r="H315" s="17" t="str">
        <f t="shared" si="5"/>
        <v>BCA102-NA</v>
      </c>
      <c r="J315" t="str">
        <f t="shared" si="6"/>
        <v>collected</v>
      </c>
      <c r="K315" t="str">
        <f t="shared" si="7"/>
        <v>N</v>
      </c>
    </row>
    <row r="316">
      <c r="A316" s="27" t="s">
        <v>611</v>
      </c>
      <c r="B316" s="10" t="str">
        <f t="shared" si="1"/>
        <v>fish</v>
      </c>
      <c r="C316" s="63" t="str">
        <f t="shared" si="2"/>
        <v>U5410</v>
      </c>
      <c r="D316" s="11" t="str">
        <f t="array" ref="D316">iferror(index(fish_lab_data!D:D,match(A316,fish_lab_data!C:C,0)))</f>
        <v>DP728</v>
      </c>
      <c r="E316" s="6">
        <v>102.0</v>
      </c>
      <c r="F316" s="17" t="str">
        <f t="shared" si="3"/>
        <v>BCA102</v>
      </c>
      <c r="G316" s="43" t="str">
        <f t="shared" si="4"/>
        <v>NA</v>
      </c>
      <c r="H316" s="17" t="str">
        <f t="shared" si="5"/>
        <v>BCA102-NA</v>
      </c>
      <c r="J316" t="str">
        <f t="shared" si="6"/>
        <v>collected</v>
      </c>
      <c r="K316" t="str">
        <f t="shared" si="7"/>
        <v>N</v>
      </c>
    </row>
    <row r="317">
      <c r="A317" s="27" t="s">
        <v>613</v>
      </c>
      <c r="B317" s="10" t="str">
        <f t="shared" si="1"/>
        <v>fish</v>
      </c>
      <c r="C317" s="63" t="str">
        <f t="shared" si="2"/>
        <v>U5411</v>
      </c>
      <c r="D317" s="11" t="str">
        <f t="array" ref="D317">iferror(index(fish_lab_data!D:D,match(A317,fish_lab_data!C:C,0)))</f>
        <v>DP728</v>
      </c>
      <c r="E317" s="6">
        <v>102.0</v>
      </c>
      <c r="F317" s="17" t="str">
        <f t="shared" si="3"/>
        <v>BCA102</v>
      </c>
      <c r="G317" s="43" t="str">
        <f t="shared" si="4"/>
        <v>NA</v>
      </c>
      <c r="H317" s="17" t="str">
        <f t="shared" si="5"/>
        <v>BCA102-NA</v>
      </c>
      <c r="J317" t="str">
        <f t="shared" si="6"/>
        <v>collected</v>
      </c>
      <c r="K317" t="str">
        <f t="shared" si="7"/>
        <v>N</v>
      </c>
    </row>
    <row r="318">
      <c r="A318" s="27" t="s">
        <v>614</v>
      </c>
      <c r="B318" s="10" t="str">
        <f t="shared" si="1"/>
        <v>fish</v>
      </c>
      <c r="C318" s="63" t="str">
        <f t="shared" si="2"/>
        <v>U5437</v>
      </c>
      <c r="D318" s="11" t="str">
        <f t="array" ref="D318">iferror(index(fish_lab_data!D:D,match(A318,fish_lab_data!C:C,0)))</f>
        <v>DP728</v>
      </c>
      <c r="E318" s="6">
        <v>102.0</v>
      </c>
      <c r="F318" s="17" t="str">
        <f t="shared" si="3"/>
        <v>BCA102</v>
      </c>
      <c r="G318" s="43" t="str">
        <f t="shared" si="4"/>
        <v>NA</v>
      </c>
      <c r="H318" s="17" t="str">
        <f t="shared" si="5"/>
        <v>BCA102-NA</v>
      </c>
      <c r="J318" t="str">
        <f t="shared" si="6"/>
        <v>collected</v>
      </c>
      <c r="K318" t="str">
        <f t="shared" si="7"/>
        <v>N</v>
      </c>
    </row>
    <row r="319">
      <c r="A319" s="26" t="s">
        <v>615</v>
      </c>
      <c r="B319" s="10" t="str">
        <f t="shared" si="1"/>
        <v>fish</v>
      </c>
      <c r="C319" s="63" t="str">
        <f t="shared" si="2"/>
        <v>U5438</v>
      </c>
      <c r="D319" s="11" t="str">
        <f t="array" ref="D319">iferror(index(fish_lab_data!D:D,match(A319,fish_lab_data!C:C,0)))</f>
        <v>DP728</v>
      </c>
      <c r="E319" s="6">
        <v>102.0</v>
      </c>
      <c r="F319" s="17" t="str">
        <f t="shared" si="3"/>
        <v>BCA102</v>
      </c>
      <c r="G319" s="43" t="str">
        <f t="shared" si="4"/>
        <v>NA</v>
      </c>
      <c r="H319" s="17" t="str">
        <f t="shared" si="5"/>
        <v>BCA102-NA</v>
      </c>
      <c r="J319" t="str">
        <f t="shared" si="6"/>
        <v>collected</v>
      </c>
      <c r="K319" t="str">
        <f t="shared" si="7"/>
        <v>N</v>
      </c>
    </row>
    <row r="320">
      <c r="A320" s="26" t="s">
        <v>618</v>
      </c>
      <c r="B320" s="10" t="str">
        <f t="shared" si="1"/>
        <v>fish</v>
      </c>
      <c r="C320" s="63" t="str">
        <f t="shared" si="2"/>
        <v>U5439</v>
      </c>
      <c r="D320" s="11" t="str">
        <f t="array" ref="D320">iferror(index(fish_lab_data!D:D,match(A320,fish_lab_data!C:C,0)))</f>
        <v>DP728</v>
      </c>
      <c r="E320" s="6">
        <v>102.0</v>
      </c>
      <c r="F320" s="17" t="str">
        <f t="shared" si="3"/>
        <v>BCA102</v>
      </c>
      <c r="G320" s="43" t="str">
        <f t="shared" si="4"/>
        <v>NA</v>
      </c>
      <c r="H320" s="17" t="str">
        <f t="shared" si="5"/>
        <v>BCA102-NA</v>
      </c>
      <c r="J320" t="str">
        <f t="shared" si="6"/>
        <v>collected</v>
      </c>
      <c r="K320" t="str">
        <f t="shared" si="7"/>
        <v>N</v>
      </c>
    </row>
    <row r="321">
      <c r="A321" s="26" t="s">
        <v>619</v>
      </c>
      <c r="B321" s="10" t="str">
        <f t="shared" si="1"/>
        <v>fish</v>
      </c>
      <c r="C321" s="63" t="str">
        <f t="shared" si="2"/>
        <v>U5440</v>
      </c>
      <c r="D321" s="11" t="str">
        <f t="array" ref="D321">iferror(index(fish_lab_data!D:D,match(A321,fish_lab_data!C:C,0)))</f>
        <v>JP473</v>
      </c>
      <c r="E321" s="6">
        <v>102.0</v>
      </c>
      <c r="F321" s="17" t="str">
        <f t="shared" si="3"/>
        <v>BCA102</v>
      </c>
      <c r="G321" s="43" t="str">
        <f t="shared" si="4"/>
        <v>NA</v>
      </c>
      <c r="H321" s="17" t="str">
        <f t="shared" si="5"/>
        <v>BCA102-NA</v>
      </c>
      <c r="J321" t="str">
        <f t="shared" si="6"/>
        <v>collected</v>
      </c>
      <c r="K321" t="str">
        <f t="shared" si="7"/>
        <v>N</v>
      </c>
    </row>
    <row r="322">
      <c r="A322" s="26" t="s">
        <v>621</v>
      </c>
      <c r="B322" s="10" t="str">
        <f t="shared" si="1"/>
        <v>fish</v>
      </c>
      <c r="C322" s="63" t="str">
        <f t="shared" si="2"/>
        <v>U5441</v>
      </c>
      <c r="D322" s="11" t="str">
        <f t="array" ref="D322">iferror(index(fish_lab_data!D:D,match(A322,fish_lab_data!C:C,0)))</f>
        <v>JP473</v>
      </c>
      <c r="E322" s="6">
        <v>102.0</v>
      </c>
      <c r="F322" s="17" t="str">
        <f t="shared" si="3"/>
        <v>BCA102</v>
      </c>
      <c r="G322" s="43" t="str">
        <f t="shared" si="4"/>
        <v>NA</v>
      </c>
      <c r="H322" s="17" t="str">
        <f t="shared" si="5"/>
        <v>BCA102-NA</v>
      </c>
      <c r="J322" t="str">
        <f t="shared" si="6"/>
        <v>collected</v>
      </c>
      <c r="K322" t="str">
        <f t="shared" si="7"/>
        <v>N</v>
      </c>
    </row>
    <row r="323">
      <c r="A323" s="26" t="s">
        <v>622</v>
      </c>
      <c r="B323" s="10" t="str">
        <f t="shared" si="1"/>
        <v>fish</v>
      </c>
      <c r="C323" s="63" t="str">
        <f t="shared" si="2"/>
        <v>U5442</v>
      </c>
      <c r="D323" s="11" t="str">
        <f t="array" ref="D323">iferror(index(fish_lab_data!D:D,match(A323,fish_lab_data!C:C,0)))</f>
        <v>JP473</v>
      </c>
      <c r="E323" s="6">
        <v>102.0</v>
      </c>
      <c r="F323" s="17" t="str">
        <f t="shared" si="3"/>
        <v>BCA102</v>
      </c>
      <c r="G323" s="43" t="str">
        <f t="shared" si="4"/>
        <v>NA</v>
      </c>
      <c r="H323" s="17" t="str">
        <f t="shared" si="5"/>
        <v>BCA102-NA</v>
      </c>
      <c r="J323" t="str">
        <f t="shared" si="6"/>
        <v>collected</v>
      </c>
      <c r="K323" t="str">
        <f t="shared" si="7"/>
        <v>N</v>
      </c>
    </row>
    <row r="324">
      <c r="A324" s="26" t="s">
        <v>624</v>
      </c>
      <c r="B324" s="10" t="str">
        <f t="shared" si="1"/>
        <v>fish</v>
      </c>
      <c r="C324" s="63" t="str">
        <f t="shared" si="2"/>
        <v>U5443</v>
      </c>
      <c r="D324" s="11" t="str">
        <f t="array" ref="D324">iferror(index(fish_lab_data!D:D,match(A324,fish_lab_data!C:C,0)))</f>
        <v>JP473</v>
      </c>
      <c r="E324" s="6">
        <v>102.0</v>
      </c>
      <c r="F324" s="17" t="str">
        <f t="shared" si="3"/>
        <v>BCA102</v>
      </c>
      <c r="G324" s="43" t="str">
        <f t="shared" si="4"/>
        <v>NA</v>
      </c>
      <c r="H324" s="17" t="str">
        <f t="shared" si="5"/>
        <v>BCA102-NA</v>
      </c>
      <c r="J324" t="str">
        <f t="shared" si="6"/>
        <v>collected</v>
      </c>
      <c r="K324" t="str">
        <f t="shared" si="7"/>
        <v>N</v>
      </c>
    </row>
    <row r="325">
      <c r="A325" s="26" t="s">
        <v>626</v>
      </c>
      <c r="B325" s="10" t="str">
        <f t="shared" si="1"/>
        <v>fish</v>
      </c>
      <c r="C325" s="63" t="str">
        <f t="shared" si="2"/>
        <v>U5444</v>
      </c>
      <c r="D325" s="11" t="str">
        <f t="array" ref="D325">iferror(index(fish_lab_data!D:D,match(A325,fish_lab_data!C:C,0)))</f>
        <v>JP473</v>
      </c>
      <c r="E325" s="6">
        <v>102.0</v>
      </c>
      <c r="F325" s="17" t="str">
        <f t="shared" si="3"/>
        <v>BCA102</v>
      </c>
      <c r="G325" s="43" t="str">
        <f t="shared" si="4"/>
        <v>NA</v>
      </c>
      <c r="H325" s="17" t="str">
        <f t="shared" si="5"/>
        <v>BCA102-NA</v>
      </c>
      <c r="J325" t="str">
        <f t="shared" si="6"/>
        <v>collected</v>
      </c>
      <c r="K325" t="str">
        <f t="shared" si="7"/>
        <v>N</v>
      </c>
    </row>
    <row r="326">
      <c r="A326" s="26" t="s">
        <v>627</v>
      </c>
      <c r="B326" s="10" t="str">
        <f t="shared" si="1"/>
        <v>fish</v>
      </c>
      <c r="C326" s="63" t="str">
        <f t="shared" si="2"/>
        <v>U5445</v>
      </c>
      <c r="D326" s="11" t="str">
        <f t="array" ref="D326">iferror(index(fish_lab_data!D:D,match(A326,fish_lab_data!C:C,0)))</f>
        <v>JP473</v>
      </c>
      <c r="E326" s="6">
        <v>102.0</v>
      </c>
      <c r="F326" s="17" t="str">
        <f t="shared" si="3"/>
        <v>BCA102</v>
      </c>
      <c r="G326" s="43" t="str">
        <f t="shared" si="4"/>
        <v>NA</v>
      </c>
      <c r="H326" s="17" t="str">
        <f t="shared" si="5"/>
        <v>BCA102-NA</v>
      </c>
      <c r="J326" t="str">
        <f t="shared" si="6"/>
        <v>collected</v>
      </c>
      <c r="K326" t="str">
        <f t="shared" si="7"/>
        <v>N</v>
      </c>
    </row>
    <row r="327">
      <c r="A327" s="26" t="s">
        <v>628</v>
      </c>
      <c r="B327" s="10" t="str">
        <f t="shared" si="1"/>
        <v>fish</v>
      </c>
      <c r="C327" s="63" t="str">
        <f t="shared" si="2"/>
        <v>U5446</v>
      </c>
      <c r="D327" s="11" t="str">
        <f t="array" ref="D327">iferror(index(fish_lab_data!D:D,match(A327,fish_lab_data!C:C,0)))</f>
        <v>JP473</v>
      </c>
      <c r="E327" s="6">
        <v>102.0</v>
      </c>
      <c r="F327" s="17" t="str">
        <f t="shared" si="3"/>
        <v>BCA102</v>
      </c>
      <c r="G327" s="43" t="str">
        <f t="shared" si="4"/>
        <v>NA</v>
      </c>
      <c r="H327" s="17" t="str">
        <f t="shared" si="5"/>
        <v>BCA102-NA</v>
      </c>
      <c r="J327" t="str">
        <f t="shared" si="6"/>
        <v>collected</v>
      </c>
      <c r="K327" t="str">
        <f t="shared" si="7"/>
        <v>N</v>
      </c>
    </row>
    <row r="328">
      <c r="A328" s="26" t="s">
        <v>632</v>
      </c>
      <c r="B328" s="10" t="str">
        <f t="shared" si="1"/>
        <v>fish</v>
      </c>
      <c r="C328" s="63" t="str">
        <f t="shared" si="2"/>
        <v>U5447</v>
      </c>
      <c r="D328" s="11" t="str">
        <f t="array" ref="D328">iferror(index(fish_lab_data!D:D,match(A328,fish_lab_data!C:C,0)))</f>
        <v>JP473</v>
      </c>
      <c r="E328" s="6">
        <v>102.0</v>
      </c>
      <c r="F328" s="17" t="str">
        <f t="shared" si="3"/>
        <v>BCA102</v>
      </c>
      <c r="G328" s="43" t="str">
        <f t="shared" si="4"/>
        <v>NA</v>
      </c>
      <c r="H328" s="17" t="str">
        <f t="shared" si="5"/>
        <v>BCA102-NA</v>
      </c>
      <c r="J328" t="str">
        <f t="shared" si="6"/>
        <v>collected</v>
      </c>
      <c r="K328" t="str">
        <f t="shared" si="7"/>
        <v>N</v>
      </c>
    </row>
    <row r="329">
      <c r="A329" s="26" t="s">
        <v>633</v>
      </c>
      <c r="B329" s="10" t="str">
        <f t="shared" si="1"/>
        <v>fish</v>
      </c>
      <c r="C329" s="63" t="str">
        <f t="shared" si="2"/>
        <v>U5448</v>
      </c>
      <c r="D329" s="11" t="str">
        <f t="array" ref="D329">iferror(index(fish_lab_data!D:D,match(A329,fish_lab_data!C:C,0)))</f>
        <v>JP473</v>
      </c>
      <c r="E329" s="6">
        <v>102.0</v>
      </c>
      <c r="F329" s="17" t="str">
        <f t="shared" si="3"/>
        <v>BCA102</v>
      </c>
      <c r="G329" s="43" t="str">
        <f t="shared" si="4"/>
        <v>NA</v>
      </c>
      <c r="H329" s="17" t="str">
        <f t="shared" si="5"/>
        <v>BCA102-NA</v>
      </c>
      <c r="J329" t="str">
        <f t="shared" si="6"/>
        <v>collected</v>
      </c>
      <c r="K329" t="str">
        <f t="shared" si="7"/>
        <v>N</v>
      </c>
    </row>
    <row r="330">
      <c r="A330" s="26" t="s">
        <v>634</v>
      </c>
      <c r="B330" s="10" t="str">
        <f t="shared" si="1"/>
        <v>fish</v>
      </c>
      <c r="C330" s="63" t="str">
        <f t="shared" si="2"/>
        <v>U5449</v>
      </c>
      <c r="D330" s="11" t="str">
        <f t="array" ref="D330">iferror(index(fish_lab_data!D:D,match(A330,fish_lab_data!C:C,0)))</f>
        <v>JP473</v>
      </c>
      <c r="E330" s="6">
        <v>102.0</v>
      </c>
      <c r="F330" s="17" t="str">
        <f t="shared" si="3"/>
        <v>BCA102</v>
      </c>
      <c r="G330" s="43" t="str">
        <f t="shared" si="4"/>
        <v>NA</v>
      </c>
      <c r="H330" s="17" t="str">
        <f t="shared" si="5"/>
        <v>BCA102-NA</v>
      </c>
      <c r="J330" t="str">
        <f t="shared" si="6"/>
        <v>collected</v>
      </c>
      <c r="K330" t="str">
        <f t="shared" si="7"/>
        <v>N</v>
      </c>
    </row>
    <row r="331">
      <c r="A331" s="44" t="s">
        <v>635</v>
      </c>
      <c r="B331" s="10" t="str">
        <f t="shared" si="1"/>
        <v>fish</v>
      </c>
      <c r="C331" s="63" t="str">
        <f t="shared" si="2"/>
        <v>U16798</v>
      </c>
      <c r="D331" s="11" t="str">
        <f t="array" ref="D331">iferror(index(fish_lab_data!D:D,match(A331,fish_lab_data!C:C,0)))</f>
        <v>P1080</v>
      </c>
      <c r="E331" s="6">
        <v>102.0</v>
      </c>
      <c r="F331" s="17" t="str">
        <f t="shared" si="3"/>
        <v>BCA102</v>
      </c>
      <c r="G331" s="43" t="str">
        <f t="shared" si="4"/>
        <v>NA</v>
      </c>
      <c r="H331" s="17" t="str">
        <f t="shared" si="5"/>
        <v>BCA102-NA</v>
      </c>
      <c r="J331" t="str">
        <f t="shared" si="6"/>
        <v>collected</v>
      </c>
      <c r="K331" t="str">
        <f t="shared" si="7"/>
        <v>N</v>
      </c>
    </row>
    <row r="332">
      <c r="A332" s="44" t="s">
        <v>637</v>
      </c>
      <c r="B332" s="10" t="str">
        <f t="shared" si="1"/>
        <v>fish</v>
      </c>
      <c r="C332" s="63" t="str">
        <f t="shared" si="2"/>
        <v>U16797</v>
      </c>
      <c r="D332" s="11" t="str">
        <f t="array" ref="D332">iferror(index(fish_lab_data!D:D,match(A332,fish_lab_data!C:C,0)))</f>
        <v>P1080</v>
      </c>
      <c r="E332" s="6">
        <v>102.0</v>
      </c>
      <c r="F332" s="17" t="str">
        <f t="shared" si="3"/>
        <v>BCA102</v>
      </c>
      <c r="G332" s="43" t="str">
        <f t="shared" si="4"/>
        <v>NA</v>
      </c>
      <c r="H332" s="17" t="str">
        <f t="shared" si="5"/>
        <v>BCA102-NA</v>
      </c>
      <c r="J332" t="str">
        <f t="shared" si="6"/>
        <v>collected</v>
      </c>
      <c r="K332" t="str">
        <f t="shared" si="7"/>
        <v>N</v>
      </c>
    </row>
    <row r="333">
      <c r="A333" s="40" t="s">
        <v>640</v>
      </c>
      <c r="B333" s="10" t="str">
        <f t="shared" si="1"/>
        <v>fish</v>
      </c>
      <c r="C333" s="63" t="str">
        <f t="shared" si="2"/>
        <v>U16800</v>
      </c>
      <c r="D333" s="11" t="str">
        <f t="array" ref="D333">iferror(index(fish_lab_data!D:D,match(A333,fish_lab_data!C:C,0)))</f>
        <v>P1080</v>
      </c>
      <c r="E333" s="6">
        <v>102.0</v>
      </c>
      <c r="F333" s="17" t="str">
        <f t="shared" si="3"/>
        <v>BCA102</v>
      </c>
      <c r="G333" s="43" t="str">
        <f t="shared" si="4"/>
        <v>NA</v>
      </c>
      <c r="H333" s="17" t="str">
        <f t="shared" si="5"/>
        <v>BCA102-NA</v>
      </c>
      <c r="J333" t="str">
        <f t="shared" si="6"/>
        <v>collected</v>
      </c>
      <c r="K333" t="str">
        <f t="shared" si="7"/>
        <v>N</v>
      </c>
    </row>
    <row r="334">
      <c r="A334" s="40" t="s">
        <v>642</v>
      </c>
      <c r="B334" s="10" t="str">
        <f t="shared" si="1"/>
        <v>fish</v>
      </c>
      <c r="C334" s="63" t="str">
        <f t="shared" si="2"/>
        <v>U16795</v>
      </c>
      <c r="D334" s="11" t="str">
        <f t="array" ref="D334">iferror(index(fish_lab_data!D:D,match(A334,fish_lab_data!C:C,0)))</f>
        <v>P1080</v>
      </c>
      <c r="E334" s="6">
        <v>102.0</v>
      </c>
      <c r="F334" s="17" t="str">
        <f t="shared" si="3"/>
        <v>BCA102</v>
      </c>
      <c r="G334" s="43" t="str">
        <f t="shared" si="4"/>
        <v>NA</v>
      </c>
      <c r="H334" s="17" t="str">
        <f t="shared" si="5"/>
        <v>BCA102-NA</v>
      </c>
      <c r="I334" s="9"/>
      <c r="J334" t="str">
        <f t="shared" si="6"/>
        <v>collected</v>
      </c>
      <c r="K334" t="str">
        <f t="shared" si="7"/>
        <v>N</v>
      </c>
    </row>
    <row r="335">
      <c r="A335" s="40" t="s">
        <v>643</v>
      </c>
      <c r="B335" s="10" t="str">
        <f t="shared" si="1"/>
        <v>fish</v>
      </c>
      <c r="C335" s="63" t="str">
        <f t="shared" si="2"/>
        <v>U16793</v>
      </c>
      <c r="D335" s="11" t="str">
        <f t="array" ref="D335">iferror(index(fish_lab_data!D:D,match(A335,fish_lab_data!C:C,0)))</f>
        <v>P1080</v>
      </c>
      <c r="E335" s="6">
        <v>102.0</v>
      </c>
      <c r="F335" s="17" t="str">
        <f t="shared" si="3"/>
        <v>BCA102</v>
      </c>
      <c r="G335" s="43" t="str">
        <f t="shared" si="4"/>
        <v>NA</v>
      </c>
      <c r="H335" s="17" t="str">
        <f t="shared" si="5"/>
        <v>BCA102-NA</v>
      </c>
      <c r="I335" s="9"/>
      <c r="J335" t="str">
        <f t="shared" si="6"/>
        <v>collected</v>
      </c>
      <c r="K335" t="str">
        <f t="shared" si="7"/>
        <v>N</v>
      </c>
    </row>
    <row r="336">
      <c r="A336" s="40" t="s">
        <v>644</v>
      </c>
      <c r="B336" s="10" t="str">
        <f t="shared" si="1"/>
        <v>fish</v>
      </c>
      <c r="C336" s="63" t="str">
        <f t="shared" si="2"/>
        <v>U16796</v>
      </c>
      <c r="D336" s="11" t="str">
        <f t="array" ref="D336">iferror(index(fish_lab_data!D:D,match(A336,fish_lab_data!C:C,0)))</f>
        <v>P1080</v>
      </c>
      <c r="E336" s="6">
        <v>102.0</v>
      </c>
      <c r="F336" s="17" t="str">
        <f t="shared" si="3"/>
        <v>BCA102</v>
      </c>
      <c r="G336" s="43" t="str">
        <f t="shared" si="4"/>
        <v>NA</v>
      </c>
      <c r="H336" s="17" t="str">
        <f t="shared" si="5"/>
        <v>BCA102-NA</v>
      </c>
      <c r="I336" s="9"/>
      <c r="J336" t="str">
        <f t="shared" si="6"/>
        <v>collected</v>
      </c>
      <c r="K336" t="str">
        <f t="shared" si="7"/>
        <v>N</v>
      </c>
    </row>
    <row r="337">
      <c r="A337" s="40" t="s">
        <v>647</v>
      </c>
      <c r="B337" s="10" t="str">
        <f t="shared" si="1"/>
        <v>fish</v>
      </c>
      <c r="C337" s="63" t="str">
        <f t="shared" si="2"/>
        <v>U16799</v>
      </c>
      <c r="D337" s="11" t="str">
        <f t="array" ref="D337">iferror(index(fish_lab_data!D:D,match(A337,fish_lab_data!C:C,0)))</f>
        <v>P1080</v>
      </c>
      <c r="E337" s="6">
        <v>102.0</v>
      </c>
      <c r="F337" s="17" t="str">
        <f t="shared" si="3"/>
        <v>BCA102</v>
      </c>
      <c r="G337" s="43" t="str">
        <f t="shared" si="4"/>
        <v>NA</v>
      </c>
      <c r="H337" s="17" t="str">
        <f t="shared" si="5"/>
        <v>BCA102-NA</v>
      </c>
      <c r="I337" s="9"/>
      <c r="J337" t="str">
        <f t="shared" si="6"/>
        <v>collected</v>
      </c>
      <c r="K337" t="str">
        <f t="shared" si="7"/>
        <v>N</v>
      </c>
    </row>
    <row r="338">
      <c r="A338" s="40" t="s">
        <v>648</v>
      </c>
      <c r="B338" s="10" t="str">
        <f t="shared" si="1"/>
        <v>fish</v>
      </c>
      <c r="C338" s="63" t="str">
        <f t="shared" si="2"/>
        <v>U16794</v>
      </c>
      <c r="D338" s="11" t="str">
        <f t="array" ref="D338">iferror(index(fish_lab_data!D:D,match(A338,fish_lab_data!C:C,0)))</f>
        <v>P1080</v>
      </c>
      <c r="E338" s="6">
        <v>102.0</v>
      </c>
      <c r="F338" s="17" t="str">
        <f t="shared" si="3"/>
        <v>BCA102</v>
      </c>
      <c r="G338" s="43" t="str">
        <f t="shared" si="4"/>
        <v>NA</v>
      </c>
      <c r="H338" s="17" t="str">
        <f t="shared" si="5"/>
        <v>BCA102-NA</v>
      </c>
      <c r="I338" s="9"/>
      <c r="J338" t="str">
        <f t="shared" si="6"/>
        <v>collected</v>
      </c>
      <c r="K338" t="str">
        <f t="shared" si="7"/>
        <v>N</v>
      </c>
    </row>
    <row r="339">
      <c r="A339" s="40" t="s">
        <v>650</v>
      </c>
      <c r="B339" s="10" t="str">
        <f t="shared" si="1"/>
        <v>fish</v>
      </c>
      <c r="C339" s="63" t="str">
        <f t="shared" si="2"/>
        <v>U16792</v>
      </c>
      <c r="D339" s="11" t="str">
        <f t="array" ref="D339">iferror(index(fish_lab_data!D:D,match(A339,fish_lab_data!C:C,0)))</f>
        <v>P1080</v>
      </c>
      <c r="E339" s="6">
        <v>102.0</v>
      </c>
      <c r="F339" s="17" t="str">
        <f t="shared" si="3"/>
        <v>BCA102</v>
      </c>
      <c r="G339" s="43" t="str">
        <f t="shared" si="4"/>
        <v>NA</v>
      </c>
      <c r="H339" s="17" t="str">
        <f t="shared" si="5"/>
        <v>BCA102-NA</v>
      </c>
      <c r="I339" s="9"/>
      <c r="J339" t="str">
        <f t="shared" si="6"/>
        <v>collected</v>
      </c>
      <c r="K339" t="str">
        <f t="shared" si="7"/>
        <v>N</v>
      </c>
    </row>
    <row r="340">
      <c r="A340" s="44" t="s">
        <v>651</v>
      </c>
      <c r="B340" s="10" t="str">
        <f t="shared" si="1"/>
        <v>fish</v>
      </c>
      <c r="C340" s="63" t="str">
        <f t="shared" si="2"/>
        <v>U16791</v>
      </c>
      <c r="D340" s="11" t="str">
        <f t="array" ref="D340">iferror(index(fish_lab_data!D:D,match(A340,fish_lab_data!C:C,0)))</f>
        <v>P1080</v>
      </c>
      <c r="E340" s="6">
        <v>102.0</v>
      </c>
      <c r="F340" s="17" t="str">
        <f t="shared" si="3"/>
        <v>BCA102</v>
      </c>
      <c r="G340" s="43" t="str">
        <f t="shared" si="4"/>
        <v>NA</v>
      </c>
      <c r="H340" s="17" t="str">
        <f t="shared" si="5"/>
        <v>BCA102-NA</v>
      </c>
      <c r="J340" t="str">
        <f t="shared" si="6"/>
        <v>collected</v>
      </c>
      <c r="K340" t="str">
        <f t="shared" si="7"/>
        <v>N</v>
      </c>
    </row>
    <row r="341">
      <c r="A341" s="26" t="s">
        <v>653</v>
      </c>
      <c r="B341" s="10" t="str">
        <f t="shared" si="1"/>
        <v>fish</v>
      </c>
      <c r="C341" s="63" t="str">
        <f t="shared" si="2"/>
        <v>U5422</v>
      </c>
      <c r="D341" s="11" t="str">
        <f t="array" ref="D341">iferror(index(fish_lab_data!D:D,match(A341,fish_lab_data!C:C,0)))</f>
        <v>DP729</v>
      </c>
      <c r="E341" s="6">
        <v>102.0</v>
      </c>
      <c r="F341" s="17" t="str">
        <f t="shared" si="3"/>
        <v>BCA102</v>
      </c>
      <c r="G341" s="43" t="str">
        <f t="shared" si="4"/>
        <v>NA</v>
      </c>
      <c r="H341" s="17" t="str">
        <f t="shared" si="5"/>
        <v>BCA102-NA</v>
      </c>
      <c r="J341" t="str">
        <f t="shared" si="6"/>
        <v>collected</v>
      </c>
      <c r="K341" t="str">
        <f t="shared" si="7"/>
        <v>N</v>
      </c>
    </row>
    <row r="342">
      <c r="A342" s="26" t="s">
        <v>656</v>
      </c>
      <c r="B342" s="10" t="str">
        <f t="shared" si="1"/>
        <v>fish</v>
      </c>
      <c r="C342" s="63" t="str">
        <f t="shared" si="2"/>
        <v>U5423</v>
      </c>
      <c r="D342" s="11" t="str">
        <f t="array" ref="D342">iferror(index(fish_lab_data!D:D,match(A342,fish_lab_data!C:C,0)))</f>
        <v>DP729</v>
      </c>
      <c r="E342" s="6">
        <v>102.0</v>
      </c>
      <c r="F342" s="17" t="str">
        <f t="shared" si="3"/>
        <v>BCA102</v>
      </c>
      <c r="G342" s="43" t="str">
        <f t="shared" si="4"/>
        <v>NA</v>
      </c>
      <c r="H342" s="17" t="str">
        <f t="shared" si="5"/>
        <v>BCA102-NA</v>
      </c>
      <c r="J342" t="str">
        <f t="shared" si="6"/>
        <v>collected</v>
      </c>
      <c r="K342" t="str">
        <f t="shared" si="7"/>
        <v>N</v>
      </c>
    </row>
    <row r="343">
      <c r="A343" s="26" t="s">
        <v>657</v>
      </c>
      <c r="B343" s="10" t="str">
        <f t="shared" si="1"/>
        <v>fish</v>
      </c>
      <c r="C343" s="63" t="str">
        <f t="shared" si="2"/>
        <v>U5424</v>
      </c>
      <c r="D343" s="11" t="str">
        <f t="array" ref="D343">iferror(index(fish_lab_data!D:D,match(A343,fish_lab_data!C:C,0)))</f>
        <v>DP729</v>
      </c>
      <c r="E343" s="6">
        <v>102.0</v>
      </c>
      <c r="F343" s="17" t="str">
        <f t="shared" si="3"/>
        <v>BCA102</v>
      </c>
      <c r="G343" s="43" t="str">
        <f t="shared" si="4"/>
        <v>NA</v>
      </c>
      <c r="H343" s="17" t="str">
        <f t="shared" si="5"/>
        <v>BCA102-NA</v>
      </c>
      <c r="I343" s="9"/>
      <c r="J343" t="str">
        <f t="shared" si="6"/>
        <v>collected</v>
      </c>
      <c r="K343" t="str">
        <f t="shared" si="7"/>
        <v>N</v>
      </c>
    </row>
    <row r="344">
      <c r="A344" s="26" t="s">
        <v>658</v>
      </c>
      <c r="B344" s="10" t="str">
        <f t="shared" si="1"/>
        <v>fish</v>
      </c>
      <c r="C344" s="63" t="str">
        <f t="shared" si="2"/>
        <v>U5425</v>
      </c>
      <c r="D344" s="11" t="str">
        <f t="array" ref="D344">iferror(index(fish_lab_data!D:D,match(A344,fish_lab_data!C:C,0)))</f>
        <v>DP729</v>
      </c>
      <c r="E344" s="6">
        <v>102.0</v>
      </c>
      <c r="F344" s="17" t="str">
        <f t="shared" si="3"/>
        <v>BCA102</v>
      </c>
      <c r="G344" s="43" t="str">
        <f t="shared" si="4"/>
        <v>NA</v>
      </c>
      <c r="H344" s="17" t="str">
        <f t="shared" si="5"/>
        <v>BCA102-NA</v>
      </c>
      <c r="I344" s="9"/>
      <c r="J344" t="str">
        <f t="shared" si="6"/>
        <v>collected</v>
      </c>
      <c r="K344" t="str">
        <f t="shared" si="7"/>
        <v>N</v>
      </c>
    </row>
    <row r="345">
      <c r="A345" s="26" t="s">
        <v>659</v>
      </c>
      <c r="B345" s="10" t="str">
        <f t="shared" si="1"/>
        <v>fish</v>
      </c>
      <c r="C345" s="63" t="str">
        <f t="shared" si="2"/>
        <v>U5426</v>
      </c>
      <c r="D345" s="11" t="str">
        <f t="array" ref="D345">iferror(index(fish_lab_data!D:D,match(A345,fish_lab_data!C:C,0)))</f>
        <v>DP729</v>
      </c>
      <c r="E345" s="6">
        <v>102.0</v>
      </c>
      <c r="F345" s="17" t="str">
        <f t="shared" si="3"/>
        <v>BCA102</v>
      </c>
      <c r="G345" s="43" t="str">
        <f t="shared" si="4"/>
        <v>NA</v>
      </c>
      <c r="H345" s="17" t="str">
        <f t="shared" si="5"/>
        <v>BCA102-NA</v>
      </c>
      <c r="I345" s="9"/>
      <c r="J345" t="str">
        <f t="shared" si="6"/>
        <v>collected</v>
      </c>
      <c r="K345" t="str">
        <f t="shared" si="7"/>
        <v>N</v>
      </c>
    </row>
    <row r="346">
      <c r="A346" s="26" t="s">
        <v>661</v>
      </c>
      <c r="B346" s="10" t="str">
        <f t="shared" si="1"/>
        <v>fish</v>
      </c>
      <c r="C346" s="63" t="str">
        <f t="shared" si="2"/>
        <v>U5427</v>
      </c>
      <c r="D346" s="11" t="str">
        <f t="array" ref="D346">iferror(index(fish_lab_data!D:D,match(A346,fish_lab_data!C:C,0)))</f>
        <v>DP729</v>
      </c>
      <c r="E346" s="6">
        <v>102.0</v>
      </c>
      <c r="F346" s="17" t="str">
        <f t="shared" si="3"/>
        <v>BCA102</v>
      </c>
      <c r="G346" s="43" t="str">
        <f t="shared" si="4"/>
        <v>NA</v>
      </c>
      <c r="H346" s="17" t="str">
        <f t="shared" si="5"/>
        <v>BCA102-NA</v>
      </c>
      <c r="I346" s="9"/>
      <c r="J346" t="str">
        <f t="shared" si="6"/>
        <v>collected</v>
      </c>
      <c r="K346" t="str">
        <f t="shared" si="7"/>
        <v>N</v>
      </c>
    </row>
    <row r="347">
      <c r="A347" s="25" t="s">
        <v>662</v>
      </c>
      <c r="B347" s="10" t="str">
        <f t="shared" si="1"/>
        <v>fish</v>
      </c>
      <c r="C347" s="63" t="str">
        <f t="shared" si="2"/>
        <v>U5428</v>
      </c>
      <c r="D347" s="11" t="str">
        <f t="array" ref="D347">iferror(index(fish_lab_data!D:D,match(A347,fish_lab_data!C:C,0)))</f>
        <v>DP729</v>
      </c>
      <c r="E347" s="6">
        <v>102.0</v>
      </c>
      <c r="F347" s="17" t="str">
        <f t="shared" si="3"/>
        <v>BCA102</v>
      </c>
      <c r="G347" s="43" t="str">
        <f t="shared" si="4"/>
        <v>NA</v>
      </c>
      <c r="H347" s="17" t="str">
        <f t="shared" si="5"/>
        <v>BCA102-NA</v>
      </c>
      <c r="J347" t="str">
        <f t="shared" si="6"/>
        <v>collected</v>
      </c>
      <c r="K347" t="str">
        <f t="shared" si="7"/>
        <v>N</v>
      </c>
    </row>
    <row r="348">
      <c r="A348" s="27" t="s">
        <v>664</v>
      </c>
      <c r="B348" s="10" t="str">
        <f t="shared" si="1"/>
        <v>fish</v>
      </c>
      <c r="C348" s="63" t="str">
        <f t="shared" si="2"/>
        <v>U5429</v>
      </c>
      <c r="D348" s="11" t="str">
        <f t="array" ref="D348">iferror(index(fish_lab_data!D:D,match(A348,fish_lab_data!C:C,0)))</f>
        <v>DP729</v>
      </c>
      <c r="E348" s="6">
        <v>102.0</v>
      </c>
      <c r="F348" s="17" t="str">
        <f t="shared" si="3"/>
        <v>BCA102</v>
      </c>
      <c r="G348" s="43" t="str">
        <f t="shared" si="4"/>
        <v>NA</v>
      </c>
      <c r="H348" s="17" t="str">
        <f t="shared" si="5"/>
        <v>BCA102-NA</v>
      </c>
      <c r="J348" t="str">
        <f t="shared" si="6"/>
        <v>collected</v>
      </c>
      <c r="K348" t="str">
        <f t="shared" si="7"/>
        <v>N</v>
      </c>
    </row>
    <row r="349">
      <c r="A349" s="27" t="s">
        <v>665</v>
      </c>
      <c r="B349" s="10" t="str">
        <f t="shared" si="1"/>
        <v>fish</v>
      </c>
      <c r="C349" s="63" t="str">
        <f t="shared" si="2"/>
        <v>U5430</v>
      </c>
      <c r="D349" s="11" t="str">
        <f t="array" ref="D349">iferror(index(fish_lab_data!D:D,match(A349,fish_lab_data!C:C,0)))</f>
        <v>DP729</v>
      </c>
      <c r="E349" s="6">
        <v>102.0</v>
      </c>
      <c r="F349" s="17" t="str">
        <f t="shared" si="3"/>
        <v>BCA102</v>
      </c>
      <c r="G349" s="43" t="str">
        <f t="shared" si="4"/>
        <v>NA</v>
      </c>
      <c r="H349" s="17" t="str">
        <f t="shared" si="5"/>
        <v>BCA102-NA</v>
      </c>
      <c r="I349" s="9"/>
      <c r="J349" t="str">
        <f t="shared" si="6"/>
        <v>collected</v>
      </c>
      <c r="K349" t="str">
        <f t="shared" si="7"/>
        <v>N</v>
      </c>
    </row>
    <row r="350">
      <c r="A350" s="27" t="s">
        <v>666</v>
      </c>
      <c r="B350" s="10" t="str">
        <f t="shared" si="1"/>
        <v>fish</v>
      </c>
      <c r="C350" s="63" t="str">
        <f t="shared" si="2"/>
        <v>U5431</v>
      </c>
      <c r="D350" s="11" t="str">
        <f t="array" ref="D350">iferror(index(fish_lab_data!D:D,match(A350,fish_lab_data!C:C,0)))</f>
        <v>DP729</v>
      </c>
      <c r="E350" s="6">
        <v>102.0</v>
      </c>
      <c r="F350" s="17" t="str">
        <f t="shared" si="3"/>
        <v>BCA102</v>
      </c>
      <c r="G350" s="43" t="str">
        <f t="shared" si="4"/>
        <v>NA</v>
      </c>
      <c r="H350" s="17" t="str">
        <f t="shared" si="5"/>
        <v>BCA102-NA</v>
      </c>
      <c r="I350" s="9"/>
      <c r="J350" t="str">
        <f t="shared" si="6"/>
        <v>collected</v>
      </c>
      <c r="K350" t="str">
        <f t="shared" si="7"/>
        <v>N</v>
      </c>
    </row>
    <row r="351">
      <c r="A351" s="27" t="s">
        <v>668</v>
      </c>
      <c r="B351" s="10" t="str">
        <f t="shared" si="1"/>
        <v>fish</v>
      </c>
      <c r="C351" s="63" t="str">
        <f t="shared" si="2"/>
        <v>U5432</v>
      </c>
      <c r="D351" s="11" t="str">
        <f t="array" ref="D351">iferror(index(fish_lab_data!D:D,match(A351,fish_lab_data!C:C,0)))</f>
        <v>JP472</v>
      </c>
      <c r="E351" s="6">
        <v>102.0</v>
      </c>
      <c r="F351" s="17" t="str">
        <f t="shared" si="3"/>
        <v>BCA102</v>
      </c>
      <c r="G351" s="43" t="str">
        <f t="shared" si="4"/>
        <v>NA</v>
      </c>
      <c r="H351" s="17" t="str">
        <f t="shared" si="5"/>
        <v>BCA102-NA</v>
      </c>
      <c r="I351" s="9"/>
      <c r="J351" t="str">
        <f t="shared" si="6"/>
        <v>collected</v>
      </c>
      <c r="K351" t="str">
        <f t="shared" si="7"/>
        <v>N</v>
      </c>
    </row>
    <row r="352">
      <c r="A352" s="27" t="s">
        <v>670</v>
      </c>
      <c r="B352" s="10" t="str">
        <f t="shared" si="1"/>
        <v>fish</v>
      </c>
      <c r="C352" s="63" t="str">
        <f t="shared" si="2"/>
        <v>U5433</v>
      </c>
      <c r="D352" s="11" t="str">
        <f t="array" ref="D352">iferror(index(fish_lab_data!D:D,match(A352,fish_lab_data!C:C,0)))</f>
        <v>JP472</v>
      </c>
      <c r="E352" s="6">
        <v>102.0</v>
      </c>
      <c r="F352" s="17" t="str">
        <f t="shared" si="3"/>
        <v>BCA102</v>
      </c>
      <c r="G352" s="43" t="str">
        <f t="shared" si="4"/>
        <v>NA</v>
      </c>
      <c r="H352" s="17" t="str">
        <f t="shared" si="5"/>
        <v>BCA102-NA</v>
      </c>
      <c r="I352" s="9"/>
      <c r="J352" t="str">
        <f t="shared" si="6"/>
        <v>collected</v>
      </c>
      <c r="K352" t="str">
        <f t="shared" si="7"/>
        <v>N</v>
      </c>
    </row>
    <row r="353">
      <c r="A353" s="27" t="s">
        <v>671</v>
      </c>
      <c r="B353" s="10" t="str">
        <f t="shared" si="1"/>
        <v>fish</v>
      </c>
      <c r="C353" s="63" t="str">
        <f t="shared" si="2"/>
        <v>U5434</v>
      </c>
      <c r="D353" s="11" t="str">
        <f t="array" ref="D353">iferror(index(fish_lab_data!D:D,match(A353,fish_lab_data!C:C,0)))</f>
        <v>JP472</v>
      </c>
      <c r="E353" s="6">
        <v>102.0</v>
      </c>
      <c r="F353" s="17" t="str">
        <f t="shared" si="3"/>
        <v>BCA102</v>
      </c>
      <c r="G353" s="43" t="str">
        <f t="shared" si="4"/>
        <v>NA</v>
      </c>
      <c r="H353" s="17" t="str">
        <f t="shared" si="5"/>
        <v>BCA102-NA</v>
      </c>
      <c r="I353" s="9"/>
      <c r="J353" t="str">
        <f t="shared" si="6"/>
        <v>collected</v>
      </c>
      <c r="K353" t="str">
        <f t="shared" si="7"/>
        <v>N</v>
      </c>
    </row>
    <row r="354">
      <c r="A354" s="27" t="s">
        <v>674</v>
      </c>
      <c r="B354" s="10" t="str">
        <f t="shared" si="1"/>
        <v>fish</v>
      </c>
      <c r="C354" s="63" t="str">
        <f t="shared" si="2"/>
        <v>U5435</v>
      </c>
      <c r="D354" s="11" t="str">
        <f t="array" ref="D354">iferror(index(fish_lab_data!D:D,match(A354,fish_lab_data!C:C,0)))</f>
        <v>JP472</v>
      </c>
      <c r="E354" s="6">
        <v>102.0</v>
      </c>
      <c r="F354" s="17" t="str">
        <f t="shared" si="3"/>
        <v>BCA102</v>
      </c>
      <c r="G354" s="43" t="str">
        <f t="shared" si="4"/>
        <v>NA</v>
      </c>
      <c r="H354" s="17" t="str">
        <f t="shared" si="5"/>
        <v>BCA102-NA</v>
      </c>
      <c r="I354" s="9"/>
      <c r="J354" t="str">
        <f t="shared" si="6"/>
        <v>collected</v>
      </c>
      <c r="K354" t="str">
        <f t="shared" si="7"/>
        <v>N</v>
      </c>
    </row>
    <row r="355">
      <c r="A355" s="6" t="s">
        <v>676</v>
      </c>
      <c r="B355" s="10" t="str">
        <f t="shared" si="1"/>
        <v>fish</v>
      </c>
      <c r="C355" s="63" t="str">
        <f t="shared" si="2"/>
        <v>U5436</v>
      </c>
      <c r="D355" s="11" t="str">
        <f t="array" ref="D355">iferror(index(fish_lab_data!D:D,match(A355,fish_lab_data!C:C,0)))</f>
        <v>JP472</v>
      </c>
      <c r="E355" s="6">
        <v>102.0</v>
      </c>
      <c r="F355" s="17" t="str">
        <f t="shared" si="3"/>
        <v>BCA102</v>
      </c>
      <c r="G355" s="43" t="str">
        <f t="shared" si="4"/>
        <v>NA</v>
      </c>
      <c r="H355" s="17" t="str">
        <f t="shared" si="5"/>
        <v>BCA102-NA</v>
      </c>
      <c r="I355" s="9"/>
      <c r="J355" t="str">
        <f t="shared" si="6"/>
        <v>collected</v>
      </c>
      <c r="K355" t="str">
        <f t="shared" si="7"/>
        <v>N</v>
      </c>
    </row>
    <row r="356">
      <c r="A356" s="27" t="s">
        <v>677</v>
      </c>
      <c r="B356" s="10" t="str">
        <f t="shared" si="1"/>
        <v>fish</v>
      </c>
      <c r="C356" s="63" t="str">
        <f t="shared" si="2"/>
        <v>U5462</v>
      </c>
      <c r="D356" s="11" t="str">
        <f t="array" ref="D356">iferror(index(fish_lab_data!D:D,match(A356,fish_lab_data!C:C,0)))</f>
        <v>JP472</v>
      </c>
      <c r="E356" s="6">
        <v>102.0</v>
      </c>
      <c r="F356" s="17" t="str">
        <f t="shared" si="3"/>
        <v>BCA102</v>
      </c>
      <c r="G356" s="43" t="str">
        <f t="shared" si="4"/>
        <v>NA</v>
      </c>
      <c r="H356" s="17" t="str">
        <f t="shared" si="5"/>
        <v>BCA102-NA</v>
      </c>
      <c r="I356" s="9"/>
      <c r="J356" t="str">
        <f t="shared" si="6"/>
        <v>collected</v>
      </c>
      <c r="K356" t="str">
        <f t="shared" si="7"/>
        <v>N</v>
      </c>
    </row>
    <row r="357">
      <c r="A357" s="27" t="s">
        <v>678</v>
      </c>
      <c r="B357" s="10" t="str">
        <f t="shared" si="1"/>
        <v>fish</v>
      </c>
      <c r="C357" s="63" t="str">
        <f t="shared" si="2"/>
        <v>U5463</v>
      </c>
      <c r="D357" s="11" t="str">
        <f t="array" ref="D357">iferror(index(fish_lab_data!D:D,match(A357,fish_lab_data!C:C,0)))</f>
        <v>JP472</v>
      </c>
      <c r="E357" s="6">
        <v>102.0</v>
      </c>
      <c r="F357" s="17" t="str">
        <f t="shared" si="3"/>
        <v>BCA102</v>
      </c>
      <c r="G357" s="43" t="str">
        <f t="shared" si="4"/>
        <v>NA</v>
      </c>
      <c r="H357" s="17" t="str">
        <f t="shared" si="5"/>
        <v>BCA102-NA</v>
      </c>
      <c r="I357" s="9"/>
      <c r="J357" t="str">
        <f t="shared" si="6"/>
        <v>collected</v>
      </c>
      <c r="K357" t="str">
        <f t="shared" si="7"/>
        <v>N</v>
      </c>
    </row>
    <row r="358">
      <c r="A358" s="27" t="s">
        <v>681</v>
      </c>
      <c r="B358" s="10" t="str">
        <f t="shared" si="1"/>
        <v>fish</v>
      </c>
      <c r="C358" s="63" t="str">
        <f t="shared" si="2"/>
        <v>U5464</v>
      </c>
      <c r="D358" s="11" t="str">
        <f t="array" ref="D358">iferror(index(fish_lab_data!D:D,match(A358,fish_lab_data!C:C,0)))</f>
        <v>JP472</v>
      </c>
      <c r="E358" s="6">
        <v>102.0</v>
      </c>
      <c r="F358" s="17" t="str">
        <f t="shared" si="3"/>
        <v>BCA102</v>
      </c>
      <c r="G358" s="43" t="str">
        <f t="shared" si="4"/>
        <v>NA</v>
      </c>
      <c r="H358" s="17" t="str">
        <f t="shared" si="5"/>
        <v>BCA102-NA</v>
      </c>
      <c r="I358" s="9"/>
      <c r="J358" t="str">
        <f t="shared" si="6"/>
        <v>collected</v>
      </c>
      <c r="K358" t="str">
        <f t="shared" si="7"/>
        <v>N</v>
      </c>
    </row>
    <row r="359">
      <c r="A359" s="27" t="s">
        <v>682</v>
      </c>
      <c r="B359" s="10" t="str">
        <f t="shared" si="1"/>
        <v>fish</v>
      </c>
      <c r="C359" s="63" t="str">
        <f t="shared" si="2"/>
        <v>U5465</v>
      </c>
      <c r="D359" s="11" t="str">
        <f t="array" ref="D359">iferror(index(fish_lab_data!D:D,match(A359,fish_lab_data!C:C,0)))</f>
        <v>JP472</v>
      </c>
      <c r="E359" s="6">
        <v>102.0</v>
      </c>
      <c r="F359" s="17" t="str">
        <f t="shared" si="3"/>
        <v>BCA102</v>
      </c>
      <c r="G359" s="43" t="str">
        <f t="shared" si="4"/>
        <v>NA</v>
      </c>
      <c r="H359" s="17" t="str">
        <f t="shared" si="5"/>
        <v>BCA102-NA</v>
      </c>
      <c r="I359" s="9"/>
      <c r="J359" t="str">
        <f t="shared" si="6"/>
        <v>collected</v>
      </c>
      <c r="K359" t="str">
        <f t="shared" si="7"/>
        <v>N</v>
      </c>
    </row>
    <row r="360">
      <c r="A360" s="27" t="s">
        <v>683</v>
      </c>
      <c r="B360" s="10" t="str">
        <f t="shared" si="1"/>
        <v>fish</v>
      </c>
      <c r="C360" s="63" t="str">
        <f t="shared" si="2"/>
        <v>U5466</v>
      </c>
      <c r="D360" s="11" t="str">
        <f t="array" ref="D360">iferror(index(fish_lab_data!D:D,match(A360,fish_lab_data!C:C,0)))</f>
        <v>JP472</v>
      </c>
      <c r="E360" s="6">
        <v>102.0</v>
      </c>
      <c r="F360" s="17" t="str">
        <f t="shared" si="3"/>
        <v>BCA102</v>
      </c>
      <c r="G360" s="43" t="str">
        <f t="shared" si="4"/>
        <v>NA</v>
      </c>
      <c r="H360" s="17" t="str">
        <f t="shared" si="5"/>
        <v>BCA102-NA</v>
      </c>
      <c r="I360" s="9"/>
      <c r="J360" t="str">
        <f t="shared" si="6"/>
        <v>collected</v>
      </c>
      <c r="K360" t="str">
        <f t="shared" si="7"/>
        <v>N</v>
      </c>
    </row>
    <row r="361">
      <c r="A361" s="27" t="s">
        <v>685</v>
      </c>
      <c r="B361" s="10" t="str">
        <f t="shared" si="1"/>
        <v>fish</v>
      </c>
      <c r="C361" s="63" t="str">
        <f t="shared" si="2"/>
        <v>U16753</v>
      </c>
      <c r="D361" s="11" t="str">
        <f t="array" ref="D361">iferror(index(fish_lab_data!D:D,match(A361,fish_lab_data!C:C,0)))</f>
        <v>P1076</v>
      </c>
      <c r="E361" s="6">
        <v>102.0</v>
      </c>
      <c r="F361" s="17" t="str">
        <f t="shared" si="3"/>
        <v>BCA102</v>
      </c>
      <c r="G361" s="43" t="str">
        <f t="shared" si="4"/>
        <v>NA</v>
      </c>
      <c r="H361" s="17" t="str">
        <f t="shared" si="5"/>
        <v>BCA102-NA</v>
      </c>
      <c r="I361" s="9"/>
      <c r="J361" t="str">
        <f t="shared" si="6"/>
        <v>collected</v>
      </c>
      <c r="K361" t="str">
        <f t="shared" si="7"/>
        <v>N</v>
      </c>
    </row>
    <row r="362">
      <c r="A362" s="27" t="s">
        <v>686</v>
      </c>
      <c r="B362" s="10" t="str">
        <f t="shared" si="1"/>
        <v>fish</v>
      </c>
      <c r="C362" s="63" t="str">
        <f t="shared" si="2"/>
        <v>U16751</v>
      </c>
      <c r="D362" s="11" t="str">
        <f t="array" ref="D362">iferror(index(fish_lab_data!D:D,match(A362,fish_lab_data!C:C,0)))</f>
        <v>P1076</v>
      </c>
      <c r="E362" s="6">
        <v>102.0</v>
      </c>
      <c r="F362" s="17" t="str">
        <f t="shared" si="3"/>
        <v>BCA102</v>
      </c>
      <c r="G362" s="43" t="str">
        <f t="shared" si="4"/>
        <v>NA</v>
      </c>
      <c r="H362" s="17" t="str">
        <f t="shared" si="5"/>
        <v>BCA102-NA</v>
      </c>
      <c r="I362" s="9"/>
      <c r="J362" t="str">
        <f t="shared" si="6"/>
        <v>collected</v>
      </c>
      <c r="K362" t="str">
        <f t="shared" si="7"/>
        <v>N</v>
      </c>
    </row>
    <row r="363">
      <c r="A363" s="27" t="s">
        <v>689</v>
      </c>
      <c r="B363" s="10" t="str">
        <f t="shared" si="1"/>
        <v>fish</v>
      </c>
      <c r="C363" s="63" t="str">
        <f t="shared" si="2"/>
        <v>U16752</v>
      </c>
      <c r="D363" s="11" t="str">
        <f t="array" ref="D363">iferror(index(fish_lab_data!D:D,match(A363,fish_lab_data!C:C,0)))</f>
        <v>P1076</v>
      </c>
      <c r="E363" s="6">
        <v>102.0</v>
      </c>
      <c r="F363" s="17" t="str">
        <f t="shared" si="3"/>
        <v>BCA102</v>
      </c>
      <c r="G363" s="43" t="str">
        <f t="shared" si="4"/>
        <v>NA</v>
      </c>
      <c r="H363" s="17" t="str">
        <f t="shared" si="5"/>
        <v>BCA102-NA</v>
      </c>
      <c r="I363" s="9"/>
      <c r="J363" t="str">
        <f t="shared" si="6"/>
        <v>collected</v>
      </c>
      <c r="K363" t="str">
        <f t="shared" si="7"/>
        <v>N</v>
      </c>
    </row>
    <row r="364">
      <c r="A364" s="27" t="s">
        <v>690</v>
      </c>
      <c r="B364" s="10" t="str">
        <f t="shared" si="1"/>
        <v>fish</v>
      </c>
      <c r="C364" s="63" t="str">
        <f t="shared" si="2"/>
        <v>U16756</v>
      </c>
      <c r="D364" s="11" t="str">
        <f t="array" ref="D364">iferror(index(fish_lab_data!D:D,match(A364,fish_lab_data!C:C,0)))</f>
        <v>P1076</v>
      </c>
      <c r="E364" s="6">
        <v>102.0</v>
      </c>
      <c r="F364" s="17" t="str">
        <f t="shared" si="3"/>
        <v>BCA102</v>
      </c>
      <c r="G364" s="43" t="str">
        <f t="shared" si="4"/>
        <v>NA</v>
      </c>
      <c r="H364" s="17" t="str">
        <f t="shared" si="5"/>
        <v>BCA102-NA</v>
      </c>
      <c r="I364" s="9"/>
      <c r="J364" t="str">
        <f t="shared" si="6"/>
        <v>collected</v>
      </c>
      <c r="K364" t="str">
        <f t="shared" si="7"/>
        <v>N</v>
      </c>
    </row>
    <row r="365">
      <c r="A365" s="27" t="s">
        <v>691</v>
      </c>
      <c r="B365" s="10" t="str">
        <f t="shared" si="1"/>
        <v>fish</v>
      </c>
      <c r="C365" s="63" t="str">
        <f t="shared" si="2"/>
        <v>U16754</v>
      </c>
      <c r="D365" s="11" t="str">
        <f t="array" ref="D365">iferror(index(fish_lab_data!D:D,match(A365,fish_lab_data!C:C,0)))</f>
        <v>P1076</v>
      </c>
      <c r="E365" s="6">
        <v>102.0</v>
      </c>
      <c r="F365" s="17" t="str">
        <f t="shared" si="3"/>
        <v>BCA102</v>
      </c>
      <c r="G365" s="43" t="str">
        <f t="shared" si="4"/>
        <v>NA</v>
      </c>
      <c r="H365" s="17" t="str">
        <f t="shared" si="5"/>
        <v>BCA102-NA</v>
      </c>
      <c r="I365" s="9"/>
      <c r="J365" t="str">
        <f t="shared" si="6"/>
        <v>collected</v>
      </c>
      <c r="K365" t="str">
        <f t="shared" si="7"/>
        <v>N</v>
      </c>
    </row>
    <row r="366">
      <c r="A366" s="27" t="s">
        <v>693</v>
      </c>
      <c r="B366" s="10" t="str">
        <f t="shared" si="1"/>
        <v>fish</v>
      </c>
      <c r="C366" s="63" t="str">
        <f t="shared" si="2"/>
        <v>U16755</v>
      </c>
      <c r="D366" s="11" t="str">
        <f t="array" ref="D366">iferror(index(fish_lab_data!D:D,match(A366,fish_lab_data!C:C,0)))</f>
        <v>P1076</v>
      </c>
      <c r="E366" s="6">
        <v>102.0</v>
      </c>
      <c r="F366" s="17" t="str">
        <f t="shared" si="3"/>
        <v>BCA102</v>
      </c>
      <c r="G366" s="43" t="str">
        <f t="shared" si="4"/>
        <v>NA</v>
      </c>
      <c r="H366" s="17" t="str">
        <f t="shared" si="5"/>
        <v>BCA102-NA</v>
      </c>
      <c r="I366" s="9"/>
      <c r="J366" t="str">
        <f t="shared" si="6"/>
        <v>collected</v>
      </c>
      <c r="K366" t="str">
        <f t="shared" si="7"/>
        <v>N</v>
      </c>
    </row>
    <row r="367">
      <c r="A367" s="27" t="s">
        <v>694</v>
      </c>
      <c r="B367" s="10" t="str">
        <f t="shared" si="1"/>
        <v>fish</v>
      </c>
      <c r="C367" s="63" t="str">
        <f t="shared" si="2"/>
        <v>U16757</v>
      </c>
      <c r="D367" s="11" t="str">
        <f t="array" ref="D367">iferror(index(fish_lab_data!D:D,match(A367,fish_lab_data!C:C,0)))</f>
        <v>P1076</v>
      </c>
      <c r="E367" s="6">
        <v>102.0</v>
      </c>
      <c r="F367" s="17" t="str">
        <f t="shared" si="3"/>
        <v>BCA102</v>
      </c>
      <c r="G367" s="43" t="str">
        <f t="shared" si="4"/>
        <v>NA</v>
      </c>
      <c r="H367" s="17" t="str">
        <f t="shared" si="5"/>
        <v>BCA102-NA</v>
      </c>
      <c r="I367" s="9"/>
      <c r="J367" t="str">
        <f t="shared" si="6"/>
        <v>collected</v>
      </c>
      <c r="K367" t="str">
        <f t="shared" si="7"/>
        <v>N</v>
      </c>
    </row>
    <row r="368">
      <c r="A368" s="26" t="s">
        <v>698</v>
      </c>
      <c r="B368" s="10" t="str">
        <f t="shared" si="1"/>
        <v>fish</v>
      </c>
      <c r="C368" s="63" t="str">
        <f t="shared" si="2"/>
        <v>U16758</v>
      </c>
      <c r="D368" s="11" t="str">
        <f t="array" ref="D368">iferror(index(fish_lab_data!D:D,match(A368,fish_lab_data!C:C,0)))</f>
        <v>P1076</v>
      </c>
      <c r="E368" s="6">
        <v>102.0</v>
      </c>
      <c r="F368" s="17" t="str">
        <f t="shared" si="3"/>
        <v>BCA102</v>
      </c>
      <c r="G368" s="43" t="str">
        <f t="shared" si="4"/>
        <v>NA</v>
      </c>
      <c r="H368" s="17" t="str">
        <f t="shared" si="5"/>
        <v>BCA102-NA</v>
      </c>
      <c r="I368" s="9"/>
      <c r="J368" t="str">
        <f t="shared" si="6"/>
        <v>collected</v>
      </c>
      <c r="K368" t="str">
        <f t="shared" si="7"/>
        <v>N</v>
      </c>
    </row>
    <row r="369">
      <c r="A369" s="26" t="s">
        <v>699</v>
      </c>
      <c r="B369" s="10" t="str">
        <f t="shared" si="1"/>
        <v>fish</v>
      </c>
      <c r="C369" s="63" t="str">
        <f t="shared" si="2"/>
        <v>U16701</v>
      </c>
      <c r="D369" s="11" t="str">
        <f t="array" ref="D369">iferror(index(fish_lab_data!D:D,match(A369,fish_lab_data!C:C,0)))</f>
        <v>P1071</v>
      </c>
      <c r="E369" s="6">
        <v>103.0</v>
      </c>
      <c r="F369" s="17" t="str">
        <f t="shared" si="3"/>
        <v>BCA103</v>
      </c>
      <c r="G369" s="43" t="str">
        <f t="shared" si="4"/>
        <v>NA</v>
      </c>
      <c r="H369" s="17" t="str">
        <f t="shared" si="5"/>
        <v>BCA103-NA</v>
      </c>
      <c r="I369" s="9"/>
      <c r="J369" t="str">
        <f t="shared" si="6"/>
        <v>collected</v>
      </c>
      <c r="K369" t="str">
        <f t="shared" si="7"/>
        <v>N</v>
      </c>
    </row>
    <row r="370">
      <c r="A370" s="26" t="s">
        <v>700</v>
      </c>
      <c r="B370" s="10" t="str">
        <f t="shared" si="1"/>
        <v>fish</v>
      </c>
      <c r="C370" s="63" t="str">
        <f t="shared" si="2"/>
        <v>U16702</v>
      </c>
      <c r="D370" s="11" t="str">
        <f t="array" ref="D370">iferror(index(fish_lab_data!D:D,match(A370,fish_lab_data!C:C,0)))</f>
        <v>P1071</v>
      </c>
      <c r="E370" s="6">
        <v>103.0</v>
      </c>
      <c r="F370" s="17" t="str">
        <f t="shared" si="3"/>
        <v>BCA103</v>
      </c>
      <c r="G370" s="43" t="str">
        <f t="shared" si="4"/>
        <v>NA</v>
      </c>
      <c r="H370" s="17" t="str">
        <f t="shared" si="5"/>
        <v>BCA103-NA</v>
      </c>
      <c r="I370" s="9"/>
      <c r="J370" t="str">
        <f t="shared" si="6"/>
        <v>collected</v>
      </c>
      <c r="K370" t="str">
        <f t="shared" si="7"/>
        <v>N</v>
      </c>
    </row>
    <row r="371">
      <c r="A371" s="26" t="s">
        <v>702</v>
      </c>
      <c r="B371" s="10" t="str">
        <f t="shared" si="1"/>
        <v>fish</v>
      </c>
      <c r="C371" s="63" t="str">
        <f t="shared" si="2"/>
        <v>U16703</v>
      </c>
      <c r="D371" s="11" t="str">
        <f t="array" ref="D371">iferror(index(fish_lab_data!D:D,match(A371,fish_lab_data!C:C,0)))</f>
        <v>P1071</v>
      </c>
      <c r="E371" s="6">
        <v>103.0</v>
      </c>
      <c r="F371" s="17" t="str">
        <f t="shared" si="3"/>
        <v>BCA103</v>
      </c>
      <c r="G371" s="43" t="str">
        <f t="shared" si="4"/>
        <v>NA</v>
      </c>
      <c r="H371" s="17" t="str">
        <f t="shared" si="5"/>
        <v>BCA103-NA</v>
      </c>
      <c r="I371" s="9"/>
      <c r="J371" t="str">
        <f t="shared" si="6"/>
        <v>collected</v>
      </c>
      <c r="K371" t="str">
        <f t="shared" si="7"/>
        <v>N</v>
      </c>
    </row>
    <row r="372">
      <c r="A372" s="26" t="s">
        <v>704</v>
      </c>
      <c r="B372" s="10" t="str">
        <f t="shared" si="1"/>
        <v>fish</v>
      </c>
      <c r="C372" s="63" t="str">
        <f t="shared" si="2"/>
        <v>U16705</v>
      </c>
      <c r="D372" s="11" t="str">
        <f t="array" ref="D372">iferror(index(fish_lab_data!D:D,match(A372,fish_lab_data!C:C,0)))</f>
        <v>P1071</v>
      </c>
      <c r="E372" s="6">
        <v>103.0</v>
      </c>
      <c r="F372" s="17" t="str">
        <f t="shared" si="3"/>
        <v>BCA103</v>
      </c>
      <c r="G372" s="43" t="str">
        <f t="shared" si="4"/>
        <v>NA</v>
      </c>
      <c r="H372" s="17" t="str">
        <f t="shared" si="5"/>
        <v>BCA103-NA</v>
      </c>
      <c r="I372" s="9"/>
      <c r="J372" t="str">
        <f t="shared" si="6"/>
        <v>collected</v>
      </c>
      <c r="K372" t="str">
        <f t="shared" si="7"/>
        <v>N</v>
      </c>
    </row>
    <row r="373">
      <c r="A373" s="26" t="s">
        <v>706</v>
      </c>
      <c r="B373" s="10" t="str">
        <f t="shared" si="1"/>
        <v>fish</v>
      </c>
      <c r="C373" s="63" t="str">
        <f t="shared" si="2"/>
        <v>U16704</v>
      </c>
      <c r="D373" s="11" t="str">
        <f t="array" ref="D373">iferror(index(fish_lab_data!D:D,match(A373,fish_lab_data!C:C,0)))</f>
        <v>P1071</v>
      </c>
      <c r="E373" s="6">
        <v>103.0</v>
      </c>
      <c r="F373" s="17" t="str">
        <f t="shared" si="3"/>
        <v>BCA103</v>
      </c>
      <c r="G373" s="43" t="str">
        <f t="shared" si="4"/>
        <v>NA</v>
      </c>
      <c r="H373" s="17" t="str">
        <f t="shared" si="5"/>
        <v>BCA103-NA</v>
      </c>
      <c r="I373" s="9"/>
      <c r="J373" t="str">
        <f t="shared" si="6"/>
        <v>collected</v>
      </c>
      <c r="K373" t="str">
        <f t="shared" si="7"/>
        <v>N</v>
      </c>
    </row>
    <row r="374">
      <c r="A374" s="26" t="s">
        <v>707</v>
      </c>
      <c r="B374" s="10" t="str">
        <f t="shared" si="1"/>
        <v>fish</v>
      </c>
      <c r="C374" s="63" t="str">
        <f t="shared" si="2"/>
        <v>U16706</v>
      </c>
      <c r="D374" s="11" t="str">
        <f t="array" ref="D374">iferror(index(fish_lab_data!D:D,match(A374,fish_lab_data!C:C,0)))</f>
        <v>P1071</v>
      </c>
      <c r="E374" s="6">
        <v>103.0</v>
      </c>
      <c r="F374" s="17" t="str">
        <f t="shared" si="3"/>
        <v>BCA103</v>
      </c>
      <c r="G374" s="43" t="str">
        <f t="shared" si="4"/>
        <v>NA</v>
      </c>
      <c r="H374" s="17" t="str">
        <f t="shared" si="5"/>
        <v>BCA103-NA</v>
      </c>
      <c r="I374" s="9"/>
      <c r="J374" t="str">
        <f t="shared" si="6"/>
        <v>collected</v>
      </c>
      <c r="K374" t="str">
        <f t="shared" si="7"/>
        <v>N</v>
      </c>
    </row>
    <row r="375">
      <c r="A375" s="44" t="s">
        <v>709</v>
      </c>
      <c r="B375" s="10" t="str">
        <f t="shared" si="1"/>
        <v>fish</v>
      </c>
      <c r="C375" s="63" t="str">
        <f t="shared" si="2"/>
        <v>U16893</v>
      </c>
      <c r="D375" s="11" t="str">
        <f t="array" ref="D375">iferror(index(fish_lab_data!D:D,match(A375,fish_lab_data!C:C,0)))</f>
        <v>P1090</v>
      </c>
      <c r="E375" s="6">
        <v>102.0</v>
      </c>
      <c r="F375" s="17" t="str">
        <f t="shared" si="3"/>
        <v>BCA102</v>
      </c>
      <c r="G375" s="43" t="str">
        <f t="shared" si="4"/>
        <v>NA</v>
      </c>
      <c r="H375" s="17" t="str">
        <f t="shared" si="5"/>
        <v>BCA102-NA</v>
      </c>
      <c r="I375" s="9"/>
      <c r="J375" t="str">
        <f t="shared" si="6"/>
        <v>collected</v>
      </c>
      <c r="K375" t="str">
        <f t="shared" si="7"/>
        <v>N</v>
      </c>
    </row>
    <row r="376">
      <c r="A376" s="44" t="s">
        <v>711</v>
      </c>
      <c r="B376" s="10" t="str">
        <f t="shared" si="1"/>
        <v>fish</v>
      </c>
      <c r="C376" s="63" t="str">
        <f t="shared" si="2"/>
        <v>U16897</v>
      </c>
      <c r="D376" s="11" t="str">
        <f t="array" ref="D376">iferror(index(fish_lab_data!D:D,match(A376,fish_lab_data!C:C,0)))</f>
        <v>P1090</v>
      </c>
      <c r="E376" s="6">
        <v>102.0</v>
      </c>
      <c r="F376" s="17" t="str">
        <f t="shared" si="3"/>
        <v>BCA102</v>
      </c>
      <c r="G376" s="43" t="str">
        <f t="shared" si="4"/>
        <v>NA</v>
      </c>
      <c r="H376" s="17" t="str">
        <f t="shared" si="5"/>
        <v>BCA102-NA</v>
      </c>
      <c r="I376" s="9"/>
      <c r="J376" t="str">
        <f t="shared" si="6"/>
        <v>collected</v>
      </c>
      <c r="K376" t="str">
        <f t="shared" si="7"/>
        <v>N</v>
      </c>
    </row>
    <row r="377">
      <c r="A377" s="44" t="s">
        <v>712</v>
      </c>
      <c r="B377" s="10" t="str">
        <f t="shared" si="1"/>
        <v>fish</v>
      </c>
      <c r="C377" s="63" t="str">
        <f t="shared" si="2"/>
        <v>U16891</v>
      </c>
      <c r="D377" s="11" t="str">
        <f t="array" ref="D377">iferror(index(fish_lab_data!D:D,match(A377,fish_lab_data!C:C,0)))</f>
        <v>P1090</v>
      </c>
      <c r="E377" s="6">
        <v>102.0</v>
      </c>
      <c r="F377" s="17" t="str">
        <f t="shared" si="3"/>
        <v>BCA102</v>
      </c>
      <c r="G377" s="43" t="str">
        <f t="shared" si="4"/>
        <v>NA</v>
      </c>
      <c r="H377" s="17" t="str">
        <f t="shared" si="5"/>
        <v>BCA102-NA</v>
      </c>
      <c r="I377" s="9"/>
      <c r="J377" t="str">
        <f t="shared" si="6"/>
        <v>collected</v>
      </c>
      <c r="K377" t="str">
        <f t="shared" si="7"/>
        <v>N</v>
      </c>
    </row>
    <row r="378">
      <c r="A378" s="44" t="s">
        <v>714</v>
      </c>
      <c r="B378" s="10" t="str">
        <f t="shared" si="1"/>
        <v>fish</v>
      </c>
      <c r="C378" s="63" t="str">
        <f t="shared" si="2"/>
        <v>U16892</v>
      </c>
      <c r="D378" s="11" t="str">
        <f t="array" ref="D378">iferror(index(fish_lab_data!D:D,match(A378,fish_lab_data!C:C,0)))</f>
        <v>P1090</v>
      </c>
      <c r="E378" s="6">
        <v>102.0</v>
      </c>
      <c r="F378" s="17" t="str">
        <f t="shared" si="3"/>
        <v>BCA102</v>
      </c>
      <c r="G378" s="43" t="str">
        <f t="shared" si="4"/>
        <v>NA</v>
      </c>
      <c r="H378" s="17" t="str">
        <f t="shared" si="5"/>
        <v>BCA102-NA</v>
      </c>
      <c r="I378" s="9"/>
      <c r="J378" t="str">
        <f t="shared" si="6"/>
        <v>collected</v>
      </c>
      <c r="K378" t="str">
        <f t="shared" si="7"/>
        <v>N</v>
      </c>
    </row>
    <row r="379">
      <c r="A379" s="44" t="s">
        <v>715</v>
      </c>
      <c r="B379" s="10" t="str">
        <f t="shared" si="1"/>
        <v>fish</v>
      </c>
      <c r="C379" s="63" t="str">
        <f t="shared" si="2"/>
        <v>U16899</v>
      </c>
      <c r="D379" s="11" t="str">
        <f t="array" ref="D379">iferror(index(fish_lab_data!D:D,match(A379,fish_lab_data!C:C,0)))</f>
        <v>P1090</v>
      </c>
      <c r="E379" s="6">
        <v>102.0</v>
      </c>
      <c r="F379" s="17" t="str">
        <f t="shared" si="3"/>
        <v>BCA102</v>
      </c>
      <c r="G379" s="43" t="str">
        <f t="shared" si="4"/>
        <v>NA</v>
      </c>
      <c r="H379" s="17" t="str">
        <f t="shared" si="5"/>
        <v>BCA102-NA</v>
      </c>
      <c r="I379" s="9"/>
      <c r="J379" t="str">
        <f t="shared" si="6"/>
        <v>collected</v>
      </c>
      <c r="K379" t="str">
        <f t="shared" si="7"/>
        <v>N</v>
      </c>
    </row>
    <row r="380">
      <c r="A380" s="44" t="s">
        <v>716</v>
      </c>
      <c r="B380" s="10" t="str">
        <f t="shared" si="1"/>
        <v>fish</v>
      </c>
      <c r="C380" s="63" t="str">
        <f t="shared" si="2"/>
        <v>U16900</v>
      </c>
      <c r="D380" s="11" t="str">
        <f t="array" ref="D380">iferror(index(fish_lab_data!D:D,match(A380,fish_lab_data!C:C,0)))</f>
        <v>P1090</v>
      </c>
      <c r="E380" s="6">
        <v>102.0</v>
      </c>
      <c r="F380" s="17" t="str">
        <f t="shared" si="3"/>
        <v>BCA102</v>
      </c>
      <c r="G380" s="43" t="str">
        <f t="shared" si="4"/>
        <v>NA</v>
      </c>
      <c r="H380" s="17" t="str">
        <f t="shared" si="5"/>
        <v>BCA102-NA</v>
      </c>
      <c r="I380" s="9"/>
      <c r="J380" t="str">
        <f t="shared" si="6"/>
        <v>collected</v>
      </c>
      <c r="K380" t="str">
        <f t="shared" si="7"/>
        <v>N</v>
      </c>
    </row>
    <row r="381">
      <c r="A381" s="44" t="s">
        <v>717</v>
      </c>
      <c r="B381" s="10" t="str">
        <f t="shared" si="1"/>
        <v>fish</v>
      </c>
      <c r="C381" s="63" t="str">
        <f t="shared" si="2"/>
        <v>U16896</v>
      </c>
      <c r="D381" s="11" t="str">
        <f t="array" ref="D381">iferror(index(fish_lab_data!D:D,match(A381,fish_lab_data!C:C,0)))</f>
        <v>P1090</v>
      </c>
      <c r="E381" s="6">
        <v>102.0</v>
      </c>
      <c r="F381" s="17" t="str">
        <f t="shared" si="3"/>
        <v>BCA102</v>
      </c>
      <c r="G381" s="43" t="str">
        <f t="shared" si="4"/>
        <v>NA</v>
      </c>
      <c r="H381" s="17" t="str">
        <f t="shared" si="5"/>
        <v>BCA102-NA</v>
      </c>
      <c r="I381" s="9"/>
      <c r="J381" t="str">
        <f t="shared" si="6"/>
        <v>collected</v>
      </c>
      <c r="K381" t="str">
        <f t="shared" si="7"/>
        <v>N</v>
      </c>
    </row>
    <row r="382">
      <c r="A382" s="44" t="s">
        <v>720</v>
      </c>
      <c r="B382" s="10" t="str">
        <f t="shared" si="1"/>
        <v>fish</v>
      </c>
      <c r="C382" s="63" t="str">
        <f t="shared" si="2"/>
        <v>U16894</v>
      </c>
      <c r="D382" s="11" t="str">
        <f t="array" ref="D382">iferror(index(fish_lab_data!D:D,match(A382,fish_lab_data!C:C,0)))</f>
        <v>P1090</v>
      </c>
      <c r="E382" s="6">
        <v>102.0</v>
      </c>
      <c r="F382" s="17" t="str">
        <f t="shared" si="3"/>
        <v>BCA102</v>
      </c>
      <c r="G382" s="43" t="str">
        <f t="shared" si="4"/>
        <v>NA</v>
      </c>
      <c r="H382" s="17" t="str">
        <f t="shared" si="5"/>
        <v>BCA102-NA</v>
      </c>
      <c r="I382" s="9"/>
      <c r="J382" t="str">
        <f t="shared" si="6"/>
        <v>collected</v>
      </c>
      <c r="K382" t="str">
        <f t="shared" si="7"/>
        <v>N</v>
      </c>
    </row>
    <row r="383">
      <c r="A383" s="44" t="s">
        <v>721</v>
      </c>
      <c r="B383" s="10" t="str">
        <f t="shared" si="1"/>
        <v>fish</v>
      </c>
      <c r="C383" s="63" t="str">
        <f t="shared" si="2"/>
        <v>U16895</v>
      </c>
      <c r="D383" s="11" t="str">
        <f t="array" ref="D383">iferror(index(fish_lab_data!D:D,match(A383,fish_lab_data!C:C,0)))</f>
        <v>P1090</v>
      </c>
      <c r="E383" s="6">
        <v>102.0</v>
      </c>
      <c r="F383" s="17" t="str">
        <f t="shared" si="3"/>
        <v>BCA102</v>
      </c>
      <c r="G383" s="43" t="str">
        <f t="shared" si="4"/>
        <v>NA</v>
      </c>
      <c r="H383" s="17" t="str">
        <f t="shared" si="5"/>
        <v>BCA102-NA</v>
      </c>
      <c r="I383" s="9"/>
      <c r="J383" t="str">
        <f t="shared" si="6"/>
        <v>collected</v>
      </c>
      <c r="K383" t="str">
        <f t="shared" si="7"/>
        <v>N</v>
      </c>
    </row>
    <row r="384">
      <c r="A384" s="44" t="s">
        <v>722</v>
      </c>
      <c r="B384" s="10" t="str">
        <f t="shared" si="1"/>
        <v>fish</v>
      </c>
      <c r="C384" s="63" t="str">
        <f t="shared" si="2"/>
        <v>U16898</v>
      </c>
      <c r="D384" s="11" t="str">
        <f t="array" ref="D384">iferror(index(fish_lab_data!D:D,match(A384,fish_lab_data!C:C,0)))</f>
        <v>P1090</v>
      </c>
      <c r="E384" s="6">
        <v>102.0</v>
      </c>
      <c r="F384" s="17" t="str">
        <f t="shared" si="3"/>
        <v>BCA102</v>
      </c>
      <c r="G384" s="43" t="str">
        <f t="shared" si="4"/>
        <v>NA</v>
      </c>
      <c r="H384" s="17" t="str">
        <f t="shared" si="5"/>
        <v>BCA102-NA</v>
      </c>
      <c r="I384" s="9"/>
      <c r="J384" t="str">
        <f t="shared" si="6"/>
        <v>collected</v>
      </c>
      <c r="K384" t="str">
        <f t="shared" si="7"/>
        <v>N</v>
      </c>
    </row>
    <row r="385">
      <c r="A385" s="44" t="s">
        <v>723</v>
      </c>
      <c r="B385" s="10" t="str">
        <f t="shared" si="1"/>
        <v>fish</v>
      </c>
      <c r="C385" s="63" t="str">
        <f t="shared" si="2"/>
        <v>U16761</v>
      </c>
      <c r="D385" s="11" t="str">
        <f t="array" ref="D385">iferror(index(fish_lab_data!D:D,match(A385,fish_lab_data!C:C,0)))</f>
        <v>P1077</v>
      </c>
      <c r="E385" s="6">
        <v>103.0</v>
      </c>
      <c r="F385" s="17" t="str">
        <f t="shared" si="3"/>
        <v>BCA103</v>
      </c>
      <c r="G385" s="43" t="str">
        <f t="shared" si="4"/>
        <v>NA</v>
      </c>
      <c r="H385" s="17" t="str">
        <f t="shared" si="5"/>
        <v>BCA103-NA</v>
      </c>
      <c r="I385" s="9"/>
      <c r="J385" t="str">
        <f t="shared" si="6"/>
        <v>collected</v>
      </c>
      <c r="K385" t="str">
        <f t="shared" si="7"/>
        <v>N</v>
      </c>
    </row>
    <row r="386">
      <c r="A386" s="44" t="s">
        <v>724</v>
      </c>
      <c r="B386" s="10" t="str">
        <f t="shared" si="1"/>
        <v>fish</v>
      </c>
      <c r="C386" s="63" t="str">
        <f t="shared" si="2"/>
        <v>U16766</v>
      </c>
      <c r="D386" s="11" t="str">
        <f t="array" ref="D386">iferror(index(fish_lab_data!D:D,match(A386,fish_lab_data!C:C,0)))</f>
        <v>P1077</v>
      </c>
      <c r="E386" s="6">
        <v>103.0</v>
      </c>
      <c r="F386" s="17" t="str">
        <f t="shared" si="3"/>
        <v>BCA103</v>
      </c>
      <c r="G386" s="43" t="str">
        <f t="shared" si="4"/>
        <v>NA</v>
      </c>
      <c r="H386" s="17" t="str">
        <f t="shared" si="5"/>
        <v>BCA103-NA</v>
      </c>
      <c r="I386" s="9"/>
      <c r="J386" t="str">
        <f t="shared" si="6"/>
        <v>collected</v>
      </c>
      <c r="K386" t="str">
        <f t="shared" si="7"/>
        <v>N</v>
      </c>
    </row>
    <row r="387">
      <c r="A387" s="44" t="s">
        <v>726</v>
      </c>
      <c r="B387" s="10" t="str">
        <f t="shared" si="1"/>
        <v>fish</v>
      </c>
      <c r="C387" s="63" t="str">
        <f t="shared" si="2"/>
        <v>U16763</v>
      </c>
      <c r="D387" s="11" t="str">
        <f t="array" ref="D387">iferror(index(fish_lab_data!D:D,match(A387,fish_lab_data!C:C,0)))</f>
        <v>P1077</v>
      </c>
      <c r="E387" s="6">
        <v>103.0</v>
      </c>
      <c r="F387" s="17" t="str">
        <f t="shared" si="3"/>
        <v>BCA103</v>
      </c>
      <c r="G387" s="43" t="str">
        <f t="shared" si="4"/>
        <v>NA</v>
      </c>
      <c r="H387" s="17" t="str">
        <f t="shared" si="5"/>
        <v>BCA103-NA</v>
      </c>
      <c r="I387" s="9"/>
      <c r="J387" t="str">
        <f t="shared" si="6"/>
        <v>collected</v>
      </c>
      <c r="K387" t="str">
        <f t="shared" si="7"/>
        <v>N</v>
      </c>
    </row>
    <row r="388">
      <c r="A388" s="44" t="s">
        <v>728</v>
      </c>
      <c r="B388" s="10" t="str">
        <f t="shared" si="1"/>
        <v>fish</v>
      </c>
      <c r="C388" s="63" t="str">
        <f t="shared" si="2"/>
        <v>U16765</v>
      </c>
      <c r="D388" s="11" t="str">
        <f t="array" ref="D388">iferror(index(fish_lab_data!D:D,match(A388,fish_lab_data!C:C,0)))</f>
        <v>P1077</v>
      </c>
      <c r="E388" s="6">
        <v>103.0</v>
      </c>
      <c r="F388" s="17" t="str">
        <f t="shared" si="3"/>
        <v>BCA103</v>
      </c>
      <c r="G388" s="43" t="str">
        <f t="shared" si="4"/>
        <v>NA</v>
      </c>
      <c r="H388" s="17" t="str">
        <f t="shared" si="5"/>
        <v>BCA103-NA</v>
      </c>
      <c r="I388" s="9"/>
      <c r="J388" t="str">
        <f t="shared" si="6"/>
        <v>collected</v>
      </c>
      <c r="K388" t="str">
        <f t="shared" si="7"/>
        <v>N</v>
      </c>
    </row>
    <row r="389">
      <c r="A389" s="44" t="s">
        <v>729</v>
      </c>
      <c r="B389" s="10" t="str">
        <f t="shared" si="1"/>
        <v>fish</v>
      </c>
      <c r="C389" s="63" t="str">
        <f t="shared" si="2"/>
        <v>U16767</v>
      </c>
      <c r="D389" s="11" t="str">
        <f t="array" ref="D389">iferror(index(fish_lab_data!D:D,match(A389,fish_lab_data!C:C,0)))</f>
        <v>P1077</v>
      </c>
      <c r="E389" s="6">
        <v>103.0</v>
      </c>
      <c r="F389" s="17" t="str">
        <f t="shared" si="3"/>
        <v>BCA103</v>
      </c>
      <c r="G389" s="43" t="str">
        <f t="shared" si="4"/>
        <v>NA</v>
      </c>
      <c r="H389" s="17" t="str">
        <f t="shared" si="5"/>
        <v>BCA103-NA</v>
      </c>
      <c r="I389" s="9"/>
      <c r="J389" t="str">
        <f t="shared" si="6"/>
        <v>collected</v>
      </c>
      <c r="K389" t="str">
        <f t="shared" si="7"/>
        <v>N</v>
      </c>
    </row>
    <row r="390">
      <c r="A390" s="44" t="s">
        <v>731</v>
      </c>
      <c r="B390" s="10" t="str">
        <f t="shared" si="1"/>
        <v>fish</v>
      </c>
      <c r="C390" s="63" t="str">
        <f t="shared" si="2"/>
        <v>U16762</v>
      </c>
      <c r="D390" s="11" t="str">
        <f t="array" ref="D390">iferror(index(fish_lab_data!D:D,match(A390,fish_lab_data!C:C,0)))</f>
        <v>P1077</v>
      </c>
      <c r="E390" s="6">
        <v>103.0</v>
      </c>
      <c r="F390" s="17" t="str">
        <f t="shared" si="3"/>
        <v>BCA103</v>
      </c>
      <c r="G390" s="43" t="str">
        <f t="shared" si="4"/>
        <v>NA</v>
      </c>
      <c r="H390" s="17" t="str">
        <f t="shared" si="5"/>
        <v>BCA103-NA</v>
      </c>
      <c r="I390" s="9"/>
      <c r="J390" t="str">
        <f t="shared" si="6"/>
        <v>collected</v>
      </c>
      <c r="K390" t="str">
        <f t="shared" si="7"/>
        <v>N</v>
      </c>
    </row>
    <row r="391">
      <c r="A391" s="44" t="s">
        <v>734</v>
      </c>
      <c r="B391" s="10" t="str">
        <f t="shared" si="1"/>
        <v>fish</v>
      </c>
      <c r="C391" s="63" t="str">
        <f t="shared" si="2"/>
        <v>U16764</v>
      </c>
      <c r="D391" s="11" t="str">
        <f t="array" ref="D391">iferror(index(fish_lab_data!D:D,match(A391,fish_lab_data!C:C,0)))</f>
        <v>P1077</v>
      </c>
      <c r="E391" s="6">
        <v>103.0</v>
      </c>
      <c r="F391" s="17" t="str">
        <f t="shared" si="3"/>
        <v>BCA103</v>
      </c>
      <c r="G391" s="43" t="str">
        <f t="shared" si="4"/>
        <v>NA</v>
      </c>
      <c r="H391" s="17" t="str">
        <f t="shared" si="5"/>
        <v>BCA103-NA</v>
      </c>
      <c r="I391" s="9"/>
      <c r="J391" t="str">
        <f t="shared" si="6"/>
        <v>collected</v>
      </c>
      <c r="K391" t="str">
        <f t="shared" si="7"/>
        <v>N</v>
      </c>
    </row>
    <row r="392">
      <c r="A392" s="6" t="s">
        <v>735</v>
      </c>
      <c r="B392" s="10" t="str">
        <f t="shared" si="1"/>
        <v>fish</v>
      </c>
      <c r="C392" s="63" t="str">
        <f t="shared" si="2"/>
        <v>U16707</v>
      </c>
      <c r="D392" s="11" t="str">
        <f t="array" ref="D392">iferror(index(fish_lab_data!D:D,match(A392,fish_lab_data!C:C,0)))</f>
        <v>P1071</v>
      </c>
      <c r="E392" s="6">
        <v>103.0</v>
      </c>
      <c r="F392" s="17" t="str">
        <f t="shared" si="3"/>
        <v>BCA103</v>
      </c>
      <c r="G392" s="43" t="str">
        <f t="shared" si="4"/>
        <v>NA</v>
      </c>
      <c r="H392" s="17" t="str">
        <f t="shared" si="5"/>
        <v>BCA103-NA</v>
      </c>
      <c r="J392" t="str">
        <f t="shared" si="6"/>
        <v>collected</v>
      </c>
      <c r="K392" t="str">
        <f t="shared" si="7"/>
        <v>N</v>
      </c>
    </row>
    <row r="393">
      <c r="A393" s="6" t="s">
        <v>736</v>
      </c>
      <c r="B393" s="10" t="str">
        <f t="shared" si="1"/>
        <v>fish</v>
      </c>
      <c r="C393" s="63" t="str">
        <f t="shared" si="2"/>
        <v>U16708</v>
      </c>
      <c r="D393" s="11" t="str">
        <f t="array" ref="D393">iferror(index(fish_lab_data!D:D,match(A393,fish_lab_data!C:C,0)))</f>
        <v>P1071</v>
      </c>
      <c r="E393" s="6">
        <v>103.0</v>
      </c>
      <c r="F393" s="17" t="str">
        <f t="shared" si="3"/>
        <v>BCA103</v>
      </c>
      <c r="G393" s="43" t="str">
        <f t="shared" si="4"/>
        <v>NA</v>
      </c>
      <c r="H393" s="17" t="str">
        <f t="shared" si="5"/>
        <v>BCA103-NA</v>
      </c>
      <c r="J393" t="str">
        <f t="shared" si="6"/>
        <v>collected</v>
      </c>
      <c r="K393" t="str">
        <f t="shared" si="7"/>
        <v>N</v>
      </c>
    </row>
    <row r="394">
      <c r="A394" s="6" t="s">
        <v>738</v>
      </c>
      <c r="B394" s="10" t="str">
        <f t="shared" si="1"/>
        <v>fish</v>
      </c>
      <c r="C394" s="63" t="str">
        <f t="shared" si="2"/>
        <v>U16709</v>
      </c>
      <c r="D394" s="11" t="str">
        <f t="array" ref="D394">iferror(index(fish_lab_data!D:D,match(A394,fish_lab_data!C:C,0)))</f>
        <v>P1071</v>
      </c>
      <c r="E394" s="6">
        <v>103.0</v>
      </c>
      <c r="F394" s="17" t="str">
        <f t="shared" si="3"/>
        <v>BCA103</v>
      </c>
      <c r="G394" s="43" t="str">
        <f t="shared" si="4"/>
        <v>NA</v>
      </c>
      <c r="H394" s="17" t="str">
        <f t="shared" si="5"/>
        <v>BCA103-NA</v>
      </c>
      <c r="J394" t="str">
        <f t="shared" si="6"/>
        <v>collected</v>
      </c>
      <c r="K394" t="str">
        <f t="shared" si="7"/>
        <v>N</v>
      </c>
    </row>
    <row r="395">
      <c r="A395" s="6" t="s">
        <v>740</v>
      </c>
      <c r="B395" s="10" t="str">
        <f t="shared" si="1"/>
        <v>fish</v>
      </c>
      <c r="C395" s="63" t="str">
        <f t="shared" si="2"/>
        <v>U16710</v>
      </c>
      <c r="D395" s="11" t="str">
        <f t="array" ref="D395">iferror(index(fish_lab_data!D:D,match(A395,fish_lab_data!C:C,0)))</f>
        <v>P1071</v>
      </c>
      <c r="E395" s="6">
        <v>103.0</v>
      </c>
      <c r="F395" s="17" t="str">
        <f t="shared" si="3"/>
        <v>BCA103</v>
      </c>
      <c r="G395" s="43" t="str">
        <f t="shared" si="4"/>
        <v>NA</v>
      </c>
      <c r="H395" s="17" t="str">
        <f t="shared" si="5"/>
        <v>BCA103-NA</v>
      </c>
      <c r="J395" t="str">
        <f t="shared" si="6"/>
        <v>collected</v>
      </c>
      <c r="K395" t="str">
        <f t="shared" si="7"/>
        <v>N</v>
      </c>
    </row>
    <row r="396">
      <c r="A396" s="6" t="s">
        <v>741</v>
      </c>
      <c r="B396" s="10" t="str">
        <f t="shared" si="1"/>
        <v>fish</v>
      </c>
      <c r="C396" s="63" t="str">
        <f t="shared" si="2"/>
        <v>U16921</v>
      </c>
      <c r="D396" s="11" t="str">
        <f t="array" ref="D396">iferror(index(fish_lab_data!D:D,match(A396,fish_lab_data!C:C,0)))</f>
        <v>P1093</v>
      </c>
      <c r="E396" s="6">
        <v>103.0</v>
      </c>
      <c r="F396" s="17" t="str">
        <f t="shared" si="3"/>
        <v>BCA103</v>
      </c>
      <c r="G396" s="43" t="str">
        <f t="shared" si="4"/>
        <v>NA</v>
      </c>
      <c r="H396" s="17" t="str">
        <f t="shared" si="5"/>
        <v>BCA103-NA</v>
      </c>
      <c r="J396" t="str">
        <f t="shared" si="6"/>
        <v>collected</v>
      </c>
      <c r="K396" t="str">
        <f t="shared" si="7"/>
        <v>N</v>
      </c>
    </row>
    <row r="397">
      <c r="A397" s="26" t="s">
        <v>743</v>
      </c>
      <c r="B397" s="10" t="str">
        <f t="shared" si="1"/>
        <v>fish</v>
      </c>
      <c r="C397" s="63" t="str">
        <f t="shared" si="2"/>
        <v>U16922</v>
      </c>
      <c r="D397" s="11" t="str">
        <f t="array" ref="D397">iferror(index(fish_lab_data!D:D,match(A397,fish_lab_data!C:C,0)))</f>
        <v>P1093</v>
      </c>
      <c r="E397" s="6">
        <v>103.0</v>
      </c>
      <c r="F397" s="17" t="str">
        <f t="shared" si="3"/>
        <v>BCA103</v>
      </c>
      <c r="G397" s="43" t="str">
        <f t="shared" si="4"/>
        <v>NA</v>
      </c>
      <c r="H397" s="17" t="str">
        <f t="shared" si="5"/>
        <v>BCA103-NA</v>
      </c>
      <c r="J397" t="str">
        <f t="shared" si="6"/>
        <v>collected</v>
      </c>
      <c r="K397" t="str">
        <f t="shared" si="7"/>
        <v>N</v>
      </c>
    </row>
    <row r="398">
      <c r="A398" s="26" t="s">
        <v>744</v>
      </c>
      <c r="B398" s="10" t="str">
        <f t="shared" si="1"/>
        <v>fish</v>
      </c>
      <c r="C398" s="63" t="str">
        <f t="shared" si="2"/>
        <v>U16923</v>
      </c>
      <c r="D398" s="11" t="str">
        <f t="array" ref="D398">iferror(index(fish_lab_data!D:D,match(A398,fish_lab_data!C:C,0)))</f>
        <v>P1093</v>
      </c>
      <c r="E398" s="6">
        <v>103.0</v>
      </c>
      <c r="F398" s="17" t="str">
        <f t="shared" si="3"/>
        <v>BCA103</v>
      </c>
      <c r="G398" s="43" t="str">
        <f t="shared" si="4"/>
        <v>NA</v>
      </c>
      <c r="H398" s="17" t="str">
        <f t="shared" si="5"/>
        <v>BCA103-NA</v>
      </c>
      <c r="J398" t="str">
        <f t="shared" si="6"/>
        <v>collected</v>
      </c>
      <c r="K398" t="str">
        <f t="shared" si="7"/>
        <v>N</v>
      </c>
    </row>
    <row r="399">
      <c r="A399" s="26" t="s">
        <v>745</v>
      </c>
      <c r="B399" s="10" t="str">
        <f t="shared" si="1"/>
        <v>fish</v>
      </c>
      <c r="C399" s="63" t="str">
        <f t="shared" si="2"/>
        <v>U17351</v>
      </c>
      <c r="D399" s="11" t="str">
        <f t="array" ref="D399">iferror(index(fish_lab_data!D:D,match(A399,fish_lab_data!C:C,0)))</f>
        <v>P1136</v>
      </c>
      <c r="E399" s="6">
        <v>103.0</v>
      </c>
      <c r="F399" s="17" t="str">
        <f t="shared" si="3"/>
        <v>BCA103</v>
      </c>
      <c r="G399" s="43" t="str">
        <f t="shared" si="4"/>
        <v>NA</v>
      </c>
      <c r="H399" s="17" t="str">
        <f t="shared" si="5"/>
        <v>BCA103-NA</v>
      </c>
      <c r="J399" t="str">
        <f t="shared" si="6"/>
        <v>collected</v>
      </c>
      <c r="K399" t="str">
        <f t="shared" si="7"/>
        <v>N</v>
      </c>
    </row>
    <row r="400">
      <c r="A400" s="26" t="s">
        <v>747</v>
      </c>
      <c r="B400" s="10" t="str">
        <f t="shared" si="1"/>
        <v>fish</v>
      </c>
      <c r="C400" s="63" t="str">
        <f t="shared" si="2"/>
        <v>U17352</v>
      </c>
      <c r="D400" s="11" t="str">
        <f t="array" ref="D400">iferror(index(fish_lab_data!D:D,match(A400,fish_lab_data!C:C,0)))</f>
        <v>P1136</v>
      </c>
      <c r="E400" s="6">
        <v>103.0</v>
      </c>
      <c r="F400" s="17" t="str">
        <f t="shared" si="3"/>
        <v>BCA103</v>
      </c>
      <c r="G400" s="43" t="str">
        <f t="shared" si="4"/>
        <v>NA</v>
      </c>
      <c r="H400" s="17" t="str">
        <f t="shared" si="5"/>
        <v>BCA103-NA</v>
      </c>
      <c r="J400" t="str">
        <f t="shared" si="6"/>
        <v>collected</v>
      </c>
      <c r="K400" t="str">
        <f t="shared" si="7"/>
        <v>N</v>
      </c>
    </row>
    <row r="401">
      <c r="A401" s="26" t="s">
        <v>749</v>
      </c>
      <c r="B401" s="10" t="str">
        <f t="shared" si="1"/>
        <v>fish</v>
      </c>
      <c r="C401" s="63" t="str">
        <f t="shared" si="2"/>
        <v>U17353</v>
      </c>
      <c r="D401" s="11" t="str">
        <f t="array" ref="D401">iferror(index(fish_lab_data!D:D,match(A401,fish_lab_data!C:C,0)))</f>
        <v>P1136</v>
      </c>
      <c r="E401" s="6">
        <v>103.0</v>
      </c>
      <c r="F401" s="17" t="str">
        <f t="shared" si="3"/>
        <v>BCA103</v>
      </c>
      <c r="G401" s="43" t="str">
        <f t="shared" si="4"/>
        <v>NA</v>
      </c>
      <c r="H401" s="17" t="str">
        <f t="shared" si="5"/>
        <v>BCA103-NA</v>
      </c>
      <c r="J401" t="str">
        <f t="shared" si="6"/>
        <v>collected</v>
      </c>
      <c r="K401" t="str">
        <f t="shared" si="7"/>
        <v>N</v>
      </c>
    </row>
    <row r="402">
      <c r="A402" s="26" t="s">
        <v>751</v>
      </c>
      <c r="B402" s="10" t="str">
        <f t="shared" si="1"/>
        <v>fish</v>
      </c>
      <c r="C402" s="63" t="str">
        <f t="shared" si="2"/>
        <v>U17354</v>
      </c>
      <c r="D402" s="11" t="str">
        <f t="array" ref="D402">iferror(index(fish_lab_data!D:D,match(A402,fish_lab_data!C:C,0)))</f>
        <v>P1136</v>
      </c>
      <c r="E402" s="6">
        <v>103.0</v>
      </c>
      <c r="F402" s="17" t="str">
        <f t="shared" si="3"/>
        <v>BCA103</v>
      </c>
      <c r="G402" s="43" t="str">
        <f t="shared" si="4"/>
        <v>NA</v>
      </c>
      <c r="H402" s="17" t="str">
        <f t="shared" si="5"/>
        <v>BCA103-NA</v>
      </c>
      <c r="J402" t="str">
        <f t="shared" si="6"/>
        <v>collected</v>
      </c>
      <c r="K402" t="str">
        <f t="shared" si="7"/>
        <v>N</v>
      </c>
    </row>
    <row r="403">
      <c r="A403" s="26" t="s">
        <v>753</v>
      </c>
      <c r="B403" s="10" t="str">
        <f t="shared" si="1"/>
        <v>fish</v>
      </c>
      <c r="C403" s="63" t="str">
        <f t="shared" si="2"/>
        <v>U17355</v>
      </c>
      <c r="D403" s="11" t="str">
        <f t="array" ref="D403">iferror(index(fish_lab_data!D:D,match(A403,fish_lab_data!C:C,0)))</f>
        <v>P1136</v>
      </c>
      <c r="E403" s="6">
        <v>103.0</v>
      </c>
      <c r="F403" s="17" t="str">
        <f t="shared" si="3"/>
        <v>BCA103</v>
      </c>
      <c r="G403" s="43" t="str">
        <f t="shared" si="4"/>
        <v>NA</v>
      </c>
      <c r="H403" s="17" t="str">
        <f t="shared" si="5"/>
        <v>BCA103-NA</v>
      </c>
      <c r="J403" t="str">
        <f t="shared" si="6"/>
        <v>collected</v>
      </c>
      <c r="K403" t="str">
        <f t="shared" si="7"/>
        <v>N</v>
      </c>
    </row>
    <row r="404">
      <c r="A404" s="27" t="s">
        <v>755</v>
      </c>
      <c r="B404" s="10" t="str">
        <f t="shared" si="1"/>
        <v>fish</v>
      </c>
      <c r="C404" s="63" t="str">
        <f t="shared" si="2"/>
        <v>U17356</v>
      </c>
      <c r="D404" s="11" t="str">
        <f t="array" ref="D404">iferror(index(fish_lab_data!D:D,match(A404,fish_lab_data!C:C,0)))</f>
        <v>P1136</v>
      </c>
      <c r="E404" s="6">
        <v>103.0</v>
      </c>
      <c r="F404" s="17" t="str">
        <f t="shared" si="3"/>
        <v>BCA103</v>
      </c>
      <c r="G404" s="43" t="str">
        <f t="shared" si="4"/>
        <v>NA</v>
      </c>
      <c r="H404" s="17" t="str">
        <f t="shared" si="5"/>
        <v>BCA103-NA</v>
      </c>
      <c r="J404" t="str">
        <f t="shared" si="6"/>
        <v>collected</v>
      </c>
      <c r="K404" t="str">
        <f t="shared" si="7"/>
        <v>N</v>
      </c>
    </row>
    <row r="405">
      <c r="A405" s="27" t="s">
        <v>757</v>
      </c>
      <c r="B405" s="10" t="str">
        <f t="shared" si="1"/>
        <v>fish</v>
      </c>
      <c r="C405" s="63" t="str">
        <f t="shared" si="2"/>
        <v>U17357</v>
      </c>
      <c r="D405" s="11" t="str">
        <f t="array" ref="D405">iferror(index(fish_lab_data!D:D,match(A405,fish_lab_data!C:C,0)))</f>
        <v>P1136</v>
      </c>
      <c r="E405" s="6">
        <v>103.0</v>
      </c>
      <c r="F405" s="17" t="str">
        <f t="shared" si="3"/>
        <v>BCA103</v>
      </c>
      <c r="G405" s="43" t="str">
        <f t="shared" si="4"/>
        <v>NA</v>
      </c>
      <c r="H405" s="17" t="str">
        <f t="shared" si="5"/>
        <v>BCA103-NA</v>
      </c>
      <c r="J405" t="str">
        <f t="shared" si="6"/>
        <v>collected</v>
      </c>
      <c r="K405" t="str">
        <f t="shared" si="7"/>
        <v>N</v>
      </c>
    </row>
    <row r="406">
      <c r="A406" s="27" t="s">
        <v>758</v>
      </c>
      <c r="B406" s="10" t="str">
        <f t="shared" si="1"/>
        <v>fish</v>
      </c>
      <c r="C406" s="63" t="str">
        <f t="shared" si="2"/>
        <v>U17358</v>
      </c>
      <c r="D406" s="11" t="str">
        <f t="array" ref="D406">iferror(index(fish_lab_data!D:D,match(A406,fish_lab_data!C:C,0)))</f>
        <v>P1136</v>
      </c>
      <c r="E406" s="6">
        <v>103.0</v>
      </c>
      <c r="F406" s="17" t="str">
        <f t="shared" si="3"/>
        <v>BCA103</v>
      </c>
      <c r="G406" s="43" t="str">
        <f t="shared" si="4"/>
        <v>NA</v>
      </c>
      <c r="H406" s="17" t="str">
        <f t="shared" si="5"/>
        <v>BCA103-NA</v>
      </c>
      <c r="J406" t="str">
        <f t="shared" si="6"/>
        <v>collected</v>
      </c>
      <c r="K406" t="str">
        <f t="shared" si="7"/>
        <v>N</v>
      </c>
    </row>
    <row r="407">
      <c r="A407" s="27" t="s">
        <v>760</v>
      </c>
      <c r="B407" s="10" t="str">
        <f t="shared" si="1"/>
        <v>fish</v>
      </c>
      <c r="C407" s="63" t="str">
        <f t="shared" si="2"/>
        <v>U17359</v>
      </c>
      <c r="D407" s="11" t="str">
        <f t="array" ref="D407">iferror(index(fish_lab_data!D:D,match(A407,fish_lab_data!C:C,0)))</f>
        <v>P1136</v>
      </c>
      <c r="E407" s="6">
        <v>103.0</v>
      </c>
      <c r="F407" s="17" t="str">
        <f t="shared" si="3"/>
        <v>BCA103</v>
      </c>
      <c r="G407" s="43" t="str">
        <f t="shared" si="4"/>
        <v>NA</v>
      </c>
      <c r="H407" s="17" t="str">
        <f t="shared" si="5"/>
        <v>BCA103-NA</v>
      </c>
      <c r="J407" t="str">
        <f t="shared" si="6"/>
        <v>collected</v>
      </c>
      <c r="K407" t="str">
        <f t="shared" si="7"/>
        <v>N</v>
      </c>
    </row>
    <row r="408">
      <c r="A408" s="27" t="s">
        <v>762</v>
      </c>
      <c r="B408" s="10" t="str">
        <f t="shared" si="1"/>
        <v>fish</v>
      </c>
      <c r="C408" s="63" t="str">
        <f t="shared" si="2"/>
        <v>U17360</v>
      </c>
      <c r="D408" s="11" t="str">
        <f t="array" ref="D408">iferror(index(fish_lab_data!D:D,match(A408,fish_lab_data!C:C,0)))</f>
        <v>P1136</v>
      </c>
      <c r="E408" s="6">
        <v>103.0</v>
      </c>
      <c r="F408" s="17" t="str">
        <f t="shared" si="3"/>
        <v>BCA103</v>
      </c>
      <c r="G408" s="43" t="str">
        <f t="shared" si="4"/>
        <v>NA</v>
      </c>
      <c r="H408" s="17" t="str">
        <f t="shared" si="5"/>
        <v>BCA103-NA</v>
      </c>
      <c r="J408" t="str">
        <f t="shared" si="6"/>
        <v>collected</v>
      </c>
      <c r="K408" t="str">
        <f t="shared" si="7"/>
        <v>N</v>
      </c>
    </row>
    <row r="409">
      <c r="A409" s="40" t="s">
        <v>763</v>
      </c>
      <c r="B409" s="10" t="str">
        <f t="shared" si="1"/>
        <v>fish</v>
      </c>
      <c r="C409" s="63" t="str">
        <f t="shared" si="2"/>
        <v>U16954</v>
      </c>
      <c r="D409" s="11" t="str">
        <f t="array" ref="D409">iferror(index(fish_lab_data!D:D,match(A409,fish_lab_data!C:C,0)))</f>
        <v>P1096</v>
      </c>
      <c r="E409" s="6">
        <v>103.0</v>
      </c>
      <c r="F409" s="17" t="str">
        <f t="shared" si="3"/>
        <v>BCA103</v>
      </c>
      <c r="G409" s="43" t="str">
        <f t="shared" si="4"/>
        <v>NA</v>
      </c>
      <c r="H409" s="17" t="str">
        <f t="shared" si="5"/>
        <v>BCA103-NA</v>
      </c>
      <c r="J409" t="str">
        <f t="shared" si="6"/>
        <v>collected</v>
      </c>
      <c r="K409" t="str">
        <f t="shared" si="7"/>
        <v>N</v>
      </c>
    </row>
    <row r="410">
      <c r="A410" s="40" t="s">
        <v>764</v>
      </c>
      <c r="B410" s="10" t="str">
        <f t="shared" si="1"/>
        <v>fish</v>
      </c>
      <c r="C410" s="63" t="str">
        <f t="shared" si="2"/>
        <v>U16953</v>
      </c>
      <c r="D410" s="11" t="str">
        <f t="array" ref="D410">iferror(index(fish_lab_data!D:D,match(A410,fish_lab_data!C:C,0)))</f>
        <v>P1096</v>
      </c>
      <c r="E410" s="6">
        <v>103.0</v>
      </c>
      <c r="F410" s="17" t="str">
        <f t="shared" si="3"/>
        <v>BCA103</v>
      </c>
      <c r="G410" s="43" t="str">
        <f t="shared" si="4"/>
        <v>NA</v>
      </c>
      <c r="H410" s="17" t="str">
        <f t="shared" si="5"/>
        <v>BCA103-NA</v>
      </c>
      <c r="J410" t="str">
        <f t="shared" si="6"/>
        <v>collected</v>
      </c>
      <c r="K410" t="str">
        <f t="shared" si="7"/>
        <v>N</v>
      </c>
    </row>
    <row r="411">
      <c r="A411" s="40" t="s">
        <v>767</v>
      </c>
      <c r="B411" s="10" t="str">
        <f t="shared" si="1"/>
        <v>fish</v>
      </c>
      <c r="C411" s="63" t="str">
        <f t="shared" si="2"/>
        <v>U16952</v>
      </c>
      <c r="D411" s="11" t="str">
        <f t="array" ref="D411">iferror(index(fish_lab_data!D:D,match(A411,fish_lab_data!C:C,0)))</f>
        <v>P1096</v>
      </c>
      <c r="E411" s="6">
        <v>103.0</v>
      </c>
      <c r="F411" s="17" t="str">
        <f t="shared" si="3"/>
        <v>BCA103</v>
      </c>
      <c r="G411" s="43" t="str">
        <f t="shared" si="4"/>
        <v>NA</v>
      </c>
      <c r="H411" s="17" t="str">
        <f t="shared" si="5"/>
        <v>BCA103-NA</v>
      </c>
      <c r="J411" t="str">
        <f t="shared" si="6"/>
        <v>collected</v>
      </c>
      <c r="K411" t="str">
        <f t="shared" si="7"/>
        <v>N</v>
      </c>
    </row>
    <row r="412">
      <c r="A412" s="40" t="s">
        <v>768</v>
      </c>
      <c r="B412" s="10" t="str">
        <f t="shared" si="1"/>
        <v>fish</v>
      </c>
      <c r="C412" s="63" t="str">
        <f t="shared" si="2"/>
        <v>U16951</v>
      </c>
      <c r="D412" s="11" t="str">
        <f t="array" ref="D412">iferror(index(fish_lab_data!D:D,match(A412,fish_lab_data!C:C,0)))</f>
        <v>P1096</v>
      </c>
      <c r="E412" s="6">
        <v>103.0</v>
      </c>
      <c r="F412" s="17" t="str">
        <f t="shared" si="3"/>
        <v>BCA103</v>
      </c>
      <c r="G412" s="43" t="str">
        <f t="shared" si="4"/>
        <v>NA</v>
      </c>
      <c r="H412" s="17" t="str">
        <f t="shared" si="5"/>
        <v>BCA103-NA</v>
      </c>
      <c r="J412" t="str">
        <f t="shared" si="6"/>
        <v>collected</v>
      </c>
      <c r="K412" t="str">
        <f t="shared" si="7"/>
        <v>N</v>
      </c>
    </row>
    <row r="413">
      <c r="A413" s="40" t="s">
        <v>770</v>
      </c>
      <c r="B413" s="10" t="str">
        <f t="shared" si="1"/>
        <v>fish</v>
      </c>
      <c r="C413" s="63" t="str">
        <f t="shared" si="2"/>
        <v>U16955</v>
      </c>
      <c r="D413" s="11" t="str">
        <f t="array" ref="D413">iferror(index(fish_lab_data!D:D,match(A413,fish_lab_data!C:C,0)))</f>
        <v>P1096</v>
      </c>
      <c r="E413" s="6">
        <v>103.0</v>
      </c>
      <c r="F413" s="17" t="str">
        <f t="shared" si="3"/>
        <v>BCA103</v>
      </c>
      <c r="G413" s="43" t="str">
        <f t="shared" si="4"/>
        <v>NA</v>
      </c>
      <c r="H413" s="17" t="str">
        <f t="shared" si="5"/>
        <v>BCA103-NA</v>
      </c>
      <c r="J413" t="str">
        <f t="shared" si="6"/>
        <v>collected</v>
      </c>
      <c r="K413" t="str">
        <f t="shared" si="7"/>
        <v>N</v>
      </c>
    </row>
    <row r="414">
      <c r="A414" s="40" t="s">
        <v>771</v>
      </c>
      <c r="B414" s="10" t="str">
        <f t="shared" si="1"/>
        <v>fish</v>
      </c>
      <c r="C414" s="63" t="str">
        <f t="shared" si="2"/>
        <v>U17429</v>
      </c>
      <c r="D414" s="11" t="str">
        <f t="array" ref="D414">iferror(index(fish_lab_data!D:D,match(A414,fish_lab_data!C:C,0)))</f>
        <v>P1143</v>
      </c>
      <c r="E414" s="6">
        <v>103.0</v>
      </c>
      <c r="F414" s="17" t="str">
        <f t="shared" si="3"/>
        <v>BCA103</v>
      </c>
      <c r="G414" s="43" t="str">
        <f t="shared" si="4"/>
        <v>NA</v>
      </c>
      <c r="H414" s="17" t="str">
        <f t="shared" si="5"/>
        <v>BCA103-NA</v>
      </c>
      <c r="J414" t="str">
        <f t="shared" si="6"/>
        <v>collected</v>
      </c>
      <c r="K414" t="str">
        <f t="shared" si="7"/>
        <v>N</v>
      </c>
    </row>
    <row r="415">
      <c r="A415" s="40" t="s">
        <v>773</v>
      </c>
      <c r="B415" s="10" t="str">
        <f t="shared" si="1"/>
        <v>fish</v>
      </c>
      <c r="C415" s="63" t="str">
        <f t="shared" si="2"/>
        <v>U17425</v>
      </c>
      <c r="D415" s="11" t="str">
        <f t="array" ref="D415">iferror(index(fish_lab_data!D:D,match(A415,fish_lab_data!C:C,0)))</f>
        <v>P1143</v>
      </c>
      <c r="E415" s="6">
        <v>103.0</v>
      </c>
      <c r="F415" s="17" t="str">
        <f t="shared" si="3"/>
        <v>BCA103</v>
      </c>
      <c r="G415" s="43" t="str">
        <f t="shared" si="4"/>
        <v>NA</v>
      </c>
      <c r="H415" s="17" t="str">
        <f t="shared" si="5"/>
        <v>BCA103-NA</v>
      </c>
      <c r="J415" t="str">
        <f t="shared" si="6"/>
        <v>collected</v>
      </c>
      <c r="K415" t="str">
        <f t="shared" si="7"/>
        <v>N</v>
      </c>
    </row>
    <row r="416">
      <c r="A416" s="40" t="s">
        <v>775</v>
      </c>
      <c r="B416" s="10" t="str">
        <f t="shared" si="1"/>
        <v>fish</v>
      </c>
      <c r="C416" s="63" t="str">
        <f t="shared" si="2"/>
        <v>U17422</v>
      </c>
      <c r="D416" s="11" t="str">
        <f t="array" ref="D416">iferror(index(fish_lab_data!D:D,match(A416,fish_lab_data!C:C,0)))</f>
        <v>P1143</v>
      </c>
      <c r="E416" s="6">
        <v>103.0</v>
      </c>
      <c r="F416" s="17" t="str">
        <f t="shared" si="3"/>
        <v>BCA103</v>
      </c>
      <c r="G416" s="43" t="str">
        <f t="shared" si="4"/>
        <v>NA</v>
      </c>
      <c r="H416" s="17" t="str">
        <f t="shared" si="5"/>
        <v>BCA103-NA</v>
      </c>
      <c r="J416" t="str">
        <f t="shared" si="6"/>
        <v>collected</v>
      </c>
      <c r="K416" t="str">
        <f t="shared" si="7"/>
        <v>N</v>
      </c>
    </row>
    <row r="417">
      <c r="A417" s="40" t="s">
        <v>777</v>
      </c>
      <c r="B417" s="10" t="str">
        <f t="shared" si="1"/>
        <v>fish</v>
      </c>
      <c r="C417" s="63" t="str">
        <f t="shared" si="2"/>
        <v>U17423</v>
      </c>
      <c r="D417" s="11" t="str">
        <f t="array" ref="D417">iferror(index(fish_lab_data!D:D,match(A417,fish_lab_data!C:C,0)))</f>
        <v>P1143</v>
      </c>
      <c r="E417" s="6">
        <v>103.0</v>
      </c>
      <c r="F417" s="17" t="str">
        <f t="shared" si="3"/>
        <v>BCA103</v>
      </c>
      <c r="G417" s="43" t="str">
        <f t="shared" si="4"/>
        <v>NA</v>
      </c>
      <c r="H417" s="17" t="str">
        <f t="shared" si="5"/>
        <v>BCA103-NA</v>
      </c>
      <c r="J417" t="str">
        <f t="shared" si="6"/>
        <v>collected</v>
      </c>
      <c r="K417" t="str">
        <f t="shared" si="7"/>
        <v>N</v>
      </c>
    </row>
    <row r="418">
      <c r="A418" s="40" t="s">
        <v>778</v>
      </c>
      <c r="B418" s="10" t="str">
        <f t="shared" si="1"/>
        <v>fish</v>
      </c>
      <c r="C418" s="63" t="str">
        <f t="shared" si="2"/>
        <v>U17426</v>
      </c>
      <c r="D418" s="11" t="str">
        <f t="array" ref="D418">iferror(index(fish_lab_data!D:D,match(A418,fish_lab_data!C:C,0)))</f>
        <v>P1143</v>
      </c>
      <c r="E418" s="6">
        <v>103.0</v>
      </c>
      <c r="F418" s="17" t="str">
        <f t="shared" si="3"/>
        <v>BCA103</v>
      </c>
      <c r="G418" s="43" t="str">
        <f t="shared" si="4"/>
        <v>NA</v>
      </c>
      <c r="H418" s="17" t="str">
        <f t="shared" si="5"/>
        <v>BCA103-NA</v>
      </c>
      <c r="J418" t="str">
        <f t="shared" si="6"/>
        <v>collected</v>
      </c>
      <c r="K418" t="str">
        <f t="shared" si="7"/>
        <v>N</v>
      </c>
    </row>
    <row r="419">
      <c r="A419" s="43" t="s">
        <v>781</v>
      </c>
      <c r="B419" s="10" t="str">
        <f t="shared" si="1"/>
        <v>fish</v>
      </c>
      <c r="C419" s="63" t="str">
        <f t="shared" si="2"/>
        <v>U17421</v>
      </c>
      <c r="D419" s="11" t="str">
        <f t="array" ref="D419">iferror(index(fish_lab_data!D:D,match(A419,fish_lab_data!C:C,0)))</f>
        <v>P1143</v>
      </c>
      <c r="E419" s="6">
        <v>103.0</v>
      </c>
      <c r="F419" s="17" t="str">
        <f t="shared" si="3"/>
        <v>BCA103</v>
      </c>
      <c r="G419" s="43" t="str">
        <f t="shared" si="4"/>
        <v>NA</v>
      </c>
      <c r="H419" s="17" t="str">
        <f t="shared" si="5"/>
        <v>BCA103-NA</v>
      </c>
      <c r="J419" t="str">
        <f t="shared" si="6"/>
        <v>collected</v>
      </c>
      <c r="K419" t="str">
        <f t="shared" si="7"/>
        <v>N</v>
      </c>
    </row>
    <row r="420">
      <c r="A420" s="43" t="s">
        <v>782</v>
      </c>
      <c r="B420" s="10" t="str">
        <f t="shared" si="1"/>
        <v>fish</v>
      </c>
      <c r="C420" s="63" t="str">
        <f t="shared" si="2"/>
        <v>U17430</v>
      </c>
      <c r="D420" s="11" t="str">
        <f t="array" ref="D420">iferror(index(fish_lab_data!D:D,match(A420,fish_lab_data!C:C,0)))</f>
        <v>P1143</v>
      </c>
      <c r="E420" s="6">
        <v>103.0</v>
      </c>
      <c r="F420" s="17" t="str">
        <f t="shared" si="3"/>
        <v>BCA103</v>
      </c>
      <c r="G420" s="43" t="str">
        <f t="shared" si="4"/>
        <v>NA</v>
      </c>
      <c r="H420" s="17" t="str">
        <f t="shared" si="5"/>
        <v>BCA103-NA</v>
      </c>
      <c r="J420" t="str">
        <f t="shared" si="6"/>
        <v>collected</v>
      </c>
      <c r="K420" t="str">
        <f t="shared" si="7"/>
        <v>N</v>
      </c>
    </row>
    <row r="421">
      <c r="A421" s="40" t="s">
        <v>783</v>
      </c>
      <c r="B421" s="10" t="str">
        <f t="shared" si="1"/>
        <v>fish</v>
      </c>
      <c r="C421" s="63" t="str">
        <f t="shared" si="2"/>
        <v>U17424</v>
      </c>
      <c r="D421" s="11" t="str">
        <f t="array" ref="D421">iferror(index(fish_lab_data!D:D,match(A421,fish_lab_data!C:C,0)))</f>
        <v>P1143</v>
      </c>
      <c r="E421" s="6">
        <v>103.0</v>
      </c>
      <c r="F421" s="17" t="str">
        <f t="shared" si="3"/>
        <v>BCA103</v>
      </c>
      <c r="G421" s="43" t="str">
        <f t="shared" si="4"/>
        <v>NA</v>
      </c>
      <c r="H421" s="17" t="str">
        <f t="shared" si="5"/>
        <v>BCA103-NA</v>
      </c>
      <c r="J421" t="str">
        <f t="shared" si="6"/>
        <v>collected</v>
      </c>
      <c r="K421" t="str">
        <f t="shared" si="7"/>
        <v>N</v>
      </c>
    </row>
    <row r="422">
      <c r="A422" s="40" t="s">
        <v>785</v>
      </c>
      <c r="B422" s="10" t="str">
        <f t="shared" si="1"/>
        <v>fish</v>
      </c>
      <c r="C422" s="63" t="str">
        <f t="shared" si="2"/>
        <v>U17427</v>
      </c>
      <c r="D422" s="11" t="str">
        <f t="array" ref="D422">iferror(index(fish_lab_data!D:D,match(A422,fish_lab_data!C:C,0)))</f>
        <v>P1143</v>
      </c>
      <c r="E422" s="6">
        <v>103.0</v>
      </c>
      <c r="F422" s="17" t="str">
        <f t="shared" si="3"/>
        <v>BCA103</v>
      </c>
      <c r="G422" s="43" t="str">
        <f t="shared" si="4"/>
        <v>NA</v>
      </c>
      <c r="H422" s="17" t="str">
        <f t="shared" si="5"/>
        <v>BCA103-NA</v>
      </c>
      <c r="J422" t="str">
        <f t="shared" si="6"/>
        <v>collected</v>
      </c>
      <c r="K422" t="str">
        <f t="shared" si="7"/>
        <v>N</v>
      </c>
    </row>
    <row r="423">
      <c r="A423" s="40" t="s">
        <v>787</v>
      </c>
      <c r="B423" s="10" t="str">
        <f t="shared" si="1"/>
        <v>fish</v>
      </c>
      <c r="C423" s="63" t="str">
        <f t="shared" si="2"/>
        <v>U17428</v>
      </c>
      <c r="D423" s="11" t="str">
        <f t="array" ref="D423">iferror(index(fish_lab_data!D:D,match(A423,fish_lab_data!C:C,0)))</f>
        <v>P1143</v>
      </c>
      <c r="E423" s="6">
        <v>103.0</v>
      </c>
      <c r="F423" s="17" t="str">
        <f t="shared" si="3"/>
        <v>BCA103</v>
      </c>
      <c r="G423" s="43" t="str">
        <f t="shared" si="4"/>
        <v>NA</v>
      </c>
      <c r="H423" s="17" t="str">
        <f t="shared" si="5"/>
        <v>BCA103-NA</v>
      </c>
      <c r="J423" t="str">
        <f t="shared" si="6"/>
        <v>collected</v>
      </c>
      <c r="K423" t="str">
        <f t="shared" si="7"/>
        <v>N</v>
      </c>
    </row>
    <row r="424">
      <c r="A424" s="40" t="s">
        <v>789</v>
      </c>
      <c r="B424" s="10" t="str">
        <f t="shared" si="1"/>
        <v>fish</v>
      </c>
      <c r="C424" s="63" t="str">
        <f t="shared" si="2"/>
        <v>U17197</v>
      </c>
      <c r="D424" s="11" t="str">
        <f t="array" ref="D424">iferror(index(fish_lab_data!D:D,match(A424,fish_lab_data!C:C,0)))</f>
        <v>P1120</v>
      </c>
      <c r="E424" s="6">
        <v>103.0</v>
      </c>
      <c r="F424" s="17" t="str">
        <f t="shared" si="3"/>
        <v>BCA103</v>
      </c>
      <c r="G424" s="43" t="str">
        <f t="shared" si="4"/>
        <v>NA</v>
      </c>
      <c r="H424" s="17" t="str">
        <f t="shared" si="5"/>
        <v>BCA103-NA</v>
      </c>
      <c r="J424" t="str">
        <f t="shared" si="6"/>
        <v>collected</v>
      </c>
      <c r="K424" t="str">
        <f t="shared" si="7"/>
        <v>N</v>
      </c>
    </row>
    <row r="425">
      <c r="A425" s="43" t="s">
        <v>790</v>
      </c>
      <c r="B425" s="10" t="str">
        <f t="shared" si="1"/>
        <v>fish</v>
      </c>
      <c r="C425" s="63" t="str">
        <f t="shared" si="2"/>
        <v>U17198</v>
      </c>
      <c r="D425" s="11" t="str">
        <f t="array" ref="D425">iferror(index(fish_lab_data!D:D,match(A425,fish_lab_data!C:C,0)))</f>
        <v>P1120</v>
      </c>
      <c r="E425" s="6">
        <v>103.0</v>
      </c>
      <c r="F425" s="17" t="str">
        <f t="shared" si="3"/>
        <v>BCA103</v>
      </c>
      <c r="G425" s="43" t="str">
        <f t="shared" si="4"/>
        <v>NA</v>
      </c>
      <c r="H425" s="17" t="str">
        <f t="shared" si="5"/>
        <v>BCA103-NA</v>
      </c>
      <c r="J425" t="str">
        <f t="shared" si="6"/>
        <v>collected</v>
      </c>
      <c r="K425" t="str">
        <f t="shared" si="7"/>
        <v>N</v>
      </c>
    </row>
    <row r="426">
      <c r="A426" s="43" t="s">
        <v>791</v>
      </c>
      <c r="B426" s="10" t="str">
        <f t="shared" si="1"/>
        <v>fish</v>
      </c>
      <c r="C426" s="63" t="str">
        <f t="shared" si="2"/>
        <v>U17199</v>
      </c>
      <c r="D426" s="11" t="str">
        <f t="array" ref="D426">iferror(index(fish_lab_data!D:D,match(A426,fish_lab_data!C:C,0)))</f>
        <v>P1120</v>
      </c>
      <c r="E426" s="6">
        <v>103.0</v>
      </c>
      <c r="F426" s="17" t="str">
        <f t="shared" si="3"/>
        <v>BCA103</v>
      </c>
      <c r="G426" s="43" t="str">
        <f t="shared" si="4"/>
        <v>NA</v>
      </c>
      <c r="H426" s="17" t="str">
        <f t="shared" si="5"/>
        <v>BCA103-NA</v>
      </c>
      <c r="J426" t="str">
        <f t="shared" si="6"/>
        <v>collected</v>
      </c>
      <c r="K426" t="str">
        <f t="shared" si="7"/>
        <v>N</v>
      </c>
    </row>
    <row r="427">
      <c r="A427" s="43" t="s">
        <v>794</v>
      </c>
      <c r="B427" s="10" t="str">
        <f t="shared" si="1"/>
        <v>fish</v>
      </c>
      <c r="C427" s="63" t="str">
        <f t="shared" si="2"/>
        <v>U17192</v>
      </c>
      <c r="D427" s="11" t="str">
        <f t="array" ref="D427">iferror(index(fish_lab_data!D:D,match(A427,fish_lab_data!C:C,0)))</f>
        <v>P1120</v>
      </c>
      <c r="E427" s="6">
        <v>103.0</v>
      </c>
      <c r="F427" s="17" t="str">
        <f t="shared" si="3"/>
        <v>BCA103</v>
      </c>
      <c r="G427" s="43" t="str">
        <f t="shared" si="4"/>
        <v>NA</v>
      </c>
      <c r="H427" s="17" t="str">
        <f t="shared" si="5"/>
        <v>BCA103-NA</v>
      </c>
      <c r="J427" t="str">
        <f t="shared" si="6"/>
        <v>collected</v>
      </c>
      <c r="K427" t="str">
        <f t="shared" si="7"/>
        <v>N</v>
      </c>
    </row>
    <row r="428">
      <c r="A428" s="43" t="s">
        <v>795</v>
      </c>
      <c r="B428" s="10" t="str">
        <f t="shared" si="1"/>
        <v>fish</v>
      </c>
      <c r="C428" s="63" t="str">
        <f t="shared" si="2"/>
        <v>U17191</v>
      </c>
      <c r="D428" s="11" t="str">
        <f t="array" ref="D428">iferror(index(fish_lab_data!D:D,match(A428,fish_lab_data!C:C,0)))</f>
        <v>P1120</v>
      </c>
      <c r="E428" s="6">
        <v>103.0</v>
      </c>
      <c r="F428" s="17" t="str">
        <f t="shared" si="3"/>
        <v>BCA103</v>
      </c>
      <c r="G428" s="43" t="str">
        <f t="shared" si="4"/>
        <v>NA</v>
      </c>
      <c r="H428" s="17" t="str">
        <f t="shared" si="5"/>
        <v>BCA103-NA</v>
      </c>
      <c r="J428" t="str">
        <f t="shared" si="6"/>
        <v>collected</v>
      </c>
      <c r="K428" t="str">
        <f t="shared" si="7"/>
        <v>N</v>
      </c>
    </row>
    <row r="429">
      <c r="A429" s="43" t="s">
        <v>797</v>
      </c>
      <c r="B429" s="10" t="str">
        <f t="shared" si="1"/>
        <v>fish</v>
      </c>
      <c r="C429" s="63" t="str">
        <f t="shared" si="2"/>
        <v>U17193</v>
      </c>
      <c r="D429" s="11" t="str">
        <f t="array" ref="D429">iferror(index(fish_lab_data!D:D,match(A429,fish_lab_data!C:C,0)))</f>
        <v>P1120</v>
      </c>
      <c r="E429" s="6">
        <v>103.0</v>
      </c>
      <c r="F429" s="17" t="str">
        <f t="shared" si="3"/>
        <v>BCA103</v>
      </c>
      <c r="G429" s="43" t="str">
        <f t="shared" si="4"/>
        <v>NA</v>
      </c>
      <c r="H429" s="17" t="str">
        <f t="shared" si="5"/>
        <v>BCA103-NA</v>
      </c>
      <c r="J429" t="str">
        <f t="shared" si="6"/>
        <v>collected</v>
      </c>
      <c r="K429" t="str">
        <f t="shared" si="7"/>
        <v>N</v>
      </c>
    </row>
    <row r="430">
      <c r="A430" s="43" t="s">
        <v>798</v>
      </c>
      <c r="B430" s="10" t="str">
        <f t="shared" si="1"/>
        <v>fish</v>
      </c>
      <c r="C430" s="63" t="str">
        <f t="shared" si="2"/>
        <v>U17196</v>
      </c>
      <c r="D430" s="11" t="str">
        <f t="array" ref="D430">iferror(index(fish_lab_data!D:D,match(A430,fish_lab_data!C:C,0)))</f>
        <v>P1120</v>
      </c>
      <c r="E430" s="6">
        <v>103.0</v>
      </c>
      <c r="F430" s="17" t="str">
        <f t="shared" si="3"/>
        <v>BCA103</v>
      </c>
      <c r="G430" s="43" t="str">
        <f t="shared" si="4"/>
        <v>NA</v>
      </c>
      <c r="H430" s="17" t="str">
        <f t="shared" si="5"/>
        <v>BCA103-NA</v>
      </c>
      <c r="J430" t="str">
        <f t="shared" si="6"/>
        <v>collected</v>
      </c>
      <c r="K430" t="str">
        <f t="shared" si="7"/>
        <v>N</v>
      </c>
    </row>
    <row r="431">
      <c r="A431" s="43" t="s">
        <v>799</v>
      </c>
      <c r="B431" s="10" t="str">
        <f t="shared" si="1"/>
        <v>fish</v>
      </c>
      <c r="C431" s="63" t="str">
        <f t="shared" si="2"/>
        <v>U17195</v>
      </c>
      <c r="D431" s="11" t="str">
        <f t="array" ref="D431">iferror(index(fish_lab_data!D:D,match(A431,fish_lab_data!C:C,0)))</f>
        <v>P1120</v>
      </c>
      <c r="E431" s="6">
        <v>103.0</v>
      </c>
      <c r="F431" s="17" t="str">
        <f t="shared" si="3"/>
        <v>BCA103</v>
      </c>
      <c r="G431" s="43" t="str">
        <f t="shared" si="4"/>
        <v>NA</v>
      </c>
      <c r="H431" s="17" t="str">
        <f t="shared" si="5"/>
        <v>BCA103-NA</v>
      </c>
      <c r="J431" t="str">
        <f t="shared" si="6"/>
        <v>collected</v>
      </c>
      <c r="K431" t="str">
        <f t="shared" si="7"/>
        <v>N</v>
      </c>
    </row>
    <row r="432">
      <c r="A432" s="43" t="s">
        <v>802</v>
      </c>
      <c r="B432" s="10" t="str">
        <f t="shared" si="1"/>
        <v>fish</v>
      </c>
      <c r="C432" s="63" t="str">
        <f t="shared" si="2"/>
        <v>U17194</v>
      </c>
      <c r="D432" s="11" t="str">
        <f t="array" ref="D432">iferror(index(fish_lab_data!D:D,match(A432,fish_lab_data!C:C,0)))</f>
        <v>P1120</v>
      </c>
      <c r="E432" s="6">
        <v>103.0</v>
      </c>
      <c r="F432" s="17" t="str">
        <f t="shared" si="3"/>
        <v>BCA103</v>
      </c>
      <c r="G432" s="43" t="str">
        <f t="shared" si="4"/>
        <v>NA</v>
      </c>
      <c r="H432" s="17" t="str">
        <f t="shared" si="5"/>
        <v>BCA103-NA</v>
      </c>
      <c r="J432" t="str">
        <f t="shared" si="6"/>
        <v>collected</v>
      </c>
      <c r="K432" t="str">
        <f t="shared" si="7"/>
        <v>N</v>
      </c>
    </row>
    <row r="433">
      <c r="A433" s="43" t="s">
        <v>803</v>
      </c>
      <c r="B433" s="10" t="str">
        <f t="shared" si="1"/>
        <v>fish</v>
      </c>
      <c r="C433" s="63" t="str">
        <f t="shared" si="2"/>
        <v>U17200</v>
      </c>
      <c r="D433" s="11" t="str">
        <f t="array" ref="D433">iferror(index(fish_lab_data!D:D,match(A433,fish_lab_data!C:C,0)))</f>
        <v>P1120</v>
      </c>
      <c r="E433" s="6">
        <v>103.0</v>
      </c>
      <c r="F433" s="17" t="str">
        <f t="shared" si="3"/>
        <v>BCA103</v>
      </c>
      <c r="G433" s="43" t="str">
        <f t="shared" si="4"/>
        <v>NA</v>
      </c>
      <c r="H433" s="17" t="str">
        <f t="shared" si="5"/>
        <v>BCA103-NA</v>
      </c>
      <c r="J433" t="str">
        <f t="shared" si="6"/>
        <v>collected</v>
      </c>
      <c r="K433" t="str">
        <f t="shared" si="7"/>
        <v>N</v>
      </c>
    </row>
    <row r="434">
      <c r="A434" s="43" t="s">
        <v>804</v>
      </c>
      <c r="B434" s="10" t="str">
        <f t="shared" si="1"/>
        <v>fish</v>
      </c>
      <c r="C434" s="63" t="str">
        <f t="shared" si="2"/>
        <v>U16992</v>
      </c>
      <c r="D434" s="11" t="str">
        <f t="array" ref="D434">iferror(index(fish_lab_data!D:D,match(A434,fish_lab_data!C:C,0)))</f>
        <v>P1100</v>
      </c>
      <c r="E434" s="6">
        <v>103.0</v>
      </c>
      <c r="F434" s="17" t="str">
        <f t="shared" si="3"/>
        <v>BCA103</v>
      </c>
      <c r="G434" s="43" t="str">
        <f t="shared" si="4"/>
        <v>NA</v>
      </c>
      <c r="H434" s="17" t="str">
        <f t="shared" si="5"/>
        <v>BCA103-NA</v>
      </c>
      <c r="J434" t="str">
        <f t="shared" si="6"/>
        <v>collected</v>
      </c>
      <c r="K434" t="str">
        <f t="shared" si="7"/>
        <v>N</v>
      </c>
    </row>
    <row r="435">
      <c r="A435" s="43" t="s">
        <v>806</v>
      </c>
      <c r="B435" s="10" t="str">
        <f t="shared" si="1"/>
        <v>fish</v>
      </c>
      <c r="C435" s="63" t="str">
        <f t="shared" si="2"/>
        <v>U16993</v>
      </c>
      <c r="D435" s="11" t="str">
        <f t="array" ref="D435">iferror(index(fish_lab_data!D:D,match(A435,fish_lab_data!C:C,0)))</f>
        <v>P1100</v>
      </c>
      <c r="E435" s="6">
        <v>103.0</v>
      </c>
      <c r="F435" s="17" t="str">
        <f t="shared" si="3"/>
        <v>BCA103</v>
      </c>
      <c r="G435" s="43" t="str">
        <f t="shared" si="4"/>
        <v>NA</v>
      </c>
      <c r="H435" s="17" t="str">
        <f t="shared" si="5"/>
        <v>BCA103-NA</v>
      </c>
      <c r="J435" t="str">
        <f t="shared" si="6"/>
        <v>collected</v>
      </c>
      <c r="K435" t="str">
        <f t="shared" si="7"/>
        <v>N</v>
      </c>
    </row>
    <row r="436">
      <c r="A436" s="30" t="s">
        <v>839</v>
      </c>
      <c r="B436" s="10" t="str">
        <f t="shared" si="1"/>
        <v>fish</v>
      </c>
      <c r="C436" s="63" t="str">
        <f t="shared" si="2"/>
        <v>U16931</v>
      </c>
      <c r="D436" s="11" t="str">
        <f t="array" ref="D436">iferror(index(fish_lab_data!D:D,match(A436,fish_lab_data!C:C,0)))</f>
        <v>P1094</v>
      </c>
      <c r="E436" s="6">
        <v>103.0</v>
      </c>
      <c r="F436" s="17" t="str">
        <f t="shared" si="3"/>
        <v>BCA103</v>
      </c>
      <c r="G436" s="43" t="str">
        <f t="shared" si="4"/>
        <v>NA</v>
      </c>
      <c r="H436" s="17" t="str">
        <f t="shared" si="5"/>
        <v>BCA103-NA</v>
      </c>
      <c r="J436" t="str">
        <f t="shared" si="6"/>
        <v>collected</v>
      </c>
      <c r="K436" t="str">
        <f t="shared" si="7"/>
        <v>N</v>
      </c>
    </row>
    <row r="437">
      <c r="A437" s="30" t="s">
        <v>841</v>
      </c>
      <c r="B437" s="10" t="str">
        <f t="shared" si="1"/>
        <v>fish</v>
      </c>
      <c r="C437" s="63" t="str">
        <f t="shared" si="2"/>
        <v>U16932</v>
      </c>
      <c r="D437" s="11" t="str">
        <f t="array" ref="D437">iferror(index(fish_lab_data!D:D,match(A437,fish_lab_data!C:C,0)))</f>
        <v>P1094</v>
      </c>
      <c r="E437" s="6">
        <v>103.0</v>
      </c>
      <c r="F437" s="17" t="str">
        <f t="shared" si="3"/>
        <v>BCA103</v>
      </c>
      <c r="G437" s="43" t="str">
        <f t="shared" si="4"/>
        <v>NA</v>
      </c>
      <c r="H437" s="17" t="str">
        <f t="shared" si="5"/>
        <v>BCA103-NA</v>
      </c>
      <c r="J437" t="str">
        <f t="shared" si="6"/>
        <v>collected</v>
      </c>
      <c r="K437" t="str">
        <f t="shared" si="7"/>
        <v>N</v>
      </c>
    </row>
    <row r="438">
      <c r="A438" s="30" t="s">
        <v>843</v>
      </c>
      <c r="B438" s="10" t="str">
        <f t="shared" si="1"/>
        <v>fish</v>
      </c>
      <c r="C438" s="63" t="str">
        <f t="shared" si="2"/>
        <v>U16933</v>
      </c>
      <c r="D438" s="11" t="str">
        <f t="array" ref="D438">iferror(index(fish_lab_data!D:D,match(A438,fish_lab_data!C:C,0)))</f>
        <v>P1094</v>
      </c>
      <c r="E438" s="6">
        <v>103.0</v>
      </c>
      <c r="F438" s="17" t="str">
        <f t="shared" si="3"/>
        <v>BCA103</v>
      </c>
      <c r="G438" s="43" t="str">
        <f t="shared" si="4"/>
        <v>NA</v>
      </c>
      <c r="H438" s="17" t="str">
        <f t="shared" si="5"/>
        <v>BCA103-NA</v>
      </c>
      <c r="J438" t="str">
        <f t="shared" si="6"/>
        <v>collected</v>
      </c>
      <c r="K438" t="str">
        <f t="shared" si="7"/>
        <v>N</v>
      </c>
    </row>
    <row r="439">
      <c r="A439" s="30" t="s">
        <v>846</v>
      </c>
      <c r="B439" s="10" t="str">
        <f t="shared" si="1"/>
        <v>fish</v>
      </c>
      <c r="C439" s="63" t="str">
        <f t="shared" si="2"/>
        <v>U16934</v>
      </c>
      <c r="D439" s="11" t="str">
        <f t="array" ref="D439">iferror(index(fish_lab_data!D:D,match(A439,fish_lab_data!C:C,0)))</f>
        <v>P1094</v>
      </c>
      <c r="E439" s="6">
        <v>103.0</v>
      </c>
      <c r="F439" s="17" t="str">
        <f t="shared" si="3"/>
        <v>BCA103</v>
      </c>
      <c r="G439" s="43" t="str">
        <f t="shared" si="4"/>
        <v>NA</v>
      </c>
      <c r="H439" s="17" t="str">
        <f t="shared" si="5"/>
        <v>BCA103-NA</v>
      </c>
      <c r="J439" t="str">
        <f t="shared" si="6"/>
        <v>collected</v>
      </c>
      <c r="K439" t="str">
        <f t="shared" si="7"/>
        <v>N</v>
      </c>
    </row>
    <row r="440">
      <c r="A440" s="30" t="s">
        <v>847</v>
      </c>
      <c r="B440" s="10" t="str">
        <f t="shared" si="1"/>
        <v>fish</v>
      </c>
      <c r="C440" s="63" t="str">
        <f t="shared" si="2"/>
        <v>U16935</v>
      </c>
      <c r="D440" s="11" t="str">
        <f t="array" ref="D440">iferror(index(fish_lab_data!D:D,match(A440,fish_lab_data!C:C,0)))</f>
        <v>P1094</v>
      </c>
      <c r="E440" s="6">
        <v>103.0</v>
      </c>
      <c r="F440" s="17" t="str">
        <f t="shared" si="3"/>
        <v>BCA103</v>
      </c>
      <c r="G440" s="43" t="str">
        <f t="shared" si="4"/>
        <v>NA</v>
      </c>
      <c r="H440" s="17" t="str">
        <f t="shared" si="5"/>
        <v>BCA103-NA</v>
      </c>
      <c r="J440" t="str">
        <f t="shared" si="6"/>
        <v>collected</v>
      </c>
      <c r="K440" t="str">
        <f t="shared" si="7"/>
        <v>N</v>
      </c>
    </row>
    <row r="441">
      <c r="A441" s="30" t="s">
        <v>849</v>
      </c>
      <c r="B441" s="10" t="str">
        <f t="shared" si="1"/>
        <v>fish</v>
      </c>
      <c r="C441" s="63" t="str">
        <f t="shared" si="2"/>
        <v>U16936</v>
      </c>
      <c r="D441" s="11" t="str">
        <f t="array" ref="D441">iferror(index(fish_lab_data!D:D,match(A441,fish_lab_data!C:C,0)))</f>
        <v>P1094</v>
      </c>
      <c r="E441" s="6">
        <v>103.0</v>
      </c>
      <c r="F441" s="17" t="str">
        <f t="shared" si="3"/>
        <v>BCA103</v>
      </c>
      <c r="G441" s="43" t="str">
        <f t="shared" si="4"/>
        <v>NA</v>
      </c>
      <c r="H441" s="17" t="str">
        <f t="shared" si="5"/>
        <v>BCA103-NA</v>
      </c>
      <c r="J441" t="str">
        <f t="shared" si="6"/>
        <v>collected</v>
      </c>
      <c r="K441" t="str">
        <f t="shared" si="7"/>
        <v>N</v>
      </c>
    </row>
    <row r="442">
      <c r="A442" s="30" t="s">
        <v>851</v>
      </c>
      <c r="B442" s="10" t="str">
        <f t="shared" si="1"/>
        <v>fish</v>
      </c>
      <c r="C442" s="63" t="str">
        <f t="shared" si="2"/>
        <v>U16937</v>
      </c>
      <c r="D442" s="11" t="str">
        <f t="array" ref="D442">iferror(index(fish_lab_data!D:D,match(A442,fish_lab_data!C:C,0)))</f>
        <v>P1094</v>
      </c>
      <c r="E442" s="6">
        <v>103.0</v>
      </c>
      <c r="F442" s="17" t="str">
        <f t="shared" si="3"/>
        <v>BCA103</v>
      </c>
      <c r="G442" s="43" t="str">
        <f t="shared" si="4"/>
        <v>NA</v>
      </c>
      <c r="H442" s="17" t="str">
        <f t="shared" si="5"/>
        <v>BCA103-NA</v>
      </c>
      <c r="J442" t="str">
        <f t="shared" si="6"/>
        <v>collected</v>
      </c>
      <c r="K442" t="str">
        <f t="shared" si="7"/>
        <v>N</v>
      </c>
    </row>
    <row r="443">
      <c r="A443" s="30" t="s">
        <v>852</v>
      </c>
      <c r="B443" s="10" t="str">
        <f t="shared" si="1"/>
        <v>fish</v>
      </c>
      <c r="C443" s="63" t="str">
        <f t="shared" si="2"/>
        <v>U17941</v>
      </c>
      <c r="D443" s="11" t="str">
        <f t="array" ref="D443">iferror(index(fish_lab_data!D:D,match(A443,fish_lab_data!C:C,0)))</f>
        <v>P1195</v>
      </c>
      <c r="E443" s="6">
        <v>103.0</v>
      </c>
      <c r="F443" s="17" t="str">
        <f t="shared" si="3"/>
        <v>BCA103</v>
      </c>
      <c r="G443" s="43" t="str">
        <f t="shared" si="4"/>
        <v>NA</v>
      </c>
      <c r="H443" s="17" t="str">
        <f t="shared" si="5"/>
        <v>BCA103-NA</v>
      </c>
      <c r="J443" t="str">
        <f t="shared" si="6"/>
        <v>collected</v>
      </c>
      <c r="K443" t="str">
        <f t="shared" si="7"/>
        <v>N</v>
      </c>
    </row>
    <row r="444">
      <c r="A444" s="30" t="s">
        <v>853</v>
      </c>
      <c r="B444" s="10" t="str">
        <f t="shared" si="1"/>
        <v>fish</v>
      </c>
      <c r="C444" s="63" t="str">
        <f t="shared" si="2"/>
        <v>U17942</v>
      </c>
      <c r="D444" s="11" t="str">
        <f t="array" ref="D444">iferror(index(fish_lab_data!D:D,match(A444,fish_lab_data!C:C,0)))</f>
        <v>P1195</v>
      </c>
      <c r="E444" s="6">
        <v>103.0</v>
      </c>
      <c r="F444" s="17" t="str">
        <f t="shared" si="3"/>
        <v>BCA103</v>
      </c>
      <c r="G444" s="43" t="str">
        <f t="shared" si="4"/>
        <v>NA</v>
      </c>
      <c r="H444" s="17" t="str">
        <f t="shared" si="5"/>
        <v>BCA103-NA</v>
      </c>
      <c r="J444" t="str">
        <f t="shared" si="6"/>
        <v>collected</v>
      </c>
      <c r="K444" t="str">
        <f t="shared" si="7"/>
        <v>N</v>
      </c>
    </row>
    <row r="445">
      <c r="A445" s="30" t="s">
        <v>854</v>
      </c>
      <c r="B445" s="10" t="str">
        <f t="shared" si="1"/>
        <v>fish</v>
      </c>
      <c r="C445" s="63" t="str">
        <f t="shared" si="2"/>
        <v>U17943</v>
      </c>
      <c r="D445" s="11" t="str">
        <f t="array" ref="D445">iferror(index(fish_lab_data!D:D,match(A445,fish_lab_data!C:C,0)))</f>
        <v>P1195</v>
      </c>
      <c r="E445" s="6">
        <v>103.0</v>
      </c>
      <c r="F445" s="17" t="str">
        <f t="shared" si="3"/>
        <v>BCA103</v>
      </c>
      <c r="G445" s="43" t="str">
        <f t="shared" si="4"/>
        <v>NA</v>
      </c>
      <c r="H445" s="17" t="str">
        <f t="shared" si="5"/>
        <v>BCA103-NA</v>
      </c>
      <c r="J445" t="str">
        <f t="shared" si="6"/>
        <v>collected</v>
      </c>
      <c r="K445" t="str">
        <f t="shared" si="7"/>
        <v>N</v>
      </c>
    </row>
    <row r="446">
      <c r="A446" s="30" t="s">
        <v>857</v>
      </c>
      <c r="B446" s="10" t="str">
        <f t="shared" si="1"/>
        <v>fish</v>
      </c>
      <c r="C446" s="63" t="str">
        <f t="shared" si="2"/>
        <v>U17944</v>
      </c>
      <c r="D446" s="11" t="str">
        <f t="array" ref="D446">iferror(index(fish_lab_data!D:D,match(A446,fish_lab_data!C:C,0)))</f>
        <v>P1195</v>
      </c>
      <c r="E446" s="6">
        <v>103.0</v>
      </c>
      <c r="F446" s="17" t="str">
        <f t="shared" si="3"/>
        <v>BCA103</v>
      </c>
      <c r="G446" s="43" t="str">
        <f t="shared" si="4"/>
        <v>NA</v>
      </c>
      <c r="H446" s="17" t="str">
        <f t="shared" si="5"/>
        <v>BCA103-NA</v>
      </c>
      <c r="J446" t="str">
        <f t="shared" si="6"/>
        <v>collected</v>
      </c>
      <c r="K446" t="str">
        <f t="shared" si="7"/>
        <v>N</v>
      </c>
    </row>
    <row r="447">
      <c r="A447" s="30" t="s">
        <v>858</v>
      </c>
      <c r="B447" s="10" t="str">
        <f t="shared" si="1"/>
        <v>fish</v>
      </c>
      <c r="C447" s="63" t="str">
        <f t="shared" si="2"/>
        <v>U17411</v>
      </c>
      <c r="D447" s="11" t="str">
        <f t="array" ref="D447">iferror(index(fish_lab_data!D:D,match(A447,fish_lab_data!C:C,0)))</f>
        <v>P1142</v>
      </c>
      <c r="E447" s="6">
        <v>104.0</v>
      </c>
      <c r="F447" s="17" t="str">
        <f t="shared" si="3"/>
        <v>BCA104</v>
      </c>
      <c r="G447" s="43" t="str">
        <f t="shared" si="4"/>
        <v>NA</v>
      </c>
      <c r="H447" s="17" t="str">
        <f t="shared" si="5"/>
        <v>BCA104-NA</v>
      </c>
      <c r="J447" t="str">
        <f t="shared" si="6"/>
        <v>collected</v>
      </c>
      <c r="K447" t="str">
        <f t="shared" si="7"/>
        <v>N</v>
      </c>
    </row>
    <row r="448">
      <c r="A448" s="30" t="s">
        <v>859</v>
      </c>
      <c r="B448" s="10" t="str">
        <f t="shared" si="1"/>
        <v>fish</v>
      </c>
      <c r="C448" s="63" t="str">
        <f t="shared" si="2"/>
        <v>U17412</v>
      </c>
      <c r="D448" s="11" t="str">
        <f t="array" ref="D448">iferror(index(fish_lab_data!D:D,match(A448,fish_lab_data!C:C,0)))</f>
        <v>P1142</v>
      </c>
      <c r="E448" s="6">
        <v>104.0</v>
      </c>
      <c r="F448" s="17" t="str">
        <f t="shared" si="3"/>
        <v>BCA104</v>
      </c>
      <c r="G448" s="43" t="str">
        <f t="shared" si="4"/>
        <v>NA</v>
      </c>
      <c r="H448" s="17" t="str">
        <f t="shared" si="5"/>
        <v>BCA104-NA</v>
      </c>
      <c r="J448" t="str">
        <f t="shared" si="6"/>
        <v>collected</v>
      </c>
      <c r="K448" t="str">
        <f t="shared" si="7"/>
        <v>N</v>
      </c>
    </row>
    <row r="449">
      <c r="A449" s="30" t="s">
        <v>860</v>
      </c>
      <c r="B449" s="10" t="str">
        <f t="shared" si="1"/>
        <v>fish</v>
      </c>
      <c r="C449" s="63" t="str">
        <f t="shared" si="2"/>
        <v>U17413</v>
      </c>
      <c r="D449" s="11" t="str">
        <f t="array" ref="D449">iferror(index(fish_lab_data!D:D,match(A449,fish_lab_data!C:C,0)))</f>
        <v>P1142</v>
      </c>
      <c r="E449" s="6">
        <v>104.0</v>
      </c>
      <c r="F449" s="17" t="str">
        <f t="shared" si="3"/>
        <v>BCA104</v>
      </c>
      <c r="G449" s="43" t="str">
        <f t="shared" si="4"/>
        <v>NA</v>
      </c>
      <c r="H449" s="17" t="str">
        <f t="shared" si="5"/>
        <v>BCA104-NA</v>
      </c>
      <c r="J449" t="str">
        <f t="shared" si="6"/>
        <v>collected</v>
      </c>
      <c r="K449" t="str">
        <f t="shared" si="7"/>
        <v>N</v>
      </c>
    </row>
    <row r="450">
      <c r="A450" s="30" t="s">
        <v>863</v>
      </c>
      <c r="B450" s="10" t="str">
        <f t="shared" si="1"/>
        <v>fish</v>
      </c>
      <c r="C450" s="63" t="str">
        <f t="shared" si="2"/>
        <v>U17414</v>
      </c>
      <c r="D450" s="11" t="str">
        <f t="array" ref="D450">iferror(index(fish_lab_data!D:D,match(A450,fish_lab_data!C:C,0)))</f>
        <v>P1142</v>
      </c>
      <c r="E450" s="6">
        <v>104.0</v>
      </c>
      <c r="F450" s="17" t="str">
        <f t="shared" si="3"/>
        <v>BCA104</v>
      </c>
      <c r="G450" s="43" t="str">
        <f t="shared" si="4"/>
        <v>NA</v>
      </c>
      <c r="H450" s="17" t="str">
        <f t="shared" si="5"/>
        <v>BCA104-NA</v>
      </c>
      <c r="J450" t="str">
        <f t="shared" si="6"/>
        <v>collected</v>
      </c>
      <c r="K450" t="str">
        <f t="shared" si="7"/>
        <v>N</v>
      </c>
    </row>
    <row r="451">
      <c r="A451" s="30" t="s">
        <v>864</v>
      </c>
      <c r="B451" s="10" t="str">
        <f t="shared" si="1"/>
        <v>fish</v>
      </c>
      <c r="C451" s="63" t="str">
        <f t="shared" si="2"/>
        <v>U17415</v>
      </c>
      <c r="D451" s="11" t="str">
        <f t="array" ref="D451">iferror(index(fish_lab_data!D:D,match(A451,fish_lab_data!C:C,0)))</f>
        <v>P1142</v>
      </c>
      <c r="E451" s="6">
        <v>104.0</v>
      </c>
      <c r="F451" s="17" t="str">
        <f t="shared" si="3"/>
        <v>BCA104</v>
      </c>
      <c r="G451" s="43" t="str">
        <f t="shared" si="4"/>
        <v>NA</v>
      </c>
      <c r="H451" s="17" t="str">
        <f t="shared" si="5"/>
        <v>BCA104-NA</v>
      </c>
      <c r="J451" t="str">
        <f t="shared" si="6"/>
        <v>collected</v>
      </c>
      <c r="K451" t="str">
        <f t="shared" si="7"/>
        <v>N</v>
      </c>
    </row>
    <row r="452">
      <c r="A452" s="30" t="s">
        <v>865</v>
      </c>
      <c r="B452" s="10" t="str">
        <f t="shared" si="1"/>
        <v>fish</v>
      </c>
      <c r="C452" s="63" t="str">
        <f t="shared" si="2"/>
        <v>U17416</v>
      </c>
      <c r="D452" s="11" t="str">
        <f t="array" ref="D452">iferror(index(fish_lab_data!D:D,match(A452,fish_lab_data!C:C,0)))</f>
        <v>P1142</v>
      </c>
      <c r="E452" s="6">
        <v>104.0</v>
      </c>
      <c r="F452" s="17" t="str">
        <f t="shared" si="3"/>
        <v>BCA104</v>
      </c>
      <c r="G452" s="43" t="str">
        <f t="shared" si="4"/>
        <v>NA</v>
      </c>
      <c r="H452" s="17" t="str">
        <f t="shared" si="5"/>
        <v>BCA104-NA</v>
      </c>
      <c r="J452" t="str">
        <f t="shared" si="6"/>
        <v>collected</v>
      </c>
      <c r="K452" t="str">
        <f t="shared" si="7"/>
        <v>N</v>
      </c>
    </row>
    <row r="453">
      <c r="A453" s="30" t="s">
        <v>866</v>
      </c>
      <c r="B453" s="10" t="str">
        <f t="shared" si="1"/>
        <v>fish</v>
      </c>
      <c r="C453" s="63" t="str">
        <f t="shared" si="2"/>
        <v>U16881</v>
      </c>
      <c r="D453" s="11" t="str">
        <f t="array" ref="D453">iferror(index(fish_lab_data!D:D,match(A453,fish_lab_data!C:C,0)))</f>
        <v>P1089</v>
      </c>
      <c r="E453" s="6">
        <v>104.0</v>
      </c>
      <c r="F453" s="17" t="str">
        <f t="shared" si="3"/>
        <v>BCA104</v>
      </c>
      <c r="G453" s="43" t="str">
        <f t="shared" si="4"/>
        <v>NA</v>
      </c>
      <c r="H453" s="17" t="str">
        <f t="shared" si="5"/>
        <v>BCA104-NA</v>
      </c>
      <c r="J453" t="str">
        <f t="shared" si="6"/>
        <v>collected</v>
      </c>
      <c r="K453" t="str">
        <f t="shared" si="7"/>
        <v>N</v>
      </c>
    </row>
    <row r="454">
      <c r="A454" s="16" t="s">
        <v>870</v>
      </c>
      <c r="B454" s="10" t="str">
        <f t="shared" si="1"/>
        <v>fish</v>
      </c>
      <c r="C454" s="63" t="str">
        <f t="shared" si="2"/>
        <v>U16882</v>
      </c>
      <c r="D454" s="11" t="str">
        <f t="array" ref="D454">iferror(index(fish_lab_data!D:D,match(A454,fish_lab_data!C:C,0)))</f>
        <v>P1089</v>
      </c>
      <c r="E454" s="6">
        <v>104.0</v>
      </c>
      <c r="F454" s="17" t="str">
        <f t="shared" si="3"/>
        <v>BCA104</v>
      </c>
      <c r="G454" s="43" t="str">
        <f t="shared" si="4"/>
        <v>NA</v>
      </c>
      <c r="H454" s="17" t="str">
        <f t="shared" si="5"/>
        <v>BCA104-NA</v>
      </c>
      <c r="J454" t="str">
        <f t="shared" si="6"/>
        <v>collected</v>
      </c>
      <c r="K454" t="str">
        <f t="shared" si="7"/>
        <v>N</v>
      </c>
    </row>
    <row r="455">
      <c r="A455" s="44" t="s">
        <v>807</v>
      </c>
      <c r="B455" s="10" t="str">
        <f t="shared" si="1"/>
        <v>fish</v>
      </c>
      <c r="C455" s="63" t="str">
        <f t="shared" si="2"/>
        <v>U16998</v>
      </c>
      <c r="D455" s="11" t="str">
        <f t="array" ref="D455">iferror(index(fish_lab_data!D:D,match(A455,fish_lab_data!C:C,0)))</f>
        <v>P1100</v>
      </c>
      <c r="E455" s="6">
        <v>103.0</v>
      </c>
      <c r="F455" s="17" t="str">
        <f t="shared" si="3"/>
        <v>BCA103</v>
      </c>
      <c r="G455" s="43" t="str">
        <f t="shared" si="4"/>
        <v>NA</v>
      </c>
      <c r="H455" s="17" t="str">
        <f t="shared" si="5"/>
        <v>BCA103-NA</v>
      </c>
      <c r="J455" t="str">
        <f t="shared" si="6"/>
        <v>collected</v>
      </c>
      <c r="K455" t="str">
        <f t="shared" si="7"/>
        <v>N</v>
      </c>
    </row>
    <row r="456">
      <c r="A456" s="44" t="s">
        <v>809</v>
      </c>
      <c r="B456" s="10" t="str">
        <f t="shared" si="1"/>
        <v>fish</v>
      </c>
      <c r="C456" s="63" t="str">
        <f t="shared" si="2"/>
        <v>U17000</v>
      </c>
      <c r="D456" s="11" t="str">
        <f t="array" ref="D456">iferror(index(fish_lab_data!D:D,match(A456,fish_lab_data!C:C,0)))</f>
        <v>P1100</v>
      </c>
      <c r="E456" s="6">
        <v>103.0</v>
      </c>
      <c r="F456" s="17" t="str">
        <f t="shared" si="3"/>
        <v>BCA103</v>
      </c>
      <c r="G456" s="43" t="str">
        <f t="shared" si="4"/>
        <v>NA</v>
      </c>
      <c r="H456" s="17" t="str">
        <f t="shared" si="5"/>
        <v>BCA103-NA</v>
      </c>
      <c r="J456" t="str">
        <f t="shared" si="6"/>
        <v>collected</v>
      </c>
      <c r="K456" t="str">
        <f t="shared" si="7"/>
        <v>N</v>
      </c>
    </row>
    <row r="457">
      <c r="A457" s="44" t="s">
        <v>810</v>
      </c>
      <c r="B457" s="10" t="str">
        <f t="shared" si="1"/>
        <v>fish</v>
      </c>
      <c r="C457" s="63" t="str">
        <f t="shared" si="2"/>
        <v>U16996</v>
      </c>
      <c r="D457" s="11" t="str">
        <f t="array" ref="D457">iferror(index(fish_lab_data!D:D,match(A457,fish_lab_data!C:C,0)))</f>
        <v>P1100</v>
      </c>
      <c r="E457" s="6">
        <v>103.0</v>
      </c>
      <c r="F457" s="17" t="str">
        <f t="shared" si="3"/>
        <v>BCA103</v>
      </c>
      <c r="G457" s="43" t="str">
        <f t="shared" si="4"/>
        <v>NA</v>
      </c>
      <c r="H457" s="17" t="str">
        <f t="shared" si="5"/>
        <v>BCA103-NA</v>
      </c>
      <c r="J457" t="str">
        <f t="shared" si="6"/>
        <v>collected</v>
      </c>
      <c r="K457" t="str">
        <f t="shared" si="7"/>
        <v>N</v>
      </c>
    </row>
    <row r="458">
      <c r="A458" s="44" t="s">
        <v>812</v>
      </c>
      <c r="B458" s="10" t="str">
        <f t="shared" si="1"/>
        <v>fish</v>
      </c>
      <c r="C458" s="63" t="str">
        <f t="shared" si="2"/>
        <v>U16994</v>
      </c>
      <c r="D458" s="11" t="str">
        <f t="array" ref="D458">iferror(index(fish_lab_data!D:D,match(A458,fish_lab_data!C:C,0)))</f>
        <v>P1100</v>
      </c>
      <c r="E458" s="6">
        <v>103.0</v>
      </c>
      <c r="F458" s="17" t="str">
        <f t="shared" si="3"/>
        <v>BCA103</v>
      </c>
      <c r="G458" s="43" t="str">
        <f t="shared" si="4"/>
        <v>NA</v>
      </c>
      <c r="H458" s="17" t="str">
        <f t="shared" si="5"/>
        <v>BCA103-NA</v>
      </c>
      <c r="J458" t="str">
        <f t="shared" si="6"/>
        <v>collected</v>
      </c>
      <c r="K458" t="str">
        <f t="shared" si="7"/>
        <v>N</v>
      </c>
    </row>
    <row r="459">
      <c r="A459" s="44" t="s">
        <v>813</v>
      </c>
      <c r="B459" s="10" t="str">
        <f t="shared" si="1"/>
        <v>fish</v>
      </c>
      <c r="C459" s="63" t="str">
        <f t="shared" si="2"/>
        <v>U16999</v>
      </c>
      <c r="D459" s="11" t="str">
        <f t="array" ref="D459">iferror(index(fish_lab_data!D:D,match(A459,fish_lab_data!C:C,0)))</f>
        <v>P1100</v>
      </c>
      <c r="E459" s="6">
        <v>103.0</v>
      </c>
      <c r="F459" s="17" t="str">
        <f t="shared" si="3"/>
        <v>BCA103</v>
      </c>
      <c r="G459" s="43" t="str">
        <f t="shared" si="4"/>
        <v>NA</v>
      </c>
      <c r="H459" s="17" t="str">
        <f t="shared" si="5"/>
        <v>BCA103-NA</v>
      </c>
      <c r="J459" t="str">
        <f t="shared" si="6"/>
        <v>collected</v>
      </c>
      <c r="K459" t="str">
        <f t="shared" si="7"/>
        <v>N</v>
      </c>
    </row>
    <row r="460">
      <c r="A460" s="44" t="s">
        <v>815</v>
      </c>
      <c r="B460" s="10" t="str">
        <f t="shared" si="1"/>
        <v>fish</v>
      </c>
      <c r="C460" s="63" t="str">
        <f t="shared" si="2"/>
        <v>U16997</v>
      </c>
      <c r="D460" s="11" t="str">
        <f t="array" ref="D460">iferror(index(fish_lab_data!D:D,match(A460,fish_lab_data!C:C,0)))</f>
        <v>P1100</v>
      </c>
      <c r="E460" s="6">
        <v>103.0</v>
      </c>
      <c r="F460" s="17" t="str">
        <f t="shared" si="3"/>
        <v>BCA103</v>
      </c>
      <c r="G460" s="43" t="str">
        <f t="shared" si="4"/>
        <v>NA</v>
      </c>
      <c r="H460" s="17" t="str">
        <f t="shared" si="5"/>
        <v>BCA103-NA</v>
      </c>
      <c r="J460" t="str">
        <f t="shared" si="6"/>
        <v>collected</v>
      </c>
      <c r="K460" t="str">
        <f t="shared" si="7"/>
        <v>N</v>
      </c>
    </row>
    <row r="461">
      <c r="A461" s="44" t="s">
        <v>817</v>
      </c>
      <c r="B461" s="10" t="str">
        <f t="shared" si="1"/>
        <v>fish</v>
      </c>
      <c r="C461" s="63" t="str">
        <f t="shared" si="2"/>
        <v>U16991</v>
      </c>
      <c r="D461" s="11" t="str">
        <f t="array" ref="D461">iferror(index(fish_lab_data!D:D,match(A461,fish_lab_data!C:C,0)))</f>
        <v>P1100</v>
      </c>
      <c r="E461" s="6">
        <v>103.0</v>
      </c>
      <c r="F461" s="17" t="str">
        <f t="shared" si="3"/>
        <v>BCA103</v>
      </c>
      <c r="G461" s="43" t="str">
        <f t="shared" si="4"/>
        <v>NA</v>
      </c>
      <c r="H461" s="17" t="str">
        <f t="shared" si="5"/>
        <v>BCA103-NA</v>
      </c>
      <c r="J461" t="str">
        <f t="shared" si="6"/>
        <v>collected</v>
      </c>
      <c r="K461" t="str">
        <f t="shared" si="7"/>
        <v>N</v>
      </c>
    </row>
    <row r="462">
      <c r="A462" s="44" t="s">
        <v>820</v>
      </c>
      <c r="B462" s="10" t="str">
        <f t="shared" si="1"/>
        <v>fish</v>
      </c>
      <c r="C462" s="63" t="str">
        <f t="shared" si="2"/>
        <v>U16995</v>
      </c>
      <c r="D462" s="11" t="str">
        <f t="array" ref="D462">iferror(index(fish_lab_data!D:D,match(A462,fish_lab_data!C:C,0)))</f>
        <v>P1100</v>
      </c>
      <c r="E462" s="6">
        <v>103.0</v>
      </c>
      <c r="F462" s="17" t="str">
        <f t="shared" si="3"/>
        <v>BCA103</v>
      </c>
      <c r="G462" s="43" t="str">
        <f t="shared" si="4"/>
        <v>NA</v>
      </c>
      <c r="H462" s="17" t="str">
        <f t="shared" si="5"/>
        <v>BCA103-NA</v>
      </c>
      <c r="J462" t="str">
        <f t="shared" si="6"/>
        <v>collected</v>
      </c>
      <c r="K462" t="str">
        <f t="shared" si="7"/>
        <v>N</v>
      </c>
    </row>
    <row r="463">
      <c r="A463" s="44" t="s">
        <v>821</v>
      </c>
      <c r="B463" s="10" t="str">
        <f t="shared" si="1"/>
        <v>fish</v>
      </c>
      <c r="C463" s="63" t="str">
        <f t="shared" si="2"/>
        <v>U17265</v>
      </c>
      <c r="D463" s="11" t="str">
        <f t="array" ref="D463">iferror(index(fish_lab_data!D:D,match(A463,fish_lab_data!C:C,0)))</f>
        <v>P1127</v>
      </c>
      <c r="E463" s="6">
        <v>103.0</v>
      </c>
      <c r="F463" s="17" t="str">
        <f t="shared" si="3"/>
        <v>BCA103</v>
      </c>
      <c r="G463" s="43" t="str">
        <f t="shared" si="4"/>
        <v>NA</v>
      </c>
      <c r="H463" s="17" t="str">
        <f t="shared" si="5"/>
        <v>BCA103-NA</v>
      </c>
      <c r="J463" t="str">
        <f t="shared" si="6"/>
        <v>collected</v>
      </c>
      <c r="K463" t="str">
        <f t="shared" si="7"/>
        <v>N</v>
      </c>
    </row>
    <row r="464">
      <c r="A464" s="44" t="s">
        <v>822</v>
      </c>
      <c r="B464" s="10" t="str">
        <f t="shared" si="1"/>
        <v>fish</v>
      </c>
      <c r="C464" s="63" t="str">
        <f t="shared" si="2"/>
        <v>U17264</v>
      </c>
      <c r="D464" s="11" t="str">
        <f t="array" ref="D464">iferror(index(fish_lab_data!D:D,match(A464,fish_lab_data!C:C,0)))</f>
        <v>P1127</v>
      </c>
      <c r="E464" s="6">
        <v>103.0</v>
      </c>
      <c r="F464" s="17" t="str">
        <f t="shared" si="3"/>
        <v>BCA103</v>
      </c>
      <c r="G464" s="43" t="str">
        <f t="shared" si="4"/>
        <v>NA</v>
      </c>
      <c r="H464" s="17" t="str">
        <f t="shared" si="5"/>
        <v>BCA103-NA</v>
      </c>
      <c r="J464" t="str">
        <f t="shared" si="6"/>
        <v>collected</v>
      </c>
      <c r="K464" t="str">
        <f t="shared" si="7"/>
        <v>N</v>
      </c>
    </row>
    <row r="465">
      <c r="A465" s="44" t="s">
        <v>825</v>
      </c>
      <c r="B465" s="10" t="str">
        <f t="shared" si="1"/>
        <v>fish</v>
      </c>
      <c r="C465" s="63" t="str">
        <f t="shared" si="2"/>
        <v>U17263</v>
      </c>
      <c r="D465" s="11" t="str">
        <f t="array" ref="D465">iferror(index(fish_lab_data!D:D,match(A465,fish_lab_data!C:C,0)))</f>
        <v>P1127</v>
      </c>
      <c r="E465" s="6">
        <v>103.0</v>
      </c>
      <c r="F465" s="17" t="str">
        <f t="shared" si="3"/>
        <v>BCA103</v>
      </c>
      <c r="G465" s="43" t="str">
        <f t="shared" si="4"/>
        <v>NA</v>
      </c>
      <c r="H465" s="17" t="str">
        <f t="shared" si="5"/>
        <v>BCA103-NA</v>
      </c>
      <c r="J465" t="str">
        <f t="shared" si="6"/>
        <v>collected</v>
      </c>
      <c r="K465" t="str">
        <f t="shared" si="7"/>
        <v>N</v>
      </c>
    </row>
    <row r="466">
      <c r="A466" s="44" t="s">
        <v>826</v>
      </c>
      <c r="B466" s="10" t="str">
        <f t="shared" si="1"/>
        <v>fish</v>
      </c>
      <c r="C466" s="63" t="str">
        <f t="shared" si="2"/>
        <v>U17270</v>
      </c>
      <c r="D466" s="11" t="str">
        <f t="array" ref="D466">iferror(index(fish_lab_data!D:D,match(A466,fish_lab_data!C:C,0)))</f>
        <v>P1127</v>
      </c>
      <c r="E466" s="6">
        <v>103.0</v>
      </c>
      <c r="F466" s="17" t="str">
        <f t="shared" si="3"/>
        <v>BCA103</v>
      </c>
      <c r="G466" s="43" t="str">
        <f t="shared" si="4"/>
        <v>NA</v>
      </c>
      <c r="H466" s="17" t="str">
        <f t="shared" si="5"/>
        <v>BCA103-NA</v>
      </c>
      <c r="J466" t="str">
        <f t="shared" si="6"/>
        <v>collected</v>
      </c>
      <c r="K466" t="str">
        <f t="shared" si="7"/>
        <v>N</v>
      </c>
    </row>
    <row r="467">
      <c r="A467" s="44" t="s">
        <v>828</v>
      </c>
      <c r="B467" s="10" t="str">
        <f t="shared" si="1"/>
        <v>fish</v>
      </c>
      <c r="C467" s="63" t="str">
        <f t="shared" si="2"/>
        <v>U17262</v>
      </c>
      <c r="D467" s="11" t="str">
        <f t="array" ref="D467">iferror(index(fish_lab_data!D:D,match(A467,fish_lab_data!C:C,0)))</f>
        <v>P1127</v>
      </c>
      <c r="E467" s="6">
        <v>103.0</v>
      </c>
      <c r="F467" s="17" t="str">
        <f t="shared" si="3"/>
        <v>BCA103</v>
      </c>
      <c r="G467" s="43" t="str">
        <f t="shared" si="4"/>
        <v>NA</v>
      </c>
      <c r="H467" s="17" t="str">
        <f t="shared" si="5"/>
        <v>BCA103-NA</v>
      </c>
      <c r="J467" t="str">
        <f t="shared" si="6"/>
        <v>collected</v>
      </c>
      <c r="K467" t="str">
        <f t="shared" si="7"/>
        <v>N</v>
      </c>
    </row>
    <row r="468">
      <c r="A468" s="44" t="s">
        <v>830</v>
      </c>
      <c r="B468" s="10" t="str">
        <f t="shared" si="1"/>
        <v>fish</v>
      </c>
      <c r="C468" s="63" t="str">
        <f t="shared" si="2"/>
        <v>U17261</v>
      </c>
      <c r="D468" s="11" t="str">
        <f t="array" ref="D468">iferror(index(fish_lab_data!D:D,match(A468,fish_lab_data!C:C,0)))</f>
        <v>P1127</v>
      </c>
      <c r="E468" s="6">
        <v>103.0</v>
      </c>
      <c r="F468" s="17" t="str">
        <f t="shared" si="3"/>
        <v>BCA103</v>
      </c>
      <c r="G468" s="43" t="str">
        <f t="shared" si="4"/>
        <v>NA</v>
      </c>
      <c r="H468" s="17" t="str">
        <f t="shared" si="5"/>
        <v>BCA103-NA</v>
      </c>
      <c r="J468" t="str">
        <f t="shared" si="6"/>
        <v>collected</v>
      </c>
      <c r="K468" t="str">
        <f t="shared" si="7"/>
        <v>N</v>
      </c>
    </row>
    <row r="469">
      <c r="A469" s="44" t="s">
        <v>832</v>
      </c>
      <c r="B469" s="10" t="str">
        <f t="shared" si="1"/>
        <v>fish</v>
      </c>
      <c r="C469" s="63" t="str">
        <f t="shared" si="2"/>
        <v>U17266</v>
      </c>
      <c r="D469" s="11" t="str">
        <f t="array" ref="D469">iferror(index(fish_lab_data!D:D,match(A469,fish_lab_data!C:C,0)))</f>
        <v>P1127</v>
      </c>
      <c r="E469" s="6">
        <v>103.0</v>
      </c>
      <c r="F469" s="17" t="str">
        <f t="shared" si="3"/>
        <v>BCA103</v>
      </c>
      <c r="G469" s="43" t="str">
        <f t="shared" si="4"/>
        <v>NA</v>
      </c>
      <c r="H469" s="17" t="str">
        <f t="shared" si="5"/>
        <v>BCA103-NA</v>
      </c>
      <c r="J469" t="str">
        <f t="shared" si="6"/>
        <v>collected</v>
      </c>
      <c r="K469" t="str">
        <f t="shared" si="7"/>
        <v>N</v>
      </c>
    </row>
    <row r="470">
      <c r="A470" s="44" t="s">
        <v>833</v>
      </c>
      <c r="B470" s="10" t="str">
        <f t="shared" si="1"/>
        <v>fish</v>
      </c>
      <c r="C470" s="63" t="str">
        <f t="shared" si="2"/>
        <v>U17267</v>
      </c>
      <c r="D470" s="11" t="str">
        <f t="array" ref="D470">iferror(index(fish_lab_data!D:D,match(A470,fish_lab_data!C:C,0)))</f>
        <v>P1127</v>
      </c>
      <c r="E470" s="6">
        <v>103.0</v>
      </c>
      <c r="F470" s="17" t="str">
        <f t="shared" si="3"/>
        <v>BCA103</v>
      </c>
      <c r="G470" s="43" t="str">
        <f t="shared" si="4"/>
        <v>NA</v>
      </c>
      <c r="H470" s="17" t="str">
        <f t="shared" si="5"/>
        <v>BCA103-NA</v>
      </c>
      <c r="J470" t="str">
        <f t="shared" si="6"/>
        <v>collected</v>
      </c>
      <c r="K470" t="str">
        <f t="shared" si="7"/>
        <v>N</v>
      </c>
    </row>
    <row r="471">
      <c r="A471" s="44" t="s">
        <v>834</v>
      </c>
      <c r="B471" s="10" t="str">
        <f t="shared" si="1"/>
        <v>fish</v>
      </c>
      <c r="C471" s="63" t="str">
        <f t="shared" si="2"/>
        <v>U17268</v>
      </c>
      <c r="D471" s="11" t="str">
        <f t="array" ref="D471">iferror(index(fish_lab_data!D:D,match(A471,fish_lab_data!C:C,0)))</f>
        <v>P1127</v>
      </c>
      <c r="E471" s="6">
        <v>103.0</v>
      </c>
      <c r="F471" s="17" t="str">
        <f t="shared" si="3"/>
        <v>BCA103</v>
      </c>
      <c r="G471" s="43" t="str">
        <f t="shared" si="4"/>
        <v>NA</v>
      </c>
      <c r="H471" s="17" t="str">
        <f t="shared" si="5"/>
        <v>BCA103-NA</v>
      </c>
      <c r="J471" t="str">
        <f t="shared" si="6"/>
        <v>collected</v>
      </c>
      <c r="K471" t="str">
        <f t="shared" si="7"/>
        <v>N</v>
      </c>
    </row>
    <row r="472">
      <c r="A472" s="46" t="s">
        <v>837</v>
      </c>
      <c r="B472" s="10" t="str">
        <f t="shared" si="1"/>
        <v>fish</v>
      </c>
      <c r="C472" s="63" t="str">
        <f t="shared" si="2"/>
        <v>U17269</v>
      </c>
      <c r="D472" s="11" t="str">
        <f t="array" ref="D472">iferror(index(fish_lab_data!D:D,match(A472,fish_lab_data!C:C,0)))</f>
        <v>P1127</v>
      </c>
      <c r="E472" s="6">
        <v>103.0</v>
      </c>
      <c r="F472" s="17" t="str">
        <f t="shared" si="3"/>
        <v>BCA103</v>
      </c>
      <c r="G472" s="43" t="str">
        <f t="shared" si="4"/>
        <v>NA</v>
      </c>
      <c r="H472" s="17" t="str">
        <f t="shared" si="5"/>
        <v>BCA103-NA</v>
      </c>
      <c r="J472" t="str">
        <f t="shared" si="6"/>
        <v>collected</v>
      </c>
      <c r="K472" t="str">
        <f t="shared" si="7"/>
        <v>N</v>
      </c>
    </row>
    <row r="473">
      <c r="A473" s="46" t="s">
        <v>838</v>
      </c>
      <c r="B473" s="10" t="str">
        <f t="shared" si="1"/>
        <v>fish</v>
      </c>
      <c r="C473" s="63" t="str">
        <f t="shared" si="2"/>
        <v>U17233</v>
      </c>
      <c r="D473" s="11" t="str">
        <f t="array" ref="D473">iferror(index(fish_lab_data!D:D,match(A473,fish_lab_data!C:C,0)))</f>
        <v>P1124</v>
      </c>
      <c r="E473" s="6">
        <v>104.0</v>
      </c>
      <c r="F473" s="17" t="str">
        <f t="shared" si="3"/>
        <v>BCA104</v>
      </c>
      <c r="G473" s="43" t="str">
        <f t="shared" si="4"/>
        <v>NA</v>
      </c>
      <c r="H473" s="17" t="str">
        <f t="shared" si="5"/>
        <v>BCA104-NA</v>
      </c>
      <c r="J473" t="str">
        <f t="shared" si="6"/>
        <v>collected</v>
      </c>
      <c r="K473" t="str">
        <f t="shared" si="7"/>
        <v>N</v>
      </c>
    </row>
    <row r="474">
      <c r="A474" s="27" t="s">
        <v>871</v>
      </c>
      <c r="B474" s="10" t="str">
        <f t="shared" si="1"/>
        <v>fish</v>
      </c>
      <c r="C474" s="63" t="str">
        <f t="shared" si="2"/>
        <v>U16883</v>
      </c>
      <c r="D474" s="11" t="str">
        <f t="array" ref="D474">iferror(index(fish_lab_data!D:D,match(A474,fish_lab_data!C:C,0)))</f>
        <v>P1089</v>
      </c>
      <c r="E474" s="6">
        <v>104.0</v>
      </c>
      <c r="F474" s="17" t="str">
        <f t="shared" si="3"/>
        <v>BCA104</v>
      </c>
      <c r="G474" s="43" t="str">
        <f t="shared" si="4"/>
        <v>NA</v>
      </c>
      <c r="H474" s="17" t="str">
        <f t="shared" si="5"/>
        <v>BCA104-NA</v>
      </c>
      <c r="J474" t="str">
        <f t="shared" si="6"/>
        <v>collected</v>
      </c>
      <c r="K474" t="str">
        <f t="shared" si="7"/>
        <v>N</v>
      </c>
    </row>
    <row r="475">
      <c r="A475" s="27" t="s">
        <v>872</v>
      </c>
      <c r="B475" s="10" t="str">
        <f t="shared" si="1"/>
        <v>fish</v>
      </c>
      <c r="C475" s="63" t="str">
        <f t="shared" si="2"/>
        <v>U16884</v>
      </c>
      <c r="D475" s="11" t="str">
        <f t="array" ref="D475">iferror(index(fish_lab_data!D:D,match(A475,fish_lab_data!C:C,0)))</f>
        <v>P1089</v>
      </c>
      <c r="E475" s="6">
        <v>104.0</v>
      </c>
      <c r="F475" s="17" t="str">
        <f t="shared" si="3"/>
        <v>BCA104</v>
      </c>
      <c r="G475" s="43" t="str">
        <f t="shared" si="4"/>
        <v>NA</v>
      </c>
      <c r="H475" s="17" t="str">
        <f t="shared" si="5"/>
        <v>BCA104-NA</v>
      </c>
      <c r="J475" t="str">
        <f t="shared" si="6"/>
        <v>collected</v>
      </c>
      <c r="K475" t="str">
        <f t="shared" si="7"/>
        <v>N</v>
      </c>
    </row>
    <row r="476">
      <c r="A476" s="27" t="s">
        <v>873</v>
      </c>
      <c r="B476" s="10" t="str">
        <f t="shared" si="1"/>
        <v>fish</v>
      </c>
      <c r="C476" s="63" t="str">
        <f t="shared" si="2"/>
        <v>U16885</v>
      </c>
      <c r="D476" s="11" t="str">
        <f t="array" ref="D476">iferror(index(fish_lab_data!D:D,match(A476,fish_lab_data!C:C,0)))</f>
        <v>P1089</v>
      </c>
      <c r="E476" s="6">
        <v>104.0</v>
      </c>
      <c r="F476" s="17" t="str">
        <f t="shared" si="3"/>
        <v>BCA104</v>
      </c>
      <c r="G476" s="43" t="str">
        <f t="shared" si="4"/>
        <v>NA</v>
      </c>
      <c r="H476" s="17" t="str">
        <f t="shared" si="5"/>
        <v>BCA104-NA</v>
      </c>
      <c r="J476" t="str">
        <f t="shared" si="6"/>
        <v>collected</v>
      </c>
      <c r="K476" t="str">
        <f t="shared" si="7"/>
        <v>N</v>
      </c>
    </row>
    <row r="477">
      <c r="A477" s="27" t="s">
        <v>875</v>
      </c>
      <c r="B477" s="10" t="str">
        <f t="shared" si="1"/>
        <v>fish</v>
      </c>
      <c r="C477" s="63" t="str">
        <f t="shared" si="2"/>
        <v>U16889</v>
      </c>
      <c r="D477" s="11" t="str">
        <f t="array" ref="D477">iferror(index(fish_lab_data!D:D,match(A477,fish_lab_data!C:C,0)))</f>
        <v>P1089</v>
      </c>
      <c r="E477" s="6">
        <v>104.0</v>
      </c>
      <c r="F477" s="17" t="str">
        <f t="shared" si="3"/>
        <v>BCA104</v>
      </c>
      <c r="G477" s="43" t="str">
        <f t="shared" si="4"/>
        <v>NA</v>
      </c>
      <c r="H477" s="17" t="str">
        <f t="shared" si="5"/>
        <v>BCA104-NA</v>
      </c>
      <c r="J477" t="str">
        <f t="shared" si="6"/>
        <v>collected</v>
      </c>
      <c r="K477" t="str">
        <f t="shared" si="7"/>
        <v>N</v>
      </c>
    </row>
    <row r="478">
      <c r="A478" s="27" t="s">
        <v>877</v>
      </c>
      <c r="B478" s="10" t="str">
        <f t="shared" si="1"/>
        <v>fish</v>
      </c>
      <c r="C478" s="63" t="str">
        <f t="shared" si="2"/>
        <v>U16886</v>
      </c>
      <c r="D478" s="11" t="str">
        <f t="array" ref="D478">iferror(index(fish_lab_data!D:D,match(A478,fish_lab_data!C:C,0)))</f>
        <v>P1089</v>
      </c>
      <c r="E478" s="6">
        <v>104.0</v>
      </c>
      <c r="F478" s="17" t="str">
        <f t="shared" si="3"/>
        <v>BCA104</v>
      </c>
      <c r="G478" s="43" t="str">
        <f t="shared" si="4"/>
        <v>NA</v>
      </c>
      <c r="H478" s="17" t="str">
        <f t="shared" si="5"/>
        <v>BCA104-NA</v>
      </c>
      <c r="J478" t="str">
        <f t="shared" si="6"/>
        <v>collected</v>
      </c>
      <c r="K478" t="str">
        <f t="shared" si="7"/>
        <v>N</v>
      </c>
    </row>
    <row r="479">
      <c r="A479" s="27" t="s">
        <v>878</v>
      </c>
      <c r="B479" s="10" t="str">
        <f t="shared" si="1"/>
        <v>fish</v>
      </c>
      <c r="C479" s="63" t="str">
        <f t="shared" si="2"/>
        <v>U16887</v>
      </c>
      <c r="D479" s="11" t="str">
        <f t="array" ref="D479">iferror(index(fish_lab_data!D:D,match(A479,fish_lab_data!C:C,0)))</f>
        <v>P1089</v>
      </c>
      <c r="E479" s="6">
        <v>104.0</v>
      </c>
      <c r="F479" s="17" t="str">
        <f t="shared" si="3"/>
        <v>BCA104</v>
      </c>
      <c r="G479" s="43" t="str">
        <f t="shared" si="4"/>
        <v>NA</v>
      </c>
      <c r="H479" s="17" t="str">
        <f t="shared" si="5"/>
        <v>BCA104-NA</v>
      </c>
      <c r="J479" t="str">
        <f t="shared" si="6"/>
        <v>collected</v>
      </c>
      <c r="K479" t="str">
        <f t="shared" si="7"/>
        <v>N</v>
      </c>
    </row>
    <row r="480">
      <c r="A480" s="27" t="s">
        <v>881</v>
      </c>
      <c r="B480" s="10" t="str">
        <f t="shared" si="1"/>
        <v>fish</v>
      </c>
      <c r="C480" s="63" t="str">
        <f t="shared" si="2"/>
        <v>U16888</v>
      </c>
      <c r="D480" s="11" t="str">
        <f t="array" ref="D480">iferror(index(fish_lab_data!D:D,match(A480,fish_lab_data!C:C,0)))</f>
        <v>P1089</v>
      </c>
      <c r="E480" s="6">
        <v>104.0</v>
      </c>
      <c r="F480" s="17" t="str">
        <f t="shared" si="3"/>
        <v>BCA104</v>
      </c>
      <c r="G480" s="43" t="str">
        <f t="shared" si="4"/>
        <v>NA</v>
      </c>
      <c r="H480" s="17" t="str">
        <f t="shared" si="5"/>
        <v>BCA104-NA</v>
      </c>
      <c r="J480" t="str">
        <f t="shared" si="6"/>
        <v>collected</v>
      </c>
      <c r="K480" t="str">
        <f t="shared" si="7"/>
        <v>N</v>
      </c>
    </row>
    <row r="481">
      <c r="A481" s="27" t="s">
        <v>882</v>
      </c>
      <c r="B481" s="10" t="str">
        <f t="shared" si="1"/>
        <v>fish</v>
      </c>
      <c r="C481" s="63" t="str">
        <f t="shared" si="2"/>
        <v>U16890</v>
      </c>
      <c r="D481" s="11" t="str">
        <f t="array" ref="D481">iferror(index(fish_lab_data!D:D,match(A481,fish_lab_data!C:C,0)))</f>
        <v>P1089</v>
      </c>
      <c r="E481" s="6">
        <v>104.0</v>
      </c>
      <c r="F481" s="17" t="str">
        <f t="shared" si="3"/>
        <v>BCA104</v>
      </c>
      <c r="G481" s="43" t="str">
        <f t="shared" si="4"/>
        <v>NA</v>
      </c>
      <c r="H481" s="17" t="str">
        <f t="shared" si="5"/>
        <v>BCA104-NA</v>
      </c>
      <c r="J481" t="str">
        <f t="shared" si="6"/>
        <v>collected</v>
      </c>
      <c r="K481" t="str">
        <f t="shared" si="7"/>
        <v>N</v>
      </c>
    </row>
    <row r="482">
      <c r="A482" s="27" t="s">
        <v>884</v>
      </c>
      <c r="B482" s="10" t="str">
        <f t="shared" si="1"/>
        <v>fish</v>
      </c>
      <c r="C482" s="63" t="str">
        <f t="shared" si="2"/>
        <v>U16291</v>
      </c>
      <c r="D482" s="11" t="str">
        <f t="array" ref="D482">iferror(index(fish_lab_data!D:D,match(A482,fish_lab_data!C:C,0)))</f>
        <v>P1030</v>
      </c>
      <c r="E482" s="6">
        <v>104.0</v>
      </c>
      <c r="F482" s="17" t="str">
        <f t="shared" si="3"/>
        <v>BCA104</v>
      </c>
      <c r="G482" s="43" t="str">
        <f t="shared" si="4"/>
        <v>NA</v>
      </c>
      <c r="H482" s="17" t="str">
        <f t="shared" si="5"/>
        <v>BCA104-NA</v>
      </c>
      <c r="J482" t="str">
        <f t="shared" si="6"/>
        <v>collected</v>
      </c>
      <c r="K482" t="str">
        <f t="shared" si="7"/>
        <v>N</v>
      </c>
    </row>
    <row r="483">
      <c r="A483" s="27" t="s">
        <v>885</v>
      </c>
      <c r="B483" s="10" t="str">
        <f t="shared" si="1"/>
        <v>fish</v>
      </c>
      <c r="C483" s="63" t="str">
        <f t="shared" si="2"/>
        <v>U16292</v>
      </c>
      <c r="D483" s="11" t="str">
        <f t="array" ref="D483">iferror(index(fish_lab_data!D:D,match(A483,fish_lab_data!C:C,0)))</f>
        <v>P1030</v>
      </c>
      <c r="E483" s="6">
        <v>104.0</v>
      </c>
      <c r="F483" s="17" t="str">
        <f t="shared" si="3"/>
        <v>BCA104</v>
      </c>
      <c r="G483" s="43" t="str">
        <f t="shared" si="4"/>
        <v>NA</v>
      </c>
      <c r="H483" s="17" t="str">
        <f t="shared" si="5"/>
        <v>BCA104-NA</v>
      </c>
      <c r="J483" t="str">
        <f t="shared" si="6"/>
        <v>collected</v>
      </c>
      <c r="K483" t="str">
        <f t="shared" si="7"/>
        <v>N</v>
      </c>
    </row>
    <row r="484">
      <c r="A484" s="27" t="s">
        <v>886</v>
      </c>
      <c r="B484" s="10" t="str">
        <f t="shared" si="1"/>
        <v>fish</v>
      </c>
      <c r="C484" s="63" t="str">
        <f t="shared" si="2"/>
        <v>U16293</v>
      </c>
      <c r="D484" s="11" t="str">
        <f t="array" ref="D484">iferror(index(fish_lab_data!D:D,match(A484,fish_lab_data!C:C,0)))</f>
        <v>P1030</v>
      </c>
      <c r="E484" s="6">
        <v>104.0</v>
      </c>
      <c r="F484" s="17" t="str">
        <f t="shared" si="3"/>
        <v>BCA104</v>
      </c>
      <c r="G484" s="43" t="str">
        <f t="shared" si="4"/>
        <v>NA</v>
      </c>
      <c r="H484" s="17" t="str">
        <f t="shared" si="5"/>
        <v>BCA104-NA</v>
      </c>
      <c r="J484" t="str">
        <f t="shared" si="6"/>
        <v>collected</v>
      </c>
      <c r="K484" t="str">
        <f t="shared" si="7"/>
        <v>N</v>
      </c>
    </row>
    <row r="485">
      <c r="A485" s="27" t="s">
        <v>887</v>
      </c>
      <c r="B485" s="10" t="str">
        <f t="shared" si="1"/>
        <v>fish</v>
      </c>
      <c r="C485" s="63" t="str">
        <f t="shared" si="2"/>
        <v>U16294</v>
      </c>
      <c r="D485" s="11" t="str">
        <f t="array" ref="D485">iferror(index(fish_lab_data!D:D,match(A485,fish_lab_data!C:C,0)))</f>
        <v>P1030</v>
      </c>
      <c r="E485" s="6">
        <v>104.0</v>
      </c>
      <c r="F485" s="17" t="str">
        <f t="shared" si="3"/>
        <v>BCA104</v>
      </c>
      <c r="G485" s="43" t="str">
        <f t="shared" si="4"/>
        <v>NA</v>
      </c>
      <c r="H485" s="17" t="str">
        <f t="shared" si="5"/>
        <v>BCA104-NA</v>
      </c>
      <c r="J485" t="str">
        <f t="shared" si="6"/>
        <v>collected</v>
      </c>
      <c r="K485" t="str">
        <f t="shared" si="7"/>
        <v>N</v>
      </c>
    </row>
    <row r="486">
      <c r="A486" s="27" t="s">
        <v>889</v>
      </c>
      <c r="B486" s="10" t="str">
        <f t="shared" si="1"/>
        <v>fish</v>
      </c>
      <c r="C486" s="63" t="str">
        <f t="shared" si="2"/>
        <v>U16295</v>
      </c>
      <c r="D486" s="11" t="str">
        <f t="array" ref="D486">iferror(index(fish_lab_data!D:D,match(A486,fish_lab_data!C:C,0)))</f>
        <v>P1030</v>
      </c>
      <c r="E486" s="6">
        <v>104.0</v>
      </c>
      <c r="F486" s="17" t="str">
        <f t="shared" si="3"/>
        <v>BCA104</v>
      </c>
      <c r="G486" s="43" t="str">
        <f t="shared" si="4"/>
        <v>NA</v>
      </c>
      <c r="H486" s="17" t="str">
        <f t="shared" si="5"/>
        <v>BCA104-NA</v>
      </c>
      <c r="J486" t="str">
        <f t="shared" si="6"/>
        <v>collected</v>
      </c>
      <c r="K486" t="str">
        <f t="shared" si="7"/>
        <v>N</v>
      </c>
    </row>
    <row r="487">
      <c r="A487" s="27" t="s">
        <v>891</v>
      </c>
      <c r="B487" s="10" t="str">
        <f t="shared" si="1"/>
        <v>fish</v>
      </c>
      <c r="C487" s="63" t="str">
        <f t="shared" si="2"/>
        <v>U16296</v>
      </c>
      <c r="D487" s="11" t="str">
        <f t="array" ref="D487">iferror(index(fish_lab_data!D:D,match(A487,fish_lab_data!C:C,0)))</f>
        <v>P1030</v>
      </c>
      <c r="E487" s="6">
        <v>104.0</v>
      </c>
      <c r="F487" s="17" t="str">
        <f t="shared" si="3"/>
        <v>BCA104</v>
      </c>
      <c r="G487" s="43" t="str">
        <f t="shared" si="4"/>
        <v>NA</v>
      </c>
      <c r="H487" s="17" t="str">
        <f t="shared" si="5"/>
        <v>BCA104-NA</v>
      </c>
      <c r="J487" t="str">
        <f t="shared" si="6"/>
        <v>collected</v>
      </c>
      <c r="K487" t="str">
        <f t="shared" si="7"/>
        <v>N</v>
      </c>
    </row>
    <row r="488">
      <c r="A488" s="27" t="s">
        <v>892</v>
      </c>
      <c r="B488" s="10" t="str">
        <f t="shared" si="1"/>
        <v>fish</v>
      </c>
      <c r="C488" s="63" t="str">
        <f t="shared" si="2"/>
        <v>U16297</v>
      </c>
      <c r="D488" s="11" t="str">
        <f t="array" ref="D488">iferror(index(fish_lab_data!D:D,match(A488,fish_lab_data!C:C,0)))</f>
        <v>P1030</v>
      </c>
      <c r="E488" s="6">
        <v>104.0</v>
      </c>
      <c r="F488" s="17" t="str">
        <f t="shared" si="3"/>
        <v>BCA104</v>
      </c>
      <c r="G488" s="43" t="str">
        <f t="shared" si="4"/>
        <v>NA</v>
      </c>
      <c r="H488" s="17" t="str">
        <f t="shared" si="5"/>
        <v>BCA104-NA</v>
      </c>
      <c r="J488" t="str">
        <f t="shared" si="6"/>
        <v>collected</v>
      </c>
      <c r="K488" t="str">
        <f t="shared" si="7"/>
        <v>N</v>
      </c>
    </row>
    <row r="489">
      <c r="A489" s="27" t="s">
        <v>893</v>
      </c>
      <c r="B489" s="10" t="str">
        <f t="shared" si="1"/>
        <v>fish</v>
      </c>
      <c r="C489" s="63" t="str">
        <f t="shared" si="2"/>
        <v>U16298</v>
      </c>
      <c r="D489" s="11" t="str">
        <f t="array" ref="D489">iferror(index(fish_lab_data!D:D,match(A489,fish_lab_data!C:C,0)))</f>
        <v>P1030</v>
      </c>
      <c r="E489" s="6">
        <v>104.0</v>
      </c>
      <c r="F489" s="17" t="str">
        <f t="shared" si="3"/>
        <v>BCA104</v>
      </c>
      <c r="G489" s="43" t="str">
        <f t="shared" si="4"/>
        <v>NA</v>
      </c>
      <c r="H489" s="17" t="str">
        <f t="shared" si="5"/>
        <v>BCA104-NA</v>
      </c>
      <c r="J489" t="str">
        <f t="shared" si="6"/>
        <v>collected</v>
      </c>
      <c r="K489" t="str">
        <f t="shared" si="7"/>
        <v>N</v>
      </c>
    </row>
    <row r="490">
      <c r="A490" s="27" t="s">
        <v>894</v>
      </c>
      <c r="B490" s="10" t="str">
        <f t="shared" si="1"/>
        <v>fish</v>
      </c>
      <c r="C490" s="63" t="str">
        <f t="shared" si="2"/>
        <v>U16511</v>
      </c>
      <c r="D490" s="11" t="str">
        <f t="array" ref="D490">iferror(index(fish_lab_data!D:D,match(A490,fish_lab_data!C:C,0)))</f>
        <v>P1052</v>
      </c>
      <c r="E490" s="6">
        <v>104.0</v>
      </c>
      <c r="F490" s="17" t="str">
        <f t="shared" si="3"/>
        <v>BCA104</v>
      </c>
      <c r="G490" s="43" t="str">
        <f t="shared" si="4"/>
        <v>NA</v>
      </c>
      <c r="H490" s="17" t="str">
        <f t="shared" si="5"/>
        <v>BCA104-NA</v>
      </c>
      <c r="J490" t="str">
        <f t="shared" si="6"/>
        <v>collected</v>
      </c>
      <c r="K490" t="str">
        <f t="shared" si="7"/>
        <v>N</v>
      </c>
    </row>
    <row r="491">
      <c r="A491" s="27" t="s">
        <v>895</v>
      </c>
      <c r="B491" s="10" t="str">
        <f t="shared" si="1"/>
        <v>fish</v>
      </c>
      <c r="C491" s="63" t="str">
        <f t="shared" si="2"/>
        <v>U16512</v>
      </c>
      <c r="D491" s="11" t="str">
        <f t="array" ref="D491">iferror(index(fish_lab_data!D:D,match(A491,fish_lab_data!C:C,0)))</f>
        <v>P1052</v>
      </c>
      <c r="E491" s="6">
        <v>104.0</v>
      </c>
      <c r="F491" s="17" t="str">
        <f t="shared" si="3"/>
        <v>BCA104</v>
      </c>
      <c r="G491" s="43" t="str">
        <f t="shared" si="4"/>
        <v>NA</v>
      </c>
      <c r="H491" s="17" t="str">
        <f t="shared" si="5"/>
        <v>BCA104-NA</v>
      </c>
      <c r="J491" t="str">
        <f t="shared" si="6"/>
        <v>collected</v>
      </c>
      <c r="K491" t="str">
        <f t="shared" si="7"/>
        <v>N</v>
      </c>
    </row>
    <row r="492">
      <c r="A492" s="40" t="s">
        <v>897</v>
      </c>
      <c r="B492" s="10" t="str">
        <f t="shared" si="1"/>
        <v>fish</v>
      </c>
      <c r="C492" s="63" t="str">
        <f t="shared" si="2"/>
        <v>U17231</v>
      </c>
      <c r="D492" s="11" t="str">
        <f t="array" ref="D492">iferror(index(fish_lab_data!D:D,match(A492,fish_lab_data!C:C,0)))</f>
        <v>P1124</v>
      </c>
      <c r="E492" s="6">
        <v>104.0</v>
      </c>
      <c r="F492" s="17" t="str">
        <f t="shared" si="3"/>
        <v>BCA104</v>
      </c>
      <c r="G492" s="43" t="str">
        <f t="shared" si="4"/>
        <v>NA</v>
      </c>
      <c r="H492" s="17" t="str">
        <f t="shared" si="5"/>
        <v>BCA104-NA</v>
      </c>
      <c r="J492" t="str">
        <f t="shared" si="6"/>
        <v>collected</v>
      </c>
      <c r="K492" t="str">
        <f t="shared" si="7"/>
        <v>N</v>
      </c>
    </row>
    <row r="493">
      <c r="A493" s="43" t="s">
        <v>898</v>
      </c>
      <c r="B493" s="10" t="str">
        <f t="shared" si="1"/>
        <v>fish</v>
      </c>
      <c r="C493" s="63" t="str">
        <f t="shared" si="2"/>
        <v>U17235</v>
      </c>
      <c r="D493" s="11" t="str">
        <f t="array" ref="D493">iferror(index(fish_lab_data!D:D,match(A493,fish_lab_data!C:C,0)))</f>
        <v>P1124</v>
      </c>
      <c r="E493" s="6">
        <v>104.0</v>
      </c>
      <c r="F493" s="17" t="str">
        <f t="shared" si="3"/>
        <v>BCA104</v>
      </c>
      <c r="G493" s="43" t="str">
        <f t="shared" si="4"/>
        <v>NA</v>
      </c>
      <c r="H493" s="17" t="str">
        <f t="shared" si="5"/>
        <v>BCA104-NA</v>
      </c>
      <c r="J493" t="str">
        <f t="shared" si="6"/>
        <v>collected</v>
      </c>
      <c r="K493" t="str">
        <f t="shared" si="7"/>
        <v>N</v>
      </c>
    </row>
    <row r="494">
      <c r="A494" s="44" t="s">
        <v>899</v>
      </c>
      <c r="B494" s="10" t="str">
        <f t="shared" si="1"/>
        <v>fish</v>
      </c>
      <c r="C494" s="63" t="str">
        <f t="shared" si="2"/>
        <v>U17237</v>
      </c>
      <c r="D494" s="11" t="str">
        <f t="array" ref="D494">iferror(index(fish_lab_data!D:D,match(A494,fish_lab_data!C:C,0)))</f>
        <v>P1124</v>
      </c>
      <c r="E494" s="6">
        <v>104.0</v>
      </c>
      <c r="F494" s="17" t="str">
        <f t="shared" si="3"/>
        <v>BCA104</v>
      </c>
      <c r="G494" s="43" t="str">
        <f t="shared" si="4"/>
        <v>NA</v>
      </c>
      <c r="H494" s="17" t="str">
        <f t="shared" si="5"/>
        <v>BCA104-NA</v>
      </c>
      <c r="J494" t="str">
        <f t="shared" si="6"/>
        <v>collected</v>
      </c>
      <c r="K494" t="str">
        <f t="shared" si="7"/>
        <v>N</v>
      </c>
    </row>
    <row r="495">
      <c r="A495" s="44" t="s">
        <v>901</v>
      </c>
      <c r="B495" s="10" t="str">
        <f t="shared" si="1"/>
        <v>fish</v>
      </c>
      <c r="C495" s="63" t="str">
        <f t="shared" si="2"/>
        <v>U17238</v>
      </c>
      <c r="D495" s="11" t="str">
        <f t="array" ref="D495">iferror(index(fish_lab_data!D:D,match(A495,fish_lab_data!C:C,0)))</f>
        <v>P1124</v>
      </c>
      <c r="E495" s="6">
        <v>104.0</v>
      </c>
      <c r="F495" s="17" t="str">
        <f t="shared" si="3"/>
        <v>BCA104</v>
      </c>
      <c r="G495" s="43" t="str">
        <f t="shared" si="4"/>
        <v>NA</v>
      </c>
      <c r="H495" s="17" t="str">
        <f t="shared" si="5"/>
        <v>BCA104-NA</v>
      </c>
      <c r="J495" t="str">
        <f t="shared" si="6"/>
        <v>collected</v>
      </c>
      <c r="K495" t="str">
        <f t="shared" si="7"/>
        <v>N</v>
      </c>
    </row>
    <row r="496">
      <c r="A496" s="44" t="s">
        <v>903</v>
      </c>
      <c r="B496" s="10" t="str">
        <f t="shared" si="1"/>
        <v>fish</v>
      </c>
      <c r="C496" s="63" t="str">
        <f t="shared" si="2"/>
        <v>U17234</v>
      </c>
      <c r="D496" s="11" t="str">
        <f t="array" ref="D496">iferror(index(fish_lab_data!D:D,match(A496,fish_lab_data!C:C,0)))</f>
        <v>P1124</v>
      </c>
      <c r="E496" s="6">
        <v>104.0</v>
      </c>
      <c r="F496" s="17" t="str">
        <f t="shared" si="3"/>
        <v>BCA104</v>
      </c>
      <c r="G496" s="43" t="str">
        <f t="shared" si="4"/>
        <v>NA</v>
      </c>
      <c r="H496" s="17" t="str">
        <f t="shared" si="5"/>
        <v>BCA104-NA</v>
      </c>
      <c r="J496" t="str">
        <f t="shared" si="6"/>
        <v>collected</v>
      </c>
      <c r="K496" t="str">
        <f t="shared" si="7"/>
        <v>N</v>
      </c>
    </row>
    <row r="497">
      <c r="A497" s="44" t="s">
        <v>904</v>
      </c>
      <c r="B497" s="10" t="str">
        <f t="shared" si="1"/>
        <v>fish</v>
      </c>
      <c r="C497" s="63" t="str">
        <f t="shared" si="2"/>
        <v>U17232</v>
      </c>
      <c r="D497" s="11" t="str">
        <f t="array" ref="D497">iferror(index(fish_lab_data!D:D,match(A497,fish_lab_data!C:C,0)))</f>
        <v>P1124</v>
      </c>
      <c r="E497" s="6">
        <v>104.0</v>
      </c>
      <c r="F497" s="17" t="str">
        <f t="shared" si="3"/>
        <v>BCA104</v>
      </c>
      <c r="G497" s="43" t="str">
        <f t="shared" si="4"/>
        <v>NA</v>
      </c>
      <c r="H497" s="17" t="str">
        <f t="shared" si="5"/>
        <v>BCA104-NA</v>
      </c>
      <c r="J497" t="str">
        <f t="shared" si="6"/>
        <v>collected</v>
      </c>
      <c r="K497" t="str">
        <f t="shared" si="7"/>
        <v>N</v>
      </c>
    </row>
    <row r="498">
      <c r="A498" s="44" t="s">
        <v>905</v>
      </c>
      <c r="B498" s="10" t="str">
        <f t="shared" si="1"/>
        <v>fish</v>
      </c>
      <c r="C498" s="63" t="str">
        <f t="shared" si="2"/>
        <v>U17240</v>
      </c>
      <c r="D498" s="11" t="str">
        <f t="array" ref="D498">iferror(index(fish_lab_data!D:D,match(A498,fish_lab_data!C:C,0)))</f>
        <v>P1124</v>
      </c>
      <c r="E498" s="6">
        <v>104.0</v>
      </c>
      <c r="F498" s="17" t="str">
        <f t="shared" si="3"/>
        <v>BCA104</v>
      </c>
      <c r="G498" s="43" t="str">
        <f t="shared" si="4"/>
        <v>NA</v>
      </c>
      <c r="H498" s="17" t="str">
        <f t="shared" si="5"/>
        <v>BCA104-NA</v>
      </c>
      <c r="J498" t="str">
        <f t="shared" si="6"/>
        <v>collected</v>
      </c>
      <c r="K498" t="str">
        <f t="shared" si="7"/>
        <v>N</v>
      </c>
    </row>
    <row r="499">
      <c r="A499" s="44" t="s">
        <v>906</v>
      </c>
      <c r="B499" s="10" t="str">
        <f t="shared" si="1"/>
        <v>fish</v>
      </c>
      <c r="C499" s="63" t="str">
        <f t="shared" si="2"/>
        <v>U17239</v>
      </c>
      <c r="D499" s="11" t="str">
        <f t="array" ref="D499">iferror(index(fish_lab_data!D:D,match(A499,fish_lab_data!C:C,0)))</f>
        <v>P1124</v>
      </c>
      <c r="E499" s="6">
        <v>104.0</v>
      </c>
      <c r="F499" s="17" t="str">
        <f t="shared" si="3"/>
        <v>BCA104</v>
      </c>
      <c r="G499" s="43" t="str">
        <f t="shared" si="4"/>
        <v>NA</v>
      </c>
      <c r="H499" s="17" t="str">
        <f t="shared" si="5"/>
        <v>BCA104-NA</v>
      </c>
      <c r="J499" t="str">
        <f t="shared" si="6"/>
        <v>collected</v>
      </c>
      <c r="K499" t="str">
        <f t="shared" si="7"/>
        <v>N</v>
      </c>
    </row>
    <row r="500">
      <c r="A500" s="44" t="s">
        <v>907</v>
      </c>
      <c r="B500" s="10" t="str">
        <f t="shared" si="1"/>
        <v>fish</v>
      </c>
      <c r="C500" s="63" t="str">
        <f t="shared" si="2"/>
        <v>U17236</v>
      </c>
      <c r="D500" s="11" t="str">
        <f t="array" ref="D500">iferror(index(fish_lab_data!D:D,match(A500,fish_lab_data!C:C,0)))</f>
        <v>P1124</v>
      </c>
      <c r="E500" s="6">
        <v>104.0</v>
      </c>
      <c r="F500" s="17" t="str">
        <f t="shared" si="3"/>
        <v>BCA104</v>
      </c>
      <c r="G500" s="43" t="str">
        <f t="shared" si="4"/>
        <v>NA</v>
      </c>
      <c r="H500" s="17" t="str">
        <f t="shared" si="5"/>
        <v>BCA104-NA</v>
      </c>
      <c r="J500" t="str">
        <f t="shared" si="6"/>
        <v>collected</v>
      </c>
      <c r="K500" t="str">
        <f t="shared" si="7"/>
        <v>N</v>
      </c>
    </row>
    <row r="501">
      <c r="A501" s="44" t="s">
        <v>908</v>
      </c>
      <c r="B501" s="10" t="str">
        <f t="shared" si="1"/>
        <v>fish</v>
      </c>
      <c r="C501" s="63" t="str">
        <f t="shared" si="2"/>
        <v>U17092</v>
      </c>
      <c r="D501" s="11" t="str">
        <f t="array" ref="D501">iferror(index(fish_lab_data!D:D,match(A501,fish_lab_data!C:C,0)))</f>
        <v>P1110</v>
      </c>
      <c r="E501" s="6">
        <v>104.0</v>
      </c>
      <c r="F501" s="17" t="str">
        <f t="shared" si="3"/>
        <v>BCA104</v>
      </c>
      <c r="G501" s="43" t="str">
        <f t="shared" si="4"/>
        <v>NA</v>
      </c>
      <c r="H501" s="17" t="str">
        <f t="shared" si="5"/>
        <v>BCA104-NA</v>
      </c>
      <c r="J501" t="str">
        <f t="shared" si="6"/>
        <v>collected</v>
      </c>
      <c r="K501" t="str">
        <f t="shared" si="7"/>
        <v>N</v>
      </c>
    </row>
    <row r="502">
      <c r="A502" s="44" t="s">
        <v>910</v>
      </c>
      <c r="B502" s="10" t="str">
        <f t="shared" si="1"/>
        <v>fish</v>
      </c>
      <c r="C502" s="63" t="str">
        <f t="shared" si="2"/>
        <v>U17099</v>
      </c>
      <c r="D502" s="11" t="str">
        <f t="array" ref="D502">iferror(index(fish_lab_data!D:D,match(A502,fish_lab_data!C:C,0)))</f>
        <v>P1110</v>
      </c>
      <c r="E502" s="6">
        <v>104.0</v>
      </c>
      <c r="F502" s="17" t="str">
        <f t="shared" si="3"/>
        <v>BCA104</v>
      </c>
      <c r="G502" s="43" t="str">
        <f t="shared" si="4"/>
        <v>NA</v>
      </c>
      <c r="H502" s="17" t="str">
        <f t="shared" si="5"/>
        <v>BCA104-NA</v>
      </c>
      <c r="J502" t="str">
        <f t="shared" si="6"/>
        <v>collected</v>
      </c>
      <c r="K502" t="str">
        <f t="shared" si="7"/>
        <v>N</v>
      </c>
    </row>
    <row r="503">
      <c r="A503" s="46" t="s">
        <v>911</v>
      </c>
      <c r="B503" s="10" t="str">
        <f t="shared" si="1"/>
        <v>fish</v>
      </c>
      <c r="C503" s="63" t="str">
        <f t="shared" si="2"/>
        <v>U17100</v>
      </c>
      <c r="D503" s="11" t="str">
        <f t="array" ref="D503">iferror(index(fish_lab_data!D:D,match(A503,fish_lab_data!C:C,0)))</f>
        <v>P1110</v>
      </c>
      <c r="E503" s="6">
        <v>104.0</v>
      </c>
      <c r="F503" s="17" t="str">
        <f t="shared" si="3"/>
        <v>BCA104</v>
      </c>
      <c r="G503" s="43" t="str">
        <f t="shared" si="4"/>
        <v>NA</v>
      </c>
      <c r="H503" s="17" t="str">
        <f t="shared" si="5"/>
        <v>BCA104-NA</v>
      </c>
      <c r="J503" t="str">
        <f t="shared" si="6"/>
        <v>collected</v>
      </c>
      <c r="K503" t="str">
        <f t="shared" si="7"/>
        <v>N</v>
      </c>
    </row>
    <row r="504">
      <c r="A504" s="40" t="s">
        <v>913</v>
      </c>
      <c r="B504" s="10" t="str">
        <f t="shared" si="1"/>
        <v>fish</v>
      </c>
      <c r="C504" s="63" t="str">
        <f t="shared" si="2"/>
        <v>U17097</v>
      </c>
      <c r="D504" s="11" t="str">
        <f t="array" ref="D504">iferror(index(fish_lab_data!D:D,match(A504,fish_lab_data!C:C,0)))</f>
        <v>P1110</v>
      </c>
      <c r="E504" s="6">
        <v>104.0</v>
      </c>
      <c r="F504" s="17" t="str">
        <f t="shared" si="3"/>
        <v>BCA104</v>
      </c>
      <c r="G504" s="43" t="str">
        <f t="shared" si="4"/>
        <v>NA</v>
      </c>
      <c r="H504" s="17" t="str">
        <f t="shared" si="5"/>
        <v>BCA104-NA</v>
      </c>
      <c r="J504" t="str">
        <f t="shared" si="6"/>
        <v>collected</v>
      </c>
      <c r="K504" t="str">
        <f t="shared" si="7"/>
        <v>N</v>
      </c>
    </row>
    <row r="505">
      <c r="A505" s="40" t="s">
        <v>914</v>
      </c>
      <c r="B505" s="10" t="str">
        <f t="shared" si="1"/>
        <v>fish</v>
      </c>
      <c r="C505" s="63" t="str">
        <f t="shared" si="2"/>
        <v>U17098</v>
      </c>
      <c r="D505" s="11" t="str">
        <f t="array" ref="D505">iferror(index(fish_lab_data!D:D,match(A505,fish_lab_data!C:C,0)))</f>
        <v>P1110</v>
      </c>
      <c r="E505" s="6">
        <v>104.0</v>
      </c>
      <c r="F505" s="17" t="str">
        <f t="shared" si="3"/>
        <v>BCA104</v>
      </c>
      <c r="G505" s="43" t="str">
        <f t="shared" si="4"/>
        <v>NA</v>
      </c>
      <c r="H505" s="17" t="str">
        <f t="shared" si="5"/>
        <v>BCA104-NA</v>
      </c>
      <c r="J505" t="str">
        <f t="shared" si="6"/>
        <v>collected</v>
      </c>
      <c r="K505" t="str">
        <f t="shared" si="7"/>
        <v>N</v>
      </c>
    </row>
    <row r="506">
      <c r="A506" s="40" t="s">
        <v>916</v>
      </c>
      <c r="B506" s="10" t="str">
        <f t="shared" si="1"/>
        <v>fish</v>
      </c>
      <c r="C506" s="63" t="str">
        <f t="shared" si="2"/>
        <v>U17091</v>
      </c>
      <c r="D506" s="11" t="str">
        <f t="array" ref="D506">iferror(index(fish_lab_data!D:D,match(A506,fish_lab_data!C:C,0)))</f>
        <v>P1110</v>
      </c>
      <c r="E506" s="6">
        <v>104.0</v>
      </c>
      <c r="F506" s="17" t="str">
        <f t="shared" si="3"/>
        <v>BCA104</v>
      </c>
      <c r="G506" s="43" t="str">
        <f t="shared" si="4"/>
        <v>NA</v>
      </c>
      <c r="H506" s="17" t="str">
        <f t="shared" si="5"/>
        <v>BCA104-NA</v>
      </c>
      <c r="J506" t="str">
        <f t="shared" si="6"/>
        <v>collected</v>
      </c>
      <c r="K506" t="str">
        <f t="shared" si="7"/>
        <v>N</v>
      </c>
    </row>
    <row r="507">
      <c r="A507" s="6" t="s">
        <v>917</v>
      </c>
      <c r="B507" s="10" t="str">
        <f t="shared" si="1"/>
        <v>fish</v>
      </c>
      <c r="C507" s="63" t="str">
        <f t="shared" si="2"/>
        <v>U16513</v>
      </c>
      <c r="D507" s="11" t="str">
        <f t="array" ref="D507">iferror(index(fish_lab_data!D:D,match(A507,fish_lab_data!C:C,0)))</f>
        <v>P1052</v>
      </c>
      <c r="E507" s="6">
        <v>104.0</v>
      </c>
      <c r="F507" s="17" t="str">
        <f t="shared" si="3"/>
        <v>BCA104</v>
      </c>
      <c r="G507" s="43" t="str">
        <f t="shared" si="4"/>
        <v>NA</v>
      </c>
      <c r="H507" s="17" t="str">
        <f t="shared" si="5"/>
        <v>BCA104-NA</v>
      </c>
      <c r="J507" t="str">
        <f t="shared" si="6"/>
        <v>collected</v>
      </c>
      <c r="K507" t="str">
        <f t="shared" si="7"/>
        <v>N</v>
      </c>
    </row>
    <row r="508">
      <c r="A508" s="27" t="s">
        <v>918</v>
      </c>
      <c r="B508" s="10" t="str">
        <f t="shared" si="1"/>
        <v>fish</v>
      </c>
      <c r="C508" s="63" t="str">
        <f t="shared" si="2"/>
        <v>U16514</v>
      </c>
      <c r="D508" s="11" t="str">
        <f t="array" ref="D508">iferror(index(fish_lab_data!D:D,match(A508,fish_lab_data!C:C,0)))</f>
        <v>P1052</v>
      </c>
      <c r="E508" s="6">
        <v>104.0</v>
      </c>
      <c r="F508" s="17" t="str">
        <f t="shared" si="3"/>
        <v>BCA104</v>
      </c>
      <c r="G508" s="43" t="str">
        <f t="shared" si="4"/>
        <v>NA</v>
      </c>
      <c r="H508" s="17" t="str">
        <f t="shared" si="5"/>
        <v>BCA104-NA</v>
      </c>
      <c r="J508" t="str">
        <f t="shared" si="6"/>
        <v>collected</v>
      </c>
      <c r="K508" t="str">
        <f t="shared" si="7"/>
        <v>N</v>
      </c>
    </row>
    <row r="509">
      <c r="A509" s="27" t="s">
        <v>921</v>
      </c>
      <c r="B509" s="10" t="str">
        <f t="shared" si="1"/>
        <v>fish</v>
      </c>
      <c r="C509" s="63" t="str">
        <f t="shared" si="2"/>
        <v>U16515</v>
      </c>
      <c r="D509" s="11" t="str">
        <f t="array" ref="D509">iferror(index(fish_lab_data!D:D,match(A509,fish_lab_data!C:C,0)))</f>
        <v>P1052</v>
      </c>
      <c r="E509" s="6">
        <v>104.0</v>
      </c>
      <c r="F509" s="17" t="str">
        <f t="shared" si="3"/>
        <v>BCA104</v>
      </c>
      <c r="G509" s="43" t="str">
        <f t="shared" si="4"/>
        <v>NA</v>
      </c>
      <c r="H509" s="17" t="str">
        <f t="shared" si="5"/>
        <v>BCA104-NA</v>
      </c>
      <c r="J509" t="str">
        <f t="shared" si="6"/>
        <v>collected</v>
      </c>
      <c r="K509" t="str">
        <f t="shared" si="7"/>
        <v>N</v>
      </c>
    </row>
    <row r="510">
      <c r="A510" s="27" t="s">
        <v>922</v>
      </c>
      <c r="B510" s="10" t="str">
        <f t="shared" si="1"/>
        <v>fish</v>
      </c>
      <c r="C510" s="63" t="str">
        <f t="shared" si="2"/>
        <v>U16516</v>
      </c>
      <c r="D510" s="11" t="str">
        <f t="array" ref="D510">iferror(index(fish_lab_data!D:D,match(A510,fish_lab_data!C:C,0)))</f>
        <v>P1052</v>
      </c>
      <c r="E510" s="6">
        <v>104.0</v>
      </c>
      <c r="F510" s="17" t="str">
        <f t="shared" si="3"/>
        <v>BCA104</v>
      </c>
      <c r="G510" s="43" t="str">
        <f t="shared" si="4"/>
        <v>NA</v>
      </c>
      <c r="H510" s="17" t="str">
        <f t="shared" si="5"/>
        <v>BCA104-NA</v>
      </c>
      <c r="J510" t="str">
        <f t="shared" si="6"/>
        <v>collected</v>
      </c>
      <c r="K510" t="str">
        <f t="shared" si="7"/>
        <v>N</v>
      </c>
    </row>
    <row r="511">
      <c r="A511" s="27" t="s">
        <v>923</v>
      </c>
      <c r="B511" s="10" t="str">
        <f t="shared" si="1"/>
        <v>fish</v>
      </c>
      <c r="C511" s="63" t="str">
        <f t="shared" si="2"/>
        <v>U16517</v>
      </c>
      <c r="D511" s="11" t="str">
        <f t="array" ref="D511">iferror(index(fish_lab_data!D:D,match(A511,fish_lab_data!C:C,0)))</f>
        <v>P1052</v>
      </c>
      <c r="E511" s="6">
        <v>104.0</v>
      </c>
      <c r="F511" s="17" t="str">
        <f t="shared" si="3"/>
        <v>BCA104</v>
      </c>
      <c r="G511" s="43" t="str">
        <f t="shared" si="4"/>
        <v>NA</v>
      </c>
      <c r="H511" s="17" t="str">
        <f t="shared" si="5"/>
        <v>BCA104-NA</v>
      </c>
      <c r="J511" t="str">
        <f t="shared" si="6"/>
        <v>collected</v>
      </c>
      <c r="K511" t="str">
        <f t="shared" si="7"/>
        <v>N</v>
      </c>
    </row>
    <row r="512">
      <c r="A512" s="27" t="s">
        <v>924</v>
      </c>
      <c r="B512" s="10" t="str">
        <f t="shared" si="1"/>
        <v>fish</v>
      </c>
      <c r="C512" s="63" t="str">
        <f t="shared" si="2"/>
        <v>U16518</v>
      </c>
      <c r="D512" s="11" t="str">
        <f t="array" ref="D512">iferror(index(fish_lab_data!D:D,match(A512,fish_lab_data!C:C,0)))</f>
        <v>P1052</v>
      </c>
      <c r="E512" s="6">
        <v>104.0</v>
      </c>
      <c r="F512" s="17" t="str">
        <f t="shared" si="3"/>
        <v>BCA104</v>
      </c>
      <c r="G512" s="43" t="str">
        <f t="shared" si="4"/>
        <v>NA</v>
      </c>
      <c r="H512" s="17" t="str">
        <f t="shared" si="5"/>
        <v>BCA104-NA</v>
      </c>
      <c r="J512" t="str">
        <f t="shared" si="6"/>
        <v>collected</v>
      </c>
      <c r="K512" t="str">
        <f t="shared" si="7"/>
        <v>N</v>
      </c>
    </row>
    <row r="513">
      <c r="A513" s="27" t="s">
        <v>927</v>
      </c>
      <c r="B513" s="10" t="str">
        <f t="shared" si="1"/>
        <v>fish</v>
      </c>
      <c r="C513" s="63" t="str">
        <f t="shared" si="2"/>
        <v>U16519</v>
      </c>
      <c r="D513" s="11" t="str">
        <f t="array" ref="D513">iferror(index(fish_lab_data!D:D,match(A513,fish_lab_data!C:C,0)))</f>
        <v>P1052</v>
      </c>
      <c r="E513" s="6">
        <v>104.0</v>
      </c>
      <c r="F513" s="17" t="str">
        <f t="shared" si="3"/>
        <v>BCA104</v>
      </c>
      <c r="G513" s="43" t="str">
        <f t="shared" si="4"/>
        <v>NA</v>
      </c>
      <c r="H513" s="17" t="str">
        <f t="shared" si="5"/>
        <v>BCA104-NA</v>
      </c>
      <c r="J513" t="str">
        <f t="shared" si="6"/>
        <v>collected</v>
      </c>
      <c r="K513" t="str">
        <f t="shared" si="7"/>
        <v>N</v>
      </c>
    </row>
    <row r="514">
      <c r="A514" s="27" t="s">
        <v>929</v>
      </c>
      <c r="B514" s="10" t="str">
        <f t="shared" si="1"/>
        <v>fish</v>
      </c>
      <c r="C514" s="63" t="str">
        <f t="shared" si="2"/>
        <v>U16520</v>
      </c>
      <c r="D514" s="11" t="str">
        <f t="array" ref="D514">iferror(index(fish_lab_data!D:D,match(A514,fish_lab_data!C:C,0)))</f>
        <v>P1052</v>
      </c>
      <c r="E514" s="6">
        <v>104.0</v>
      </c>
      <c r="F514" s="17" t="str">
        <f t="shared" si="3"/>
        <v>BCA104</v>
      </c>
      <c r="G514" s="43" t="str">
        <f t="shared" si="4"/>
        <v>NA</v>
      </c>
      <c r="H514" s="17" t="str">
        <f t="shared" si="5"/>
        <v>BCA104-NA</v>
      </c>
      <c r="J514" t="str">
        <f t="shared" si="6"/>
        <v>collected</v>
      </c>
      <c r="K514" t="str">
        <f t="shared" si="7"/>
        <v>N</v>
      </c>
    </row>
    <row r="515">
      <c r="A515" s="27" t="s">
        <v>930</v>
      </c>
      <c r="B515" s="10" t="str">
        <f t="shared" si="1"/>
        <v>fish</v>
      </c>
      <c r="C515" s="63" t="str">
        <f t="shared" si="2"/>
        <v>U16011</v>
      </c>
      <c r="D515" s="11" t="str">
        <f t="array" ref="D515">iferror(index(fish_lab_data!D:D,match(A515,fish_lab_data!C:C,0)))</f>
        <v>P1002</v>
      </c>
      <c r="E515" s="6">
        <v>104.0</v>
      </c>
      <c r="F515" s="17" t="str">
        <f t="shared" si="3"/>
        <v>BCA104</v>
      </c>
      <c r="G515" s="43" t="str">
        <f t="shared" si="4"/>
        <v>NA</v>
      </c>
      <c r="H515" s="17" t="str">
        <f t="shared" si="5"/>
        <v>BCA104-NA</v>
      </c>
      <c r="J515" t="str">
        <f t="shared" si="6"/>
        <v>collected</v>
      </c>
      <c r="K515" t="str">
        <f t="shared" si="7"/>
        <v>N</v>
      </c>
    </row>
    <row r="516">
      <c r="A516" s="27" t="s">
        <v>931</v>
      </c>
      <c r="B516" s="10" t="str">
        <f t="shared" si="1"/>
        <v>fish</v>
      </c>
      <c r="C516" s="63" t="str">
        <f t="shared" si="2"/>
        <v>U16012</v>
      </c>
      <c r="D516" s="11" t="str">
        <f t="array" ref="D516">iferror(index(fish_lab_data!D:D,match(A516,fish_lab_data!C:C,0)))</f>
        <v>P1002</v>
      </c>
      <c r="E516" s="6">
        <v>104.0</v>
      </c>
      <c r="F516" s="17" t="str">
        <f t="shared" si="3"/>
        <v>BCA104</v>
      </c>
      <c r="G516" s="43" t="str">
        <f t="shared" si="4"/>
        <v>NA</v>
      </c>
      <c r="H516" s="17" t="str">
        <f t="shared" si="5"/>
        <v>BCA104-NA</v>
      </c>
      <c r="J516" t="str">
        <f t="shared" si="6"/>
        <v>collected</v>
      </c>
      <c r="K516" t="str">
        <f t="shared" si="7"/>
        <v>N</v>
      </c>
    </row>
    <row r="517">
      <c r="A517" s="27" t="s">
        <v>933</v>
      </c>
      <c r="B517" s="10" t="str">
        <f t="shared" si="1"/>
        <v>fish</v>
      </c>
      <c r="C517" s="63" t="str">
        <f t="shared" si="2"/>
        <v>U16013</v>
      </c>
      <c r="D517" s="11" t="str">
        <f t="array" ref="D517">iferror(index(fish_lab_data!D:D,match(A517,fish_lab_data!C:C,0)))</f>
        <v>P1002</v>
      </c>
      <c r="E517" s="6">
        <v>104.0</v>
      </c>
      <c r="F517" s="17" t="str">
        <f t="shared" si="3"/>
        <v>BCA104</v>
      </c>
      <c r="G517" s="43" t="str">
        <f t="shared" si="4"/>
        <v>NA</v>
      </c>
      <c r="H517" s="17" t="str">
        <f t="shared" si="5"/>
        <v>BCA104-NA</v>
      </c>
      <c r="J517" t="str">
        <f t="shared" si="6"/>
        <v>collected</v>
      </c>
      <c r="K517" t="str">
        <f t="shared" si="7"/>
        <v>N</v>
      </c>
    </row>
    <row r="518">
      <c r="A518" s="27" t="s">
        <v>934</v>
      </c>
      <c r="B518" s="10" t="str">
        <f t="shared" si="1"/>
        <v>fish</v>
      </c>
      <c r="C518" s="63" t="str">
        <f t="shared" si="2"/>
        <v>U16014</v>
      </c>
      <c r="D518" s="11" t="str">
        <f t="array" ref="D518">iferror(index(fish_lab_data!D:D,match(A518,fish_lab_data!C:C,0)))</f>
        <v>P1002</v>
      </c>
      <c r="E518" s="6">
        <v>104.0</v>
      </c>
      <c r="F518" s="17" t="str">
        <f t="shared" si="3"/>
        <v>BCA104</v>
      </c>
      <c r="G518" s="43" t="str">
        <f t="shared" si="4"/>
        <v>NA</v>
      </c>
      <c r="H518" s="17" t="str">
        <f t="shared" si="5"/>
        <v>BCA104-NA</v>
      </c>
      <c r="J518" t="str">
        <f t="shared" si="6"/>
        <v>collected</v>
      </c>
      <c r="K518" t="str">
        <f t="shared" si="7"/>
        <v>N</v>
      </c>
    </row>
    <row r="519">
      <c r="A519" s="27" t="s">
        <v>935</v>
      </c>
      <c r="B519" s="10" t="str">
        <f t="shared" si="1"/>
        <v>fish</v>
      </c>
      <c r="C519" s="63" t="str">
        <f t="shared" si="2"/>
        <v>U16015</v>
      </c>
      <c r="D519" s="11" t="str">
        <f t="array" ref="D519">iferror(index(fish_lab_data!D:D,match(A519,fish_lab_data!C:C,0)))</f>
        <v>P1002</v>
      </c>
      <c r="E519" s="6">
        <v>104.0</v>
      </c>
      <c r="F519" s="17" t="str">
        <f t="shared" si="3"/>
        <v>BCA104</v>
      </c>
      <c r="G519" s="43" t="str">
        <f t="shared" si="4"/>
        <v>NA</v>
      </c>
      <c r="H519" s="17" t="str">
        <f t="shared" si="5"/>
        <v>BCA104-NA</v>
      </c>
      <c r="J519" t="str">
        <f t="shared" si="6"/>
        <v>collected</v>
      </c>
      <c r="K519" t="str">
        <f t="shared" si="7"/>
        <v>N</v>
      </c>
    </row>
    <row r="520">
      <c r="A520" s="27" t="s">
        <v>937</v>
      </c>
      <c r="B520" s="10" t="str">
        <f t="shared" si="1"/>
        <v>fish</v>
      </c>
      <c r="C520" s="63" t="str">
        <f t="shared" si="2"/>
        <v>U16016</v>
      </c>
      <c r="D520" s="11" t="str">
        <f t="array" ref="D520">iferror(index(fish_lab_data!D:D,match(A520,fish_lab_data!C:C,0)))</f>
        <v>P1002</v>
      </c>
      <c r="E520" s="6">
        <v>104.0</v>
      </c>
      <c r="F520" s="17" t="str">
        <f t="shared" si="3"/>
        <v>BCA104</v>
      </c>
      <c r="G520" s="43" t="str">
        <f t="shared" si="4"/>
        <v>NA</v>
      </c>
      <c r="H520" s="17" t="str">
        <f t="shared" si="5"/>
        <v>BCA104-NA</v>
      </c>
      <c r="J520" t="str">
        <f t="shared" si="6"/>
        <v>collected</v>
      </c>
      <c r="K520" t="str">
        <f t="shared" si="7"/>
        <v>N</v>
      </c>
    </row>
    <row r="521">
      <c r="A521" s="27" t="s">
        <v>938</v>
      </c>
      <c r="B521" s="10" t="str">
        <f t="shared" si="1"/>
        <v>fish</v>
      </c>
      <c r="C521" s="63" t="str">
        <f t="shared" si="2"/>
        <v>U16017</v>
      </c>
      <c r="D521" s="11" t="str">
        <f t="array" ref="D521">iferror(index(fish_lab_data!D:D,match(A521,fish_lab_data!C:C,0)))</f>
        <v>P1002</v>
      </c>
      <c r="E521" s="6">
        <v>104.0</v>
      </c>
      <c r="F521" s="17" t="str">
        <f t="shared" si="3"/>
        <v>BCA104</v>
      </c>
      <c r="G521" s="43" t="str">
        <f t="shared" si="4"/>
        <v>NA</v>
      </c>
      <c r="H521" s="17" t="str">
        <f t="shared" si="5"/>
        <v>BCA104-NA</v>
      </c>
      <c r="J521" t="str">
        <f t="shared" si="6"/>
        <v>collected</v>
      </c>
      <c r="K521" t="str">
        <f t="shared" si="7"/>
        <v>N</v>
      </c>
    </row>
    <row r="522">
      <c r="A522" s="27" t="s">
        <v>940</v>
      </c>
      <c r="B522" s="10" t="str">
        <f t="shared" si="1"/>
        <v>fish</v>
      </c>
      <c r="C522" s="63" t="str">
        <f t="shared" si="2"/>
        <v>U16018</v>
      </c>
      <c r="D522" s="11" t="str">
        <f t="array" ref="D522">iferror(index(fish_lab_data!D:D,match(A522,fish_lab_data!C:C,0)))</f>
        <v>P1002</v>
      </c>
      <c r="E522" s="6">
        <v>104.0</v>
      </c>
      <c r="F522" s="17" t="str">
        <f t="shared" si="3"/>
        <v>BCA104</v>
      </c>
      <c r="G522" s="43" t="str">
        <f t="shared" si="4"/>
        <v>NA</v>
      </c>
      <c r="H522" s="17" t="str">
        <f t="shared" si="5"/>
        <v>BCA104-NA</v>
      </c>
      <c r="J522" t="str">
        <f t="shared" si="6"/>
        <v>collected</v>
      </c>
      <c r="K522" t="str">
        <f t="shared" si="7"/>
        <v>N</v>
      </c>
    </row>
    <row r="523">
      <c r="A523" s="27" t="s">
        <v>941</v>
      </c>
      <c r="B523" s="10" t="str">
        <f t="shared" si="1"/>
        <v>fish</v>
      </c>
      <c r="C523" s="63" t="str">
        <f t="shared" si="2"/>
        <v>U16019</v>
      </c>
      <c r="D523" s="11" t="str">
        <f t="array" ref="D523">iferror(index(fish_lab_data!D:D,match(A523,fish_lab_data!C:C,0)))</f>
        <v>P1002</v>
      </c>
      <c r="E523" s="6">
        <v>104.0</v>
      </c>
      <c r="F523" s="17" t="str">
        <f t="shared" si="3"/>
        <v>BCA104</v>
      </c>
      <c r="G523" s="43" t="str">
        <f t="shared" si="4"/>
        <v>NA</v>
      </c>
      <c r="H523" s="17" t="str">
        <f t="shared" si="5"/>
        <v>BCA104-NA</v>
      </c>
      <c r="J523" t="str">
        <f t="shared" si="6"/>
        <v>collected</v>
      </c>
      <c r="K523" t="str">
        <f t="shared" si="7"/>
        <v>N</v>
      </c>
    </row>
    <row r="524">
      <c r="A524" s="27" t="s">
        <v>942</v>
      </c>
      <c r="B524" s="10" t="str">
        <f t="shared" si="1"/>
        <v>fish</v>
      </c>
      <c r="C524" s="63" t="str">
        <f t="shared" si="2"/>
        <v>U16020</v>
      </c>
      <c r="D524" s="11" t="str">
        <f t="array" ref="D524">iferror(index(fish_lab_data!D:D,match(A524,fish_lab_data!C:C,0)))</f>
        <v>P1002</v>
      </c>
      <c r="E524" s="6">
        <v>104.0</v>
      </c>
      <c r="F524" s="17" t="str">
        <f t="shared" si="3"/>
        <v>BCA104</v>
      </c>
      <c r="G524" s="43" t="str">
        <f t="shared" si="4"/>
        <v>NA</v>
      </c>
      <c r="H524" s="17" t="str">
        <f t="shared" si="5"/>
        <v>BCA104-NA</v>
      </c>
      <c r="J524" t="str">
        <f t="shared" si="6"/>
        <v>collected</v>
      </c>
      <c r="K524" t="str">
        <f t="shared" si="7"/>
        <v>N</v>
      </c>
    </row>
    <row r="525">
      <c r="A525" s="40" t="s">
        <v>943</v>
      </c>
      <c r="B525" s="10" t="str">
        <f t="shared" si="1"/>
        <v>fish</v>
      </c>
      <c r="C525" s="63" t="str">
        <f t="shared" si="2"/>
        <v>U17095</v>
      </c>
      <c r="D525" s="11" t="str">
        <f t="array" ref="D525">iferror(index(fish_lab_data!D:D,match(A525,fish_lab_data!C:C,0)))</f>
        <v>P1110</v>
      </c>
      <c r="E525" s="6">
        <v>104.0</v>
      </c>
      <c r="F525" s="17" t="str">
        <f t="shared" si="3"/>
        <v>BCA104</v>
      </c>
      <c r="G525" s="43" t="str">
        <f t="shared" si="4"/>
        <v>NA</v>
      </c>
      <c r="H525" s="17" t="str">
        <f t="shared" si="5"/>
        <v>BCA104-NA</v>
      </c>
      <c r="J525" t="str">
        <f t="shared" si="6"/>
        <v>collected</v>
      </c>
      <c r="K525" t="str">
        <f t="shared" si="7"/>
        <v>N</v>
      </c>
    </row>
    <row r="526">
      <c r="A526" s="40" t="s">
        <v>946</v>
      </c>
      <c r="B526" s="10" t="str">
        <f t="shared" si="1"/>
        <v>fish</v>
      </c>
      <c r="C526" s="63" t="str">
        <f t="shared" si="2"/>
        <v>U17096</v>
      </c>
      <c r="D526" s="11" t="str">
        <f t="array" ref="D526">iferror(index(fish_lab_data!D:D,match(A526,fish_lab_data!C:C,0)))</f>
        <v>P1110</v>
      </c>
      <c r="E526" s="6">
        <v>104.0</v>
      </c>
      <c r="F526" s="17" t="str">
        <f t="shared" si="3"/>
        <v>BCA104</v>
      </c>
      <c r="G526" s="43" t="str">
        <f t="shared" si="4"/>
        <v>NA</v>
      </c>
      <c r="H526" s="17" t="str">
        <f t="shared" si="5"/>
        <v>BCA104-NA</v>
      </c>
      <c r="J526" t="str">
        <f t="shared" si="6"/>
        <v>collected</v>
      </c>
      <c r="K526" t="str">
        <f t="shared" si="7"/>
        <v>N</v>
      </c>
    </row>
    <row r="527">
      <c r="A527" s="40" t="s">
        <v>947</v>
      </c>
      <c r="B527" s="10" t="str">
        <f t="shared" si="1"/>
        <v>fish</v>
      </c>
      <c r="C527" s="63" t="str">
        <f t="shared" si="2"/>
        <v>U17094</v>
      </c>
      <c r="D527" s="11" t="str">
        <f t="array" ref="D527">iferror(index(fish_lab_data!D:D,match(A527,fish_lab_data!C:C,0)))</f>
        <v>P1110</v>
      </c>
      <c r="E527" s="6">
        <v>104.0</v>
      </c>
      <c r="F527" s="17" t="str">
        <f t="shared" si="3"/>
        <v>BCA104</v>
      </c>
      <c r="G527" s="43" t="str">
        <f t="shared" si="4"/>
        <v>NA</v>
      </c>
      <c r="H527" s="17" t="str">
        <f t="shared" si="5"/>
        <v>BCA104-NA</v>
      </c>
      <c r="J527" t="str">
        <f t="shared" si="6"/>
        <v>collected</v>
      </c>
      <c r="K527" t="str">
        <f t="shared" si="7"/>
        <v>N</v>
      </c>
    </row>
    <row r="528">
      <c r="A528" s="40" t="s">
        <v>948</v>
      </c>
      <c r="B528" s="10" t="str">
        <f t="shared" si="1"/>
        <v>fish</v>
      </c>
      <c r="C528" s="63" t="str">
        <f t="shared" si="2"/>
        <v>U17093</v>
      </c>
      <c r="D528" s="11" t="str">
        <f t="array" ref="D528">iferror(index(fish_lab_data!D:D,match(A528,fish_lab_data!C:C,0)))</f>
        <v>P1110</v>
      </c>
      <c r="E528" s="6">
        <v>104.0</v>
      </c>
      <c r="F528" s="17" t="str">
        <f t="shared" si="3"/>
        <v>BCA104</v>
      </c>
      <c r="G528" s="43" t="str">
        <f t="shared" si="4"/>
        <v>NA</v>
      </c>
      <c r="H528" s="17" t="str">
        <f t="shared" si="5"/>
        <v>BCA104-NA</v>
      </c>
      <c r="J528" t="str">
        <f t="shared" si="6"/>
        <v>collected</v>
      </c>
      <c r="K528" t="str">
        <f t="shared" si="7"/>
        <v>N</v>
      </c>
    </row>
    <row r="529">
      <c r="A529" s="43" t="s">
        <v>949</v>
      </c>
      <c r="B529" s="10" t="str">
        <f t="shared" si="1"/>
        <v>fish</v>
      </c>
      <c r="C529" s="63" t="str">
        <f t="shared" si="2"/>
        <v>U16151</v>
      </c>
      <c r="D529" s="11" t="str">
        <f t="array" ref="D529">iferror(index(fish_lab_data!D:D,match(A529,fish_lab_data!C:C,0)))</f>
        <v>P1016</v>
      </c>
      <c r="E529" s="6">
        <v>104.0</v>
      </c>
      <c r="F529" s="17" t="str">
        <f t="shared" si="3"/>
        <v>BCA104</v>
      </c>
      <c r="G529" s="43" t="str">
        <f t="shared" si="4"/>
        <v>NA</v>
      </c>
      <c r="H529" s="17" t="str">
        <f t="shared" si="5"/>
        <v>BCA104-NA</v>
      </c>
      <c r="J529" t="str">
        <f t="shared" si="6"/>
        <v>collected</v>
      </c>
      <c r="K529" t="str">
        <f t="shared" si="7"/>
        <v>N</v>
      </c>
    </row>
    <row r="530">
      <c r="A530" s="44" t="s">
        <v>950</v>
      </c>
      <c r="B530" s="10" t="str">
        <f t="shared" si="1"/>
        <v>fish</v>
      </c>
      <c r="C530" s="63" t="str">
        <f t="shared" si="2"/>
        <v>U16157</v>
      </c>
      <c r="D530" s="11" t="str">
        <f t="array" ref="D530">iferror(index(fish_lab_data!D:D,match(A530,fish_lab_data!C:C,0)))</f>
        <v>P1016</v>
      </c>
      <c r="E530" s="6">
        <v>104.0</v>
      </c>
      <c r="F530" s="17" t="str">
        <f t="shared" si="3"/>
        <v>BCA104</v>
      </c>
      <c r="G530" s="43" t="str">
        <f t="shared" si="4"/>
        <v>NA</v>
      </c>
      <c r="H530" s="17" t="str">
        <f t="shared" si="5"/>
        <v>BCA104-NA</v>
      </c>
      <c r="J530" t="str">
        <f t="shared" si="6"/>
        <v>collected</v>
      </c>
      <c r="K530" t="str">
        <f t="shared" si="7"/>
        <v>N</v>
      </c>
    </row>
    <row r="531">
      <c r="A531" s="44" t="s">
        <v>952</v>
      </c>
      <c r="B531" s="10" t="str">
        <f t="shared" si="1"/>
        <v>fish</v>
      </c>
      <c r="C531" s="63" t="str">
        <f t="shared" si="2"/>
        <v>U16158</v>
      </c>
      <c r="D531" s="11" t="str">
        <f t="array" ref="D531">iferror(index(fish_lab_data!D:D,match(A531,fish_lab_data!C:C,0)))</f>
        <v>P1016</v>
      </c>
      <c r="E531" s="6">
        <v>104.0</v>
      </c>
      <c r="F531" s="17" t="str">
        <f t="shared" si="3"/>
        <v>BCA104</v>
      </c>
      <c r="G531" s="43" t="str">
        <f t="shared" si="4"/>
        <v>NA</v>
      </c>
      <c r="H531" s="17" t="str">
        <f t="shared" si="5"/>
        <v>BCA104-NA</v>
      </c>
      <c r="J531" t="str">
        <f t="shared" si="6"/>
        <v>collected</v>
      </c>
      <c r="K531" t="str">
        <f t="shared" si="7"/>
        <v>N</v>
      </c>
    </row>
    <row r="532">
      <c r="A532" s="44" t="s">
        <v>954</v>
      </c>
      <c r="B532" s="10" t="str">
        <f t="shared" si="1"/>
        <v>fish</v>
      </c>
      <c r="C532" s="63" t="str">
        <f t="shared" si="2"/>
        <v>U16159</v>
      </c>
      <c r="D532" s="11" t="str">
        <f t="array" ref="D532">iferror(index(fish_lab_data!D:D,match(A532,fish_lab_data!C:C,0)))</f>
        <v>P1016</v>
      </c>
      <c r="E532" s="6">
        <v>104.0</v>
      </c>
      <c r="F532" s="17" t="str">
        <f t="shared" si="3"/>
        <v>BCA104</v>
      </c>
      <c r="G532" s="43" t="str">
        <f t="shared" si="4"/>
        <v>NA</v>
      </c>
      <c r="H532" s="17" t="str">
        <f t="shared" si="5"/>
        <v>BCA104-NA</v>
      </c>
      <c r="J532" t="str">
        <f t="shared" si="6"/>
        <v>collected</v>
      </c>
      <c r="K532" t="str">
        <f t="shared" si="7"/>
        <v>N</v>
      </c>
    </row>
    <row r="533">
      <c r="A533" s="44" t="s">
        <v>955</v>
      </c>
      <c r="B533" s="10" t="str">
        <f t="shared" si="1"/>
        <v>fish</v>
      </c>
      <c r="C533" s="63" t="str">
        <f t="shared" si="2"/>
        <v>U16152</v>
      </c>
      <c r="D533" s="11" t="str">
        <f t="array" ref="D533">iferror(index(fish_lab_data!D:D,match(A533,fish_lab_data!C:C,0)))</f>
        <v>P1016</v>
      </c>
      <c r="E533" s="6">
        <v>104.0</v>
      </c>
      <c r="F533" s="17" t="str">
        <f t="shared" si="3"/>
        <v>BCA104</v>
      </c>
      <c r="G533" s="43" t="str">
        <f t="shared" si="4"/>
        <v>NA</v>
      </c>
      <c r="H533" s="17" t="str">
        <f t="shared" si="5"/>
        <v>BCA104-NA</v>
      </c>
      <c r="J533" t="str">
        <f t="shared" si="6"/>
        <v>collected</v>
      </c>
      <c r="K533" t="str">
        <f t="shared" si="7"/>
        <v>N</v>
      </c>
    </row>
    <row r="534">
      <c r="A534" s="44" t="s">
        <v>956</v>
      </c>
      <c r="B534" s="10" t="str">
        <f t="shared" si="1"/>
        <v>fish</v>
      </c>
      <c r="C534" s="63" t="str">
        <f t="shared" si="2"/>
        <v>U16160</v>
      </c>
      <c r="D534" s="11" t="str">
        <f t="array" ref="D534">iferror(index(fish_lab_data!D:D,match(A534,fish_lab_data!C:C,0)))</f>
        <v>P1016</v>
      </c>
      <c r="E534" s="6">
        <v>104.0</v>
      </c>
      <c r="F534" s="17" t="str">
        <f t="shared" si="3"/>
        <v>BCA104</v>
      </c>
      <c r="G534" s="43" t="str">
        <f t="shared" si="4"/>
        <v>NA</v>
      </c>
      <c r="H534" s="17" t="str">
        <f t="shared" si="5"/>
        <v>BCA104-NA</v>
      </c>
      <c r="J534" t="str">
        <f t="shared" si="6"/>
        <v>collected</v>
      </c>
      <c r="K534" t="str">
        <f t="shared" si="7"/>
        <v>N</v>
      </c>
    </row>
    <row r="535">
      <c r="A535" s="44" t="s">
        <v>958</v>
      </c>
      <c r="B535" s="10" t="str">
        <f t="shared" si="1"/>
        <v>fish</v>
      </c>
      <c r="C535" s="63" t="str">
        <f t="shared" si="2"/>
        <v>U16153</v>
      </c>
      <c r="D535" s="11" t="str">
        <f t="array" ref="D535">iferror(index(fish_lab_data!D:D,match(A535,fish_lab_data!C:C,0)))</f>
        <v>P1016</v>
      </c>
      <c r="E535" s="6">
        <v>104.0</v>
      </c>
      <c r="F535" s="17" t="str">
        <f t="shared" si="3"/>
        <v>BCA104</v>
      </c>
      <c r="G535" s="43" t="str">
        <f t="shared" si="4"/>
        <v>NA</v>
      </c>
      <c r="H535" s="17" t="str">
        <f t="shared" si="5"/>
        <v>BCA104-NA</v>
      </c>
      <c r="J535" t="str">
        <f t="shared" si="6"/>
        <v>collected</v>
      </c>
      <c r="K535" t="str">
        <f t="shared" si="7"/>
        <v>N</v>
      </c>
    </row>
    <row r="536">
      <c r="A536" s="44" t="s">
        <v>959</v>
      </c>
      <c r="B536" s="10" t="str">
        <f t="shared" si="1"/>
        <v>fish</v>
      </c>
      <c r="C536" s="63" t="str">
        <f t="shared" si="2"/>
        <v>U16156</v>
      </c>
      <c r="D536" s="11" t="str">
        <f t="array" ref="D536">iferror(index(fish_lab_data!D:D,match(A536,fish_lab_data!C:C,0)))</f>
        <v>P1016</v>
      </c>
      <c r="E536" s="6">
        <v>104.0</v>
      </c>
      <c r="F536" s="17" t="str">
        <f t="shared" si="3"/>
        <v>BCA104</v>
      </c>
      <c r="G536" s="43" t="str">
        <f t="shared" si="4"/>
        <v>NA</v>
      </c>
      <c r="H536" s="17" t="str">
        <f t="shared" si="5"/>
        <v>BCA104-NA</v>
      </c>
      <c r="J536" t="str">
        <f t="shared" si="6"/>
        <v>collected</v>
      </c>
      <c r="K536" t="str">
        <f t="shared" si="7"/>
        <v>N</v>
      </c>
    </row>
    <row r="537">
      <c r="A537" s="44" t="s">
        <v>960</v>
      </c>
      <c r="B537" s="10" t="str">
        <f t="shared" si="1"/>
        <v>fish</v>
      </c>
      <c r="C537" s="63" t="str">
        <f t="shared" si="2"/>
        <v>U16155</v>
      </c>
      <c r="D537" s="11" t="str">
        <f t="array" ref="D537">iferror(index(fish_lab_data!D:D,match(A537,fish_lab_data!C:C,0)))</f>
        <v>P1016</v>
      </c>
      <c r="E537" s="6">
        <v>104.0</v>
      </c>
      <c r="F537" s="17" t="str">
        <f t="shared" si="3"/>
        <v>BCA104</v>
      </c>
      <c r="G537" s="43" t="str">
        <f t="shared" si="4"/>
        <v>NA</v>
      </c>
      <c r="H537" s="17" t="str">
        <f t="shared" si="5"/>
        <v>BCA104-NA</v>
      </c>
      <c r="J537" t="str">
        <f t="shared" si="6"/>
        <v>collected</v>
      </c>
      <c r="K537" t="str">
        <f t="shared" si="7"/>
        <v>N</v>
      </c>
    </row>
    <row r="538">
      <c r="A538" s="46" t="s">
        <v>963</v>
      </c>
      <c r="B538" s="10" t="str">
        <f t="shared" si="1"/>
        <v>fish</v>
      </c>
      <c r="C538" s="63" t="str">
        <f t="shared" si="2"/>
        <v>U16154</v>
      </c>
      <c r="D538" s="11" t="str">
        <f t="array" ref="D538">iferror(index(fish_lab_data!D:D,match(A538,fish_lab_data!C:C,0)))</f>
        <v>P1016</v>
      </c>
      <c r="E538" s="6">
        <v>104.0</v>
      </c>
      <c r="F538" s="17" t="str">
        <f t="shared" si="3"/>
        <v>BCA104</v>
      </c>
      <c r="G538" s="43" t="str">
        <f t="shared" si="4"/>
        <v>NA</v>
      </c>
      <c r="H538" s="17" t="str">
        <f t="shared" si="5"/>
        <v>BCA104-NA</v>
      </c>
      <c r="J538" t="str">
        <f t="shared" si="6"/>
        <v>collected</v>
      </c>
      <c r="K538" t="str">
        <f t="shared" si="7"/>
        <v>N</v>
      </c>
    </row>
    <row r="539">
      <c r="A539" s="40" t="s">
        <v>966</v>
      </c>
      <c r="B539" s="10" t="str">
        <f t="shared" si="1"/>
        <v>fish</v>
      </c>
      <c r="C539" s="63" t="str">
        <f t="shared" si="2"/>
        <v>U16342</v>
      </c>
      <c r="D539" s="11" t="str">
        <f t="array" ref="D539">iferror(index(fish_lab_data!D:D,match(A539,fish_lab_data!C:C,0)))</f>
        <v>P1035</v>
      </c>
      <c r="E539" s="6">
        <v>104.0</v>
      </c>
      <c r="F539" s="17" t="str">
        <f t="shared" si="3"/>
        <v>BCA104</v>
      </c>
      <c r="G539" s="43" t="str">
        <f t="shared" si="4"/>
        <v>NA</v>
      </c>
      <c r="H539" s="17" t="str">
        <f t="shared" si="5"/>
        <v>BCA104-NA</v>
      </c>
      <c r="J539" t="str">
        <f t="shared" si="6"/>
        <v>collected</v>
      </c>
      <c r="K539" t="str">
        <f t="shared" si="7"/>
        <v>N</v>
      </c>
    </row>
    <row r="540">
      <c r="A540" s="40" t="s">
        <v>967</v>
      </c>
      <c r="B540" s="10" t="str">
        <f t="shared" si="1"/>
        <v>fish</v>
      </c>
      <c r="C540" s="63" t="str">
        <f t="shared" si="2"/>
        <v>U16350</v>
      </c>
      <c r="D540" s="11" t="str">
        <f t="array" ref="D540">iferror(index(fish_lab_data!D:D,match(A540,fish_lab_data!C:C,0)))</f>
        <v>P1035</v>
      </c>
      <c r="E540" s="6">
        <v>104.0</v>
      </c>
      <c r="F540" s="17" t="str">
        <f t="shared" si="3"/>
        <v>BCA104</v>
      </c>
      <c r="G540" s="43" t="str">
        <f t="shared" si="4"/>
        <v>NA</v>
      </c>
      <c r="H540" s="17" t="str">
        <f t="shared" si="5"/>
        <v>BCA104-NA</v>
      </c>
      <c r="J540" t="str">
        <f t="shared" si="6"/>
        <v>collected</v>
      </c>
      <c r="K540" t="str">
        <f t="shared" si="7"/>
        <v>N</v>
      </c>
    </row>
    <row r="541">
      <c r="A541" s="40" t="s">
        <v>969</v>
      </c>
      <c r="B541" s="10" t="str">
        <f t="shared" si="1"/>
        <v>fish</v>
      </c>
      <c r="C541" s="63" t="str">
        <f t="shared" si="2"/>
        <v>U16344</v>
      </c>
      <c r="D541" s="11" t="str">
        <f t="array" ref="D541">iferror(index(fish_lab_data!D:D,match(A541,fish_lab_data!C:C,0)))</f>
        <v>P1035</v>
      </c>
      <c r="E541" s="6">
        <v>104.0</v>
      </c>
      <c r="F541" s="17" t="str">
        <f t="shared" si="3"/>
        <v>BCA104</v>
      </c>
      <c r="G541" s="43" t="str">
        <f t="shared" si="4"/>
        <v>NA</v>
      </c>
      <c r="H541" s="17" t="str">
        <f t="shared" si="5"/>
        <v>BCA104-NA</v>
      </c>
      <c r="J541" t="str">
        <f t="shared" si="6"/>
        <v>collected</v>
      </c>
      <c r="K541" t="str">
        <f t="shared" si="7"/>
        <v>N</v>
      </c>
    </row>
    <row r="542">
      <c r="A542" s="40" t="s">
        <v>971</v>
      </c>
      <c r="B542" s="10" t="str">
        <f t="shared" si="1"/>
        <v>fish</v>
      </c>
      <c r="C542" s="63" t="str">
        <f t="shared" si="2"/>
        <v>U16341</v>
      </c>
      <c r="D542" s="11" t="str">
        <f t="array" ref="D542">iferror(index(fish_lab_data!D:D,match(A542,fish_lab_data!C:C,0)))</f>
        <v>P1035</v>
      </c>
      <c r="E542" s="6">
        <v>104.0</v>
      </c>
      <c r="F542" s="17" t="str">
        <f t="shared" si="3"/>
        <v>BCA104</v>
      </c>
      <c r="G542" s="43" t="str">
        <f t="shared" si="4"/>
        <v>NA</v>
      </c>
      <c r="H542" s="17" t="str">
        <f t="shared" si="5"/>
        <v>BCA104-NA</v>
      </c>
      <c r="J542" t="str">
        <f t="shared" si="6"/>
        <v>collected</v>
      </c>
      <c r="K542" t="str">
        <f t="shared" si="7"/>
        <v>N</v>
      </c>
    </row>
    <row r="543">
      <c r="A543" s="40" t="s">
        <v>972</v>
      </c>
      <c r="B543" s="10" t="str">
        <f t="shared" si="1"/>
        <v>fish</v>
      </c>
      <c r="C543" s="63" t="str">
        <f t="shared" si="2"/>
        <v>U16343</v>
      </c>
      <c r="D543" s="11" t="str">
        <f t="array" ref="D543">iferror(index(fish_lab_data!D:D,match(A543,fish_lab_data!C:C,0)))</f>
        <v>P1035</v>
      </c>
      <c r="E543" s="6">
        <v>104.0</v>
      </c>
      <c r="F543" s="17" t="str">
        <f t="shared" si="3"/>
        <v>BCA104</v>
      </c>
      <c r="G543" s="43" t="str">
        <f t="shared" si="4"/>
        <v>NA</v>
      </c>
      <c r="H543" s="17" t="str">
        <f t="shared" si="5"/>
        <v>BCA104-NA</v>
      </c>
      <c r="J543" t="str">
        <f t="shared" si="6"/>
        <v>collected</v>
      </c>
      <c r="K543" t="str">
        <f t="shared" si="7"/>
        <v>N</v>
      </c>
    </row>
    <row r="544">
      <c r="A544" s="27" t="s">
        <v>974</v>
      </c>
      <c r="B544" s="10" t="str">
        <f t="shared" si="1"/>
        <v>fish</v>
      </c>
      <c r="C544" s="63" t="str">
        <f t="shared" si="2"/>
        <v>U16971</v>
      </c>
      <c r="D544" s="11" t="str">
        <f t="array" ref="D544">iferror(index(fish_lab_data!D:D,match(A544,fish_lab_data!C:C,0)))</f>
        <v>P1098</v>
      </c>
      <c r="E544" s="6">
        <v>105.0</v>
      </c>
      <c r="F544" s="17" t="str">
        <f t="shared" si="3"/>
        <v>BCA105</v>
      </c>
      <c r="G544" s="43" t="str">
        <f t="shared" si="4"/>
        <v>NA</v>
      </c>
      <c r="H544" s="17" t="str">
        <f t="shared" si="5"/>
        <v>BCA105-NA</v>
      </c>
      <c r="J544" t="str">
        <f t="shared" si="6"/>
        <v>collected</v>
      </c>
      <c r="K544" t="str">
        <f t="shared" si="7"/>
        <v>N</v>
      </c>
    </row>
    <row r="545">
      <c r="A545" s="27" t="s">
        <v>975</v>
      </c>
      <c r="B545" s="10" t="str">
        <f t="shared" si="1"/>
        <v>fish</v>
      </c>
      <c r="C545" s="63" t="str">
        <f t="shared" si="2"/>
        <v>U16972</v>
      </c>
      <c r="D545" s="11" t="str">
        <f t="array" ref="D545">iferror(index(fish_lab_data!D:D,match(A545,fish_lab_data!C:C,0)))</f>
        <v>P1098</v>
      </c>
      <c r="E545" s="6">
        <v>105.0</v>
      </c>
      <c r="F545" s="17" t="str">
        <f t="shared" si="3"/>
        <v>BCA105</v>
      </c>
      <c r="G545" s="43" t="str">
        <f t="shared" si="4"/>
        <v>NA</v>
      </c>
      <c r="H545" s="17" t="str">
        <f t="shared" si="5"/>
        <v>BCA105-NA</v>
      </c>
      <c r="J545" t="str">
        <f t="shared" si="6"/>
        <v>collected</v>
      </c>
      <c r="K545" t="str">
        <f t="shared" si="7"/>
        <v>N</v>
      </c>
    </row>
    <row r="546">
      <c r="A546" s="27" t="s">
        <v>976</v>
      </c>
      <c r="B546" s="10" t="str">
        <f t="shared" si="1"/>
        <v>fish</v>
      </c>
      <c r="C546" s="63" t="str">
        <f t="shared" si="2"/>
        <v>U16973</v>
      </c>
      <c r="D546" s="11" t="str">
        <f t="array" ref="D546">iferror(index(fish_lab_data!D:D,match(A546,fish_lab_data!C:C,0)))</f>
        <v>P1098</v>
      </c>
      <c r="E546" s="6">
        <v>105.0</v>
      </c>
      <c r="F546" s="17" t="str">
        <f t="shared" si="3"/>
        <v>BCA105</v>
      </c>
      <c r="G546" s="43" t="str">
        <f t="shared" si="4"/>
        <v>NA</v>
      </c>
      <c r="H546" s="17" t="str">
        <f t="shared" si="5"/>
        <v>BCA105-NA</v>
      </c>
      <c r="J546" t="str">
        <f t="shared" si="6"/>
        <v>collected</v>
      </c>
      <c r="K546" t="str">
        <f t="shared" si="7"/>
        <v>N</v>
      </c>
    </row>
    <row r="547">
      <c r="A547" s="27" t="s">
        <v>978</v>
      </c>
      <c r="B547" s="10" t="str">
        <f t="shared" si="1"/>
        <v>fish</v>
      </c>
      <c r="C547" s="63" t="str">
        <f t="shared" si="2"/>
        <v>U16974</v>
      </c>
      <c r="D547" s="11" t="str">
        <f t="array" ref="D547">iferror(index(fish_lab_data!D:D,match(A547,fish_lab_data!C:C,0)))</f>
        <v>P1098</v>
      </c>
      <c r="E547" s="6">
        <v>105.0</v>
      </c>
      <c r="F547" s="17" t="str">
        <f t="shared" si="3"/>
        <v>BCA105</v>
      </c>
      <c r="G547" s="43" t="str">
        <f t="shared" si="4"/>
        <v>NA</v>
      </c>
      <c r="H547" s="17" t="str">
        <f t="shared" si="5"/>
        <v>BCA105-NA</v>
      </c>
      <c r="J547" t="str">
        <f t="shared" si="6"/>
        <v>collected</v>
      </c>
      <c r="K547" t="str">
        <f t="shared" si="7"/>
        <v>N</v>
      </c>
    </row>
    <row r="548">
      <c r="A548" s="27" t="s">
        <v>979</v>
      </c>
      <c r="B548" s="10" t="str">
        <f t="shared" si="1"/>
        <v>fish</v>
      </c>
      <c r="C548" s="63" t="str">
        <f t="shared" si="2"/>
        <v>U16979</v>
      </c>
      <c r="D548" s="11" t="str">
        <f t="array" ref="D548">iferror(index(fish_lab_data!D:D,match(A548,fish_lab_data!C:C,0)))</f>
        <v>P1098</v>
      </c>
      <c r="E548" s="6">
        <v>105.0</v>
      </c>
      <c r="F548" s="17" t="str">
        <f t="shared" si="3"/>
        <v>BCA105</v>
      </c>
      <c r="G548" s="43" t="str">
        <f t="shared" si="4"/>
        <v>NA</v>
      </c>
      <c r="H548" s="17" t="str">
        <f t="shared" si="5"/>
        <v>BCA105-NA</v>
      </c>
      <c r="J548" t="str">
        <f t="shared" si="6"/>
        <v>collected</v>
      </c>
      <c r="K548" t="str">
        <f t="shared" si="7"/>
        <v>N</v>
      </c>
    </row>
    <row r="549">
      <c r="A549" s="27" t="s">
        <v>981</v>
      </c>
      <c r="B549" s="10" t="str">
        <f t="shared" si="1"/>
        <v>fish</v>
      </c>
      <c r="C549" s="63" t="str">
        <f t="shared" si="2"/>
        <v>U16975</v>
      </c>
      <c r="D549" s="11" t="str">
        <f t="array" ref="D549">iferror(index(fish_lab_data!D:D,match(A549,fish_lab_data!C:C,0)))</f>
        <v>P1098</v>
      </c>
      <c r="E549" s="6">
        <v>105.0</v>
      </c>
      <c r="F549" s="17" t="str">
        <f t="shared" si="3"/>
        <v>BCA105</v>
      </c>
      <c r="G549" s="43" t="str">
        <f t="shared" si="4"/>
        <v>NA</v>
      </c>
      <c r="H549" s="17" t="str">
        <f t="shared" si="5"/>
        <v>BCA105-NA</v>
      </c>
      <c r="J549" t="str">
        <f t="shared" si="6"/>
        <v>collected</v>
      </c>
      <c r="K549" t="str">
        <f t="shared" si="7"/>
        <v>N</v>
      </c>
    </row>
    <row r="550">
      <c r="A550" s="27" t="s">
        <v>982</v>
      </c>
      <c r="B550" s="10" t="str">
        <f t="shared" si="1"/>
        <v>fish</v>
      </c>
      <c r="C550" s="63" t="str">
        <f t="shared" si="2"/>
        <v>U16976</v>
      </c>
      <c r="D550" s="11" t="str">
        <f t="array" ref="D550">iferror(index(fish_lab_data!D:D,match(A550,fish_lab_data!C:C,0)))</f>
        <v>P1098</v>
      </c>
      <c r="E550" s="6">
        <v>105.0</v>
      </c>
      <c r="F550" s="17" t="str">
        <f t="shared" si="3"/>
        <v>BCA105</v>
      </c>
      <c r="G550" s="43" t="str">
        <f t="shared" si="4"/>
        <v>NA</v>
      </c>
      <c r="H550" s="17" t="str">
        <f t="shared" si="5"/>
        <v>BCA105-NA</v>
      </c>
      <c r="J550" t="str">
        <f t="shared" si="6"/>
        <v>collected</v>
      </c>
      <c r="K550" t="str">
        <f t="shared" si="7"/>
        <v>N</v>
      </c>
    </row>
    <row r="551">
      <c r="A551" s="27" t="s">
        <v>983</v>
      </c>
      <c r="B551" s="10" t="str">
        <f t="shared" si="1"/>
        <v>fish</v>
      </c>
      <c r="C551" s="63" t="str">
        <f t="shared" si="2"/>
        <v>U16977</v>
      </c>
      <c r="D551" s="11" t="str">
        <f t="array" ref="D551">iferror(index(fish_lab_data!D:D,match(A551,fish_lab_data!C:C,0)))</f>
        <v>P1098</v>
      </c>
      <c r="E551" s="6">
        <v>105.0</v>
      </c>
      <c r="F551" s="17" t="str">
        <f t="shared" si="3"/>
        <v>BCA105</v>
      </c>
      <c r="G551" s="43" t="str">
        <f t="shared" si="4"/>
        <v>NA</v>
      </c>
      <c r="H551" s="17" t="str">
        <f t="shared" si="5"/>
        <v>BCA105-NA</v>
      </c>
      <c r="J551" t="str">
        <f t="shared" si="6"/>
        <v>collected</v>
      </c>
      <c r="K551" t="str">
        <f t="shared" si="7"/>
        <v>N</v>
      </c>
    </row>
    <row r="552">
      <c r="A552" s="27" t="s">
        <v>985</v>
      </c>
      <c r="B552" s="10" t="str">
        <f t="shared" si="1"/>
        <v>fish</v>
      </c>
      <c r="C552" s="63" t="str">
        <f t="shared" si="2"/>
        <v>U16980</v>
      </c>
      <c r="D552" s="11" t="str">
        <f t="array" ref="D552">iferror(index(fish_lab_data!D:D,match(A552,fish_lab_data!C:C,0)))</f>
        <v>P1098</v>
      </c>
      <c r="E552" s="6">
        <v>105.0</v>
      </c>
      <c r="F552" s="17" t="str">
        <f t="shared" si="3"/>
        <v>BCA105</v>
      </c>
      <c r="G552" s="43" t="str">
        <f t="shared" si="4"/>
        <v>NA</v>
      </c>
      <c r="H552" s="17" t="str">
        <f t="shared" si="5"/>
        <v>BCA105-NA</v>
      </c>
      <c r="J552" t="str">
        <f t="shared" si="6"/>
        <v>collected</v>
      </c>
      <c r="K552" t="str">
        <f t="shared" si="7"/>
        <v>N</v>
      </c>
    </row>
    <row r="553">
      <c r="A553" s="27" t="s">
        <v>986</v>
      </c>
      <c r="B553" s="10" t="str">
        <f t="shared" si="1"/>
        <v>fish</v>
      </c>
      <c r="C553" s="63" t="str">
        <f t="shared" si="2"/>
        <v>U16978</v>
      </c>
      <c r="D553" s="11" t="str">
        <f t="array" ref="D553">iferror(index(fish_lab_data!D:D,match(A553,fish_lab_data!C:C,0)))</f>
        <v>P1098</v>
      </c>
      <c r="E553" s="6">
        <v>105.0</v>
      </c>
      <c r="F553" s="17" t="str">
        <f t="shared" si="3"/>
        <v>BCA105</v>
      </c>
      <c r="G553" s="43" t="str">
        <f t="shared" si="4"/>
        <v>NA</v>
      </c>
      <c r="H553" s="17" t="str">
        <f t="shared" si="5"/>
        <v>BCA105-NA</v>
      </c>
      <c r="J553" t="str">
        <f t="shared" si="6"/>
        <v>collected</v>
      </c>
      <c r="K553" t="str">
        <f t="shared" si="7"/>
        <v>N</v>
      </c>
    </row>
    <row r="554">
      <c r="A554" s="27" t="s">
        <v>988</v>
      </c>
      <c r="B554" s="10" t="str">
        <f t="shared" si="1"/>
        <v>fish</v>
      </c>
      <c r="C554" s="63" t="str">
        <f t="shared" si="2"/>
        <v>U16661</v>
      </c>
      <c r="D554" s="11" t="str">
        <f t="array" ref="D554">iferror(index(fish_lab_data!D:D,match(A554,fish_lab_data!C:C,0)))</f>
        <v>P1067</v>
      </c>
      <c r="E554" s="6">
        <v>105.0</v>
      </c>
      <c r="F554" s="17" t="str">
        <f t="shared" si="3"/>
        <v>BCA105</v>
      </c>
      <c r="G554" s="43" t="str">
        <f t="shared" si="4"/>
        <v>NA</v>
      </c>
      <c r="H554" s="17" t="str">
        <f t="shared" si="5"/>
        <v>BCA105-NA</v>
      </c>
      <c r="J554" t="str">
        <f t="shared" si="6"/>
        <v>collected</v>
      </c>
      <c r="K554" t="str">
        <f t="shared" si="7"/>
        <v>N</v>
      </c>
    </row>
    <row r="555">
      <c r="A555" s="27" t="s">
        <v>990</v>
      </c>
      <c r="B555" s="10" t="str">
        <f t="shared" si="1"/>
        <v>fish</v>
      </c>
      <c r="C555" s="63" t="str">
        <f t="shared" si="2"/>
        <v>U16662</v>
      </c>
      <c r="D555" s="11" t="str">
        <f t="array" ref="D555">iferror(index(fish_lab_data!D:D,match(A555,fish_lab_data!C:C,0)))</f>
        <v>P1067</v>
      </c>
      <c r="E555" s="6">
        <v>105.0</v>
      </c>
      <c r="F555" s="17" t="str">
        <f t="shared" si="3"/>
        <v>BCA105</v>
      </c>
      <c r="G555" s="43" t="str">
        <f t="shared" si="4"/>
        <v>NA</v>
      </c>
      <c r="H555" s="17" t="str">
        <f t="shared" si="5"/>
        <v>BCA105-NA</v>
      </c>
      <c r="J555" t="str">
        <f t="shared" si="6"/>
        <v>collected</v>
      </c>
      <c r="K555" t="str">
        <f t="shared" si="7"/>
        <v>N</v>
      </c>
    </row>
    <row r="556">
      <c r="A556" s="27" t="s">
        <v>991</v>
      </c>
      <c r="B556" s="10" t="str">
        <f t="shared" si="1"/>
        <v>fish</v>
      </c>
      <c r="C556" s="63" t="str">
        <f t="shared" si="2"/>
        <v>U16663</v>
      </c>
      <c r="D556" s="11" t="str">
        <f t="array" ref="D556">iferror(index(fish_lab_data!D:D,match(A556,fish_lab_data!C:C,0)))</f>
        <v>P1067</v>
      </c>
      <c r="E556" s="6">
        <v>105.0</v>
      </c>
      <c r="F556" s="17" t="str">
        <f t="shared" si="3"/>
        <v>BCA105</v>
      </c>
      <c r="G556" s="43" t="str">
        <f t="shared" si="4"/>
        <v>NA</v>
      </c>
      <c r="H556" s="17" t="str">
        <f t="shared" si="5"/>
        <v>BCA105-NA</v>
      </c>
      <c r="J556" t="str">
        <f t="shared" si="6"/>
        <v>collected</v>
      </c>
      <c r="K556" t="str">
        <f t="shared" si="7"/>
        <v>N</v>
      </c>
    </row>
    <row r="557">
      <c r="A557" s="27" t="s">
        <v>993</v>
      </c>
      <c r="B557" s="10" t="str">
        <f t="shared" si="1"/>
        <v>fish</v>
      </c>
      <c r="C557" s="63" t="str">
        <f t="shared" si="2"/>
        <v>U16667</v>
      </c>
      <c r="D557" s="11" t="str">
        <f t="array" ref="D557">iferror(index(fish_lab_data!D:D,match(A557,fish_lab_data!C:C,0)))</f>
        <v>P1067</v>
      </c>
      <c r="E557" s="6">
        <v>105.0</v>
      </c>
      <c r="F557" s="17" t="str">
        <f t="shared" si="3"/>
        <v>BCA105</v>
      </c>
      <c r="G557" s="43" t="str">
        <f t="shared" si="4"/>
        <v>NA</v>
      </c>
      <c r="H557" s="17" t="str">
        <f t="shared" si="5"/>
        <v>BCA105-NA</v>
      </c>
      <c r="J557" t="str">
        <f t="shared" si="6"/>
        <v>collected</v>
      </c>
      <c r="K557" t="str">
        <f t="shared" si="7"/>
        <v>N</v>
      </c>
    </row>
    <row r="558">
      <c r="A558" s="27" t="s">
        <v>995</v>
      </c>
      <c r="B558" s="10" t="str">
        <f t="shared" si="1"/>
        <v>fish</v>
      </c>
      <c r="C558" s="63" t="str">
        <f t="shared" si="2"/>
        <v>U16664</v>
      </c>
      <c r="D558" s="11" t="str">
        <f t="array" ref="D558">iferror(index(fish_lab_data!D:D,match(A558,fish_lab_data!C:C,0)))</f>
        <v>P1067</v>
      </c>
      <c r="E558" s="6">
        <v>105.0</v>
      </c>
      <c r="F558" s="17" t="str">
        <f t="shared" si="3"/>
        <v>BCA105</v>
      </c>
      <c r="G558" s="43" t="str">
        <f t="shared" si="4"/>
        <v>NA</v>
      </c>
      <c r="H558" s="17" t="str">
        <f t="shared" si="5"/>
        <v>BCA105-NA</v>
      </c>
      <c r="J558" t="str">
        <f t="shared" si="6"/>
        <v>collected</v>
      </c>
      <c r="K558" t="str">
        <f t="shared" si="7"/>
        <v>N</v>
      </c>
    </row>
    <row r="559">
      <c r="A559" s="27" t="s">
        <v>996</v>
      </c>
      <c r="B559" s="10" t="str">
        <f t="shared" si="1"/>
        <v>fish</v>
      </c>
      <c r="C559" s="63" t="str">
        <f t="shared" si="2"/>
        <v>U16665</v>
      </c>
      <c r="D559" s="11" t="str">
        <f t="array" ref="D559">iferror(index(fish_lab_data!D:D,match(A559,fish_lab_data!C:C,0)))</f>
        <v>P1067</v>
      </c>
      <c r="E559" s="6">
        <v>105.0</v>
      </c>
      <c r="F559" s="17" t="str">
        <f t="shared" si="3"/>
        <v>BCA105</v>
      </c>
      <c r="G559" s="43" t="str">
        <f t="shared" si="4"/>
        <v>NA</v>
      </c>
      <c r="H559" s="17" t="str">
        <f t="shared" si="5"/>
        <v>BCA105-NA</v>
      </c>
      <c r="J559" t="str">
        <f t="shared" si="6"/>
        <v>collected</v>
      </c>
      <c r="K559" t="str">
        <f t="shared" si="7"/>
        <v>N</v>
      </c>
    </row>
    <row r="560">
      <c r="A560" s="27" t="s">
        <v>997</v>
      </c>
      <c r="B560" s="10" t="str">
        <f t="shared" si="1"/>
        <v>fish</v>
      </c>
      <c r="C560" s="63" t="str">
        <f t="shared" si="2"/>
        <v>U16666</v>
      </c>
      <c r="D560" s="11" t="str">
        <f t="array" ref="D560">iferror(index(fish_lab_data!D:D,match(A560,fish_lab_data!C:C,0)))</f>
        <v>P1067</v>
      </c>
      <c r="E560" s="6">
        <v>105.0</v>
      </c>
      <c r="F560" s="17" t="str">
        <f t="shared" si="3"/>
        <v>BCA105</v>
      </c>
      <c r="G560" s="43" t="str">
        <f t="shared" si="4"/>
        <v>NA</v>
      </c>
      <c r="H560" s="17" t="str">
        <f t="shared" si="5"/>
        <v>BCA105-NA</v>
      </c>
      <c r="J560" t="str">
        <f t="shared" si="6"/>
        <v>collected</v>
      </c>
      <c r="K560" t="str">
        <f t="shared" si="7"/>
        <v>N</v>
      </c>
    </row>
    <row r="561">
      <c r="A561" s="27" t="s">
        <v>998</v>
      </c>
      <c r="B561" s="10" t="str">
        <f t="shared" si="1"/>
        <v>fish</v>
      </c>
      <c r="C561" s="63" t="str">
        <f t="shared" si="2"/>
        <v>U16669</v>
      </c>
      <c r="D561" s="11" t="str">
        <f t="array" ref="D561">iferror(index(fish_lab_data!D:D,match(A561,fish_lab_data!C:C,0)))</f>
        <v>P1067</v>
      </c>
      <c r="E561" s="6">
        <v>105.0</v>
      </c>
      <c r="F561" s="17" t="str">
        <f t="shared" si="3"/>
        <v>BCA105</v>
      </c>
      <c r="G561" s="43" t="str">
        <f t="shared" si="4"/>
        <v>NA</v>
      </c>
      <c r="H561" s="17" t="str">
        <f t="shared" si="5"/>
        <v>BCA105-NA</v>
      </c>
      <c r="J561" t="str">
        <f t="shared" si="6"/>
        <v>collected</v>
      </c>
      <c r="K561" t="str">
        <f t="shared" si="7"/>
        <v>N</v>
      </c>
    </row>
    <row r="562">
      <c r="A562" s="27" t="s">
        <v>1001</v>
      </c>
      <c r="B562" s="10" t="str">
        <f t="shared" si="1"/>
        <v>fish</v>
      </c>
      <c r="C562" s="63" t="str">
        <f t="shared" si="2"/>
        <v>U16668</v>
      </c>
      <c r="D562" s="11" t="str">
        <f t="array" ref="D562">iferror(index(fish_lab_data!D:D,match(A562,fish_lab_data!C:C,0)))</f>
        <v>P1067</v>
      </c>
      <c r="E562" s="6">
        <v>105.0</v>
      </c>
      <c r="F562" s="17" t="str">
        <f t="shared" si="3"/>
        <v>BCA105</v>
      </c>
      <c r="G562" s="43" t="str">
        <f t="shared" si="4"/>
        <v>NA</v>
      </c>
      <c r="H562" s="17" t="str">
        <f t="shared" si="5"/>
        <v>BCA105-NA</v>
      </c>
      <c r="J562" t="str">
        <f t="shared" si="6"/>
        <v>collected</v>
      </c>
      <c r="K562" t="str">
        <f t="shared" si="7"/>
        <v>N</v>
      </c>
    </row>
    <row r="563">
      <c r="A563" s="27" t="s">
        <v>1002</v>
      </c>
      <c r="B563" s="10" t="str">
        <f t="shared" si="1"/>
        <v>fish</v>
      </c>
      <c r="C563" s="63" t="str">
        <f t="shared" si="2"/>
        <v>U16670</v>
      </c>
      <c r="D563" s="11" t="str">
        <f t="array" ref="D563">iferror(index(fish_lab_data!D:D,match(A563,fish_lab_data!C:C,0)))</f>
        <v>P1067</v>
      </c>
      <c r="E563" s="6">
        <v>105.0</v>
      </c>
      <c r="F563" s="17" t="str">
        <f t="shared" si="3"/>
        <v>BCA105</v>
      </c>
      <c r="G563" s="43" t="str">
        <f t="shared" si="4"/>
        <v>NA</v>
      </c>
      <c r="H563" s="17" t="str">
        <f t="shared" si="5"/>
        <v>BCA105-NA</v>
      </c>
      <c r="J563" t="str">
        <f t="shared" si="6"/>
        <v>collected</v>
      </c>
      <c r="K563" t="str">
        <f t="shared" si="7"/>
        <v>N</v>
      </c>
    </row>
    <row r="564">
      <c r="A564" s="40" t="s">
        <v>1003</v>
      </c>
      <c r="B564" s="10" t="str">
        <f t="shared" si="1"/>
        <v>fish</v>
      </c>
      <c r="C564" s="63" t="str">
        <f t="shared" si="2"/>
        <v>U16345</v>
      </c>
      <c r="D564" s="11" t="str">
        <f t="array" ref="D564">iferror(index(fish_lab_data!D:D,match(A564,fish_lab_data!C:C,0)))</f>
        <v>P1035</v>
      </c>
      <c r="E564" s="6">
        <v>104.0</v>
      </c>
      <c r="F564" s="17" t="str">
        <f t="shared" si="3"/>
        <v>BCA104</v>
      </c>
      <c r="G564" s="43" t="str">
        <f t="shared" si="4"/>
        <v>NA</v>
      </c>
      <c r="H564" s="17" t="str">
        <f t="shared" si="5"/>
        <v>BCA104-NA</v>
      </c>
      <c r="J564" t="str">
        <f t="shared" si="6"/>
        <v>collected</v>
      </c>
      <c r="K564" t="str">
        <f t="shared" si="7"/>
        <v>N</v>
      </c>
    </row>
    <row r="565">
      <c r="A565" s="43" t="s">
        <v>1005</v>
      </c>
      <c r="B565" s="10" t="str">
        <f t="shared" si="1"/>
        <v>fish</v>
      </c>
      <c r="C565" s="63" t="str">
        <f t="shared" si="2"/>
        <v>U16346</v>
      </c>
      <c r="D565" s="11" t="str">
        <f t="array" ref="D565">iferror(index(fish_lab_data!D:D,match(A565,fish_lab_data!C:C,0)))</f>
        <v>P1035</v>
      </c>
      <c r="E565" s="6">
        <v>104.0</v>
      </c>
      <c r="F565" s="17" t="str">
        <f t="shared" si="3"/>
        <v>BCA104</v>
      </c>
      <c r="G565" s="43" t="str">
        <f t="shared" si="4"/>
        <v>NA</v>
      </c>
      <c r="H565" s="17" t="str">
        <f t="shared" si="5"/>
        <v>BCA104-NA</v>
      </c>
      <c r="J565" t="str">
        <f t="shared" si="6"/>
        <v>collected</v>
      </c>
      <c r="K565" t="str">
        <f t="shared" si="7"/>
        <v>N</v>
      </c>
    </row>
    <row r="566">
      <c r="A566" s="44" t="s">
        <v>1006</v>
      </c>
      <c r="B566" s="10" t="str">
        <f t="shared" si="1"/>
        <v>fish</v>
      </c>
      <c r="C566" s="63" t="str">
        <f t="shared" si="2"/>
        <v>U16349</v>
      </c>
      <c r="D566" s="11" t="str">
        <f t="array" ref="D566">iferror(index(fish_lab_data!D:D,match(A566,fish_lab_data!C:C,0)))</f>
        <v>P1035</v>
      </c>
      <c r="E566" s="6">
        <v>104.0</v>
      </c>
      <c r="F566" s="17" t="str">
        <f t="shared" si="3"/>
        <v>BCA104</v>
      </c>
      <c r="G566" s="43" t="str">
        <f t="shared" si="4"/>
        <v>NA</v>
      </c>
      <c r="H566" s="17" t="str">
        <f t="shared" si="5"/>
        <v>BCA104-NA</v>
      </c>
      <c r="J566" t="str">
        <f t="shared" si="6"/>
        <v>collected</v>
      </c>
      <c r="K566" t="str">
        <f t="shared" si="7"/>
        <v>N</v>
      </c>
    </row>
    <row r="567">
      <c r="A567" s="44" t="s">
        <v>1008</v>
      </c>
      <c r="B567" s="10" t="str">
        <f t="shared" si="1"/>
        <v>fish</v>
      </c>
      <c r="C567" s="63" t="str">
        <f t="shared" si="2"/>
        <v>U16348</v>
      </c>
      <c r="D567" s="11" t="str">
        <f t="array" ref="D567">iferror(index(fish_lab_data!D:D,match(A567,fish_lab_data!C:C,0)))</f>
        <v>P1035</v>
      </c>
      <c r="E567" s="6">
        <v>104.0</v>
      </c>
      <c r="F567" s="17" t="str">
        <f t="shared" si="3"/>
        <v>BCA104</v>
      </c>
      <c r="G567" s="43" t="str">
        <f t="shared" si="4"/>
        <v>NA</v>
      </c>
      <c r="H567" s="17" t="str">
        <f t="shared" si="5"/>
        <v>BCA104-NA</v>
      </c>
      <c r="J567" t="str">
        <f t="shared" si="6"/>
        <v>collected</v>
      </c>
      <c r="K567" t="str">
        <f t="shared" si="7"/>
        <v>N</v>
      </c>
    </row>
    <row r="568">
      <c r="A568" s="44" t="s">
        <v>1009</v>
      </c>
      <c r="B568" s="10" t="str">
        <f t="shared" si="1"/>
        <v>fish</v>
      </c>
      <c r="C568" s="63" t="str">
        <f t="shared" si="2"/>
        <v>U16347</v>
      </c>
      <c r="D568" s="11" t="str">
        <f t="array" ref="D568">iferror(index(fish_lab_data!D:D,match(A568,fish_lab_data!C:C,0)))</f>
        <v>P1035</v>
      </c>
      <c r="E568" s="6">
        <v>104.0</v>
      </c>
      <c r="F568" s="17" t="str">
        <f t="shared" si="3"/>
        <v>BCA104</v>
      </c>
      <c r="G568" s="43" t="str">
        <f t="shared" si="4"/>
        <v>NA</v>
      </c>
      <c r="H568" s="17" t="str">
        <f t="shared" si="5"/>
        <v>BCA104-NA</v>
      </c>
      <c r="J568" t="str">
        <f t="shared" si="6"/>
        <v>collected</v>
      </c>
      <c r="K568" t="str">
        <f t="shared" si="7"/>
        <v>N</v>
      </c>
    </row>
    <row r="569">
      <c r="A569" s="44" t="s">
        <v>1011</v>
      </c>
      <c r="B569" s="10" t="str">
        <f t="shared" si="1"/>
        <v>fish</v>
      </c>
      <c r="C569" s="63" t="str">
        <f t="shared" si="2"/>
        <v>U16717</v>
      </c>
      <c r="D569" s="11" t="str">
        <f t="array" ref="D569">iferror(index(fish_lab_data!D:D,match(A569,fish_lab_data!C:C,0)))</f>
        <v>P1072</v>
      </c>
      <c r="E569" s="6">
        <v>105.0</v>
      </c>
      <c r="F569" s="17" t="str">
        <f t="shared" si="3"/>
        <v>BCA105</v>
      </c>
      <c r="G569" s="43" t="str">
        <f t="shared" si="4"/>
        <v>NA</v>
      </c>
      <c r="H569" s="17" t="str">
        <f t="shared" si="5"/>
        <v>BCA105-NA</v>
      </c>
      <c r="J569" t="str">
        <f t="shared" si="6"/>
        <v>collected</v>
      </c>
      <c r="K569" t="str">
        <f t="shared" si="7"/>
        <v>N</v>
      </c>
    </row>
    <row r="570">
      <c r="A570" s="44" t="s">
        <v>1012</v>
      </c>
      <c r="B570" s="10" t="str">
        <f t="shared" si="1"/>
        <v>fish</v>
      </c>
      <c r="C570" s="63" t="str">
        <f t="shared" si="2"/>
        <v>U16718</v>
      </c>
      <c r="D570" s="11" t="str">
        <f t="array" ref="D570">iferror(index(fish_lab_data!D:D,match(A570,fish_lab_data!C:C,0)))</f>
        <v>P1072</v>
      </c>
      <c r="E570" s="6">
        <v>105.0</v>
      </c>
      <c r="F570" s="17" t="str">
        <f t="shared" si="3"/>
        <v>BCA105</v>
      </c>
      <c r="G570" s="43" t="str">
        <f t="shared" si="4"/>
        <v>NA</v>
      </c>
      <c r="H570" s="17" t="str">
        <f t="shared" si="5"/>
        <v>BCA105-NA</v>
      </c>
      <c r="J570" t="str">
        <f t="shared" si="6"/>
        <v>collected</v>
      </c>
      <c r="K570" t="str">
        <f t="shared" si="7"/>
        <v>N</v>
      </c>
    </row>
    <row r="571">
      <c r="A571" s="44" t="s">
        <v>1013</v>
      </c>
      <c r="B571" s="10" t="str">
        <f t="shared" si="1"/>
        <v>fish</v>
      </c>
      <c r="C571" s="63" t="str">
        <f t="shared" si="2"/>
        <v>U16716</v>
      </c>
      <c r="D571" s="11" t="str">
        <f t="array" ref="D571">iferror(index(fish_lab_data!D:D,match(A571,fish_lab_data!C:C,0)))</f>
        <v>P1072</v>
      </c>
      <c r="E571" s="6">
        <v>105.0</v>
      </c>
      <c r="F571" s="17" t="str">
        <f t="shared" si="3"/>
        <v>BCA105</v>
      </c>
      <c r="G571" s="43" t="str">
        <f t="shared" si="4"/>
        <v>NA</v>
      </c>
      <c r="H571" s="17" t="str">
        <f t="shared" si="5"/>
        <v>BCA105-NA</v>
      </c>
      <c r="J571" t="str">
        <f t="shared" si="6"/>
        <v>collected</v>
      </c>
      <c r="K571" t="str">
        <f t="shared" si="7"/>
        <v>N</v>
      </c>
    </row>
    <row r="572">
      <c r="A572" s="44" t="s">
        <v>1016</v>
      </c>
      <c r="B572" s="10" t="str">
        <f t="shared" si="1"/>
        <v>fish</v>
      </c>
      <c r="C572" s="63" t="str">
        <f t="shared" si="2"/>
        <v>U16719</v>
      </c>
      <c r="D572" s="11" t="str">
        <f t="array" ref="D572">iferror(index(fish_lab_data!D:D,match(A572,fish_lab_data!C:C,0)))</f>
        <v>P1072</v>
      </c>
      <c r="E572" s="6">
        <v>105.0</v>
      </c>
      <c r="F572" s="17" t="str">
        <f t="shared" si="3"/>
        <v>BCA105</v>
      </c>
      <c r="G572" s="43" t="str">
        <f t="shared" si="4"/>
        <v>NA</v>
      </c>
      <c r="H572" s="17" t="str">
        <f t="shared" si="5"/>
        <v>BCA105-NA</v>
      </c>
      <c r="J572" t="str">
        <f t="shared" si="6"/>
        <v>collected</v>
      </c>
      <c r="K572" t="str">
        <f t="shared" si="7"/>
        <v>N</v>
      </c>
    </row>
    <row r="573">
      <c r="A573" s="44" t="s">
        <v>1017</v>
      </c>
      <c r="B573" s="10" t="str">
        <f t="shared" si="1"/>
        <v>fish</v>
      </c>
      <c r="C573" s="63" t="str">
        <f t="shared" si="2"/>
        <v>U16720</v>
      </c>
      <c r="D573" s="11" t="str">
        <f t="array" ref="D573">iferror(index(fish_lab_data!D:D,match(A573,fish_lab_data!C:C,0)))</f>
        <v>P1072</v>
      </c>
      <c r="E573" s="6">
        <v>105.0</v>
      </c>
      <c r="F573" s="17" t="str">
        <f t="shared" si="3"/>
        <v>BCA105</v>
      </c>
      <c r="G573" s="43" t="str">
        <f t="shared" si="4"/>
        <v>NA</v>
      </c>
      <c r="H573" s="17" t="str">
        <f t="shared" si="5"/>
        <v>BCA105-NA</v>
      </c>
      <c r="J573" t="str">
        <f t="shared" si="6"/>
        <v>collected</v>
      </c>
      <c r="K573" t="str">
        <f t="shared" si="7"/>
        <v>N</v>
      </c>
    </row>
    <row r="574">
      <c r="A574" s="44" t="s">
        <v>1018</v>
      </c>
      <c r="B574" s="10" t="str">
        <f t="shared" si="1"/>
        <v>fish</v>
      </c>
      <c r="C574" s="63" t="str">
        <f t="shared" si="2"/>
        <v>U16711</v>
      </c>
      <c r="D574" s="11" t="str">
        <f t="array" ref="D574">iferror(index(fish_lab_data!D:D,match(A574,fish_lab_data!C:C,0)))</f>
        <v>P1072</v>
      </c>
      <c r="E574" s="6">
        <v>105.0</v>
      </c>
      <c r="F574" s="17" t="str">
        <f t="shared" si="3"/>
        <v>BCA105</v>
      </c>
      <c r="G574" s="43" t="str">
        <f t="shared" si="4"/>
        <v>NA</v>
      </c>
      <c r="H574" s="17" t="str">
        <f t="shared" si="5"/>
        <v>BCA105-NA</v>
      </c>
      <c r="J574" t="str">
        <f t="shared" si="6"/>
        <v>collected</v>
      </c>
      <c r="K574" t="str">
        <f t="shared" si="7"/>
        <v>N</v>
      </c>
    </row>
    <row r="575">
      <c r="A575" s="44" t="s">
        <v>1019</v>
      </c>
      <c r="B575" s="10" t="str">
        <f t="shared" si="1"/>
        <v>fish</v>
      </c>
      <c r="C575" s="63" t="str">
        <f t="shared" si="2"/>
        <v>U16714</v>
      </c>
      <c r="D575" s="11" t="str">
        <f t="array" ref="D575">iferror(index(fish_lab_data!D:D,match(A575,fish_lab_data!C:C,0)))</f>
        <v>P1072</v>
      </c>
      <c r="E575" s="6">
        <v>105.0</v>
      </c>
      <c r="F575" s="17" t="str">
        <f t="shared" si="3"/>
        <v>BCA105</v>
      </c>
      <c r="G575" s="43" t="str">
        <f t="shared" si="4"/>
        <v>NA</v>
      </c>
      <c r="H575" s="17" t="str">
        <f t="shared" si="5"/>
        <v>BCA105-NA</v>
      </c>
      <c r="J575" t="str">
        <f t="shared" si="6"/>
        <v>collected</v>
      </c>
      <c r="K575" t="str">
        <f t="shared" si="7"/>
        <v>N</v>
      </c>
    </row>
    <row r="576">
      <c r="A576" s="44" t="s">
        <v>1021</v>
      </c>
      <c r="B576" s="10" t="str">
        <f t="shared" si="1"/>
        <v>fish</v>
      </c>
      <c r="C576" s="63" t="str">
        <f t="shared" si="2"/>
        <v>U16712</v>
      </c>
      <c r="D576" s="11" t="str">
        <f t="array" ref="D576">iferror(index(fish_lab_data!D:D,match(A576,fish_lab_data!C:C,0)))</f>
        <v>P1072</v>
      </c>
      <c r="E576" s="6">
        <v>105.0</v>
      </c>
      <c r="F576" s="17" t="str">
        <f t="shared" si="3"/>
        <v>BCA105</v>
      </c>
      <c r="G576" s="43" t="str">
        <f t="shared" si="4"/>
        <v>NA</v>
      </c>
      <c r="H576" s="17" t="str">
        <f t="shared" si="5"/>
        <v>BCA105-NA</v>
      </c>
      <c r="J576" t="str">
        <f t="shared" si="6"/>
        <v>collected</v>
      </c>
      <c r="K576" t="str">
        <f t="shared" si="7"/>
        <v>N</v>
      </c>
    </row>
    <row r="577">
      <c r="A577" s="44" t="s">
        <v>1023</v>
      </c>
      <c r="B577" s="10" t="str">
        <f t="shared" si="1"/>
        <v>fish</v>
      </c>
      <c r="C577" s="63" t="str">
        <f t="shared" si="2"/>
        <v>U16713</v>
      </c>
      <c r="D577" s="11" t="str">
        <f t="array" ref="D577">iferror(index(fish_lab_data!D:D,match(A577,fish_lab_data!C:C,0)))</f>
        <v>P1072</v>
      </c>
      <c r="E577" s="6">
        <v>105.0</v>
      </c>
      <c r="F577" s="17" t="str">
        <f t="shared" si="3"/>
        <v>BCA105</v>
      </c>
      <c r="G577" s="43" t="str">
        <f t="shared" si="4"/>
        <v>NA</v>
      </c>
      <c r="H577" s="17" t="str">
        <f t="shared" si="5"/>
        <v>BCA105-NA</v>
      </c>
      <c r="J577" t="str">
        <f t="shared" si="6"/>
        <v>collected</v>
      </c>
      <c r="K577" t="str">
        <f t="shared" si="7"/>
        <v>N</v>
      </c>
    </row>
    <row r="578">
      <c r="A578" s="44" t="s">
        <v>1024</v>
      </c>
      <c r="B578" s="10" t="str">
        <f t="shared" si="1"/>
        <v>fish</v>
      </c>
      <c r="C578" s="63" t="str">
        <f t="shared" si="2"/>
        <v>U16715</v>
      </c>
      <c r="D578" s="11" t="str">
        <f t="array" ref="D578">iferror(index(fish_lab_data!D:D,match(A578,fish_lab_data!C:C,0)))</f>
        <v>P1072</v>
      </c>
      <c r="E578" s="6">
        <v>105.0</v>
      </c>
      <c r="F578" s="17" t="str">
        <f t="shared" si="3"/>
        <v>BCA105</v>
      </c>
      <c r="G578" s="43" t="str">
        <f t="shared" si="4"/>
        <v>NA</v>
      </c>
      <c r="H578" s="17" t="str">
        <f t="shared" si="5"/>
        <v>BCA105-NA</v>
      </c>
      <c r="J578" t="str">
        <f t="shared" si="6"/>
        <v>collected</v>
      </c>
      <c r="K578" t="str">
        <f t="shared" si="7"/>
        <v>N</v>
      </c>
    </row>
    <row r="579">
      <c r="A579" s="44" t="s">
        <v>1025</v>
      </c>
      <c r="B579" s="10" t="str">
        <f t="shared" si="1"/>
        <v>fish</v>
      </c>
      <c r="C579" s="63" t="str">
        <f t="shared" si="2"/>
        <v>U16502</v>
      </c>
      <c r="D579" s="11" t="str">
        <f t="array" ref="D579">iferror(index(fish_lab_data!D:D,match(A579,fish_lab_data!C:C,0)))</f>
        <v>P1051</v>
      </c>
      <c r="E579" s="6">
        <v>105.0</v>
      </c>
      <c r="F579" s="17" t="str">
        <f t="shared" si="3"/>
        <v>BCA105</v>
      </c>
      <c r="G579" s="43" t="str">
        <f t="shared" si="4"/>
        <v>NA</v>
      </c>
      <c r="H579" s="17" t="str">
        <f t="shared" si="5"/>
        <v>BCA105-NA</v>
      </c>
      <c r="J579" t="str">
        <f t="shared" si="6"/>
        <v>collected</v>
      </c>
      <c r="K579" t="str">
        <f t="shared" si="7"/>
        <v>N</v>
      </c>
    </row>
    <row r="580">
      <c r="A580" s="44" t="s">
        <v>1028</v>
      </c>
      <c r="B580" s="10" t="str">
        <f t="shared" si="1"/>
        <v>fish</v>
      </c>
      <c r="C580" s="63" t="str">
        <f t="shared" si="2"/>
        <v>U16501</v>
      </c>
      <c r="D580" s="11" t="str">
        <f t="array" ref="D580">iferror(index(fish_lab_data!D:D,match(A580,fish_lab_data!C:C,0)))</f>
        <v>P1051</v>
      </c>
      <c r="E580" s="6">
        <v>105.0</v>
      </c>
      <c r="F580" s="17" t="str">
        <f t="shared" si="3"/>
        <v>BCA105</v>
      </c>
      <c r="G580" s="43" t="str">
        <f t="shared" si="4"/>
        <v>NA</v>
      </c>
      <c r="H580" s="17" t="str">
        <f t="shared" si="5"/>
        <v>BCA105-NA</v>
      </c>
      <c r="J580" t="str">
        <f t="shared" si="6"/>
        <v>collected</v>
      </c>
      <c r="K580" t="str">
        <f t="shared" si="7"/>
        <v>N</v>
      </c>
    </row>
    <row r="581">
      <c r="A581" s="44" t="s">
        <v>1029</v>
      </c>
      <c r="B581" s="10" t="str">
        <f t="shared" si="1"/>
        <v>fish</v>
      </c>
      <c r="C581" s="63" t="str">
        <f t="shared" si="2"/>
        <v>U16504</v>
      </c>
      <c r="D581" s="11" t="str">
        <f t="array" ref="D581">iferror(index(fish_lab_data!D:D,match(A581,fish_lab_data!C:C,0)))</f>
        <v>P1051</v>
      </c>
      <c r="E581" s="6">
        <v>105.0</v>
      </c>
      <c r="F581" s="17" t="str">
        <f t="shared" si="3"/>
        <v>BCA105</v>
      </c>
      <c r="G581" s="43" t="str">
        <f t="shared" si="4"/>
        <v>NA</v>
      </c>
      <c r="H581" s="17" t="str">
        <f t="shared" si="5"/>
        <v>BCA105-NA</v>
      </c>
      <c r="J581" t="str">
        <f t="shared" si="6"/>
        <v>collected</v>
      </c>
      <c r="K581" t="str">
        <f t="shared" si="7"/>
        <v>N</v>
      </c>
    </row>
    <row r="582">
      <c r="A582" s="44" t="s">
        <v>1031</v>
      </c>
      <c r="B582" s="10" t="str">
        <f t="shared" si="1"/>
        <v>fish</v>
      </c>
      <c r="C582" s="63" t="str">
        <f t="shared" si="2"/>
        <v>U16508</v>
      </c>
      <c r="D582" s="11" t="str">
        <f t="array" ref="D582">iferror(index(fish_lab_data!D:D,match(A582,fish_lab_data!C:C,0)))</f>
        <v>P1051</v>
      </c>
      <c r="E582" s="6">
        <v>105.0</v>
      </c>
      <c r="F582" s="17" t="str">
        <f t="shared" si="3"/>
        <v>BCA105</v>
      </c>
      <c r="G582" s="43" t="str">
        <f t="shared" si="4"/>
        <v>NA</v>
      </c>
      <c r="H582" s="17" t="str">
        <f t="shared" si="5"/>
        <v>BCA105-NA</v>
      </c>
      <c r="J582" t="str">
        <f t="shared" si="6"/>
        <v>collected</v>
      </c>
      <c r="K582" t="str">
        <f t="shared" si="7"/>
        <v>N</v>
      </c>
    </row>
    <row r="583">
      <c r="A583" s="44" t="s">
        <v>1032</v>
      </c>
      <c r="B583" s="10" t="str">
        <f t="shared" si="1"/>
        <v>fish</v>
      </c>
      <c r="C583" s="63" t="str">
        <f t="shared" si="2"/>
        <v>U16509</v>
      </c>
      <c r="D583" s="11" t="str">
        <f t="array" ref="D583">iferror(index(fish_lab_data!D:D,match(A583,fish_lab_data!C:C,0)))</f>
        <v>P1051</v>
      </c>
      <c r="E583" s="6">
        <v>105.0</v>
      </c>
      <c r="F583" s="17" t="str">
        <f t="shared" si="3"/>
        <v>BCA105</v>
      </c>
      <c r="G583" s="43" t="str">
        <f t="shared" si="4"/>
        <v>NA</v>
      </c>
      <c r="H583" s="17" t="str">
        <f t="shared" si="5"/>
        <v>BCA105-NA</v>
      </c>
      <c r="J583" t="str">
        <f t="shared" si="6"/>
        <v>collected</v>
      </c>
      <c r="K583" t="str">
        <f t="shared" si="7"/>
        <v>N</v>
      </c>
    </row>
    <row r="584">
      <c r="A584" s="26" t="s">
        <v>1033</v>
      </c>
      <c r="B584" s="10" t="str">
        <f t="shared" si="1"/>
        <v>fish</v>
      </c>
      <c r="C584" s="63" t="str">
        <f t="shared" si="2"/>
        <v>U16167</v>
      </c>
      <c r="D584" s="11" t="str">
        <f t="array" ref="D584">iferror(index(fish_lab_data!D:D,match(A584,fish_lab_data!C:C,0)))</f>
        <v>P1017</v>
      </c>
      <c r="E584" s="6">
        <v>105.0</v>
      </c>
      <c r="F584" s="17" t="str">
        <f t="shared" si="3"/>
        <v>BCA105</v>
      </c>
      <c r="G584" s="43" t="str">
        <f t="shared" si="4"/>
        <v>NA</v>
      </c>
      <c r="H584" s="17" t="str">
        <f t="shared" si="5"/>
        <v>BCA105-NA</v>
      </c>
      <c r="J584" t="str">
        <f t="shared" si="6"/>
        <v>collected</v>
      </c>
      <c r="K584" t="str">
        <f t="shared" si="7"/>
        <v>N</v>
      </c>
    </row>
    <row r="585">
      <c r="A585" s="26" t="s">
        <v>1035</v>
      </c>
      <c r="B585" s="10" t="str">
        <f t="shared" si="1"/>
        <v>fish</v>
      </c>
      <c r="C585" s="63" t="str">
        <f t="shared" si="2"/>
        <v>U16169</v>
      </c>
      <c r="D585" s="11" t="str">
        <f t="array" ref="D585">iferror(index(fish_lab_data!D:D,match(A585,fish_lab_data!C:C,0)))</f>
        <v>P1017</v>
      </c>
      <c r="E585" s="6">
        <v>105.0</v>
      </c>
      <c r="F585" s="17" t="str">
        <f t="shared" si="3"/>
        <v>BCA105</v>
      </c>
      <c r="G585" s="43" t="str">
        <f t="shared" si="4"/>
        <v>NA</v>
      </c>
      <c r="H585" s="17" t="str">
        <f t="shared" si="5"/>
        <v>BCA105-NA</v>
      </c>
      <c r="J585" t="str">
        <f t="shared" si="6"/>
        <v>collected</v>
      </c>
      <c r="K585" t="str">
        <f t="shared" si="7"/>
        <v>N</v>
      </c>
    </row>
    <row r="586">
      <c r="A586" s="26" t="s">
        <v>1037</v>
      </c>
      <c r="B586" s="10" t="str">
        <f t="shared" si="1"/>
        <v>fish</v>
      </c>
      <c r="C586" s="63" t="str">
        <f t="shared" si="2"/>
        <v>U16170</v>
      </c>
      <c r="D586" s="11" t="str">
        <f t="array" ref="D586">iferror(index(fish_lab_data!D:D,match(A586,fish_lab_data!C:C,0)))</f>
        <v>P1017</v>
      </c>
      <c r="E586" s="6">
        <v>105.0</v>
      </c>
      <c r="F586" s="17" t="str">
        <f t="shared" si="3"/>
        <v>BCA105</v>
      </c>
      <c r="G586" s="43" t="str">
        <f t="shared" si="4"/>
        <v>NA</v>
      </c>
      <c r="H586" s="17" t="str">
        <f t="shared" si="5"/>
        <v>BCA105-NA</v>
      </c>
      <c r="J586" t="str">
        <f t="shared" si="6"/>
        <v>collected</v>
      </c>
      <c r="K586" t="str">
        <f t="shared" si="7"/>
        <v>N</v>
      </c>
    </row>
    <row r="587">
      <c r="A587" s="26" t="s">
        <v>1038</v>
      </c>
      <c r="B587" s="10" t="str">
        <f t="shared" si="1"/>
        <v>fish</v>
      </c>
      <c r="C587" s="63" t="str">
        <f t="shared" si="2"/>
        <v>U16166</v>
      </c>
      <c r="D587" s="11" t="str">
        <f t="array" ref="D587">iferror(index(fish_lab_data!D:D,match(A587,fish_lab_data!C:C,0)))</f>
        <v>P1017</v>
      </c>
      <c r="E587" s="6">
        <v>105.0</v>
      </c>
      <c r="F587" s="17" t="str">
        <f t="shared" si="3"/>
        <v>BCA105</v>
      </c>
      <c r="G587" s="43" t="str">
        <f t="shared" si="4"/>
        <v>NA</v>
      </c>
      <c r="H587" s="17" t="str">
        <f t="shared" si="5"/>
        <v>BCA105-NA</v>
      </c>
      <c r="J587" t="str">
        <f t="shared" si="6"/>
        <v>collected</v>
      </c>
      <c r="K587" t="str">
        <f t="shared" si="7"/>
        <v>N</v>
      </c>
    </row>
    <row r="588">
      <c r="A588" s="26" t="s">
        <v>1039</v>
      </c>
      <c r="B588" s="10" t="str">
        <f t="shared" si="1"/>
        <v>fish</v>
      </c>
      <c r="C588" s="63" t="str">
        <f t="shared" si="2"/>
        <v>U16164</v>
      </c>
      <c r="D588" s="11" t="str">
        <f t="array" ref="D588">iferror(index(fish_lab_data!D:D,match(A588,fish_lab_data!C:C,0)))</f>
        <v>P1017</v>
      </c>
      <c r="E588" s="6">
        <v>105.0</v>
      </c>
      <c r="F588" s="17" t="str">
        <f t="shared" si="3"/>
        <v>BCA105</v>
      </c>
      <c r="G588" s="43" t="str">
        <f t="shared" si="4"/>
        <v>NA</v>
      </c>
      <c r="H588" s="17" t="str">
        <f t="shared" si="5"/>
        <v>BCA105-NA</v>
      </c>
      <c r="J588" t="str">
        <f t="shared" si="6"/>
        <v>collected</v>
      </c>
      <c r="K588" t="str">
        <f t="shared" si="7"/>
        <v>N</v>
      </c>
    </row>
    <row r="589">
      <c r="A589" s="26" t="s">
        <v>1040</v>
      </c>
      <c r="B589" s="10" t="str">
        <f t="shared" si="1"/>
        <v>fish</v>
      </c>
      <c r="C589" s="63" t="str">
        <f t="shared" si="2"/>
        <v>U16162</v>
      </c>
      <c r="D589" s="11" t="str">
        <f t="array" ref="D589">iferror(index(fish_lab_data!D:D,match(A589,fish_lab_data!C:C,0)))</f>
        <v>P1017</v>
      </c>
      <c r="E589" s="6">
        <v>105.0</v>
      </c>
      <c r="F589" s="17" t="str">
        <f t="shared" si="3"/>
        <v>BCA105</v>
      </c>
      <c r="G589" s="43" t="str">
        <f t="shared" si="4"/>
        <v>NA</v>
      </c>
      <c r="H589" s="17" t="str">
        <f t="shared" si="5"/>
        <v>BCA105-NA</v>
      </c>
      <c r="J589" t="str">
        <f t="shared" si="6"/>
        <v>collected</v>
      </c>
      <c r="K589" t="str">
        <f t="shared" si="7"/>
        <v>N</v>
      </c>
    </row>
    <row r="590">
      <c r="A590" s="26" t="s">
        <v>1041</v>
      </c>
      <c r="B590" s="10" t="str">
        <f t="shared" si="1"/>
        <v>fish</v>
      </c>
      <c r="C590" s="63" t="str">
        <f t="shared" si="2"/>
        <v>U16168</v>
      </c>
      <c r="D590" s="11" t="str">
        <f t="array" ref="D590">iferror(index(fish_lab_data!D:D,match(A590,fish_lab_data!C:C,0)))</f>
        <v>P1017</v>
      </c>
      <c r="E590" s="6">
        <v>105.0</v>
      </c>
      <c r="F590" s="17" t="str">
        <f t="shared" si="3"/>
        <v>BCA105</v>
      </c>
      <c r="G590" s="43" t="str">
        <f t="shared" si="4"/>
        <v>NA</v>
      </c>
      <c r="H590" s="17" t="str">
        <f t="shared" si="5"/>
        <v>BCA105-NA</v>
      </c>
      <c r="J590" t="str">
        <f t="shared" si="6"/>
        <v>collected</v>
      </c>
      <c r="K590" t="str">
        <f t="shared" si="7"/>
        <v>N</v>
      </c>
    </row>
    <row r="591">
      <c r="A591" s="26" t="s">
        <v>1044</v>
      </c>
      <c r="B591" s="10" t="str">
        <f t="shared" si="1"/>
        <v>fish</v>
      </c>
      <c r="C591" s="63" t="str">
        <f t="shared" si="2"/>
        <v>U16163</v>
      </c>
      <c r="D591" s="11" t="str">
        <f t="array" ref="D591">iferror(index(fish_lab_data!D:D,match(A591,fish_lab_data!C:C,0)))</f>
        <v>P1017</v>
      </c>
      <c r="E591" s="6">
        <v>105.0</v>
      </c>
      <c r="F591" s="17" t="str">
        <f t="shared" si="3"/>
        <v>BCA105</v>
      </c>
      <c r="G591" s="43" t="str">
        <f t="shared" si="4"/>
        <v>NA</v>
      </c>
      <c r="H591" s="17" t="str">
        <f t="shared" si="5"/>
        <v>BCA105-NA</v>
      </c>
      <c r="J591" t="str">
        <f t="shared" si="6"/>
        <v>collected</v>
      </c>
      <c r="K591" t="str">
        <f t="shared" si="7"/>
        <v>N</v>
      </c>
    </row>
    <row r="592">
      <c r="A592" s="26" t="s">
        <v>1046</v>
      </c>
      <c r="B592" s="10" t="str">
        <f t="shared" si="1"/>
        <v>fish</v>
      </c>
      <c r="C592" s="63" t="str">
        <f t="shared" si="2"/>
        <v>U16161</v>
      </c>
      <c r="D592" s="11" t="str">
        <f t="array" ref="D592">iferror(index(fish_lab_data!D:D,match(A592,fish_lab_data!C:C,0)))</f>
        <v>P1017</v>
      </c>
      <c r="E592" s="6">
        <v>105.0</v>
      </c>
      <c r="F592" s="17" t="str">
        <f t="shared" si="3"/>
        <v>BCA105</v>
      </c>
      <c r="G592" s="43" t="str">
        <f t="shared" si="4"/>
        <v>NA</v>
      </c>
      <c r="H592" s="17" t="str">
        <f t="shared" si="5"/>
        <v>BCA105-NA</v>
      </c>
      <c r="J592" t="str">
        <f t="shared" si="6"/>
        <v>collected</v>
      </c>
      <c r="K592" t="str">
        <f t="shared" si="7"/>
        <v>N</v>
      </c>
    </row>
    <row r="593">
      <c r="A593" s="26" t="s">
        <v>1047</v>
      </c>
      <c r="B593" s="10" t="str">
        <f t="shared" si="1"/>
        <v>fish</v>
      </c>
      <c r="C593" s="63" t="str">
        <f t="shared" si="2"/>
        <v>U16165</v>
      </c>
      <c r="D593" s="11" t="str">
        <f t="array" ref="D593">iferror(index(fish_lab_data!D:D,match(A593,fish_lab_data!C:C,0)))</f>
        <v>P1017</v>
      </c>
      <c r="E593" s="6">
        <v>105.0</v>
      </c>
      <c r="F593" s="17" t="str">
        <f t="shared" si="3"/>
        <v>BCA105</v>
      </c>
      <c r="G593" s="43" t="str">
        <f t="shared" si="4"/>
        <v>NA</v>
      </c>
      <c r="H593" s="17" t="str">
        <f t="shared" si="5"/>
        <v>BCA105-NA</v>
      </c>
      <c r="J593" t="str">
        <f t="shared" si="6"/>
        <v>collected</v>
      </c>
      <c r="K593" t="str">
        <f t="shared" si="7"/>
        <v>N</v>
      </c>
    </row>
    <row r="594">
      <c r="A594" s="26" t="s">
        <v>1048</v>
      </c>
      <c r="B594" s="10" t="str">
        <f t="shared" si="1"/>
        <v>fish</v>
      </c>
      <c r="C594" s="63" t="str">
        <f t="shared" si="2"/>
        <v>U16194</v>
      </c>
      <c r="D594" s="11" t="str">
        <f t="array" ref="D594">iferror(index(fish_lab_data!D:D,match(A594,fish_lab_data!C:C,0)))</f>
        <v>P1020</v>
      </c>
      <c r="E594" s="6">
        <v>105.0</v>
      </c>
      <c r="F594" s="17" t="str">
        <f t="shared" si="3"/>
        <v>BCA105</v>
      </c>
      <c r="G594" s="43" t="str">
        <f t="shared" si="4"/>
        <v>NA</v>
      </c>
      <c r="H594" s="17" t="str">
        <f t="shared" si="5"/>
        <v>BCA105-NA</v>
      </c>
      <c r="J594" t="str">
        <f t="shared" si="6"/>
        <v>collected</v>
      </c>
      <c r="K594" t="str">
        <f t="shared" si="7"/>
        <v>N</v>
      </c>
    </row>
    <row r="595">
      <c r="A595" s="26" t="s">
        <v>1049</v>
      </c>
      <c r="B595" s="10" t="str">
        <f t="shared" si="1"/>
        <v>fish</v>
      </c>
      <c r="C595" s="63" t="str">
        <f t="shared" si="2"/>
        <v>U16191</v>
      </c>
      <c r="D595" s="11" t="str">
        <f t="array" ref="D595">iferror(index(fish_lab_data!D:D,match(A595,fish_lab_data!C:C,0)))</f>
        <v>P1020</v>
      </c>
      <c r="E595" s="6">
        <v>105.0</v>
      </c>
      <c r="F595" s="17" t="str">
        <f t="shared" si="3"/>
        <v>BCA105</v>
      </c>
      <c r="G595" s="43" t="str">
        <f t="shared" si="4"/>
        <v>NA</v>
      </c>
      <c r="H595" s="17" t="str">
        <f t="shared" si="5"/>
        <v>BCA105-NA</v>
      </c>
      <c r="J595" t="str">
        <f t="shared" si="6"/>
        <v>collected</v>
      </c>
      <c r="K595" t="str">
        <f t="shared" si="7"/>
        <v>N</v>
      </c>
    </row>
    <row r="596">
      <c r="A596" s="26" t="s">
        <v>1050</v>
      </c>
      <c r="B596" s="10" t="str">
        <f t="shared" si="1"/>
        <v>fish</v>
      </c>
      <c r="C596" s="63" t="str">
        <f t="shared" si="2"/>
        <v>U16192</v>
      </c>
      <c r="D596" s="11" t="str">
        <f t="array" ref="D596">iferror(index(fish_lab_data!D:D,match(A596,fish_lab_data!C:C,0)))</f>
        <v>P1020</v>
      </c>
      <c r="E596" s="6">
        <v>105.0</v>
      </c>
      <c r="F596" s="17" t="str">
        <f t="shared" si="3"/>
        <v>BCA105</v>
      </c>
      <c r="G596" s="43" t="str">
        <f t="shared" si="4"/>
        <v>NA</v>
      </c>
      <c r="H596" s="17" t="str">
        <f t="shared" si="5"/>
        <v>BCA105-NA</v>
      </c>
      <c r="J596" t="str">
        <f t="shared" si="6"/>
        <v>collected</v>
      </c>
      <c r="K596" t="str">
        <f t="shared" si="7"/>
        <v>N</v>
      </c>
    </row>
    <row r="597">
      <c r="A597" s="26" t="s">
        <v>1051</v>
      </c>
      <c r="B597" s="10" t="str">
        <f t="shared" si="1"/>
        <v>fish</v>
      </c>
      <c r="C597" s="63" t="str">
        <f t="shared" si="2"/>
        <v>U16193</v>
      </c>
      <c r="D597" s="11" t="str">
        <f t="array" ref="D597">iferror(index(fish_lab_data!D:D,match(A597,fish_lab_data!C:C,0)))</f>
        <v>P1020</v>
      </c>
      <c r="E597" s="6">
        <v>105.0</v>
      </c>
      <c r="F597" s="17" t="str">
        <f t="shared" si="3"/>
        <v>BCA105</v>
      </c>
      <c r="G597" s="43" t="str">
        <f t="shared" si="4"/>
        <v>NA</v>
      </c>
      <c r="H597" s="17" t="str">
        <f t="shared" si="5"/>
        <v>BCA105-NA</v>
      </c>
      <c r="J597" t="str">
        <f t="shared" si="6"/>
        <v>collected</v>
      </c>
      <c r="K597" t="str">
        <f t="shared" si="7"/>
        <v>N</v>
      </c>
    </row>
    <row r="598">
      <c r="A598" s="26" t="s">
        <v>1053</v>
      </c>
      <c r="B598" s="10" t="str">
        <f t="shared" si="1"/>
        <v>fish</v>
      </c>
      <c r="C598" s="63" t="str">
        <f t="shared" si="2"/>
        <v>U16195</v>
      </c>
      <c r="D598" s="11" t="str">
        <f t="array" ref="D598">iferror(index(fish_lab_data!D:D,match(A598,fish_lab_data!C:C,0)))</f>
        <v>P1020</v>
      </c>
      <c r="E598" s="6">
        <v>105.0</v>
      </c>
      <c r="F598" s="17" t="str">
        <f t="shared" si="3"/>
        <v>BCA105</v>
      </c>
      <c r="G598" s="43" t="str">
        <f t="shared" si="4"/>
        <v>NA</v>
      </c>
      <c r="H598" s="17" t="str">
        <f t="shared" si="5"/>
        <v>BCA105-NA</v>
      </c>
      <c r="J598" t="str">
        <f t="shared" si="6"/>
        <v>collected</v>
      </c>
      <c r="K598" t="str">
        <f t="shared" si="7"/>
        <v>N</v>
      </c>
    </row>
    <row r="599">
      <c r="A599" s="26" t="s">
        <v>1055</v>
      </c>
      <c r="B599" s="10" t="str">
        <f t="shared" si="1"/>
        <v>fish</v>
      </c>
      <c r="C599" s="63" t="str">
        <f t="shared" si="2"/>
        <v>U16196</v>
      </c>
      <c r="D599" s="11" t="str">
        <f t="array" ref="D599">iferror(index(fish_lab_data!D:D,match(A599,fish_lab_data!C:C,0)))</f>
        <v>P1020</v>
      </c>
      <c r="E599" s="6">
        <v>105.0</v>
      </c>
      <c r="F599" s="17" t="str">
        <f t="shared" si="3"/>
        <v>BCA105</v>
      </c>
      <c r="G599" s="43" t="str">
        <f t="shared" si="4"/>
        <v>NA</v>
      </c>
      <c r="H599" s="17" t="str">
        <f t="shared" si="5"/>
        <v>BCA105-NA</v>
      </c>
      <c r="J599" t="str">
        <f t="shared" si="6"/>
        <v>collected</v>
      </c>
      <c r="K599" t="str">
        <f t="shared" si="7"/>
        <v>N</v>
      </c>
    </row>
    <row r="600">
      <c r="A600" s="26" t="s">
        <v>1056</v>
      </c>
      <c r="B600" s="10" t="str">
        <f t="shared" si="1"/>
        <v>fish</v>
      </c>
      <c r="C600" s="63" t="str">
        <f t="shared" si="2"/>
        <v>U16197</v>
      </c>
      <c r="D600" s="11" t="str">
        <f t="array" ref="D600">iferror(index(fish_lab_data!D:D,match(A600,fish_lab_data!C:C,0)))</f>
        <v>P1020</v>
      </c>
      <c r="E600" s="6">
        <v>105.0</v>
      </c>
      <c r="F600" s="17" t="str">
        <f t="shared" si="3"/>
        <v>BCA105</v>
      </c>
      <c r="G600" s="43" t="str">
        <f t="shared" si="4"/>
        <v>NA</v>
      </c>
      <c r="H600" s="17" t="str">
        <f t="shared" si="5"/>
        <v>BCA105-NA</v>
      </c>
      <c r="J600" t="str">
        <f t="shared" si="6"/>
        <v>collected</v>
      </c>
      <c r="K600" t="str">
        <f t="shared" si="7"/>
        <v>N</v>
      </c>
    </row>
    <row r="601">
      <c r="A601" s="26" t="s">
        <v>1057</v>
      </c>
      <c r="B601" s="10" t="str">
        <f t="shared" si="1"/>
        <v>fish</v>
      </c>
      <c r="C601" s="63" t="str">
        <f t="shared" si="2"/>
        <v>U16506</v>
      </c>
      <c r="D601" s="11" t="str">
        <f t="array" ref="D601">iferror(index(fish_lab_data!D:D,match(A601,fish_lab_data!C:C,0)))</f>
        <v>P1051</v>
      </c>
      <c r="E601" s="6">
        <v>105.0</v>
      </c>
      <c r="F601" s="17" t="str">
        <f t="shared" si="3"/>
        <v>BCA105</v>
      </c>
      <c r="G601" s="43" t="str">
        <f t="shared" si="4"/>
        <v>NA</v>
      </c>
      <c r="H601" s="17" t="str">
        <f t="shared" si="5"/>
        <v>BCA105-NA</v>
      </c>
      <c r="J601" t="str">
        <f t="shared" si="6"/>
        <v>collected</v>
      </c>
      <c r="K601" t="str">
        <f t="shared" si="7"/>
        <v>N</v>
      </c>
    </row>
    <row r="602">
      <c r="A602" s="26" t="s">
        <v>1059</v>
      </c>
      <c r="B602" s="10" t="str">
        <f t="shared" si="1"/>
        <v>fish</v>
      </c>
      <c r="C602" s="63" t="str">
        <f t="shared" si="2"/>
        <v>U16510</v>
      </c>
      <c r="D602" s="11" t="str">
        <f t="array" ref="D602">iferror(index(fish_lab_data!D:D,match(A602,fish_lab_data!C:C,0)))</f>
        <v>P1051</v>
      </c>
      <c r="E602" s="6">
        <v>105.0</v>
      </c>
      <c r="F602" s="17" t="str">
        <f t="shared" si="3"/>
        <v>BCA105</v>
      </c>
      <c r="G602" s="43" t="str">
        <f t="shared" si="4"/>
        <v>NA</v>
      </c>
      <c r="H602" s="17" t="str">
        <f t="shared" si="5"/>
        <v>BCA105-NA</v>
      </c>
      <c r="J602" t="str">
        <f t="shared" si="6"/>
        <v>collected</v>
      </c>
      <c r="K602" t="str">
        <f t="shared" si="7"/>
        <v>N</v>
      </c>
    </row>
    <row r="603">
      <c r="A603" s="26" t="s">
        <v>1060</v>
      </c>
      <c r="B603" s="10" t="str">
        <f t="shared" si="1"/>
        <v>fish</v>
      </c>
      <c r="C603" s="63" t="str">
        <f t="shared" si="2"/>
        <v>U16507</v>
      </c>
      <c r="D603" s="11" t="str">
        <f t="array" ref="D603">iferror(index(fish_lab_data!D:D,match(A603,fish_lab_data!C:C,0)))</f>
        <v>P1051</v>
      </c>
      <c r="E603" s="6">
        <v>105.0</v>
      </c>
      <c r="F603" s="17" t="str">
        <f t="shared" si="3"/>
        <v>BCA105</v>
      </c>
      <c r="G603" s="43" t="str">
        <f t="shared" si="4"/>
        <v>NA</v>
      </c>
      <c r="H603" s="17" t="str">
        <f t="shared" si="5"/>
        <v>BCA105-NA</v>
      </c>
      <c r="J603" t="str">
        <f t="shared" si="6"/>
        <v>collected</v>
      </c>
      <c r="K603" t="str">
        <f t="shared" si="7"/>
        <v>N</v>
      </c>
    </row>
    <row r="604">
      <c r="A604" s="26" t="s">
        <v>1061</v>
      </c>
      <c r="B604" s="10" t="str">
        <f t="shared" si="1"/>
        <v>fish</v>
      </c>
      <c r="C604" s="63" t="str">
        <f t="shared" si="2"/>
        <v>U16503</v>
      </c>
      <c r="D604" s="11" t="str">
        <f t="array" ref="D604">iferror(index(fish_lab_data!D:D,match(A604,fish_lab_data!C:C,0)))</f>
        <v>P1051</v>
      </c>
      <c r="E604" s="6">
        <v>105.0</v>
      </c>
      <c r="F604" s="17" t="str">
        <f t="shared" si="3"/>
        <v>BCA105</v>
      </c>
      <c r="G604" s="43" t="str">
        <f t="shared" si="4"/>
        <v>NA</v>
      </c>
      <c r="H604" s="17" t="str">
        <f t="shared" si="5"/>
        <v>BCA105-NA</v>
      </c>
      <c r="J604" t="str">
        <f t="shared" si="6"/>
        <v>collected</v>
      </c>
      <c r="K604" t="str">
        <f t="shared" si="7"/>
        <v>N</v>
      </c>
    </row>
    <row r="605">
      <c r="A605" s="26" t="s">
        <v>1062</v>
      </c>
      <c r="B605" s="10" t="str">
        <f t="shared" si="1"/>
        <v>fish</v>
      </c>
      <c r="C605" s="63" t="str">
        <f t="shared" si="2"/>
        <v>U16505</v>
      </c>
      <c r="D605" s="11" t="str">
        <f t="array" ref="D605">iferror(index(fish_lab_data!D:D,match(A605,fish_lab_data!C:C,0)))</f>
        <v>P1051</v>
      </c>
      <c r="E605" s="6">
        <v>105.0</v>
      </c>
      <c r="F605" s="17" t="str">
        <f t="shared" si="3"/>
        <v>BCA105</v>
      </c>
      <c r="G605" s="43" t="str">
        <f t="shared" si="4"/>
        <v>NA</v>
      </c>
      <c r="H605" s="17" t="str">
        <f t="shared" si="5"/>
        <v>BCA105-NA</v>
      </c>
      <c r="J605" t="str">
        <f t="shared" si="6"/>
        <v>collected</v>
      </c>
      <c r="K605" t="str">
        <f t="shared" si="7"/>
        <v>N</v>
      </c>
    </row>
    <row r="606">
      <c r="A606" s="27" t="s">
        <v>1064</v>
      </c>
      <c r="B606" s="10" t="str">
        <f t="shared" si="1"/>
        <v>fish</v>
      </c>
      <c r="C606" s="63" t="str">
        <f t="shared" si="2"/>
        <v>U16806</v>
      </c>
      <c r="D606" s="11" t="str">
        <f t="array" ref="D606">iferror(index(fish_lab_data!D:D,match(A606,fish_lab_data!C:C,0)))</f>
        <v>P1081</v>
      </c>
      <c r="E606" s="6">
        <v>105.0</v>
      </c>
      <c r="F606" s="17" t="str">
        <f t="shared" si="3"/>
        <v>BCA105</v>
      </c>
      <c r="G606" s="43" t="str">
        <f t="shared" si="4"/>
        <v>NA</v>
      </c>
      <c r="H606" s="17" t="str">
        <f t="shared" si="5"/>
        <v>BCA105-NA</v>
      </c>
      <c r="J606" t="str">
        <f t="shared" si="6"/>
        <v>collected</v>
      </c>
      <c r="K606" t="str">
        <f t="shared" si="7"/>
        <v>N</v>
      </c>
    </row>
    <row r="607">
      <c r="A607" s="27" t="s">
        <v>1066</v>
      </c>
      <c r="B607" s="10" t="str">
        <f t="shared" si="1"/>
        <v>fish</v>
      </c>
      <c r="C607" s="63" t="str">
        <f t="shared" si="2"/>
        <v>U16810</v>
      </c>
      <c r="D607" s="11" t="str">
        <f t="array" ref="D607">iferror(index(fish_lab_data!D:D,match(A607,fish_lab_data!C:C,0)))</f>
        <v>P1081</v>
      </c>
      <c r="E607" s="6">
        <v>105.0</v>
      </c>
      <c r="F607" s="17" t="str">
        <f t="shared" si="3"/>
        <v>BCA105</v>
      </c>
      <c r="G607" s="43" t="str">
        <f t="shared" si="4"/>
        <v>NA</v>
      </c>
      <c r="H607" s="17" t="str">
        <f t="shared" si="5"/>
        <v>BCA105-NA</v>
      </c>
      <c r="J607" t="str">
        <f t="shared" si="6"/>
        <v>collected</v>
      </c>
      <c r="K607" t="str">
        <f t="shared" si="7"/>
        <v>N</v>
      </c>
    </row>
    <row r="608">
      <c r="A608" s="27" t="s">
        <v>1067</v>
      </c>
      <c r="B608" s="10" t="str">
        <f t="shared" si="1"/>
        <v>fish</v>
      </c>
      <c r="C608" s="63" t="str">
        <f t="shared" si="2"/>
        <v>U16808</v>
      </c>
      <c r="D608" s="11" t="str">
        <f t="array" ref="D608">iferror(index(fish_lab_data!D:D,match(A608,fish_lab_data!C:C,0)))</f>
        <v>P1081</v>
      </c>
      <c r="E608" s="6">
        <v>105.0</v>
      </c>
      <c r="F608" s="17" t="str">
        <f t="shared" si="3"/>
        <v>BCA105</v>
      </c>
      <c r="G608" s="43" t="str">
        <f t="shared" si="4"/>
        <v>NA</v>
      </c>
      <c r="H608" s="17" t="str">
        <f t="shared" si="5"/>
        <v>BCA105-NA</v>
      </c>
      <c r="J608" t="str">
        <f t="shared" si="6"/>
        <v>collected</v>
      </c>
      <c r="K608" t="str">
        <f t="shared" si="7"/>
        <v>N</v>
      </c>
    </row>
    <row r="609">
      <c r="A609" s="27" t="s">
        <v>1068</v>
      </c>
      <c r="B609" s="10" t="str">
        <f t="shared" si="1"/>
        <v>fish</v>
      </c>
      <c r="C609" s="63" t="str">
        <f t="shared" si="2"/>
        <v>U16809</v>
      </c>
      <c r="D609" s="11" t="str">
        <f t="array" ref="D609">iferror(index(fish_lab_data!D:D,match(A609,fish_lab_data!C:C,0)))</f>
        <v>P1081</v>
      </c>
      <c r="E609" s="6">
        <v>105.0</v>
      </c>
      <c r="F609" s="17" t="str">
        <f t="shared" si="3"/>
        <v>BCA105</v>
      </c>
      <c r="G609" s="43" t="str">
        <f t="shared" si="4"/>
        <v>NA</v>
      </c>
      <c r="H609" s="17" t="str">
        <f t="shared" si="5"/>
        <v>BCA105-NA</v>
      </c>
      <c r="J609" t="str">
        <f t="shared" si="6"/>
        <v>collected</v>
      </c>
      <c r="K609" t="str">
        <f t="shared" si="7"/>
        <v>N</v>
      </c>
    </row>
    <row r="610">
      <c r="A610" s="27" t="s">
        <v>1069</v>
      </c>
      <c r="B610" s="10" t="str">
        <f t="shared" si="1"/>
        <v>fish</v>
      </c>
      <c r="C610" s="63" t="str">
        <f t="shared" si="2"/>
        <v>U16803</v>
      </c>
      <c r="D610" s="11" t="str">
        <f t="array" ref="D610">iferror(index(fish_lab_data!D:D,match(A610,fish_lab_data!C:C,0)))</f>
        <v>P1081</v>
      </c>
      <c r="E610" s="6">
        <v>105.0</v>
      </c>
      <c r="F610" s="17" t="str">
        <f t="shared" si="3"/>
        <v>BCA105</v>
      </c>
      <c r="G610" s="43" t="str">
        <f t="shared" si="4"/>
        <v>NA</v>
      </c>
      <c r="H610" s="17" t="str">
        <f t="shared" si="5"/>
        <v>BCA105-NA</v>
      </c>
      <c r="J610" t="str">
        <f t="shared" si="6"/>
        <v>collected</v>
      </c>
      <c r="K610" t="str">
        <f t="shared" si="7"/>
        <v>N</v>
      </c>
    </row>
    <row r="611">
      <c r="A611" s="27" t="s">
        <v>1070</v>
      </c>
      <c r="B611" s="10" t="str">
        <f t="shared" si="1"/>
        <v>fish</v>
      </c>
      <c r="C611" s="63" t="str">
        <f t="shared" si="2"/>
        <v>U16805</v>
      </c>
      <c r="D611" s="11" t="str">
        <f t="array" ref="D611">iferror(index(fish_lab_data!D:D,match(A611,fish_lab_data!C:C,0)))</f>
        <v>P1081</v>
      </c>
      <c r="E611" s="6">
        <v>105.0</v>
      </c>
      <c r="F611" s="17" t="str">
        <f t="shared" si="3"/>
        <v>BCA105</v>
      </c>
      <c r="G611" s="43" t="str">
        <f t="shared" si="4"/>
        <v>NA</v>
      </c>
      <c r="H611" s="17" t="str">
        <f t="shared" si="5"/>
        <v>BCA105-NA</v>
      </c>
      <c r="J611" t="str">
        <f t="shared" si="6"/>
        <v>collected</v>
      </c>
      <c r="K611" t="str">
        <f t="shared" si="7"/>
        <v>N</v>
      </c>
    </row>
    <row r="612">
      <c r="A612" s="27" t="s">
        <v>1071</v>
      </c>
      <c r="B612" s="10" t="str">
        <f t="shared" si="1"/>
        <v>fish</v>
      </c>
      <c r="C612" s="63" t="str">
        <f t="shared" si="2"/>
        <v>U16801</v>
      </c>
      <c r="D612" s="11" t="str">
        <f t="array" ref="D612">iferror(index(fish_lab_data!D:D,match(A612,fish_lab_data!C:C,0)))</f>
        <v>P1081</v>
      </c>
      <c r="E612" s="6">
        <v>105.0</v>
      </c>
      <c r="F612" s="17" t="str">
        <f t="shared" si="3"/>
        <v>BCA105</v>
      </c>
      <c r="G612" s="43" t="str">
        <f t="shared" si="4"/>
        <v>NA</v>
      </c>
      <c r="H612" s="17" t="str">
        <f t="shared" si="5"/>
        <v>BCA105-NA</v>
      </c>
      <c r="J612" t="str">
        <f t="shared" si="6"/>
        <v>collected</v>
      </c>
      <c r="K612" t="str">
        <f t="shared" si="7"/>
        <v>N</v>
      </c>
    </row>
    <row r="613">
      <c r="A613" s="27" t="s">
        <v>1074</v>
      </c>
      <c r="B613" s="10" t="str">
        <f t="shared" si="1"/>
        <v>fish</v>
      </c>
      <c r="C613" s="63" t="str">
        <f t="shared" si="2"/>
        <v>U16807</v>
      </c>
      <c r="D613" s="11" t="str">
        <f t="array" ref="D613">iferror(index(fish_lab_data!D:D,match(A613,fish_lab_data!C:C,0)))</f>
        <v>P1081</v>
      </c>
      <c r="E613" s="6">
        <v>105.0</v>
      </c>
      <c r="F613" s="17" t="str">
        <f t="shared" si="3"/>
        <v>BCA105</v>
      </c>
      <c r="G613" s="43" t="str">
        <f t="shared" si="4"/>
        <v>NA</v>
      </c>
      <c r="H613" s="17" t="str">
        <f t="shared" si="5"/>
        <v>BCA105-NA</v>
      </c>
      <c r="J613" t="str">
        <f t="shared" si="6"/>
        <v>collected</v>
      </c>
      <c r="K613" t="str">
        <f t="shared" si="7"/>
        <v>N</v>
      </c>
    </row>
    <row r="614">
      <c r="A614" s="27" t="s">
        <v>1075</v>
      </c>
      <c r="B614" s="10" t="str">
        <f t="shared" si="1"/>
        <v>fish</v>
      </c>
      <c r="C614" s="63" t="str">
        <f t="shared" si="2"/>
        <v>U16804</v>
      </c>
      <c r="D614" s="11" t="str">
        <f t="array" ref="D614">iferror(index(fish_lab_data!D:D,match(A614,fish_lab_data!C:C,0)))</f>
        <v>P1081</v>
      </c>
      <c r="E614" s="6">
        <v>105.0</v>
      </c>
      <c r="F614" s="17" t="str">
        <f t="shared" si="3"/>
        <v>BCA105</v>
      </c>
      <c r="G614" s="43" t="str">
        <f t="shared" si="4"/>
        <v>NA</v>
      </c>
      <c r="H614" s="17" t="str">
        <f t="shared" si="5"/>
        <v>BCA105-NA</v>
      </c>
      <c r="J614" t="str">
        <f t="shared" si="6"/>
        <v>collected</v>
      </c>
      <c r="K614" t="str">
        <f t="shared" si="7"/>
        <v>N</v>
      </c>
    </row>
    <row r="615">
      <c r="A615" s="26" t="s">
        <v>1076</v>
      </c>
      <c r="B615" s="10" t="str">
        <f t="shared" si="1"/>
        <v>fish</v>
      </c>
      <c r="C615" s="63" t="str">
        <f t="shared" si="2"/>
        <v>U16802</v>
      </c>
      <c r="D615" s="11" t="str">
        <f t="array" ref="D615">iferror(index(fish_lab_data!D:D,match(A615,fish_lab_data!C:C,0)))</f>
        <v>P1081</v>
      </c>
      <c r="E615" s="6">
        <v>105.0</v>
      </c>
      <c r="F615" s="17" t="str">
        <f t="shared" si="3"/>
        <v>BCA105</v>
      </c>
      <c r="G615" s="43" t="str">
        <f t="shared" si="4"/>
        <v>NA</v>
      </c>
      <c r="H615" s="17" t="str">
        <f t="shared" si="5"/>
        <v>BCA105-NA</v>
      </c>
      <c r="J615" t="str">
        <f t="shared" si="6"/>
        <v>collected</v>
      </c>
      <c r="K615" t="str">
        <f t="shared" si="7"/>
        <v>N</v>
      </c>
    </row>
    <row r="616">
      <c r="A616" s="26" t="s">
        <v>1077</v>
      </c>
      <c r="B616" s="10" t="str">
        <f t="shared" si="1"/>
        <v>fish</v>
      </c>
      <c r="C616" s="63" t="str">
        <f t="shared" si="2"/>
        <v>U16198</v>
      </c>
      <c r="D616" s="11" t="str">
        <f t="array" ref="D616">iferror(index(fish_lab_data!D:D,match(A616,fish_lab_data!C:C,0)))</f>
        <v>P1020</v>
      </c>
      <c r="E616" s="6">
        <v>105.0</v>
      </c>
      <c r="F616" s="17" t="str">
        <f t="shared" si="3"/>
        <v>BCA105</v>
      </c>
      <c r="G616" s="43" t="str">
        <f t="shared" si="4"/>
        <v>NA</v>
      </c>
      <c r="H616" s="17" t="str">
        <f t="shared" si="5"/>
        <v>BCA105-NA</v>
      </c>
      <c r="J616" t="str">
        <f t="shared" si="6"/>
        <v>collected</v>
      </c>
      <c r="K616" t="str">
        <f t="shared" si="7"/>
        <v>N</v>
      </c>
    </row>
    <row r="617">
      <c r="A617" s="26" t="s">
        <v>1078</v>
      </c>
      <c r="B617" s="10" t="str">
        <f t="shared" si="1"/>
        <v>fish</v>
      </c>
      <c r="C617" s="63" t="str">
        <f t="shared" si="2"/>
        <v>U16199</v>
      </c>
      <c r="D617" s="11" t="str">
        <f t="array" ref="D617">iferror(index(fish_lab_data!D:D,match(A617,fish_lab_data!C:C,0)))</f>
        <v>P1020</v>
      </c>
      <c r="E617" s="6">
        <v>105.0</v>
      </c>
      <c r="F617" s="17" t="str">
        <f t="shared" si="3"/>
        <v>BCA105</v>
      </c>
      <c r="G617" s="43" t="str">
        <f t="shared" si="4"/>
        <v>NA</v>
      </c>
      <c r="H617" s="17" t="str">
        <f t="shared" si="5"/>
        <v>BCA105-NA</v>
      </c>
      <c r="J617" t="str">
        <f t="shared" si="6"/>
        <v>collected</v>
      </c>
      <c r="K617" t="str">
        <f t="shared" si="7"/>
        <v>N</v>
      </c>
    </row>
    <row r="618">
      <c r="A618" s="26" t="s">
        <v>1079</v>
      </c>
      <c r="B618" s="10" t="str">
        <f t="shared" si="1"/>
        <v>fish</v>
      </c>
      <c r="C618" s="63" t="str">
        <f t="shared" si="2"/>
        <v>U16200</v>
      </c>
      <c r="D618" s="11" t="str">
        <f t="array" ref="D618">iferror(index(fish_lab_data!D:D,match(A618,fish_lab_data!C:C,0)))</f>
        <v>P1020</v>
      </c>
      <c r="E618" s="6">
        <v>105.0</v>
      </c>
      <c r="F618" s="17" t="str">
        <f t="shared" si="3"/>
        <v>BCA105</v>
      </c>
      <c r="G618" s="43" t="str">
        <f t="shared" si="4"/>
        <v>NA</v>
      </c>
      <c r="H618" s="17" t="str">
        <f t="shared" si="5"/>
        <v>BCA105-NA</v>
      </c>
      <c r="J618" t="str">
        <f t="shared" si="6"/>
        <v>collected</v>
      </c>
      <c r="K618" t="str">
        <f t="shared" si="7"/>
        <v>N</v>
      </c>
    </row>
    <row r="619">
      <c r="A619" s="26" t="s">
        <v>1081</v>
      </c>
      <c r="B619" s="10" t="str">
        <f t="shared" si="1"/>
        <v>fish</v>
      </c>
      <c r="C619" s="63" t="str">
        <f t="shared" si="2"/>
        <v>U16141</v>
      </c>
      <c r="D619" s="11" t="str">
        <f t="array" ref="D619">iferror(index(fish_lab_data!D:D,match(A619,fish_lab_data!C:C,0)))</f>
        <v>P1015</v>
      </c>
      <c r="E619" s="6">
        <v>105.0</v>
      </c>
      <c r="F619" s="17" t="str">
        <f t="shared" si="3"/>
        <v>BCA105</v>
      </c>
      <c r="G619" s="43" t="str">
        <f t="shared" si="4"/>
        <v>NA</v>
      </c>
      <c r="H619" s="17" t="str">
        <f t="shared" si="5"/>
        <v>BCA105-NA</v>
      </c>
      <c r="J619" t="str">
        <f t="shared" si="6"/>
        <v>collected</v>
      </c>
      <c r="K619" t="str">
        <f t="shared" si="7"/>
        <v>N</v>
      </c>
    </row>
    <row r="620">
      <c r="A620" s="26" t="s">
        <v>1082</v>
      </c>
      <c r="B620" s="10" t="str">
        <f t="shared" si="1"/>
        <v>fish</v>
      </c>
      <c r="C620" s="63" t="str">
        <f t="shared" si="2"/>
        <v>U16142</v>
      </c>
      <c r="D620" s="11" t="str">
        <f t="array" ref="D620">iferror(index(fish_lab_data!D:D,match(A620,fish_lab_data!C:C,0)))</f>
        <v>P1015</v>
      </c>
      <c r="E620" s="6">
        <v>105.0</v>
      </c>
      <c r="F620" s="17" t="str">
        <f t="shared" si="3"/>
        <v>BCA105</v>
      </c>
      <c r="G620" s="43" t="str">
        <f t="shared" si="4"/>
        <v>NA</v>
      </c>
      <c r="H620" s="17" t="str">
        <f t="shared" si="5"/>
        <v>BCA105-NA</v>
      </c>
      <c r="J620" t="str">
        <f t="shared" si="6"/>
        <v>collected</v>
      </c>
      <c r="K620" t="str">
        <f t="shared" si="7"/>
        <v>N</v>
      </c>
    </row>
    <row r="621">
      <c r="A621" s="26" t="s">
        <v>1084</v>
      </c>
      <c r="B621" s="10" t="str">
        <f t="shared" si="1"/>
        <v>fish</v>
      </c>
      <c r="C621" s="63" t="str">
        <f t="shared" si="2"/>
        <v>U16143</v>
      </c>
      <c r="D621" s="11" t="str">
        <f t="array" ref="D621">iferror(index(fish_lab_data!D:D,match(A621,fish_lab_data!C:C,0)))</f>
        <v>P1015</v>
      </c>
      <c r="E621" s="6">
        <v>105.0</v>
      </c>
      <c r="F621" s="17" t="str">
        <f t="shared" si="3"/>
        <v>BCA105</v>
      </c>
      <c r="G621" s="43" t="str">
        <f t="shared" si="4"/>
        <v>NA</v>
      </c>
      <c r="H621" s="17" t="str">
        <f t="shared" si="5"/>
        <v>BCA105-NA</v>
      </c>
      <c r="J621" t="str">
        <f t="shared" si="6"/>
        <v>collected</v>
      </c>
      <c r="K621" t="str">
        <f t="shared" si="7"/>
        <v>N</v>
      </c>
    </row>
    <row r="622">
      <c r="A622" s="26" t="s">
        <v>1085</v>
      </c>
      <c r="B622" s="10" t="str">
        <f t="shared" si="1"/>
        <v>fish</v>
      </c>
      <c r="C622" s="63" t="str">
        <f t="shared" si="2"/>
        <v>U16144</v>
      </c>
      <c r="D622" s="11" t="str">
        <f t="array" ref="D622">iferror(index(fish_lab_data!D:D,match(A622,fish_lab_data!C:C,0)))</f>
        <v>P1015</v>
      </c>
      <c r="E622" s="6">
        <v>105.0</v>
      </c>
      <c r="F622" s="17" t="str">
        <f t="shared" si="3"/>
        <v>BCA105</v>
      </c>
      <c r="G622" s="43" t="str">
        <f t="shared" si="4"/>
        <v>NA</v>
      </c>
      <c r="H622" s="17" t="str">
        <f t="shared" si="5"/>
        <v>BCA105-NA</v>
      </c>
      <c r="J622" t="str">
        <f t="shared" si="6"/>
        <v>collected</v>
      </c>
      <c r="K622" t="str">
        <f t="shared" si="7"/>
        <v>N</v>
      </c>
    </row>
    <row r="623">
      <c r="A623" s="6" t="s">
        <v>1086</v>
      </c>
      <c r="B623" s="10" t="str">
        <f t="shared" si="1"/>
        <v>fish</v>
      </c>
      <c r="C623" s="63" t="str">
        <f t="shared" si="2"/>
        <v>U16145</v>
      </c>
      <c r="D623" s="11" t="str">
        <f t="array" ref="D623">iferror(index(fish_lab_data!D:D,match(A623,fish_lab_data!C:C,0)))</f>
        <v>P1015</v>
      </c>
      <c r="E623" s="6">
        <v>105.0</v>
      </c>
      <c r="F623" s="17" t="str">
        <f t="shared" si="3"/>
        <v>BCA105</v>
      </c>
      <c r="G623" s="43" t="str">
        <f t="shared" si="4"/>
        <v>NA</v>
      </c>
      <c r="H623" s="17" t="str">
        <f t="shared" si="5"/>
        <v>BCA105-NA</v>
      </c>
      <c r="J623" t="str">
        <f t="shared" si="6"/>
        <v>collected</v>
      </c>
      <c r="K623" t="str">
        <f t="shared" si="7"/>
        <v>N</v>
      </c>
    </row>
    <row r="624">
      <c r="A624" s="26" t="s">
        <v>1087</v>
      </c>
      <c r="B624" s="10" t="str">
        <f t="shared" si="1"/>
        <v>fish</v>
      </c>
      <c r="C624" s="63" t="str">
        <f t="shared" si="2"/>
        <v>U16146</v>
      </c>
      <c r="D624" s="11" t="str">
        <f t="array" ref="D624">iferror(index(fish_lab_data!D:D,match(A624,fish_lab_data!C:C,0)))</f>
        <v>P1015</v>
      </c>
      <c r="E624" s="6">
        <v>105.0</v>
      </c>
      <c r="F624" s="17" t="str">
        <f t="shared" si="3"/>
        <v>BCA105</v>
      </c>
      <c r="G624" s="43" t="str">
        <f t="shared" si="4"/>
        <v>NA</v>
      </c>
      <c r="H624" s="17" t="str">
        <f t="shared" si="5"/>
        <v>BCA105-NA</v>
      </c>
      <c r="J624" t="str">
        <f t="shared" si="6"/>
        <v>collected</v>
      </c>
      <c r="K624" t="str">
        <f t="shared" si="7"/>
        <v>N</v>
      </c>
    </row>
    <row r="625">
      <c r="A625" s="26" t="s">
        <v>1089</v>
      </c>
      <c r="B625" s="10" t="str">
        <f t="shared" si="1"/>
        <v>fish</v>
      </c>
      <c r="C625" s="63" t="str">
        <f t="shared" si="2"/>
        <v>U16147</v>
      </c>
      <c r="D625" s="11" t="str">
        <f t="array" ref="D625">iferror(index(fish_lab_data!D:D,match(A625,fish_lab_data!C:C,0)))</f>
        <v>P1015</v>
      </c>
      <c r="E625" s="6">
        <v>105.0</v>
      </c>
      <c r="F625" s="17" t="str">
        <f t="shared" si="3"/>
        <v>BCA105</v>
      </c>
      <c r="G625" s="43" t="str">
        <f t="shared" si="4"/>
        <v>NA</v>
      </c>
      <c r="H625" s="17" t="str">
        <f t="shared" si="5"/>
        <v>BCA105-NA</v>
      </c>
      <c r="J625" t="str">
        <f t="shared" si="6"/>
        <v>collected</v>
      </c>
      <c r="K625" t="str">
        <f t="shared" si="7"/>
        <v>N</v>
      </c>
    </row>
    <row r="626">
      <c r="A626" s="26" t="s">
        <v>1090</v>
      </c>
      <c r="B626" s="10" t="str">
        <f t="shared" si="1"/>
        <v>fish</v>
      </c>
      <c r="C626" s="63" t="str">
        <f t="shared" si="2"/>
        <v>U16148</v>
      </c>
      <c r="D626" s="11" t="str">
        <f t="array" ref="D626">iferror(index(fish_lab_data!D:D,match(A626,fish_lab_data!C:C,0)))</f>
        <v>P1015</v>
      </c>
      <c r="E626" s="6">
        <v>105.0</v>
      </c>
      <c r="F626" s="17" t="str">
        <f t="shared" si="3"/>
        <v>BCA105</v>
      </c>
      <c r="G626" s="43" t="str">
        <f t="shared" si="4"/>
        <v>NA</v>
      </c>
      <c r="H626" s="17" t="str">
        <f t="shared" si="5"/>
        <v>BCA105-NA</v>
      </c>
      <c r="J626" t="str">
        <f t="shared" si="6"/>
        <v>collected</v>
      </c>
      <c r="K626" t="str">
        <f t="shared" si="7"/>
        <v>N</v>
      </c>
    </row>
    <row r="627">
      <c r="A627" s="26" t="s">
        <v>1091</v>
      </c>
      <c r="B627" s="10" t="str">
        <f t="shared" si="1"/>
        <v>fish</v>
      </c>
      <c r="C627" s="63" t="str">
        <f t="shared" si="2"/>
        <v>U16149</v>
      </c>
      <c r="D627" s="11" t="str">
        <f t="array" ref="D627">iferror(index(fish_lab_data!D:D,match(A627,fish_lab_data!C:C,0)))</f>
        <v>P1015</v>
      </c>
      <c r="E627" s="6">
        <v>105.0</v>
      </c>
      <c r="F627" s="17" t="str">
        <f t="shared" si="3"/>
        <v>BCA105</v>
      </c>
      <c r="G627" s="43" t="str">
        <f t="shared" si="4"/>
        <v>NA</v>
      </c>
      <c r="H627" s="17" t="str">
        <f t="shared" si="5"/>
        <v>BCA105-NA</v>
      </c>
      <c r="J627" t="str">
        <f t="shared" si="6"/>
        <v>collected</v>
      </c>
      <c r="K627" t="str">
        <f t="shared" si="7"/>
        <v>N</v>
      </c>
    </row>
    <row r="628">
      <c r="A628" s="26" t="s">
        <v>1092</v>
      </c>
      <c r="B628" s="10" t="str">
        <f t="shared" si="1"/>
        <v>fish</v>
      </c>
      <c r="C628" s="63" t="str">
        <f t="shared" si="2"/>
        <v>U16150</v>
      </c>
      <c r="D628" s="11" t="str">
        <f t="array" ref="D628">iferror(index(fish_lab_data!D:D,match(A628,fish_lab_data!C:C,0)))</f>
        <v>P1015</v>
      </c>
      <c r="E628" s="6">
        <v>105.0</v>
      </c>
      <c r="F628" s="17" t="str">
        <f t="shared" si="3"/>
        <v>BCA105</v>
      </c>
      <c r="G628" s="43" t="str">
        <f t="shared" si="4"/>
        <v>NA</v>
      </c>
      <c r="H628" s="17" t="str">
        <f t="shared" si="5"/>
        <v>BCA105-NA</v>
      </c>
      <c r="J628" t="str">
        <f t="shared" si="6"/>
        <v>collected</v>
      </c>
      <c r="K628" t="str">
        <f t="shared" si="7"/>
        <v>N</v>
      </c>
    </row>
    <row r="629">
      <c r="A629" s="26" t="s">
        <v>1093</v>
      </c>
      <c r="B629" s="10" t="str">
        <f t="shared" si="1"/>
        <v>fish</v>
      </c>
      <c r="C629" s="63" t="str">
        <f t="shared" si="2"/>
        <v>U16351</v>
      </c>
      <c r="D629" s="11" t="str">
        <f t="array" ref="D629">iferror(index(fish_lab_data!D:D,match(A629,fish_lab_data!C:C,0)))</f>
        <v>P1036</v>
      </c>
      <c r="E629" s="6">
        <v>105.0</v>
      </c>
      <c r="F629" s="17" t="str">
        <f t="shared" si="3"/>
        <v>BCA105</v>
      </c>
      <c r="G629" s="43" t="str">
        <f t="shared" si="4"/>
        <v>NA</v>
      </c>
      <c r="H629" s="17" t="str">
        <f t="shared" si="5"/>
        <v>BCA105-NA</v>
      </c>
      <c r="J629" t="str">
        <f t="shared" si="6"/>
        <v>collected</v>
      </c>
      <c r="K629" t="str">
        <f t="shared" si="7"/>
        <v>N</v>
      </c>
    </row>
    <row r="630">
      <c r="A630" s="26" t="s">
        <v>1094</v>
      </c>
      <c r="B630" s="10" t="str">
        <f t="shared" si="1"/>
        <v>fish</v>
      </c>
      <c r="C630" s="63" t="str">
        <f t="shared" si="2"/>
        <v>U16352</v>
      </c>
      <c r="D630" s="11" t="str">
        <f t="array" ref="D630">iferror(index(fish_lab_data!D:D,match(A630,fish_lab_data!C:C,0)))</f>
        <v>P1036</v>
      </c>
      <c r="E630" s="6">
        <v>105.0</v>
      </c>
      <c r="F630" s="17" t="str">
        <f t="shared" si="3"/>
        <v>BCA105</v>
      </c>
      <c r="G630" s="43" t="str">
        <f t="shared" si="4"/>
        <v>NA</v>
      </c>
      <c r="H630" s="17" t="str">
        <f t="shared" si="5"/>
        <v>BCA105-NA</v>
      </c>
      <c r="J630" t="str">
        <f t="shared" si="6"/>
        <v>collected</v>
      </c>
      <c r="K630" t="str">
        <f t="shared" si="7"/>
        <v>N</v>
      </c>
    </row>
    <row r="631">
      <c r="A631" s="26" t="s">
        <v>1096</v>
      </c>
      <c r="B631" s="10" t="str">
        <f t="shared" si="1"/>
        <v>fish</v>
      </c>
      <c r="C631" s="63" t="str">
        <f t="shared" si="2"/>
        <v>U16353</v>
      </c>
      <c r="D631" s="11" t="str">
        <f t="array" ref="D631">iferror(index(fish_lab_data!D:D,match(A631,fish_lab_data!C:C,0)))</f>
        <v>P1036</v>
      </c>
      <c r="E631" s="6">
        <v>105.0</v>
      </c>
      <c r="F631" s="17" t="str">
        <f t="shared" si="3"/>
        <v>BCA105</v>
      </c>
      <c r="G631" s="43" t="str">
        <f t="shared" si="4"/>
        <v>NA</v>
      </c>
      <c r="H631" s="17" t="str">
        <f t="shared" si="5"/>
        <v>BCA105-NA</v>
      </c>
      <c r="J631" t="str">
        <f t="shared" si="6"/>
        <v>collected</v>
      </c>
      <c r="K631" t="str">
        <f t="shared" si="7"/>
        <v>N</v>
      </c>
    </row>
    <row r="632">
      <c r="A632" s="26" t="s">
        <v>1097</v>
      </c>
      <c r="B632" s="10" t="str">
        <f t="shared" si="1"/>
        <v>fish</v>
      </c>
      <c r="C632" s="63" t="str">
        <f t="shared" si="2"/>
        <v>U16354</v>
      </c>
      <c r="D632" s="11" t="str">
        <f t="array" ref="D632">iferror(index(fish_lab_data!D:D,match(A632,fish_lab_data!C:C,0)))</f>
        <v>P1036</v>
      </c>
      <c r="E632" s="6">
        <v>105.0</v>
      </c>
      <c r="F632" s="17" t="str">
        <f t="shared" si="3"/>
        <v>BCA105</v>
      </c>
      <c r="G632" s="43" t="str">
        <f t="shared" si="4"/>
        <v>NA</v>
      </c>
      <c r="H632" s="17" t="str">
        <f t="shared" si="5"/>
        <v>BCA105-NA</v>
      </c>
      <c r="J632" t="str">
        <f t="shared" si="6"/>
        <v>collected</v>
      </c>
      <c r="K632" t="str">
        <f t="shared" si="7"/>
        <v>N</v>
      </c>
    </row>
    <row r="633">
      <c r="A633" s="26" t="s">
        <v>1100</v>
      </c>
      <c r="B633" s="10" t="str">
        <f t="shared" si="1"/>
        <v>fish</v>
      </c>
      <c r="C633" s="63" t="str">
        <f t="shared" si="2"/>
        <v>U16355</v>
      </c>
      <c r="D633" s="11" t="str">
        <f t="array" ref="D633">iferror(index(fish_lab_data!D:D,match(A633,fish_lab_data!C:C,0)))</f>
        <v>P1036</v>
      </c>
      <c r="E633" s="6">
        <v>105.0</v>
      </c>
      <c r="F633" s="17" t="str">
        <f t="shared" si="3"/>
        <v>BCA105</v>
      </c>
      <c r="G633" s="43" t="str">
        <f t="shared" si="4"/>
        <v>NA</v>
      </c>
      <c r="H633" s="17" t="str">
        <f t="shared" si="5"/>
        <v>BCA105-NA</v>
      </c>
      <c r="J633" t="str">
        <f t="shared" si="6"/>
        <v>collected</v>
      </c>
      <c r="K633" t="str">
        <f t="shared" si="7"/>
        <v>N</v>
      </c>
    </row>
    <row r="634">
      <c r="A634" s="27" t="s">
        <v>1101</v>
      </c>
      <c r="B634" s="10" t="str">
        <f t="shared" si="1"/>
        <v>fish</v>
      </c>
      <c r="C634" s="63" t="str">
        <f t="shared" si="2"/>
        <v>U16356</v>
      </c>
      <c r="D634" s="11" t="str">
        <f t="array" ref="D634">iferror(index(fish_lab_data!D:D,match(A634,fish_lab_data!C:C,0)))</f>
        <v>P1036</v>
      </c>
      <c r="E634" s="6">
        <v>105.0</v>
      </c>
      <c r="F634" s="17" t="str">
        <f t="shared" si="3"/>
        <v>BCA105</v>
      </c>
      <c r="G634" s="43" t="str">
        <f t="shared" si="4"/>
        <v>NA</v>
      </c>
      <c r="H634" s="17" t="str">
        <f t="shared" si="5"/>
        <v>BCA105-NA</v>
      </c>
      <c r="J634" t="str">
        <f t="shared" si="6"/>
        <v>collected</v>
      </c>
      <c r="K634" t="str">
        <f t="shared" si="7"/>
        <v>N</v>
      </c>
    </row>
    <row r="635">
      <c r="A635" s="40" t="s">
        <v>1102</v>
      </c>
      <c r="B635" s="10" t="str">
        <f t="shared" si="1"/>
        <v>fish</v>
      </c>
      <c r="C635" s="63" t="str">
        <f t="shared" si="2"/>
        <v>U16183</v>
      </c>
      <c r="D635" s="11" t="str">
        <f t="array" ref="D635">iferror(index(fish_lab_data!D:D,match(A635,fish_lab_data!C:C,0)))</f>
        <v>P1019</v>
      </c>
      <c r="E635" s="6">
        <v>105.0</v>
      </c>
      <c r="F635" s="17" t="str">
        <f t="shared" si="3"/>
        <v>BCA105</v>
      </c>
      <c r="G635" s="43" t="str">
        <f t="shared" si="4"/>
        <v>NA</v>
      </c>
      <c r="H635" s="17" t="str">
        <f t="shared" si="5"/>
        <v>BCA105-NA</v>
      </c>
      <c r="J635" t="str">
        <f t="shared" si="6"/>
        <v>collected</v>
      </c>
      <c r="K635" t="str">
        <f t="shared" si="7"/>
        <v>N</v>
      </c>
    </row>
    <row r="636">
      <c r="A636" s="40" t="s">
        <v>1103</v>
      </c>
      <c r="B636" s="10" t="str">
        <f t="shared" si="1"/>
        <v>fish</v>
      </c>
      <c r="C636" s="63" t="str">
        <f t="shared" si="2"/>
        <v>U16190</v>
      </c>
      <c r="D636" s="11" t="str">
        <f t="array" ref="D636">iferror(index(fish_lab_data!D:D,match(A636,fish_lab_data!C:C,0)))</f>
        <v>P1019</v>
      </c>
      <c r="E636" s="6">
        <v>105.0</v>
      </c>
      <c r="F636" s="17" t="str">
        <f t="shared" si="3"/>
        <v>BCA105</v>
      </c>
      <c r="G636" s="43" t="str">
        <f t="shared" si="4"/>
        <v>NA</v>
      </c>
      <c r="H636" s="17" t="str">
        <f t="shared" si="5"/>
        <v>BCA105-NA</v>
      </c>
      <c r="J636" t="str">
        <f t="shared" si="6"/>
        <v>collected</v>
      </c>
      <c r="K636" t="str">
        <f t="shared" si="7"/>
        <v>N</v>
      </c>
    </row>
    <row r="637">
      <c r="A637" s="40" t="s">
        <v>1104</v>
      </c>
      <c r="B637" s="10" t="str">
        <f t="shared" si="1"/>
        <v>fish</v>
      </c>
      <c r="C637" s="63" t="str">
        <f t="shared" si="2"/>
        <v>U16187</v>
      </c>
      <c r="D637" s="11" t="str">
        <f t="array" ref="D637">iferror(index(fish_lab_data!D:D,match(A637,fish_lab_data!C:C,0)))</f>
        <v>P1019</v>
      </c>
      <c r="E637" s="6">
        <v>105.0</v>
      </c>
      <c r="F637" s="17" t="str">
        <f t="shared" si="3"/>
        <v>BCA105</v>
      </c>
      <c r="G637" s="43" t="str">
        <f t="shared" si="4"/>
        <v>NA</v>
      </c>
      <c r="H637" s="17" t="str">
        <f t="shared" si="5"/>
        <v>BCA105-NA</v>
      </c>
      <c r="J637" t="str">
        <f t="shared" si="6"/>
        <v>collected</v>
      </c>
      <c r="K637" t="str">
        <f t="shared" si="7"/>
        <v>N</v>
      </c>
    </row>
    <row r="638">
      <c r="A638" s="46" t="s">
        <v>1105</v>
      </c>
      <c r="B638" s="10" t="str">
        <f t="shared" si="1"/>
        <v>fish</v>
      </c>
      <c r="C638" s="63" t="str">
        <f t="shared" si="2"/>
        <v>U16189</v>
      </c>
      <c r="D638" s="11" t="str">
        <f t="array" ref="D638">iferror(index(fish_lab_data!D:D,match(A638,fish_lab_data!C:C,0)))</f>
        <v>P1019</v>
      </c>
      <c r="E638" s="6">
        <v>105.0</v>
      </c>
      <c r="F638" s="17" t="str">
        <f t="shared" si="3"/>
        <v>BCA105</v>
      </c>
      <c r="G638" s="43" t="str">
        <f t="shared" si="4"/>
        <v>NA</v>
      </c>
      <c r="H638" s="17" t="str">
        <f t="shared" si="5"/>
        <v>BCA105-NA</v>
      </c>
      <c r="J638" t="str">
        <f t="shared" si="6"/>
        <v>collected</v>
      </c>
      <c r="K638" t="str">
        <f t="shared" si="7"/>
        <v>N</v>
      </c>
    </row>
    <row r="639">
      <c r="A639" s="46" t="s">
        <v>1108</v>
      </c>
      <c r="B639" s="10" t="str">
        <f t="shared" si="1"/>
        <v>fish</v>
      </c>
      <c r="C639" s="63" t="str">
        <f t="shared" si="2"/>
        <v>U16188</v>
      </c>
      <c r="D639" s="11" t="str">
        <f t="array" ref="D639">iferror(index(fish_lab_data!D:D,match(A639,fish_lab_data!C:C,0)))</f>
        <v>P1019</v>
      </c>
      <c r="E639" s="6">
        <v>105.0</v>
      </c>
      <c r="F639" s="17" t="str">
        <f t="shared" si="3"/>
        <v>BCA105</v>
      </c>
      <c r="G639" s="43" t="str">
        <f t="shared" si="4"/>
        <v>NA</v>
      </c>
      <c r="H639" s="17" t="str">
        <f t="shared" si="5"/>
        <v>BCA105-NA</v>
      </c>
      <c r="J639" t="str">
        <f t="shared" si="6"/>
        <v>collected</v>
      </c>
      <c r="K639" t="str">
        <f t="shared" si="7"/>
        <v>N</v>
      </c>
    </row>
    <row r="640">
      <c r="A640" s="46" t="s">
        <v>1109</v>
      </c>
      <c r="B640" s="10" t="str">
        <f t="shared" si="1"/>
        <v>fish</v>
      </c>
      <c r="C640" s="63" t="str">
        <f t="shared" si="2"/>
        <v>U16186</v>
      </c>
      <c r="D640" s="11" t="str">
        <f t="array" ref="D640">iferror(index(fish_lab_data!D:D,match(A640,fish_lab_data!C:C,0)))</f>
        <v>P1019</v>
      </c>
      <c r="E640" s="6">
        <v>105.0</v>
      </c>
      <c r="F640" s="17" t="str">
        <f t="shared" si="3"/>
        <v>BCA105</v>
      </c>
      <c r="G640" s="43" t="str">
        <f t="shared" si="4"/>
        <v>NA</v>
      </c>
      <c r="H640" s="17" t="str">
        <f t="shared" si="5"/>
        <v>BCA105-NA</v>
      </c>
      <c r="J640" t="str">
        <f t="shared" si="6"/>
        <v>collected</v>
      </c>
      <c r="K640" t="str">
        <f t="shared" si="7"/>
        <v>N</v>
      </c>
    </row>
    <row r="641">
      <c r="A641" s="46" t="s">
        <v>1110</v>
      </c>
      <c r="B641" s="10" t="str">
        <f t="shared" si="1"/>
        <v>fish</v>
      </c>
      <c r="C641" s="63" t="str">
        <f t="shared" si="2"/>
        <v>U16185</v>
      </c>
      <c r="D641" s="11" t="str">
        <f t="array" ref="D641">iferror(index(fish_lab_data!D:D,match(A641,fish_lab_data!C:C,0)))</f>
        <v>P1019</v>
      </c>
      <c r="E641" s="6">
        <v>105.0</v>
      </c>
      <c r="F641" s="17" t="str">
        <f t="shared" si="3"/>
        <v>BCA105</v>
      </c>
      <c r="G641" s="43" t="str">
        <f t="shared" si="4"/>
        <v>NA</v>
      </c>
      <c r="H641" s="17" t="str">
        <f t="shared" si="5"/>
        <v>BCA105-NA</v>
      </c>
      <c r="J641" t="str">
        <f t="shared" si="6"/>
        <v>collected</v>
      </c>
      <c r="K641" t="str">
        <f t="shared" si="7"/>
        <v>N</v>
      </c>
    </row>
    <row r="642">
      <c r="A642" s="46" t="s">
        <v>1111</v>
      </c>
      <c r="B642" s="10" t="str">
        <f t="shared" si="1"/>
        <v>fish</v>
      </c>
      <c r="C642" s="63" t="str">
        <f t="shared" si="2"/>
        <v>U16184</v>
      </c>
      <c r="D642" s="11" t="str">
        <f t="array" ref="D642">iferror(index(fish_lab_data!D:D,match(A642,fish_lab_data!C:C,0)))</f>
        <v>P1019</v>
      </c>
      <c r="E642" s="6">
        <v>105.0</v>
      </c>
      <c r="F642" s="17" t="str">
        <f t="shared" si="3"/>
        <v>BCA105</v>
      </c>
      <c r="G642" s="43" t="str">
        <f t="shared" si="4"/>
        <v>NA</v>
      </c>
      <c r="H642" s="17" t="str">
        <f t="shared" si="5"/>
        <v>BCA105-NA</v>
      </c>
      <c r="J642" t="str">
        <f t="shared" si="6"/>
        <v>collected</v>
      </c>
      <c r="K642" t="str">
        <f t="shared" si="7"/>
        <v>N</v>
      </c>
    </row>
    <row r="643">
      <c r="A643" s="46" t="s">
        <v>1112</v>
      </c>
      <c r="B643" s="10" t="str">
        <f t="shared" si="1"/>
        <v>fish</v>
      </c>
      <c r="C643" s="63" t="str">
        <f t="shared" si="2"/>
        <v>U16181</v>
      </c>
      <c r="D643" s="11" t="str">
        <f t="array" ref="D643">iferror(index(fish_lab_data!D:D,match(A643,fish_lab_data!C:C,0)))</f>
        <v>P1019</v>
      </c>
      <c r="E643" s="6">
        <v>105.0</v>
      </c>
      <c r="F643" s="17" t="str">
        <f t="shared" si="3"/>
        <v>BCA105</v>
      </c>
      <c r="G643" s="43" t="str">
        <f t="shared" si="4"/>
        <v>NA</v>
      </c>
      <c r="H643" s="17" t="str">
        <f t="shared" si="5"/>
        <v>BCA105-NA</v>
      </c>
      <c r="J643" t="str">
        <f t="shared" si="6"/>
        <v>collected</v>
      </c>
      <c r="K643" t="str">
        <f t="shared" si="7"/>
        <v>N</v>
      </c>
    </row>
    <row r="644">
      <c r="A644" s="46" t="s">
        <v>1113</v>
      </c>
      <c r="B644" s="10" t="str">
        <f t="shared" si="1"/>
        <v>fish</v>
      </c>
      <c r="C644" s="63" t="str">
        <f t="shared" si="2"/>
        <v>U16182</v>
      </c>
      <c r="D644" s="11" t="str">
        <f t="array" ref="D644">iferror(index(fish_lab_data!D:D,match(A644,fish_lab_data!C:C,0)))</f>
        <v>P1019</v>
      </c>
      <c r="E644" s="6">
        <v>105.0</v>
      </c>
      <c r="F644" s="17" t="str">
        <f t="shared" si="3"/>
        <v>BCA105</v>
      </c>
      <c r="G644" s="43" t="str">
        <f t="shared" si="4"/>
        <v>NA</v>
      </c>
      <c r="H644" s="17" t="str">
        <f t="shared" si="5"/>
        <v>BCA105-NA</v>
      </c>
      <c r="J644" t="str">
        <f t="shared" si="6"/>
        <v>collected</v>
      </c>
      <c r="K644" t="str">
        <f t="shared" si="7"/>
        <v>N</v>
      </c>
    </row>
    <row r="645">
      <c r="A645" s="46" t="s">
        <v>1115</v>
      </c>
      <c r="B645" s="10" t="str">
        <f t="shared" si="1"/>
        <v>fish</v>
      </c>
      <c r="C645" s="63" t="str">
        <f t="shared" si="2"/>
        <v>U16257</v>
      </c>
      <c r="D645" s="11" t="str">
        <f t="array" ref="D645">iferror(index(fish_lab_data!D:D,match(A645,fish_lab_data!C:C,0)))</f>
        <v>P1026</v>
      </c>
      <c r="E645" s="6">
        <v>105.0</v>
      </c>
      <c r="F645" s="17" t="str">
        <f t="shared" si="3"/>
        <v>BCA105</v>
      </c>
      <c r="G645" s="43" t="str">
        <f t="shared" si="4"/>
        <v>NA</v>
      </c>
      <c r="H645" s="17" t="str">
        <f t="shared" si="5"/>
        <v>BCA105-NA</v>
      </c>
      <c r="J645" t="str">
        <f t="shared" si="6"/>
        <v>collected</v>
      </c>
      <c r="K645" t="str">
        <f t="shared" si="7"/>
        <v>N</v>
      </c>
    </row>
    <row r="646">
      <c r="A646" s="46" t="s">
        <v>1117</v>
      </c>
      <c r="B646" s="10" t="str">
        <f t="shared" si="1"/>
        <v>fish</v>
      </c>
      <c r="C646" s="63" t="str">
        <f t="shared" si="2"/>
        <v>U16256</v>
      </c>
      <c r="D646" s="11" t="str">
        <f t="array" ref="D646">iferror(index(fish_lab_data!D:D,match(A646,fish_lab_data!C:C,0)))</f>
        <v>P1026</v>
      </c>
      <c r="E646" s="6">
        <v>105.0</v>
      </c>
      <c r="F646" s="17" t="str">
        <f t="shared" si="3"/>
        <v>BCA105</v>
      </c>
      <c r="G646" s="43" t="str">
        <f t="shared" si="4"/>
        <v>NA</v>
      </c>
      <c r="H646" s="17" t="str">
        <f t="shared" si="5"/>
        <v>BCA105-NA</v>
      </c>
      <c r="J646" t="str">
        <f t="shared" si="6"/>
        <v>collected</v>
      </c>
      <c r="K646" t="str">
        <f t="shared" si="7"/>
        <v>N</v>
      </c>
    </row>
    <row r="647">
      <c r="A647" s="46" t="s">
        <v>1118</v>
      </c>
      <c r="B647" s="10" t="str">
        <f t="shared" si="1"/>
        <v>fish</v>
      </c>
      <c r="C647" s="63" t="str">
        <f t="shared" si="2"/>
        <v>U16258</v>
      </c>
      <c r="D647" s="11" t="str">
        <f t="array" ref="D647">iferror(index(fish_lab_data!D:D,match(A647,fish_lab_data!C:C,0)))</f>
        <v>P1026</v>
      </c>
      <c r="E647" s="6">
        <v>105.0</v>
      </c>
      <c r="F647" s="17" t="str">
        <f t="shared" si="3"/>
        <v>BCA105</v>
      </c>
      <c r="G647" s="43" t="str">
        <f t="shared" si="4"/>
        <v>NA</v>
      </c>
      <c r="H647" s="17" t="str">
        <f t="shared" si="5"/>
        <v>BCA105-NA</v>
      </c>
      <c r="J647" t="str">
        <f t="shared" si="6"/>
        <v>collected</v>
      </c>
      <c r="K647" t="str">
        <f t="shared" si="7"/>
        <v>N</v>
      </c>
    </row>
    <row r="648">
      <c r="A648" s="44" t="s">
        <v>1119</v>
      </c>
      <c r="B648" s="10" t="str">
        <f t="shared" si="1"/>
        <v>fish</v>
      </c>
      <c r="C648" s="63" t="str">
        <f t="shared" si="2"/>
        <v>U16252</v>
      </c>
      <c r="D648" s="11" t="str">
        <f t="array" ref="D648">iferror(index(fish_lab_data!D:D,match(A648,fish_lab_data!C:C,0)))</f>
        <v>P1026</v>
      </c>
      <c r="E648" s="6">
        <v>105.0</v>
      </c>
      <c r="F648" s="17" t="str">
        <f t="shared" si="3"/>
        <v>BCA105</v>
      </c>
      <c r="G648" s="43" t="str">
        <f t="shared" si="4"/>
        <v>NA</v>
      </c>
      <c r="H648" s="17" t="str">
        <f t="shared" si="5"/>
        <v>BCA105-NA</v>
      </c>
      <c r="J648" t="str">
        <f t="shared" si="6"/>
        <v>collected</v>
      </c>
      <c r="K648" t="str">
        <f t="shared" si="7"/>
        <v>N</v>
      </c>
    </row>
    <row r="649">
      <c r="A649" s="44" t="s">
        <v>1120</v>
      </c>
      <c r="B649" s="10" t="str">
        <f t="shared" si="1"/>
        <v>fish</v>
      </c>
      <c r="C649" s="63" t="str">
        <f t="shared" si="2"/>
        <v>U16251</v>
      </c>
      <c r="D649" s="11" t="str">
        <f t="array" ref="D649">iferror(index(fish_lab_data!D:D,match(A649,fish_lab_data!C:C,0)))</f>
        <v>P1026</v>
      </c>
      <c r="E649" s="6">
        <v>105.0</v>
      </c>
      <c r="F649" s="17" t="str">
        <f t="shared" si="3"/>
        <v>BCA105</v>
      </c>
      <c r="G649" s="43" t="str">
        <f t="shared" si="4"/>
        <v>NA</v>
      </c>
      <c r="H649" s="17" t="str">
        <f t="shared" si="5"/>
        <v>BCA105-NA</v>
      </c>
      <c r="J649" t="str">
        <f t="shared" si="6"/>
        <v>collected</v>
      </c>
      <c r="K649" t="str">
        <f t="shared" si="7"/>
        <v>N</v>
      </c>
    </row>
    <row r="650">
      <c r="A650" s="44" t="s">
        <v>1121</v>
      </c>
      <c r="B650" s="10" t="str">
        <f t="shared" si="1"/>
        <v>fish</v>
      </c>
      <c r="C650" s="63" t="str">
        <f t="shared" si="2"/>
        <v>U16254</v>
      </c>
      <c r="D650" s="11" t="str">
        <f t="array" ref="D650">iferror(index(fish_lab_data!D:D,match(A650,fish_lab_data!C:C,0)))</f>
        <v>P1026</v>
      </c>
      <c r="E650" s="6">
        <v>105.0</v>
      </c>
      <c r="F650" s="17" t="str">
        <f t="shared" si="3"/>
        <v>BCA105</v>
      </c>
      <c r="G650" s="43" t="str">
        <f t="shared" si="4"/>
        <v>NA</v>
      </c>
      <c r="H650" s="17" t="str">
        <f t="shared" si="5"/>
        <v>BCA105-NA</v>
      </c>
      <c r="J650" t="str">
        <f t="shared" si="6"/>
        <v>collected</v>
      </c>
      <c r="K650" t="str">
        <f t="shared" si="7"/>
        <v>N</v>
      </c>
    </row>
    <row r="651">
      <c r="A651" s="44" t="s">
        <v>1123</v>
      </c>
      <c r="B651" s="10" t="str">
        <f t="shared" si="1"/>
        <v>fish</v>
      </c>
      <c r="C651" s="63" t="str">
        <f t="shared" si="2"/>
        <v>U16253</v>
      </c>
      <c r="D651" s="11" t="str">
        <f t="array" ref="D651">iferror(index(fish_lab_data!D:D,match(A651,fish_lab_data!C:C,0)))</f>
        <v>P1026</v>
      </c>
      <c r="E651" s="6">
        <v>105.0</v>
      </c>
      <c r="F651" s="17" t="str">
        <f t="shared" si="3"/>
        <v>BCA105</v>
      </c>
      <c r="G651" s="43" t="str">
        <f t="shared" si="4"/>
        <v>NA</v>
      </c>
      <c r="H651" s="17" t="str">
        <f t="shared" si="5"/>
        <v>BCA105-NA</v>
      </c>
      <c r="J651" t="str">
        <f t="shared" si="6"/>
        <v>collected</v>
      </c>
      <c r="K651" t="str">
        <f t="shared" si="7"/>
        <v>N</v>
      </c>
    </row>
    <row r="652">
      <c r="A652" s="44" t="s">
        <v>1124</v>
      </c>
      <c r="B652" s="10" t="str">
        <f t="shared" si="1"/>
        <v>fish</v>
      </c>
      <c r="C652" s="63" t="str">
        <f t="shared" si="2"/>
        <v>U16255</v>
      </c>
      <c r="D652" s="11" t="str">
        <f t="array" ref="D652">iferror(index(fish_lab_data!D:D,match(A652,fish_lab_data!C:C,0)))</f>
        <v>P1026</v>
      </c>
      <c r="E652" s="6">
        <v>105.0</v>
      </c>
      <c r="F652" s="17" t="str">
        <f t="shared" si="3"/>
        <v>BCA105</v>
      </c>
      <c r="G652" s="43" t="str">
        <f t="shared" si="4"/>
        <v>NA</v>
      </c>
      <c r="H652" s="17" t="str">
        <f t="shared" si="5"/>
        <v>BCA105-NA</v>
      </c>
      <c r="J652" t="str">
        <f t="shared" si="6"/>
        <v>collected</v>
      </c>
      <c r="K652" t="str">
        <f t="shared" si="7"/>
        <v>N</v>
      </c>
    </row>
    <row r="653">
      <c r="A653" s="44" t="s">
        <v>1125</v>
      </c>
      <c r="B653" s="10" t="str">
        <f t="shared" si="1"/>
        <v>fish</v>
      </c>
      <c r="C653" s="63" t="str">
        <f t="shared" si="2"/>
        <v>U16259</v>
      </c>
      <c r="D653" s="11" t="str">
        <f t="array" ref="D653">iferror(index(fish_lab_data!D:D,match(A653,fish_lab_data!C:C,0)))</f>
        <v>P1026</v>
      </c>
      <c r="E653" s="6">
        <v>105.0</v>
      </c>
      <c r="F653" s="17" t="str">
        <f t="shared" si="3"/>
        <v>BCA105</v>
      </c>
      <c r="G653" s="43" t="str">
        <f t="shared" si="4"/>
        <v>NA</v>
      </c>
      <c r="H653" s="17" t="str">
        <f t="shared" si="5"/>
        <v>BCA105-NA</v>
      </c>
      <c r="J653" t="str">
        <f t="shared" si="6"/>
        <v>collected</v>
      </c>
      <c r="K653" t="str">
        <f t="shared" si="7"/>
        <v>N</v>
      </c>
    </row>
    <row r="654">
      <c r="A654" s="26" t="s">
        <v>1127</v>
      </c>
      <c r="B654" s="10" t="str">
        <f t="shared" si="1"/>
        <v>fish</v>
      </c>
      <c r="C654" s="63" t="str">
        <f t="shared" si="2"/>
        <v>U16357</v>
      </c>
      <c r="D654" s="11" t="str">
        <f t="array" ref="D654">iferror(index(fish_lab_data!D:D,match(A654,fish_lab_data!C:C,0)))</f>
        <v>P1036</v>
      </c>
      <c r="E654" s="6">
        <v>105.0</v>
      </c>
      <c r="F654" s="17" t="str">
        <f t="shared" si="3"/>
        <v>BCA105</v>
      </c>
      <c r="G654" s="43" t="str">
        <f t="shared" si="4"/>
        <v>NA</v>
      </c>
      <c r="H654" s="17" t="str">
        <f t="shared" si="5"/>
        <v>BCA105-NA</v>
      </c>
      <c r="J654" t="str">
        <f t="shared" si="6"/>
        <v>collected</v>
      </c>
      <c r="K654" t="str">
        <f t="shared" si="7"/>
        <v>N</v>
      </c>
    </row>
    <row r="655">
      <c r="A655" s="26" t="s">
        <v>1128</v>
      </c>
      <c r="B655" s="10" t="str">
        <f t="shared" si="1"/>
        <v>fish</v>
      </c>
      <c r="C655" s="63" t="str">
        <f t="shared" si="2"/>
        <v>U16358</v>
      </c>
      <c r="D655" s="11" t="str">
        <f t="array" ref="D655">iferror(index(fish_lab_data!D:D,match(A655,fish_lab_data!C:C,0)))</f>
        <v>P1036</v>
      </c>
      <c r="E655" s="6">
        <v>105.0</v>
      </c>
      <c r="F655" s="17" t="str">
        <f t="shared" si="3"/>
        <v>BCA105</v>
      </c>
      <c r="G655" s="43" t="str">
        <f t="shared" si="4"/>
        <v>NA</v>
      </c>
      <c r="H655" s="17" t="str">
        <f t="shared" si="5"/>
        <v>BCA105-NA</v>
      </c>
      <c r="J655" t="str">
        <f t="shared" si="6"/>
        <v>collected</v>
      </c>
      <c r="K655" t="str">
        <f t="shared" si="7"/>
        <v>N</v>
      </c>
    </row>
    <row r="656">
      <c r="A656" s="26" t="s">
        <v>1130</v>
      </c>
      <c r="B656" s="10" t="str">
        <f t="shared" si="1"/>
        <v>fish</v>
      </c>
      <c r="C656" s="63" t="str">
        <f t="shared" si="2"/>
        <v>U16359</v>
      </c>
      <c r="D656" s="11" t="str">
        <f t="array" ref="D656">iferror(index(fish_lab_data!D:D,match(A656,fish_lab_data!C:C,0)))</f>
        <v>P1036</v>
      </c>
      <c r="E656" s="6">
        <v>105.0</v>
      </c>
      <c r="F656" s="17" t="str">
        <f t="shared" si="3"/>
        <v>BCA105</v>
      </c>
      <c r="G656" s="43" t="str">
        <f t="shared" si="4"/>
        <v>NA</v>
      </c>
      <c r="H656" s="17" t="str">
        <f t="shared" si="5"/>
        <v>BCA105-NA</v>
      </c>
      <c r="J656" t="str">
        <f t="shared" si="6"/>
        <v>collected</v>
      </c>
      <c r="K656" t="str">
        <f t="shared" si="7"/>
        <v>N</v>
      </c>
    </row>
    <row r="657">
      <c r="A657" s="26" t="s">
        <v>1131</v>
      </c>
      <c r="B657" s="10" t="str">
        <f t="shared" si="1"/>
        <v>fish</v>
      </c>
      <c r="C657" s="63" t="str">
        <f t="shared" si="2"/>
        <v>U16360</v>
      </c>
      <c r="D657" s="11" t="str">
        <f t="array" ref="D657">iferror(index(fish_lab_data!D:D,match(A657,fish_lab_data!C:C,0)))</f>
        <v>P1036</v>
      </c>
      <c r="E657" s="6">
        <v>105.0</v>
      </c>
      <c r="F657" s="17" t="str">
        <f t="shared" si="3"/>
        <v>BCA105</v>
      </c>
      <c r="G657" s="43" t="str">
        <f t="shared" si="4"/>
        <v>NA</v>
      </c>
      <c r="H657" s="17" t="str">
        <f t="shared" si="5"/>
        <v>BCA105-NA</v>
      </c>
      <c r="J657" t="str">
        <f t="shared" si="6"/>
        <v>collected</v>
      </c>
      <c r="K657" t="str">
        <f t="shared" si="7"/>
        <v>N</v>
      </c>
    </row>
    <row r="658">
      <c r="A658" s="26" t="s">
        <v>1132</v>
      </c>
      <c r="B658" s="10" t="str">
        <f t="shared" si="1"/>
        <v>fish</v>
      </c>
      <c r="C658" s="63" t="str">
        <f t="shared" si="2"/>
        <v>U16021</v>
      </c>
      <c r="D658" s="11" t="str">
        <f t="array" ref="D658">iferror(index(fish_lab_data!D:D,match(A658,fish_lab_data!C:C,0)))</f>
        <v>P1003</v>
      </c>
      <c r="E658" s="6">
        <v>106.0</v>
      </c>
      <c r="F658" s="17" t="str">
        <f t="shared" si="3"/>
        <v>BCA106</v>
      </c>
      <c r="G658" s="43" t="str">
        <f t="shared" si="4"/>
        <v>NA</v>
      </c>
      <c r="H658" s="17" t="str">
        <f t="shared" si="5"/>
        <v>BCA106-NA</v>
      </c>
      <c r="J658" t="str">
        <f t="shared" si="6"/>
        <v>collected</v>
      </c>
      <c r="K658" t="str">
        <f t="shared" si="7"/>
        <v>N</v>
      </c>
    </row>
    <row r="659">
      <c r="A659" s="26" t="s">
        <v>1133</v>
      </c>
      <c r="B659" s="10" t="str">
        <f t="shared" si="1"/>
        <v>fish</v>
      </c>
      <c r="C659" s="63" t="str">
        <f t="shared" si="2"/>
        <v>U16022</v>
      </c>
      <c r="D659" s="11" t="str">
        <f t="array" ref="D659">iferror(index(fish_lab_data!D:D,match(A659,fish_lab_data!C:C,0)))</f>
        <v>P1003</v>
      </c>
      <c r="E659" s="6">
        <v>106.0</v>
      </c>
      <c r="F659" s="17" t="str">
        <f t="shared" si="3"/>
        <v>BCA106</v>
      </c>
      <c r="G659" s="43" t="str">
        <f t="shared" si="4"/>
        <v>NA</v>
      </c>
      <c r="H659" s="17" t="str">
        <f t="shared" si="5"/>
        <v>BCA106-NA</v>
      </c>
      <c r="J659" t="str">
        <f t="shared" si="6"/>
        <v>collected</v>
      </c>
      <c r="K659" t="str">
        <f t="shared" si="7"/>
        <v>N</v>
      </c>
    </row>
    <row r="660">
      <c r="A660" s="26" t="s">
        <v>1134</v>
      </c>
      <c r="B660" s="10" t="str">
        <f t="shared" si="1"/>
        <v>fish</v>
      </c>
      <c r="C660" s="63" t="str">
        <f t="shared" si="2"/>
        <v>U16023</v>
      </c>
      <c r="D660" s="11" t="str">
        <f t="array" ref="D660">iferror(index(fish_lab_data!D:D,match(A660,fish_lab_data!C:C,0)))</f>
        <v>P1003</v>
      </c>
      <c r="E660" s="6">
        <v>106.0</v>
      </c>
      <c r="F660" s="17" t="str">
        <f t="shared" si="3"/>
        <v>BCA106</v>
      </c>
      <c r="G660" s="43" t="str">
        <f t="shared" si="4"/>
        <v>NA</v>
      </c>
      <c r="H660" s="17" t="str">
        <f t="shared" si="5"/>
        <v>BCA106-NA</v>
      </c>
      <c r="J660" t="str">
        <f t="shared" si="6"/>
        <v>collected</v>
      </c>
      <c r="K660" t="str">
        <f t="shared" si="7"/>
        <v>N</v>
      </c>
    </row>
    <row r="661">
      <c r="A661" s="26" t="s">
        <v>1135</v>
      </c>
      <c r="B661" s="10" t="str">
        <f t="shared" si="1"/>
        <v>fish</v>
      </c>
      <c r="C661" s="63" t="str">
        <f t="shared" si="2"/>
        <v>U16024</v>
      </c>
      <c r="D661" s="11" t="str">
        <f t="array" ref="D661">iferror(index(fish_lab_data!D:D,match(A661,fish_lab_data!C:C,0)))</f>
        <v>P1003</v>
      </c>
      <c r="E661" s="6">
        <v>106.0</v>
      </c>
      <c r="F661" s="17" t="str">
        <f t="shared" si="3"/>
        <v>BCA106</v>
      </c>
      <c r="G661" s="43" t="str">
        <f t="shared" si="4"/>
        <v>NA</v>
      </c>
      <c r="H661" s="17" t="str">
        <f t="shared" si="5"/>
        <v>BCA106-NA</v>
      </c>
      <c r="J661" t="str">
        <f t="shared" si="6"/>
        <v>collected</v>
      </c>
      <c r="K661" t="str">
        <f t="shared" si="7"/>
        <v>N</v>
      </c>
    </row>
    <row r="662">
      <c r="A662" s="26" t="s">
        <v>1137</v>
      </c>
      <c r="B662" s="10" t="str">
        <f t="shared" si="1"/>
        <v>fish</v>
      </c>
      <c r="C662" s="63" t="str">
        <f t="shared" si="2"/>
        <v>U16781</v>
      </c>
      <c r="D662" s="11" t="str">
        <f t="array" ref="D662">iferror(index(fish_lab_data!D:D,match(A662,fish_lab_data!C:C,0)))</f>
        <v>P1079</v>
      </c>
      <c r="E662" s="6">
        <v>106.0</v>
      </c>
      <c r="F662" s="17" t="str">
        <f t="shared" si="3"/>
        <v>BCA106</v>
      </c>
      <c r="G662" s="43" t="str">
        <f t="shared" si="4"/>
        <v>NA</v>
      </c>
      <c r="H662" s="17" t="str">
        <f t="shared" si="5"/>
        <v>BCA106-NA</v>
      </c>
      <c r="J662" t="str">
        <f t="shared" si="6"/>
        <v>collected</v>
      </c>
      <c r="K662" t="str">
        <f t="shared" si="7"/>
        <v>N</v>
      </c>
    </row>
    <row r="663">
      <c r="A663" s="26" t="s">
        <v>1139</v>
      </c>
      <c r="B663" s="10" t="str">
        <f t="shared" si="1"/>
        <v>fish</v>
      </c>
      <c r="C663" s="63" t="str">
        <f t="shared" si="2"/>
        <v>U16782</v>
      </c>
      <c r="D663" s="11" t="str">
        <f t="array" ref="D663">iferror(index(fish_lab_data!D:D,match(A663,fish_lab_data!C:C,0)))</f>
        <v>P1079</v>
      </c>
      <c r="E663" s="6">
        <v>106.0</v>
      </c>
      <c r="F663" s="17" t="str">
        <f t="shared" si="3"/>
        <v>BCA106</v>
      </c>
      <c r="G663" s="43" t="str">
        <f t="shared" si="4"/>
        <v>NA</v>
      </c>
      <c r="H663" s="17" t="str">
        <f t="shared" si="5"/>
        <v>BCA106-NA</v>
      </c>
      <c r="J663" t="str">
        <f t="shared" si="6"/>
        <v>collected</v>
      </c>
      <c r="K663" t="str">
        <f t="shared" si="7"/>
        <v>N</v>
      </c>
    </row>
    <row r="664">
      <c r="A664" s="26" t="s">
        <v>1140</v>
      </c>
      <c r="B664" s="10" t="str">
        <f t="shared" si="1"/>
        <v>fish</v>
      </c>
      <c r="C664" s="63" t="str">
        <f t="shared" si="2"/>
        <v>U16783</v>
      </c>
      <c r="D664" s="11" t="str">
        <f t="array" ref="D664">iferror(index(fish_lab_data!D:D,match(A664,fish_lab_data!C:C,0)))</f>
        <v>P1079</v>
      </c>
      <c r="E664" s="6">
        <v>106.0</v>
      </c>
      <c r="F664" s="17" t="str">
        <f t="shared" si="3"/>
        <v>BCA106</v>
      </c>
      <c r="G664" s="43" t="str">
        <f t="shared" si="4"/>
        <v>NA</v>
      </c>
      <c r="H664" s="17" t="str">
        <f t="shared" si="5"/>
        <v>BCA106-NA</v>
      </c>
      <c r="J664" t="str">
        <f t="shared" si="6"/>
        <v>collected</v>
      </c>
      <c r="K664" t="str">
        <f t="shared" si="7"/>
        <v>N</v>
      </c>
    </row>
    <row r="665">
      <c r="A665" s="26" t="s">
        <v>1141</v>
      </c>
      <c r="B665" s="10" t="str">
        <f t="shared" si="1"/>
        <v>fish</v>
      </c>
      <c r="C665" s="63" t="str">
        <f t="shared" si="2"/>
        <v>U17891</v>
      </c>
      <c r="D665" s="11" t="str">
        <f t="array" ref="D665">iferror(index(fish_lab_data!D:D,match(A665,fish_lab_data!C:C,0)))</f>
        <v>P1190</v>
      </c>
      <c r="E665" s="6">
        <v>106.0</v>
      </c>
      <c r="F665" s="17" t="str">
        <f t="shared" si="3"/>
        <v>BCA106</v>
      </c>
      <c r="G665" s="43" t="str">
        <f t="shared" si="4"/>
        <v>NA</v>
      </c>
      <c r="H665" s="17" t="str">
        <f t="shared" si="5"/>
        <v>BCA106-NA</v>
      </c>
      <c r="J665" t="str">
        <f t="shared" si="6"/>
        <v>collected</v>
      </c>
      <c r="K665" t="str">
        <f t="shared" si="7"/>
        <v>N</v>
      </c>
    </row>
    <row r="666">
      <c r="A666" s="26" t="s">
        <v>1142</v>
      </c>
      <c r="B666" s="10" t="str">
        <f t="shared" si="1"/>
        <v>fish</v>
      </c>
      <c r="C666" s="63" t="str">
        <f t="shared" si="2"/>
        <v>U17291</v>
      </c>
      <c r="D666" s="11" t="str">
        <f t="array" ref="D666">iferror(index(fish_lab_data!D:D,match(A666,fish_lab_data!C:C,0)))</f>
        <v>P1130</v>
      </c>
      <c r="E666" s="6">
        <v>106.0</v>
      </c>
      <c r="F666" s="17" t="str">
        <f t="shared" si="3"/>
        <v>BCA106</v>
      </c>
      <c r="G666" s="43" t="str">
        <f t="shared" si="4"/>
        <v>NA</v>
      </c>
      <c r="H666" s="17" t="str">
        <f t="shared" si="5"/>
        <v>BCA106-NA</v>
      </c>
      <c r="J666" t="str">
        <f t="shared" si="6"/>
        <v>collected</v>
      </c>
      <c r="K666" t="str">
        <f t="shared" si="7"/>
        <v>N</v>
      </c>
    </row>
    <row r="667">
      <c r="A667" s="26" t="s">
        <v>1143</v>
      </c>
      <c r="B667" s="10" t="str">
        <f t="shared" si="1"/>
        <v>fish</v>
      </c>
      <c r="C667" s="63" t="str">
        <f t="shared" si="2"/>
        <v>U16541</v>
      </c>
      <c r="D667" s="11" t="str">
        <f t="array" ref="D667">iferror(index(fish_lab_data!D:D,match(A667,fish_lab_data!C:C,0)))</f>
        <v>P1055</v>
      </c>
      <c r="E667" s="6">
        <v>106.0</v>
      </c>
      <c r="F667" s="17" t="str">
        <f t="shared" si="3"/>
        <v>BCA106</v>
      </c>
      <c r="G667" s="43" t="str">
        <f t="shared" si="4"/>
        <v>NA</v>
      </c>
      <c r="H667" s="17" t="str">
        <f t="shared" si="5"/>
        <v>BCA106-NA</v>
      </c>
      <c r="J667" t="str">
        <f t="shared" si="6"/>
        <v>collected</v>
      </c>
      <c r="K667" t="str">
        <f t="shared" si="7"/>
        <v>N</v>
      </c>
    </row>
    <row r="668">
      <c r="A668" s="26" t="s">
        <v>1145</v>
      </c>
      <c r="B668" s="10" t="str">
        <f t="shared" si="1"/>
        <v>fish</v>
      </c>
      <c r="C668" s="63" t="str">
        <f t="shared" si="2"/>
        <v>U16542</v>
      </c>
      <c r="D668" s="11" t="str">
        <f t="array" ref="D668">iferror(index(fish_lab_data!D:D,match(A668,fish_lab_data!C:C,0)))</f>
        <v>P1055</v>
      </c>
      <c r="E668" s="6">
        <v>106.0</v>
      </c>
      <c r="F668" s="17" t="str">
        <f t="shared" si="3"/>
        <v>BCA106</v>
      </c>
      <c r="G668" s="43" t="str">
        <f t="shared" si="4"/>
        <v>NA</v>
      </c>
      <c r="H668" s="17" t="str">
        <f t="shared" si="5"/>
        <v>BCA106-NA</v>
      </c>
      <c r="J668" t="str">
        <f t="shared" si="6"/>
        <v>collected</v>
      </c>
      <c r="K668" t="str">
        <f t="shared" si="7"/>
        <v>N</v>
      </c>
    </row>
    <row r="669">
      <c r="A669" s="26" t="s">
        <v>1146</v>
      </c>
      <c r="B669" s="10" t="str">
        <f t="shared" si="1"/>
        <v>fish</v>
      </c>
      <c r="C669" s="63" t="str">
        <f t="shared" si="2"/>
        <v>U16543</v>
      </c>
      <c r="D669" s="11" t="str">
        <f t="array" ref="D669">iferror(index(fish_lab_data!D:D,match(A669,fish_lab_data!C:C,0)))</f>
        <v>P1055</v>
      </c>
      <c r="E669" s="6">
        <v>106.0</v>
      </c>
      <c r="F669" s="17" t="str">
        <f t="shared" si="3"/>
        <v>BCA106</v>
      </c>
      <c r="G669" s="43" t="str">
        <f t="shared" si="4"/>
        <v>NA</v>
      </c>
      <c r="H669" s="17" t="str">
        <f t="shared" si="5"/>
        <v>BCA106-NA</v>
      </c>
      <c r="J669" t="str">
        <f t="shared" si="6"/>
        <v>collected</v>
      </c>
      <c r="K669" t="str">
        <f t="shared" si="7"/>
        <v>N</v>
      </c>
    </row>
    <row r="670">
      <c r="A670" s="44" t="s">
        <v>1147</v>
      </c>
      <c r="B670" s="10" t="str">
        <f t="shared" si="1"/>
        <v>fish</v>
      </c>
      <c r="C670" s="63" t="str">
        <f t="shared" si="2"/>
        <v>U17277</v>
      </c>
      <c r="D670" s="11" t="str">
        <f t="array" ref="D670">iferror(index(fish_lab_data!D:D,match(A670,fish_lab_data!C:C,0)))</f>
        <v>P1128</v>
      </c>
      <c r="E670" s="6">
        <v>106.0</v>
      </c>
      <c r="F670" s="17" t="str">
        <f t="shared" si="3"/>
        <v>BCA106</v>
      </c>
      <c r="G670" s="43" t="str">
        <f t="shared" si="4"/>
        <v>NA</v>
      </c>
      <c r="H670" s="17" t="str">
        <f t="shared" si="5"/>
        <v>BCA106-NA</v>
      </c>
      <c r="J670" t="str">
        <f t="shared" si="6"/>
        <v>collected</v>
      </c>
      <c r="K670" t="str">
        <f t="shared" si="7"/>
        <v>N</v>
      </c>
    </row>
    <row r="671">
      <c r="A671" s="44" t="s">
        <v>1148</v>
      </c>
      <c r="B671" s="10" t="str">
        <f t="shared" si="1"/>
        <v>fish</v>
      </c>
      <c r="C671" s="63" t="str">
        <f t="shared" si="2"/>
        <v>U17271</v>
      </c>
      <c r="D671" s="11" t="str">
        <f t="array" ref="D671">iferror(index(fish_lab_data!D:D,match(A671,fish_lab_data!C:C,0)))</f>
        <v>P1128</v>
      </c>
      <c r="E671" s="6">
        <v>106.0</v>
      </c>
      <c r="F671" s="17" t="str">
        <f t="shared" si="3"/>
        <v>BCA106</v>
      </c>
      <c r="G671" s="43" t="str">
        <f t="shared" si="4"/>
        <v>NA</v>
      </c>
      <c r="H671" s="17" t="str">
        <f t="shared" si="5"/>
        <v>BCA106-NA</v>
      </c>
      <c r="J671" t="str">
        <f t="shared" si="6"/>
        <v>collected</v>
      </c>
      <c r="K671" t="str">
        <f t="shared" si="7"/>
        <v>N</v>
      </c>
    </row>
    <row r="672">
      <c r="A672" s="44" t="s">
        <v>1149</v>
      </c>
      <c r="B672" s="10" t="str">
        <f t="shared" si="1"/>
        <v>fish</v>
      </c>
      <c r="C672" s="63" t="str">
        <f t="shared" si="2"/>
        <v>U17276</v>
      </c>
      <c r="D672" s="11" t="str">
        <f t="array" ref="D672">iferror(index(fish_lab_data!D:D,match(A672,fish_lab_data!C:C,0)))</f>
        <v>P1128</v>
      </c>
      <c r="E672" s="6">
        <v>106.0</v>
      </c>
      <c r="F672" s="17" t="str">
        <f t="shared" si="3"/>
        <v>BCA106</v>
      </c>
      <c r="G672" s="43" t="str">
        <f t="shared" si="4"/>
        <v>NA</v>
      </c>
      <c r="H672" s="17" t="str">
        <f t="shared" si="5"/>
        <v>BCA106-NA</v>
      </c>
      <c r="J672" t="str">
        <f t="shared" si="6"/>
        <v>collected</v>
      </c>
      <c r="K672" t="str">
        <f t="shared" si="7"/>
        <v>N</v>
      </c>
    </row>
    <row r="673">
      <c r="A673" s="44" t="s">
        <v>1151</v>
      </c>
      <c r="B673" s="10" t="str">
        <f t="shared" si="1"/>
        <v>fish</v>
      </c>
      <c r="C673" s="63" t="str">
        <f t="shared" si="2"/>
        <v>U17280</v>
      </c>
      <c r="D673" s="11" t="str">
        <f t="array" ref="D673">iferror(index(fish_lab_data!D:D,match(A673,fish_lab_data!C:C,0)))</f>
        <v>P1128</v>
      </c>
      <c r="E673" s="6">
        <v>106.0</v>
      </c>
      <c r="F673" s="17" t="str">
        <f t="shared" si="3"/>
        <v>BCA106</v>
      </c>
      <c r="G673" s="43" t="str">
        <f t="shared" si="4"/>
        <v>NA</v>
      </c>
      <c r="H673" s="17" t="str">
        <f t="shared" si="5"/>
        <v>BCA106-NA</v>
      </c>
      <c r="J673" t="str">
        <f t="shared" si="6"/>
        <v>collected</v>
      </c>
      <c r="K673" t="str">
        <f t="shared" si="7"/>
        <v>N</v>
      </c>
    </row>
    <row r="674">
      <c r="A674" s="44" t="s">
        <v>1153</v>
      </c>
      <c r="B674" s="10" t="str">
        <f t="shared" si="1"/>
        <v>fish</v>
      </c>
      <c r="C674" s="63" t="str">
        <f t="shared" si="2"/>
        <v>U17273</v>
      </c>
      <c r="D674" s="11" t="str">
        <f t="array" ref="D674">iferror(index(fish_lab_data!D:D,match(A674,fish_lab_data!C:C,0)))</f>
        <v>P1128</v>
      </c>
      <c r="E674" s="6">
        <v>106.0</v>
      </c>
      <c r="F674" s="17" t="str">
        <f t="shared" si="3"/>
        <v>BCA106</v>
      </c>
      <c r="G674" s="43" t="str">
        <f t="shared" si="4"/>
        <v>NA</v>
      </c>
      <c r="H674" s="17" t="str">
        <f t="shared" si="5"/>
        <v>BCA106-NA</v>
      </c>
      <c r="J674" t="str">
        <f t="shared" si="6"/>
        <v>collected</v>
      </c>
      <c r="K674" t="str">
        <f t="shared" si="7"/>
        <v>N</v>
      </c>
    </row>
    <row r="675">
      <c r="A675" s="44" t="s">
        <v>1154</v>
      </c>
      <c r="B675" s="10" t="str">
        <f t="shared" si="1"/>
        <v>fish</v>
      </c>
      <c r="C675" s="63" t="str">
        <f t="shared" si="2"/>
        <v>U17274</v>
      </c>
      <c r="D675" s="11" t="str">
        <f t="array" ref="D675">iferror(index(fish_lab_data!D:D,match(A675,fish_lab_data!C:C,0)))</f>
        <v>P1128</v>
      </c>
      <c r="E675" s="6">
        <v>106.0</v>
      </c>
      <c r="F675" s="17" t="str">
        <f t="shared" si="3"/>
        <v>BCA106</v>
      </c>
      <c r="G675" s="43" t="str">
        <f t="shared" si="4"/>
        <v>NA</v>
      </c>
      <c r="H675" s="17" t="str">
        <f t="shared" si="5"/>
        <v>BCA106-NA</v>
      </c>
      <c r="J675" t="str">
        <f t="shared" si="6"/>
        <v>collected</v>
      </c>
      <c r="K675" t="str">
        <f t="shared" si="7"/>
        <v>N</v>
      </c>
    </row>
    <row r="676">
      <c r="A676" s="44" t="s">
        <v>1155</v>
      </c>
      <c r="B676" s="10" t="str">
        <f t="shared" si="1"/>
        <v>fish</v>
      </c>
      <c r="C676" s="63" t="str">
        <f t="shared" si="2"/>
        <v>U17275</v>
      </c>
      <c r="D676" s="11" t="str">
        <f t="array" ref="D676">iferror(index(fish_lab_data!D:D,match(A676,fish_lab_data!C:C,0)))</f>
        <v>P1128</v>
      </c>
      <c r="E676" s="6">
        <v>106.0</v>
      </c>
      <c r="F676" s="17" t="str">
        <f t="shared" si="3"/>
        <v>BCA106</v>
      </c>
      <c r="G676" s="43" t="str">
        <f t="shared" si="4"/>
        <v>NA</v>
      </c>
      <c r="H676" s="17" t="str">
        <f t="shared" si="5"/>
        <v>BCA106-NA</v>
      </c>
      <c r="J676" t="str">
        <f t="shared" si="6"/>
        <v>collected</v>
      </c>
      <c r="K676" t="str">
        <f t="shared" si="7"/>
        <v>N</v>
      </c>
    </row>
    <row r="677">
      <c r="A677" s="44" t="s">
        <v>1156</v>
      </c>
      <c r="B677" s="10" t="str">
        <f t="shared" si="1"/>
        <v>fish</v>
      </c>
      <c r="C677" s="63" t="str">
        <f t="shared" si="2"/>
        <v>U17272</v>
      </c>
      <c r="D677" s="11" t="str">
        <f t="array" ref="D677">iferror(index(fish_lab_data!D:D,match(A677,fish_lab_data!C:C,0)))</f>
        <v>P1128</v>
      </c>
      <c r="E677" s="6">
        <v>106.0</v>
      </c>
      <c r="F677" s="17" t="str">
        <f t="shared" si="3"/>
        <v>BCA106</v>
      </c>
      <c r="G677" s="43" t="str">
        <f t="shared" si="4"/>
        <v>NA</v>
      </c>
      <c r="H677" s="17" t="str">
        <f t="shared" si="5"/>
        <v>BCA106-NA</v>
      </c>
      <c r="J677" t="str">
        <f t="shared" si="6"/>
        <v>collected</v>
      </c>
      <c r="K677" t="str">
        <f t="shared" si="7"/>
        <v>N</v>
      </c>
    </row>
    <row r="678">
      <c r="A678" s="44" t="s">
        <v>1157</v>
      </c>
      <c r="B678" s="10" t="str">
        <f t="shared" si="1"/>
        <v>fish</v>
      </c>
      <c r="C678" s="63" t="str">
        <f t="shared" si="2"/>
        <v>U17279</v>
      </c>
      <c r="D678" s="11" t="str">
        <f t="array" ref="D678">iferror(index(fish_lab_data!D:D,match(A678,fish_lab_data!C:C,0)))</f>
        <v>P1128</v>
      </c>
      <c r="E678" s="6">
        <v>106.0</v>
      </c>
      <c r="F678" s="17" t="str">
        <f t="shared" si="3"/>
        <v>BCA106</v>
      </c>
      <c r="G678" s="43" t="str">
        <f t="shared" si="4"/>
        <v>NA</v>
      </c>
      <c r="H678" s="17" t="str">
        <f t="shared" si="5"/>
        <v>BCA106-NA</v>
      </c>
      <c r="J678" t="str">
        <f t="shared" si="6"/>
        <v>collected</v>
      </c>
      <c r="K678" t="str">
        <f t="shared" si="7"/>
        <v>N</v>
      </c>
    </row>
    <row r="679">
      <c r="A679" s="44" t="s">
        <v>1159</v>
      </c>
      <c r="B679" s="10" t="str">
        <f t="shared" si="1"/>
        <v>fish</v>
      </c>
      <c r="C679" s="63" t="str">
        <f t="shared" si="2"/>
        <v>U17278</v>
      </c>
      <c r="D679" s="11" t="str">
        <f t="array" ref="D679">iferror(index(fish_lab_data!D:D,match(A679,fish_lab_data!C:C,0)))</f>
        <v>P1128</v>
      </c>
      <c r="E679" s="6">
        <v>106.0</v>
      </c>
      <c r="F679" s="17" t="str">
        <f t="shared" si="3"/>
        <v>BCA106</v>
      </c>
      <c r="G679" s="43" t="str">
        <f t="shared" si="4"/>
        <v>NA</v>
      </c>
      <c r="H679" s="17" t="str">
        <f t="shared" si="5"/>
        <v>BCA106-NA</v>
      </c>
      <c r="J679" t="str">
        <f t="shared" si="6"/>
        <v>collected</v>
      </c>
      <c r="K679" t="str">
        <f t="shared" si="7"/>
        <v>N</v>
      </c>
    </row>
    <row r="680">
      <c r="A680" s="44" t="s">
        <v>83</v>
      </c>
      <c r="B680" s="10" t="str">
        <f t="shared" si="1"/>
        <v>fish</v>
      </c>
      <c r="C680" s="63" t="str">
        <f t="shared" si="2"/>
        <v>U17041</v>
      </c>
      <c r="D680" s="11" t="str">
        <f t="array" ref="D680">iferror(index(fish_lab_data!D:D,match(A680,fish_lab_data!C:C,0)))</f>
        <v>P1105</v>
      </c>
      <c r="E680" s="6">
        <v>106.0</v>
      </c>
      <c r="F680" s="17" t="str">
        <f t="shared" si="3"/>
        <v>BCA106</v>
      </c>
      <c r="G680" s="43" t="str">
        <f t="shared" si="4"/>
        <v>NA</v>
      </c>
      <c r="H680" s="17" t="str">
        <f t="shared" si="5"/>
        <v>BCA106-NA</v>
      </c>
      <c r="J680" t="str">
        <f t="shared" si="6"/>
        <v>collected</v>
      </c>
      <c r="K680" t="str">
        <f t="shared" si="7"/>
        <v>N</v>
      </c>
    </row>
    <row r="681">
      <c r="A681" s="44" t="s">
        <v>1161</v>
      </c>
      <c r="B681" s="10" t="str">
        <f t="shared" si="1"/>
        <v>fish</v>
      </c>
      <c r="C681" s="63" t="str">
        <f t="shared" si="2"/>
        <v>U17072</v>
      </c>
      <c r="D681" s="11" t="str">
        <f t="array" ref="D681">iferror(index(fish_lab_data!D:D,match(A681,fish_lab_data!C:C,0)))</f>
        <v>P1108</v>
      </c>
      <c r="E681" s="6">
        <v>106.0</v>
      </c>
      <c r="F681" s="17" t="str">
        <f t="shared" si="3"/>
        <v>BCA106</v>
      </c>
      <c r="G681" s="43" t="str">
        <f t="shared" si="4"/>
        <v>NA</v>
      </c>
      <c r="H681" s="17" t="str">
        <f t="shared" si="5"/>
        <v>BCA106-NA</v>
      </c>
      <c r="J681" t="str">
        <f t="shared" si="6"/>
        <v>collected</v>
      </c>
      <c r="K681" t="str">
        <f t="shared" si="7"/>
        <v>N</v>
      </c>
    </row>
    <row r="682">
      <c r="A682" s="44" t="s">
        <v>1162</v>
      </c>
      <c r="B682" s="10" t="str">
        <f t="shared" si="1"/>
        <v>fish</v>
      </c>
      <c r="C682" s="63" t="str">
        <f t="shared" si="2"/>
        <v>U17071</v>
      </c>
      <c r="D682" s="11" t="str">
        <f t="array" ref="D682">iferror(index(fish_lab_data!D:D,match(A682,fish_lab_data!C:C,0)))</f>
        <v>P1108</v>
      </c>
      <c r="E682" s="6">
        <v>106.0</v>
      </c>
      <c r="F682" s="17" t="str">
        <f t="shared" si="3"/>
        <v>BCA106</v>
      </c>
      <c r="G682" s="43" t="str">
        <f t="shared" si="4"/>
        <v>NA</v>
      </c>
      <c r="H682" s="17" t="str">
        <f t="shared" si="5"/>
        <v>BCA106-NA</v>
      </c>
      <c r="J682" t="str">
        <f t="shared" si="6"/>
        <v>collected</v>
      </c>
      <c r="K682" t="str">
        <f t="shared" si="7"/>
        <v>N</v>
      </c>
    </row>
    <row r="683">
      <c r="A683" s="44" t="s">
        <v>1164</v>
      </c>
      <c r="B683" s="10" t="str">
        <f t="shared" si="1"/>
        <v>fish</v>
      </c>
      <c r="C683" s="63" t="str">
        <f t="shared" si="2"/>
        <v>U16123</v>
      </c>
      <c r="D683" s="11" t="str">
        <f t="array" ref="D683">iferror(index(fish_lab_data!D:D,match(A683,fish_lab_data!C:C,0)))</f>
        <v>P1013</v>
      </c>
      <c r="E683" s="6">
        <v>106.0</v>
      </c>
      <c r="F683" s="17" t="str">
        <f t="shared" si="3"/>
        <v>BCA106</v>
      </c>
      <c r="G683" s="43" t="str">
        <f t="shared" si="4"/>
        <v>NA</v>
      </c>
      <c r="H683" s="17" t="str">
        <f t="shared" si="5"/>
        <v>BCA106-NA</v>
      </c>
      <c r="J683" t="str">
        <f t="shared" si="6"/>
        <v>collected</v>
      </c>
      <c r="K683" t="str">
        <f t="shared" si="7"/>
        <v>N</v>
      </c>
    </row>
    <row r="684">
      <c r="A684" s="44" t="s">
        <v>1165</v>
      </c>
      <c r="B684" s="10" t="str">
        <f t="shared" si="1"/>
        <v>fish</v>
      </c>
      <c r="C684" s="63" t="str">
        <f t="shared" si="2"/>
        <v>U16122</v>
      </c>
      <c r="D684" s="11" t="str">
        <f t="array" ref="D684">iferror(index(fish_lab_data!D:D,match(A684,fish_lab_data!C:C,0)))</f>
        <v>P1013</v>
      </c>
      <c r="E684" s="6">
        <v>106.0</v>
      </c>
      <c r="F684" s="17" t="str">
        <f t="shared" si="3"/>
        <v>BCA106</v>
      </c>
      <c r="G684" s="43" t="str">
        <f t="shared" si="4"/>
        <v>NA</v>
      </c>
      <c r="H684" s="17" t="str">
        <f t="shared" si="5"/>
        <v>BCA106-NA</v>
      </c>
      <c r="J684" t="str">
        <f t="shared" si="6"/>
        <v>collected</v>
      </c>
      <c r="K684" t="str">
        <f t="shared" si="7"/>
        <v>N</v>
      </c>
    </row>
    <row r="685">
      <c r="A685" s="44" t="s">
        <v>1166</v>
      </c>
      <c r="B685" s="10" t="str">
        <f t="shared" si="1"/>
        <v>fish</v>
      </c>
      <c r="C685" s="63" t="str">
        <f t="shared" si="2"/>
        <v>U16121</v>
      </c>
      <c r="D685" s="11" t="str">
        <f t="array" ref="D685">iferror(index(fish_lab_data!D:D,match(A685,fish_lab_data!C:C,0)))</f>
        <v>P1013</v>
      </c>
      <c r="E685" s="6">
        <v>106.0</v>
      </c>
      <c r="F685" s="17" t="str">
        <f t="shared" si="3"/>
        <v>BCA106</v>
      </c>
      <c r="G685" s="43" t="str">
        <f t="shared" si="4"/>
        <v>NA</v>
      </c>
      <c r="H685" s="17" t="str">
        <f t="shared" si="5"/>
        <v>BCA106-NA</v>
      </c>
      <c r="J685" t="str">
        <f t="shared" si="6"/>
        <v>collected</v>
      </c>
      <c r="K685" t="str">
        <f t="shared" si="7"/>
        <v>N</v>
      </c>
    </row>
    <row r="686">
      <c r="A686" s="44" t="s">
        <v>1167</v>
      </c>
      <c r="B686" s="10" t="str">
        <f t="shared" si="1"/>
        <v>fish</v>
      </c>
      <c r="C686" s="63" t="str">
        <f t="shared" si="2"/>
        <v>U16453</v>
      </c>
      <c r="D686" s="11" t="str">
        <f t="array" ref="D686">iferror(index(fish_lab_data!D:D,match(A686,fish_lab_data!C:C,0)))</f>
        <v>P1046</v>
      </c>
      <c r="E686" s="6">
        <v>106.0</v>
      </c>
      <c r="F686" s="17" t="str">
        <f t="shared" si="3"/>
        <v>BCA106</v>
      </c>
      <c r="G686" s="43" t="str">
        <f t="shared" si="4"/>
        <v>NA</v>
      </c>
      <c r="H686" s="17" t="str">
        <f t="shared" si="5"/>
        <v>BCA106-NA</v>
      </c>
      <c r="J686" t="str">
        <f t="shared" si="6"/>
        <v>collected</v>
      </c>
      <c r="K686" t="str">
        <f t="shared" si="7"/>
        <v>N</v>
      </c>
    </row>
    <row r="687">
      <c r="A687" s="44" t="s">
        <v>1168</v>
      </c>
      <c r="B687" s="10" t="str">
        <f t="shared" si="1"/>
        <v>fish</v>
      </c>
      <c r="C687" s="63" t="str">
        <f t="shared" si="2"/>
        <v>U16454</v>
      </c>
      <c r="D687" s="11" t="str">
        <f t="array" ref="D687">iferror(index(fish_lab_data!D:D,match(A687,fish_lab_data!C:C,0)))</f>
        <v>P1046</v>
      </c>
      <c r="E687" s="6">
        <v>106.0</v>
      </c>
      <c r="F687" s="17" t="str">
        <f t="shared" si="3"/>
        <v>BCA106</v>
      </c>
      <c r="G687" s="43" t="str">
        <f t="shared" si="4"/>
        <v>NA</v>
      </c>
      <c r="H687" s="17" t="str">
        <f t="shared" si="5"/>
        <v>BCA106-NA</v>
      </c>
      <c r="J687" t="str">
        <f t="shared" si="6"/>
        <v>collected</v>
      </c>
      <c r="K687" t="str">
        <f t="shared" si="7"/>
        <v>N</v>
      </c>
    </row>
    <row r="688">
      <c r="A688" s="43" t="s">
        <v>1171</v>
      </c>
      <c r="B688" s="10" t="str">
        <f t="shared" si="1"/>
        <v>fish</v>
      </c>
      <c r="C688" s="63" t="str">
        <f t="shared" si="2"/>
        <v>U16451</v>
      </c>
      <c r="D688" s="11" t="str">
        <f t="array" ref="D688">iferror(index(fish_lab_data!D:D,match(A688,fish_lab_data!C:C,0)))</f>
        <v>P1046</v>
      </c>
      <c r="E688" s="6">
        <v>106.0</v>
      </c>
      <c r="F688" s="17" t="str">
        <f t="shared" si="3"/>
        <v>BCA106</v>
      </c>
      <c r="G688" s="43" t="str">
        <f t="shared" si="4"/>
        <v>NA</v>
      </c>
      <c r="H688" s="17" t="str">
        <f t="shared" si="5"/>
        <v>BCA106-NA</v>
      </c>
      <c r="J688" t="str">
        <f t="shared" si="6"/>
        <v>collected</v>
      </c>
      <c r="K688" t="str">
        <f t="shared" si="7"/>
        <v>N</v>
      </c>
    </row>
    <row r="689">
      <c r="A689" s="43" t="s">
        <v>1173</v>
      </c>
      <c r="B689" s="10" t="str">
        <f t="shared" si="1"/>
        <v>fish</v>
      </c>
      <c r="C689" s="63" t="str">
        <f t="shared" si="2"/>
        <v>U16452</v>
      </c>
      <c r="D689" s="11" t="str">
        <f t="array" ref="D689">iferror(index(fish_lab_data!D:D,match(A689,fish_lab_data!C:C,0)))</f>
        <v>P1046</v>
      </c>
      <c r="E689" s="6">
        <v>106.0</v>
      </c>
      <c r="F689" s="17" t="str">
        <f t="shared" si="3"/>
        <v>BCA106</v>
      </c>
      <c r="G689" s="43" t="str">
        <f t="shared" si="4"/>
        <v>NA</v>
      </c>
      <c r="H689" s="17" t="str">
        <f t="shared" si="5"/>
        <v>BCA106-NA</v>
      </c>
      <c r="J689" t="str">
        <f t="shared" si="6"/>
        <v>collected</v>
      </c>
      <c r="K689" t="str">
        <f t="shared" si="7"/>
        <v>N</v>
      </c>
    </row>
    <row r="690">
      <c r="A690" s="43" t="s">
        <v>1174</v>
      </c>
      <c r="B690" s="10" t="str">
        <f t="shared" si="1"/>
        <v>fish</v>
      </c>
      <c r="C690" s="63" t="str">
        <f t="shared" si="2"/>
        <v>U16581</v>
      </c>
      <c r="D690" s="11" t="str">
        <f t="array" ref="D690">iferror(index(fish_lab_data!D:D,match(A690,fish_lab_data!C:C,0)))</f>
        <v>P1059</v>
      </c>
      <c r="E690" s="6">
        <v>106.0</v>
      </c>
      <c r="F690" s="17" t="str">
        <f t="shared" si="3"/>
        <v>BCA106</v>
      </c>
      <c r="G690" s="43" t="str">
        <f t="shared" si="4"/>
        <v>NA</v>
      </c>
      <c r="H690" s="17" t="str">
        <f t="shared" si="5"/>
        <v>BCA106-NA</v>
      </c>
      <c r="J690" t="str">
        <f t="shared" si="6"/>
        <v>collected</v>
      </c>
      <c r="K690" t="str">
        <f t="shared" si="7"/>
        <v>N</v>
      </c>
    </row>
    <row r="691">
      <c r="A691" s="43" t="s">
        <v>1175</v>
      </c>
      <c r="B691" s="10" t="str">
        <f t="shared" si="1"/>
        <v>fish</v>
      </c>
      <c r="C691" s="63" t="str">
        <f t="shared" si="2"/>
        <v>U16585</v>
      </c>
      <c r="D691" s="11" t="str">
        <f t="array" ref="D691">iferror(index(fish_lab_data!D:D,match(A691,fish_lab_data!C:C,0)))</f>
        <v>P1059</v>
      </c>
      <c r="E691" s="6">
        <v>106.0</v>
      </c>
      <c r="F691" s="17" t="str">
        <f t="shared" si="3"/>
        <v>BCA106</v>
      </c>
      <c r="G691" s="43" t="str">
        <f t="shared" si="4"/>
        <v>NA</v>
      </c>
      <c r="H691" s="17" t="str">
        <f t="shared" si="5"/>
        <v>BCA106-NA</v>
      </c>
      <c r="J691" t="str">
        <f t="shared" si="6"/>
        <v>collected</v>
      </c>
      <c r="K691" t="str">
        <f t="shared" si="7"/>
        <v>N</v>
      </c>
    </row>
    <row r="692">
      <c r="A692" s="43" t="s">
        <v>1176</v>
      </c>
      <c r="B692" s="10" t="str">
        <f t="shared" si="1"/>
        <v>fish</v>
      </c>
      <c r="C692" s="63" t="str">
        <f t="shared" si="2"/>
        <v>U16584</v>
      </c>
      <c r="D692" s="11" t="str">
        <f t="array" ref="D692">iferror(index(fish_lab_data!D:D,match(A692,fish_lab_data!C:C,0)))</f>
        <v>P1059</v>
      </c>
      <c r="E692" s="6">
        <v>106.0</v>
      </c>
      <c r="F692" s="17" t="str">
        <f t="shared" si="3"/>
        <v>BCA106</v>
      </c>
      <c r="G692" s="43" t="str">
        <f t="shared" si="4"/>
        <v>NA</v>
      </c>
      <c r="H692" s="17" t="str">
        <f t="shared" si="5"/>
        <v>BCA106-NA</v>
      </c>
      <c r="J692" t="str">
        <f t="shared" si="6"/>
        <v>collected</v>
      </c>
      <c r="K692" t="str">
        <f t="shared" si="7"/>
        <v>N</v>
      </c>
    </row>
    <row r="693">
      <c r="A693" s="43" t="s">
        <v>97</v>
      </c>
      <c r="B693" s="10" t="str">
        <f t="shared" si="1"/>
        <v>fish</v>
      </c>
      <c r="C693" s="63" t="str">
        <f t="shared" si="2"/>
        <v>U16583</v>
      </c>
      <c r="D693" s="11" t="str">
        <f t="array" ref="D693">iferror(index(fish_lab_data!D:D,match(A693,fish_lab_data!C:C,0)))</f>
        <v>P1059</v>
      </c>
      <c r="E693" s="6">
        <v>106.0</v>
      </c>
      <c r="F693" s="17" t="str">
        <f t="shared" si="3"/>
        <v>BCA106</v>
      </c>
      <c r="G693" s="43" t="str">
        <f t="shared" si="4"/>
        <v>NA</v>
      </c>
      <c r="H693" s="17" t="str">
        <f t="shared" si="5"/>
        <v>BCA106-NA</v>
      </c>
      <c r="J693" t="str">
        <f t="shared" si="6"/>
        <v>collected</v>
      </c>
      <c r="K693" t="str">
        <f t="shared" si="7"/>
        <v>N</v>
      </c>
    </row>
    <row r="694">
      <c r="A694" s="43" t="s">
        <v>107</v>
      </c>
      <c r="B694" s="10" t="str">
        <f t="shared" si="1"/>
        <v>fish</v>
      </c>
      <c r="C694" s="63" t="str">
        <f t="shared" si="2"/>
        <v>U16582</v>
      </c>
      <c r="D694" s="11" t="str">
        <f t="array" ref="D694">iferror(index(fish_lab_data!D:D,match(A694,fish_lab_data!C:C,0)))</f>
        <v>P1059</v>
      </c>
      <c r="E694" s="6">
        <v>106.0</v>
      </c>
      <c r="F694" s="17" t="str">
        <f t="shared" si="3"/>
        <v>BCA106</v>
      </c>
      <c r="G694" s="43" t="str">
        <f t="shared" si="4"/>
        <v>NA</v>
      </c>
      <c r="H694" s="17" t="str">
        <f t="shared" si="5"/>
        <v>BCA106-NA</v>
      </c>
      <c r="J694" t="str">
        <f t="shared" si="6"/>
        <v>collected</v>
      </c>
      <c r="K694" t="str">
        <f t="shared" si="7"/>
        <v>N</v>
      </c>
    </row>
    <row r="695">
      <c r="A695" s="43" t="s">
        <v>115</v>
      </c>
      <c r="B695" s="10" t="str">
        <f t="shared" si="1"/>
        <v>fish</v>
      </c>
      <c r="C695" s="63" t="str">
        <f t="shared" si="2"/>
        <v>U16901</v>
      </c>
      <c r="D695" s="11" t="str">
        <f t="array" ref="D695">iferror(index(fish_lab_data!D:D,match(A695,fish_lab_data!C:C,0)))</f>
        <v>P1091</v>
      </c>
      <c r="E695" s="6">
        <v>106.0</v>
      </c>
      <c r="F695" s="17" t="str">
        <f t="shared" si="3"/>
        <v>BCA106</v>
      </c>
      <c r="G695" s="43" t="str">
        <f t="shared" si="4"/>
        <v>NA</v>
      </c>
      <c r="H695" s="17" t="str">
        <f t="shared" si="5"/>
        <v>BCA106-NA</v>
      </c>
      <c r="J695" t="str">
        <f t="shared" si="6"/>
        <v>collected</v>
      </c>
      <c r="K695" t="str">
        <f t="shared" si="7"/>
        <v>N</v>
      </c>
    </row>
    <row r="696">
      <c r="A696" s="43" t="s">
        <v>122</v>
      </c>
      <c r="B696" s="10" t="str">
        <f t="shared" si="1"/>
        <v>fish</v>
      </c>
      <c r="C696" s="63" t="str">
        <f t="shared" si="2"/>
        <v>U17871</v>
      </c>
      <c r="D696" s="11" t="str">
        <f t="array" ref="D696">iferror(index(fish_lab_data!D:D,match(A696,fish_lab_data!C:C,0)))</f>
        <v>P1188</v>
      </c>
      <c r="E696" s="6">
        <v>106.0</v>
      </c>
      <c r="F696" s="17" t="str">
        <f t="shared" si="3"/>
        <v>BCA106</v>
      </c>
      <c r="G696" s="43" t="str">
        <f t="shared" si="4"/>
        <v>NA</v>
      </c>
      <c r="H696" s="17" t="str">
        <f t="shared" si="5"/>
        <v>BCA106-NA</v>
      </c>
      <c r="J696" t="str">
        <f t="shared" si="6"/>
        <v>collected</v>
      </c>
      <c r="K696" t="str">
        <f t="shared" si="7"/>
        <v>N</v>
      </c>
    </row>
    <row r="697">
      <c r="A697" s="43" t="s">
        <v>132</v>
      </c>
      <c r="B697" s="10" t="str">
        <f t="shared" si="1"/>
        <v>fish</v>
      </c>
      <c r="C697" s="63" t="str">
        <f t="shared" si="2"/>
        <v>U17661</v>
      </c>
      <c r="D697" s="11" t="str">
        <f t="array" ref="D697">iferror(index(fish_lab_data!D:D,match(A697,fish_lab_data!C:C,0)))</f>
        <v>P1167</v>
      </c>
      <c r="E697" s="6">
        <v>106.0</v>
      </c>
      <c r="F697" s="17" t="str">
        <f t="shared" si="3"/>
        <v>BCA106</v>
      </c>
      <c r="G697" s="43" t="str">
        <f t="shared" si="4"/>
        <v>NA</v>
      </c>
      <c r="H697" s="17" t="str">
        <f t="shared" si="5"/>
        <v>BCA106-NA</v>
      </c>
      <c r="J697" t="str">
        <f t="shared" si="6"/>
        <v>collected</v>
      </c>
      <c r="K697" t="str">
        <f t="shared" si="7"/>
        <v>N</v>
      </c>
    </row>
    <row r="698">
      <c r="A698" s="43" t="s">
        <v>140</v>
      </c>
      <c r="B698" s="10" t="str">
        <f t="shared" si="1"/>
        <v>fish</v>
      </c>
      <c r="C698" s="63" t="str">
        <f t="shared" si="2"/>
        <v>U17125</v>
      </c>
      <c r="D698" s="11" t="str">
        <f t="array" ref="D698">iferror(index(fish_lab_data!D:D,match(A698,fish_lab_data!C:C,0)))</f>
        <v>P1113</v>
      </c>
      <c r="E698" s="6">
        <v>106.0</v>
      </c>
      <c r="F698" s="17" t="str">
        <f t="shared" si="3"/>
        <v>BCA106</v>
      </c>
      <c r="G698" s="43" t="str">
        <f t="shared" si="4"/>
        <v>NA</v>
      </c>
      <c r="H698" s="17" t="str">
        <f t="shared" si="5"/>
        <v>BCA106-NA</v>
      </c>
      <c r="J698" t="str">
        <f t="shared" si="6"/>
        <v>collected</v>
      </c>
      <c r="K698" t="str">
        <f t="shared" si="7"/>
        <v>N</v>
      </c>
    </row>
    <row r="699">
      <c r="A699" s="43" t="s">
        <v>147</v>
      </c>
      <c r="B699" s="10" t="str">
        <f t="shared" si="1"/>
        <v>fish</v>
      </c>
      <c r="C699" s="63" t="str">
        <f t="shared" si="2"/>
        <v>U17123</v>
      </c>
      <c r="D699" s="11" t="str">
        <f t="array" ref="D699">iferror(index(fish_lab_data!D:D,match(A699,fish_lab_data!C:C,0)))</f>
        <v>P1113</v>
      </c>
      <c r="E699" s="6">
        <v>106.0</v>
      </c>
      <c r="F699" s="17" t="str">
        <f t="shared" si="3"/>
        <v>BCA106</v>
      </c>
      <c r="G699" s="43" t="str">
        <f t="shared" si="4"/>
        <v>NA</v>
      </c>
      <c r="H699" s="17" t="str">
        <f t="shared" si="5"/>
        <v>BCA106-NA</v>
      </c>
      <c r="J699" t="str">
        <f t="shared" si="6"/>
        <v>collected</v>
      </c>
      <c r="K699" t="str">
        <f t="shared" si="7"/>
        <v>N</v>
      </c>
    </row>
    <row r="700">
      <c r="A700" s="43" t="s">
        <v>157</v>
      </c>
      <c r="B700" s="10" t="str">
        <f t="shared" si="1"/>
        <v>fish</v>
      </c>
      <c r="C700" s="63" t="str">
        <f t="shared" si="2"/>
        <v>U17122</v>
      </c>
      <c r="D700" s="11" t="str">
        <f t="array" ref="D700">iferror(index(fish_lab_data!D:D,match(A700,fish_lab_data!C:C,0)))</f>
        <v>P1113</v>
      </c>
      <c r="E700" s="6">
        <v>106.0</v>
      </c>
      <c r="F700" s="17" t="str">
        <f t="shared" si="3"/>
        <v>BCA106</v>
      </c>
      <c r="G700" s="43" t="str">
        <f t="shared" si="4"/>
        <v>NA</v>
      </c>
      <c r="H700" s="17" t="str">
        <f t="shared" si="5"/>
        <v>BCA106-NA</v>
      </c>
      <c r="J700" t="str">
        <f t="shared" si="6"/>
        <v>collected</v>
      </c>
      <c r="K700" t="str">
        <f t="shared" si="7"/>
        <v>N</v>
      </c>
    </row>
    <row r="701">
      <c r="A701" s="43" t="s">
        <v>165</v>
      </c>
      <c r="B701" s="10" t="str">
        <f t="shared" si="1"/>
        <v>fish</v>
      </c>
      <c r="C701" s="63" t="str">
        <f t="shared" si="2"/>
        <v>U17124</v>
      </c>
      <c r="D701" s="11" t="str">
        <f t="array" ref="D701">iferror(index(fish_lab_data!D:D,match(A701,fish_lab_data!C:C,0)))</f>
        <v>P1113</v>
      </c>
      <c r="E701" s="6">
        <v>106.0</v>
      </c>
      <c r="F701" s="17" t="str">
        <f t="shared" si="3"/>
        <v>BCA106</v>
      </c>
      <c r="G701" s="43" t="str">
        <f t="shared" si="4"/>
        <v>NA</v>
      </c>
      <c r="H701" s="17" t="str">
        <f t="shared" si="5"/>
        <v>BCA106-NA</v>
      </c>
      <c r="J701" t="str">
        <f t="shared" si="6"/>
        <v>collected</v>
      </c>
      <c r="K701" t="str">
        <f t="shared" si="7"/>
        <v>N</v>
      </c>
    </row>
    <row r="702">
      <c r="A702" s="6" t="s">
        <v>170</v>
      </c>
      <c r="B702" s="10" t="str">
        <f t="shared" si="1"/>
        <v>fish</v>
      </c>
      <c r="C702" s="63" t="str">
        <f t="shared" si="2"/>
        <v>U16544</v>
      </c>
      <c r="D702" s="11" t="str">
        <f t="array" ref="D702">iferror(index(fish_lab_data!D:D,match(A702,fish_lab_data!C:C,0)))</f>
        <v>P1055</v>
      </c>
      <c r="E702" s="6">
        <v>106.0</v>
      </c>
      <c r="F702" s="17" t="str">
        <f t="shared" si="3"/>
        <v>BCA106</v>
      </c>
      <c r="G702" s="43" t="str">
        <f t="shared" si="4"/>
        <v>NA</v>
      </c>
      <c r="H702" s="17" t="str">
        <f t="shared" si="5"/>
        <v>BCA106-NA</v>
      </c>
      <c r="J702" t="str">
        <f t="shared" si="6"/>
        <v>collected</v>
      </c>
      <c r="K702" t="str">
        <f t="shared" si="7"/>
        <v>N</v>
      </c>
    </row>
    <row r="703">
      <c r="A703" s="6" t="s">
        <v>178</v>
      </c>
      <c r="B703" s="10" t="str">
        <f t="shared" si="1"/>
        <v>fish</v>
      </c>
      <c r="C703" s="63" t="str">
        <f t="shared" si="2"/>
        <v>U16545</v>
      </c>
      <c r="D703" s="11" t="str">
        <f t="array" ref="D703">iferror(index(fish_lab_data!D:D,match(A703,fish_lab_data!C:C,0)))</f>
        <v>P1055</v>
      </c>
      <c r="E703" s="6">
        <v>106.0</v>
      </c>
      <c r="F703" s="17" t="str">
        <f t="shared" si="3"/>
        <v>BCA106</v>
      </c>
      <c r="G703" s="43" t="str">
        <f t="shared" si="4"/>
        <v>NA</v>
      </c>
      <c r="H703" s="17" t="str">
        <f t="shared" si="5"/>
        <v>BCA106-NA</v>
      </c>
      <c r="J703" t="str">
        <f t="shared" si="6"/>
        <v>collected</v>
      </c>
      <c r="K703" t="str">
        <f t="shared" si="7"/>
        <v>N</v>
      </c>
    </row>
    <row r="704">
      <c r="A704" s="6" t="s">
        <v>1183</v>
      </c>
      <c r="B704" s="10" t="str">
        <f t="shared" si="1"/>
        <v>fish</v>
      </c>
      <c r="C704" s="63" t="str">
        <f t="shared" si="2"/>
        <v>U16546</v>
      </c>
      <c r="D704" s="11" t="str">
        <f t="array" ref="D704">iferror(index(fish_lab_data!D:D,match(A704,fish_lab_data!C:C,0)))</f>
        <v>P1055</v>
      </c>
      <c r="E704" s="6">
        <v>106.0</v>
      </c>
      <c r="F704" s="17" t="str">
        <f t="shared" si="3"/>
        <v>BCA106</v>
      </c>
      <c r="G704" s="43" t="str">
        <f t="shared" si="4"/>
        <v>NA</v>
      </c>
      <c r="H704" s="17" t="str">
        <f t="shared" si="5"/>
        <v>BCA106-NA</v>
      </c>
      <c r="J704" t="str">
        <f t="shared" si="6"/>
        <v>collected</v>
      </c>
      <c r="K704" t="str">
        <f t="shared" si="7"/>
        <v>N</v>
      </c>
    </row>
    <row r="705">
      <c r="A705" s="6" t="s">
        <v>186</v>
      </c>
      <c r="B705" s="10" t="str">
        <f t="shared" si="1"/>
        <v>fish</v>
      </c>
      <c r="C705" s="63" t="str">
        <f t="shared" si="2"/>
        <v>U16547</v>
      </c>
      <c r="D705" s="11" t="str">
        <f t="array" ref="D705">iferror(index(fish_lab_data!D:D,match(A705,fish_lab_data!C:C,0)))</f>
        <v>P1055</v>
      </c>
      <c r="E705" s="6">
        <v>106.0</v>
      </c>
      <c r="F705" s="17" t="str">
        <f t="shared" si="3"/>
        <v>BCA106</v>
      </c>
      <c r="G705" s="43" t="str">
        <f t="shared" si="4"/>
        <v>NA</v>
      </c>
      <c r="H705" s="17" t="str">
        <f t="shared" si="5"/>
        <v>BCA106-NA</v>
      </c>
      <c r="J705" t="str">
        <f t="shared" si="6"/>
        <v>collected</v>
      </c>
      <c r="K705" t="str">
        <f t="shared" si="7"/>
        <v>N</v>
      </c>
    </row>
    <row r="706">
      <c r="A706" s="6" t="s">
        <v>192</v>
      </c>
      <c r="B706" s="10" t="str">
        <f t="shared" si="1"/>
        <v>fish</v>
      </c>
      <c r="C706" s="63" t="str">
        <f t="shared" si="2"/>
        <v>U16548</v>
      </c>
      <c r="D706" s="11" t="str">
        <f t="array" ref="D706">iferror(index(fish_lab_data!D:D,match(A706,fish_lab_data!C:C,0)))</f>
        <v>P1055</v>
      </c>
      <c r="E706" s="6">
        <v>106.0</v>
      </c>
      <c r="F706" s="17" t="str">
        <f t="shared" si="3"/>
        <v>BCA106</v>
      </c>
      <c r="G706" s="43" t="str">
        <f t="shared" si="4"/>
        <v>NA</v>
      </c>
      <c r="H706" s="17" t="str">
        <f t="shared" si="5"/>
        <v>BCA106-NA</v>
      </c>
      <c r="J706" t="str">
        <f t="shared" si="6"/>
        <v>collected</v>
      </c>
      <c r="K706" t="str">
        <f t="shared" si="7"/>
        <v>N</v>
      </c>
    </row>
    <row r="707">
      <c r="A707" s="6" t="s">
        <v>200</v>
      </c>
      <c r="B707" s="10" t="str">
        <f t="shared" si="1"/>
        <v>fish</v>
      </c>
      <c r="C707" s="63" t="str">
        <f t="shared" si="2"/>
        <v>U16549</v>
      </c>
      <c r="D707" s="11" t="str">
        <f t="array" ref="D707">iferror(index(fish_lab_data!D:D,match(A707,fish_lab_data!C:C,0)))</f>
        <v>P1055</v>
      </c>
      <c r="E707" s="6">
        <v>106.0</v>
      </c>
      <c r="F707" s="17" t="str">
        <f t="shared" si="3"/>
        <v>BCA106</v>
      </c>
      <c r="G707" s="43" t="str">
        <f t="shared" si="4"/>
        <v>NA</v>
      </c>
      <c r="H707" s="17" t="str">
        <f t="shared" si="5"/>
        <v>BCA106-NA</v>
      </c>
      <c r="J707" t="str">
        <f t="shared" si="6"/>
        <v>collected</v>
      </c>
      <c r="K707" t="str">
        <f t="shared" si="7"/>
        <v>N</v>
      </c>
    </row>
    <row r="708">
      <c r="A708" s="26" t="s">
        <v>208</v>
      </c>
      <c r="B708" s="10" t="str">
        <f t="shared" si="1"/>
        <v>fish</v>
      </c>
      <c r="C708" s="63" t="str">
        <f t="shared" si="2"/>
        <v>U16550</v>
      </c>
      <c r="D708" s="11" t="str">
        <f t="array" ref="D708">iferror(index(fish_lab_data!D:D,match(A708,fish_lab_data!C:C,0)))</f>
        <v>P1055</v>
      </c>
      <c r="E708" s="6">
        <v>106.0</v>
      </c>
      <c r="F708" s="17" t="str">
        <f t="shared" si="3"/>
        <v>BCA106</v>
      </c>
      <c r="G708" s="43" t="str">
        <f t="shared" si="4"/>
        <v>NA</v>
      </c>
      <c r="H708" s="17" t="str">
        <f t="shared" si="5"/>
        <v>BCA106-NA</v>
      </c>
      <c r="J708" t="str">
        <f t="shared" si="6"/>
        <v>collected</v>
      </c>
      <c r="K708" t="str">
        <f t="shared" si="7"/>
        <v>N</v>
      </c>
    </row>
    <row r="709">
      <c r="A709" s="26" t="s">
        <v>216</v>
      </c>
      <c r="B709" s="10" t="str">
        <f t="shared" si="1"/>
        <v>fish</v>
      </c>
      <c r="C709" s="63" t="str">
        <f t="shared" si="2"/>
        <v>U16621</v>
      </c>
      <c r="D709" s="11" t="str">
        <f t="array" ref="D709">iferror(index(fish_lab_data!D:D,match(A709,fish_lab_data!C:C,0)))</f>
        <v>P1063</v>
      </c>
      <c r="E709" s="6">
        <v>106.0</v>
      </c>
      <c r="F709" s="17" t="str">
        <f t="shared" si="3"/>
        <v>BCA106</v>
      </c>
      <c r="G709" s="43" t="str">
        <f t="shared" si="4"/>
        <v>NA</v>
      </c>
      <c r="H709" s="17" t="str">
        <f t="shared" si="5"/>
        <v>BCA106-NA</v>
      </c>
      <c r="J709" t="str">
        <f t="shared" si="6"/>
        <v>collected</v>
      </c>
      <c r="K709" t="str">
        <f t="shared" si="7"/>
        <v>N</v>
      </c>
    </row>
    <row r="710">
      <c r="A710" s="26" t="s">
        <v>224</v>
      </c>
      <c r="B710" s="10" t="str">
        <f t="shared" si="1"/>
        <v>fish</v>
      </c>
      <c r="C710" s="63" t="str">
        <f t="shared" si="2"/>
        <v>U16622</v>
      </c>
      <c r="D710" s="11" t="str">
        <f t="array" ref="D710">iferror(index(fish_lab_data!D:D,match(A710,fish_lab_data!C:C,0)))</f>
        <v>P1063</v>
      </c>
      <c r="E710" s="6">
        <v>106.0</v>
      </c>
      <c r="F710" s="17" t="str">
        <f t="shared" si="3"/>
        <v>BCA106</v>
      </c>
      <c r="G710" s="43" t="str">
        <f t="shared" si="4"/>
        <v>NA</v>
      </c>
      <c r="H710" s="17" t="str">
        <f t="shared" si="5"/>
        <v>BCA106-NA</v>
      </c>
      <c r="J710" t="str">
        <f t="shared" si="6"/>
        <v>collected</v>
      </c>
      <c r="K710" t="str">
        <f t="shared" si="7"/>
        <v>N</v>
      </c>
    </row>
    <row r="711">
      <c r="A711" s="26" t="s">
        <v>1188</v>
      </c>
      <c r="B711" s="10" t="str">
        <f t="shared" si="1"/>
        <v>fish</v>
      </c>
      <c r="C711" s="63" t="str">
        <f t="shared" si="2"/>
        <v>U16623</v>
      </c>
      <c r="D711" s="11" t="str">
        <f t="array" ref="D711">iferror(index(fish_lab_data!D:D,match(A711,fish_lab_data!C:C,0)))</f>
        <v>P1063</v>
      </c>
      <c r="E711" s="6">
        <v>106.0</v>
      </c>
      <c r="F711" s="17" t="str">
        <f t="shared" si="3"/>
        <v>BCA106</v>
      </c>
      <c r="G711" s="43" t="str">
        <f t="shared" si="4"/>
        <v>NA</v>
      </c>
      <c r="H711" s="17" t="str">
        <f t="shared" si="5"/>
        <v>BCA106-NA</v>
      </c>
      <c r="J711" t="str">
        <f t="shared" si="6"/>
        <v>collected</v>
      </c>
      <c r="K711" t="str">
        <f t="shared" si="7"/>
        <v>N</v>
      </c>
    </row>
    <row r="712">
      <c r="A712" s="26" t="s">
        <v>1189</v>
      </c>
      <c r="B712" s="10" t="str">
        <f t="shared" si="1"/>
        <v>fish</v>
      </c>
      <c r="C712" s="63" t="str">
        <f t="shared" si="2"/>
        <v>U16624</v>
      </c>
      <c r="D712" s="11" t="str">
        <f t="array" ref="D712">iferror(index(fish_lab_data!D:D,match(A712,fish_lab_data!C:C,0)))</f>
        <v>P1063</v>
      </c>
      <c r="E712" s="6">
        <v>106.0</v>
      </c>
      <c r="F712" s="17" t="str">
        <f t="shared" si="3"/>
        <v>BCA106</v>
      </c>
      <c r="G712" s="43" t="str">
        <f t="shared" si="4"/>
        <v>NA</v>
      </c>
      <c r="H712" s="17" t="str">
        <f t="shared" si="5"/>
        <v>BCA106-NA</v>
      </c>
      <c r="J712" t="str">
        <f t="shared" si="6"/>
        <v>collected</v>
      </c>
      <c r="K712" t="str">
        <f t="shared" si="7"/>
        <v>N</v>
      </c>
    </row>
    <row r="713">
      <c r="A713" s="26" t="s">
        <v>231</v>
      </c>
      <c r="B713" s="10" t="str">
        <f t="shared" si="1"/>
        <v>fish</v>
      </c>
      <c r="C713" s="63" t="str">
        <f t="shared" si="2"/>
        <v>U16625</v>
      </c>
      <c r="D713" s="11" t="str">
        <f t="array" ref="D713">iferror(index(fish_lab_data!D:D,match(A713,fish_lab_data!C:C,0)))</f>
        <v>P1063</v>
      </c>
      <c r="E713" s="6">
        <v>106.0</v>
      </c>
      <c r="F713" s="17" t="str">
        <f t="shared" si="3"/>
        <v>BCA106</v>
      </c>
      <c r="G713" s="43" t="str">
        <f t="shared" si="4"/>
        <v>NA</v>
      </c>
      <c r="H713" s="17" t="str">
        <f t="shared" si="5"/>
        <v>BCA106-NA</v>
      </c>
      <c r="J713" t="str">
        <f t="shared" si="6"/>
        <v>collected</v>
      </c>
      <c r="K713" t="str">
        <f t="shared" si="7"/>
        <v>N</v>
      </c>
    </row>
    <row r="714">
      <c r="A714" s="26" t="s">
        <v>236</v>
      </c>
      <c r="B714" s="10" t="str">
        <f t="shared" si="1"/>
        <v>fish</v>
      </c>
      <c r="C714" s="63" t="str">
        <f t="shared" si="2"/>
        <v>U16626</v>
      </c>
      <c r="D714" s="11" t="str">
        <f t="array" ref="D714">iferror(index(fish_lab_data!D:D,match(A714,fish_lab_data!C:C,0)))</f>
        <v>P1063</v>
      </c>
      <c r="E714" s="6">
        <v>106.0</v>
      </c>
      <c r="F714" s="17" t="str">
        <f t="shared" si="3"/>
        <v>BCA106</v>
      </c>
      <c r="G714" s="43" t="str">
        <f t="shared" si="4"/>
        <v>NA</v>
      </c>
      <c r="H714" s="17" t="str">
        <f t="shared" si="5"/>
        <v>BCA106-NA</v>
      </c>
      <c r="J714" t="str">
        <f t="shared" si="6"/>
        <v>collected</v>
      </c>
      <c r="K714" t="str">
        <f t="shared" si="7"/>
        <v>N</v>
      </c>
    </row>
    <row r="715">
      <c r="A715" s="26" t="s">
        <v>243</v>
      </c>
      <c r="B715" s="10" t="str">
        <f t="shared" si="1"/>
        <v>fish</v>
      </c>
      <c r="C715" s="63" t="str">
        <f t="shared" si="2"/>
        <v>U16911</v>
      </c>
      <c r="D715" s="11" t="str">
        <f t="array" ref="D715">iferror(index(fish_lab_data!D:D,match(A715,fish_lab_data!C:C,0)))</f>
        <v>P1092</v>
      </c>
      <c r="E715" s="6">
        <v>106.0</v>
      </c>
      <c r="F715" s="17" t="str">
        <f t="shared" si="3"/>
        <v>BCA106</v>
      </c>
      <c r="G715" s="43" t="str">
        <f t="shared" si="4"/>
        <v>NA</v>
      </c>
      <c r="H715" s="17" t="str">
        <f t="shared" si="5"/>
        <v>BCA106-NA</v>
      </c>
      <c r="J715" t="str">
        <f t="shared" si="6"/>
        <v>collected</v>
      </c>
      <c r="K715" t="str">
        <f t="shared" si="7"/>
        <v>N</v>
      </c>
    </row>
    <row r="716">
      <c r="A716" s="26" t="s">
        <v>251</v>
      </c>
      <c r="B716" s="10" t="str">
        <f t="shared" si="1"/>
        <v>fish</v>
      </c>
      <c r="C716" s="63" t="str">
        <f t="shared" si="2"/>
        <v>U16912</v>
      </c>
      <c r="D716" s="11" t="str">
        <f t="array" ref="D716">iferror(index(fish_lab_data!D:D,match(A716,fish_lab_data!C:C,0)))</f>
        <v>P1092</v>
      </c>
      <c r="E716" s="6">
        <v>106.0</v>
      </c>
      <c r="F716" s="17" t="str">
        <f t="shared" si="3"/>
        <v>BCA106</v>
      </c>
      <c r="G716" s="43" t="str">
        <f t="shared" si="4"/>
        <v>NA</v>
      </c>
      <c r="H716" s="17" t="str">
        <f t="shared" si="5"/>
        <v>BCA106-NA</v>
      </c>
      <c r="J716" t="str">
        <f t="shared" si="6"/>
        <v>collected</v>
      </c>
      <c r="K716" t="str">
        <f t="shared" si="7"/>
        <v>N</v>
      </c>
    </row>
    <row r="717">
      <c r="A717" s="26" t="s">
        <v>259</v>
      </c>
      <c r="B717" s="10" t="str">
        <f t="shared" si="1"/>
        <v>fish</v>
      </c>
      <c r="C717" s="63" t="str">
        <f t="shared" si="2"/>
        <v>U16913</v>
      </c>
      <c r="D717" s="11" t="str">
        <f t="array" ref="D717">iferror(index(fish_lab_data!D:D,match(A717,fish_lab_data!C:C,0)))</f>
        <v>P1092</v>
      </c>
      <c r="E717" s="6">
        <v>106.0</v>
      </c>
      <c r="F717" s="17" t="str">
        <f t="shared" si="3"/>
        <v>BCA106</v>
      </c>
      <c r="G717" s="43" t="str">
        <f t="shared" si="4"/>
        <v>NA</v>
      </c>
      <c r="H717" s="17" t="str">
        <f t="shared" si="5"/>
        <v>BCA106-NA</v>
      </c>
      <c r="J717" t="str">
        <f t="shared" si="6"/>
        <v>collected</v>
      </c>
      <c r="K717" t="str">
        <f t="shared" si="7"/>
        <v>N</v>
      </c>
    </row>
    <row r="718">
      <c r="A718" s="26" t="s">
        <v>265</v>
      </c>
      <c r="B718" s="10" t="str">
        <f t="shared" si="1"/>
        <v>fish</v>
      </c>
      <c r="C718" s="63" t="str">
        <f t="shared" si="2"/>
        <v>U16914</v>
      </c>
      <c r="D718" s="11" t="str">
        <f t="array" ref="D718">iferror(index(fish_lab_data!D:D,match(A718,fish_lab_data!C:C,0)))</f>
        <v>P1092</v>
      </c>
      <c r="E718" s="6">
        <v>106.0</v>
      </c>
      <c r="F718" s="17" t="str">
        <f t="shared" si="3"/>
        <v>BCA106</v>
      </c>
      <c r="G718" s="43" t="str">
        <f t="shared" si="4"/>
        <v>NA</v>
      </c>
      <c r="H718" s="17" t="str">
        <f t="shared" si="5"/>
        <v>BCA106-NA</v>
      </c>
      <c r="J718" t="str">
        <f t="shared" si="6"/>
        <v>collected</v>
      </c>
      <c r="K718" t="str">
        <f t="shared" si="7"/>
        <v>N</v>
      </c>
    </row>
    <row r="719">
      <c r="A719" s="26" t="s">
        <v>275</v>
      </c>
      <c r="B719" s="10" t="str">
        <f t="shared" si="1"/>
        <v>fish</v>
      </c>
      <c r="C719" s="63" t="str">
        <f t="shared" si="2"/>
        <v>U16915</v>
      </c>
      <c r="D719" s="11" t="str">
        <f t="array" ref="D719">iferror(index(fish_lab_data!D:D,match(A719,fish_lab_data!C:C,0)))</f>
        <v>P1092</v>
      </c>
      <c r="E719" s="6">
        <v>106.0</v>
      </c>
      <c r="F719" s="17" t="str">
        <f t="shared" si="3"/>
        <v>BCA106</v>
      </c>
      <c r="G719" s="43" t="str">
        <f t="shared" si="4"/>
        <v>NA</v>
      </c>
      <c r="H719" s="17" t="str">
        <f t="shared" si="5"/>
        <v>BCA106-NA</v>
      </c>
      <c r="J719" t="str">
        <f t="shared" si="6"/>
        <v>collected</v>
      </c>
      <c r="K719" t="str">
        <f t="shared" si="7"/>
        <v>N</v>
      </c>
    </row>
    <row r="720">
      <c r="A720" s="26" t="s">
        <v>283</v>
      </c>
      <c r="B720" s="10" t="str">
        <f t="shared" si="1"/>
        <v>fish</v>
      </c>
      <c r="C720" s="63" t="str">
        <f t="shared" si="2"/>
        <v>U16916</v>
      </c>
      <c r="D720" s="11" t="str">
        <f t="array" ref="D720">iferror(index(fish_lab_data!D:D,match(A720,fish_lab_data!C:C,0)))</f>
        <v>P1092</v>
      </c>
      <c r="E720" s="6">
        <v>106.0</v>
      </c>
      <c r="F720" s="17" t="str">
        <f t="shared" si="3"/>
        <v>BCA106</v>
      </c>
      <c r="G720" s="43" t="str">
        <f t="shared" si="4"/>
        <v>NA</v>
      </c>
      <c r="H720" s="17" t="str">
        <f t="shared" si="5"/>
        <v>BCA106-NA</v>
      </c>
      <c r="J720" t="str">
        <f t="shared" si="6"/>
        <v>collected</v>
      </c>
      <c r="K720" t="str">
        <f t="shared" si="7"/>
        <v>N</v>
      </c>
    </row>
    <row r="721">
      <c r="A721" s="26" t="s">
        <v>290</v>
      </c>
      <c r="B721" s="10" t="str">
        <f t="shared" si="1"/>
        <v>fish</v>
      </c>
      <c r="C721" s="63" t="str">
        <f t="shared" si="2"/>
        <v>U16917</v>
      </c>
      <c r="D721" s="11" t="str">
        <f t="array" ref="D721">iferror(index(fish_lab_data!D:D,match(A721,fish_lab_data!C:C,0)))</f>
        <v>P1092</v>
      </c>
      <c r="E721" s="6">
        <v>106.0</v>
      </c>
      <c r="F721" s="17" t="str">
        <f t="shared" si="3"/>
        <v>BCA106</v>
      </c>
      <c r="G721" s="43" t="str">
        <f t="shared" si="4"/>
        <v>NA</v>
      </c>
      <c r="H721" s="17" t="str">
        <f t="shared" si="5"/>
        <v>BCA106-NA</v>
      </c>
      <c r="J721" t="str">
        <f t="shared" si="6"/>
        <v>collected</v>
      </c>
      <c r="K721" t="str">
        <f t="shared" si="7"/>
        <v>N</v>
      </c>
    </row>
    <row r="722">
      <c r="A722" s="26" t="s">
        <v>299</v>
      </c>
      <c r="B722" s="10" t="str">
        <f t="shared" si="1"/>
        <v>fish</v>
      </c>
      <c r="C722" s="63" t="str">
        <f t="shared" si="2"/>
        <v>U16918</v>
      </c>
      <c r="D722" s="11" t="str">
        <f t="array" ref="D722">iferror(index(fish_lab_data!D:D,match(A722,fish_lab_data!C:C,0)))</f>
        <v>P1092</v>
      </c>
      <c r="E722" s="6">
        <v>106.0</v>
      </c>
      <c r="F722" s="17" t="str">
        <f t="shared" si="3"/>
        <v>BCA106</v>
      </c>
      <c r="G722" s="43" t="str">
        <f t="shared" si="4"/>
        <v>NA</v>
      </c>
      <c r="H722" s="17" t="str">
        <f t="shared" si="5"/>
        <v>BCA106-NA</v>
      </c>
      <c r="J722" t="str">
        <f t="shared" si="6"/>
        <v>collected</v>
      </c>
      <c r="K722" t="str">
        <f t="shared" si="7"/>
        <v>N</v>
      </c>
    </row>
    <row r="723">
      <c r="A723" s="26" t="s">
        <v>306</v>
      </c>
      <c r="B723" s="10" t="str">
        <f t="shared" si="1"/>
        <v>fish</v>
      </c>
      <c r="C723" s="63" t="str">
        <f t="shared" si="2"/>
        <v>U16919</v>
      </c>
      <c r="D723" s="11" t="str">
        <f t="array" ref="D723">iferror(index(fish_lab_data!D:D,match(A723,fish_lab_data!C:C,0)))</f>
        <v>P1092</v>
      </c>
      <c r="E723" s="6">
        <v>106.0</v>
      </c>
      <c r="F723" s="17" t="str">
        <f t="shared" si="3"/>
        <v>BCA106</v>
      </c>
      <c r="G723" s="43" t="str">
        <f t="shared" si="4"/>
        <v>NA</v>
      </c>
      <c r="H723" s="17" t="str">
        <f t="shared" si="5"/>
        <v>BCA106-NA</v>
      </c>
      <c r="J723" t="str">
        <f t="shared" si="6"/>
        <v>collected</v>
      </c>
      <c r="K723" t="str">
        <f t="shared" si="7"/>
        <v>N</v>
      </c>
    </row>
    <row r="724">
      <c r="A724" s="26" t="s">
        <v>313</v>
      </c>
      <c r="B724" s="10" t="str">
        <f t="shared" si="1"/>
        <v>fish</v>
      </c>
      <c r="C724" s="63" t="str">
        <f t="shared" si="2"/>
        <v>U16920</v>
      </c>
      <c r="D724" s="11" t="str">
        <f t="array" ref="D724">iferror(index(fish_lab_data!D:D,match(A724,fish_lab_data!C:C,0)))</f>
        <v>P1092</v>
      </c>
      <c r="E724" s="6">
        <v>106.0</v>
      </c>
      <c r="F724" s="17" t="str">
        <f t="shared" si="3"/>
        <v>BCA106</v>
      </c>
      <c r="G724" s="43" t="str">
        <f t="shared" si="4"/>
        <v>NA</v>
      </c>
      <c r="H724" s="17" t="str">
        <f t="shared" si="5"/>
        <v>BCA106-NA</v>
      </c>
      <c r="J724" t="str">
        <f t="shared" si="6"/>
        <v>collected</v>
      </c>
      <c r="K724" t="str">
        <f t="shared" si="7"/>
        <v>N</v>
      </c>
    </row>
    <row r="725">
      <c r="A725" s="26" t="s">
        <v>320</v>
      </c>
      <c r="B725" s="10" t="str">
        <f t="shared" si="1"/>
        <v>fish</v>
      </c>
      <c r="C725" s="63" t="str">
        <f t="shared" si="2"/>
        <v>U17441</v>
      </c>
      <c r="D725" s="11" t="str">
        <f t="array" ref="D725">iferror(index(fish_lab_data!D:D,match(A725,fish_lab_data!C:C,0)))</f>
        <v>P1145</v>
      </c>
      <c r="E725" s="6">
        <v>107.0</v>
      </c>
      <c r="F725" s="17" t="str">
        <f t="shared" si="3"/>
        <v>BCA107</v>
      </c>
      <c r="G725" s="43" t="str">
        <f t="shared" si="4"/>
        <v>NA</v>
      </c>
      <c r="H725" s="17" t="str">
        <f t="shared" si="5"/>
        <v>BCA107-NA</v>
      </c>
      <c r="J725" t="str">
        <f t="shared" si="6"/>
        <v>collected</v>
      </c>
      <c r="K725" t="str">
        <f t="shared" si="7"/>
        <v>N</v>
      </c>
    </row>
    <row r="726">
      <c r="A726" s="26" t="s">
        <v>325</v>
      </c>
      <c r="B726" s="10" t="str">
        <f t="shared" si="1"/>
        <v>fish</v>
      </c>
      <c r="C726" s="63" t="str">
        <f t="shared" si="2"/>
        <v>U17442</v>
      </c>
      <c r="D726" s="11" t="str">
        <f t="array" ref="D726">iferror(index(fish_lab_data!D:D,match(A726,fish_lab_data!C:C,0)))</f>
        <v>P1145</v>
      </c>
      <c r="E726" s="6">
        <v>107.0</v>
      </c>
      <c r="F726" s="17" t="str">
        <f t="shared" si="3"/>
        <v>BCA107</v>
      </c>
      <c r="G726" s="43" t="str">
        <f t="shared" si="4"/>
        <v>NA</v>
      </c>
      <c r="H726" s="17" t="str">
        <f t="shared" si="5"/>
        <v>BCA107-NA</v>
      </c>
      <c r="J726" t="str">
        <f t="shared" si="6"/>
        <v>collected</v>
      </c>
      <c r="K726" t="str">
        <f t="shared" si="7"/>
        <v>N</v>
      </c>
    </row>
    <row r="727">
      <c r="A727" s="26" t="s">
        <v>331</v>
      </c>
      <c r="B727" s="10" t="str">
        <f t="shared" si="1"/>
        <v>fish</v>
      </c>
      <c r="C727" s="63" t="str">
        <f t="shared" si="2"/>
        <v>U17443</v>
      </c>
      <c r="D727" s="11" t="str">
        <f t="array" ref="D727">iferror(index(fish_lab_data!D:D,match(A727,fish_lab_data!C:C,0)))</f>
        <v>P1145</v>
      </c>
      <c r="E727" s="6">
        <v>107.0</v>
      </c>
      <c r="F727" s="17" t="str">
        <f t="shared" si="3"/>
        <v>BCA107</v>
      </c>
      <c r="G727" s="43" t="str">
        <f t="shared" si="4"/>
        <v>NA</v>
      </c>
      <c r="H727" s="17" t="str">
        <f t="shared" si="5"/>
        <v>BCA107-NA</v>
      </c>
      <c r="J727" t="str">
        <f t="shared" si="6"/>
        <v>collected</v>
      </c>
      <c r="K727" t="str">
        <f t="shared" si="7"/>
        <v>N</v>
      </c>
    </row>
    <row r="728">
      <c r="A728" s="6" t="s">
        <v>337</v>
      </c>
      <c r="B728" s="10" t="str">
        <f t="shared" si="1"/>
        <v>fish</v>
      </c>
      <c r="C728" s="63" t="str">
        <f t="shared" si="2"/>
        <v>U17444</v>
      </c>
      <c r="D728" s="11" t="str">
        <f t="array" ref="D728">iferror(index(fish_lab_data!D:D,match(A728,fish_lab_data!C:C,0)))</f>
        <v>P1145</v>
      </c>
      <c r="E728" s="6">
        <v>107.0</v>
      </c>
      <c r="F728" s="17" t="str">
        <f t="shared" si="3"/>
        <v>BCA107</v>
      </c>
      <c r="G728" s="43" t="str">
        <f t="shared" si="4"/>
        <v>NA</v>
      </c>
      <c r="H728" s="17" t="str">
        <f t="shared" si="5"/>
        <v>BCA107-NA</v>
      </c>
      <c r="J728" t="str">
        <f t="shared" si="6"/>
        <v>collected</v>
      </c>
      <c r="K728" t="str">
        <f t="shared" si="7"/>
        <v>N</v>
      </c>
    </row>
    <row r="729">
      <c r="A729" s="6" t="s">
        <v>343</v>
      </c>
      <c r="B729" s="10" t="str">
        <f t="shared" si="1"/>
        <v>fish</v>
      </c>
      <c r="C729" s="63" t="str">
        <f t="shared" si="2"/>
        <v>U17445</v>
      </c>
      <c r="D729" s="11" t="str">
        <f t="array" ref="D729">iferror(index(fish_lab_data!D:D,match(A729,fish_lab_data!C:C,0)))</f>
        <v>P1145</v>
      </c>
      <c r="E729" s="6">
        <v>107.0</v>
      </c>
      <c r="F729" s="17" t="str">
        <f t="shared" si="3"/>
        <v>BCA107</v>
      </c>
      <c r="G729" s="43" t="str">
        <f t="shared" si="4"/>
        <v>NA</v>
      </c>
      <c r="H729" s="17" t="str">
        <f t="shared" si="5"/>
        <v>BCA107-NA</v>
      </c>
      <c r="J729" t="str">
        <f t="shared" si="6"/>
        <v>collected</v>
      </c>
      <c r="K729" t="str">
        <f t="shared" si="7"/>
        <v>N</v>
      </c>
    </row>
    <row r="730">
      <c r="A730" s="6" t="s">
        <v>350</v>
      </c>
      <c r="B730" s="10" t="str">
        <f t="shared" si="1"/>
        <v>fish</v>
      </c>
      <c r="C730" s="63" t="str">
        <f t="shared" si="2"/>
        <v>U17446</v>
      </c>
      <c r="D730" s="11" t="str">
        <f t="array" ref="D730">iferror(index(fish_lab_data!D:D,match(A730,fish_lab_data!C:C,0)))</f>
        <v>P1145</v>
      </c>
      <c r="E730" s="6">
        <v>107.0</v>
      </c>
      <c r="F730" s="17" t="str">
        <f t="shared" si="3"/>
        <v>BCA107</v>
      </c>
      <c r="G730" s="43" t="str">
        <f t="shared" si="4"/>
        <v>NA</v>
      </c>
      <c r="H730" s="17" t="str">
        <f t="shared" si="5"/>
        <v>BCA107-NA</v>
      </c>
      <c r="J730" t="str">
        <f t="shared" si="6"/>
        <v>collected</v>
      </c>
      <c r="K730" t="str">
        <f t="shared" si="7"/>
        <v>N</v>
      </c>
    </row>
    <row r="731">
      <c r="A731" s="6" t="s">
        <v>357</v>
      </c>
      <c r="B731" s="10" t="str">
        <f t="shared" si="1"/>
        <v>fish</v>
      </c>
      <c r="C731" s="63" t="str">
        <f t="shared" si="2"/>
        <v>U17447</v>
      </c>
      <c r="D731" s="11" t="str">
        <f t="array" ref="D731">iferror(index(fish_lab_data!D:D,match(A731,fish_lab_data!C:C,0)))</f>
        <v>P1145</v>
      </c>
      <c r="E731" s="6">
        <v>107.0</v>
      </c>
      <c r="F731" s="17" t="str">
        <f t="shared" si="3"/>
        <v>BCA107</v>
      </c>
      <c r="G731" s="43" t="str">
        <f t="shared" si="4"/>
        <v>NA</v>
      </c>
      <c r="H731" s="17" t="str">
        <f t="shared" si="5"/>
        <v>BCA107-NA</v>
      </c>
      <c r="J731" t="str">
        <f t="shared" si="6"/>
        <v>collected</v>
      </c>
      <c r="K731" t="str">
        <f t="shared" si="7"/>
        <v>N</v>
      </c>
    </row>
    <row r="732">
      <c r="A732" s="43" t="s">
        <v>364</v>
      </c>
      <c r="B732" s="10" t="str">
        <f t="shared" si="1"/>
        <v>fish</v>
      </c>
      <c r="C732" s="63" t="str">
        <f t="shared" si="2"/>
        <v>U17121</v>
      </c>
      <c r="D732" s="11" t="str">
        <f t="array" ref="D732">iferror(index(fish_lab_data!D:D,match(A732,fish_lab_data!C:C,0)))</f>
        <v>P1113</v>
      </c>
      <c r="E732" s="6">
        <v>106.0</v>
      </c>
      <c r="F732" s="17" t="str">
        <f t="shared" si="3"/>
        <v>BCA106</v>
      </c>
      <c r="G732" s="43" t="str">
        <f t="shared" si="4"/>
        <v>NA</v>
      </c>
      <c r="H732" s="17" t="str">
        <f t="shared" si="5"/>
        <v>BCA106-NA</v>
      </c>
      <c r="J732" t="str">
        <f t="shared" si="6"/>
        <v>collected</v>
      </c>
      <c r="K732" t="str">
        <f t="shared" si="7"/>
        <v>N</v>
      </c>
    </row>
    <row r="733">
      <c r="A733" s="43" t="s">
        <v>372</v>
      </c>
      <c r="B733" s="10" t="str">
        <f t="shared" si="1"/>
        <v>fish</v>
      </c>
      <c r="C733" s="63" t="str">
        <f t="shared" si="2"/>
        <v>U17126</v>
      </c>
      <c r="D733" s="11" t="str">
        <f t="array" ref="D733">iferror(index(fish_lab_data!D:D,match(A733,fish_lab_data!C:C,0)))</f>
        <v>P1113</v>
      </c>
      <c r="E733" s="6">
        <v>106.0</v>
      </c>
      <c r="F733" s="17" t="str">
        <f t="shared" si="3"/>
        <v>BCA106</v>
      </c>
      <c r="G733" s="43" t="str">
        <f t="shared" si="4"/>
        <v>NA</v>
      </c>
      <c r="H733" s="17" t="str">
        <f t="shared" si="5"/>
        <v>BCA106-NA</v>
      </c>
      <c r="J733" t="str">
        <f t="shared" si="6"/>
        <v>collected</v>
      </c>
      <c r="K733" t="str">
        <f t="shared" si="7"/>
        <v>N</v>
      </c>
    </row>
    <row r="734">
      <c r="A734" s="43" t="s">
        <v>379</v>
      </c>
      <c r="B734" s="10" t="str">
        <f t="shared" si="1"/>
        <v>fish</v>
      </c>
      <c r="C734" s="63" t="str">
        <f t="shared" si="2"/>
        <v>U16832</v>
      </c>
      <c r="D734" s="11" t="str">
        <f t="array" ref="D734">iferror(index(fish_lab_data!D:D,match(A734,fish_lab_data!C:C,0)))</f>
        <v>P1084</v>
      </c>
      <c r="E734" s="6">
        <v>106.0</v>
      </c>
      <c r="F734" s="17" t="str">
        <f t="shared" si="3"/>
        <v>BCA106</v>
      </c>
      <c r="G734" s="43" t="str">
        <f t="shared" si="4"/>
        <v>NA</v>
      </c>
      <c r="H734" s="17" t="str">
        <f t="shared" si="5"/>
        <v>BCA106-NA</v>
      </c>
      <c r="J734" t="str">
        <f t="shared" si="6"/>
        <v>collected</v>
      </c>
      <c r="K734" t="str">
        <f t="shared" si="7"/>
        <v>N</v>
      </c>
    </row>
    <row r="735">
      <c r="A735" s="43" t="s">
        <v>385</v>
      </c>
      <c r="B735" s="10" t="str">
        <f t="shared" si="1"/>
        <v>fish</v>
      </c>
      <c r="C735" s="63" t="str">
        <f t="shared" si="2"/>
        <v>U16835</v>
      </c>
      <c r="D735" s="11" t="str">
        <f t="array" ref="D735">iferror(index(fish_lab_data!D:D,match(A735,fish_lab_data!C:C,0)))</f>
        <v>P1084</v>
      </c>
      <c r="E735" s="6">
        <v>106.0</v>
      </c>
      <c r="F735" s="17" t="str">
        <f t="shared" si="3"/>
        <v>BCA106</v>
      </c>
      <c r="G735" s="43" t="str">
        <f t="shared" si="4"/>
        <v>NA</v>
      </c>
      <c r="H735" s="17" t="str">
        <f t="shared" si="5"/>
        <v>BCA106-NA</v>
      </c>
      <c r="J735" t="str">
        <f t="shared" si="6"/>
        <v>collected</v>
      </c>
      <c r="K735" t="str">
        <f t="shared" si="7"/>
        <v>N</v>
      </c>
    </row>
    <row r="736">
      <c r="A736" s="43" t="s">
        <v>390</v>
      </c>
      <c r="B736" s="10" t="str">
        <f t="shared" si="1"/>
        <v>fish</v>
      </c>
      <c r="C736" s="63" t="str">
        <f t="shared" si="2"/>
        <v>U16837</v>
      </c>
      <c r="D736" s="11" t="str">
        <f t="array" ref="D736">iferror(index(fish_lab_data!D:D,match(A736,fish_lab_data!C:C,0)))</f>
        <v>P1084</v>
      </c>
      <c r="E736" s="6">
        <v>106.0</v>
      </c>
      <c r="F736" s="17" t="str">
        <f t="shared" si="3"/>
        <v>BCA106</v>
      </c>
      <c r="G736" s="43" t="str">
        <f t="shared" si="4"/>
        <v>NA</v>
      </c>
      <c r="H736" s="17" t="str">
        <f t="shared" si="5"/>
        <v>BCA106-NA</v>
      </c>
      <c r="J736" t="str">
        <f t="shared" si="6"/>
        <v>collected</v>
      </c>
      <c r="K736" t="str">
        <f t="shared" si="7"/>
        <v>N</v>
      </c>
    </row>
    <row r="737">
      <c r="A737" s="43" t="s">
        <v>399</v>
      </c>
      <c r="B737" s="10" t="str">
        <f t="shared" si="1"/>
        <v>fish</v>
      </c>
      <c r="C737" s="63" t="str">
        <f t="shared" si="2"/>
        <v>U16838</v>
      </c>
      <c r="D737" s="11" t="str">
        <f t="array" ref="D737">iferror(index(fish_lab_data!D:D,match(A737,fish_lab_data!C:C,0)))</f>
        <v>P1084</v>
      </c>
      <c r="E737" s="6">
        <v>106.0</v>
      </c>
      <c r="F737" s="17" t="str">
        <f t="shared" si="3"/>
        <v>BCA106</v>
      </c>
      <c r="G737" s="43" t="str">
        <f t="shared" si="4"/>
        <v>NA</v>
      </c>
      <c r="H737" s="17" t="str">
        <f t="shared" si="5"/>
        <v>BCA106-NA</v>
      </c>
      <c r="J737" t="str">
        <f t="shared" si="6"/>
        <v>collected</v>
      </c>
      <c r="K737" t="str">
        <f t="shared" si="7"/>
        <v>N</v>
      </c>
    </row>
    <row r="738">
      <c r="A738" s="46" t="s">
        <v>406</v>
      </c>
      <c r="B738" s="10" t="str">
        <f t="shared" si="1"/>
        <v>fish</v>
      </c>
      <c r="C738" s="63" t="str">
        <f t="shared" si="2"/>
        <v>U16836</v>
      </c>
      <c r="D738" s="11" t="str">
        <f t="array" ref="D738">iferror(index(fish_lab_data!D:D,match(A738,fish_lab_data!C:C,0)))</f>
        <v>P1084</v>
      </c>
      <c r="E738" s="6">
        <v>106.0</v>
      </c>
      <c r="F738" s="17" t="str">
        <f t="shared" si="3"/>
        <v>BCA106</v>
      </c>
      <c r="G738" s="43" t="str">
        <f t="shared" si="4"/>
        <v>NA</v>
      </c>
      <c r="H738" s="17" t="str">
        <f t="shared" si="5"/>
        <v>BCA106-NA</v>
      </c>
      <c r="J738" t="str">
        <f t="shared" si="6"/>
        <v>collected</v>
      </c>
      <c r="K738" t="str">
        <f t="shared" si="7"/>
        <v>N</v>
      </c>
    </row>
    <row r="739">
      <c r="A739" s="46" t="s">
        <v>416</v>
      </c>
      <c r="B739" s="10" t="str">
        <f t="shared" si="1"/>
        <v>fish</v>
      </c>
      <c r="C739" s="63" t="str">
        <f t="shared" si="2"/>
        <v>U16839</v>
      </c>
      <c r="D739" s="11" t="str">
        <f t="array" ref="D739">iferror(index(fish_lab_data!D:D,match(A739,fish_lab_data!C:C,0)))</f>
        <v>P1084</v>
      </c>
      <c r="E739" s="6">
        <v>106.0</v>
      </c>
      <c r="F739" s="17" t="str">
        <f t="shared" si="3"/>
        <v>BCA106</v>
      </c>
      <c r="G739" s="43" t="str">
        <f t="shared" si="4"/>
        <v>NA</v>
      </c>
      <c r="H739" s="17" t="str">
        <f t="shared" si="5"/>
        <v>BCA106-NA</v>
      </c>
      <c r="J739" t="str">
        <f t="shared" si="6"/>
        <v>collected</v>
      </c>
      <c r="K739" t="str">
        <f t="shared" si="7"/>
        <v>N</v>
      </c>
    </row>
    <row r="740">
      <c r="A740" s="46" t="s">
        <v>426</v>
      </c>
      <c r="B740" s="10" t="str">
        <f t="shared" si="1"/>
        <v>fish</v>
      </c>
      <c r="C740" s="63" t="str">
        <f t="shared" si="2"/>
        <v>U16840</v>
      </c>
      <c r="D740" s="11" t="str">
        <f t="array" ref="D740">iferror(index(fish_lab_data!D:D,match(A740,fish_lab_data!C:C,0)))</f>
        <v>P1084</v>
      </c>
      <c r="E740" s="6">
        <v>106.0</v>
      </c>
      <c r="F740" s="17" t="str">
        <f t="shared" si="3"/>
        <v>BCA106</v>
      </c>
      <c r="G740" s="43" t="str">
        <f t="shared" si="4"/>
        <v>NA</v>
      </c>
      <c r="H740" s="17" t="str">
        <f t="shared" si="5"/>
        <v>BCA106-NA</v>
      </c>
      <c r="J740" t="str">
        <f t="shared" si="6"/>
        <v>collected</v>
      </c>
      <c r="K740" t="str">
        <f t="shared" si="7"/>
        <v>N</v>
      </c>
    </row>
    <row r="741">
      <c r="A741" s="44" t="s">
        <v>434</v>
      </c>
      <c r="B741" s="10" t="str">
        <f t="shared" si="1"/>
        <v>fish</v>
      </c>
      <c r="C741" s="63" t="str">
        <f t="shared" si="2"/>
        <v>U16833</v>
      </c>
      <c r="D741" s="11" t="str">
        <f t="array" ref="D741">iferror(index(fish_lab_data!D:D,match(A741,fish_lab_data!C:C,0)))</f>
        <v>P1084</v>
      </c>
      <c r="E741" s="6">
        <v>106.0</v>
      </c>
      <c r="F741" s="17" t="str">
        <f t="shared" si="3"/>
        <v>BCA106</v>
      </c>
      <c r="G741" s="43" t="str">
        <f t="shared" si="4"/>
        <v>NA</v>
      </c>
      <c r="H741" s="17" t="str">
        <f t="shared" si="5"/>
        <v>BCA106-NA</v>
      </c>
      <c r="J741" t="str">
        <f t="shared" si="6"/>
        <v>collected</v>
      </c>
      <c r="K741" t="str">
        <f t="shared" si="7"/>
        <v>N</v>
      </c>
    </row>
    <row r="742">
      <c r="A742" s="44" t="s">
        <v>442</v>
      </c>
      <c r="B742" s="10" t="str">
        <f t="shared" si="1"/>
        <v>fish</v>
      </c>
      <c r="C742" s="63" t="str">
        <f t="shared" si="2"/>
        <v>U16834</v>
      </c>
      <c r="D742" s="11" t="str">
        <f t="array" ref="D742">iferror(index(fish_lab_data!D:D,match(A742,fish_lab_data!C:C,0)))</f>
        <v>P1084</v>
      </c>
      <c r="E742" s="6">
        <v>106.0</v>
      </c>
      <c r="F742" s="17" t="str">
        <f t="shared" si="3"/>
        <v>BCA106</v>
      </c>
      <c r="G742" s="43" t="str">
        <f t="shared" si="4"/>
        <v>NA</v>
      </c>
      <c r="H742" s="17" t="str">
        <f t="shared" si="5"/>
        <v>BCA106-NA</v>
      </c>
      <c r="J742" t="str">
        <f t="shared" si="6"/>
        <v>collected</v>
      </c>
      <c r="K742" t="str">
        <f t="shared" si="7"/>
        <v>N</v>
      </c>
    </row>
    <row r="743">
      <c r="A743" s="44" t="s">
        <v>450</v>
      </c>
      <c r="B743" s="10" t="str">
        <f t="shared" si="1"/>
        <v>fish</v>
      </c>
      <c r="C743" s="63" t="str">
        <f t="shared" si="2"/>
        <v>U16831</v>
      </c>
      <c r="D743" s="11" t="str">
        <f t="array" ref="D743">iferror(index(fish_lab_data!D:D,match(A743,fish_lab_data!C:C,0)))</f>
        <v>P1084</v>
      </c>
      <c r="E743" s="6">
        <v>106.0</v>
      </c>
      <c r="F743" s="17" t="str">
        <f t="shared" si="3"/>
        <v>BCA106</v>
      </c>
      <c r="G743" s="43" t="str">
        <f t="shared" si="4"/>
        <v>NA</v>
      </c>
      <c r="H743" s="17" t="str">
        <f t="shared" si="5"/>
        <v>BCA106-NA</v>
      </c>
      <c r="J743" t="str">
        <f t="shared" si="6"/>
        <v>collected</v>
      </c>
      <c r="K743" t="str">
        <f t="shared" si="7"/>
        <v>N</v>
      </c>
    </row>
    <row r="744">
      <c r="A744" s="44" t="s">
        <v>458</v>
      </c>
      <c r="B744" s="10" t="str">
        <f t="shared" si="1"/>
        <v>fish</v>
      </c>
      <c r="C744" s="63" t="str">
        <f t="shared" si="2"/>
        <v>U16948</v>
      </c>
      <c r="D744" s="11" t="str">
        <f t="array" ref="D744">iferror(index(fish_lab_data!D:D,match(A744,fish_lab_data!C:C,0)))</f>
        <v>P1095</v>
      </c>
      <c r="E744" s="6">
        <v>107.0</v>
      </c>
      <c r="F744" s="17" t="str">
        <f t="shared" si="3"/>
        <v>BCA107</v>
      </c>
      <c r="G744" s="43" t="str">
        <f t="shared" si="4"/>
        <v>NA</v>
      </c>
      <c r="H744" s="17" t="str">
        <f t="shared" si="5"/>
        <v>BCA107-NA</v>
      </c>
      <c r="J744" t="str">
        <f t="shared" si="6"/>
        <v>collected</v>
      </c>
      <c r="K744" t="str">
        <f t="shared" si="7"/>
        <v>N</v>
      </c>
    </row>
    <row r="745">
      <c r="A745" s="44" t="s">
        <v>465</v>
      </c>
      <c r="B745" s="10" t="str">
        <f t="shared" si="1"/>
        <v>fish</v>
      </c>
      <c r="C745" s="63" t="str">
        <f t="shared" si="2"/>
        <v>U16942</v>
      </c>
      <c r="D745" s="11" t="str">
        <f t="array" ref="D745">iferror(index(fish_lab_data!D:D,match(A745,fish_lab_data!C:C,0)))</f>
        <v>P1095</v>
      </c>
      <c r="E745" s="6">
        <v>107.0</v>
      </c>
      <c r="F745" s="17" t="str">
        <f t="shared" si="3"/>
        <v>BCA107</v>
      </c>
      <c r="G745" s="43" t="str">
        <f t="shared" si="4"/>
        <v>NA</v>
      </c>
      <c r="H745" s="17" t="str">
        <f t="shared" si="5"/>
        <v>BCA107-NA</v>
      </c>
      <c r="J745" t="str">
        <f t="shared" si="6"/>
        <v>collected</v>
      </c>
      <c r="K745" t="str">
        <f t="shared" si="7"/>
        <v>N</v>
      </c>
    </row>
    <row r="746">
      <c r="A746" s="44" t="s">
        <v>472</v>
      </c>
      <c r="B746" s="10" t="str">
        <f t="shared" si="1"/>
        <v>fish</v>
      </c>
      <c r="C746" s="63" t="str">
        <f t="shared" si="2"/>
        <v>U16950</v>
      </c>
      <c r="D746" s="11" t="str">
        <f t="array" ref="D746">iferror(index(fish_lab_data!D:D,match(A746,fish_lab_data!C:C,0)))</f>
        <v>P1095</v>
      </c>
      <c r="E746" s="6">
        <v>107.0</v>
      </c>
      <c r="F746" s="17" t="str">
        <f t="shared" si="3"/>
        <v>BCA107</v>
      </c>
      <c r="G746" s="43" t="str">
        <f t="shared" si="4"/>
        <v>NA</v>
      </c>
      <c r="H746" s="17" t="str">
        <f t="shared" si="5"/>
        <v>BCA107-NA</v>
      </c>
      <c r="J746" t="str">
        <f t="shared" si="6"/>
        <v>collected</v>
      </c>
      <c r="K746" t="str">
        <f t="shared" si="7"/>
        <v>N</v>
      </c>
    </row>
    <row r="747">
      <c r="A747" s="44" t="s">
        <v>479</v>
      </c>
      <c r="B747" s="10" t="str">
        <f t="shared" si="1"/>
        <v>fish</v>
      </c>
      <c r="C747" s="63" t="str">
        <f t="shared" si="2"/>
        <v>U16944</v>
      </c>
      <c r="D747" s="11" t="str">
        <f t="array" ref="D747">iferror(index(fish_lab_data!D:D,match(A747,fish_lab_data!C:C,0)))</f>
        <v>P1095</v>
      </c>
      <c r="E747" s="6">
        <v>107.0</v>
      </c>
      <c r="F747" s="17" t="str">
        <f t="shared" si="3"/>
        <v>BCA107</v>
      </c>
      <c r="G747" s="43" t="str">
        <f t="shared" si="4"/>
        <v>NA</v>
      </c>
      <c r="H747" s="17" t="str">
        <f t="shared" si="5"/>
        <v>BCA107-NA</v>
      </c>
      <c r="J747" t="str">
        <f t="shared" si="6"/>
        <v>collected</v>
      </c>
      <c r="K747" t="str">
        <f t="shared" si="7"/>
        <v>N</v>
      </c>
    </row>
    <row r="748">
      <c r="A748" s="44" t="s">
        <v>486</v>
      </c>
      <c r="B748" s="10" t="str">
        <f t="shared" si="1"/>
        <v>fish</v>
      </c>
      <c r="C748" s="63" t="str">
        <f t="shared" si="2"/>
        <v>U16945</v>
      </c>
      <c r="D748" s="11" t="str">
        <f t="array" ref="D748">iferror(index(fish_lab_data!D:D,match(A748,fish_lab_data!C:C,0)))</f>
        <v>P1095</v>
      </c>
      <c r="E748" s="6">
        <v>107.0</v>
      </c>
      <c r="F748" s="17" t="str">
        <f t="shared" si="3"/>
        <v>BCA107</v>
      </c>
      <c r="G748" s="43" t="str">
        <f t="shared" si="4"/>
        <v>NA</v>
      </c>
      <c r="H748" s="17" t="str">
        <f t="shared" si="5"/>
        <v>BCA107-NA</v>
      </c>
      <c r="J748" t="str">
        <f t="shared" si="6"/>
        <v>collected</v>
      </c>
      <c r="K748" t="str">
        <f t="shared" si="7"/>
        <v>N</v>
      </c>
    </row>
    <row r="749">
      <c r="A749" s="44" t="s">
        <v>494</v>
      </c>
      <c r="B749" s="10" t="str">
        <f t="shared" si="1"/>
        <v>fish</v>
      </c>
      <c r="C749" s="63" t="str">
        <f t="shared" si="2"/>
        <v>U16947</v>
      </c>
      <c r="D749" s="11" t="str">
        <f t="array" ref="D749">iferror(index(fish_lab_data!D:D,match(A749,fish_lab_data!C:C,0)))</f>
        <v>P1095</v>
      </c>
      <c r="E749" s="6">
        <v>107.0</v>
      </c>
      <c r="F749" s="17" t="str">
        <f t="shared" si="3"/>
        <v>BCA107</v>
      </c>
      <c r="G749" s="43" t="str">
        <f t="shared" si="4"/>
        <v>NA</v>
      </c>
      <c r="H749" s="17" t="str">
        <f t="shared" si="5"/>
        <v>BCA107-NA</v>
      </c>
      <c r="J749" t="str">
        <f t="shared" si="6"/>
        <v>collected</v>
      </c>
      <c r="K749" t="str">
        <f t="shared" si="7"/>
        <v>N</v>
      </c>
    </row>
    <row r="750">
      <c r="A750" s="44" t="s">
        <v>502</v>
      </c>
      <c r="B750" s="10" t="str">
        <f t="shared" si="1"/>
        <v>fish</v>
      </c>
      <c r="C750" s="63" t="str">
        <f t="shared" si="2"/>
        <v>U16946</v>
      </c>
      <c r="D750" s="11" t="str">
        <f t="array" ref="D750">iferror(index(fish_lab_data!D:D,match(A750,fish_lab_data!C:C,0)))</f>
        <v>P1095</v>
      </c>
      <c r="E750" s="6">
        <v>107.0</v>
      </c>
      <c r="F750" s="17" t="str">
        <f t="shared" si="3"/>
        <v>BCA107</v>
      </c>
      <c r="G750" s="43" t="str">
        <f t="shared" si="4"/>
        <v>NA</v>
      </c>
      <c r="H750" s="17" t="str">
        <f t="shared" si="5"/>
        <v>BCA107-NA</v>
      </c>
      <c r="J750" t="str">
        <f t="shared" si="6"/>
        <v>collected</v>
      </c>
      <c r="K750" t="str">
        <f t="shared" si="7"/>
        <v>N</v>
      </c>
    </row>
    <row r="751">
      <c r="A751" s="44" t="s">
        <v>508</v>
      </c>
      <c r="B751" s="10" t="str">
        <f t="shared" si="1"/>
        <v>fish</v>
      </c>
      <c r="C751" s="63" t="str">
        <f t="shared" si="2"/>
        <v>U16949</v>
      </c>
      <c r="D751" s="11" t="str">
        <f t="array" ref="D751">iferror(index(fish_lab_data!D:D,match(A751,fish_lab_data!C:C,0)))</f>
        <v>P1095</v>
      </c>
      <c r="E751" s="6">
        <v>107.0</v>
      </c>
      <c r="F751" s="17" t="str">
        <f t="shared" si="3"/>
        <v>BCA107</v>
      </c>
      <c r="G751" s="43" t="str">
        <f t="shared" si="4"/>
        <v>NA</v>
      </c>
      <c r="H751" s="17" t="str">
        <f t="shared" si="5"/>
        <v>BCA107-NA</v>
      </c>
      <c r="J751" t="str">
        <f t="shared" si="6"/>
        <v>collected</v>
      </c>
      <c r="K751" t="str">
        <f t="shared" si="7"/>
        <v>N</v>
      </c>
    </row>
    <row r="752">
      <c r="A752" s="44" t="s">
        <v>517</v>
      </c>
      <c r="B752" s="10" t="str">
        <f t="shared" si="1"/>
        <v>fish</v>
      </c>
      <c r="C752" s="63" t="str">
        <f t="shared" si="2"/>
        <v>U16943</v>
      </c>
      <c r="D752" s="11" t="str">
        <f t="array" ref="D752">iferror(index(fish_lab_data!D:D,match(A752,fish_lab_data!C:C,0)))</f>
        <v>P1095</v>
      </c>
      <c r="E752" s="6">
        <v>107.0</v>
      </c>
      <c r="F752" s="17" t="str">
        <f t="shared" si="3"/>
        <v>BCA107</v>
      </c>
      <c r="G752" s="43" t="str">
        <f t="shared" si="4"/>
        <v>NA</v>
      </c>
      <c r="H752" s="17" t="str">
        <f t="shared" si="5"/>
        <v>BCA107-NA</v>
      </c>
      <c r="J752" t="str">
        <f t="shared" si="6"/>
        <v>collected</v>
      </c>
      <c r="K752" t="str">
        <f t="shared" si="7"/>
        <v>N</v>
      </c>
    </row>
    <row r="753">
      <c r="A753" s="44" t="s">
        <v>525</v>
      </c>
      <c r="B753" s="10" t="str">
        <f t="shared" si="1"/>
        <v>fish</v>
      </c>
      <c r="C753" s="63" t="str">
        <f t="shared" si="2"/>
        <v>U16941</v>
      </c>
      <c r="D753" s="11" t="str">
        <f t="array" ref="D753">iferror(index(fish_lab_data!D:D,match(A753,fish_lab_data!C:C,0)))</f>
        <v>P1095</v>
      </c>
      <c r="E753" s="6">
        <v>107.0</v>
      </c>
      <c r="F753" s="17" t="str">
        <f t="shared" si="3"/>
        <v>BCA107</v>
      </c>
      <c r="G753" s="43" t="str">
        <f t="shared" si="4"/>
        <v>NA</v>
      </c>
      <c r="H753" s="17" t="str">
        <f t="shared" si="5"/>
        <v>BCA107-NA</v>
      </c>
      <c r="J753" t="str">
        <f t="shared" si="6"/>
        <v>collected</v>
      </c>
      <c r="K753" t="str">
        <f t="shared" si="7"/>
        <v>N</v>
      </c>
    </row>
    <row r="754">
      <c r="A754" s="26" t="s">
        <v>533</v>
      </c>
      <c r="B754" s="10" t="str">
        <f t="shared" si="1"/>
        <v>fish</v>
      </c>
      <c r="C754" s="63" t="str">
        <f t="shared" si="2"/>
        <v>U17448</v>
      </c>
      <c r="D754" s="11" t="str">
        <f t="array" ref="D754">iferror(index(fish_lab_data!D:D,match(A754,fish_lab_data!C:C,0)))</f>
        <v>P1145</v>
      </c>
      <c r="E754" s="6">
        <v>107.0</v>
      </c>
      <c r="F754" s="17" t="str">
        <f t="shared" si="3"/>
        <v>BCA107</v>
      </c>
      <c r="G754" s="43" t="str">
        <f t="shared" si="4"/>
        <v>NA</v>
      </c>
      <c r="H754" s="17" t="str">
        <f t="shared" si="5"/>
        <v>BCA107-NA</v>
      </c>
      <c r="J754" t="str">
        <f t="shared" si="6"/>
        <v>collected</v>
      </c>
      <c r="K754" t="str">
        <f t="shared" si="7"/>
        <v>N</v>
      </c>
    </row>
    <row r="755">
      <c r="A755" s="26" t="s">
        <v>542</v>
      </c>
      <c r="B755" s="10" t="str">
        <f t="shared" si="1"/>
        <v>fish</v>
      </c>
      <c r="C755" s="63" t="str">
        <f t="shared" si="2"/>
        <v>U17449</v>
      </c>
      <c r="D755" s="11" t="str">
        <f t="array" ref="D755">iferror(index(fish_lab_data!D:D,match(A755,fish_lab_data!C:C,0)))</f>
        <v>P1145</v>
      </c>
      <c r="E755" s="6">
        <v>107.0</v>
      </c>
      <c r="F755" s="17" t="str">
        <f t="shared" si="3"/>
        <v>BCA107</v>
      </c>
      <c r="G755" s="43" t="str">
        <f t="shared" si="4"/>
        <v>NA</v>
      </c>
      <c r="H755" s="17" t="str">
        <f t="shared" si="5"/>
        <v>BCA107-NA</v>
      </c>
      <c r="J755" t="str">
        <f t="shared" si="6"/>
        <v>collected</v>
      </c>
      <c r="K755" t="str">
        <f t="shared" si="7"/>
        <v>N</v>
      </c>
    </row>
    <row r="756">
      <c r="A756" s="26" t="s">
        <v>551</v>
      </c>
      <c r="B756" s="10" t="str">
        <f t="shared" si="1"/>
        <v>fish</v>
      </c>
      <c r="C756" s="63" t="str">
        <f t="shared" si="2"/>
        <v>U17450</v>
      </c>
      <c r="D756" s="11" t="str">
        <f t="array" ref="D756">iferror(index(fish_lab_data!D:D,match(A756,fish_lab_data!C:C,0)))</f>
        <v>P1145</v>
      </c>
      <c r="E756" s="6">
        <v>107.0</v>
      </c>
      <c r="F756" s="17" t="str">
        <f t="shared" si="3"/>
        <v>BCA107</v>
      </c>
      <c r="G756" s="43" t="str">
        <f t="shared" si="4"/>
        <v>NA</v>
      </c>
      <c r="H756" s="17" t="str">
        <f t="shared" si="5"/>
        <v>BCA107-NA</v>
      </c>
      <c r="J756" t="str">
        <f t="shared" si="6"/>
        <v>collected</v>
      </c>
      <c r="K756" t="str">
        <f t="shared" si="7"/>
        <v>N</v>
      </c>
    </row>
    <row r="757">
      <c r="A757" s="26" t="s">
        <v>557</v>
      </c>
      <c r="B757" s="10" t="str">
        <f t="shared" si="1"/>
        <v>fish</v>
      </c>
      <c r="C757" s="63" t="str">
        <f t="shared" si="2"/>
        <v>U16821</v>
      </c>
      <c r="D757" s="11" t="str">
        <f t="array" ref="D757">iferror(index(fish_lab_data!D:D,match(A757,fish_lab_data!C:C,0)))</f>
        <v>P1083</v>
      </c>
      <c r="E757" s="6">
        <v>107.0</v>
      </c>
      <c r="F757" s="17" t="str">
        <f t="shared" si="3"/>
        <v>BCA107</v>
      </c>
      <c r="G757" s="43" t="str">
        <f t="shared" si="4"/>
        <v>NA</v>
      </c>
      <c r="H757" s="17" t="str">
        <f t="shared" si="5"/>
        <v>BCA107-NA</v>
      </c>
      <c r="J757" t="str">
        <f t="shared" si="6"/>
        <v>collected</v>
      </c>
      <c r="K757" t="str">
        <f t="shared" si="7"/>
        <v>N</v>
      </c>
    </row>
    <row r="758">
      <c r="A758" s="26" t="s">
        <v>565</v>
      </c>
      <c r="B758" s="10" t="str">
        <f t="shared" si="1"/>
        <v>fish</v>
      </c>
      <c r="C758" s="63" t="str">
        <f t="shared" si="2"/>
        <v>U16822</v>
      </c>
      <c r="D758" s="11" t="str">
        <f t="array" ref="D758">iferror(index(fish_lab_data!D:D,match(A758,fish_lab_data!C:C,0)))</f>
        <v>P1083</v>
      </c>
      <c r="E758" s="6">
        <v>107.0</v>
      </c>
      <c r="F758" s="17" t="str">
        <f t="shared" si="3"/>
        <v>BCA107</v>
      </c>
      <c r="G758" s="43" t="str">
        <f t="shared" si="4"/>
        <v>NA</v>
      </c>
      <c r="H758" s="17" t="str">
        <f t="shared" si="5"/>
        <v>BCA107-NA</v>
      </c>
      <c r="J758" t="str">
        <f t="shared" si="6"/>
        <v>collected</v>
      </c>
      <c r="K758" t="str">
        <f t="shared" si="7"/>
        <v>N</v>
      </c>
    </row>
    <row r="759">
      <c r="A759" s="26" t="s">
        <v>573</v>
      </c>
      <c r="B759" s="10" t="str">
        <f t="shared" si="1"/>
        <v>fish</v>
      </c>
      <c r="C759" s="63" t="str">
        <f t="shared" si="2"/>
        <v>U16823</v>
      </c>
      <c r="D759" s="11" t="str">
        <f t="array" ref="D759">iferror(index(fish_lab_data!D:D,match(A759,fish_lab_data!C:C,0)))</f>
        <v>P1083</v>
      </c>
      <c r="E759" s="6">
        <v>107.0</v>
      </c>
      <c r="F759" s="17" t="str">
        <f t="shared" si="3"/>
        <v>BCA107</v>
      </c>
      <c r="G759" s="43" t="str">
        <f t="shared" si="4"/>
        <v>NA</v>
      </c>
      <c r="H759" s="17" t="str">
        <f t="shared" si="5"/>
        <v>BCA107-NA</v>
      </c>
      <c r="J759" t="str">
        <f t="shared" si="6"/>
        <v>collected</v>
      </c>
      <c r="K759" t="str">
        <f t="shared" si="7"/>
        <v>N</v>
      </c>
    </row>
    <row r="760">
      <c r="A760" s="26" t="s">
        <v>579</v>
      </c>
      <c r="B760" s="10" t="str">
        <f t="shared" si="1"/>
        <v>fish</v>
      </c>
      <c r="C760" s="63" t="str">
        <f t="shared" si="2"/>
        <v>U16824</v>
      </c>
      <c r="D760" s="11" t="str">
        <f t="array" ref="D760">iferror(index(fish_lab_data!D:D,match(A760,fish_lab_data!C:C,0)))</f>
        <v>P1083</v>
      </c>
      <c r="E760" s="6">
        <v>107.0</v>
      </c>
      <c r="F760" s="17" t="str">
        <f t="shared" si="3"/>
        <v>BCA107</v>
      </c>
      <c r="G760" s="43" t="str">
        <f t="shared" si="4"/>
        <v>NA</v>
      </c>
      <c r="H760" s="17" t="str">
        <f t="shared" si="5"/>
        <v>BCA107-NA</v>
      </c>
      <c r="J760" t="str">
        <f t="shared" si="6"/>
        <v>collected</v>
      </c>
      <c r="K760" t="str">
        <f t="shared" si="7"/>
        <v>N</v>
      </c>
    </row>
    <row r="761">
      <c r="A761" s="26" t="s">
        <v>589</v>
      </c>
      <c r="B761" s="10" t="str">
        <f t="shared" si="1"/>
        <v>fish</v>
      </c>
      <c r="C761" s="63" t="str">
        <f t="shared" si="2"/>
        <v>U16825</v>
      </c>
      <c r="D761" s="11" t="str">
        <f t="array" ref="D761">iferror(index(fish_lab_data!D:D,match(A761,fish_lab_data!C:C,0)))</f>
        <v>P1083</v>
      </c>
      <c r="E761" s="6">
        <v>107.0</v>
      </c>
      <c r="F761" s="17" t="str">
        <f t="shared" si="3"/>
        <v>BCA107</v>
      </c>
      <c r="G761" s="43" t="str">
        <f t="shared" si="4"/>
        <v>NA</v>
      </c>
      <c r="H761" s="17" t="str">
        <f t="shared" si="5"/>
        <v>BCA107-NA</v>
      </c>
      <c r="J761" t="str">
        <f t="shared" si="6"/>
        <v>collected</v>
      </c>
      <c r="K761" t="str">
        <f t="shared" si="7"/>
        <v>N</v>
      </c>
    </row>
    <row r="762">
      <c r="A762" s="26" t="s">
        <v>594</v>
      </c>
      <c r="B762" s="10" t="str">
        <f t="shared" si="1"/>
        <v>fish</v>
      </c>
      <c r="C762" s="63" t="str">
        <f t="shared" si="2"/>
        <v>U16826</v>
      </c>
      <c r="D762" s="11" t="str">
        <f t="array" ref="D762">iferror(index(fish_lab_data!D:D,match(A762,fish_lab_data!C:C,0)))</f>
        <v>P1083</v>
      </c>
      <c r="E762" s="6">
        <v>107.0</v>
      </c>
      <c r="F762" s="17" t="str">
        <f t="shared" si="3"/>
        <v>BCA107</v>
      </c>
      <c r="G762" s="43" t="str">
        <f t="shared" si="4"/>
        <v>NA</v>
      </c>
      <c r="H762" s="17" t="str">
        <f t="shared" si="5"/>
        <v>BCA107-NA</v>
      </c>
      <c r="J762" t="str">
        <f t="shared" si="6"/>
        <v>collected</v>
      </c>
      <c r="K762" t="str">
        <f t="shared" si="7"/>
        <v>N</v>
      </c>
    </row>
    <row r="763">
      <c r="A763" s="26" t="s">
        <v>599</v>
      </c>
      <c r="B763" s="10" t="str">
        <f t="shared" si="1"/>
        <v>fish</v>
      </c>
      <c r="C763" s="63" t="str">
        <f t="shared" si="2"/>
        <v>U16827</v>
      </c>
      <c r="D763" s="11" t="str">
        <f t="array" ref="D763">iferror(index(fish_lab_data!D:D,match(A763,fish_lab_data!C:C,0)))</f>
        <v>P1083</v>
      </c>
      <c r="E763" s="6">
        <v>107.0</v>
      </c>
      <c r="F763" s="17" t="str">
        <f t="shared" si="3"/>
        <v>BCA107</v>
      </c>
      <c r="G763" s="43" t="str">
        <f t="shared" si="4"/>
        <v>NA</v>
      </c>
      <c r="H763" s="17" t="str">
        <f t="shared" si="5"/>
        <v>BCA107-NA</v>
      </c>
      <c r="J763" t="str">
        <f t="shared" si="6"/>
        <v>collected</v>
      </c>
      <c r="K763" t="str">
        <f t="shared" si="7"/>
        <v>N</v>
      </c>
    </row>
    <row r="764">
      <c r="A764" s="26" t="s">
        <v>605</v>
      </c>
      <c r="B764" s="10" t="str">
        <f t="shared" si="1"/>
        <v>fish</v>
      </c>
      <c r="C764" s="63" t="str">
        <f t="shared" si="2"/>
        <v>U16828</v>
      </c>
      <c r="D764" s="11" t="str">
        <f t="array" ref="D764">iferror(index(fish_lab_data!D:D,match(A764,fish_lab_data!C:C,0)))</f>
        <v>P1083</v>
      </c>
      <c r="E764" s="6">
        <v>107.0</v>
      </c>
      <c r="F764" s="17" t="str">
        <f t="shared" si="3"/>
        <v>BCA107</v>
      </c>
      <c r="G764" s="43" t="str">
        <f t="shared" si="4"/>
        <v>NA</v>
      </c>
      <c r="H764" s="17" t="str">
        <f t="shared" si="5"/>
        <v>BCA107-NA</v>
      </c>
      <c r="J764" t="str">
        <f t="shared" si="6"/>
        <v>collected</v>
      </c>
      <c r="K764" t="str">
        <f t="shared" si="7"/>
        <v>N</v>
      </c>
    </row>
    <row r="765">
      <c r="A765" s="26" t="s">
        <v>609</v>
      </c>
      <c r="B765" s="10" t="str">
        <f t="shared" si="1"/>
        <v>fish</v>
      </c>
      <c r="C765" s="63" t="str">
        <f t="shared" si="2"/>
        <v>U16829</v>
      </c>
      <c r="D765" s="11" t="str">
        <f t="array" ref="D765">iferror(index(fish_lab_data!D:D,match(A765,fish_lab_data!C:C,0)))</f>
        <v>P1083</v>
      </c>
      <c r="E765" s="6">
        <v>107.0</v>
      </c>
      <c r="F765" s="17" t="str">
        <f t="shared" si="3"/>
        <v>BCA107</v>
      </c>
      <c r="G765" s="43" t="str">
        <f t="shared" si="4"/>
        <v>NA</v>
      </c>
      <c r="H765" s="17" t="str">
        <f t="shared" si="5"/>
        <v>BCA107-NA</v>
      </c>
      <c r="J765" t="str">
        <f t="shared" si="6"/>
        <v>collected</v>
      </c>
      <c r="K765" t="str">
        <f t="shared" si="7"/>
        <v>N</v>
      </c>
    </row>
    <row r="766">
      <c r="A766" s="26" t="s">
        <v>617</v>
      </c>
      <c r="B766" s="10" t="str">
        <f t="shared" si="1"/>
        <v>fish</v>
      </c>
      <c r="C766" s="63" t="str">
        <f t="shared" si="2"/>
        <v>U16830</v>
      </c>
      <c r="D766" s="11" t="str">
        <f t="array" ref="D766">iferror(index(fish_lab_data!D:D,match(A766,fish_lab_data!C:C,0)))</f>
        <v>P1083</v>
      </c>
      <c r="E766" s="6">
        <v>107.0</v>
      </c>
      <c r="F766" s="17" t="str">
        <f t="shared" si="3"/>
        <v>BCA107</v>
      </c>
      <c r="G766" s="43" t="str">
        <f t="shared" si="4"/>
        <v>NA</v>
      </c>
      <c r="H766" s="17" t="str">
        <f t="shared" si="5"/>
        <v>BCA107-NA</v>
      </c>
      <c r="J766" t="str">
        <f t="shared" si="6"/>
        <v>collected</v>
      </c>
      <c r="K766" t="str">
        <f t="shared" si="7"/>
        <v>N</v>
      </c>
    </row>
    <row r="767">
      <c r="A767" s="26" t="s">
        <v>623</v>
      </c>
      <c r="B767" s="10" t="str">
        <f t="shared" si="1"/>
        <v>fish</v>
      </c>
      <c r="C767" s="63" t="str">
        <f t="shared" si="2"/>
        <v>U17051</v>
      </c>
      <c r="D767" s="11" t="str">
        <f t="array" ref="D767">iferror(index(fish_lab_data!D:D,match(A767,fish_lab_data!C:C,0)))</f>
        <v>P1106</v>
      </c>
      <c r="E767" s="6">
        <v>107.0</v>
      </c>
      <c r="F767" s="17" t="str">
        <f t="shared" si="3"/>
        <v>BCA107</v>
      </c>
      <c r="G767" s="43" t="str">
        <f t="shared" si="4"/>
        <v>NA</v>
      </c>
      <c r="H767" s="17" t="str">
        <f t="shared" si="5"/>
        <v>BCA107-NA</v>
      </c>
      <c r="J767" t="str">
        <f t="shared" si="6"/>
        <v>collected</v>
      </c>
      <c r="K767" t="str">
        <f t="shared" si="7"/>
        <v>N</v>
      </c>
    </row>
    <row r="768">
      <c r="A768" s="26" t="s">
        <v>631</v>
      </c>
      <c r="B768" s="10" t="str">
        <f t="shared" si="1"/>
        <v>fish</v>
      </c>
      <c r="C768" s="63" t="str">
        <f t="shared" si="2"/>
        <v>U17052</v>
      </c>
      <c r="D768" s="11" t="str">
        <f t="array" ref="D768">iferror(index(fish_lab_data!D:D,match(A768,fish_lab_data!C:C,0)))</f>
        <v>P1106</v>
      </c>
      <c r="E768" s="6">
        <v>107.0</v>
      </c>
      <c r="F768" s="17" t="str">
        <f t="shared" si="3"/>
        <v>BCA107</v>
      </c>
      <c r="G768" s="43" t="str">
        <f t="shared" si="4"/>
        <v>NA</v>
      </c>
      <c r="H768" s="17" t="str">
        <f t="shared" si="5"/>
        <v>BCA107-NA</v>
      </c>
      <c r="J768" t="str">
        <f t="shared" si="6"/>
        <v>collected</v>
      </c>
      <c r="K768" t="str">
        <f t="shared" si="7"/>
        <v>N</v>
      </c>
    </row>
    <row r="769">
      <c r="A769" s="26" t="s">
        <v>639</v>
      </c>
      <c r="B769" s="10" t="str">
        <f t="shared" si="1"/>
        <v>fish</v>
      </c>
      <c r="C769" s="63" t="str">
        <f t="shared" si="2"/>
        <v>U17053</v>
      </c>
      <c r="D769" s="11" t="str">
        <f t="array" ref="D769">iferror(index(fish_lab_data!D:D,match(A769,fish_lab_data!C:C,0)))</f>
        <v>P1106</v>
      </c>
      <c r="E769" s="6">
        <v>107.0</v>
      </c>
      <c r="F769" s="17" t="str">
        <f t="shared" si="3"/>
        <v>BCA107</v>
      </c>
      <c r="G769" s="43" t="str">
        <f t="shared" si="4"/>
        <v>NA</v>
      </c>
      <c r="H769" s="17" t="str">
        <f t="shared" si="5"/>
        <v>BCA107-NA</v>
      </c>
      <c r="J769" t="str">
        <f t="shared" si="6"/>
        <v>collected</v>
      </c>
      <c r="K769" t="str">
        <f t="shared" si="7"/>
        <v>N</v>
      </c>
    </row>
    <row r="770">
      <c r="A770" s="26" t="s">
        <v>646</v>
      </c>
      <c r="B770" s="10" t="str">
        <f t="shared" si="1"/>
        <v>fish</v>
      </c>
      <c r="C770" s="63" t="str">
        <f t="shared" si="2"/>
        <v>U17054</v>
      </c>
      <c r="D770" s="11" t="str">
        <f t="array" ref="D770">iferror(index(fish_lab_data!D:D,match(A770,fish_lab_data!C:C,0)))</f>
        <v>P1106</v>
      </c>
      <c r="E770" s="6">
        <v>107.0</v>
      </c>
      <c r="F770" s="17" t="str">
        <f t="shared" si="3"/>
        <v>BCA107</v>
      </c>
      <c r="G770" s="43" t="str">
        <f t="shared" si="4"/>
        <v>NA</v>
      </c>
      <c r="H770" s="17" t="str">
        <f t="shared" si="5"/>
        <v>BCA107-NA</v>
      </c>
      <c r="J770" t="str">
        <f t="shared" si="6"/>
        <v>collected</v>
      </c>
      <c r="K770" t="str">
        <f t="shared" si="7"/>
        <v>N</v>
      </c>
    </row>
    <row r="771">
      <c r="A771" s="26" t="s">
        <v>652</v>
      </c>
      <c r="B771" s="10" t="str">
        <f t="shared" si="1"/>
        <v>fish</v>
      </c>
      <c r="C771" s="63" t="str">
        <f t="shared" si="2"/>
        <v>U17055</v>
      </c>
      <c r="D771" s="11" t="str">
        <f t="array" ref="D771">iferror(index(fish_lab_data!D:D,match(A771,fish_lab_data!C:C,0)))</f>
        <v>P1106</v>
      </c>
      <c r="E771" s="6">
        <v>107.0</v>
      </c>
      <c r="F771" s="17" t="str">
        <f t="shared" si="3"/>
        <v>BCA107</v>
      </c>
      <c r="G771" s="43" t="str">
        <f t="shared" si="4"/>
        <v>NA</v>
      </c>
      <c r="H771" s="17" t="str">
        <f t="shared" si="5"/>
        <v>BCA107-NA</v>
      </c>
      <c r="J771" t="str">
        <f t="shared" si="6"/>
        <v>collected</v>
      </c>
      <c r="K771" t="str">
        <f t="shared" si="7"/>
        <v>N</v>
      </c>
    </row>
    <row r="772">
      <c r="A772" s="26" t="s">
        <v>660</v>
      </c>
      <c r="B772" s="10" t="str">
        <f t="shared" si="1"/>
        <v>fish</v>
      </c>
      <c r="C772" s="63" t="str">
        <f t="shared" si="2"/>
        <v>U17056</v>
      </c>
      <c r="D772" s="11" t="str">
        <f t="array" ref="D772">iferror(index(fish_lab_data!D:D,match(A772,fish_lab_data!C:C,0)))</f>
        <v>P1106</v>
      </c>
      <c r="E772" s="6">
        <v>107.0</v>
      </c>
      <c r="F772" s="17" t="str">
        <f t="shared" si="3"/>
        <v>BCA107</v>
      </c>
      <c r="G772" s="43" t="str">
        <f t="shared" si="4"/>
        <v>NA</v>
      </c>
      <c r="H772" s="17" t="str">
        <f t="shared" si="5"/>
        <v>BCA107-NA</v>
      </c>
      <c r="J772" t="str">
        <f t="shared" si="6"/>
        <v>collected</v>
      </c>
      <c r="K772" t="str">
        <f t="shared" si="7"/>
        <v>N</v>
      </c>
    </row>
    <row r="773">
      <c r="A773" s="26" t="s">
        <v>667</v>
      </c>
      <c r="B773" s="10" t="str">
        <f t="shared" si="1"/>
        <v>fish</v>
      </c>
      <c r="C773" s="63" t="str">
        <f t="shared" si="2"/>
        <v>U17057</v>
      </c>
      <c r="D773" s="11" t="str">
        <f t="array" ref="D773">iferror(index(fish_lab_data!D:D,match(A773,fish_lab_data!C:C,0)))</f>
        <v>P1106</v>
      </c>
      <c r="E773" s="6">
        <v>107.0</v>
      </c>
      <c r="F773" s="17" t="str">
        <f t="shared" si="3"/>
        <v>BCA107</v>
      </c>
      <c r="G773" s="43" t="str">
        <f t="shared" si="4"/>
        <v>NA</v>
      </c>
      <c r="H773" s="17" t="str">
        <f t="shared" si="5"/>
        <v>BCA107-NA</v>
      </c>
      <c r="J773" t="str">
        <f t="shared" si="6"/>
        <v>collected</v>
      </c>
      <c r="K773" t="str">
        <f t="shared" si="7"/>
        <v>N</v>
      </c>
    </row>
    <row r="774">
      <c r="A774" s="44" t="s">
        <v>673</v>
      </c>
      <c r="B774" s="10" t="str">
        <f t="shared" si="1"/>
        <v>fish</v>
      </c>
      <c r="C774" s="63" t="str">
        <f t="shared" si="2"/>
        <v>U17736</v>
      </c>
      <c r="D774" s="11" t="str">
        <f t="array" ref="D774">iferror(index(fish_lab_data!D:D,match(A774,fish_lab_data!C:C,0)))</f>
        <v>P1174</v>
      </c>
      <c r="E774" s="6">
        <v>107.0</v>
      </c>
      <c r="F774" s="17" t="str">
        <f t="shared" si="3"/>
        <v>BCA107</v>
      </c>
      <c r="G774" s="43" t="str">
        <f t="shared" si="4"/>
        <v>NA</v>
      </c>
      <c r="H774" s="17" t="str">
        <f t="shared" si="5"/>
        <v>BCA107-NA</v>
      </c>
      <c r="J774" t="str">
        <f t="shared" si="6"/>
        <v>collected</v>
      </c>
      <c r="K774" t="str">
        <f t="shared" si="7"/>
        <v>N</v>
      </c>
    </row>
    <row r="775">
      <c r="A775" s="44" t="s">
        <v>679</v>
      </c>
      <c r="B775" s="10" t="str">
        <f t="shared" si="1"/>
        <v>fish</v>
      </c>
      <c r="C775" s="63" t="str">
        <f t="shared" si="2"/>
        <v>U17740</v>
      </c>
      <c r="D775" s="11" t="str">
        <f t="array" ref="D775">iferror(index(fish_lab_data!D:D,match(A775,fish_lab_data!C:C,0)))</f>
        <v>P1174</v>
      </c>
      <c r="E775" s="6">
        <v>107.0</v>
      </c>
      <c r="F775" s="17" t="str">
        <f t="shared" si="3"/>
        <v>BCA107</v>
      </c>
      <c r="G775" s="43" t="str">
        <f t="shared" si="4"/>
        <v>NA</v>
      </c>
      <c r="H775" s="17" t="str">
        <f t="shared" si="5"/>
        <v>BCA107-NA</v>
      </c>
      <c r="J775" t="str">
        <f t="shared" si="6"/>
        <v>collected</v>
      </c>
      <c r="K775" t="str">
        <f t="shared" si="7"/>
        <v>N</v>
      </c>
    </row>
    <row r="776">
      <c r="A776" s="44" t="s">
        <v>687</v>
      </c>
      <c r="B776" s="10" t="str">
        <f t="shared" si="1"/>
        <v>fish</v>
      </c>
      <c r="C776" s="63" t="str">
        <f t="shared" si="2"/>
        <v>U17734</v>
      </c>
      <c r="D776" s="11" t="str">
        <f t="array" ref="D776">iferror(index(fish_lab_data!D:D,match(A776,fish_lab_data!C:C,0)))</f>
        <v>P1174</v>
      </c>
      <c r="E776" s="6">
        <v>107.0</v>
      </c>
      <c r="F776" s="17" t="str">
        <f t="shared" si="3"/>
        <v>BCA107</v>
      </c>
      <c r="G776" s="43" t="str">
        <f t="shared" si="4"/>
        <v>NA</v>
      </c>
      <c r="H776" s="17" t="str">
        <f t="shared" si="5"/>
        <v>BCA107-NA</v>
      </c>
      <c r="J776" t="str">
        <f t="shared" si="6"/>
        <v>collected</v>
      </c>
      <c r="K776" t="str">
        <f t="shared" si="7"/>
        <v>N</v>
      </c>
    </row>
    <row r="777">
      <c r="A777" s="44" t="s">
        <v>695</v>
      </c>
      <c r="B777" s="10" t="str">
        <f t="shared" si="1"/>
        <v>fish</v>
      </c>
      <c r="C777" s="63" t="str">
        <f t="shared" si="2"/>
        <v>U17735</v>
      </c>
      <c r="D777" s="11" t="str">
        <f t="array" ref="D777">iferror(index(fish_lab_data!D:D,match(A777,fish_lab_data!C:C,0)))</f>
        <v>P1174</v>
      </c>
      <c r="E777" s="6">
        <v>107.0</v>
      </c>
      <c r="F777" s="17" t="str">
        <f t="shared" si="3"/>
        <v>BCA107</v>
      </c>
      <c r="G777" s="43" t="str">
        <f t="shared" si="4"/>
        <v>NA</v>
      </c>
      <c r="H777" s="17" t="str">
        <f t="shared" si="5"/>
        <v>BCA107-NA</v>
      </c>
      <c r="J777" t="str">
        <f t="shared" si="6"/>
        <v>collected</v>
      </c>
      <c r="K777" t="str">
        <f t="shared" si="7"/>
        <v>N</v>
      </c>
    </row>
    <row r="778">
      <c r="A778" s="44" t="s">
        <v>703</v>
      </c>
      <c r="B778" s="10" t="str">
        <f t="shared" si="1"/>
        <v>fish</v>
      </c>
      <c r="C778" s="63" t="str">
        <f t="shared" si="2"/>
        <v>U17737</v>
      </c>
      <c r="D778" s="11" t="str">
        <f t="array" ref="D778">iferror(index(fish_lab_data!D:D,match(A778,fish_lab_data!C:C,0)))</f>
        <v>P1174</v>
      </c>
      <c r="E778" s="6">
        <v>107.0</v>
      </c>
      <c r="F778" s="17" t="str">
        <f t="shared" si="3"/>
        <v>BCA107</v>
      </c>
      <c r="G778" s="43" t="str">
        <f t="shared" si="4"/>
        <v>NA</v>
      </c>
      <c r="H778" s="17" t="str">
        <f t="shared" si="5"/>
        <v>BCA107-NA</v>
      </c>
      <c r="J778" t="str">
        <f t="shared" si="6"/>
        <v>collected</v>
      </c>
      <c r="K778" t="str">
        <f t="shared" si="7"/>
        <v>N</v>
      </c>
    </row>
    <row r="779">
      <c r="A779" s="43" t="s">
        <v>710</v>
      </c>
      <c r="B779" s="10" t="str">
        <f t="shared" si="1"/>
        <v>fish</v>
      </c>
      <c r="C779" s="63" t="str">
        <f t="shared" si="2"/>
        <v>U17733</v>
      </c>
      <c r="D779" s="11" t="str">
        <f t="array" ref="D779">iferror(index(fish_lab_data!D:D,match(A779,fish_lab_data!C:C,0)))</f>
        <v>P1174</v>
      </c>
      <c r="E779" s="6">
        <v>107.0</v>
      </c>
      <c r="F779" s="17" t="str">
        <f t="shared" si="3"/>
        <v>BCA107</v>
      </c>
      <c r="G779" s="43" t="str">
        <f t="shared" si="4"/>
        <v>NA</v>
      </c>
      <c r="H779" s="17" t="str">
        <f t="shared" si="5"/>
        <v>BCA107-NA</v>
      </c>
      <c r="J779" t="str">
        <f t="shared" si="6"/>
        <v>collected</v>
      </c>
      <c r="K779" t="str">
        <f t="shared" si="7"/>
        <v>N</v>
      </c>
    </row>
    <row r="780">
      <c r="A780" s="43" t="s">
        <v>718</v>
      </c>
      <c r="B780" s="10" t="str">
        <f t="shared" si="1"/>
        <v>fish</v>
      </c>
      <c r="C780" s="63" t="str">
        <f t="shared" si="2"/>
        <v>U17731</v>
      </c>
      <c r="D780" s="11" t="str">
        <f t="array" ref="D780">iferror(index(fish_lab_data!D:D,match(A780,fish_lab_data!C:C,0)))</f>
        <v>P1174</v>
      </c>
      <c r="E780" s="6">
        <v>107.0</v>
      </c>
      <c r="F780" s="17" t="str">
        <f t="shared" si="3"/>
        <v>BCA107</v>
      </c>
      <c r="G780" s="43" t="str">
        <f t="shared" si="4"/>
        <v>NA</v>
      </c>
      <c r="H780" s="17" t="str">
        <f t="shared" si="5"/>
        <v>BCA107-NA</v>
      </c>
      <c r="J780" t="str">
        <f t="shared" si="6"/>
        <v>collected</v>
      </c>
      <c r="K780" t="str">
        <f t="shared" si="7"/>
        <v>N</v>
      </c>
    </row>
    <row r="781">
      <c r="A781" s="43" t="s">
        <v>725</v>
      </c>
      <c r="B781" s="10" t="str">
        <f t="shared" si="1"/>
        <v>fish</v>
      </c>
      <c r="C781" s="63" t="str">
        <f t="shared" si="2"/>
        <v>U17739</v>
      </c>
      <c r="D781" s="11" t="str">
        <f t="array" ref="D781">iferror(index(fish_lab_data!D:D,match(A781,fish_lab_data!C:C,0)))</f>
        <v>P1174</v>
      </c>
      <c r="E781" s="6">
        <v>107.0</v>
      </c>
      <c r="F781" s="17" t="str">
        <f t="shared" si="3"/>
        <v>BCA107</v>
      </c>
      <c r="G781" s="43" t="str">
        <f t="shared" si="4"/>
        <v>NA</v>
      </c>
      <c r="H781" s="17" t="str">
        <f t="shared" si="5"/>
        <v>BCA107-NA</v>
      </c>
      <c r="J781" t="str">
        <f t="shared" si="6"/>
        <v>collected</v>
      </c>
      <c r="K781" t="str">
        <f t="shared" si="7"/>
        <v>N</v>
      </c>
    </row>
    <row r="782">
      <c r="A782" s="40" t="s">
        <v>733</v>
      </c>
      <c r="B782" s="10" t="str">
        <f t="shared" si="1"/>
        <v>fish</v>
      </c>
      <c r="C782" s="63" t="str">
        <f t="shared" si="2"/>
        <v>U17732</v>
      </c>
      <c r="D782" s="11" t="str">
        <f t="array" ref="D782">iferror(index(fish_lab_data!D:D,match(A782,fish_lab_data!C:C,0)))</f>
        <v>P1174</v>
      </c>
      <c r="E782" s="6">
        <v>107.0</v>
      </c>
      <c r="F782" s="17" t="str">
        <f t="shared" si="3"/>
        <v>BCA107</v>
      </c>
      <c r="G782" s="43" t="str">
        <f t="shared" si="4"/>
        <v>NA</v>
      </c>
      <c r="H782" s="17" t="str">
        <f t="shared" si="5"/>
        <v>BCA107-NA</v>
      </c>
      <c r="J782" t="str">
        <f t="shared" si="6"/>
        <v>collected</v>
      </c>
      <c r="K782" t="str">
        <f t="shared" si="7"/>
        <v>N</v>
      </c>
    </row>
    <row r="783">
      <c r="A783" s="40" t="s">
        <v>739</v>
      </c>
      <c r="B783" s="10" t="str">
        <f t="shared" si="1"/>
        <v>fish</v>
      </c>
      <c r="C783" s="63" t="str">
        <f t="shared" si="2"/>
        <v>U17738</v>
      </c>
      <c r="D783" s="11" t="str">
        <f t="array" ref="D783">iferror(index(fish_lab_data!D:D,match(A783,fish_lab_data!C:C,0)))</f>
        <v>P1174</v>
      </c>
      <c r="E783" s="6">
        <v>107.0</v>
      </c>
      <c r="F783" s="17" t="str">
        <f t="shared" si="3"/>
        <v>BCA107</v>
      </c>
      <c r="G783" s="43" t="str">
        <f t="shared" si="4"/>
        <v>NA</v>
      </c>
      <c r="H783" s="17" t="str">
        <f t="shared" si="5"/>
        <v>BCA107-NA</v>
      </c>
      <c r="J783" t="str">
        <f t="shared" si="6"/>
        <v>collected</v>
      </c>
      <c r="K783" t="str">
        <f t="shared" si="7"/>
        <v>N</v>
      </c>
    </row>
    <row r="784">
      <c r="A784" s="40" t="s">
        <v>746</v>
      </c>
      <c r="B784" s="10" t="str">
        <f t="shared" si="1"/>
        <v>fish</v>
      </c>
      <c r="C784" s="63" t="str">
        <f t="shared" si="2"/>
        <v>U16647</v>
      </c>
      <c r="D784" s="11" t="str">
        <f t="array" ref="D784">iferror(index(fish_lab_data!D:D,match(A784,fish_lab_data!C:C,0)))</f>
        <v>P1065</v>
      </c>
      <c r="E784" s="6">
        <v>107.0</v>
      </c>
      <c r="F784" s="17" t="str">
        <f t="shared" si="3"/>
        <v>BCA107</v>
      </c>
      <c r="G784" s="43" t="str">
        <f t="shared" si="4"/>
        <v>NA</v>
      </c>
      <c r="H784" s="17" t="str">
        <f t="shared" si="5"/>
        <v>BCA107-NA</v>
      </c>
      <c r="J784" t="str">
        <f t="shared" si="6"/>
        <v>collected</v>
      </c>
      <c r="K784" t="str">
        <f t="shared" si="7"/>
        <v>N</v>
      </c>
    </row>
    <row r="785">
      <c r="A785" s="40" t="s">
        <v>754</v>
      </c>
      <c r="B785" s="10" t="str">
        <f t="shared" si="1"/>
        <v>fish</v>
      </c>
      <c r="C785" s="63" t="str">
        <f t="shared" si="2"/>
        <v>U16646</v>
      </c>
      <c r="D785" s="11" t="str">
        <f t="array" ref="D785">iferror(index(fish_lab_data!D:D,match(A785,fish_lab_data!C:C,0)))</f>
        <v>P1065</v>
      </c>
      <c r="E785" s="6">
        <v>107.0</v>
      </c>
      <c r="F785" s="17" t="str">
        <f t="shared" si="3"/>
        <v>BCA107</v>
      </c>
      <c r="G785" s="43" t="str">
        <f t="shared" si="4"/>
        <v>NA</v>
      </c>
      <c r="H785" s="17" t="str">
        <f t="shared" si="5"/>
        <v>BCA107-NA</v>
      </c>
      <c r="J785" t="str">
        <f t="shared" si="6"/>
        <v>collected</v>
      </c>
      <c r="K785" t="str">
        <f t="shared" si="7"/>
        <v>N</v>
      </c>
    </row>
    <row r="786">
      <c r="A786" s="40" t="s">
        <v>761</v>
      </c>
      <c r="B786" s="10" t="str">
        <f t="shared" si="1"/>
        <v>fish</v>
      </c>
      <c r="C786" s="63" t="str">
        <f t="shared" si="2"/>
        <v>U16642</v>
      </c>
      <c r="D786" s="11" t="str">
        <f t="array" ref="D786">iferror(index(fish_lab_data!D:D,match(A786,fish_lab_data!C:C,0)))</f>
        <v>P1065</v>
      </c>
      <c r="E786" s="6">
        <v>107.0</v>
      </c>
      <c r="F786" s="17" t="str">
        <f t="shared" si="3"/>
        <v>BCA107</v>
      </c>
      <c r="G786" s="43" t="str">
        <f t="shared" si="4"/>
        <v>NA</v>
      </c>
      <c r="H786" s="17" t="str">
        <f t="shared" si="5"/>
        <v>BCA107-NA</v>
      </c>
      <c r="J786" t="str">
        <f t="shared" si="6"/>
        <v>collected</v>
      </c>
      <c r="K786" t="str">
        <f t="shared" si="7"/>
        <v>N</v>
      </c>
    </row>
    <row r="787">
      <c r="A787" s="43" t="s">
        <v>766</v>
      </c>
      <c r="B787" s="10" t="str">
        <f t="shared" si="1"/>
        <v>fish</v>
      </c>
      <c r="C787" s="63" t="str">
        <f t="shared" si="2"/>
        <v>U16643</v>
      </c>
      <c r="D787" s="11" t="str">
        <f t="array" ref="D787">iferror(index(fish_lab_data!D:D,match(A787,fish_lab_data!C:C,0)))</f>
        <v>P1065</v>
      </c>
      <c r="E787" s="6">
        <v>107.0</v>
      </c>
      <c r="F787" s="17" t="str">
        <f t="shared" si="3"/>
        <v>BCA107</v>
      </c>
      <c r="G787" s="43" t="str">
        <f t="shared" si="4"/>
        <v>NA</v>
      </c>
      <c r="H787" s="17" t="str">
        <f t="shared" si="5"/>
        <v>BCA107-NA</v>
      </c>
      <c r="J787" t="str">
        <f t="shared" si="6"/>
        <v>collected</v>
      </c>
      <c r="K787" t="str">
        <f t="shared" si="7"/>
        <v>N</v>
      </c>
    </row>
    <row r="788">
      <c r="A788" s="43" t="s">
        <v>769</v>
      </c>
      <c r="B788" s="10" t="str">
        <f t="shared" si="1"/>
        <v>fish</v>
      </c>
      <c r="C788" s="63" t="str">
        <f t="shared" si="2"/>
        <v>U16641</v>
      </c>
      <c r="D788" s="11" t="str">
        <f t="array" ref="D788">iferror(index(fish_lab_data!D:D,match(A788,fish_lab_data!C:C,0)))</f>
        <v>P1065</v>
      </c>
      <c r="E788" s="6">
        <v>107.0</v>
      </c>
      <c r="F788" s="17" t="str">
        <f t="shared" si="3"/>
        <v>BCA107</v>
      </c>
      <c r="G788" s="43" t="str">
        <f t="shared" si="4"/>
        <v>NA</v>
      </c>
      <c r="H788" s="17" t="str">
        <f t="shared" si="5"/>
        <v>BCA107-NA</v>
      </c>
      <c r="J788" t="str">
        <f t="shared" si="6"/>
        <v>collected</v>
      </c>
      <c r="K788" t="str">
        <f t="shared" si="7"/>
        <v>N</v>
      </c>
    </row>
    <row r="789">
      <c r="A789" s="43" t="s">
        <v>772</v>
      </c>
      <c r="B789" s="10" t="str">
        <f t="shared" si="1"/>
        <v>fish</v>
      </c>
      <c r="C789" s="63" t="str">
        <f t="shared" si="2"/>
        <v>U16648</v>
      </c>
      <c r="D789" s="11" t="str">
        <f t="array" ref="D789">iferror(index(fish_lab_data!D:D,match(A789,fish_lab_data!C:C,0)))</f>
        <v>P1065</v>
      </c>
      <c r="E789" s="6">
        <v>107.0</v>
      </c>
      <c r="F789" s="17" t="str">
        <f t="shared" si="3"/>
        <v>BCA107</v>
      </c>
      <c r="G789" s="43" t="str">
        <f t="shared" si="4"/>
        <v>NA</v>
      </c>
      <c r="H789" s="17" t="str">
        <f t="shared" si="5"/>
        <v>BCA107-NA</v>
      </c>
      <c r="J789" t="str">
        <f t="shared" si="6"/>
        <v>collected</v>
      </c>
      <c r="K789" t="str">
        <f t="shared" si="7"/>
        <v>N</v>
      </c>
    </row>
    <row r="790">
      <c r="A790" s="43" t="s">
        <v>779</v>
      </c>
      <c r="B790" s="10" t="str">
        <f t="shared" si="1"/>
        <v>fish</v>
      </c>
      <c r="C790" s="63" t="str">
        <f t="shared" si="2"/>
        <v>U16645</v>
      </c>
      <c r="D790" s="11" t="str">
        <f t="array" ref="D790">iferror(index(fish_lab_data!D:D,match(A790,fish_lab_data!C:C,0)))</f>
        <v>P1065</v>
      </c>
      <c r="E790" s="6">
        <v>107.0</v>
      </c>
      <c r="F790" s="17" t="str">
        <f t="shared" si="3"/>
        <v>BCA107</v>
      </c>
      <c r="G790" s="43" t="str">
        <f t="shared" si="4"/>
        <v>NA</v>
      </c>
      <c r="H790" s="17" t="str">
        <f t="shared" si="5"/>
        <v>BCA107-NA</v>
      </c>
      <c r="J790" t="str">
        <f t="shared" si="6"/>
        <v>collected</v>
      </c>
      <c r="K790" t="str">
        <f t="shared" si="7"/>
        <v>N</v>
      </c>
    </row>
    <row r="791">
      <c r="A791" s="43" t="s">
        <v>786</v>
      </c>
      <c r="B791" s="10" t="str">
        <f t="shared" si="1"/>
        <v>fish</v>
      </c>
      <c r="C791" s="63" t="str">
        <f t="shared" si="2"/>
        <v>U16644</v>
      </c>
      <c r="D791" s="11" t="str">
        <f t="array" ref="D791">iferror(index(fish_lab_data!D:D,match(A791,fish_lab_data!C:C,0)))</f>
        <v>P1065</v>
      </c>
      <c r="E791" s="6">
        <v>107.0</v>
      </c>
      <c r="F791" s="17" t="str">
        <f t="shared" si="3"/>
        <v>BCA107</v>
      </c>
      <c r="G791" s="43" t="str">
        <f t="shared" si="4"/>
        <v>NA</v>
      </c>
      <c r="H791" s="17" t="str">
        <f t="shared" si="5"/>
        <v>BCA107-NA</v>
      </c>
      <c r="J791" t="str">
        <f t="shared" si="6"/>
        <v>collected</v>
      </c>
      <c r="K791" t="str">
        <f t="shared" si="7"/>
        <v>N</v>
      </c>
    </row>
    <row r="792">
      <c r="A792" s="43" t="s">
        <v>793</v>
      </c>
      <c r="B792" s="10" t="str">
        <f t="shared" si="1"/>
        <v>fish</v>
      </c>
      <c r="C792" s="63" t="str">
        <f t="shared" si="2"/>
        <v>U16649</v>
      </c>
      <c r="D792" s="11" t="str">
        <f t="array" ref="D792">iferror(index(fish_lab_data!D:D,match(A792,fish_lab_data!C:C,0)))</f>
        <v>P1065</v>
      </c>
      <c r="E792" s="6">
        <v>107.0</v>
      </c>
      <c r="F792" s="17" t="str">
        <f t="shared" si="3"/>
        <v>BCA107</v>
      </c>
      <c r="G792" s="43" t="str">
        <f t="shared" si="4"/>
        <v>NA</v>
      </c>
      <c r="H792" s="17" t="str">
        <f t="shared" si="5"/>
        <v>BCA107-NA</v>
      </c>
      <c r="J792" t="str">
        <f t="shared" si="6"/>
        <v>collected</v>
      </c>
      <c r="K792" t="str">
        <f t="shared" si="7"/>
        <v>N</v>
      </c>
    </row>
    <row r="793">
      <c r="A793" s="43" t="s">
        <v>800</v>
      </c>
      <c r="B793" s="10" t="str">
        <f t="shared" si="1"/>
        <v>fish</v>
      </c>
      <c r="C793" s="63" t="str">
        <f t="shared" si="2"/>
        <v>U16650</v>
      </c>
      <c r="D793" s="11" t="str">
        <f t="array" ref="D793">iferror(index(fish_lab_data!D:D,match(A793,fish_lab_data!C:C,0)))</f>
        <v>P1065</v>
      </c>
      <c r="E793" s="6">
        <v>107.0</v>
      </c>
      <c r="F793" s="17" t="str">
        <f t="shared" si="3"/>
        <v>BCA107</v>
      </c>
      <c r="G793" s="43" t="str">
        <f t="shared" si="4"/>
        <v>NA</v>
      </c>
      <c r="H793" s="17" t="str">
        <f t="shared" si="5"/>
        <v>BCA107-NA</v>
      </c>
      <c r="J793" t="str">
        <f t="shared" si="6"/>
        <v>collected</v>
      </c>
      <c r="K793" t="str">
        <f t="shared" si="7"/>
        <v>N</v>
      </c>
    </row>
    <row r="794">
      <c r="A794" s="27" t="s">
        <v>808</v>
      </c>
      <c r="B794" s="10" t="str">
        <f t="shared" si="1"/>
        <v>fish</v>
      </c>
      <c r="C794" s="63" t="str">
        <f t="shared" si="2"/>
        <v>U17089</v>
      </c>
      <c r="D794" s="11" t="str">
        <f t="array" ref="D794">iferror(index(fish_lab_data!D:D,match(A794,fish_lab_data!C:C,0)))</f>
        <v>P1109</v>
      </c>
      <c r="E794" s="6">
        <v>107.0</v>
      </c>
      <c r="F794" s="17" t="str">
        <f t="shared" si="3"/>
        <v>BCA107</v>
      </c>
      <c r="G794" s="43" t="str">
        <f t="shared" si="4"/>
        <v>NA</v>
      </c>
      <c r="H794" s="17" t="str">
        <f t="shared" si="5"/>
        <v>BCA107-NA</v>
      </c>
      <c r="J794" t="str">
        <f t="shared" si="6"/>
        <v>collected</v>
      </c>
      <c r="K794" t="str">
        <f t="shared" si="7"/>
        <v>N</v>
      </c>
    </row>
    <row r="795">
      <c r="A795" s="27" t="s">
        <v>816</v>
      </c>
      <c r="B795" s="10" t="str">
        <f t="shared" si="1"/>
        <v>fish</v>
      </c>
      <c r="C795" s="63" t="str">
        <f t="shared" si="2"/>
        <v>U17090</v>
      </c>
      <c r="D795" s="11" t="str">
        <f t="array" ref="D795">iferror(index(fish_lab_data!D:D,match(A795,fish_lab_data!C:C,0)))</f>
        <v>P1109</v>
      </c>
      <c r="E795" s="6">
        <v>107.0</v>
      </c>
      <c r="F795" s="17" t="str">
        <f t="shared" si="3"/>
        <v>BCA107</v>
      </c>
      <c r="G795" s="43" t="str">
        <f t="shared" si="4"/>
        <v>NA</v>
      </c>
      <c r="H795" s="17" t="str">
        <f t="shared" si="5"/>
        <v>BCA107-NA</v>
      </c>
      <c r="J795" t="str">
        <f t="shared" si="6"/>
        <v>collected</v>
      </c>
      <c r="K795" t="str">
        <f t="shared" si="7"/>
        <v>N</v>
      </c>
    </row>
    <row r="796">
      <c r="A796" s="27" t="s">
        <v>824</v>
      </c>
      <c r="B796" s="10" t="str">
        <f t="shared" si="1"/>
        <v>fish</v>
      </c>
      <c r="C796" s="63" t="str">
        <f t="shared" si="2"/>
        <v>U17088</v>
      </c>
      <c r="D796" s="11" t="str">
        <f t="array" ref="D796">iferror(index(fish_lab_data!D:D,match(A796,fish_lab_data!C:C,0)))</f>
        <v>P1109</v>
      </c>
      <c r="E796" s="6">
        <v>107.0</v>
      </c>
      <c r="F796" s="17" t="str">
        <f t="shared" si="3"/>
        <v>BCA107</v>
      </c>
      <c r="G796" s="43" t="str">
        <f t="shared" si="4"/>
        <v>NA</v>
      </c>
      <c r="H796" s="17" t="str">
        <f t="shared" si="5"/>
        <v>BCA107-NA</v>
      </c>
      <c r="J796" t="str">
        <f t="shared" si="6"/>
        <v>collected</v>
      </c>
      <c r="K796" t="str">
        <f t="shared" si="7"/>
        <v>N</v>
      </c>
    </row>
    <row r="797">
      <c r="A797" s="27" t="s">
        <v>829</v>
      </c>
      <c r="B797" s="10" t="str">
        <f t="shared" si="1"/>
        <v>fish</v>
      </c>
      <c r="C797" s="63" t="str">
        <f t="shared" si="2"/>
        <v>U17087</v>
      </c>
      <c r="D797" s="11" t="str">
        <f t="array" ref="D797">iferror(index(fish_lab_data!D:D,match(A797,fish_lab_data!C:C,0)))</f>
        <v>P1109</v>
      </c>
      <c r="E797" s="6">
        <v>107.0</v>
      </c>
      <c r="F797" s="17" t="str">
        <f t="shared" si="3"/>
        <v>BCA107</v>
      </c>
      <c r="G797" s="43" t="str">
        <f t="shared" si="4"/>
        <v>NA</v>
      </c>
      <c r="H797" s="17" t="str">
        <f t="shared" si="5"/>
        <v>BCA107-NA</v>
      </c>
      <c r="J797" t="str">
        <f t="shared" si="6"/>
        <v>collected</v>
      </c>
      <c r="K797" t="str">
        <f t="shared" si="7"/>
        <v>N</v>
      </c>
    </row>
    <row r="798">
      <c r="A798" s="27" t="s">
        <v>835</v>
      </c>
      <c r="B798" s="10" t="str">
        <f t="shared" si="1"/>
        <v>fish</v>
      </c>
      <c r="C798" s="63" t="str">
        <f t="shared" si="2"/>
        <v>U17086</v>
      </c>
      <c r="D798" s="11" t="str">
        <f t="array" ref="D798">iferror(index(fish_lab_data!D:D,match(A798,fish_lab_data!C:C,0)))</f>
        <v>P1109</v>
      </c>
      <c r="E798" s="6">
        <v>107.0</v>
      </c>
      <c r="F798" s="17" t="str">
        <f t="shared" si="3"/>
        <v>BCA107</v>
      </c>
      <c r="G798" s="43" t="str">
        <f t="shared" si="4"/>
        <v>NA</v>
      </c>
      <c r="H798" s="17" t="str">
        <f t="shared" si="5"/>
        <v>BCA107-NA</v>
      </c>
      <c r="J798" t="str">
        <f t="shared" si="6"/>
        <v>collected</v>
      </c>
      <c r="K798" t="str">
        <f t="shared" si="7"/>
        <v>N</v>
      </c>
    </row>
    <row r="799">
      <c r="A799" s="27" t="s">
        <v>840</v>
      </c>
      <c r="B799" s="10" t="str">
        <f t="shared" si="1"/>
        <v>fish</v>
      </c>
      <c r="C799" s="63" t="str">
        <f t="shared" si="2"/>
        <v>U17085</v>
      </c>
      <c r="D799" s="11" t="str">
        <f t="array" ref="D799">iferror(index(fish_lab_data!D:D,match(A799,fish_lab_data!C:C,0)))</f>
        <v>P1109</v>
      </c>
      <c r="E799" s="6">
        <v>107.0</v>
      </c>
      <c r="F799" s="17" t="str">
        <f t="shared" si="3"/>
        <v>BCA107</v>
      </c>
      <c r="G799" s="43" t="str">
        <f t="shared" si="4"/>
        <v>NA</v>
      </c>
      <c r="H799" s="17" t="str">
        <f t="shared" si="5"/>
        <v>BCA107-NA</v>
      </c>
      <c r="J799" t="str">
        <f t="shared" si="6"/>
        <v>collected</v>
      </c>
      <c r="K799" t="str">
        <f t="shared" si="7"/>
        <v>N</v>
      </c>
    </row>
    <row r="800">
      <c r="A800" s="27" t="s">
        <v>845</v>
      </c>
      <c r="B800" s="10" t="str">
        <f t="shared" si="1"/>
        <v>fish</v>
      </c>
      <c r="C800" s="63" t="str">
        <f t="shared" si="2"/>
        <v>U17084</v>
      </c>
      <c r="D800" s="11" t="str">
        <f t="array" ref="D800">iferror(index(fish_lab_data!D:D,match(A800,fish_lab_data!C:C,0)))</f>
        <v>P1109</v>
      </c>
      <c r="E800" s="6">
        <v>107.0</v>
      </c>
      <c r="F800" s="17" t="str">
        <f t="shared" si="3"/>
        <v>BCA107</v>
      </c>
      <c r="G800" s="43" t="str">
        <f t="shared" si="4"/>
        <v>NA</v>
      </c>
      <c r="H800" s="17" t="str">
        <f t="shared" si="5"/>
        <v>BCA107-NA</v>
      </c>
      <c r="J800" t="str">
        <f t="shared" si="6"/>
        <v>collected</v>
      </c>
      <c r="K800" t="str">
        <f t="shared" si="7"/>
        <v>N</v>
      </c>
    </row>
    <row r="801">
      <c r="A801" s="26" t="s">
        <v>850</v>
      </c>
      <c r="B801" s="10" t="str">
        <f t="shared" si="1"/>
        <v>fish</v>
      </c>
      <c r="C801" s="63" t="str">
        <f t="shared" si="2"/>
        <v>U17081</v>
      </c>
      <c r="D801" s="11" t="str">
        <f t="array" ref="D801">iferror(index(fish_lab_data!D:D,match(A801,fish_lab_data!C:C,0)))</f>
        <v>P1109</v>
      </c>
      <c r="E801" s="6">
        <v>107.0</v>
      </c>
      <c r="F801" s="17" t="str">
        <f t="shared" si="3"/>
        <v>BCA107</v>
      </c>
      <c r="G801" s="43" t="str">
        <f t="shared" si="4"/>
        <v>NA</v>
      </c>
      <c r="H801" s="17" t="str">
        <f t="shared" si="5"/>
        <v>BCA107-NA</v>
      </c>
      <c r="J801" t="str">
        <f t="shared" si="6"/>
        <v>collected</v>
      </c>
      <c r="K801" t="str">
        <f t="shared" si="7"/>
        <v>N</v>
      </c>
    </row>
    <row r="802">
      <c r="A802" s="26" t="s">
        <v>856</v>
      </c>
      <c r="B802" s="10" t="str">
        <f t="shared" si="1"/>
        <v>fish</v>
      </c>
      <c r="C802" s="63" t="str">
        <f t="shared" si="2"/>
        <v>U17082</v>
      </c>
      <c r="D802" s="11" t="str">
        <f t="array" ref="D802">iferror(index(fish_lab_data!D:D,match(A802,fish_lab_data!C:C,0)))</f>
        <v>P1109</v>
      </c>
      <c r="E802" s="6">
        <v>107.0</v>
      </c>
      <c r="F802" s="17" t="str">
        <f t="shared" si="3"/>
        <v>BCA107</v>
      </c>
      <c r="G802" s="43" t="str">
        <f t="shared" si="4"/>
        <v>NA</v>
      </c>
      <c r="H802" s="17" t="str">
        <f t="shared" si="5"/>
        <v>BCA107-NA</v>
      </c>
      <c r="J802" t="str">
        <f t="shared" si="6"/>
        <v>collected</v>
      </c>
      <c r="K802" t="str">
        <f t="shared" si="7"/>
        <v>N</v>
      </c>
    </row>
    <row r="803">
      <c r="A803" s="26" t="s">
        <v>861</v>
      </c>
      <c r="B803" s="10" t="str">
        <f t="shared" si="1"/>
        <v>fish</v>
      </c>
      <c r="C803" s="63" t="str">
        <f t="shared" si="2"/>
        <v>U17083</v>
      </c>
      <c r="D803" s="11" t="str">
        <f t="array" ref="D803">iferror(index(fish_lab_data!D:D,match(A803,fish_lab_data!C:C,0)))</f>
        <v>P1109</v>
      </c>
      <c r="E803" s="6">
        <v>107.0</v>
      </c>
      <c r="F803" s="17" t="str">
        <f t="shared" si="3"/>
        <v>BCA107</v>
      </c>
      <c r="G803" s="43" t="str">
        <f t="shared" si="4"/>
        <v>NA</v>
      </c>
      <c r="H803" s="17" t="str">
        <f t="shared" si="5"/>
        <v>BCA107-NA</v>
      </c>
      <c r="J803" t="str">
        <f t="shared" si="6"/>
        <v>collected</v>
      </c>
      <c r="K803" t="str">
        <f t="shared" si="7"/>
        <v>N</v>
      </c>
    </row>
    <row r="804">
      <c r="A804" s="26" t="s">
        <v>869</v>
      </c>
      <c r="B804" s="10" t="str">
        <f t="shared" si="1"/>
        <v>fish</v>
      </c>
      <c r="C804" s="63" t="str">
        <f t="shared" si="2"/>
        <v>U17341</v>
      </c>
      <c r="D804" s="11" t="str">
        <f t="array" ref="D804">iferror(index(fish_lab_data!D:D,match(A804,fish_lab_data!C:C,0)))</f>
        <v>P1135</v>
      </c>
      <c r="E804" s="6">
        <v>107.0</v>
      </c>
      <c r="F804" s="17" t="str">
        <f t="shared" si="3"/>
        <v>BCA107</v>
      </c>
      <c r="G804" s="43" t="str">
        <f t="shared" si="4"/>
        <v>NA</v>
      </c>
      <c r="H804" s="17" t="str">
        <f t="shared" si="5"/>
        <v>BCA107-NA</v>
      </c>
      <c r="J804" t="str">
        <f t="shared" si="6"/>
        <v>collected</v>
      </c>
      <c r="K804" t="str">
        <f t="shared" si="7"/>
        <v>N</v>
      </c>
    </row>
    <row r="805">
      <c r="A805" s="26" t="s">
        <v>876</v>
      </c>
      <c r="B805" s="10" t="str">
        <f t="shared" si="1"/>
        <v>fish</v>
      </c>
      <c r="C805" s="63" t="str">
        <f t="shared" si="2"/>
        <v>U17350</v>
      </c>
      <c r="D805" s="11" t="str">
        <f t="array" ref="D805">iferror(index(fish_lab_data!D:D,match(A805,fish_lab_data!C:C,0)))</f>
        <v>P1135</v>
      </c>
      <c r="E805" s="6">
        <v>107.0</v>
      </c>
      <c r="F805" s="17" t="str">
        <f t="shared" si="3"/>
        <v>BCA107</v>
      </c>
      <c r="G805" s="43" t="str">
        <f t="shared" si="4"/>
        <v>NA</v>
      </c>
      <c r="H805" s="17" t="str">
        <f t="shared" si="5"/>
        <v>BCA107-NA</v>
      </c>
      <c r="J805" t="str">
        <f t="shared" si="6"/>
        <v>collected</v>
      </c>
      <c r="K805" t="str">
        <f t="shared" si="7"/>
        <v>N</v>
      </c>
    </row>
    <row r="806">
      <c r="A806" s="26" t="s">
        <v>880</v>
      </c>
      <c r="B806" s="10" t="str">
        <f t="shared" si="1"/>
        <v>fish</v>
      </c>
      <c r="C806" s="63" t="str">
        <f t="shared" si="2"/>
        <v>U17348</v>
      </c>
      <c r="D806" s="11" t="str">
        <f t="array" ref="D806">iferror(index(fish_lab_data!D:D,match(A806,fish_lab_data!C:C,0)))</f>
        <v>P1135</v>
      </c>
      <c r="E806" s="6">
        <v>107.0</v>
      </c>
      <c r="F806" s="17" t="str">
        <f t="shared" si="3"/>
        <v>BCA107</v>
      </c>
      <c r="G806" s="43" t="str">
        <f t="shared" si="4"/>
        <v>NA</v>
      </c>
      <c r="H806" s="17" t="str">
        <f t="shared" si="5"/>
        <v>BCA107-NA</v>
      </c>
      <c r="J806" t="str">
        <f t="shared" si="6"/>
        <v>collected</v>
      </c>
      <c r="K806" t="str">
        <f t="shared" si="7"/>
        <v>N</v>
      </c>
    </row>
    <row r="807">
      <c r="A807" s="26" t="s">
        <v>890</v>
      </c>
      <c r="B807" s="10" t="str">
        <f t="shared" si="1"/>
        <v>fish</v>
      </c>
      <c r="C807" s="63" t="str">
        <f t="shared" si="2"/>
        <v>U17347</v>
      </c>
      <c r="D807" s="11" t="str">
        <f t="array" ref="D807">iferror(index(fish_lab_data!D:D,match(A807,fish_lab_data!C:C,0)))</f>
        <v>P1135</v>
      </c>
      <c r="E807" s="6">
        <v>107.0</v>
      </c>
      <c r="F807" s="17" t="str">
        <f t="shared" si="3"/>
        <v>BCA107</v>
      </c>
      <c r="G807" s="43" t="str">
        <f t="shared" si="4"/>
        <v>NA</v>
      </c>
      <c r="H807" s="17" t="str">
        <f t="shared" si="5"/>
        <v>BCA107-NA</v>
      </c>
      <c r="J807" t="str">
        <f t="shared" si="6"/>
        <v>collected</v>
      </c>
      <c r="K807" t="str">
        <f t="shared" si="7"/>
        <v>N</v>
      </c>
    </row>
    <row r="808">
      <c r="A808" s="26" t="s">
        <v>900</v>
      </c>
      <c r="B808" s="10" t="str">
        <f t="shared" si="1"/>
        <v>fish</v>
      </c>
      <c r="C808" s="63" t="str">
        <f t="shared" si="2"/>
        <v>U17349</v>
      </c>
      <c r="D808" s="11" t="str">
        <f t="array" ref="D808">iferror(index(fish_lab_data!D:D,match(A808,fish_lab_data!C:C,0)))</f>
        <v>P1135</v>
      </c>
      <c r="E808" s="6">
        <v>107.0</v>
      </c>
      <c r="F808" s="17" t="str">
        <f t="shared" si="3"/>
        <v>BCA107</v>
      </c>
      <c r="G808" s="43" t="str">
        <f t="shared" si="4"/>
        <v>NA</v>
      </c>
      <c r="H808" s="17" t="str">
        <f t="shared" si="5"/>
        <v>BCA107-NA</v>
      </c>
      <c r="J808" t="str">
        <f t="shared" si="6"/>
        <v>collected</v>
      </c>
      <c r="K808" t="str">
        <f t="shared" si="7"/>
        <v>N</v>
      </c>
    </row>
    <row r="809">
      <c r="A809" s="26" t="s">
        <v>912</v>
      </c>
      <c r="B809" s="10" t="str">
        <f t="shared" si="1"/>
        <v>fish</v>
      </c>
      <c r="C809" s="63" t="str">
        <f t="shared" si="2"/>
        <v>U17343</v>
      </c>
      <c r="D809" s="11" t="str">
        <f t="array" ref="D809">iferror(index(fish_lab_data!D:D,match(A809,fish_lab_data!C:C,0)))</f>
        <v>P1135</v>
      </c>
      <c r="E809" s="6">
        <v>107.0</v>
      </c>
      <c r="F809" s="17" t="str">
        <f t="shared" si="3"/>
        <v>BCA107</v>
      </c>
      <c r="G809" s="43" t="str">
        <f t="shared" si="4"/>
        <v>NA</v>
      </c>
      <c r="H809" s="17" t="str">
        <f t="shared" si="5"/>
        <v>BCA107-NA</v>
      </c>
      <c r="J809" t="str">
        <f t="shared" si="6"/>
        <v>collected</v>
      </c>
      <c r="K809" t="str">
        <f t="shared" si="7"/>
        <v>N</v>
      </c>
    </row>
    <row r="810">
      <c r="A810" s="26" t="s">
        <v>919</v>
      </c>
      <c r="B810" s="10" t="str">
        <f t="shared" si="1"/>
        <v>fish</v>
      </c>
      <c r="C810" s="63" t="str">
        <f t="shared" si="2"/>
        <v>U17342</v>
      </c>
      <c r="D810" s="11" t="str">
        <f t="array" ref="D810">iferror(index(fish_lab_data!D:D,match(A810,fish_lab_data!C:C,0)))</f>
        <v>P1135</v>
      </c>
      <c r="E810" s="6">
        <v>107.0</v>
      </c>
      <c r="F810" s="17" t="str">
        <f t="shared" si="3"/>
        <v>BCA107</v>
      </c>
      <c r="G810" s="43" t="str">
        <f t="shared" si="4"/>
        <v>NA</v>
      </c>
      <c r="H810" s="17" t="str">
        <f t="shared" si="5"/>
        <v>BCA107-NA</v>
      </c>
      <c r="J810" t="str">
        <f t="shared" si="6"/>
        <v>collected</v>
      </c>
      <c r="K810" t="str">
        <f t="shared" si="7"/>
        <v>N</v>
      </c>
    </row>
    <row r="811">
      <c r="A811" s="26" t="s">
        <v>928</v>
      </c>
      <c r="B811" s="10" t="str">
        <f t="shared" si="1"/>
        <v>fish</v>
      </c>
      <c r="C811" s="63" t="str">
        <f t="shared" si="2"/>
        <v>U17345</v>
      </c>
      <c r="D811" s="11" t="str">
        <f t="array" ref="D811">iferror(index(fish_lab_data!D:D,match(A811,fish_lab_data!C:C,0)))</f>
        <v>P1135</v>
      </c>
      <c r="E811" s="6">
        <v>107.0</v>
      </c>
      <c r="F811" s="17" t="str">
        <f t="shared" si="3"/>
        <v>BCA107</v>
      </c>
      <c r="G811" s="43" t="str">
        <f t="shared" si="4"/>
        <v>NA</v>
      </c>
      <c r="H811" s="17" t="str">
        <f t="shared" si="5"/>
        <v>BCA107-NA</v>
      </c>
      <c r="J811" t="str">
        <f t="shared" si="6"/>
        <v>collected</v>
      </c>
      <c r="K811" t="str">
        <f t="shared" si="7"/>
        <v>N</v>
      </c>
    </row>
    <row r="812">
      <c r="A812" s="26" t="s">
        <v>936</v>
      </c>
      <c r="B812" s="10" t="str">
        <f t="shared" si="1"/>
        <v>fish</v>
      </c>
      <c r="C812" s="63" t="str">
        <f t="shared" si="2"/>
        <v>U17058</v>
      </c>
      <c r="D812" s="11" t="str">
        <f t="array" ref="D812">iferror(index(fish_lab_data!D:D,match(A812,fish_lab_data!C:C,0)))</f>
        <v>P1106</v>
      </c>
      <c r="E812" s="6">
        <v>107.0</v>
      </c>
      <c r="F812" s="17" t="str">
        <f t="shared" si="3"/>
        <v>BCA107</v>
      </c>
      <c r="G812" s="43" t="str">
        <f t="shared" si="4"/>
        <v>NA</v>
      </c>
      <c r="H812" s="17" t="str">
        <f t="shared" si="5"/>
        <v>BCA107-NA</v>
      </c>
      <c r="J812" t="str">
        <f t="shared" si="6"/>
        <v>collected</v>
      </c>
      <c r="K812" t="str">
        <f t="shared" si="7"/>
        <v>N</v>
      </c>
    </row>
    <row r="813">
      <c r="A813" s="27" t="s">
        <v>944</v>
      </c>
      <c r="B813" s="10" t="str">
        <f t="shared" si="1"/>
        <v>fish</v>
      </c>
      <c r="C813" s="63" t="str">
        <f t="shared" si="2"/>
        <v>U17059</v>
      </c>
      <c r="D813" s="11" t="str">
        <f t="array" ref="D813">iferror(index(fish_lab_data!D:D,match(A813,fish_lab_data!C:C,0)))</f>
        <v>P1106</v>
      </c>
      <c r="E813" s="6">
        <v>107.0</v>
      </c>
      <c r="F813" s="17" t="str">
        <f t="shared" si="3"/>
        <v>BCA107</v>
      </c>
      <c r="G813" s="43" t="str">
        <f t="shared" si="4"/>
        <v>NA</v>
      </c>
      <c r="H813" s="17" t="str">
        <f t="shared" si="5"/>
        <v>BCA107-NA</v>
      </c>
      <c r="J813" t="str">
        <f t="shared" si="6"/>
        <v>collected</v>
      </c>
      <c r="K813" t="str">
        <f t="shared" si="7"/>
        <v>N</v>
      </c>
    </row>
    <row r="814">
      <c r="A814" s="27" t="s">
        <v>953</v>
      </c>
      <c r="B814" s="10" t="str">
        <f t="shared" si="1"/>
        <v>fish</v>
      </c>
      <c r="C814" s="63" t="str">
        <f t="shared" si="2"/>
        <v>U17060</v>
      </c>
      <c r="D814" s="11" t="str">
        <f t="array" ref="D814">iferror(index(fish_lab_data!D:D,match(A814,fish_lab_data!C:C,0)))</f>
        <v>P1106</v>
      </c>
      <c r="E814" s="6">
        <v>107.0</v>
      </c>
      <c r="F814" s="17" t="str">
        <f t="shared" si="3"/>
        <v>BCA107</v>
      </c>
      <c r="G814" s="43" t="str">
        <f t="shared" si="4"/>
        <v>NA</v>
      </c>
      <c r="H814" s="17" t="str">
        <f t="shared" si="5"/>
        <v>BCA107-NA</v>
      </c>
      <c r="J814" t="str">
        <f t="shared" si="6"/>
        <v>collected</v>
      </c>
      <c r="K814" t="str">
        <f t="shared" si="7"/>
        <v>N</v>
      </c>
    </row>
    <row r="815">
      <c r="A815" s="27" t="s">
        <v>961</v>
      </c>
      <c r="B815" s="10" t="str">
        <f t="shared" si="1"/>
        <v>fish</v>
      </c>
      <c r="C815" s="63" t="str">
        <f t="shared" si="2"/>
        <v>U16081</v>
      </c>
      <c r="D815" s="11" t="str">
        <f t="array" ref="D815">iferror(index(fish_lab_data!D:D,match(A815,fish_lab_data!C:C,0)))</f>
        <v>P1009</v>
      </c>
      <c r="E815" s="6">
        <v>107.0</v>
      </c>
      <c r="F815" s="17" t="str">
        <f t="shared" si="3"/>
        <v>BCA107</v>
      </c>
      <c r="G815" s="43" t="str">
        <f t="shared" si="4"/>
        <v>NA</v>
      </c>
      <c r="H815" s="17" t="str">
        <f t="shared" si="5"/>
        <v>BCA107-NA</v>
      </c>
      <c r="J815" t="str">
        <f t="shared" si="6"/>
        <v>collected</v>
      </c>
      <c r="K815" t="str">
        <f t="shared" si="7"/>
        <v>N</v>
      </c>
    </row>
    <row r="816">
      <c r="A816" s="27" t="s">
        <v>970</v>
      </c>
      <c r="B816" s="10" t="str">
        <f t="shared" si="1"/>
        <v>fish</v>
      </c>
      <c r="C816" s="63" t="str">
        <f t="shared" si="2"/>
        <v>U16082</v>
      </c>
      <c r="D816" s="11" t="str">
        <f t="array" ref="D816">iferror(index(fish_lab_data!D:D,match(A816,fish_lab_data!C:C,0)))</f>
        <v>P1009</v>
      </c>
      <c r="E816" s="6">
        <v>107.0</v>
      </c>
      <c r="F816" s="17" t="str">
        <f t="shared" si="3"/>
        <v>BCA107</v>
      </c>
      <c r="G816" s="43" t="str">
        <f t="shared" si="4"/>
        <v>NA</v>
      </c>
      <c r="H816" s="17" t="str">
        <f t="shared" si="5"/>
        <v>BCA107-NA</v>
      </c>
      <c r="J816" t="str">
        <f t="shared" si="6"/>
        <v>collected</v>
      </c>
      <c r="K816" t="str">
        <f t="shared" si="7"/>
        <v>N</v>
      </c>
    </row>
    <row r="817">
      <c r="A817" s="27" t="s">
        <v>977</v>
      </c>
      <c r="B817" s="10" t="str">
        <f t="shared" si="1"/>
        <v>fish</v>
      </c>
      <c r="C817" s="63" t="str">
        <f t="shared" si="2"/>
        <v>U16083</v>
      </c>
      <c r="D817" s="11" t="str">
        <f t="array" ref="D817">iferror(index(fish_lab_data!D:D,match(A817,fish_lab_data!C:C,0)))</f>
        <v>P1009</v>
      </c>
      <c r="E817" s="6">
        <v>107.0</v>
      </c>
      <c r="F817" s="17" t="str">
        <f t="shared" si="3"/>
        <v>BCA107</v>
      </c>
      <c r="G817" s="43" t="str">
        <f t="shared" si="4"/>
        <v>NA</v>
      </c>
      <c r="H817" s="17" t="str">
        <f t="shared" si="5"/>
        <v>BCA107-NA</v>
      </c>
      <c r="J817" t="str">
        <f t="shared" si="6"/>
        <v>collected</v>
      </c>
      <c r="K817" t="str">
        <f t="shared" si="7"/>
        <v>N</v>
      </c>
    </row>
    <row r="818">
      <c r="A818" s="27" t="s">
        <v>984</v>
      </c>
      <c r="B818" s="10" t="str">
        <f t="shared" si="1"/>
        <v>fish</v>
      </c>
      <c r="C818" s="63" t="str">
        <f t="shared" si="2"/>
        <v>U16084</v>
      </c>
      <c r="D818" s="11" t="str">
        <f t="array" ref="D818">iferror(index(fish_lab_data!D:D,match(A818,fish_lab_data!C:C,0)))</f>
        <v>P1009</v>
      </c>
      <c r="E818" s="6">
        <v>107.0</v>
      </c>
      <c r="F818" s="17" t="str">
        <f t="shared" si="3"/>
        <v>BCA107</v>
      </c>
      <c r="G818" s="43" t="str">
        <f t="shared" si="4"/>
        <v>NA</v>
      </c>
      <c r="H818" s="17" t="str">
        <f t="shared" si="5"/>
        <v>BCA107-NA</v>
      </c>
      <c r="J818" t="str">
        <f t="shared" si="6"/>
        <v>collected</v>
      </c>
      <c r="K818" t="str">
        <f t="shared" si="7"/>
        <v>N</v>
      </c>
    </row>
    <row r="819">
      <c r="A819" s="27" t="s">
        <v>992</v>
      </c>
      <c r="B819" s="10" t="str">
        <f t="shared" si="1"/>
        <v>fish</v>
      </c>
      <c r="C819" s="63" t="str">
        <f t="shared" si="2"/>
        <v>U16085</v>
      </c>
      <c r="D819" s="11" t="str">
        <f t="array" ref="D819">iferror(index(fish_lab_data!D:D,match(A819,fish_lab_data!C:C,0)))</f>
        <v>P1009</v>
      </c>
      <c r="E819" s="6">
        <v>107.0</v>
      </c>
      <c r="F819" s="17" t="str">
        <f t="shared" si="3"/>
        <v>BCA107</v>
      </c>
      <c r="G819" s="43" t="str">
        <f t="shared" si="4"/>
        <v>NA</v>
      </c>
      <c r="H819" s="17" t="str">
        <f t="shared" si="5"/>
        <v>BCA107-NA</v>
      </c>
      <c r="J819" t="str">
        <f t="shared" si="6"/>
        <v>collected</v>
      </c>
      <c r="K819" t="str">
        <f t="shared" si="7"/>
        <v>N</v>
      </c>
    </row>
    <row r="820">
      <c r="A820" s="27" t="s">
        <v>1000</v>
      </c>
      <c r="B820" s="10" t="str">
        <f t="shared" si="1"/>
        <v>fish</v>
      </c>
      <c r="C820" s="63" t="str">
        <f t="shared" si="2"/>
        <v>U16086</v>
      </c>
      <c r="D820" s="11" t="str">
        <f t="array" ref="D820">iferror(index(fish_lab_data!D:D,match(A820,fish_lab_data!C:C,0)))</f>
        <v>P1009</v>
      </c>
      <c r="E820" s="6">
        <v>107.0</v>
      </c>
      <c r="F820" s="17" t="str">
        <f t="shared" si="3"/>
        <v>BCA107</v>
      </c>
      <c r="G820" s="43" t="str">
        <f t="shared" si="4"/>
        <v>NA</v>
      </c>
      <c r="H820" s="17" t="str">
        <f t="shared" si="5"/>
        <v>BCA107-NA</v>
      </c>
      <c r="J820" t="str">
        <f t="shared" si="6"/>
        <v>collected</v>
      </c>
      <c r="K820" t="str">
        <f t="shared" si="7"/>
        <v>N</v>
      </c>
    </row>
    <row r="821">
      <c r="A821" s="27" t="s">
        <v>1007</v>
      </c>
      <c r="B821" s="10" t="str">
        <f t="shared" si="1"/>
        <v>fish</v>
      </c>
      <c r="C821" s="63" t="str">
        <f t="shared" si="2"/>
        <v>U16087</v>
      </c>
      <c r="D821" s="11" t="str">
        <f t="array" ref="D821">iferror(index(fish_lab_data!D:D,match(A821,fish_lab_data!C:C,0)))</f>
        <v>P1009</v>
      </c>
      <c r="E821" s="6">
        <v>107.0</v>
      </c>
      <c r="F821" s="17" t="str">
        <f t="shared" si="3"/>
        <v>BCA107</v>
      </c>
      <c r="G821" s="43" t="str">
        <f t="shared" si="4"/>
        <v>NA</v>
      </c>
      <c r="H821" s="17" t="str">
        <f t="shared" si="5"/>
        <v>BCA107-NA</v>
      </c>
      <c r="J821" t="str">
        <f t="shared" si="6"/>
        <v>collected</v>
      </c>
      <c r="K821" t="str">
        <f t="shared" si="7"/>
        <v>N</v>
      </c>
    </row>
    <row r="822">
      <c r="A822" s="26" t="s">
        <v>1014</v>
      </c>
      <c r="B822" s="10" t="str">
        <f t="shared" si="1"/>
        <v>fish</v>
      </c>
      <c r="C822" s="63" t="str">
        <f t="shared" si="2"/>
        <v>U16088</v>
      </c>
      <c r="D822" s="11" t="str">
        <f t="array" ref="D822">iferror(index(fish_lab_data!D:D,match(A822,fish_lab_data!C:C,0)))</f>
        <v>P1009</v>
      </c>
      <c r="E822" s="6">
        <v>107.0</v>
      </c>
      <c r="F822" s="17" t="str">
        <f t="shared" si="3"/>
        <v>BCA107</v>
      </c>
      <c r="G822" s="43" t="str">
        <f t="shared" si="4"/>
        <v>NA</v>
      </c>
      <c r="H822" s="17" t="str">
        <f t="shared" si="5"/>
        <v>BCA107-NA</v>
      </c>
      <c r="J822" t="str">
        <f t="shared" si="6"/>
        <v>collected</v>
      </c>
      <c r="K822" t="str">
        <f t="shared" si="7"/>
        <v>N</v>
      </c>
    </row>
    <row r="823">
      <c r="A823" s="26" t="s">
        <v>1022</v>
      </c>
      <c r="B823" s="10" t="str">
        <f t="shared" si="1"/>
        <v>fish</v>
      </c>
      <c r="C823" s="63" t="str">
        <f t="shared" si="2"/>
        <v>U16089</v>
      </c>
      <c r="D823" s="11" t="str">
        <f t="array" ref="D823">iferror(index(fish_lab_data!D:D,match(A823,fish_lab_data!C:C,0)))</f>
        <v>P1009</v>
      </c>
      <c r="E823" s="6">
        <v>107.0</v>
      </c>
      <c r="F823" s="17" t="str">
        <f t="shared" si="3"/>
        <v>BCA107</v>
      </c>
      <c r="G823" s="43" t="str">
        <f t="shared" si="4"/>
        <v>NA</v>
      </c>
      <c r="H823" s="17" t="str">
        <f t="shared" si="5"/>
        <v>BCA107-NA</v>
      </c>
      <c r="J823" t="str">
        <f t="shared" si="6"/>
        <v>collected</v>
      </c>
      <c r="K823" t="str">
        <f t="shared" si="7"/>
        <v>N</v>
      </c>
    </row>
    <row r="824">
      <c r="A824" s="26" t="s">
        <v>1027</v>
      </c>
      <c r="B824" s="10" t="str">
        <f t="shared" si="1"/>
        <v>fish</v>
      </c>
      <c r="C824" s="63" t="str">
        <f t="shared" si="2"/>
        <v>U16090</v>
      </c>
      <c r="D824" s="11" t="str">
        <f t="array" ref="D824">iferror(index(fish_lab_data!D:D,match(A824,fish_lab_data!C:C,0)))</f>
        <v>P1009</v>
      </c>
      <c r="E824" s="6">
        <v>107.0</v>
      </c>
      <c r="F824" s="17" t="str">
        <f t="shared" si="3"/>
        <v>BCA107</v>
      </c>
      <c r="G824" s="43" t="str">
        <f t="shared" si="4"/>
        <v>NA</v>
      </c>
      <c r="H824" s="17" t="str">
        <f t="shared" si="5"/>
        <v>BCA107-NA</v>
      </c>
      <c r="J824" t="str">
        <f t="shared" si="6"/>
        <v>collected</v>
      </c>
      <c r="K824" t="str">
        <f t="shared" si="7"/>
        <v>N</v>
      </c>
    </row>
    <row r="825">
      <c r="A825" s="26" t="s">
        <v>1034</v>
      </c>
      <c r="B825" s="10" t="str">
        <f t="shared" si="1"/>
        <v>fish</v>
      </c>
      <c r="C825" s="63" t="str">
        <f t="shared" si="2"/>
        <v>U17141</v>
      </c>
      <c r="D825" s="11" t="str">
        <f t="array" ref="D825">iferror(index(fish_lab_data!D:D,match(A825,fish_lab_data!C:C,0)))</f>
        <v>P1115</v>
      </c>
      <c r="E825" s="6">
        <v>107.0</v>
      </c>
      <c r="F825" s="17" t="str">
        <f t="shared" si="3"/>
        <v>BCA107</v>
      </c>
      <c r="G825" s="43" t="str">
        <f t="shared" si="4"/>
        <v>NA</v>
      </c>
      <c r="H825" s="17" t="str">
        <f t="shared" si="5"/>
        <v>BCA107-NA</v>
      </c>
      <c r="J825" t="str">
        <f t="shared" si="6"/>
        <v>collected</v>
      </c>
      <c r="K825" t="str">
        <f t="shared" si="7"/>
        <v>N</v>
      </c>
    </row>
    <row r="826">
      <c r="A826" s="26" t="s">
        <v>1043</v>
      </c>
      <c r="B826" s="10" t="str">
        <f t="shared" si="1"/>
        <v>fish</v>
      </c>
      <c r="C826" s="63" t="str">
        <f t="shared" si="2"/>
        <v>U17142</v>
      </c>
      <c r="D826" s="11" t="str">
        <f t="array" ref="D826">iferror(index(fish_lab_data!D:D,match(A826,fish_lab_data!C:C,0)))</f>
        <v>P1115</v>
      </c>
      <c r="E826" s="6">
        <v>107.0</v>
      </c>
      <c r="F826" s="17" t="str">
        <f t="shared" si="3"/>
        <v>BCA107</v>
      </c>
      <c r="G826" s="43" t="str">
        <f t="shared" si="4"/>
        <v>NA</v>
      </c>
      <c r="H826" s="17" t="str">
        <f t="shared" si="5"/>
        <v>BCA107-NA</v>
      </c>
      <c r="J826" t="str">
        <f t="shared" si="6"/>
        <v>collected</v>
      </c>
      <c r="K826" t="str">
        <f t="shared" si="7"/>
        <v>N</v>
      </c>
    </row>
    <row r="827">
      <c r="A827" s="26" t="s">
        <v>1054</v>
      </c>
      <c r="B827" s="10" t="str">
        <f t="shared" si="1"/>
        <v>fish</v>
      </c>
      <c r="C827" s="63" t="str">
        <f t="shared" si="2"/>
        <v>U17143</v>
      </c>
      <c r="D827" s="11" t="str">
        <f t="array" ref="D827">iferror(index(fish_lab_data!D:D,match(A827,fish_lab_data!C:C,0)))</f>
        <v>P1115</v>
      </c>
      <c r="E827" s="6">
        <v>107.0</v>
      </c>
      <c r="F827" s="17" t="str">
        <f t="shared" si="3"/>
        <v>BCA107</v>
      </c>
      <c r="G827" s="43" t="str">
        <f t="shared" si="4"/>
        <v>NA</v>
      </c>
      <c r="H827" s="17" t="str">
        <f t="shared" si="5"/>
        <v>BCA107-NA</v>
      </c>
      <c r="J827" t="str">
        <f t="shared" si="6"/>
        <v>collected</v>
      </c>
      <c r="K827" t="str">
        <f t="shared" si="7"/>
        <v>N</v>
      </c>
    </row>
    <row r="828">
      <c r="A828" s="26" t="s">
        <v>1063</v>
      </c>
      <c r="B828" s="10" t="str">
        <f t="shared" si="1"/>
        <v>fish</v>
      </c>
      <c r="C828" s="63" t="str">
        <f t="shared" si="2"/>
        <v>U17144</v>
      </c>
      <c r="D828" s="11" t="str">
        <f t="array" ref="D828">iferror(index(fish_lab_data!D:D,match(A828,fish_lab_data!C:C,0)))</f>
        <v>P1115</v>
      </c>
      <c r="E828" s="6">
        <v>107.0</v>
      </c>
      <c r="F828" s="17" t="str">
        <f t="shared" si="3"/>
        <v>BCA107</v>
      </c>
      <c r="G828" s="43" t="str">
        <f t="shared" si="4"/>
        <v>NA</v>
      </c>
      <c r="H828" s="17" t="str">
        <f t="shared" si="5"/>
        <v>BCA107-NA</v>
      </c>
      <c r="J828" t="str">
        <f t="shared" si="6"/>
        <v>collected</v>
      </c>
      <c r="K828" t="str">
        <f t="shared" si="7"/>
        <v>N</v>
      </c>
    </row>
    <row r="829">
      <c r="A829" s="26" t="s">
        <v>1073</v>
      </c>
      <c r="B829" s="10" t="str">
        <f t="shared" si="1"/>
        <v>fish</v>
      </c>
      <c r="C829" s="63" t="str">
        <f t="shared" si="2"/>
        <v>U17145</v>
      </c>
      <c r="D829" s="11" t="str">
        <f t="array" ref="D829">iferror(index(fish_lab_data!D:D,match(A829,fish_lab_data!C:C,0)))</f>
        <v>P1115</v>
      </c>
      <c r="E829" s="6">
        <v>107.0</v>
      </c>
      <c r="F829" s="17" t="str">
        <f t="shared" si="3"/>
        <v>BCA107</v>
      </c>
      <c r="G829" s="43" t="str">
        <f t="shared" si="4"/>
        <v>NA</v>
      </c>
      <c r="H829" s="17" t="str">
        <f t="shared" si="5"/>
        <v>BCA107-NA</v>
      </c>
      <c r="J829" t="str">
        <f t="shared" si="6"/>
        <v>collected</v>
      </c>
      <c r="K829" t="str">
        <f t="shared" si="7"/>
        <v>N</v>
      </c>
    </row>
    <row r="830">
      <c r="A830" s="26" t="s">
        <v>1083</v>
      </c>
      <c r="B830" s="10" t="str">
        <f t="shared" si="1"/>
        <v>fish</v>
      </c>
      <c r="C830" s="63" t="str">
        <f t="shared" si="2"/>
        <v>U17146</v>
      </c>
      <c r="D830" s="11" t="str">
        <f t="array" ref="D830">iferror(index(fish_lab_data!D:D,match(A830,fish_lab_data!C:C,0)))</f>
        <v>P1115</v>
      </c>
      <c r="E830" s="6">
        <v>107.0</v>
      </c>
      <c r="F830" s="17" t="str">
        <f t="shared" si="3"/>
        <v>BCA107</v>
      </c>
      <c r="G830" s="43" t="str">
        <f t="shared" si="4"/>
        <v>NA</v>
      </c>
      <c r="H830" s="17" t="str">
        <f t="shared" si="5"/>
        <v>BCA107-NA</v>
      </c>
      <c r="J830" t="str">
        <f t="shared" si="6"/>
        <v>collected</v>
      </c>
      <c r="K830" t="str">
        <f t="shared" si="7"/>
        <v>N</v>
      </c>
    </row>
    <row r="831">
      <c r="A831" s="26" t="s">
        <v>1095</v>
      </c>
      <c r="B831" s="10" t="str">
        <f t="shared" si="1"/>
        <v>fish</v>
      </c>
      <c r="C831" s="63" t="str">
        <f t="shared" si="2"/>
        <v>U17147</v>
      </c>
      <c r="D831" s="11" t="str">
        <f t="array" ref="D831">iferror(index(fish_lab_data!D:D,match(A831,fish_lab_data!C:C,0)))</f>
        <v>P1115</v>
      </c>
      <c r="E831" s="6">
        <v>107.0</v>
      </c>
      <c r="F831" s="17" t="str">
        <f t="shared" si="3"/>
        <v>BCA107</v>
      </c>
      <c r="G831" s="43" t="str">
        <f t="shared" si="4"/>
        <v>NA</v>
      </c>
      <c r="H831" s="17" t="str">
        <f t="shared" si="5"/>
        <v>BCA107-NA</v>
      </c>
      <c r="J831" t="str">
        <f t="shared" si="6"/>
        <v>collected</v>
      </c>
      <c r="K831" t="str">
        <f t="shared" si="7"/>
        <v>N</v>
      </c>
    </row>
    <row r="832">
      <c r="A832" s="26" t="s">
        <v>1106</v>
      </c>
      <c r="B832" s="10" t="str">
        <f t="shared" si="1"/>
        <v>fish</v>
      </c>
      <c r="C832" s="63" t="str">
        <f t="shared" si="2"/>
        <v>U17148</v>
      </c>
      <c r="D832" s="11" t="str">
        <f t="array" ref="D832">iferror(index(fish_lab_data!D:D,match(A832,fish_lab_data!C:C,0)))</f>
        <v>P1115</v>
      </c>
      <c r="E832" s="6">
        <v>107.0</v>
      </c>
      <c r="F832" s="17" t="str">
        <f t="shared" si="3"/>
        <v>BCA107</v>
      </c>
      <c r="G832" s="43" t="str">
        <f t="shared" si="4"/>
        <v>NA</v>
      </c>
      <c r="H832" s="17" t="str">
        <f t="shared" si="5"/>
        <v>BCA107-NA</v>
      </c>
      <c r="J832" t="str">
        <f t="shared" si="6"/>
        <v>collected</v>
      </c>
      <c r="K832" t="str">
        <f t="shared" si="7"/>
        <v>N</v>
      </c>
    </row>
    <row r="833">
      <c r="A833" s="26" t="s">
        <v>1116</v>
      </c>
      <c r="B833" s="10" t="str">
        <f t="shared" si="1"/>
        <v>fish</v>
      </c>
      <c r="C833" s="63" t="str">
        <f t="shared" si="2"/>
        <v>U17149</v>
      </c>
      <c r="D833" s="11" t="str">
        <f t="array" ref="D833">iferror(index(fish_lab_data!D:D,match(A833,fish_lab_data!C:C,0)))</f>
        <v>P1115</v>
      </c>
      <c r="E833" s="6">
        <v>107.0</v>
      </c>
      <c r="F833" s="17" t="str">
        <f t="shared" si="3"/>
        <v>BCA107</v>
      </c>
      <c r="G833" s="43" t="str">
        <f t="shared" si="4"/>
        <v>NA</v>
      </c>
      <c r="H833" s="17" t="str">
        <f t="shared" si="5"/>
        <v>BCA107-NA</v>
      </c>
      <c r="J833" t="str">
        <f t="shared" si="6"/>
        <v>collected</v>
      </c>
      <c r="K833" t="str">
        <f t="shared" si="7"/>
        <v>N</v>
      </c>
    </row>
    <row r="834">
      <c r="A834" s="26" t="s">
        <v>1126</v>
      </c>
      <c r="B834" s="10" t="str">
        <f t="shared" si="1"/>
        <v>fish</v>
      </c>
      <c r="C834" s="63" t="str">
        <f t="shared" si="2"/>
        <v>U17150</v>
      </c>
      <c r="D834" s="11" t="str">
        <f t="array" ref="D834">iferror(index(fish_lab_data!D:D,match(A834,fish_lab_data!C:C,0)))</f>
        <v>P1115</v>
      </c>
      <c r="E834" s="6">
        <v>107.0</v>
      </c>
      <c r="F834" s="17" t="str">
        <f t="shared" si="3"/>
        <v>BCA107</v>
      </c>
      <c r="G834" s="43" t="str">
        <f t="shared" si="4"/>
        <v>NA</v>
      </c>
      <c r="H834" s="17" t="str">
        <f t="shared" si="5"/>
        <v>BCA107-NA</v>
      </c>
      <c r="J834" t="str">
        <f t="shared" si="6"/>
        <v>collected</v>
      </c>
      <c r="K834" t="str">
        <f t="shared" si="7"/>
        <v>N</v>
      </c>
    </row>
    <row r="835">
      <c r="A835" s="26" t="s">
        <v>1138</v>
      </c>
      <c r="B835" s="10" t="str">
        <f t="shared" si="1"/>
        <v>fish</v>
      </c>
      <c r="C835" s="63" t="str">
        <f t="shared" si="2"/>
        <v>U17321</v>
      </c>
      <c r="D835" s="11" t="str">
        <f t="array" ref="D835">iferror(index(fish_lab_data!D:D,match(A835,fish_lab_data!C:C,0)))</f>
        <v>P1133</v>
      </c>
      <c r="E835" s="6">
        <v>107.0</v>
      </c>
      <c r="F835" s="17" t="str">
        <f t="shared" si="3"/>
        <v>BCA107</v>
      </c>
      <c r="G835" s="43" t="str">
        <f t="shared" si="4"/>
        <v>NA</v>
      </c>
      <c r="H835" s="17" t="str">
        <f t="shared" si="5"/>
        <v>BCA107-NA</v>
      </c>
      <c r="J835" t="str">
        <f t="shared" si="6"/>
        <v>collected</v>
      </c>
      <c r="K835" t="str">
        <f t="shared" si="7"/>
        <v>N</v>
      </c>
    </row>
    <row r="836">
      <c r="A836" s="26" t="s">
        <v>1150</v>
      </c>
      <c r="B836" s="10" t="str">
        <f t="shared" si="1"/>
        <v>fish</v>
      </c>
      <c r="C836" s="63" t="str">
        <f t="shared" si="2"/>
        <v>U17322</v>
      </c>
      <c r="D836" s="11" t="str">
        <f t="array" ref="D836">iferror(index(fish_lab_data!D:D,match(A836,fish_lab_data!C:C,0)))</f>
        <v>P1133</v>
      </c>
      <c r="E836" s="6">
        <v>107.0</v>
      </c>
      <c r="F836" s="17" t="str">
        <f t="shared" si="3"/>
        <v>BCA107</v>
      </c>
      <c r="G836" s="43" t="str">
        <f t="shared" si="4"/>
        <v>NA</v>
      </c>
      <c r="H836" s="17" t="str">
        <f t="shared" si="5"/>
        <v>BCA107-NA</v>
      </c>
      <c r="J836" t="str">
        <f t="shared" si="6"/>
        <v>collected</v>
      </c>
      <c r="K836" t="str">
        <f t="shared" si="7"/>
        <v>N</v>
      </c>
    </row>
    <row r="837">
      <c r="A837" s="26" t="s">
        <v>1160</v>
      </c>
      <c r="B837" s="10" t="str">
        <f t="shared" si="1"/>
        <v>fish</v>
      </c>
      <c r="C837" s="63" t="str">
        <f t="shared" si="2"/>
        <v>U17323</v>
      </c>
      <c r="D837" s="11" t="str">
        <f t="array" ref="D837">iferror(index(fish_lab_data!D:D,match(A837,fish_lab_data!C:C,0)))</f>
        <v>P1133</v>
      </c>
      <c r="E837" s="6">
        <v>107.0</v>
      </c>
      <c r="F837" s="17" t="str">
        <f t="shared" si="3"/>
        <v>BCA107</v>
      </c>
      <c r="G837" s="43" t="str">
        <f t="shared" si="4"/>
        <v>NA</v>
      </c>
      <c r="H837" s="17" t="str">
        <f t="shared" si="5"/>
        <v>BCA107-NA</v>
      </c>
      <c r="J837" t="str">
        <f t="shared" si="6"/>
        <v>collected</v>
      </c>
      <c r="K837" t="str">
        <f t="shared" si="7"/>
        <v>N</v>
      </c>
    </row>
    <row r="838">
      <c r="A838" s="26" t="s">
        <v>1169</v>
      </c>
      <c r="B838" s="10" t="str">
        <f t="shared" si="1"/>
        <v>fish</v>
      </c>
      <c r="C838" s="63" t="str">
        <f t="shared" si="2"/>
        <v>U17324</v>
      </c>
      <c r="D838" s="11" t="str">
        <f t="array" ref="D838">iferror(index(fish_lab_data!D:D,match(A838,fish_lab_data!C:C,0)))</f>
        <v>P1133</v>
      </c>
      <c r="E838" s="6">
        <v>107.0</v>
      </c>
      <c r="F838" s="17" t="str">
        <f t="shared" si="3"/>
        <v>BCA107</v>
      </c>
      <c r="G838" s="43" t="str">
        <f t="shared" si="4"/>
        <v>NA</v>
      </c>
      <c r="H838" s="17" t="str">
        <f t="shared" si="5"/>
        <v>BCA107-NA</v>
      </c>
      <c r="J838" t="str">
        <f t="shared" si="6"/>
        <v>collected</v>
      </c>
      <c r="K838" t="str">
        <f t="shared" si="7"/>
        <v>N</v>
      </c>
    </row>
    <row r="839">
      <c r="A839" s="26" t="s">
        <v>1178</v>
      </c>
      <c r="B839" s="10" t="str">
        <f t="shared" si="1"/>
        <v>fish</v>
      </c>
      <c r="C839" s="63" t="str">
        <f t="shared" si="2"/>
        <v>U17325</v>
      </c>
      <c r="D839" s="11" t="str">
        <f t="array" ref="D839">iferror(index(fish_lab_data!D:D,match(A839,fish_lab_data!C:C,0)))</f>
        <v>P1133</v>
      </c>
      <c r="E839" s="6">
        <v>107.0</v>
      </c>
      <c r="F839" s="17" t="str">
        <f t="shared" si="3"/>
        <v>BCA107</v>
      </c>
      <c r="G839" s="43" t="str">
        <f t="shared" si="4"/>
        <v>NA</v>
      </c>
      <c r="H839" s="17" t="str">
        <f t="shared" si="5"/>
        <v>BCA107-NA</v>
      </c>
      <c r="J839" t="str">
        <f t="shared" si="6"/>
        <v>collected</v>
      </c>
      <c r="K839" t="str">
        <f t="shared" si="7"/>
        <v>N</v>
      </c>
    </row>
    <row r="840">
      <c r="A840" s="44" t="s">
        <v>1180</v>
      </c>
      <c r="B840" s="10" t="str">
        <f t="shared" si="1"/>
        <v>fish</v>
      </c>
      <c r="C840" s="63" t="str">
        <f t="shared" si="2"/>
        <v>U17346</v>
      </c>
      <c r="D840" s="11" t="str">
        <f t="array" ref="D840">iferror(index(fish_lab_data!D:D,match(A840,fish_lab_data!C:C,0)))</f>
        <v>P1135</v>
      </c>
      <c r="E840" s="6">
        <v>107.0</v>
      </c>
      <c r="F840" s="17" t="str">
        <f t="shared" si="3"/>
        <v>BCA107</v>
      </c>
      <c r="G840" s="43" t="str">
        <f t="shared" si="4"/>
        <v>NA</v>
      </c>
      <c r="H840" s="17" t="str">
        <f t="shared" si="5"/>
        <v>BCA107-NA</v>
      </c>
      <c r="J840" t="str">
        <f t="shared" si="6"/>
        <v>collected</v>
      </c>
      <c r="K840" t="str">
        <f t="shared" si="7"/>
        <v>N</v>
      </c>
    </row>
    <row r="841">
      <c r="A841" s="44" t="s">
        <v>1182</v>
      </c>
      <c r="B841" s="10" t="str">
        <f t="shared" si="1"/>
        <v>fish</v>
      </c>
      <c r="C841" s="63" t="str">
        <f t="shared" si="2"/>
        <v>U17344</v>
      </c>
      <c r="D841" s="11" t="str">
        <f t="array" ref="D841">iferror(index(fish_lab_data!D:D,match(A841,fish_lab_data!C:C,0)))</f>
        <v>P1135</v>
      </c>
      <c r="E841" s="6">
        <v>107.0</v>
      </c>
      <c r="F841" s="17" t="str">
        <f t="shared" si="3"/>
        <v>BCA107</v>
      </c>
      <c r="G841" s="43" t="str">
        <f t="shared" si="4"/>
        <v>NA</v>
      </c>
      <c r="H841" s="17" t="str">
        <f t="shared" si="5"/>
        <v>BCA107-NA</v>
      </c>
      <c r="J841" t="str">
        <f t="shared" si="6"/>
        <v>collected</v>
      </c>
      <c r="K841" t="str">
        <f t="shared" si="7"/>
        <v>N</v>
      </c>
    </row>
    <row r="842">
      <c r="A842" s="40" t="s">
        <v>1186</v>
      </c>
      <c r="B842" s="10" t="str">
        <f t="shared" si="1"/>
        <v>fish</v>
      </c>
      <c r="C842" s="63" t="str">
        <f t="shared" si="2"/>
        <v>U17218</v>
      </c>
      <c r="D842" s="11" t="str">
        <f t="array" ref="D842">iferror(index(fish_lab_data!D:D,match(A842,fish_lab_data!C:C,0)))</f>
        <v>P1122</v>
      </c>
      <c r="E842" s="6">
        <v>107.0</v>
      </c>
      <c r="F842" s="17" t="str">
        <f t="shared" si="3"/>
        <v>BCA107</v>
      </c>
      <c r="G842" s="43" t="str">
        <f t="shared" si="4"/>
        <v>NA</v>
      </c>
      <c r="H842" s="17" t="str">
        <f t="shared" si="5"/>
        <v>BCA107-NA</v>
      </c>
      <c r="J842" t="str">
        <f t="shared" si="6"/>
        <v>collected</v>
      </c>
      <c r="K842" t="str">
        <f t="shared" si="7"/>
        <v>N</v>
      </c>
    </row>
    <row r="843">
      <c r="A843" s="44" t="s">
        <v>1190</v>
      </c>
      <c r="B843" s="10" t="str">
        <f t="shared" si="1"/>
        <v>fish</v>
      </c>
      <c r="C843" s="63" t="str">
        <f t="shared" si="2"/>
        <v>U17215</v>
      </c>
      <c r="D843" s="11" t="str">
        <f t="array" ref="D843">iferror(index(fish_lab_data!D:D,match(A843,fish_lab_data!C:C,0)))</f>
        <v>P1122</v>
      </c>
      <c r="E843" s="6">
        <v>107.0</v>
      </c>
      <c r="F843" s="17" t="str">
        <f t="shared" si="3"/>
        <v>BCA107</v>
      </c>
      <c r="G843" s="43" t="str">
        <f t="shared" si="4"/>
        <v>NA</v>
      </c>
      <c r="H843" s="17" t="str">
        <f t="shared" si="5"/>
        <v>BCA107-NA</v>
      </c>
      <c r="J843" t="str">
        <f t="shared" si="6"/>
        <v>collected</v>
      </c>
      <c r="K843" t="str">
        <f t="shared" si="7"/>
        <v>N</v>
      </c>
    </row>
    <row r="844">
      <c r="A844" s="44" t="s">
        <v>1192</v>
      </c>
      <c r="B844" s="10" t="str">
        <f t="shared" si="1"/>
        <v>fish</v>
      </c>
      <c r="C844" s="63" t="str">
        <f t="shared" si="2"/>
        <v>U17219</v>
      </c>
      <c r="D844" s="11" t="str">
        <f t="array" ref="D844">iferror(index(fish_lab_data!D:D,match(A844,fish_lab_data!C:C,0)))</f>
        <v>P1122</v>
      </c>
      <c r="E844" s="6">
        <v>107.0</v>
      </c>
      <c r="F844" s="17" t="str">
        <f t="shared" si="3"/>
        <v>BCA107</v>
      </c>
      <c r="G844" s="43" t="str">
        <f t="shared" si="4"/>
        <v>NA</v>
      </c>
      <c r="H844" s="17" t="str">
        <f t="shared" si="5"/>
        <v>BCA107-NA</v>
      </c>
      <c r="J844" t="str">
        <f t="shared" si="6"/>
        <v>collected</v>
      </c>
      <c r="K844" t="str">
        <f t="shared" si="7"/>
        <v>N</v>
      </c>
    </row>
    <row r="845">
      <c r="A845" s="44" t="s">
        <v>1195</v>
      </c>
      <c r="B845" s="10" t="str">
        <f t="shared" si="1"/>
        <v>fish</v>
      </c>
      <c r="C845" s="63" t="str">
        <f t="shared" si="2"/>
        <v>U17220</v>
      </c>
      <c r="D845" s="11" t="str">
        <f t="array" ref="D845">iferror(index(fish_lab_data!D:D,match(A845,fish_lab_data!C:C,0)))</f>
        <v>P1122</v>
      </c>
      <c r="E845" s="6">
        <v>107.0</v>
      </c>
      <c r="F845" s="17" t="str">
        <f t="shared" si="3"/>
        <v>BCA107</v>
      </c>
      <c r="G845" s="43" t="str">
        <f t="shared" si="4"/>
        <v>NA</v>
      </c>
      <c r="H845" s="17" t="str">
        <f t="shared" si="5"/>
        <v>BCA107-NA</v>
      </c>
      <c r="J845" t="str">
        <f t="shared" si="6"/>
        <v>collected</v>
      </c>
      <c r="K845" t="str">
        <f t="shared" si="7"/>
        <v>N</v>
      </c>
    </row>
    <row r="846">
      <c r="A846" s="44" t="s">
        <v>1197</v>
      </c>
      <c r="B846" s="10" t="str">
        <f t="shared" si="1"/>
        <v>fish</v>
      </c>
      <c r="C846" s="63" t="str">
        <f t="shared" si="2"/>
        <v>U17211</v>
      </c>
      <c r="D846" s="11" t="str">
        <f t="array" ref="D846">iferror(index(fish_lab_data!D:D,match(A846,fish_lab_data!C:C,0)))</f>
        <v>P1122</v>
      </c>
      <c r="E846" s="6">
        <v>107.0</v>
      </c>
      <c r="F846" s="17" t="str">
        <f t="shared" si="3"/>
        <v>BCA107</v>
      </c>
      <c r="G846" s="43" t="str">
        <f t="shared" si="4"/>
        <v>NA</v>
      </c>
      <c r="H846" s="17" t="str">
        <f t="shared" si="5"/>
        <v>BCA107-NA</v>
      </c>
      <c r="J846" t="str">
        <f t="shared" si="6"/>
        <v>collected</v>
      </c>
      <c r="K846" t="str">
        <f t="shared" si="7"/>
        <v>N</v>
      </c>
    </row>
    <row r="847">
      <c r="A847" s="44" t="s">
        <v>1200</v>
      </c>
      <c r="B847" s="10" t="str">
        <f t="shared" si="1"/>
        <v>fish</v>
      </c>
      <c r="C847" s="63" t="str">
        <f t="shared" si="2"/>
        <v>U17217</v>
      </c>
      <c r="D847" s="11" t="str">
        <f t="array" ref="D847">iferror(index(fish_lab_data!D:D,match(A847,fish_lab_data!C:C,0)))</f>
        <v>P1122</v>
      </c>
      <c r="E847" s="6">
        <v>107.0</v>
      </c>
      <c r="F847" s="17" t="str">
        <f t="shared" si="3"/>
        <v>BCA107</v>
      </c>
      <c r="G847" s="43" t="str">
        <f t="shared" si="4"/>
        <v>NA</v>
      </c>
      <c r="H847" s="17" t="str">
        <f t="shared" si="5"/>
        <v>BCA107-NA</v>
      </c>
      <c r="J847" t="str">
        <f t="shared" si="6"/>
        <v>collected</v>
      </c>
      <c r="K847" t="str">
        <f t="shared" si="7"/>
        <v>N</v>
      </c>
    </row>
    <row r="848">
      <c r="A848" s="44" t="s">
        <v>1202</v>
      </c>
      <c r="B848" s="10" t="str">
        <f t="shared" si="1"/>
        <v>fish</v>
      </c>
      <c r="C848" s="63" t="str">
        <f t="shared" si="2"/>
        <v>U17213</v>
      </c>
      <c r="D848" s="11" t="str">
        <f t="array" ref="D848">iferror(index(fish_lab_data!D:D,match(A848,fish_lab_data!C:C,0)))</f>
        <v>P1122</v>
      </c>
      <c r="E848" s="6">
        <v>107.0</v>
      </c>
      <c r="F848" s="17" t="str">
        <f t="shared" si="3"/>
        <v>BCA107</v>
      </c>
      <c r="G848" s="43" t="str">
        <f t="shared" si="4"/>
        <v>NA</v>
      </c>
      <c r="H848" s="17" t="str">
        <f t="shared" si="5"/>
        <v>BCA107-NA</v>
      </c>
      <c r="J848" t="str">
        <f t="shared" si="6"/>
        <v>collected</v>
      </c>
      <c r="K848" t="str">
        <f t="shared" si="7"/>
        <v>N</v>
      </c>
    </row>
    <row r="849">
      <c r="A849" s="44" t="s">
        <v>1204</v>
      </c>
      <c r="B849" s="10" t="str">
        <f t="shared" si="1"/>
        <v>fish</v>
      </c>
      <c r="C849" s="63" t="str">
        <f t="shared" si="2"/>
        <v>U17212</v>
      </c>
      <c r="D849" s="11" t="str">
        <f t="array" ref="D849">iferror(index(fish_lab_data!D:D,match(A849,fish_lab_data!C:C,0)))</f>
        <v>P1122</v>
      </c>
      <c r="E849" s="6">
        <v>107.0</v>
      </c>
      <c r="F849" s="17" t="str">
        <f t="shared" si="3"/>
        <v>BCA107</v>
      </c>
      <c r="G849" s="43" t="str">
        <f t="shared" si="4"/>
        <v>NA</v>
      </c>
      <c r="H849" s="17" t="str">
        <f t="shared" si="5"/>
        <v>BCA107-NA</v>
      </c>
      <c r="J849" t="str">
        <f t="shared" si="6"/>
        <v>collected</v>
      </c>
      <c r="K849" t="str">
        <f t="shared" si="7"/>
        <v>N</v>
      </c>
    </row>
    <row r="850">
      <c r="A850" s="44" t="s">
        <v>1208</v>
      </c>
      <c r="B850" s="10" t="str">
        <f t="shared" si="1"/>
        <v>fish</v>
      </c>
      <c r="C850" s="63" t="str">
        <f t="shared" si="2"/>
        <v>U17216</v>
      </c>
      <c r="D850" s="11" t="str">
        <f t="array" ref="D850">iferror(index(fish_lab_data!D:D,match(A850,fish_lab_data!C:C,0)))</f>
        <v>P1122</v>
      </c>
      <c r="E850" s="6">
        <v>107.0</v>
      </c>
      <c r="F850" s="17" t="str">
        <f t="shared" si="3"/>
        <v>BCA107</v>
      </c>
      <c r="G850" s="43" t="str">
        <f t="shared" si="4"/>
        <v>NA</v>
      </c>
      <c r="H850" s="17" t="str">
        <f t="shared" si="5"/>
        <v>BCA107-NA</v>
      </c>
      <c r="J850" t="str">
        <f t="shared" si="6"/>
        <v>collected</v>
      </c>
      <c r="K850" t="str">
        <f t="shared" si="7"/>
        <v>N</v>
      </c>
    </row>
    <row r="851">
      <c r="A851" s="44" t="s">
        <v>1209</v>
      </c>
      <c r="B851" s="10" t="str">
        <f t="shared" si="1"/>
        <v>fish</v>
      </c>
      <c r="C851" s="63" t="str">
        <f t="shared" si="2"/>
        <v>U17214</v>
      </c>
      <c r="D851" s="11" t="str">
        <f t="array" ref="D851">iferror(index(fish_lab_data!D:D,match(A851,fish_lab_data!C:C,0)))</f>
        <v>P1122</v>
      </c>
      <c r="E851" s="6">
        <v>107.0</v>
      </c>
      <c r="F851" s="17" t="str">
        <f t="shared" si="3"/>
        <v>BCA107</v>
      </c>
      <c r="G851" s="43" t="str">
        <f t="shared" si="4"/>
        <v>NA</v>
      </c>
      <c r="H851" s="17" t="str">
        <f t="shared" si="5"/>
        <v>BCA107-NA</v>
      </c>
      <c r="J851" t="str">
        <f t="shared" si="6"/>
        <v>collected</v>
      </c>
      <c r="K851" t="str">
        <f t="shared" si="7"/>
        <v>N</v>
      </c>
    </row>
    <row r="852">
      <c r="A852" s="44" t="s">
        <v>1211</v>
      </c>
      <c r="B852" s="10" t="str">
        <f t="shared" si="1"/>
        <v>fish</v>
      </c>
      <c r="C852" s="63" t="str">
        <f t="shared" si="2"/>
        <v>U17170</v>
      </c>
      <c r="D852" s="11" t="str">
        <f t="array" ref="D852">iferror(index(fish_lab_data!D:D,match(A852,fish_lab_data!C:C,0)))</f>
        <v>P1117</v>
      </c>
      <c r="E852" s="6">
        <v>108.0</v>
      </c>
      <c r="F852" s="17" t="str">
        <f t="shared" si="3"/>
        <v>BCA108</v>
      </c>
      <c r="G852" s="43" t="str">
        <f t="shared" si="4"/>
        <v>NA</v>
      </c>
      <c r="H852" s="17" t="str">
        <f t="shared" si="5"/>
        <v>BCA108-NA</v>
      </c>
      <c r="J852" t="str">
        <f t="shared" si="6"/>
        <v>collected</v>
      </c>
      <c r="K852" t="str">
        <f t="shared" si="7"/>
        <v>N</v>
      </c>
    </row>
    <row r="853">
      <c r="A853" s="44" t="s">
        <v>1230</v>
      </c>
      <c r="B853" s="10" t="str">
        <f t="shared" si="1"/>
        <v>fish</v>
      </c>
      <c r="C853" s="63" t="str">
        <f t="shared" si="2"/>
        <v>U17161</v>
      </c>
      <c r="D853" s="11" t="str">
        <f t="array" ref="D853">iferror(index(fish_lab_data!D:D,match(A853,fish_lab_data!C:C,0)))</f>
        <v>P1117</v>
      </c>
      <c r="E853" s="6">
        <v>108.0</v>
      </c>
      <c r="F853" s="17" t="str">
        <f t="shared" si="3"/>
        <v>BCA108</v>
      </c>
      <c r="G853" s="43" t="str">
        <f t="shared" si="4"/>
        <v>NA</v>
      </c>
      <c r="H853" s="17" t="str">
        <f t="shared" si="5"/>
        <v>BCA108-NA</v>
      </c>
      <c r="J853" t="str">
        <f t="shared" si="6"/>
        <v>collected</v>
      </c>
      <c r="K853" t="str">
        <f t="shared" si="7"/>
        <v>N</v>
      </c>
    </row>
    <row r="854">
      <c r="A854" s="44" t="s">
        <v>1232</v>
      </c>
      <c r="B854" s="10" t="str">
        <f t="shared" si="1"/>
        <v>fish</v>
      </c>
      <c r="C854" s="63" t="str">
        <f t="shared" si="2"/>
        <v>U17165</v>
      </c>
      <c r="D854" s="11" t="str">
        <f t="array" ref="D854">iferror(index(fish_lab_data!D:D,match(A854,fish_lab_data!C:C,0)))</f>
        <v>P1117</v>
      </c>
      <c r="E854" s="6">
        <v>108.0</v>
      </c>
      <c r="F854" s="17" t="str">
        <f t="shared" si="3"/>
        <v>BCA108</v>
      </c>
      <c r="G854" s="43" t="str">
        <f t="shared" si="4"/>
        <v>NA</v>
      </c>
      <c r="H854" s="17" t="str">
        <f t="shared" si="5"/>
        <v>BCA108-NA</v>
      </c>
      <c r="J854" t="str">
        <f t="shared" si="6"/>
        <v>collected</v>
      </c>
      <c r="K854" t="str">
        <f t="shared" si="7"/>
        <v>N</v>
      </c>
    </row>
    <row r="855">
      <c r="A855" s="44" t="s">
        <v>1236</v>
      </c>
      <c r="B855" s="10" t="str">
        <f t="shared" si="1"/>
        <v>fish</v>
      </c>
      <c r="C855" s="63" t="str">
        <f t="shared" si="2"/>
        <v>U17166</v>
      </c>
      <c r="D855" s="11" t="str">
        <f t="array" ref="D855">iferror(index(fish_lab_data!D:D,match(A855,fish_lab_data!C:C,0)))</f>
        <v>P1117</v>
      </c>
      <c r="E855" s="6">
        <v>108.0</v>
      </c>
      <c r="F855" s="17" t="str">
        <f t="shared" si="3"/>
        <v>BCA108</v>
      </c>
      <c r="G855" s="43" t="str">
        <f t="shared" si="4"/>
        <v>NA</v>
      </c>
      <c r="H855" s="17" t="str">
        <f t="shared" si="5"/>
        <v>BCA108-NA</v>
      </c>
      <c r="J855" t="str">
        <f t="shared" si="6"/>
        <v>collected</v>
      </c>
      <c r="K855" t="str">
        <f t="shared" si="7"/>
        <v>N</v>
      </c>
    </row>
    <row r="856">
      <c r="A856" s="40" t="s">
        <v>1238</v>
      </c>
      <c r="B856" s="10" t="str">
        <f t="shared" si="1"/>
        <v>fish</v>
      </c>
      <c r="C856" s="63" t="str">
        <f t="shared" si="2"/>
        <v>U17167</v>
      </c>
      <c r="D856" s="11" t="str">
        <f t="array" ref="D856">iferror(index(fish_lab_data!D:D,match(A856,fish_lab_data!C:C,0)))</f>
        <v>P1117</v>
      </c>
      <c r="E856" s="6">
        <v>108.0</v>
      </c>
      <c r="F856" s="17" t="str">
        <f t="shared" si="3"/>
        <v>BCA108</v>
      </c>
      <c r="G856" s="43" t="str">
        <f t="shared" si="4"/>
        <v>NA</v>
      </c>
      <c r="H856" s="17" t="str">
        <f t="shared" si="5"/>
        <v>BCA108-NA</v>
      </c>
      <c r="J856" t="str">
        <f t="shared" si="6"/>
        <v>collected</v>
      </c>
      <c r="K856" t="str">
        <f t="shared" si="7"/>
        <v>N</v>
      </c>
    </row>
    <row r="857">
      <c r="A857" s="40" t="s">
        <v>1240</v>
      </c>
      <c r="B857" s="10" t="str">
        <f t="shared" si="1"/>
        <v>fish</v>
      </c>
      <c r="C857" s="63" t="str">
        <f t="shared" si="2"/>
        <v>U17169</v>
      </c>
      <c r="D857" s="11" t="str">
        <f t="array" ref="D857">iferror(index(fish_lab_data!D:D,match(A857,fish_lab_data!C:C,0)))</f>
        <v>P1117</v>
      </c>
      <c r="E857" s="6">
        <v>108.0</v>
      </c>
      <c r="F857" s="17" t="str">
        <f t="shared" si="3"/>
        <v>BCA108</v>
      </c>
      <c r="G857" s="43" t="str">
        <f t="shared" si="4"/>
        <v>NA</v>
      </c>
      <c r="H857" s="17" t="str">
        <f t="shared" si="5"/>
        <v>BCA108-NA</v>
      </c>
      <c r="J857" t="str">
        <f t="shared" si="6"/>
        <v>collected</v>
      </c>
      <c r="K857" t="str">
        <f t="shared" si="7"/>
        <v>N</v>
      </c>
    </row>
    <row r="858">
      <c r="A858" s="40" t="s">
        <v>1244</v>
      </c>
      <c r="B858" s="10" t="str">
        <f t="shared" si="1"/>
        <v>fish</v>
      </c>
      <c r="C858" s="63" t="str">
        <f t="shared" si="2"/>
        <v>U17168</v>
      </c>
      <c r="D858" s="11" t="str">
        <f t="array" ref="D858">iferror(index(fish_lab_data!D:D,match(A858,fish_lab_data!C:C,0)))</f>
        <v>P1117</v>
      </c>
      <c r="E858" s="6">
        <v>108.0</v>
      </c>
      <c r="F858" s="17" t="str">
        <f t="shared" si="3"/>
        <v>BCA108</v>
      </c>
      <c r="G858" s="43" t="str">
        <f t="shared" si="4"/>
        <v>NA</v>
      </c>
      <c r="H858" s="17" t="str">
        <f t="shared" si="5"/>
        <v>BCA108-NA</v>
      </c>
      <c r="J858" t="str">
        <f t="shared" si="6"/>
        <v>collected</v>
      </c>
      <c r="K858" t="str">
        <f t="shared" si="7"/>
        <v>N</v>
      </c>
    </row>
    <row r="859">
      <c r="A859" s="40" t="s">
        <v>1246</v>
      </c>
      <c r="B859" s="10" t="str">
        <f t="shared" si="1"/>
        <v>fish</v>
      </c>
      <c r="C859" s="63" t="str">
        <f t="shared" si="2"/>
        <v>U17164</v>
      </c>
      <c r="D859" s="11" t="str">
        <f t="array" ref="D859">iferror(index(fish_lab_data!D:D,match(A859,fish_lab_data!C:C,0)))</f>
        <v>P1117</v>
      </c>
      <c r="E859" s="6">
        <v>108.0</v>
      </c>
      <c r="F859" s="17" t="str">
        <f t="shared" si="3"/>
        <v>BCA108</v>
      </c>
      <c r="G859" s="43" t="str">
        <f t="shared" si="4"/>
        <v>NA</v>
      </c>
      <c r="H859" s="17" t="str">
        <f t="shared" si="5"/>
        <v>BCA108-NA</v>
      </c>
      <c r="J859" t="str">
        <f t="shared" si="6"/>
        <v>collected</v>
      </c>
      <c r="K859" t="str">
        <f t="shared" si="7"/>
        <v>N</v>
      </c>
    </row>
    <row r="860">
      <c r="A860" s="27" t="s">
        <v>1249</v>
      </c>
      <c r="B860" s="10" t="str">
        <f t="shared" si="1"/>
        <v>fish</v>
      </c>
      <c r="C860" s="63" t="str">
        <f t="shared" si="2"/>
        <v>U17326</v>
      </c>
      <c r="D860" s="11" t="str">
        <f t="array" ref="D860">iferror(index(fish_lab_data!D:D,match(A860,fish_lab_data!C:C,0)))</f>
        <v>P1133</v>
      </c>
      <c r="E860" s="6">
        <v>107.0</v>
      </c>
      <c r="F860" s="17" t="str">
        <f t="shared" si="3"/>
        <v>BCA107</v>
      </c>
      <c r="G860" s="43" t="str">
        <f t="shared" si="4"/>
        <v>NA</v>
      </c>
      <c r="H860" s="17" t="str">
        <f t="shared" si="5"/>
        <v>BCA107-NA</v>
      </c>
      <c r="J860" t="str">
        <f t="shared" si="6"/>
        <v>collected</v>
      </c>
      <c r="K860" t="str">
        <f t="shared" si="7"/>
        <v>N</v>
      </c>
    </row>
    <row r="861">
      <c r="A861" s="27" t="s">
        <v>1251</v>
      </c>
      <c r="B861" s="10" t="str">
        <f t="shared" si="1"/>
        <v>fish</v>
      </c>
      <c r="C861" s="63" t="str">
        <f t="shared" si="2"/>
        <v>U17327</v>
      </c>
      <c r="D861" s="11" t="str">
        <f t="array" ref="D861">iferror(index(fish_lab_data!D:D,match(A861,fish_lab_data!C:C,0)))</f>
        <v>P1133</v>
      </c>
      <c r="E861" s="6">
        <v>107.0</v>
      </c>
      <c r="F861" s="17" t="str">
        <f t="shared" si="3"/>
        <v>BCA107</v>
      </c>
      <c r="G861" s="43" t="str">
        <f t="shared" si="4"/>
        <v>NA</v>
      </c>
      <c r="H861" s="17" t="str">
        <f t="shared" si="5"/>
        <v>BCA107-NA</v>
      </c>
      <c r="J861" t="str">
        <f t="shared" si="6"/>
        <v>collected</v>
      </c>
      <c r="K861" t="str">
        <f t="shared" si="7"/>
        <v>N</v>
      </c>
    </row>
    <row r="862">
      <c r="A862" s="27" t="s">
        <v>1254</v>
      </c>
      <c r="B862" s="10" t="str">
        <f t="shared" si="1"/>
        <v>fish</v>
      </c>
      <c r="C862" s="63" t="str">
        <f t="shared" si="2"/>
        <v>U17328</v>
      </c>
      <c r="D862" s="11" t="str">
        <f t="array" ref="D862">iferror(index(fish_lab_data!D:D,match(A862,fish_lab_data!C:C,0)))</f>
        <v>P1133</v>
      </c>
      <c r="E862" s="6">
        <v>107.0</v>
      </c>
      <c r="F862" s="17" t="str">
        <f t="shared" si="3"/>
        <v>BCA107</v>
      </c>
      <c r="G862" s="43" t="str">
        <f t="shared" si="4"/>
        <v>NA</v>
      </c>
      <c r="H862" s="17" t="str">
        <f t="shared" si="5"/>
        <v>BCA107-NA</v>
      </c>
      <c r="J862" t="str">
        <f t="shared" si="6"/>
        <v>collected</v>
      </c>
      <c r="K862" t="str">
        <f t="shared" si="7"/>
        <v>N</v>
      </c>
    </row>
    <row r="863">
      <c r="A863" s="27" t="s">
        <v>1256</v>
      </c>
      <c r="B863" s="10" t="str">
        <f t="shared" si="1"/>
        <v>fish</v>
      </c>
      <c r="C863" s="63" t="str">
        <f t="shared" si="2"/>
        <v>U17329</v>
      </c>
      <c r="D863" s="11" t="str">
        <f t="array" ref="D863">iferror(index(fish_lab_data!D:D,match(A863,fish_lab_data!C:C,0)))</f>
        <v>P1133</v>
      </c>
      <c r="E863" s="6">
        <v>107.0</v>
      </c>
      <c r="F863" s="17" t="str">
        <f t="shared" si="3"/>
        <v>BCA107</v>
      </c>
      <c r="G863" s="43" t="str">
        <f t="shared" si="4"/>
        <v>NA</v>
      </c>
      <c r="H863" s="17" t="str">
        <f t="shared" si="5"/>
        <v>BCA107-NA</v>
      </c>
      <c r="J863" t="str">
        <f t="shared" si="6"/>
        <v>collected</v>
      </c>
      <c r="K863" t="str">
        <f t="shared" si="7"/>
        <v>N</v>
      </c>
    </row>
    <row r="864">
      <c r="A864" s="27" t="s">
        <v>1259</v>
      </c>
      <c r="B864" s="10" t="str">
        <f t="shared" si="1"/>
        <v>fish</v>
      </c>
      <c r="C864" s="63" t="str">
        <f t="shared" si="2"/>
        <v>U17330</v>
      </c>
      <c r="D864" s="11" t="str">
        <f t="array" ref="D864">iferror(index(fish_lab_data!D:D,match(A864,fish_lab_data!C:C,0)))</f>
        <v>P1133</v>
      </c>
      <c r="E864" s="6">
        <v>107.0</v>
      </c>
      <c r="F864" s="17" t="str">
        <f t="shared" si="3"/>
        <v>BCA107</v>
      </c>
      <c r="G864" s="43" t="str">
        <f t="shared" si="4"/>
        <v>NA</v>
      </c>
      <c r="H864" s="17" t="str">
        <f t="shared" si="5"/>
        <v>BCA107-NA</v>
      </c>
      <c r="J864" t="str">
        <f t="shared" si="6"/>
        <v>collected</v>
      </c>
      <c r="K864" t="str">
        <f t="shared" si="7"/>
        <v>N</v>
      </c>
    </row>
    <row r="865">
      <c r="A865" s="27" t="s">
        <v>1262</v>
      </c>
      <c r="B865" s="10" t="str">
        <f t="shared" si="1"/>
        <v>fish</v>
      </c>
      <c r="C865" s="63" t="str">
        <f t="shared" si="2"/>
        <v>U17021</v>
      </c>
      <c r="D865" s="11" t="str">
        <f t="array" ref="D865">iferror(index(fish_lab_data!D:D,match(A865,fish_lab_data!C:C,0)))</f>
        <v>P1103</v>
      </c>
      <c r="E865" s="6">
        <v>108.0</v>
      </c>
      <c r="F865" s="17" t="str">
        <f t="shared" si="3"/>
        <v>BCA108</v>
      </c>
      <c r="G865" s="43" t="str">
        <f t="shared" si="4"/>
        <v>NA</v>
      </c>
      <c r="H865" s="17" t="str">
        <f t="shared" si="5"/>
        <v>BCA108-NA</v>
      </c>
      <c r="J865" t="str">
        <f t="shared" si="6"/>
        <v>collected</v>
      </c>
      <c r="K865" t="str">
        <f t="shared" si="7"/>
        <v>N</v>
      </c>
    </row>
    <row r="866">
      <c r="A866" s="27" t="s">
        <v>1264</v>
      </c>
      <c r="B866" s="10" t="str">
        <f t="shared" si="1"/>
        <v>fish</v>
      </c>
      <c r="C866" s="63" t="str">
        <f t="shared" si="2"/>
        <v>U17022</v>
      </c>
      <c r="D866" s="11" t="str">
        <f t="array" ref="D866">iferror(index(fish_lab_data!D:D,match(A866,fish_lab_data!C:C,0)))</f>
        <v>P1103</v>
      </c>
      <c r="E866" s="6">
        <v>108.0</v>
      </c>
      <c r="F866" s="17" t="str">
        <f t="shared" si="3"/>
        <v>BCA108</v>
      </c>
      <c r="G866" s="43" t="str">
        <f t="shared" si="4"/>
        <v>NA</v>
      </c>
      <c r="H866" s="17" t="str">
        <f t="shared" si="5"/>
        <v>BCA108-NA</v>
      </c>
      <c r="J866" t="str">
        <f t="shared" si="6"/>
        <v>collected</v>
      </c>
      <c r="K866" t="str">
        <f t="shared" si="7"/>
        <v>N</v>
      </c>
    </row>
    <row r="867">
      <c r="A867" s="27" t="s">
        <v>1266</v>
      </c>
      <c r="B867" s="10" t="str">
        <f t="shared" si="1"/>
        <v>fish</v>
      </c>
      <c r="C867" s="63" t="str">
        <f t="shared" si="2"/>
        <v>U17023</v>
      </c>
      <c r="D867" s="11" t="str">
        <f t="array" ref="D867">iferror(index(fish_lab_data!D:D,match(A867,fish_lab_data!C:C,0)))</f>
        <v>P1103</v>
      </c>
      <c r="E867" s="6">
        <v>108.0</v>
      </c>
      <c r="F867" s="17" t="str">
        <f t="shared" si="3"/>
        <v>BCA108</v>
      </c>
      <c r="G867" s="43" t="str">
        <f t="shared" si="4"/>
        <v>NA</v>
      </c>
      <c r="H867" s="17" t="str">
        <f t="shared" si="5"/>
        <v>BCA108-NA</v>
      </c>
      <c r="J867" t="str">
        <f t="shared" si="6"/>
        <v>collected</v>
      </c>
      <c r="K867" t="str">
        <f t="shared" si="7"/>
        <v>N</v>
      </c>
    </row>
    <row r="868">
      <c r="A868" s="27" t="s">
        <v>1269</v>
      </c>
      <c r="B868" s="10" t="str">
        <f t="shared" si="1"/>
        <v>fish</v>
      </c>
      <c r="C868" s="63" t="str">
        <f t="shared" si="2"/>
        <v>U17024</v>
      </c>
      <c r="D868" s="11" t="str">
        <f t="array" ref="D868">iferror(index(fish_lab_data!D:D,match(A868,fish_lab_data!C:C,0)))</f>
        <v>P1103</v>
      </c>
      <c r="E868" s="6">
        <v>108.0</v>
      </c>
      <c r="F868" s="17" t="str">
        <f t="shared" si="3"/>
        <v>BCA108</v>
      </c>
      <c r="G868" s="43" t="str">
        <f t="shared" si="4"/>
        <v>NA</v>
      </c>
      <c r="H868" s="17" t="str">
        <f t="shared" si="5"/>
        <v>BCA108-NA</v>
      </c>
      <c r="J868" t="str">
        <f t="shared" si="6"/>
        <v>collected</v>
      </c>
      <c r="K868" t="str">
        <f t="shared" si="7"/>
        <v>N</v>
      </c>
    </row>
    <row r="869">
      <c r="A869" s="27" t="s">
        <v>1273</v>
      </c>
      <c r="B869" s="10" t="str">
        <f t="shared" si="1"/>
        <v>fish</v>
      </c>
      <c r="C869" s="63" t="str">
        <f t="shared" si="2"/>
        <v>U17026</v>
      </c>
      <c r="D869" s="11" t="str">
        <f t="array" ref="D869">iferror(index(fish_lab_data!D:D,match(A869,fish_lab_data!C:C,0)))</f>
        <v>P1103</v>
      </c>
      <c r="E869" s="6">
        <v>108.0</v>
      </c>
      <c r="F869" s="17" t="str">
        <f t="shared" si="3"/>
        <v>BCA108</v>
      </c>
      <c r="G869" s="43" t="str">
        <f t="shared" si="4"/>
        <v>NA</v>
      </c>
      <c r="H869" s="17" t="str">
        <f t="shared" si="5"/>
        <v>BCA108-NA</v>
      </c>
      <c r="J869" t="str">
        <f t="shared" si="6"/>
        <v>collected</v>
      </c>
      <c r="K869" t="str">
        <f t="shared" si="7"/>
        <v>N</v>
      </c>
    </row>
    <row r="870">
      <c r="A870" s="27" t="s">
        <v>1275</v>
      </c>
      <c r="B870" s="10" t="str">
        <f t="shared" si="1"/>
        <v>fish</v>
      </c>
      <c r="C870" s="63" t="str">
        <f t="shared" si="2"/>
        <v>U17025</v>
      </c>
      <c r="D870" s="11" t="str">
        <f t="array" ref="D870">iferror(index(fish_lab_data!D:D,match(A870,fish_lab_data!C:C,0)))</f>
        <v>P1103</v>
      </c>
      <c r="E870" s="6">
        <v>108.0</v>
      </c>
      <c r="F870" s="17" t="str">
        <f t="shared" si="3"/>
        <v>BCA108</v>
      </c>
      <c r="G870" s="43" t="str">
        <f t="shared" si="4"/>
        <v>NA</v>
      </c>
      <c r="H870" s="17" t="str">
        <f t="shared" si="5"/>
        <v>BCA108-NA</v>
      </c>
      <c r="J870" t="str">
        <f t="shared" si="6"/>
        <v>collected</v>
      </c>
      <c r="K870" t="str">
        <f t="shared" si="7"/>
        <v>N</v>
      </c>
    </row>
    <row r="871">
      <c r="A871" s="27" t="s">
        <v>1276</v>
      </c>
      <c r="B871" s="10" t="str">
        <f t="shared" si="1"/>
        <v>fish</v>
      </c>
      <c r="C871" s="63" t="str">
        <f t="shared" si="2"/>
        <v>U17027</v>
      </c>
      <c r="D871" s="11" t="str">
        <f t="array" ref="D871">iferror(index(fish_lab_data!D:D,match(A871,fish_lab_data!C:C,0)))</f>
        <v>P1103</v>
      </c>
      <c r="E871" s="6">
        <v>108.0</v>
      </c>
      <c r="F871" s="17" t="str">
        <f t="shared" si="3"/>
        <v>BCA108</v>
      </c>
      <c r="G871" s="43" t="str">
        <f t="shared" si="4"/>
        <v>NA</v>
      </c>
      <c r="H871" s="17" t="str">
        <f t="shared" si="5"/>
        <v>BCA108-NA</v>
      </c>
      <c r="J871" t="str">
        <f t="shared" si="6"/>
        <v>collected</v>
      </c>
      <c r="K871" t="str">
        <f t="shared" si="7"/>
        <v>N</v>
      </c>
    </row>
    <row r="872">
      <c r="A872" s="27" t="s">
        <v>1278</v>
      </c>
      <c r="B872" s="10" t="str">
        <f t="shared" si="1"/>
        <v>fish</v>
      </c>
      <c r="C872" s="63" t="str">
        <f t="shared" si="2"/>
        <v>U17028</v>
      </c>
      <c r="D872" s="11" t="str">
        <f t="array" ref="D872">iferror(index(fish_lab_data!D:D,match(A872,fish_lab_data!C:C,0)))</f>
        <v>P1103</v>
      </c>
      <c r="E872" s="6">
        <v>108.0</v>
      </c>
      <c r="F872" s="17" t="str">
        <f t="shared" si="3"/>
        <v>BCA108</v>
      </c>
      <c r="G872" s="43" t="str">
        <f t="shared" si="4"/>
        <v>NA</v>
      </c>
      <c r="H872" s="17" t="str">
        <f t="shared" si="5"/>
        <v>BCA108-NA</v>
      </c>
      <c r="J872" t="str">
        <f t="shared" si="6"/>
        <v>collected</v>
      </c>
      <c r="K872" t="str">
        <f t="shared" si="7"/>
        <v>N</v>
      </c>
    </row>
    <row r="873">
      <c r="A873" s="27" t="s">
        <v>1279</v>
      </c>
      <c r="B873" s="10" t="str">
        <f t="shared" si="1"/>
        <v>fish</v>
      </c>
      <c r="C873" s="63" t="str">
        <f t="shared" si="2"/>
        <v>U17029</v>
      </c>
      <c r="D873" s="11" t="str">
        <f t="array" ref="D873">iferror(index(fish_lab_data!D:D,match(A873,fish_lab_data!C:C,0)))</f>
        <v>P1103</v>
      </c>
      <c r="E873" s="6">
        <v>108.0</v>
      </c>
      <c r="F873" s="17" t="str">
        <f t="shared" si="3"/>
        <v>BCA108</v>
      </c>
      <c r="G873" s="43" t="str">
        <f t="shared" si="4"/>
        <v>NA</v>
      </c>
      <c r="H873" s="17" t="str">
        <f t="shared" si="5"/>
        <v>BCA108-NA</v>
      </c>
      <c r="J873" t="str">
        <f t="shared" si="6"/>
        <v>collected</v>
      </c>
      <c r="K873" t="str">
        <f t="shared" si="7"/>
        <v>N</v>
      </c>
    </row>
    <row r="874">
      <c r="A874" s="27" t="s">
        <v>1280</v>
      </c>
      <c r="B874" s="10" t="str">
        <f t="shared" si="1"/>
        <v>fish</v>
      </c>
      <c r="C874" s="63" t="str">
        <f t="shared" si="2"/>
        <v>U17030</v>
      </c>
      <c r="D874" s="11" t="str">
        <f t="array" ref="D874">iferror(index(fish_lab_data!D:D,match(A874,fish_lab_data!C:C,0)))</f>
        <v>P1103</v>
      </c>
      <c r="E874" s="6">
        <v>108.0</v>
      </c>
      <c r="F874" s="17" t="str">
        <f t="shared" si="3"/>
        <v>BCA108</v>
      </c>
      <c r="G874" s="43" t="str">
        <f t="shared" si="4"/>
        <v>NA</v>
      </c>
      <c r="H874" s="17" t="str">
        <f t="shared" si="5"/>
        <v>BCA108-NA</v>
      </c>
      <c r="J874" t="str">
        <f t="shared" si="6"/>
        <v>collected</v>
      </c>
      <c r="K874" t="str">
        <f t="shared" si="7"/>
        <v>N</v>
      </c>
    </row>
    <row r="875">
      <c r="A875" s="27" t="s">
        <v>1282</v>
      </c>
      <c r="B875" s="10" t="str">
        <f t="shared" si="1"/>
        <v>fish</v>
      </c>
      <c r="C875" s="63" t="str">
        <f t="shared" si="2"/>
        <v>U16461</v>
      </c>
      <c r="D875" s="11" t="str">
        <f t="array" ref="D875">iferror(index(fish_lab_data!D:D,match(A875,fish_lab_data!C:C,0)))</f>
        <v>P1047</v>
      </c>
      <c r="E875" s="6">
        <v>108.0</v>
      </c>
      <c r="F875" s="17" t="str">
        <f t="shared" si="3"/>
        <v>BCA108</v>
      </c>
      <c r="G875" s="43" t="str">
        <f t="shared" si="4"/>
        <v>NA</v>
      </c>
      <c r="H875" s="17" t="str">
        <f t="shared" si="5"/>
        <v>BCA108-NA</v>
      </c>
      <c r="J875" t="str">
        <f t="shared" si="6"/>
        <v>collected</v>
      </c>
      <c r="K875" t="str">
        <f t="shared" si="7"/>
        <v>N</v>
      </c>
    </row>
    <row r="876">
      <c r="A876" s="27" t="s">
        <v>1283</v>
      </c>
      <c r="B876" s="10" t="str">
        <f t="shared" si="1"/>
        <v>fish</v>
      </c>
      <c r="C876" s="63" t="str">
        <f t="shared" si="2"/>
        <v>U16462</v>
      </c>
      <c r="D876" s="11" t="str">
        <f t="array" ref="D876">iferror(index(fish_lab_data!D:D,match(A876,fish_lab_data!C:C,0)))</f>
        <v>P1047</v>
      </c>
      <c r="E876" s="6">
        <v>108.0</v>
      </c>
      <c r="F876" s="17" t="str">
        <f t="shared" si="3"/>
        <v>BCA108</v>
      </c>
      <c r="G876" s="43" t="str">
        <f t="shared" si="4"/>
        <v>NA</v>
      </c>
      <c r="H876" s="17" t="str">
        <f t="shared" si="5"/>
        <v>BCA108-NA</v>
      </c>
      <c r="J876" t="str">
        <f t="shared" si="6"/>
        <v>collected</v>
      </c>
      <c r="K876" t="str">
        <f t="shared" si="7"/>
        <v>N</v>
      </c>
    </row>
    <row r="877">
      <c r="A877" s="27" t="s">
        <v>1284</v>
      </c>
      <c r="B877" s="10" t="str">
        <f t="shared" si="1"/>
        <v>fish</v>
      </c>
      <c r="C877" s="63" t="str">
        <f t="shared" si="2"/>
        <v>U16463</v>
      </c>
      <c r="D877" s="11" t="str">
        <f t="array" ref="D877">iferror(index(fish_lab_data!D:D,match(A877,fish_lab_data!C:C,0)))</f>
        <v>P1047</v>
      </c>
      <c r="E877" s="6">
        <v>108.0</v>
      </c>
      <c r="F877" s="17" t="str">
        <f t="shared" si="3"/>
        <v>BCA108</v>
      </c>
      <c r="G877" s="43" t="str">
        <f t="shared" si="4"/>
        <v>NA</v>
      </c>
      <c r="H877" s="17" t="str">
        <f t="shared" si="5"/>
        <v>BCA108-NA</v>
      </c>
      <c r="J877" t="str">
        <f t="shared" si="6"/>
        <v>collected</v>
      </c>
      <c r="K877" t="str">
        <f t="shared" si="7"/>
        <v>N</v>
      </c>
    </row>
    <row r="878">
      <c r="A878" s="27" t="s">
        <v>1286</v>
      </c>
      <c r="B878" s="10" t="str">
        <f t="shared" si="1"/>
        <v>fish</v>
      </c>
      <c r="C878" s="63" t="str">
        <f t="shared" si="2"/>
        <v>U16464</v>
      </c>
      <c r="D878" s="11" t="str">
        <f t="array" ref="D878">iferror(index(fish_lab_data!D:D,match(A878,fish_lab_data!C:C,0)))</f>
        <v>P1047</v>
      </c>
      <c r="E878" s="6">
        <v>108.0</v>
      </c>
      <c r="F878" s="17" t="str">
        <f t="shared" si="3"/>
        <v>BCA108</v>
      </c>
      <c r="G878" s="43" t="str">
        <f t="shared" si="4"/>
        <v>NA</v>
      </c>
      <c r="H878" s="17" t="str">
        <f t="shared" si="5"/>
        <v>BCA108-NA</v>
      </c>
      <c r="J878" t="str">
        <f t="shared" si="6"/>
        <v>collected</v>
      </c>
      <c r="K878" t="str">
        <f t="shared" si="7"/>
        <v>N</v>
      </c>
    </row>
    <row r="879">
      <c r="A879" s="27" t="s">
        <v>1287</v>
      </c>
      <c r="B879" s="10" t="str">
        <f t="shared" si="1"/>
        <v>fish</v>
      </c>
      <c r="C879" s="63" t="str">
        <f t="shared" si="2"/>
        <v>U16465</v>
      </c>
      <c r="D879" s="11" t="str">
        <f t="array" ref="D879">iferror(index(fish_lab_data!D:D,match(A879,fish_lab_data!C:C,0)))</f>
        <v>P1047</v>
      </c>
      <c r="E879" s="6">
        <v>108.0</v>
      </c>
      <c r="F879" s="17" t="str">
        <f t="shared" si="3"/>
        <v>BCA108</v>
      </c>
      <c r="G879" s="43" t="str">
        <f t="shared" si="4"/>
        <v>NA</v>
      </c>
      <c r="H879" s="17" t="str">
        <f t="shared" si="5"/>
        <v>BCA108-NA</v>
      </c>
      <c r="J879" t="str">
        <f t="shared" si="6"/>
        <v>collected</v>
      </c>
      <c r="K879" t="str">
        <f t="shared" si="7"/>
        <v>N</v>
      </c>
    </row>
    <row r="880">
      <c r="A880" s="40" t="s">
        <v>1289</v>
      </c>
      <c r="B880" s="10" t="str">
        <f t="shared" si="1"/>
        <v>fish</v>
      </c>
      <c r="C880" s="63" t="str">
        <f t="shared" si="2"/>
        <v>U17163</v>
      </c>
      <c r="D880" s="11" t="str">
        <f t="array" ref="D880">iferror(index(fish_lab_data!D:D,match(A880,fish_lab_data!C:C,0)))</f>
        <v>P1117</v>
      </c>
      <c r="E880" s="6">
        <v>108.0</v>
      </c>
      <c r="F880" s="17" t="str">
        <f t="shared" si="3"/>
        <v>BCA108</v>
      </c>
      <c r="G880" s="43" t="str">
        <f t="shared" si="4"/>
        <v>NA</v>
      </c>
      <c r="H880" s="17" t="str">
        <f t="shared" si="5"/>
        <v>BCA108-NA</v>
      </c>
      <c r="J880" t="str">
        <f t="shared" si="6"/>
        <v>collected</v>
      </c>
      <c r="K880" t="str">
        <f t="shared" si="7"/>
        <v>N</v>
      </c>
    </row>
    <row r="881">
      <c r="A881" s="40" t="s">
        <v>1290</v>
      </c>
      <c r="B881" s="10" t="str">
        <f t="shared" si="1"/>
        <v>fish</v>
      </c>
      <c r="C881" s="63" t="str">
        <f t="shared" si="2"/>
        <v>U17162</v>
      </c>
      <c r="D881" s="11" t="str">
        <f t="array" ref="D881">iferror(index(fish_lab_data!D:D,match(A881,fish_lab_data!C:C,0)))</f>
        <v>P1117</v>
      </c>
      <c r="E881" s="6">
        <v>108.0</v>
      </c>
      <c r="F881" s="17" t="str">
        <f t="shared" si="3"/>
        <v>BCA108</v>
      </c>
      <c r="G881" s="43" t="str">
        <f t="shared" si="4"/>
        <v>NA</v>
      </c>
      <c r="H881" s="17" t="str">
        <f t="shared" si="5"/>
        <v>BCA108-NA</v>
      </c>
      <c r="J881" t="str">
        <f t="shared" si="6"/>
        <v>collected</v>
      </c>
      <c r="K881" t="str">
        <f t="shared" si="7"/>
        <v>N</v>
      </c>
    </row>
    <row r="882">
      <c r="A882" s="40" t="s">
        <v>1291</v>
      </c>
      <c r="B882" s="10" t="str">
        <f t="shared" si="1"/>
        <v>fish</v>
      </c>
      <c r="C882" s="63" t="str">
        <f t="shared" si="2"/>
        <v>U16261</v>
      </c>
      <c r="D882" s="11" t="str">
        <f t="array" ref="D882">iferror(index(fish_lab_data!D:D,match(A882,fish_lab_data!C:C,0)))</f>
        <v>P1027</v>
      </c>
      <c r="E882" s="6">
        <v>108.0</v>
      </c>
      <c r="F882" s="17" t="str">
        <f t="shared" si="3"/>
        <v>BCA108</v>
      </c>
      <c r="G882" s="43" t="str">
        <f t="shared" si="4"/>
        <v>NA</v>
      </c>
      <c r="H882" s="17" t="str">
        <f t="shared" si="5"/>
        <v>BCA108-NA</v>
      </c>
      <c r="J882" t="str">
        <f t="shared" si="6"/>
        <v>collected</v>
      </c>
      <c r="K882" t="str">
        <f t="shared" si="7"/>
        <v>N</v>
      </c>
    </row>
    <row r="883">
      <c r="A883" s="40" t="s">
        <v>1292</v>
      </c>
      <c r="B883" s="10" t="str">
        <f t="shared" si="1"/>
        <v>fish</v>
      </c>
      <c r="C883" s="63" t="str">
        <f t="shared" si="2"/>
        <v>U16262</v>
      </c>
      <c r="D883" s="11" t="str">
        <f t="array" ref="D883">iferror(index(fish_lab_data!D:D,match(A883,fish_lab_data!C:C,0)))</f>
        <v>P1027</v>
      </c>
      <c r="E883" s="6">
        <v>108.0</v>
      </c>
      <c r="F883" s="17" t="str">
        <f t="shared" si="3"/>
        <v>BCA108</v>
      </c>
      <c r="G883" s="43" t="str">
        <f t="shared" si="4"/>
        <v>NA</v>
      </c>
      <c r="H883" s="17" t="str">
        <f t="shared" si="5"/>
        <v>BCA108-NA</v>
      </c>
      <c r="J883" t="str">
        <f t="shared" si="6"/>
        <v>collected</v>
      </c>
      <c r="K883" t="str">
        <f t="shared" si="7"/>
        <v>N</v>
      </c>
    </row>
    <row r="884">
      <c r="A884" s="40" t="s">
        <v>1294</v>
      </c>
      <c r="B884" s="10" t="str">
        <f t="shared" si="1"/>
        <v>fish</v>
      </c>
      <c r="C884" s="63" t="str">
        <f t="shared" si="2"/>
        <v>U16263</v>
      </c>
      <c r="D884" s="11" t="str">
        <f t="array" ref="D884">iferror(index(fish_lab_data!D:D,match(A884,fish_lab_data!C:C,0)))</f>
        <v>P1027</v>
      </c>
      <c r="E884" s="6">
        <v>108.0</v>
      </c>
      <c r="F884" s="17" t="str">
        <f t="shared" si="3"/>
        <v>BCA108</v>
      </c>
      <c r="G884" s="43" t="str">
        <f t="shared" si="4"/>
        <v>NA</v>
      </c>
      <c r="H884" s="17" t="str">
        <f t="shared" si="5"/>
        <v>BCA108-NA</v>
      </c>
      <c r="J884" t="str">
        <f t="shared" si="6"/>
        <v>collected</v>
      </c>
      <c r="K884" t="str">
        <f t="shared" si="7"/>
        <v>N</v>
      </c>
    </row>
    <row r="885">
      <c r="A885" s="27" t="s">
        <v>1295</v>
      </c>
      <c r="B885" s="10" t="str">
        <f t="shared" si="1"/>
        <v>fish</v>
      </c>
      <c r="C885" s="63" t="str">
        <f t="shared" si="2"/>
        <v>U16466</v>
      </c>
      <c r="D885" s="11" t="str">
        <f t="array" ref="D885">iferror(index(fish_lab_data!D:D,match(A885,fish_lab_data!C:C,0)))</f>
        <v>P1047</v>
      </c>
      <c r="E885" s="6">
        <v>108.0</v>
      </c>
      <c r="F885" s="17" t="str">
        <f t="shared" si="3"/>
        <v>BCA108</v>
      </c>
      <c r="G885" s="43" t="str">
        <f t="shared" si="4"/>
        <v>NA</v>
      </c>
      <c r="H885" s="17" t="str">
        <f t="shared" si="5"/>
        <v>BCA108-NA</v>
      </c>
      <c r="J885" t="str">
        <f t="shared" si="6"/>
        <v>collected</v>
      </c>
      <c r="K885" t="str">
        <f t="shared" si="7"/>
        <v>N</v>
      </c>
    </row>
    <row r="886">
      <c r="A886" s="27" t="s">
        <v>1296</v>
      </c>
      <c r="B886" s="10" t="str">
        <f t="shared" si="1"/>
        <v>fish</v>
      </c>
      <c r="C886" s="63" t="str">
        <f t="shared" si="2"/>
        <v>U16467</v>
      </c>
      <c r="D886" s="11" t="str">
        <f t="array" ref="D886">iferror(index(fish_lab_data!D:D,match(A886,fish_lab_data!C:C,0)))</f>
        <v>P1047</v>
      </c>
      <c r="E886" s="6">
        <v>108.0</v>
      </c>
      <c r="F886" s="17" t="str">
        <f t="shared" si="3"/>
        <v>BCA108</v>
      </c>
      <c r="G886" s="43" t="str">
        <f t="shared" si="4"/>
        <v>NA</v>
      </c>
      <c r="H886" s="17" t="str">
        <f t="shared" si="5"/>
        <v>BCA108-NA</v>
      </c>
      <c r="J886" t="str">
        <f t="shared" si="6"/>
        <v>collected</v>
      </c>
      <c r="K886" t="str">
        <f t="shared" si="7"/>
        <v>N</v>
      </c>
    </row>
    <row r="887">
      <c r="A887" s="27" t="s">
        <v>1297</v>
      </c>
      <c r="B887" s="10" t="str">
        <f t="shared" si="1"/>
        <v>fish</v>
      </c>
      <c r="C887" s="63" t="str">
        <f t="shared" si="2"/>
        <v>U16468</v>
      </c>
      <c r="D887" s="11" t="str">
        <f t="array" ref="D887">iferror(index(fish_lab_data!D:D,match(A887,fish_lab_data!C:C,0)))</f>
        <v>P1047</v>
      </c>
      <c r="E887" s="6">
        <v>108.0</v>
      </c>
      <c r="F887" s="17" t="str">
        <f t="shared" si="3"/>
        <v>BCA108</v>
      </c>
      <c r="G887" s="43" t="str">
        <f t="shared" si="4"/>
        <v>NA</v>
      </c>
      <c r="H887" s="17" t="str">
        <f t="shared" si="5"/>
        <v>BCA108-NA</v>
      </c>
      <c r="J887" t="str">
        <f t="shared" si="6"/>
        <v>collected</v>
      </c>
      <c r="K887" t="str">
        <f t="shared" si="7"/>
        <v>N</v>
      </c>
    </row>
    <row r="888">
      <c r="A888" s="27" t="s">
        <v>1299</v>
      </c>
      <c r="B888" s="10" t="str">
        <f t="shared" si="1"/>
        <v>fish</v>
      </c>
      <c r="C888" s="63" t="str">
        <f t="shared" si="2"/>
        <v>U16469</v>
      </c>
      <c r="D888" s="11" t="str">
        <f t="array" ref="D888">iferror(index(fish_lab_data!D:D,match(A888,fish_lab_data!C:C,0)))</f>
        <v>P1047</v>
      </c>
      <c r="E888" s="6">
        <v>108.0</v>
      </c>
      <c r="F888" s="17" t="str">
        <f t="shared" si="3"/>
        <v>BCA108</v>
      </c>
      <c r="G888" s="43" t="str">
        <f t="shared" si="4"/>
        <v>NA</v>
      </c>
      <c r="H888" s="17" t="str">
        <f t="shared" si="5"/>
        <v>BCA108-NA</v>
      </c>
      <c r="J888" t="str">
        <f t="shared" si="6"/>
        <v>collected</v>
      </c>
      <c r="K888" t="str">
        <f t="shared" si="7"/>
        <v>N</v>
      </c>
    </row>
    <row r="889">
      <c r="A889" s="27" t="s">
        <v>1300</v>
      </c>
      <c r="B889" s="10" t="str">
        <f t="shared" si="1"/>
        <v>fish</v>
      </c>
      <c r="C889" s="63" t="str">
        <f t="shared" si="2"/>
        <v>U16470</v>
      </c>
      <c r="D889" s="11" t="str">
        <f t="array" ref="D889">iferror(index(fish_lab_data!D:D,match(A889,fish_lab_data!C:C,0)))</f>
        <v>P1047</v>
      </c>
      <c r="E889" s="6">
        <v>108.0</v>
      </c>
      <c r="F889" s="17" t="str">
        <f t="shared" si="3"/>
        <v>BCA108</v>
      </c>
      <c r="G889" s="43" t="str">
        <f t="shared" si="4"/>
        <v>NA</v>
      </c>
      <c r="H889" s="17" t="str">
        <f t="shared" si="5"/>
        <v>BCA108-NA</v>
      </c>
      <c r="J889" t="str">
        <f t="shared" si="6"/>
        <v>collected</v>
      </c>
      <c r="K889" t="str">
        <f t="shared" si="7"/>
        <v>N</v>
      </c>
    </row>
    <row r="890">
      <c r="A890" s="27" t="s">
        <v>1301</v>
      </c>
      <c r="B890" s="10" t="str">
        <f t="shared" si="1"/>
        <v>fish</v>
      </c>
      <c r="C890" s="63" t="str">
        <f t="shared" si="2"/>
        <v>U16437</v>
      </c>
      <c r="D890" s="11" t="str">
        <f t="array" ref="D890">iferror(index(fish_lab_data!D:D,match(A890,fish_lab_data!C:C,0)))</f>
        <v>P1044</v>
      </c>
      <c r="E890" s="6">
        <v>108.0</v>
      </c>
      <c r="F890" s="17" t="str">
        <f t="shared" si="3"/>
        <v>BCA108</v>
      </c>
      <c r="G890" s="43" t="str">
        <f t="shared" si="4"/>
        <v>NA</v>
      </c>
      <c r="H890" s="17" t="str">
        <f t="shared" si="5"/>
        <v>BCA108-NA</v>
      </c>
      <c r="J890" t="str">
        <f t="shared" si="6"/>
        <v>collected</v>
      </c>
      <c r="K890" t="str">
        <f t="shared" si="7"/>
        <v>N</v>
      </c>
    </row>
    <row r="891">
      <c r="A891" s="27" t="s">
        <v>1302</v>
      </c>
      <c r="B891" s="10" t="str">
        <f t="shared" si="1"/>
        <v>fish</v>
      </c>
      <c r="C891" s="63" t="str">
        <f t="shared" si="2"/>
        <v>U16440</v>
      </c>
      <c r="D891" s="11" t="str">
        <f t="array" ref="D891">iferror(index(fish_lab_data!D:D,match(A891,fish_lab_data!C:C,0)))</f>
        <v>P1044</v>
      </c>
      <c r="E891" s="6">
        <v>108.0</v>
      </c>
      <c r="F891" s="17" t="str">
        <f t="shared" si="3"/>
        <v>BCA108</v>
      </c>
      <c r="G891" s="43" t="str">
        <f t="shared" si="4"/>
        <v>NA</v>
      </c>
      <c r="H891" s="17" t="str">
        <f t="shared" si="5"/>
        <v>BCA108-NA</v>
      </c>
      <c r="J891" t="str">
        <f t="shared" si="6"/>
        <v>collected</v>
      </c>
      <c r="K891" t="str">
        <f t="shared" si="7"/>
        <v>N</v>
      </c>
    </row>
    <row r="892">
      <c r="A892" s="27" t="s">
        <v>1304</v>
      </c>
      <c r="B892" s="10" t="str">
        <f t="shared" si="1"/>
        <v>fish</v>
      </c>
      <c r="C892" s="63" t="str">
        <f t="shared" si="2"/>
        <v>U16438</v>
      </c>
      <c r="D892" s="11" t="str">
        <f t="array" ref="D892">iferror(index(fish_lab_data!D:D,match(A892,fish_lab_data!C:C,0)))</f>
        <v>P1044</v>
      </c>
      <c r="E892" s="6">
        <v>108.0</v>
      </c>
      <c r="F892" s="17" t="str">
        <f t="shared" si="3"/>
        <v>BCA108</v>
      </c>
      <c r="G892" s="43" t="str">
        <f t="shared" si="4"/>
        <v>NA</v>
      </c>
      <c r="H892" s="17" t="str">
        <f t="shared" si="5"/>
        <v>BCA108-NA</v>
      </c>
      <c r="J892" t="str">
        <f t="shared" si="6"/>
        <v>collected</v>
      </c>
      <c r="K892" t="str">
        <f t="shared" si="7"/>
        <v>N</v>
      </c>
    </row>
    <row r="893">
      <c r="A893" s="27" t="s">
        <v>1305</v>
      </c>
      <c r="B893" s="10" t="str">
        <f t="shared" si="1"/>
        <v>fish</v>
      </c>
      <c r="C893" s="63" t="str">
        <f t="shared" si="2"/>
        <v>U16436</v>
      </c>
      <c r="D893" s="11" t="str">
        <f t="array" ref="D893">iferror(index(fish_lab_data!D:D,match(A893,fish_lab_data!C:C,0)))</f>
        <v>P1044</v>
      </c>
      <c r="E893" s="6">
        <v>108.0</v>
      </c>
      <c r="F893" s="17" t="str">
        <f t="shared" si="3"/>
        <v>BCA108</v>
      </c>
      <c r="G893" s="43" t="str">
        <f t="shared" si="4"/>
        <v>NA</v>
      </c>
      <c r="H893" s="17" t="str">
        <f t="shared" si="5"/>
        <v>BCA108-NA</v>
      </c>
      <c r="J893" t="str">
        <f t="shared" si="6"/>
        <v>collected</v>
      </c>
      <c r="K893" t="str">
        <f t="shared" si="7"/>
        <v>N</v>
      </c>
    </row>
    <row r="894">
      <c r="A894" s="27" t="s">
        <v>1306</v>
      </c>
      <c r="B894" s="10" t="str">
        <f t="shared" si="1"/>
        <v>fish</v>
      </c>
      <c r="C894" s="63" t="str">
        <f t="shared" si="2"/>
        <v>U16435</v>
      </c>
      <c r="D894" s="11" t="str">
        <f t="array" ref="D894">iferror(index(fish_lab_data!D:D,match(A894,fish_lab_data!C:C,0)))</f>
        <v>P1044</v>
      </c>
      <c r="E894" s="6">
        <v>108.0</v>
      </c>
      <c r="F894" s="17" t="str">
        <f t="shared" si="3"/>
        <v>BCA108</v>
      </c>
      <c r="G894" s="43" t="str">
        <f t="shared" si="4"/>
        <v>NA</v>
      </c>
      <c r="H894" s="17" t="str">
        <f t="shared" si="5"/>
        <v>BCA108-NA</v>
      </c>
      <c r="J894" t="str">
        <f t="shared" si="6"/>
        <v>collected</v>
      </c>
      <c r="K894" t="str">
        <f t="shared" si="7"/>
        <v>N</v>
      </c>
    </row>
    <row r="895">
      <c r="A895" s="27" t="s">
        <v>1307</v>
      </c>
      <c r="B895" s="10" t="str">
        <f t="shared" si="1"/>
        <v>fish</v>
      </c>
      <c r="C895" s="63" t="str">
        <f t="shared" si="2"/>
        <v>U16439</v>
      </c>
      <c r="D895" s="11" t="str">
        <f t="array" ref="D895">iferror(index(fish_lab_data!D:D,match(A895,fish_lab_data!C:C,0)))</f>
        <v>P1044</v>
      </c>
      <c r="E895" s="6">
        <v>108.0</v>
      </c>
      <c r="F895" s="17" t="str">
        <f t="shared" si="3"/>
        <v>BCA108</v>
      </c>
      <c r="G895" s="43" t="str">
        <f t="shared" si="4"/>
        <v>NA</v>
      </c>
      <c r="H895" s="17" t="str">
        <f t="shared" si="5"/>
        <v>BCA108-NA</v>
      </c>
      <c r="J895" t="str">
        <f t="shared" si="6"/>
        <v>collected</v>
      </c>
      <c r="K895" t="str">
        <f t="shared" si="7"/>
        <v>N</v>
      </c>
    </row>
    <row r="896">
      <c r="A896" s="27" t="s">
        <v>1309</v>
      </c>
      <c r="B896" s="10" t="str">
        <f t="shared" si="1"/>
        <v>fish</v>
      </c>
      <c r="C896" s="63" t="str">
        <f t="shared" si="2"/>
        <v>U16433</v>
      </c>
      <c r="D896" s="11" t="str">
        <f t="array" ref="D896">iferror(index(fish_lab_data!D:D,match(A896,fish_lab_data!C:C,0)))</f>
        <v>P1044</v>
      </c>
      <c r="E896" s="6">
        <v>108.0</v>
      </c>
      <c r="F896" s="17" t="str">
        <f t="shared" si="3"/>
        <v>BCA108</v>
      </c>
      <c r="G896" s="43" t="str">
        <f t="shared" si="4"/>
        <v>NA</v>
      </c>
      <c r="H896" s="17" t="str">
        <f t="shared" si="5"/>
        <v>BCA108-NA</v>
      </c>
      <c r="J896" t="str">
        <f t="shared" si="6"/>
        <v>collected</v>
      </c>
      <c r="K896" t="str">
        <f t="shared" si="7"/>
        <v>N</v>
      </c>
    </row>
    <row r="897">
      <c r="A897" s="40" t="s">
        <v>1310</v>
      </c>
      <c r="B897" s="10" t="str">
        <f t="shared" si="1"/>
        <v>fish</v>
      </c>
      <c r="C897" s="63" t="str">
        <f t="shared" si="2"/>
        <v>U16264</v>
      </c>
      <c r="D897" s="11" t="str">
        <f t="array" ref="D897">iferror(index(fish_lab_data!D:D,match(A897,fish_lab_data!C:C,0)))</f>
        <v>P1027</v>
      </c>
      <c r="E897" s="6">
        <v>108.0</v>
      </c>
      <c r="F897" s="17" t="str">
        <f t="shared" si="3"/>
        <v>BCA108</v>
      </c>
      <c r="G897" s="43" t="str">
        <f t="shared" si="4"/>
        <v>NA</v>
      </c>
      <c r="H897" s="17" t="str">
        <f t="shared" si="5"/>
        <v>BCA108-NA</v>
      </c>
      <c r="J897" t="str">
        <f t="shared" si="6"/>
        <v>collected</v>
      </c>
      <c r="K897" t="str">
        <f t="shared" si="7"/>
        <v>N</v>
      </c>
    </row>
    <row r="898">
      <c r="A898" s="40" t="s">
        <v>1311</v>
      </c>
      <c r="B898" s="10" t="str">
        <f t="shared" si="1"/>
        <v>fish</v>
      </c>
      <c r="C898" s="63" t="str">
        <f t="shared" si="2"/>
        <v>U16265</v>
      </c>
      <c r="D898" s="11" t="str">
        <f t="array" ref="D898">iferror(index(fish_lab_data!D:D,match(A898,fish_lab_data!C:C,0)))</f>
        <v>P1027</v>
      </c>
      <c r="E898" s="6">
        <v>108.0</v>
      </c>
      <c r="F898" s="17" t="str">
        <f t="shared" si="3"/>
        <v>BCA108</v>
      </c>
      <c r="G898" s="43" t="str">
        <f t="shared" si="4"/>
        <v>NA</v>
      </c>
      <c r="H898" s="17" t="str">
        <f t="shared" si="5"/>
        <v>BCA108-NA</v>
      </c>
      <c r="J898" t="str">
        <f t="shared" si="6"/>
        <v>collected</v>
      </c>
      <c r="K898" t="str">
        <f t="shared" si="7"/>
        <v>N</v>
      </c>
    </row>
    <row r="899">
      <c r="A899" s="40" t="s">
        <v>1312</v>
      </c>
      <c r="B899" s="10" t="str">
        <f t="shared" si="1"/>
        <v>fish</v>
      </c>
      <c r="C899" s="63" t="str">
        <f t="shared" si="2"/>
        <v>U16268</v>
      </c>
      <c r="D899" s="11" t="str">
        <f t="array" ref="D899">iferror(index(fish_lab_data!D:D,match(A899,fish_lab_data!C:C,0)))</f>
        <v>P1027</v>
      </c>
      <c r="E899" s="6">
        <v>108.0</v>
      </c>
      <c r="F899" s="17" t="str">
        <f t="shared" si="3"/>
        <v>BCA108</v>
      </c>
      <c r="G899" s="43" t="str">
        <f t="shared" si="4"/>
        <v>NA</v>
      </c>
      <c r="H899" s="17" t="str">
        <f t="shared" si="5"/>
        <v>BCA108-NA</v>
      </c>
      <c r="J899" t="str">
        <f t="shared" si="6"/>
        <v>collected</v>
      </c>
      <c r="K899" t="str">
        <f t="shared" si="7"/>
        <v>N</v>
      </c>
    </row>
    <row r="900">
      <c r="A900" s="40" t="s">
        <v>1313</v>
      </c>
      <c r="B900" s="10" t="str">
        <f t="shared" si="1"/>
        <v>fish</v>
      </c>
      <c r="C900" s="63" t="str">
        <f t="shared" si="2"/>
        <v>U16269</v>
      </c>
      <c r="D900" s="11" t="str">
        <f t="array" ref="D900">iferror(index(fish_lab_data!D:D,match(A900,fish_lab_data!C:C,0)))</f>
        <v>P1027</v>
      </c>
      <c r="E900" s="6">
        <v>108.0</v>
      </c>
      <c r="F900" s="17" t="str">
        <f t="shared" si="3"/>
        <v>BCA108</v>
      </c>
      <c r="G900" s="43" t="str">
        <f t="shared" si="4"/>
        <v>NA</v>
      </c>
      <c r="H900" s="17" t="str">
        <f t="shared" si="5"/>
        <v>BCA108-NA</v>
      </c>
      <c r="J900" t="str">
        <f t="shared" si="6"/>
        <v>collected</v>
      </c>
      <c r="K900" t="str">
        <f t="shared" si="7"/>
        <v>N</v>
      </c>
    </row>
    <row r="901">
      <c r="A901" s="40" t="s">
        <v>1315</v>
      </c>
      <c r="B901" s="10" t="str">
        <f t="shared" si="1"/>
        <v>fish</v>
      </c>
      <c r="C901" s="63" t="str">
        <f t="shared" si="2"/>
        <v>U16266</v>
      </c>
      <c r="D901" s="11" t="str">
        <f t="array" ref="D901">iferror(index(fish_lab_data!D:D,match(A901,fish_lab_data!C:C,0)))</f>
        <v>P1027</v>
      </c>
      <c r="E901" s="6">
        <v>108.0</v>
      </c>
      <c r="F901" s="17" t="str">
        <f t="shared" si="3"/>
        <v>BCA108</v>
      </c>
      <c r="G901" s="43" t="str">
        <f t="shared" si="4"/>
        <v>NA</v>
      </c>
      <c r="H901" s="17" t="str">
        <f t="shared" si="5"/>
        <v>BCA108-NA</v>
      </c>
      <c r="J901" t="str">
        <f t="shared" si="6"/>
        <v>collected</v>
      </c>
      <c r="K901" t="str">
        <f t="shared" si="7"/>
        <v>N</v>
      </c>
    </row>
    <row r="902">
      <c r="A902" s="40" t="s">
        <v>1317</v>
      </c>
      <c r="B902" s="10" t="str">
        <f t="shared" si="1"/>
        <v>fish</v>
      </c>
      <c r="C902" s="63" t="str">
        <f t="shared" si="2"/>
        <v>U16270</v>
      </c>
      <c r="D902" s="11" t="str">
        <f t="array" ref="D902">iferror(index(fish_lab_data!D:D,match(A902,fish_lab_data!C:C,0)))</f>
        <v>P1027</v>
      </c>
      <c r="E902" s="6">
        <v>108.0</v>
      </c>
      <c r="F902" s="17" t="str">
        <f t="shared" si="3"/>
        <v>BCA108</v>
      </c>
      <c r="G902" s="43" t="str">
        <f t="shared" si="4"/>
        <v>NA</v>
      </c>
      <c r="H902" s="17" t="str">
        <f t="shared" si="5"/>
        <v>BCA108-NA</v>
      </c>
      <c r="J902" t="str">
        <f t="shared" si="6"/>
        <v>collected</v>
      </c>
      <c r="K902" t="str">
        <f t="shared" si="7"/>
        <v>N</v>
      </c>
    </row>
    <row r="903">
      <c r="A903" s="40" t="s">
        <v>1318</v>
      </c>
      <c r="B903" s="10" t="str">
        <f t="shared" si="1"/>
        <v>fish</v>
      </c>
      <c r="C903" s="63" t="str">
        <f t="shared" si="2"/>
        <v>U16267</v>
      </c>
      <c r="D903" s="11" t="str">
        <f t="array" ref="D903">iferror(index(fish_lab_data!D:D,match(A903,fish_lab_data!C:C,0)))</f>
        <v>P1027</v>
      </c>
      <c r="E903" s="6">
        <v>108.0</v>
      </c>
      <c r="F903" s="17" t="str">
        <f t="shared" si="3"/>
        <v>BCA108</v>
      </c>
      <c r="G903" s="43" t="str">
        <f t="shared" si="4"/>
        <v>NA</v>
      </c>
      <c r="H903" s="17" t="str">
        <f t="shared" si="5"/>
        <v>BCA108-NA</v>
      </c>
      <c r="J903" t="str">
        <f t="shared" si="6"/>
        <v>collected</v>
      </c>
      <c r="K903" t="str">
        <f t="shared" si="7"/>
        <v>N</v>
      </c>
    </row>
    <row r="904">
      <c r="A904" s="40" t="s">
        <v>1320</v>
      </c>
      <c r="B904" s="10" t="str">
        <f t="shared" si="1"/>
        <v>fish</v>
      </c>
      <c r="C904" s="63" t="str">
        <f t="shared" si="2"/>
        <v>U17382</v>
      </c>
      <c r="D904" s="11" t="str">
        <f t="array" ref="D904">iferror(index(fish_lab_data!D:D,match(A904,fish_lab_data!C:C,0)))</f>
        <v>P1139</v>
      </c>
      <c r="E904" s="6">
        <v>108.0</v>
      </c>
      <c r="F904" s="17" t="str">
        <f t="shared" si="3"/>
        <v>BCA108</v>
      </c>
      <c r="G904" s="43" t="str">
        <f t="shared" si="4"/>
        <v>NA</v>
      </c>
      <c r="H904" s="17" t="str">
        <f t="shared" si="5"/>
        <v>BCA108-NA</v>
      </c>
      <c r="J904" t="str">
        <f t="shared" si="6"/>
        <v>collected</v>
      </c>
      <c r="K904" t="str">
        <f t="shared" si="7"/>
        <v>N</v>
      </c>
    </row>
    <row r="905">
      <c r="A905" s="40" t="s">
        <v>1322</v>
      </c>
      <c r="B905" s="10" t="str">
        <f t="shared" si="1"/>
        <v>fish</v>
      </c>
      <c r="C905" s="63" t="str">
        <f t="shared" si="2"/>
        <v>U17381</v>
      </c>
      <c r="D905" s="11" t="str">
        <f t="array" ref="D905">iferror(index(fish_lab_data!D:D,match(A905,fish_lab_data!C:C,0)))</f>
        <v>P1139</v>
      </c>
      <c r="E905" s="6">
        <v>108.0</v>
      </c>
      <c r="F905" s="17" t="str">
        <f t="shared" si="3"/>
        <v>BCA108</v>
      </c>
      <c r="G905" s="43" t="str">
        <f t="shared" si="4"/>
        <v>NA</v>
      </c>
      <c r="H905" s="17" t="str">
        <f t="shared" si="5"/>
        <v>BCA108-NA</v>
      </c>
      <c r="J905" t="str">
        <f t="shared" si="6"/>
        <v>collected</v>
      </c>
      <c r="K905" t="str">
        <f t="shared" si="7"/>
        <v>N</v>
      </c>
    </row>
    <row r="906">
      <c r="A906" s="40" t="s">
        <v>1324</v>
      </c>
      <c r="B906" s="10" t="str">
        <f t="shared" si="1"/>
        <v>fish</v>
      </c>
      <c r="C906" s="63" t="str">
        <f t="shared" si="2"/>
        <v>U17383</v>
      </c>
      <c r="D906" s="11" t="str">
        <f t="array" ref="D906">iferror(index(fish_lab_data!D:D,match(A906,fish_lab_data!C:C,0)))</f>
        <v>P1139</v>
      </c>
      <c r="E906" s="6">
        <v>108.0</v>
      </c>
      <c r="F906" s="17" t="str">
        <f t="shared" si="3"/>
        <v>BCA108</v>
      </c>
      <c r="G906" s="43" t="str">
        <f t="shared" si="4"/>
        <v>NA</v>
      </c>
      <c r="H906" s="17" t="str">
        <f t="shared" si="5"/>
        <v>BCA108-NA</v>
      </c>
      <c r="J906" t="str">
        <f t="shared" si="6"/>
        <v>collected</v>
      </c>
      <c r="K906" t="str">
        <f t="shared" si="7"/>
        <v>N</v>
      </c>
    </row>
    <row r="907">
      <c r="A907" s="40" t="s">
        <v>1325</v>
      </c>
      <c r="B907" s="10" t="str">
        <f t="shared" si="1"/>
        <v>fish</v>
      </c>
      <c r="C907" s="63" t="str">
        <f t="shared" si="2"/>
        <v>U17384</v>
      </c>
      <c r="D907" s="11" t="str">
        <f t="array" ref="D907">iferror(index(fish_lab_data!D:D,match(A907,fish_lab_data!C:C,0)))</f>
        <v>P1139</v>
      </c>
      <c r="E907" s="6">
        <v>108.0</v>
      </c>
      <c r="F907" s="17" t="str">
        <f t="shared" si="3"/>
        <v>BCA108</v>
      </c>
      <c r="G907" s="43" t="str">
        <f t="shared" si="4"/>
        <v>NA</v>
      </c>
      <c r="H907" s="17" t="str">
        <f t="shared" si="5"/>
        <v>BCA108-NA</v>
      </c>
      <c r="J907" t="str">
        <f t="shared" si="6"/>
        <v>collected</v>
      </c>
      <c r="K907" t="str">
        <f t="shared" si="7"/>
        <v>N</v>
      </c>
    </row>
    <row r="908">
      <c r="A908" s="40" t="s">
        <v>1326</v>
      </c>
      <c r="B908" s="10" t="str">
        <f t="shared" si="1"/>
        <v>fish</v>
      </c>
      <c r="C908" s="63" t="str">
        <f t="shared" si="2"/>
        <v>U17385</v>
      </c>
      <c r="D908" s="11" t="str">
        <f t="array" ref="D908">iferror(index(fish_lab_data!D:D,match(A908,fish_lab_data!C:C,0)))</f>
        <v>P1139</v>
      </c>
      <c r="E908" s="6">
        <v>108.0</v>
      </c>
      <c r="F908" s="17" t="str">
        <f t="shared" si="3"/>
        <v>BCA108</v>
      </c>
      <c r="G908" s="43" t="str">
        <f t="shared" si="4"/>
        <v>NA</v>
      </c>
      <c r="H908" s="17" t="str">
        <f t="shared" si="5"/>
        <v>BCA108-NA</v>
      </c>
      <c r="J908" t="str">
        <f t="shared" si="6"/>
        <v>collected</v>
      </c>
      <c r="K908" t="str">
        <f t="shared" si="7"/>
        <v>N</v>
      </c>
    </row>
    <row r="909">
      <c r="A909" s="33" t="s">
        <v>1327</v>
      </c>
      <c r="B909" s="10" t="str">
        <f t="shared" si="1"/>
        <v>fish</v>
      </c>
      <c r="C909" s="63" t="str">
        <f t="shared" si="2"/>
        <v>U17386</v>
      </c>
      <c r="D909" s="11" t="str">
        <f t="array" ref="D909">iferror(index(fish_lab_data!D:D,match(A909,fish_lab_data!C:C,0)))</f>
        <v>P1139</v>
      </c>
      <c r="E909" s="6">
        <v>108.0</v>
      </c>
      <c r="F909" s="17" t="str">
        <f t="shared" si="3"/>
        <v>BCA108</v>
      </c>
      <c r="G909" s="43" t="str">
        <f t="shared" si="4"/>
        <v>NA</v>
      </c>
      <c r="H909" s="17" t="str">
        <f t="shared" si="5"/>
        <v>BCA108-NA</v>
      </c>
      <c r="J909" t="str">
        <f t="shared" si="6"/>
        <v>collected</v>
      </c>
      <c r="K909" t="str">
        <f t="shared" si="7"/>
        <v>N</v>
      </c>
    </row>
    <row r="910">
      <c r="A910" s="40" t="s">
        <v>1328</v>
      </c>
      <c r="B910" s="10" t="str">
        <f t="shared" si="1"/>
        <v>fish</v>
      </c>
      <c r="C910" s="63" t="str">
        <f t="shared" si="2"/>
        <v>U17388</v>
      </c>
      <c r="D910" s="11" t="str">
        <f t="array" ref="D910">iferror(index(fish_lab_data!D:D,match(A910,fish_lab_data!C:C,0)))</f>
        <v>P1139</v>
      </c>
      <c r="E910" s="6">
        <v>108.0</v>
      </c>
      <c r="F910" s="17" t="str">
        <f t="shared" si="3"/>
        <v>BCA108</v>
      </c>
      <c r="G910" s="43" t="str">
        <f t="shared" si="4"/>
        <v>NA</v>
      </c>
      <c r="H910" s="17" t="str">
        <f t="shared" si="5"/>
        <v>BCA108-NA</v>
      </c>
      <c r="J910" t="str">
        <f t="shared" si="6"/>
        <v>collected</v>
      </c>
      <c r="K910" t="str">
        <f t="shared" si="7"/>
        <v>N</v>
      </c>
    </row>
    <row r="911">
      <c r="A911" s="40" t="s">
        <v>1329</v>
      </c>
      <c r="B911" s="10" t="str">
        <f t="shared" si="1"/>
        <v>fish</v>
      </c>
      <c r="C911" s="63" t="str">
        <f t="shared" si="2"/>
        <v>U17389</v>
      </c>
      <c r="D911" s="11" t="str">
        <f t="array" ref="D911">iferror(index(fish_lab_data!D:D,match(A911,fish_lab_data!C:C,0)))</f>
        <v>P1139</v>
      </c>
      <c r="E911" s="6">
        <v>108.0</v>
      </c>
      <c r="F911" s="17" t="str">
        <f t="shared" si="3"/>
        <v>BCA108</v>
      </c>
      <c r="G911" s="43" t="str">
        <f t="shared" si="4"/>
        <v>NA</v>
      </c>
      <c r="H911" s="17" t="str">
        <f t="shared" si="5"/>
        <v>BCA108-NA</v>
      </c>
      <c r="J911" t="str">
        <f t="shared" si="6"/>
        <v>collected</v>
      </c>
      <c r="K911" t="str">
        <f t="shared" si="7"/>
        <v>N</v>
      </c>
    </row>
    <row r="912">
      <c r="A912" s="40" t="s">
        <v>1330</v>
      </c>
      <c r="B912" s="10" t="str">
        <f t="shared" si="1"/>
        <v>fish</v>
      </c>
      <c r="C912" s="63" t="str">
        <f t="shared" si="2"/>
        <v>U17387</v>
      </c>
      <c r="D912" s="11" t="str">
        <f t="array" ref="D912">iferror(index(fish_lab_data!D:D,match(A912,fish_lab_data!C:C,0)))</f>
        <v>P1139</v>
      </c>
      <c r="E912" s="6">
        <v>108.0</v>
      </c>
      <c r="F912" s="17" t="str">
        <f t="shared" si="3"/>
        <v>BCA108</v>
      </c>
      <c r="G912" s="43" t="str">
        <f t="shared" si="4"/>
        <v>NA</v>
      </c>
      <c r="H912" s="17" t="str">
        <f t="shared" si="5"/>
        <v>BCA108-NA</v>
      </c>
      <c r="J912" t="str">
        <f t="shared" si="6"/>
        <v>collected</v>
      </c>
      <c r="K912" t="str">
        <f t="shared" si="7"/>
        <v>N</v>
      </c>
    </row>
    <row r="913">
      <c r="A913" s="40" t="s">
        <v>1331</v>
      </c>
      <c r="B913" s="10" t="str">
        <f t="shared" si="1"/>
        <v>fish</v>
      </c>
      <c r="C913" s="63" t="str">
        <f t="shared" si="2"/>
        <v>U17390</v>
      </c>
      <c r="D913" s="11" t="str">
        <f t="array" ref="D913">iferror(index(fish_lab_data!D:D,match(A913,fish_lab_data!C:C,0)))</f>
        <v>P1139</v>
      </c>
      <c r="E913" s="6">
        <v>108.0</v>
      </c>
      <c r="F913" s="17" t="str">
        <f t="shared" si="3"/>
        <v>BCA108</v>
      </c>
      <c r="G913" s="43" t="str">
        <f t="shared" si="4"/>
        <v>NA</v>
      </c>
      <c r="H913" s="17" t="str">
        <f t="shared" si="5"/>
        <v>BCA108-NA</v>
      </c>
      <c r="J913" t="str">
        <f t="shared" si="6"/>
        <v>collected</v>
      </c>
      <c r="K913" t="str">
        <f t="shared" si="7"/>
        <v>N</v>
      </c>
    </row>
    <row r="914">
      <c r="A914" s="40" t="s">
        <v>1332</v>
      </c>
      <c r="B914" s="10" t="str">
        <f t="shared" si="1"/>
        <v>fish</v>
      </c>
      <c r="C914" s="63" t="str">
        <f t="shared" si="2"/>
        <v>U17711</v>
      </c>
      <c r="D914" s="11" t="str">
        <f t="array" ref="D914">iferror(index(fish_lab_data!D:D,match(A914,fish_lab_data!C:C,0)))</f>
        <v>P1172</v>
      </c>
      <c r="E914" s="6">
        <v>108.0</v>
      </c>
      <c r="F914" s="17" t="str">
        <f t="shared" si="3"/>
        <v>BCA108</v>
      </c>
      <c r="G914" s="43" t="str">
        <f t="shared" si="4"/>
        <v>NA</v>
      </c>
      <c r="H914" s="17" t="str">
        <f t="shared" si="5"/>
        <v>BCA108-NA</v>
      </c>
      <c r="J914" t="str">
        <f t="shared" si="6"/>
        <v>collected</v>
      </c>
      <c r="K914" t="str">
        <f t="shared" si="7"/>
        <v>N</v>
      </c>
    </row>
    <row r="915">
      <c r="A915" s="40" t="s">
        <v>1333</v>
      </c>
      <c r="B915" s="10" t="str">
        <f t="shared" si="1"/>
        <v>fish</v>
      </c>
      <c r="C915" s="63" t="str">
        <f t="shared" si="2"/>
        <v>U17715</v>
      </c>
      <c r="D915" s="11" t="str">
        <f t="array" ref="D915">iferror(index(fish_lab_data!D:D,match(A915,fish_lab_data!C:C,0)))</f>
        <v>P1172</v>
      </c>
      <c r="E915" s="6">
        <v>108.0</v>
      </c>
      <c r="F915" s="17" t="str">
        <f t="shared" si="3"/>
        <v>BCA108</v>
      </c>
      <c r="G915" s="43" t="str">
        <f t="shared" si="4"/>
        <v>NA</v>
      </c>
      <c r="H915" s="17" t="str">
        <f t="shared" si="5"/>
        <v>BCA108-NA</v>
      </c>
      <c r="J915" t="str">
        <f t="shared" si="6"/>
        <v>collected</v>
      </c>
      <c r="K915" t="str">
        <f t="shared" si="7"/>
        <v>N</v>
      </c>
    </row>
    <row r="916">
      <c r="A916" s="40" t="s">
        <v>1334</v>
      </c>
      <c r="B916" s="10" t="str">
        <f t="shared" si="1"/>
        <v>fish</v>
      </c>
      <c r="C916" s="63" t="str">
        <f t="shared" si="2"/>
        <v>U17717</v>
      </c>
      <c r="D916" s="11" t="str">
        <f t="array" ref="D916">iferror(index(fish_lab_data!D:D,match(A916,fish_lab_data!C:C,0)))</f>
        <v>P1172</v>
      </c>
      <c r="E916" s="6">
        <v>108.0</v>
      </c>
      <c r="F916" s="17" t="str">
        <f t="shared" si="3"/>
        <v>BCA108</v>
      </c>
      <c r="G916" s="43" t="str">
        <f t="shared" si="4"/>
        <v>NA</v>
      </c>
      <c r="H916" s="17" t="str">
        <f t="shared" si="5"/>
        <v>BCA108-NA</v>
      </c>
      <c r="J916" t="str">
        <f t="shared" si="6"/>
        <v>collected</v>
      </c>
      <c r="K916" t="str">
        <f t="shared" si="7"/>
        <v>N</v>
      </c>
    </row>
    <row r="917">
      <c r="A917" s="40" t="s">
        <v>1335</v>
      </c>
      <c r="B917" s="10" t="str">
        <f t="shared" si="1"/>
        <v>fish</v>
      </c>
      <c r="C917" s="63" t="str">
        <f t="shared" si="2"/>
        <v>U17719</v>
      </c>
      <c r="D917" s="11" t="str">
        <f t="array" ref="D917">iferror(index(fish_lab_data!D:D,match(A917,fish_lab_data!C:C,0)))</f>
        <v>P1172</v>
      </c>
      <c r="E917" s="6">
        <v>108.0</v>
      </c>
      <c r="F917" s="17" t="str">
        <f t="shared" si="3"/>
        <v>BCA108</v>
      </c>
      <c r="G917" s="43" t="str">
        <f t="shared" si="4"/>
        <v>NA</v>
      </c>
      <c r="H917" s="17" t="str">
        <f t="shared" si="5"/>
        <v>BCA108-NA</v>
      </c>
      <c r="J917" t="str">
        <f t="shared" si="6"/>
        <v>collected</v>
      </c>
      <c r="K917" t="str">
        <f t="shared" si="7"/>
        <v>N</v>
      </c>
    </row>
    <row r="918">
      <c r="A918" s="40" t="s">
        <v>1336</v>
      </c>
      <c r="B918" s="10" t="str">
        <f t="shared" si="1"/>
        <v>fish</v>
      </c>
      <c r="C918" s="63" t="str">
        <f t="shared" si="2"/>
        <v>U17713</v>
      </c>
      <c r="D918" s="11" t="str">
        <f t="array" ref="D918">iferror(index(fish_lab_data!D:D,match(A918,fish_lab_data!C:C,0)))</f>
        <v>P1172</v>
      </c>
      <c r="E918" s="6">
        <v>108.0</v>
      </c>
      <c r="F918" s="17" t="str">
        <f t="shared" si="3"/>
        <v>BCA108</v>
      </c>
      <c r="G918" s="43" t="str">
        <f t="shared" si="4"/>
        <v>NA</v>
      </c>
      <c r="H918" s="17" t="str">
        <f t="shared" si="5"/>
        <v>BCA108-NA</v>
      </c>
      <c r="J918" t="str">
        <f t="shared" si="6"/>
        <v>collected</v>
      </c>
      <c r="K918" t="str">
        <f t="shared" si="7"/>
        <v>N</v>
      </c>
    </row>
    <row r="919">
      <c r="A919" s="40" t="s">
        <v>1337</v>
      </c>
      <c r="B919" s="10" t="str">
        <f t="shared" si="1"/>
        <v>fish</v>
      </c>
      <c r="C919" s="63" t="str">
        <f t="shared" si="2"/>
        <v>U17720</v>
      </c>
      <c r="D919" s="11" t="str">
        <f t="array" ref="D919">iferror(index(fish_lab_data!D:D,match(A919,fish_lab_data!C:C,0)))</f>
        <v>P1172</v>
      </c>
      <c r="E919" s="6">
        <v>108.0</v>
      </c>
      <c r="F919" s="17" t="str">
        <f t="shared" si="3"/>
        <v>BCA108</v>
      </c>
      <c r="G919" s="43" t="str">
        <f t="shared" si="4"/>
        <v>NA</v>
      </c>
      <c r="H919" s="17" t="str">
        <f t="shared" si="5"/>
        <v>BCA108-NA</v>
      </c>
      <c r="J919" t="str">
        <f t="shared" si="6"/>
        <v>collected</v>
      </c>
      <c r="K919" t="str">
        <f t="shared" si="7"/>
        <v>N</v>
      </c>
    </row>
    <row r="920">
      <c r="A920" s="40" t="s">
        <v>1338</v>
      </c>
      <c r="B920" s="10" t="str">
        <f t="shared" si="1"/>
        <v>fish</v>
      </c>
      <c r="C920" s="63" t="str">
        <f t="shared" si="2"/>
        <v>U17716</v>
      </c>
      <c r="D920" s="11" t="str">
        <f t="array" ref="D920">iferror(index(fish_lab_data!D:D,match(A920,fish_lab_data!C:C,0)))</f>
        <v>P1172</v>
      </c>
      <c r="E920" s="6">
        <v>108.0</v>
      </c>
      <c r="F920" s="17" t="str">
        <f t="shared" si="3"/>
        <v>BCA108</v>
      </c>
      <c r="G920" s="43" t="str">
        <f t="shared" si="4"/>
        <v>NA</v>
      </c>
      <c r="H920" s="17" t="str">
        <f t="shared" si="5"/>
        <v>BCA108-NA</v>
      </c>
      <c r="J920" t="str">
        <f t="shared" si="6"/>
        <v>collected</v>
      </c>
      <c r="K920" t="str">
        <f t="shared" si="7"/>
        <v>N</v>
      </c>
    </row>
    <row r="921">
      <c r="A921" s="40" t="s">
        <v>1339</v>
      </c>
      <c r="B921" s="10" t="str">
        <f t="shared" si="1"/>
        <v>fish</v>
      </c>
      <c r="C921" s="63" t="str">
        <f t="shared" si="2"/>
        <v>U17718</v>
      </c>
      <c r="D921" s="11" t="str">
        <f t="array" ref="D921">iferror(index(fish_lab_data!D:D,match(A921,fish_lab_data!C:C,0)))</f>
        <v>P1172</v>
      </c>
      <c r="E921" s="6">
        <v>108.0</v>
      </c>
      <c r="F921" s="17" t="str">
        <f t="shared" si="3"/>
        <v>BCA108</v>
      </c>
      <c r="G921" s="43" t="str">
        <f t="shared" si="4"/>
        <v>NA</v>
      </c>
      <c r="H921" s="17" t="str">
        <f t="shared" si="5"/>
        <v>BCA108-NA</v>
      </c>
      <c r="J921" t="str">
        <f t="shared" si="6"/>
        <v>collected</v>
      </c>
      <c r="K921" t="str">
        <f t="shared" si="7"/>
        <v>N</v>
      </c>
    </row>
    <row r="922">
      <c r="A922" s="40" t="s">
        <v>1340</v>
      </c>
      <c r="B922" s="10" t="str">
        <f t="shared" si="1"/>
        <v>fish</v>
      </c>
      <c r="C922" s="63" t="str">
        <f t="shared" si="2"/>
        <v>U17712</v>
      </c>
      <c r="D922" s="11" t="str">
        <f t="array" ref="D922">iferror(index(fish_lab_data!D:D,match(A922,fish_lab_data!C:C,0)))</f>
        <v>P1172</v>
      </c>
      <c r="E922" s="6">
        <v>108.0</v>
      </c>
      <c r="F922" s="17" t="str">
        <f t="shared" si="3"/>
        <v>BCA108</v>
      </c>
      <c r="G922" s="43" t="str">
        <f t="shared" si="4"/>
        <v>NA</v>
      </c>
      <c r="H922" s="17" t="str">
        <f t="shared" si="5"/>
        <v>BCA108-NA</v>
      </c>
      <c r="J922" t="str">
        <f t="shared" si="6"/>
        <v>collected</v>
      </c>
      <c r="K922" t="str">
        <f t="shared" si="7"/>
        <v>N</v>
      </c>
    </row>
    <row r="923">
      <c r="A923" s="27" t="s">
        <v>1341</v>
      </c>
      <c r="B923" s="10" t="str">
        <f t="shared" si="1"/>
        <v>fish</v>
      </c>
      <c r="C923" s="63" t="str">
        <f t="shared" si="2"/>
        <v>U16432</v>
      </c>
      <c r="D923" s="11" t="str">
        <f t="array" ref="D923">iferror(index(fish_lab_data!D:D,match(A923,fish_lab_data!C:C,0)))</f>
        <v>P1044</v>
      </c>
      <c r="E923" s="6">
        <v>108.0</v>
      </c>
      <c r="F923" s="17" t="str">
        <f t="shared" si="3"/>
        <v>BCA108</v>
      </c>
      <c r="G923" s="43" t="str">
        <f t="shared" si="4"/>
        <v>NA</v>
      </c>
      <c r="H923" s="17" t="str">
        <f t="shared" si="5"/>
        <v>BCA108-NA</v>
      </c>
      <c r="J923" t="str">
        <f t="shared" si="6"/>
        <v>collected</v>
      </c>
      <c r="K923" t="str">
        <f t="shared" si="7"/>
        <v>N</v>
      </c>
    </row>
    <row r="924">
      <c r="A924" s="27" t="s">
        <v>1342</v>
      </c>
      <c r="B924" s="10" t="str">
        <f t="shared" si="1"/>
        <v>fish</v>
      </c>
      <c r="C924" s="63" t="str">
        <f t="shared" si="2"/>
        <v>U16434</v>
      </c>
      <c r="D924" s="11" t="str">
        <f t="array" ref="D924">iferror(index(fish_lab_data!D:D,match(A924,fish_lab_data!C:C,0)))</f>
        <v>P1044</v>
      </c>
      <c r="E924" s="6">
        <v>108.0</v>
      </c>
      <c r="F924" s="17" t="str">
        <f t="shared" si="3"/>
        <v>BCA108</v>
      </c>
      <c r="G924" s="43" t="str">
        <f t="shared" si="4"/>
        <v>NA</v>
      </c>
      <c r="H924" s="17" t="str">
        <f t="shared" si="5"/>
        <v>BCA108-NA</v>
      </c>
      <c r="J924" t="str">
        <f t="shared" si="6"/>
        <v>collected</v>
      </c>
      <c r="K924" t="str">
        <f t="shared" si="7"/>
        <v>N</v>
      </c>
    </row>
    <row r="925">
      <c r="A925" s="27" t="s">
        <v>1343</v>
      </c>
      <c r="B925" s="10" t="str">
        <f t="shared" si="1"/>
        <v>fish</v>
      </c>
      <c r="C925" s="63" t="str">
        <f t="shared" si="2"/>
        <v>U16431</v>
      </c>
      <c r="D925" s="11" t="str">
        <f t="array" ref="D925">iferror(index(fish_lab_data!D:D,match(A925,fish_lab_data!C:C,0)))</f>
        <v>P1044</v>
      </c>
      <c r="E925" s="6">
        <v>108.0</v>
      </c>
      <c r="F925" s="17" t="str">
        <f t="shared" si="3"/>
        <v>BCA108</v>
      </c>
      <c r="G925" s="43" t="str">
        <f t="shared" si="4"/>
        <v>NA</v>
      </c>
      <c r="H925" s="17" t="str">
        <f t="shared" si="5"/>
        <v>BCA108-NA</v>
      </c>
      <c r="J925" t="str">
        <f t="shared" si="6"/>
        <v>collected</v>
      </c>
      <c r="K925" t="str">
        <f t="shared" si="7"/>
        <v>N</v>
      </c>
    </row>
    <row r="926">
      <c r="A926" s="27" t="s">
        <v>1344</v>
      </c>
      <c r="B926" s="10" t="str">
        <f t="shared" si="1"/>
        <v>fish</v>
      </c>
      <c r="C926" s="63" t="str">
        <f t="shared" si="2"/>
        <v>U17971</v>
      </c>
      <c r="D926" s="11" t="str">
        <f t="array" ref="D926">iferror(index(fish_lab_data!D:D,match(A926,fish_lab_data!C:C,0)))</f>
        <v>P1198</v>
      </c>
      <c r="E926" s="6">
        <v>108.0</v>
      </c>
      <c r="F926" s="17" t="str">
        <f t="shared" si="3"/>
        <v>BCA108</v>
      </c>
      <c r="G926" s="43" t="str">
        <f t="shared" si="4"/>
        <v>NA</v>
      </c>
      <c r="H926" s="17" t="str">
        <f t="shared" si="5"/>
        <v>BCA108-NA</v>
      </c>
      <c r="J926" t="str">
        <f t="shared" si="6"/>
        <v>collected</v>
      </c>
      <c r="K926" t="str">
        <f t="shared" si="7"/>
        <v>N</v>
      </c>
    </row>
    <row r="927">
      <c r="A927" s="27" t="s">
        <v>1345</v>
      </c>
      <c r="B927" s="10" t="str">
        <f t="shared" si="1"/>
        <v>fish</v>
      </c>
      <c r="C927" s="63" t="str">
        <f t="shared" si="2"/>
        <v>U17972</v>
      </c>
      <c r="D927" s="11" t="str">
        <f t="array" ref="D927">iferror(index(fish_lab_data!D:D,match(A927,fish_lab_data!C:C,0)))</f>
        <v>P1198</v>
      </c>
      <c r="E927" s="6">
        <v>108.0</v>
      </c>
      <c r="F927" s="17" t="str">
        <f t="shared" si="3"/>
        <v>BCA108</v>
      </c>
      <c r="G927" s="43" t="str">
        <f t="shared" si="4"/>
        <v>NA</v>
      </c>
      <c r="H927" s="17" t="str">
        <f t="shared" si="5"/>
        <v>BCA108-NA</v>
      </c>
      <c r="J927" t="str">
        <f t="shared" si="6"/>
        <v>collected</v>
      </c>
      <c r="K927" t="str">
        <f t="shared" si="7"/>
        <v>N</v>
      </c>
    </row>
    <row r="928">
      <c r="A928" s="27" t="s">
        <v>1346</v>
      </c>
      <c r="B928" s="10" t="str">
        <f t="shared" si="1"/>
        <v>fish</v>
      </c>
      <c r="C928" s="63" t="str">
        <f t="shared" si="2"/>
        <v>U17973</v>
      </c>
      <c r="D928" s="11" t="str">
        <f t="array" ref="D928">iferror(index(fish_lab_data!D:D,match(A928,fish_lab_data!C:C,0)))</f>
        <v>P1198</v>
      </c>
      <c r="E928" s="6">
        <v>108.0</v>
      </c>
      <c r="F928" s="17" t="str">
        <f t="shared" si="3"/>
        <v>BCA108</v>
      </c>
      <c r="G928" s="43" t="str">
        <f t="shared" si="4"/>
        <v>NA</v>
      </c>
      <c r="H928" s="17" t="str">
        <f t="shared" si="5"/>
        <v>BCA108-NA</v>
      </c>
      <c r="J928" t="str">
        <f t="shared" si="6"/>
        <v>collected</v>
      </c>
      <c r="K928" t="str">
        <f t="shared" si="7"/>
        <v>N</v>
      </c>
    </row>
    <row r="929">
      <c r="A929" s="27" t="s">
        <v>1347</v>
      </c>
      <c r="B929" s="10" t="str">
        <f t="shared" si="1"/>
        <v>fish</v>
      </c>
      <c r="C929" s="63" t="str">
        <f t="shared" si="2"/>
        <v>U17974</v>
      </c>
      <c r="D929" s="11" t="str">
        <f t="array" ref="D929">iferror(index(fish_lab_data!D:D,match(A929,fish_lab_data!C:C,0)))</f>
        <v>P1198</v>
      </c>
      <c r="E929" s="6">
        <v>108.0</v>
      </c>
      <c r="F929" s="17" t="str">
        <f t="shared" si="3"/>
        <v>BCA108</v>
      </c>
      <c r="G929" s="43" t="str">
        <f t="shared" si="4"/>
        <v>NA</v>
      </c>
      <c r="H929" s="17" t="str">
        <f t="shared" si="5"/>
        <v>BCA108-NA</v>
      </c>
      <c r="J929" t="str">
        <f t="shared" si="6"/>
        <v>collected</v>
      </c>
      <c r="K929" t="str">
        <f t="shared" si="7"/>
        <v>N</v>
      </c>
    </row>
    <row r="930">
      <c r="A930" s="27" t="s">
        <v>1348</v>
      </c>
      <c r="B930" s="10" t="str">
        <f t="shared" si="1"/>
        <v>fish</v>
      </c>
      <c r="C930" s="63" t="str">
        <f t="shared" si="2"/>
        <v>U17975</v>
      </c>
      <c r="D930" s="11" t="str">
        <f t="array" ref="D930">iferror(index(fish_lab_data!D:D,match(A930,fish_lab_data!C:C,0)))</f>
        <v>P1198</v>
      </c>
      <c r="E930" s="6">
        <v>108.0</v>
      </c>
      <c r="F930" s="17" t="str">
        <f t="shared" si="3"/>
        <v>BCA108</v>
      </c>
      <c r="G930" s="43" t="str">
        <f t="shared" si="4"/>
        <v>NA</v>
      </c>
      <c r="H930" s="17" t="str">
        <f t="shared" si="5"/>
        <v>BCA108-NA</v>
      </c>
      <c r="J930" t="str">
        <f t="shared" si="6"/>
        <v>collected</v>
      </c>
      <c r="K930" t="str">
        <f t="shared" si="7"/>
        <v>N</v>
      </c>
    </row>
    <row r="931">
      <c r="A931" s="27" t="s">
        <v>1350</v>
      </c>
      <c r="B931" s="10" t="str">
        <f t="shared" si="1"/>
        <v>fish</v>
      </c>
      <c r="C931" s="63" t="str">
        <f t="shared" si="2"/>
        <v>U17976</v>
      </c>
      <c r="D931" s="11" t="str">
        <f t="array" ref="D931">iferror(index(fish_lab_data!D:D,match(A931,fish_lab_data!C:C,0)))</f>
        <v>P1198</v>
      </c>
      <c r="E931" s="6">
        <v>108.0</v>
      </c>
      <c r="F931" s="17" t="str">
        <f t="shared" si="3"/>
        <v>BCA108</v>
      </c>
      <c r="G931" s="43" t="str">
        <f t="shared" si="4"/>
        <v>NA</v>
      </c>
      <c r="H931" s="17" t="str">
        <f t="shared" si="5"/>
        <v>BCA108-NA</v>
      </c>
      <c r="J931" t="str">
        <f t="shared" si="6"/>
        <v>collected</v>
      </c>
      <c r="K931" t="str">
        <f t="shared" si="7"/>
        <v>N</v>
      </c>
    </row>
    <row r="932">
      <c r="A932" s="27" t="s">
        <v>1351</v>
      </c>
      <c r="B932" s="10" t="str">
        <f t="shared" si="1"/>
        <v>fish</v>
      </c>
      <c r="C932" s="63" t="str">
        <f t="shared" si="2"/>
        <v>U17977</v>
      </c>
      <c r="D932" s="11" t="str">
        <f t="array" ref="D932">iferror(index(fish_lab_data!D:D,match(A932,fish_lab_data!C:C,0)))</f>
        <v>P1198</v>
      </c>
      <c r="E932" s="6">
        <v>108.0</v>
      </c>
      <c r="F932" s="17" t="str">
        <f t="shared" si="3"/>
        <v>BCA108</v>
      </c>
      <c r="G932" s="43" t="str">
        <f t="shared" si="4"/>
        <v>NA</v>
      </c>
      <c r="H932" s="17" t="str">
        <f t="shared" si="5"/>
        <v>BCA108-NA</v>
      </c>
      <c r="J932" t="str">
        <f t="shared" si="6"/>
        <v>collected</v>
      </c>
      <c r="K932" t="str">
        <f t="shared" si="7"/>
        <v>N</v>
      </c>
    </row>
    <row r="933">
      <c r="A933" s="27" t="s">
        <v>1352</v>
      </c>
      <c r="B933" s="10" t="str">
        <f t="shared" si="1"/>
        <v>fish</v>
      </c>
      <c r="C933" s="63" t="str">
        <f t="shared" si="2"/>
        <v>U17978</v>
      </c>
      <c r="D933" s="11" t="str">
        <f t="array" ref="D933">iferror(index(fish_lab_data!D:D,match(A933,fish_lab_data!C:C,0)))</f>
        <v>P1198</v>
      </c>
      <c r="E933" s="6">
        <v>108.0</v>
      </c>
      <c r="F933" s="17" t="str">
        <f t="shared" si="3"/>
        <v>BCA108</v>
      </c>
      <c r="G933" s="43" t="str">
        <f t="shared" si="4"/>
        <v>NA</v>
      </c>
      <c r="H933" s="17" t="str">
        <f t="shared" si="5"/>
        <v>BCA108-NA</v>
      </c>
      <c r="J933" t="str">
        <f t="shared" si="6"/>
        <v>collected</v>
      </c>
      <c r="K933" t="str">
        <f t="shared" si="7"/>
        <v>N</v>
      </c>
    </row>
    <row r="934">
      <c r="A934" s="27" t="s">
        <v>1353</v>
      </c>
      <c r="B934" s="10" t="str">
        <f t="shared" si="1"/>
        <v>fish</v>
      </c>
      <c r="C934" s="63" t="str">
        <f t="shared" si="2"/>
        <v>U17979</v>
      </c>
      <c r="D934" s="11" t="str">
        <f t="array" ref="D934">iferror(index(fish_lab_data!D:D,match(A934,fish_lab_data!C:C,0)))</f>
        <v>P1198</v>
      </c>
      <c r="E934" s="6">
        <v>108.0</v>
      </c>
      <c r="F934" s="17" t="str">
        <f t="shared" si="3"/>
        <v>BCA108</v>
      </c>
      <c r="G934" s="43" t="str">
        <f t="shared" si="4"/>
        <v>NA</v>
      </c>
      <c r="H934" s="17" t="str">
        <f t="shared" si="5"/>
        <v>BCA108-NA</v>
      </c>
      <c r="J934" t="str">
        <f t="shared" si="6"/>
        <v>collected</v>
      </c>
      <c r="K934" t="str">
        <f t="shared" si="7"/>
        <v>N</v>
      </c>
    </row>
    <row r="935">
      <c r="A935" s="27" t="s">
        <v>1355</v>
      </c>
      <c r="B935" s="10" t="str">
        <f t="shared" si="1"/>
        <v>fish</v>
      </c>
      <c r="C935" s="63" t="str">
        <f t="shared" si="2"/>
        <v>U17980</v>
      </c>
      <c r="D935" s="11" t="str">
        <f t="array" ref="D935">iferror(index(fish_lab_data!D:D,match(A935,fish_lab_data!C:C,0)))</f>
        <v>P1198</v>
      </c>
      <c r="E935" s="6">
        <v>108.0</v>
      </c>
      <c r="F935" s="17" t="str">
        <f t="shared" si="3"/>
        <v>BCA108</v>
      </c>
      <c r="G935" s="43" t="str">
        <f t="shared" si="4"/>
        <v>NA</v>
      </c>
      <c r="H935" s="17" t="str">
        <f t="shared" si="5"/>
        <v>BCA108-NA</v>
      </c>
      <c r="J935" t="str">
        <f t="shared" si="6"/>
        <v>collected</v>
      </c>
      <c r="K935" t="str">
        <f t="shared" si="7"/>
        <v>N</v>
      </c>
    </row>
    <row r="936">
      <c r="A936" s="27" t="s">
        <v>1356</v>
      </c>
      <c r="B936" s="10" t="str">
        <f t="shared" si="1"/>
        <v>fish</v>
      </c>
      <c r="C936" s="63" t="str">
        <f t="shared" si="2"/>
        <v>U17561</v>
      </c>
      <c r="D936" s="11" t="str">
        <f t="array" ref="D936">iferror(index(fish_lab_data!D:D,match(A936,fish_lab_data!C:C,0)))</f>
        <v>P1157</v>
      </c>
      <c r="E936" s="6">
        <v>108.0</v>
      </c>
      <c r="F936" s="17" t="str">
        <f t="shared" si="3"/>
        <v>BCA108</v>
      </c>
      <c r="G936" s="43" t="str">
        <f t="shared" si="4"/>
        <v>NA</v>
      </c>
      <c r="H936" s="17" t="str">
        <f t="shared" si="5"/>
        <v>BCA108-NA</v>
      </c>
      <c r="J936" t="str">
        <f t="shared" si="6"/>
        <v>collected</v>
      </c>
      <c r="K936" t="str">
        <f t="shared" si="7"/>
        <v>N</v>
      </c>
    </row>
    <row r="937">
      <c r="A937" s="27" t="s">
        <v>1357</v>
      </c>
      <c r="B937" s="10" t="str">
        <f t="shared" si="1"/>
        <v>fish</v>
      </c>
      <c r="C937" s="63" t="str">
        <f t="shared" si="2"/>
        <v>U17562</v>
      </c>
      <c r="D937" s="11" t="str">
        <f t="array" ref="D937">iferror(index(fish_lab_data!D:D,match(A937,fish_lab_data!C:C,0)))</f>
        <v>P1157</v>
      </c>
      <c r="E937" s="6">
        <v>108.0</v>
      </c>
      <c r="F937" s="17" t="str">
        <f t="shared" si="3"/>
        <v>BCA108</v>
      </c>
      <c r="G937" s="43" t="str">
        <f t="shared" si="4"/>
        <v>NA</v>
      </c>
      <c r="H937" s="17" t="str">
        <f t="shared" si="5"/>
        <v>BCA108-NA</v>
      </c>
      <c r="J937" t="str">
        <f t="shared" si="6"/>
        <v>collected</v>
      </c>
      <c r="K937" t="str">
        <f t="shared" si="7"/>
        <v>N</v>
      </c>
    </row>
    <row r="938">
      <c r="A938" s="27" t="s">
        <v>1358</v>
      </c>
      <c r="B938" s="10" t="str">
        <f t="shared" si="1"/>
        <v>fish</v>
      </c>
      <c r="C938" s="63" t="str">
        <f t="shared" si="2"/>
        <v>U17563</v>
      </c>
      <c r="D938" s="11" t="str">
        <f t="array" ref="D938">iferror(index(fish_lab_data!D:D,match(A938,fish_lab_data!C:C,0)))</f>
        <v>P1157</v>
      </c>
      <c r="E938" s="6">
        <v>108.0</v>
      </c>
      <c r="F938" s="17" t="str">
        <f t="shared" si="3"/>
        <v>BCA108</v>
      </c>
      <c r="G938" s="43" t="str">
        <f t="shared" si="4"/>
        <v>NA</v>
      </c>
      <c r="H938" s="17" t="str">
        <f t="shared" si="5"/>
        <v>BCA108-NA</v>
      </c>
      <c r="J938" t="str">
        <f t="shared" si="6"/>
        <v>collected</v>
      </c>
      <c r="K938" t="str">
        <f t="shared" si="7"/>
        <v>N</v>
      </c>
    </row>
    <row r="939">
      <c r="A939" s="27" t="s">
        <v>1359</v>
      </c>
      <c r="B939" s="10" t="str">
        <f t="shared" si="1"/>
        <v>fish</v>
      </c>
      <c r="C939" s="63" t="str">
        <f t="shared" si="2"/>
        <v>U17564</v>
      </c>
      <c r="D939" s="11" t="str">
        <f t="array" ref="D939">iferror(index(fish_lab_data!D:D,match(A939,fish_lab_data!C:C,0)))</f>
        <v>P1157</v>
      </c>
      <c r="E939" s="6">
        <v>108.0</v>
      </c>
      <c r="F939" s="17" t="str">
        <f t="shared" si="3"/>
        <v>BCA108</v>
      </c>
      <c r="G939" s="43" t="str">
        <f t="shared" si="4"/>
        <v>NA</v>
      </c>
      <c r="H939" s="17" t="str">
        <f t="shared" si="5"/>
        <v>BCA108-NA</v>
      </c>
      <c r="J939" t="str">
        <f t="shared" si="6"/>
        <v>collected</v>
      </c>
      <c r="K939" t="str">
        <f t="shared" si="7"/>
        <v>N</v>
      </c>
    </row>
    <row r="940">
      <c r="A940" s="27" t="s">
        <v>1360</v>
      </c>
      <c r="B940" s="10" t="str">
        <f t="shared" si="1"/>
        <v>fish</v>
      </c>
      <c r="C940" s="63" t="str">
        <f t="shared" si="2"/>
        <v>U17565</v>
      </c>
      <c r="D940" s="11" t="str">
        <f t="array" ref="D940">iferror(index(fish_lab_data!D:D,match(A940,fish_lab_data!C:C,0)))</f>
        <v>P1157</v>
      </c>
      <c r="E940" s="6">
        <v>108.0</v>
      </c>
      <c r="F940" s="17" t="str">
        <f t="shared" si="3"/>
        <v>BCA108</v>
      </c>
      <c r="G940" s="43" t="str">
        <f t="shared" si="4"/>
        <v>NA</v>
      </c>
      <c r="H940" s="17" t="str">
        <f t="shared" si="5"/>
        <v>BCA108-NA</v>
      </c>
      <c r="J940" t="str">
        <f t="shared" si="6"/>
        <v>collected</v>
      </c>
      <c r="K940" t="str">
        <f t="shared" si="7"/>
        <v>N</v>
      </c>
    </row>
    <row r="941">
      <c r="A941" s="27" t="s">
        <v>1361</v>
      </c>
      <c r="B941" s="10" t="str">
        <f t="shared" si="1"/>
        <v>fish</v>
      </c>
      <c r="C941" s="63" t="str">
        <f t="shared" si="2"/>
        <v>U17566</v>
      </c>
      <c r="D941" s="11" t="str">
        <f t="array" ref="D941">iferror(index(fish_lab_data!D:D,match(A941,fish_lab_data!C:C,0)))</f>
        <v>P1157</v>
      </c>
      <c r="E941" s="6">
        <v>108.0</v>
      </c>
      <c r="F941" s="17" t="str">
        <f t="shared" si="3"/>
        <v>BCA108</v>
      </c>
      <c r="G941" s="43" t="str">
        <f t="shared" si="4"/>
        <v>NA</v>
      </c>
      <c r="H941" s="17" t="str">
        <f t="shared" si="5"/>
        <v>BCA108-NA</v>
      </c>
      <c r="J941" t="str">
        <f t="shared" si="6"/>
        <v>collected</v>
      </c>
      <c r="K941" t="str">
        <f t="shared" si="7"/>
        <v>N</v>
      </c>
    </row>
    <row r="942">
      <c r="A942" s="27" t="s">
        <v>1362</v>
      </c>
      <c r="B942" s="10" t="str">
        <f t="shared" si="1"/>
        <v>fish</v>
      </c>
      <c r="C942" s="63" t="str">
        <f t="shared" si="2"/>
        <v>U17568</v>
      </c>
      <c r="D942" s="11" t="str">
        <f t="array" ref="D942">iferror(index(fish_lab_data!D:D,match(A942,fish_lab_data!C:C,0)))</f>
        <v>P1157</v>
      </c>
      <c r="E942" s="6">
        <v>108.0</v>
      </c>
      <c r="F942" s="17" t="str">
        <f t="shared" si="3"/>
        <v>BCA108</v>
      </c>
      <c r="G942" s="43" t="str">
        <f t="shared" si="4"/>
        <v>NA</v>
      </c>
      <c r="H942" s="17" t="str">
        <f t="shared" si="5"/>
        <v>BCA108-NA</v>
      </c>
      <c r="J942" t="str">
        <f t="shared" si="6"/>
        <v>collected</v>
      </c>
      <c r="K942" t="str">
        <f t="shared" si="7"/>
        <v>N</v>
      </c>
    </row>
    <row r="943">
      <c r="A943" s="27" t="s">
        <v>1363</v>
      </c>
      <c r="B943" s="10" t="str">
        <f t="shared" si="1"/>
        <v>fish</v>
      </c>
      <c r="C943" s="63" t="str">
        <f t="shared" si="2"/>
        <v>U17567</v>
      </c>
      <c r="D943" s="11" t="str">
        <f t="array" ref="D943">iferror(index(fish_lab_data!D:D,match(A943,fish_lab_data!C:C,0)))</f>
        <v>P1157</v>
      </c>
      <c r="E943" s="6">
        <v>108.0</v>
      </c>
      <c r="F943" s="17" t="str">
        <f t="shared" si="3"/>
        <v>BCA108</v>
      </c>
      <c r="G943" s="43" t="str">
        <f t="shared" si="4"/>
        <v>NA</v>
      </c>
      <c r="H943" s="17" t="str">
        <f t="shared" si="5"/>
        <v>BCA108-NA</v>
      </c>
      <c r="J943" t="str">
        <f t="shared" si="6"/>
        <v>collected</v>
      </c>
      <c r="K943" t="str">
        <f t="shared" si="7"/>
        <v>N</v>
      </c>
    </row>
    <row r="944">
      <c r="A944" s="27" t="s">
        <v>1364</v>
      </c>
      <c r="B944" s="10" t="str">
        <f t="shared" si="1"/>
        <v>fish</v>
      </c>
      <c r="C944" s="63" t="str">
        <f t="shared" si="2"/>
        <v>U17569</v>
      </c>
      <c r="D944" s="11" t="str">
        <f t="array" ref="D944">iferror(index(fish_lab_data!D:D,match(A944,fish_lab_data!C:C,0)))</f>
        <v>P1157</v>
      </c>
      <c r="E944" s="6">
        <v>108.0</v>
      </c>
      <c r="F944" s="17" t="str">
        <f t="shared" si="3"/>
        <v>BCA108</v>
      </c>
      <c r="G944" s="43" t="str">
        <f t="shared" si="4"/>
        <v>NA</v>
      </c>
      <c r="H944" s="17" t="str">
        <f t="shared" si="5"/>
        <v>BCA108-NA</v>
      </c>
      <c r="J944" t="str">
        <f t="shared" si="6"/>
        <v>collected</v>
      </c>
      <c r="K944" t="str">
        <f t="shared" si="7"/>
        <v>N</v>
      </c>
    </row>
    <row r="945">
      <c r="A945" s="25" t="s">
        <v>1365</v>
      </c>
      <c r="B945" s="10" t="str">
        <f t="shared" si="1"/>
        <v>fish</v>
      </c>
      <c r="C945" s="63" t="str">
        <f t="shared" si="2"/>
        <v>U16065</v>
      </c>
      <c r="D945" s="11" t="str">
        <f t="array" ref="D945">iferror(index(fish_lab_data!D:D,match(A945,fish_lab_data!C:C,0)))</f>
        <v>P1007</v>
      </c>
      <c r="E945" s="6">
        <v>108.0</v>
      </c>
      <c r="F945" s="17" t="str">
        <f t="shared" si="3"/>
        <v>BCA108</v>
      </c>
      <c r="G945" s="43" t="str">
        <f t="shared" si="4"/>
        <v>NA</v>
      </c>
      <c r="H945" s="17" t="str">
        <f t="shared" si="5"/>
        <v>BCA108-NA</v>
      </c>
      <c r="J945" t="str">
        <f t="shared" si="6"/>
        <v>collected</v>
      </c>
      <c r="K945" t="str">
        <f t="shared" si="7"/>
        <v>N</v>
      </c>
    </row>
    <row r="946">
      <c r="A946" s="25" t="s">
        <v>1366</v>
      </c>
      <c r="B946" s="10" t="str">
        <f t="shared" si="1"/>
        <v>fish</v>
      </c>
      <c r="C946" s="63" t="str">
        <f t="shared" si="2"/>
        <v>U16069</v>
      </c>
      <c r="D946" s="11" t="str">
        <f t="array" ref="D946">iferror(index(fish_lab_data!D:D,match(A946,fish_lab_data!C:C,0)))</f>
        <v>P1007</v>
      </c>
      <c r="E946" s="6">
        <v>108.0</v>
      </c>
      <c r="F946" s="17" t="str">
        <f t="shared" si="3"/>
        <v>BCA108</v>
      </c>
      <c r="G946" s="43" t="str">
        <f t="shared" si="4"/>
        <v>NA</v>
      </c>
      <c r="H946" s="17" t="str">
        <f t="shared" si="5"/>
        <v>BCA108-NA</v>
      </c>
      <c r="J946" t="str">
        <f t="shared" si="6"/>
        <v>collected</v>
      </c>
      <c r="K946" t="str">
        <f t="shared" si="7"/>
        <v>N</v>
      </c>
    </row>
    <row r="947">
      <c r="A947" s="25" t="s">
        <v>1367</v>
      </c>
      <c r="B947" s="10" t="str">
        <f t="shared" si="1"/>
        <v>fish</v>
      </c>
      <c r="C947" s="63" t="str">
        <f t="shared" si="2"/>
        <v>U16064</v>
      </c>
      <c r="D947" s="11" t="str">
        <f t="array" ref="D947">iferror(index(fish_lab_data!D:D,match(A947,fish_lab_data!C:C,0)))</f>
        <v>P1007</v>
      </c>
      <c r="E947" s="6">
        <v>108.0</v>
      </c>
      <c r="F947" s="17" t="str">
        <f t="shared" si="3"/>
        <v>BCA108</v>
      </c>
      <c r="G947" s="43" t="str">
        <f t="shared" si="4"/>
        <v>NA</v>
      </c>
      <c r="H947" s="17" t="str">
        <f t="shared" si="5"/>
        <v>BCA108-NA</v>
      </c>
      <c r="J947" t="str">
        <f t="shared" si="6"/>
        <v>collected</v>
      </c>
      <c r="K947" t="str">
        <f t="shared" si="7"/>
        <v>N</v>
      </c>
    </row>
    <row r="948">
      <c r="A948" s="25" t="s">
        <v>1368</v>
      </c>
      <c r="B948" s="10" t="str">
        <f t="shared" si="1"/>
        <v>fish</v>
      </c>
      <c r="C948" s="63" t="str">
        <f t="shared" si="2"/>
        <v>U16068</v>
      </c>
      <c r="D948" s="11" t="str">
        <f t="array" ref="D948">iferror(index(fish_lab_data!D:D,match(A948,fish_lab_data!C:C,0)))</f>
        <v>P1007</v>
      </c>
      <c r="E948" s="6">
        <v>108.0</v>
      </c>
      <c r="F948" s="17" t="str">
        <f t="shared" si="3"/>
        <v>BCA108</v>
      </c>
      <c r="G948" s="43" t="str">
        <f t="shared" si="4"/>
        <v>NA</v>
      </c>
      <c r="H948" s="17" t="str">
        <f t="shared" si="5"/>
        <v>BCA108-NA</v>
      </c>
      <c r="J948" t="str">
        <f t="shared" si="6"/>
        <v>collected</v>
      </c>
      <c r="K948" t="str">
        <f t="shared" si="7"/>
        <v>N</v>
      </c>
    </row>
    <row r="949">
      <c r="A949" s="25" t="s">
        <v>1369</v>
      </c>
      <c r="B949" s="10" t="str">
        <f t="shared" si="1"/>
        <v>fish</v>
      </c>
      <c r="C949" s="63" t="str">
        <f t="shared" si="2"/>
        <v>U16062</v>
      </c>
      <c r="D949" s="11" t="str">
        <f t="array" ref="D949">iferror(index(fish_lab_data!D:D,match(A949,fish_lab_data!C:C,0)))</f>
        <v>P1007</v>
      </c>
      <c r="E949" s="6">
        <v>108.0</v>
      </c>
      <c r="F949" s="17" t="str">
        <f t="shared" si="3"/>
        <v>BCA108</v>
      </c>
      <c r="G949" s="43" t="str">
        <f t="shared" si="4"/>
        <v>NA</v>
      </c>
      <c r="H949" s="17" t="str">
        <f t="shared" si="5"/>
        <v>BCA108-NA</v>
      </c>
      <c r="J949" t="str">
        <f t="shared" si="6"/>
        <v>collected</v>
      </c>
      <c r="K949" t="str">
        <f t="shared" si="7"/>
        <v>N</v>
      </c>
    </row>
    <row r="950">
      <c r="A950" s="25" t="s">
        <v>1370</v>
      </c>
      <c r="B950" s="10" t="str">
        <f t="shared" si="1"/>
        <v>fish</v>
      </c>
      <c r="C950" s="63" t="str">
        <f t="shared" si="2"/>
        <v>U16070</v>
      </c>
      <c r="D950" s="11" t="str">
        <f t="array" ref="D950">iferror(index(fish_lab_data!D:D,match(A950,fish_lab_data!C:C,0)))</f>
        <v>P1007</v>
      </c>
      <c r="E950" s="6">
        <v>108.0</v>
      </c>
      <c r="F950" s="17" t="str">
        <f t="shared" si="3"/>
        <v>BCA108</v>
      </c>
      <c r="G950" s="43" t="str">
        <f t="shared" si="4"/>
        <v>NA</v>
      </c>
      <c r="H950" s="17" t="str">
        <f t="shared" si="5"/>
        <v>BCA108-NA</v>
      </c>
      <c r="J950" t="str">
        <f t="shared" si="6"/>
        <v>collected</v>
      </c>
      <c r="K950" t="str">
        <f t="shared" si="7"/>
        <v>N</v>
      </c>
    </row>
    <row r="951">
      <c r="A951" s="25" t="s">
        <v>1371</v>
      </c>
      <c r="B951" s="10" t="str">
        <f t="shared" si="1"/>
        <v>fish</v>
      </c>
      <c r="C951" s="63" t="str">
        <f t="shared" si="2"/>
        <v>U16066</v>
      </c>
      <c r="D951" s="11" t="str">
        <f t="array" ref="D951">iferror(index(fish_lab_data!D:D,match(A951,fish_lab_data!C:C,0)))</f>
        <v>P1007</v>
      </c>
      <c r="E951" s="6">
        <v>108.0</v>
      </c>
      <c r="F951" s="17" t="str">
        <f t="shared" si="3"/>
        <v>BCA108</v>
      </c>
      <c r="G951" s="43" t="str">
        <f t="shared" si="4"/>
        <v>NA</v>
      </c>
      <c r="H951" s="17" t="str">
        <f t="shared" si="5"/>
        <v>BCA108-NA</v>
      </c>
      <c r="J951" t="str">
        <f t="shared" si="6"/>
        <v>collected</v>
      </c>
      <c r="K951" t="str">
        <f t="shared" si="7"/>
        <v>N</v>
      </c>
    </row>
    <row r="952">
      <c r="A952" s="25" t="s">
        <v>1372</v>
      </c>
      <c r="B952" s="10" t="str">
        <f t="shared" si="1"/>
        <v>fish</v>
      </c>
      <c r="C952" s="63" t="str">
        <f t="shared" si="2"/>
        <v>U16063</v>
      </c>
      <c r="D952" s="11" t="str">
        <f t="array" ref="D952">iferror(index(fish_lab_data!D:D,match(A952,fish_lab_data!C:C,0)))</f>
        <v>P1007</v>
      </c>
      <c r="E952" s="6">
        <v>108.0</v>
      </c>
      <c r="F952" s="17" t="str">
        <f t="shared" si="3"/>
        <v>BCA108</v>
      </c>
      <c r="G952" s="43" t="str">
        <f t="shared" si="4"/>
        <v>NA</v>
      </c>
      <c r="H952" s="17" t="str">
        <f t="shared" si="5"/>
        <v>BCA108-NA</v>
      </c>
      <c r="J952" t="str">
        <f t="shared" si="6"/>
        <v>collected</v>
      </c>
      <c r="K952" t="str">
        <f t="shared" si="7"/>
        <v>N</v>
      </c>
    </row>
    <row r="953">
      <c r="A953" s="25" t="s">
        <v>1374</v>
      </c>
      <c r="B953" s="10" t="str">
        <f t="shared" si="1"/>
        <v>fish</v>
      </c>
      <c r="C953" s="63" t="str">
        <f t="shared" si="2"/>
        <v>U16067</v>
      </c>
      <c r="D953" s="11" t="str">
        <f t="array" ref="D953">iferror(index(fish_lab_data!D:D,match(A953,fish_lab_data!C:C,0)))</f>
        <v>P1007</v>
      </c>
      <c r="E953" s="6">
        <v>108.0</v>
      </c>
      <c r="F953" s="17" t="str">
        <f t="shared" si="3"/>
        <v>BCA108</v>
      </c>
      <c r="G953" s="43" t="str">
        <f t="shared" si="4"/>
        <v>NA</v>
      </c>
      <c r="H953" s="17" t="str">
        <f t="shared" si="5"/>
        <v>BCA108-NA</v>
      </c>
      <c r="J953" t="str">
        <f t="shared" si="6"/>
        <v>collected</v>
      </c>
      <c r="K953" t="str">
        <f t="shared" si="7"/>
        <v>N</v>
      </c>
    </row>
    <row r="954">
      <c r="A954" s="25" t="s">
        <v>1375</v>
      </c>
      <c r="B954" s="10" t="str">
        <f t="shared" si="1"/>
        <v>fish</v>
      </c>
      <c r="C954" s="63" t="str">
        <f t="shared" si="2"/>
        <v>U16061</v>
      </c>
      <c r="D954" s="11" t="str">
        <f t="array" ref="D954">iferror(index(fish_lab_data!D:D,match(A954,fish_lab_data!C:C,0)))</f>
        <v>P1007</v>
      </c>
      <c r="E954" s="6">
        <v>108.0</v>
      </c>
      <c r="F954" s="17" t="str">
        <f t="shared" si="3"/>
        <v>BCA108</v>
      </c>
      <c r="G954" s="43" t="str">
        <f t="shared" si="4"/>
        <v>NA</v>
      </c>
      <c r="H954" s="17" t="str">
        <f t="shared" si="5"/>
        <v>BCA108-NA</v>
      </c>
      <c r="J954" t="str">
        <f t="shared" si="6"/>
        <v>collected</v>
      </c>
      <c r="K954" t="str">
        <f t="shared" si="7"/>
        <v>N</v>
      </c>
    </row>
    <row r="955">
      <c r="A955" s="40" t="s">
        <v>1376</v>
      </c>
      <c r="B955" s="10" t="str">
        <f t="shared" si="1"/>
        <v>fish</v>
      </c>
      <c r="C955" s="63" t="str">
        <f t="shared" si="2"/>
        <v>U17714</v>
      </c>
      <c r="D955" s="11" t="str">
        <f t="array" ref="D955">iferror(index(fish_lab_data!D:D,match(A955,fish_lab_data!C:C,0)))</f>
        <v>P1172</v>
      </c>
      <c r="E955" s="6">
        <v>108.0</v>
      </c>
      <c r="F955" s="17" t="str">
        <f t="shared" si="3"/>
        <v>BCA108</v>
      </c>
      <c r="G955" s="43" t="str">
        <f t="shared" si="4"/>
        <v>NA</v>
      </c>
      <c r="H955" s="17" t="str">
        <f t="shared" si="5"/>
        <v>BCA108-NA</v>
      </c>
      <c r="J955" t="str">
        <f t="shared" si="6"/>
        <v>collected</v>
      </c>
      <c r="K955" t="str">
        <f t="shared" si="7"/>
        <v>N</v>
      </c>
    </row>
    <row r="956">
      <c r="A956" s="40" t="s">
        <v>1377</v>
      </c>
      <c r="B956" s="10" t="str">
        <f t="shared" si="1"/>
        <v>fish</v>
      </c>
      <c r="C956" s="63" t="str">
        <f t="shared" si="2"/>
        <v>U17116</v>
      </c>
      <c r="D956" s="11" t="str">
        <f t="array" ref="D956">iferror(index(fish_lab_data!D:D,match(A956,fish_lab_data!C:C,0)))</f>
        <v>P1112</v>
      </c>
      <c r="E956" s="6">
        <v>108.0</v>
      </c>
      <c r="F956" s="17" t="str">
        <f t="shared" si="3"/>
        <v>BCA108</v>
      </c>
      <c r="G956" s="43" t="str">
        <f t="shared" si="4"/>
        <v>NA</v>
      </c>
      <c r="H956" s="17" t="str">
        <f t="shared" si="5"/>
        <v>BCA108-NA</v>
      </c>
      <c r="J956" t="str">
        <f t="shared" si="6"/>
        <v>collected</v>
      </c>
      <c r="K956" t="str">
        <f t="shared" si="7"/>
        <v>N</v>
      </c>
    </row>
    <row r="957">
      <c r="A957" s="40" t="s">
        <v>1379</v>
      </c>
      <c r="B957" s="10" t="str">
        <f t="shared" si="1"/>
        <v>fish</v>
      </c>
      <c r="C957" s="63" t="str">
        <f t="shared" si="2"/>
        <v>U17115</v>
      </c>
      <c r="D957" s="11" t="str">
        <f t="array" ref="D957">iferror(index(fish_lab_data!D:D,match(A957,fish_lab_data!C:C,0)))</f>
        <v>P1112</v>
      </c>
      <c r="E957" s="6">
        <v>108.0</v>
      </c>
      <c r="F957" s="17" t="str">
        <f t="shared" si="3"/>
        <v>BCA108</v>
      </c>
      <c r="G957" s="43" t="str">
        <f t="shared" si="4"/>
        <v>NA</v>
      </c>
      <c r="H957" s="17" t="str">
        <f t="shared" si="5"/>
        <v>BCA108-NA</v>
      </c>
      <c r="J957" t="str">
        <f t="shared" si="6"/>
        <v>collected</v>
      </c>
      <c r="K957" t="str">
        <f t="shared" si="7"/>
        <v>N</v>
      </c>
    </row>
    <row r="958">
      <c r="A958" s="40" t="s">
        <v>1380</v>
      </c>
      <c r="B958" s="10" t="str">
        <f t="shared" si="1"/>
        <v>fish</v>
      </c>
      <c r="C958" s="63" t="str">
        <f t="shared" si="2"/>
        <v>U17119</v>
      </c>
      <c r="D958" s="11" t="str">
        <f t="array" ref="D958">iferror(index(fish_lab_data!D:D,match(A958,fish_lab_data!C:C,0)))</f>
        <v>P1112</v>
      </c>
      <c r="E958" s="6">
        <v>108.0</v>
      </c>
      <c r="F958" s="17" t="str">
        <f t="shared" si="3"/>
        <v>BCA108</v>
      </c>
      <c r="G958" s="43" t="str">
        <f t="shared" si="4"/>
        <v>NA</v>
      </c>
      <c r="H958" s="17" t="str">
        <f t="shared" si="5"/>
        <v>BCA108-NA</v>
      </c>
      <c r="J958" t="str">
        <f t="shared" si="6"/>
        <v>collected</v>
      </c>
      <c r="K958" t="str">
        <f t="shared" si="7"/>
        <v>N</v>
      </c>
    </row>
    <row r="959">
      <c r="A959" s="40" t="s">
        <v>1381</v>
      </c>
      <c r="B959" s="10" t="str">
        <f t="shared" si="1"/>
        <v>fish</v>
      </c>
      <c r="C959" s="63" t="str">
        <f t="shared" si="2"/>
        <v>U17117</v>
      </c>
      <c r="D959" s="11" t="str">
        <f t="array" ref="D959">iferror(index(fish_lab_data!D:D,match(A959,fish_lab_data!C:C,0)))</f>
        <v>P1112</v>
      </c>
      <c r="E959" s="6">
        <v>108.0</v>
      </c>
      <c r="F959" s="17" t="str">
        <f t="shared" si="3"/>
        <v>BCA108</v>
      </c>
      <c r="G959" s="43" t="str">
        <f t="shared" si="4"/>
        <v>NA</v>
      </c>
      <c r="H959" s="17" t="str">
        <f t="shared" si="5"/>
        <v>BCA108-NA</v>
      </c>
      <c r="J959" t="str">
        <f t="shared" si="6"/>
        <v>collected</v>
      </c>
      <c r="K959" t="str">
        <f t="shared" si="7"/>
        <v>N</v>
      </c>
    </row>
    <row r="960">
      <c r="A960" s="40" t="s">
        <v>1382</v>
      </c>
      <c r="B960" s="10" t="str">
        <f t="shared" si="1"/>
        <v>fish</v>
      </c>
      <c r="C960" s="63" t="str">
        <f t="shared" si="2"/>
        <v>U17111</v>
      </c>
      <c r="D960" s="11" t="str">
        <f t="array" ref="D960">iferror(index(fish_lab_data!D:D,match(A960,fish_lab_data!C:C,0)))</f>
        <v>P1112</v>
      </c>
      <c r="E960" s="6">
        <v>108.0</v>
      </c>
      <c r="F960" s="17" t="str">
        <f t="shared" si="3"/>
        <v>BCA108</v>
      </c>
      <c r="G960" s="43" t="str">
        <f t="shared" si="4"/>
        <v>NA</v>
      </c>
      <c r="H960" s="17" t="str">
        <f t="shared" si="5"/>
        <v>BCA108-NA</v>
      </c>
      <c r="J960" t="str">
        <f t="shared" si="6"/>
        <v>collected</v>
      </c>
      <c r="K960" t="str">
        <f t="shared" si="7"/>
        <v>N</v>
      </c>
    </row>
    <row r="961">
      <c r="A961" s="40" t="s">
        <v>1383</v>
      </c>
      <c r="B961" s="10" t="str">
        <f t="shared" si="1"/>
        <v>fish</v>
      </c>
      <c r="C961" s="63" t="str">
        <f t="shared" si="2"/>
        <v>U17113</v>
      </c>
      <c r="D961" s="11" t="str">
        <f t="array" ref="D961">iferror(index(fish_lab_data!D:D,match(A961,fish_lab_data!C:C,0)))</f>
        <v>P1112</v>
      </c>
      <c r="E961" s="6">
        <v>108.0</v>
      </c>
      <c r="F961" s="17" t="str">
        <f t="shared" si="3"/>
        <v>BCA108</v>
      </c>
      <c r="G961" s="43" t="str">
        <f t="shared" si="4"/>
        <v>NA</v>
      </c>
      <c r="H961" s="17" t="str">
        <f t="shared" si="5"/>
        <v>BCA108-NA</v>
      </c>
      <c r="J961" t="str">
        <f t="shared" si="6"/>
        <v>collected</v>
      </c>
      <c r="K961" t="str">
        <f t="shared" si="7"/>
        <v>N</v>
      </c>
    </row>
    <row r="962">
      <c r="A962" s="40" t="s">
        <v>1385</v>
      </c>
      <c r="B962" s="10" t="str">
        <f t="shared" si="1"/>
        <v>fish</v>
      </c>
      <c r="C962" s="63" t="str">
        <f t="shared" si="2"/>
        <v>U17114</v>
      </c>
      <c r="D962" s="11" t="str">
        <f t="array" ref="D962">iferror(index(fish_lab_data!D:D,match(A962,fish_lab_data!C:C,0)))</f>
        <v>P1112</v>
      </c>
      <c r="E962" s="6">
        <v>108.0</v>
      </c>
      <c r="F962" s="17" t="str">
        <f t="shared" si="3"/>
        <v>BCA108</v>
      </c>
      <c r="G962" s="43" t="str">
        <f t="shared" si="4"/>
        <v>NA</v>
      </c>
      <c r="H962" s="17" t="str">
        <f t="shared" si="5"/>
        <v>BCA108-NA</v>
      </c>
      <c r="J962" t="str">
        <f t="shared" si="6"/>
        <v>collected</v>
      </c>
      <c r="K962" t="str">
        <f t="shared" si="7"/>
        <v>N</v>
      </c>
    </row>
    <row r="963">
      <c r="A963" s="40" t="s">
        <v>1386</v>
      </c>
      <c r="B963" s="10" t="str">
        <f t="shared" si="1"/>
        <v>fish</v>
      </c>
      <c r="C963" s="63" t="str">
        <f t="shared" si="2"/>
        <v>U17120</v>
      </c>
      <c r="D963" s="11" t="str">
        <f t="array" ref="D963">iferror(index(fish_lab_data!D:D,match(A963,fish_lab_data!C:C,0)))</f>
        <v>P1112</v>
      </c>
      <c r="E963" s="6">
        <v>108.0</v>
      </c>
      <c r="F963" s="17" t="str">
        <f t="shared" si="3"/>
        <v>BCA108</v>
      </c>
      <c r="G963" s="43" t="str">
        <f t="shared" si="4"/>
        <v>NA</v>
      </c>
      <c r="H963" s="17" t="str">
        <f t="shared" si="5"/>
        <v>BCA108-NA</v>
      </c>
      <c r="J963" t="str">
        <f t="shared" si="6"/>
        <v>collected</v>
      </c>
      <c r="K963" t="str">
        <f t="shared" si="7"/>
        <v>N</v>
      </c>
    </row>
    <row r="964">
      <c r="A964" s="40" t="s">
        <v>1387</v>
      </c>
      <c r="B964" s="10" t="str">
        <f t="shared" si="1"/>
        <v>fish</v>
      </c>
      <c r="C964" s="63" t="str">
        <f t="shared" si="2"/>
        <v>U17118</v>
      </c>
      <c r="D964" s="11" t="str">
        <f t="array" ref="D964">iferror(index(fish_lab_data!D:D,match(A964,fish_lab_data!C:C,0)))</f>
        <v>P1112</v>
      </c>
      <c r="E964" s="6">
        <v>108.0</v>
      </c>
      <c r="F964" s="17" t="str">
        <f t="shared" si="3"/>
        <v>BCA108</v>
      </c>
      <c r="G964" s="43" t="str">
        <f t="shared" si="4"/>
        <v>NA</v>
      </c>
      <c r="H964" s="17" t="str">
        <f t="shared" si="5"/>
        <v>BCA108-NA</v>
      </c>
      <c r="J964" t="str">
        <f t="shared" si="6"/>
        <v>collected</v>
      </c>
      <c r="K964" t="str">
        <f t="shared" si="7"/>
        <v>N</v>
      </c>
    </row>
    <row r="965">
      <c r="A965" s="40" t="s">
        <v>1389</v>
      </c>
      <c r="B965" s="10" t="str">
        <f t="shared" si="1"/>
        <v>fish</v>
      </c>
      <c r="C965" s="63" t="str">
        <f t="shared" si="2"/>
        <v>U17112</v>
      </c>
      <c r="D965" s="11" t="str">
        <f t="array" ref="D965">iferror(index(fish_lab_data!D:D,match(A965,fish_lab_data!C:C,0)))</f>
        <v>P1112</v>
      </c>
      <c r="E965" s="6">
        <v>108.0</v>
      </c>
      <c r="F965" s="17" t="str">
        <f t="shared" si="3"/>
        <v>BCA108</v>
      </c>
      <c r="G965" s="43" t="str">
        <f t="shared" si="4"/>
        <v>NA</v>
      </c>
      <c r="H965" s="17" t="str">
        <f t="shared" si="5"/>
        <v>BCA108-NA</v>
      </c>
      <c r="J965" t="str">
        <f t="shared" si="6"/>
        <v>collected</v>
      </c>
      <c r="K965" t="str">
        <f t="shared" si="7"/>
        <v>N</v>
      </c>
    </row>
    <row r="966">
      <c r="A966" s="27" t="s">
        <v>1390</v>
      </c>
      <c r="B966" s="10" t="str">
        <f t="shared" si="1"/>
        <v>fish</v>
      </c>
      <c r="C966" s="63" t="str">
        <f t="shared" si="2"/>
        <v>U17570</v>
      </c>
      <c r="D966" s="11" t="str">
        <f t="array" ref="D966">iferror(index(fish_lab_data!D:D,match(A966,fish_lab_data!C:C,0)))</f>
        <v>P1157</v>
      </c>
      <c r="E966" s="6">
        <v>108.0</v>
      </c>
      <c r="F966" s="17" t="str">
        <f t="shared" si="3"/>
        <v>BCA108</v>
      </c>
      <c r="G966" s="43" t="str">
        <f t="shared" si="4"/>
        <v>NA</v>
      </c>
      <c r="H966" s="17" t="str">
        <f t="shared" si="5"/>
        <v>BCA108-NA</v>
      </c>
      <c r="J966" t="str">
        <f t="shared" si="6"/>
        <v>collected</v>
      </c>
      <c r="K966" t="str">
        <f t="shared" si="7"/>
        <v>N</v>
      </c>
    </row>
    <row r="967">
      <c r="A967" s="27" t="s">
        <v>1391</v>
      </c>
      <c r="B967" s="10" t="str">
        <f t="shared" si="1"/>
        <v>fish</v>
      </c>
      <c r="C967" s="63" t="str">
        <f t="shared" si="2"/>
        <v>U17631</v>
      </c>
      <c r="D967" s="11" t="str">
        <f t="array" ref="D967">iferror(index(fish_lab_data!D:D,match(A967,fish_lab_data!C:C,0)))</f>
        <v>P1164</v>
      </c>
      <c r="E967" s="6">
        <v>108.0</v>
      </c>
      <c r="F967" s="17" t="str">
        <f t="shared" si="3"/>
        <v>BCA108</v>
      </c>
      <c r="G967" s="43" t="str">
        <f t="shared" si="4"/>
        <v>NA</v>
      </c>
      <c r="H967" s="17" t="str">
        <f t="shared" si="5"/>
        <v>BCA108-NA</v>
      </c>
      <c r="J967" t="str">
        <f t="shared" si="6"/>
        <v>collected</v>
      </c>
      <c r="K967" t="str">
        <f t="shared" si="7"/>
        <v>N</v>
      </c>
    </row>
    <row r="968">
      <c r="A968" s="27" t="s">
        <v>1392</v>
      </c>
      <c r="B968" s="10" t="str">
        <f t="shared" si="1"/>
        <v>fish</v>
      </c>
      <c r="C968" s="63" t="str">
        <f t="shared" si="2"/>
        <v>U17632</v>
      </c>
      <c r="D968" s="11" t="str">
        <f t="array" ref="D968">iferror(index(fish_lab_data!D:D,match(A968,fish_lab_data!C:C,0)))</f>
        <v>P1164</v>
      </c>
      <c r="E968" s="6">
        <v>108.0</v>
      </c>
      <c r="F968" s="17" t="str">
        <f t="shared" si="3"/>
        <v>BCA108</v>
      </c>
      <c r="G968" s="43" t="str">
        <f t="shared" si="4"/>
        <v>NA</v>
      </c>
      <c r="H968" s="17" t="str">
        <f t="shared" si="5"/>
        <v>BCA108-NA</v>
      </c>
      <c r="J968" t="str">
        <f t="shared" si="6"/>
        <v>collected</v>
      </c>
      <c r="K968" t="str">
        <f t="shared" si="7"/>
        <v>N</v>
      </c>
    </row>
    <row r="969">
      <c r="A969" s="27" t="s">
        <v>1395</v>
      </c>
      <c r="B969" s="10" t="str">
        <f t="shared" si="1"/>
        <v>fish</v>
      </c>
      <c r="C969" s="63" t="str">
        <f t="shared" si="2"/>
        <v>U17633</v>
      </c>
      <c r="D969" s="11" t="str">
        <f t="array" ref="D969">iferror(index(fish_lab_data!D:D,match(A969,fish_lab_data!C:C,0)))</f>
        <v>P1164</v>
      </c>
      <c r="E969" s="6">
        <v>108.0</v>
      </c>
      <c r="F969" s="17" t="str">
        <f t="shared" si="3"/>
        <v>BCA108</v>
      </c>
      <c r="G969" s="43" t="str">
        <f t="shared" si="4"/>
        <v>NA</v>
      </c>
      <c r="H969" s="17" t="str">
        <f t="shared" si="5"/>
        <v>BCA108-NA</v>
      </c>
      <c r="J969" t="str">
        <f t="shared" si="6"/>
        <v>collected</v>
      </c>
      <c r="K969" t="str">
        <f t="shared" si="7"/>
        <v>N</v>
      </c>
    </row>
    <row r="970">
      <c r="A970" s="27" t="s">
        <v>1396</v>
      </c>
      <c r="B970" s="10" t="str">
        <f t="shared" si="1"/>
        <v>fish</v>
      </c>
      <c r="C970" s="63" t="str">
        <f t="shared" si="2"/>
        <v>U17634</v>
      </c>
      <c r="D970" s="11" t="str">
        <f t="array" ref="D970">iferror(index(fish_lab_data!D:D,match(A970,fish_lab_data!C:C,0)))</f>
        <v>P1164</v>
      </c>
      <c r="E970" s="6">
        <v>108.0</v>
      </c>
      <c r="F970" s="17" t="str">
        <f t="shared" si="3"/>
        <v>BCA108</v>
      </c>
      <c r="G970" s="43" t="str">
        <f t="shared" si="4"/>
        <v>NA</v>
      </c>
      <c r="H970" s="17" t="str">
        <f t="shared" si="5"/>
        <v>BCA108-NA</v>
      </c>
      <c r="J970" t="str">
        <f t="shared" si="6"/>
        <v>collected</v>
      </c>
      <c r="K970" t="str">
        <f t="shared" si="7"/>
        <v>N</v>
      </c>
    </row>
    <row r="971">
      <c r="A971" s="27" t="s">
        <v>1397</v>
      </c>
      <c r="B971" s="10" t="str">
        <f t="shared" si="1"/>
        <v>fish</v>
      </c>
      <c r="C971" s="63" t="str">
        <f t="shared" si="2"/>
        <v>U17635</v>
      </c>
      <c r="D971" s="11" t="str">
        <f t="array" ref="D971">iferror(index(fish_lab_data!D:D,match(A971,fish_lab_data!C:C,0)))</f>
        <v>P1164</v>
      </c>
      <c r="E971" s="6">
        <v>108.0</v>
      </c>
      <c r="F971" s="17" t="str">
        <f t="shared" si="3"/>
        <v>BCA108</v>
      </c>
      <c r="G971" s="43" t="str">
        <f t="shared" si="4"/>
        <v>NA</v>
      </c>
      <c r="H971" s="17" t="str">
        <f t="shared" si="5"/>
        <v>BCA108-NA</v>
      </c>
      <c r="J971" t="str">
        <f t="shared" si="6"/>
        <v>collected</v>
      </c>
      <c r="K971" t="str">
        <f t="shared" si="7"/>
        <v>N</v>
      </c>
    </row>
    <row r="972">
      <c r="A972" s="27" t="s">
        <v>1398</v>
      </c>
      <c r="B972" s="10" t="str">
        <f t="shared" si="1"/>
        <v>fish</v>
      </c>
      <c r="C972" s="63" t="str">
        <f t="shared" si="2"/>
        <v>U17636</v>
      </c>
      <c r="D972" s="11" t="str">
        <f t="array" ref="D972">iferror(index(fish_lab_data!D:D,match(A972,fish_lab_data!C:C,0)))</f>
        <v>P1164</v>
      </c>
      <c r="E972" s="6">
        <v>108.0</v>
      </c>
      <c r="F972" s="17" t="str">
        <f t="shared" si="3"/>
        <v>BCA108</v>
      </c>
      <c r="G972" s="43" t="str">
        <f t="shared" si="4"/>
        <v>NA</v>
      </c>
      <c r="H972" s="17" t="str">
        <f t="shared" si="5"/>
        <v>BCA108-NA</v>
      </c>
      <c r="J972" t="str">
        <f t="shared" si="6"/>
        <v>collected</v>
      </c>
      <c r="K972" t="str">
        <f t="shared" si="7"/>
        <v>N</v>
      </c>
    </row>
    <row r="973">
      <c r="A973" s="27" t="s">
        <v>1399</v>
      </c>
      <c r="B973" s="10" t="str">
        <f t="shared" si="1"/>
        <v>fish</v>
      </c>
      <c r="C973" s="63" t="str">
        <f t="shared" si="2"/>
        <v>U17637</v>
      </c>
      <c r="D973" s="11" t="str">
        <f t="array" ref="D973">iferror(index(fish_lab_data!D:D,match(A973,fish_lab_data!C:C,0)))</f>
        <v>P1164</v>
      </c>
      <c r="E973" s="6">
        <v>108.0</v>
      </c>
      <c r="F973" s="17" t="str">
        <f t="shared" si="3"/>
        <v>BCA108</v>
      </c>
      <c r="G973" s="43" t="str">
        <f t="shared" si="4"/>
        <v>NA</v>
      </c>
      <c r="H973" s="17" t="str">
        <f t="shared" si="5"/>
        <v>BCA108-NA</v>
      </c>
      <c r="J973" t="str">
        <f t="shared" si="6"/>
        <v>collected</v>
      </c>
      <c r="K973" t="str">
        <f t="shared" si="7"/>
        <v>N</v>
      </c>
    </row>
    <row r="974">
      <c r="A974" s="27" t="s">
        <v>1400</v>
      </c>
      <c r="B974" s="10" t="str">
        <f t="shared" si="1"/>
        <v>fish</v>
      </c>
      <c r="C974" s="63" t="str">
        <f t="shared" si="2"/>
        <v>U17638</v>
      </c>
      <c r="D974" s="11" t="str">
        <f t="array" ref="D974">iferror(index(fish_lab_data!D:D,match(A974,fish_lab_data!C:C,0)))</f>
        <v>P1164</v>
      </c>
      <c r="E974" s="6">
        <v>108.0</v>
      </c>
      <c r="F974" s="17" t="str">
        <f t="shared" si="3"/>
        <v>BCA108</v>
      </c>
      <c r="G974" s="43" t="str">
        <f t="shared" si="4"/>
        <v>NA</v>
      </c>
      <c r="H974" s="17" t="str">
        <f t="shared" si="5"/>
        <v>BCA108-NA</v>
      </c>
      <c r="J974" t="str">
        <f t="shared" si="6"/>
        <v>collected</v>
      </c>
      <c r="K974" t="str">
        <f t="shared" si="7"/>
        <v>N</v>
      </c>
    </row>
    <row r="975">
      <c r="A975" s="27" t="s">
        <v>1401</v>
      </c>
      <c r="B975" s="10" t="str">
        <f t="shared" si="1"/>
        <v>fish</v>
      </c>
      <c r="C975" s="63" t="str">
        <f t="shared" si="2"/>
        <v>U17639</v>
      </c>
      <c r="D975" s="11" t="str">
        <f t="array" ref="D975">iferror(index(fish_lab_data!D:D,match(A975,fish_lab_data!C:C,0)))</f>
        <v>P1164</v>
      </c>
      <c r="E975" s="6">
        <v>108.0</v>
      </c>
      <c r="F975" s="17" t="str">
        <f t="shared" si="3"/>
        <v>BCA108</v>
      </c>
      <c r="G975" s="43" t="str">
        <f t="shared" si="4"/>
        <v>NA</v>
      </c>
      <c r="H975" s="17" t="str">
        <f t="shared" si="5"/>
        <v>BCA108-NA</v>
      </c>
      <c r="J975" t="str">
        <f t="shared" si="6"/>
        <v>collected</v>
      </c>
      <c r="K975" t="str">
        <f t="shared" si="7"/>
        <v>N</v>
      </c>
    </row>
    <row r="976">
      <c r="A976" s="27" t="s">
        <v>1402</v>
      </c>
      <c r="B976" s="10" t="str">
        <f t="shared" si="1"/>
        <v>fish</v>
      </c>
      <c r="C976" s="63" t="str">
        <f t="shared" si="2"/>
        <v>U17640</v>
      </c>
      <c r="D976" s="11" t="str">
        <f t="array" ref="D976">iferror(index(fish_lab_data!D:D,match(A976,fish_lab_data!C:C,0)))</f>
        <v>P1164</v>
      </c>
      <c r="E976" s="6">
        <v>108.0</v>
      </c>
      <c r="F976" s="17" t="str">
        <f t="shared" si="3"/>
        <v>BCA108</v>
      </c>
      <c r="G976" s="43" t="str">
        <f t="shared" si="4"/>
        <v>NA</v>
      </c>
      <c r="H976" s="17" t="str">
        <f t="shared" si="5"/>
        <v>BCA108-NA</v>
      </c>
      <c r="J976" t="str">
        <f t="shared" si="6"/>
        <v>collected</v>
      </c>
      <c r="K976" t="str">
        <f t="shared" si="7"/>
        <v>N</v>
      </c>
    </row>
    <row r="977">
      <c r="A977" s="26" t="s">
        <v>1403</v>
      </c>
      <c r="B977" s="10" t="str">
        <f t="shared" si="1"/>
        <v>fish</v>
      </c>
      <c r="C977" s="63" t="str">
        <f t="shared" si="2"/>
        <v>U17317</v>
      </c>
      <c r="D977" s="11" t="str">
        <f t="array" ref="D977">iferror(index(fish_lab_data!D:D,match(A977,fish_lab_data!C:C,0)))</f>
        <v>P1132</v>
      </c>
      <c r="E977" s="6">
        <v>109.0</v>
      </c>
      <c r="F977" s="17" t="str">
        <f t="shared" si="3"/>
        <v>BCA109</v>
      </c>
      <c r="G977" s="43" t="str">
        <f t="shared" si="4"/>
        <v>NA</v>
      </c>
      <c r="H977" s="17" t="str">
        <f t="shared" si="5"/>
        <v>BCA109-NA</v>
      </c>
      <c r="J977" t="str">
        <f t="shared" si="6"/>
        <v>collected</v>
      </c>
      <c r="K977" t="str">
        <f t="shared" si="7"/>
        <v>N</v>
      </c>
    </row>
    <row r="978">
      <c r="A978" s="26" t="s">
        <v>1404</v>
      </c>
      <c r="B978" s="10" t="str">
        <f t="shared" si="1"/>
        <v>fish</v>
      </c>
      <c r="C978" s="63" t="str">
        <f t="shared" si="2"/>
        <v>U17315</v>
      </c>
      <c r="D978" s="11" t="str">
        <f t="array" ref="D978">iferror(index(fish_lab_data!D:D,match(A978,fish_lab_data!C:C,0)))</f>
        <v>P1132</v>
      </c>
      <c r="E978" s="6">
        <v>109.0</v>
      </c>
      <c r="F978" s="17" t="str">
        <f t="shared" si="3"/>
        <v>BCA109</v>
      </c>
      <c r="G978" s="43" t="str">
        <f t="shared" si="4"/>
        <v>NA</v>
      </c>
      <c r="H978" s="17" t="str">
        <f t="shared" si="5"/>
        <v>BCA109-NA</v>
      </c>
      <c r="J978" t="str">
        <f t="shared" si="6"/>
        <v>collected</v>
      </c>
      <c r="K978" t="str">
        <f t="shared" si="7"/>
        <v>N</v>
      </c>
    </row>
    <row r="979">
      <c r="A979" s="26" t="s">
        <v>1405</v>
      </c>
      <c r="B979" s="10" t="str">
        <f t="shared" si="1"/>
        <v>fish</v>
      </c>
      <c r="C979" s="63" t="str">
        <f t="shared" si="2"/>
        <v>U17316</v>
      </c>
      <c r="D979" s="11" t="str">
        <f t="array" ref="D979">iferror(index(fish_lab_data!D:D,match(A979,fish_lab_data!C:C,0)))</f>
        <v>P1132</v>
      </c>
      <c r="E979" s="6">
        <v>109.0</v>
      </c>
      <c r="F979" s="17" t="str">
        <f t="shared" si="3"/>
        <v>BCA109</v>
      </c>
      <c r="G979" s="43" t="str">
        <f t="shared" si="4"/>
        <v>NA</v>
      </c>
      <c r="H979" s="17" t="str">
        <f t="shared" si="5"/>
        <v>BCA109-NA</v>
      </c>
      <c r="J979" t="str">
        <f t="shared" si="6"/>
        <v>collected</v>
      </c>
      <c r="K979" t="str">
        <f t="shared" si="7"/>
        <v>N</v>
      </c>
    </row>
    <row r="980">
      <c r="A980" s="26" t="s">
        <v>1406</v>
      </c>
      <c r="B980" s="10" t="str">
        <f t="shared" si="1"/>
        <v>fish</v>
      </c>
      <c r="C980" s="63" t="str">
        <f t="shared" si="2"/>
        <v>U17319</v>
      </c>
      <c r="D980" s="11" t="str">
        <f t="array" ref="D980">iferror(index(fish_lab_data!D:D,match(A980,fish_lab_data!C:C,0)))</f>
        <v>P1132</v>
      </c>
      <c r="E980" s="6">
        <v>109.0</v>
      </c>
      <c r="F980" s="17" t="str">
        <f t="shared" si="3"/>
        <v>BCA109</v>
      </c>
      <c r="G980" s="43" t="str">
        <f t="shared" si="4"/>
        <v>NA</v>
      </c>
      <c r="H980" s="17" t="str">
        <f t="shared" si="5"/>
        <v>BCA109-NA</v>
      </c>
      <c r="J980" t="str">
        <f t="shared" si="6"/>
        <v>collected</v>
      </c>
      <c r="K980" t="str">
        <f t="shared" si="7"/>
        <v>N</v>
      </c>
    </row>
    <row r="981">
      <c r="A981" s="26" t="s">
        <v>1407</v>
      </c>
      <c r="B981" s="10" t="str">
        <f t="shared" si="1"/>
        <v>fish</v>
      </c>
      <c r="C981" s="63" t="str">
        <f t="shared" si="2"/>
        <v>U17318</v>
      </c>
      <c r="D981" s="11" t="str">
        <f t="array" ref="D981">iferror(index(fish_lab_data!D:D,match(A981,fish_lab_data!C:C,0)))</f>
        <v>P1132</v>
      </c>
      <c r="E981" s="6">
        <v>109.0</v>
      </c>
      <c r="F981" s="17" t="str">
        <f t="shared" si="3"/>
        <v>BCA109</v>
      </c>
      <c r="G981" s="43" t="str">
        <f t="shared" si="4"/>
        <v>NA</v>
      </c>
      <c r="H981" s="17" t="str">
        <f t="shared" si="5"/>
        <v>BCA109-NA</v>
      </c>
      <c r="J981" t="str">
        <f t="shared" si="6"/>
        <v>collected</v>
      </c>
      <c r="K981" t="str">
        <f t="shared" si="7"/>
        <v>N</v>
      </c>
    </row>
    <row r="982">
      <c r="A982" s="26" t="s">
        <v>1408</v>
      </c>
      <c r="B982" s="10" t="str">
        <f t="shared" si="1"/>
        <v>fish</v>
      </c>
      <c r="C982" s="63" t="str">
        <f t="shared" si="2"/>
        <v>U17311</v>
      </c>
      <c r="D982" s="11" t="str">
        <f t="array" ref="D982">iferror(index(fish_lab_data!D:D,match(A982,fish_lab_data!C:C,0)))</f>
        <v>P1132</v>
      </c>
      <c r="E982" s="6">
        <v>109.0</v>
      </c>
      <c r="F982" s="17" t="str">
        <f t="shared" si="3"/>
        <v>BCA109</v>
      </c>
      <c r="G982" s="43" t="str">
        <f t="shared" si="4"/>
        <v>NA</v>
      </c>
      <c r="H982" s="17" t="str">
        <f t="shared" si="5"/>
        <v>BCA109-NA</v>
      </c>
      <c r="J982" t="str">
        <f t="shared" si="6"/>
        <v>collected</v>
      </c>
      <c r="K982" t="str">
        <f t="shared" si="7"/>
        <v>N</v>
      </c>
    </row>
    <row r="983">
      <c r="A983" s="26" t="s">
        <v>1409</v>
      </c>
      <c r="B983" s="10" t="str">
        <f t="shared" si="1"/>
        <v>fish</v>
      </c>
      <c r="C983" s="63" t="str">
        <f t="shared" si="2"/>
        <v>U17312</v>
      </c>
      <c r="D983" s="11" t="str">
        <f t="array" ref="D983">iferror(index(fish_lab_data!D:D,match(A983,fish_lab_data!C:C,0)))</f>
        <v>P1132</v>
      </c>
      <c r="E983" s="6">
        <v>109.0</v>
      </c>
      <c r="F983" s="17" t="str">
        <f t="shared" si="3"/>
        <v>BCA109</v>
      </c>
      <c r="G983" s="43" t="str">
        <f t="shared" si="4"/>
        <v>NA</v>
      </c>
      <c r="H983" s="17" t="str">
        <f t="shared" si="5"/>
        <v>BCA109-NA</v>
      </c>
      <c r="J983" t="str">
        <f t="shared" si="6"/>
        <v>collected</v>
      </c>
      <c r="K983" t="str">
        <f t="shared" si="7"/>
        <v>N</v>
      </c>
    </row>
    <row r="984">
      <c r="A984" s="26" t="s">
        <v>1411</v>
      </c>
      <c r="B984" s="10" t="str">
        <f t="shared" si="1"/>
        <v>fish</v>
      </c>
      <c r="C984" s="63" t="str">
        <f t="shared" si="2"/>
        <v>U17313</v>
      </c>
      <c r="D984" s="11" t="str">
        <f t="array" ref="D984">iferror(index(fish_lab_data!D:D,match(A984,fish_lab_data!C:C,0)))</f>
        <v>P1132</v>
      </c>
      <c r="E984" s="6">
        <v>109.0</v>
      </c>
      <c r="F984" s="17" t="str">
        <f t="shared" si="3"/>
        <v>BCA109</v>
      </c>
      <c r="G984" s="43" t="str">
        <f t="shared" si="4"/>
        <v>NA</v>
      </c>
      <c r="H984" s="17" t="str">
        <f t="shared" si="5"/>
        <v>BCA109-NA</v>
      </c>
      <c r="J984" t="str">
        <f t="shared" si="6"/>
        <v>collected</v>
      </c>
      <c r="K984" t="str">
        <f t="shared" si="7"/>
        <v>N</v>
      </c>
    </row>
    <row r="985">
      <c r="A985" s="26" t="s">
        <v>1412</v>
      </c>
      <c r="B985" s="10" t="str">
        <f t="shared" si="1"/>
        <v>fish</v>
      </c>
      <c r="C985" s="63" t="str">
        <f t="shared" si="2"/>
        <v>U17320</v>
      </c>
      <c r="D985" s="11" t="str">
        <f t="array" ref="D985">iferror(index(fish_lab_data!D:D,match(A985,fish_lab_data!C:C,0)))</f>
        <v>P1132</v>
      </c>
      <c r="E985" s="6">
        <v>109.0</v>
      </c>
      <c r="F985" s="17" t="str">
        <f t="shared" si="3"/>
        <v>BCA109</v>
      </c>
      <c r="G985" s="43" t="str">
        <f t="shared" si="4"/>
        <v>NA</v>
      </c>
      <c r="H985" s="17" t="str">
        <f t="shared" si="5"/>
        <v>BCA109-NA</v>
      </c>
      <c r="J985" t="str">
        <f t="shared" si="6"/>
        <v>collected</v>
      </c>
      <c r="K985" t="str">
        <f t="shared" si="7"/>
        <v>N</v>
      </c>
    </row>
    <row r="986">
      <c r="A986" s="26" t="s">
        <v>1413</v>
      </c>
      <c r="B986" s="10" t="str">
        <f t="shared" si="1"/>
        <v>fish</v>
      </c>
      <c r="C986" s="63" t="str">
        <f t="shared" si="2"/>
        <v>U17314</v>
      </c>
      <c r="D986" s="11" t="str">
        <f t="array" ref="D986">iferror(index(fish_lab_data!D:D,match(A986,fish_lab_data!C:C,0)))</f>
        <v>P1132</v>
      </c>
      <c r="E986" s="6">
        <v>109.0</v>
      </c>
      <c r="F986" s="17" t="str">
        <f t="shared" si="3"/>
        <v>BCA109</v>
      </c>
      <c r="G986" s="43" t="str">
        <f t="shared" si="4"/>
        <v>NA</v>
      </c>
      <c r="H986" s="17" t="str">
        <f t="shared" si="5"/>
        <v>BCA109-NA</v>
      </c>
      <c r="J986" t="str">
        <f t="shared" si="6"/>
        <v>collected</v>
      </c>
      <c r="K986" t="str">
        <f t="shared" si="7"/>
        <v>N</v>
      </c>
    </row>
    <row r="987">
      <c r="A987" s="26" t="s">
        <v>1414</v>
      </c>
      <c r="B987" s="10" t="str">
        <f t="shared" si="1"/>
        <v>fish</v>
      </c>
      <c r="C987" s="63" t="str">
        <f t="shared" si="2"/>
        <v>U16117</v>
      </c>
      <c r="D987" s="11" t="str">
        <f t="array" ref="D987">iferror(index(fish_lab_data!D:D,match(A987,fish_lab_data!C:C,0)))</f>
        <v>P1012</v>
      </c>
      <c r="E987" s="6">
        <v>109.0</v>
      </c>
      <c r="F987" s="17" t="str">
        <f t="shared" si="3"/>
        <v>BCA109</v>
      </c>
      <c r="G987" s="43" t="str">
        <f t="shared" si="4"/>
        <v>NA</v>
      </c>
      <c r="H987" s="17" t="str">
        <f t="shared" si="5"/>
        <v>BCA109-NA</v>
      </c>
      <c r="J987" t="str">
        <f t="shared" si="6"/>
        <v>collected</v>
      </c>
      <c r="K987" t="str">
        <f t="shared" si="7"/>
        <v>N</v>
      </c>
    </row>
    <row r="988">
      <c r="A988" s="26" t="s">
        <v>1415</v>
      </c>
      <c r="B988" s="10" t="str">
        <f t="shared" si="1"/>
        <v>fish</v>
      </c>
      <c r="C988" s="63" t="str">
        <f t="shared" si="2"/>
        <v>U16114</v>
      </c>
      <c r="D988" s="11" t="str">
        <f t="array" ref="D988">iferror(index(fish_lab_data!D:D,match(A988,fish_lab_data!C:C,0)))</f>
        <v>P1012</v>
      </c>
      <c r="E988" s="6">
        <v>109.0</v>
      </c>
      <c r="F988" s="17" t="str">
        <f t="shared" si="3"/>
        <v>BCA109</v>
      </c>
      <c r="G988" s="43" t="str">
        <f t="shared" si="4"/>
        <v>NA</v>
      </c>
      <c r="H988" s="17" t="str">
        <f t="shared" si="5"/>
        <v>BCA109-NA</v>
      </c>
      <c r="J988" t="str">
        <f t="shared" si="6"/>
        <v>collected</v>
      </c>
      <c r="K988" t="str">
        <f t="shared" si="7"/>
        <v>N</v>
      </c>
    </row>
    <row r="989">
      <c r="A989" s="26" t="s">
        <v>1416</v>
      </c>
      <c r="B989" s="10" t="str">
        <f t="shared" si="1"/>
        <v>fish</v>
      </c>
      <c r="C989" s="63" t="str">
        <f t="shared" si="2"/>
        <v>U16115</v>
      </c>
      <c r="D989" s="11" t="str">
        <f t="array" ref="D989">iferror(index(fish_lab_data!D:D,match(A989,fish_lab_data!C:C,0)))</f>
        <v>P1012</v>
      </c>
      <c r="E989" s="6">
        <v>109.0</v>
      </c>
      <c r="F989" s="17" t="str">
        <f t="shared" si="3"/>
        <v>BCA109</v>
      </c>
      <c r="G989" s="43" t="str">
        <f t="shared" si="4"/>
        <v>NA</v>
      </c>
      <c r="H989" s="17" t="str">
        <f t="shared" si="5"/>
        <v>BCA109-NA</v>
      </c>
      <c r="J989" t="str">
        <f t="shared" si="6"/>
        <v>collected</v>
      </c>
      <c r="K989" t="str">
        <f t="shared" si="7"/>
        <v>N</v>
      </c>
    </row>
    <row r="990">
      <c r="A990" s="26" t="s">
        <v>1417</v>
      </c>
      <c r="B990" s="10" t="str">
        <f t="shared" si="1"/>
        <v>fish</v>
      </c>
      <c r="C990" s="63" t="str">
        <f t="shared" si="2"/>
        <v>U16116</v>
      </c>
      <c r="D990" s="11" t="str">
        <f t="array" ref="D990">iferror(index(fish_lab_data!D:D,match(A990,fish_lab_data!C:C,0)))</f>
        <v>P1012</v>
      </c>
      <c r="E990" s="6">
        <v>109.0</v>
      </c>
      <c r="F990" s="17" t="str">
        <f t="shared" si="3"/>
        <v>BCA109</v>
      </c>
      <c r="G990" s="43" t="str">
        <f t="shared" si="4"/>
        <v>NA</v>
      </c>
      <c r="H990" s="17" t="str">
        <f t="shared" si="5"/>
        <v>BCA109-NA</v>
      </c>
      <c r="J990" t="str">
        <f t="shared" si="6"/>
        <v>collected</v>
      </c>
      <c r="K990" t="str">
        <f t="shared" si="7"/>
        <v>N</v>
      </c>
    </row>
    <row r="991">
      <c r="A991" s="26" t="s">
        <v>1418</v>
      </c>
      <c r="B991" s="10" t="str">
        <f t="shared" si="1"/>
        <v>fish</v>
      </c>
      <c r="C991" s="63" t="str">
        <f t="shared" si="2"/>
        <v>U16118</v>
      </c>
      <c r="D991" s="11" t="str">
        <f t="array" ref="D991">iferror(index(fish_lab_data!D:D,match(A991,fish_lab_data!C:C,0)))</f>
        <v>P1012</v>
      </c>
      <c r="E991" s="6">
        <v>109.0</v>
      </c>
      <c r="F991" s="17" t="str">
        <f t="shared" si="3"/>
        <v>BCA109</v>
      </c>
      <c r="G991" s="43" t="str">
        <f t="shared" si="4"/>
        <v>NA</v>
      </c>
      <c r="H991" s="17" t="str">
        <f t="shared" si="5"/>
        <v>BCA109-NA</v>
      </c>
      <c r="J991" t="str">
        <f t="shared" si="6"/>
        <v>collected</v>
      </c>
      <c r="K991" t="str">
        <f t="shared" si="7"/>
        <v>N</v>
      </c>
    </row>
    <row r="992">
      <c r="A992" s="26" t="s">
        <v>1420</v>
      </c>
      <c r="B992" s="10" t="str">
        <f t="shared" si="1"/>
        <v>fish</v>
      </c>
      <c r="C992" s="63" t="str">
        <f t="shared" si="2"/>
        <v>U16112</v>
      </c>
      <c r="D992" s="11" t="str">
        <f t="array" ref="D992">iferror(index(fish_lab_data!D:D,match(A992,fish_lab_data!C:C,0)))</f>
        <v>P1012</v>
      </c>
      <c r="E992" s="6">
        <v>109.0</v>
      </c>
      <c r="F992" s="17" t="str">
        <f t="shared" si="3"/>
        <v>BCA109</v>
      </c>
      <c r="G992" s="43" t="str">
        <f t="shared" si="4"/>
        <v>NA</v>
      </c>
      <c r="H992" s="17" t="str">
        <f t="shared" si="5"/>
        <v>BCA109-NA</v>
      </c>
      <c r="J992" t="str">
        <f t="shared" si="6"/>
        <v>collected</v>
      </c>
      <c r="K992" t="str">
        <f t="shared" si="7"/>
        <v>N</v>
      </c>
    </row>
    <row r="993">
      <c r="A993" s="40" t="s">
        <v>1421</v>
      </c>
      <c r="B993" s="10" t="str">
        <f t="shared" si="1"/>
        <v>fish</v>
      </c>
      <c r="C993" s="63" t="str">
        <f t="shared" si="2"/>
        <v>U16113</v>
      </c>
      <c r="D993" s="11" t="str">
        <f t="array" ref="D993">iferror(index(fish_lab_data!D:D,match(A993,fish_lab_data!C:C,0)))</f>
        <v>P1012</v>
      </c>
      <c r="E993" s="6">
        <v>109.0</v>
      </c>
      <c r="F993" s="17" t="str">
        <f t="shared" si="3"/>
        <v>BCA109</v>
      </c>
      <c r="G993" s="43" t="str">
        <f t="shared" si="4"/>
        <v>NA</v>
      </c>
      <c r="H993" s="17" t="str">
        <f t="shared" si="5"/>
        <v>BCA109-NA</v>
      </c>
      <c r="J993" t="str">
        <f t="shared" si="6"/>
        <v>collected</v>
      </c>
      <c r="K993" t="str">
        <f t="shared" si="7"/>
        <v>N</v>
      </c>
    </row>
    <row r="994">
      <c r="A994" s="40" t="s">
        <v>1422</v>
      </c>
      <c r="B994" s="10" t="str">
        <f t="shared" si="1"/>
        <v>fish</v>
      </c>
      <c r="C994" s="63" t="str">
        <f t="shared" si="2"/>
        <v>U16111</v>
      </c>
      <c r="D994" s="11" t="str">
        <f t="array" ref="D994">iferror(index(fish_lab_data!D:D,match(A994,fish_lab_data!C:C,0)))</f>
        <v>P1012</v>
      </c>
      <c r="E994" s="6">
        <v>109.0</v>
      </c>
      <c r="F994" s="17" t="str">
        <f t="shared" si="3"/>
        <v>BCA109</v>
      </c>
      <c r="G994" s="43" t="str">
        <f t="shared" si="4"/>
        <v>NA</v>
      </c>
      <c r="H994" s="17" t="str">
        <f t="shared" si="5"/>
        <v>BCA109-NA</v>
      </c>
      <c r="J994" t="str">
        <f t="shared" si="6"/>
        <v>collected</v>
      </c>
      <c r="K994" t="str">
        <f t="shared" si="7"/>
        <v>N</v>
      </c>
    </row>
    <row r="995">
      <c r="A995" s="40" t="s">
        <v>1423</v>
      </c>
      <c r="B995" s="10" t="str">
        <f t="shared" si="1"/>
        <v>fish</v>
      </c>
      <c r="C995" s="63" t="str">
        <f t="shared" si="2"/>
        <v>U16602</v>
      </c>
      <c r="D995" s="11" t="str">
        <f t="array" ref="D995">iferror(index(fish_lab_data!D:D,match(A995,fish_lab_data!C:C,0)))</f>
        <v>P1061</v>
      </c>
      <c r="E995" s="6">
        <v>109.0</v>
      </c>
      <c r="F995" s="17" t="str">
        <f t="shared" si="3"/>
        <v>BCA109</v>
      </c>
      <c r="G995" s="43" t="str">
        <f t="shared" si="4"/>
        <v>NA</v>
      </c>
      <c r="H995" s="17" t="str">
        <f t="shared" si="5"/>
        <v>BCA109-NA</v>
      </c>
      <c r="J995" t="str">
        <f t="shared" si="6"/>
        <v>collected</v>
      </c>
      <c r="K995" t="str">
        <f t="shared" si="7"/>
        <v>N</v>
      </c>
    </row>
    <row r="996">
      <c r="A996" s="40" t="s">
        <v>1424</v>
      </c>
      <c r="B996" s="10" t="str">
        <f t="shared" si="1"/>
        <v>fish</v>
      </c>
      <c r="C996" s="63" t="str">
        <f t="shared" si="2"/>
        <v>U16610</v>
      </c>
      <c r="D996" s="11" t="str">
        <f t="array" ref="D996">iferror(index(fish_lab_data!D:D,match(A996,fish_lab_data!C:C,0)))</f>
        <v>P1061</v>
      </c>
      <c r="E996" s="6">
        <v>109.0</v>
      </c>
      <c r="F996" s="17" t="str">
        <f t="shared" si="3"/>
        <v>BCA109</v>
      </c>
      <c r="G996" s="43" t="str">
        <f t="shared" si="4"/>
        <v>NA</v>
      </c>
      <c r="H996" s="17" t="str">
        <f t="shared" si="5"/>
        <v>BCA109-NA</v>
      </c>
      <c r="J996" t="str">
        <f t="shared" si="6"/>
        <v>collected</v>
      </c>
      <c r="K996" t="str">
        <f t="shared" si="7"/>
        <v>N</v>
      </c>
    </row>
    <row r="997">
      <c r="A997" s="40" t="s">
        <v>1425</v>
      </c>
      <c r="B997" s="10" t="str">
        <f t="shared" si="1"/>
        <v>fish</v>
      </c>
      <c r="C997" s="63" t="str">
        <f t="shared" si="2"/>
        <v>U16608</v>
      </c>
      <c r="D997" s="11" t="str">
        <f t="array" ref="D997">iferror(index(fish_lab_data!D:D,match(A997,fish_lab_data!C:C,0)))</f>
        <v>P1061</v>
      </c>
      <c r="E997" s="6">
        <v>109.0</v>
      </c>
      <c r="F997" s="17" t="str">
        <f t="shared" si="3"/>
        <v>BCA109</v>
      </c>
      <c r="G997" s="43" t="str">
        <f t="shared" si="4"/>
        <v>NA</v>
      </c>
      <c r="H997" s="17" t="str">
        <f t="shared" si="5"/>
        <v>BCA109-NA</v>
      </c>
      <c r="J997" t="str">
        <f t="shared" si="6"/>
        <v>collected</v>
      </c>
      <c r="K997" t="str">
        <f t="shared" si="7"/>
        <v>N</v>
      </c>
    </row>
    <row r="998">
      <c r="A998" s="40" t="s">
        <v>1426</v>
      </c>
      <c r="B998" s="10" t="str">
        <f t="shared" si="1"/>
        <v>fish</v>
      </c>
      <c r="C998" s="63" t="str">
        <f t="shared" si="2"/>
        <v>U16601</v>
      </c>
      <c r="D998" s="11" t="str">
        <f t="array" ref="D998">iferror(index(fish_lab_data!D:D,match(A998,fish_lab_data!C:C,0)))</f>
        <v>P1061</v>
      </c>
      <c r="E998" s="6">
        <v>109.0</v>
      </c>
      <c r="F998" s="17" t="str">
        <f t="shared" si="3"/>
        <v>BCA109</v>
      </c>
      <c r="G998" s="43" t="str">
        <f t="shared" si="4"/>
        <v>NA</v>
      </c>
      <c r="H998" s="17" t="str">
        <f t="shared" si="5"/>
        <v>BCA109-NA</v>
      </c>
      <c r="J998" t="str">
        <f t="shared" si="6"/>
        <v>collected</v>
      </c>
      <c r="K998" t="str">
        <f t="shared" si="7"/>
        <v>N</v>
      </c>
    </row>
    <row r="999">
      <c r="A999" s="40" t="s">
        <v>1429</v>
      </c>
      <c r="B999" s="10" t="str">
        <f t="shared" si="1"/>
        <v>fish</v>
      </c>
      <c r="C999" s="63" t="str">
        <f t="shared" si="2"/>
        <v>U16605</v>
      </c>
      <c r="D999" s="11" t="str">
        <f t="array" ref="D999">iferror(index(fish_lab_data!D:D,match(A999,fish_lab_data!C:C,0)))</f>
        <v>P1061</v>
      </c>
      <c r="E999" s="6">
        <v>109.0</v>
      </c>
      <c r="F999" s="17" t="str">
        <f t="shared" si="3"/>
        <v>BCA109</v>
      </c>
      <c r="G999" s="43" t="str">
        <f t="shared" si="4"/>
        <v>NA</v>
      </c>
      <c r="H999" s="17" t="str">
        <f t="shared" si="5"/>
        <v>BCA109-NA</v>
      </c>
      <c r="J999" t="str">
        <f t="shared" si="6"/>
        <v>collected</v>
      </c>
      <c r="K999" t="str">
        <f t="shared" si="7"/>
        <v>N</v>
      </c>
    </row>
    <row r="1000">
      <c r="A1000" s="40" t="s">
        <v>1430</v>
      </c>
      <c r="B1000" s="10" t="str">
        <f t="shared" si="1"/>
        <v>fish</v>
      </c>
      <c r="C1000" s="63" t="str">
        <f t="shared" si="2"/>
        <v>U16604</v>
      </c>
      <c r="D1000" s="11" t="str">
        <f t="array" ref="D1000">iferror(index(fish_lab_data!D:D,match(A1000,fish_lab_data!C:C,0)))</f>
        <v>P1061</v>
      </c>
      <c r="E1000" s="6">
        <v>109.0</v>
      </c>
      <c r="F1000" s="17" t="str">
        <f t="shared" si="3"/>
        <v>BCA109</v>
      </c>
      <c r="G1000" s="43" t="str">
        <f t="shared" si="4"/>
        <v>NA</v>
      </c>
      <c r="H1000" s="17" t="str">
        <f t="shared" si="5"/>
        <v>BCA109-NA</v>
      </c>
      <c r="J1000" t="str">
        <f t="shared" si="6"/>
        <v>collected</v>
      </c>
      <c r="K1000" t="str">
        <f t="shared" si="7"/>
        <v>N</v>
      </c>
    </row>
    <row r="1001">
      <c r="A1001" s="40" t="s">
        <v>1431</v>
      </c>
      <c r="B1001" s="10" t="str">
        <f t="shared" si="1"/>
        <v>fish</v>
      </c>
      <c r="C1001" s="63" t="str">
        <f t="shared" si="2"/>
        <v>U16606</v>
      </c>
      <c r="D1001" s="11" t="str">
        <f t="array" ref="D1001">iferror(index(fish_lab_data!D:D,match(A1001,fish_lab_data!C:C,0)))</f>
        <v>P1061</v>
      </c>
      <c r="E1001" s="6">
        <v>109.0</v>
      </c>
      <c r="F1001" s="17" t="str">
        <f t="shared" si="3"/>
        <v>BCA109</v>
      </c>
      <c r="G1001" s="43" t="str">
        <f t="shared" si="4"/>
        <v>NA</v>
      </c>
      <c r="H1001" s="17" t="str">
        <f t="shared" si="5"/>
        <v>BCA109-NA</v>
      </c>
      <c r="J1001" t="str">
        <f t="shared" si="6"/>
        <v>collected</v>
      </c>
      <c r="K1001" t="str">
        <f t="shared" si="7"/>
        <v>N</v>
      </c>
    </row>
    <row r="1002">
      <c r="A1002" s="40" t="s">
        <v>1432</v>
      </c>
      <c r="B1002" s="10" t="str">
        <f t="shared" si="1"/>
        <v>fish</v>
      </c>
      <c r="C1002" s="63" t="str">
        <f t="shared" si="2"/>
        <v>U16603</v>
      </c>
      <c r="D1002" s="11" t="str">
        <f t="array" ref="D1002">iferror(index(fish_lab_data!D:D,match(A1002,fish_lab_data!C:C,0)))</f>
        <v>P1061</v>
      </c>
      <c r="E1002" s="6">
        <v>109.0</v>
      </c>
      <c r="F1002" s="17" t="str">
        <f t="shared" si="3"/>
        <v>BCA109</v>
      </c>
      <c r="G1002" s="43" t="str">
        <f t="shared" si="4"/>
        <v>NA</v>
      </c>
      <c r="H1002" s="17" t="str">
        <f t="shared" si="5"/>
        <v>BCA109-NA</v>
      </c>
      <c r="J1002" t="str">
        <f t="shared" si="6"/>
        <v>collected</v>
      </c>
      <c r="K1002" t="str">
        <f t="shared" si="7"/>
        <v>N</v>
      </c>
    </row>
    <row r="1003">
      <c r="A1003" s="40" t="s">
        <v>1433</v>
      </c>
      <c r="B1003" s="10" t="str">
        <f t="shared" si="1"/>
        <v>fish</v>
      </c>
      <c r="C1003" s="63" t="str">
        <f t="shared" si="2"/>
        <v>U16609</v>
      </c>
      <c r="D1003" s="11" t="str">
        <f t="array" ref="D1003">iferror(index(fish_lab_data!D:D,match(A1003,fish_lab_data!C:C,0)))</f>
        <v>P1061</v>
      </c>
      <c r="E1003" s="6">
        <v>109.0</v>
      </c>
      <c r="F1003" s="17" t="str">
        <f t="shared" si="3"/>
        <v>BCA109</v>
      </c>
      <c r="G1003" s="43" t="str">
        <f t="shared" si="4"/>
        <v>NA</v>
      </c>
      <c r="H1003" s="17" t="str">
        <f t="shared" si="5"/>
        <v>BCA109-NA</v>
      </c>
      <c r="J1003" t="str">
        <f t="shared" si="6"/>
        <v>collected</v>
      </c>
      <c r="K1003" t="str">
        <f t="shared" si="7"/>
        <v>N</v>
      </c>
    </row>
    <row r="1004">
      <c r="A1004" s="40" t="s">
        <v>1435</v>
      </c>
      <c r="B1004" s="10" t="str">
        <f t="shared" si="1"/>
        <v>fish</v>
      </c>
      <c r="C1004" s="63" t="str">
        <f t="shared" si="2"/>
        <v>U16607</v>
      </c>
      <c r="D1004" s="11" t="str">
        <f t="array" ref="D1004">iferror(index(fish_lab_data!D:D,match(A1004,fish_lab_data!C:C,0)))</f>
        <v>P1061</v>
      </c>
      <c r="E1004" s="6">
        <v>109.0</v>
      </c>
      <c r="F1004" s="17" t="str">
        <f t="shared" si="3"/>
        <v>BCA109</v>
      </c>
      <c r="G1004" s="43" t="str">
        <f t="shared" si="4"/>
        <v>NA</v>
      </c>
      <c r="H1004" s="17" t="str">
        <f t="shared" si="5"/>
        <v>BCA109-NA</v>
      </c>
      <c r="J1004" t="str">
        <f t="shared" si="6"/>
        <v>collected</v>
      </c>
      <c r="K1004" t="str">
        <f t="shared" si="7"/>
        <v>N</v>
      </c>
    </row>
    <row r="1005">
      <c r="A1005" s="40" t="s">
        <v>1436</v>
      </c>
      <c r="B1005" s="10" t="str">
        <f t="shared" si="1"/>
        <v>fish</v>
      </c>
      <c r="C1005" s="63" t="str">
        <f t="shared" si="2"/>
        <v>U16981</v>
      </c>
      <c r="D1005" s="11" t="str">
        <f t="array" ref="D1005">iferror(index(fish_lab_data!D:D,match(A1005,fish_lab_data!C:C,0)))</f>
        <v>P1099</v>
      </c>
      <c r="E1005" s="6">
        <v>109.0</v>
      </c>
      <c r="F1005" s="17" t="str">
        <f t="shared" si="3"/>
        <v>BCA109</v>
      </c>
      <c r="G1005" s="43" t="str">
        <f t="shared" si="4"/>
        <v>NA</v>
      </c>
      <c r="H1005" s="17" t="str">
        <f t="shared" si="5"/>
        <v>BCA109-NA</v>
      </c>
      <c r="J1005" t="str">
        <f t="shared" si="6"/>
        <v>collected</v>
      </c>
      <c r="K1005" t="str">
        <f t="shared" si="7"/>
        <v>N</v>
      </c>
    </row>
    <row r="1006">
      <c r="A1006" s="40" t="s">
        <v>1438</v>
      </c>
      <c r="B1006" s="10" t="str">
        <f t="shared" si="1"/>
        <v>fish</v>
      </c>
      <c r="C1006" s="63" t="str">
        <f t="shared" si="2"/>
        <v>U16982</v>
      </c>
      <c r="D1006" s="11" t="str">
        <f t="array" ref="D1006">iferror(index(fish_lab_data!D:D,match(A1006,fish_lab_data!C:C,0)))</f>
        <v>P1099</v>
      </c>
      <c r="E1006" s="6">
        <v>109.0</v>
      </c>
      <c r="F1006" s="17" t="str">
        <f t="shared" si="3"/>
        <v>BCA109</v>
      </c>
      <c r="G1006" s="43" t="str">
        <f t="shared" si="4"/>
        <v>NA</v>
      </c>
      <c r="H1006" s="17" t="str">
        <f t="shared" si="5"/>
        <v>BCA109-NA</v>
      </c>
      <c r="J1006" t="str">
        <f t="shared" si="6"/>
        <v>collected</v>
      </c>
      <c r="K1006" t="str">
        <f t="shared" si="7"/>
        <v>N</v>
      </c>
    </row>
    <row r="1007">
      <c r="A1007" s="40" t="s">
        <v>1439</v>
      </c>
      <c r="B1007" s="10" t="str">
        <f t="shared" si="1"/>
        <v>fish</v>
      </c>
      <c r="C1007" s="63" t="str">
        <f t="shared" si="2"/>
        <v>U16983</v>
      </c>
      <c r="D1007" s="11" t="str">
        <f t="array" ref="D1007">iferror(index(fish_lab_data!D:D,match(A1007,fish_lab_data!C:C,0)))</f>
        <v>P1099</v>
      </c>
      <c r="E1007" s="6">
        <v>109.0</v>
      </c>
      <c r="F1007" s="17" t="str">
        <f t="shared" si="3"/>
        <v>BCA109</v>
      </c>
      <c r="G1007" s="43" t="str">
        <f t="shared" si="4"/>
        <v>NA</v>
      </c>
      <c r="H1007" s="17" t="str">
        <f t="shared" si="5"/>
        <v>BCA109-NA</v>
      </c>
      <c r="J1007" t="str">
        <f t="shared" si="6"/>
        <v>collected</v>
      </c>
      <c r="K1007" t="str">
        <f t="shared" si="7"/>
        <v>N</v>
      </c>
    </row>
    <row r="1008">
      <c r="A1008" s="40" t="s">
        <v>1440</v>
      </c>
      <c r="B1008" s="10" t="str">
        <f t="shared" si="1"/>
        <v>fish</v>
      </c>
      <c r="C1008" s="63" t="str">
        <f t="shared" si="2"/>
        <v>U16984</v>
      </c>
      <c r="D1008" s="11" t="str">
        <f t="array" ref="D1008">iferror(index(fish_lab_data!D:D,match(A1008,fish_lab_data!C:C,0)))</f>
        <v>P1099</v>
      </c>
      <c r="E1008" s="6">
        <v>109.0</v>
      </c>
      <c r="F1008" s="17" t="str">
        <f t="shared" si="3"/>
        <v>BCA109</v>
      </c>
      <c r="G1008" s="43" t="str">
        <f t="shared" si="4"/>
        <v>NA</v>
      </c>
      <c r="H1008" s="17" t="str">
        <f t="shared" si="5"/>
        <v>BCA109-NA</v>
      </c>
      <c r="J1008" t="str">
        <f t="shared" si="6"/>
        <v>collected</v>
      </c>
      <c r="K1008" t="str">
        <f t="shared" si="7"/>
        <v>N</v>
      </c>
    </row>
    <row r="1009">
      <c r="A1009" s="40" t="s">
        <v>1441</v>
      </c>
      <c r="B1009" s="10" t="str">
        <f t="shared" si="1"/>
        <v>fish</v>
      </c>
      <c r="C1009" s="63" t="str">
        <f t="shared" si="2"/>
        <v>U16989</v>
      </c>
      <c r="D1009" s="11" t="str">
        <f t="array" ref="D1009">iferror(index(fish_lab_data!D:D,match(A1009,fish_lab_data!C:C,0)))</f>
        <v>P1099</v>
      </c>
      <c r="E1009" s="6">
        <v>109.0</v>
      </c>
      <c r="F1009" s="17" t="str">
        <f t="shared" si="3"/>
        <v>BCA109</v>
      </c>
      <c r="G1009" s="43" t="str">
        <f t="shared" si="4"/>
        <v>NA</v>
      </c>
      <c r="H1009" s="17" t="str">
        <f t="shared" si="5"/>
        <v>BCA109-NA</v>
      </c>
      <c r="J1009" t="str">
        <f t="shared" si="6"/>
        <v>collected</v>
      </c>
      <c r="K1009" t="str">
        <f t="shared" si="7"/>
        <v>N</v>
      </c>
    </row>
    <row r="1010">
      <c r="A1010" s="40" t="s">
        <v>1443</v>
      </c>
      <c r="B1010" s="10" t="str">
        <f t="shared" si="1"/>
        <v>fish</v>
      </c>
      <c r="C1010" s="63" t="str">
        <f t="shared" si="2"/>
        <v>U16987</v>
      </c>
      <c r="D1010" s="11" t="str">
        <f t="array" ref="D1010">iferror(index(fish_lab_data!D:D,match(A1010,fish_lab_data!C:C,0)))</f>
        <v>P1099</v>
      </c>
      <c r="E1010" s="6">
        <v>109.0</v>
      </c>
      <c r="F1010" s="17" t="str">
        <f t="shared" si="3"/>
        <v>BCA109</v>
      </c>
      <c r="G1010" s="43" t="str">
        <f t="shared" si="4"/>
        <v>NA</v>
      </c>
      <c r="H1010" s="17" t="str">
        <f t="shared" si="5"/>
        <v>BCA109-NA</v>
      </c>
      <c r="J1010" t="str">
        <f t="shared" si="6"/>
        <v>collected</v>
      </c>
      <c r="K1010" t="str">
        <f t="shared" si="7"/>
        <v>N</v>
      </c>
    </row>
    <row r="1011">
      <c r="A1011" s="40" t="s">
        <v>1444</v>
      </c>
      <c r="B1011" s="10" t="str">
        <f t="shared" si="1"/>
        <v>fish</v>
      </c>
      <c r="C1011" s="63" t="str">
        <f t="shared" si="2"/>
        <v>U16986</v>
      </c>
      <c r="D1011" s="11" t="str">
        <f t="array" ref="D1011">iferror(index(fish_lab_data!D:D,match(A1011,fish_lab_data!C:C,0)))</f>
        <v>P1099</v>
      </c>
      <c r="E1011" s="6">
        <v>109.0</v>
      </c>
      <c r="F1011" s="17" t="str">
        <f t="shared" si="3"/>
        <v>BCA109</v>
      </c>
      <c r="G1011" s="43" t="str">
        <f t="shared" si="4"/>
        <v>NA</v>
      </c>
      <c r="H1011" s="17" t="str">
        <f t="shared" si="5"/>
        <v>BCA109-NA</v>
      </c>
      <c r="J1011" t="str">
        <f t="shared" si="6"/>
        <v>collected</v>
      </c>
      <c r="K1011" t="str">
        <f t="shared" si="7"/>
        <v>N</v>
      </c>
    </row>
    <row r="1012">
      <c r="A1012" s="40" t="s">
        <v>1446</v>
      </c>
      <c r="B1012" s="10" t="str">
        <f t="shared" si="1"/>
        <v>fish</v>
      </c>
      <c r="C1012" s="63" t="str">
        <f t="shared" si="2"/>
        <v>U16990</v>
      </c>
      <c r="D1012" s="11" t="str">
        <f t="array" ref="D1012">iferror(index(fish_lab_data!D:D,match(A1012,fish_lab_data!C:C,0)))</f>
        <v>P1099</v>
      </c>
      <c r="E1012" s="6">
        <v>109.0</v>
      </c>
      <c r="F1012" s="17" t="str">
        <f t="shared" si="3"/>
        <v>BCA109</v>
      </c>
      <c r="G1012" s="43" t="str">
        <f t="shared" si="4"/>
        <v>NA</v>
      </c>
      <c r="H1012" s="17" t="str">
        <f t="shared" si="5"/>
        <v>BCA109-NA</v>
      </c>
      <c r="J1012" t="str">
        <f t="shared" si="6"/>
        <v>collected</v>
      </c>
      <c r="K1012" t="str">
        <f t="shared" si="7"/>
        <v>N</v>
      </c>
    </row>
    <row r="1013">
      <c r="A1013" s="40" t="s">
        <v>1447</v>
      </c>
      <c r="B1013" s="10" t="str">
        <f t="shared" si="1"/>
        <v>fish</v>
      </c>
      <c r="C1013" s="63" t="str">
        <f t="shared" si="2"/>
        <v>U16988</v>
      </c>
      <c r="D1013" s="11" t="str">
        <f t="array" ref="D1013">iferror(index(fish_lab_data!D:D,match(A1013,fish_lab_data!C:C,0)))</f>
        <v>P1099</v>
      </c>
      <c r="E1013" s="6">
        <v>109.0</v>
      </c>
      <c r="F1013" s="17" t="str">
        <f t="shared" si="3"/>
        <v>BCA109</v>
      </c>
      <c r="G1013" s="43" t="str">
        <f t="shared" si="4"/>
        <v>NA</v>
      </c>
      <c r="H1013" s="17" t="str">
        <f t="shared" si="5"/>
        <v>BCA109-NA</v>
      </c>
      <c r="J1013" t="str">
        <f t="shared" si="6"/>
        <v>collected</v>
      </c>
      <c r="K1013" t="str">
        <f t="shared" si="7"/>
        <v>N</v>
      </c>
    </row>
    <row r="1014">
      <c r="A1014" s="40" t="s">
        <v>1448</v>
      </c>
      <c r="B1014" s="10" t="str">
        <f t="shared" si="1"/>
        <v>fish</v>
      </c>
      <c r="C1014" s="63" t="str">
        <f t="shared" si="2"/>
        <v>U16985</v>
      </c>
      <c r="D1014" s="11" t="str">
        <f t="array" ref="D1014">iferror(index(fish_lab_data!D:D,match(A1014,fish_lab_data!C:C,0)))</f>
        <v>P1099</v>
      </c>
      <c r="E1014" s="6">
        <v>109.0</v>
      </c>
      <c r="F1014" s="17" t="str">
        <f t="shared" si="3"/>
        <v>BCA109</v>
      </c>
      <c r="G1014" s="43" t="str">
        <f t="shared" si="4"/>
        <v>NA</v>
      </c>
      <c r="H1014" s="17" t="str">
        <f t="shared" si="5"/>
        <v>BCA109-NA</v>
      </c>
      <c r="J1014" t="str">
        <f t="shared" si="6"/>
        <v>collected</v>
      </c>
      <c r="K1014" t="str">
        <f t="shared" si="7"/>
        <v>N</v>
      </c>
    </row>
    <row r="1015">
      <c r="A1015" s="40" t="s">
        <v>1449</v>
      </c>
      <c r="B1015" s="10" t="str">
        <f t="shared" si="1"/>
        <v>fish</v>
      </c>
      <c r="C1015" s="63" t="str">
        <f t="shared" si="2"/>
        <v>U16231</v>
      </c>
      <c r="D1015" s="11" t="str">
        <f t="array" ref="D1015">iferror(index(fish_lab_data!D:D,match(A1015,fish_lab_data!C:C,0)))</f>
        <v>P1024</v>
      </c>
      <c r="E1015" s="6">
        <v>109.0</v>
      </c>
      <c r="F1015" s="17" t="str">
        <f t="shared" si="3"/>
        <v>BCA109</v>
      </c>
      <c r="G1015" s="43" t="str">
        <f t="shared" si="4"/>
        <v>NA</v>
      </c>
      <c r="H1015" s="17" t="str">
        <f t="shared" si="5"/>
        <v>BCA109-NA</v>
      </c>
      <c r="J1015" t="str">
        <f t="shared" si="6"/>
        <v>collected</v>
      </c>
      <c r="K1015" t="str">
        <f t="shared" si="7"/>
        <v>N</v>
      </c>
    </row>
    <row r="1016">
      <c r="A1016" s="40" t="s">
        <v>1451</v>
      </c>
      <c r="B1016" s="10" t="str">
        <f t="shared" si="1"/>
        <v>fish</v>
      </c>
      <c r="C1016" s="63" t="str">
        <f t="shared" si="2"/>
        <v>U16232</v>
      </c>
      <c r="D1016" s="11" t="str">
        <f t="array" ref="D1016">iferror(index(fish_lab_data!D:D,match(A1016,fish_lab_data!C:C,0)))</f>
        <v>P1024</v>
      </c>
      <c r="E1016" s="6">
        <v>109.0</v>
      </c>
      <c r="F1016" s="17" t="str">
        <f t="shared" si="3"/>
        <v>BCA109</v>
      </c>
      <c r="G1016" s="43" t="str">
        <f t="shared" si="4"/>
        <v>NA</v>
      </c>
      <c r="H1016" s="17" t="str">
        <f t="shared" si="5"/>
        <v>BCA109-NA</v>
      </c>
      <c r="J1016" t="str">
        <f t="shared" si="6"/>
        <v>collected</v>
      </c>
      <c r="K1016" t="str">
        <f t="shared" si="7"/>
        <v>N</v>
      </c>
    </row>
    <row r="1017">
      <c r="A1017" s="40" t="s">
        <v>1452</v>
      </c>
      <c r="B1017" s="10" t="str">
        <f t="shared" si="1"/>
        <v>fish</v>
      </c>
      <c r="C1017" s="63" t="str">
        <f t="shared" si="2"/>
        <v>U16234</v>
      </c>
      <c r="D1017" s="11" t="str">
        <f t="array" ref="D1017">iferror(index(fish_lab_data!D:D,match(A1017,fish_lab_data!C:C,0)))</f>
        <v>P1024</v>
      </c>
      <c r="E1017" s="6">
        <v>109.0</v>
      </c>
      <c r="F1017" s="17" t="str">
        <f t="shared" si="3"/>
        <v>BCA109</v>
      </c>
      <c r="G1017" s="43" t="str">
        <f t="shared" si="4"/>
        <v>NA</v>
      </c>
      <c r="H1017" s="17" t="str">
        <f t="shared" si="5"/>
        <v>BCA109-NA</v>
      </c>
      <c r="J1017" t="str">
        <f t="shared" si="6"/>
        <v>collected</v>
      </c>
      <c r="K1017" t="str">
        <f t="shared" si="7"/>
        <v>N</v>
      </c>
    </row>
    <row r="1018">
      <c r="A1018" s="40" t="s">
        <v>1453</v>
      </c>
      <c r="B1018" s="10" t="str">
        <f t="shared" si="1"/>
        <v>fish</v>
      </c>
      <c r="C1018" s="63" t="str">
        <f t="shared" si="2"/>
        <v>U16233</v>
      </c>
      <c r="D1018" s="11" t="str">
        <f t="array" ref="D1018">iferror(index(fish_lab_data!D:D,match(A1018,fish_lab_data!C:C,0)))</f>
        <v>P1024</v>
      </c>
      <c r="E1018" s="6">
        <v>109.0</v>
      </c>
      <c r="F1018" s="17" t="str">
        <f t="shared" si="3"/>
        <v>BCA109</v>
      </c>
      <c r="G1018" s="43" t="str">
        <f t="shared" si="4"/>
        <v>NA</v>
      </c>
      <c r="H1018" s="17" t="str">
        <f t="shared" si="5"/>
        <v>BCA109-NA</v>
      </c>
      <c r="J1018" t="str">
        <f t="shared" si="6"/>
        <v>collected</v>
      </c>
      <c r="K1018" t="str">
        <f t="shared" si="7"/>
        <v>N</v>
      </c>
    </row>
    <row r="1019">
      <c r="A1019" s="40" t="s">
        <v>1455</v>
      </c>
      <c r="B1019" s="10" t="str">
        <f t="shared" si="1"/>
        <v>fish</v>
      </c>
      <c r="C1019" s="63" t="str">
        <f t="shared" si="2"/>
        <v>U16235</v>
      </c>
      <c r="D1019" s="11" t="str">
        <f t="array" ref="D1019">iferror(index(fish_lab_data!D:D,match(A1019,fish_lab_data!C:C,0)))</f>
        <v>P1024</v>
      </c>
      <c r="E1019" s="6">
        <v>109.0</v>
      </c>
      <c r="F1019" s="17" t="str">
        <f t="shared" si="3"/>
        <v>BCA109</v>
      </c>
      <c r="G1019" s="43" t="str">
        <f t="shared" si="4"/>
        <v>NA</v>
      </c>
      <c r="H1019" s="17" t="str">
        <f t="shared" si="5"/>
        <v>BCA109-NA</v>
      </c>
      <c r="J1019" t="str">
        <f t="shared" si="6"/>
        <v>collected</v>
      </c>
      <c r="K1019" t="str">
        <f t="shared" si="7"/>
        <v>N</v>
      </c>
    </row>
    <row r="1020">
      <c r="A1020" s="40" t="s">
        <v>1458</v>
      </c>
      <c r="B1020" s="10" t="str">
        <f t="shared" si="1"/>
        <v>fish</v>
      </c>
      <c r="C1020" s="63" t="str">
        <f t="shared" si="2"/>
        <v>U16236</v>
      </c>
      <c r="D1020" s="11" t="str">
        <f t="array" ref="D1020">iferror(index(fish_lab_data!D:D,match(A1020,fish_lab_data!C:C,0)))</f>
        <v>P1024</v>
      </c>
      <c r="E1020" s="6">
        <v>109.0</v>
      </c>
      <c r="F1020" s="17" t="str">
        <f t="shared" si="3"/>
        <v>BCA109</v>
      </c>
      <c r="G1020" s="43" t="str">
        <f t="shared" si="4"/>
        <v>NA</v>
      </c>
      <c r="H1020" s="17" t="str">
        <f t="shared" si="5"/>
        <v>BCA109-NA</v>
      </c>
      <c r="J1020" t="str">
        <f t="shared" si="6"/>
        <v>collected</v>
      </c>
      <c r="K1020" t="str">
        <f t="shared" si="7"/>
        <v>N</v>
      </c>
    </row>
    <row r="1021">
      <c r="A1021" s="40" t="s">
        <v>1459</v>
      </c>
      <c r="B1021" s="10" t="str">
        <f t="shared" si="1"/>
        <v>fish</v>
      </c>
      <c r="C1021" s="63" t="str">
        <f t="shared" si="2"/>
        <v>U16240</v>
      </c>
      <c r="D1021" s="11" t="str">
        <f t="array" ref="D1021">iferror(index(fish_lab_data!D:D,match(A1021,fish_lab_data!C:C,0)))</f>
        <v>P1024</v>
      </c>
      <c r="E1021" s="6">
        <v>109.0</v>
      </c>
      <c r="F1021" s="17" t="str">
        <f t="shared" si="3"/>
        <v>BCA109</v>
      </c>
      <c r="G1021" s="43" t="str">
        <f t="shared" si="4"/>
        <v>NA</v>
      </c>
      <c r="H1021" s="17" t="str">
        <f t="shared" si="5"/>
        <v>BCA109-NA</v>
      </c>
      <c r="J1021" t="str">
        <f t="shared" si="6"/>
        <v>collected</v>
      </c>
      <c r="K1021" t="str">
        <f t="shared" si="7"/>
        <v>N</v>
      </c>
    </row>
    <row r="1022">
      <c r="A1022" s="40" t="s">
        <v>1461</v>
      </c>
      <c r="B1022" s="10" t="str">
        <f t="shared" si="1"/>
        <v>fish</v>
      </c>
      <c r="C1022" s="63" t="str">
        <f t="shared" si="2"/>
        <v>U16238</v>
      </c>
      <c r="D1022" s="11" t="str">
        <f t="array" ref="D1022">iferror(index(fish_lab_data!D:D,match(A1022,fish_lab_data!C:C,0)))</f>
        <v>P1024</v>
      </c>
      <c r="E1022" s="6">
        <v>109.0</v>
      </c>
      <c r="F1022" s="17" t="str">
        <f t="shared" si="3"/>
        <v>BCA109</v>
      </c>
      <c r="G1022" s="43" t="str">
        <f t="shared" si="4"/>
        <v>NA</v>
      </c>
      <c r="H1022" s="17" t="str">
        <f t="shared" si="5"/>
        <v>BCA109-NA</v>
      </c>
      <c r="J1022" t="str">
        <f t="shared" si="6"/>
        <v>collected</v>
      </c>
      <c r="K1022" t="str">
        <f t="shared" si="7"/>
        <v>N</v>
      </c>
    </row>
    <row r="1023">
      <c r="A1023" s="40" t="s">
        <v>1462</v>
      </c>
      <c r="B1023" s="10" t="str">
        <f t="shared" si="1"/>
        <v>fish</v>
      </c>
      <c r="C1023" s="63" t="str">
        <f t="shared" si="2"/>
        <v>U16239</v>
      </c>
      <c r="D1023" s="11" t="str">
        <f t="array" ref="D1023">iferror(index(fish_lab_data!D:D,match(A1023,fish_lab_data!C:C,0)))</f>
        <v>P1024</v>
      </c>
      <c r="E1023" s="6">
        <v>109.0</v>
      </c>
      <c r="F1023" s="17" t="str">
        <f t="shared" si="3"/>
        <v>BCA109</v>
      </c>
      <c r="G1023" s="43" t="str">
        <f t="shared" si="4"/>
        <v>NA</v>
      </c>
      <c r="H1023" s="17" t="str">
        <f t="shared" si="5"/>
        <v>BCA109-NA</v>
      </c>
      <c r="J1023" t="str">
        <f t="shared" si="6"/>
        <v>collected</v>
      </c>
      <c r="K1023" t="str">
        <f t="shared" si="7"/>
        <v>N</v>
      </c>
    </row>
    <row r="1024">
      <c r="A1024" s="40" t="s">
        <v>1464</v>
      </c>
      <c r="B1024" s="10" t="str">
        <f t="shared" si="1"/>
        <v>fish</v>
      </c>
      <c r="C1024" s="63" t="str">
        <f t="shared" si="2"/>
        <v>U16237</v>
      </c>
      <c r="D1024" s="11" t="str">
        <f t="array" ref="D1024">iferror(index(fish_lab_data!D:D,match(A1024,fish_lab_data!C:C,0)))</f>
        <v>P1024</v>
      </c>
      <c r="E1024" s="6">
        <v>109.0</v>
      </c>
      <c r="F1024" s="17" t="str">
        <f t="shared" si="3"/>
        <v>BCA109</v>
      </c>
      <c r="G1024" s="43" t="str">
        <f t="shared" si="4"/>
        <v>NA</v>
      </c>
      <c r="H1024" s="17" t="str">
        <f t="shared" si="5"/>
        <v>BCA109-NA</v>
      </c>
      <c r="J1024" t="str">
        <f t="shared" si="6"/>
        <v>collected</v>
      </c>
      <c r="K1024" t="str">
        <f t="shared" si="7"/>
        <v>N</v>
      </c>
    </row>
    <row r="1025">
      <c r="A1025" s="40" t="s">
        <v>1465</v>
      </c>
      <c r="B1025" s="10" t="str">
        <f t="shared" si="1"/>
        <v>fish</v>
      </c>
      <c r="C1025" s="63" t="str">
        <f t="shared" si="2"/>
        <v>U16529</v>
      </c>
      <c r="D1025" s="11" t="str">
        <f t="array" ref="D1025">iferror(index(fish_lab_data!D:D,match(A1025,fish_lab_data!C:C,0)))</f>
        <v>P1053</v>
      </c>
      <c r="E1025" s="6">
        <v>109.0</v>
      </c>
      <c r="F1025" s="17" t="str">
        <f t="shared" si="3"/>
        <v>BCA109</v>
      </c>
      <c r="G1025" s="43" t="str">
        <f t="shared" si="4"/>
        <v>NA</v>
      </c>
      <c r="H1025" s="17" t="str">
        <f t="shared" si="5"/>
        <v>BCA109-NA</v>
      </c>
      <c r="J1025" t="str">
        <f t="shared" si="6"/>
        <v>collected</v>
      </c>
      <c r="K1025" t="str">
        <f t="shared" si="7"/>
        <v>N</v>
      </c>
    </row>
    <row r="1026">
      <c r="A1026" s="40" t="s">
        <v>1468</v>
      </c>
      <c r="B1026" s="10" t="str">
        <f t="shared" si="1"/>
        <v>fish</v>
      </c>
      <c r="C1026" s="63" t="str">
        <f t="shared" si="2"/>
        <v>U16525</v>
      </c>
      <c r="D1026" s="11" t="str">
        <f t="array" ref="D1026">iferror(index(fish_lab_data!D:D,match(A1026,fish_lab_data!C:C,0)))</f>
        <v>P1053</v>
      </c>
      <c r="E1026" s="6">
        <v>109.0</v>
      </c>
      <c r="F1026" s="17" t="str">
        <f t="shared" si="3"/>
        <v>BCA109</v>
      </c>
      <c r="G1026" s="43" t="str">
        <f t="shared" si="4"/>
        <v>NA</v>
      </c>
      <c r="H1026" s="17" t="str">
        <f t="shared" si="5"/>
        <v>BCA109-NA</v>
      </c>
      <c r="J1026" t="str">
        <f t="shared" si="6"/>
        <v>collected</v>
      </c>
      <c r="K1026" t="str">
        <f t="shared" si="7"/>
        <v>N</v>
      </c>
    </row>
    <row r="1027">
      <c r="A1027" s="40" t="s">
        <v>1469</v>
      </c>
      <c r="B1027" s="10" t="str">
        <f t="shared" si="1"/>
        <v>fish</v>
      </c>
      <c r="C1027" s="63" t="str">
        <f t="shared" si="2"/>
        <v>U16528</v>
      </c>
      <c r="D1027" s="11" t="str">
        <f t="array" ref="D1027">iferror(index(fish_lab_data!D:D,match(A1027,fish_lab_data!C:C,0)))</f>
        <v>P1053</v>
      </c>
      <c r="E1027" s="6">
        <v>109.0</v>
      </c>
      <c r="F1027" s="17" t="str">
        <f t="shared" si="3"/>
        <v>BCA109</v>
      </c>
      <c r="G1027" s="43" t="str">
        <f t="shared" si="4"/>
        <v>NA</v>
      </c>
      <c r="H1027" s="17" t="str">
        <f t="shared" si="5"/>
        <v>BCA109-NA</v>
      </c>
      <c r="J1027" t="str">
        <f t="shared" si="6"/>
        <v>collected</v>
      </c>
      <c r="K1027" t="str">
        <f t="shared" si="7"/>
        <v>N</v>
      </c>
    </row>
    <row r="1028">
      <c r="A1028" s="40" t="s">
        <v>1471</v>
      </c>
      <c r="B1028" s="10" t="str">
        <f t="shared" si="1"/>
        <v>fish</v>
      </c>
      <c r="C1028" s="63" t="str">
        <f t="shared" si="2"/>
        <v>U16527</v>
      </c>
      <c r="D1028" s="11" t="str">
        <f t="array" ref="D1028">iferror(index(fish_lab_data!D:D,match(A1028,fish_lab_data!C:C,0)))</f>
        <v>P1053</v>
      </c>
      <c r="E1028" s="6">
        <v>109.0</v>
      </c>
      <c r="F1028" s="17" t="str">
        <f t="shared" si="3"/>
        <v>BCA109</v>
      </c>
      <c r="G1028" s="43" t="str">
        <f t="shared" si="4"/>
        <v>NA</v>
      </c>
      <c r="H1028" s="17" t="str">
        <f t="shared" si="5"/>
        <v>BCA109-NA</v>
      </c>
      <c r="J1028" t="str">
        <f t="shared" si="6"/>
        <v>collected</v>
      </c>
      <c r="K1028" t="str">
        <f t="shared" si="7"/>
        <v>N</v>
      </c>
    </row>
    <row r="1029">
      <c r="A1029" s="40" t="s">
        <v>1472</v>
      </c>
      <c r="B1029" s="10" t="str">
        <f t="shared" si="1"/>
        <v>fish</v>
      </c>
      <c r="C1029" s="63" t="str">
        <f t="shared" si="2"/>
        <v>U16526</v>
      </c>
      <c r="D1029" s="11" t="str">
        <f t="array" ref="D1029">iferror(index(fish_lab_data!D:D,match(A1029,fish_lab_data!C:C,0)))</f>
        <v>P1053</v>
      </c>
      <c r="E1029" s="6">
        <v>109.0</v>
      </c>
      <c r="F1029" s="17" t="str">
        <f t="shared" si="3"/>
        <v>BCA109</v>
      </c>
      <c r="G1029" s="43" t="str">
        <f t="shared" si="4"/>
        <v>NA</v>
      </c>
      <c r="H1029" s="17" t="str">
        <f t="shared" si="5"/>
        <v>BCA109-NA</v>
      </c>
      <c r="J1029" t="str">
        <f t="shared" si="6"/>
        <v>collected</v>
      </c>
      <c r="K1029" t="str">
        <f t="shared" si="7"/>
        <v>N</v>
      </c>
    </row>
    <row r="1030">
      <c r="A1030" s="40" t="s">
        <v>1473</v>
      </c>
      <c r="B1030" s="10" t="str">
        <f t="shared" si="1"/>
        <v>fish</v>
      </c>
      <c r="C1030" s="63" t="str">
        <f t="shared" si="2"/>
        <v>U16523</v>
      </c>
      <c r="D1030" s="11" t="str">
        <f t="array" ref="D1030">iferror(index(fish_lab_data!D:D,match(A1030,fish_lab_data!C:C,0)))</f>
        <v>P1053</v>
      </c>
      <c r="E1030" s="6">
        <v>109.0</v>
      </c>
      <c r="F1030" s="17" t="str">
        <f t="shared" si="3"/>
        <v>BCA109</v>
      </c>
      <c r="G1030" s="43" t="str">
        <f t="shared" si="4"/>
        <v>NA</v>
      </c>
      <c r="H1030" s="17" t="str">
        <f t="shared" si="5"/>
        <v>BCA109-NA</v>
      </c>
      <c r="J1030" t="str">
        <f t="shared" si="6"/>
        <v>collected</v>
      </c>
      <c r="K1030" t="str">
        <f t="shared" si="7"/>
        <v>N</v>
      </c>
    </row>
    <row r="1031">
      <c r="A1031" s="40" t="s">
        <v>1475</v>
      </c>
      <c r="B1031" s="10" t="str">
        <f t="shared" si="1"/>
        <v>fish</v>
      </c>
      <c r="C1031" s="63" t="str">
        <f t="shared" si="2"/>
        <v>U16522</v>
      </c>
      <c r="D1031" s="11" t="str">
        <f t="array" ref="D1031">iferror(index(fish_lab_data!D:D,match(A1031,fish_lab_data!C:C,0)))</f>
        <v>P1053</v>
      </c>
      <c r="E1031" s="6">
        <v>109.0</v>
      </c>
      <c r="F1031" s="17" t="str">
        <f t="shared" si="3"/>
        <v>BCA109</v>
      </c>
      <c r="G1031" s="43" t="str">
        <f t="shared" si="4"/>
        <v>NA</v>
      </c>
      <c r="H1031" s="17" t="str">
        <f t="shared" si="5"/>
        <v>BCA109-NA</v>
      </c>
      <c r="J1031" t="str">
        <f t="shared" si="6"/>
        <v>collected</v>
      </c>
      <c r="K1031" t="str">
        <f t="shared" si="7"/>
        <v>N</v>
      </c>
    </row>
    <row r="1032">
      <c r="A1032" s="40" t="s">
        <v>1476</v>
      </c>
      <c r="B1032" s="10" t="str">
        <f t="shared" si="1"/>
        <v>fish</v>
      </c>
      <c r="C1032" s="63" t="str">
        <f t="shared" si="2"/>
        <v>U16524</v>
      </c>
      <c r="D1032" s="11" t="str">
        <f t="array" ref="D1032">iferror(index(fish_lab_data!D:D,match(A1032,fish_lab_data!C:C,0)))</f>
        <v>P1053</v>
      </c>
      <c r="E1032" s="6">
        <v>109.0</v>
      </c>
      <c r="F1032" s="17" t="str">
        <f t="shared" si="3"/>
        <v>BCA109</v>
      </c>
      <c r="G1032" s="43" t="str">
        <f t="shared" si="4"/>
        <v>NA</v>
      </c>
      <c r="H1032" s="17" t="str">
        <f t="shared" si="5"/>
        <v>BCA109-NA</v>
      </c>
      <c r="J1032" t="str">
        <f t="shared" si="6"/>
        <v>collected</v>
      </c>
      <c r="K1032" t="str">
        <f t="shared" si="7"/>
        <v>N</v>
      </c>
    </row>
    <row r="1033">
      <c r="A1033" s="40" t="s">
        <v>1477</v>
      </c>
      <c r="B1033" s="10" t="str">
        <f t="shared" si="1"/>
        <v>fish</v>
      </c>
      <c r="C1033" s="63" t="str">
        <f t="shared" si="2"/>
        <v>U16530</v>
      </c>
      <c r="D1033" s="11" t="str">
        <f t="array" ref="D1033">iferror(index(fish_lab_data!D:D,match(A1033,fish_lab_data!C:C,0)))</f>
        <v>P1053</v>
      </c>
      <c r="E1033" s="6">
        <v>109.0</v>
      </c>
      <c r="F1033" s="17" t="str">
        <f t="shared" si="3"/>
        <v>BCA109</v>
      </c>
      <c r="G1033" s="43" t="str">
        <f t="shared" si="4"/>
        <v>NA</v>
      </c>
      <c r="H1033" s="17" t="str">
        <f t="shared" si="5"/>
        <v>BCA109-NA</v>
      </c>
      <c r="J1033" t="str">
        <f t="shared" si="6"/>
        <v>collected</v>
      </c>
      <c r="K1033" t="str">
        <f t="shared" si="7"/>
        <v>N</v>
      </c>
    </row>
    <row r="1034">
      <c r="A1034" s="40" t="s">
        <v>1478</v>
      </c>
      <c r="B1034" s="10" t="str">
        <f t="shared" si="1"/>
        <v>fish</v>
      </c>
      <c r="C1034" s="63" t="str">
        <f t="shared" si="2"/>
        <v>U16521</v>
      </c>
      <c r="D1034" s="11" t="str">
        <f t="array" ref="D1034">iferror(index(fish_lab_data!D:D,match(A1034,fish_lab_data!C:C,0)))</f>
        <v>P1053</v>
      </c>
      <c r="E1034" s="6">
        <v>109.0</v>
      </c>
      <c r="F1034" s="17" t="str">
        <f t="shared" si="3"/>
        <v>BCA109</v>
      </c>
      <c r="G1034" s="43" t="str">
        <f t="shared" si="4"/>
        <v>NA</v>
      </c>
      <c r="H1034" s="17" t="str">
        <f t="shared" si="5"/>
        <v>BCA109-NA</v>
      </c>
      <c r="J1034" t="str">
        <f t="shared" si="6"/>
        <v>collected</v>
      </c>
      <c r="K1034" t="str">
        <f t="shared" si="7"/>
        <v>N</v>
      </c>
    </row>
    <row r="1035">
      <c r="A1035" s="40" t="s">
        <v>1479</v>
      </c>
      <c r="B1035" s="10" t="str">
        <f t="shared" si="1"/>
        <v>fish</v>
      </c>
      <c r="C1035" s="63" t="str">
        <f t="shared" si="2"/>
        <v>U16491</v>
      </c>
      <c r="D1035" s="11" t="str">
        <f t="array" ref="D1035">iferror(index(fish_lab_data!D:D,match(A1035,fish_lab_data!C:C,0)))</f>
        <v>P1050</v>
      </c>
      <c r="E1035" s="6">
        <v>109.0</v>
      </c>
      <c r="F1035" s="17" t="str">
        <f t="shared" si="3"/>
        <v>BCA109</v>
      </c>
      <c r="G1035" s="43" t="str">
        <f t="shared" si="4"/>
        <v>NA</v>
      </c>
      <c r="H1035" s="17" t="str">
        <f t="shared" si="5"/>
        <v>BCA109-NA</v>
      </c>
      <c r="J1035" t="str">
        <f t="shared" si="6"/>
        <v>collected</v>
      </c>
      <c r="K1035" t="str">
        <f t="shared" si="7"/>
        <v>N</v>
      </c>
    </row>
    <row r="1036">
      <c r="A1036" s="40" t="s">
        <v>1481</v>
      </c>
      <c r="B1036" s="10" t="str">
        <f t="shared" si="1"/>
        <v>fish</v>
      </c>
      <c r="C1036" s="63" t="str">
        <f t="shared" si="2"/>
        <v>U16500</v>
      </c>
      <c r="D1036" s="11" t="str">
        <f t="array" ref="D1036">iferror(index(fish_lab_data!D:D,match(A1036,fish_lab_data!C:C,0)))</f>
        <v>P1050</v>
      </c>
      <c r="E1036" s="6">
        <v>109.0</v>
      </c>
      <c r="F1036" s="17" t="str">
        <f t="shared" si="3"/>
        <v>BCA109</v>
      </c>
      <c r="G1036" s="43" t="str">
        <f t="shared" si="4"/>
        <v>NA</v>
      </c>
      <c r="H1036" s="17" t="str">
        <f t="shared" si="5"/>
        <v>BCA109-NA</v>
      </c>
      <c r="J1036" t="str">
        <f t="shared" si="6"/>
        <v>collected</v>
      </c>
      <c r="K1036" t="str">
        <f t="shared" si="7"/>
        <v>N</v>
      </c>
    </row>
    <row r="1037">
      <c r="A1037" s="40" t="s">
        <v>1482</v>
      </c>
      <c r="B1037" s="10" t="str">
        <f t="shared" si="1"/>
        <v>fish</v>
      </c>
      <c r="C1037" s="63" t="str">
        <f t="shared" si="2"/>
        <v>U16498</v>
      </c>
      <c r="D1037" s="11" t="str">
        <f t="array" ref="D1037">iferror(index(fish_lab_data!D:D,match(A1037,fish_lab_data!C:C,0)))</f>
        <v>P1050</v>
      </c>
      <c r="E1037" s="6">
        <v>109.0</v>
      </c>
      <c r="F1037" s="17" t="str">
        <f t="shared" si="3"/>
        <v>BCA109</v>
      </c>
      <c r="G1037" s="43" t="str">
        <f t="shared" si="4"/>
        <v>NA</v>
      </c>
      <c r="H1037" s="17" t="str">
        <f t="shared" si="5"/>
        <v>BCA109-NA</v>
      </c>
      <c r="J1037" t="str">
        <f t="shared" si="6"/>
        <v>collected</v>
      </c>
      <c r="K1037" t="str">
        <f t="shared" si="7"/>
        <v>N</v>
      </c>
    </row>
    <row r="1038">
      <c r="A1038" s="40" t="s">
        <v>1483</v>
      </c>
      <c r="B1038" s="10" t="str">
        <f t="shared" si="1"/>
        <v>fish</v>
      </c>
      <c r="C1038" s="63" t="str">
        <f t="shared" si="2"/>
        <v>U16499</v>
      </c>
      <c r="D1038" s="11" t="str">
        <f t="array" ref="D1038">iferror(index(fish_lab_data!D:D,match(A1038,fish_lab_data!C:C,0)))</f>
        <v>P1050</v>
      </c>
      <c r="E1038" s="6">
        <v>109.0</v>
      </c>
      <c r="F1038" s="17" t="str">
        <f t="shared" si="3"/>
        <v>BCA109</v>
      </c>
      <c r="G1038" s="43" t="str">
        <f t="shared" si="4"/>
        <v>NA</v>
      </c>
      <c r="H1038" s="17" t="str">
        <f t="shared" si="5"/>
        <v>BCA109-NA</v>
      </c>
      <c r="J1038" t="str">
        <f t="shared" si="6"/>
        <v>collected</v>
      </c>
      <c r="K1038" t="str">
        <f t="shared" si="7"/>
        <v>N</v>
      </c>
    </row>
    <row r="1039">
      <c r="A1039" s="40" t="s">
        <v>1485</v>
      </c>
      <c r="B1039" s="10" t="str">
        <f t="shared" si="1"/>
        <v>fish</v>
      </c>
      <c r="C1039" s="63" t="str">
        <f t="shared" si="2"/>
        <v>U16496</v>
      </c>
      <c r="D1039" s="11" t="str">
        <f t="array" ref="D1039">iferror(index(fish_lab_data!D:D,match(A1039,fish_lab_data!C:C,0)))</f>
        <v>P1050</v>
      </c>
      <c r="E1039" s="6">
        <v>109.0</v>
      </c>
      <c r="F1039" s="17" t="str">
        <f t="shared" si="3"/>
        <v>BCA109</v>
      </c>
      <c r="G1039" s="43" t="str">
        <f t="shared" si="4"/>
        <v>NA</v>
      </c>
      <c r="H1039" s="17" t="str">
        <f t="shared" si="5"/>
        <v>BCA109-NA</v>
      </c>
      <c r="J1039" t="str">
        <f t="shared" si="6"/>
        <v>collected</v>
      </c>
      <c r="K1039" t="str">
        <f t="shared" si="7"/>
        <v>N</v>
      </c>
    </row>
    <row r="1040">
      <c r="A1040" s="27" t="s">
        <v>1486</v>
      </c>
      <c r="B1040" s="10" t="str">
        <f t="shared" si="1"/>
        <v>fish</v>
      </c>
      <c r="C1040" s="63" t="str">
        <f t="shared" si="2"/>
        <v>U5450</v>
      </c>
      <c r="D1040" s="11" t="str">
        <f t="array" ref="D1040">iferror(index(fish_lab_data!D:D,match(A1040,fish_lab_data!C:C,0)))</f>
        <v>JP680</v>
      </c>
      <c r="E1040" s="6">
        <v>109.0</v>
      </c>
      <c r="F1040" s="17" t="str">
        <f t="shared" si="3"/>
        <v>BCA109</v>
      </c>
      <c r="G1040" s="43" t="str">
        <f t="shared" si="4"/>
        <v>NA</v>
      </c>
      <c r="H1040" s="17" t="str">
        <f t="shared" si="5"/>
        <v>BCA109-NA</v>
      </c>
      <c r="J1040" t="str">
        <f t="shared" si="6"/>
        <v>collected</v>
      </c>
      <c r="K1040" t="str">
        <f t="shared" si="7"/>
        <v>N</v>
      </c>
    </row>
    <row r="1041">
      <c r="A1041" s="27" t="s">
        <v>1487</v>
      </c>
      <c r="B1041" s="10" t="str">
        <f t="shared" si="1"/>
        <v>fish</v>
      </c>
      <c r="C1041" s="63" t="str">
        <f t="shared" si="2"/>
        <v>U5451</v>
      </c>
      <c r="D1041" s="11" t="str">
        <f t="array" ref="D1041">iferror(index(fish_lab_data!D:D,match(A1041,fish_lab_data!C:C,0)))</f>
        <v>JP680</v>
      </c>
      <c r="E1041" s="6">
        <v>109.0</v>
      </c>
      <c r="F1041" s="17" t="str">
        <f t="shared" si="3"/>
        <v>BCA109</v>
      </c>
      <c r="G1041" s="43" t="str">
        <f t="shared" si="4"/>
        <v>NA</v>
      </c>
      <c r="H1041" s="17" t="str">
        <f t="shared" si="5"/>
        <v>BCA109-NA</v>
      </c>
      <c r="J1041" t="str">
        <f t="shared" si="6"/>
        <v>collected</v>
      </c>
      <c r="K1041" t="str">
        <f t="shared" si="7"/>
        <v>N</v>
      </c>
    </row>
    <row r="1042">
      <c r="A1042" s="27" t="s">
        <v>1489</v>
      </c>
      <c r="B1042" s="10" t="str">
        <f t="shared" si="1"/>
        <v>fish</v>
      </c>
      <c r="C1042" s="63" t="str">
        <f t="shared" si="2"/>
        <v>U5452</v>
      </c>
      <c r="D1042" s="11" t="str">
        <f t="array" ref="D1042">iferror(index(fish_lab_data!D:D,match(A1042,fish_lab_data!C:C,0)))</f>
        <v>JP680</v>
      </c>
      <c r="E1042" s="6">
        <v>109.0</v>
      </c>
      <c r="F1042" s="17" t="str">
        <f t="shared" si="3"/>
        <v>BCA109</v>
      </c>
      <c r="G1042" s="43" t="str">
        <f t="shared" si="4"/>
        <v>NA</v>
      </c>
      <c r="H1042" s="17" t="str">
        <f t="shared" si="5"/>
        <v>BCA109-NA</v>
      </c>
      <c r="J1042" t="str">
        <f t="shared" si="6"/>
        <v>collected</v>
      </c>
      <c r="K1042" t="str">
        <f t="shared" si="7"/>
        <v>N</v>
      </c>
    </row>
    <row r="1043">
      <c r="A1043" s="27" t="s">
        <v>1491</v>
      </c>
      <c r="B1043" s="10" t="str">
        <f t="shared" si="1"/>
        <v>fish</v>
      </c>
      <c r="C1043" s="63" t="str">
        <f t="shared" si="2"/>
        <v>U5453</v>
      </c>
      <c r="D1043" s="11" t="str">
        <f t="array" ref="D1043">iferror(index(fish_lab_data!D:D,match(A1043,fish_lab_data!C:C,0)))</f>
        <v>JP680</v>
      </c>
      <c r="E1043" s="6">
        <v>109.0</v>
      </c>
      <c r="F1043" s="17" t="str">
        <f t="shared" si="3"/>
        <v>BCA109</v>
      </c>
      <c r="G1043" s="43" t="str">
        <f t="shared" si="4"/>
        <v>NA</v>
      </c>
      <c r="H1043" s="17" t="str">
        <f t="shared" si="5"/>
        <v>BCA109-NA</v>
      </c>
      <c r="J1043" t="str">
        <f t="shared" si="6"/>
        <v>collected</v>
      </c>
      <c r="K1043" t="str">
        <f t="shared" si="7"/>
        <v>N</v>
      </c>
    </row>
    <row r="1044">
      <c r="A1044" s="27" t="s">
        <v>1492</v>
      </c>
      <c r="B1044" s="10" t="str">
        <f t="shared" si="1"/>
        <v>fish</v>
      </c>
      <c r="C1044" s="63" t="str">
        <f t="shared" si="2"/>
        <v>U5454</v>
      </c>
      <c r="D1044" s="11" t="str">
        <f t="array" ref="D1044">iferror(index(fish_lab_data!D:D,match(A1044,fish_lab_data!C:C,0)))</f>
        <v>JP680</v>
      </c>
      <c r="E1044" s="6">
        <v>109.0</v>
      </c>
      <c r="F1044" s="17" t="str">
        <f t="shared" si="3"/>
        <v>BCA109</v>
      </c>
      <c r="G1044" s="43" t="str">
        <f t="shared" si="4"/>
        <v>NA</v>
      </c>
      <c r="H1044" s="17" t="str">
        <f t="shared" si="5"/>
        <v>BCA109-NA</v>
      </c>
      <c r="J1044" t="str">
        <f t="shared" si="6"/>
        <v>collected</v>
      </c>
      <c r="K1044" t="str">
        <f t="shared" si="7"/>
        <v>N</v>
      </c>
    </row>
    <row r="1045">
      <c r="A1045" s="27" t="s">
        <v>1493</v>
      </c>
      <c r="B1045" s="10" t="str">
        <f t="shared" si="1"/>
        <v>fish</v>
      </c>
      <c r="C1045" s="63" t="str">
        <f t="shared" si="2"/>
        <v>U5455</v>
      </c>
      <c r="D1045" s="11" t="str">
        <f t="array" ref="D1045">iferror(index(fish_lab_data!D:D,match(A1045,fish_lab_data!C:C,0)))</f>
        <v>JP680</v>
      </c>
      <c r="E1045" s="6">
        <v>109.0</v>
      </c>
      <c r="F1045" s="17" t="str">
        <f t="shared" si="3"/>
        <v>BCA109</v>
      </c>
      <c r="G1045" s="43" t="str">
        <f t="shared" si="4"/>
        <v>NA</v>
      </c>
      <c r="H1045" s="17" t="str">
        <f t="shared" si="5"/>
        <v>BCA109-NA</v>
      </c>
      <c r="J1045" t="str">
        <f t="shared" si="6"/>
        <v>collected</v>
      </c>
      <c r="K1045" t="str">
        <f t="shared" si="7"/>
        <v>N</v>
      </c>
    </row>
    <row r="1046">
      <c r="A1046" s="27" t="s">
        <v>1494</v>
      </c>
      <c r="B1046" s="10" t="str">
        <f t="shared" si="1"/>
        <v>fish</v>
      </c>
      <c r="C1046" s="63" t="str">
        <f t="shared" si="2"/>
        <v>U5456</v>
      </c>
      <c r="D1046" s="11" t="str">
        <f t="array" ref="D1046">iferror(index(fish_lab_data!D:D,match(A1046,fish_lab_data!C:C,0)))</f>
        <v>JP680</v>
      </c>
      <c r="E1046" s="6">
        <v>109.0</v>
      </c>
      <c r="F1046" s="17" t="str">
        <f t="shared" si="3"/>
        <v>BCA109</v>
      </c>
      <c r="G1046" s="43" t="str">
        <f t="shared" si="4"/>
        <v>NA</v>
      </c>
      <c r="H1046" s="17" t="str">
        <f t="shared" si="5"/>
        <v>BCA109-NA</v>
      </c>
      <c r="J1046" t="str">
        <f t="shared" si="6"/>
        <v>collected</v>
      </c>
      <c r="K1046" t="str">
        <f t="shared" si="7"/>
        <v>N</v>
      </c>
    </row>
    <row r="1047">
      <c r="A1047" s="27" t="s">
        <v>1497</v>
      </c>
      <c r="B1047" s="10" t="str">
        <f t="shared" si="1"/>
        <v>fish</v>
      </c>
      <c r="C1047" s="63" t="str">
        <f t="shared" si="2"/>
        <v>U5457</v>
      </c>
      <c r="D1047" s="11" t="str">
        <f t="array" ref="D1047">iferror(index(fish_lab_data!D:D,match(A1047,fish_lab_data!C:C,0)))</f>
        <v>JP680</v>
      </c>
      <c r="E1047" s="6">
        <v>109.0</v>
      </c>
      <c r="F1047" s="17" t="str">
        <f t="shared" si="3"/>
        <v>BCA109</v>
      </c>
      <c r="G1047" s="43" t="str">
        <f t="shared" si="4"/>
        <v>NA</v>
      </c>
      <c r="H1047" s="17" t="str">
        <f t="shared" si="5"/>
        <v>BCA109-NA</v>
      </c>
      <c r="J1047" t="str">
        <f t="shared" si="6"/>
        <v>collected</v>
      </c>
      <c r="K1047" t="str">
        <f t="shared" si="7"/>
        <v>N</v>
      </c>
    </row>
    <row r="1048">
      <c r="A1048" s="27" t="s">
        <v>1498</v>
      </c>
      <c r="B1048" s="10" t="str">
        <f t="shared" si="1"/>
        <v>fish</v>
      </c>
      <c r="C1048" s="63" t="str">
        <f t="shared" si="2"/>
        <v>U5458</v>
      </c>
      <c r="D1048" s="11" t="str">
        <f t="array" ref="D1048">iferror(index(fish_lab_data!D:D,match(A1048,fish_lab_data!C:C,0)))</f>
        <v>JP680</v>
      </c>
      <c r="E1048" s="6">
        <v>109.0</v>
      </c>
      <c r="F1048" s="17" t="str">
        <f t="shared" si="3"/>
        <v>BCA109</v>
      </c>
      <c r="G1048" s="43" t="str">
        <f t="shared" si="4"/>
        <v>NA</v>
      </c>
      <c r="H1048" s="17" t="str">
        <f t="shared" si="5"/>
        <v>BCA109-NA</v>
      </c>
      <c r="J1048" t="str">
        <f t="shared" si="6"/>
        <v>collected</v>
      </c>
      <c r="K1048" t="str">
        <f t="shared" si="7"/>
        <v>N</v>
      </c>
    </row>
    <row r="1049">
      <c r="A1049" s="27" t="s">
        <v>1499</v>
      </c>
      <c r="B1049" s="10" t="str">
        <f t="shared" si="1"/>
        <v>fish</v>
      </c>
      <c r="C1049" s="63" t="str">
        <f t="shared" si="2"/>
        <v>U5459</v>
      </c>
      <c r="D1049" s="11" t="str">
        <f t="array" ref="D1049">iferror(index(fish_lab_data!D:D,match(A1049,fish_lab_data!C:C,0)))</f>
        <v>JP680</v>
      </c>
      <c r="E1049" s="6">
        <v>109.0</v>
      </c>
      <c r="F1049" s="17" t="str">
        <f t="shared" si="3"/>
        <v>BCA109</v>
      </c>
      <c r="G1049" s="43" t="str">
        <f t="shared" si="4"/>
        <v>NA</v>
      </c>
      <c r="H1049" s="17" t="str">
        <f t="shared" si="5"/>
        <v>BCA109-NA</v>
      </c>
      <c r="J1049" t="str">
        <f t="shared" si="6"/>
        <v>collected</v>
      </c>
      <c r="K1049" t="str">
        <f t="shared" si="7"/>
        <v>N</v>
      </c>
    </row>
    <row r="1050">
      <c r="A1050" s="27" t="s">
        <v>1501</v>
      </c>
      <c r="B1050" s="10" t="str">
        <f t="shared" si="1"/>
        <v>fish</v>
      </c>
      <c r="C1050" s="63" t="str">
        <f t="shared" si="2"/>
        <v>U5460</v>
      </c>
      <c r="D1050" s="11" t="str">
        <f t="array" ref="D1050">iferror(index(fish_lab_data!D:D,match(A1050,fish_lab_data!C:C,0)))</f>
        <v>JP679</v>
      </c>
      <c r="E1050" s="6">
        <v>109.0</v>
      </c>
      <c r="F1050" s="17" t="str">
        <f t="shared" si="3"/>
        <v>BCA109</v>
      </c>
      <c r="G1050" s="43" t="str">
        <f t="shared" si="4"/>
        <v>NA</v>
      </c>
      <c r="H1050" s="17" t="str">
        <f t="shared" si="5"/>
        <v>BCA109-NA</v>
      </c>
      <c r="J1050" t="str">
        <f t="shared" si="6"/>
        <v>collected</v>
      </c>
      <c r="K1050" t="str">
        <f t="shared" si="7"/>
        <v>N</v>
      </c>
    </row>
    <row r="1051">
      <c r="A1051" s="27" t="s">
        <v>1503</v>
      </c>
      <c r="B1051" s="10" t="str">
        <f t="shared" si="1"/>
        <v>fish</v>
      </c>
      <c r="C1051" s="63" t="str">
        <f t="shared" si="2"/>
        <v>U5461</v>
      </c>
      <c r="D1051" s="11" t="str">
        <f t="array" ref="D1051">iferror(index(fish_lab_data!D:D,match(A1051,fish_lab_data!C:C,0)))</f>
        <v>JP679</v>
      </c>
      <c r="E1051" s="6">
        <v>109.0</v>
      </c>
      <c r="F1051" s="17" t="str">
        <f t="shared" si="3"/>
        <v>BCA109</v>
      </c>
      <c r="G1051" s="43" t="str">
        <f t="shared" si="4"/>
        <v>NA</v>
      </c>
      <c r="H1051" s="17" t="str">
        <f t="shared" si="5"/>
        <v>BCA109-NA</v>
      </c>
      <c r="J1051" t="str">
        <f t="shared" si="6"/>
        <v>collected</v>
      </c>
      <c r="K1051" t="str">
        <f t="shared" si="7"/>
        <v>N</v>
      </c>
    </row>
    <row r="1052">
      <c r="A1052" s="40" t="s">
        <v>1504</v>
      </c>
      <c r="B1052" s="10" t="str">
        <f t="shared" si="1"/>
        <v>fish</v>
      </c>
      <c r="C1052" s="63" t="str">
        <f t="shared" si="2"/>
        <v>U16495</v>
      </c>
      <c r="D1052" s="11" t="str">
        <f t="array" ref="D1052">iferror(index(fish_lab_data!D:D,match(A1052,fish_lab_data!C:C,0)))</f>
        <v>P1050</v>
      </c>
      <c r="E1052" s="6">
        <v>109.0</v>
      </c>
      <c r="F1052" s="17" t="str">
        <f t="shared" si="3"/>
        <v>BCA109</v>
      </c>
      <c r="G1052" s="43" t="str">
        <f t="shared" si="4"/>
        <v>NA</v>
      </c>
      <c r="H1052" s="17" t="str">
        <f t="shared" si="5"/>
        <v>BCA109-NA</v>
      </c>
      <c r="J1052" t="str">
        <f t="shared" si="6"/>
        <v>collected</v>
      </c>
      <c r="K1052" t="str">
        <f t="shared" si="7"/>
        <v>N</v>
      </c>
    </row>
    <row r="1053">
      <c r="A1053" s="40" t="s">
        <v>1505</v>
      </c>
      <c r="B1053" s="10" t="str">
        <f t="shared" si="1"/>
        <v>fish</v>
      </c>
      <c r="C1053" s="63" t="str">
        <f t="shared" si="2"/>
        <v>U16497</v>
      </c>
      <c r="D1053" s="11" t="str">
        <f t="array" ref="D1053">iferror(index(fish_lab_data!D:D,match(A1053,fish_lab_data!C:C,0)))</f>
        <v>P1050</v>
      </c>
      <c r="E1053" s="6">
        <v>109.0</v>
      </c>
      <c r="F1053" s="17" t="str">
        <f t="shared" si="3"/>
        <v>BCA109</v>
      </c>
      <c r="G1053" s="43" t="str">
        <f t="shared" si="4"/>
        <v>NA</v>
      </c>
      <c r="H1053" s="17" t="str">
        <f t="shared" si="5"/>
        <v>BCA109-NA</v>
      </c>
      <c r="J1053" t="str">
        <f t="shared" si="6"/>
        <v>collected</v>
      </c>
      <c r="K1053" t="str">
        <f t="shared" si="7"/>
        <v>N</v>
      </c>
    </row>
    <row r="1054">
      <c r="A1054" s="40" t="s">
        <v>1508</v>
      </c>
      <c r="B1054" s="10" t="str">
        <f t="shared" si="1"/>
        <v>fish</v>
      </c>
      <c r="C1054" s="63" t="str">
        <f t="shared" si="2"/>
        <v>U16493</v>
      </c>
      <c r="D1054" s="11" t="str">
        <f t="array" ref="D1054">iferror(index(fish_lab_data!D:D,match(A1054,fish_lab_data!C:C,0)))</f>
        <v>P1050</v>
      </c>
      <c r="E1054" s="6">
        <v>109.0</v>
      </c>
      <c r="F1054" s="17" t="str">
        <f t="shared" si="3"/>
        <v>BCA109</v>
      </c>
      <c r="G1054" s="43" t="str">
        <f t="shared" si="4"/>
        <v>NA</v>
      </c>
      <c r="H1054" s="17" t="str">
        <f t="shared" si="5"/>
        <v>BCA109-NA</v>
      </c>
      <c r="J1054" t="str">
        <f t="shared" si="6"/>
        <v>collected</v>
      </c>
      <c r="K1054" t="str">
        <f t="shared" si="7"/>
        <v>N</v>
      </c>
    </row>
    <row r="1055">
      <c r="A1055" s="40" t="s">
        <v>1509</v>
      </c>
      <c r="B1055" s="10" t="str">
        <f t="shared" si="1"/>
        <v>fish</v>
      </c>
      <c r="C1055" s="63" t="str">
        <f t="shared" si="2"/>
        <v>U16492</v>
      </c>
      <c r="D1055" s="11" t="str">
        <f t="array" ref="D1055">iferror(index(fish_lab_data!D:D,match(A1055,fish_lab_data!C:C,0)))</f>
        <v>P1050</v>
      </c>
      <c r="E1055" s="6">
        <v>109.0</v>
      </c>
      <c r="F1055" s="17" t="str">
        <f t="shared" si="3"/>
        <v>BCA109</v>
      </c>
      <c r="G1055" s="43" t="str">
        <f t="shared" si="4"/>
        <v>NA</v>
      </c>
      <c r="H1055" s="17" t="str">
        <f t="shared" si="5"/>
        <v>BCA109-NA</v>
      </c>
      <c r="J1055" t="str">
        <f t="shared" si="6"/>
        <v>collected</v>
      </c>
      <c r="K1055" t="str">
        <f t="shared" si="7"/>
        <v>N</v>
      </c>
    </row>
    <row r="1056">
      <c r="A1056" s="40" t="s">
        <v>1510</v>
      </c>
      <c r="B1056" s="10" t="str">
        <f t="shared" si="1"/>
        <v>fish</v>
      </c>
      <c r="C1056" s="63" t="str">
        <f t="shared" si="2"/>
        <v>U16494</v>
      </c>
      <c r="D1056" s="11" t="str">
        <f t="array" ref="D1056">iferror(index(fish_lab_data!D:D,match(A1056,fish_lab_data!C:C,0)))</f>
        <v>P1050</v>
      </c>
      <c r="E1056" s="6">
        <v>109.0</v>
      </c>
      <c r="F1056" s="17" t="str">
        <f t="shared" si="3"/>
        <v>BCA109</v>
      </c>
      <c r="G1056" s="43" t="str">
        <f t="shared" si="4"/>
        <v>NA</v>
      </c>
      <c r="H1056" s="17" t="str">
        <f t="shared" si="5"/>
        <v>BCA109-NA</v>
      </c>
      <c r="J1056" t="str">
        <f t="shared" si="6"/>
        <v>collected</v>
      </c>
      <c r="K1056" t="str">
        <f t="shared" si="7"/>
        <v>N</v>
      </c>
    </row>
    <row r="1057">
      <c r="A1057" s="40" t="s">
        <v>1513</v>
      </c>
      <c r="B1057" s="10" t="str">
        <f t="shared" si="1"/>
        <v>fish</v>
      </c>
      <c r="C1057" s="63" t="str">
        <f t="shared" si="2"/>
        <v>U16242</v>
      </c>
      <c r="D1057" s="11" t="str">
        <f t="array" ref="D1057">iferror(index(fish_lab_data!D:D,match(A1057,fish_lab_data!C:C,0)))</f>
        <v>P1025</v>
      </c>
      <c r="E1057" s="6">
        <v>109.0</v>
      </c>
      <c r="F1057" s="17" t="str">
        <f t="shared" si="3"/>
        <v>BCA109</v>
      </c>
      <c r="G1057" s="43" t="str">
        <f t="shared" si="4"/>
        <v>NA</v>
      </c>
      <c r="H1057" s="17" t="str">
        <f t="shared" si="5"/>
        <v>BCA109-NA</v>
      </c>
      <c r="J1057" t="str">
        <f t="shared" si="6"/>
        <v>collected</v>
      </c>
      <c r="K1057" t="str">
        <f t="shared" si="7"/>
        <v>N</v>
      </c>
    </row>
    <row r="1058">
      <c r="A1058" s="40" t="s">
        <v>1514</v>
      </c>
      <c r="B1058" s="10" t="str">
        <f t="shared" si="1"/>
        <v>fish</v>
      </c>
      <c r="C1058" s="63" t="str">
        <f t="shared" si="2"/>
        <v>U16246</v>
      </c>
      <c r="D1058" s="11" t="str">
        <f t="array" ref="D1058">iferror(index(fish_lab_data!D:D,match(A1058,fish_lab_data!C:C,0)))</f>
        <v>P1025</v>
      </c>
      <c r="E1058" s="6">
        <v>109.0</v>
      </c>
      <c r="F1058" s="17" t="str">
        <f t="shared" si="3"/>
        <v>BCA109</v>
      </c>
      <c r="G1058" s="43" t="str">
        <f t="shared" si="4"/>
        <v>NA</v>
      </c>
      <c r="H1058" s="17" t="str">
        <f t="shared" si="5"/>
        <v>BCA109-NA</v>
      </c>
      <c r="J1058" t="str">
        <f t="shared" si="6"/>
        <v>collected</v>
      </c>
      <c r="K1058" t="str">
        <f t="shared" si="7"/>
        <v>N</v>
      </c>
    </row>
    <row r="1059">
      <c r="A1059" s="40" t="s">
        <v>1515</v>
      </c>
      <c r="B1059" s="10" t="str">
        <f t="shared" si="1"/>
        <v>fish</v>
      </c>
      <c r="C1059" s="63" t="str">
        <f t="shared" si="2"/>
        <v>U16248</v>
      </c>
      <c r="D1059" s="11" t="str">
        <f t="array" ref="D1059">iferror(index(fish_lab_data!D:D,match(A1059,fish_lab_data!C:C,0)))</f>
        <v>P1025</v>
      </c>
      <c r="E1059" s="6">
        <v>109.0</v>
      </c>
      <c r="F1059" s="17" t="str">
        <f t="shared" si="3"/>
        <v>BCA109</v>
      </c>
      <c r="G1059" s="43" t="str">
        <f t="shared" si="4"/>
        <v>NA</v>
      </c>
      <c r="H1059" s="17" t="str">
        <f t="shared" si="5"/>
        <v>BCA109-NA</v>
      </c>
      <c r="J1059" t="str">
        <f t="shared" si="6"/>
        <v>collected</v>
      </c>
      <c r="K1059" t="str">
        <f t="shared" si="7"/>
        <v>N</v>
      </c>
    </row>
    <row r="1060">
      <c r="A1060" s="40" t="s">
        <v>1516</v>
      </c>
      <c r="B1060" s="10" t="str">
        <f t="shared" si="1"/>
        <v>fish</v>
      </c>
      <c r="C1060" s="63" t="str">
        <f t="shared" si="2"/>
        <v>U16249</v>
      </c>
      <c r="D1060" s="11" t="str">
        <f t="array" ref="D1060">iferror(index(fish_lab_data!D:D,match(A1060,fish_lab_data!C:C,0)))</f>
        <v>P1025</v>
      </c>
      <c r="E1060" s="6">
        <v>109.0</v>
      </c>
      <c r="F1060" s="17" t="str">
        <f t="shared" si="3"/>
        <v>BCA109</v>
      </c>
      <c r="G1060" s="43" t="str">
        <f t="shared" si="4"/>
        <v>NA</v>
      </c>
      <c r="H1060" s="17" t="str">
        <f t="shared" si="5"/>
        <v>BCA109-NA</v>
      </c>
      <c r="J1060" t="str">
        <f t="shared" si="6"/>
        <v>collected</v>
      </c>
      <c r="K1060" t="str">
        <f t="shared" si="7"/>
        <v>N</v>
      </c>
    </row>
    <row r="1061">
      <c r="A1061" s="40" t="s">
        <v>1519</v>
      </c>
      <c r="B1061" s="10" t="str">
        <f t="shared" si="1"/>
        <v>fish</v>
      </c>
      <c r="C1061" s="63" t="str">
        <f t="shared" si="2"/>
        <v>U16241</v>
      </c>
      <c r="D1061" s="11" t="str">
        <f t="array" ref="D1061">iferror(index(fish_lab_data!D:D,match(A1061,fish_lab_data!C:C,0)))</f>
        <v>P1025</v>
      </c>
      <c r="E1061" s="6">
        <v>109.0</v>
      </c>
      <c r="F1061" s="17" t="str">
        <f t="shared" si="3"/>
        <v>BCA109</v>
      </c>
      <c r="G1061" s="43" t="str">
        <f t="shared" si="4"/>
        <v>NA</v>
      </c>
      <c r="H1061" s="17" t="str">
        <f t="shared" si="5"/>
        <v>BCA109-NA</v>
      </c>
      <c r="J1061" t="str">
        <f t="shared" si="6"/>
        <v>collected</v>
      </c>
      <c r="K1061" t="str">
        <f t="shared" si="7"/>
        <v>N</v>
      </c>
    </row>
    <row r="1062">
      <c r="A1062" s="40" t="s">
        <v>1520</v>
      </c>
      <c r="B1062" s="10" t="str">
        <f t="shared" si="1"/>
        <v>fish</v>
      </c>
      <c r="C1062" s="63" t="str">
        <f t="shared" si="2"/>
        <v>U16244</v>
      </c>
      <c r="D1062" s="11" t="str">
        <f t="array" ref="D1062">iferror(index(fish_lab_data!D:D,match(A1062,fish_lab_data!C:C,0)))</f>
        <v>P1025</v>
      </c>
      <c r="E1062" s="6">
        <v>109.0</v>
      </c>
      <c r="F1062" s="17" t="str">
        <f t="shared" si="3"/>
        <v>BCA109</v>
      </c>
      <c r="G1062" s="43" t="str">
        <f t="shared" si="4"/>
        <v>NA</v>
      </c>
      <c r="H1062" s="17" t="str">
        <f t="shared" si="5"/>
        <v>BCA109-NA</v>
      </c>
      <c r="J1062" t="str">
        <f t="shared" si="6"/>
        <v>collected</v>
      </c>
      <c r="K1062" t="str">
        <f t="shared" si="7"/>
        <v>N</v>
      </c>
    </row>
    <row r="1063">
      <c r="A1063" s="40" t="s">
        <v>1521</v>
      </c>
      <c r="B1063" s="10" t="str">
        <f t="shared" si="1"/>
        <v>fish</v>
      </c>
      <c r="C1063" s="63" t="str">
        <f t="shared" si="2"/>
        <v>U16243</v>
      </c>
      <c r="D1063" s="11" t="str">
        <f t="array" ref="D1063">iferror(index(fish_lab_data!D:D,match(A1063,fish_lab_data!C:C,0)))</f>
        <v>P1025</v>
      </c>
      <c r="E1063" s="6">
        <v>109.0</v>
      </c>
      <c r="F1063" s="17" t="str">
        <f t="shared" si="3"/>
        <v>BCA109</v>
      </c>
      <c r="G1063" s="43" t="str">
        <f t="shared" si="4"/>
        <v>NA</v>
      </c>
      <c r="H1063" s="17" t="str">
        <f t="shared" si="5"/>
        <v>BCA109-NA</v>
      </c>
      <c r="J1063" t="str">
        <f t="shared" si="6"/>
        <v>collected</v>
      </c>
      <c r="K1063" t="str">
        <f t="shared" si="7"/>
        <v>N</v>
      </c>
    </row>
    <row r="1064">
      <c r="A1064" s="40" t="s">
        <v>1524</v>
      </c>
      <c r="B1064" s="10" t="str">
        <f t="shared" si="1"/>
        <v>fish</v>
      </c>
      <c r="C1064" s="63" t="str">
        <f t="shared" si="2"/>
        <v>U16247</v>
      </c>
      <c r="D1064" s="11" t="str">
        <f t="array" ref="D1064">iferror(index(fish_lab_data!D:D,match(A1064,fish_lab_data!C:C,0)))</f>
        <v>P1025</v>
      </c>
      <c r="E1064" s="6">
        <v>109.0</v>
      </c>
      <c r="F1064" s="17" t="str">
        <f t="shared" si="3"/>
        <v>BCA109</v>
      </c>
      <c r="G1064" s="43" t="str">
        <f t="shared" si="4"/>
        <v>NA</v>
      </c>
      <c r="H1064" s="17" t="str">
        <f t="shared" si="5"/>
        <v>BCA109-NA</v>
      </c>
      <c r="J1064" t="str">
        <f t="shared" si="6"/>
        <v>collected</v>
      </c>
      <c r="K1064" t="str">
        <f t="shared" si="7"/>
        <v>N</v>
      </c>
    </row>
    <row r="1065">
      <c r="A1065" s="40" t="s">
        <v>1525</v>
      </c>
      <c r="B1065" s="10" t="str">
        <f t="shared" si="1"/>
        <v>fish</v>
      </c>
      <c r="C1065" s="63" t="str">
        <f t="shared" si="2"/>
        <v>U16245</v>
      </c>
      <c r="D1065" s="11" t="str">
        <f t="array" ref="D1065">iferror(index(fish_lab_data!D:D,match(A1065,fish_lab_data!C:C,0)))</f>
        <v>P1025</v>
      </c>
      <c r="E1065" s="6">
        <v>109.0</v>
      </c>
      <c r="F1065" s="17" t="str">
        <f t="shared" si="3"/>
        <v>BCA109</v>
      </c>
      <c r="G1065" s="43" t="str">
        <f t="shared" si="4"/>
        <v>NA</v>
      </c>
      <c r="H1065" s="17" t="str">
        <f t="shared" si="5"/>
        <v>BCA109-NA</v>
      </c>
      <c r="J1065" t="str">
        <f t="shared" si="6"/>
        <v>collected</v>
      </c>
      <c r="K1065" t="str">
        <f t="shared" si="7"/>
        <v>N</v>
      </c>
    </row>
    <row r="1066">
      <c r="A1066" s="40" t="s">
        <v>1526</v>
      </c>
      <c r="B1066" s="10" t="str">
        <f t="shared" si="1"/>
        <v>fish</v>
      </c>
      <c r="C1066" s="63" t="str">
        <f t="shared" si="2"/>
        <v>U16102</v>
      </c>
      <c r="D1066" s="11" t="str">
        <f t="array" ref="D1066">iferror(index(fish_lab_data!D:D,match(A1066,fish_lab_data!C:C,0)))</f>
        <v>P1011</v>
      </c>
      <c r="E1066" s="6">
        <v>109.0</v>
      </c>
      <c r="F1066" s="17" t="str">
        <f t="shared" si="3"/>
        <v>BCA109</v>
      </c>
      <c r="G1066" s="43" t="str">
        <f t="shared" si="4"/>
        <v>NA</v>
      </c>
      <c r="H1066" s="17" t="str">
        <f t="shared" si="5"/>
        <v>BCA109-NA</v>
      </c>
      <c r="J1066" t="str">
        <f t="shared" si="6"/>
        <v>collected</v>
      </c>
      <c r="K1066" t="str">
        <f t="shared" si="7"/>
        <v>N</v>
      </c>
    </row>
    <row r="1067">
      <c r="A1067" s="40" t="s">
        <v>1529</v>
      </c>
      <c r="B1067" s="10" t="str">
        <f t="shared" si="1"/>
        <v>fish</v>
      </c>
      <c r="C1067" s="63" t="str">
        <f t="shared" si="2"/>
        <v>U16107</v>
      </c>
      <c r="D1067" s="11" t="str">
        <f t="array" ref="D1067">iferror(index(fish_lab_data!D:D,match(A1067,fish_lab_data!C:C,0)))</f>
        <v>P1011</v>
      </c>
      <c r="E1067" s="6">
        <v>109.0</v>
      </c>
      <c r="F1067" s="17" t="str">
        <f t="shared" si="3"/>
        <v>BCA109</v>
      </c>
      <c r="G1067" s="43" t="str">
        <f t="shared" si="4"/>
        <v>NA</v>
      </c>
      <c r="H1067" s="17" t="str">
        <f t="shared" si="5"/>
        <v>BCA109-NA</v>
      </c>
      <c r="J1067" t="str">
        <f t="shared" si="6"/>
        <v>collected</v>
      </c>
      <c r="K1067" t="str">
        <f t="shared" si="7"/>
        <v>N</v>
      </c>
    </row>
    <row r="1068">
      <c r="A1068" s="40" t="s">
        <v>1530</v>
      </c>
      <c r="B1068" s="10" t="str">
        <f t="shared" si="1"/>
        <v>fish</v>
      </c>
      <c r="C1068" s="63" t="str">
        <f t="shared" si="2"/>
        <v>U16106</v>
      </c>
      <c r="D1068" s="11" t="str">
        <f t="array" ref="D1068">iferror(index(fish_lab_data!D:D,match(A1068,fish_lab_data!C:C,0)))</f>
        <v>P1011</v>
      </c>
      <c r="E1068" s="6">
        <v>109.0</v>
      </c>
      <c r="F1068" s="17" t="str">
        <f t="shared" si="3"/>
        <v>BCA109</v>
      </c>
      <c r="G1068" s="43" t="str">
        <f t="shared" si="4"/>
        <v>NA</v>
      </c>
      <c r="H1068" s="17" t="str">
        <f t="shared" si="5"/>
        <v>BCA109-NA</v>
      </c>
      <c r="J1068" t="str">
        <f t="shared" si="6"/>
        <v>collected</v>
      </c>
      <c r="K1068" t="str">
        <f t="shared" si="7"/>
        <v>N</v>
      </c>
    </row>
    <row r="1069">
      <c r="A1069" s="40" t="s">
        <v>1531</v>
      </c>
      <c r="B1069" s="10" t="str">
        <f t="shared" si="1"/>
        <v>fish</v>
      </c>
      <c r="C1069" s="63" t="str">
        <f t="shared" si="2"/>
        <v>U16105</v>
      </c>
      <c r="D1069" s="11" t="str">
        <f t="array" ref="D1069">iferror(index(fish_lab_data!D:D,match(A1069,fish_lab_data!C:C,0)))</f>
        <v>P1011</v>
      </c>
      <c r="E1069" s="6">
        <v>110.0</v>
      </c>
      <c r="F1069" s="17" t="str">
        <f t="shared" si="3"/>
        <v>BCA110</v>
      </c>
      <c r="G1069" s="43" t="str">
        <f t="shared" si="4"/>
        <v>NA</v>
      </c>
      <c r="H1069" s="17" t="str">
        <f t="shared" si="5"/>
        <v>BCA110-NA</v>
      </c>
      <c r="J1069" t="str">
        <f t="shared" si="6"/>
        <v>collected</v>
      </c>
      <c r="K1069" t="str">
        <f t="shared" si="7"/>
        <v>N</v>
      </c>
    </row>
    <row r="1070">
      <c r="A1070" s="40" t="s">
        <v>1532</v>
      </c>
      <c r="B1070" s="10" t="str">
        <f t="shared" si="1"/>
        <v>fish</v>
      </c>
      <c r="C1070" s="63" t="str">
        <f t="shared" si="2"/>
        <v>U16101</v>
      </c>
      <c r="D1070" s="11" t="str">
        <f t="array" ref="D1070">iferror(index(fish_lab_data!D:D,match(A1070,fish_lab_data!C:C,0)))</f>
        <v>P1011</v>
      </c>
      <c r="E1070" s="6">
        <v>110.0</v>
      </c>
      <c r="F1070" s="17" t="str">
        <f t="shared" si="3"/>
        <v>BCA110</v>
      </c>
      <c r="G1070" s="43" t="str">
        <f t="shared" si="4"/>
        <v>NA</v>
      </c>
      <c r="H1070" s="17" t="str">
        <f t="shared" si="5"/>
        <v>BCA110-NA</v>
      </c>
      <c r="J1070" t="str">
        <f t="shared" si="6"/>
        <v>collected</v>
      </c>
      <c r="K1070" t="str">
        <f t="shared" si="7"/>
        <v>N</v>
      </c>
    </row>
    <row r="1071">
      <c r="A1071" s="40" t="s">
        <v>1534</v>
      </c>
      <c r="B1071" s="10" t="str">
        <f t="shared" si="1"/>
        <v>fish</v>
      </c>
      <c r="C1071" s="63" t="str">
        <f t="shared" si="2"/>
        <v>U16103</v>
      </c>
      <c r="D1071" s="11" t="str">
        <f t="array" ref="D1071">iferror(index(fish_lab_data!D:D,match(A1071,fish_lab_data!C:C,0)))</f>
        <v>P1011</v>
      </c>
      <c r="E1071" s="6">
        <v>110.0</v>
      </c>
      <c r="F1071" s="17" t="str">
        <f t="shared" si="3"/>
        <v>BCA110</v>
      </c>
      <c r="G1071" s="43" t="str">
        <f t="shared" si="4"/>
        <v>NA</v>
      </c>
      <c r="H1071" s="17" t="str">
        <f t="shared" si="5"/>
        <v>BCA110-NA</v>
      </c>
      <c r="J1071" t="str">
        <f t="shared" si="6"/>
        <v>collected</v>
      </c>
      <c r="K1071" t="str">
        <f t="shared" si="7"/>
        <v>N</v>
      </c>
    </row>
    <row r="1072">
      <c r="A1072" s="40" t="s">
        <v>1536</v>
      </c>
      <c r="B1072" s="10" t="str">
        <f t="shared" si="1"/>
        <v>fish</v>
      </c>
      <c r="C1072" s="63" t="str">
        <f t="shared" si="2"/>
        <v>U16104</v>
      </c>
      <c r="D1072" s="11" t="str">
        <f t="array" ref="D1072">iferror(index(fish_lab_data!D:D,match(A1072,fish_lab_data!C:C,0)))</f>
        <v>P1011</v>
      </c>
      <c r="E1072" s="6">
        <v>110.0</v>
      </c>
      <c r="F1072" s="17" t="str">
        <f t="shared" si="3"/>
        <v>BCA110</v>
      </c>
      <c r="G1072" s="43" t="str">
        <f t="shared" si="4"/>
        <v>NA</v>
      </c>
      <c r="H1072" s="17" t="str">
        <f t="shared" si="5"/>
        <v>BCA110-NA</v>
      </c>
      <c r="J1072" t="str">
        <f t="shared" si="6"/>
        <v>collected</v>
      </c>
      <c r="K1072" t="str">
        <f t="shared" si="7"/>
        <v>N</v>
      </c>
    </row>
    <row r="1073">
      <c r="A1073" s="40" t="s">
        <v>1537</v>
      </c>
      <c r="B1073" s="10" t="str">
        <f t="shared" si="1"/>
        <v>fish</v>
      </c>
      <c r="C1073" s="63" t="str">
        <f t="shared" si="2"/>
        <v>U16363</v>
      </c>
      <c r="D1073" s="11" t="str">
        <f t="array" ref="D1073">iferror(index(fish_lab_data!D:D,match(A1073,fish_lab_data!C:C,0)))</f>
        <v>P1037</v>
      </c>
      <c r="E1073" s="6">
        <v>110.0</v>
      </c>
      <c r="F1073" s="17" t="str">
        <f t="shared" si="3"/>
        <v>BCA110</v>
      </c>
      <c r="G1073" s="43" t="str">
        <f t="shared" si="4"/>
        <v>NA</v>
      </c>
      <c r="H1073" s="17" t="str">
        <f t="shared" si="5"/>
        <v>BCA110-NA</v>
      </c>
      <c r="J1073" t="str">
        <f t="shared" si="6"/>
        <v>collected</v>
      </c>
      <c r="K1073" t="str">
        <f t="shared" si="7"/>
        <v>N</v>
      </c>
    </row>
    <row r="1074">
      <c r="A1074" s="40" t="s">
        <v>1538</v>
      </c>
      <c r="B1074" s="10" t="str">
        <f t="shared" si="1"/>
        <v>fish</v>
      </c>
      <c r="C1074" s="63" t="str">
        <f t="shared" si="2"/>
        <v>U16362</v>
      </c>
      <c r="D1074" s="11" t="str">
        <f t="array" ref="D1074">iferror(index(fish_lab_data!D:D,match(A1074,fish_lab_data!C:C,0)))</f>
        <v>P1037</v>
      </c>
      <c r="E1074" s="6">
        <v>110.0</v>
      </c>
      <c r="F1074" s="17" t="str">
        <f t="shared" si="3"/>
        <v>BCA110</v>
      </c>
      <c r="G1074" s="43" t="str">
        <f t="shared" si="4"/>
        <v>NA</v>
      </c>
      <c r="H1074" s="17" t="str">
        <f t="shared" si="5"/>
        <v>BCA110-NA</v>
      </c>
      <c r="J1074" t="str">
        <f t="shared" si="6"/>
        <v>collected</v>
      </c>
      <c r="K1074" t="str">
        <f t="shared" si="7"/>
        <v>N</v>
      </c>
    </row>
    <row r="1075">
      <c r="A1075" s="40" t="s">
        <v>1539</v>
      </c>
      <c r="B1075" s="10" t="str">
        <f t="shared" si="1"/>
        <v>fish</v>
      </c>
      <c r="C1075" s="63" t="str">
        <f t="shared" si="2"/>
        <v>U16364</v>
      </c>
      <c r="D1075" s="11" t="str">
        <f t="array" ref="D1075">iferror(index(fish_lab_data!D:D,match(A1075,fish_lab_data!C:C,0)))</f>
        <v>P1037</v>
      </c>
      <c r="E1075" s="6">
        <v>110.0</v>
      </c>
      <c r="F1075" s="17" t="str">
        <f t="shared" si="3"/>
        <v>BCA110</v>
      </c>
      <c r="G1075" s="43" t="str">
        <f t="shared" si="4"/>
        <v>NA</v>
      </c>
      <c r="H1075" s="17" t="str">
        <f t="shared" si="5"/>
        <v>BCA110-NA</v>
      </c>
      <c r="J1075" t="str">
        <f t="shared" si="6"/>
        <v>collected</v>
      </c>
      <c r="K1075" t="str">
        <f t="shared" si="7"/>
        <v>N</v>
      </c>
    </row>
    <row r="1076">
      <c r="A1076" s="40" t="s">
        <v>1540</v>
      </c>
      <c r="B1076" s="10" t="str">
        <f t="shared" si="1"/>
        <v>fish</v>
      </c>
      <c r="C1076" s="63" t="str">
        <f t="shared" si="2"/>
        <v>U16361</v>
      </c>
      <c r="D1076" s="11" t="str">
        <f t="array" ref="D1076">iferror(index(fish_lab_data!D:D,match(A1076,fish_lab_data!C:C,0)))</f>
        <v>P1037</v>
      </c>
      <c r="E1076" s="6">
        <v>110.0</v>
      </c>
      <c r="F1076" s="17" t="str">
        <f t="shared" si="3"/>
        <v>BCA110</v>
      </c>
      <c r="G1076" s="43" t="str">
        <f t="shared" si="4"/>
        <v>NA</v>
      </c>
      <c r="H1076" s="17" t="str">
        <f t="shared" si="5"/>
        <v>BCA110-NA</v>
      </c>
      <c r="J1076" t="str">
        <f t="shared" si="6"/>
        <v>collected</v>
      </c>
      <c r="K1076" t="str">
        <f t="shared" si="7"/>
        <v>N</v>
      </c>
    </row>
    <row r="1077">
      <c r="A1077" s="40" t="s">
        <v>1542</v>
      </c>
      <c r="B1077" s="10" t="str">
        <f t="shared" si="1"/>
        <v>fish</v>
      </c>
      <c r="C1077" s="63" t="str">
        <f t="shared" si="2"/>
        <v>U17391</v>
      </c>
      <c r="D1077" s="11" t="str">
        <f t="array" ref="D1077">iferror(index(fish_lab_data!D:D,match(A1077,fish_lab_data!C:C,0)))</f>
        <v>P1140</v>
      </c>
      <c r="E1077" s="6">
        <v>110.0</v>
      </c>
      <c r="F1077" s="17" t="str">
        <f t="shared" si="3"/>
        <v>BCA110</v>
      </c>
      <c r="G1077" s="43" t="str">
        <f t="shared" si="4"/>
        <v>NA</v>
      </c>
      <c r="H1077" s="17" t="str">
        <f t="shared" si="5"/>
        <v>BCA110-NA</v>
      </c>
      <c r="J1077" t="str">
        <f t="shared" si="6"/>
        <v>collected</v>
      </c>
      <c r="K1077" t="str">
        <f t="shared" si="7"/>
        <v>N</v>
      </c>
    </row>
    <row r="1078">
      <c r="A1078" s="40" t="s">
        <v>1544</v>
      </c>
      <c r="B1078" s="10" t="str">
        <f t="shared" si="1"/>
        <v>fish</v>
      </c>
      <c r="C1078" s="63" t="str">
        <f t="shared" si="2"/>
        <v>U16391</v>
      </c>
      <c r="D1078" s="11" t="str">
        <f t="array" ref="D1078">iferror(index(fish_lab_data!D:D,match(A1078,fish_lab_data!C:C,0)))</f>
        <v>P1040</v>
      </c>
      <c r="E1078" s="6">
        <v>110.0</v>
      </c>
      <c r="F1078" s="17" t="str">
        <f t="shared" si="3"/>
        <v>BCA110</v>
      </c>
      <c r="G1078" s="43" t="str">
        <f t="shared" si="4"/>
        <v>NA</v>
      </c>
      <c r="H1078" s="17" t="str">
        <f t="shared" si="5"/>
        <v>BCA110-NA</v>
      </c>
      <c r="J1078" t="str">
        <f t="shared" si="6"/>
        <v>collected</v>
      </c>
      <c r="K1078" t="str">
        <f t="shared" si="7"/>
        <v>N</v>
      </c>
    </row>
    <row r="1079">
      <c r="A1079" s="40" t="s">
        <v>1545</v>
      </c>
      <c r="B1079" s="10" t="str">
        <f t="shared" si="1"/>
        <v>fish</v>
      </c>
      <c r="C1079" s="63" t="str">
        <f t="shared" si="2"/>
        <v>U17011</v>
      </c>
      <c r="D1079" s="11" t="str">
        <f t="array" ref="D1079">iferror(index(fish_lab_data!D:D,match(A1079,fish_lab_data!C:C,0)))</f>
        <v>P1102</v>
      </c>
      <c r="E1079" s="6">
        <v>110.0</v>
      </c>
      <c r="F1079" s="17" t="str">
        <f t="shared" si="3"/>
        <v>BCA110</v>
      </c>
      <c r="G1079" s="43" t="str">
        <f t="shared" si="4"/>
        <v>NA</v>
      </c>
      <c r="H1079" s="17" t="str">
        <f t="shared" si="5"/>
        <v>BCA110-NA</v>
      </c>
      <c r="J1079" t="str">
        <f t="shared" si="6"/>
        <v>collected</v>
      </c>
      <c r="K1079" t="str">
        <f t="shared" si="7"/>
        <v>N</v>
      </c>
    </row>
    <row r="1080">
      <c r="A1080" s="40" t="s">
        <v>1547</v>
      </c>
      <c r="B1080" s="10" t="str">
        <f t="shared" si="1"/>
        <v>fish</v>
      </c>
      <c r="C1080" s="63" t="str">
        <f t="shared" si="2"/>
        <v>U16811</v>
      </c>
      <c r="D1080" s="11" t="str">
        <f t="array" ref="D1080">iferror(index(fish_lab_data!D:D,match(A1080,fish_lab_data!C:C,0)))</f>
        <v>P1082</v>
      </c>
      <c r="E1080" s="6">
        <v>110.0</v>
      </c>
      <c r="F1080" s="17" t="str">
        <f t="shared" si="3"/>
        <v>BCA110</v>
      </c>
      <c r="G1080" s="43" t="str">
        <f t="shared" si="4"/>
        <v>NA</v>
      </c>
      <c r="H1080" s="17" t="str">
        <f t="shared" si="5"/>
        <v>BCA110-NA</v>
      </c>
      <c r="J1080" t="str">
        <f t="shared" si="6"/>
        <v>collected</v>
      </c>
      <c r="K1080" t="str">
        <f t="shared" si="7"/>
        <v>N</v>
      </c>
    </row>
    <row r="1081">
      <c r="A1081" s="40" t="s">
        <v>1549</v>
      </c>
      <c r="B1081" s="10" t="str">
        <f t="shared" si="1"/>
        <v>fish</v>
      </c>
      <c r="C1081" s="63" t="str">
        <f t="shared" si="2"/>
        <v>U16815</v>
      </c>
      <c r="D1081" s="11" t="str">
        <f t="array" ref="D1081">iferror(index(fish_lab_data!D:D,match(A1081,fish_lab_data!C:C,0)))</f>
        <v>P1082</v>
      </c>
      <c r="E1081" s="6">
        <v>110.0</v>
      </c>
      <c r="F1081" s="17" t="str">
        <f t="shared" si="3"/>
        <v>BCA110</v>
      </c>
      <c r="G1081" s="43" t="str">
        <f t="shared" si="4"/>
        <v>NA</v>
      </c>
      <c r="H1081" s="17" t="str">
        <f t="shared" si="5"/>
        <v>BCA110-NA</v>
      </c>
      <c r="J1081" t="str">
        <f t="shared" si="6"/>
        <v>collected</v>
      </c>
      <c r="K1081" t="str">
        <f t="shared" si="7"/>
        <v>N</v>
      </c>
    </row>
    <row r="1082">
      <c r="A1082" s="40" t="s">
        <v>1550</v>
      </c>
      <c r="B1082" s="10" t="str">
        <f t="shared" si="1"/>
        <v>fish</v>
      </c>
      <c r="C1082" s="63" t="str">
        <f t="shared" si="2"/>
        <v>U16818</v>
      </c>
      <c r="D1082" s="11" t="str">
        <f t="array" ref="D1082">iferror(index(fish_lab_data!D:D,match(A1082,fish_lab_data!C:C,0)))</f>
        <v>P1082</v>
      </c>
      <c r="E1082" s="6">
        <v>110.0</v>
      </c>
      <c r="F1082" s="17" t="str">
        <f t="shared" si="3"/>
        <v>BCA110</v>
      </c>
      <c r="G1082" s="43" t="str">
        <f t="shared" si="4"/>
        <v>NA</v>
      </c>
      <c r="H1082" s="17" t="str">
        <f t="shared" si="5"/>
        <v>BCA110-NA</v>
      </c>
      <c r="J1082" t="str">
        <f t="shared" si="6"/>
        <v>collected</v>
      </c>
      <c r="K1082" t="str">
        <f t="shared" si="7"/>
        <v>N</v>
      </c>
    </row>
    <row r="1083">
      <c r="A1083" s="40" t="s">
        <v>1552</v>
      </c>
      <c r="B1083" s="10" t="str">
        <f t="shared" si="1"/>
        <v>fish</v>
      </c>
      <c r="C1083" s="63" t="str">
        <f t="shared" si="2"/>
        <v>U16816</v>
      </c>
      <c r="D1083" s="11" t="str">
        <f t="array" ref="D1083">iferror(index(fish_lab_data!D:D,match(A1083,fish_lab_data!C:C,0)))</f>
        <v>P1082</v>
      </c>
      <c r="E1083" s="6">
        <v>110.0</v>
      </c>
      <c r="F1083" s="17" t="str">
        <f t="shared" si="3"/>
        <v>BCA110</v>
      </c>
      <c r="G1083" s="43" t="str">
        <f t="shared" si="4"/>
        <v>NA</v>
      </c>
      <c r="H1083" s="17" t="str">
        <f t="shared" si="5"/>
        <v>BCA110-NA</v>
      </c>
      <c r="J1083" t="str">
        <f t="shared" si="6"/>
        <v>collected</v>
      </c>
      <c r="K1083" t="str">
        <f t="shared" si="7"/>
        <v>N</v>
      </c>
    </row>
    <row r="1084">
      <c r="A1084" s="40" t="s">
        <v>1554</v>
      </c>
      <c r="B1084" s="10" t="str">
        <f t="shared" si="1"/>
        <v>fish</v>
      </c>
      <c r="C1084" s="63" t="str">
        <f t="shared" si="2"/>
        <v>U16820</v>
      </c>
      <c r="D1084" s="11" t="str">
        <f t="array" ref="D1084">iferror(index(fish_lab_data!D:D,match(A1084,fish_lab_data!C:C,0)))</f>
        <v>P1082</v>
      </c>
      <c r="E1084" s="6">
        <v>110.0</v>
      </c>
      <c r="F1084" s="17" t="str">
        <f t="shared" si="3"/>
        <v>BCA110</v>
      </c>
      <c r="G1084" s="43" t="str">
        <f t="shared" si="4"/>
        <v>NA</v>
      </c>
      <c r="H1084" s="17" t="str">
        <f t="shared" si="5"/>
        <v>BCA110-NA</v>
      </c>
      <c r="J1084" t="str">
        <f t="shared" si="6"/>
        <v>collected</v>
      </c>
      <c r="K1084" t="str">
        <f t="shared" si="7"/>
        <v>N</v>
      </c>
    </row>
    <row r="1085">
      <c r="A1085" s="40" t="s">
        <v>1555</v>
      </c>
      <c r="B1085" s="10" t="str">
        <f t="shared" si="1"/>
        <v>fish</v>
      </c>
      <c r="C1085" s="63" t="str">
        <f t="shared" si="2"/>
        <v>U16819</v>
      </c>
      <c r="D1085" s="11" t="str">
        <f t="array" ref="D1085">iferror(index(fish_lab_data!D:D,match(A1085,fish_lab_data!C:C,0)))</f>
        <v>P1082</v>
      </c>
      <c r="E1085" s="6">
        <v>110.0</v>
      </c>
      <c r="F1085" s="17" t="str">
        <f t="shared" si="3"/>
        <v>BCA110</v>
      </c>
      <c r="G1085" s="43" t="str">
        <f t="shared" si="4"/>
        <v>NA</v>
      </c>
      <c r="H1085" s="17" t="str">
        <f t="shared" si="5"/>
        <v>BCA110-NA</v>
      </c>
      <c r="J1085" t="str">
        <f t="shared" si="6"/>
        <v>collected</v>
      </c>
      <c r="K1085" t="str">
        <f t="shared" si="7"/>
        <v>N</v>
      </c>
    </row>
    <row r="1086">
      <c r="A1086" s="40" t="s">
        <v>1556</v>
      </c>
      <c r="B1086" s="10" t="str">
        <f t="shared" si="1"/>
        <v>fish</v>
      </c>
      <c r="C1086" s="63" t="str">
        <f t="shared" si="2"/>
        <v>U16813</v>
      </c>
      <c r="D1086" s="11" t="str">
        <f t="array" ref="D1086">iferror(index(fish_lab_data!D:D,match(A1086,fish_lab_data!C:C,0)))</f>
        <v>P1082</v>
      </c>
      <c r="E1086" s="6">
        <v>110.0</v>
      </c>
      <c r="F1086" s="17" t="str">
        <f t="shared" si="3"/>
        <v>BCA110</v>
      </c>
      <c r="G1086" s="43" t="str">
        <f t="shared" si="4"/>
        <v>NA</v>
      </c>
      <c r="H1086" s="17" t="str">
        <f t="shared" si="5"/>
        <v>BCA110-NA</v>
      </c>
      <c r="J1086" t="str">
        <f t="shared" si="6"/>
        <v>collected</v>
      </c>
      <c r="K1086" t="str">
        <f t="shared" si="7"/>
        <v>N</v>
      </c>
    </row>
    <row r="1087">
      <c r="A1087" s="40" t="s">
        <v>1558</v>
      </c>
      <c r="B1087" s="10" t="str">
        <f t="shared" si="1"/>
        <v>fish</v>
      </c>
      <c r="C1087" s="63" t="str">
        <f t="shared" si="2"/>
        <v>U16812</v>
      </c>
      <c r="D1087" s="11" t="str">
        <f t="array" ref="D1087">iferror(index(fish_lab_data!D:D,match(A1087,fish_lab_data!C:C,0)))</f>
        <v>P1082</v>
      </c>
      <c r="E1087" s="6">
        <v>110.0</v>
      </c>
      <c r="F1087" s="17" t="str">
        <f t="shared" si="3"/>
        <v>BCA110</v>
      </c>
      <c r="G1087" s="43" t="str">
        <f t="shared" si="4"/>
        <v>NA</v>
      </c>
      <c r="H1087" s="17" t="str">
        <f t="shared" si="5"/>
        <v>BCA110-NA</v>
      </c>
      <c r="J1087" t="str">
        <f t="shared" si="6"/>
        <v>collected</v>
      </c>
      <c r="K1087" t="str">
        <f t="shared" si="7"/>
        <v>N</v>
      </c>
    </row>
    <row r="1088">
      <c r="A1088" s="40" t="s">
        <v>1560</v>
      </c>
      <c r="B1088" s="10" t="str">
        <f t="shared" si="1"/>
        <v>fish</v>
      </c>
      <c r="C1088" s="63" t="str">
        <f t="shared" si="2"/>
        <v>U16817</v>
      </c>
      <c r="D1088" s="11" t="str">
        <f t="array" ref="D1088">iferror(index(fish_lab_data!D:D,match(A1088,fish_lab_data!C:C,0)))</f>
        <v>P1082</v>
      </c>
      <c r="E1088" s="6">
        <v>110.0</v>
      </c>
      <c r="F1088" s="17" t="str">
        <f t="shared" si="3"/>
        <v>BCA110</v>
      </c>
      <c r="G1088" s="43" t="str">
        <f t="shared" si="4"/>
        <v>NA</v>
      </c>
      <c r="H1088" s="17" t="str">
        <f t="shared" si="5"/>
        <v>BCA110-NA</v>
      </c>
      <c r="J1088" t="str">
        <f t="shared" si="6"/>
        <v>collected</v>
      </c>
      <c r="K1088" t="str">
        <f t="shared" si="7"/>
        <v>N</v>
      </c>
    </row>
    <row r="1089">
      <c r="A1089" s="40" t="s">
        <v>1561</v>
      </c>
      <c r="B1089" s="10" t="str">
        <f t="shared" si="1"/>
        <v>fish</v>
      </c>
      <c r="C1089" s="63" t="str">
        <f t="shared" si="2"/>
        <v>U16814</v>
      </c>
      <c r="D1089" s="11" t="str">
        <f t="array" ref="D1089">iferror(index(fish_lab_data!D:D,match(A1089,fish_lab_data!C:C,0)))</f>
        <v>P1082</v>
      </c>
      <c r="E1089" s="6">
        <v>110.0</v>
      </c>
      <c r="F1089" s="17" t="str">
        <f t="shared" si="3"/>
        <v>BCA110</v>
      </c>
      <c r="G1089" s="43" t="str">
        <f t="shared" si="4"/>
        <v>NA</v>
      </c>
      <c r="H1089" s="17" t="str">
        <f t="shared" si="5"/>
        <v>BCA110-NA</v>
      </c>
      <c r="J1089" t="str">
        <f t="shared" si="6"/>
        <v>collected</v>
      </c>
      <c r="K1089" t="str">
        <f t="shared" si="7"/>
        <v>N</v>
      </c>
    </row>
    <row r="1090">
      <c r="A1090" s="40" t="s">
        <v>1563</v>
      </c>
      <c r="B1090" s="10" t="str">
        <f t="shared" si="1"/>
        <v>fish</v>
      </c>
      <c r="C1090" s="63" t="str">
        <f t="shared" si="2"/>
        <v>U17138</v>
      </c>
      <c r="D1090" s="11" t="str">
        <f t="array" ref="D1090">iferror(index(fish_lab_data!D:D,match(A1090,fish_lab_data!C:C,0)))</f>
        <v>P1114</v>
      </c>
      <c r="E1090" s="6">
        <v>110.0</v>
      </c>
      <c r="F1090" s="17" t="str">
        <f t="shared" si="3"/>
        <v>BCA110</v>
      </c>
      <c r="G1090" s="43" t="str">
        <f t="shared" si="4"/>
        <v>NA</v>
      </c>
      <c r="H1090" s="17" t="str">
        <f t="shared" si="5"/>
        <v>BCA110-NA</v>
      </c>
      <c r="J1090" t="str">
        <f t="shared" si="6"/>
        <v>collected</v>
      </c>
      <c r="K1090" t="str">
        <f t="shared" si="7"/>
        <v>N</v>
      </c>
    </row>
    <row r="1091">
      <c r="A1091" s="40" t="s">
        <v>1564</v>
      </c>
      <c r="B1091" s="10" t="str">
        <f t="shared" si="1"/>
        <v>fish</v>
      </c>
      <c r="C1091" s="63" t="str">
        <f t="shared" si="2"/>
        <v>U17131</v>
      </c>
      <c r="D1091" s="11" t="str">
        <f t="array" ref="D1091">iferror(index(fish_lab_data!D:D,match(A1091,fish_lab_data!C:C,0)))</f>
        <v>P1114</v>
      </c>
      <c r="E1091" s="6">
        <v>110.0</v>
      </c>
      <c r="F1091" s="17" t="str">
        <f t="shared" si="3"/>
        <v>BCA110</v>
      </c>
      <c r="G1091" s="43" t="str">
        <f t="shared" si="4"/>
        <v>NA</v>
      </c>
      <c r="H1091" s="17" t="str">
        <f t="shared" si="5"/>
        <v>BCA110-NA</v>
      </c>
      <c r="J1091" t="str">
        <f t="shared" si="6"/>
        <v>collected</v>
      </c>
      <c r="K1091" t="str">
        <f t="shared" si="7"/>
        <v>N</v>
      </c>
    </row>
    <row r="1092">
      <c r="A1092" s="40" t="s">
        <v>1565</v>
      </c>
      <c r="B1092" s="10" t="str">
        <f t="shared" si="1"/>
        <v>fish</v>
      </c>
      <c r="C1092" s="63" t="str">
        <f t="shared" si="2"/>
        <v>U17133</v>
      </c>
      <c r="D1092" s="11" t="str">
        <f t="array" ref="D1092">iferror(index(fish_lab_data!D:D,match(A1092,fish_lab_data!C:C,0)))</f>
        <v>P1114</v>
      </c>
      <c r="E1092" s="6">
        <v>110.0</v>
      </c>
      <c r="F1092" s="17" t="str">
        <f t="shared" si="3"/>
        <v>BCA110</v>
      </c>
      <c r="G1092" s="43" t="str">
        <f t="shared" si="4"/>
        <v>NA</v>
      </c>
      <c r="H1092" s="17" t="str">
        <f t="shared" si="5"/>
        <v>BCA110-NA</v>
      </c>
      <c r="J1092" t="str">
        <f t="shared" si="6"/>
        <v>collected</v>
      </c>
      <c r="K1092" t="str">
        <f t="shared" si="7"/>
        <v>N</v>
      </c>
    </row>
    <row r="1093">
      <c r="A1093" s="40" t="s">
        <v>1566</v>
      </c>
      <c r="B1093" s="10" t="str">
        <f t="shared" si="1"/>
        <v>fish</v>
      </c>
      <c r="C1093" s="63" t="str">
        <f t="shared" si="2"/>
        <v>U17135</v>
      </c>
      <c r="D1093" s="11" t="str">
        <f t="array" ref="D1093">iferror(index(fish_lab_data!D:D,match(A1093,fish_lab_data!C:C,0)))</f>
        <v>P1114</v>
      </c>
      <c r="E1093" s="6">
        <v>110.0</v>
      </c>
      <c r="F1093" s="17" t="str">
        <f t="shared" si="3"/>
        <v>BCA110</v>
      </c>
      <c r="G1093" s="43" t="str">
        <f t="shared" si="4"/>
        <v>NA</v>
      </c>
      <c r="H1093" s="17" t="str">
        <f t="shared" si="5"/>
        <v>BCA110-NA</v>
      </c>
      <c r="J1093" t="str">
        <f t="shared" si="6"/>
        <v>collected</v>
      </c>
      <c r="K1093" t="str">
        <f t="shared" si="7"/>
        <v>N</v>
      </c>
    </row>
    <row r="1094">
      <c r="A1094" s="40" t="s">
        <v>1567</v>
      </c>
      <c r="B1094" s="10" t="str">
        <f t="shared" si="1"/>
        <v>fish</v>
      </c>
      <c r="C1094" s="63" t="str">
        <f t="shared" si="2"/>
        <v>U17136</v>
      </c>
      <c r="D1094" s="11" t="str">
        <f t="array" ref="D1094">iferror(index(fish_lab_data!D:D,match(A1094,fish_lab_data!C:C,0)))</f>
        <v>P1114</v>
      </c>
      <c r="E1094" s="6">
        <v>110.0</v>
      </c>
      <c r="F1094" s="17" t="str">
        <f t="shared" si="3"/>
        <v>BCA110</v>
      </c>
      <c r="G1094" s="43" t="str">
        <f t="shared" si="4"/>
        <v>NA</v>
      </c>
      <c r="H1094" s="17" t="str">
        <f t="shared" si="5"/>
        <v>BCA110-NA</v>
      </c>
      <c r="J1094" t="str">
        <f t="shared" si="6"/>
        <v>collected</v>
      </c>
      <c r="K1094" t="str">
        <f t="shared" si="7"/>
        <v>N</v>
      </c>
    </row>
    <row r="1095">
      <c r="A1095" s="40" t="s">
        <v>1568</v>
      </c>
      <c r="B1095" s="10" t="str">
        <f t="shared" si="1"/>
        <v>fish</v>
      </c>
      <c r="C1095" s="63" t="str">
        <f t="shared" si="2"/>
        <v>U17139</v>
      </c>
      <c r="D1095" s="11" t="str">
        <f t="array" ref="D1095">iferror(index(fish_lab_data!D:D,match(A1095,fish_lab_data!C:C,0)))</f>
        <v>P1114</v>
      </c>
      <c r="E1095" s="6">
        <v>110.0</v>
      </c>
      <c r="F1095" s="17" t="str">
        <f t="shared" si="3"/>
        <v>BCA110</v>
      </c>
      <c r="G1095" s="43" t="str">
        <f t="shared" si="4"/>
        <v>NA</v>
      </c>
      <c r="H1095" s="17" t="str">
        <f t="shared" si="5"/>
        <v>BCA110-NA</v>
      </c>
      <c r="J1095" t="str">
        <f t="shared" si="6"/>
        <v>collected</v>
      </c>
      <c r="K1095" t="str">
        <f t="shared" si="7"/>
        <v>N</v>
      </c>
    </row>
    <row r="1096">
      <c r="A1096" s="40" t="s">
        <v>1571</v>
      </c>
      <c r="B1096" s="10" t="str">
        <f t="shared" si="1"/>
        <v>fish</v>
      </c>
      <c r="C1096" s="63" t="str">
        <f t="shared" si="2"/>
        <v>U17140</v>
      </c>
      <c r="D1096" s="11" t="str">
        <f t="array" ref="D1096">iferror(index(fish_lab_data!D:D,match(A1096,fish_lab_data!C:C,0)))</f>
        <v>P1114</v>
      </c>
      <c r="E1096" s="6">
        <v>110.0</v>
      </c>
      <c r="F1096" s="17" t="str">
        <f t="shared" si="3"/>
        <v>BCA110</v>
      </c>
      <c r="G1096" s="43" t="str">
        <f t="shared" si="4"/>
        <v>NA</v>
      </c>
      <c r="H1096" s="17" t="str">
        <f t="shared" si="5"/>
        <v>BCA110-NA</v>
      </c>
      <c r="J1096" t="str">
        <f t="shared" si="6"/>
        <v>collected</v>
      </c>
      <c r="K1096" t="str">
        <f t="shared" si="7"/>
        <v>N</v>
      </c>
    </row>
    <row r="1097">
      <c r="A1097" s="40" t="s">
        <v>1572</v>
      </c>
      <c r="B1097" s="10" t="str">
        <f t="shared" si="1"/>
        <v>fish</v>
      </c>
      <c r="C1097" s="63" t="str">
        <f t="shared" si="2"/>
        <v>U17137</v>
      </c>
      <c r="D1097" s="11" t="str">
        <f t="array" ref="D1097">iferror(index(fish_lab_data!D:D,match(A1097,fish_lab_data!C:C,0)))</f>
        <v>P1114</v>
      </c>
      <c r="E1097" s="6">
        <v>110.0</v>
      </c>
      <c r="F1097" s="17" t="str">
        <f t="shared" si="3"/>
        <v>BCA110</v>
      </c>
      <c r="G1097" s="43" t="str">
        <f t="shared" si="4"/>
        <v>NA</v>
      </c>
      <c r="H1097" s="17" t="str">
        <f t="shared" si="5"/>
        <v>BCA110-NA</v>
      </c>
      <c r="J1097" t="str">
        <f t="shared" si="6"/>
        <v>collected</v>
      </c>
      <c r="K1097" t="str">
        <f t="shared" si="7"/>
        <v>N</v>
      </c>
    </row>
    <row r="1098">
      <c r="A1098" s="40" t="s">
        <v>1574</v>
      </c>
      <c r="B1098" s="10" t="str">
        <f t="shared" si="1"/>
        <v>fish</v>
      </c>
      <c r="C1098" s="63" t="str">
        <f t="shared" si="2"/>
        <v>U17134</v>
      </c>
      <c r="D1098" s="11" t="str">
        <f t="array" ref="D1098">iferror(index(fish_lab_data!D:D,match(A1098,fish_lab_data!C:C,0)))</f>
        <v>P1114</v>
      </c>
      <c r="E1098" s="6">
        <v>110.0</v>
      </c>
      <c r="F1098" s="17" t="str">
        <f t="shared" si="3"/>
        <v>BCA110</v>
      </c>
      <c r="G1098" s="43" t="str">
        <f t="shared" si="4"/>
        <v>NA</v>
      </c>
      <c r="H1098" s="17" t="str">
        <f t="shared" si="5"/>
        <v>BCA110-NA</v>
      </c>
      <c r="J1098" t="str">
        <f t="shared" si="6"/>
        <v>collected</v>
      </c>
      <c r="K1098" t="str">
        <f t="shared" si="7"/>
        <v>N</v>
      </c>
    </row>
    <row r="1099">
      <c r="A1099" s="40" t="s">
        <v>1576</v>
      </c>
      <c r="B1099" s="10" t="str">
        <f t="shared" si="1"/>
        <v>fish</v>
      </c>
      <c r="C1099" s="63" t="str">
        <f t="shared" si="2"/>
        <v>U17132</v>
      </c>
      <c r="D1099" s="11" t="str">
        <f t="array" ref="D1099">iferror(index(fish_lab_data!D:D,match(A1099,fish_lab_data!C:C,0)))</f>
        <v>P1114</v>
      </c>
      <c r="E1099" s="6">
        <v>110.0</v>
      </c>
      <c r="F1099" s="17" t="str">
        <f t="shared" si="3"/>
        <v>BCA110</v>
      </c>
      <c r="G1099" s="43" t="str">
        <f t="shared" si="4"/>
        <v>NA</v>
      </c>
      <c r="H1099" s="17" t="str">
        <f t="shared" si="5"/>
        <v>BCA110-NA</v>
      </c>
      <c r="J1099" t="str">
        <f t="shared" si="6"/>
        <v>collected</v>
      </c>
      <c r="K1099" t="str">
        <f t="shared" si="7"/>
        <v>N</v>
      </c>
    </row>
    <row r="1100">
      <c r="A1100" s="40" t="s">
        <v>1578</v>
      </c>
      <c r="B1100" s="10" t="str">
        <f t="shared" si="1"/>
        <v>fish</v>
      </c>
      <c r="C1100" s="63" t="str">
        <f t="shared" si="2"/>
        <v>U17227</v>
      </c>
      <c r="D1100" s="11" t="str">
        <f t="array" ref="D1100">iferror(index(fish_lab_data!D:D,match(A1100,fish_lab_data!C:C,0)))</f>
        <v>P1123</v>
      </c>
      <c r="E1100" s="6">
        <v>110.0</v>
      </c>
      <c r="F1100" s="17" t="str">
        <f t="shared" si="3"/>
        <v>BCA110</v>
      </c>
      <c r="G1100" s="43" t="str">
        <f t="shared" si="4"/>
        <v>NA</v>
      </c>
      <c r="H1100" s="17" t="str">
        <f t="shared" si="5"/>
        <v>BCA110-NA</v>
      </c>
      <c r="J1100" t="str">
        <f t="shared" si="6"/>
        <v>collected</v>
      </c>
      <c r="K1100" t="str">
        <f t="shared" si="7"/>
        <v>N</v>
      </c>
    </row>
    <row r="1101">
      <c r="A1101" s="40" t="s">
        <v>1579</v>
      </c>
      <c r="B1101" s="10" t="str">
        <f t="shared" si="1"/>
        <v>fish</v>
      </c>
      <c r="C1101" s="63" t="str">
        <f t="shared" si="2"/>
        <v>U17222</v>
      </c>
      <c r="D1101" s="11" t="str">
        <f t="array" ref="D1101">iferror(index(fish_lab_data!D:D,match(A1101,fish_lab_data!C:C,0)))</f>
        <v>P1123</v>
      </c>
      <c r="E1101" s="6">
        <v>110.0</v>
      </c>
      <c r="F1101" s="17" t="str">
        <f t="shared" si="3"/>
        <v>BCA110</v>
      </c>
      <c r="G1101" s="43" t="str">
        <f t="shared" si="4"/>
        <v>NA</v>
      </c>
      <c r="H1101" s="17" t="str">
        <f t="shared" si="5"/>
        <v>BCA110-NA</v>
      </c>
      <c r="J1101" t="str">
        <f t="shared" si="6"/>
        <v>collected</v>
      </c>
      <c r="K1101" t="str">
        <f t="shared" si="7"/>
        <v>N</v>
      </c>
    </row>
    <row r="1102">
      <c r="A1102" s="40" t="s">
        <v>1580</v>
      </c>
      <c r="B1102" s="10" t="str">
        <f t="shared" si="1"/>
        <v>fish</v>
      </c>
      <c r="C1102" s="63" t="str">
        <f t="shared" si="2"/>
        <v>U17221</v>
      </c>
      <c r="D1102" s="11" t="str">
        <f t="array" ref="D1102">iferror(index(fish_lab_data!D:D,match(A1102,fish_lab_data!C:C,0)))</f>
        <v>P1123</v>
      </c>
      <c r="E1102" s="6">
        <v>110.0</v>
      </c>
      <c r="F1102" s="17" t="str">
        <f t="shared" si="3"/>
        <v>BCA110</v>
      </c>
      <c r="G1102" s="43" t="str">
        <f t="shared" si="4"/>
        <v>NA</v>
      </c>
      <c r="H1102" s="17" t="str">
        <f t="shared" si="5"/>
        <v>BCA110-NA</v>
      </c>
      <c r="J1102" t="str">
        <f t="shared" si="6"/>
        <v>collected</v>
      </c>
      <c r="K1102" t="str">
        <f t="shared" si="7"/>
        <v>N</v>
      </c>
    </row>
    <row r="1103">
      <c r="A1103" s="40" t="s">
        <v>1583</v>
      </c>
      <c r="B1103" s="10" t="str">
        <f t="shared" si="1"/>
        <v>fish</v>
      </c>
      <c r="C1103" s="63" t="str">
        <f t="shared" si="2"/>
        <v>U17223</v>
      </c>
      <c r="D1103" s="11" t="str">
        <f t="array" ref="D1103">iferror(index(fish_lab_data!D:D,match(A1103,fish_lab_data!C:C,0)))</f>
        <v>P1123</v>
      </c>
      <c r="E1103" s="6">
        <v>110.0</v>
      </c>
      <c r="F1103" s="17" t="str">
        <f t="shared" si="3"/>
        <v>BCA110</v>
      </c>
      <c r="G1103" s="43" t="str">
        <f t="shared" si="4"/>
        <v>NA</v>
      </c>
      <c r="H1103" s="17" t="str">
        <f t="shared" si="5"/>
        <v>BCA110-NA</v>
      </c>
      <c r="J1103" t="str">
        <f t="shared" si="6"/>
        <v>collected</v>
      </c>
      <c r="K1103" t="str">
        <f t="shared" si="7"/>
        <v>N</v>
      </c>
    </row>
    <row r="1104">
      <c r="A1104" s="40" t="s">
        <v>1585</v>
      </c>
      <c r="B1104" s="10" t="str">
        <f t="shared" si="1"/>
        <v>fish</v>
      </c>
      <c r="C1104" s="63" t="str">
        <f t="shared" si="2"/>
        <v>U17224</v>
      </c>
      <c r="D1104" s="11" t="str">
        <f t="array" ref="D1104">iferror(index(fish_lab_data!D:D,match(A1104,fish_lab_data!C:C,0)))</f>
        <v>P1123</v>
      </c>
      <c r="E1104" s="6">
        <v>110.0</v>
      </c>
      <c r="F1104" s="17" t="str">
        <f t="shared" si="3"/>
        <v>BCA110</v>
      </c>
      <c r="G1104" s="43" t="str">
        <f t="shared" si="4"/>
        <v>NA</v>
      </c>
      <c r="H1104" s="17" t="str">
        <f t="shared" si="5"/>
        <v>BCA110-NA</v>
      </c>
      <c r="J1104" t="str">
        <f t="shared" si="6"/>
        <v>collected</v>
      </c>
      <c r="K1104" t="str">
        <f t="shared" si="7"/>
        <v>N</v>
      </c>
    </row>
    <row r="1105">
      <c r="A1105" s="40" t="s">
        <v>1586</v>
      </c>
      <c r="B1105" s="10" t="str">
        <f t="shared" si="1"/>
        <v>fish</v>
      </c>
      <c r="C1105" s="63" t="str">
        <f t="shared" si="2"/>
        <v>U17230</v>
      </c>
      <c r="D1105" s="11" t="str">
        <f t="array" ref="D1105">iferror(index(fish_lab_data!D:D,match(A1105,fish_lab_data!C:C,0)))</f>
        <v>P1123</v>
      </c>
      <c r="E1105" s="6">
        <v>110.0</v>
      </c>
      <c r="F1105" s="17" t="str">
        <f t="shared" si="3"/>
        <v>BCA110</v>
      </c>
      <c r="G1105" s="43" t="str">
        <f t="shared" si="4"/>
        <v>NA</v>
      </c>
      <c r="H1105" s="17" t="str">
        <f t="shared" si="5"/>
        <v>BCA110-NA</v>
      </c>
      <c r="J1105" t="str">
        <f t="shared" si="6"/>
        <v>collected</v>
      </c>
      <c r="K1105" t="str">
        <f t="shared" si="7"/>
        <v>N</v>
      </c>
    </row>
    <row r="1106">
      <c r="A1106" s="40" t="s">
        <v>1587</v>
      </c>
      <c r="B1106" s="10" t="str">
        <f t="shared" si="1"/>
        <v>fish</v>
      </c>
      <c r="C1106" s="63" t="str">
        <f t="shared" si="2"/>
        <v>U17225</v>
      </c>
      <c r="D1106" s="11" t="str">
        <f t="array" ref="D1106">iferror(index(fish_lab_data!D:D,match(A1106,fish_lab_data!C:C,0)))</f>
        <v>P1123</v>
      </c>
      <c r="E1106" s="6">
        <v>110.0</v>
      </c>
      <c r="F1106" s="17" t="str">
        <f t="shared" si="3"/>
        <v>BCA110</v>
      </c>
      <c r="G1106" s="43" t="str">
        <f t="shared" si="4"/>
        <v>NA</v>
      </c>
      <c r="H1106" s="17" t="str">
        <f t="shared" si="5"/>
        <v>BCA110-NA</v>
      </c>
      <c r="J1106" t="str">
        <f t="shared" si="6"/>
        <v>collected</v>
      </c>
      <c r="K1106" t="str">
        <f t="shared" si="7"/>
        <v>N</v>
      </c>
    </row>
    <row r="1107">
      <c r="A1107" s="40" t="s">
        <v>1588</v>
      </c>
      <c r="B1107" s="10" t="str">
        <f t="shared" si="1"/>
        <v>fish</v>
      </c>
      <c r="C1107" s="63" t="str">
        <f t="shared" si="2"/>
        <v>U17226</v>
      </c>
      <c r="D1107" s="11" t="str">
        <f t="array" ref="D1107">iferror(index(fish_lab_data!D:D,match(A1107,fish_lab_data!C:C,0)))</f>
        <v>P1123</v>
      </c>
      <c r="E1107" s="6">
        <v>110.0</v>
      </c>
      <c r="F1107" s="17" t="str">
        <f t="shared" si="3"/>
        <v>BCA110</v>
      </c>
      <c r="G1107" s="43" t="str">
        <f t="shared" si="4"/>
        <v>NA</v>
      </c>
      <c r="H1107" s="17" t="str">
        <f t="shared" si="5"/>
        <v>BCA110-NA</v>
      </c>
      <c r="J1107" t="str">
        <f t="shared" si="6"/>
        <v>collected</v>
      </c>
      <c r="K1107" t="str">
        <f t="shared" si="7"/>
        <v>N</v>
      </c>
    </row>
    <row r="1108">
      <c r="A1108" s="40" t="s">
        <v>1589</v>
      </c>
      <c r="B1108" s="10" t="str">
        <f t="shared" si="1"/>
        <v>fish</v>
      </c>
      <c r="C1108" s="63" t="str">
        <f t="shared" si="2"/>
        <v>U17228</v>
      </c>
      <c r="D1108" s="11" t="str">
        <f t="array" ref="D1108">iferror(index(fish_lab_data!D:D,match(A1108,fish_lab_data!C:C,0)))</f>
        <v>P1123</v>
      </c>
      <c r="E1108" s="6">
        <v>110.0</v>
      </c>
      <c r="F1108" s="17" t="str">
        <f t="shared" si="3"/>
        <v>BCA110</v>
      </c>
      <c r="G1108" s="43" t="str">
        <f t="shared" si="4"/>
        <v>NA</v>
      </c>
      <c r="H1108" s="17" t="str">
        <f t="shared" si="5"/>
        <v>BCA110-NA</v>
      </c>
      <c r="J1108" t="str">
        <f t="shared" si="6"/>
        <v>collected</v>
      </c>
      <c r="K1108" t="str">
        <f t="shared" si="7"/>
        <v>N</v>
      </c>
    </row>
    <row r="1109">
      <c r="A1109" s="40" t="s">
        <v>1591</v>
      </c>
      <c r="B1109" s="10" t="str">
        <f t="shared" si="1"/>
        <v>fish</v>
      </c>
      <c r="C1109" s="63" t="str">
        <f t="shared" si="2"/>
        <v>U16407</v>
      </c>
      <c r="D1109" s="11" t="str">
        <f t="array" ref="D1109">iferror(index(fish_lab_data!D:D,match(A1109,fish_lab_data!C:C,0)))</f>
        <v>P1041</v>
      </c>
      <c r="E1109" s="6">
        <v>110.0</v>
      </c>
      <c r="F1109" s="17" t="str">
        <f t="shared" si="3"/>
        <v>BCA110</v>
      </c>
      <c r="G1109" s="43" t="str">
        <f t="shared" si="4"/>
        <v>NA</v>
      </c>
      <c r="H1109" s="17" t="str">
        <f t="shared" si="5"/>
        <v>BCA110-NA</v>
      </c>
      <c r="J1109" t="str">
        <f t="shared" si="6"/>
        <v>collected</v>
      </c>
      <c r="K1109" t="str">
        <f t="shared" si="7"/>
        <v>N</v>
      </c>
    </row>
    <row r="1110">
      <c r="A1110" s="40" t="s">
        <v>1592</v>
      </c>
      <c r="B1110" s="10" t="str">
        <f t="shared" si="1"/>
        <v>fish</v>
      </c>
      <c r="C1110" s="63" t="str">
        <f t="shared" si="2"/>
        <v>U16410</v>
      </c>
      <c r="D1110" s="11" t="str">
        <f t="array" ref="D1110">iferror(index(fish_lab_data!D:D,match(A1110,fish_lab_data!C:C,0)))</f>
        <v>P1041</v>
      </c>
      <c r="E1110" s="6">
        <v>110.0</v>
      </c>
      <c r="F1110" s="17" t="str">
        <f t="shared" si="3"/>
        <v>BCA110</v>
      </c>
      <c r="G1110" s="43" t="str">
        <f t="shared" si="4"/>
        <v>NA</v>
      </c>
      <c r="H1110" s="17" t="str">
        <f t="shared" si="5"/>
        <v>BCA110-NA</v>
      </c>
      <c r="J1110" t="str">
        <f t="shared" si="6"/>
        <v>collected</v>
      </c>
      <c r="K1110" t="str">
        <f t="shared" si="7"/>
        <v>N</v>
      </c>
    </row>
    <row r="1111">
      <c r="A1111" s="40" t="s">
        <v>1593</v>
      </c>
      <c r="B1111" s="10" t="str">
        <f t="shared" si="1"/>
        <v>fish</v>
      </c>
      <c r="C1111" s="63" t="str">
        <f t="shared" si="2"/>
        <v>U16403</v>
      </c>
      <c r="D1111" s="11" t="str">
        <f t="array" ref="D1111">iferror(index(fish_lab_data!D:D,match(A1111,fish_lab_data!C:C,0)))</f>
        <v>P1041</v>
      </c>
      <c r="E1111" s="6">
        <v>110.0</v>
      </c>
      <c r="F1111" s="17" t="str">
        <f t="shared" si="3"/>
        <v>BCA110</v>
      </c>
      <c r="G1111" s="43" t="str">
        <f t="shared" si="4"/>
        <v>NA</v>
      </c>
      <c r="H1111" s="17" t="str">
        <f t="shared" si="5"/>
        <v>BCA110-NA</v>
      </c>
      <c r="J1111" t="str">
        <f t="shared" si="6"/>
        <v>collected</v>
      </c>
      <c r="K1111" t="str">
        <f t="shared" si="7"/>
        <v>N</v>
      </c>
    </row>
    <row r="1112">
      <c r="A1112" s="40" t="s">
        <v>1594</v>
      </c>
      <c r="B1112" s="10" t="str">
        <f t="shared" si="1"/>
        <v>fish</v>
      </c>
      <c r="C1112" s="63" t="str">
        <f t="shared" si="2"/>
        <v>U16402</v>
      </c>
      <c r="D1112" s="11" t="str">
        <f t="array" ref="D1112">iferror(index(fish_lab_data!D:D,match(A1112,fish_lab_data!C:C,0)))</f>
        <v>P1041</v>
      </c>
      <c r="E1112" s="6">
        <v>110.0</v>
      </c>
      <c r="F1112" s="17" t="str">
        <f t="shared" si="3"/>
        <v>BCA110</v>
      </c>
      <c r="G1112" s="43" t="str">
        <f t="shared" si="4"/>
        <v>NA</v>
      </c>
      <c r="H1112" s="17" t="str">
        <f t="shared" si="5"/>
        <v>BCA110-NA</v>
      </c>
      <c r="J1112" t="str">
        <f t="shared" si="6"/>
        <v>collected</v>
      </c>
      <c r="K1112" t="str">
        <f t="shared" si="7"/>
        <v>N</v>
      </c>
    </row>
    <row r="1113">
      <c r="A1113" s="40" t="s">
        <v>1596</v>
      </c>
      <c r="B1113" s="10" t="str">
        <f t="shared" si="1"/>
        <v>fish</v>
      </c>
      <c r="C1113" s="63" t="str">
        <f t="shared" si="2"/>
        <v>U16409</v>
      </c>
      <c r="D1113" s="11" t="str">
        <f t="array" ref="D1113">iferror(index(fish_lab_data!D:D,match(A1113,fish_lab_data!C:C,0)))</f>
        <v>P1041</v>
      </c>
      <c r="E1113" s="6">
        <v>110.0</v>
      </c>
      <c r="F1113" s="17" t="str">
        <f t="shared" si="3"/>
        <v>BCA110</v>
      </c>
      <c r="G1113" s="43" t="str">
        <f t="shared" si="4"/>
        <v>NA</v>
      </c>
      <c r="H1113" s="17" t="str">
        <f t="shared" si="5"/>
        <v>BCA110-NA</v>
      </c>
      <c r="J1113" t="str">
        <f t="shared" si="6"/>
        <v>collected</v>
      </c>
      <c r="K1113" t="str">
        <f t="shared" si="7"/>
        <v>N</v>
      </c>
    </row>
    <row r="1114">
      <c r="A1114" s="40" t="s">
        <v>1598</v>
      </c>
      <c r="B1114" s="10" t="str">
        <f t="shared" si="1"/>
        <v>fish</v>
      </c>
      <c r="C1114" s="63" t="str">
        <f t="shared" si="2"/>
        <v>U16404</v>
      </c>
      <c r="D1114" s="11" t="str">
        <f t="array" ref="D1114">iferror(index(fish_lab_data!D:D,match(A1114,fish_lab_data!C:C,0)))</f>
        <v>P1041</v>
      </c>
      <c r="E1114" s="6">
        <v>110.0</v>
      </c>
      <c r="F1114" s="17" t="str">
        <f t="shared" si="3"/>
        <v>BCA110</v>
      </c>
      <c r="G1114" s="43" t="str">
        <f t="shared" si="4"/>
        <v>NA</v>
      </c>
      <c r="H1114" s="17" t="str">
        <f t="shared" si="5"/>
        <v>BCA110-NA</v>
      </c>
      <c r="J1114" t="str">
        <f t="shared" si="6"/>
        <v>collected</v>
      </c>
      <c r="K1114" t="str">
        <f t="shared" si="7"/>
        <v>N</v>
      </c>
    </row>
    <row r="1115">
      <c r="A1115" s="40" t="s">
        <v>1599</v>
      </c>
      <c r="B1115" s="10" t="str">
        <f t="shared" si="1"/>
        <v>fish</v>
      </c>
      <c r="C1115" s="63" t="str">
        <f t="shared" si="2"/>
        <v>U16401</v>
      </c>
      <c r="D1115" s="11" t="str">
        <f t="array" ref="D1115">iferror(index(fish_lab_data!D:D,match(A1115,fish_lab_data!C:C,0)))</f>
        <v>P1041</v>
      </c>
      <c r="E1115" s="6">
        <v>110.0</v>
      </c>
      <c r="F1115" s="17" t="str">
        <f t="shared" si="3"/>
        <v>BCA110</v>
      </c>
      <c r="G1115" s="43" t="str">
        <f t="shared" si="4"/>
        <v>NA</v>
      </c>
      <c r="H1115" s="17" t="str">
        <f t="shared" si="5"/>
        <v>BCA110-NA</v>
      </c>
      <c r="J1115" t="str">
        <f t="shared" si="6"/>
        <v>collected</v>
      </c>
      <c r="K1115" t="str">
        <f t="shared" si="7"/>
        <v>N</v>
      </c>
    </row>
    <row r="1116">
      <c r="A1116" s="40" t="s">
        <v>1600</v>
      </c>
      <c r="B1116" s="10" t="str">
        <f t="shared" si="1"/>
        <v>fish</v>
      </c>
      <c r="C1116" s="63" t="str">
        <f t="shared" si="2"/>
        <v>U16405</v>
      </c>
      <c r="D1116" s="11" t="str">
        <f t="array" ref="D1116">iferror(index(fish_lab_data!D:D,match(A1116,fish_lab_data!C:C,0)))</f>
        <v>P1041</v>
      </c>
      <c r="E1116" s="6">
        <v>110.0</v>
      </c>
      <c r="F1116" s="17" t="str">
        <f t="shared" si="3"/>
        <v>BCA110</v>
      </c>
      <c r="G1116" s="43" t="str">
        <f t="shared" si="4"/>
        <v>NA</v>
      </c>
      <c r="H1116" s="17" t="str">
        <f t="shared" si="5"/>
        <v>BCA110-NA</v>
      </c>
      <c r="J1116" t="str">
        <f t="shared" si="6"/>
        <v>collected</v>
      </c>
      <c r="K1116" t="str">
        <f t="shared" si="7"/>
        <v>N</v>
      </c>
    </row>
    <row r="1117">
      <c r="A1117" s="40" t="s">
        <v>1602</v>
      </c>
      <c r="B1117" s="10" t="str">
        <f t="shared" si="1"/>
        <v>fish</v>
      </c>
      <c r="C1117" s="63" t="str">
        <f t="shared" si="2"/>
        <v>U16408</v>
      </c>
      <c r="D1117" s="11" t="str">
        <f t="array" ref="D1117">iferror(index(fish_lab_data!D:D,match(A1117,fish_lab_data!C:C,0)))</f>
        <v>P1041</v>
      </c>
      <c r="E1117" s="6">
        <v>110.0</v>
      </c>
      <c r="F1117" s="17" t="str">
        <f t="shared" si="3"/>
        <v>BCA110</v>
      </c>
      <c r="G1117" s="43" t="str">
        <f t="shared" si="4"/>
        <v>NA</v>
      </c>
      <c r="H1117" s="17" t="str">
        <f t="shared" si="5"/>
        <v>BCA110-NA</v>
      </c>
      <c r="J1117" t="str">
        <f t="shared" si="6"/>
        <v>collected</v>
      </c>
      <c r="K1117" t="str">
        <f t="shared" si="7"/>
        <v>N</v>
      </c>
    </row>
    <row r="1118">
      <c r="A1118" s="40" t="s">
        <v>1604</v>
      </c>
      <c r="B1118" s="10" t="str">
        <f t="shared" si="1"/>
        <v>fish</v>
      </c>
      <c r="C1118" s="63" t="str">
        <f t="shared" si="2"/>
        <v>U16406</v>
      </c>
      <c r="D1118" s="11" t="str">
        <f t="array" ref="D1118">iferror(index(fish_lab_data!D:D,match(A1118,fish_lab_data!C:C,0)))</f>
        <v>P1041</v>
      </c>
      <c r="E1118" s="6">
        <v>110.0</v>
      </c>
      <c r="F1118" s="17" t="str">
        <f t="shared" si="3"/>
        <v>BCA110</v>
      </c>
      <c r="G1118" s="43" t="str">
        <f t="shared" si="4"/>
        <v>NA</v>
      </c>
      <c r="H1118" s="17" t="str">
        <f t="shared" si="5"/>
        <v>BCA110-NA</v>
      </c>
      <c r="J1118" t="str">
        <f t="shared" si="6"/>
        <v>collected</v>
      </c>
      <c r="K1118" t="str">
        <f t="shared" si="7"/>
        <v>N</v>
      </c>
    </row>
    <row r="1119">
      <c r="A1119" s="40" t="s">
        <v>1606</v>
      </c>
      <c r="B1119" s="10" t="str">
        <f t="shared" si="1"/>
        <v>fish</v>
      </c>
      <c r="C1119" s="63" t="str">
        <f t="shared" si="2"/>
        <v>U17610</v>
      </c>
      <c r="D1119" s="11" t="str">
        <f t="array" ref="D1119">iferror(index(fish_lab_data!D:D,match(A1119,fish_lab_data!C:C,0)))</f>
        <v>P1161</v>
      </c>
      <c r="E1119" s="6">
        <v>110.0</v>
      </c>
      <c r="F1119" s="17" t="str">
        <f t="shared" si="3"/>
        <v>BCA110</v>
      </c>
      <c r="G1119" s="43" t="str">
        <f t="shared" si="4"/>
        <v>NA</v>
      </c>
      <c r="H1119" s="17" t="str">
        <f t="shared" si="5"/>
        <v>BCA110-NA</v>
      </c>
      <c r="J1119" t="str">
        <f t="shared" si="6"/>
        <v>collected</v>
      </c>
      <c r="K1119" t="str">
        <f t="shared" si="7"/>
        <v>N</v>
      </c>
    </row>
    <row r="1120">
      <c r="A1120" s="40" t="s">
        <v>1607</v>
      </c>
      <c r="B1120" s="10" t="str">
        <f t="shared" si="1"/>
        <v>fish</v>
      </c>
      <c r="C1120" s="63" t="str">
        <f t="shared" si="2"/>
        <v>U17608</v>
      </c>
      <c r="D1120" s="11" t="str">
        <f t="array" ref="D1120">iferror(index(fish_lab_data!D:D,match(A1120,fish_lab_data!C:C,0)))</f>
        <v>P1161</v>
      </c>
      <c r="E1120" s="6">
        <v>110.0</v>
      </c>
      <c r="F1120" s="17" t="str">
        <f t="shared" si="3"/>
        <v>BCA110</v>
      </c>
      <c r="G1120" s="43" t="str">
        <f t="shared" si="4"/>
        <v>NA</v>
      </c>
      <c r="H1120" s="17" t="str">
        <f t="shared" si="5"/>
        <v>BCA110-NA</v>
      </c>
      <c r="J1120" t="str">
        <f t="shared" si="6"/>
        <v>collected</v>
      </c>
      <c r="K1120" t="str">
        <f t="shared" si="7"/>
        <v>N</v>
      </c>
    </row>
    <row r="1121">
      <c r="A1121" s="40" t="s">
        <v>1608</v>
      </c>
      <c r="B1121" s="10" t="str">
        <f t="shared" si="1"/>
        <v>fish</v>
      </c>
      <c r="C1121" s="63" t="str">
        <f t="shared" si="2"/>
        <v>U17604</v>
      </c>
      <c r="D1121" s="11" t="str">
        <f t="array" ref="D1121">iferror(index(fish_lab_data!D:D,match(A1121,fish_lab_data!C:C,0)))</f>
        <v>P1161</v>
      </c>
      <c r="E1121" s="6">
        <v>110.0</v>
      </c>
      <c r="F1121" s="17" t="str">
        <f t="shared" si="3"/>
        <v>BCA110</v>
      </c>
      <c r="G1121" s="43" t="str">
        <f t="shared" si="4"/>
        <v>NA</v>
      </c>
      <c r="H1121" s="17" t="str">
        <f t="shared" si="5"/>
        <v>BCA110-NA</v>
      </c>
      <c r="J1121" t="str">
        <f t="shared" si="6"/>
        <v>collected</v>
      </c>
      <c r="K1121" t="str">
        <f t="shared" si="7"/>
        <v>N</v>
      </c>
    </row>
    <row r="1122">
      <c r="A1122" s="40" t="s">
        <v>1609</v>
      </c>
      <c r="B1122" s="10" t="str">
        <f t="shared" si="1"/>
        <v>fish</v>
      </c>
      <c r="C1122" s="63" t="str">
        <f t="shared" si="2"/>
        <v>U17609</v>
      </c>
      <c r="D1122" s="11" t="str">
        <f t="array" ref="D1122">iferror(index(fish_lab_data!D:D,match(A1122,fish_lab_data!C:C,0)))</f>
        <v>P1161</v>
      </c>
      <c r="E1122" s="6">
        <v>110.0</v>
      </c>
      <c r="F1122" s="17" t="str">
        <f t="shared" si="3"/>
        <v>BCA110</v>
      </c>
      <c r="G1122" s="43" t="str">
        <f t="shared" si="4"/>
        <v>NA</v>
      </c>
      <c r="H1122" s="17" t="str">
        <f t="shared" si="5"/>
        <v>BCA110-NA</v>
      </c>
      <c r="J1122" t="str">
        <f t="shared" si="6"/>
        <v>collected</v>
      </c>
      <c r="K1122" t="str">
        <f t="shared" si="7"/>
        <v>N</v>
      </c>
    </row>
    <row r="1123">
      <c r="A1123" s="40" t="s">
        <v>1610</v>
      </c>
      <c r="B1123" s="10" t="str">
        <f t="shared" si="1"/>
        <v>fish</v>
      </c>
      <c r="C1123" s="63" t="str">
        <f t="shared" si="2"/>
        <v>U17605</v>
      </c>
      <c r="D1123" s="11" t="str">
        <f t="array" ref="D1123">iferror(index(fish_lab_data!D:D,match(A1123,fish_lab_data!C:C,0)))</f>
        <v>P1161</v>
      </c>
      <c r="E1123" s="6">
        <v>110.0</v>
      </c>
      <c r="F1123" s="17" t="str">
        <f t="shared" si="3"/>
        <v>BCA110</v>
      </c>
      <c r="G1123" s="43" t="str">
        <f t="shared" si="4"/>
        <v>NA</v>
      </c>
      <c r="H1123" s="17" t="str">
        <f t="shared" si="5"/>
        <v>BCA110-NA</v>
      </c>
      <c r="J1123" t="str">
        <f t="shared" si="6"/>
        <v>collected</v>
      </c>
      <c r="K1123" t="str">
        <f t="shared" si="7"/>
        <v>N</v>
      </c>
    </row>
    <row r="1124">
      <c r="A1124" s="40" t="s">
        <v>1612</v>
      </c>
      <c r="B1124" s="10" t="str">
        <f t="shared" si="1"/>
        <v>fish</v>
      </c>
      <c r="C1124" s="63" t="str">
        <f t="shared" si="2"/>
        <v>U17603</v>
      </c>
      <c r="D1124" s="11" t="str">
        <f t="array" ref="D1124">iferror(index(fish_lab_data!D:D,match(A1124,fish_lab_data!C:C,0)))</f>
        <v>P1161</v>
      </c>
      <c r="E1124" s="6">
        <v>110.0</v>
      </c>
      <c r="F1124" s="17" t="str">
        <f t="shared" si="3"/>
        <v>BCA110</v>
      </c>
      <c r="G1124" s="43" t="str">
        <f t="shared" si="4"/>
        <v>NA</v>
      </c>
      <c r="H1124" s="17" t="str">
        <f t="shared" si="5"/>
        <v>BCA110-NA</v>
      </c>
      <c r="J1124" t="str">
        <f t="shared" si="6"/>
        <v>collected</v>
      </c>
      <c r="K1124" t="str">
        <f t="shared" si="7"/>
        <v>N</v>
      </c>
    </row>
    <row r="1125">
      <c r="A1125" s="40" t="s">
        <v>1613</v>
      </c>
      <c r="B1125" s="10" t="str">
        <f t="shared" si="1"/>
        <v>fish</v>
      </c>
      <c r="C1125" s="63" t="str">
        <f t="shared" si="2"/>
        <v>U17606</v>
      </c>
      <c r="D1125" s="11" t="str">
        <f t="array" ref="D1125">iferror(index(fish_lab_data!D:D,match(A1125,fish_lab_data!C:C,0)))</f>
        <v>P1161</v>
      </c>
      <c r="E1125" s="6">
        <v>110.0</v>
      </c>
      <c r="F1125" s="17" t="str">
        <f t="shared" si="3"/>
        <v>BCA110</v>
      </c>
      <c r="G1125" s="43" t="str">
        <f t="shared" si="4"/>
        <v>NA</v>
      </c>
      <c r="H1125" s="17" t="str">
        <f t="shared" si="5"/>
        <v>BCA110-NA</v>
      </c>
      <c r="J1125" t="str">
        <f t="shared" si="6"/>
        <v>collected</v>
      </c>
      <c r="K1125" t="str">
        <f t="shared" si="7"/>
        <v>N</v>
      </c>
    </row>
    <row r="1126">
      <c r="A1126" t="s">
        <v>1614</v>
      </c>
      <c r="B1126" s="10" t="str">
        <f t="shared" si="1"/>
        <v>fish</v>
      </c>
      <c r="C1126" s="63" t="str">
        <f t="shared" si="2"/>
        <v>U17229</v>
      </c>
      <c r="D1126" s="11" t="str">
        <f t="array" ref="D1126">iferror(index(fish_lab_data!D:D,match(A1126,fish_lab_data!C:C,0)))</f>
        <v>P1123</v>
      </c>
      <c r="E1126" s="6">
        <v>110.0</v>
      </c>
      <c r="F1126" s="17" t="str">
        <f t="shared" si="3"/>
        <v>BCA110</v>
      </c>
      <c r="G1126" s="43" t="str">
        <f t="shared" si="4"/>
        <v>NA</v>
      </c>
      <c r="H1126" s="17" t="str">
        <f t="shared" si="5"/>
        <v>BCA110-NA</v>
      </c>
      <c r="J1126" t="str">
        <f t="shared" si="6"/>
        <v>collected</v>
      </c>
      <c r="K1126" t="str">
        <f t="shared" si="7"/>
        <v>N</v>
      </c>
    </row>
    <row r="1127">
      <c r="A1127" t="s">
        <v>1615</v>
      </c>
      <c r="B1127" s="10" t="str">
        <f t="shared" si="1"/>
        <v>fish</v>
      </c>
      <c r="C1127" s="63" t="str">
        <f t="shared" si="2"/>
        <v>U16880</v>
      </c>
      <c r="D1127" s="11" t="str">
        <f t="array" ref="D1127">iferror(index(fish_lab_data!D:D,match(A1127,fish_lab_data!C:C,0)))</f>
        <v>P1088</v>
      </c>
      <c r="E1127" s="6">
        <v>110.0</v>
      </c>
      <c r="F1127" s="17" t="str">
        <f t="shared" si="3"/>
        <v>BCA110</v>
      </c>
      <c r="G1127" s="43" t="str">
        <f t="shared" si="4"/>
        <v>NA</v>
      </c>
      <c r="H1127" s="17" t="str">
        <f t="shared" si="5"/>
        <v>BCA110-NA</v>
      </c>
      <c r="J1127" t="str">
        <f t="shared" si="6"/>
        <v>collected</v>
      </c>
      <c r="K1127" t="str">
        <f t="shared" si="7"/>
        <v>N</v>
      </c>
    </row>
    <row r="1128">
      <c r="A1128" t="s">
        <v>1618</v>
      </c>
      <c r="B1128" s="10" t="str">
        <f t="shared" si="1"/>
        <v>fish</v>
      </c>
      <c r="C1128" s="63" t="str">
        <f t="shared" si="2"/>
        <v>U16876</v>
      </c>
      <c r="D1128" s="11" t="str">
        <f t="array" ref="D1128">iferror(index(fish_lab_data!D:D,match(A1128,fish_lab_data!C:C,0)))</f>
        <v>P1088</v>
      </c>
      <c r="E1128" s="6">
        <v>110.0</v>
      </c>
      <c r="F1128" s="17" t="str">
        <f t="shared" si="3"/>
        <v>BCA110</v>
      </c>
      <c r="G1128" s="43" t="str">
        <f t="shared" si="4"/>
        <v>NA</v>
      </c>
      <c r="H1128" s="17" t="str">
        <f t="shared" si="5"/>
        <v>BCA110-NA</v>
      </c>
      <c r="J1128" t="str">
        <f t="shared" si="6"/>
        <v>collected</v>
      </c>
      <c r="K1128" t="str">
        <f t="shared" si="7"/>
        <v>N</v>
      </c>
    </row>
    <row r="1129">
      <c r="A1129" t="s">
        <v>1619</v>
      </c>
      <c r="B1129" s="10" t="str">
        <f t="shared" si="1"/>
        <v>fish</v>
      </c>
      <c r="C1129" s="63" t="str">
        <f t="shared" si="2"/>
        <v>U16877</v>
      </c>
      <c r="D1129" s="11" t="str">
        <f t="array" ref="D1129">iferror(index(fish_lab_data!D:D,match(A1129,fish_lab_data!C:C,0)))</f>
        <v>P1088</v>
      </c>
      <c r="E1129" s="6">
        <v>110.0</v>
      </c>
      <c r="F1129" s="17" t="str">
        <f t="shared" si="3"/>
        <v>BCA110</v>
      </c>
      <c r="G1129" s="43" t="str">
        <f t="shared" si="4"/>
        <v>NA</v>
      </c>
      <c r="H1129" s="17" t="str">
        <f t="shared" si="5"/>
        <v>BCA110-NA</v>
      </c>
      <c r="J1129" t="str">
        <f t="shared" si="6"/>
        <v>collected</v>
      </c>
      <c r="K1129" t="str">
        <f t="shared" si="7"/>
        <v>N</v>
      </c>
    </row>
    <row r="1130">
      <c r="A1130" t="s">
        <v>1620</v>
      </c>
      <c r="B1130" s="10" t="str">
        <f t="shared" si="1"/>
        <v>fish</v>
      </c>
      <c r="C1130" s="63" t="str">
        <f t="shared" si="2"/>
        <v>U16879</v>
      </c>
      <c r="D1130" s="11" t="str">
        <f t="array" ref="D1130">iferror(index(fish_lab_data!D:D,match(A1130,fish_lab_data!C:C,0)))</f>
        <v>P1088</v>
      </c>
      <c r="E1130" s="6">
        <v>110.0</v>
      </c>
      <c r="F1130" s="17" t="str">
        <f t="shared" si="3"/>
        <v>BCA110</v>
      </c>
      <c r="G1130" s="43" t="str">
        <f t="shared" si="4"/>
        <v>NA</v>
      </c>
      <c r="H1130" s="17" t="str">
        <f t="shared" si="5"/>
        <v>BCA110-NA</v>
      </c>
      <c r="J1130" t="str">
        <f t="shared" si="6"/>
        <v>collected</v>
      </c>
      <c r="K1130" t="str">
        <f t="shared" si="7"/>
        <v>N</v>
      </c>
    </row>
    <row r="1131">
      <c r="A1131" t="s">
        <v>1621</v>
      </c>
      <c r="B1131" s="10" t="str">
        <f t="shared" si="1"/>
        <v>fish</v>
      </c>
      <c r="C1131" s="63" t="str">
        <f t="shared" si="2"/>
        <v>U16875</v>
      </c>
      <c r="D1131" s="11" t="str">
        <f t="array" ref="D1131">iferror(index(fish_lab_data!D:D,match(A1131,fish_lab_data!C:C,0)))</f>
        <v>P1088</v>
      </c>
      <c r="E1131" s="6">
        <v>110.0</v>
      </c>
      <c r="F1131" s="17" t="str">
        <f t="shared" si="3"/>
        <v>BCA110</v>
      </c>
      <c r="G1131" s="43" t="str">
        <f t="shared" si="4"/>
        <v>NA</v>
      </c>
      <c r="H1131" s="17" t="str">
        <f t="shared" si="5"/>
        <v>BCA110-NA</v>
      </c>
      <c r="J1131" t="str">
        <f t="shared" si="6"/>
        <v>collected</v>
      </c>
      <c r="K1131" t="str">
        <f t="shared" si="7"/>
        <v>N</v>
      </c>
    </row>
    <row r="1132">
      <c r="A1132" t="s">
        <v>1623</v>
      </c>
      <c r="B1132" s="10" t="str">
        <f t="shared" si="1"/>
        <v>fish</v>
      </c>
      <c r="C1132" s="63" t="str">
        <f t="shared" si="2"/>
        <v>U16874</v>
      </c>
      <c r="D1132" s="11" t="str">
        <f t="array" ref="D1132">iferror(index(fish_lab_data!D:D,match(A1132,fish_lab_data!C:C,0)))</f>
        <v>P1088</v>
      </c>
      <c r="E1132" s="6">
        <v>110.0</v>
      </c>
      <c r="F1132" s="17" t="str">
        <f t="shared" si="3"/>
        <v>BCA110</v>
      </c>
      <c r="G1132" s="43" t="str">
        <f t="shared" si="4"/>
        <v>NA</v>
      </c>
      <c r="H1132" s="17" t="str">
        <f t="shared" si="5"/>
        <v>BCA110-NA</v>
      </c>
      <c r="J1132" t="str">
        <f t="shared" si="6"/>
        <v>collected</v>
      </c>
      <c r="K1132" t="str">
        <f t="shared" si="7"/>
        <v>N</v>
      </c>
    </row>
    <row r="1133">
      <c r="A1133" t="s">
        <v>1624</v>
      </c>
      <c r="B1133" s="10" t="str">
        <f t="shared" si="1"/>
        <v>fish</v>
      </c>
      <c r="C1133" s="63" t="str">
        <f t="shared" si="2"/>
        <v>U16878</v>
      </c>
      <c r="D1133" s="11" t="str">
        <f t="array" ref="D1133">iferror(index(fish_lab_data!D:D,match(A1133,fish_lab_data!C:C,0)))</f>
        <v>P1088</v>
      </c>
      <c r="E1133" s="6">
        <v>110.0</v>
      </c>
      <c r="F1133" s="17" t="str">
        <f t="shared" si="3"/>
        <v>BCA110</v>
      </c>
      <c r="G1133" s="43" t="str">
        <f t="shared" si="4"/>
        <v>NA</v>
      </c>
      <c r="H1133" s="17" t="str">
        <f t="shared" si="5"/>
        <v>BCA110-NA</v>
      </c>
      <c r="J1133" t="str">
        <f t="shared" si="6"/>
        <v>collected</v>
      </c>
      <c r="K1133" t="str">
        <f t="shared" si="7"/>
        <v>N</v>
      </c>
    </row>
    <row r="1134">
      <c r="A1134" t="s">
        <v>1625</v>
      </c>
      <c r="B1134" s="10" t="str">
        <f t="shared" si="1"/>
        <v>fish</v>
      </c>
      <c r="C1134" s="63" t="str">
        <f t="shared" si="2"/>
        <v>U16872</v>
      </c>
      <c r="D1134" s="11" t="str">
        <f t="array" ref="D1134">iferror(index(fish_lab_data!D:D,match(A1134,fish_lab_data!C:C,0)))</f>
        <v>P1088</v>
      </c>
      <c r="E1134" s="6">
        <v>110.0</v>
      </c>
      <c r="F1134" s="17" t="str">
        <f t="shared" si="3"/>
        <v>BCA110</v>
      </c>
      <c r="G1134" s="43" t="str">
        <f t="shared" si="4"/>
        <v>NA</v>
      </c>
      <c r="H1134" s="17" t="str">
        <f t="shared" si="5"/>
        <v>BCA110-NA</v>
      </c>
      <c r="J1134" t="str">
        <f t="shared" si="6"/>
        <v>collected</v>
      </c>
      <c r="K1134" t="str">
        <f t="shared" si="7"/>
        <v>N</v>
      </c>
    </row>
    <row r="1135">
      <c r="A1135" t="s">
        <v>1626</v>
      </c>
      <c r="B1135" s="10" t="str">
        <f t="shared" si="1"/>
        <v>fish</v>
      </c>
      <c r="C1135" s="63" t="str">
        <f t="shared" si="2"/>
        <v>U16873</v>
      </c>
      <c r="D1135" s="11" t="str">
        <f t="array" ref="D1135">iferror(index(fish_lab_data!D:D,match(A1135,fish_lab_data!C:C,0)))</f>
        <v>P1088</v>
      </c>
      <c r="E1135" s="6">
        <v>110.0</v>
      </c>
      <c r="F1135" s="17" t="str">
        <f t="shared" si="3"/>
        <v>BCA110</v>
      </c>
      <c r="G1135" s="43" t="str">
        <f t="shared" si="4"/>
        <v>NA</v>
      </c>
      <c r="H1135" s="17" t="str">
        <f t="shared" si="5"/>
        <v>BCA110-NA</v>
      </c>
      <c r="J1135" t="str">
        <f t="shared" si="6"/>
        <v>collected</v>
      </c>
      <c r="K1135" t="str">
        <f t="shared" si="7"/>
        <v>N</v>
      </c>
    </row>
    <row r="1136">
      <c r="A1136" t="s">
        <v>1627</v>
      </c>
      <c r="B1136" s="10" t="str">
        <f t="shared" si="1"/>
        <v>fish</v>
      </c>
      <c r="C1136" s="63" t="str">
        <f t="shared" si="2"/>
        <v>U16871</v>
      </c>
      <c r="D1136" s="11" t="str">
        <f t="array" ref="D1136">iferror(index(fish_lab_data!D:D,match(A1136,fish_lab_data!C:C,0)))</f>
        <v>P1088</v>
      </c>
      <c r="E1136" s="6">
        <v>110.0</v>
      </c>
      <c r="F1136" s="17" t="str">
        <f t="shared" si="3"/>
        <v>BCA110</v>
      </c>
      <c r="G1136" s="43" t="str">
        <f t="shared" si="4"/>
        <v>NA</v>
      </c>
      <c r="H1136" s="17" t="str">
        <f t="shared" si="5"/>
        <v>BCA110-NA</v>
      </c>
      <c r="J1136" t="str">
        <f t="shared" si="6"/>
        <v>collected</v>
      </c>
      <c r="K1136" t="str">
        <f t="shared" si="7"/>
        <v>N</v>
      </c>
    </row>
    <row r="1137">
      <c r="A1137" t="s">
        <v>1629</v>
      </c>
      <c r="B1137" s="10" t="str">
        <f t="shared" si="1"/>
        <v>fish</v>
      </c>
      <c r="C1137" s="63" t="str">
        <f t="shared" si="2"/>
        <v>U17560</v>
      </c>
      <c r="D1137" s="11" t="str">
        <f t="array" ref="D1137">iferror(index(fish_lab_data!D:D,match(A1137,fish_lab_data!C:C,0)))</f>
        <v>P1156</v>
      </c>
      <c r="E1137" s="6">
        <v>110.0</v>
      </c>
      <c r="F1137" s="17" t="str">
        <f t="shared" si="3"/>
        <v>BCA110</v>
      </c>
      <c r="G1137" s="43" t="str">
        <f t="shared" si="4"/>
        <v>NA</v>
      </c>
      <c r="H1137" s="17" t="str">
        <f t="shared" si="5"/>
        <v>BCA110-NA</v>
      </c>
      <c r="J1137" t="str">
        <f t="shared" si="6"/>
        <v>collected</v>
      </c>
      <c r="K1137" t="str">
        <f t="shared" si="7"/>
        <v>N</v>
      </c>
    </row>
    <row r="1138">
      <c r="A1138" t="s">
        <v>1630</v>
      </c>
      <c r="B1138" s="10" t="str">
        <f t="shared" si="1"/>
        <v>fish</v>
      </c>
      <c r="C1138" s="63" t="str">
        <f t="shared" si="2"/>
        <v>U17552</v>
      </c>
      <c r="D1138" s="11" t="str">
        <f t="array" ref="D1138">iferror(index(fish_lab_data!D:D,match(A1138,fish_lab_data!C:C,0)))</f>
        <v>P1156</v>
      </c>
      <c r="E1138" s="6">
        <v>110.0</v>
      </c>
      <c r="F1138" s="17" t="str">
        <f t="shared" si="3"/>
        <v>BCA110</v>
      </c>
      <c r="G1138" s="43" t="str">
        <f t="shared" si="4"/>
        <v>NA</v>
      </c>
      <c r="H1138" s="17" t="str">
        <f t="shared" si="5"/>
        <v>BCA110-NA</v>
      </c>
      <c r="J1138" t="str">
        <f t="shared" si="6"/>
        <v>collected</v>
      </c>
      <c r="K1138" t="str">
        <f t="shared" si="7"/>
        <v>N</v>
      </c>
    </row>
    <row r="1139">
      <c r="A1139" t="s">
        <v>1632</v>
      </c>
      <c r="B1139" s="10" t="str">
        <f t="shared" si="1"/>
        <v>fish</v>
      </c>
      <c r="C1139" s="63" t="str">
        <f t="shared" si="2"/>
        <v>U17551</v>
      </c>
      <c r="D1139" s="11" t="str">
        <f t="array" ref="D1139">iferror(index(fish_lab_data!D:D,match(A1139,fish_lab_data!C:C,0)))</f>
        <v>P1156</v>
      </c>
      <c r="E1139" s="6">
        <v>110.0</v>
      </c>
      <c r="F1139" s="17" t="str">
        <f t="shared" si="3"/>
        <v>BCA110</v>
      </c>
      <c r="G1139" s="43" t="str">
        <f t="shared" si="4"/>
        <v>NA</v>
      </c>
      <c r="H1139" s="17" t="str">
        <f t="shared" si="5"/>
        <v>BCA110-NA</v>
      </c>
      <c r="J1139" t="str">
        <f t="shared" si="6"/>
        <v>collected</v>
      </c>
      <c r="K1139" t="str">
        <f t="shared" si="7"/>
        <v>N</v>
      </c>
    </row>
    <row r="1140">
      <c r="A1140" t="s">
        <v>1633</v>
      </c>
      <c r="B1140" s="10" t="str">
        <f t="shared" si="1"/>
        <v>fish</v>
      </c>
      <c r="C1140" s="63" t="str">
        <f t="shared" si="2"/>
        <v>U17553</v>
      </c>
      <c r="D1140" s="11" t="str">
        <f t="array" ref="D1140">iferror(index(fish_lab_data!D:D,match(A1140,fish_lab_data!C:C,0)))</f>
        <v>P1156</v>
      </c>
      <c r="E1140" s="6">
        <v>110.0</v>
      </c>
      <c r="F1140" s="17" t="str">
        <f t="shared" si="3"/>
        <v>BCA110</v>
      </c>
      <c r="G1140" s="43" t="str">
        <f t="shared" si="4"/>
        <v>NA</v>
      </c>
      <c r="H1140" s="17" t="str">
        <f t="shared" si="5"/>
        <v>BCA110-NA</v>
      </c>
      <c r="J1140" t="str">
        <f t="shared" si="6"/>
        <v>collected</v>
      </c>
      <c r="K1140" t="str">
        <f t="shared" si="7"/>
        <v>N</v>
      </c>
    </row>
    <row r="1141">
      <c r="A1141" t="s">
        <v>1635</v>
      </c>
      <c r="B1141" s="10" t="str">
        <f t="shared" si="1"/>
        <v>fish</v>
      </c>
      <c r="C1141" s="63" t="str">
        <f t="shared" si="2"/>
        <v>U17556</v>
      </c>
      <c r="D1141" s="11" t="str">
        <f t="array" ref="D1141">iferror(index(fish_lab_data!D:D,match(A1141,fish_lab_data!C:C,0)))</f>
        <v>P1156</v>
      </c>
      <c r="E1141" s="6">
        <v>110.0</v>
      </c>
      <c r="F1141" s="17" t="str">
        <f t="shared" si="3"/>
        <v>BCA110</v>
      </c>
      <c r="G1141" s="43" t="str">
        <f t="shared" si="4"/>
        <v>NA</v>
      </c>
      <c r="H1141" s="17" t="str">
        <f t="shared" si="5"/>
        <v>BCA110-NA</v>
      </c>
      <c r="J1141" t="str">
        <f t="shared" si="6"/>
        <v>collected</v>
      </c>
      <c r="K1141" t="str">
        <f t="shared" si="7"/>
        <v>N</v>
      </c>
    </row>
    <row r="1142">
      <c r="A1142" t="s">
        <v>1636</v>
      </c>
      <c r="B1142" s="10" t="str">
        <f t="shared" si="1"/>
        <v>fish</v>
      </c>
      <c r="C1142" s="63" t="str">
        <f t="shared" si="2"/>
        <v>U17554</v>
      </c>
      <c r="D1142" s="11" t="str">
        <f t="array" ref="D1142">iferror(index(fish_lab_data!D:D,match(A1142,fish_lab_data!C:C,0)))</f>
        <v>P1156</v>
      </c>
      <c r="E1142" s="6">
        <v>110.0</v>
      </c>
      <c r="F1142" s="17" t="str">
        <f t="shared" si="3"/>
        <v>BCA110</v>
      </c>
      <c r="G1142" s="43" t="str">
        <f t="shared" si="4"/>
        <v>NA</v>
      </c>
      <c r="H1142" s="17" t="str">
        <f t="shared" si="5"/>
        <v>BCA110-NA</v>
      </c>
      <c r="J1142" t="str">
        <f t="shared" si="6"/>
        <v>collected</v>
      </c>
      <c r="K1142" t="str">
        <f t="shared" si="7"/>
        <v>N</v>
      </c>
    </row>
    <row r="1143">
      <c r="A1143" s="40" t="s">
        <v>1638</v>
      </c>
      <c r="B1143" s="10" t="str">
        <f t="shared" si="1"/>
        <v>fish</v>
      </c>
      <c r="C1143" s="63" t="str">
        <f t="shared" si="2"/>
        <v>U17601</v>
      </c>
      <c r="D1143" s="11" t="str">
        <f t="array" ref="D1143">iferror(index(fish_lab_data!D:D,match(A1143,fish_lab_data!C:C,0)))</f>
        <v>P1161</v>
      </c>
      <c r="E1143" s="6">
        <v>110.0</v>
      </c>
      <c r="F1143" s="17" t="str">
        <f t="shared" si="3"/>
        <v>BCA110</v>
      </c>
      <c r="G1143" s="43" t="str">
        <f t="shared" si="4"/>
        <v>NA</v>
      </c>
      <c r="H1143" s="17" t="str">
        <f t="shared" si="5"/>
        <v>BCA110-NA</v>
      </c>
      <c r="J1143" t="str">
        <f t="shared" si="6"/>
        <v>collected</v>
      </c>
      <c r="K1143" t="str">
        <f t="shared" si="7"/>
        <v>N</v>
      </c>
    </row>
    <row r="1144">
      <c r="A1144" s="40" t="s">
        <v>1639</v>
      </c>
      <c r="B1144" s="10" t="str">
        <f t="shared" si="1"/>
        <v>fish</v>
      </c>
      <c r="C1144" s="63" t="str">
        <f t="shared" si="2"/>
        <v>U17607</v>
      </c>
      <c r="D1144" s="11" t="str">
        <f t="array" ref="D1144">iferror(index(fish_lab_data!D:D,match(A1144,fish_lab_data!C:C,0)))</f>
        <v>P1161</v>
      </c>
      <c r="E1144" s="6">
        <v>110.0</v>
      </c>
      <c r="F1144" s="17" t="str">
        <f t="shared" si="3"/>
        <v>BCA110</v>
      </c>
      <c r="G1144" s="43" t="str">
        <f t="shared" si="4"/>
        <v>NA</v>
      </c>
      <c r="H1144" s="17" t="str">
        <f t="shared" si="5"/>
        <v>BCA110-NA</v>
      </c>
      <c r="J1144" t="str">
        <f t="shared" si="6"/>
        <v>collected</v>
      </c>
      <c r="K1144" t="str">
        <f t="shared" si="7"/>
        <v>N</v>
      </c>
    </row>
    <row r="1145">
      <c r="A1145" s="40" t="s">
        <v>1641</v>
      </c>
      <c r="B1145" s="10" t="str">
        <f t="shared" si="1"/>
        <v>fish</v>
      </c>
      <c r="C1145" s="63" t="str">
        <f t="shared" si="2"/>
        <v>U17602</v>
      </c>
      <c r="D1145" s="11" t="str">
        <f t="array" ref="D1145">iferror(index(fish_lab_data!D:D,match(A1145,fish_lab_data!C:C,0)))</f>
        <v>P1161</v>
      </c>
      <c r="E1145" s="6">
        <v>110.0</v>
      </c>
      <c r="F1145" s="17" t="str">
        <f t="shared" si="3"/>
        <v>BCA110</v>
      </c>
      <c r="G1145" s="43" t="str">
        <f t="shared" si="4"/>
        <v>NA</v>
      </c>
      <c r="H1145" s="17" t="str">
        <f t="shared" si="5"/>
        <v>BCA110-NA</v>
      </c>
      <c r="J1145" t="str">
        <f t="shared" si="6"/>
        <v>collected</v>
      </c>
      <c r="K1145" t="str">
        <f t="shared" si="7"/>
        <v>N</v>
      </c>
    </row>
    <row r="1146">
      <c r="A1146" s="40" t="s">
        <v>1642</v>
      </c>
      <c r="B1146" s="10" t="str">
        <f t="shared" si="1"/>
        <v>fish</v>
      </c>
      <c r="C1146" s="63" t="str">
        <f t="shared" si="2"/>
        <v>U16748</v>
      </c>
      <c r="D1146" s="11" t="str">
        <f t="array" ref="D1146">iferror(index(fish_lab_data!D:D,match(A1146,fish_lab_data!C:C,0)))</f>
        <v>P1075</v>
      </c>
      <c r="E1146" s="6">
        <v>110.0</v>
      </c>
      <c r="F1146" s="17" t="str">
        <f t="shared" si="3"/>
        <v>BCA110</v>
      </c>
      <c r="G1146" s="43" t="str">
        <f t="shared" si="4"/>
        <v>NA</v>
      </c>
      <c r="H1146" s="17" t="str">
        <f t="shared" si="5"/>
        <v>BCA110-NA</v>
      </c>
      <c r="J1146" t="str">
        <f t="shared" si="6"/>
        <v>collected</v>
      </c>
      <c r="K1146" t="str">
        <f t="shared" si="7"/>
        <v>N</v>
      </c>
    </row>
    <row r="1147">
      <c r="A1147" s="40" t="s">
        <v>1643</v>
      </c>
      <c r="B1147" s="10" t="str">
        <f t="shared" si="1"/>
        <v>fish</v>
      </c>
      <c r="C1147" s="63" t="str">
        <f t="shared" si="2"/>
        <v>U16750</v>
      </c>
      <c r="D1147" s="11" t="str">
        <f t="array" ref="D1147">iferror(index(fish_lab_data!D:D,match(A1147,fish_lab_data!C:C,0)))</f>
        <v>P1075</v>
      </c>
      <c r="E1147" s="6">
        <v>110.0</v>
      </c>
      <c r="F1147" s="17" t="str">
        <f t="shared" si="3"/>
        <v>BCA110</v>
      </c>
      <c r="G1147" s="43" t="str">
        <f t="shared" si="4"/>
        <v>NA</v>
      </c>
      <c r="H1147" s="17" t="str">
        <f t="shared" si="5"/>
        <v>BCA110-NA</v>
      </c>
      <c r="J1147" t="str">
        <f t="shared" si="6"/>
        <v>collected</v>
      </c>
      <c r="K1147" t="str">
        <f t="shared" si="7"/>
        <v>N</v>
      </c>
    </row>
    <row r="1148">
      <c r="A1148" s="40" t="s">
        <v>1644</v>
      </c>
      <c r="B1148" s="10" t="str">
        <f t="shared" si="1"/>
        <v>fish</v>
      </c>
      <c r="C1148" s="63" t="str">
        <f t="shared" si="2"/>
        <v>U16742</v>
      </c>
      <c r="D1148" s="11" t="str">
        <f t="array" ref="D1148">iferror(index(fish_lab_data!D:D,match(A1148,fish_lab_data!C:C,0)))</f>
        <v>P1075</v>
      </c>
      <c r="E1148" s="6">
        <v>110.0</v>
      </c>
      <c r="F1148" s="17" t="str">
        <f t="shared" si="3"/>
        <v>BCA110</v>
      </c>
      <c r="G1148" s="43" t="str">
        <f t="shared" si="4"/>
        <v>NA</v>
      </c>
      <c r="H1148" s="17" t="str">
        <f t="shared" si="5"/>
        <v>BCA110-NA</v>
      </c>
      <c r="J1148" t="str">
        <f t="shared" si="6"/>
        <v>collected</v>
      </c>
      <c r="K1148" t="str">
        <f t="shared" si="7"/>
        <v>N</v>
      </c>
    </row>
    <row r="1149">
      <c r="A1149" s="40" t="s">
        <v>1646</v>
      </c>
      <c r="B1149" s="10" t="str">
        <f t="shared" si="1"/>
        <v>fish</v>
      </c>
      <c r="C1149" s="63" t="str">
        <f t="shared" si="2"/>
        <v>U16745</v>
      </c>
      <c r="D1149" s="11" t="str">
        <f t="array" ref="D1149">iferror(index(fish_lab_data!D:D,match(A1149,fish_lab_data!C:C,0)))</f>
        <v>P1075</v>
      </c>
      <c r="E1149" s="6">
        <v>110.0</v>
      </c>
      <c r="F1149" s="17" t="str">
        <f t="shared" si="3"/>
        <v>BCA110</v>
      </c>
      <c r="G1149" s="43" t="str">
        <f t="shared" si="4"/>
        <v>NA</v>
      </c>
      <c r="H1149" s="17" t="str">
        <f t="shared" si="5"/>
        <v>BCA110-NA</v>
      </c>
      <c r="J1149" t="str">
        <f t="shared" si="6"/>
        <v>collected</v>
      </c>
      <c r="K1149" t="str">
        <f t="shared" si="7"/>
        <v>N</v>
      </c>
    </row>
    <row r="1150">
      <c r="A1150" s="40" t="s">
        <v>1647</v>
      </c>
      <c r="B1150" s="10" t="str">
        <f t="shared" si="1"/>
        <v>fish</v>
      </c>
      <c r="C1150" s="63" t="str">
        <f t="shared" si="2"/>
        <v>U16741</v>
      </c>
      <c r="D1150" s="11" t="str">
        <f t="array" ref="D1150">iferror(index(fish_lab_data!D:D,match(A1150,fish_lab_data!C:C,0)))</f>
        <v>P1075</v>
      </c>
      <c r="E1150" s="6">
        <v>110.0</v>
      </c>
      <c r="F1150" s="17" t="str">
        <f t="shared" si="3"/>
        <v>BCA110</v>
      </c>
      <c r="G1150" s="43" t="str">
        <f t="shared" si="4"/>
        <v>NA</v>
      </c>
      <c r="H1150" s="17" t="str">
        <f t="shared" si="5"/>
        <v>BCA110-NA</v>
      </c>
      <c r="J1150" t="str">
        <f t="shared" si="6"/>
        <v>collected</v>
      </c>
      <c r="K1150" t="str">
        <f t="shared" si="7"/>
        <v>N</v>
      </c>
    </row>
    <row r="1151">
      <c r="A1151" s="40" t="s">
        <v>1648</v>
      </c>
      <c r="B1151" s="10" t="str">
        <f t="shared" si="1"/>
        <v>fish</v>
      </c>
      <c r="C1151" s="63" t="str">
        <f t="shared" si="2"/>
        <v>U16744</v>
      </c>
      <c r="D1151" s="11" t="str">
        <f t="array" ref="D1151">iferror(index(fish_lab_data!D:D,match(A1151,fish_lab_data!C:C,0)))</f>
        <v>P1075</v>
      </c>
      <c r="E1151" s="6">
        <v>110.0</v>
      </c>
      <c r="F1151" s="17" t="str">
        <f t="shared" si="3"/>
        <v>BCA110</v>
      </c>
      <c r="G1151" s="43" t="str">
        <f t="shared" si="4"/>
        <v>NA</v>
      </c>
      <c r="H1151" s="17" t="str">
        <f t="shared" si="5"/>
        <v>BCA110-NA</v>
      </c>
      <c r="J1151" t="str">
        <f t="shared" si="6"/>
        <v>collected</v>
      </c>
      <c r="K1151" t="str">
        <f t="shared" si="7"/>
        <v>N</v>
      </c>
    </row>
    <row r="1152">
      <c r="A1152" s="40" t="s">
        <v>1649</v>
      </c>
      <c r="B1152" s="10" t="str">
        <f t="shared" si="1"/>
        <v>fish</v>
      </c>
      <c r="C1152" s="63" t="str">
        <f t="shared" si="2"/>
        <v>U16743</v>
      </c>
      <c r="D1152" s="11" t="str">
        <f t="array" ref="D1152">iferror(index(fish_lab_data!D:D,match(A1152,fish_lab_data!C:C,0)))</f>
        <v>P1075</v>
      </c>
      <c r="E1152" s="6">
        <v>110.0</v>
      </c>
      <c r="F1152" s="17" t="str">
        <f t="shared" si="3"/>
        <v>BCA110</v>
      </c>
      <c r="G1152" s="43" t="str">
        <f t="shared" si="4"/>
        <v>NA</v>
      </c>
      <c r="H1152" s="17" t="str">
        <f t="shared" si="5"/>
        <v>BCA110-NA</v>
      </c>
      <c r="J1152" t="str">
        <f t="shared" si="6"/>
        <v>collected</v>
      </c>
      <c r="K1152" t="str">
        <f t="shared" si="7"/>
        <v>N</v>
      </c>
    </row>
    <row r="1153">
      <c r="A1153" s="40" t="s">
        <v>1650</v>
      </c>
      <c r="B1153" s="10" t="str">
        <f t="shared" si="1"/>
        <v>fish</v>
      </c>
      <c r="C1153" s="63" t="str">
        <f t="shared" si="2"/>
        <v>U16747</v>
      </c>
      <c r="D1153" s="11" t="str">
        <f t="array" ref="D1153">iferror(index(fish_lab_data!D:D,match(A1153,fish_lab_data!C:C,0)))</f>
        <v>P1075</v>
      </c>
      <c r="E1153" s="6">
        <v>110.0</v>
      </c>
      <c r="F1153" s="17" t="str">
        <f t="shared" si="3"/>
        <v>BCA110</v>
      </c>
      <c r="G1153" s="43" t="str">
        <f t="shared" si="4"/>
        <v>NA</v>
      </c>
      <c r="H1153" s="17" t="str">
        <f t="shared" si="5"/>
        <v>BCA110-NA</v>
      </c>
      <c r="J1153" t="str">
        <f t="shared" si="6"/>
        <v>collected</v>
      </c>
      <c r="K1153" t="str">
        <f t="shared" si="7"/>
        <v>N</v>
      </c>
    </row>
    <row r="1154">
      <c r="A1154" s="40" t="s">
        <v>1652</v>
      </c>
      <c r="B1154" s="10" t="str">
        <f t="shared" si="1"/>
        <v>fish</v>
      </c>
      <c r="C1154" s="63" t="str">
        <f t="shared" si="2"/>
        <v>U16749</v>
      </c>
      <c r="D1154" s="11" t="str">
        <f t="array" ref="D1154">iferror(index(fish_lab_data!D:D,match(A1154,fish_lab_data!C:C,0)))</f>
        <v>P1075</v>
      </c>
      <c r="E1154" s="6">
        <v>110.0</v>
      </c>
      <c r="F1154" s="17" t="str">
        <f t="shared" si="3"/>
        <v>BCA110</v>
      </c>
      <c r="G1154" s="43" t="str">
        <f t="shared" si="4"/>
        <v>NA</v>
      </c>
      <c r="H1154" s="17" t="str">
        <f t="shared" si="5"/>
        <v>BCA110-NA</v>
      </c>
      <c r="J1154" t="str">
        <f t="shared" si="6"/>
        <v>collected</v>
      </c>
      <c r="K1154" t="str">
        <f t="shared" si="7"/>
        <v>N</v>
      </c>
    </row>
    <row r="1155">
      <c r="A1155" s="40" t="s">
        <v>1653</v>
      </c>
      <c r="B1155" s="10" t="str">
        <f t="shared" si="1"/>
        <v>fish</v>
      </c>
      <c r="C1155" s="63" t="str">
        <f t="shared" si="2"/>
        <v>U16746</v>
      </c>
      <c r="D1155" s="11" t="str">
        <f t="array" ref="D1155">iferror(index(fish_lab_data!D:D,match(A1155,fish_lab_data!C:C,0)))</f>
        <v>P1075</v>
      </c>
      <c r="E1155" s="6">
        <v>110.0</v>
      </c>
      <c r="F1155" s="17" t="str">
        <f t="shared" si="3"/>
        <v>BCA110</v>
      </c>
      <c r="G1155" s="43" t="str">
        <f t="shared" si="4"/>
        <v>NA</v>
      </c>
      <c r="H1155" s="17" t="str">
        <f t="shared" si="5"/>
        <v>BCA110-NA</v>
      </c>
      <c r="J1155" t="str">
        <f t="shared" si="6"/>
        <v>collected</v>
      </c>
      <c r="K1155" t="str">
        <f t="shared" si="7"/>
        <v>N</v>
      </c>
    </row>
    <row r="1156">
      <c r="A1156" s="40" t="s">
        <v>1654</v>
      </c>
      <c r="B1156" s="10" t="str">
        <f t="shared" si="1"/>
        <v>fish</v>
      </c>
      <c r="C1156" s="63" t="str">
        <f t="shared" si="2"/>
        <v>U16287</v>
      </c>
      <c r="D1156" s="11" t="str">
        <f t="array" ref="D1156">iferror(index(fish_lab_data!D:D,match(A1156,fish_lab_data!C:C,0)))</f>
        <v>P1029</v>
      </c>
      <c r="E1156" s="6">
        <v>110.0</v>
      </c>
      <c r="F1156" s="17" t="str">
        <f t="shared" si="3"/>
        <v>BCA110</v>
      </c>
      <c r="G1156" s="43" t="str">
        <f t="shared" si="4"/>
        <v>NA</v>
      </c>
      <c r="H1156" s="17" t="str">
        <f t="shared" si="5"/>
        <v>BCA110-NA</v>
      </c>
      <c r="J1156" t="str">
        <f t="shared" si="6"/>
        <v>collected</v>
      </c>
      <c r="K1156" t="str">
        <f t="shared" si="7"/>
        <v>N</v>
      </c>
    </row>
    <row r="1157">
      <c r="A1157" s="40" t="s">
        <v>1655</v>
      </c>
      <c r="B1157" s="10" t="str">
        <f t="shared" si="1"/>
        <v>fish</v>
      </c>
      <c r="C1157" s="63" t="str">
        <f t="shared" si="2"/>
        <v>U16286</v>
      </c>
      <c r="D1157" s="11" t="str">
        <f t="array" ref="D1157">iferror(index(fish_lab_data!D:D,match(A1157,fish_lab_data!C:C,0)))</f>
        <v>P1029</v>
      </c>
      <c r="E1157" s="6">
        <v>110.0</v>
      </c>
      <c r="F1157" s="17" t="str">
        <f t="shared" si="3"/>
        <v>BCA110</v>
      </c>
      <c r="G1157" s="43" t="str">
        <f t="shared" si="4"/>
        <v>NA</v>
      </c>
      <c r="H1157" s="17" t="str">
        <f t="shared" si="5"/>
        <v>BCA110-NA</v>
      </c>
      <c r="J1157" t="str">
        <f t="shared" si="6"/>
        <v>collected</v>
      </c>
      <c r="K1157" t="str">
        <f t="shared" si="7"/>
        <v>N</v>
      </c>
    </row>
    <row r="1158">
      <c r="A1158" s="40" t="s">
        <v>1656</v>
      </c>
      <c r="B1158" s="10" t="str">
        <f t="shared" si="1"/>
        <v>fish</v>
      </c>
      <c r="C1158" s="63" t="str">
        <f t="shared" si="2"/>
        <v>U16285</v>
      </c>
      <c r="D1158" s="11" t="str">
        <f t="array" ref="D1158">iferror(index(fish_lab_data!D:D,match(A1158,fish_lab_data!C:C,0)))</f>
        <v>P1029</v>
      </c>
      <c r="E1158" s="6">
        <v>110.0</v>
      </c>
      <c r="F1158" s="17" t="str">
        <f t="shared" si="3"/>
        <v>BCA110</v>
      </c>
      <c r="G1158" s="43" t="str">
        <f t="shared" si="4"/>
        <v>NA</v>
      </c>
      <c r="H1158" s="17" t="str">
        <f t="shared" si="5"/>
        <v>BCA110-NA</v>
      </c>
      <c r="J1158" t="str">
        <f t="shared" si="6"/>
        <v>collected</v>
      </c>
      <c r="K1158" t="str">
        <f t="shared" si="7"/>
        <v>N</v>
      </c>
    </row>
    <row r="1159">
      <c r="A1159" s="40" t="s">
        <v>1658</v>
      </c>
      <c r="B1159" s="10" t="str">
        <f t="shared" si="1"/>
        <v>fish</v>
      </c>
      <c r="C1159" s="63" t="str">
        <f t="shared" si="2"/>
        <v>U16288</v>
      </c>
      <c r="D1159" s="11" t="str">
        <f t="array" ref="D1159">iferror(index(fish_lab_data!D:D,match(A1159,fish_lab_data!C:C,0)))</f>
        <v>P1029</v>
      </c>
      <c r="E1159" s="6">
        <v>110.0</v>
      </c>
      <c r="F1159" s="17" t="str">
        <f t="shared" si="3"/>
        <v>BCA110</v>
      </c>
      <c r="G1159" s="43" t="str">
        <f t="shared" si="4"/>
        <v>NA</v>
      </c>
      <c r="H1159" s="17" t="str">
        <f t="shared" si="5"/>
        <v>BCA110-NA</v>
      </c>
      <c r="J1159" t="str">
        <f t="shared" si="6"/>
        <v>collected</v>
      </c>
      <c r="K1159" t="str">
        <f t="shared" si="7"/>
        <v>N</v>
      </c>
    </row>
    <row r="1160">
      <c r="A1160" s="40" t="s">
        <v>1659</v>
      </c>
      <c r="B1160" s="10" t="str">
        <f t="shared" si="1"/>
        <v>fish</v>
      </c>
      <c r="C1160" s="63" t="str">
        <f t="shared" si="2"/>
        <v>U16290</v>
      </c>
      <c r="D1160" s="11" t="str">
        <f t="array" ref="D1160">iferror(index(fish_lab_data!D:D,match(A1160,fish_lab_data!C:C,0)))</f>
        <v>P1029</v>
      </c>
      <c r="E1160" s="6">
        <v>110.0</v>
      </c>
      <c r="F1160" s="17" t="str">
        <f t="shared" si="3"/>
        <v>BCA110</v>
      </c>
      <c r="G1160" s="43" t="str">
        <f t="shared" si="4"/>
        <v>NA</v>
      </c>
      <c r="H1160" s="17" t="str">
        <f t="shared" si="5"/>
        <v>BCA110-NA</v>
      </c>
      <c r="J1160" t="str">
        <f t="shared" si="6"/>
        <v>collected</v>
      </c>
      <c r="K1160" t="str">
        <f t="shared" si="7"/>
        <v>N</v>
      </c>
    </row>
    <row r="1161">
      <c r="A1161" s="40" t="s">
        <v>1660</v>
      </c>
      <c r="B1161" s="10" t="str">
        <f t="shared" si="1"/>
        <v>fish</v>
      </c>
      <c r="C1161" s="63" t="str">
        <f t="shared" si="2"/>
        <v>U16281</v>
      </c>
      <c r="D1161" s="11" t="str">
        <f t="array" ref="D1161">iferror(index(fish_lab_data!D:D,match(A1161,fish_lab_data!C:C,0)))</f>
        <v>P1029</v>
      </c>
      <c r="E1161" s="6">
        <v>110.0</v>
      </c>
      <c r="F1161" s="17" t="str">
        <f t="shared" si="3"/>
        <v>BCA110</v>
      </c>
      <c r="G1161" s="43" t="str">
        <f t="shared" si="4"/>
        <v>NA</v>
      </c>
      <c r="H1161" s="17" t="str">
        <f t="shared" si="5"/>
        <v>BCA110-NA</v>
      </c>
      <c r="J1161" t="str">
        <f t="shared" si="6"/>
        <v>collected</v>
      </c>
      <c r="K1161" t="str">
        <f t="shared" si="7"/>
        <v>N</v>
      </c>
    </row>
    <row r="1162">
      <c r="A1162" s="40" t="s">
        <v>1661</v>
      </c>
      <c r="B1162" s="10" t="str">
        <f t="shared" si="1"/>
        <v>fish</v>
      </c>
      <c r="C1162" s="63" t="str">
        <f t="shared" si="2"/>
        <v>U16284</v>
      </c>
      <c r="D1162" s="11" t="str">
        <f t="array" ref="D1162">iferror(index(fish_lab_data!D:D,match(A1162,fish_lab_data!C:C,0)))</f>
        <v>P1029</v>
      </c>
      <c r="E1162" s="6">
        <v>110.0</v>
      </c>
      <c r="F1162" s="17" t="str">
        <f t="shared" si="3"/>
        <v>BCA110</v>
      </c>
      <c r="G1162" s="43" t="str">
        <f t="shared" si="4"/>
        <v>NA</v>
      </c>
      <c r="H1162" s="17" t="str">
        <f t="shared" si="5"/>
        <v>BCA110-NA</v>
      </c>
      <c r="J1162" t="str">
        <f t="shared" si="6"/>
        <v>collected</v>
      </c>
      <c r="K1162" t="str">
        <f t="shared" si="7"/>
        <v>N</v>
      </c>
    </row>
    <row r="1163">
      <c r="A1163" s="40" t="s">
        <v>1663</v>
      </c>
      <c r="B1163" s="10" t="str">
        <f t="shared" si="1"/>
        <v>fish</v>
      </c>
      <c r="C1163" s="63" t="str">
        <f t="shared" si="2"/>
        <v>U16282</v>
      </c>
      <c r="D1163" s="11" t="str">
        <f t="array" ref="D1163">iferror(index(fish_lab_data!D:D,match(A1163,fish_lab_data!C:C,0)))</f>
        <v>P1029</v>
      </c>
      <c r="E1163" s="6">
        <v>110.0</v>
      </c>
      <c r="F1163" s="17" t="str">
        <f t="shared" si="3"/>
        <v>BCA110</v>
      </c>
      <c r="G1163" s="43" t="str">
        <f t="shared" si="4"/>
        <v>NA</v>
      </c>
      <c r="H1163" s="17" t="str">
        <f t="shared" si="5"/>
        <v>BCA110-NA</v>
      </c>
      <c r="J1163" t="str">
        <f t="shared" si="6"/>
        <v>collected</v>
      </c>
      <c r="K1163" t="str">
        <f t="shared" si="7"/>
        <v>N</v>
      </c>
    </row>
    <row r="1164">
      <c r="A1164" s="40" t="s">
        <v>1664</v>
      </c>
      <c r="B1164" s="10" t="str">
        <f t="shared" si="1"/>
        <v>fish</v>
      </c>
      <c r="C1164" s="63" t="str">
        <f t="shared" si="2"/>
        <v>U16283</v>
      </c>
      <c r="D1164" s="11" t="str">
        <f t="array" ref="D1164">iferror(index(fish_lab_data!D:D,match(A1164,fish_lab_data!C:C,0)))</f>
        <v>P1029</v>
      </c>
      <c r="E1164" s="6">
        <v>110.0</v>
      </c>
      <c r="F1164" s="17" t="str">
        <f t="shared" si="3"/>
        <v>BCA110</v>
      </c>
      <c r="G1164" s="43" t="str">
        <f t="shared" si="4"/>
        <v>NA</v>
      </c>
      <c r="H1164" s="17" t="str">
        <f t="shared" si="5"/>
        <v>BCA110-NA</v>
      </c>
      <c r="J1164" t="str">
        <f t="shared" si="6"/>
        <v>collected</v>
      </c>
      <c r="K1164" t="str">
        <f t="shared" si="7"/>
        <v>N</v>
      </c>
    </row>
    <row r="1165">
      <c r="A1165" s="40" t="s">
        <v>1665</v>
      </c>
      <c r="B1165" s="10" t="str">
        <f t="shared" si="1"/>
        <v>fish</v>
      </c>
      <c r="C1165" s="63" t="str">
        <f t="shared" si="2"/>
        <v>U16289</v>
      </c>
      <c r="D1165" s="11" t="str">
        <f t="array" ref="D1165">iferror(index(fish_lab_data!D:D,match(A1165,fish_lab_data!C:C,0)))</f>
        <v>P1029</v>
      </c>
      <c r="E1165" s="6">
        <v>110.0</v>
      </c>
      <c r="F1165" s="17" t="str">
        <f t="shared" si="3"/>
        <v>BCA110</v>
      </c>
      <c r="G1165" s="43" t="str">
        <f t="shared" si="4"/>
        <v>NA</v>
      </c>
      <c r="H1165" s="17" t="str">
        <f t="shared" si="5"/>
        <v>BCA110-NA</v>
      </c>
      <c r="J1165" t="str">
        <f t="shared" si="6"/>
        <v>collected</v>
      </c>
      <c r="K1165" t="str">
        <f t="shared" si="7"/>
        <v>N</v>
      </c>
    </row>
    <row r="1166">
      <c r="A1166" s="40" t="s">
        <v>1666</v>
      </c>
      <c r="B1166" s="10" t="str">
        <f t="shared" si="1"/>
        <v>fish</v>
      </c>
      <c r="C1166" s="63" t="str">
        <f t="shared" si="2"/>
        <v>U16615</v>
      </c>
      <c r="D1166" s="11" t="str">
        <f t="array" ref="D1166">iferror(index(fish_lab_data!D:D,match(A1166,fish_lab_data!C:C,0)))</f>
        <v>P1062</v>
      </c>
      <c r="E1166" s="6">
        <v>110.0</v>
      </c>
      <c r="F1166" s="17" t="str">
        <f t="shared" si="3"/>
        <v>BCA110</v>
      </c>
      <c r="G1166" s="43" t="str">
        <f t="shared" si="4"/>
        <v>NA</v>
      </c>
      <c r="H1166" s="17" t="str">
        <f t="shared" si="5"/>
        <v>BCA110-NA</v>
      </c>
      <c r="J1166" t="str">
        <f t="shared" si="6"/>
        <v>collected</v>
      </c>
      <c r="K1166" t="str">
        <f t="shared" si="7"/>
        <v>N</v>
      </c>
    </row>
    <row r="1167">
      <c r="A1167" s="43" t="s">
        <v>1667</v>
      </c>
      <c r="B1167" s="10" t="str">
        <f t="shared" si="1"/>
        <v>fish</v>
      </c>
      <c r="C1167" s="63" t="str">
        <f t="shared" si="2"/>
        <v>U16620</v>
      </c>
      <c r="D1167" s="11" t="str">
        <f t="array" ref="D1167">iferror(index(fish_lab_data!D:D,match(A1167,fish_lab_data!C:C,0)))</f>
        <v>P1062</v>
      </c>
      <c r="E1167" s="6">
        <v>110.0</v>
      </c>
      <c r="F1167" s="17" t="str">
        <f t="shared" si="3"/>
        <v>BCA110</v>
      </c>
      <c r="G1167" s="43" t="str">
        <f t="shared" si="4"/>
        <v>NA</v>
      </c>
      <c r="H1167" s="17" t="str">
        <f t="shared" si="5"/>
        <v>BCA110-NA</v>
      </c>
      <c r="J1167" t="str">
        <f t="shared" si="6"/>
        <v>collected</v>
      </c>
      <c r="K1167" t="str">
        <f t="shared" si="7"/>
        <v>N</v>
      </c>
    </row>
    <row r="1168">
      <c r="A1168" s="43" t="s">
        <v>1669</v>
      </c>
      <c r="B1168" s="10" t="str">
        <f t="shared" si="1"/>
        <v>fish</v>
      </c>
      <c r="C1168" s="63" t="str">
        <f t="shared" si="2"/>
        <v>U16614</v>
      </c>
      <c r="D1168" s="11" t="str">
        <f t="array" ref="D1168">iferror(index(fish_lab_data!D:D,match(A1168,fish_lab_data!C:C,0)))</f>
        <v>P1062</v>
      </c>
      <c r="E1168" s="6">
        <v>110.0</v>
      </c>
      <c r="F1168" s="17" t="str">
        <f t="shared" si="3"/>
        <v>BCA110</v>
      </c>
      <c r="G1168" s="43" t="str">
        <f t="shared" si="4"/>
        <v>NA</v>
      </c>
      <c r="H1168" s="17" t="str">
        <f t="shared" si="5"/>
        <v>BCA110-NA</v>
      </c>
      <c r="J1168" t="str">
        <f t="shared" si="6"/>
        <v>collected</v>
      </c>
      <c r="K1168" t="str">
        <f t="shared" si="7"/>
        <v>N</v>
      </c>
    </row>
    <row r="1169">
      <c r="A1169" s="43" t="s">
        <v>1670</v>
      </c>
      <c r="B1169" s="10" t="str">
        <f t="shared" si="1"/>
        <v>fish</v>
      </c>
      <c r="C1169" s="63" t="str">
        <f t="shared" si="2"/>
        <v>U16613</v>
      </c>
      <c r="D1169" s="11" t="str">
        <f t="array" ref="D1169">iferror(index(fish_lab_data!D:D,match(A1169,fish_lab_data!C:C,0)))</f>
        <v>P1062</v>
      </c>
      <c r="E1169" s="6">
        <v>110.0</v>
      </c>
      <c r="F1169" s="17" t="str">
        <f t="shared" si="3"/>
        <v>BCA110</v>
      </c>
      <c r="G1169" s="43" t="str">
        <f t="shared" si="4"/>
        <v>NA</v>
      </c>
      <c r="H1169" s="17" t="str">
        <f t="shared" si="5"/>
        <v>BCA110-NA</v>
      </c>
      <c r="J1169" t="str">
        <f t="shared" si="6"/>
        <v>collected</v>
      </c>
      <c r="K1169" t="str">
        <f t="shared" si="7"/>
        <v>N</v>
      </c>
    </row>
    <row r="1170">
      <c r="A1170" s="43" t="s">
        <v>1671</v>
      </c>
      <c r="B1170" s="10" t="str">
        <f t="shared" si="1"/>
        <v>fish</v>
      </c>
      <c r="C1170" s="63" t="str">
        <f t="shared" si="2"/>
        <v>U16616</v>
      </c>
      <c r="D1170" s="11" t="str">
        <f t="array" ref="D1170">iferror(index(fish_lab_data!D:D,match(A1170,fish_lab_data!C:C,0)))</f>
        <v>P1062</v>
      </c>
      <c r="E1170" s="6">
        <v>110.0</v>
      </c>
      <c r="F1170" s="17" t="str">
        <f t="shared" si="3"/>
        <v>BCA110</v>
      </c>
      <c r="G1170" s="43" t="str">
        <f t="shared" si="4"/>
        <v>NA</v>
      </c>
      <c r="H1170" s="17" t="str">
        <f t="shared" si="5"/>
        <v>BCA110-NA</v>
      </c>
      <c r="J1170" t="str">
        <f t="shared" si="6"/>
        <v>collected</v>
      </c>
      <c r="K1170" t="str">
        <f t="shared" si="7"/>
        <v>N</v>
      </c>
    </row>
    <row r="1171">
      <c r="A1171" s="43" t="s">
        <v>1672</v>
      </c>
      <c r="B1171" s="10" t="str">
        <f t="shared" si="1"/>
        <v>fish</v>
      </c>
      <c r="C1171" s="63" t="str">
        <f t="shared" si="2"/>
        <v>U16618</v>
      </c>
      <c r="D1171" s="11" t="str">
        <f t="array" ref="D1171">iferror(index(fish_lab_data!D:D,match(A1171,fish_lab_data!C:C,0)))</f>
        <v>P1062</v>
      </c>
      <c r="E1171" s="6">
        <v>110.0</v>
      </c>
      <c r="F1171" s="17" t="str">
        <f t="shared" si="3"/>
        <v>BCA110</v>
      </c>
      <c r="G1171" s="43" t="str">
        <f t="shared" si="4"/>
        <v>NA</v>
      </c>
      <c r="H1171" s="17" t="str">
        <f t="shared" si="5"/>
        <v>BCA110-NA</v>
      </c>
      <c r="J1171" t="str">
        <f t="shared" si="6"/>
        <v>collected</v>
      </c>
      <c r="K1171" t="str">
        <f t="shared" si="7"/>
        <v>N</v>
      </c>
    </row>
    <row r="1172">
      <c r="A1172" s="43" t="s">
        <v>1674</v>
      </c>
      <c r="B1172" s="10" t="str">
        <f t="shared" si="1"/>
        <v>fish</v>
      </c>
      <c r="C1172" s="63" t="str">
        <f t="shared" si="2"/>
        <v>U16612</v>
      </c>
      <c r="D1172" s="11" t="str">
        <f t="array" ref="D1172">iferror(index(fish_lab_data!D:D,match(A1172,fish_lab_data!C:C,0)))</f>
        <v>P1062</v>
      </c>
      <c r="E1172" s="6">
        <v>110.0</v>
      </c>
      <c r="F1172" s="17" t="str">
        <f t="shared" si="3"/>
        <v>BCA110</v>
      </c>
      <c r="G1172" s="43" t="str">
        <f t="shared" si="4"/>
        <v>NA</v>
      </c>
      <c r="H1172" s="17" t="str">
        <f t="shared" si="5"/>
        <v>BCA110-NA</v>
      </c>
      <c r="J1172" t="str">
        <f t="shared" si="6"/>
        <v>collected</v>
      </c>
      <c r="K1172" t="str">
        <f t="shared" si="7"/>
        <v>N</v>
      </c>
    </row>
    <row r="1173">
      <c r="A1173" s="43" t="s">
        <v>1675</v>
      </c>
      <c r="B1173" s="10" t="str">
        <f t="shared" si="1"/>
        <v>fish</v>
      </c>
      <c r="C1173" s="63" t="str">
        <f t="shared" si="2"/>
        <v>U16617</v>
      </c>
      <c r="D1173" s="11" t="str">
        <f t="array" ref="D1173">iferror(index(fish_lab_data!D:D,match(A1173,fish_lab_data!C:C,0)))</f>
        <v>P1062</v>
      </c>
      <c r="E1173" s="6">
        <v>110.0</v>
      </c>
      <c r="F1173" s="17" t="str">
        <f t="shared" si="3"/>
        <v>BCA110</v>
      </c>
      <c r="G1173" s="43" t="str">
        <f t="shared" si="4"/>
        <v>NA</v>
      </c>
      <c r="H1173" s="17" t="str">
        <f t="shared" si="5"/>
        <v>BCA110-NA</v>
      </c>
      <c r="J1173" t="str">
        <f t="shared" si="6"/>
        <v>collected</v>
      </c>
      <c r="K1173" t="str">
        <f t="shared" si="7"/>
        <v>N</v>
      </c>
    </row>
    <row r="1174">
      <c r="A1174" s="43" t="s">
        <v>1676</v>
      </c>
      <c r="B1174" s="10" t="str">
        <f t="shared" si="1"/>
        <v>fish</v>
      </c>
      <c r="C1174" s="63" t="str">
        <f t="shared" si="2"/>
        <v>U16611</v>
      </c>
      <c r="D1174" s="11" t="str">
        <f t="array" ref="D1174">iferror(index(fish_lab_data!D:D,match(A1174,fish_lab_data!C:C,0)))</f>
        <v>P1062</v>
      </c>
      <c r="E1174" s="6">
        <v>110.0</v>
      </c>
      <c r="F1174" s="17" t="str">
        <f t="shared" si="3"/>
        <v>BCA110</v>
      </c>
      <c r="G1174" s="43" t="str">
        <f t="shared" si="4"/>
        <v>NA</v>
      </c>
      <c r="H1174" s="17" t="str">
        <f t="shared" si="5"/>
        <v>BCA110-NA</v>
      </c>
      <c r="J1174" t="str">
        <f t="shared" si="6"/>
        <v>collected</v>
      </c>
      <c r="K1174" t="str">
        <f t="shared" si="7"/>
        <v>N</v>
      </c>
    </row>
    <row r="1175">
      <c r="A1175" s="43" t="s">
        <v>1677</v>
      </c>
      <c r="B1175" s="10" t="str">
        <f t="shared" si="1"/>
        <v>fish</v>
      </c>
      <c r="C1175" s="63" t="str">
        <f t="shared" si="2"/>
        <v>U16619</v>
      </c>
      <c r="D1175" s="11" t="str">
        <f t="array" ref="D1175">iferror(index(fish_lab_data!D:D,match(A1175,fish_lab_data!C:C,0)))</f>
        <v>P1062</v>
      </c>
      <c r="E1175" s="6">
        <v>110.0</v>
      </c>
      <c r="F1175" s="17" t="str">
        <f t="shared" si="3"/>
        <v>BCA110</v>
      </c>
      <c r="G1175" s="43" t="str">
        <f t="shared" si="4"/>
        <v>NA</v>
      </c>
      <c r="H1175" s="17" t="str">
        <f t="shared" si="5"/>
        <v>BCA110-NA</v>
      </c>
      <c r="J1175" t="str">
        <f t="shared" si="6"/>
        <v>collected</v>
      </c>
      <c r="K1175" t="str">
        <f t="shared" si="7"/>
        <v>N</v>
      </c>
    </row>
    <row r="1176">
      <c r="A1176" s="43" t="s">
        <v>1678</v>
      </c>
      <c r="B1176" s="10" t="str">
        <f t="shared" si="1"/>
        <v>fish</v>
      </c>
      <c r="C1176" s="63" t="str">
        <f t="shared" si="2"/>
        <v>U16059</v>
      </c>
      <c r="D1176" s="11" t="str">
        <f t="array" ref="D1176">iferror(index(fish_lab_data!D:D,match(A1176,fish_lab_data!C:C,0)))</f>
        <v>P1006</v>
      </c>
      <c r="E1176" s="6">
        <v>111.0</v>
      </c>
      <c r="F1176" s="17" t="str">
        <f t="shared" si="3"/>
        <v>BCA111</v>
      </c>
      <c r="G1176" s="43" t="str">
        <f t="shared" si="4"/>
        <v>NA</v>
      </c>
      <c r="H1176" s="17" t="str">
        <f t="shared" si="5"/>
        <v>BCA111-NA</v>
      </c>
      <c r="J1176" t="str">
        <f t="shared" si="6"/>
        <v>collected</v>
      </c>
      <c r="K1176" t="str">
        <f t="shared" si="7"/>
        <v>N</v>
      </c>
    </row>
    <row r="1177">
      <c r="A1177" s="43" t="s">
        <v>1680</v>
      </c>
      <c r="B1177" s="10" t="str">
        <f t="shared" si="1"/>
        <v>fish</v>
      </c>
      <c r="C1177" s="63" t="str">
        <f t="shared" si="2"/>
        <v>U16057</v>
      </c>
      <c r="D1177" s="11" t="str">
        <f t="array" ref="D1177">iferror(index(fish_lab_data!D:D,match(A1177,fish_lab_data!C:C,0)))</f>
        <v>P1006</v>
      </c>
      <c r="E1177" s="6">
        <v>111.0</v>
      </c>
      <c r="F1177" s="17" t="str">
        <f t="shared" si="3"/>
        <v>BCA111</v>
      </c>
      <c r="G1177" s="43" t="str">
        <f t="shared" si="4"/>
        <v>NA</v>
      </c>
      <c r="H1177" s="17" t="str">
        <f t="shared" si="5"/>
        <v>BCA111-NA</v>
      </c>
      <c r="J1177" t="str">
        <f t="shared" si="6"/>
        <v>collected</v>
      </c>
      <c r="K1177" t="str">
        <f t="shared" si="7"/>
        <v>N</v>
      </c>
    </row>
    <row r="1178">
      <c r="A1178" s="43" t="s">
        <v>1681</v>
      </c>
      <c r="B1178" s="10" t="str">
        <f t="shared" si="1"/>
        <v>fish</v>
      </c>
      <c r="C1178" s="63" t="str">
        <f t="shared" si="2"/>
        <v>U16058</v>
      </c>
      <c r="D1178" s="11" t="str">
        <f t="array" ref="D1178">iferror(index(fish_lab_data!D:D,match(A1178,fish_lab_data!C:C,0)))</f>
        <v>P1006</v>
      </c>
      <c r="E1178" s="6">
        <v>111.0</v>
      </c>
      <c r="F1178" s="17" t="str">
        <f t="shared" si="3"/>
        <v>BCA111</v>
      </c>
      <c r="G1178" s="43" t="str">
        <f t="shared" si="4"/>
        <v>NA</v>
      </c>
      <c r="H1178" s="17" t="str">
        <f t="shared" si="5"/>
        <v>BCA111-NA</v>
      </c>
      <c r="J1178" t="str">
        <f t="shared" si="6"/>
        <v>collected</v>
      </c>
      <c r="K1178" t="str">
        <f t="shared" si="7"/>
        <v>N</v>
      </c>
    </row>
    <row r="1179">
      <c r="A1179" s="43" t="s">
        <v>1682</v>
      </c>
      <c r="B1179" s="10" t="str">
        <f t="shared" si="1"/>
        <v>fish</v>
      </c>
      <c r="C1179" s="63" t="str">
        <f t="shared" si="2"/>
        <v>U16052</v>
      </c>
      <c r="D1179" s="11" t="str">
        <f t="array" ref="D1179">iferror(index(fish_lab_data!D:D,match(A1179,fish_lab_data!C:C,0)))</f>
        <v>P1006</v>
      </c>
      <c r="E1179" s="6">
        <v>111.0</v>
      </c>
      <c r="F1179" s="17" t="str">
        <f t="shared" si="3"/>
        <v>BCA111</v>
      </c>
      <c r="G1179" s="43" t="str">
        <f t="shared" si="4"/>
        <v>NA</v>
      </c>
      <c r="H1179" s="17" t="str">
        <f t="shared" si="5"/>
        <v>BCA111-NA</v>
      </c>
      <c r="J1179" t="str">
        <f t="shared" si="6"/>
        <v>collected</v>
      </c>
      <c r="K1179" t="str">
        <f t="shared" si="7"/>
        <v>N</v>
      </c>
    </row>
    <row r="1180">
      <c r="A1180" s="43" t="s">
        <v>1683</v>
      </c>
      <c r="B1180" s="10" t="str">
        <f t="shared" si="1"/>
        <v>fish</v>
      </c>
      <c r="C1180" s="63" t="str">
        <f t="shared" si="2"/>
        <v>U16060</v>
      </c>
      <c r="D1180" s="11" t="str">
        <f t="array" ref="D1180">iferror(index(fish_lab_data!D:D,match(A1180,fish_lab_data!C:C,0)))</f>
        <v>P1006</v>
      </c>
      <c r="E1180" s="6">
        <v>111.0</v>
      </c>
      <c r="F1180" s="17" t="str">
        <f t="shared" si="3"/>
        <v>BCA111</v>
      </c>
      <c r="G1180" s="43" t="str">
        <f t="shared" si="4"/>
        <v>NA</v>
      </c>
      <c r="H1180" s="17" t="str">
        <f t="shared" si="5"/>
        <v>BCA111-NA</v>
      </c>
      <c r="J1180" t="str">
        <f t="shared" si="6"/>
        <v>collected</v>
      </c>
      <c r="K1180" t="str">
        <f t="shared" si="7"/>
        <v>N</v>
      </c>
    </row>
    <row r="1181">
      <c r="A1181" s="43" t="s">
        <v>1684</v>
      </c>
      <c r="B1181" s="10" t="str">
        <f t="shared" si="1"/>
        <v>fish</v>
      </c>
      <c r="C1181" s="63" t="str">
        <f t="shared" si="2"/>
        <v>U16055</v>
      </c>
      <c r="D1181" s="11" t="str">
        <f t="array" ref="D1181">iferror(index(fish_lab_data!D:D,match(A1181,fish_lab_data!C:C,0)))</f>
        <v>P1006</v>
      </c>
      <c r="E1181" s="6">
        <v>111.0</v>
      </c>
      <c r="F1181" s="17" t="str">
        <f t="shared" si="3"/>
        <v>BCA111</v>
      </c>
      <c r="G1181" s="43" t="str">
        <f t="shared" si="4"/>
        <v>NA</v>
      </c>
      <c r="H1181" s="17" t="str">
        <f t="shared" si="5"/>
        <v>BCA111-NA</v>
      </c>
      <c r="J1181" t="str">
        <f t="shared" si="6"/>
        <v>collected</v>
      </c>
      <c r="K1181" t="str">
        <f t="shared" si="7"/>
        <v>N</v>
      </c>
    </row>
    <row r="1182">
      <c r="A1182" s="43" t="s">
        <v>1686</v>
      </c>
      <c r="B1182" s="10" t="str">
        <f t="shared" si="1"/>
        <v>fish</v>
      </c>
      <c r="C1182" s="63" t="str">
        <f t="shared" si="2"/>
        <v>U16056</v>
      </c>
      <c r="D1182" s="11" t="str">
        <f t="array" ref="D1182">iferror(index(fish_lab_data!D:D,match(A1182,fish_lab_data!C:C,0)))</f>
        <v>P1006</v>
      </c>
      <c r="E1182" s="6">
        <v>111.0</v>
      </c>
      <c r="F1182" s="17" t="str">
        <f t="shared" si="3"/>
        <v>BCA111</v>
      </c>
      <c r="G1182" s="43" t="str">
        <f t="shared" si="4"/>
        <v>NA</v>
      </c>
      <c r="H1182" s="17" t="str">
        <f t="shared" si="5"/>
        <v>BCA111-NA</v>
      </c>
      <c r="J1182" t="str">
        <f t="shared" si="6"/>
        <v>collected</v>
      </c>
      <c r="K1182" t="str">
        <f t="shared" si="7"/>
        <v>N</v>
      </c>
    </row>
    <row r="1183">
      <c r="A1183" s="43" t="s">
        <v>1687</v>
      </c>
      <c r="B1183" s="10" t="str">
        <f t="shared" si="1"/>
        <v>fish</v>
      </c>
      <c r="C1183" s="63" t="str">
        <f t="shared" si="2"/>
        <v>U16053</v>
      </c>
      <c r="D1183" s="11" t="str">
        <f t="array" ref="D1183">iferror(index(fish_lab_data!D:D,match(A1183,fish_lab_data!C:C,0)))</f>
        <v>P1006</v>
      </c>
      <c r="E1183" s="6">
        <v>111.0</v>
      </c>
      <c r="F1183" s="17" t="str">
        <f t="shared" si="3"/>
        <v>BCA111</v>
      </c>
      <c r="G1183" s="43" t="str">
        <f t="shared" si="4"/>
        <v>NA</v>
      </c>
      <c r="H1183" s="17" t="str">
        <f t="shared" si="5"/>
        <v>BCA111-NA</v>
      </c>
      <c r="J1183" t="str">
        <f t="shared" si="6"/>
        <v>collected</v>
      </c>
      <c r="K1183" t="str">
        <f t="shared" si="7"/>
        <v>N</v>
      </c>
    </row>
    <row r="1184">
      <c r="A1184" s="43" t="s">
        <v>1688</v>
      </c>
      <c r="B1184" s="10" t="str">
        <f t="shared" si="1"/>
        <v>fish</v>
      </c>
      <c r="C1184" s="63" t="str">
        <f t="shared" si="2"/>
        <v>U16054</v>
      </c>
      <c r="D1184" s="11" t="str">
        <f t="array" ref="D1184">iferror(index(fish_lab_data!D:D,match(A1184,fish_lab_data!C:C,0)))</f>
        <v>P1006</v>
      </c>
      <c r="E1184" s="6">
        <v>111.0</v>
      </c>
      <c r="F1184" s="17" t="str">
        <f t="shared" si="3"/>
        <v>BCA111</v>
      </c>
      <c r="G1184" s="43" t="str">
        <f t="shared" si="4"/>
        <v>NA</v>
      </c>
      <c r="H1184" s="17" t="str">
        <f t="shared" si="5"/>
        <v>BCA111-NA</v>
      </c>
      <c r="J1184" t="str">
        <f t="shared" si="6"/>
        <v>collected</v>
      </c>
      <c r="K1184" t="str">
        <f t="shared" si="7"/>
        <v>N</v>
      </c>
    </row>
    <row r="1185">
      <c r="A1185" s="43" t="s">
        <v>1690</v>
      </c>
      <c r="B1185" s="10" t="str">
        <f t="shared" si="1"/>
        <v>fish</v>
      </c>
      <c r="C1185" s="63" t="str">
        <f t="shared" si="2"/>
        <v>U16051</v>
      </c>
      <c r="D1185" s="11" t="str">
        <f t="array" ref="D1185">iferror(index(fish_lab_data!D:D,match(A1185,fish_lab_data!C:C,0)))</f>
        <v>P1006</v>
      </c>
      <c r="E1185" s="6">
        <v>111.0</v>
      </c>
      <c r="F1185" s="17" t="str">
        <f t="shared" si="3"/>
        <v>BCA111</v>
      </c>
      <c r="G1185" s="43" t="str">
        <f t="shared" si="4"/>
        <v>NA</v>
      </c>
      <c r="H1185" s="17" t="str">
        <f t="shared" si="5"/>
        <v>BCA111-NA</v>
      </c>
      <c r="J1185" t="str">
        <f t="shared" si="6"/>
        <v>collected</v>
      </c>
      <c r="K1185" t="str">
        <f t="shared" si="7"/>
        <v>N</v>
      </c>
    </row>
    <row r="1186">
      <c r="A1186" s="43" t="s">
        <v>1691</v>
      </c>
      <c r="B1186" s="10" t="str">
        <f t="shared" si="1"/>
        <v>fish</v>
      </c>
      <c r="C1186" s="63" t="str">
        <f t="shared" si="2"/>
        <v>U16205</v>
      </c>
      <c r="D1186" s="11" t="str">
        <f t="array" ref="D1186">iferror(index(fish_lab_data!D:D,match(A1186,fish_lab_data!C:C,0)))</f>
        <v>P1021</v>
      </c>
      <c r="E1186" s="6">
        <v>111.0</v>
      </c>
      <c r="F1186" s="17" t="str">
        <f t="shared" si="3"/>
        <v>BCA111</v>
      </c>
      <c r="G1186" s="43" t="str">
        <f t="shared" si="4"/>
        <v>NA</v>
      </c>
      <c r="H1186" s="17" t="str">
        <f t="shared" si="5"/>
        <v>BCA111-NA</v>
      </c>
      <c r="J1186" t="str">
        <f t="shared" si="6"/>
        <v>collected</v>
      </c>
      <c r="K1186" t="str">
        <f t="shared" si="7"/>
        <v>N</v>
      </c>
    </row>
    <row r="1187">
      <c r="A1187" s="43" t="s">
        <v>1692</v>
      </c>
      <c r="B1187" s="10" t="str">
        <f t="shared" si="1"/>
        <v>fish</v>
      </c>
      <c r="C1187" s="63" t="str">
        <f t="shared" si="2"/>
        <v>U16201</v>
      </c>
      <c r="D1187" s="11" t="str">
        <f t="array" ref="D1187">iferror(index(fish_lab_data!D:D,match(A1187,fish_lab_data!C:C,0)))</f>
        <v>P1021</v>
      </c>
      <c r="E1187" s="6">
        <v>111.0</v>
      </c>
      <c r="F1187" s="17" t="str">
        <f t="shared" si="3"/>
        <v>BCA111</v>
      </c>
      <c r="G1187" s="43" t="str">
        <f t="shared" si="4"/>
        <v>NA</v>
      </c>
      <c r="H1187" s="17" t="str">
        <f t="shared" si="5"/>
        <v>BCA111-NA</v>
      </c>
      <c r="J1187" t="str">
        <f t="shared" si="6"/>
        <v>collected</v>
      </c>
      <c r="K1187" t="str">
        <f t="shared" si="7"/>
        <v>N</v>
      </c>
    </row>
    <row r="1188">
      <c r="A1188" s="43" t="s">
        <v>1693</v>
      </c>
      <c r="B1188" s="10" t="str">
        <f t="shared" si="1"/>
        <v>fish</v>
      </c>
      <c r="C1188" s="63" t="str">
        <f t="shared" si="2"/>
        <v>U16209</v>
      </c>
      <c r="D1188" s="11" t="str">
        <f t="array" ref="D1188">iferror(index(fish_lab_data!D:D,match(A1188,fish_lab_data!C:C,0)))</f>
        <v>P1021</v>
      </c>
      <c r="E1188" s="6">
        <v>111.0</v>
      </c>
      <c r="F1188" s="17" t="str">
        <f t="shared" si="3"/>
        <v>BCA111</v>
      </c>
      <c r="G1188" s="43" t="str">
        <f t="shared" si="4"/>
        <v>NA</v>
      </c>
      <c r="H1188" s="17" t="str">
        <f t="shared" si="5"/>
        <v>BCA111-NA</v>
      </c>
      <c r="J1188" t="str">
        <f t="shared" si="6"/>
        <v>collected</v>
      </c>
      <c r="K1188" t="str">
        <f t="shared" si="7"/>
        <v>N</v>
      </c>
    </row>
    <row r="1189">
      <c r="A1189" s="43" t="s">
        <v>1695</v>
      </c>
      <c r="B1189" s="10" t="str">
        <f t="shared" si="1"/>
        <v>fish</v>
      </c>
      <c r="C1189" s="63" t="str">
        <f t="shared" si="2"/>
        <v>U16203</v>
      </c>
      <c r="D1189" s="11" t="str">
        <f t="array" ref="D1189">iferror(index(fish_lab_data!D:D,match(A1189,fish_lab_data!C:C,0)))</f>
        <v>P1021</v>
      </c>
      <c r="E1189" s="6">
        <v>111.0</v>
      </c>
      <c r="F1189" s="17" t="str">
        <f t="shared" si="3"/>
        <v>BCA111</v>
      </c>
      <c r="G1189" s="43" t="str">
        <f t="shared" si="4"/>
        <v>NA</v>
      </c>
      <c r="H1189" s="17" t="str">
        <f t="shared" si="5"/>
        <v>BCA111-NA</v>
      </c>
      <c r="J1189" t="str">
        <f t="shared" si="6"/>
        <v>collected</v>
      </c>
      <c r="K1189" t="str">
        <f t="shared" si="7"/>
        <v>N</v>
      </c>
    </row>
    <row r="1190">
      <c r="A1190" s="40" t="s">
        <v>1696</v>
      </c>
      <c r="B1190" s="10" t="str">
        <f t="shared" si="1"/>
        <v>fish</v>
      </c>
      <c r="C1190" s="63" t="str">
        <f t="shared" si="2"/>
        <v>U17558</v>
      </c>
      <c r="D1190" s="11" t="str">
        <f t="array" ref="D1190">iferror(index(fish_lab_data!D:D,match(A1190,fish_lab_data!C:C,0)))</f>
        <v>P1156</v>
      </c>
      <c r="E1190" s="6">
        <v>110.0</v>
      </c>
      <c r="F1190" s="17" t="str">
        <f t="shared" si="3"/>
        <v>BCA110</v>
      </c>
      <c r="G1190" s="43" t="str">
        <f t="shared" si="4"/>
        <v>NA</v>
      </c>
      <c r="H1190" s="17" t="str">
        <f t="shared" si="5"/>
        <v>BCA110-NA</v>
      </c>
      <c r="J1190" t="str">
        <f t="shared" si="6"/>
        <v>collected</v>
      </c>
      <c r="K1190" t="str">
        <f t="shared" si="7"/>
        <v>N</v>
      </c>
    </row>
    <row r="1191">
      <c r="A1191" s="40" t="s">
        <v>1697</v>
      </c>
      <c r="B1191" s="10" t="str">
        <f t="shared" si="1"/>
        <v>fish</v>
      </c>
      <c r="C1191" s="63" t="str">
        <f t="shared" si="2"/>
        <v>U17557</v>
      </c>
      <c r="D1191" s="11" t="str">
        <f t="array" ref="D1191">iferror(index(fish_lab_data!D:D,match(A1191,fish_lab_data!C:C,0)))</f>
        <v>P1156</v>
      </c>
      <c r="E1191" s="6">
        <v>110.0</v>
      </c>
      <c r="F1191" s="17" t="str">
        <f t="shared" si="3"/>
        <v>BCA110</v>
      </c>
      <c r="G1191" s="43" t="str">
        <f t="shared" si="4"/>
        <v>NA</v>
      </c>
      <c r="H1191" s="17" t="str">
        <f t="shared" si="5"/>
        <v>BCA110-NA</v>
      </c>
      <c r="J1191" t="str">
        <f t="shared" si="6"/>
        <v>collected</v>
      </c>
      <c r="K1191" t="str">
        <f t="shared" si="7"/>
        <v>N</v>
      </c>
    </row>
    <row r="1192">
      <c r="A1192" s="40" t="s">
        <v>1698</v>
      </c>
      <c r="B1192" s="10" t="str">
        <f t="shared" si="1"/>
        <v>fish</v>
      </c>
      <c r="C1192" s="63" t="str">
        <f t="shared" si="2"/>
        <v>U17555</v>
      </c>
      <c r="D1192" s="11" t="str">
        <f t="array" ref="D1192">iferror(index(fish_lab_data!D:D,match(A1192,fish_lab_data!C:C,0)))</f>
        <v>P1156</v>
      </c>
      <c r="E1192" s="6">
        <v>110.0</v>
      </c>
      <c r="F1192" s="17" t="str">
        <f t="shared" si="3"/>
        <v>BCA110</v>
      </c>
      <c r="G1192" s="43" t="str">
        <f t="shared" si="4"/>
        <v>NA</v>
      </c>
      <c r="H1192" s="17" t="str">
        <f t="shared" si="5"/>
        <v>BCA110-NA</v>
      </c>
      <c r="J1192" t="str">
        <f t="shared" si="6"/>
        <v>collected</v>
      </c>
      <c r="K1192" t="str">
        <f t="shared" si="7"/>
        <v>N</v>
      </c>
    </row>
    <row r="1193">
      <c r="A1193" s="40" t="s">
        <v>1699</v>
      </c>
      <c r="B1193" s="10" t="str">
        <f t="shared" si="1"/>
        <v>fish</v>
      </c>
      <c r="C1193" s="63" t="str">
        <f t="shared" si="2"/>
        <v>U17559</v>
      </c>
      <c r="D1193" s="11" t="str">
        <f t="array" ref="D1193">iferror(index(fish_lab_data!D:D,match(A1193,fish_lab_data!C:C,0)))</f>
        <v>P1156</v>
      </c>
      <c r="E1193" s="6">
        <v>110.0</v>
      </c>
      <c r="F1193" s="17" t="str">
        <f t="shared" si="3"/>
        <v>BCA110</v>
      </c>
      <c r="G1193" s="43" t="str">
        <f t="shared" si="4"/>
        <v>NA</v>
      </c>
      <c r="H1193" s="17" t="str">
        <f t="shared" si="5"/>
        <v>BCA110-NA</v>
      </c>
      <c r="J1193" t="str">
        <f t="shared" si="6"/>
        <v>collected</v>
      </c>
      <c r="K1193" t="str">
        <f t="shared" si="7"/>
        <v>N</v>
      </c>
    </row>
    <row r="1194">
      <c r="A1194" s="40" t="s">
        <v>1701</v>
      </c>
      <c r="B1194" s="10" t="str">
        <f t="shared" si="1"/>
        <v>fish</v>
      </c>
      <c r="C1194" s="63" t="str">
        <f t="shared" si="2"/>
        <v>U17288</v>
      </c>
      <c r="D1194" s="11" t="str">
        <f t="array" ref="D1194">iferror(index(fish_lab_data!D:D,match(A1194,fish_lab_data!C:C,0)))</f>
        <v>P1129</v>
      </c>
      <c r="E1194" s="6">
        <v>111.0</v>
      </c>
      <c r="F1194" s="17" t="str">
        <f t="shared" si="3"/>
        <v>BCA111</v>
      </c>
      <c r="G1194" s="43" t="str">
        <f t="shared" si="4"/>
        <v>NA</v>
      </c>
      <c r="H1194" s="17" t="str">
        <f t="shared" si="5"/>
        <v>BCA111-NA</v>
      </c>
      <c r="J1194" t="str">
        <f t="shared" si="6"/>
        <v>collected</v>
      </c>
      <c r="K1194" t="str">
        <f t="shared" si="7"/>
        <v>N</v>
      </c>
    </row>
    <row r="1195">
      <c r="A1195" s="40" t="s">
        <v>1702</v>
      </c>
      <c r="B1195" s="10" t="str">
        <f t="shared" si="1"/>
        <v>fish</v>
      </c>
      <c r="C1195" s="63" t="str">
        <f t="shared" si="2"/>
        <v>U17285</v>
      </c>
      <c r="D1195" s="11" t="str">
        <f t="array" ref="D1195">iferror(index(fish_lab_data!D:D,match(A1195,fish_lab_data!C:C,0)))</f>
        <v>P1129</v>
      </c>
      <c r="E1195" s="6">
        <v>111.0</v>
      </c>
      <c r="F1195" s="17" t="str">
        <f t="shared" si="3"/>
        <v>BCA111</v>
      </c>
      <c r="G1195" s="43" t="str">
        <f t="shared" si="4"/>
        <v>NA</v>
      </c>
      <c r="H1195" s="17" t="str">
        <f t="shared" si="5"/>
        <v>BCA111-NA</v>
      </c>
      <c r="J1195" t="str">
        <f t="shared" si="6"/>
        <v>collected</v>
      </c>
      <c r="K1195" t="str">
        <f t="shared" si="7"/>
        <v>N</v>
      </c>
    </row>
    <row r="1196">
      <c r="A1196" s="40" t="s">
        <v>1703</v>
      </c>
      <c r="B1196" s="10" t="str">
        <f t="shared" si="1"/>
        <v>fish</v>
      </c>
      <c r="C1196" s="63" t="str">
        <f t="shared" si="2"/>
        <v>U17281</v>
      </c>
      <c r="D1196" s="11" t="str">
        <f t="array" ref="D1196">iferror(index(fish_lab_data!D:D,match(A1196,fish_lab_data!C:C,0)))</f>
        <v>P1129</v>
      </c>
      <c r="E1196" s="6">
        <v>111.0</v>
      </c>
      <c r="F1196" s="17" t="str">
        <f t="shared" si="3"/>
        <v>BCA111</v>
      </c>
      <c r="G1196" s="43" t="str">
        <f t="shared" si="4"/>
        <v>NA</v>
      </c>
      <c r="H1196" s="17" t="str">
        <f t="shared" si="5"/>
        <v>BCA111-NA</v>
      </c>
      <c r="J1196" t="str">
        <f t="shared" si="6"/>
        <v>collected</v>
      </c>
      <c r="K1196" t="str">
        <f t="shared" si="7"/>
        <v>N</v>
      </c>
    </row>
    <row r="1197">
      <c r="A1197" s="40" t="s">
        <v>1704</v>
      </c>
      <c r="B1197" s="10" t="str">
        <f t="shared" si="1"/>
        <v>fish</v>
      </c>
      <c r="C1197" s="63" t="str">
        <f t="shared" si="2"/>
        <v>U17287</v>
      </c>
      <c r="D1197" s="11" t="str">
        <f t="array" ref="D1197">iferror(index(fish_lab_data!D:D,match(A1197,fish_lab_data!C:C,0)))</f>
        <v>P1129</v>
      </c>
      <c r="E1197" s="6">
        <v>111.0</v>
      </c>
      <c r="F1197" s="17" t="str">
        <f t="shared" si="3"/>
        <v>BCA111</v>
      </c>
      <c r="G1197" s="43" t="str">
        <f t="shared" si="4"/>
        <v>NA</v>
      </c>
      <c r="H1197" s="17" t="str">
        <f t="shared" si="5"/>
        <v>BCA111-NA</v>
      </c>
      <c r="J1197" t="str">
        <f t="shared" si="6"/>
        <v>collected</v>
      </c>
      <c r="K1197" t="str">
        <f t="shared" si="7"/>
        <v>N</v>
      </c>
    </row>
    <row r="1198">
      <c r="A1198" s="40" t="s">
        <v>1706</v>
      </c>
      <c r="B1198" s="10" t="str">
        <f t="shared" si="1"/>
        <v>fish</v>
      </c>
      <c r="C1198" s="63" t="str">
        <f t="shared" si="2"/>
        <v>U17283</v>
      </c>
      <c r="D1198" s="11" t="str">
        <f t="array" ref="D1198">iferror(index(fish_lab_data!D:D,match(A1198,fish_lab_data!C:C,0)))</f>
        <v>P1129</v>
      </c>
      <c r="E1198" s="6">
        <v>111.0</v>
      </c>
      <c r="F1198" s="17" t="str">
        <f t="shared" si="3"/>
        <v>BCA111</v>
      </c>
      <c r="G1198" s="43" t="str">
        <f t="shared" si="4"/>
        <v>NA</v>
      </c>
      <c r="H1198" s="17" t="str">
        <f t="shared" si="5"/>
        <v>BCA111-NA</v>
      </c>
      <c r="J1198" t="str">
        <f t="shared" si="6"/>
        <v>collected</v>
      </c>
      <c r="K1198" t="str">
        <f t="shared" si="7"/>
        <v>N</v>
      </c>
    </row>
    <row r="1199">
      <c r="A1199" s="40" t="s">
        <v>1707</v>
      </c>
      <c r="B1199" s="10" t="str">
        <f t="shared" si="1"/>
        <v>fish</v>
      </c>
      <c r="C1199" s="63" t="str">
        <f t="shared" si="2"/>
        <v>U17290</v>
      </c>
      <c r="D1199" s="11" t="str">
        <f t="array" ref="D1199">iferror(index(fish_lab_data!D:D,match(A1199,fish_lab_data!C:C,0)))</f>
        <v>P1129</v>
      </c>
      <c r="E1199" s="6">
        <v>111.0</v>
      </c>
      <c r="F1199" s="17" t="str">
        <f t="shared" si="3"/>
        <v>BCA111</v>
      </c>
      <c r="G1199" s="43" t="str">
        <f t="shared" si="4"/>
        <v>NA</v>
      </c>
      <c r="H1199" s="17" t="str">
        <f t="shared" si="5"/>
        <v>BCA111-NA</v>
      </c>
      <c r="J1199" t="str">
        <f t="shared" si="6"/>
        <v>collected</v>
      </c>
      <c r="K1199" t="str">
        <f t="shared" si="7"/>
        <v>N</v>
      </c>
    </row>
    <row r="1200">
      <c r="A1200" s="40" t="s">
        <v>1708</v>
      </c>
      <c r="B1200" s="10" t="str">
        <f t="shared" si="1"/>
        <v>fish</v>
      </c>
      <c r="C1200" s="63" t="str">
        <f t="shared" si="2"/>
        <v>U17289</v>
      </c>
      <c r="D1200" s="11" t="str">
        <f t="array" ref="D1200">iferror(index(fish_lab_data!D:D,match(A1200,fish_lab_data!C:C,0)))</f>
        <v>P1129</v>
      </c>
      <c r="E1200" s="6">
        <v>111.0</v>
      </c>
      <c r="F1200" s="17" t="str">
        <f t="shared" si="3"/>
        <v>BCA111</v>
      </c>
      <c r="G1200" s="43" t="str">
        <f t="shared" si="4"/>
        <v>NA</v>
      </c>
      <c r="H1200" s="17" t="str">
        <f t="shared" si="5"/>
        <v>BCA111-NA</v>
      </c>
      <c r="J1200" t="str">
        <f t="shared" si="6"/>
        <v>collected</v>
      </c>
      <c r="K1200" t="str">
        <f t="shared" si="7"/>
        <v>N</v>
      </c>
    </row>
    <row r="1201">
      <c r="A1201" s="40" t="s">
        <v>1709</v>
      </c>
      <c r="B1201" s="10" t="str">
        <f t="shared" si="1"/>
        <v>fish</v>
      </c>
      <c r="C1201" s="63" t="str">
        <f t="shared" si="2"/>
        <v>U17286</v>
      </c>
      <c r="D1201" s="11" t="str">
        <f t="array" ref="D1201">iferror(index(fish_lab_data!D:D,match(A1201,fish_lab_data!C:C,0)))</f>
        <v>P1129</v>
      </c>
      <c r="E1201" s="6">
        <v>111.0</v>
      </c>
      <c r="F1201" s="17" t="str">
        <f t="shared" si="3"/>
        <v>BCA111</v>
      </c>
      <c r="G1201" s="43" t="str">
        <f t="shared" si="4"/>
        <v>NA</v>
      </c>
      <c r="H1201" s="17" t="str">
        <f t="shared" si="5"/>
        <v>BCA111-NA</v>
      </c>
      <c r="J1201" t="str">
        <f t="shared" si="6"/>
        <v>collected</v>
      </c>
      <c r="K1201" t="str">
        <f t="shared" si="7"/>
        <v>N</v>
      </c>
    </row>
    <row r="1202">
      <c r="A1202" s="40" t="s">
        <v>1711</v>
      </c>
      <c r="B1202" s="10" t="str">
        <f t="shared" si="1"/>
        <v>fish</v>
      </c>
      <c r="C1202" s="63" t="str">
        <f t="shared" si="2"/>
        <v>U17282</v>
      </c>
      <c r="D1202" s="11" t="str">
        <f t="array" ref="D1202">iferror(index(fish_lab_data!D:D,match(A1202,fish_lab_data!C:C,0)))</f>
        <v>P1129</v>
      </c>
      <c r="E1202" s="6">
        <v>111.0</v>
      </c>
      <c r="F1202" s="17" t="str">
        <f t="shared" si="3"/>
        <v>BCA111</v>
      </c>
      <c r="G1202" s="43" t="str">
        <f t="shared" si="4"/>
        <v>NA</v>
      </c>
      <c r="H1202" s="17" t="str">
        <f t="shared" si="5"/>
        <v>BCA111-NA</v>
      </c>
      <c r="J1202" t="str">
        <f t="shared" si="6"/>
        <v>collected</v>
      </c>
      <c r="K1202" t="str">
        <f t="shared" si="7"/>
        <v>N</v>
      </c>
    </row>
    <row r="1203">
      <c r="A1203" s="40" t="s">
        <v>1712</v>
      </c>
      <c r="B1203" s="10" t="str">
        <f t="shared" si="1"/>
        <v>fish</v>
      </c>
      <c r="C1203" s="63" t="str">
        <f t="shared" si="2"/>
        <v>U17284</v>
      </c>
      <c r="D1203" s="11" t="str">
        <f t="array" ref="D1203">iferror(index(fish_lab_data!D:D,match(A1203,fish_lab_data!C:C,0)))</f>
        <v>P1129</v>
      </c>
      <c r="E1203" s="6">
        <v>111.0</v>
      </c>
      <c r="F1203" s="17" t="str">
        <f t="shared" si="3"/>
        <v>BCA111</v>
      </c>
      <c r="G1203" s="43" t="str">
        <f t="shared" si="4"/>
        <v>NA</v>
      </c>
      <c r="H1203" s="17" t="str">
        <f t="shared" si="5"/>
        <v>BCA111-NA</v>
      </c>
      <c r="J1203" t="str">
        <f t="shared" si="6"/>
        <v>collected</v>
      </c>
      <c r="K1203" t="str">
        <f t="shared" si="7"/>
        <v>N</v>
      </c>
    </row>
    <row r="1204">
      <c r="A1204" s="40" t="s">
        <v>1713</v>
      </c>
      <c r="B1204" s="10" t="str">
        <f t="shared" si="1"/>
        <v>fish</v>
      </c>
      <c r="C1204" s="63" t="str">
        <f t="shared" si="2"/>
        <v>U17682</v>
      </c>
      <c r="D1204" s="11" t="str">
        <f t="array" ref="D1204">iferror(index(fish_lab_data!D:D,match(A1204,fish_lab_data!C:C,0)))</f>
        <v>P1169</v>
      </c>
      <c r="E1204" s="6">
        <v>111.0</v>
      </c>
      <c r="F1204" s="17" t="str">
        <f t="shared" si="3"/>
        <v>BCA111</v>
      </c>
      <c r="G1204" s="43" t="str">
        <f t="shared" si="4"/>
        <v>NA</v>
      </c>
      <c r="H1204" s="17" t="str">
        <f t="shared" si="5"/>
        <v>BCA111-NA</v>
      </c>
      <c r="J1204" t="str">
        <f t="shared" si="6"/>
        <v>collected</v>
      </c>
      <c r="K1204" t="str">
        <f t="shared" si="7"/>
        <v>N</v>
      </c>
    </row>
    <row r="1205">
      <c r="A1205" s="40" t="s">
        <v>1714</v>
      </c>
      <c r="B1205" s="10" t="str">
        <f t="shared" si="1"/>
        <v>fish</v>
      </c>
      <c r="C1205" s="63" t="str">
        <f t="shared" si="2"/>
        <v>U17686</v>
      </c>
      <c r="D1205" s="11" t="str">
        <f t="array" ref="D1205">iferror(index(fish_lab_data!D:D,match(A1205,fish_lab_data!C:C,0)))</f>
        <v>P1169</v>
      </c>
      <c r="E1205" s="6">
        <v>111.0</v>
      </c>
      <c r="F1205" s="17" t="str">
        <f t="shared" si="3"/>
        <v>BCA111</v>
      </c>
      <c r="G1205" s="43" t="str">
        <f t="shared" si="4"/>
        <v>NA</v>
      </c>
      <c r="H1205" s="17" t="str">
        <f t="shared" si="5"/>
        <v>BCA111-NA</v>
      </c>
      <c r="J1205" t="str">
        <f t="shared" si="6"/>
        <v>collected</v>
      </c>
      <c r="K1205" t="str">
        <f t="shared" si="7"/>
        <v>N</v>
      </c>
    </row>
    <row r="1206">
      <c r="A1206" s="40" t="s">
        <v>1715</v>
      </c>
      <c r="B1206" s="10" t="str">
        <f t="shared" si="1"/>
        <v>fish</v>
      </c>
      <c r="C1206" s="63" t="str">
        <f t="shared" si="2"/>
        <v>U17685</v>
      </c>
      <c r="D1206" s="11" t="str">
        <f t="array" ref="D1206">iferror(index(fish_lab_data!D:D,match(A1206,fish_lab_data!C:C,0)))</f>
        <v>P1169</v>
      </c>
      <c r="E1206" s="6">
        <v>111.0</v>
      </c>
      <c r="F1206" s="17" t="str">
        <f t="shared" si="3"/>
        <v>BCA111</v>
      </c>
      <c r="G1206" s="43" t="str">
        <f t="shared" si="4"/>
        <v>NA</v>
      </c>
      <c r="H1206" s="17" t="str">
        <f t="shared" si="5"/>
        <v>BCA111-NA</v>
      </c>
      <c r="J1206" t="str">
        <f t="shared" si="6"/>
        <v>collected</v>
      </c>
      <c r="K1206" t="str">
        <f t="shared" si="7"/>
        <v>N</v>
      </c>
    </row>
    <row r="1207">
      <c r="A1207" s="40" t="s">
        <v>1717</v>
      </c>
      <c r="B1207" s="10" t="str">
        <f t="shared" si="1"/>
        <v>fish</v>
      </c>
      <c r="C1207" s="63" t="str">
        <f t="shared" si="2"/>
        <v>U17688</v>
      </c>
      <c r="D1207" s="11" t="str">
        <f t="array" ref="D1207">iferror(index(fish_lab_data!D:D,match(A1207,fish_lab_data!C:C,0)))</f>
        <v>P1169</v>
      </c>
      <c r="E1207" s="6">
        <v>111.0</v>
      </c>
      <c r="F1207" s="17" t="str">
        <f t="shared" si="3"/>
        <v>BCA111</v>
      </c>
      <c r="G1207" s="43" t="str">
        <f t="shared" si="4"/>
        <v>NA</v>
      </c>
      <c r="H1207" s="17" t="str">
        <f t="shared" si="5"/>
        <v>BCA111-NA</v>
      </c>
      <c r="J1207" t="str">
        <f t="shared" si="6"/>
        <v>collected</v>
      </c>
      <c r="K1207" t="str">
        <f t="shared" si="7"/>
        <v>N</v>
      </c>
    </row>
    <row r="1208">
      <c r="A1208" s="40" t="s">
        <v>1718</v>
      </c>
      <c r="B1208" s="10" t="str">
        <f t="shared" si="1"/>
        <v>fish</v>
      </c>
      <c r="C1208" s="63" t="str">
        <f t="shared" si="2"/>
        <v>U17681</v>
      </c>
      <c r="D1208" s="11" t="str">
        <f t="array" ref="D1208">iferror(index(fish_lab_data!D:D,match(A1208,fish_lab_data!C:C,0)))</f>
        <v>P1169</v>
      </c>
      <c r="E1208" s="6">
        <v>111.0</v>
      </c>
      <c r="F1208" s="17" t="str">
        <f t="shared" si="3"/>
        <v>BCA111</v>
      </c>
      <c r="G1208" s="43" t="str">
        <f t="shared" si="4"/>
        <v>NA</v>
      </c>
      <c r="H1208" s="17" t="str">
        <f t="shared" si="5"/>
        <v>BCA111-NA</v>
      </c>
      <c r="J1208" t="str">
        <f t="shared" si="6"/>
        <v>collected</v>
      </c>
      <c r="K1208" t="str">
        <f t="shared" si="7"/>
        <v>N</v>
      </c>
    </row>
    <row r="1209">
      <c r="A1209" s="40" t="s">
        <v>1719</v>
      </c>
      <c r="B1209" s="10" t="str">
        <f t="shared" si="1"/>
        <v>fish</v>
      </c>
      <c r="C1209" s="63" t="str">
        <f t="shared" si="2"/>
        <v>U17687</v>
      </c>
      <c r="D1209" s="11" t="str">
        <f t="array" ref="D1209">iferror(index(fish_lab_data!D:D,match(A1209,fish_lab_data!C:C,0)))</f>
        <v>P1169</v>
      </c>
      <c r="E1209" s="6">
        <v>111.0</v>
      </c>
      <c r="F1209" s="17" t="str">
        <f t="shared" si="3"/>
        <v>BCA111</v>
      </c>
      <c r="G1209" s="43" t="str">
        <f t="shared" si="4"/>
        <v>NA</v>
      </c>
      <c r="H1209" s="17" t="str">
        <f t="shared" si="5"/>
        <v>BCA111-NA</v>
      </c>
      <c r="J1209" t="str">
        <f t="shared" si="6"/>
        <v>collected</v>
      </c>
      <c r="K1209" t="str">
        <f t="shared" si="7"/>
        <v>N</v>
      </c>
    </row>
    <row r="1210">
      <c r="A1210" s="40" t="s">
        <v>1721</v>
      </c>
      <c r="B1210" s="10" t="str">
        <f t="shared" si="1"/>
        <v>fish</v>
      </c>
      <c r="C1210" s="63" t="str">
        <f t="shared" si="2"/>
        <v>U17689</v>
      </c>
      <c r="D1210" s="11" t="str">
        <f t="array" ref="D1210">iferror(index(fish_lab_data!D:D,match(A1210,fish_lab_data!C:C,0)))</f>
        <v>P1169</v>
      </c>
      <c r="E1210" s="6">
        <v>111.0</v>
      </c>
      <c r="F1210" s="17" t="str">
        <f t="shared" si="3"/>
        <v>BCA111</v>
      </c>
      <c r="G1210" s="43" t="str">
        <f t="shared" si="4"/>
        <v>NA</v>
      </c>
      <c r="H1210" s="17" t="str">
        <f t="shared" si="5"/>
        <v>BCA111-NA</v>
      </c>
      <c r="J1210" t="str">
        <f t="shared" si="6"/>
        <v>collected</v>
      </c>
      <c r="K1210" t="str">
        <f t="shared" si="7"/>
        <v>N</v>
      </c>
    </row>
    <row r="1211">
      <c r="A1211" s="40" t="s">
        <v>1722</v>
      </c>
      <c r="B1211" s="10" t="str">
        <f t="shared" si="1"/>
        <v>fish</v>
      </c>
      <c r="C1211" s="63" t="str">
        <f t="shared" si="2"/>
        <v>U17684</v>
      </c>
      <c r="D1211" s="11" t="str">
        <f t="array" ref="D1211">iferror(index(fish_lab_data!D:D,match(A1211,fish_lab_data!C:C,0)))</f>
        <v>P1169</v>
      </c>
      <c r="E1211" s="6">
        <v>111.0</v>
      </c>
      <c r="F1211" s="17" t="str">
        <f t="shared" si="3"/>
        <v>BCA111</v>
      </c>
      <c r="G1211" s="43" t="str">
        <f t="shared" si="4"/>
        <v>NA</v>
      </c>
      <c r="H1211" s="17" t="str">
        <f t="shared" si="5"/>
        <v>BCA111-NA</v>
      </c>
      <c r="J1211" t="str">
        <f t="shared" si="6"/>
        <v>collected</v>
      </c>
      <c r="K1211" t="str">
        <f t="shared" si="7"/>
        <v>N</v>
      </c>
    </row>
    <row r="1212">
      <c r="A1212" s="40" t="s">
        <v>1723</v>
      </c>
      <c r="B1212" s="10" t="str">
        <f t="shared" si="1"/>
        <v>fish</v>
      </c>
      <c r="C1212" s="63" t="str">
        <f t="shared" si="2"/>
        <v>U17683</v>
      </c>
      <c r="D1212" s="11" t="str">
        <f t="array" ref="D1212">iferror(index(fish_lab_data!D:D,match(A1212,fish_lab_data!C:C,0)))</f>
        <v>P1169</v>
      </c>
      <c r="E1212" s="6">
        <v>111.0</v>
      </c>
      <c r="F1212" s="17" t="str">
        <f t="shared" si="3"/>
        <v>BCA111</v>
      </c>
      <c r="G1212" s="43" t="str">
        <f t="shared" si="4"/>
        <v>NA</v>
      </c>
      <c r="H1212" s="17" t="str">
        <f t="shared" si="5"/>
        <v>BCA111-NA</v>
      </c>
      <c r="J1212" t="str">
        <f t="shared" si="6"/>
        <v>collected</v>
      </c>
      <c r="K1212" t="str">
        <f t="shared" si="7"/>
        <v>N</v>
      </c>
    </row>
    <row r="1213">
      <c r="A1213" s="40" t="s">
        <v>1724</v>
      </c>
      <c r="B1213" s="10" t="str">
        <f t="shared" si="1"/>
        <v>fish</v>
      </c>
      <c r="C1213" s="63" t="str">
        <f t="shared" si="2"/>
        <v>U17690</v>
      </c>
      <c r="D1213" s="11" t="str">
        <f t="array" ref="D1213">iferror(index(fish_lab_data!D:D,match(A1213,fish_lab_data!C:C,0)))</f>
        <v>P1169</v>
      </c>
      <c r="E1213" s="6">
        <v>111.0</v>
      </c>
      <c r="F1213" s="17" t="str">
        <f t="shared" si="3"/>
        <v>BCA111</v>
      </c>
      <c r="G1213" s="43" t="str">
        <f t="shared" si="4"/>
        <v>NA</v>
      </c>
      <c r="H1213" s="17" t="str">
        <f t="shared" si="5"/>
        <v>BCA111-NA</v>
      </c>
      <c r="J1213" t="str">
        <f t="shared" si="6"/>
        <v>collected</v>
      </c>
      <c r="K1213" t="str">
        <f t="shared" si="7"/>
        <v>N</v>
      </c>
    </row>
    <row r="1214">
      <c r="A1214" s="40" t="s">
        <v>1725</v>
      </c>
      <c r="B1214" s="10" t="str">
        <f t="shared" si="1"/>
        <v>fish</v>
      </c>
      <c r="C1214" s="63" t="str">
        <f t="shared" si="2"/>
        <v>U16204</v>
      </c>
      <c r="D1214" s="11" t="str">
        <f t="array" ref="D1214">iferror(index(fish_lab_data!D:D,match(A1214,fish_lab_data!C:C,0)))</f>
        <v>P1021</v>
      </c>
      <c r="E1214" s="6">
        <v>111.0</v>
      </c>
      <c r="F1214" s="17" t="str">
        <f t="shared" si="3"/>
        <v>BCA111</v>
      </c>
      <c r="G1214" s="43" t="str">
        <f t="shared" si="4"/>
        <v>NA</v>
      </c>
      <c r="H1214" s="17" t="str">
        <f t="shared" si="5"/>
        <v>BCA111-NA</v>
      </c>
      <c r="J1214" t="str">
        <f t="shared" si="6"/>
        <v>collected</v>
      </c>
      <c r="K1214" t="str">
        <f t="shared" si="7"/>
        <v>N</v>
      </c>
    </row>
    <row r="1215">
      <c r="A1215" s="40" t="s">
        <v>1726</v>
      </c>
      <c r="B1215" s="10" t="str">
        <f t="shared" si="1"/>
        <v>fish</v>
      </c>
      <c r="C1215" s="63" t="str">
        <f t="shared" si="2"/>
        <v>U16202</v>
      </c>
      <c r="D1215" s="11" t="str">
        <f t="array" ref="D1215">iferror(index(fish_lab_data!D:D,match(A1215,fish_lab_data!C:C,0)))</f>
        <v>P1021</v>
      </c>
      <c r="E1215" s="6">
        <v>111.0</v>
      </c>
      <c r="F1215" s="17" t="str">
        <f t="shared" si="3"/>
        <v>BCA111</v>
      </c>
      <c r="G1215" s="43" t="str">
        <f t="shared" si="4"/>
        <v>NA</v>
      </c>
      <c r="H1215" s="17" t="str">
        <f t="shared" si="5"/>
        <v>BCA111-NA</v>
      </c>
      <c r="J1215" t="str">
        <f t="shared" si="6"/>
        <v>collected</v>
      </c>
      <c r="K1215" t="str">
        <f t="shared" si="7"/>
        <v>N</v>
      </c>
    </row>
    <row r="1216">
      <c r="A1216" s="40" t="s">
        <v>1727</v>
      </c>
      <c r="B1216" s="10" t="str">
        <f t="shared" si="1"/>
        <v>fish</v>
      </c>
      <c r="C1216" s="63" t="str">
        <f t="shared" si="2"/>
        <v>U16206</v>
      </c>
      <c r="D1216" s="11" t="str">
        <f t="array" ref="D1216">iferror(index(fish_lab_data!D:D,match(A1216,fish_lab_data!C:C,0)))</f>
        <v>P1021</v>
      </c>
      <c r="E1216" s="6">
        <v>111.0</v>
      </c>
      <c r="F1216" s="17" t="str">
        <f t="shared" si="3"/>
        <v>BCA111</v>
      </c>
      <c r="G1216" s="43" t="str">
        <f t="shared" si="4"/>
        <v>NA</v>
      </c>
      <c r="H1216" s="17" t="str">
        <f t="shared" si="5"/>
        <v>BCA111-NA</v>
      </c>
      <c r="J1216" t="str">
        <f t="shared" si="6"/>
        <v>collected</v>
      </c>
      <c r="K1216" t="str">
        <f t="shared" si="7"/>
        <v>N</v>
      </c>
    </row>
    <row r="1217">
      <c r="A1217" s="40" t="s">
        <v>1728</v>
      </c>
      <c r="B1217" s="10" t="str">
        <f t="shared" si="1"/>
        <v>fish</v>
      </c>
      <c r="C1217" s="63" t="str">
        <f t="shared" si="2"/>
        <v>U16207</v>
      </c>
      <c r="D1217" s="11" t="str">
        <f t="array" ref="D1217">iferror(index(fish_lab_data!D:D,match(A1217,fish_lab_data!C:C,0)))</f>
        <v>P1021</v>
      </c>
      <c r="E1217" s="6">
        <v>111.0</v>
      </c>
      <c r="F1217" s="17" t="str">
        <f t="shared" si="3"/>
        <v>BCA111</v>
      </c>
      <c r="G1217" s="43" t="str">
        <f t="shared" si="4"/>
        <v>NA</v>
      </c>
      <c r="H1217" s="17" t="str">
        <f t="shared" si="5"/>
        <v>BCA111-NA</v>
      </c>
      <c r="J1217" t="str">
        <f t="shared" si="6"/>
        <v>collected</v>
      </c>
      <c r="K1217" t="str">
        <f t="shared" si="7"/>
        <v>N</v>
      </c>
    </row>
    <row r="1218">
      <c r="A1218" s="40" t="s">
        <v>1730</v>
      </c>
      <c r="B1218" s="10" t="str">
        <f t="shared" si="1"/>
        <v>fish</v>
      </c>
      <c r="C1218" s="63" t="str">
        <f t="shared" si="2"/>
        <v>U16210</v>
      </c>
      <c r="D1218" s="11" t="str">
        <f t="array" ref="D1218">iferror(index(fish_lab_data!D:D,match(A1218,fish_lab_data!C:C,0)))</f>
        <v>P1021</v>
      </c>
      <c r="E1218" s="6">
        <v>111.0</v>
      </c>
      <c r="F1218" s="17" t="str">
        <f t="shared" si="3"/>
        <v>BCA111</v>
      </c>
      <c r="G1218" s="43" t="str">
        <f t="shared" si="4"/>
        <v>NA</v>
      </c>
      <c r="H1218" s="17" t="str">
        <f t="shared" si="5"/>
        <v>BCA111-NA</v>
      </c>
      <c r="J1218" t="str">
        <f t="shared" si="6"/>
        <v>collected</v>
      </c>
      <c r="K1218" t="str">
        <f t="shared" si="7"/>
        <v>N</v>
      </c>
    </row>
    <row r="1219">
      <c r="A1219" s="40" t="s">
        <v>1731</v>
      </c>
      <c r="B1219" s="10" t="str">
        <f t="shared" si="1"/>
        <v>fish</v>
      </c>
      <c r="C1219" s="63" t="str">
        <f t="shared" si="2"/>
        <v>U16208</v>
      </c>
      <c r="D1219" s="11" t="str">
        <f t="array" ref="D1219">iferror(index(fish_lab_data!D:D,match(A1219,fish_lab_data!C:C,0)))</f>
        <v>P1021</v>
      </c>
      <c r="E1219" s="6">
        <v>111.0</v>
      </c>
      <c r="F1219" s="17" t="str">
        <f t="shared" si="3"/>
        <v>BCA111</v>
      </c>
      <c r="G1219" s="43" t="str">
        <f t="shared" si="4"/>
        <v>NA</v>
      </c>
      <c r="H1219" s="17" t="str">
        <f t="shared" si="5"/>
        <v>BCA111-NA</v>
      </c>
      <c r="J1219" t="str">
        <f t="shared" si="6"/>
        <v>collected</v>
      </c>
      <c r="K1219" t="str">
        <f t="shared" si="7"/>
        <v>N</v>
      </c>
    </row>
    <row r="1220">
      <c r="A1220" s="40" t="s">
        <v>1732</v>
      </c>
      <c r="B1220" s="10" t="str">
        <f t="shared" si="1"/>
        <v>fish</v>
      </c>
      <c r="C1220" s="63" t="str">
        <f t="shared" si="2"/>
        <v>U17504</v>
      </c>
      <c r="D1220" s="11" t="str">
        <f t="array" ref="D1220">iferror(index(fish_lab_data!D:D,match(A1220,fish_lab_data!C:C,0)))</f>
        <v>P1151</v>
      </c>
      <c r="E1220" s="6">
        <v>111.0</v>
      </c>
      <c r="F1220" s="17" t="str">
        <f t="shared" si="3"/>
        <v>BCA111</v>
      </c>
      <c r="G1220" s="43" t="str">
        <f t="shared" si="4"/>
        <v>NA</v>
      </c>
      <c r="H1220" s="17" t="str">
        <f t="shared" si="5"/>
        <v>BCA111-NA</v>
      </c>
      <c r="J1220" t="str">
        <f t="shared" si="6"/>
        <v>collected</v>
      </c>
      <c r="K1220" t="str">
        <f t="shared" si="7"/>
        <v>N</v>
      </c>
    </row>
    <row r="1221">
      <c r="A1221" s="40" t="s">
        <v>1733</v>
      </c>
      <c r="B1221" s="10" t="str">
        <f t="shared" si="1"/>
        <v>fish</v>
      </c>
      <c r="C1221" s="63" t="str">
        <f t="shared" si="2"/>
        <v>U17509</v>
      </c>
      <c r="D1221" s="11" t="str">
        <f t="array" ref="D1221">iferror(index(fish_lab_data!D:D,match(A1221,fish_lab_data!C:C,0)))</f>
        <v>P1151</v>
      </c>
      <c r="E1221" s="6">
        <v>111.0</v>
      </c>
      <c r="F1221" s="17" t="str">
        <f t="shared" si="3"/>
        <v>BCA111</v>
      </c>
      <c r="G1221" s="43" t="str">
        <f t="shared" si="4"/>
        <v>NA</v>
      </c>
      <c r="H1221" s="17" t="str">
        <f t="shared" si="5"/>
        <v>BCA111-NA</v>
      </c>
      <c r="J1221" t="str">
        <f t="shared" si="6"/>
        <v>collected</v>
      </c>
      <c r="K1221" t="str">
        <f t="shared" si="7"/>
        <v>N</v>
      </c>
    </row>
    <row r="1222">
      <c r="A1222" s="40" t="s">
        <v>1734</v>
      </c>
      <c r="B1222" s="10" t="str">
        <f t="shared" si="1"/>
        <v>fish</v>
      </c>
      <c r="C1222" s="63" t="str">
        <f t="shared" si="2"/>
        <v>U17502</v>
      </c>
      <c r="D1222" s="11" t="str">
        <f t="array" ref="D1222">iferror(index(fish_lab_data!D:D,match(A1222,fish_lab_data!C:C,0)))</f>
        <v>P1151</v>
      </c>
      <c r="E1222" s="6">
        <v>111.0</v>
      </c>
      <c r="F1222" s="17" t="str">
        <f t="shared" si="3"/>
        <v>BCA111</v>
      </c>
      <c r="G1222" s="43" t="str">
        <f t="shared" si="4"/>
        <v>NA</v>
      </c>
      <c r="H1222" s="17" t="str">
        <f t="shared" si="5"/>
        <v>BCA111-NA</v>
      </c>
      <c r="J1222" t="str">
        <f t="shared" si="6"/>
        <v>collected</v>
      </c>
      <c r="K1222" t="str">
        <f t="shared" si="7"/>
        <v>N</v>
      </c>
    </row>
    <row r="1223">
      <c r="A1223" s="40" t="s">
        <v>1735</v>
      </c>
      <c r="B1223" s="10" t="str">
        <f t="shared" si="1"/>
        <v>fish</v>
      </c>
      <c r="C1223" s="63" t="str">
        <f t="shared" si="2"/>
        <v>U17507</v>
      </c>
      <c r="D1223" s="11" t="str">
        <f t="array" ref="D1223">iferror(index(fish_lab_data!D:D,match(A1223,fish_lab_data!C:C,0)))</f>
        <v>P1151</v>
      </c>
      <c r="E1223" s="6">
        <v>111.0</v>
      </c>
      <c r="F1223" s="17" t="str">
        <f t="shared" si="3"/>
        <v>BCA111</v>
      </c>
      <c r="G1223" s="43" t="str">
        <f t="shared" si="4"/>
        <v>NA</v>
      </c>
      <c r="H1223" s="17" t="str">
        <f t="shared" si="5"/>
        <v>BCA111-NA</v>
      </c>
      <c r="J1223" t="str">
        <f t="shared" si="6"/>
        <v>collected</v>
      </c>
      <c r="K1223" t="str">
        <f t="shared" si="7"/>
        <v>N</v>
      </c>
    </row>
    <row r="1224">
      <c r="A1224" s="40" t="s">
        <v>1736</v>
      </c>
      <c r="B1224" s="10" t="str">
        <f t="shared" si="1"/>
        <v>fish</v>
      </c>
      <c r="C1224" s="63" t="str">
        <f t="shared" si="2"/>
        <v>U17508</v>
      </c>
      <c r="D1224" s="11" t="str">
        <f t="array" ref="D1224">iferror(index(fish_lab_data!D:D,match(A1224,fish_lab_data!C:C,0)))</f>
        <v>P1151</v>
      </c>
      <c r="E1224" s="6">
        <v>111.0</v>
      </c>
      <c r="F1224" s="17" t="str">
        <f t="shared" si="3"/>
        <v>BCA111</v>
      </c>
      <c r="G1224" s="43" t="str">
        <f t="shared" si="4"/>
        <v>NA</v>
      </c>
      <c r="H1224" s="17" t="str">
        <f t="shared" si="5"/>
        <v>BCA111-NA</v>
      </c>
      <c r="J1224" t="str">
        <f t="shared" si="6"/>
        <v>collected</v>
      </c>
      <c r="K1224" t="str">
        <f t="shared" si="7"/>
        <v>N</v>
      </c>
    </row>
    <row r="1225">
      <c r="A1225" s="40" t="s">
        <v>1737</v>
      </c>
      <c r="B1225" s="10" t="str">
        <f t="shared" si="1"/>
        <v>fish</v>
      </c>
      <c r="C1225" s="63" t="str">
        <f t="shared" si="2"/>
        <v>U17505</v>
      </c>
      <c r="D1225" s="11" t="str">
        <f t="array" ref="D1225">iferror(index(fish_lab_data!D:D,match(A1225,fish_lab_data!C:C,0)))</f>
        <v>P1151</v>
      </c>
      <c r="E1225" s="6">
        <v>111.0</v>
      </c>
      <c r="F1225" s="17" t="str">
        <f t="shared" si="3"/>
        <v>BCA111</v>
      </c>
      <c r="G1225" s="43" t="str">
        <f t="shared" si="4"/>
        <v>NA</v>
      </c>
      <c r="H1225" s="17" t="str">
        <f t="shared" si="5"/>
        <v>BCA111-NA</v>
      </c>
      <c r="J1225" t="str">
        <f t="shared" si="6"/>
        <v>collected</v>
      </c>
      <c r="K1225" t="str">
        <f t="shared" si="7"/>
        <v>N</v>
      </c>
    </row>
    <row r="1226">
      <c r="A1226" s="40" t="s">
        <v>1738</v>
      </c>
      <c r="B1226" s="10" t="str">
        <f t="shared" si="1"/>
        <v>fish</v>
      </c>
      <c r="C1226" s="63" t="str">
        <f t="shared" si="2"/>
        <v>U17510</v>
      </c>
      <c r="D1226" s="11" t="str">
        <f t="array" ref="D1226">iferror(index(fish_lab_data!D:D,match(A1226,fish_lab_data!C:C,0)))</f>
        <v>P1151</v>
      </c>
      <c r="E1226" s="6">
        <v>111.0</v>
      </c>
      <c r="F1226" s="17" t="str">
        <f t="shared" si="3"/>
        <v>BCA111</v>
      </c>
      <c r="G1226" s="43" t="str">
        <f t="shared" si="4"/>
        <v>NA</v>
      </c>
      <c r="H1226" s="17" t="str">
        <f t="shared" si="5"/>
        <v>BCA111-NA</v>
      </c>
      <c r="J1226" t="str">
        <f t="shared" si="6"/>
        <v>collected</v>
      </c>
      <c r="K1226" t="str">
        <f t="shared" si="7"/>
        <v>N</v>
      </c>
    </row>
    <row r="1227">
      <c r="A1227" s="40" t="s">
        <v>1739</v>
      </c>
      <c r="B1227" s="10" t="str">
        <f t="shared" si="1"/>
        <v>fish</v>
      </c>
      <c r="C1227" s="63" t="str">
        <f t="shared" si="2"/>
        <v>U17506</v>
      </c>
      <c r="D1227" s="11" t="str">
        <f t="array" ref="D1227">iferror(index(fish_lab_data!D:D,match(A1227,fish_lab_data!C:C,0)))</f>
        <v>P1151</v>
      </c>
      <c r="E1227" s="6">
        <v>111.0</v>
      </c>
      <c r="F1227" s="17" t="str">
        <f t="shared" si="3"/>
        <v>BCA111</v>
      </c>
      <c r="G1227" s="43" t="str">
        <f t="shared" si="4"/>
        <v>NA</v>
      </c>
      <c r="H1227" s="17" t="str">
        <f t="shared" si="5"/>
        <v>BCA111-NA</v>
      </c>
      <c r="J1227" t="str">
        <f t="shared" si="6"/>
        <v>collected</v>
      </c>
      <c r="K1227" t="str">
        <f t="shared" si="7"/>
        <v>N</v>
      </c>
    </row>
    <row r="1228">
      <c r="A1228" s="40" t="s">
        <v>1740</v>
      </c>
      <c r="B1228" s="10" t="str">
        <f t="shared" si="1"/>
        <v>fish</v>
      </c>
      <c r="C1228" s="63" t="str">
        <f t="shared" si="2"/>
        <v>U17501</v>
      </c>
      <c r="D1228" s="11" t="str">
        <f t="array" ref="D1228">iferror(index(fish_lab_data!D:D,match(A1228,fish_lab_data!C:C,0)))</f>
        <v>P1151</v>
      </c>
      <c r="E1228" s="6">
        <v>111.0</v>
      </c>
      <c r="F1228" s="17" t="str">
        <f t="shared" si="3"/>
        <v>BCA111</v>
      </c>
      <c r="G1228" s="43" t="str">
        <f t="shared" si="4"/>
        <v>NA</v>
      </c>
      <c r="H1228" s="17" t="str">
        <f t="shared" si="5"/>
        <v>BCA111-NA</v>
      </c>
      <c r="J1228" t="str">
        <f t="shared" si="6"/>
        <v>collected</v>
      </c>
      <c r="K1228" t="str">
        <f t="shared" si="7"/>
        <v>N</v>
      </c>
    </row>
    <row r="1229">
      <c r="A1229" s="40" t="s">
        <v>1741</v>
      </c>
      <c r="B1229" s="10" t="str">
        <f t="shared" si="1"/>
        <v>fish</v>
      </c>
      <c r="C1229" s="63" t="str">
        <f t="shared" si="2"/>
        <v>U17503</v>
      </c>
      <c r="D1229" s="11" t="str">
        <f t="array" ref="D1229">iferror(index(fish_lab_data!D:D,match(A1229,fish_lab_data!C:C,0)))</f>
        <v>P1151</v>
      </c>
      <c r="E1229" s="6">
        <v>111.0</v>
      </c>
      <c r="F1229" s="17" t="str">
        <f t="shared" si="3"/>
        <v>BCA111</v>
      </c>
      <c r="G1229" s="43" t="str">
        <f t="shared" si="4"/>
        <v>NA</v>
      </c>
      <c r="H1229" s="17" t="str">
        <f t="shared" si="5"/>
        <v>BCA111-NA</v>
      </c>
      <c r="J1229" t="str">
        <f t="shared" si="6"/>
        <v>collected</v>
      </c>
      <c r="K1229" t="str">
        <f t="shared" si="7"/>
        <v>N</v>
      </c>
    </row>
    <row r="1230">
      <c r="A1230" s="40" t="s">
        <v>1742</v>
      </c>
      <c r="B1230" s="10" t="str">
        <f t="shared" si="1"/>
        <v>fish</v>
      </c>
      <c r="C1230" s="63" t="str">
        <f t="shared" si="2"/>
        <v>U17102</v>
      </c>
      <c r="D1230" s="11" t="str">
        <f t="array" ref="D1230">iferror(index(fish_lab_data!D:D,match(A1230,fish_lab_data!C:C,0)))</f>
        <v>P1111</v>
      </c>
      <c r="E1230" s="6">
        <v>111.0</v>
      </c>
      <c r="F1230" s="17" t="str">
        <f t="shared" si="3"/>
        <v>BCA111</v>
      </c>
      <c r="G1230" s="43" t="str">
        <f t="shared" si="4"/>
        <v>NA</v>
      </c>
      <c r="H1230" s="17" t="str">
        <f t="shared" si="5"/>
        <v>BCA111-NA</v>
      </c>
      <c r="J1230" t="str">
        <f t="shared" si="6"/>
        <v>collected</v>
      </c>
      <c r="K1230" t="str">
        <f t="shared" si="7"/>
        <v>N</v>
      </c>
    </row>
    <row r="1231">
      <c r="A1231" s="40" t="s">
        <v>1743</v>
      </c>
      <c r="B1231" s="10" t="str">
        <f t="shared" si="1"/>
        <v>fish</v>
      </c>
      <c r="C1231" s="63" t="str">
        <f t="shared" si="2"/>
        <v>U17107</v>
      </c>
      <c r="D1231" s="11" t="str">
        <f t="array" ref="D1231">iferror(index(fish_lab_data!D:D,match(A1231,fish_lab_data!C:C,0)))</f>
        <v>P1111</v>
      </c>
      <c r="E1231" s="6">
        <v>111.0</v>
      </c>
      <c r="F1231" s="17" t="str">
        <f t="shared" si="3"/>
        <v>BCA111</v>
      </c>
      <c r="G1231" s="43" t="str">
        <f t="shared" si="4"/>
        <v>NA</v>
      </c>
      <c r="H1231" s="17" t="str">
        <f t="shared" si="5"/>
        <v>BCA111-NA</v>
      </c>
      <c r="J1231" t="str">
        <f t="shared" si="6"/>
        <v>collected</v>
      </c>
      <c r="K1231" t="str">
        <f t="shared" si="7"/>
        <v>N</v>
      </c>
    </row>
    <row r="1232">
      <c r="A1232" s="40" t="s">
        <v>1744</v>
      </c>
      <c r="B1232" s="10" t="str">
        <f t="shared" si="1"/>
        <v>fish</v>
      </c>
      <c r="C1232" s="63" t="str">
        <f t="shared" si="2"/>
        <v>U17259</v>
      </c>
      <c r="D1232" s="11" t="str">
        <f t="array" ref="D1232">iferror(index(fish_lab_data!D:D,match(A1232,fish_lab_data!C:C,0)))</f>
        <v>P1126</v>
      </c>
      <c r="E1232" s="6">
        <v>111.0</v>
      </c>
      <c r="F1232" s="17" t="str">
        <f t="shared" si="3"/>
        <v>BCA111</v>
      </c>
      <c r="G1232" s="43" t="str">
        <f t="shared" si="4"/>
        <v>NA</v>
      </c>
      <c r="H1232" s="17" t="str">
        <f t="shared" si="5"/>
        <v>BCA111-NA</v>
      </c>
      <c r="J1232" t="str">
        <f t="shared" si="6"/>
        <v>collected</v>
      </c>
      <c r="K1232" t="str">
        <f t="shared" si="7"/>
        <v>N</v>
      </c>
    </row>
    <row r="1233">
      <c r="A1233" s="40" t="s">
        <v>1745</v>
      </c>
      <c r="B1233" s="10" t="str">
        <f t="shared" si="1"/>
        <v>fish</v>
      </c>
      <c r="C1233" s="63" t="str">
        <f t="shared" si="2"/>
        <v>U17260</v>
      </c>
      <c r="D1233" s="11" t="str">
        <f t="array" ref="D1233">iferror(index(fish_lab_data!D:D,match(A1233,fish_lab_data!C:C,0)))</f>
        <v>P1126</v>
      </c>
      <c r="E1233" s="6">
        <v>111.0</v>
      </c>
      <c r="F1233" s="17" t="str">
        <f t="shared" si="3"/>
        <v>BCA111</v>
      </c>
      <c r="G1233" s="43" t="str">
        <f t="shared" si="4"/>
        <v>NA</v>
      </c>
      <c r="H1233" s="17" t="str">
        <f t="shared" si="5"/>
        <v>BCA111-NA</v>
      </c>
      <c r="J1233" t="str">
        <f t="shared" si="6"/>
        <v>collected</v>
      </c>
      <c r="K1233" t="str">
        <f t="shared" si="7"/>
        <v>N</v>
      </c>
    </row>
    <row r="1234">
      <c r="A1234" s="40" t="s">
        <v>1746</v>
      </c>
      <c r="B1234" s="10" t="str">
        <f t="shared" si="1"/>
        <v>fish</v>
      </c>
      <c r="C1234" s="63" t="str">
        <f t="shared" si="2"/>
        <v>U17258</v>
      </c>
      <c r="D1234" s="11" t="str">
        <f t="array" ref="D1234">iferror(index(fish_lab_data!D:D,match(A1234,fish_lab_data!C:C,0)))</f>
        <v>P1126</v>
      </c>
      <c r="E1234" s="6">
        <v>111.0</v>
      </c>
      <c r="F1234" s="17" t="str">
        <f t="shared" si="3"/>
        <v>BCA111</v>
      </c>
      <c r="G1234" s="43" t="str">
        <f t="shared" si="4"/>
        <v>NA</v>
      </c>
      <c r="H1234" s="17" t="str">
        <f t="shared" si="5"/>
        <v>BCA111-NA</v>
      </c>
      <c r="J1234" t="str">
        <f t="shared" si="6"/>
        <v>collected</v>
      </c>
      <c r="K1234" t="str">
        <f t="shared" si="7"/>
        <v>N</v>
      </c>
    </row>
    <row r="1235">
      <c r="A1235" s="40" t="s">
        <v>1747</v>
      </c>
      <c r="B1235" s="10" t="str">
        <f t="shared" si="1"/>
        <v>fish</v>
      </c>
      <c r="C1235" s="63" t="str">
        <f t="shared" si="2"/>
        <v>U17256</v>
      </c>
      <c r="D1235" s="11" t="str">
        <f t="array" ref="D1235">iferror(index(fish_lab_data!D:D,match(A1235,fish_lab_data!C:C,0)))</f>
        <v>P1126</v>
      </c>
      <c r="E1235" s="6">
        <v>111.0</v>
      </c>
      <c r="F1235" s="17" t="str">
        <f t="shared" si="3"/>
        <v>BCA111</v>
      </c>
      <c r="G1235" s="43" t="str">
        <f t="shared" si="4"/>
        <v>NA</v>
      </c>
      <c r="H1235" s="17" t="str">
        <f t="shared" si="5"/>
        <v>BCA111-NA</v>
      </c>
      <c r="J1235" t="str">
        <f t="shared" si="6"/>
        <v>collected</v>
      </c>
      <c r="K1235" t="str">
        <f t="shared" si="7"/>
        <v>N</v>
      </c>
    </row>
    <row r="1236">
      <c r="A1236" s="40" t="s">
        <v>1748</v>
      </c>
      <c r="B1236" s="10" t="str">
        <f t="shared" si="1"/>
        <v>fish</v>
      </c>
      <c r="C1236" s="63" t="str">
        <f t="shared" si="2"/>
        <v>U17253</v>
      </c>
      <c r="D1236" s="11" t="str">
        <f t="array" ref="D1236">iferror(index(fish_lab_data!D:D,match(A1236,fish_lab_data!C:C,0)))</f>
        <v>P1126</v>
      </c>
      <c r="E1236" s="6">
        <v>111.0</v>
      </c>
      <c r="F1236" s="17" t="str">
        <f t="shared" si="3"/>
        <v>BCA111</v>
      </c>
      <c r="G1236" s="43" t="str">
        <f t="shared" si="4"/>
        <v>NA</v>
      </c>
      <c r="H1236" s="17" t="str">
        <f t="shared" si="5"/>
        <v>BCA111-NA</v>
      </c>
      <c r="J1236" t="str">
        <f t="shared" si="6"/>
        <v>collected</v>
      </c>
      <c r="K1236" t="str">
        <f t="shared" si="7"/>
        <v>N</v>
      </c>
    </row>
    <row r="1237">
      <c r="A1237" s="40" t="s">
        <v>1749</v>
      </c>
      <c r="B1237" s="10" t="str">
        <f t="shared" si="1"/>
        <v>fish</v>
      </c>
      <c r="C1237" s="63" t="str">
        <f t="shared" si="2"/>
        <v>U17257</v>
      </c>
      <c r="D1237" s="11" t="str">
        <f t="array" ref="D1237">iferror(index(fish_lab_data!D:D,match(A1237,fish_lab_data!C:C,0)))</f>
        <v>P1126</v>
      </c>
      <c r="E1237" s="6">
        <v>111.0</v>
      </c>
      <c r="F1237" s="17" t="str">
        <f t="shared" si="3"/>
        <v>BCA111</v>
      </c>
      <c r="G1237" s="43" t="str">
        <f t="shared" si="4"/>
        <v>NA</v>
      </c>
      <c r="H1237" s="17" t="str">
        <f t="shared" si="5"/>
        <v>BCA111-NA</v>
      </c>
      <c r="J1237" t="str">
        <f t="shared" si="6"/>
        <v>collected</v>
      </c>
      <c r="K1237" t="str">
        <f t="shared" si="7"/>
        <v>N</v>
      </c>
    </row>
    <row r="1238">
      <c r="A1238" s="40" t="s">
        <v>1750</v>
      </c>
      <c r="B1238" s="10" t="str">
        <f t="shared" si="1"/>
        <v>fish</v>
      </c>
      <c r="C1238" s="63" t="str">
        <f t="shared" si="2"/>
        <v>U17252</v>
      </c>
      <c r="D1238" s="11" t="str">
        <f t="array" ref="D1238">iferror(index(fish_lab_data!D:D,match(A1238,fish_lab_data!C:C,0)))</f>
        <v>P1126</v>
      </c>
      <c r="E1238" s="6">
        <v>111.0</v>
      </c>
      <c r="F1238" s="17" t="str">
        <f t="shared" si="3"/>
        <v>BCA111</v>
      </c>
      <c r="G1238" s="43" t="str">
        <f t="shared" si="4"/>
        <v>NA</v>
      </c>
      <c r="H1238" s="17" t="str">
        <f t="shared" si="5"/>
        <v>BCA111-NA</v>
      </c>
      <c r="J1238" t="str">
        <f t="shared" si="6"/>
        <v>collected</v>
      </c>
      <c r="K1238" t="str">
        <f t="shared" si="7"/>
        <v>N</v>
      </c>
    </row>
    <row r="1239">
      <c r="A1239" s="40" t="s">
        <v>1751</v>
      </c>
      <c r="B1239" s="10" t="str">
        <f t="shared" si="1"/>
        <v>fish</v>
      </c>
      <c r="C1239" s="63" t="str">
        <f t="shared" si="2"/>
        <v>U17255</v>
      </c>
      <c r="D1239" s="11" t="str">
        <f t="array" ref="D1239">iferror(index(fish_lab_data!D:D,match(A1239,fish_lab_data!C:C,0)))</f>
        <v>P1126</v>
      </c>
      <c r="E1239" s="6">
        <v>111.0</v>
      </c>
      <c r="F1239" s="17" t="str">
        <f t="shared" si="3"/>
        <v>BCA111</v>
      </c>
      <c r="G1239" s="43" t="str">
        <f t="shared" si="4"/>
        <v>NA</v>
      </c>
      <c r="H1239" s="17" t="str">
        <f t="shared" si="5"/>
        <v>BCA111-NA</v>
      </c>
      <c r="J1239" t="str">
        <f t="shared" si="6"/>
        <v>collected</v>
      </c>
      <c r="K1239" t="str">
        <f t="shared" si="7"/>
        <v>N</v>
      </c>
    </row>
    <row r="1240">
      <c r="A1240" s="40" t="s">
        <v>1752</v>
      </c>
      <c r="B1240" s="10" t="str">
        <f t="shared" si="1"/>
        <v>fish</v>
      </c>
      <c r="C1240" s="63" t="str">
        <f t="shared" si="2"/>
        <v>U17251</v>
      </c>
      <c r="D1240" s="11" t="str">
        <f t="array" ref="D1240">iferror(index(fish_lab_data!D:D,match(A1240,fish_lab_data!C:C,0)))</f>
        <v>P1126</v>
      </c>
      <c r="E1240" s="6">
        <v>111.0</v>
      </c>
      <c r="F1240" s="17" t="str">
        <f t="shared" si="3"/>
        <v>BCA111</v>
      </c>
      <c r="G1240" s="43" t="str">
        <f t="shared" si="4"/>
        <v>NA</v>
      </c>
      <c r="H1240" s="17" t="str">
        <f t="shared" si="5"/>
        <v>BCA111-NA</v>
      </c>
      <c r="J1240" t="str">
        <f t="shared" si="6"/>
        <v>collected</v>
      </c>
      <c r="K1240" t="str">
        <f t="shared" si="7"/>
        <v>N</v>
      </c>
    </row>
    <row r="1241">
      <c r="A1241" s="40" t="s">
        <v>1753</v>
      </c>
      <c r="B1241" s="10" t="str">
        <f t="shared" si="1"/>
        <v>fish</v>
      </c>
      <c r="C1241" s="63" t="str">
        <f t="shared" si="2"/>
        <v>U16675</v>
      </c>
      <c r="D1241" s="11" t="str">
        <f t="array" ref="D1241">iferror(index(fish_lab_data!D:D,match(A1241,fish_lab_data!C:C,0)))</f>
        <v>P1068</v>
      </c>
      <c r="E1241" s="6">
        <v>111.0</v>
      </c>
      <c r="F1241" s="17" t="str">
        <f t="shared" si="3"/>
        <v>BCA111</v>
      </c>
      <c r="G1241" s="43" t="str">
        <f t="shared" si="4"/>
        <v>NA</v>
      </c>
      <c r="H1241" s="17" t="str">
        <f t="shared" si="5"/>
        <v>BCA111-NA</v>
      </c>
      <c r="J1241" t="str">
        <f t="shared" si="6"/>
        <v>collected</v>
      </c>
      <c r="K1241" t="str">
        <f t="shared" si="7"/>
        <v>N</v>
      </c>
    </row>
    <row r="1242">
      <c r="A1242" s="40" t="s">
        <v>1754</v>
      </c>
      <c r="B1242" s="10" t="str">
        <f t="shared" si="1"/>
        <v>fish</v>
      </c>
      <c r="C1242" s="63" t="str">
        <f t="shared" si="2"/>
        <v>U16677</v>
      </c>
      <c r="D1242" s="11" t="str">
        <f t="array" ref="D1242">iferror(index(fish_lab_data!D:D,match(A1242,fish_lab_data!C:C,0)))</f>
        <v>P1068</v>
      </c>
      <c r="E1242" s="6">
        <v>111.0</v>
      </c>
      <c r="F1242" s="17" t="str">
        <f t="shared" si="3"/>
        <v>BCA111</v>
      </c>
      <c r="G1242" s="43" t="str">
        <f t="shared" si="4"/>
        <v>NA</v>
      </c>
      <c r="H1242" s="17" t="str">
        <f t="shared" si="5"/>
        <v>BCA111-NA</v>
      </c>
      <c r="J1242" t="str">
        <f t="shared" si="6"/>
        <v>collected</v>
      </c>
      <c r="K1242" t="str">
        <f t="shared" si="7"/>
        <v>N</v>
      </c>
    </row>
    <row r="1243">
      <c r="A1243" s="40" t="s">
        <v>1755</v>
      </c>
      <c r="B1243" s="10" t="str">
        <f t="shared" si="1"/>
        <v>fish</v>
      </c>
      <c r="C1243" s="63" t="str">
        <f t="shared" si="2"/>
        <v>U16673</v>
      </c>
      <c r="D1243" s="11" t="str">
        <f t="array" ref="D1243">iferror(index(fish_lab_data!D:D,match(A1243,fish_lab_data!C:C,0)))</f>
        <v>P1068</v>
      </c>
      <c r="E1243" s="6">
        <v>111.0</v>
      </c>
      <c r="F1243" s="17" t="str">
        <f t="shared" si="3"/>
        <v>BCA111</v>
      </c>
      <c r="G1243" s="43" t="str">
        <f t="shared" si="4"/>
        <v>NA</v>
      </c>
      <c r="H1243" s="17" t="str">
        <f t="shared" si="5"/>
        <v>BCA111-NA</v>
      </c>
      <c r="J1243" t="str">
        <f t="shared" si="6"/>
        <v>collected</v>
      </c>
      <c r="K1243" t="str">
        <f t="shared" si="7"/>
        <v>N</v>
      </c>
    </row>
    <row r="1244">
      <c r="A1244" s="40" t="s">
        <v>1756</v>
      </c>
      <c r="B1244" s="10" t="str">
        <f t="shared" si="1"/>
        <v>fish</v>
      </c>
      <c r="C1244" s="63" t="str">
        <f t="shared" si="2"/>
        <v>U16671</v>
      </c>
      <c r="D1244" s="11" t="str">
        <f t="array" ref="D1244">iferror(index(fish_lab_data!D:D,match(A1244,fish_lab_data!C:C,0)))</f>
        <v>P1068</v>
      </c>
      <c r="E1244" s="6">
        <v>111.0</v>
      </c>
      <c r="F1244" s="17" t="str">
        <f t="shared" si="3"/>
        <v>BCA111</v>
      </c>
      <c r="G1244" s="43" t="str">
        <f t="shared" si="4"/>
        <v>NA</v>
      </c>
      <c r="H1244" s="17" t="str">
        <f t="shared" si="5"/>
        <v>BCA111-NA</v>
      </c>
      <c r="J1244" t="str">
        <f t="shared" si="6"/>
        <v>collected</v>
      </c>
      <c r="K1244" t="str">
        <f t="shared" si="7"/>
        <v>N</v>
      </c>
    </row>
    <row r="1245">
      <c r="A1245" s="40" t="s">
        <v>1757</v>
      </c>
      <c r="B1245" s="10" t="str">
        <f t="shared" si="1"/>
        <v>fish</v>
      </c>
      <c r="C1245" s="63" t="str">
        <f t="shared" si="2"/>
        <v>U16679</v>
      </c>
      <c r="D1245" s="11" t="str">
        <f t="array" ref="D1245">iferror(index(fish_lab_data!D:D,match(A1245,fish_lab_data!C:C,0)))</f>
        <v>P1068</v>
      </c>
      <c r="E1245" s="6">
        <v>111.0</v>
      </c>
      <c r="F1245" s="17" t="str">
        <f t="shared" si="3"/>
        <v>BCA111</v>
      </c>
      <c r="G1245" s="43" t="str">
        <f t="shared" si="4"/>
        <v>NA</v>
      </c>
      <c r="H1245" s="17" t="str">
        <f t="shared" si="5"/>
        <v>BCA111-NA</v>
      </c>
      <c r="J1245" t="str">
        <f t="shared" si="6"/>
        <v>collected</v>
      </c>
      <c r="K1245" t="str">
        <f t="shared" si="7"/>
        <v>N</v>
      </c>
    </row>
    <row r="1246">
      <c r="A1246" s="40" t="s">
        <v>1758</v>
      </c>
      <c r="B1246" s="10" t="str">
        <f t="shared" si="1"/>
        <v>fish</v>
      </c>
      <c r="C1246" s="63" t="str">
        <f t="shared" si="2"/>
        <v>U16680</v>
      </c>
      <c r="D1246" s="11" t="str">
        <f t="array" ref="D1246">iferror(index(fish_lab_data!D:D,match(A1246,fish_lab_data!C:C,0)))</f>
        <v>P1068</v>
      </c>
      <c r="E1246" s="6">
        <v>111.0</v>
      </c>
      <c r="F1246" s="17" t="str">
        <f t="shared" si="3"/>
        <v>BCA111</v>
      </c>
      <c r="G1246" s="43" t="str">
        <f t="shared" si="4"/>
        <v>NA</v>
      </c>
      <c r="H1246" s="17" t="str">
        <f t="shared" si="5"/>
        <v>BCA111-NA</v>
      </c>
      <c r="J1246" t="str">
        <f t="shared" si="6"/>
        <v>collected</v>
      </c>
      <c r="K1246" t="str">
        <f t="shared" si="7"/>
        <v>N</v>
      </c>
    </row>
    <row r="1247">
      <c r="A1247" s="40" t="s">
        <v>1759</v>
      </c>
      <c r="B1247" s="10" t="str">
        <f t="shared" si="1"/>
        <v>fish</v>
      </c>
      <c r="C1247" s="63" t="str">
        <f t="shared" si="2"/>
        <v>U16674</v>
      </c>
      <c r="D1247" s="11" t="str">
        <f t="array" ref="D1247">iferror(index(fish_lab_data!D:D,match(A1247,fish_lab_data!C:C,0)))</f>
        <v>P1068</v>
      </c>
      <c r="E1247" s="6">
        <v>111.0</v>
      </c>
      <c r="F1247" s="17" t="str">
        <f t="shared" si="3"/>
        <v>BCA111</v>
      </c>
      <c r="G1247" s="43" t="str">
        <f t="shared" si="4"/>
        <v>NA</v>
      </c>
      <c r="H1247" s="17" t="str">
        <f t="shared" si="5"/>
        <v>BCA111-NA</v>
      </c>
      <c r="J1247" t="str">
        <f t="shared" si="6"/>
        <v>collected</v>
      </c>
      <c r="K1247" t="str">
        <f t="shared" si="7"/>
        <v>N</v>
      </c>
    </row>
    <row r="1248">
      <c r="A1248" s="40" t="s">
        <v>1760</v>
      </c>
      <c r="B1248" s="10" t="str">
        <f t="shared" si="1"/>
        <v>fish</v>
      </c>
      <c r="C1248" s="63" t="str">
        <f t="shared" si="2"/>
        <v>U16676</v>
      </c>
      <c r="D1248" s="11" t="str">
        <f t="array" ref="D1248">iferror(index(fish_lab_data!D:D,match(A1248,fish_lab_data!C:C,0)))</f>
        <v>P1068</v>
      </c>
      <c r="E1248" s="6">
        <v>111.0</v>
      </c>
      <c r="F1248" s="17" t="str">
        <f t="shared" si="3"/>
        <v>BCA111</v>
      </c>
      <c r="G1248" s="43" t="str">
        <f t="shared" si="4"/>
        <v>NA</v>
      </c>
      <c r="H1248" s="17" t="str">
        <f t="shared" si="5"/>
        <v>BCA111-NA</v>
      </c>
      <c r="J1248" t="str">
        <f t="shared" si="6"/>
        <v>collected</v>
      </c>
      <c r="K1248" t="str">
        <f t="shared" si="7"/>
        <v>N</v>
      </c>
    </row>
    <row r="1249">
      <c r="A1249" s="40" t="s">
        <v>1761</v>
      </c>
      <c r="B1249" s="10" t="str">
        <f t="shared" si="1"/>
        <v>fish</v>
      </c>
      <c r="C1249" s="63" t="str">
        <f t="shared" si="2"/>
        <v>U16678</v>
      </c>
      <c r="D1249" s="11" t="str">
        <f t="array" ref="D1249">iferror(index(fish_lab_data!D:D,match(A1249,fish_lab_data!C:C,0)))</f>
        <v>P1068</v>
      </c>
      <c r="E1249" s="6">
        <v>111.0</v>
      </c>
      <c r="F1249" s="17" t="str">
        <f t="shared" si="3"/>
        <v>BCA111</v>
      </c>
      <c r="G1249" s="43" t="str">
        <f t="shared" si="4"/>
        <v>NA</v>
      </c>
      <c r="H1249" s="17" t="str">
        <f t="shared" si="5"/>
        <v>BCA111-NA</v>
      </c>
      <c r="J1249" t="str">
        <f t="shared" si="6"/>
        <v>collected</v>
      </c>
      <c r="K1249" t="str">
        <f t="shared" si="7"/>
        <v>N</v>
      </c>
    </row>
    <row r="1250">
      <c r="A1250" s="40" t="s">
        <v>1762</v>
      </c>
      <c r="B1250" s="10" t="str">
        <f t="shared" si="1"/>
        <v>fish</v>
      </c>
      <c r="C1250" s="63" t="str">
        <f t="shared" si="2"/>
        <v>U16672</v>
      </c>
      <c r="D1250" s="11" t="str">
        <f t="array" ref="D1250">iferror(index(fish_lab_data!D:D,match(A1250,fish_lab_data!C:C,0)))</f>
        <v>P1068</v>
      </c>
      <c r="E1250" s="6">
        <v>111.0</v>
      </c>
      <c r="F1250" s="17" t="str">
        <f t="shared" si="3"/>
        <v>BCA111</v>
      </c>
      <c r="G1250" s="43" t="str">
        <f t="shared" si="4"/>
        <v>NA</v>
      </c>
      <c r="H1250" s="17" t="str">
        <f t="shared" si="5"/>
        <v>BCA111-NA</v>
      </c>
      <c r="J1250" t="str">
        <f t="shared" si="6"/>
        <v>collected</v>
      </c>
      <c r="K1250" t="str">
        <f t="shared" si="7"/>
        <v>N</v>
      </c>
    </row>
    <row r="1251">
      <c r="A1251" s="40" t="s">
        <v>1763</v>
      </c>
      <c r="B1251" s="10" t="str">
        <f t="shared" si="1"/>
        <v>fish</v>
      </c>
      <c r="C1251" s="63" t="str">
        <f t="shared" si="2"/>
        <v>U17254</v>
      </c>
      <c r="D1251" s="11" t="str">
        <f t="array" ref="D1251">iferror(index(fish_lab_data!D:D,match(A1251,fish_lab_data!C:C,0)))</f>
        <v>P1126</v>
      </c>
      <c r="E1251" s="6">
        <v>111.0</v>
      </c>
      <c r="F1251" s="17" t="str">
        <f t="shared" si="3"/>
        <v>BCA111</v>
      </c>
      <c r="G1251" s="43" t="str">
        <f t="shared" si="4"/>
        <v>NA</v>
      </c>
      <c r="H1251" s="17" t="str">
        <f t="shared" si="5"/>
        <v>BCA111-NA</v>
      </c>
      <c r="J1251" t="str">
        <f t="shared" si="6"/>
        <v>collected</v>
      </c>
      <c r="K1251" t="str">
        <f t="shared" si="7"/>
        <v>N</v>
      </c>
    </row>
    <row r="1252">
      <c r="A1252" s="40" t="s">
        <v>1765</v>
      </c>
      <c r="B1252" s="10" t="str">
        <f t="shared" si="1"/>
        <v>fish</v>
      </c>
      <c r="C1252" s="63" t="str">
        <f t="shared" si="2"/>
        <v>U17103</v>
      </c>
      <c r="D1252" s="11" t="str">
        <f t="array" ref="D1252">iferror(index(fish_lab_data!D:D,match(A1252,fish_lab_data!C:C,0)))</f>
        <v>P1111</v>
      </c>
      <c r="E1252" s="6">
        <v>111.0</v>
      </c>
      <c r="F1252" s="17" t="str">
        <f t="shared" si="3"/>
        <v>BCA111</v>
      </c>
      <c r="G1252" s="43" t="str">
        <f t="shared" si="4"/>
        <v>NA</v>
      </c>
      <c r="H1252" s="17" t="str">
        <f t="shared" si="5"/>
        <v>BCA111-NA</v>
      </c>
      <c r="J1252" t="str">
        <f t="shared" si="6"/>
        <v>collected</v>
      </c>
      <c r="K1252" t="str">
        <f t="shared" si="7"/>
        <v>N</v>
      </c>
    </row>
    <row r="1253">
      <c r="A1253" s="40" t="s">
        <v>1766</v>
      </c>
      <c r="B1253" s="10" t="str">
        <f t="shared" si="1"/>
        <v>fish</v>
      </c>
      <c r="C1253" s="63" t="str">
        <f t="shared" si="2"/>
        <v>U17101</v>
      </c>
      <c r="D1253" s="11" t="str">
        <f t="array" ref="D1253">iferror(index(fish_lab_data!D:D,match(A1253,fish_lab_data!C:C,0)))</f>
        <v>P1111</v>
      </c>
      <c r="E1253" s="6">
        <v>111.0</v>
      </c>
      <c r="F1253" s="17" t="str">
        <f t="shared" si="3"/>
        <v>BCA111</v>
      </c>
      <c r="G1253" s="43" t="str">
        <f t="shared" si="4"/>
        <v>NA</v>
      </c>
      <c r="H1253" s="17" t="str">
        <f t="shared" si="5"/>
        <v>BCA111-NA</v>
      </c>
      <c r="J1253" t="str">
        <f t="shared" si="6"/>
        <v>collected</v>
      </c>
      <c r="K1253" t="str">
        <f t="shared" si="7"/>
        <v>N</v>
      </c>
    </row>
    <row r="1254">
      <c r="A1254" s="40" t="s">
        <v>1767</v>
      </c>
      <c r="B1254" s="10" t="str">
        <f t="shared" si="1"/>
        <v>fish</v>
      </c>
      <c r="C1254" s="63" t="str">
        <f t="shared" si="2"/>
        <v>U17106</v>
      </c>
      <c r="D1254" s="11" t="str">
        <f t="array" ref="D1254">iferror(index(fish_lab_data!D:D,match(A1254,fish_lab_data!C:C,0)))</f>
        <v>P1111</v>
      </c>
      <c r="E1254" s="6">
        <v>111.0</v>
      </c>
      <c r="F1254" s="17" t="str">
        <f t="shared" si="3"/>
        <v>BCA111</v>
      </c>
      <c r="G1254" s="43" t="str">
        <f t="shared" si="4"/>
        <v>NA</v>
      </c>
      <c r="H1254" s="17" t="str">
        <f t="shared" si="5"/>
        <v>BCA111-NA</v>
      </c>
      <c r="J1254" t="str">
        <f t="shared" si="6"/>
        <v>collected</v>
      </c>
      <c r="K1254" t="str">
        <f t="shared" si="7"/>
        <v>N</v>
      </c>
    </row>
    <row r="1255">
      <c r="A1255" s="40" t="s">
        <v>1768</v>
      </c>
      <c r="B1255" s="10" t="str">
        <f t="shared" si="1"/>
        <v>fish</v>
      </c>
      <c r="C1255" s="63" t="str">
        <f t="shared" si="2"/>
        <v>U17104</v>
      </c>
      <c r="D1255" s="11" t="str">
        <f t="array" ref="D1255">iferror(index(fish_lab_data!D:D,match(A1255,fish_lab_data!C:C,0)))</f>
        <v>P1111</v>
      </c>
      <c r="E1255" s="6">
        <v>111.0</v>
      </c>
      <c r="F1255" s="17" t="str">
        <f t="shared" si="3"/>
        <v>BCA111</v>
      </c>
      <c r="G1255" s="43" t="str">
        <f t="shared" si="4"/>
        <v>NA</v>
      </c>
      <c r="H1255" s="17" t="str">
        <f t="shared" si="5"/>
        <v>BCA111-NA</v>
      </c>
      <c r="J1255" t="str">
        <f t="shared" si="6"/>
        <v>collected</v>
      </c>
      <c r="K1255" t="str">
        <f t="shared" si="7"/>
        <v>N</v>
      </c>
    </row>
    <row r="1256">
      <c r="A1256" s="40" t="s">
        <v>1769</v>
      </c>
      <c r="B1256" s="10" t="str">
        <f t="shared" si="1"/>
        <v>fish</v>
      </c>
      <c r="C1256" s="63" t="str">
        <f t="shared" si="2"/>
        <v>U17105</v>
      </c>
      <c r="D1256" s="11" t="str">
        <f t="array" ref="D1256">iferror(index(fish_lab_data!D:D,match(A1256,fish_lab_data!C:C,0)))</f>
        <v>P1111</v>
      </c>
      <c r="E1256" s="6">
        <v>111.0</v>
      </c>
      <c r="F1256" s="17" t="str">
        <f t="shared" si="3"/>
        <v>BCA111</v>
      </c>
      <c r="G1256" s="43" t="str">
        <f t="shared" si="4"/>
        <v>NA</v>
      </c>
      <c r="H1256" s="17" t="str">
        <f t="shared" si="5"/>
        <v>BCA111-NA</v>
      </c>
      <c r="J1256" t="str">
        <f t="shared" si="6"/>
        <v>collected</v>
      </c>
      <c r="K1256" t="str">
        <f t="shared" si="7"/>
        <v>N</v>
      </c>
    </row>
    <row r="1257">
      <c r="A1257" s="40" t="s">
        <v>1770</v>
      </c>
      <c r="B1257" s="10" t="str">
        <f t="shared" si="1"/>
        <v>fish</v>
      </c>
      <c r="C1257" s="63" t="str">
        <f t="shared" si="2"/>
        <v>U17109</v>
      </c>
      <c r="D1257" s="11" t="str">
        <f t="array" ref="D1257">iferror(index(fish_lab_data!D:D,match(A1257,fish_lab_data!C:C,0)))</f>
        <v>P1111</v>
      </c>
      <c r="E1257" s="6">
        <v>111.0</v>
      </c>
      <c r="F1257" s="17" t="str">
        <f t="shared" si="3"/>
        <v>BCA111</v>
      </c>
      <c r="G1257" s="43" t="str">
        <f t="shared" si="4"/>
        <v>NA</v>
      </c>
      <c r="H1257" s="17" t="str">
        <f t="shared" si="5"/>
        <v>BCA111-NA</v>
      </c>
      <c r="J1257" t="str">
        <f t="shared" si="6"/>
        <v>collected</v>
      </c>
      <c r="K1257" t="str">
        <f t="shared" si="7"/>
        <v>N</v>
      </c>
    </row>
    <row r="1258">
      <c r="A1258" s="40" t="s">
        <v>1771</v>
      </c>
      <c r="B1258" s="10" t="str">
        <f t="shared" si="1"/>
        <v>fish</v>
      </c>
      <c r="C1258" s="63" t="str">
        <f t="shared" si="2"/>
        <v>U17110</v>
      </c>
      <c r="D1258" s="11" t="str">
        <f t="array" ref="D1258">iferror(index(fish_lab_data!D:D,match(A1258,fish_lab_data!C:C,0)))</f>
        <v>P1111</v>
      </c>
      <c r="E1258" s="6">
        <v>111.0</v>
      </c>
      <c r="F1258" s="17" t="str">
        <f t="shared" si="3"/>
        <v>BCA111</v>
      </c>
      <c r="G1258" s="43" t="str">
        <f t="shared" si="4"/>
        <v>NA</v>
      </c>
      <c r="H1258" s="17" t="str">
        <f t="shared" si="5"/>
        <v>BCA111-NA</v>
      </c>
      <c r="J1258" t="str">
        <f t="shared" si="6"/>
        <v>collected</v>
      </c>
      <c r="K1258" t="str">
        <f t="shared" si="7"/>
        <v>N</v>
      </c>
    </row>
    <row r="1259">
      <c r="A1259" s="40" t="s">
        <v>1772</v>
      </c>
      <c r="B1259" s="10" t="str">
        <f t="shared" si="1"/>
        <v>fish</v>
      </c>
      <c r="C1259" s="63" t="str">
        <f t="shared" si="2"/>
        <v>U17108</v>
      </c>
      <c r="D1259" s="11" t="str">
        <f t="array" ref="D1259">iferror(index(fish_lab_data!D:D,match(A1259,fish_lab_data!C:C,0)))</f>
        <v>P1111</v>
      </c>
      <c r="E1259" s="6">
        <v>111.0</v>
      </c>
      <c r="F1259" s="17" t="str">
        <f t="shared" si="3"/>
        <v>BCA111</v>
      </c>
      <c r="G1259" s="43" t="str">
        <f t="shared" si="4"/>
        <v>NA</v>
      </c>
      <c r="H1259" s="17" t="str">
        <f t="shared" si="5"/>
        <v>BCA111-NA</v>
      </c>
      <c r="J1259" t="str">
        <f t="shared" si="6"/>
        <v>collected</v>
      </c>
      <c r="K1259" t="str">
        <f t="shared" si="7"/>
        <v>N</v>
      </c>
    </row>
    <row r="1260">
      <c r="A1260" s="40" t="s">
        <v>1773</v>
      </c>
      <c r="B1260" s="10" t="str">
        <f t="shared" si="1"/>
        <v>fish</v>
      </c>
      <c r="C1260" s="63" t="str">
        <f t="shared" si="2"/>
        <v>U16415</v>
      </c>
      <c r="D1260" s="11" t="str">
        <f t="array" ref="D1260">iferror(index(fish_lab_data!D:D,match(A1260,fish_lab_data!C:C,0)))</f>
        <v>P1042</v>
      </c>
      <c r="E1260" s="6">
        <v>111.0</v>
      </c>
      <c r="F1260" s="17" t="str">
        <f t="shared" si="3"/>
        <v>BCA111</v>
      </c>
      <c r="G1260" s="43" t="str">
        <f t="shared" si="4"/>
        <v>NA</v>
      </c>
      <c r="H1260" s="17" t="str">
        <f t="shared" si="5"/>
        <v>BCA111-NA</v>
      </c>
      <c r="J1260" t="str">
        <f t="shared" si="6"/>
        <v>collected</v>
      </c>
      <c r="K1260" t="str">
        <f t="shared" si="7"/>
        <v>N</v>
      </c>
    </row>
    <row r="1261">
      <c r="A1261" s="40" t="s">
        <v>1774</v>
      </c>
      <c r="B1261" s="10" t="str">
        <f t="shared" si="1"/>
        <v>fish</v>
      </c>
      <c r="C1261" s="63" t="str">
        <f t="shared" si="2"/>
        <v>U16418</v>
      </c>
      <c r="D1261" s="11" t="str">
        <f t="array" ref="D1261">iferror(index(fish_lab_data!D:D,match(A1261,fish_lab_data!C:C,0)))</f>
        <v>P1042</v>
      </c>
      <c r="E1261" s="6">
        <v>111.0</v>
      </c>
      <c r="F1261" s="17" t="str">
        <f t="shared" si="3"/>
        <v>BCA111</v>
      </c>
      <c r="G1261" s="43" t="str">
        <f t="shared" si="4"/>
        <v>NA</v>
      </c>
      <c r="H1261" s="17" t="str">
        <f t="shared" si="5"/>
        <v>BCA111-NA</v>
      </c>
      <c r="J1261" t="str">
        <f t="shared" si="6"/>
        <v>collected</v>
      </c>
      <c r="K1261" t="str">
        <f t="shared" si="7"/>
        <v>N</v>
      </c>
    </row>
    <row r="1262">
      <c r="A1262" s="40" t="s">
        <v>1775</v>
      </c>
      <c r="B1262" s="10" t="str">
        <f t="shared" si="1"/>
        <v>fish</v>
      </c>
      <c r="C1262" s="63" t="str">
        <f t="shared" si="2"/>
        <v>U16414</v>
      </c>
      <c r="D1262" s="11" t="str">
        <f t="array" ref="D1262">iferror(index(fish_lab_data!D:D,match(A1262,fish_lab_data!C:C,0)))</f>
        <v>P1042</v>
      </c>
      <c r="E1262" s="6">
        <v>111.0</v>
      </c>
      <c r="F1262" s="17" t="str">
        <f t="shared" si="3"/>
        <v>BCA111</v>
      </c>
      <c r="G1262" s="43" t="str">
        <f t="shared" si="4"/>
        <v>NA</v>
      </c>
      <c r="H1262" s="17" t="str">
        <f t="shared" si="5"/>
        <v>BCA111-NA</v>
      </c>
      <c r="J1262" t="str">
        <f t="shared" si="6"/>
        <v>collected</v>
      </c>
      <c r="K1262" t="str">
        <f t="shared" si="7"/>
        <v>N</v>
      </c>
    </row>
    <row r="1263">
      <c r="A1263" s="40" t="s">
        <v>1776</v>
      </c>
      <c r="B1263" s="10" t="str">
        <f t="shared" si="1"/>
        <v>fish</v>
      </c>
      <c r="C1263" s="63" t="str">
        <f t="shared" si="2"/>
        <v>U16412</v>
      </c>
      <c r="D1263" s="11" t="str">
        <f t="array" ref="D1263">iferror(index(fish_lab_data!D:D,match(A1263,fish_lab_data!C:C,0)))</f>
        <v>P1042</v>
      </c>
      <c r="E1263" s="6">
        <v>111.0</v>
      </c>
      <c r="F1263" s="17" t="str">
        <f t="shared" si="3"/>
        <v>BCA111</v>
      </c>
      <c r="G1263" s="43" t="str">
        <f t="shared" si="4"/>
        <v>NA</v>
      </c>
      <c r="H1263" s="17" t="str">
        <f t="shared" si="5"/>
        <v>BCA111-NA</v>
      </c>
      <c r="J1263" t="str">
        <f t="shared" si="6"/>
        <v>collected</v>
      </c>
      <c r="K1263" t="str">
        <f t="shared" si="7"/>
        <v>N</v>
      </c>
    </row>
    <row r="1264">
      <c r="A1264" s="40" t="s">
        <v>1777</v>
      </c>
      <c r="B1264" s="10" t="str">
        <f t="shared" si="1"/>
        <v>fish</v>
      </c>
      <c r="C1264" s="63" t="str">
        <f t="shared" si="2"/>
        <v>U16413</v>
      </c>
      <c r="D1264" s="11" t="str">
        <f t="array" ref="D1264">iferror(index(fish_lab_data!D:D,match(A1264,fish_lab_data!C:C,0)))</f>
        <v>P1042</v>
      </c>
      <c r="E1264" s="6">
        <v>111.0</v>
      </c>
      <c r="F1264" s="17" t="str">
        <f t="shared" si="3"/>
        <v>BCA111</v>
      </c>
      <c r="G1264" s="43" t="str">
        <f t="shared" si="4"/>
        <v>NA</v>
      </c>
      <c r="H1264" s="17" t="str">
        <f t="shared" si="5"/>
        <v>BCA111-NA</v>
      </c>
      <c r="J1264" t="str">
        <f t="shared" si="6"/>
        <v>collected</v>
      </c>
      <c r="K1264" t="str">
        <f t="shared" si="7"/>
        <v>N</v>
      </c>
    </row>
    <row r="1265">
      <c r="A1265" s="40" t="s">
        <v>1778</v>
      </c>
      <c r="B1265" s="10" t="str">
        <f t="shared" si="1"/>
        <v>fish</v>
      </c>
      <c r="C1265" s="63" t="str">
        <f t="shared" si="2"/>
        <v>U16411</v>
      </c>
      <c r="D1265" s="11" t="str">
        <f t="array" ref="D1265">iferror(index(fish_lab_data!D:D,match(A1265,fish_lab_data!C:C,0)))</f>
        <v>P1042</v>
      </c>
      <c r="E1265" s="6">
        <v>111.0</v>
      </c>
      <c r="F1265" s="17" t="str">
        <f t="shared" si="3"/>
        <v>BCA111</v>
      </c>
      <c r="G1265" s="43" t="str">
        <f t="shared" si="4"/>
        <v>NA</v>
      </c>
      <c r="H1265" s="17" t="str">
        <f t="shared" si="5"/>
        <v>BCA111-NA</v>
      </c>
      <c r="J1265" t="str">
        <f t="shared" si="6"/>
        <v>collected</v>
      </c>
      <c r="K1265" t="str">
        <f t="shared" si="7"/>
        <v>N</v>
      </c>
    </row>
    <row r="1266">
      <c r="A1266" s="40" t="s">
        <v>1779</v>
      </c>
      <c r="B1266" s="10" t="str">
        <f t="shared" si="1"/>
        <v>fish</v>
      </c>
      <c r="C1266" s="63" t="str">
        <f t="shared" si="2"/>
        <v>U16417</v>
      </c>
      <c r="D1266" s="11" t="str">
        <f t="array" ref="D1266">iferror(index(fish_lab_data!D:D,match(A1266,fish_lab_data!C:C,0)))</f>
        <v>P1042</v>
      </c>
      <c r="E1266" s="6">
        <v>111.0</v>
      </c>
      <c r="F1266" s="17" t="str">
        <f t="shared" si="3"/>
        <v>BCA111</v>
      </c>
      <c r="G1266" s="43" t="str">
        <f t="shared" si="4"/>
        <v>NA</v>
      </c>
      <c r="H1266" s="17" t="str">
        <f t="shared" si="5"/>
        <v>BCA111-NA</v>
      </c>
      <c r="J1266" t="str">
        <f t="shared" si="6"/>
        <v>collected</v>
      </c>
      <c r="K1266" t="str">
        <f t="shared" si="7"/>
        <v>N</v>
      </c>
    </row>
    <row r="1267">
      <c r="A1267" s="40" t="s">
        <v>1781</v>
      </c>
      <c r="B1267" s="10" t="str">
        <f t="shared" si="1"/>
        <v>fish</v>
      </c>
      <c r="C1267" s="63" t="str">
        <f t="shared" si="2"/>
        <v>U16419</v>
      </c>
      <c r="D1267" s="11" t="str">
        <f t="array" ref="D1267">iferror(index(fish_lab_data!D:D,match(A1267,fish_lab_data!C:C,0)))</f>
        <v>P1042</v>
      </c>
      <c r="E1267" s="6">
        <v>111.0</v>
      </c>
      <c r="F1267" s="17" t="str">
        <f t="shared" si="3"/>
        <v>BCA111</v>
      </c>
      <c r="G1267" s="43" t="str">
        <f t="shared" si="4"/>
        <v>NA</v>
      </c>
      <c r="H1267" s="17" t="str">
        <f t="shared" si="5"/>
        <v>BCA111-NA</v>
      </c>
      <c r="J1267" t="str">
        <f t="shared" si="6"/>
        <v>collected</v>
      </c>
      <c r="K1267" t="str">
        <f t="shared" si="7"/>
        <v>N</v>
      </c>
    </row>
    <row r="1268">
      <c r="A1268" s="40" t="s">
        <v>1782</v>
      </c>
      <c r="B1268" s="10" t="str">
        <f t="shared" si="1"/>
        <v>fish</v>
      </c>
      <c r="C1268" s="63" t="str">
        <f t="shared" si="2"/>
        <v>U16416</v>
      </c>
      <c r="D1268" s="11" t="str">
        <f t="array" ref="D1268">iferror(index(fish_lab_data!D:D,match(A1268,fish_lab_data!C:C,0)))</f>
        <v>P1042</v>
      </c>
      <c r="E1268" s="6">
        <v>111.0</v>
      </c>
      <c r="F1268" s="17" t="str">
        <f t="shared" si="3"/>
        <v>BCA111</v>
      </c>
      <c r="G1268" s="43" t="str">
        <f t="shared" si="4"/>
        <v>NA</v>
      </c>
      <c r="H1268" s="17" t="str">
        <f t="shared" si="5"/>
        <v>BCA111-NA</v>
      </c>
      <c r="J1268" t="str">
        <f t="shared" si="6"/>
        <v>collected</v>
      </c>
      <c r="K1268" t="str">
        <f t="shared" si="7"/>
        <v>N</v>
      </c>
    </row>
    <row r="1269">
      <c r="A1269" s="40" t="s">
        <v>1784</v>
      </c>
      <c r="B1269" s="10" t="str">
        <f t="shared" si="1"/>
        <v>fish</v>
      </c>
      <c r="C1269" s="63" t="str">
        <f t="shared" si="2"/>
        <v>U16420</v>
      </c>
      <c r="D1269" s="11" t="str">
        <f t="array" ref="D1269">iferror(index(fish_lab_data!D:D,match(A1269,fish_lab_data!C:C,0)))</f>
        <v>P1042</v>
      </c>
      <c r="E1269" s="6">
        <v>111.0</v>
      </c>
      <c r="F1269" s="17" t="str">
        <f t="shared" si="3"/>
        <v>BCA111</v>
      </c>
      <c r="G1269" s="43" t="str">
        <f t="shared" si="4"/>
        <v>NA</v>
      </c>
      <c r="H1269" s="17" t="str">
        <f t="shared" si="5"/>
        <v>BCA111-NA</v>
      </c>
      <c r="J1269" t="str">
        <f t="shared" si="6"/>
        <v>collected</v>
      </c>
      <c r="K1269" t="str">
        <f t="shared" si="7"/>
        <v>N</v>
      </c>
    </row>
    <row r="1270">
      <c r="A1270" s="40" t="s">
        <v>1785</v>
      </c>
      <c r="B1270" s="10" t="str">
        <f t="shared" si="1"/>
        <v>fish</v>
      </c>
      <c r="C1270" s="63" t="str">
        <f t="shared" si="2"/>
        <v>U17380</v>
      </c>
      <c r="D1270" s="11" t="str">
        <f t="array" ref="D1270">iferror(index(fish_lab_data!D:D,match(A1270,fish_lab_data!C:C,0)))</f>
        <v>P1138</v>
      </c>
      <c r="E1270" s="6">
        <v>111.0</v>
      </c>
      <c r="F1270" s="17" t="str">
        <f t="shared" si="3"/>
        <v>BCA111</v>
      </c>
      <c r="G1270" s="43" t="str">
        <f t="shared" si="4"/>
        <v>NA</v>
      </c>
      <c r="H1270" s="17" t="str">
        <f t="shared" si="5"/>
        <v>BCA111-NA</v>
      </c>
      <c r="J1270" t="str">
        <f t="shared" si="6"/>
        <v>collected</v>
      </c>
      <c r="K1270" t="str">
        <f t="shared" si="7"/>
        <v>N</v>
      </c>
    </row>
    <row r="1271">
      <c r="A1271" s="40" t="s">
        <v>1786</v>
      </c>
      <c r="B1271" s="10" t="str">
        <f t="shared" si="1"/>
        <v>fish</v>
      </c>
      <c r="C1271" s="63" t="str">
        <f t="shared" si="2"/>
        <v>U17375</v>
      </c>
      <c r="D1271" s="11" t="str">
        <f t="array" ref="D1271">iferror(index(fish_lab_data!D:D,match(A1271,fish_lab_data!C:C,0)))</f>
        <v>P1138</v>
      </c>
      <c r="E1271" s="6">
        <v>111.0</v>
      </c>
      <c r="F1271" s="17" t="str">
        <f t="shared" si="3"/>
        <v>BCA111</v>
      </c>
      <c r="G1271" s="43" t="str">
        <f t="shared" si="4"/>
        <v>NA</v>
      </c>
      <c r="H1271" s="17" t="str">
        <f t="shared" si="5"/>
        <v>BCA111-NA</v>
      </c>
      <c r="J1271" t="str">
        <f t="shared" si="6"/>
        <v>collected</v>
      </c>
      <c r="K1271" t="str">
        <f t="shared" si="7"/>
        <v>N</v>
      </c>
    </row>
    <row r="1272">
      <c r="A1272" s="40" t="s">
        <v>1787</v>
      </c>
      <c r="B1272" s="10" t="str">
        <f t="shared" si="1"/>
        <v>fish</v>
      </c>
      <c r="C1272" s="63" t="str">
        <f t="shared" si="2"/>
        <v>U17376</v>
      </c>
      <c r="D1272" s="11" t="str">
        <f t="array" ref="D1272">iferror(index(fish_lab_data!D:D,match(A1272,fish_lab_data!C:C,0)))</f>
        <v>P1138</v>
      </c>
      <c r="E1272" s="6">
        <v>111.0</v>
      </c>
      <c r="F1272" s="17" t="str">
        <f t="shared" si="3"/>
        <v>BCA111</v>
      </c>
      <c r="G1272" s="43" t="str">
        <f t="shared" si="4"/>
        <v>NA</v>
      </c>
      <c r="H1272" s="17" t="str">
        <f t="shared" si="5"/>
        <v>BCA111-NA</v>
      </c>
      <c r="J1272" t="str">
        <f t="shared" si="6"/>
        <v>collected</v>
      </c>
      <c r="K1272" t="str">
        <f t="shared" si="7"/>
        <v>N</v>
      </c>
    </row>
    <row r="1273">
      <c r="A1273" s="40" t="s">
        <v>1788</v>
      </c>
      <c r="B1273" s="10" t="str">
        <f t="shared" si="1"/>
        <v>fish</v>
      </c>
      <c r="C1273" s="63" t="str">
        <f t="shared" si="2"/>
        <v>U17377</v>
      </c>
      <c r="D1273" s="11" t="str">
        <f t="array" ref="D1273">iferror(index(fish_lab_data!D:D,match(A1273,fish_lab_data!C:C,0)))</f>
        <v>P1138</v>
      </c>
      <c r="E1273" s="6">
        <v>111.0</v>
      </c>
      <c r="F1273" s="17" t="str">
        <f t="shared" si="3"/>
        <v>BCA111</v>
      </c>
      <c r="G1273" s="43" t="str">
        <f t="shared" si="4"/>
        <v>NA</v>
      </c>
      <c r="H1273" s="17" t="str">
        <f t="shared" si="5"/>
        <v>BCA111-NA</v>
      </c>
      <c r="J1273" t="str">
        <f t="shared" si="6"/>
        <v>collected</v>
      </c>
      <c r="K1273" t="str">
        <f t="shared" si="7"/>
        <v>N</v>
      </c>
    </row>
    <row r="1274">
      <c r="A1274" s="40" t="s">
        <v>1790</v>
      </c>
      <c r="B1274" s="10" t="str">
        <f t="shared" si="1"/>
        <v>fish</v>
      </c>
      <c r="C1274" s="63" t="str">
        <f t="shared" si="2"/>
        <v>U17374</v>
      </c>
      <c r="D1274" s="11" t="str">
        <f t="array" ref="D1274">iferror(index(fish_lab_data!D:D,match(A1274,fish_lab_data!C:C,0)))</f>
        <v>P1138</v>
      </c>
      <c r="E1274" s="6">
        <v>111.0</v>
      </c>
      <c r="F1274" s="17" t="str">
        <f t="shared" si="3"/>
        <v>BCA111</v>
      </c>
      <c r="G1274" s="43" t="str">
        <f t="shared" si="4"/>
        <v>NA</v>
      </c>
      <c r="H1274" s="17" t="str">
        <f t="shared" si="5"/>
        <v>BCA111-NA</v>
      </c>
      <c r="J1274" t="str">
        <f t="shared" si="6"/>
        <v>collected</v>
      </c>
      <c r="K1274" t="str">
        <f t="shared" si="7"/>
        <v>N</v>
      </c>
    </row>
    <row r="1275">
      <c r="A1275" s="40" t="s">
        <v>1791</v>
      </c>
      <c r="B1275" s="10" t="str">
        <f t="shared" si="1"/>
        <v>fish</v>
      </c>
      <c r="C1275" s="63" t="str">
        <f t="shared" si="2"/>
        <v>U17378</v>
      </c>
      <c r="D1275" s="11" t="str">
        <f t="array" ref="D1275">iferror(index(fish_lab_data!D:D,match(A1275,fish_lab_data!C:C,0)))</f>
        <v>P1138</v>
      </c>
      <c r="E1275" s="6">
        <v>111.0</v>
      </c>
      <c r="F1275" s="17" t="str">
        <f t="shared" si="3"/>
        <v>BCA111</v>
      </c>
      <c r="G1275" s="43" t="str">
        <f t="shared" si="4"/>
        <v>NA</v>
      </c>
      <c r="H1275" s="17" t="str">
        <f t="shared" si="5"/>
        <v>BCA111-NA</v>
      </c>
      <c r="J1275" t="str">
        <f t="shared" si="6"/>
        <v>collected</v>
      </c>
      <c r="K1275" t="str">
        <f t="shared" si="7"/>
        <v>N</v>
      </c>
    </row>
    <row r="1276">
      <c r="A1276" s="40" t="s">
        <v>1792</v>
      </c>
      <c r="B1276" s="10" t="str">
        <f t="shared" si="1"/>
        <v>fish</v>
      </c>
      <c r="C1276" s="63" t="str">
        <f t="shared" si="2"/>
        <v>U17379</v>
      </c>
      <c r="D1276" s="11" t="str">
        <f t="array" ref="D1276">iferror(index(fish_lab_data!D:D,match(A1276,fish_lab_data!C:C,0)))</f>
        <v>P1138</v>
      </c>
      <c r="E1276" s="6">
        <v>111.0</v>
      </c>
      <c r="F1276" s="17" t="str">
        <f t="shared" si="3"/>
        <v>BCA111</v>
      </c>
      <c r="G1276" s="43" t="str">
        <f t="shared" si="4"/>
        <v>NA</v>
      </c>
      <c r="H1276" s="17" t="str">
        <f t="shared" si="5"/>
        <v>BCA111-NA</v>
      </c>
      <c r="J1276" t="str">
        <f t="shared" si="6"/>
        <v>collected</v>
      </c>
      <c r="K1276" t="str">
        <f t="shared" si="7"/>
        <v>N</v>
      </c>
    </row>
    <row r="1277">
      <c r="A1277" s="40" t="s">
        <v>1793</v>
      </c>
      <c r="B1277" s="10" t="str">
        <f t="shared" si="1"/>
        <v>fish</v>
      </c>
      <c r="C1277" s="63" t="str">
        <f t="shared" si="2"/>
        <v>U17371</v>
      </c>
      <c r="D1277" s="11" t="str">
        <f t="array" ref="D1277">iferror(index(fish_lab_data!D:D,match(A1277,fish_lab_data!C:C,0)))</f>
        <v>P1138</v>
      </c>
      <c r="E1277" s="6">
        <v>111.0</v>
      </c>
      <c r="F1277" s="17" t="str">
        <f t="shared" si="3"/>
        <v>BCA111</v>
      </c>
      <c r="G1277" s="43" t="str">
        <f t="shared" si="4"/>
        <v>NA</v>
      </c>
      <c r="H1277" s="17" t="str">
        <f t="shared" si="5"/>
        <v>BCA111-NA</v>
      </c>
      <c r="J1277" t="str">
        <f t="shared" si="6"/>
        <v>collected</v>
      </c>
      <c r="K1277" t="str">
        <f t="shared" si="7"/>
        <v>N</v>
      </c>
    </row>
    <row r="1278">
      <c r="A1278" s="40" t="s">
        <v>1795</v>
      </c>
      <c r="B1278" s="10" t="str">
        <f t="shared" si="1"/>
        <v>fish</v>
      </c>
      <c r="C1278" s="63" t="str">
        <f t="shared" si="2"/>
        <v>U17372</v>
      </c>
      <c r="D1278" s="11" t="str">
        <f t="array" ref="D1278">iferror(index(fish_lab_data!D:D,match(A1278,fish_lab_data!C:C,0)))</f>
        <v>P1138</v>
      </c>
      <c r="E1278" s="6">
        <v>111.0</v>
      </c>
      <c r="F1278" s="17" t="str">
        <f t="shared" si="3"/>
        <v>BCA111</v>
      </c>
      <c r="G1278" s="43" t="str">
        <f t="shared" si="4"/>
        <v>NA</v>
      </c>
      <c r="H1278" s="17" t="str">
        <f t="shared" si="5"/>
        <v>BCA111-NA</v>
      </c>
      <c r="J1278" t="str">
        <f t="shared" si="6"/>
        <v>collected</v>
      </c>
      <c r="K1278" t="str">
        <f t="shared" si="7"/>
        <v>N</v>
      </c>
    </row>
    <row r="1279">
      <c r="A1279" s="40" t="s">
        <v>1796</v>
      </c>
      <c r="B1279" s="10" t="str">
        <f t="shared" si="1"/>
        <v>fish</v>
      </c>
      <c r="C1279" s="63" t="str">
        <f t="shared" si="2"/>
        <v>U17373</v>
      </c>
      <c r="D1279" s="11" t="str">
        <f t="array" ref="D1279">iferror(index(fish_lab_data!D:D,match(A1279,fish_lab_data!C:C,0)))</f>
        <v>P1138</v>
      </c>
      <c r="E1279" s="6">
        <v>111.0</v>
      </c>
      <c r="F1279" s="17" t="str">
        <f t="shared" si="3"/>
        <v>BCA111</v>
      </c>
      <c r="G1279" s="43" t="str">
        <f t="shared" si="4"/>
        <v>NA</v>
      </c>
      <c r="H1279" s="17" t="str">
        <f t="shared" si="5"/>
        <v>BCA111-NA</v>
      </c>
      <c r="J1279" t="str">
        <f t="shared" si="6"/>
        <v>collected</v>
      </c>
      <c r="K1279" t="str">
        <f t="shared" si="7"/>
        <v>N</v>
      </c>
    </row>
    <row r="1280">
      <c r="A1280" s="40" t="s">
        <v>1797</v>
      </c>
      <c r="B1280" s="10" t="str">
        <f t="shared" si="1"/>
        <v>fish</v>
      </c>
      <c r="C1280" s="63" t="str">
        <f t="shared" si="2"/>
        <v>U17157</v>
      </c>
      <c r="D1280" s="11" t="str">
        <f t="array" ref="D1280">iferror(index(fish_lab_data!D:D,match(A1280,fish_lab_data!C:C,0)))</f>
        <v>P1116</v>
      </c>
      <c r="E1280" s="6">
        <v>111.0</v>
      </c>
      <c r="F1280" s="17" t="str">
        <f t="shared" si="3"/>
        <v>BCA111</v>
      </c>
      <c r="G1280" s="43" t="str">
        <f t="shared" si="4"/>
        <v>NA</v>
      </c>
      <c r="H1280" s="17" t="str">
        <f t="shared" si="5"/>
        <v>BCA111-NA</v>
      </c>
      <c r="J1280" t="str">
        <f t="shared" si="6"/>
        <v>collected</v>
      </c>
      <c r="K1280" t="str">
        <f t="shared" si="7"/>
        <v>N</v>
      </c>
    </row>
    <row r="1281">
      <c r="A1281" s="40" t="s">
        <v>1798</v>
      </c>
      <c r="B1281" s="10" t="str">
        <f t="shared" si="1"/>
        <v>fish</v>
      </c>
      <c r="C1281" s="63" t="str">
        <f t="shared" si="2"/>
        <v>U17160</v>
      </c>
      <c r="D1281" s="11" t="str">
        <f t="array" ref="D1281">iferror(index(fish_lab_data!D:D,match(A1281,fish_lab_data!C:C,0)))</f>
        <v>P1116</v>
      </c>
      <c r="E1281" s="6">
        <v>111.0</v>
      </c>
      <c r="F1281" s="17" t="str">
        <f t="shared" si="3"/>
        <v>BCA111</v>
      </c>
      <c r="G1281" s="43" t="str">
        <f t="shared" si="4"/>
        <v>NA</v>
      </c>
      <c r="H1281" s="17" t="str">
        <f t="shared" si="5"/>
        <v>BCA111-NA</v>
      </c>
      <c r="J1281" t="str">
        <f t="shared" si="6"/>
        <v>collected</v>
      </c>
      <c r="K1281" t="str">
        <f t="shared" si="7"/>
        <v>N</v>
      </c>
    </row>
    <row r="1282">
      <c r="A1282" s="40" t="s">
        <v>1799</v>
      </c>
      <c r="B1282" s="10" t="str">
        <f t="shared" si="1"/>
        <v>fish</v>
      </c>
      <c r="C1282" s="63" t="str">
        <f t="shared" si="2"/>
        <v>U17159</v>
      </c>
      <c r="D1282" s="11" t="str">
        <f t="array" ref="D1282">iferror(index(fish_lab_data!D:D,match(A1282,fish_lab_data!C:C,0)))</f>
        <v>P1116</v>
      </c>
      <c r="E1282" s="6">
        <v>111.0</v>
      </c>
      <c r="F1282" s="17" t="str">
        <f t="shared" si="3"/>
        <v>BCA111</v>
      </c>
      <c r="G1282" s="43" t="str">
        <f t="shared" si="4"/>
        <v>NA</v>
      </c>
      <c r="H1282" s="17" t="str">
        <f t="shared" si="5"/>
        <v>BCA111-NA</v>
      </c>
      <c r="J1282" t="str">
        <f t="shared" si="6"/>
        <v>collected</v>
      </c>
      <c r="K1282" t="str">
        <f t="shared" si="7"/>
        <v>N</v>
      </c>
    </row>
    <row r="1283">
      <c r="A1283" s="40" t="s">
        <v>1801</v>
      </c>
      <c r="B1283" s="10" t="str">
        <f t="shared" si="1"/>
        <v>fish</v>
      </c>
      <c r="C1283" s="63" t="str">
        <f t="shared" si="2"/>
        <v>U17155</v>
      </c>
      <c r="D1283" s="11" t="str">
        <f t="array" ref="D1283">iferror(index(fish_lab_data!D:D,match(A1283,fish_lab_data!C:C,0)))</f>
        <v>P1116</v>
      </c>
      <c r="E1283" s="6">
        <v>111.0</v>
      </c>
      <c r="F1283" s="17" t="str">
        <f t="shared" si="3"/>
        <v>BCA111</v>
      </c>
      <c r="G1283" s="43" t="str">
        <f t="shared" si="4"/>
        <v>NA</v>
      </c>
      <c r="H1283" s="17" t="str">
        <f t="shared" si="5"/>
        <v>BCA111-NA</v>
      </c>
      <c r="J1283" t="str">
        <f t="shared" si="6"/>
        <v>collected</v>
      </c>
      <c r="K1283" t="str">
        <f t="shared" si="7"/>
        <v>N</v>
      </c>
    </row>
    <row r="1284">
      <c r="A1284" s="40" t="s">
        <v>1802</v>
      </c>
      <c r="B1284" s="10" t="str">
        <f t="shared" si="1"/>
        <v>fish</v>
      </c>
      <c r="C1284" s="63" t="str">
        <f t="shared" si="2"/>
        <v>U17156</v>
      </c>
      <c r="D1284" s="11" t="str">
        <f t="array" ref="D1284">iferror(index(fish_lab_data!D:D,match(A1284,fish_lab_data!C:C,0)))</f>
        <v>P1116</v>
      </c>
      <c r="E1284" s="6">
        <v>111.0</v>
      </c>
      <c r="F1284" s="17" t="str">
        <f t="shared" si="3"/>
        <v>BCA111</v>
      </c>
      <c r="G1284" s="43" t="str">
        <f t="shared" si="4"/>
        <v>NA</v>
      </c>
      <c r="H1284" s="17" t="str">
        <f t="shared" si="5"/>
        <v>BCA111-NA</v>
      </c>
      <c r="J1284" t="str">
        <f t="shared" si="6"/>
        <v>collected</v>
      </c>
      <c r="K1284" t="str">
        <f t="shared" si="7"/>
        <v>N</v>
      </c>
    </row>
    <row r="1285">
      <c r="A1285" s="40" t="s">
        <v>1803</v>
      </c>
      <c r="B1285" s="10" t="str">
        <f t="shared" si="1"/>
        <v>fish</v>
      </c>
      <c r="C1285" s="63" t="str">
        <f t="shared" si="2"/>
        <v>U17154</v>
      </c>
      <c r="D1285" s="11" t="str">
        <f t="array" ref="D1285">iferror(index(fish_lab_data!D:D,match(A1285,fish_lab_data!C:C,0)))</f>
        <v>P1116</v>
      </c>
      <c r="E1285" s="6">
        <v>111.0</v>
      </c>
      <c r="F1285" s="17" t="str">
        <f t="shared" si="3"/>
        <v>BCA111</v>
      </c>
      <c r="G1285" s="43" t="str">
        <f t="shared" si="4"/>
        <v>NA</v>
      </c>
      <c r="H1285" s="17" t="str">
        <f t="shared" si="5"/>
        <v>BCA111-NA</v>
      </c>
      <c r="J1285" t="str">
        <f t="shared" si="6"/>
        <v>collected</v>
      </c>
      <c r="K1285" t="str">
        <f t="shared" si="7"/>
        <v>N</v>
      </c>
    </row>
    <row r="1286">
      <c r="A1286" s="40" t="s">
        <v>1804</v>
      </c>
      <c r="B1286" s="10" t="str">
        <f t="shared" si="1"/>
        <v>fish</v>
      </c>
      <c r="C1286" s="63" t="str">
        <f t="shared" si="2"/>
        <v>U17152</v>
      </c>
      <c r="D1286" s="11" t="str">
        <f t="array" ref="D1286">iferror(index(fish_lab_data!D:D,match(A1286,fish_lab_data!C:C,0)))</f>
        <v>P1116</v>
      </c>
      <c r="E1286" s="6">
        <v>111.0</v>
      </c>
      <c r="F1286" s="17" t="str">
        <f t="shared" si="3"/>
        <v>BCA111</v>
      </c>
      <c r="G1286" s="43" t="str">
        <f t="shared" si="4"/>
        <v>NA</v>
      </c>
      <c r="H1286" s="17" t="str">
        <f t="shared" si="5"/>
        <v>BCA111-NA</v>
      </c>
      <c r="J1286" t="str">
        <f t="shared" si="6"/>
        <v>collected</v>
      </c>
      <c r="K1286" t="str">
        <f t="shared" si="7"/>
        <v>N</v>
      </c>
    </row>
    <row r="1287">
      <c r="A1287" s="40" t="s">
        <v>1805</v>
      </c>
      <c r="B1287" s="10" t="str">
        <f t="shared" si="1"/>
        <v>fish</v>
      </c>
      <c r="C1287" s="63" t="str">
        <f t="shared" si="2"/>
        <v>U17158</v>
      </c>
      <c r="D1287" s="11" t="str">
        <f t="array" ref="D1287">iferror(index(fish_lab_data!D:D,match(A1287,fish_lab_data!C:C,0)))</f>
        <v>P1116</v>
      </c>
      <c r="E1287" s="6">
        <v>111.0</v>
      </c>
      <c r="F1287" s="17" t="str">
        <f t="shared" si="3"/>
        <v>BCA111</v>
      </c>
      <c r="G1287" s="43" t="str">
        <f t="shared" si="4"/>
        <v>NA</v>
      </c>
      <c r="H1287" s="17" t="str">
        <f t="shared" si="5"/>
        <v>BCA111-NA</v>
      </c>
      <c r="J1287" t="str">
        <f t="shared" si="6"/>
        <v>collected</v>
      </c>
      <c r="K1287" t="str">
        <f t="shared" si="7"/>
        <v>N</v>
      </c>
    </row>
    <row r="1288">
      <c r="A1288" s="40" t="s">
        <v>1806</v>
      </c>
      <c r="B1288" s="10" t="str">
        <f t="shared" si="1"/>
        <v>fish</v>
      </c>
      <c r="C1288" s="63" t="str">
        <f t="shared" si="2"/>
        <v>U17151</v>
      </c>
      <c r="D1288" s="11" t="str">
        <f t="array" ref="D1288">iferror(index(fish_lab_data!D:D,match(A1288,fish_lab_data!C:C,0)))</f>
        <v>P1116</v>
      </c>
      <c r="E1288" s="6">
        <v>111.0</v>
      </c>
      <c r="F1288" s="17" t="str">
        <f t="shared" si="3"/>
        <v>BCA111</v>
      </c>
      <c r="G1288" s="43" t="str">
        <f t="shared" si="4"/>
        <v>NA</v>
      </c>
      <c r="H1288" s="17" t="str">
        <f t="shared" si="5"/>
        <v>BCA111-NA</v>
      </c>
      <c r="J1288" t="str">
        <f t="shared" si="6"/>
        <v>collected</v>
      </c>
      <c r="K1288" t="str">
        <f t="shared" si="7"/>
        <v>N</v>
      </c>
    </row>
    <row r="1289">
      <c r="A1289" s="40" t="s">
        <v>1808</v>
      </c>
      <c r="B1289" s="10" t="str">
        <f t="shared" si="1"/>
        <v>fish</v>
      </c>
      <c r="C1289" s="63" t="str">
        <f t="shared" si="2"/>
        <v>U17153</v>
      </c>
      <c r="D1289" s="11" t="str">
        <f t="array" ref="D1289">iferror(index(fish_lab_data!D:D,match(A1289,fish_lab_data!C:C,0)))</f>
        <v>P1116</v>
      </c>
      <c r="E1289" s="6">
        <v>111.0</v>
      </c>
      <c r="F1289" s="17" t="str">
        <f t="shared" si="3"/>
        <v>BCA111</v>
      </c>
      <c r="G1289" s="43" t="str">
        <f t="shared" si="4"/>
        <v>NA</v>
      </c>
      <c r="H1289" s="17" t="str">
        <f t="shared" si="5"/>
        <v>BCA111-NA</v>
      </c>
      <c r="J1289" t="str">
        <f t="shared" si="6"/>
        <v>collected</v>
      </c>
      <c r="K1289" t="str">
        <f t="shared" si="7"/>
        <v>N</v>
      </c>
    </row>
    <row r="1290">
      <c r="A1290" s="40" t="s">
        <v>1810</v>
      </c>
      <c r="B1290" s="10" t="str">
        <f t="shared" si="1"/>
        <v>fish</v>
      </c>
      <c r="C1290" s="63" t="str">
        <f t="shared" si="2"/>
        <v>U16575</v>
      </c>
      <c r="D1290" s="11" t="str">
        <f t="array" ref="D1290">iferror(index(fish_lab_data!D:D,match(A1290,fish_lab_data!C:C,0)))</f>
        <v>P1058</v>
      </c>
      <c r="E1290" s="6">
        <v>111.0</v>
      </c>
      <c r="F1290" s="17" t="str">
        <f t="shared" si="3"/>
        <v>BCA111</v>
      </c>
      <c r="G1290" s="43" t="str">
        <f t="shared" si="4"/>
        <v>NA</v>
      </c>
      <c r="H1290" s="17" t="str">
        <f t="shared" si="5"/>
        <v>BCA111-NA</v>
      </c>
      <c r="J1290" t="str">
        <f t="shared" si="6"/>
        <v>collected</v>
      </c>
      <c r="K1290" t="str">
        <f t="shared" si="7"/>
        <v>N</v>
      </c>
    </row>
    <row r="1291">
      <c r="A1291" s="40" t="s">
        <v>1811</v>
      </c>
      <c r="B1291" s="10" t="str">
        <f t="shared" si="1"/>
        <v>fish</v>
      </c>
      <c r="C1291" s="63" t="str">
        <f t="shared" si="2"/>
        <v>U16573</v>
      </c>
      <c r="D1291" s="11" t="str">
        <f t="array" ref="D1291">iferror(index(fish_lab_data!D:D,match(A1291,fish_lab_data!C:C,0)))</f>
        <v>P1058</v>
      </c>
      <c r="E1291" s="6">
        <v>111.0</v>
      </c>
      <c r="F1291" s="17" t="str">
        <f t="shared" si="3"/>
        <v>BCA111</v>
      </c>
      <c r="G1291" s="43" t="str">
        <f t="shared" si="4"/>
        <v>NA</v>
      </c>
      <c r="H1291" s="17" t="str">
        <f t="shared" si="5"/>
        <v>BCA111-NA</v>
      </c>
      <c r="J1291" t="str">
        <f t="shared" si="6"/>
        <v>collected</v>
      </c>
      <c r="K1291" t="str">
        <f t="shared" si="7"/>
        <v>N</v>
      </c>
    </row>
    <row r="1292">
      <c r="A1292" s="40" t="s">
        <v>1812</v>
      </c>
      <c r="B1292" s="10" t="str">
        <f t="shared" si="1"/>
        <v>fish</v>
      </c>
      <c r="C1292" s="63" t="str">
        <f t="shared" si="2"/>
        <v>U16571</v>
      </c>
      <c r="D1292" s="11" t="str">
        <f t="array" ref="D1292">iferror(index(fish_lab_data!D:D,match(A1292,fish_lab_data!C:C,0)))</f>
        <v>P1058</v>
      </c>
      <c r="E1292" s="6">
        <v>111.0</v>
      </c>
      <c r="F1292" s="17" t="str">
        <f t="shared" si="3"/>
        <v>BCA111</v>
      </c>
      <c r="G1292" s="43" t="str">
        <f t="shared" si="4"/>
        <v>NA</v>
      </c>
      <c r="H1292" s="17" t="str">
        <f t="shared" si="5"/>
        <v>BCA111-NA</v>
      </c>
      <c r="J1292" t="str">
        <f t="shared" si="6"/>
        <v>collected</v>
      </c>
      <c r="K1292" t="str">
        <f t="shared" si="7"/>
        <v>N</v>
      </c>
    </row>
    <row r="1293">
      <c r="A1293" s="40" t="s">
        <v>1814</v>
      </c>
      <c r="B1293" s="10" t="str">
        <f t="shared" si="1"/>
        <v>fish</v>
      </c>
      <c r="C1293" s="63" t="str">
        <f t="shared" si="2"/>
        <v>U16580</v>
      </c>
      <c r="D1293" s="11" t="str">
        <f t="array" ref="D1293">iferror(index(fish_lab_data!D:D,match(A1293,fish_lab_data!C:C,0)))</f>
        <v>P1058</v>
      </c>
      <c r="E1293" s="6">
        <v>111.0</v>
      </c>
      <c r="F1293" s="17" t="str">
        <f t="shared" si="3"/>
        <v>BCA111</v>
      </c>
      <c r="G1293" s="43" t="str">
        <f t="shared" si="4"/>
        <v>NA</v>
      </c>
      <c r="H1293" s="17" t="str">
        <f t="shared" si="5"/>
        <v>BCA111-NA</v>
      </c>
      <c r="J1293" t="str">
        <f t="shared" si="6"/>
        <v>collected</v>
      </c>
      <c r="K1293" t="str">
        <f t="shared" si="7"/>
        <v>N</v>
      </c>
    </row>
    <row r="1294">
      <c r="A1294" s="40" t="s">
        <v>1815</v>
      </c>
      <c r="B1294" s="10" t="str">
        <f t="shared" si="1"/>
        <v>fish</v>
      </c>
      <c r="C1294" s="63" t="str">
        <f t="shared" si="2"/>
        <v>U16574</v>
      </c>
      <c r="D1294" s="11" t="str">
        <f t="array" ref="D1294">iferror(index(fish_lab_data!D:D,match(A1294,fish_lab_data!C:C,0)))</f>
        <v>P1058</v>
      </c>
      <c r="E1294" s="6">
        <v>111.0</v>
      </c>
      <c r="F1294" s="17" t="str">
        <f t="shared" si="3"/>
        <v>BCA111</v>
      </c>
      <c r="G1294" s="43" t="str">
        <f t="shared" si="4"/>
        <v>NA</v>
      </c>
      <c r="H1294" s="17" t="str">
        <f t="shared" si="5"/>
        <v>BCA111-NA</v>
      </c>
      <c r="J1294" t="str">
        <f t="shared" si="6"/>
        <v>collected</v>
      </c>
      <c r="K1294" t="str">
        <f t="shared" si="7"/>
        <v>N</v>
      </c>
    </row>
    <row r="1295">
      <c r="A1295" s="40" t="s">
        <v>1816</v>
      </c>
      <c r="B1295" s="10" t="str">
        <f t="shared" si="1"/>
        <v>fish</v>
      </c>
      <c r="C1295" s="63" t="str">
        <f t="shared" si="2"/>
        <v>U16577</v>
      </c>
      <c r="D1295" s="11" t="str">
        <f t="array" ref="D1295">iferror(index(fish_lab_data!D:D,match(A1295,fish_lab_data!C:C,0)))</f>
        <v>P1058</v>
      </c>
      <c r="E1295" s="6">
        <v>111.0</v>
      </c>
      <c r="F1295" s="17" t="str">
        <f t="shared" si="3"/>
        <v>BCA111</v>
      </c>
      <c r="G1295" s="43" t="str">
        <f t="shared" si="4"/>
        <v>NA</v>
      </c>
      <c r="H1295" s="17" t="str">
        <f t="shared" si="5"/>
        <v>BCA111-NA</v>
      </c>
      <c r="J1295" t="str">
        <f t="shared" si="6"/>
        <v>collected</v>
      </c>
      <c r="K1295" t="str">
        <f t="shared" si="7"/>
        <v>N</v>
      </c>
    </row>
    <row r="1296">
      <c r="A1296" s="40" t="s">
        <v>1817</v>
      </c>
      <c r="B1296" s="10" t="str">
        <f t="shared" si="1"/>
        <v>fish</v>
      </c>
      <c r="C1296" s="63" t="str">
        <f t="shared" si="2"/>
        <v>U16579</v>
      </c>
      <c r="D1296" s="11" t="str">
        <f t="array" ref="D1296">iferror(index(fish_lab_data!D:D,match(A1296,fish_lab_data!C:C,0)))</f>
        <v>P1058</v>
      </c>
      <c r="E1296" s="6">
        <v>111.0</v>
      </c>
      <c r="F1296" s="17" t="str">
        <f t="shared" si="3"/>
        <v>BCA111</v>
      </c>
      <c r="G1296" s="43" t="str">
        <f t="shared" si="4"/>
        <v>NA</v>
      </c>
      <c r="H1296" s="17" t="str">
        <f t="shared" si="5"/>
        <v>BCA111-NA</v>
      </c>
      <c r="J1296" t="str">
        <f t="shared" si="6"/>
        <v>collected</v>
      </c>
      <c r="K1296" t="str">
        <f t="shared" si="7"/>
        <v>N</v>
      </c>
    </row>
    <row r="1297">
      <c r="A1297" s="40" t="s">
        <v>1818</v>
      </c>
      <c r="B1297" s="10" t="str">
        <f t="shared" si="1"/>
        <v>fish</v>
      </c>
      <c r="C1297" s="63" t="str">
        <f t="shared" si="2"/>
        <v>U16576</v>
      </c>
      <c r="D1297" s="11" t="str">
        <f t="array" ref="D1297">iferror(index(fish_lab_data!D:D,match(A1297,fish_lab_data!C:C,0)))</f>
        <v>P1058</v>
      </c>
      <c r="E1297" s="6">
        <v>111.0</v>
      </c>
      <c r="F1297" s="17" t="str">
        <f t="shared" si="3"/>
        <v>BCA111</v>
      </c>
      <c r="G1297" s="43" t="str">
        <f t="shared" si="4"/>
        <v>NA</v>
      </c>
      <c r="H1297" s="17" t="str">
        <f t="shared" si="5"/>
        <v>BCA111-NA</v>
      </c>
      <c r="J1297" t="str">
        <f t="shared" si="6"/>
        <v>collected</v>
      </c>
      <c r="K1297" t="str">
        <f t="shared" si="7"/>
        <v>N</v>
      </c>
    </row>
    <row r="1298">
      <c r="A1298" s="40" t="s">
        <v>1819</v>
      </c>
      <c r="B1298" s="10" t="str">
        <f t="shared" si="1"/>
        <v>fish</v>
      </c>
      <c r="C1298" s="63" t="str">
        <f t="shared" si="2"/>
        <v>U16578</v>
      </c>
      <c r="D1298" s="11" t="str">
        <f t="array" ref="D1298">iferror(index(fish_lab_data!D:D,match(A1298,fish_lab_data!C:C,0)))</f>
        <v>P1058</v>
      </c>
      <c r="E1298" s="6">
        <v>111.0</v>
      </c>
      <c r="F1298" s="17" t="str">
        <f t="shared" si="3"/>
        <v>BCA111</v>
      </c>
      <c r="G1298" s="43" t="str">
        <f t="shared" si="4"/>
        <v>NA</v>
      </c>
      <c r="H1298" s="17" t="str">
        <f t="shared" si="5"/>
        <v>BCA111-NA</v>
      </c>
      <c r="J1298" t="str">
        <f t="shared" si="6"/>
        <v>collected</v>
      </c>
      <c r="K1298" t="str">
        <f t="shared" si="7"/>
        <v>N</v>
      </c>
    </row>
    <row r="1299">
      <c r="A1299" s="40" t="s">
        <v>1821</v>
      </c>
      <c r="B1299" s="10" t="str">
        <f t="shared" si="1"/>
        <v>fish</v>
      </c>
      <c r="C1299" s="63" t="str">
        <f t="shared" si="2"/>
        <v>U16572</v>
      </c>
      <c r="D1299" s="11" t="str">
        <f t="array" ref="D1299">iferror(index(fish_lab_data!D:D,match(A1299,fish_lab_data!C:C,0)))</f>
        <v>P1058</v>
      </c>
      <c r="E1299" s="6">
        <v>111.0</v>
      </c>
      <c r="F1299" s="17" t="str">
        <f t="shared" si="3"/>
        <v>BCA111</v>
      </c>
      <c r="G1299" s="43" t="str">
        <f t="shared" si="4"/>
        <v>NA</v>
      </c>
      <c r="H1299" s="17" t="str">
        <f t="shared" si="5"/>
        <v>BCA111-NA</v>
      </c>
      <c r="J1299" t="str">
        <f t="shared" si="6"/>
        <v>collected</v>
      </c>
      <c r="K1299" t="str">
        <f t="shared" si="7"/>
        <v>N</v>
      </c>
    </row>
    <row r="1300">
      <c r="A1300" s="40" t="s">
        <v>1822</v>
      </c>
      <c r="B1300" s="10" t="str">
        <f t="shared" si="1"/>
        <v>fish</v>
      </c>
      <c r="C1300" s="63" t="str">
        <f t="shared" si="2"/>
        <v>U16486</v>
      </c>
      <c r="D1300" s="11" t="str">
        <f t="array" ref="D1300">iferror(index(fish_lab_data!D:D,match(A1300,fish_lab_data!C:C,0)))</f>
        <v>P1049</v>
      </c>
      <c r="E1300" s="6">
        <v>111.0</v>
      </c>
      <c r="F1300" s="17" t="str">
        <f t="shared" si="3"/>
        <v>BCA111</v>
      </c>
      <c r="G1300" s="43" t="str">
        <f t="shared" si="4"/>
        <v>NA</v>
      </c>
      <c r="H1300" s="17" t="str">
        <f t="shared" si="5"/>
        <v>BCA111-NA</v>
      </c>
      <c r="J1300" t="str">
        <f t="shared" si="6"/>
        <v>collected</v>
      </c>
      <c r="K1300" t="str">
        <f t="shared" si="7"/>
        <v>N</v>
      </c>
    </row>
    <row r="1301">
      <c r="A1301" s="40" t="s">
        <v>1823</v>
      </c>
      <c r="B1301" s="10" t="str">
        <f t="shared" si="1"/>
        <v>fish</v>
      </c>
      <c r="C1301" s="63" t="str">
        <f t="shared" si="2"/>
        <v>U16490</v>
      </c>
      <c r="D1301" s="11" t="str">
        <f t="array" ref="D1301">iferror(index(fish_lab_data!D:D,match(A1301,fish_lab_data!C:C,0)))</f>
        <v>P1049</v>
      </c>
      <c r="E1301" s="6">
        <v>111.0</v>
      </c>
      <c r="F1301" s="17" t="str">
        <f t="shared" si="3"/>
        <v>BCA111</v>
      </c>
      <c r="G1301" s="43" t="str">
        <f t="shared" si="4"/>
        <v>NA</v>
      </c>
      <c r="H1301" s="17" t="str">
        <f t="shared" si="5"/>
        <v>BCA111-NA</v>
      </c>
      <c r="J1301" t="str">
        <f t="shared" si="6"/>
        <v>collected</v>
      </c>
      <c r="K1301" t="str">
        <f t="shared" si="7"/>
        <v>N</v>
      </c>
    </row>
    <row r="1302">
      <c r="A1302" s="40" t="s">
        <v>1824</v>
      </c>
      <c r="B1302" s="10" t="str">
        <f t="shared" si="1"/>
        <v>fish</v>
      </c>
      <c r="C1302" s="63" t="str">
        <f t="shared" si="2"/>
        <v>U16487</v>
      </c>
      <c r="D1302" s="11" t="str">
        <f t="array" ref="D1302">iferror(index(fish_lab_data!D:D,match(A1302,fish_lab_data!C:C,0)))</f>
        <v>P1049</v>
      </c>
      <c r="E1302" s="6">
        <v>111.0</v>
      </c>
      <c r="F1302" s="17" t="str">
        <f t="shared" si="3"/>
        <v>BCA111</v>
      </c>
      <c r="G1302" s="43" t="str">
        <f t="shared" si="4"/>
        <v>NA</v>
      </c>
      <c r="H1302" s="17" t="str">
        <f t="shared" si="5"/>
        <v>BCA111-NA</v>
      </c>
      <c r="J1302" t="str">
        <f t="shared" si="6"/>
        <v>collected</v>
      </c>
      <c r="K1302" t="str">
        <f t="shared" si="7"/>
        <v>N</v>
      </c>
    </row>
    <row r="1303">
      <c r="A1303" s="40" t="s">
        <v>1825</v>
      </c>
      <c r="B1303" s="10" t="str">
        <f t="shared" si="1"/>
        <v>fish</v>
      </c>
      <c r="C1303" s="63" t="str">
        <f t="shared" si="2"/>
        <v>U16488</v>
      </c>
      <c r="D1303" s="11" t="str">
        <f t="array" ref="D1303">iferror(index(fish_lab_data!D:D,match(A1303,fish_lab_data!C:C,0)))</f>
        <v>P1049</v>
      </c>
      <c r="E1303" s="6">
        <v>111.0</v>
      </c>
      <c r="F1303" s="17" t="str">
        <f t="shared" si="3"/>
        <v>BCA111</v>
      </c>
      <c r="G1303" s="43" t="str">
        <f t="shared" si="4"/>
        <v>NA</v>
      </c>
      <c r="H1303" s="17" t="str">
        <f t="shared" si="5"/>
        <v>BCA111-NA</v>
      </c>
      <c r="J1303" t="str">
        <f t="shared" si="6"/>
        <v>collected</v>
      </c>
      <c r="K1303" t="str">
        <f t="shared" si="7"/>
        <v>N</v>
      </c>
    </row>
    <row r="1304">
      <c r="A1304" s="40" t="s">
        <v>1827</v>
      </c>
      <c r="B1304" s="10" t="str">
        <f t="shared" si="1"/>
        <v>fish</v>
      </c>
      <c r="C1304" s="63" t="str">
        <f t="shared" si="2"/>
        <v>U16489</v>
      </c>
      <c r="D1304" s="11" t="str">
        <f t="array" ref="D1304">iferror(index(fish_lab_data!D:D,match(A1304,fish_lab_data!C:C,0)))</f>
        <v>P1049</v>
      </c>
      <c r="E1304" s="6">
        <v>111.0</v>
      </c>
      <c r="F1304" s="17" t="str">
        <f t="shared" si="3"/>
        <v>BCA111</v>
      </c>
      <c r="G1304" s="43" t="str">
        <f t="shared" si="4"/>
        <v>NA</v>
      </c>
      <c r="H1304" s="17" t="str">
        <f t="shared" si="5"/>
        <v>BCA111-NA</v>
      </c>
      <c r="J1304" t="str">
        <f t="shared" si="6"/>
        <v>collected</v>
      </c>
      <c r="K1304" t="str">
        <f t="shared" si="7"/>
        <v>N</v>
      </c>
    </row>
    <row r="1305">
      <c r="A1305" s="40" t="s">
        <v>1828</v>
      </c>
      <c r="B1305" s="10" t="str">
        <f t="shared" si="1"/>
        <v>fish</v>
      </c>
      <c r="C1305" s="63" t="str">
        <f t="shared" si="2"/>
        <v>U16484</v>
      </c>
      <c r="D1305" s="11" t="str">
        <f t="array" ref="D1305">iferror(index(fish_lab_data!D:D,match(A1305,fish_lab_data!C:C,0)))</f>
        <v>P1049</v>
      </c>
      <c r="E1305" s="6">
        <v>111.0</v>
      </c>
      <c r="F1305" s="17" t="str">
        <f t="shared" si="3"/>
        <v>BCA111</v>
      </c>
      <c r="G1305" s="43" t="str">
        <f t="shared" si="4"/>
        <v>NA</v>
      </c>
      <c r="H1305" s="17" t="str">
        <f t="shared" si="5"/>
        <v>BCA111-NA</v>
      </c>
      <c r="J1305" t="str">
        <f t="shared" si="6"/>
        <v>collected</v>
      </c>
      <c r="K1305" t="str">
        <f t="shared" si="7"/>
        <v>N</v>
      </c>
    </row>
    <row r="1306">
      <c r="A1306" s="40" t="s">
        <v>1829</v>
      </c>
      <c r="B1306" s="10" t="str">
        <f t="shared" si="1"/>
        <v>fish</v>
      </c>
      <c r="C1306" s="63" t="str">
        <f t="shared" si="2"/>
        <v>U16483</v>
      </c>
      <c r="D1306" s="11" t="str">
        <f t="array" ref="D1306">iferror(index(fish_lab_data!D:D,match(A1306,fish_lab_data!C:C,0)))</f>
        <v>P1049</v>
      </c>
      <c r="E1306" s="6">
        <v>111.0</v>
      </c>
      <c r="F1306" s="17" t="str">
        <f t="shared" si="3"/>
        <v>BCA111</v>
      </c>
      <c r="G1306" s="43" t="str">
        <f t="shared" si="4"/>
        <v>NA</v>
      </c>
      <c r="H1306" s="17" t="str">
        <f t="shared" si="5"/>
        <v>BCA111-NA</v>
      </c>
      <c r="J1306" t="str">
        <f t="shared" si="6"/>
        <v>collected</v>
      </c>
      <c r="K1306" t="str">
        <f t="shared" si="7"/>
        <v>N</v>
      </c>
    </row>
    <row r="1307">
      <c r="A1307" s="40" t="s">
        <v>1830</v>
      </c>
      <c r="B1307" s="10" t="str">
        <f t="shared" si="1"/>
        <v>fish</v>
      </c>
      <c r="C1307" s="63" t="str">
        <f t="shared" si="2"/>
        <v>U16482</v>
      </c>
      <c r="D1307" s="11" t="str">
        <f t="array" ref="D1307">iferror(index(fish_lab_data!D:D,match(A1307,fish_lab_data!C:C,0)))</f>
        <v>P1049</v>
      </c>
      <c r="E1307" s="6">
        <v>111.0</v>
      </c>
      <c r="F1307" s="17" t="str">
        <f t="shared" si="3"/>
        <v>BCA111</v>
      </c>
      <c r="G1307" s="43" t="str">
        <f t="shared" si="4"/>
        <v>NA</v>
      </c>
      <c r="H1307" s="17" t="str">
        <f t="shared" si="5"/>
        <v>BCA111-NA</v>
      </c>
      <c r="J1307" t="str">
        <f t="shared" si="6"/>
        <v>collected</v>
      </c>
      <c r="K1307" t="str">
        <f t="shared" si="7"/>
        <v>N</v>
      </c>
    </row>
    <row r="1308">
      <c r="A1308" s="40" t="s">
        <v>1832</v>
      </c>
      <c r="B1308" s="10" t="str">
        <f t="shared" si="1"/>
        <v>fish</v>
      </c>
      <c r="C1308" s="63" t="str">
        <f t="shared" si="2"/>
        <v>U16485</v>
      </c>
      <c r="D1308" s="11" t="str">
        <f t="array" ref="D1308">iferror(index(fish_lab_data!D:D,match(A1308,fish_lab_data!C:C,0)))</f>
        <v>P1049</v>
      </c>
      <c r="E1308" s="6">
        <v>111.0</v>
      </c>
      <c r="F1308" s="17" t="str">
        <f t="shared" si="3"/>
        <v>BCA111</v>
      </c>
      <c r="G1308" s="43" t="str">
        <f t="shared" si="4"/>
        <v>NA</v>
      </c>
      <c r="H1308" s="17" t="str">
        <f t="shared" si="5"/>
        <v>BCA111-NA</v>
      </c>
      <c r="J1308" t="str">
        <f t="shared" si="6"/>
        <v>collected</v>
      </c>
      <c r="K1308" t="str">
        <f t="shared" si="7"/>
        <v>N</v>
      </c>
    </row>
    <row r="1309">
      <c r="A1309" s="40" t="s">
        <v>1833</v>
      </c>
      <c r="B1309" s="10" t="str">
        <f t="shared" si="1"/>
        <v>fish</v>
      </c>
      <c r="C1309" s="63" t="str">
        <f t="shared" si="2"/>
        <v>U16481</v>
      </c>
      <c r="D1309" s="11" t="str">
        <f t="array" ref="D1309">iferror(index(fish_lab_data!D:D,match(A1309,fish_lab_data!C:C,0)))</f>
        <v>P1049</v>
      </c>
      <c r="E1309" s="6">
        <v>111.0</v>
      </c>
      <c r="F1309" s="17" t="str">
        <f t="shared" si="3"/>
        <v>BCA111</v>
      </c>
      <c r="G1309" s="43" t="str">
        <f t="shared" si="4"/>
        <v>NA</v>
      </c>
      <c r="H1309" s="17" t="str">
        <f t="shared" si="5"/>
        <v>BCA111-NA</v>
      </c>
      <c r="J1309" t="str">
        <f t="shared" si="6"/>
        <v>collected</v>
      </c>
      <c r="K1309" t="str">
        <f t="shared" si="7"/>
        <v>N</v>
      </c>
    </row>
    <row r="1310">
      <c r="A1310" s="40" t="s">
        <v>1835</v>
      </c>
      <c r="B1310" s="10" t="str">
        <f t="shared" si="1"/>
        <v>fish</v>
      </c>
      <c r="C1310" s="63" t="str">
        <f t="shared" si="2"/>
        <v>U17190</v>
      </c>
      <c r="D1310" s="11" t="str">
        <f t="array" ref="D1310">iferror(index(fish_lab_data!D:D,match(A1310,fish_lab_data!C:C,0)))</f>
        <v>P1119</v>
      </c>
      <c r="E1310" s="6">
        <v>111.0</v>
      </c>
      <c r="F1310" s="17" t="str">
        <f t="shared" si="3"/>
        <v>BCA111</v>
      </c>
      <c r="G1310" s="43" t="str">
        <f t="shared" si="4"/>
        <v>NA</v>
      </c>
      <c r="H1310" s="17" t="str">
        <f t="shared" si="5"/>
        <v>BCA111-NA</v>
      </c>
      <c r="J1310" t="str">
        <f t="shared" si="6"/>
        <v>collected</v>
      </c>
      <c r="K1310" t="str">
        <f t="shared" si="7"/>
        <v>N</v>
      </c>
    </row>
    <row r="1311">
      <c r="A1311" s="40" t="s">
        <v>1836</v>
      </c>
      <c r="B1311" s="10" t="str">
        <f t="shared" si="1"/>
        <v>fish</v>
      </c>
      <c r="C1311" s="63" t="str">
        <f t="shared" si="2"/>
        <v>U17189</v>
      </c>
      <c r="D1311" s="11" t="str">
        <f t="array" ref="D1311">iferror(index(fish_lab_data!D:D,match(A1311,fish_lab_data!C:C,0)))</f>
        <v>P1119</v>
      </c>
      <c r="E1311" s="6">
        <v>111.0</v>
      </c>
      <c r="F1311" s="17" t="str">
        <f t="shared" si="3"/>
        <v>BCA111</v>
      </c>
      <c r="G1311" s="43" t="str">
        <f t="shared" si="4"/>
        <v>NA</v>
      </c>
      <c r="H1311" s="17" t="str">
        <f t="shared" si="5"/>
        <v>BCA111-NA</v>
      </c>
      <c r="J1311" t="str">
        <f t="shared" si="6"/>
        <v>collected</v>
      </c>
      <c r="K1311" t="str">
        <f t="shared" si="7"/>
        <v>N</v>
      </c>
    </row>
    <row r="1312">
      <c r="A1312" s="40" t="s">
        <v>1838</v>
      </c>
      <c r="B1312" s="10" t="str">
        <f t="shared" si="1"/>
        <v>fish</v>
      </c>
      <c r="C1312" s="63" t="str">
        <f t="shared" si="2"/>
        <v>U17188</v>
      </c>
      <c r="D1312" s="11" t="str">
        <f t="array" ref="D1312">iferror(index(fish_lab_data!D:D,match(A1312,fish_lab_data!C:C,0)))</f>
        <v>P1119</v>
      </c>
      <c r="E1312" s="6">
        <v>111.0</v>
      </c>
      <c r="F1312" s="17" t="str">
        <f t="shared" si="3"/>
        <v>BCA111</v>
      </c>
      <c r="G1312" s="43" t="str">
        <f t="shared" si="4"/>
        <v>NA</v>
      </c>
      <c r="H1312" s="17" t="str">
        <f t="shared" si="5"/>
        <v>BCA111-NA</v>
      </c>
      <c r="J1312" t="str">
        <f t="shared" si="6"/>
        <v>collected</v>
      </c>
      <c r="K1312" t="str">
        <f t="shared" si="7"/>
        <v>N</v>
      </c>
    </row>
    <row r="1313">
      <c r="A1313" s="40" t="s">
        <v>1840</v>
      </c>
      <c r="B1313" s="10" t="str">
        <f t="shared" si="1"/>
        <v>fish</v>
      </c>
      <c r="C1313" s="63" t="str">
        <f t="shared" si="2"/>
        <v>U17187</v>
      </c>
      <c r="D1313" s="11" t="str">
        <f t="array" ref="D1313">iferror(index(fish_lab_data!D:D,match(A1313,fish_lab_data!C:C,0)))</f>
        <v>P1119</v>
      </c>
      <c r="E1313" s="6">
        <v>111.0</v>
      </c>
      <c r="F1313" s="17" t="str">
        <f t="shared" si="3"/>
        <v>BCA111</v>
      </c>
      <c r="G1313" s="43" t="str">
        <f t="shared" si="4"/>
        <v>NA</v>
      </c>
      <c r="H1313" s="17" t="str">
        <f t="shared" si="5"/>
        <v>BCA111-NA</v>
      </c>
      <c r="J1313" t="str">
        <f t="shared" si="6"/>
        <v>collected</v>
      </c>
      <c r="K1313" t="str">
        <f t="shared" si="7"/>
        <v>N</v>
      </c>
    </row>
    <row r="1314">
      <c r="A1314" s="40" t="s">
        <v>1841</v>
      </c>
      <c r="B1314" s="10" t="str">
        <f t="shared" si="1"/>
        <v>fish</v>
      </c>
      <c r="C1314" s="63" t="str">
        <f t="shared" si="2"/>
        <v>U17186</v>
      </c>
      <c r="D1314" s="11" t="str">
        <f t="array" ref="D1314">iferror(index(fish_lab_data!D:D,match(A1314,fish_lab_data!C:C,0)))</f>
        <v>P1119</v>
      </c>
      <c r="E1314" s="6">
        <v>111.0</v>
      </c>
      <c r="F1314" s="17" t="str">
        <f t="shared" si="3"/>
        <v>BCA111</v>
      </c>
      <c r="G1314" s="43" t="str">
        <f t="shared" si="4"/>
        <v>NA</v>
      </c>
      <c r="H1314" s="17" t="str">
        <f t="shared" si="5"/>
        <v>BCA111-NA</v>
      </c>
      <c r="J1314" t="str">
        <f t="shared" si="6"/>
        <v>collected</v>
      </c>
      <c r="K1314" t="str">
        <f t="shared" si="7"/>
        <v>N</v>
      </c>
    </row>
    <row r="1315">
      <c r="A1315" s="40" t="s">
        <v>1843</v>
      </c>
      <c r="B1315" s="10" t="str">
        <f t="shared" si="1"/>
        <v>fish</v>
      </c>
      <c r="C1315" s="63" t="str">
        <f t="shared" si="2"/>
        <v>U17185</v>
      </c>
      <c r="D1315" s="11" t="str">
        <f t="array" ref="D1315">iferror(index(fish_lab_data!D:D,match(A1315,fish_lab_data!C:C,0)))</f>
        <v>P1119</v>
      </c>
      <c r="E1315" s="6">
        <v>111.0</v>
      </c>
      <c r="F1315" s="17" t="str">
        <f t="shared" si="3"/>
        <v>BCA111</v>
      </c>
      <c r="G1315" s="43" t="str">
        <f t="shared" si="4"/>
        <v>NA</v>
      </c>
      <c r="H1315" s="17" t="str">
        <f t="shared" si="5"/>
        <v>BCA111-NA</v>
      </c>
      <c r="J1315" t="str">
        <f t="shared" si="6"/>
        <v>collected</v>
      </c>
      <c r="K1315" t="str">
        <f t="shared" si="7"/>
        <v>N</v>
      </c>
    </row>
    <row r="1316">
      <c r="A1316" s="40" t="s">
        <v>1844</v>
      </c>
      <c r="B1316" s="10" t="str">
        <f t="shared" si="1"/>
        <v>fish</v>
      </c>
      <c r="C1316" s="63" t="str">
        <f t="shared" si="2"/>
        <v>U17184</v>
      </c>
      <c r="D1316" s="11" t="str">
        <f t="array" ref="D1316">iferror(index(fish_lab_data!D:D,match(A1316,fish_lab_data!C:C,0)))</f>
        <v>P1119</v>
      </c>
      <c r="E1316" s="6">
        <v>111.0</v>
      </c>
      <c r="F1316" s="17" t="str">
        <f t="shared" si="3"/>
        <v>BCA111</v>
      </c>
      <c r="G1316" s="43" t="str">
        <f t="shared" si="4"/>
        <v>NA</v>
      </c>
      <c r="H1316" s="17" t="str">
        <f t="shared" si="5"/>
        <v>BCA111-NA</v>
      </c>
      <c r="J1316" t="str">
        <f t="shared" si="6"/>
        <v>collected</v>
      </c>
      <c r="K1316" t="str">
        <f t="shared" si="7"/>
        <v>N</v>
      </c>
    </row>
    <row r="1317">
      <c r="A1317" s="40" t="s">
        <v>1845</v>
      </c>
      <c r="B1317" s="10" t="str">
        <f t="shared" si="1"/>
        <v>fish</v>
      </c>
      <c r="C1317" s="63" t="str">
        <f t="shared" si="2"/>
        <v>U17181</v>
      </c>
      <c r="D1317" s="11" t="str">
        <f t="array" ref="D1317">iferror(index(fish_lab_data!D:D,match(A1317,fish_lab_data!C:C,0)))</f>
        <v>P1119</v>
      </c>
      <c r="E1317" s="6">
        <v>111.0</v>
      </c>
      <c r="F1317" s="17" t="str">
        <f t="shared" si="3"/>
        <v>BCA111</v>
      </c>
      <c r="G1317" s="43" t="str">
        <f t="shared" si="4"/>
        <v>NA</v>
      </c>
      <c r="H1317" s="17" t="str">
        <f t="shared" si="5"/>
        <v>BCA111-NA</v>
      </c>
      <c r="J1317" t="str">
        <f t="shared" si="6"/>
        <v>collected</v>
      </c>
      <c r="K1317" t="str">
        <f t="shared" si="7"/>
        <v>N</v>
      </c>
    </row>
    <row r="1318">
      <c r="A1318" s="40" t="s">
        <v>1846</v>
      </c>
      <c r="B1318" s="10" t="str">
        <f t="shared" si="1"/>
        <v>fish</v>
      </c>
      <c r="C1318" s="63" t="str">
        <f t="shared" si="2"/>
        <v>U17182</v>
      </c>
      <c r="D1318" s="11" t="str">
        <f t="array" ref="D1318">iferror(index(fish_lab_data!D:D,match(A1318,fish_lab_data!C:C,0)))</f>
        <v>P1119</v>
      </c>
      <c r="E1318" s="6">
        <v>111.0</v>
      </c>
      <c r="F1318" s="17" t="str">
        <f t="shared" si="3"/>
        <v>BCA111</v>
      </c>
      <c r="G1318" s="43" t="str">
        <f t="shared" si="4"/>
        <v>NA</v>
      </c>
      <c r="H1318" s="17" t="str">
        <f t="shared" si="5"/>
        <v>BCA111-NA</v>
      </c>
      <c r="J1318" t="str">
        <f t="shared" si="6"/>
        <v>collected</v>
      </c>
      <c r="K1318" t="str">
        <f t="shared" si="7"/>
        <v>N</v>
      </c>
    </row>
    <row r="1319">
      <c r="A1319" s="40" t="s">
        <v>1847</v>
      </c>
      <c r="B1319" s="10" t="str">
        <f t="shared" si="1"/>
        <v>fish</v>
      </c>
      <c r="C1319" s="63" t="str">
        <f t="shared" si="2"/>
        <v>U17183</v>
      </c>
      <c r="D1319" s="11" t="str">
        <f t="array" ref="D1319">iferror(index(fish_lab_data!D:D,match(A1319,fish_lab_data!C:C,0)))</f>
        <v>P1119</v>
      </c>
      <c r="E1319" s="6">
        <v>111.0</v>
      </c>
      <c r="F1319" s="17" t="str">
        <f t="shared" si="3"/>
        <v>BCA111</v>
      </c>
      <c r="G1319" s="43" t="str">
        <f t="shared" si="4"/>
        <v>NA</v>
      </c>
      <c r="H1319" s="17" t="str">
        <f t="shared" si="5"/>
        <v>BCA111-NA</v>
      </c>
      <c r="J1319" t="str">
        <f t="shared" si="6"/>
        <v>collected</v>
      </c>
      <c r="K1319" t="str">
        <f t="shared" si="7"/>
        <v>N</v>
      </c>
    </row>
    <row r="1320">
      <c r="A1320" s="40" t="s">
        <v>1848</v>
      </c>
      <c r="B1320" s="10" t="str">
        <f t="shared" si="1"/>
        <v>fish</v>
      </c>
      <c r="C1320" s="63" t="str">
        <f t="shared" si="2"/>
        <v>U16655</v>
      </c>
      <c r="D1320" s="11" t="str">
        <f t="array" ref="D1320">iferror(index(fish_lab_data!D:D,match(A1320,fish_lab_data!C:C,0)))</f>
        <v>P1066</v>
      </c>
      <c r="E1320" s="6">
        <v>111.0</v>
      </c>
      <c r="F1320" s="17" t="str">
        <f t="shared" si="3"/>
        <v>BCA111</v>
      </c>
      <c r="G1320" s="43" t="str">
        <f t="shared" si="4"/>
        <v>NA</v>
      </c>
      <c r="H1320" s="17" t="str">
        <f t="shared" si="5"/>
        <v>BCA111-NA</v>
      </c>
      <c r="J1320" t="str">
        <f t="shared" si="6"/>
        <v>collected</v>
      </c>
      <c r="K1320" t="str">
        <f t="shared" si="7"/>
        <v>N</v>
      </c>
    </row>
    <row r="1321">
      <c r="A1321" s="40" t="s">
        <v>1849</v>
      </c>
      <c r="B1321" s="10" t="str">
        <f t="shared" si="1"/>
        <v>fish</v>
      </c>
      <c r="C1321" s="63" t="str">
        <f t="shared" si="2"/>
        <v>U16652</v>
      </c>
      <c r="D1321" s="11" t="str">
        <f t="array" ref="D1321">iferror(index(fish_lab_data!D:D,match(A1321,fish_lab_data!C:C,0)))</f>
        <v>P1066</v>
      </c>
      <c r="E1321" s="6">
        <v>111.0</v>
      </c>
      <c r="F1321" s="17" t="str">
        <f t="shared" si="3"/>
        <v>BCA111</v>
      </c>
      <c r="G1321" s="43" t="str">
        <f t="shared" si="4"/>
        <v>NA</v>
      </c>
      <c r="H1321" s="17" t="str">
        <f t="shared" si="5"/>
        <v>BCA111-NA</v>
      </c>
      <c r="J1321" t="str">
        <f t="shared" si="6"/>
        <v>collected</v>
      </c>
      <c r="K1321" t="str">
        <f t="shared" si="7"/>
        <v>N</v>
      </c>
    </row>
    <row r="1322">
      <c r="A1322" s="40" t="s">
        <v>1850</v>
      </c>
      <c r="B1322" s="10" t="str">
        <f t="shared" si="1"/>
        <v>fish</v>
      </c>
      <c r="C1322" s="63" t="str">
        <f t="shared" si="2"/>
        <v>U16653</v>
      </c>
      <c r="D1322" s="11" t="str">
        <f t="array" ref="D1322">iferror(index(fish_lab_data!D:D,match(A1322,fish_lab_data!C:C,0)))</f>
        <v>P1066</v>
      </c>
      <c r="E1322" s="6">
        <v>111.0</v>
      </c>
      <c r="F1322" s="17" t="str">
        <f t="shared" si="3"/>
        <v>BCA111</v>
      </c>
      <c r="G1322" s="43" t="str">
        <f t="shared" si="4"/>
        <v>NA</v>
      </c>
      <c r="H1322" s="17" t="str">
        <f t="shared" si="5"/>
        <v>BCA111-NA</v>
      </c>
      <c r="J1322" t="str">
        <f t="shared" si="6"/>
        <v>collected</v>
      </c>
      <c r="K1322" t="str">
        <f t="shared" si="7"/>
        <v>N</v>
      </c>
    </row>
    <row r="1323">
      <c r="A1323" s="40" t="s">
        <v>1852</v>
      </c>
      <c r="B1323" s="10" t="str">
        <f t="shared" si="1"/>
        <v>fish</v>
      </c>
      <c r="C1323" s="63" t="str">
        <f t="shared" si="2"/>
        <v>U16658</v>
      </c>
      <c r="D1323" s="11" t="str">
        <f t="array" ref="D1323">iferror(index(fish_lab_data!D:D,match(A1323,fish_lab_data!C:C,0)))</f>
        <v>P1066</v>
      </c>
      <c r="E1323" s="6">
        <v>111.0</v>
      </c>
      <c r="F1323" s="17" t="str">
        <f t="shared" si="3"/>
        <v>BCA111</v>
      </c>
      <c r="G1323" s="43" t="str">
        <f t="shared" si="4"/>
        <v>NA</v>
      </c>
      <c r="H1323" s="17" t="str">
        <f t="shared" si="5"/>
        <v>BCA111-NA</v>
      </c>
      <c r="J1323" t="str">
        <f t="shared" si="6"/>
        <v>collected</v>
      </c>
      <c r="K1323" t="str">
        <f t="shared" si="7"/>
        <v>N</v>
      </c>
    </row>
    <row r="1324">
      <c r="A1324" s="40" t="s">
        <v>1853</v>
      </c>
      <c r="B1324" s="10" t="str">
        <f t="shared" si="1"/>
        <v>fish</v>
      </c>
      <c r="C1324" s="63" t="str">
        <f t="shared" si="2"/>
        <v>U16659</v>
      </c>
      <c r="D1324" s="11" t="str">
        <f t="array" ref="D1324">iferror(index(fish_lab_data!D:D,match(A1324,fish_lab_data!C:C,0)))</f>
        <v>P1066</v>
      </c>
      <c r="E1324" s="6">
        <v>111.0</v>
      </c>
      <c r="F1324" s="17" t="str">
        <f t="shared" si="3"/>
        <v>BCA111</v>
      </c>
      <c r="G1324" s="43" t="str">
        <f t="shared" si="4"/>
        <v>NA</v>
      </c>
      <c r="H1324" s="17" t="str">
        <f t="shared" si="5"/>
        <v>BCA111-NA</v>
      </c>
      <c r="J1324" t="str">
        <f t="shared" si="6"/>
        <v>collected</v>
      </c>
      <c r="K1324" t="str">
        <f t="shared" si="7"/>
        <v>N</v>
      </c>
    </row>
    <row r="1325">
      <c r="A1325" s="40" t="s">
        <v>1854</v>
      </c>
      <c r="B1325" s="10" t="str">
        <f t="shared" si="1"/>
        <v>fish</v>
      </c>
      <c r="C1325" s="63" t="str">
        <f t="shared" si="2"/>
        <v>U16656</v>
      </c>
      <c r="D1325" s="11" t="str">
        <f t="array" ref="D1325">iferror(index(fish_lab_data!D:D,match(A1325,fish_lab_data!C:C,0)))</f>
        <v>P1066</v>
      </c>
      <c r="E1325" s="6">
        <v>111.0</v>
      </c>
      <c r="F1325" s="17" t="str">
        <f t="shared" si="3"/>
        <v>BCA111</v>
      </c>
      <c r="G1325" s="43" t="str">
        <f t="shared" si="4"/>
        <v>NA</v>
      </c>
      <c r="H1325" s="17" t="str">
        <f t="shared" si="5"/>
        <v>BCA111-NA</v>
      </c>
      <c r="J1325" t="str">
        <f t="shared" si="6"/>
        <v>collected</v>
      </c>
      <c r="K1325" t="str">
        <f t="shared" si="7"/>
        <v>N</v>
      </c>
    </row>
    <row r="1326">
      <c r="A1326" s="40" t="s">
        <v>1855</v>
      </c>
      <c r="B1326" s="10" t="str">
        <f t="shared" si="1"/>
        <v>fish</v>
      </c>
      <c r="C1326" s="63" t="str">
        <f t="shared" si="2"/>
        <v>U16660</v>
      </c>
      <c r="D1326" s="11" t="str">
        <f t="array" ref="D1326">iferror(index(fish_lab_data!D:D,match(A1326,fish_lab_data!C:C,0)))</f>
        <v>P1066</v>
      </c>
      <c r="E1326" s="6">
        <v>111.0</v>
      </c>
      <c r="F1326" s="17" t="str">
        <f t="shared" si="3"/>
        <v>BCA111</v>
      </c>
      <c r="G1326" s="43" t="str">
        <f t="shared" si="4"/>
        <v>NA</v>
      </c>
      <c r="H1326" s="17" t="str">
        <f t="shared" si="5"/>
        <v>BCA111-NA</v>
      </c>
      <c r="J1326" t="str">
        <f t="shared" si="6"/>
        <v>collected</v>
      </c>
      <c r="K1326" t="str">
        <f t="shared" si="7"/>
        <v>N</v>
      </c>
    </row>
    <row r="1327">
      <c r="A1327" s="40" t="s">
        <v>1857</v>
      </c>
      <c r="B1327" s="10" t="str">
        <f t="shared" si="1"/>
        <v>fish</v>
      </c>
      <c r="C1327" s="63" t="str">
        <f t="shared" si="2"/>
        <v>U16657</v>
      </c>
      <c r="D1327" s="11" t="str">
        <f t="array" ref="D1327">iferror(index(fish_lab_data!D:D,match(A1327,fish_lab_data!C:C,0)))</f>
        <v>P1066</v>
      </c>
      <c r="E1327" s="6">
        <v>111.0</v>
      </c>
      <c r="F1327" s="17" t="str">
        <f t="shared" si="3"/>
        <v>BCA111</v>
      </c>
      <c r="G1327" s="43" t="str">
        <f t="shared" si="4"/>
        <v>NA</v>
      </c>
      <c r="H1327" s="17" t="str">
        <f t="shared" si="5"/>
        <v>BCA111-NA</v>
      </c>
      <c r="J1327" t="str">
        <f t="shared" si="6"/>
        <v>collected</v>
      </c>
      <c r="K1327" t="str">
        <f t="shared" si="7"/>
        <v>N</v>
      </c>
    </row>
    <row r="1328">
      <c r="A1328" s="40" t="s">
        <v>1858</v>
      </c>
      <c r="B1328" s="10" t="str">
        <f t="shared" si="1"/>
        <v>fish</v>
      </c>
      <c r="C1328" s="63" t="str">
        <f t="shared" si="2"/>
        <v>U16654</v>
      </c>
      <c r="D1328" s="11" t="str">
        <f t="array" ref="D1328">iferror(index(fish_lab_data!D:D,match(A1328,fish_lab_data!C:C,0)))</f>
        <v>P1066</v>
      </c>
      <c r="E1328" s="6">
        <v>111.0</v>
      </c>
      <c r="F1328" s="17" t="str">
        <f t="shared" si="3"/>
        <v>BCA111</v>
      </c>
      <c r="G1328" s="43" t="str">
        <f t="shared" si="4"/>
        <v>NA</v>
      </c>
      <c r="H1328" s="17" t="str">
        <f t="shared" si="5"/>
        <v>BCA111-NA</v>
      </c>
      <c r="J1328" t="str">
        <f t="shared" si="6"/>
        <v>collected</v>
      </c>
      <c r="K1328" t="str">
        <f t="shared" si="7"/>
        <v>N</v>
      </c>
    </row>
    <row r="1329">
      <c r="A1329" s="40" t="s">
        <v>1859</v>
      </c>
      <c r="B1329" s="10" t="str">
        <f t="shared" si="1"/>
        <v>fish</v>
      </c>
      <c r="C1329" s="63" t="str">
        <f t="shared" si="2"/>
        <v>U16651</v>
      </c>
      <c r="D1329" s="11" t="str">
        <f t="array" ref="D1329">iferror(index(fish_lab_data!D:D,match(A1329,fish_lab_data!C:C,0)))</f>
        <v>P1066</v>
      </c>
      <c r="E1329" s="6">
        <v>111.0</v>
      </c>
      <c r="F1329" s="17" t="str">
        <f t="shared" si="3"/>
        <v>BCA111</v>
      </c>
      <c r="G1329" s="43" t="str">
        <f t="shared" si="4"/>
        <v>NA</v>
      </c>
      <c r="H1329" s="17" t="str">
        <f t="shared" si="5"/>
        <v>BCA111-NA</v>
      </c>
      <c r="J1329" t="str">
        <f t="shared" si="6"/>
        <v>collected</v>
      </c>
      <c r="K1329" t="str">
        <f t="shared" si="7"/>
        <v>N</v>
      </c>
    </row>
    <row r="1330">
      <c r="A1330" s="40" t="s">
        <v>1860</v>
      </c>
      <c r="B1330" s="10" t="str">
        <f t="shared" si="1"/>
        <v>fish</v>
      </c>
      <c r="C1330" s="63" t="str">
        <f t="shared" si="2"/>
        <v>U17470</v>
      </c>
      <c r="D1330" s="11" t="str">
        <f t="array" ref="D1330">iferror(index(fish_lab_data!D:D,match(A1330,fish_lab_data!C:C,0)))</f>
        <v>P1147</v>
      </c>
      <c r="E1330" s="6">
        <v>111.0</v>
      </c>
      <c r="F1330" s="17" t="str">
        <f t="shared" si="3"/>
        <v>BCA111</v>
      </c>
      <c r="G1330" s="43" t="str">
        <f t="shared" si="4"/>
        <v>NA</v>
      </c>
      <c r="H1330" s="17" t="str">
        <f t="shared" si="5"/>
        <v>BCA111-NA</v>
      </c>
      <c r="J1330" t="str">
        <f t="shared" si="6"/>
        <v>collected</v>
      </c>
      <c r="K1330" t="str">
        <f t="shared" si="7"/>
        <v>N</v>
      </c>
    </row>
    <row r="1331">
      <c r="A1331" s="40" t="s">
        <v>1861</v>
      </c>
      <c r="B1331" s="10" t="str">
        <f t="shared" si="1"/>
        <v>fish</v>
      </c>
      <c r="C1331" s="63" t="str">
        <f t="shared" si="2"/>
        <v>U17469</v>
      </c>
      <c r="D1331" s="11" t="str">
        <f t="array" ref="D1331">iferror(index(fish_lab_data!D:D,match(A1331,fish_lab_data!C:C,0)))</f>
        <v>P1147</v>
      </c>
      <c r="E1331" s="6">
        <v>111.0</v>
      </c>
      <c r="F1331" s="17" t="str">
        <f t="shared" si="3"/>
        <v>BCA111</v>
      </c>
      <c r="G1331" s="43" t="str">
        <f t="shared" si="4"/>
        <v>NA</v>
      </c>
      <c r="H1331" s="17" t="str">
        <f t="shared" si="5"/>
        <v>BCA111-NA</v>
      </c>
      <c r="J1331" t="str">
        <f t="shared" si="6"/>
        <v>collected</v>
      </c>
      <c r="K1331" t="str">
        <f t="shared" si="7"/>
        <v>N</v>
      </c>
    </row>
    <row r="1332">
      <c r="A1332" s="40" t="s">
        <v>1863</v>
      </c>
      <c r="B1332" s="10" t="str">
        <f t="shared" si="1"/>
        <v>fish</v>
      </c>
      <c r="C1332" s="63" t="str">
        <f t="shared" si="2"/>
        <v>U17468</v>
      </c>
      <c r="D1332" s="11" t="str">
        <f t="array" ref="D1332">iferror(index(fish_lab_data!D:D,match(A1332,fish_lab_data!C:C,0)))</f>
        <v>P1147</v>
      </c>
      <c r="E1332" s="6">
        <v>111.0</v>
      </c>
      <c r="F1332" s="17" t="str">
        <f t="shared" si="3"/>
        <v>BCA111</v>
      </c>
      <c r="G1332" s="43" t="str">
        <f t="shared" si="4"/>
        <v>NA</v>
      </c>
      <c r="H1332" s="17" t="str">
        <f t="shared" si="5"/>
        <v>BCA111-NA</v>
      </c>
      <c r="J1332" t="str">
        <f t="shared" si="6"/>
        <v>collected</v>
      </c>
      <c r="K1332" t="str">
        <f t="shared" si="7"/>
        <v>N</v>
      </c>
    </row>
    <row r="1333">
      <c r="A1333" s="40" t="s">
        <v>1864</v>
      </c>
      <c r="B1333" s="10" t="str">
        <f t="shared" si="1"/>
        <v>fish</v>
      </c>
      <c r="C1333" s="63" t="str">
        <f t="shared" si="2"/>
        <v>U17467</v>
      </c>
      <c r="D1333" s="11" t="str">
        <f t="array" ref="D1333">iferror(index(fish_lab_data!D:D,match(A1333,fish_lab_data!C:C,0)))</f>
        <v>P1147</v>
      </c>
      <c r="E1333" s="6">
        <v>111.0</v>
      </c>
      <c r="F1333" s="17" t="str">
        <f t="shared" si="3"/>
        <v>BCA111</v>
      </c>
      <c r="G1333" s="43" t="str">
        <f t="shared" si="4"/>
        <v>NA</v>
      </c>
      <c r="H1333" s="17" t="str">
        <f t="shared" si="5"/>
        <v>BCA111-NA</v>
      </c>
      <c r="J1333" t="str">
        <f t="shared" si="6"/>
        <v>collected</v>
      </c>
      <c r="K1333" t="str">
        <f t="shared" si="7"/>
        <v>N</v>
      </c>
    </row>
    <row r="1334">
      <c r="A1334" s="40" t="s">
        <v>1865</v>
      </c>
      <c r="B1334" s="10" t="str">
        <f t="shared" si="1"/>
        <v>fish</v>
      </c>
      <c r="C1334" s="63" t="str">
        <f t="shared" si="2"/>
        <v>U17454</v>
      </c>
      <c r="D1334" s="11" t="str">
        <f t="array" ref="D1334">iferror(index(fish_lab_data!D:D,match(A1334,fish_lab_data!C:C,0)))</f>
        <v>P1146</v>
      </c>
      <c r="E1334" s="6">
        <v>111.0</v>
      </c>
      <c r="F1334" s="17" t="str">
        <f t="shared" si="3"/>
        <v>BCA111</v>
      </c>
      <c r="G1334" s="43" t="str">
        <f t="shared" si="4"/>
        <v>NA</v>
      </c>
      <c r="H1334" s="17" t="str">
        <f t="shared" si="5"/>
        <v>BCA111-NA</v>
      </c>
      <c r="J1334" t="str">
        <f t="shared" si="6"/>
        <v>collected</v>
      </c>
      <c r="K1334" t="str">
        <f t="shared" si="7"/>
        <v>N</v>
      </c>
    </row>
    <row r="1335">
      <c r="A1335" s="40" t="s">
        <v>1866</v>
      </c>
      <c r="B1335" s="10" t="str">
        <f t="shared" si="1"/>
        <v>fish</v>
      </c>
      <c r="C1335" s="63" t="str">
        <f t="shared" si="2"/>
        <v>U17458</v>
      </c>
      <c r="D1335" s="11" t="str">
        <f t="array" ref="D1335">iferror(index(fish_lab_data!D:D,match(A1335,fish_lab_data!C:C,0)))</f>
        <v>P1146</v>
      </c>
      <c r="E1335" s="6">
        <v>111.0</v>
      </c>
      <c r="F1335" s="17" t="str">
        <f t="shared" si="3"/>
        <v>BCA111</v>
      </c>
      <c r="G1335" s="43" t="str">
        <f t="shared" si="4"/>
        <v>NA</v>
      </c>
      <c r="H1335" s="17" t="str">
        <f t="shared" si="5"/>
        <v>BCA111-NA</v>
      </c>
      <c r="J1335" t="str">
        <f t="shared" si="6"/>
        <v>collected</v>
      </c>
      <c r="K1335" t="str">
        <f t="shared" si="7"/>
        <v>N</v>
      </c>
    </row>
    <row r="1336">
      <c r="A1336" s="40" t="s">
        <v>1867</v>
      </c>
      <c r="B1336" s="10" t="str">
        <f t="shared" si="1"/>
        <v>fish</v>
      </c>
      <c r="C1336" s="63" t="str">
        <f t="shared" si="2"/>
        <v>U17459</v>
      </c>
      <c r="D1336" s="11" t="str">
        <f t="array" ref="D1336">iferror(index(fish_lab_data!D:D,match(A1336,fish_lab_data!C:C,0)))</f>
        <v>P1146</v>
      </c>
      <c r="E1336" s="6">
        <v>111.0</v>
      </c>
      <c r="F1336" s="17" t="str">
        <f t="shared" si="3"/>
        <v>BCA111</v>
      </c>
      <c r="G1336" s="43" t="str">
        <f t="shared" si="4"/>
        <v>NA</v>
      </c>
      <c r="H1336" s="17" t="str">
        <f t="shared" si="5"/>
        <v>BCA111-NA</v>
      </c>
      <c r="J1336" t="str">
        <f t="shared" si="6"/>
        <v>collected</v>
      </c>
      <c r="K1336" t="str">
        <f t="shared" si="7"/>
        <v>N</v>
      </c>
    </row>
    <row r="1337">
      <c r="A1337" s="40" t="s">
        <v>1869</v>
      </c>
      <c r="B1337" s="10" t="str">
        <f t="shared" si="1"/>
        <v>fish</v>
      </c>
      <c r="C1337" s="63" t="str">
        <f t="shared" si="2"/>
        <v>U17456</v>
      </c>
      <c r="D1337" s="11" t="str">
        <f t="array" ref="D1337">iferror(index(fish_lab_data!D:D,match(A1337,fish_lab_data!C:C,0)))</f>
        <v>P1146</v>
      </c>
      <c r="E1337" s="6">
        <v>111.0</v>
      </c>
      <c r="F1337" s="17" t="str">
        <f t="shared" si="3"/>
        <v>BCA111</v>
      </c>
      <c r="G1337" s="43" t="str">
        <f t="shared" si="4"/>
        <v>NA</v>
      </c>
      <c r="H1337" s="17" t="str">
        <f t="shared" si="5"/>
        <v>BCA111-NA</v>
      </c>
      <c r="J1337" t="str">
        <f t="shared" si="6"/>
        <v>collected</v>
      </c>
      <c r="K1337" t="str">
        <f t="shared" si="7"/>
        <v>N</v>
      </c>
    </row>
    <row r="1338">
      <c r="A1338" s="40" t="s">
        <v>1870</v>
      </c>
      <c r="B1338" s="10" t="str">
        <f t="shared" si="1"/>
        <v>fish</v>
      </c>
      <c r="C1338" s="63" t="str">
        <f t="shared" si="2"/>
        <v>U17460</v>
      </c>
      <c r="D1338" s="11" t="str">
        <f t="array" ref="D1338">iferror(index(fish_lab_data!D:D,match(A1338,fish_lab_data!C:C,0)))</f>
        <v>P1146</v>
      </c>
      <c r="E1338" s="6">
        <v>111.0</v>
      </c>
      <c r="F1338" s="17" t="str">
        <f t="shared" si="3"/>
        <v>BCA111</v>
      </c>
      <c r="G1338" s="43" t="str">
        <f t="shared" si="4"/>
        <v>NA</v>
      </c>
      <c r="H1338" s="17" t="str">
        <f t="shared" si="5"/>
        <v>BCA111-NA</v>
      </c>
      <c r="J1338" t="str">
        <f t="shared" si="6"/>
        <v>collected</v>
      </c>
      <c r="K1338" t="str">
        <f t="shared" si="7"/>
        <v>N</v>
      </c>
    </row>
    <row r="1339">
      <c r="A1339" s="40" t="s">
        <v>1871</v>
      </c>
      <c r="B1339" s="10" t="str">
        <f t="shared" si="1"/>
        <v>fish</v>
      </c>
      <c r="C1339" s="63" t="str">
        <f t="shared" si="2"/>
        <v>U17455</v>
      </c>
      <c r="D1339" s="11" t="str">
        <f t="array" ref="D1339">iferror(index(fish_lab_data!D:D,match(A1339,fish_lab_data!C:C,0)))</f>
        <v>P1146</v>
      </c>
      <c r="E1339" s="6">
        <v>111.0</v>
      </c>
      <c r="F1339" s="17" t="str">
        <f t="shared" si="3"/>
        <v>BCA111</v>
      </c>
      <c r="G1339" s="43" t="str">
        <f t="shared" si="4"/>
        <v>NA</v>
      </c>
      <c r="H1339" s="17" t="str">
        <f t="shared" si="5"/>
        <v>BCA111-NA</v>
      </c>
      <c r="J1339" t="str">
        <f t="shared" si="6"/>
        <v>collected</v>
      </c>
      <c r="K1339" t="str">
        <f t="shared" si="7"/>
        <v>N</v>
      </c>
    </row>
    <row r="1340">
      <c r="A1340" s="40" t="s">
        <v>1872</v>
      </c>
      <c r="B1340" s="10" t="str">
        <f t="shared" si="1"/>
        <v>fish</v>
      </c>
      <c r="C1340" s="63" t="str">
        <f t="shared" si="2"/>
        <v>U17451</v>
      </c>
      <c r="D1340" s="11" t="str">
        <f t="array" ref="D1340">iferror(index(fish_lab_data!D:D,match(A1340,fish_lab_data!C:C,0)))</f>
        <v>P1146</v>
      </c>
      <c r="E1340" s="6">
        <v>111.0</v>
      </c>
      <c r="F1340" s="17" t="str">
        <f t="shared" si="3"/>
        <v>BCA111</v>
      </c>
      <c r="G1340" s="43" t="str">
        <f t="shared" si="4"/>
        <v>NA</v>
      </c>
      <c r="H1340" s="17" t="str">
        <f t="shared" si="5"/>
        <v>BCA111-NA</v>
      </c>
      <c r="J1340" t="str">
        <f t="shared" si="6"/>
        <v>collected</v>
      </c>
      <c r="K1340" t="str">
        <f t="shared" si="7"/>
        <v>N</v>
      </c>
    </row>
    <row r="1341">
      <c r="A1341" s="40" t="s">
        <v>1874</v>
      </c>
      <c r="B1341" s="10" t="str">
        <f t="shared" si="1"/>
        <v>fish</v>
      </c>
      <c r="C1341" s="63" t="str">
        <f t="shared" si="2"/>
        <v>U17452</v>
      </c>
      <c r="D1341" s="11" t="str">
        <f t="array" ref="D1341">iferror(index(fish_lab_data!D:D,match(A1341,fish_lab_data!C:C,0)))</f>
        <v>P1146</v>
      </c>
      <c r="E1341" s="6">
        <v>111.0</v>
      </c>
      <c r="F1341" s="17" t="str">
        <f t="shared" si="3"/>
        <v>BCA111</v>
      </c>
      <c r="G1341" s="43" t="str">
        <f t="shared" si="4"/>
        <v>NA</v>
      </c>
      <c r="H1341" s="17" t="str">
        <f t="shared" si="5"/>
        <v>BCA111-NA</v>
      </c>
      <c r="J1341" t="str">
        <f t="shared" si="6"/>
        <v>collected</v>
      </c>
      <c r="K1341" t="str">
        <f t="shared" si="7"/>
        <v>N</v>
      </c>
    </row>
    <row r="1342">
      <c r="A1342" s="40" t="s">
        <v>1875</v>
      </c>
      <c r="B1342" s="10" t="str">
        <f t="shared" si="1"/>
        <v>fish</v>
      </c>
      <c r="C1342" s="63" t="str">
        <f t="shared" si="2"/>
        <v>U17457</v>
      </c>
      <c r="D1342" s="11" t="str">
        <f t="array" ref="D1342">iferror(index(fish_lab_data!D:D,match(A1342,fish_lab_data!C:C,0)))</f>
        <v>P1146</v>
      </c>
      <c r="E1342" s="6">
        <v>111.0</v>
      </c>
      <c r="F1342" s="17" t="str">
        <f t="shared" si="3"/>
        <v>BCA111</v>
      </c>
      <c r="G1342" s="43" t="str">
        <f t="shared" si="4"/>
        <v>NA</v>
      </c>
      <c r="H1342" s="17" t="str">
        <f t="shared" si="5"/>
        <v>BCA111-NA</v>
      </c>
      <c r="J1342" t="str">
        <f t="shared" si="6"/>
        <v>collected</v>
      </c>
      <c r="K1342" t="str">
        <f t="shared" si="7"/>
        <v>N</v>
      </c>
    </row>
    <row r="1343">
      <c r="A1343" s="40" t="s">
        <v>1876</v>
      </c>
      <c r="B1343" s="10" t="str">
        <f t="shared" si="1"/>
        <v>fish</v>
      </c>
      <c r="C1343" s="63" t="str">
        <f t="shared" si="2"/>
        <v>U17453</v>
      </c>
      <c r="D1343" s="11" t="str">
        <f t="array" ref="D1343">iferror(index(fish_lab_data!D:D,match(A1343,fish_lab_data!C:C,0)))</f>
        <v>P1146</v>
      </c>
      <c r="E1343" s="6">
        <v>111.0</v>
      </c>
      <c r="F1343" s="17" t="str">
        <f t="shared" si="3"/>
        <v>BCA111</v>
      </c>
      <c r="G1343" s="43" t="str">
        <f t="shared" si="4"/>
        <v>NA</v>
      </c>
      <c r="H1343" s="17" t="str">
        <f t="shared" si="5"/>
        <v>BCA111-NA</v>
      </c>
      <c r="J1343" t="str">
        <f t="shared" si="6"/>
        <v>collected</v>
      </c>
      <c r="K1343" t="str">
        <f t="shared" si="7"/>
        <v>N</v>
      </c>
    </row>
    <row r="1344">
      <c r="A1344" s="40" t="s">
        <v>1877</v>
      </c>
      <c r="B1344" s="10" t="str">
        <f t="shared" si="1"/>
        <v>fish</v>
      </c>
      <c r="C1344" s="63" t="str">
        <f t="shared" si="2"/>
        <v>U16031</v>
      </c>
      <c r="D1344" s="11" t="str">
        <f t="array" ref="D1344">iferror(index(fish_lab_data!D:D,match(A1344,fish_lab_data!C:C,0)))</f>
        <v>P1004</v>
      </c>
      <c r="E1344" s="6">
        <v>111.0</v>
      </c>
      <c r="F1344" s="17" t="str">
        <f t="shared" si="3"/>
        <v>BCA111</v>
      </c>
      <c r="G1344" s="43" t="str">
        <f t="shared" si="4"/>
        <v>NA</v>
      </c>
      <c r="H1344" s="17" t="str">
        <f t="shared" si="5"/>
        <v>BCA111-NA</v>
      </c>
      <c r="J1344" t="str">
        <f t="shared" si="6"/>
        <v>collected</v>
      </c>
      <c r="K1344" t="str">
        <f t="shared" si="7"/>
        <v>N</v>
      </c>
    </row>
    <row r="1345">
      <c r="A1345" s="40" t="s">
        <v>1878</v>
      </c>
      <c r="B1345" s="10" t="str">
        <f t="shared" si="1"/>
        <v>fish</v>
      </c>
      <c r="C1345" s="63" t="str">
        <f t="shared" si="2"/>
        <v>U16037</v>
      </c>
      <c r="D1345" s="11" t="str">
        <f t="array" ref="D1345">iferror(index(fish_lab_data!D:D,match(A1345,fish_lab_data!C:C,0)))</f>
        <v>P1004</v>
      </c>
      <c r="E1345" s="6">
        <v>111.0</v>
      </c>
      <c r="F1345" s="17" t="str">
        <f t="shared" si="3"/>
        <v>BCA111</v>
      </c>
      <c r="G1345" s="43" t="str">
        <f t="shared" si="4"/>
        <v>NA</v>
      </c>
      <c r="H1345" s="17" t="str">
        <f t="shared" si="5"/>
        <v>BCA111-NA</v>
      </c>
      <c r="J1345" t="str">
        <f t="shared" si="6"/>
        <v>collected</v>
      </c>
      <c r="K1345" t="str">
        <f t="shared" si="7"/>
        <v>N</v>
      </c>
    </row>
    <row r="1346">
      <c r="A1346" s="40" t="s">
        <v>1880</v>
      </c>
      <c r="B1346" s="10" t="str">
        <f t="shared" si="1"/>
        <v>fish</v>
      </c>
      <c r="C1346" s="63" t="str">
        <f t="shared" si="2"/>
        <v>U16038</v>
      </c>
      <c r="D1346" s="11" t="str">
        <f t="array" ref="D1346">iferror(index(fish_lab_data!D:D,match(A1346,fish_lab_data!C:C,0)))</f>
        <v>P1004</v>
      </c>
      <c r="E1346" s="6">
        <v>111.0</v>
      </c>
      <c r="F1346" s="17" t="str">
        <f t="shared" si="3"/>
        <v>BCA111</v>
      </c>
      <c r="G1346" s="43" t="str">
        <f t="shared" si="4"/>
        <v>NA</v>
      </c>
      <c r="H1346" s="17" t="str">
        <f t="shared" si="5"/>
        <v>BCA111-NA</v>
      </c>
      <c r="J1346" t="str">
        <f t="shared" si="6"/>
        <v>collected</v>
      </c>
      <c r="K1346" t="str">
        <f t="shared" si="7"/>
        <v>N</v>
      </c>
    </row>
    <row r="1347">
      <c r="A1347" s="40" t="s">
        <v>1881</v>
      </c>
      <c r="B1347" s="10" t="str">
        <f t="shared" si="1"/>
        <v>fish</v>
      </c>
      <c r="C1347" s="63" t="str">
        <f t="shared" si="2"/>
        <v>U16034</v>
      </c>
      <c r="D1347" s="11" t="str">
        <f t="array" ref="D1347">iferror(index(fish_lab_data!D:D,match(A1347,fish_lab_data!C:C,0)))</f>
        <v>P1004</v>
      </c>
      <c r="E1347" s="6">
        <v>111.0</v>
      </c>
      <c r="F1347" s="17" t="str">
        <f t="shared" si="3"/>
        <v>BCA111</v>
      </c>
      <c r="G1347" s="43" t="str">
        <f t="shared" si="4"/>
        <v>NA</v>
      </c>
      <c r="H1347" s="17" t="str">
        <f t="shared" si="5"/>
        <v>BCA111-NA</v>
      </c>
      <c r="J1347" t="str">
        <f t="shared" si="6"/>
        <v>collected</v>
      </c>
      <c r="K1347" t="str">
        <f t="shared" si="7"/>
        <v>N</v>
      </c>
    </row>
    <row r="1348">
      <c r="A1348" s="40" t="s">
        <v>1882</v>
      </c>
      <c r="B1348" s="10" t="str">
        <f t="shared" si="1"/>
        <v>fish</v>
      </c>
      <c r="C1348" s="63" t="str">
        <f t="shared" si="2"/>
        <v>U16039</v>
      </c>
      <c r="D1348" s="11" t="str">
        <f t="array" ref="D1348">iferror(index(fish_lab_data!D:D,match(A1348,fish_lab_data!C:C,0)))</f>
        <v>P1004</v>
      </c>
      <c r="E1348" s="6">
        <v>111.0</v>
      </c>
      <c r="F1348" s="17" t="str">
        <f t="shared" si="3"/>
        <v>BCA111</v>
      </c>
      <c r="G1348" s="43" t="str">
        <f t="shared" si="4"/>
        <v>NA</v>
      </c>
      <c r="H1348" s="17" t="str">
        <f t="shared" si="5"/>
        <v>BCA111-NA</v>
      </c>
      <c r="J1348" t="str">
        <f t="shared" si="6"/>
        <v>collected</v>
      </c>
      <c r="K1348" t="str">
        <f t="shared" si="7"/>
        <v>N</v>
      </c>
    </row>
    <row r="1349">
      <c r="A1349" s="40" t="s">
        <v>1883</v>
      </c>
      <c r="B1349" s="10" t="str">
        <f t="shared" si="1"/>
        <v>fish</v>
      </c>
      <c r="C1349" s="63" t="str">
        <f t="shared" si="2"/>
        <v>U16035</v>
      </c>
      <c r="D1349" s="11" t="str">
        <f t="array" ref="D1349">iferror(index(fish_lab_data!D:D,match(A1349,fish_lab_data!C:C,0)))</f>
        <v>P1004</v>
      </c>
      <c r="E1349" s="6">
        <v>111.0</v>
      </c>
      <c r="F1349" s="17" t="str">
        <f t="shared" si="3"/>
        <v>BCA111</v>
      </c>
      <c r="G1349" s="43" t="str">
        <f t="shared" si="4"/>
        <v>NA</v>
      </c>
      <c r="H1349" s="17" t="str">
        <f t="shared" si="5"/>
        <v>BCA111-NA</v>
      </c>
      <c r="J1349" t="str">
        <f t="shared" si="6"/>
        <v>collected</v>
      </c>
      <c r="K1349" t="str">
        <f t="shared" si="7"/>
        <v>N</v>
      </c>
    </row>
    <row r="1350">
      <c r="A1350" s="40" t="s">
        <v>1885</v>
      </c>
      <c r="B1350" s="10" t="str">
        <f t="shared" si="1"/>
        <v>fish</v>
      </c>
      <c r="C1350" s="63" t="str">
        <f t="shared" si="2"/>
        <v>U16032</v>
      </c>
      <c r="D1350" s="11" t="str">
        <f t="array" ref="D1350">iferror(index(fish_lab_data!D:D,match(A1350,fish_lab_data!C:C,0)))</f>
        <v>P1004</v>
      </c>
      <c r="E1350" s="6">
        <v>111.0</v>
      </c>
      <c r="F1350" s="17" t="str">
        <f t="shared" si="3"/>
        <v>BCA111</v>
      </c>
      <c r="G1350" s="43" t="str">
        <f t="shared" si="4"/>
        <v>NA</v>
      </c>
      <c r="H1350" s="17" t="str">
        <f t="shared" si="5"/>
        <v>BCA111-NA</v>
      </c>
      <c r="J1350" t="str">
        <f t="shared" si="6"/>
        <v>collected</v>
      </c>
      <c r="K1350" t="str">
        <f t="shared" si="7"/>
        <v>N</v>
      </c>
    </row>
    <row r="1351">
      <c r="A1351" s="40" t="s">
        <v>1886</v>
      </c>
      <c r="B1351" s="10" t="str">
        <f t="shared" si="1"/>
        <v>fish</v>
      </c>
      <c r="C1351" s="63" t="str">
        <f t="shared" si="2"/>
        <v>U16040</v>
      </c>
      <c r="D1351" s="11" t="str">
        <f t="array" ref="D1351">iferror(index(fish_lab_data!D:D,match(A1351,fish_lab_data!C:C,0)))</f>
        <v>P1004</v>
      </c>
      <c r="E1351" s="6">
        <v>111.0</v>
      </c>
      <c r="F1351" s="17" t="str">
        <f t="shared" si="3"/>
        <v>BCA111</v>
      </c>
      <c r="G1351" s="43" t="str">
        <f t="shared" si="4"/>
        <v>NA</v>
      </c>
      <c r="H1351" s="17" t="str">
        <f t="shared" si="5"/>
        <v>BCA111-NA</v>
      </c>
      <c r="J1351" t="str">
        <f t="shared" si="6"/>
        <v>collected</v>
      </c>
      <c r="K1351" t="str">
        <f t="shared" si="7"/>
        <v>N</v>
      </c>
    </row>
    <row r="1352">
      <c r="A1352" s="40" t="s">
        <v>1887</v>
      </c>
      <c r="B1352" s="10" t="str">
        <f t="shared" si="1"/>
        <v>fish</v>
      </c>
      <c r="C1352" s="63" t="str">
        <f t="shared" si="2"/>
        <v>U16033</v>
      </c>
      <c r="D1352" s="11" t="str">
        <f t="array" ref="D1352">iferror(index(fish_lab_data!D:D,match(A1352,fish_lab_data!C:C,0)))</f>
        <v>P1004</v>
      </c>
      <c r="E1352" s="6">
        <v>111.0</v>
      </c>
      <c r="F1352" s="17" t="str">
        <f t="shared" si="3"/>
        <v>BCA111</v>
      </c>
      <c r="G1352" s="43" t="str">
        <f t="shared" si="4"/>
        <v>NA</v>
      </c>
      <c r="H1352" s="17" t="str">
        <f t="shared" si="5"/>
        <v>BCA111-NA</v>
      </c>
      <c r="J1352" t="str">
        <f t="shared" si="6"/>
        <v>collected</v>
      </c>
      <c r="K1352" t="str">
        <f t="shared" si="7"/>
        <v>N</v>
      </c>
    </row>
    <row r="1353">
      <c r="A1353" s="40" t="s">
        <v>1888</v>
      </c>
      <c r="B1353" s="10" t="str">
        <f t="shared" si="1"/>
        <v>fish</v>
      </c>
      <c r="C1353" s="63" t="str">
        <f t="shared" si="2"/>
        <v>U16036</v>
      </c>
      <c r="D1353" s="11" t="str">
        <f t="array" ref="D1353">iferror(index(fish_lab_data!D:D,match(A1353,fish_lab_data!C:C,0)))</f>
        <v>P1004</v>
      </c>
      <c r="E1353" s="6">
        <v>111.0</v>
      </c>
      <c r="F1353" s="17" t="str">
        <f t="shared" si="3"/>
        <v>BCA111</v>
      </c>
      <c r="G1353" s="43" t="str">
        <f t="shared" si="4"/>
        <v>NA</v>
      </c>
      <c r="H1353" s="17" t="str">
        <f t="shared" si="5"/>
        <v>BCA111-NA</v>
      </c>
      <c r="J1353" t="str">
        <f t="shared" si="6"/>
        <v>collected</v>
      </c>
      <c r="K1353" t="str">
        <f t="shared" si="7"/>
        <v>N</v>
      </c>
    </row>
    <row r="1354">
      <c r="A1354" s="40" t="s">
        <v>1889</v>
      </c>
      <c r="B1354" s="10" t="str">
        <f t="shared" si="1"/>
        <v>fish</v>
      </c>
      <c r="C1354" s="63" t="str">
        <f t="shared" si="2"/>
        <v>U17466</v>
      </c>
      <c r="D1354" s="11" t="str">
        <f t="array" ref="D1354">iferror(index(fish_lab_data!D:D,match(A1354,fish_lab_data!C:C,0)))</f>
        <v>P1147</v>
      </c>
      <c r="E1354" s="6">
        <v>111.0</v>
      </c>
      <c r="F1354" s="17" t="str">
        <f t="shared" si="3"/>
        <v>BCA111</v>
      </c>
      <c r="G1354" s="43" t="str">
        <f t="shared" si="4"/>
        <v>NA</v>
      </c>
      <c r="H1354" s="17" t="str">
        <f t="shared" si="5"/>
        <v>BCA111-NA</v>
      </c>
      <c r="J1354" t="str">
        <f t="shared" si="6"/>
        <v>collected</v>
      </c>
      <c r="K1354" t="str">
        <f t="shared" si="7"/>
        <v>N</v>
      </c>
    </row>
    <row r="1355">
      <c r="A1355" s="40" t="s">
        <v>1891</v>
      </c>
      <c r="B1355" s="10" t="str">
        <f t="shared" si="1"/>
        <v>fish</v>
      </c>
      <c r="C1355" s="63" t="str">
        <f t="shared" si="2"/>
        <v>U17465</v>
      </c>
      <c r="D1355" s="11" t="str">
        <f t="array" ref="D1355">iferror(index(fish_lab_data!D:D,match(A1355,fish_lab_data!C:C,0)))</f>
        <v>P1147</v>
      </c>
      <c r="E1355" s="6">
        <v>111.0</v>
      </c>
      <c r="F1355" s="17" t="str">
        <f t="shared" si="3"/>
        <v>BCA111</v>
      </c>
      <c r="G1355" s="43" t="str">
        <f t="shared" si="4"/>
        <v>NA</v>
      </c>
      <c r="H1355" s="17" t="str">
        <f t="shared" si="5"/>
        <v>BCA111-NA</v>
      </c>
      <c r="J1355" t="str">
        <f t="shared" si="6"/>
        <v>collected</v>
      </c>
      <c r="K1355" t="str">
        <f t="shared" si="7"/>
        <v>N</v>
      </c>
    </row>
    <row r="1356">
      <c r="A1356" s="40" t="s">
        <v>1892</v>
      </c>
      <c r="B1356" s="10" t="str">
        <f t="shared" si="1"/>
        <v>fish</v>
      </c>
      <c r="C1356" s="63" t="str">
        <f t="shared" si="2"/>
        <v>U17464</v>
      </c>
      <c r="D1356" s="11" t="str">
        <f t="array" ref="D1356">iferror(index(fish_lab_data!D:D,match(A1356,fish_lab_data!C:C,0)))</f>
        <v>P1147</v>
      </c>
      <c r="E1356" s="6">
        <v>111.0</v>
      </c>
      <c r="F1356" s="17" t="str">
        <f t="shared" si="3"/>
        <v>BCA111</v>
      </c>
      <c r="G1356" s="43" t="str">
        <f t="shared" si="4"/>
        <v>NA</v>
      </c>
      <c r="H1356" s="17" t="str">
        <f t="shared" si="5"/>
        <v>BCA111-NA</v>
      </c>
      <c r="J1356" t="str">
        <f t="shared" si="6"/>
        <v>collected</v>
      </c>
      <c r="K1356" t="str">
        <f t="shared" si="7"/>
        <v>N</v>
      </c>
    </row>
    <row r="1357">
      <c r="A1357" s="40" t="s">
        <v>1893</v>
      </c>
      <c r="B1357" s="10" t="str">
        <f t="shared" si="1"/>
        <v>fish</v>
      </c>
      <c r="C1357" s="63" t="str">
        <f t="shared" si="2"/>
        <v>U17463</v>
      </c>
      <c r="D1357" s="11" t="str">
        <f t="array" ref="D1357">iferror(index(fish_lab_data!D:D,match(A1357,fish_lab_data!C:C,0)))</f>
        <v>P1147</v>
      </c>
      <c r="E1357" s="6">
        <v>111.0</v>
      </c>
      <c r="F1357" s="17" t="str">
        <f t="shared" si="3"/>
        <v>BCA111</v>
      </c>
      <c r="G1357" s="43" t="str">
        <f t="shared" si="4"/>
        <v>NA</v>
      </c>
      <c r="H1357" s="17" t="str">
        <f t="shared" si="5"/>
        <v>BCA111-NA</v>
      </c>
      <c r="J1357" t="str">
        <f t="shared" si="6"/>
        <v>collected</v>
      </c>
      <c r="K1357" t="str">
        <f t="shared" si="7"/>
        <v>N</v>
      </c>
    </row>
    <row r="1358">
      <c r="A1358" s="40" t="s">
        <v>1894</v>
      </c>
      <c r="B1358" s="10" t="str">
        <f t="shared" si="1"/>
        <v>fish</v>
      </c>
      <c r="C1358" s="63" t="str">
        <f t="shared" si="2"/>
        <v>U17462</v>
      </c>
      <c r="D1358" s="11" t="str">
        <f t="array" ref="D1358">iferror(index(fish_lab_data!D:D,match(A1358,fish_lab_data!C:C,0)))</f>
        <v>P1147</v>
      </c>
      <c r="E1358" s="6">
        <v>111.0</v>
      </c>
      <c r="F1358" s="17" t="str">
        <f t="shared" si="3"/>
        <v>BCA111</v>
      </c>
      <c r="G1358" s="43" t="str">
        <f t="shared" si="4"/>
        <v>NA</v>
      </c>
      <c r="H1358" s="17" t="str">
        <f t="shared" si="5"/>
        <v>BCA111-NA</v>
      </c>
      <c r="J1358" t="str">
        <f t="shared" si="6"/>
        <v>collected</v>
      </c>
      <c r="K1358" t="str">
        <f t="shared" si="7"/>
        <v>N</v>
      </c>
    </row>
    <row r="1359">
      <c r="A1359" s="40" t="s">
        <v>1895</v>
      </c>
      <c r="B1359" s="10" t="str">
        <f t="shared" si="1"/>
        <v>fish</v>
      </c>
      <c r="C1359" s="63" t="str">
        <f t="shared" si="2"/>
        <v>U17461</v>
      </c>
      <c r="D1359" s="11" t="str">
        <f t="array" ref="D1359">iferror(index(fish_lab_data!D:D,match(A1359,fish_lab_data!C:C,0)))</f>
        <v>P1147</v>
      </c>
      <c r="E1359" s="6">
        <v>111.0</v>
      </c>
      <c r="F1359" s="17" t="str">
        <f t="shared" si="3"/>
        <v>BCA111</v>
      </c>
      <c r="G1359" s="43" t="str">
        <f t="shared" si="4"/>
        <v>NA</v>
      </c>
      <c r="H1359" s="17" t="str">
        <f t="shared" si="5"/>
        <v>BCA111-NA</v>
      </c>
      <c r="J1359" t="str">
        <f t="shared" si="6"/>
        <v>collected</v>
      </c>
      <c r="K1359" t="str">
        <f t="shared" si="7"/>
        <v>N</v>
      </c>
    </row>
    <row r="1360">
      <c r="A1360" s="40" t="s">
        <v>1896</v>
      </c>
      <c r="B1360" s="10" t="str">
        <f t="shared" si="1"/>
        <v>fish</v>
      </c>
      <c r="C1360" s="63" t="str">
        <f t="shared" si="2"/>
        <v>U16736</v>
      </c>
      <c r="D1360" s="11" t="str">
        <f t="array" ref="D1360">iferror(index(fish_lab_data!D:D,match(A1360,fish_lab_data!C:C,0)))</f>
        <v>P1074</v>
      </c>
      <c r="E1360" s="6">
        <v>111.0</v>
      </c>
      <c r="F1360" s="17" t="str">
        <f t="shared" si="3"/>
        <v>BCA111</v>
      </c>
      <c r="G1360" s="43" t="str">
        <f t="shared" si="4"/>
        <v>NA</v>
      </c>
      <c r="H1360" s="17" t="str">
        <f t="shared" si="5"/>
        <v>BCA111-NA</v>
      </c>
      <c r="J1360" t="str">
        <f t="shared" si="6"/>
        <v>collected</v>
      </c>
      <c r="K1360" t="str">
        <f t="shared" si="7"/>
        <v>N</v>
      </c>
    </row>
    <row r="1361">
      <c r="A1361" s="40" t="s">
        <v>1897</v>
      </c>
      <c r="B1361" s="10" t="str">
        <f t="shared" si="1"/>
        <v>fish</v>
      </c>
      <c r="C1361" s="63" t="str">
        <f t="shared" si="2"/>
        <v>U16738</v>
      </c>
      <c r="D1361" s="11" t="str">
        <f t="array" ref="D1361">iferror(index(fish_lab_data!D:D,match(A1361,fish_lab_data!C:C,0)))</f>
        <v>P1074</v>
      </c>
      <c r="E1361" s="6">
        <v>111.0</v>
      </c>
      <c r="F1361" s="17" t="str">
        <f t="shared" si="3"/>
        <v>BCA111</v>
      </c>
      <c r="G1361" s="43" t="str">
        <f t="shared" si="4"/>
        <v>NA</v>
      </c>
      <c r="H1361" s="17" t="str">
        <f t="shared" si="5"/>
        <v>BCA111-NA</v>
      </c>
      <c r="J1361" t="str">
        <f t="shared" si="6"/>
        <v>collected</v>
      </c>
      <c r="K1361" t="str">
        <f t="shared" si="7"/>
        <v>N</v>
      </c>
    </row>
    <row r="1362">
      <c r="A1362" s="40" t="s">
        <v>1898</v>
      </c>
      <c r="B1362" s="10" t="str">
        <f t="shared" si="1"/>
        <v>fish</v>
      </c>
      <c r="C1362" s="63" t="str">
        <f t="shared" si="2"/>
        <v>U16740</v>
      </c>
      <c r="D1362" s="11" t="str">
        <f t="array" ref="D1362">iferror(index(fish_lab_data!D:D,match(A1362,fish_lab_data!C:C,0)))</f>
        <v>P1074</v>
      </c>
      <c r="E1362" s="6">
        <v>111.0</v>
      </c>
      <c r="F1362" s="17" t="str">
        <f t="shared" si="3"/>
        <v>BCA111</v>
      </c>
      <c r="G1362" s="43" t="str">
        <f t="shared" si="4"/>
        <v>NA</v>
      </c>
      <c r="H1362" s="17" t="str">
        <f t="shared" si="5"/>
        <v>BCA111-NA</v>
      </c>
      <c r="J1362" t="str">
        <f t="shared" si="6"/>
        <v>collected</v>
      </c>
      <c r="K1362" t="str">
        <f t="shared" si="7"/>
        <v>N</v>
      </c>
    </row>
    <row r="1363">
      <c r="A1363" s="40" t="s">
        <v>1900</v>
      </c>
      <c r="B1363" s="10" t="str">
        <f t="shared" si="1"/>
        <v>fish</v>
      </c>
      <c r="C1363" s="63" t="str">
        <f t="shared" si="2"/>
        <v>U16735</v>
      </c>
      <c r="D1363" s="11" t="str">
        <f t="array" ref="D1363">iferror(index(fish_lab_data!D:D,match(A1363,fish_lab_data!C:C,0)))</f>
        <v>P1074</v>
      </c>
      <c r="E1363" s="6">
        <v>111.0</v>
      </c>
      <c r="F1363" s="17" t="str">
        <f t="shared" si="3"/>
        <v>BCA111</v>
      </c>
      <c r="G1363" s="43" t="str">
        <f t="shared" si="4"/>
        <v>NA</v>
      </c>
      <c r="H1363" s="17" t="str">
        <f t="shared" si="5"/>
        <v>BCA111-NA</v>
      </c>
      <c r="J1363" t="str">
        <f t="shared" si="6"/>
        <v>collected</v>
      </c>
      <c r="K1363" t="str">
        <f t="shared" si="7"/>
        <v>N</v>
      </c>
    </row>
    <row r="1364">
      <c r="A1364" s="40" t="s">
        <v>1901</v>
      </c>
      <c r="B1364" s="10" t="str">
        <f t="shared" si="1"/>
        <v>fish</v>
      </c>
      <c r="C1364" s="63" t="str">
        <f t="shared" si="2"/>
        <v>U16737</v>
      </c>
      <c r="D1364" s="11" t="str">
        <f t="array" ref="D1364">iferror(index(fish_lab_data!D:D,match(A1364,fish_lab_data!C:C,0)))</f>
        <v>P1074</v>
      </c>
      <c r="E1364" s="6">
        <v>111.0</v>
      </c>
      <c r="F1364" s="17" t="str">
        <f t="shared" si="3"/>
        <v>BCA111</v>
      </c>
      <c r="G1364" s="43" t="str">
        <f t="shared" si="4"/>
        <v>NA</v>
      </c>
      <c r="H1364" s="17" t="str">
        <f t="shared" si="5"/>
        <v>BCA111-NA</v>
      </c>
      <c r="J1364" t="str">
        <f t="shared" si="6"/>
        <v>collected</v>
      </c>
      <c r="K1364" t="str">
        <f t="shared" si="7"/>
        <v>N</v>
      </c>
    </row>
    <row r="1365">
      <c r="A1365" s="40" t="s">
        <v>1902</v>
      </c>
      <c r="B1365" s="10" t="str">
        <f t="shared" si="1"/>
        <v>fish</v>
      </c>
      <c r="C1365" s="63" t="str">
        <f t="shared" si="2"/>
        <v>U16733</v>
      </c>
      <c r="D1365" s="11" t="str">
        <f t="array" ref="D1365">iferror(index(fish_lab_data!D:D,match(A1365,fish_lab_data!C:C,0)))</f>
        <v>P1074</v>
      </c>
      <c r="E1365" s="6">
        <v>111.0</v>
      </c>
      <c r="F1365" s="17" t="str">
        <f t="shared" si="3"/>
        <v>BCA111</v>
      </c>
      <c r="G1365" s="43" t="str">
        <f t="shared" si="4"/>
        <v>NA</v>
      </c>
      <c r="H1365" s="17" t="str">
        <f t="shared" si="5"/>
        <v>BCA111-NA</v>
      </c>
      <c r="J1365" t="str">
        <f t="shared" si="6"/>
        <v>collected</v>
      </c>
      <c r="K1365" t="str">
        <f t="shared" si="7"/>
        <v>N</v>
      </c>
    </row>
    <row r="1366">
      <c r="A1366" s="40" t="s">
        <v>1903</v>
      </c>
      <c r="B1366" s="10" t="str">
        <f t="shared" si="1"/>
        <v>fish</v>
      </c>
      <c r="C1366" s="63" t="str">
        <f t="shared" si="2"/>
        <v>U16734</v>
      </c>
      <c r="D1366" s="11" t="str">
        <f t="array" ref="D1366">iferror(index(fish_lab_data!D:D,match(A1366,fish_lab_data!C:C,0)))</f>
        <v>P1074</v>
      </c>
      <c r="E1366" s="6">
        <v>111.0</v>
      </c>
      <c r="F1366" s="17" t="str">
        <f t="shared" si="3"/>
        <v>BCA111</v>
      </c>
      <c r="G1366" s="43" t="str">
        <f t="shared" si="4"/>
        <v>NA</v>
      </c>
      <c r="H1366" s="17" t="str">
        <f t="shared" si="5"/>
        <v>BCA111-NA</v>
      </c>
      <c r="J1366" t="str">
        <f t="shared" si="6"/>
        <v>collected</v>
      </c>
      <c r="K1366" t="str">
        <f t="shared" si="7"/>
        <v>N</v>
      </c>
    </row>
    <row r="1367">
      <c r="A1367" s="40" t="s">
        <v>1904</v>
      </c>
      <c r="B1367" s="10" t="str">
        <f t="shared" si="1"/>
        <v>fish</v>
      </c>
      <c r="C1367" s="63" t="str">
        <f t="shared" si="2"/>
        <v>U16731</v>
      </c>
      <c r="D1367" s="11" t="str">
        <f t="array" ref="D1367">iferror(index(fish_lab_data!D:D,match(A1367,fish_lab_data!C:C,0)))</f>
        <v>P1074</v>
      </c>
      <c r="E1367" s="6">
        <v>111.0</v>
      </c>
      <c r="F1367" s="17" t="str">
        <f t="shared" si="3"/>
        <v>BCA111</v>
      </c>
      <c r="G1367" s="43" t="str">
        <f t="shared" si="4"/>
        <v>NA</v>
      </c>
      <c r="H1367" s="17" t="str">
        <f t="shared" si="5"/>
        <v>BCA111-NA</v>
      </c>
      <c r="J1367" t="str">
        <f t="shared" si="6"/>
        <v>collected</v>
      </c>
      <c r="K1367" t="str">
        <f t="shared" si="7"/>
        <v>N</v>
      </c>
    </row>
    <row r="1368">
      <c r="A1368" s="40" t="s">
        <v>1905</v>
      </c>
      <c r="B1368" s="10" t="str">
        <f t="shared" si="1"/>
        <v>fish</v>
      </c>
      <c r="C1368" s="63" t="str">
        <f t="shared" si="2"/>
        <v>U16739</v>
      </c>
      <c r="D1368" s="11" t="str">
        <f t="array" ref="D1368">iferror(index(fish_lab_data!D:D,match(A1368,fish_lab_data!C:C,0)))</f>
        <v>P1074</v>
      </c>
      <c r="E1368" s="6">
        <v>111.0</v>
      </c>
      <c r="F1368" s="17" t="str">
        <f t="shared" si="3"/>
        <v>BCA111</v>
      </c>
      <c r="G1368" s="43" t="str">
        <f t="shared" si="4"/>
        <v>NA</v>
      </c>
      <c r="H1368" s="17" t="str">
        <f t="shared" si="5"/>
        <v>BCA111-NA</v>
      </c>
      <c r="J1368" t="str">
        <f t="shared" si="6"/>
        <v>collected</v>
      </c>
      <c r="K1368" t="str">
        <f t="shared" si="7"/>
        <v>N</v>
      </c>
    </row>
    <row r="1369">
      <c r="A1369" s="40" t="s">
        <v>1906</v>
      </c>
      <c r="B1369" s="10" t="str">
        <f t="shared" si="1"/>
        <v>fish</v>
      </c>
      <c r="C1369" s="63" t="str">
        <f t="shared" si="2"/>
        <v>U16732</v>
      </c>
      <c r="D1369" s="11" t="str">
        <f t="array" ref="D1369">iferror(index(fish_lab_data!D:D,match(A1369,fish_lab_data!C:C,0)))</f>
        <v>P1074</v>
      </c>
      <c r="E1369" s="6">
        <v>111.0</v>
      </c>
      <c r="F1369" s="17" t="str">
        <f t="shared" si="3"/>
        <v>BCA111</v>
      </c>
      <c r="G1369" s="43" t="str">
        <f t="shared" si="4"/>
        <v>NA</v>
      </c>
      <c r="H1369" s="17" t="str">
        <f t="shared" si="5"/>
        <v>BCA111-NA</v>
      </c>
      <c r="J1369" t="str">
        <f t="shared" si="6"/>
        <v>collected</v>
      </c>
      <c r="K1369" t="str">
        <f t="shared" si="7"/>
        <v>N</v>
      </c>
    </row>
    <row r="1370">
      <c r="A1370" s="40" t="s">
        <v>1907</v>
      </c>
      <c r="B1370" s="10" t="str">
        <f t="shared" si="1"/>
        <v>fish</v>
      </c>
      <c r="C1370" s="63" t="str">
        <f t="shared" si="2"/>
        <v>U17939</v>
      </c>
      <c r="D1370" s="11" t="str">
        <f t="array" ref="D1370">iferror(index(fish_lab_data!D:D,match(A1370,fish_lab_data!C:C,0)))</f>
        <v>P1194</v>
      </c>
      <c r="E1370" s="6">
        <v>111.0</v>
      </c>
      <c r="F1370" s="17" t="str">
        <f t="shared" si="3"/>
        <v>BCA111</v>
      </c>
      <c r="G1370" s="43" t="str">
        <f t="shared" si="4"/>
        <v>NA</v>
      </c>
      <c r="H1370" s="17" t="str">
        <f t="shared" si="5"/>
        <v>BCA111-NA</v>
      </c>
      <c r="J1370" t="str">
        <f t="shared" si="6"/>
        <v>collected</v>
      </c>
      <c r="K1370" t="str">
        <f t="shared" si="7"/>
        <v>N</v>
      </c>
    </row>
    <row r="1371">
      <c r="A1371" s="40" t="s">
        <v>1908</v>
      </c>
      <c r="B1371" s="10" t="str">
        <f t="shared" si="1"/>
        <v>fish</v>
      </c>
      <c r="C1371" s="63" t="str">
        <f t="shared" si="2"/>
        <v>U17936</v>
      </c>
      <c r="D1371" s="11" t="str">
        <f t="array" ref="D1371">iferror(index(fish_lab_data!D:D,match(A1371,fish_lab_data!C:C,0)))</f>
        <v>P1194</v>
      </c>
      <c r="E1371" s="6">
        <v>111.0</v>
      </c>
      <c r="F1371" s="17" t="str">
        <f t="shared" si="3"/>
        <v>BCA111</v>
      </c>
      <c r="G1371" s="43" t="str">
        <f t="shared" si="4"/>
        <v>NA</v>
      </c>
      <c r="H1371" s="17" t="str">
        <f t="shared" si="5"/>
        <v>BCA111-NA</v>
      </c>
      <c r="J1371" t="str">
        <f t="shared" si="6"/>
        <v>collected</v>
      </c>
      <c r="K1371" t="str">
        <f t="shared" si="7"/>
        <v>N</v>
      </c>
    </row>
    <row r="1372">
      <c r="A1372" s="40" t="s">
        <v>1909</v>
      </c>
      <c r="B1372" s="10" t="str">
        <f t="shared" si="1"/>
        <v>fish</v>
      </c>
      <c r="C1372" s="63" t="str">
        <f t="shared" si="2"/>
        <v>U17940</v>
      </c>
      <c r="D1372" s="11" t="str">
        <f t="array" ref="D1372">iferror(index(fish_lab_data!D:D,match(A1372,fish_lab_data!C:C,0)))</f>
        <v>P1194</v>
      </c>
      <c r="E1372" s="6">
        <v>111.0</v>
      </c>
      <c r="F1372" s="17" t="str">
        <f t="shared" si="3"/>
        <v>BCA111</v>
      </c>
      <c r="G1372" s="43" t="str">
        <f t="shared" si="4"/>
        <v>NA</v>
      </c>
      <c r="H1372" s="17" t="str">
        <f t="shared" si="5"/>
        <v>BCA111-NA</v>
      </c>
      <c r="J1372" t="str">
        <f t="shared" si="6"/>
        <v>collected</v>
      </c>
      <c r="K1372" t="str">
        <f t="shared" si="7"/>
        <v>N</v>
      </c>
    </row>
    <row r="1373">
      <c r="A1373" s="25" t="s">
        <v>1910</v>
      </c>
      <c r="B1373" s="10" t="str">
        <f t="shared" si="1"/>
        <v>fish</v>
      </c>
      <c r="C1373" s="63" t="str">
        <f t="shared" si="2"/>
        <v>U17932</v>
      </c>
      <c r="D1373" s="11" t="str">
        <f t="array" ref="D1373">iferror(index(fish_lab_data!D:D,match(A1373,fish_lab_data!C:C,0)))</f>
        <v>P1194</v>
      </c>
      <c r="E1373" s="6">
        <v>111.0</v>
      </c>
      <c r="F1373" s="17" t="str">
        <f t="shared" si="3"/>
        <v>BCA111</v>
      </c>
      <c r="G1373" s="43" t="str">
        <f t="shared" si="4"/>
        <v>NA</v>
      </c>
      <c r="H1373" s="17" t="str">
        <f t="shared" si="5"/>
        <v>BCA111-NA</v>
      </c>
      <c r="J1373" t="str">
        <f t="shared" si="6"/>
        <v>collected</v>
      </c>
      <c r="K1373" t="str">
        <f t="shared" si="7"/>
        <v>N</v>
      </c>
    </row>
    <row r="1374">
      <c r="A1374" s="25" t="s">
        <v>1911</v>
      </c>
      <c r="B1374" s="10" t="str">
        <f t="shared" si="1"/>
        <v>fish</v>
      </c>
      <c r="C1374" s="63" t="str">
        <f t="shared" si="2"/>
        <v>U17931</v>
      </c>
      <c r="D1374" s="11" t="str">
        <f t="array" ref="D1374">iferror(index(fish_lab_data!D:D,match(A1374,fish_lab_data!C:C,0)))</f>
        <v>P1194</v>
      </c>
      <c r="E1374" s="6">
        <v>111.0</v>
      </c>
      <c r="F1374" s="17" t="str">
        <f t="shared" si="3"/>
        <v>BCA111</v>
      </c>
      <c r="G1374" s="43" t="str">
        <f t="shared" si="4"/>
        <v>NA</v>
      </c>
      <c r="H1374" s="17" t="str">
        <f t="shared" si="5"/>
        <v>BCA111-NA</v>
      </c>
      <c r="J1374" t="str">
        <f t="shared" si="6"/>
        <v>collected</v>
      </c>
      <c r="K1374" t="str">
        <f t="shared" si="7"/>
        <v>N</v>
      </c>
    </row>
    <row r="1375">
      <c r="A1375" s="9" t="s">
        <v>1912</v>
      </c>
      <c r="B1375" s="10" t="str">
        <f t="shared" si="1"/>
        <v>fish</v>
      </c>
      <c r="C1375" s="63" t="str">
        <f t="shared" si="2"/>
        <v>U17934</v>
      </c>
      <c r="D1375" s="11" t="str">
        <f t="array" ref="D1375">iferror(index(fish_lab_data!D:D,match(A1375,fish_lab_data!C:C,0)))</f>
        <v>P1194</v>
      </c>
      <c r="E1375" s="6">
        <v>111.0</v>
      </c>
      <c r="F1375" s="17" t="str">
        <f t="shared" si="3"/>
        <v>BCA111</v>
      </c>
      <c r="G1375" s="43" t="str">
        <f t="shared" si="4"/>
        <v>NA</v>
      </c>
      <c r="H1375" s="17" t="str">
        <f t="shared" si="5"/>
        <v>BCA111-NA</v>
      </c>
      <c r="J1375" t="str">
        <f t="shared" si="6"/>
        <v>collected</v>
      </c>
      <c r="K1375" t="str">
        <f t="shared" si="7"/>
        <v>N</v>
      </c>
    </row>
    <row r="1376">
      <c r="A1376" s="25" t="s">
        <v>1913</v>
      </c>
      <c r="B1376" s="10" t="str">
        <f t="shared" si="1"/>
        <v>fish</v>
      </c>
      <c r="C1376" s="63" t="str">
        <f t="shared" si="2"/>
        <v>U17935</v>
      </c>
      <c r="D1376" s="11" t="str">
        <f t="array" ref="D1376">iferror(index(fish_lab_data!D:D,match(A1376,fish_lab_data!C:C,0)))</f>
        <v>P1194</v>
      </c>
      <c r="E1376" s="6">
        <v>111.0</v>
      </c>
      <c r="F1376" s="17" t="str">
        <f t="shared" si="3"/>
        <v>BCA111</v>
      </c>
      <c r="G1376" s="43" t="str">
        <f t="shared" si="4"/>
        <v>NA</v>
      </c>
      <c r="H1376" s="17" t="str">
        <f t="shared" si="5"/>
        <v>BCA111-NA</v>
      </c>
      <c r="J1376" t="str">
        <f t="shared" si="6"/>
        <v>collected</v>
      </c>
      <c r="K1376" t="str">
        <f t="shared" si="7"/>
        <v>N</v>
      </c>
    </row>
    <row r="1377">
      <c r="A1377" s="25" t="s">
        <v>1915</v>
      </c>
      <c r="B1377" s="10" t="str">
        <f t="shared" si="1"/>
        <v>fish</v>
      </c>
      <c r="C1377" s="63" t="str">
        <f t="shared" si="2"/>
        <v>U17937</v>
      </c>
      <c r="D1377" s="11" t="str">
        <f t="array" ref="D1377">iferror(index(fish_lab_data!D:D,match(A1377,fish_lab_data!C:C,0)))</f>
        <v>P1194</v>
      </c>
      <c r="E1377" s="6">
        <v>111.0</v>
      </c>
      <c r="F1377" s="17" t="str">
        <f t="shared" si="3"/>
        <v>BCA111</v>
      </c>
      <c r="G1377" s="43" t="str">
        <f t="shared" si="4"/>
        <v>NA</v>
      </c>
      <c r="H1377" s="17" t="str">
        <f t="shared" si="5"/>
        <v>BCA111-NA</v>
      </c>
      <c r="J1377" t="str">
        <f t="shared" si="6"/>
        <v>collected</v>
      </c>
      <c r="K1377" t="str">
        <f t="shared" si="7"/>
        <v>N</v>
      </c>
    </row>
    <row r="1378">
      <c r="A1378" s="25" t="s">
        <v>1916</v>
      </c>
      <c r="B1378" s="10" t="str">
        <f t="shared" si="1"/>
        <v>fish</v>
      </c>
      <c r="C1378" s="63" t="str">
        <f t="shared" si="2"/>
        <v>U17933</v>
      </c>
      <c r="D1378" s="11" t="str">
        <f t="array" ref="D1378">iferror(index(fish_lab_data!D:D,match(A1378,fish_lab_data!C:C,0)))</f>
        <v>P1194</v>
      </c>
      <c r="E1378" s="6">
        <v>111.0</v>
      </c>
      <c r="F1378" s="17" t="str">
        <f t="shared" si="3"/>
        <v>BCA111</v>
      </c>
      <c r="G1378" s="43" t="str">
        <f t="shared" si="4"/>
        <v>NA</v>
      </c>
      <c r="H1378" s="17" t="str">
        <f t="shared" si="5"/>
        <v>BCA111-NA</v>
      </c>
      <c r="J1378" t="str">
        <f t="shared" si="6"/>
        <v>collected</v>
      </c>
      <c r="K1378" t="str">
        <f t="shared" si="7"/>
        <v>N</v>
      </c>
    </row>
    <row r="1379">
      <c r="A1379" s="25" t="s">
        <v>1918</v>
      </c>
      <c r="B1379" s="10" t="str">
        <f t="shared" si="1"/>
        <v>fish</v>
      </c>
      <c r="C1379" s="63" t="str">
        <f t="shared" si="2"/>
        <v>U17938</v>
      </c>
      <c r="D1379" s="11" t="str">
        <f t="array" ref="D1379">iferror(index(fish_lab_data!D:D,match(A1379,fish_lab_data!C:C,0)))</f>
        <v>P1194</v>
      </c>
      <c r="E1379" s="6">
        <v>111.0</v>
      </c>
      <c r="F1379" s="17" t="str">
        <f t="shared" si="3"/>
        <v>BCA111</v>
      </c>
      <c r="G1379" s="43" t="str">
        <f t="shared" si="4"/>
        <v>NA</v>
      </c>
      <c r="H1379" s="17" t="str">
        <f t="shared" si="5"/>
        <v>BCA111-NA</v>
      </c>
      <c r="J1379" t="str">
        <f t="shared" si="6"/>
        <v>collected</v>
      </c>
      <c r="K1379" t="str">
        <f t="shared" si="7"/>
        <v>N</v>
      </c>
    </row>
    <row r="1380">
      <c r="A1380" s="40" t="s">
        <v>1919</v>
      </c>
      <c r="B1380" s="10" t="str">
        <f t="shared" si="1"/>
        <v>fish</v>
      </c>
      <c r="C1380" s="63" t="str">
        <f t="shared" si="2"/>
        <v>U16047</v>
      </c>
      <c r="D1380" s="11" t="str">
        <f t="array" ref="D1380">iferror(index(fish_lab_data!D:D,match(A1380,fish_lab_data!C:C,0)))</f>
        <v>P1005</v>
      </c>
      <c r="E1380" s="6">
        <v>111.0</v>
      </c>
      <c r="F1380" s="17" t="str">
        <f t="shared" si="3"/>
        <v>BCA111</v>
      </c>
      <c r="G1380" s="43" t="str">
        <f t="shared" si="4"/>
        <v>NA</v>
      </c>
      <c r="H1380" s="17" t="str">
        <f t="shared" si="5"/>
        <v>BCA111-NA</v>
      </c>
      <c r="J1380" t="str">
        <f t="shared" si="6"/>
        <v>collected</v>
      </c>
      <c r="K1380" t="str">
        <f t="shared" si="7"/>
        <v>N</v>
      </c>
    </row>
    <row r="1381">
      <c r="A1381" s="40" t="s">
        <v>1920</v>
      </c>
      <c r="B1381" s="10" t="str">
        <f t="shared" si="1"/>
        <v>fish</v>
      </c>
      <c r="C1381" s="63" t="str">
        <f t="shared" si="2"/>
        <v>U16043</v>
      </c>
      <c r="D1381" s="11" t="str">
        <f t="array" ref="D1381">iferror(index(fish_lab_data!D:D,match(A1381,fish_lab_data!C:C,0)))</f>
        <v>P1005</v>
      </c>
      <c r="E1381" s="6">
        <v>111.0</v>
      </c>
      <c r="F1381" s="17" t="str">
        <f t="shared" si="3"/>
        <v>BCA111</v>
      </c>
      <c r="G1381" s="43" t="str">
        <f t="shared" si="4"/>
        <v>NA</v>
      </c>
      <c r="H1381" s="17" t="str">
        <f t="shared" si="5"/>
        <v>BCA111-NA</v>
      </c>
      <c r="J1381" t="str">
        <f t="shared" si="6"/>
        <v>collected</v>
      </c>
      <c r="K1381" t="str">
        <f t="shared" si="7"/>
        <v>N</v>
      </c>
    </row>
    <row r="1382">
      <c r="A1382" s="40" t="s">
        <v>1921</v>
      </c>
      <c r="B1382" s="10" t="str">
        <f t="shared" si="1"/>
        <v>fish</v>
      </c>
      <c r="C1382" s="63" t="str">
        <f t="shared" si="2"/>
        <v>U16049</v>
      </c>
      <c r="D1382" s="11" t="str">
        <f t="array" ref="D1382">iferror(index(fish_lab_data!D:D,match(A1382,fish_lab_data!C:C,0)))</f>
        <v>P1005</v>
      </c>
      <c r="E1382" s="6">
        <v>111.0</v>
      </c>
      <c r="F1382" s="17" t="str">
        <f t="shared" si="3"/>
        <v>BCA111</v>
      </c>
      <c r="G1382" s="43" t="str">
        <f t="shared" si="4"/>
        <v>NA</v>
      </c>
      <c r="H1382" s="17" t="str">
        <f t="shared" si="5"/>
        <v>BCA111-NA</v>
      </c>
      <c r="J1382" t="str">
        <f t="shared" si="6"/>
        <v>collected</v>
      </c>
      <c r="K1382" t="str">
        <f t="shared" si="7"/>
        <v>N</v>
      </c>
    </row>
    <row r="1383">
      <c r="A1383" s="40" t="s">
        <v>1922</v>
      </c>
      <c r="B1383" s="10" t="str">
        <f t="shared" si="1"/>
        <v>fish</v>
      </c>
      <c r="C1383" s="63" t="str">
        <f t="shared" si="2"/>
        <v>U16050</v>
      </c>
      <c r="D1383" s="11" t="str">
        <f t="array" ref="D1383">iferror(index(fish_lab_data!D:D,match(A1383,fish_lab_data!C:C,0)))</f>
        <v>P1005</v>
      </c>
      <c r="E1383" s="6">
        <v>111.0</v>
      </c>
      <c r="F1383" s="17" t="str">
        <f t="shared" si="3"/>
        <v>BCA111</v>
      </c>
      <c r="G1383" s="43" t="str">
        <f t="shared" si="4"/>
        <v>NA</v>
      </c>
      <c r="H1383" s="17" t="str">
        <f t="shared" si="5"/>
        <v>BCA111-NA</v>
      </c>
      <c r="J1383" t="str">
        <f t="shared" si="6"/>
        <v>collected</v>
      </c>
      <c r="K1383" t="str">
        <f t="shared" si="7"/>
        <v>N</v>
      </c>
    </row>
    <row r="1384">
      <c r="A1384" s="40" t="s">
        <v>1923</v>
      </c>
      <c r="B1384" s="10" t="str">
        <f t="shared" si="1"/>
        <v>fish</v>
      </c>
      <c r="C1384" s="63" t="str">
        <f t="shared" si="2"/>
        <v>U16044</v>
      </c>
      <c r="D1384" s="11" t="str">
        <f t="array" ref="D1384">iferror(index(fish_lab_data!D:D,match(A1384,fish_lab_data!C:C,0)))</f>
        <v>P1005</v>
      </c>
      <c r="E1384" s="6">
        <v>111.0</v>
      </c>
      <c r="F1384" s="17" t="str">
        <f t="shared" si="3"/>
        <v>BCA111</v>
      </c>
      <c r="G1384" s="43" t="str">
        <f t="shared" si="4"/>
        <v>NA</v>
      </c>
      <c r="H1384" s="17" t="str">
        <f t="shared" si="5"/>
        <v>BCA111-NA</v>
      </c>
      <c r="J1384" t="str">
        <f t="shared" si="6"/>
        <v>collected</v>
      </c>
      <c r="K1384" t="str">
        <f t="shared" si="7"/>
        <v>N</v>
      </c>
    </row>
    <row r="1385">
      <c r="A1385" s="40" t="s">
        <v>1924</v>
      </c>
      <c r="B1385" s="10" t="str">
        <f t="shared" si="1"/>
        <v>fish</v>
      </c>
      <c r="C1385" s="63" t="str">
        <f t="shared" si="2"/>
        <v>U16045</v>
      </c>
      <c r="D1385" s="11" t="str">
        <f t="array" ref="D1385">iferror(index(fish_lab_data!D:D,match(A1385,fish_lab_data!C:C,0)))</f>
        <v>P1005</v>
      </c>
      <c r="E1385" s="6">
        <v>111.0</v>
      </c>
      <c r="F1385" s="17" t="str">
        <f t="shared" si="3"/>
        <v>BCA111</v>
      </c>
      <c r="G1385" s="43" t="str">
        <f t="shared" si="4"/>
        <v>NA</v>
      </c>
      <c r="H1385" s="17" t="str">
        <f t="shared" si="5"/>
        <v>BCA111-NA</v>
      </c>
      <c r="J1385" t="str">
        <f t="shared" si="6"/>
        <v>collected</v>
      </c>
      <c r="K1385" t="str">
        <f t="shared" si="7"/>
        <v>N</v>
      </c>
    </row>
    <row r="1386">
      <c r="A1386" s="40" t="s">
        <v>1925</v>
      </c>
      <c r="B1386" s="10" t="str">
        <f t="shared" si="1"/>
        <v>fish</v>
      </c>
      <c r="C1386" s="63" t="str">
        <f t="shared" si="2"/>
        <v>U16046</v>
      </c>
      <c r="D1386" s="11" t="str">
        <f t="array" ref="D1386">iferror(index(fish_lab_data!D:D,match(A1386,fish_lab_data!C:C,0)))</f>
        <v>P1005</v>
      </c>
      <c r="E1386" s="6">
        <v>111.0</v>
      </c>
      <c r="F1386" s="17" t="str">
        <f t="shared" si="3"/>
        <v>BCA111</v>
      </c>
      <c r="G1386" s="43" t="str">
        <f t="shared" si="4"/>
        <v>NA</v>
      </c>
      <c r="H1386" s="17" t="str">
        <f t="shared" si="5"/>
        <v>BCA111-NA</v>
      </c>
      <c r="J1386" t="str">
        <f t="shared" si="6"/>
        <v>collected</v>
      </c>
      <c r="K1386" t="str">
        <f t="shared" si="7"/>
        <v>N</v>
      </c>
    </row>
    <row r="1387">
      <c r="A1387" s="40" t="s">
        <v>1926</v>
      </c>
      <c r="B1387" s="10" t="str">
        <f t="shared" si="1"/>
        <v>fish</v>
      </c>
      <c r="C1387" s="63" t="str">
        <f t="shared" si="2"/>
        <v>U16048</v>
      </c>
      <c r="D1387" s="11" t="str">
        <f t="array" ref="D1387">iferror(index(fish_lab_data!D:D,match(A1387,fish_lab_data!C:C,0)))</f>
        <v>P1005</v>
      </c>
      <c r="E1387" s="6">
        <v>111.0</v>
      </c>
      <c r="F1387" s="17" t="str">
        <f t="shared" si="3"/>
        <v>BCA111</v>
      </c>
      <c r="G1387" s="43" t="str">
        <f t="shared" si="4"/>
        <v>NA</v>
      </c>
      <c r="H1387" s="17" t="str">
        <f t="shared" si="5"/>
        <v>BCA111-NA</v>
      </c>
      <c r="J1387" t="str">
        <f t="shared" si="6"/>
        <v>collected</v>
      </c>
      <c r="K1387" t="str">
        <f t="shared" si="7"/>
        <v>N</v>
      </c>
    </row>
    <row r="1388">
      <c r="A1388" s="40" t="s">
        <v>1927</v>
      </c>
      <c r="B1388" s="10" t="str">
        <f t="shared" si="1"/>
        <v>fish</v>
      </c>
      <c r="C1388" s="63" t="str">
        <f t="shared" si="2"/>
        <v>U16041</v>
      </c>
      <c r="D1388" s="11" t="str">
        <f t="array" ref="D1388">iferror(index(fish_lab_data!D:D,match(A1388,fish_lab_data!C:C,0)))</f>
        <v>P1005</v>
      </c>
      <c r="E1388" s="6">
        <v>111.0</v>
      </c>
      <c r="F1388" s="17" t="str">
        <f t="shared" si="3"/>
        <v>BCA111</v>
      </c>
      <c r="G1388" s="43" t="str">
        <f t="shared" si="4"/>
        <v>NA</v>
      </c>
      <c r="H1388" s="17" t="str">
        <f t="shared" si="5"/>
        <v>BCA111-NA</v>
      </c>
      <c r="J1388" t="str">
        <f t="shared" si="6"/>
        <v>collected</v>
      </c>
      <c r="K1388" t="str">
        <f t="shared" si="7"/>
        <v>N</v>
      </c>
    </row>
    <row r="1389">
      <c r="A1389" s="40" t="s">
        <v>1928</v>
      </c>
      <c r="B1389" s="10" t="str">
        <f t="shared" si="1"/>
        <v>fish</v>
      </c>
      <c r="C1389" s="63" t="str">
        <f t="shared" si="2"/>
        <v>U16042</v>
      </c>
      <c r="D1389" s="11" t="str">
        <f t="array" ref="D1389">iferror(index(fish_lab_data!D:D,match(A1389,fish_lab_data!C:C,0)))</f>
        <v>P1005</v>
      </c>
      <c r="E1389" s="6">
        <v>111.0</v>
      </c>
      <c r="F1389" s="17" t="str">
        <f t="shared" si="3"/>
        <v>BCA111</v>
      </c>
      <c r="G1389" s="43" t="str">
        <f t="shared" si="4"/>
        <v>NA</v>
      </c>
      <c r="H1389" s="17" t="str">
        <f t="shared" si="5"/>
        <v>BCA111-NA</v>
      </c>
      <c r="J1389" t="str">
        <f t="shared" si="6"/>
        <v>collected</v>
      </c>
      <c r="K1389" t="str">
        <f t="shared" si="7"/>
        <v>N</v>
      </c>
    </row>
    <row r="1390">
      <c r="A1390" s="40" t="s">
        <v>1929</v>
      </c>
      <c r="B1390" s="10" t="str">
        <f t="shared" si="1"/>
        <v>fish</v>
      </c>
      <c r="C1390" s="63" t="str">
        <f t="shared" si="2"/>
        <v>U16004</v>
      </c>
      <c r="D1390" s="11" t="str">
        <f t="array" ref="D1390">iferror(index(fish_lab_data!D:D,match(A1390,fish_lab_data!C:C,0)))</f>
        <v>P1001</v>
      </c>
      <c r="E1390" s="6">
        <v>111.0</v>
      </c>
      <c r="F1390" s="17" t="str">
        <f t="shared" si="3"/>
        <v>BCA111</v>
      </c>
      <c r="G1390" s="43" t="str">
        <f t="shared" si="4"/>
        <v>NA</v>
      </c>
      <c r="H1390" s="17" t="str">
        <f t="shared" si="5"/>
        <v>BCA111-NA</v>
      </c>
      <c r="J1390" t="str">
        <f t="shared" si="6"/>
        <v>collected</v>
      </c>
      <c r="K1390" t="str">
        <f t="shared" si="7"/>
        <v>N</v>
      </c>
    </row>
    <row r="1391">
      <c r="A1391" s="40" t="s">
        <v>1930</v>
      </c>
      <c r="B1391" s="10" t="str">
        <f t="shared" si="1"/>
        <v>fish</v>
      </c>
      <c r="C1391" s="63" t="str">
        <f t="shared" si="2"/>
        <v>U16002</v>
      </c>
      <c r="D1391" s="11" t="str">
        <f t="array" ref="D1391">iferror(index(fish_lab_data!D:D,match(A1391,fish_lab_data!C:C,0)))</f>
        <v>P1001</v>
      </c>
      <c r="E1391" s="6">
        <v>111.0</v>
      </c>
      <c r="F1391" s="17" t="str">
        <f t="shared" si="3"/>
        <v>BCA111</v>
      </c>
      <c r="G1391" s="43" t="str">
        <f t="shared" si="4"/>
        <v>NA</v>
      </c>
      <c r="H1391" s="17" t="str">
        <f t="shared" si="5"/>
        <v>BCA111-NA</v>
      </c>
      <c r="J1391" t="str">
        <f t="shared" si="6"/>
        <v>collected</v>
      </c>
      <c r="K1391" t="str">
        <f t="shared" si="7"/>
        <v>N</v>
      </c>
    </row>
    <row r="1392">
      <c r="A1392" s="40" t="s">
        <v>1931</v>
      </c>
      <c r="B1392" s="10" t="str">
        <f t="shared" si="1"/>
        <v>fish</v>
      </c>
      <c r="C1392" s="63" t="str">
        <f t="shared" si="2"/>
        <v>U16001</v>
      </c>
      <c r="D1392" s="11" t="str">
        <f t="array" ref="D1392">iferror(index(fish_lab_data!D:D,match(A1392,fish_lab_data!C:C,0)))</f>
        <v>P1001</v>
      </c>
      <c r="E1392" s="6">
        <v>111.0</v>
      </c>
      <c r="F1392" s="17" t="str">
        <f t="shared" si="3"/>
        <v>BCA111</v>
      </c>
      <c r="G1392" s="43" t="str">
        <f t="shared" si="4"/>
        <v>NA</v>
      </c>
      <c r="H1392" s="17" t="str">
        <f t="shared" si="5"/>
        <v>BCA111-NA</v>
      </c>
      <c r="J1392" t="str">
        <f t="shared" si="6"/>
        <v>collected</v>
      </c>
      <c r="K1392" t="str">
        <f t="shared" si="7"/>
        <v>N</v>
      </c>
    </row>
    <row r="1393">
      <c r="A1393" s="40" t="s">
        <v>1932</v>
      </c>
      <c r="B1393" s="10" t="str">
        <f t="shared" si="1"/>
        <v>fish</v>
      </c>
      <c r="C1393" s="63" t="str">
        <f t="shared" si="2"/>
        <v>U16005</v>
      </c>
      <c r="D1393" s="11" t="str">
        <f t="array" ref="D1393">iferror(index(fish_lab_data!D:D,match(A1393,fish_lab_data!C:C,0)))</f>
        <v>P1001</v>
      </c>
      <c r="E1393" s="6">
        <v>111.0</v>
      </c>
      <c r="F1393" s="17" t="str">
        <f t="shared" si="3"/>
        <v>BCA111</v>
      </c>
      <c r="G1393" s="43" t="str">
        <f t="shared" si="4"/>
        <v>NA</v>
      </c>
      <c r="H1393" s="17" t="str">
        <f t="shared" si="5"/>
        <v>BCA111-NA</v>
      </c>
      <c r="J1393" t="str">
        <f t="shared" si="6"/>
        <v>collected</v>
      </c>
      <c r="K1393" t="str">
        <f t="shared" si="7"/>
        <v>N</v>
      </c>
    </row>
    <row r="1394">
      <c r="A1394" s="40" t="s">
        <v>1933</v>
      </c>
      <c r="B1394" s="10" t="str">
        <f t="shared" si="1"/>
        <v>fish</v>
      </c>
      <c r="C1394" s="63" t="str">
        <f t="shared" si="2"/>
        <v>U16010</v>
      </c>
      <c r="D1394" s="11" t="str">
        <f t="array" ref="D1394">iferror(index(fish_lab_data!D:D,match(A1394,fish_lab_data!C:C,0)))</f>
        <v>P1001</v>
      </c>
      <c r="E1394" s="6">
        <v>111.0</v>
      </c>
      <c r="F1394" s="17" t="str">
        <f t="shared" si="3"/>
        <v>BCA111</v>
      </c>
      <c r="G1394" s="43" t="str">
        <f t="shared" si="4"/>
        <v>NA</v>
      </c>
      <c r="H1394" s="17" t="str">
        <f t="shared" si="5"/>
        <v>BCA111-NA</v>
      </c>
      <c r="J1394" t="str">
        <f t="shared" si="6"/>
        <v>collected</v>
      </c>
      <c r="K1394" t="str">
        <f t="shared" si="7"/>
        <v>N</v>
      </c>
    </row>
    <row r="1395">
      <c r="A1395" s="40" t="s">
        <v>1934</v>
      </c>
      <c r="B1395" s="10" t="str">
        <f t="shared" si="1"/>
        <v>fish</v>
      </c>
      <c r="C1395" s="63" t="str">
        <f t="shared" si="2"/>
        <v>U16006</v>
      </c>
      <c r="D1395" s="11" t="str">
        <f t="array" ref="D1395">iferror(index(fish_lab_data!D:D,match(A1395,fish_lab_data!C:C,0)))</f>
        <v>P1001</v>
      </c>
      <c r="E1395" s="6">
        <v>111.0</v>
      </c>
      <c r="F1395" s="17" t="str">
        <f t="shared" si="3"/>
        <v>BCA111</v>
      </c>
      <c r="G1395" s="43" t="str">
        <f t="shared" si="4"/>
        <v>NA</v>
      </c>
      <c r="H1395" s="17" t="str">
        <f t="shared" si="5"/>
        <v>BCA111-NA</v>
      </c>
      <c r="J1395" t="str">
        <f t="shared" si="6"/>
        <v>collected</v>
      </c>
      <c r="K1395" t="str">
        <f t="shared" si="7"/>
        <v>N</v>
      </c>
    </row>
    <row r="1396">
      <c r="A1396" s="40" t="s">
        <v>1935</v>
      </c>
      <c r="B1396" s="10" t="str">
        <f t="shared" si="1"/>
        <v>fish</v>
      </c>
      <c r="C1396" s="63" t="str">
        <f t="shared" si="2"/>
        <v>U16009</v>
      </c>
      <c r="D1396" s="11" t="str">
        <f t="array" ref="D1396">iferror(index(fish_lab_data!D:D,match(A1396,fish_lab_data!C:C,0)))</f>
        <v>P1001</v>
      </c>
      <c r="E1396" s="6">
        <v>111.0</v>
      </c>
      <c r="F1396" s="17" t="str">
        <f t="shared" si="3"/>
        <v>BCA111</v>
      </c>
      <c r="G1396" s="43" t="str">
        <f t="shared" si="4"/>
        <v>NA</v>
      </c>
      <c r="H1396" s="17" t="str">
        <f t="shared" si="5"/>
        <v>BCA111-NA</v>
      </c>
      <c r="J1396" t="str">
        <f t="shared" si="6"/>
        <v>collected</v>
      </c>
      <c r="K1396" t="str">
        <f t="shared" si="7"/>
        <v>N</v>
      </c>
    </row>
    <row r="1397">
      <c r="A1397" s="40" t="s">
        <v>1936</v>
      </c>
      <c r="B1397" s="10" t="str">
        <f t="shared" si="1"/>
        <v>fish</v>
      </c>
      <c r="C1397" s="63" t="str">
        <f t="shared" si="2"/>
        <v>U16008</v>
      </c>
      <c r="D1397" s="11" t="str">
        <f t="array" ref="D1397">iferror(index(fish_lab_data!D:D,match(A1397,fish_lab_data!C:C,0)))</f>
        <v>P1001</v>
      </c>
      <c r="E1397" s="6">
        <v>111.0</v>
      </c>
      <c r="F1397" s="17" t="str">
        <f t="shared" si="3"/>
        <v>BCA111</v>
      </c>
      <c r="G1397" s="43" t="str">
        <f t="shared" si="4"/>
        <v>NA</v>
      </c>
      <c r="H1397" s="17" t="str">
        <f t="shared" si="5"/>
        <v>BCA111-NA</v>
      </c>
      <c r="J1397" t="str">
        <f t="shared" si="6"/>
        <v>collected</v>
      </c>
      <c r="K1397" t="str">
        <f t="shared" si="7"/>
        <v>N</v>
      </c>
    </row>
    <row r="1398">
      <c r="A1398" s="40" t="s">
        <v>1937</v>
      </c>
      <c r="B1398" s="10" t="str">
        <f t="shared" si="1"/>
        <v>fish</v>
      </c>
      <c r="C1398" s="63" t="str">
        <f t="shared" si="2"/>
        <v>U16007</v>
      </c>
      <c r="D1398" s="11" t="str">
        <f t="array" ref="D1398">iferror(index(fish_lab_data!D:D,match(A1398,fish_lab_data!C:C,0)))</f>
        <v>P1001</v>
      </c>
      <c r="E1398" s="6">
        <v>111.0</v>
      </c>
      <c r="F1398" s="17" t="str">
        <f t="shared" si="3"/>
        <v>BCA111</v>
      </c>
      <c r="G1398" s="43" t="str">
        <f t="shared" si="4"/>
        <v>NA</v>
      </c>
      <c r="H1398" s="17" t="str">
        <f t="shared" si="5"/>
        <v>BCA111-NA</v>
      </c>
      <c r="J1398" t="str">
        <f t="shared" si="6"/>
        <v>collected</v>
      </c>
      <c r="K1398" t="str">
        <f t="shared" si="7"/>
        <v>N</v>
      </c>
    </row>
    <row r="1399">
      <c r="A1399" s="40" t="s">
        <v>1938</v>
      </c>
      <c r="B1399" s="10" t="str">
        <f t="shared" si="1"/>
        <v>fish</v>
      </c>
      <c r="C1399" s="63" t="str">
        <f t="shared" si="2"/>
        <v>U16003</v>
      </c>
      <c r="D1399" s="11" t="str">
        <f t="array" ref="D1399">iferror(index(fish_lab_data!D:D,match(A1399,fish_lab_data!C:C,0)))</f>
        <v>P1001</v>
      </c>
      <c r="E1399" s="6">
        <v>111.0</v>
      </c>
      <c r="F1399" s="17" t="str">
        <f t="shared" si="3"/>
        <v>BCA111</v>
      </c>
      <c r="G1399" s="43" t="str">
        <f t="shared" si="4"/>
        <v>NA</v>
      </c>
      <c r="H1399" s="17" t="str">
        <f t="shared" si="5"/>
        <v>BCA111-NA</v>
      </c>
      <c r="J1399" t="str">
        <f t="shared" si="6"/>
        <v>collected</v>
      </c>
      <c r="K1399" t="str">
        <f t="shared" si="7"/>
        <v>N</v>
      </c>
    </row>
    <row r="1400">
      <c r="A1400" s="40" t="s">
        <v>1939</v>
      </c>
      <c r="B1400" s="10" t="str">
        <f t="shared" si="1"/>
        <v>fish</v>
      </c>
      <c r="C1400" s="63" t="str">
        <f t="shared" si="2"/>
        <v>U16441</v>
      </c>
      <c r="D1400" s="11" t="str">
        <f t="array" ref="D1400">iferror(index(fish_lab_data!D:D,match(A1400,fish_lab_data!C:C,0)))</f>
        <v>P1045</v>
      </c>
      <c r="E1400" s="6">
        <v>111.0</v>
      </c>
      <c r="F1400" s="17" t="str">
        <f t="shared" si="3"/>
        <v>BCA111</v>
      </c>
      <c r="G1400" s="43" t="str">
        <f t="shared" si="4"/>
        <v>NA</v>
      </c>
      <c r="H1400" s="17" t="str">
        <f t="shared" si="5"/>
        <v>BCA111-NA</v>
      </c>
      <c r="J1400" t="str">
        <f t="shared" si="6"/>
        <v>collected</v>
      </c>
      <c r="K1400" t="str">
        <f t="shared" si="7"/>
        <v>N</v>
      </c>
    </row>
    <row r="1401">
      <c r="A1401" s="40" t="s">
        <v>1940</v>
      </c>
      <c r="B1401" s="10" t="str">
        <f t="shared" si="1"/>
        <v>fish</v>
      </c>
      <c r="C1401" s="63" t="str">
        <f t="shared" si="2"/>
        <v>U16442</v>
      </c>
      <c r="D1401" s="11" t="str">
        <f t="array" ref="D1401">iferror(index(fish_lab_data!D:D,match(A1401,fish_lab_data!C:C,0)))</f>
        <v>P1045</v>
      </c>
      <c r="E1401" s="6">
        <v>111.0</v>
      </c>
      <c r="F1401" s="17" t="str">
        <f t="shared" si="3"/>
        <v>BCA111</v>
      </c>
      <c r="G1401" s="43" t="str">
        <f t="shared" si="4"/>
        <v>NA</v>
      </c>
      <c r="H1401" s="17" t="str">
        <f t="shared" si="5"/>
        <v>BCA111-NA</v>
      </c>
      <c r="J1401" t="str">
        <f t="shared" si="6"/>
        <v>collected</v>
      </c>
      <c r="K1401" t="str">
        <f t="shared" si="7"/>
        <v>N</v>
      </c>
    </row>
    <row r="1402">
      <c r="A1402" s="40" t="s">
        <v>1941</v>
      </c>
      <c r="B1402" s="10" t="str">
        <f t="shared" si="1"/>
        <v>fish</v>
      </c>
      <c r="C1402" s="63" t="str">
        <f t="shared" si="2"/>
        <v>U16444</v>
      </c>
      <c r="D1402" s="11" t="str">
        <f t="array" ref="D1402">iferror(index(fish_lab_data!D:D,match(A1402,fish_lab_data!C:C,0)))</f>
        <v>P1045</v>
      </c>
      <c r="E1402" s="6">
        <v>111.0</v>
      </c>
      <c r="F1402" s="17" t="str">
        <f t="shared" si="3"/>
        <v>BCA111</v>
      </c>
      <c r="G1402" s="43" t="str">
        <f t="shared" si="4"/>
        <v>NA</v>
      </c>
      <c r="H1402" s="17" t="str">
        <f t="shared" si="5"/>
        <v>BCA111-NA</v>
      </c>
      <c r="J1402" t="str">
        <f t="shared" si="6"/>
        <v>collected</v>
      </c>
      <c r="K1402" t="str">
        <f t="shared" si="7"/>
        <v>N</v>
      </c>
    </row>
    <row r="1403">
      <c r="A1403" s="40" t="s">
        <v>1942</v>
      </c>
      <c r="B1403" s="10" t="str">
        <f t="shared" si="1"/>
        <v>fish</v>
      </c>
      <c r="C1403" s="63" t="str">
        <f t="shared" si="2"/>
        <v>U16443</v>
      </c>
      <c r="D1403" s="11" t="str">
        <f t="array" ref="D1403">iferror(index(fish_lab_data!D:D,match(A1403,fish_lab_data!C:C,0)))</f>
        <v>P1045</v>
      </c>
      <c r="E1403" s="6">
        <v>111.0</v>
      </c>
      <c r="F1403" s="17" t="str">
        <f t="shared" si="3"/>
        <v>BCA111</v>
      </c>
      <c r="G1403" s="43" t="str">
        <f t="shared" si="4"/>
        <v>NA</v>
      </c>
      <c r="H1403" s="17" t="str">
        <f t="shared" si="5"/>
        <v>BCA111-NA</v>
      </c>
      <c r="J1403" t="str">
        <f t="shared" si="6"/>
        <v>collected</v>
      </c>
      <c r="K1403" t="str">
        <f t="shared" si="7"/>
        <v>N</v>
      </c>
    </row>
    <row r="1404">
      <c r="A1404" s="40" t="s">
        <v>1943</v>
      </c>
      <c r="B1404" s="10" t="str">
        <f t="shared" si="1"/>
        <v>fish</v>
      </c>
      <c r="C1404" s="63" t="str">
        <f t="shared" si="2"/>
        <v>U16445</v>
      </c>
      <c r="D1404" s="11" t="str">
        <f t="array" ref="D1404">iferror(index(fish_lab_data!D:D,match(A1404,fish_lab_data!C:C,0)))</f>
        <v>P1045</v>
      </c>
      <c r="E1404" s="6">
        <v>111.0</v>
      </c>
      <c r="F1404" s="17" t="str">
        <f t="shared" si="3"/>
        <v>BCA111</v>
      </c>
      <c r="G1404" s="43" t="str">
        <f t="shared" si="4"/>
        <v>NA</v>
      </c>
      <c r="H1404" s="17" t="str">
        <f t="shared" si="5"/>
        <v>BCA111-NA</v>
      </c>
      <c r="J1404" t="str">
        <f t="shared" si="6"/>
        <v>collected</v>
      </c>
      <c r="K1404" t="str">
        <f t="shared" si="7"/>
        <v>N</v>
      </c>
    </row>
    <row r="1405">
      <c r="A1405" s="40" t="s">
        <v>1944</v>
      </c>
      <c r="B1405" s="10" t="str">
        <f t="shared" si="1"/>
        <v>fish</v>
      </c>
      <c r="C1405" s="63" t="str">
        <f t="shared" si="2"/>
        <v>U16450</v>
      </c>
      <c r="D1405" s="11" t="str">
        <f t="array" ref="D1405">iferror(index(fish_lab_data!D:D,match(A1405,fish_lab_data!C:C,0)))</f>
        <v>P1045</v>
      </c>
      <c r="E1405" s="6">
        <v>111.0</v>
      </c>
      <c r="F1405" s="17" t="str">
        <f t="shared" si="3"/>
        <v>BCA111</v>
      </c>
      <c r="G1405" s="43" t="str">
        <f t="shared" si="4"/>
        <v>NA</v>
      </c>
      <c r="H1405" s="17" t="str">
        <f t="shared" si="5"/>
        <v>BCA111-NA</v>
      </c>
      <c r="J1405" t="str">
        <f t="shared" si="6"/>
        <v>collected</v>
      </c>
      <c r="K1405" t="str">
        <f t="shared" si="7"/>
        <v>N</v>
      </c>
    </row>
    <row r="1406">
      <c r="A1406" s="40" t="s">
        <v>1945</v>
      </c>
      <c r="B1406" s="10" t="str">
        <f t="shared" si="1"/>
        <v>fish</v>
      </c>
      <c r="C1406" s="63" t="str">
        <f t="shared" si="2"/>
        <v>U16446</v>
      </c>
      <c r="D1406" s="11" t="str">
        <f t="array" ref="D1406">iferror(index(fish_lab_data!D:D,match(A1406,fish_lab_data!C:C,0)))</f>
        <v>P1045</v>
      </c>
      <c r="E1406" s="6">
        <v>111.0</v>
      </c>
      <c r="F1406" s="17" t="str">
        <f t="shared" si="3"/>
        <v>BCA111</v>
      </c>
      <c r="G1406" s="43" t="str">
        <f t="shared" si="4"/>
        <v>NA</v>
      </c>
      <c r="H1406" s="17" t="str">
        <f t="shared" si="5"/>
        <v>BCA111-NA</v>
      </c>
      <c r="J1406" t="str">
        <f t="shared" si="6"/>
        <v>collected</v>
      </c>
      <c r="K1406" t="str">
        <f t="shared" si="7"/>
        <v>N</v>
      </c>
    </row>
    <row r="1407">
      <c r="A1407" s="40" t="s">
        <v>1946</v>
      </c>
      <c r="B1407" s="10" t="str">
        <f t="shared" si="1"/>
        <v>fish</v>
      </c>
      <c r="C1407" s="63" t="str">
        <f t="shared" si="2"/>
        <v>U16447</v>
      </c>
      <c r="D1407" s="11" t="str">
        <f t="array" ref="D1407">iferror(index(fish_lab_data!D:D,match(A1407,fish_lab_data!C:C,0)))</f>
        <v>P1045</v>
      </c>
      <c r="E1407" s="6">
        <v>111.0</v>
      </c>
      <c r="F1407" s="17" t="str">
        <f t="shared" si="3"/>
        <v>BCA111</v>
      </c>
      <c r="G1407" s="43" t="str">
        <f t="shared" si="4"/>
        <v>NA</v>
      </c>
      <c r="H1407" s="17" t="str">
        <f t="shared" si="5"/>
        <v>BCA111-NA</v>
      </c>
      <c r="J1407" t="str">
        <f t="shared" si="6"/>
        <v>collected</v>
      </c>
      <c r="K1407" t="str">
        <f t="shared" si="7"/>
        <v>N</v>
      </c>
    </row>
    <row r="1408">
      <c r="A1408" s="40" t="s">
        <v>1947</v>
      </c>
      <c r="B1408" s="10" t="str">
        <f t="shared" si="1"/>
        <v>fish</v>
      </c>
      <c r="C1408" s="63" t="str">
        <f t="shared" si="2"/>
        <v>U16448</v>
      </c>
      <c r="D1408" s="11" t="str">
        <f t="array" ref="D1408">iferror(index(fish_lab_data!D:D,match(A1408,fish_lab_data!C:C,0)))</f>
        <v>P1045</v>
      </c>
      <c r="E1408" s="6">
        <v>111.0</v>
      </c>
      <c r="F1408" s="17" t="str">
        <f t="shared" si="3"/>
        <v>BCA111</v>
      </c>
      <c r="G1408" s="43" t="str">
        <f t="shared" si="4"/>
        <v>NA</v>
      </c>
      <c r="H1408" s="17" t="str">
        <f t="shared" si="5"/>
        <v>BCA111-NA</v>
      </c>
      <c r="J1408" t="str">
        <f t="shared" si="6"/>
        <v>collected</v>
      </c>
      <c r="K1408" t="str">
        <f t="shared" si="7"/>
        <v>N</v>
      </c>
    </row>
    <row r="1409">
      <c r="A1409" s="40" t="s">
        <v>1948</v>
      </c>
      <c r="B1409" s="10" t="str">
        <f t="shared" si="1"/>
        <v>fish</v>
      </c>
      <c r="C1409" s="63" t="str">
        <f t="shared" si="2"/>
        <v>U16449</v>
      </c>
      <c r="D1409" s="11" t="str">
        <f t="array" ref="D1409">iferror(index(fish_lab_data!D:D,match(A1409,fish_lab_data!C:C,0)))</f>
        <v>P1045</v>
      </c>
      <c r="E1409" s="6">
        <v>111.0</v>
      </c>
      <c r="F1409" s="17" t="str">
        <f t="shared" si="3"/>
        <v>BCA111</v>
      </c>
      <c r="G1409" s="43" t="str">
        <f t="shared" si="4"/>
        <v>NA</v>
      </c>
      <c r="H1409" s="17" t="str">
        <f t="shared" si="5"/>
        <v>BCA111-NA</v>
      </c>
      <c r="J1409" t="str">
        <f t="shared" si="6"/>
        <v>collected</v>
      </c>
      <c r="K1409" t="str">
        <f t="shared" si="7"/>
        <v>N</v>
      </c>
    </row>
    <row r="1410">
      <c r="A1410" s="40" t="s">
        <v>1949</v>
      </c>
      <c r="B1410" s="10" t="str">
        <f t="shared" si="1"/>
        <v>fish</v>
      </c>
      <c r="C1410" s="63" t="str">
        <f t="shared" si="2"/>
        <v>U16478</v>
      </c>
      <c r="D1410" s="11" t="str">
        <f t="array" ref="D1410">iferror(index(fish_lab_data!D:D,match(A1410,fish_lab_data!C:C,0)))</f>
        <v>P1048</v>
      </c>
      <c r="E1410" s="6">
        <v>111.0</v>
      </c>
      <c r="F1410" s="17" t="str">
        <f t="shared" si="3"/>
        <v>BCA111</v>
      </c>
      <c r="G1410" s="43" t="str">
        <f t="shared" si="4"/>
        <v>NA</v>
      </c>
      <c r="H1410" s="17" t="str">
        <f t="shared" si="5"/>
        <v>BCA111-NA</v>
      </c>
      <c r="J1410" t="str">
        <f t="shared" si="6"/>
        <v>collected</v>
      </c>
      <c r="K1410" t="str">
        <f t="shared" si="7"/>
        <v>N</v>
      </c>
    </row>
    <row r="1411">
      <c r="A1411" s="40" t="s">
        <v>1950</v>
      </c>
      <c r="B1411" s="10" t="str">
        <f t="shared" si="1"/>
        <v>fish</v>
      </c>
      <c r="C1411" s="63" t="str">
        <f t="shared" si="2"/>
        <v>U16477</v>
      </c>
      <c r="D1411" s="11" t="str">
        <f t="array" ref="D1411">iferror(index(fish_lab_data!D:D,match(A1411,fish_lab_data!C:C,0)))</f>
        <v>P1048</v>
      </c>
      <c r="E1411" s="6">
        <v>111.0</v>
      </c>
      <c r="F1411" s="17" t="str">
        <f t="shared" si="3"/>
        <v>BCA111</v>
      </c>
      <c r="G1411" s="43" t="str">
        <f t="shared" si="4"/>
        <v>NA</v>
      </c>
      <c r="H1411" s="17" t="str">
        <f t="shared" si="5"/>
        <v>BCA111-NA</v>
      </c>
      <c r="J1411" t="str">
        <f t="shared" si="6"/>
        <v>collected</v>
      </c>
      <c r="K1411" t="str">
        <f t="shared" si="7"/>
        <v>N</v>
      </c>
    </row>
    <row r="1412">
      <c r="A1412" s="40" t="s">
        <v>1951</v>
      </c>
      <c r="B1412" s="10" t="str">
        <f t="shared" si="1"/>
        <v>fish</v>
      </c>
      <c r="C1412" s="63" t="str">
        <f t="shared" si="2"/>
        <v>U16476</v>
      </c>
      <c r="D1412" s="11" t="str">
        <f t="array" ref="D1412">iferror(index(fish_lab_data!D:D,match(A1412,fish_lab_data!C:C,0)))</f>
        <v>P1048</v>
      </c>
      <c r="E1412" s="6">
        <v>111.0</v>
      </c>
      <c r="F1412" s="17" t="str">
        <f t="shared" si="3"/>
        <v>BCA111</v>
      </c>
      <c r="G1412" s="43" t="str">
        <f t="shared" si="4"/>
        <v>NA</v>
      </c>
      <c r="H1412" s="17" t="str">
        <f t="shared" si="5"/>
        <v>BCA111-NA</v>
      </c>
      <c r="J1412" t="str">
        <f t="shared" si="6"/>
        <v>collected</v>
      </c>
      <c r="K1412" t="str">
        <f t="shared" si="7"/>
        <v>N</v>
      </c>
    </row>
    <row r="1413">
      <c r="A1413" s="40" t="s">
        <v>1952</v>
      </c>
      <c r="B1413" s="10" t="str">
        <f t="shared" si="1"/>
        <v>fish</v>
      </c>
      <c r="C1413" s="63" t="str">
        <f t="shared" si="2"/>
        <v>U16475</v>
      </c>
      <c r="D1413" s="11" t="str">
        <f t="array" ref="D1413">iferror(index(fish_lab_data!D:D,match(A1413,fish_lab_data!C:C,0)))</f>
        <v>P1048</v>
      </c>
      <c r="E1413" s="6">
        <v>111.0</v>
      </c>
      <c r="F1413" s="17" t="str">
        <f t="shared" si="3"/>
        <v>BCA111</v>
      </c>
      <c r="G1413" s="43" t="str">
        <f t="shared" si="4"/>
        <v>NA</v>
      </c>
      <c r="H1413" s="17" t="str">
        <f t="shared" si="5"/>
        <v>BCA111-NA</v>
      </c>
      <c r="J1413" t="str">
        <f t="shared" si="6"/>
        <v>collected</v>
      </c>
      <c r="K1413" t="str">
        <f t="shared" si="7"/>
        <v>N</v>
      </c>
    </row>
    <row r="1414">
      <c r="A1414" s="40" t="s">
        <v>1953</v>
      </c>
      <c r="B1414" s="10" t="str">
        <f t="shared" si="1"/>
        <v>fish</v>
      </c>
      <c r="C1414" s="63" t="str">
        <f t="shared" si="2"/>
        <v>U17305</v>
      </c>
      <c r="D1414" s="11" t="str">
        <f t="array" ref="D1414">iferror(index(fish_lab_data!D:D,match(A1414,fish_lab_data!C:C,0)))</f>
        <v>P1131</v>
      </c>
      <c r="E1414" s="6">
        <v>111.0</v>
      </c>
      <c r="F1414" s="17" t="str">
        <f t="shared" si="3"/>
        <v>BCA111</v>
      </c>
      <c r="G1414" s="43" t="str">
        <f t="shared" si="4"/>
        <v>NA</v>
      </c>
      <c r="H1414" s="17" t="str">
        <f t="shared" si="5"/>
        <v>BCA111-NA</v>
      </c>
      <c r="J1414" t="str">
        <f t="shared" si="6"/>
        <v>collected</v>
      </c>
      <c r="K1414" t="str">
        <f t="shared" si="7"/>
        <v>N</v>
      </c>
    </row>
    <row r="1415">
      <c r="A1415" s="40" t="s">
        <v>1954</v>
      </c>
      <c r="B1415" s="10" t="str">
        <f t="shared" si="1"/>
        <v>fish</v>
      </c>
      <c r="C1415" s="63" t="str">
        <f t="shared" si="2"/>
        <v>U17308</v>
      </c>
      <c r="D1415" s="11" t="str">
        <f t="array" ref="D1415">iferror(index(fish_lab_data!D:D,match(A1415,fish_lab_data!C:C,0)))</f>
        <v>P1131</v>
      </c>
      <c r="E1415" s="6">
        <v>111.0</v>
      </c>
      <c r="F1415" s="17" t="str">
        <f t="shared" si="3"/>
        <v>BCA111</v>
      </c>
      <c r="G1415" s="43" t="str">
        <f t="shared" si="4"/>
        <v>NA</v>
      </c>
      <c r="H1415" s="17" t="str">
        <f t="shared" si="5"/>
        <v>BCA111-NA</v>
      </c>
      <c r="J1415" t="str">
        <f t="shared" si="6"/>
        <v>collected</v>
      </c>
      <c r="K1415" t="str">
        <f t="shared" si="7"/>
        <v>N</v>
      </c>
    </row>
    <row r="1416">
      <c r="A1416" s="40" t="s">
        <v>1955</v>
      </c>
      <c r="B1416" s="10" t="str">
        <f t="shared" si="1"/>
        <v>fish</v>
      </c>
      <c r="C1416" s="63" t="str">
        <f t="shared" si="2"/>
        <v>U17309</v>
      </c>
      <c r="D1416" s="11" t="str">
        <f t="array" ref="D1416">iferror(index(fish_lab_data!D:D,match(A1416,fish_lab_data!C:C,0)))</f>
        <v>P1131</v>
      </c>
      <c r="E1416" s="6">
        <v>111.0</v>
      </c>
      <c r="F1416" s="17" t="str">
        <f t="shared" si="3"/>
        <v>BCA111</v>
      </c>
      <c r="G1416" s="43" t="str">
        <f t="shared" si="4"/>
        <v>NA</v>
      </c>
      <c r="H1416" s="17" t="str">
        <f t="shared" si="5"/>
        <v>BCA111-NA</v>
      </c>
      <c r="J1416" t="str">
        <f t="shared" si="6"/>
        <v>collected</v>
      </c>
      <c r="K1416" t="str">
        <f t="shared" si="7"/>
        <v>N</v>
      </c>
    </row>
    <row r="1417">
      <c r="A1417" s="40" t="s">
        <v>1956</v>
      </c>
      <c r="B1417" s="10" t="str">
        <f t="shared" si="1"/>
        <v>fish</v>
      </c>
      <c r="C1417" s="63" t="str">
        <f t="shared" si="2"/>
        <v>U17310</v>
      </c>
      <c r="D1417" s="11" t="str">
        <f t="array" ref="D1417">iferror(index(fish_lab_data!D:D,match(A1417,fish_lab_data!C:C,0)))</f>
        <v>P1131</v>
      </c>
      <c r="E1417" s="6">
        <v>111.0</v>
      </c>
      <c r="F1417" s="17" t="str">
        <f t="shared" si="3"/>
        <v>BCA111</v>
      </c>
      <c r="G1417" s="43" t="str">
        <f t="shared" si="4"/>
        <v>NA</v>
      </c>
      <c r="H1417" s="17" t="str">
        <f t="shared" si="5"/>
        <v>BCA111-NA</v>
      </c>
      <c r="J1417" t="str">
        <f t="shared" si="6"/>
        <v>collected</v>
      </c>
      <c r="K1417" t="str">
        <f t="shared" si="7"/>
        <v>N</v>
      </c>
    </row>
    <row r="1418">
      <c r="A1418" s="40" t="s">
        <v>1957</v>
      </c>
      <c r="B1418" s="10" t="str">
        <f t="shared" si="1"/>
        <v>fish</v>
      </c>
      <c r="C1418" s="63" t="str">
        <f t="shared" si="2"/>
        <v>U17302</v>
      </c>
      <c r="D1418" s="11" t="str">
        <f t="array" ref="D1418">iferror(index(fish_lab_data!D:D,match(A1418,fish_lab_data!C:C,0)))</f>
        <v>P1131</v>
      </c>
      <c r="E1418" s="6">
        <v>111.0</v>
      </c>
      <c r="F1418" s="17" t="str">
        <f t="shared" si="3"/>
        <v>BCA111</v>
      </c>
      <c r="G1418" s="43" t="str">
        <f t="shared" si="4"/>
        <v>NA</v>
      </c>
      <c r="H1418" s="17" t="str">
        <f t="shared" si="5"/>
        <v>BCA111-NA</v>
      </c>
      <c r="J1418" t="str">
        <f t="shared" si="6"/>
        <v>collected</v>
      </c>
      <c r="K1418" t="str">
        <f t="shared" si="7"/>
        <v>N</v>
      </c>
    </row>
    <row r="1419">
      <c r="A1419" s="40" t="s">
        <v>1958</v>
      </c>
      <c r="B1419" s="10" t="str">
        <f t="shared" si="1"/>
        <v>fish</v>
      </c>
      <c r="C1419" s="63" t="str">
        <f t="shared" si="2"/>
        <v>U17301</v>
      </c>
      <c r="D1419" s="11" t="str">
        <f t="array" ref="D1419">iferror(index(fish_lab_data!D:D,match(A1419,fish_lab_data!C:C,0)))</f>
        <v>P1131</v>
      </c>
      <c r="E1419" s="6">
        <v>111.0</v>
      </c>
      <c r="F1419" s="17" t="str">
        <f t="shared" si="3"/>
        <v>BCA111</v>
      </c>
      <c r="G1419" s="43" t="str">
        <f t="shared" si="4"/>
        <v>NA</v>
      </c>
      <c r="H1419" s="17" t="str">
        <f t="shared" si="5"/>
        <v>BCA111-NA</v>
      </c>
      <c r="J1419" t="str">
        <f t="shared" si="6"/>
        <v>collected</v>
      </c>
      <c r="K1419" t="str">
        <f t="shared" si="7"/>
        <v>N</v>
      </c>
    </row>
    <row r="1420">
      <c r="A1420" s="40" t="s">
        <v>1959</v>
      </c>
      <c r="B1420" s="10" t="str">
        <f t="shared" si="1"/>
        <v>fish</v>
      </c>
      <c r="C1420" s="63" t="str">
        <f t="shared" si="2"/>
        <v>U17307</v>
      </c>
      <c r="D1420" s="11" t="str">
        <f t="array" ref="D1420">iferror(index(fish_lab_data!D:D,match(A1420,fish_lab_data!C:C,0)))</f>
        <v>P1131</v>
      </c>
      <c r="E1420" s="6">
        <v>111.0</v>
      </c>
      <c r="F1420" s="17" t="str">
        <f t="shared" si="3"/>
        <v>BCA111</v>
      </c>
      <c r="G1420" s="43" t="str">
        <f t="shared" si="4"/>
        <v>NA</v>
      </c>
      <c r="H1420" s="17" t="str">
        <f t="shared" si="5"/>
        <v>BCA111-NA</v>
      </c>
      <c r="J1420" t="str">
        <f t="shared" si="6"/>
        <v>collected</v>
      </c>
      <c r="K1420" t="str">
        <f t="shared" si="7"/>
        <v>N</v>
      </c>
    </row>
    <row r="1421">
      <c r="A1421" s="40" t="s">
        <v>1960</v>
      </c>
      <c r="B1421" s="10" t="str">
        <f t="shared" si="1"/>
        <v>fish</v>
      </c>
      <c r="C1421" s="63" t="str">
        <f t="shared" si="2"/>
        <v>U17303</v>
      </c>
      <c r="D1421" s="11" t="str">
        <f t="array" ref="D1421">iferror(index(fish_lab_data!D:D,match(A1421,fish_lab_data!C:C,0)))</f>
        <v>P1131</v>
      </c>
      <c r="E1421" s="6">
        <v>111.0</v>
      </c>
      <c r="F1421" s="17" t="str">
        <f t="shared" si="3"/>
        <v>BCA111</v>
      </c>
      <c r="G1421" s="43" t="str">
        <f t="shared" si="4"/>
        <v>NA</v>
      </c>
      <c r="H1421" s="17" t="str">
        <f t="shared" si="5"/>
        <v>BCA111-NA</v>
      </c>
      <c r="J1421" t="str">
        <f t="shared" si="6"/>
        <v>collected</v>
      </c>
      <c r="K1421" t="str">
        <f t="shared" si="7"/>
        <v>N</v>
      </c>
    </row>
    <row r="1422">
      <c r="A1422" s="40" t="s">
        <v>1961</v>
      </c>
      <c r="B1422" s="10" t="str">
        <f t="shared" si="1"/>
        <v>fish</v>
      </c>
      <c r="C1422" s="63" t="str">
        <f t="shared" si="2"/>
        <v>U17306</v>
      </c>
      <c r="D1422" s="11" t="str">
        <f t="array" ref="D1422">iferror(index(fish_lab_data!D:D,match(A1422,fish_lab_data!C:C,0)))</f>
        <v>P1131</v>
      </c>
      <c r="E1422" s="6">
        <v>111.0</v>
      </c>
      <c r="F1422" s="17" t="str">
        <f t="shared" si="3"/>
        <v>BCA111</v>
      </c>
      <c r="G1422" s="43" t="str">
        <f t="shared" si="4"/>
        <v>NA</v>
      </c>
      <c r="H1422" s="17" t="str">
        <f t="shared" si="5"/>
        <v>BCA111-NA</v>
      </c>
      <c r="J1422" t="str">
        <f t="shared" si="6"/>
        <v>collected</v>
      </c>
      <c r="K1422" t="str">
        <f t="shared" si="7"/>
        <v>N</v>
      </c>
    </row>
    <row r="1423">
      <c r="A1423" s="40" t="s">
        <v>1962</v>
      </c>
      <c r="B1423" s="10" t="str">
        <f t="shared" si="1"/>
        <v>fish</v>
      </c>
      <c r="C1423" s="63" t="str">
        <f t="shared" si="2"/>
        <v>U17304</v>
      </c>
      <c r="D1423" s="11" t="str">
        <f t="array" ref="D1423">iferror(index(fish_lab_data!D:D,match(A1423,fish_lab_data!C:C,0)))</f>
        <v>P1131</v>
      </c>
      <c r="E1423" s="6">
        <v>111.0</v>
      </c>
      <c r="F1423" s="17" t="str">
        <f t="shared" si="3"/>
        <v>BCA111</v>
      </c>
      <c r="G1423" s="43" t="str">
        <f t="shared" si="4"/>
        <v>NA</v>
      </c>
      <c r="H1423" s="17" t="str">
        <f t="shared" si="5"/>
        <v>BCA111-NA</v>
      </c>
      <c r="J1423" t="str">
        <f t="shared" si="6"/>
        <v>collected</v>
      </c>
      <c r="K1423" t="str">
        <f t="shared" si="7"/>
        <v>N</v>
      </c>
    </row>
    <row r="1424">
      <c r="A1424" s="40" t="s">
        <v>1963</v>
      </c>
      <c r="B1424" s="10" t="str">
        <f t="shared" si="1"/>
        <v>fish</v>
      </c>
      <c r="C1424" s="63" t="str">
        <f t="shared" si="2"/>
        <v>U17471</v>
      </c>
      <c r="D1424" s="11" t="str">
        <f t="array" ref="D1424">iferror(index(fish_lab_data!D:D,match(A1424,fish_lab_data!C:C,0)))</f>
        <v>P1148</v>
      </c>
      <c r="E1424" s="6">
        <v>111.0</v>
      </c>
      <c r="F1424" s="17" t="str">
        <f t="shared" si="3"/>
        <v>BCA111</v>
      </c>
      <c r="G1424" s="43" t="str">
        <f t="shared" si="4"/>
        <v>NA</v>
      </c>
      <c r="H1424" s="17" t="str">
        <f t="shared" si="5"/>
        <v>BCA111-NA</v>
      </c>
      <c r="J1424" t="str">
        <f t="shared" si="6"/>
        <v>collected</v>
      </c>
      <c r="K1424" t="str">
        <f t="shared" si="7"/>
        <v>N</v>
      </c>
    </row>
    <row r="1425">
      <c r="A1425" s="40" t="s">
        <v>1964</v>
      </c>
      <c r="B1425" s="10" t="str">
        <f t="shared" si="1"/>
        <v>fish</v>
      </c>
      <c r="C1425" s="63" t="str">
        <f t="shared" si="2"/>
        <v>U17480</v>
      </c>
      <c r="D1425" s="11" t="str">
        <f t="array" ref="D1425">iferror(index(fish_lab_data!D:D,match(A1425,fish_lab_data!C:C,0)))</f>
        <v>P1148</v>
      </c>
      <c r="E1425" s="6">
        <v>111.0</v>
      </c>
      <c r="F1425" s="17" t="str">
        <f t="shared" si="3"/>
        <v>BCA111</v>
      </c>
      <c r="G1425" s="43" t="str">
        <f t="shared" si="4"/>
        <v>NA</v>
      </c>
      <c r="H1425" s="17" t="str">
        <f t="shared" si="5"/>
        <v>BCA111-NA</v>
      </c>
      <c r="J1425" t="str">
        <f t="shared" si="6"/>
        <v>collected</v>
      </c>
      <c r="K1425" t="str">
        <f t="shared" si="7"/>
        <v>N</v>
      </c>
    </row>
    <row r="1426">
      <c r="A1426" s="40" t="s">
        <v>1965</v>
      </c>
      <c r="B1426" s="10" t="str">
        <f t="shared" si="1"/>
        <v>fish</v>
      </c>
      <c r="C1426" s="63" t="str">
        <f t="shared" si="2"/>
        <v>U17472</v>
      </c>
      <c r="D1426" s="11" t="str">
        <f t="array" ref="D1426">iferror(index(fish_lab_data!D:D,match(A1426,fish_lab_data!C:C,0)))</f>
        <v>P1148</v>
      </c>
      <c r="E1426" s="6">
        <v>111.0</v>
      </c>
      <c r="F1426" s="17" t="str">
        <f t="shared" si="3"/>
        <v>BCA111</v>
      </c>
      <c r="G1426" s="43" t="str">
        <f t="shared" si="4"/>
        <v>NA</v>
      </c>
      <c r="H1426" s="17" t="str">
        <f t="shared" si="5"/>
        <v>BCA111-NA</v>
      </c>
      <c r="J1426" t="str">
        <f t="shared" si="6"/>
        <v>collected</v>
      </c>
      <c r="K1426" t="str">
        <f t="shared" si="7"/>
        <v>N</v>
      </c>
    </row>
    <row r="1427">
      <c r="A1427" s="40" t="s">
        <v>1966</v>
      </c>
      <c r="B1427" s="10" t="str">
        <f t="shared" si="1"/>
        <v>fish</v>
      </c>
      <c r="C1427" s="63" t="str">
        <f t="shared" si="2"/>
        <v>U17479</v>
      </c>
      <c r="D1427" s="11" t="str">
        <f t="array" ref="D1427">iferror(index(fish_lab_data!D:D,match(A1427,fish_lab_data!C:C,0)))</f>
        <v>P1148</v>
      </c>
      <c r="E1427" s="6">
        <v>111.0</v>
      </c>
      <c r="F1427" s="17" t="str">
        <f t="shared" si="3"/>
        <v>BCA111</v>
      </c>
      <c r="G1427" s="43" t="str">
        <f t="shared" si="4"/>
        <v>NA</v>
      </c>
      <c r="H1427" s="17" t="str">
        <f t="shared" si="5"/>
        <v>BCA111-NA</v>
      </c>
      <c r="J1427" t="str">
        <f t="shared" si="6"/>
        <v>collected</v>
      </c>
      <c r="K1427" t="str">
        <f t="shared" si="7"/>
        <v>N</v>
      </c>
    </row>
    <row r="1428">
      <c r="A1428" s="40" t="s">
        <v>1967</v>
      </c>
      <c r="B1428" s="10" t="str">
        <f t="shared" si="1"/>
        <v>fish</v>
      </c>
      <c r="C1428" s="63" t="str">
        <f t="shared" si="2"/>
        <v>U17478</v>
      </c>
      <c r="D1428" s="11" t="str">
        <f t="array" ref="D1428">iferror(index(fish_lab_data!D:D,match(A1428,fish_lab_data!C:C,0)))</f>
        <v>P1148</v>
      </c>
      <c r="E1428" s="6">
        <v>111.0</v>
      </c>
      <c r="F1428" s="17" t="str">
        <f t="shared" si="3"/>
        <v>BCA111</v>
      </c>
      <c r="G1428" s="43" t="str">
        <f t="shared" si="4"/>
        <v>NA</v>
      </c>
      <c r="H1428" s="17" t="str">
        <f t="shared" si="5"/>
        <v>BCA111-NA</v>
      </c>
      <c r="J1428" t="str">
        <f t="shared" si="6"/>
        <v>collected</v>
      </c>
      <c r="K1428" t="str">
        <f t="shared" si="7"/>
        <v>N</v>
      </c>
    </row>
    <row r="1429">
      <c r="A1429" s="40" t="s">
        <v>1968</v>
      </c>
      <c r="B1429" s="10" t="str">
        <f t="shared" si="1"/>
        <v>fish</v>
      </c>
      <c r="C1429" s="63" t="str">
        <f t="shared" si="2"/>
        <v>U17475</v>
      </c>
      <c r="D1429" s="11" t="str">
        <f t="array" ref="D1429">iferror(index(fish_lab_data!D:D,match(A1429,fish_lab_data!C:C,0)))</f>
        <v>P1148</v>
      </c>
      <c r="E1429" s="6">
        <v>111.0</v>
      </c>
      <c r="F1429" s="17" t="str">
        <f t="shared" si="3"/>
        <v>BCA111</v>
      </c>
      <c r="G1429" s="43" t="str">
        <f t="shared" si="4"/>
        <v>NA</v>
      </c>
      <c r="H1429" s="17" t="str">
        <f t="shared" si="5"/>
        <v>BCA111-NA</v>
      </c>
      <c r="J1429" t="str">
        <f t="shared" si="6"/>
        <v>collected</v>
      </c>
      <c r="K1429" t="str">
        <f t="shared" si="7"/>
        <v>N</v>
      </c>
    </row>
    <row r="1430">
      <c r="A1430" s="40" t="s">
        <v>1969</v>
      </c>
      <c r="B1430" s="10" t="str">
        <f t="shared" si="1"/>
        <v>fish</v>
      </c>
      <c r="C1430" s="63" t="str">
        <f t="shared" si="2"/>
        <v>U17473</v>
      </c>
      <c r="D1430" s="11" t="str">
        <f t="array" ref="D1430">iferror(index(fish_lab_data!D:D,match(A1430,fish_lab_data!C:C,0)))</f>
        <v>P1148</v>
      </c>
      <c r="E1430" s="6">
        <v>111.0</v>
      </c>
      <c r="F1430" s="17" t="str">
        <f t="shared" si="3"/>
        <v>BCA111</v>
      </c>
      <c r="G1430" s="43" t="str">
        <f t="shared" si="4"/>
        <v>NA</v>
      </c>
      <c r="H1430" s="17" t="str">
        <f t="shared" si="5"/>
        <v>BCA111-NA</v>
      </c>
      <c r="J1430" t="str">
        <f t="shared" si="6"/>
        <v>collected</v>
      </c>
      <c r="K1430" t="str">
        <f t="shared" si="7"/>
        <v>N</v>
      </c>
    </row>
    <row r="1431">
      <c r="A1431" s="40" t="s">
        <v>1970</v>
      </c>
      <c r="B1431" s="10" t="str">
        <f t="shared" si="1"/>
        <v>fish</v>
      </c>
      <c r="C1431" s="63" t="str">
        <f t="shared" si="2"/>
        <v>U17474</v>
      </c>
      <c r="D1431" s="11" t="str">
        <f t="array" ref="D1431">iferror(index(fish_lab_data!D:D,match(A1431,fish_lab_data!C:C,0)))</f>
        <v>P1148</v>
      </c>
      <c r="E1431" s="6">
        <v>111.0</v>
      </c>
      <c r="F1431" s="17" t="str">
        <f t="shared" si="3"/>
        <v>BCA111</v>
      </c>
      <c r="G1431" s="43" t="str">
        <f t="shared" si="4"/>
        <v>NA</v>
      </c>
      <c r="H1431" s="17" t="str">
        <f t="shared" si="5"/>
        <v>BCA111-NA</v>
      </c>
      <c r="J1431" t="str">
        <f t="shared" si="6"/>
        <v>collected</v>
      </c>
      <c r="K1431" t="str">
        <f t="shared" si="7"/>
        <v>N</v>
      </c>
    </row>
    <row r="1432">
      <c r="A1432" s="40" t="s">
        <v>1971</v>
      </c>
      <c r="B1432" s="10" t="str">
        <f t="shared" si="1"/>
        <v>fish</v>
      </c>
      <c r="C1432" s="63" t="str">
        <f t="shared" si="2"/>
        <v>U17477</v>
      </c>
      <c r="D1432" s="11" t="str">
        <f t="array" ref="D1432">iferror(index(fish_lab_data!D:D,match(A1432,fish_lab_data!C:C,0)))</f>
        <v>P1148</v>
      </c>
      <c r="E1432" s="6">
        <v>111.0</v>
      </c>
      <c r="F1432" s="17" t="str">
        <f t="shared" si="3"/>
        <v>BCA111</v>
      </c>
      <c r="G1432" s="43" t="str">
        <f t="shared" si="4"/>
        <v>NA</v>
      </c>
      <c r="H1432" s="17" t="str">
        <f t="shared" si="5"/>
        <v>BCA111-NA</v>
      </c>
      <c r="J1432" t="str">
        <f t="shared" si="6"/>
        <v>collected</v>
      </c>
      <c r="K1432" t="str">
        <f t="shared" si="7"/>
        <v>N</v>
      </c>
    </row>
    <row r="1433">
      <c r="A1433" s="40" t="s">
        <v>1972</v>
      </c>
      <c r="B1433" s="10" t="str">
        <f t="shared" si="1"/>
        <v>fish</v>
      </c>
      <c r="C1433" s="63" t="str">
        <f t="shared" si="2"/>
        <v>U17476</v>
      </c>
      <c r="D1433" s="11" t="str">
        <f t="array" ref="D1433">iferror(index(fish_lab_data!D:D,match(A1433,fish_lab_data!C:C,0)))</f>
        <v>P1148</v>
      </c>
      <c r="E1433" s="6">
        <v>111.0</v>
      </c>
      <c r="F1433" s="17" t="str">
        <f t="shared" si="3"/>
        <v>BCA111</v>
      </c>
      <c r="G1433" s="43" t="str">
        <f t="shared" si="4"/>
        <v>NA</v>
      </c>
      <c r="H1433" s="17" t="str">
        <f t="shared" si="5"/>
        <v>BCA111-NA</v>
      </c>
      <c r="J1433" t="str">
        <f t="shared" si="6"/>
        <v>collected</v>
      </c>
      <c r="K1433" t="str">
        <f t="shared" si="7"/>
        <v>N</v>
      </c>
    </row>
    <row r="1434">
      <c r="A1434" s="40" t="s">
        <v>1973</v>
      </c>
      <c r="B1434" s="10" t="str">
        <f t="shared" si="1"/>
        <v>fish</v>
      </c>
      <c r="C1434" s="63" t="str">
        <f t="shared" si="2"/>
        <v>U17209</v>
      </c>
      <c r="D1434" s="11" t="str">
        <f t="array" ref="D1434">iferror(index(fish_lab_data!D:D,match(A1434,fish_lab_data!C:C,0)))</f>
        <v>P1121</v>
      </c>
      <c r="E1434" s="6">
        <v>111.0</v>
      </c>
      <c r="F1434" s="17" t="str">
        <f t="shared" si="3"/>
        <v>BCA111</v>
      </c>
      <c r="G1434" s="43" t="str">
        <f t="shared" si="4"/>
        <v>NA</v>
      </c>
      <c r="H1434" s="17" t="str">
        <f t="shared" si="5"/>
        <v>BCA111-NA</v>
      </c>
      <c r="J1434" t="str">
        <f t="shared" si="6"/>
        <v>collected</v>
      </c>
      <c r="K1434" t="str">
        <f t="shared" si="7"/>
        <v>N</v>
      </c>
    </row>
    <row r="1435">
      <c r="A1435" s="40" t="s">
        <v>1974</v>
      </c>
      <c r="B1435" s="10" t="str">
        <f t="shared" si="1"/>
        <v>fish</v>
      </c>
      <c r="C1435" s="63" t="str">
        <f t="shared" si="2"/>
        <v>U17207</v>
      </c>
      <c r="D1435" s="11" t="str">
        <f t="array" ref="D1435">iferror(index(fish_lab_data!D:D,match(A1435,fish_lab_data!C:C,0)))</f>
        <v>P1121</v>
      </c>
      <c r="E1435" s="6">
        <v>111.0</v>
      </c>
      <c r="F1435" s="17" t="str">
        <f t="shared" si="3"/>
        <v>BCA111</v>
      </c>
      <c r="G1435" s="43" t="str">
        <f t="shared" si="4"/>
        <v>NA</v>
      </c>
      <c r="H1435" s="17" t="str">
        <f t="shared" si="5"/>
        <v>BCA111-NA</v>
      </c>
      <c r="J1435" t="str">
        <f t="shared" si="6"/>
        <v>collected</v>
      </c>
      <c r="K1435" t="str">
        <f t="shared" si="7"/>
        <v>N</v>
      </c>
    </row>
    <row r="1436">
      <c r="A1436" s="40" t="s">
        <v>1975</v>
      </c>
      <c r="B1436" s="10" t="str">
        <f t="shared" si="1"/>
        <v>fish</v>
      </c>
      <c r="C1436" s="63" t="str">
        <f t="shared" si="2"/>
        <v>U17208</v>
      </c>
      <c r="D1436" s="11" t="str">
        <f t="array" ref="D1436">iferror(index(fish_lab_data!D:D,match(A1436,fish_lab_data!C:C,0)))</f>
        <v>P1121</v>
      </c>
      <c r="E1436" s="6">
        <v>111.0</v>
      </c>
      <c r="F1436" s="17" t="str">
        <f t="shared" si="3"/>
        <v>BCA111</v>
      </c>
      <c r="G1436" s="43" t="str">
        <f t="shared" si="4"/>
        <v>NA</v>
      </c>
      <c r="H1436" s="17" t="str">
        <f t="shared" si="5"/>
        <v>BCA111-NA</v>
      </c>
      <c r="J1436" t="str">
        <f t="shared" si="6"/>
        <v>collected</v>
      </c>
      <c r="K1436" t="str">
        <f t="shared" si="7"/>
        <v>N</v>
      </c>
    </row>
    <row r="1437">
      <c r="A1437" s="40" t="s">
        <v>1976</v>
      </c>
      <c r="B1437" s="10" t="str">
        <f t="shared" si="1"/>
        <v>fish</v>
      </c>
      <c r="C1437" s="63" t="str">
        <f t="shared" si="2"/>
        <v>U17205</v>
      </c>
      <c r="D1437" s="11" t="str">
        <f t="array" ref="D1437">iferror(index(fish_lab_data!D:D,match(A1437,fish_lab_data!C:C,0)))</f>
        <v>P1121</v>
      </c>
      <c r="E1437" s="6">
        <v>111.0</v>
      </c>
      <c r="F1437" s="17" t="str">
        <f t="shared" si="3"/>
        <v>BCA111</v>
      </c>
      <c r="G1437" s="43" t="str">
        <f t="shared" si="4"/>
        <v>NA</v>
      </c>
      <c r="H1437" s="17" t="str">
        <f t="shared" si="5"/>
        <v>BCA111-NA</v>
      </c>
      <c r="J1437" t="str">
        <f t="shared" si="6"/>
        <v>collected</v>
      </c>
      <c r="K1437" t="str">
        <f t="shared" si="7"/>
        <v>N</v>
      </c>
    </row>
    <row r="1438">
      <c r="A1438" s="40" t="s">
        <v>1977</v>
      </c>
      <c r="B1438" s="10" t="str">
        <f t="shared" si="1"/>
        <v>fish</v>
      </c>
      <c r="C1438" s="63" t="str">
        <f t="shared" si="2"/>
        <v>U17206</v>
      </c>
      <c r="D1438" s="11" t="str">
        <f t="array" ref="D1438">iferror(index(fish_lab_data!D:D,match(A1438,fish_lab_data!C:C,0)))</f>
        <v>P1121</v>
      </c>
      <c r="E1438" s="6">
        <v>111.0</v>
      </c>
      <c r="F1438" s="17" t="str">
        <f t="shared" si="3"/>
        <v>BCA111</v>
      </c>
      <c r="G1438" s="43" t="str">
        <f t="shared" si="4"/>
        <v>NA</v>
      </c>
      <c r="H1438" s="17" t="str">
        <f t="shared" si="5"/>
        <v>BCA111-NA</v>
      </c>
      <c r="J1438" t="str">
        <f t="shared" si="6"/>
        <v>collected</v>
      </c>
      <c r="K1438" t="str">
        <f t="shared" si="7"/>
        <v>N</v>
      </c>
    </row>
    <row r="1439">
      <c r="A1439" s="40" t="s">
        <v>1978</v>
      </c>
      <c r="B1439" s="10" t="str">
        <f t="shared" si="1"/>
        <v>fish</v>
      </c>
      <c r="C1439" s="63" t="str">
        <f t="shared" si="2"/>
        <v>U17202</v>
      </c>
      <c r="D1439" s="11" t="str">
        <f t="array" ref="D1439">iferror(index(fish_lab_data!D:D,match(A1439,fish_lab_data!C:C,0)))</f>
        <v>P1121</v>
      </c>
      <c r="E1439" s="6">
        <v>111.0</v>
      </c>
      <c r="F1439" s="17" t="str">
        <f t="shared" si="3"/>
        <v>BCA111</v>
      </c>
      <c r="G1439" s="43" t="str">
        <f t="shared" si="4"/>
        <v>NA</v>
      </c>
      <c r="H1439" s="17" t="str">
        <f t="shared" si="5"/>
        <v>BCA111-NA</v>
      </c>
      <c r="J1439" t="str">
        <f t="shared" si="6"/>
        <v>collected</v>
      </c>
      <c r="K1439" t="str">
        <f t="shared" si="7"/>
        <v>N</v>
      </c>
    </row>
    <row r="1440">
      <c r="A1440" s="40" t="s">
        <v>1979</v>
      </c>
      <c r="B1440" s="10" t="str">
        <f t="shared" si="1"/>
        <v>fish</v>
      </c>
      <c r="C1440" s="63" t="str">
        <f t="shared" si="2"/>
        <v>U17201</v>
      </c>
      <c r="D1440" s="11" t="str">
        <f t="array" ref="D1440">iferror(index(fish_lab_data!D:D,match(A1440,fish_lab_data!C:C,0)))</f>
        <v>P1121</v>
      </c>
      <c r="E1440" s="6">
        <v>111.0</v>
      </c>
      <c r="F1440" s="17" t="str">
        <f t="shared" si="3"/>
        <v>BCA111</v>
      </c>
      <c r="G1440" s="43" t="str">
        <f t="shared" si="4"/>
        <v>NA</v>
      </c>
      <c r="H1440" s="17" t="str">
        <f t="shared" si="5"/>
        <v>BCA111-NA</v>
      </c>
      <c r="J1440" t="str">
        <f t="shared" si="6"/>
        <v>collected</v>
      </c>
      <c r="K1440" t="str">
        <f t="shared" si="7"/>
        <v>N</v>
      </c>
    </row>
    <row r="1441">
      <c r="A1441" s="40" t="s">
        <v>1980</v>
      </c>
      <c r="B1441" s="10" t="str">
        <f t="shared" si="1"/>
        <v>fish</v>
      </c>
      <c r="C1441" s="63" t="str">
        <f t="shared" si="2"/>
        <v>U17203</v>
      </c>
      <c r="D1441" s="11" t="str">
        <f t="array" ref="D1441">iferror(index(fish_lab_data!D:D,match(A1441,fish_lab_data!C:C,0)))</f>
        <v>P1121</v>
      </c>
      <c r="E1441" s="6">
        <v>111.0</v>
      </c>
      <c r="F1441" s="17" t="str">
        <f t="shared" si="3"/>
        <v>BCA111</v>
      </c>
      <c r="G1441" s="43" t="str">
        <f t="shared" si="4"/>
        <v>NA</v>
      </c>
      <c r="H1441" s="17" t="str">
        <f t="shared" si="5"/>
        <v>BCA111-NA</v>
      </c>
      <c r="J1441" t="str">
        <f t="shared" si="6"/>
        <v>collected</v>
      </c>
      <c r="K1441" t="str">
        <f t="shared" si="7"/>
        <v>N</v>
      </c>
    </row>
    <row r="1442">
      <c r="A1442" s="40" t="s">
        <v>1981</v>
      </c>
      <c r="B1442" s="10" t="str">
        <f t="shared" si="1"/>
        <v>fish</v>
      </c>
      <c r="C1442" s="63" t="str">
        <f t="shared" si="2"/>
        <v>U17204</v>
      </c>
      <c r="D1442" s="11" t="str">
        <f t="array" ref="D1442">iferror(index(fish_lab_data!D:D,match(A1442,fish_lab_data!C:C,0)))</f>
        <v>P1121</v>
      </c>
      <c r="E1442" s="6">
        <v>111.0</v>
      </c>
      <c r="F1442" s="17" t="str">
        <f t="shared" si="3"/>
        <v>BCA111</v>
      </c>
      <c r="G1442" s="43" t="str">
        <f t="shared" si="4"/>
        <v>NA</v>
      </c>
      <c r="H1442" s="17" t="str">
        <f t="shared" si="5"/>
        <v>BCA111-NA</v>
      </c>
      <c r="J1442" t="str">
        <f t="shared" si="6"/>
        <v>collected</v>
      </c>
      <c r="K1442" t="str">
        <f t="shared" si="7"/>
        <v>N</v>
      </c>
    </row>
    <row r="1443">
      <c r="A1443" s="40" t="s">
        <v>1982</v>
      </c>
      <c r="B1443" s="10" t="str">
        <f t="shared" si="1"/>
        <v>fish</v>
      </c>
      <c r="C1443" s="63" t="str">
        <f t="shared" si="2"/>
        <v>U17210</v>
      </c>
      <c r="D1443" s="11" t="str">
        <f t="array" ref="D1443">iferror(index(fish_lab_data!D:D,match(A1443,fish_lab_data!C:C,0)))</f>
        <v>P1121</v>
      </c>
      <c r="E1443" s="6">
        <v>111.0</v>
      </c>
      <c r="F1443" s="17" t="str">
        <f t="shared" si="3"/>
        <v>BCA111</v>
      </c>
      <c r="G1443" s="43" t="str">
        <f t="shared" si="4"/>
        <v>NA</v>
      </c>
      <c r="H1443" s="17" t="str">
        <f t="shared" si="5"/>
        <v>BCA111-NA</v>
      </c>
      <c r="J1443" t="str">
        <f t="shared" si="6"/>
        <v>collected</v>
      </c>
      <c r="K1443" t="str">
        <f t="shared" si="7"/>
        <v>N</v>
      </c>
    </row>
    <row r="1444">
      <c r="A1444" s="40" t="s">
        <v>1983</v>
      </c>
      <c r="B1444" s="10" t="str">
        <f t="shared" si="1"/>
        <v>fish</v>
      </c>
      <c r="C1444" s="63" t="str">
        <f t="shared" si="2"/>
        <v>U17491</v>
      </c>
      <c r="D1444" s="11" t="str">
        <f t="array" ref="D1444">iferror(index(fish_lab_data!D:D,match(A1444,fish_lab_data!C:C,0)))</f>
        <v>P1150</v>
      </c>
      <c r="E1444" s="6">
        <v>111.0</v>
      </c>
      <c r="F1444" s="17" t="str">
        <f t="shared" si="3"/>
        <v>BCA111</v>
      </c>
      <c r="G1444" s="43" t="str">
        <f t="shared" si="4"/>
        <v>NA</v>
      </c>
      <c r="H1444" s="17" t="str">
        <f t="shared" si="5"/>
        <v>BCA111-NA</v>
      </c>
      <c r="J1444" t="str">
        <f t="shared" si="6"/>
        <v>collected</v>
      </c>
      <c r="K1444" t="str">
        <f t="shared" si="7"/>
        <v>N</v>
      </c>
    </row>
    <row r="1445">
      <c r="A1445" s="40" t="s">
        <v>1984</v>
      </c>
      <c r="B1445" s="10" t="str">
        <f t="shared" si="1"/>
        <v>fish</v>
      </c>
      <c r="C1445" s="63" t="str">
        <f t="shared" si="2"/>
        <v>U17496</v>
      </c>
      <c r="D1445" s="11" t="str">
        <f t="array" ref="D1445">iferror(index(fish_lab_data!D:D,match(A1445,fish_lab_data!C:C,0)))</f>
        <v>P1150</v>
      </c>
      <c r="E1445" s="6">
        <v>111.0</v>
      </c>
      <c r="F1445" s="17" t="str">
        <f t="shared" si="3"/>
        <v>BCA111</v>
      </c>
      <c r="G1445" s="43" t="str">
        <f t="shared" si="4"/>
        <v>NA</v>
      </c>
      <c r="H1445" s="17" t="str">
        <f t="shared" si="5"/>
        <v>BCA111-NA</v>
      </c>
      <c r="J1445" t="str">
        <f t="shared" si="6"/>
        <v>collected</v>
      </c>
      <c r="K1445" t="str">
        <f t="shared" si="7"/>
        <v>N</v>
      </c>
    </row>
    <row r="1446">
      <c r="A1446" s="40" t="s">
        <v>1985</v>
      </c>
      <c r="B1446" s="10" t="str">
        <f t="shared" si="1"/>
        <v>fish</v>
      </c>
      <c r="C1446" s="63" t="str">
        <f t="shared" si="2"/>
        <v>U17494</v>
      </c>
      <c r="D1446" s="11" t="str">
        <f t="array" ref="D1446">iferror(index(fish_lab_data!D:D,match(A1446,fish_lab_data!C:C,0)))</f>
        <v>P1150</v>
      </c>
      <c r="E1446" s="6">
        <v>111.0</v>
      </c>
      <c r="F1446" s="17" t="str">
        <f t="shared" si="3"/>
        <v>BCA111</v>
      </c>
      <c r="G1446" s="43" t="str">
        <f t="shared" si="4"/>
        <v>NA</v>
      </c>
      <c r="H1446" s="17" t="str">
        <f t="shared" si="5"/>
        <v>BCA111-NA</v>
      </c>
      <c r="J1446" t="str">
        <f t="shared" si="6"/>
        <v>collected</v>
      </c>
      <c r="K1446" t="str">
        <f t="shared" si="7"/>
        <v>N</v>
      </c>
    </row>
    <row r="1447">
      <c r="A1447" s="40" t="s">
        <v>1987</v>
      </c>
      <c r="B1447" s="10" t="str">
        <f t="shared" si="1"/>
        <v>fish</v>
      </c>
      <c r="C1447" s="63" t="str">
        <f t="shared" si="2"/>
        <v>U17495</v>
      </c>
      <c r="D1447" s="11" t="str">
        <f t="array" ref="D1447">iferror(index(fish_lab_data!D:D,match(A1447,fish_lab_data!C:C,0)))</f>
        <v>P1150</v>
      </c>
      <c r="E1447" s="6">
        <v>111.0</v>
      </c>
      <c r="F1447" s="17" t="str">
        <f t="shared" si="3"/>
        <v>BCA111</v>
      </c>
      <c r="G1447" s="43" t="str">
        <f t="shared" si="4"/>
        <v>NA</v>
      </c>
      <c r="H1447" s="17" t="str">
        <f t="shared" si="5"/>
        <v>BCA111-NA</v>
      </c>
      <c r="J1447" t="str">
        <f t="shared" si="6"/>
        <v>collected</v>
      </c>
      <c r="K1447" t="str">
        <f t="shared" si="7"/>
        <v>N</v>
      </c>
    </row>
    <row r="1448">
      <c r="A1448" s="40" t="s">
        <v>1988</v>
      </c>
      <c r="B1448" s="10" t="str">
        <f t="shared" si="1"/>
        <v>fish</v>
      </c>
      <c r="C1448" s="63" t="str">
        <f t="shared" si="2"/>
        <v>U17492</v>
      </c>
      <c r="D1448" s="11" t="str">
        <f t="array" ref="D1448">iferror(index(fish_lab_data!D:D,match(A1448,fish_lab_data!C:C,0)))</f>
        <v>P1150</v>
      </c>
      <c r="E1448" s="6">
        <v>111.0</v>
      </c>
      <c r="F1448" s="17" t="str">
        <f t="shared" si="3"/>
        <v>BCA111</v>
      </c>
      <c r="G1448" s="43" t="str">
        <f t="shared" si="4"/>
        <v>NA</v>
      </c>
      <c r="H1448" s="17" t="str">
        <f t="shared" si="5"/>
        <v>BCA111-NA</v>
      </c>
      <c r="J1448" t="str">
        <f t="shared" si="6"/>
        <v>collected</v>
      </c>
      <c r="K1448" t="str">
        <f t="shared" si="7"/>
        <v>N</v>
      </c>
    </row>
    <row r="1449">
      <c r="A1449" s="40" t="s">
        <v>1989</v>
      </c>
      <c r="B1449" s="10" t="str">
        <f t="shared" si="1"/>
        <v>fish</v>
      </c>
      <c r="C1449" s="63" t="str">
        <f t="shared" si="2"/>
        <v>U17493</v>
      </c>
      <c r="D1449" s="11" t="str">
        <f t="array" ref="D1449">iferror(index(fish_lab_data!D:D,match(A1449,fish_lab_data!C:C,0)))</f>
        <v>P1150</v>
      </c>
      <c r="E1449" s="6">
        <v>111.0</v>
      </c>
      <c r="F1449" s="17" t="str">
        <f t="shared" si="3"/>
        <v>BCA111</v>
      </c>
      <c r="G1449" s="43" t="str">
        <f t="shared" si="4"/>
        <v>NA</v>
      </c>
      <c r="H1449" s="17" t="str">
        <f t="shared" si="5"/>
        <v>BCA111-NA</v>
      </c>
      <c r="J1449" t="str">
        <f t="shared" si="6"/>
        <v>collected</v>
      </c>
      <c r="K1449" t="str">
        <f t="shared" si="7"/>
        <v>N</v>
      </c>
    </row>
    <row r="1450">
      <c r="A1450" s="40" t="s">
        <v>1990</v>
      </c>
      <c r="B1450" s="10" t="str">
        <f t="shared" si="1"/>
        <v>fish</v>
      </c>
      <c r="C1450" s="63" t="str">
        <f t="shared" si="2"/>
        <v>U16225</v>
      </c>
      <c r="D1450" s="11" t="str">
        <f t="array" ref="D1450">iferror(index(fish_lab_data!D:D,match(A1450,fish_lab_data!C:C,0)))</f>
        <v>P1023</v>
      </c>
      <c r="E1450" s="6">
        <v>111.0</v>
      </c>
      <c r="F1450" s="17" t="str">
        <f t="shared" si="3"/>
        <v>BCA111</v>
      </c>
      <c r="G1450" s="43" t="str">
        <f t="shared" si="4"/>
        <v>NA</v>
      </c>
      <c r="H1450" s="17" t="str">
        <f t="shared" si="5"/>
        <v>BCA111-NA</v>
      </c>
      <c r="J1450" t="str">
        <f t="shared" si="6"/>
        <v>collected</v>
      </c>
      <c r="K1450" t="str">
        <f t="shared" si="7"/>
        <v>N</v>
      </c>
    </row>
    <row r="1451">
      <c r="A1451" s="40" t="s">
        <v>1991</v>
      </c>
      <c r="B1451" s="10" t="str">
        <f t="shared" si="1"/>
        <v>fish</v>
      </c>
      <c r="C1451" s="63" t="str">
        <f t="shared" si="2"/>
        <v>U16223</v>
      </c>
      <c r="D1451" s="11" t="str">
        <f t="array" ref="D1451">iferror(index(fish_lab_data!D:D,match(A1451,fish_lab_data!C:C,0)))</f>
        <v>P1023</v>
      </c>
      <c r="E1451" s="6">
        <v>111.0</v>
      </c>
      <c r="F1451" s="17" t="str">
        <f t="shared" si="3"/>
        <v>BCA111</v>
      </c>
      <c r="G1451" s="43" t="str">
        <f t="shared" si="4"/>
        <v>NA</v>
      </c>
      <c r="H1451" s="17" t="str">
        <f t="shared" si="5"/>
        <v>BCA111-NA</v>
      </c>
      <c r="J1451" t="str">
        <f t="shared" si="6"/>
        <v>collected</v>
      </c>
      <c r="K1451" t="str">
        <f t="shared" si="7"/>
        <v>N</v>
      </c>
    </row>
    <row r="1452">
      <c r="A1452" s="40" t="s">
        <v>1992</v>
      </c>
      <c r="B1452" s="10" t="str">
        <f t="shared" si="1"/>
        <v>fish</v>
      </c>
      <c r="C1452" s="63" t="str">
        <f t="shared" si="2"/>
        <v>U16224</v>
      </c>
      <c r="D1452" s="11" t="str">
        <f t="array" ref="D1452">iferror(index(fish_lab_data!D:D,match(A1452,fish_lab_data!C:C,0)))</f>
        <v>P1023</v>
      </c>
      <c r="E1452" s="6">
        <v>111.0</v>
      </c>
      <c r="F1452" s="17" t="str">
        <f t="shared" si="3"/>
        <v>BCA111</v>
      </c>
      <c r="G1452" s="43" t="str">
        <f t="shared" si="4"/>
        <v>NA</v>
      </c>
      <c r="H1452" s="17" t="str">
        <f t="shared" si="5"/>
        <v>BCA111-NA</v>
      </c>
      <c r="J1452" t="str">
        <f t="shared" si="6"/>
        <v>collected</v>
      </c>
      <c r="K1452" t="str">
        <f t="shared" si="7"/>
        <v>N</v>
      </c>
    </row>
    <row r="1453">
      <c r="A1453" s="40" t="s">
        <v>1993</v>
      </c>
      <c r="B1453" s="10" t="str">
        <f t="shared" si="1"/>
        <v>fish</v>
      </c>
      <c r="C1453" s="63" t="str">
        <f t="shared" si="2"/>
        <v>U16221</v>
      </c>
      <c r="D1453" s="11" t="str">
        <f t="array" ref="D1453">iferror(index(fish_lab_data!D:D,match(A1453,fish_lab_data!C:C,0)))</f>
        <v>P1023</v>
      </c>
      <c r="E1453" s="6">
        <v>111.0</v>
      </c>
      <c r="F1453" s="17" t="str">
        <f t="shared" si="3"/>
        <v>BCA111</v>
      </c>
      <c r="G1453" s="43" t="str">
        <f t="shared" si="4"/>
        <v>NA</v>
      </c>
      <c r="H1453" s="17" t="str">
        <f t="shared" si="5"/>
        <v>BCA111-NA</v>
      </c>
      <c r="J1453" t="str">
        <f t="shared" si="6"/>
        <v>collected</v>
      </c>
      <c r="K1453" t="str">
        <f t="shared" si="7"/>
        <v>N</v>
      </c>
    </row>
    <row r="1454">
      <c r="A1454" s="40" t="s">
        <v>1994</v>
      </c>
      <c r="B1454" s="10" t="str">
        <f t="shared" si="1"/>
        <v>fish</v>
      </c>
      <c r="C1454" s="63" t="str">
        <f t="shared" si="2"/>
        <v>U16222</v>
      </c>
      <c r="D1454" s="11" t="str">
        <f t="array" ref="D1454">iferror(index(fish_lab_data!D:D,match(A1454,fish_lab_data!C:C,0)))</f>
        <v>P1023</v>
      </c>
      <c r="E1454" s="6">
        <v>111.0</v>
      </c>
      <c r="F1454" s="17" t="str">
        <f t="shared" si="3"/>
        <v>BCA111</v>
      </c>
      <c r="G1454" s="43" t="str">
        <f t="shared" si="4"/>
        <v>NA</v>
      </c>
      <c r="H1454" s="17" t="str">
        <f t="shared" si="5"/>
        <v>BCA111-NA</v>
      </c>
      <c r="J1454" t="str">
        <f t="shared" si="6"/>
        <v>collected</v>
      </c>
      <c r="K1454" t="str">
        <f t="shared" si="7"/>
        <v>N</v>
      </c>
    </row>
    <row r="1455">
      <c r="A1455" s="40" t="s">
        <v>1995</v>
      </c>
      <c r="B1455" s="10" t="str">
        <f t="shared" si="1"/>
        <v>fish</v>
      </c>
      <c r="C1455" s="63" t="str">
        <f t="shared" si="2"/>
        <v>U16474</v>
      </c>
      <c r="D1455" s="11" t="str">
        <f t="array" ref="D1455">iferror(index(fish_lab_data!D:D,match(A1455,fish_lab_data!C:C,0)))</f>
        <v>P1048</v>
      </c>
      <c r="E1455" s="6">
        <v>111.0</v>
      </c>
      <c r="F1455" s="17" t="str">
        <f t="shared" si="3"/>
        <v>BCA111</v>
      </c>
      <c r="G1455" s="43" t="str">
        <f t="shared" si="4"/>
        <v>NA</v>
      </c>
      <c r="H1455" s="17" t="str">
        <f t="shared" si="5"/>
        <v>BCA111-NA</v>
      </c>
      <c r="J1455" t="str">
        <f t="shared" si="6"/>
        <v>collected</v>
      </c>
      <c r="K1455" t="str">
        <f t="shared" si="7"/>
        <v>N</v>
      </c>
    </row>
    <row r="1456">
      <c r="A1456" s="40" t="s">
        <v>1996</v>
      </c>
      <c r="B1456" s="10" t="str">
        <f t="shared" si="1"/>
        <v>fish</v>
      </c>
      <c r="C1456" s="63" t="str">
        <f t="shared" si="2"/>
        <v>U16471</v>
      </c>
      <c r="D1456" s="11" t="str">
        <f t="array" ref="D1456">iferror(index(fish_lab_data!D:D,match(A1456,fish_lab_data!C:C,0)))</f>
        <v>P1048</v>
      </c>
      <c r="E1456" s="6">
        <v>111.0</v>
      </c>
      <c r="F1456" s="17" t="str">
        <f t="shared" si="3"/>
        <v>BCA111</v>
      </c>
      <c r="G1456" s="43" t="str">
        <f t="shared" si="4"/>
        <v>NA</v>
      </c>
      <c r="H1456" s="17" t="str">
        <f t="shared" si="5"/>
        <v>BCA111-NA</v>
      </c>
      <c r="J1456" t="str">
        <f t="shared" si="6"/>
        <v>collected</v>
      </c>
      <c r="K1456" t="str">
        <f t="shared" si="7"/>
        <v>N</v>
      </c>
    </row>
    <row r="1457">
      <c r="A1457" s="40" t="s">
        <v>1997</v>
      </c>
      <c r="B1457" s="10" t="str">
        <f t="shared" si="1"/>
        <v>fish</v>
      </c>
      <c r="C1457" s="63" t="str">
        <f t="shared" si="2"/>
        <v>U16473</v>
      </c>
      <c r="D1457" s="11" t="str">
        <f t="array" ref="D1457">iferror(index(fish_lab_data!D:D,match(A1457,fish_lab_data!C:C,0)))</f>
        <v>P1048</v>
      </c>
      <c r="E1457" s="6">
        <v>111.0</v>
      </c>
      <c r="F1457" s="17" t="str">
        <f t="shared" si="3"/>
        <v>BCA111</v>
      </c>
      <c r="G1457" s="43" t="str">
        <f t="shared" si="4"/>
        <v>NA</v>
      </c>
      <c r="H1457" s="17" t="str">
        <f t="shared" si="5"/>
        <v>BCA111-NA</v>
      </c>
      <c r="J1457" t="str">
        <f t="shared" si="6"/>
        <v>collected</v>
      </c>
      <c r="K1457" t="str">
        <f t="shared" si="7"/>
        <v>N</v>
      </c>
    </row>
    <row r="1458">
      <c r="A1458" s="40" t="s">
        <v>1998</v>
      </c>
      <c r="B1458" s="10" t="str">
        <f t="shared" si="1"/>
        <v>fish</v>
      </c>
      <c r="C1458" s="63" t="str">
        <f t="shared" si="2"/>
        <v>U16472</v>
      </c>
      <c r="D1458" s="11" t="str">
        <f t="array" ref="D1458">iferror(index(fish_lab_data!D:D,match(A1458,fish_lab_data!C:C,0)))</f>
        <v>P1048</v>
      </c>
      <c r="E1458" s="6">
        <v>111.0</v>
      </c>
      <c r="F1458" s="17" t="str">
        <f t="shared" si="3"/>
        <v>BCA111</v>
      </c>
      <c r="G1458" s="43" t="str">
        <f t="shared" si="4"/>
        <v>NA</v>
      </c>
      <c r="H1458" s="17" t="str">
        <f t="shared" si="5"/>
        <v>BCA111-NA</v>
      </c>
      <c r="J1458" t="str">
        <f t="shared" si="6"/>
        <v>collected</v>
      </c>
      <c r="K1458" t="str">
        <f t="shared" si="7"/>
        <v>N</v>
      </c>
    </row>
    <row r="1459">
      <c r="A1459" s="40" t="s">
        <v>1999</v>
      </c>
      <c r="B1459" s="10" t="str">
        <f t="shared" si="1"/>
        <v>fish</v>
      </c>
      <c r="C1459" s="63" t="str">
        <f t="shared" si="2"/>
        <v>U16841</v>
      </c>
      <c r="D1459" s="11" t="str">
        <f t="array" ref="D1459">iferror(index(fish_lab_data!D:D,match(A1459,fish_lab_data!C:C,0)))</f>
        <v>P1085</v>
      </c>
      <c r="E1459" s="6">
        <v>112.0</v>
      </c>
      <c r="F1459" s="17" t="str">
        <f t="shared" si="3"/>
        <v>BCA112</v>
      </c>
      <c r="G1459" s="43" t="str">
        <f t="shared" si="4"/>
        <v>NA</v>
      </c>
      <c r="H1459" s="17" t="str">
        <f t="shared" si="5"/>
        <v>BCA112-NA</v>
      </c>
      <c r="J1459" t="str">
        <f t="shared" si="6"/>
        <v>collected</v>
      </c>
      <c r="K1459" t="str">
        <f t="shared" si="7"/>
        <v>N</v>
      </c>
    </row>
    <row r="1460">
      <c r="A1460" s="40" t="s">
        <v>2000</v>
      </c>
      <c r="B1460" s="10" t="str">
        <f t="shared" si="1"/>
        <v>fish</v>
      </c>
      <c r="C1460" s="63" t="str">
        <f t="shared" si="2"/>
        <v>U16845</v>
      </c>
      <c r="D1460" s="11" t="str">
        <f t="array" ref="D1460">iferror(index(fish_lab_data!D:D,match(A1460,fish_lab_data!C:C,0)))</f>
        <v>P1085</v>
      </c>
      <c r="E1460" s="6">
        <v>112.0</v>
      </c>
      <c r="F1460" s="17" t="str">
        <f t="shared" si="3"/>
        <v>BCA112</v>
      </c>
      <c r="G1460" s="43" t="str">
        <f t="shared" si="4"/>
        <v>NA</v>
      </c>
      <c r="H1460" s="17" t="str">
        <f t="shared" si="5"/>
        <v>BCA112-NA</v>
      </c>
      <c r="J1460" t="str">
        <f t="shared" si="6"/>
        <v>collected</v>
      </c>
      <c r="K1460" t="str">
        <f t="shared" si="7"/>
        <v>N</v>
      </c>
    </row>
    <row r="1461">
      <c r="A1461" s="40" t="s">
        <v>2001</v>
      </c>
      <c r="B1461" s="10" t="str">
        <f t="shared" si="1"/>
        <v>fish</v>
      </c>
      <c r="C1461" s="63" t="str">
        <f t="shared" si="2"/>
        <v>U16844</v>
      </c>
      <c r="D1461" s="11" t="str">
        <f t="array" ref="D1461">iferror(index(fish_lab_data!D:D,match(A1461,fish_lab_data!C:C,0)))</f>
        <v>P1085</v>
      </c>
      <c r="E1461" s="6">
        <v>112.0</v>
      </c>
      <c r="F1461" s="17" t="str">
        <f t="shared" si="3"/>
        <v>BCA112</v>
      </c>
      <c r="G1461" s="43" t="str">
        <f t="shared" si="4"/>
        <v>NA</v>
      </c>
      <c r="H1461" s="17" t="str">
        <f t="shared" si="5"/>
        <v>BCA112-NA</v>
      </c>
      <c r="J1461" t="str">
        <f t="shared" si="6"/>
        <v>collected</v>
      </c>
      <c r="K1461" t="str">
        <f t="shared" si="7"/>
        <v>N</v>
      </c>
    </row>
    <row r="1462">
      <c r="A1462" s="40" t="s">
        <v>2002</v>
      </c>
      <c r="B1462" s="10" t="str">
        <f t="shared" si="1"/>
        <v>fish</v>
      </c>
      <c r="C1462" s="63" t="str">
        <f t="shared" si="2"/>
        <v>U16849</v>
      </c>
      <c r="D1462" s="11" t="str">
        <f t="array" ref="D1462">iferror(index(fish_lab_data!D:D,match(A1462,fish_lab_data!C:C,0)))</f>
        <v>P1085</v>
      </c>
      <c r="E1462" s="6">
        <v>112.0</v>
      </c>
      <c r="F1462" s="17" t="str">
        <f t="shared" si="3"/>
        <v>BCA112</v>
      </c>
      <c r="G1462" s="43" t="str">
        <f t="shared" si="4"/>
        <v>NA</v>
      </c>
      <c r="H1462" s="17" t="str">
        <f t="shared" si="5"/>
        <v>BCA112-NA</v>
      </c>
      <c r="J1462" t="str">
        <f t="shared" si="6"/>
        <v>collected</v>
      </c>
      <c r="K1462" t="str">
        <f t="shared" si="7"/>
        <v>N</v>
      </c>
    </row>
    <row r="1463">
      <c r="A1463" s="40" t="s">
        <v>2003</v>
      </c>
      <c r="B1463" s="10" t="str">
        <f t="shared" si="1"/>
        <v>fish</v>
      </c>
      <c r="C1463" s="63" t="str">
        <f t="shared" si="2"/>
        <v>U16847</v>
      </c>
      <c r="D1463" s="11" t="str">
        <f t="array" ref="D1463">iferror(index(fish_lab_data!D:D,match(A1463,fish_lab_data!C:C,0)))</f>
        <v>P1085</v>
      </c>
      <c r="E1463" s="6">
        <v>112.0</v>
      </c>
      <c r="F1463" s="17" t="str">
        <f t="shared" si="3"/>
        <v>BCA112</v>
      </c>
      <c r="G1463" s="43" t="str">
        <f t="shared" si="4"/>
        <v>NA</v>
      </c>
      <c r="H1463" s="17" t="str">
        <f t="shared" si="5"/>
        <v>BCA112-NA</v>
      </c>
      <c r="J1463" t="str">
        <f t="shared" si="6"/>
        <v>collected</v>
      </c>
      <c r="K1463" t="str">
        <f t="shared" si="7"/>
        <v>N</v>
      </c>
    </row>
    <row r="1464">
      <c r="A1464" s="40" t="s">
        <v>2005</v>
      </c>
      <c r="B1464" s="10" t="str">
        <f t="shared" si="1"/>
        <v>fish</v>
      </c>
      <c r="C1464" s="63" t="str">
        <f t="shared" si="2"/>
        <v>U16848</v>
      </c>
      <c r="D1464" s="11" t="str">
        <f t="array" ref="D1464">iferror(index(fish_lab_data!D:D,match(A1464,fish_lab_data!C:C,0)))</f>
        <v>P1085</v>
      </c>
      <c r="E1464" s="6">
        <v>112.0</v>
      </c>
      <c r="F1464" s="17" t="str">
        <f t="shared" si="3"/>
        <v>BCA112</v>
      </c>
      <c r="G1464" s="43" t="str">
        <f t="shared" si="4"/>
        <v>NA</v>
      </c>
      <c r="H1464" s="17" t="str">
        <f t="shared" si="5"/>
        <v>BCA112-NA</v>
      </c>
      <c r="J1464" t="str">
        <f t="shared" si="6"/>
        <v>collected</v>
      </c>
      <c r="K1464" t="str">
        <f t="shared" si="7"/>
        <v>N</v>
      </c>
    </row>
    <row r="1465">
      <c r="A1465" s="40" t="s">
        <v>2007</v>
      </c>
      <c r="B1465" s="10" t="str">
        <f t="shared" si="1"/>
        <v>fish</v>
      </c>
      <c r="C1465" s="63" t="str">
        <f t="shared" si="2"/>
        <v>U16850</v>
      </c>
      <c r="D1465" s="11" t="str">
        <f t="array" ref="D1465">iferror(index(fish_lab_data!D:D,match(A1465,fish_lab_data!C:C,0)))</f>
        <v>P1085</v>
      </c>
      <c r="E1465" s="6">
        <v>112.0</v>
      </c>
      <c r="F1465" s="17" t="str">
        <f t="shared" si="3"/>
        <v>BCA112</v>
      </c>
      <c r="G1465" s="43" t="str">
        <f t="shared" si="4"/>
        <v>NA</v>
      </c>
      <c r="H1465" s="17" t="str">
        <f t="shared" si="5"/>
        <v>BCA112-NA</v>
      </c>
      <c r="J1465" t="str">
        <f t="shared" si="6"/>
        <v>collected</v>
      </c>
      <c r="K1465" t="str">
        <f t="shared" si="7"/>
        <v>N</v>
      </c>
    </row>
    <row r="1466">
      <c r="A1466" s="40" t="s">
        <v>2008</v>
      </c>
      <c r="B1466" s="10" t="str">
        <f t="shared" si="1"/>
        <v>fish</v>
      </c>
      <c r="C1466" s="63" t="str">
        <f t="shared" si="2"/>
        <v>U16843</v>
      </c>
      <c r="D1466" s="11" t="str">
        <f t="array" ref="D1466">iferror(index(fish_lab_data!D:D,match(A1466,fish_lab_data!C:C,0)))</f>
        <v>P1085</v>
      </c>
      <c r="E1466" s="6">
        <v>112.0</v>
      </c>
      <c r="F1466" s="17" t="str">
        <f t="shared" si="3"/>
        <v>BCA112</v>
      </c>
      <c r="G1466" s="43" t="str">
        <f t="shared" si="4"/>
        <v>NA</v>
      </c>
      <c r="H1466" s="17" t="str">
        <f t="shared" si="5"/>
        <v>BCA112-NA</v>
      </c>
      <c r="J1466" t="str">
        <f t="shared" si="6"/>
        <v>collected</v>
      </c>
      <c r="K1466" t="str">
        <f t="shared" si="7"/>
        <v>N</v>
      </c>
    </row>
    <row r="1467">
      <c r="A1467" s="40" t="s">
        <v>2009</v>
      </c>
      <c r="B1467" s="10" t="str">
        <f t="shared" si="1"/>
        <v>fish</v>
      </c>
      <c r="C1467" s="63" t="str">
        <f t="shared" si="2"/>
        <v>U16846</v>
      </c>
      <c r="D1467" s="11" t="str">
        <f t="array" ref="D1467">iferror(index(fish_lab_data!D:D,match(A1467,fish_lab_data!C:C,0)))</f>
        <v>P1085</v>
      </c>
      <c r="E1467" s="6">
        <v>112.0</v>
      </c>
      <c r="F1467" s="17" t="str">
        <f t="shared" si="3"/>
        <v>BCA112</v>
      </c>
      <c r="G1467" s="43" t="str">
        <f t="shared" si="4"/>
        <v>NA</v>
      </c>
      <c r="H1467" s="17" t="str">
        <f t="shared" si="5"/>
        <v>BCA112-NA</v>
      </c>
      <c r="J1467" t="str">
        <f t="shared" si="6"/>
        <v>collected</v>
      </c>
      <c r="K1467" t="str">
        <f t="shared" si="7"/>
        <v>N</v>
      </c>
    </row>
    <row r="1468">
      <c r="A1468" s="40" t="s">
        <v>2010</v>
      </c>
      <c r="B1468" s="10" t="str">
        <f t="shared" si="1"/>
        <v>fish</v>
      </c>
      <c r="C1468" s="63" t="str">
        <f t="shared" si="2"/>
        <v>U16842</v>
      </c>
      <c r="D1468" s="11" t="str">
        <f t="array" ref="D1468">iferror(index(fish_lab_data!D:D,match(A1468,fish_lab_data!C:C,0)))</f>
        <v>P1085</v>
      </c>
      <c r="E1468" s="6">
        <v>112.0</v>
      </c>
      <c r="F1468" s="17" t="str">
        <f t="shared" si="3"/>
        <v>BCA112</v>
      </c>
      <c r="G1468" s="43" t="str">
        <f t="shared" si="4"/>
        <v>NA</v>
      </c>
      <c r="H1468" s="17" t="str">
        <f t="shared" si="5"/>
        <v>BCA112-NA</v>
      </c>
      <c r="J1468" t="str">
        <f t="shared" si="6"/>
        <v>collected</v>
      </c>
      <c r="K1468" t="str">
        <f t="shared" si="7"/>
        <v>N</v>
      </c>
    </row>
    <row r="1469">
      <c r="A1469" s="40" t="s">
        <v>2012</v>
      </c>
      <c r="B1469" s="10" t="str">
        <f t="shared" si="1"/>
        <v>fish</v>
      </c>
      <c r="C1469" s="63" t="str">
        <f t="shared" si="2"/>
        <v>U16771</v>
      </c>
      <c r="D1469" s="11" t="str">
        <f t="array" ref="D1469">iferror(index(fish_lab_data!D:D,match(A1469,fish_lab_data!C:C,0)))</f>
        <v>P1078</v>
      </c>
      <c r="E1469" s="6">
        <v>112.0</v>
      </c>
      <c r="F1469" s="17" t="str">
        <f t="shared" si="3"/>
        <v>BCA112</v>
      </c>
      <c r="G1469" s="43" t="str">
        <f t="shared" si="4"/>
        <v>NA</v>
      </c>
      <c r="H1469" s="17" t="str">
        <f t="shared" si="5"/>
        <v>BCA112-NA</v>
      </c>
      <c r="J1469" t="str">
        <f t="shared" si="6"/>
        <v>collected</v>
      </c>
      <c r="K1469" t="str">
        <f t="shared" si="7"/>
        <v>N</v>
      </c>
    </row>
    <row r="1470">
      <c r="A1470" s="40" t="s">
        <v>2013</v>
      </c>
      <c r="B1470" s="10" t="str">
        <f t="shared" si="1"/>
        <v>fish</v>
      </c>
      <c r="C1470" s="63" t="str">
        <f t="shared" si="2"/>
        <v>U16779</v>
      </c>
      <c r="D1470" s="11" t="str">
        <f t="array" ref="D1470">iferror(index(fish_lab_data!D:D,match(A1470,fish_lab_data!C:C,0)))</f>
        <v>P1078</v>
      </c>
      <c r="E1470" s="6">
        <v>112.0</v>
      </c>
      <c r="F1470" s="17" t="str">
        <f t="shared" si="3"/>
        <v>BCA112</v>
      </c>
      <c r="G1470" s="43" t="str">
        <f t="shared" si="4"/>
        <v>NA</v>
      </c>
      <c r="H1470" s="17" t="str">
        <f t="shared" si="5"/>
        <v>BCA112-NA</v>
      </c>
      <c r="J1470" t="str">
        <f t="shared" si="6"/>
        <v>collected</v>
      </c>
      <c r="K1470" t="str">
        <f t="shared" si="7"/>
        <v>N</v>
      </c>
    </row>
    <row r="1471">
      <c r="A1471" s="40" t="s">
        <v>2014</v>
      </c>
      <c r="B1471" s="10" t="str">
        <f t="shared" si="1"/>
        <v>fish</v>
      </c>
      <c r="C1471" s="63" t="str">
        <f t="shared" si="2"/>
        <v>U16776</v>
      </c>
      <c r="D1471" s="11" t="str">
        <f t="array" ref="D1471">iferror(index(fish_lab_data!D:D,match(A1471,fish_lab_data!C:C,0)))</f>
        <v>P1078</v>
      </c>
      <c r="E1471" s="6">
        <v>112.0</v>
      </c>
      <c r="F1471" s="17" t="str">
        <f t="shared" si="3"/>
        <v>BCA112</v>
      </c>
      <c r="G1471" s="43" t="str">
        <f t="shared" si="4"/>
        <v>NA</v>
      </c>
      <c r="H1471" s="17" t="str">
        <f t="shared" si="5"/>
        <v>BCA112-NA</v>
      </c>
      <c r="J1471" t="str">
        <f t="shared" si="6"/>
        <v>collected</v>
      </c>
      <c r="K1471" t="str">
        <f t="shared" si="7"/>
        <v>N</v>
      </c>
    </row>
    <row r="1472">
      <c r="A1472" s="40" t="s">
        <v>2015</v>
      </c>
      <c r="B1472" s="10" t="str">
        <f t="shared" si="1"/>
        <v>fish</v>
      </c>
      <c r="C1472" s="63" t="str">
        <f t="shared" si="2"/>
        <v>U16780</v>
      </c>
      <c r="D1472" s="11" t="str">
        <f t="array" ref="D1472">iferror(index(fish_lab_data!D:D,match(A1472,fish_lab_data!C:C,0)))</f>
        <v>P1078</v>
      </c>
      <c r="E1472" s="6">
        <v>112.0</v>
      </c>
      <c r="F1472" s="17" t="str">
        <f t="shared" si="3"/>
        <v>BCA112</v>
      </c>
      <c r="G1472" s="43" t="str">
        <f t="shared" si="4"/>
        <v>NA</v>
      </c>
      <c r="H1472" s="17" t="str">
        <f t="shared" si="5"/>
        <v>BCA112-NA</v>
      </c>
      <c r="J1472" t="str">
        <f t="shared" si="6"/>
        <v>collected</v>
      </c>
      <c r="K1472" t="str">
        <f t="shared" si="7"/>
        <v>N</v>
      </c>
    </row>
    <row r="1473">
      <c r="A1473" s="40" t="s">
        <v>2016</v>
      </c>
      <c r="B1473" s="10" t="str">
        <f t="shared" si="1"/>
        <v>fish</v>
      </c>
      <c r="C1473" s="63" t="str">
        <f t="shared" si="2"/>
        <v>U16774</v>
      </c>
      <c r="D1473" s="11" t="str">
        <f t="array" ref="D1473">iferror(index(fish_lab_data!D:D,match(A1473,fish_lab_data!C:C,0)))</f>
        <v>P1078</v>
      </c>
      <c r="E1473" s="6">
        <v>112.0</v>
      </c>
      <c r="F1473" s="17" t="str">
        <f t="shared" si="3"/>
        <v>BCA112</v>
      </c>
      <c r="G1473" s="43" t="str">
        <f t="shared" si="4"/>
        <v>NA</v>
      </c>
      <c r="H1473" s="17" t="str">
        <f t="shared" si="5"/>
        <v>BCA112-NA</v>
      </c>
      <c r="J1473" t="str">
        <f t="shared" si="6"/>
        <v>collected</v>
      </c>
      <c r="K1473" t="str">
        <f t="shared" si="7"/>
        <v>N</v>
      </c>
    </row>
    <row r="1474">
      <c r="A1474" s="40" t="s">
        <v>2017</v>
      </c>
      <c r="B1474" s="10" t="str">
        <f t="shared" si="1"/>
        <v>fish</v>
      </c>
      <c r="C1474" s="63" t="str">
        <f t="shared" si="2"/>
        <v>U16773</v>
      </c>
      <c r="D1474" s="11" t="str">
        <f t="array" ref="D1474">iferror(index(fish_lab_data!D:D,match(A1474,fish_lab_data!C:C,0)))</f>
        <v>P1078</v>
      </c>
      <c r="E1474" s="6">
        <v>112.0</v>
      </c>
      <c r="F1474" s="17" t="str">
        <f t="shared" si="3"/>
        <v>BCA112</v>
      </c>
      <c r="G1474" s="43" t="str">
        <f t="shared" si="4"/>
        <v>NA</v>
      </c>
      <c r="H1474" s="17" t="str">
        <f t="shared" si="5"/>
        <v>BCA112-NA</v>
      </c>
      <c r="J1474" t="str">
        <f t="shared" si="6"/>
        <v>collected</v>
      </c>
      <c r="K1474" t="str">
        <f t="shared" si="7"/>
        <v>N</v>
      </c>
    </row>
    <row r="1475">
      <c r="A1475" s="27" t="s">
        <v>2018</v>
      </c>
      <c r="B1475" s="10" t="str">
        <f t="shared" si="1"/>
        <v>fish</v>
      </c>
      <c r="C1475" s="63" t="str">
        <f t="shared" si="2"/>
        <v>U17179</v>
      </c>
      <c r="D1475" s="11" t="str">
        <f t="array" ref="D1475">iferror(index(fish_lab_data!D:D,match(A1475,fish_lab_data!C:C,0)))</f>
        <v>P1118</v>
      </c>
      <c r="E1475" s="6">
        <v>112.0</v>
      </c>
      <c r="F1475" s="17" t="str">
        <f t="shared" si="3"/>
        <v>BCA112</v>
      </c>
      <c r="G1475" s="43" t="str">
        <f t="shared" si="4"/>
        <v>NA</v>
      </c>
      <c r="H1475" s="17" t="str">
        <f t="shared" si="5"/>
        <v>BCA112-NA</v>
      </c>
      <c r="J1475" t="str">
        <f t="shared" si="6"/>
        <v>collected</v>
      </c>
      <c r="K1475" t="str">
        <f t="shared" si="7"/>
        <v>N</v>
      </c>
    </row>
    <row r="1476">
      <c r="A1476" s="27" t="s">
        <v>2019</v>
      </c>
      <c r="B1476" s="10" t="str">
        <f t="shared" si="1"/>
        <v>fish</v>
      </c>
      <c r="C1476" s="63" t="str">
        <f t="shared" si="2"/>
        <v>U17178</v>
      </c>
      <c r="D1476" s="11" t="str">
        <f t="array" ref="D1476">iferror(index(fish_lab_data!D:D,match(A1476,fish_lab_data!C:C,0)))</f>
        <v>P1118</v>
      </c>
      <c r="E1476" s="6">
        <v>112.0</v>
      </c>
      <c r="F1476" s="17" t="str">
        <f t="shared" si="3"/>
        <v>BCA112</v>
      </c>
      <c r="G1476" s="43" t="str">
        <f t="shared" si="4"/>
        <v>NA</v>
      </c>
      <c r="H1476" s="17" t="str">
        <f t="shared" si="5"/>
        <v>BCA112-NA</v>
      </c>
      <c r="J1476" t="str">
        <f t="shared" si="6"/>
        <v>collected</v>
      </c>
      <c r="K1476" t="str">
        <f t="shared" si="7"/>
        <v>N</v>
      </c>
    </row>
    <row r="1477">
      <c r="A1477" s="27" t="s">
        <v>2020</v>
      </c>
      <c r="B1477" s="10" t="str">
        <f t="shared" si="1"/>
        <v>fish</v>
      </c>
      <c r="C1477" s="63" t="str">
        <f t="shared" si="2"/>
        <v>U17171</v>
      </c>
      <c r="D1477" s="11" t="str">
        <f t="array" ref="D1477">iferror(index(fish_lab_data!D:D,match(A1477,fish_lab_data!C:C,0)))</f>
        <v>P1118</v>
      </c>
      <c r="E1477" s="6">
        <v>112.0</v>
      </c>
      <c r="F1477" s="17" t="str">
        <f t="shared" si="3"/>
        <v>BCA112</v>
      </c>
      <c r="G1477" s="43" t="str">
        <f t="shared" si="4"/>
        <v>NA</v>
      </c>
      <c r="H1477" s="17" t="str">
        <f t="shared" si="5"/>
        <v>BCA112-NA</v>
      </c>
      <c r="J1477" t="str">
        <f t="shared" si="6"/>
        <v>collected</v>
      </c>
      <c r="K1477" t="str">
        <f t="shared" si="7"/>
        <v>N</v>
      </c>
    </row>
    <row r="1478">
      <c r="A1478" s="27" t="s">
        <v>2021</v>
      </c>
      <c r="B1478" s="10" t="str">
        <f t="shared" si="1"/>
        <v>fish</v>
      </c>
      <c r="C1478" s="63" t="str">
        <f t="shared" si="2"/>
        <v>U17175</v>
      </c>
      <c r="D1478" s="11" t="str">
        <f t="array" ref="D1478">iferror(index(fish_lab_data!D:D,match(A1478,fish_lab_data!C:C,0)))</f>
        <v>P1118</v>
      </c>
      <c r="E1478" s="6">
        <v>112.0</v>
      </c>
      <c r="F1478" s="17" t="str">
        <f t="shared" si="3"/>
        <v>BCA112</v>
      </c>
      <c r="G1478" s="43" t="str">
        <f t="shared" si="4"/>
        <v>NA</v>
      </c>
      <c r="H1478" s="17" t="str">
        <f t="shared" si="5"/>
        <v>BCA112-NA</v>
      </c>
      <c r="J1478" t="str">
        <f t="shared" si="6"/>
        <v>collected</v>
      </c>
      <c r="K1478" t="str">
        <f t="shared" si="7"/>
        <v>N</v>
      </c>
    </row>
    <row r="1479">
      <c r="A1479" s="27" t="s">
        <v>2022</v>
      </c>
      <c r="B1479" s="10" t="str">
        <f t="shared" si="1"/>
        <v>fish</v>
      </c>
      <c r="C1479" s="63" t="str">
        <f t="shared" si="2"/>
        <v>U17174</v>
      </c>
      <c r="D1479" s="11" t="str">
        <f t="array" ref="D1479">iferror(index(fish_lab_data!D:D,match(A1479,fish_lab_data!C:C,0)))</f>
        <v>P1118</v>
      </c>
      <c r="E1479" s="6">
        <v>112.0</v>
      </c>
      <c r="F1479" s="17" t="str">
        <f t="shared" si="3"/>
        <v>BCA112</v>
      </c>
      <c r="G1479" s="43" t="str">
        <f t="shared" si="4"/>
        <v>NA</v>
      </c>
      <c r="H1479" s="17" t="str">
        <f t="shared" si="5"/>
        <v>BCA112-NA</v>
      </c>
      <c r="J1479" t="str">
        <f t="shared" si="6"/>
        <v>collected</v>
      </c>
      <c r="K1479" t="str">
        <f t="shared" si="7"/>
        <v>N</v>
      </c>
    </row>
    <row r="1480">
      <c r="A1480" s="27" t="s">
        <v>2023</v>
      </c>
      <c r="B1480" s="10" t="str">
        <f t="shared" si="1"/>
        <v>fish</v>
      </c>
      <c r="C1480" s="63" t="str">
        <f t="shared" si="2"/>
        <v>U17177</v>
      </c>
      <c r="D1480" s="11" t="str">
        <f t="array" ref="D1480">iferror(index(fish_lab_data!D:D,match(A1480,fish_lab_data!C:C,0)))</f>
        <v>P1118</v>
      </c>
      <c r="E1480" s="6">
        <v>112.0</v>
      </c>
      <c r="F1480" s="17" t="str">
        <f t="shared" si="3"/>
        <v>BCA112</v>
      </c>
      <c r="G1480" s="43" t="str">
        <f t="shared" si="4"/>
        <v>NA</v>
      </c>
      <c r="H1480" s="17" t="str">
        <f t="shared" si="5"/>
        <v>BCA112-NA</v>
      </c>
      <c r="J1480" t="str">
        <f t="shared" si="6"/>
        <v>collected</v>
      </c>
      <c r="K1480" t="str">
        <f t="shared" si="7"/>
        <v>N</v>
      </c>
    </row>
    <row r="1481">
      <c r="A1481" s="27" t="s">
        <v>2024</v>
      </c>
      <c r="B1481" s="10" t="str">
        <f t="shared" si="1"/>
        <v>fish</v>
      </c>
      <c r="C1481" s="63" t="str">
        <f t="shared" si="2"/>
        <v>U17176</v>
      </c>
      <c r="D1481" s="11" t="str">
        <f t="array" ref="D1481">iferror(index(fish_lab_data!D:D,match(A1481,fish_lab_data!C:C,0)))</f>
        <v>P1118</v>
      </c>
      <c r="E1481" s="6">
        <v>112.0</v>
      </c>
      <c r="F1481" s="17" t="str">
        <f t="shared" si="3"/>
        <v>BCA112</v>
      </c>
      <c r="G1481" s="43" t="str">
        <f t="shared" si="4"/>
        <v>NA</v>
      </c>
      <c r="H1481" s="17" t="str">
        <f t="shared" si="5"/>
        <v>BCA112-NA</v>
      </c>
      <c r="J1481" t="str">
        <f t="shared" si="6"/>
        <v>collected</v>
      </c>
      <c r="K1481" t="str">
        <f t="shared" si="7"/>
        <v>N</v>
      </c>
    </row>
    <row r="1482">
      <c r="A1482" s="27" t="s">
        <v>2025</v>
      </c>
      <c r="B1482" s="10" t="str">
        <f t="shared" si="1"/>
        <v>fish</v>
      </c>
      <c r="C1482" s="63" t="str">
        <f t="shared" si="2"/>
        <v>U17172</v>
      </c>
      <c r="D1482" s="11" t="str">
        <f t="array" ref="D1482">iferror(index(fish_lab_data!D:D,match(A1482,fish_lab_data!C:C,0)))</f>
        <v>P1118</v>
      </c>
      <c r="E1482" s="6">
        <v>112.0</v>
      </c>
      <c r="F1482" s="17" t="str">
        <f t="shared" si="3"/>
        <v>BCA112</v>
      </c>
      <c r="G1482" s="43" t="str">
        <f t="shared" si="4"/>
        <v>NA</v>
      </c>
      <c r="H1482" s="17" t="str">
        <f t="shared" si="5"/>
        <v>BCA112-NA</v>
      </c>
      <c r="J1482" t="str">
        <f t="shared" si="6"/>
        <v>collected</v>
      </c>
      <c r="K1482" t="str">
        <f t="shared" si="7"/>
        <v>N</v>
      </c>
    </row>
    <row r="1483">
      <c r="A1483" s="27" t="s">
        <v>2026</v>
      </c>
      <c r="B1483" s="10" t="str">
        <f t="shared" si="1"/>
        <v>fish</v>
      </c>
      <c r="C1483" s="63" t="str">
        <f t="shared" si="2"/>
        <v>U17173</v>
      </c>
      <c r="D1483" s="11" t="str">
        <f t="array" ref="D1483">iferror(index(fish_lab_data!D:D,match(A1483,fish_lab_data!C:C,0)))</f>
        <v>P1118</v>
      </c>
      <c r="E1483" s="6">
        <v>112.0</v>
      </c>
      <c r="F1483" s="17" t="str">
        <f t="shared" si="3"/>
        <v>BCA112</v>
      </c>
      <c r="G1483" s="43" t="str">
        <f t="shared" si="4"/>
        <v>NA</v>
      </c>
      <c r="H1483" s="17" t="str">
        <f t="shared" si="5"/>
        <v>BCA112-NA</v>
      </c>
      <c r="J1483" t="str">
        <f t="shared" si="6"/>
        <v>collected</v>
      </c>
      <c r="K1483" t="str">
        <f t="shared" si="7"/>
        <v>N</v>
      </c>
    </row>
    <row r="1484">
      <c r="A1484" s="27" t="s">
        <v>2027</v>
      </c>
      <c r="B1484" s="10" t="str">
        <f t="shared" si="1"/>
        <v>fish</v>
      </c>
      <c r="C1484" s="63" t="str">
        <f t="shared" si="2"/>
        <v>U16595</v>
      </c>
      <c r="D1484" s="11" t="str">
        <f t="array" ref="D1484">iferror(index(fish_lab_data!D:D,match(A1484,fish_lab_data!C:C,0)))</f>
        <v>P1060</v>
      </c>
      <c r="E1484" s="6">
        <v>112.0</v>
      </c>
      <c r="F1484" s="17" t="str">
        <f t="shared" si="3"/>
        <v>BCA112</v>
      </c>
      <c r="G1484" s="43" t="str">
        <f t="shared" si="4"/>
        <v>NA</v>
      </c>
      <c r="H1484" s="17" t="str">
        <f t="shared" si="5"/>
        <v>BCA112-NA</v>
      </c>
      <c r="J1484" t="str">
        <f t="shared" si="6"/>
        <v>collected</v>
      </c>
      <c r="K1484" t="str">
        <f t="shared" si="7"/>
        <v>N</v>
      </c>
    </row>
    <row r="1485">
      <c r="A1485" s="27" t="s">
        <v>2028</v>
      </c>
      <c r="B1485" s="10" t="str">
        <f t="shared" si="1"/>
        <v>fish</v>
      </c>
      <c r="C1485" s="63" t="str">
        <f t="shared" si="2"/>
        <v>U16591</v>
      </c>
      <c r="D1485" s="11" t="str">
        <f t="array" ref="D1485">iferror(index(fish_lab_data!D:D,match(A1485,fish_lab_data!C:C,0)))</f>
        <v>P1060</v>
      </c>
      <c r="E1485" s="6">
        <v>112.0</v>
      </c>
      <c r="F1485" s="17" t="str">
        <f t="shared" si="3"/>
        <v>BCA112</v>
      </c>
      <c r="G1485" s="43" t="str">
        <f t="shared" si="4"/>
        <v>NA</v>
      </c>
      <c r="H1485" s="17" t="str">
        <f t="shared" si="5"/>
        <v>BCA112-NA</v>
      </c>
      <c r="J1485" t="str">
        <f t="shared" si="6"/>
        <v>collected</v>
      </c>
      <c r="K1485" t="str">
        <f t="shared" si="7"/>
        <v>N</v>
      </c>
    </row>
    <row r="1486">
      <c r="A1486" s="27" t="s">
        <v>2029</v>
      </c>
      <c r="B1486" s="10" t="str">
        <f t="shared" si="1"/>
        <v>fish</v>
      </c>
      <c r="C1486" s="63" t="str">
        <f t="shared" si="2"/>
        <v>U16593</v>
      </c>
      <c r="D1486" s="11" t="str">
        <f t="array" ref="D1486">iferror(index(fish_lab_data!D:D,match(A1486,fish_lab_data!C:C,0)))</f>
        <v>P1060</v>
      </c>
      <c r="E1486" s="6">
        <v>112.0</v>
      </c>
      <c r="F1486" s="17" t="str">
        <f t="shared" si="3"/>
        <v>BCA112</v>
      </c>
      <c r="G1486" s="43" t="str">
        <f t="shared" si="4"/>
        <v>NA</v>
      </c>
      <c r="H1486" s="17" t="str">
        <f t="shared" si="5"/>
        <v>BCA112-NA</v>
      </c>
      <c r="J1486" t="str">
        <f t="shared" si="6"/>
        <v>collected</v>
      </c>
      <c r="K1486" t="str">
        <f t="shared" si="7"/>
        <v>N</v>
      </c>
    </row>
    <row r="1487">
      <c r="A1487" s="27" t="s">
        <v>2030</v>
      </c>
      <c r="B1487" s="10" t="str">
        <f t="shared" si="1"/>
        <v>fish</v>
      </c>
      <c r="C1487" s="63" t="str">
        <f t="shared" si="2"/>
        <v>U16594</v>
      </c>
      <c r="D1487" s="11" t="str">
        <f t="array" ref="D1487">iferror(index(fish_lab_data!D:D,match(A1487,fish_lab_data!C:C,0)))</f>
        <v>P1060</v>
      </c>
      <c r="E1487" s="6">
        <v>112.0</v>
      </c>
      <c r="F1487" s="17" t="str">
        <f t="shared" si="3"/>
        <v>BCA112</v>
      </c>
      <c r="G1487" s="43" t="str">
        <f t="shared" si="4"/>
        <v>NA</v>
      </c>
      <c r="H1487" s="17" t="str">
        <f t="shared" si="5"/>
        <v>BCA112-NA</v>
      </c>
      <c r="J1487" t="str">
        <f t="shared" si="6"/>
        <v>collected</v>
      </c>
      <c r="K1487" t="str">
        <f t="shared" si="7"/>
        <v>N</v>
      </c>
    </row>
    <row r="1488">
      <c r="A1488" s="27" t="s">
        <v>2031</v>
      </c>
      <c r="B1488" s="10" t="str">
        <f t="shared" si="1"/>
        <v>fish</v>
      </c>
      <c r="C1488" s="63" t="str">
        <f t="shared" si="2"/>
        <v>U16592</v>
      </c>
      <c r="D1488" s="11" t="str">
        <f t="array" ref="D1488">iferror(index(fish_lab_data!D:D,match(A1488,fish_lab_data!C:C,0)))</f>
        <v>P1060</v>
      </c>
      <c r="E1488" s="6">
        <v>112.0</v>
      </c>
      <c r="F1488" s="17" t="str">
        <f t="shared" si="3"/>
        <v>BCA112</v>
      </c>
      <c r="G1488" s="43" t="str">
        <f t="shared" si="4"/>
        <v>NA</v>
      </c>
      <c r="H1488" s="17" t="str">
        <f t="shared" si="5"/>
        <v>BCA112-NA</v>
      </c>
      <c r="J1488" t="str">
        <f t="shared" si="6"/>
        <v>collected</v>
      </c>
      <c r="K1488" t="str">
        <f t="shared" si="7"/>
        <v>N</v>
      </c>
    </row>
    <row r="1489">
      <c r="A1489" s="27" t="s">
        <v>2032</v>
      </c>
      <c r="B1489" s="10" t="str">
        <f t="shared" si="1"/>
        <v>fish</v>
      </c>
      <c r="C1489" s="63" t="str">
        <f t="shared" si="2"/>
        <v>U16635</v>
      </c>
      <c r="D1489" s="11" t="str">
        <f t="array" ref="D1489">iferror(index(fish_lab_data!D:D,match(A1489,fish_lab_data!C:C,0)))</f>
        <v>P1064</v>
      </c>
      <c r="E1489" s="6">
        <v>112.0</v>
      </c>
      <c r="F1489" s="17" t="str">
        <f t="shared" si="3"/>
        <v>BCA112</v>
      </c>
      <c r="G1489" s="43" t="str">
        <f t="shared" si="4"/>
        <v>NA</v>
      </c>
      <c r="H1489" s="17" t="str">
        <f t="shared" si="5"/>
        <v>BCA112-NA</v>
      </c>
      <c r="J1489" t="str">
        <f t="shared" si="6"/>
        <v>collected</v>
      </c>
      <c r="K1489" t="str">
        <f t="shared" si="7"/>
        <v>N</v>
      </c>
    </row>
    <row r="1490">
      <c r="A1490" s="27" t="s">
        <v>2033</v>
      </c>
      <c r="B1490" s="10" t="str">
        <f t="shared" si="1"/>
        <v>fish</v>
      </c>
      <c r="C1490" s="63" t="str">
        <f t="shared" si="2"/>
        <v>U16640</v>
      </c>
      <c r="D1490" s="11" t="str">
        <f t="array" ref="D1490">iferror(index(fish_lab_data!D:D,match(A1490,fish_lab_data!C:C,0)))</f>
        <v>P1064</v>
      </c>
      <c r="E1490" s="6">
        <v>112.0</v>
      </c>
      <c r="F1490" s="17" t="str">
        <f t="shared" si="3"/>
        <v>BCA112</v>
      </c>
      <c r="G1490" s="43" t="str">
        <f t="shared" si="4"/>
        <v>NA</v>
      </c>
      <c r="H1490" s="17" t="str">
        <f t="shared" si="5"/>
        <v>BCA112-NA</v>
      </c>
      <c r="J1490" t="str">
        <f t="shared" si="6"/>
        <v>collected</v>
      </c>
      <c r="K1490" t="str">
        <f t="shared" si="7"/>
        <v>N</v>
      </c>
    </row>
    <row r="1491">
      <c r="A1491" s="27" t="s">
        <v>2034</v>
      </c>
      <c r="B1491" s="10" t="str">
        <f t="shared" si="1"/>
        <v>fish</v>
      </c>
      <c r="C1491" s="63" t="str">
        <f t="shared" si="2"/>
        <v>U16639</v>
      </c>
      <c r="D1491" s="11" t="str">
        <f t="array" ref="D1491">iferror(index(fish_lab_data!D:D,match(A1491,fish_lab_data!C:C,0)))</f>
        <v>P1064</v>
      </c>
      <c r="E1491" s="6">
        <v>112.0</v>
      </c>
      <c r="F1491" s="17" t="str">
        <f t="shared" si="3"/>
        <v>BCA112</v>
      </c>
      <c r="G1491" s="43" t="str">
        <f t="shared" si="4"/>
        <v>NA</v>
      </c>
      <c r="H1491" s="17" t="str">
        <f t="shared" si="5"/>
        <v>BCA112-NA</v>
      </c>
      <c r="J1491" t="str">
        <f t="shared" si="6"/>
        <v>collected</v>
      </c>
      <c r="K1491" t="str">
        <f t="shared" si="7"/>
        <v>N</v>
      </c>
    </row>
    <row r="1492">
      <c r="A1492" s="27" t="s">
        <v>2035</v>
      </c>
      <c r="B1492" s="10" t="str">
        <f t="shared" si="1"/>
        <v>fish</v>
      </c>
      <c r="C1492" s="63" t="str">
        <f t="shared" si="2"/>
        <v>U16634</v>
      </c>
      <c r="D1492" s="11" t="str">
        <f t="array" ref="D1492">iferror(index(fish_lab_data!D:D,match(A1492,fish_lab_data!C:C,0)))</f>
        <v>P1064</v>
      </c>
      <c r="E1492" s="6">
        <v>112.0</v>
      </c>
      <c r="F1492" s="17" t="str">
        <f t="shared" si="3"/>
        <v>BCA112</v>
      </c>
      <c r="G1492" s="43" t="str">
        <f t="shared" si="4"/>
        <v>NA</v>
      </c>
      <c r="H1492" s="17" t="str">
        <f t="shared" si="5"/>
        <v>BCA112-NA</v>
      </c>
      <c r="J1492" t="str">
        <f t="shared" si="6"/>
        <v>collected</v>
      </c>
      <c r="K1492" t="str">
        <f t="shared" si="7"/>
        <v>N</v>
      </c>
    </row>
    <row r="1493">
      <c r="A1493" s="27" t="s">
        <v>2036</v>
      </c>
      <c r="B1493" s="10" t="str">
        <f t="shared" si="1"/>
        <v>fish</v>
      </c>
      <c r="C1493" s="63" t="str">
        <f t="shared" si="2"/>
        <v>U16631</v>
      </c>
      <c r="D1493" s="11" t="str">
        <f t="array" ref="D1493">iferror(index(fish_lab_data!D:D,match(A1493,fish_lab_data!C:C,0)))</f>
        <v>P1064</v>
      </c>
      <c r="E1493" s="6">
        <v>112.0</v>
      </c>
      <c r="F1493" s="17" t="str">
        <f t="shared" si="3"/>
        <v>BCA112</v>
      </c>
      <c r="G1493" s="43" t="str">
        <f t="shared" si="4"/>
        <v>NA</v>
      </c>
      <c r="H1493" s="17" t="str">
        <f t="shared" si="5"/>
        <v>BCA112-NA</v>
      </c>
      <c r="J1493" t="str">
        <f t="shared" si="6"/>
        <v>collected</v>
      </c>
      <c r="K1493" t="str">
        <f t="shared" si="7"/>
        <v>N</v>
      </c>
    </row>
    <row r="1494">
      <c r="A1494" s="27" t="s">
        <v>2037</v>
      </c>
      <c r="B1494" s="10" t="str">
        <f t="shared" si="1"/>
        <v>fish</v>
      </c>
      <c r="C1494" s="63" t="str">
        <f t="shared" si="2"/>
        <v>U16636</v>
      </c>
      <c r="D1494" s="11" t="str">
        <f t="array" ref="D1494">iferror(index(fish_lab_data!D:D,match(A1494,fish_lab_data!C:C,0)))</f>
        <v>P1064</v>
      </c>
      <c r="E1494" s="6">
        <v>112.0</v>
      </c>
      <c r="F1494" s="17" t="str">
        <f t="shared" si="3"/>
        <v>BCA112</v>
      </c>
      <c r="G1494" s="43" t="str">
        <f t="shared" si="4"/>
        <v>NA</v>
      </c>
      <c r="H1494" s="17" t="str">
        <f t="shared" si="5"/>
        <v>BCA112-NA</v>
      </c>
      <c r="J1494" t="str">
        <f t="shared" si="6"/>
        <v>collected</v>
      </c>
      <c r="K1494" t="str">
        <f t="shared" si="7"/>
        <v>N</v>
      </c>
    </row>
    <row r="1495">
      <c r="A1495" s="27" t="s">
        <v>2038</v>
      </c>
      <c r="B1495" s="10" t="str">
        <f t="shared" si="1"/>
        <v>fish</v>
      </c>
      <c r="C1495" s="63" t="str">
        <f t="shared" si="2"/>
        <v>U16632</v>
      </c>
      <c r="D1495" s="11" t="str">
        <f t="array" ref="D1495">iferror(index(fish_lab_data!D:D,match(A1495,fish_lab_data!C:C,0)))</f>
        <v>P1064</v>
      </c>
      <c r="E1495" s="6">
        <v>112.0</v>
      </c>
      <c r="F1495" s="17" t="str">
        <f t="shared" si="3"/>
        <v>BCA112</v>
      </c>
      <c r="G1495" s="43" t="str">
        <f t="shared" si="4"/>
        <v>NA</v>
      </c>
      <c r="H1495" s="17" t="str">
        <f t="shared" si="5"/>
        <v>BCA112-NA</v>
      </c>
      <c r="J1495" t="str">
        <f t="shared" si="6"/>
        <v>collected</v>
      </c>
      <c r="K1495" t="str">
        <f t="shared" si="7"/>
        <v>N</v>
      </c>
    </row>
    <row r="1496">
      <c r="A1496" s="27" t="s">
        <v>2039</v>
      </c>
      <c r="B1496" s="10" t="str">
        <f t="shared" si="1"/>
        <v>fish</v>
      </c>
      <c r="C1496" s="63" t="str">
        <f t="shared" si="2"/>
        <v>U16638</v>
      </c>
      <c r="D1496" s="11" t="str">
        <f t="array" ref="D1496">iferror(index(fish_lab_data!D:D,match(A1496,fish_lab_data!C:C,0)))</f>
        <v>P1064</v>
      </c>
      <c r="E1496" s="6">
        <v>112.0</v>
      </c>
      <c r="F1496" s="17" t="str">
        <f t="shared" si="3"/>
        <v>BCA112</v>
      </c>
      <c r="G1496" s="43" t="str">
        <f t="shared" si="4"/>
        <v>NA</v>
      </c>
      <c r="H1496" s="17" t="str">
        <f t="shared" si="5"/>
        <v>BCA112-NA</v>
      </c>
      <c r="J1496" t="str">
        <f t="shared" si="6"/>
        <v>collected</v>
      </c>
      <c r="K1496" t="str">
        <f t="shared" si="7"/>
        <v>N</v>
      </c>
    </row>
    <row r="1497">
      <c r="A1497" s="40" t="s">
        <v>2040</v>
      </c>
      <c r="B1497" s="10" t="str">
        <f t="shared" si="1"/>
        <v>fish</v>
      </c>
      <c r="C1497" s="63" t="str">
        <f t="shared" si="2"/>
        <v>U16775</v>
      </c>
      <c r="D1497" s="11" t="str">
        <f t="array" ref="D1497">iferror(index(fish_lab_data!D:D,match(A1497,fish_lab_data!C:C,0)))</f>
        <v>P1078</v>
      </c>
      <c r="E1497" s="6">
        <v>112.0</v>
      </c>
      <c r="F1497" s="17" t="str">
        <f t="shared" si="3"/>
        <v>BCA112</v>
      </c>
      <c r="G1497" s="43" t="str">
        <f t="shared" si="4"/>
        <v>NA</v>
      </c>
      <c r="H1497" s="17" t="str">
        <f t="shared" si="5"/>
        <v>BCA112-NA</v>
      </c>
      <c r="J1497" t="str">
        <f t="shared" si="6"/>
        <v>collected</v>
      </c>
      <c r="K1497" t="str">
        <f t="shared" si="7"/>
        <v>N</v>
      </c>
    </row>
    <row r="1498">
      <c r="A1498" s="40" t="s">
        <v>2041</v>
      </c>
      <c r="B1498" s="10" t="str">
        <f t="shared" si="1"/>
        <v>fish</v>
      </c>
      <c r="C1498" s="63" t="str">
        <f t="shared" si="2"/>
        <v>U16772</v>
      </c>
      <c r="D1498" s="11" t="str">
        <f t="array" ref="D1498">iferror(index(fish_lab_data!D:D,match(A1498,fish_lab_data!C:C,0)))</f>
        <v>P1078</v>
      </c>
      <c r="E1498" s="6">
        <v>112.0</v>
      </c>
      <c r="F1498" s="17" t="str">
        <f t="shared" si="3"/>
        <v>BCA112</v>
      </c>
      <c r="G1498" s="43" t="str">
        <f t="shared" si="4"/>
        <v>NA</v>
      </c>
      <c r="H1498" s="17" t="str">
        <f t="shared" si="5"/>
        <v>BCA112-NA</v>
      </c>
      <c r="J1498" t="str">
        <f t="shared" si="6"/>
        <v>collected</v>
      </c>
      <c r="K1498" t="str">
        <f t="shared" si="7"/>
        <v>N</v>
      </c>
    </row>
    <row r="1499">
      <c r="A1499" s="40" t="s">
        <v>2042</v>
      </c>
      <c r="B1499" s="10" t="str">
        <f t="shared" si="1"/>
        <v>fish</v>
      </c>
      <c r="C1499" s="63" t="str">
        <f t="shared" si="2"/>
        <v>U16778</v>
      </c>
      <c r="D1499" s="11" t="str">
        <f t="array" ref="D1499">iferror(index(fish_lab_data!D:D,match(A1499,fish_lab_data!C:C,0)))</f>
        <v>P1078</v>
      </c>
      <c r="E1499" s="6">
        <v>112.0</v>
      </c>
      <c r="F1499" s="17" t="str">
        <f t="shared" si="3"/>
        <v>BCA112</v>
      </c>
      <c r="G1499" s="43" t="str">
        <f t="shared" si="4"/>
        <v>NA</v>
      </c>
      <c r="H1499" s="17" t="str">
        <f t="shared" si="5"/>
        <v>BCA112-NA</v>
      </c>
      <c r="J1499" t="str">
        <f t="shared" si="6"/>
        <v>collected</v>
      </c>
      <c r="K1499" t="str">
        <f t="shared" si="7"/>
        <v>N</v>
      </c>
    </row>
    <row r="1500">
      <c r="A1500" s="40" t="s">
        <v>2043</v>
      </c>
      <c r="B1500" s="10" t="str">
        <f t="shared" si="1"/>
        <v>fish</v>
      </c>
      <c r="C1500" s="63" t="str">
        <f t="shared" si="2"/>
        <v>U16777</v>
      </c>
      <c r="D1500" s="11" t="str">
        <f t="array" ref="D1500">iferror(index(fish_lab_data!D:D,match(A1500,fish_lab_data!C:C,0)))</f>
        <v>P1078</v>
      </c>
      <c r="E1500" s="6">
        <v>112.0</v>
      </c>
      <c r="F1500" s="17" t="str">
        <f t="shared" si="3"/>
        <v>BCA112</v>
      </c>
      <c r="G1500" s="43" t="str">
        <f t="shared" si="4"/>
        <v>NA</v>
      </c>
      <c r="H1500" s="17" t="str">
        <f t="shared" si="5"/>
        <v>BCA112-NA</v>
      </c>
      <c r="J1500" t="str">
        <f t="shared" si="6"/>
        <v>collected</v>
      </c>
      <c r="K1500" t="str">
        <f t="shared" si="7"/>
        <v>N</v>
      </c>
    </row>
    <row r="1501">
      <c r="A1501" s="40" t="s">
        <v>2044</v>
      </c>
      <c r="B1501" s="10" t="str">
        <f t="shared" si="1"/>
        <v>fish</v>
      </c>
      <c r="C1501" s="63" t="str">
        <f t="shared" si="2"/>
        <v>U16091</v>
      </c>
      <c r="D1501" s="11" t="str">
        <f t="array" ref="D1501">iferror(index(fish_lab_data!D:D,match(A1501,fish_lab_data!C:C,0)))</f>
        <v>P1010</v>
      </c>
      <c r="E1501" s="6">
        <v>112.0</v>
      </c>
      <c r="F1501" s="17" t="str">
        <f t="shared" si="3"/>
        <v>BCA112</v>
      </c>
      <c r="G1501" s="43" t="str">
        <f t="shared" si="4"/>
        <v>NA</v>
      </c>
      <c r="H1501" s="17" t="str">
        <f t="shared" si="5"/>
        <v>BCA112-NA</v>
      </c>
      <c r="J1501" t="str">
        <f t="shared" si="6"/>
        <v>collected</v>
      </c>
      <c r="K1501" t="str">
        <f t="shared" si="7"/>
        <v>N</v>
      </c>
    </row>
    <row r="1502">
      <c r="A1502" s="40" t="s">
        <v>2045</v>
      </c>
      <c r="B1502" s="10" t="str">
        <f t="shared" si="1"/>
        <v>fish</v>
      </c>
      <c r="C1502" s="63" t="str">
        <f t="shared" si="2"/>
        <v>U16097</v>
      </c>
      <c r="D1502" s="11" t="str">
        <f t="array" ref="D1502">iferror(index(fish_lab_data!D:D,match(A1502,fish_lab_data!C:C,0)))</f>
        <v>P1010</v>
      </c>
      <c r="E1502" s="6">
        <v>112.0</v>
      </c>
      <c r="F1502" s="17" t="str">
        <f t="shared" si="3"/>
        <v>BCA112</v>
      </c>
      <c r="G1502" s="43" t="str">
        <f t="shared" si="4"/>
        <v>NA</v>
      </c>
      <c r="H1502" s="17" t="str">
        <f t="shared" si="5"/>
        <v>BCA112-NA</v>
      </c>
      <c r="J1502" t="str">
        <f t="shared" si="6"/>
        <v>collected</v>
      </c>
      <c r="K1502" t="str">
        <f t="shared" si="7"/>
        <v>N</v>
      </c>
    </row>
    <row r="1503">
      <c r="A1503" s="40" t="s">
        <v>2046</v>
      </c>
      <c r="B1503" s="10" t="str">
        <f t="shared" si="1"/>
        <v>fish</v>
      </c>
      <c r="C1503" s="63" t="str">
        <f t="shared" si="2"/>
        <v>U16093</v>
      </c>
      <c r="D1503" s="11" t="str">
        <f t="array" ref="D1503">iferror(index(fish_lab_data!D:D,match(A1503,fish_lab_data!C:C,0)))</f>
        <v>P1010</v>
      </c>
      <c r="E1503" s="6">
        <v>112.0</v>
      </c>
      <c r="F1503" s="17" t="str">
        <f t="shared" si="3"/>
        <v>BCA112</v>
      </c>
      <c r="G1503" s="43" t="str">
        <f t="shared" si="4"/>
        <v>NA</v>
      </c>
      <c r="H1503" s="17" t="str">
        <f t="shared" si="5"/>
        <v>BCA112-NA</v>
      </c>
      <c r="J1503" t="str">
        <f t="shared" si="6"/>
        <v>collected</v>
      </c>
      <c r="K1503" t="str">
        <f t="shared" si="7"/>
        <v>N</v>
      </c>
    </row>
    <row r="1504">
      <c r="A1504" s="40" t="s">
        <v>2047</v>
      </c>
      <c r="B1504" s="10" t="str">
        <f t="shared" si="1"/>
        <v>fish</v>
      </c>
      <c r="C1504" s="63" t="str">
        <f t="shared" si="2"/>
        <v>U16092</v>
      </c>
      <c r="D1504" s="11" t="str">
        <f t="array" ref="D1504">iferror(index(fish_lab_data!D:D,match(A1504,fish_lab_data!C:C,0)))</f>
        <v>P1010</v>
      </c>
      <c r="E1504" s="6">
        <v>112.0</v>
      </c>
      <c r="F1504" s="17" t="str">
        <f t="shared" si="3"/>
        <v>BCA112</v>
      </c>
      <c r="G1504" s="43" t="str">
        <f t="shared" si="4"/>
        <v>NA</v>
      </c>
      <c r="H1504" s="17" t="str">
        <f t="shared" si="5"/>
        <v>BCA112-NA</v>
      </c>
      <c r="J1504" t="str">
        <f t="shared" si="6"/>
        <v>collected</v>
      </c>
      <c r="K1504" t="str">
        <f t="shared" si="7"/>
        <v>N</v>
      </c>
    </row>
    <row r="1505">
      <c r="A1505" s="40" t="s">
        <v>2048</v>
      </c>
      <c r="B1505" s="10" t="str">
        <f t="shared" si="1"/>
        <v>fish</v>
      </c>
      <c r="C1505" s="63" t="str">
        <f t="shared" si="2"/>
        <v>U16095</v>
      </c>
      <c r="D1505" s="11" t="str">
        <f t="array" ref="D1505">iferror(index(fish_lab_data!D:D,match(A1505,fish_lab_data!C:C,0)))</f>
        <v>P1010</v>
      </c>
      <c r="E1505" s="6">
        <v>112.0</v>
      </c>
      <c r="F1505" s="17" t="str">
        <f t="shared" si="3"/>
        <v>BCA112</v>
      </c>
      <c r="G1505" s="43" t="str">
        <f t="shared" si="4"/>
        <v>NA</v>
      </c>
      <c r="H1505" s="17" t="str">
        <f t="shared" si="5"/>
        <v>BCA112-NA</v>
      </c>
      <c r="J1505" t="str">
        <f t="shared" si="6"/>
        <v>collected</v>
      </c>
      <c r="K1505" t="str">
        <f t="shared" si="7"/>
        <v>N</v>
      </c>
    </row>
    <row r="1506">
      <c r="A1506" s="40" t="s">
        <v>2049</v>
      </c>
      <c r="B1506" s="10" t="str">
        <f t="shared" si="1"/>
        <v>fish</v>
      </c>
      <c r="C1506" s="63" t="str">
        <f t="shared" si="2"/>
        <v>U16098</v>
      </c>
      <c r="D1506" s="11" t="str">
        <f t="array" ref="D1506">iferror(index(fish_lab_data!D:D,match(A1506,fish_lab_data!C:C,0)))</f>
        <v>P1010</v>
      </c>
      <c r="E1506" s="6">
        <v>112.0</v>
      </c>
      <c r="F1506" s="17" t="str">
        <f t="shared" si="3"/>
        <v>BCA112</v>
      </c>
      <c r="G1506" s="43" t="str">
        <f t="shared" si="4"/>
        <v>NA</v>
      </c>
      <c r="H1506" s="17" t="str">
        <f t="shared" si="5"/>
        <v>BCA112-NA</v>
      </c>
      <c r="J1506" t="str">
        <f t="shared" si="6"/>
        <v>collected</v>
      </c>
      <c r="K1506" t="str">
        <f t="shared" si="7"/>
        <v>N</v>
      </c>
    </row>
    <row r="1507">
      <c r="A1507" s="40" t="s">
        <v>2050</v>
      </c>
      <c r="B1507" s="10" t="str">
        <f t="shared" si="1"/>
        <v>fish</v>
      </c>
      <c r="C1507" s="63" t="str">
        <f t="shared" si="2"/>
        <v>U16100</v>
      </c>
      <c r="D1507" s="11" t="str">
        <f t="array" ref="D1507">iferror(index(fish_lab_data!D:D,match(A1507,fish_lab_data!C:C,0)))</f>
        <v>P1010</v>
      </c>
      <c r="E1507" s="6">
        <v>112.0</v>
      </c>
      <c r="F1507" s="17" t="str">
        <f t="shared" si="3"/>
        <v>BCA112</v>
      </c>
      <c r="G1507" s="43" t="str">
        <f t="shared" si="4"/>
        <v>NA</v>
      </c>
      <c r="H1507" s="17" t="str">
        <f t="shared" si="5"/>
        <v>BCA112-NA</v>
      </c>
      <c r="J1507" t="str">
        <f t="shared" si="6"/>
        <v>collected</v>
      </c>
      <c r="K1507" t="str">
        <f t="shared" si="7"/>
        <v>N</v>
      </c>
    </row>
    <row r="1508">
      <c r="A1508" s="40" t="s">
        <v>2051</v>
      </c>
      <c r="B1508" s="10" t="str">
        <f t="shared" si="1"/>
        <v>fish</v>
      </c>
      <c r="C1508" s="63" t="str">
        <f t="shared" si="2"/>
        <v>U16096</v>
      </c>
      <c r="D1508" s="11" t="str">
        <f t="array" ref="D1508">iferror(index(fish_lab_data!D:D,match(A1508,fish_lab_data!C:C,0)))</f>
        <v>P1010</v>
      </c>
      <c r="E1508" s="6">
        <v>112.0</v>
      </c>
      <c r="F1508" s="17" t="str">
        <f t="shared" si="3"/>
        <v>BCA112</v>
      </c>
      <c r="G1508" s="43" t="str">
        <f t="shared" si="4"/>
        <v>NA</v>
      </c>
      <c r="H1508" s="17" t="str">
        <f t="shared" si="5"/>
        <v>BCA112-NA</v>
      </c>
      <c r="J1508" t="str">
        <f t="shared" si="6"/>
        <v>collected</v>
      </c>
      <c r="K1508" t="str">
        <f t="shared" si="7"/>
        <v>N</v>
      </c>
    </row>
    <row r="1509">
      <c r="A1509" s="40" t="s">
        <v>2052</v>
      </c>
      <c r="B1509" s="10" t="str">
        <f t="shared" si="1"/>
        <v>fish</v>
      </c>
      <c r="C1509" s="63" t="str">
        <f t="shared" si="2"/>
        <v>U16099</v>
      </c>
      <c r="D1509" s="11" t="str">
        <f t="array" ref="D1509">iferror(index(fish_lab_data!D:D,match(A1509,fish_lab_data!C:C,0)))</f>
        <v>P1010</v>
      </c>
      <c r="E1509" s="6">
        <v>112.0</v>
      </c>
      <c r="F1509" s="17" t="str">
        <f t="shared" si="3"/>
        <v>BCA112</v>
      </c>
      <c r="G1509" s="43" t="str">
        <f t="shared" si="4"/>
        <v>NA</v>
      </c>
      <c r="H1509" s="17" t="str">
        <f t="shared" si="5"/>
        <v>BCA112-NA</v>
      </c>
      <c r="J1509" t="str">
        <f t="shared" si="6"/>
        <v>collected</v>
      </c>
      <c r="K1509" t="str">
        <f t="shared" si="7"/>
        <v>N</v>
      </c>
    </row>
    <row r="1510">
      <c r="A1510" s="40" t="s">
        <v>2053</v>
      </c>
      <c r="B1510" s="10" t="str">
        <f t="shared" si="1"/>
        <v>fish</v>
      </c>
      <c r="C1510" s="63" t="str">
        <f t="shared" si="2"/>
        <v>U16094</v>
      </c>
      <c r="D1510" s="11" t="str">
        <f t="array" ref="D1510">iferror(index(fish_lab_data!D:D,match(A1510,fish_lab_data!C:C,0)))</f>
        <v>P1010</v>
      </c>
      <c r="E1510" s="6">
        <v>112.0</v>
      </c>
      <c r="F1510" s="17" t="str">
        <f t="shared" si="3"/>
        <v>BCA112</v>
      </c>
      <c r="G1510" s="43" t="str">
        <f t="shared" si="4"/>
        <v>NA</v>
      </c>
      <c r="H1510" s="17" t="str">
        <f t="shared" si="5"/>
        <v>BCA112-NA</v>
      </c>
      <c r="J1510" t="str">
        <f t="shared" si="6"/>
        <v>collected</v>
      </c>
      <c r="K1510" t="str">
        <f t="shared" si="7"/>
        <v>N</v>
      </c>
    </row>
    <row r="1511">
      <c r="A1511" s="40" t="s">
        <v>2054</v>
      </c>
      <c r="B1511" s="10" t="str">
        <f t="shared" si="1"/>
        <v>fish</v>
      </c>
      <c r="C1511" s="63" t="str">
        <f t="shared" si="2"/>
        <v>U17921</v>
      </c>
      <c r="D1511" s="11" t="str">
        <f t="array" ref="D1511">iferror(index(fish_lab_data!D:D,match(A1511,fish_lab_data!C:C,0)))</f>
        <v>P1193</v>
      </c>
      <c r="E1511" s="6">
        <v>112.0</v>
      </c>
      <c r="F1511" s="17" t="str">
        <f t="shared" si="3"/>
        <v>BCA112</v>
      </c>
      <c r="G1511" s="43" t="str">
        <f t="shared" si="4"/>
        <v>NA</v>
      </c>
      <c r="H1511" s="17" t="str">
        <f t="shared" si="5"/>
        <v>BCA112-NA</v>
      </c>
      <c r="J1511" t="str">
        <f t="shared" si="6"/>
        <v>collected</v>
      </c>
      <c r="K1511" t="str">
        <f t="shared" si="7"/>
        <v>N</v>
      </c>
    </row>
    <row r="1512">
      <c r="A1512" s="40" t="s">
        <v>2055</v>
      </c>
      <c r="B1512" s="10" t="str">
        <f t="shared" si="1"/>
        <v>fish</v>
      </c>
      <c r="C1512" s="63" t="str">
        <f t="shared" si="2"/>
        <v>U16691</v>
      </c>
      <c r="D1512" s="11" t="str">
        <f t="array" ref="D1512">iferror(index(fish_lab_data!D:D,match(A1512,fish_lab_data!C:C,0)))</f>
        <v>P1070</v>
      </c>
      <c r="E1512" s="6">
        <v>112.0</v>
      </c>
      <c r="F1512" s="17" t="str">
        <f t="shared" si="3"/>
        <v>BCA112</v>
      </c>
      <c r="G1512" s="43" t="str">
        <f t="shared" si="4"/>
        <v>NA</v>
      </c>
      <c r="H1512" s="17" t="str">
        <f t="shared" si="5"/>
        <v>BCA112-NA</v>
      </c>
      <c r="J1512" t="str">
        <f t="shared" si="6"/>
        <v>collected</v>
      </c>
      <c r="K1512" t="str">
        <f t="shared" si="7"/>
        <v>N</v>
      </c>
    </row>
    <row r="1513">
      <c r="A1513" s="40" t="s">
        <v>2056</v>
      </c>
      <c r="B1513" s="10" t="str">
        <f t="shared" si="1"/>
        <v>fish</v>
      </c>
      <c r="C1513" s="63" t="str">
        <f t="shared" si="2"/>
        <v>U16421</v>
      </c>
      <c r="D1513" s="11" t="str">
        <f t="array" ref="D1513">iferror(index(fish_lab_data!D:D,match(A1513,fish_lab_data!C:C,0)))</f>
        <v>P1043</v>
      </c>
      <c r="E1513" s="6">
        <v>112.0</v>
      </c>
      <c r="F1513" s="17" t="str">
        <f t="shared" si="3"/>
        <v>BCA112</v>
      </c>
      <c r="G1513" s="43" t="str">
        <f t="shared" si="4"/>
        <v>NA</v>
      </c>
      <c r="H1513" s="17" t="str">
        <f t="shared" si="5"/>
        <v>BCA112-NA</v>
      </c>
      <c r="J1513" t="str">
        <f t="shared" si="6"/>
        <v>collected</v>
      </c>
      <c r="K1513" t="str">
        <f t="shared" si="7"/>
        <v>N</v>
      </c>
    </row>
    <row r="1514">
      <c r="A1514" s="40" t="s">
        <v>2057</v>
      </c>
      <c r="B1514" s="10" t="str">
        <f t="shared" si="1"/>
        <v>fish</v>
      </c>
      <c r="C1514" s="63" t="str">
        <f t="shared" si="2"/>
        <v>U16422</v>
      </c>
      <c r="D1514" s="11" t="str">
        <f t="array" ref="D1514">iferror(index(fish_lab_data!D:D,match(A1514,fish_lab_data!C:C,0)))</f>
        <v>P1043</v>
      </c>
      <c r="E1514" s="6">
        <v>112.0</v>
      </c>
      <c r="F1514" s="17" t="str">
        <f t="shared" si="3"/>
        <v>BCA112</v>
      </c>
      <c r="G1514" s="43" t="str">
        <f t="shared" si="4"/>
        <v>NA</v>
      </c>
      <c r="H1514" s="17" t="str">
        <f t="shared" si="5"/>
        <v>BCA112-NA</v>
      </c>
      <c r="J1514" t="str">
        <f t="shared" si="6"/>
        <v>collected</v>
      </c>
      <c r="K1514" t="str">
        <f t="shared" si="7"/>
        <v>N</v>
      </c>
    </row>
    <row r="1515">
      <c r="A1515" s="40" t="s">
        <v>2058</v>
      </c>
      <c r="B1515" s="10" t="str">
        <f t="shared" si="1"/>
        <v>fish</v>
      </c>
      <c r="C1515" s="63" t="str">
        <f t="shared" si="2"/>
        <v>U16862</v>
      </c>
      <c r="D1515" s="11" t="str">
        <f t="array" ref="D1515">iferror(index(fish_lab_data!D:D,match(A1515,fish_lab_data!C:C,0)))</f>
        <v>P1087</v>
      </c>
      <c r="E1515" s="6">
        <v>112.0</v>
      </c>
      <c r="F1515" s="17" t="str">
        <f t="shared" si="3"/>
        <v>BCA112</v>
      </c>
      <c r="G1515" s="43" t="str">
        <f t="shared" si="4"/>
        <v>NA</v>
      </c>
      <c r="H1515" s="17" t="str">
        <f t="shared" si="5"/>
        <v>BCA112-NA</v>
      </c>
      <c r="J1515" t="str">
        <f t="shared" si="6"/>
        <v>collected</v>
      </c>
      <c r="K1515" t="str">
        <f t="shared" si="7"/>
        <v>N</v>
      </c>
    </row>
    <row r="1516">
      <c r="A1516" s="40" t="s">
        <v>2059</v>
      </c>
      <c r="B1516" s="10" t="str">
        <f t="shared" si="1"/>
        <v>fish</v>
      </c>
      <c r="C1516" s="63" t="str">
        <f t="shared" si="2"/>
        <v>U16863</v>
      </c>
      <c r="D1516" s="11" t="str">
        <f t="array" ref="D1516">iferror(index(fish_lab_data!D:D,match(A1516,fish_lab_data!C:C,0)))</f>
        <v>P1087</v>
      </c>
      <c r="E1516" s="6">
        <v>112.0</v>
      </c>
      <c r="F1516" s="17" t="str">
        <f t="shared" si="3"/>
        <v>BCA112</v>
      </c>
      <c r="G1516" s="43" t="str">
        <f t="shared" si="4"/>
        <v>NA</v>
      </c>
      <c r="H1516" s="17" t="str">
        <f t="shared" si="5"/>
        <v>BCA112-NA</v>
      </c>
      <c r="J1516" t="str">
        <f t="shared" si="6"/>
        <v>collected</v>
      </c>
      <c r="K1516" t="str">
        <f t="shared" si="7"/>
        <v>N</v>
      </c>
    </row>
    <row r="1517">
      <c r="A1517" s="40" t="s">
        <v>2060</v>
      </c>
      <c r="B1517" s="10" t="str">
        <f t="shared" si="1"/>
        <v>fish</v>
      </c>
      <c r="C1517" s="63" t="str">
        <f t="shared" si="2"/>
        <v>U16861</v>
      </c>
      <c r="D1517" s="11" t="str">
        <f t="array" ref="D1517">iferror(index(fish_lab_data!D:D,match(A1517,fish_lab_data!C:C,0)))</f>
        <v>P1087</v>
      </c>
      <c r="E1517" s="6">
        <v>112.0</v>
      </c>
      <c r="F1517" s="17" t="str">
        <f t="shared" si="3"/>
        <v>BCA112</v>
      </c>
      <c r="G1517" s="43" t="str">
        <f t="shared" si="4"/>
        <v>NA</v>
      </c>
      <c r="H1517" s="17" t="str">
        <f t="shared" si="5"/>
        <v>BCA112-NA</v>
      </c>
      <c r="J1517" t="str">
        <f t="shared" si="6"/>
        <v>collected</v>
      </c>
      <c r="K1517" t="str">
        <f t="shared" si="7"/>
        <v>N</v>
      </c>
    </row>
    <row r="1518">
      <c r="A1518" s="40" t="s">
        <v>2061</v>
      </c>
      <c r="B1518" s="10" t="str">
        <f t="shared" si="1"/>
        <v>fish</v>
      </c>
      <c r="C1518" s="63" t="str">
        <f t="shared" si="2"/>
        <v>U16721</v>
      </c>
      <c r="D1518" s="11" t="str">
        <f t="array" ref="D1518">iferror(index(fish_lab_data!D:D,match(A1518,fish_lab_data!C:C,0)))</f>
        <v>P1073</v>
      </c>
      <c r="E1518" s="6">
        <v>112.0</v>
      </c>
      <c r="F1518" s="17" t="str">
        <f t="shared" si="3"/>
        <v>BCA112</v>
      </c>
      <c r="G1518" s="43" t="str">
        <f t="shared" si="4"/>
        <v>NA</v>
      </c>
      <c r="H1518" s="17" t="str">
        <f t="shared" si="5"/>
        <v>BCA112-NA</v>
      </c>
      <c r="J1518" t="str">
        <f t="shared" si="6"/>
        <v>collected</v>
      </c>
      <c r="K1518" t="str">
        <f t="shared" si="7"/>
        <v>N</v>
      </c>
    </row>
    <row r="1519">
      <c r="A1519" s="40" t="s">
        <v>2062</v>
      </c>
      <c r="B1519" s="10" t="str">
        <f t="shared" si="1"/>
        <v>fish</v>
      </c>
      <c r="C1519" s="63" t="str">
        <f t="shared" si="2"/>
        <v>U16131</v>
      </c>
      <c r="D1519" s="11" t="str">
        <f t="array" ref="D1519">iferror(index(fish_lab_data!D:D,match(A1519,fish_lab_data!C:C,0)))</f>
        <v>P1014</v>
      </c>
      <c r="E1519" s="6">
        <v>112.0</v>
      </c>
      <c r="F1519" s="17" t="str">
        <f t="shared" si="3"/>
        <v>BCA112</v>
      </c>
      <c r="G1519" s="43" t="str">
        <f t="shared" si="4"/>
        <v>NA</v>
      </c>
      <c r="H1519" s="17" t="str">
        <f t="shared" si="5"/>
        <v>BCA112-NA</v>
      </c>
      <c r="J1519" t="str">
        <f t="shared" si="6"/>
        <v>collected</v>
      </c>
      <c r="K1519" t="str">
        <f t="shared" si="7"/>
        <v>N</v>
      </c>
    </row>
    <row r="1520">
      <c r="A1520" s="27" t="s">
        <v>2063</v>
      </c>
      <c r="B1520" s="10" t="str">
        <f t="shared" si="1"/>
        <v>fish</v>
      </c>
      <c r="C1520" s="63" t="str">
        <f t="shared" si="2"/>
        <v>U17841</v>
      </c>
      <c r="D1520" s="11" t="str">
        <f t="array" ref="D1520">iferror(index(fish_lab_data!D:D,match(A1520,fish_lab_data!C:C,0)))</f>
        <v>P1185</v>
      </c>
      <c r="E1520" s="6">
        <v>112.0</v>
      </c>
      <c r="F1520" s="17" t="str">
        <f t="shared" si="3"/>
        <v>BCA112</v>
      </c>
      <c r="G1520" s="43" t="str">
        <f t="shared" si="4"/>
        <v>NA</v>
      </c>
      <c r="H1520" s="17" t="str">
        <f t="shared" si="5"/>
        <v>BCA112-NA</v>
      </c>
      <c r="J1520" t="str">
        <f t="shared" si="6"/>
        <v>collected</v>
      </c>
      <c r="K1520" t="str">
        <f t="shared" si="7"/>
        <v>N</v>
      </c>
    </row>
    <row r="1521">
      <c r="A1521" s="27" t="s">
        <v>2064</v>
      </c>
      <c r="B1521" s="10" t="str">
        <f t="shared" si="1"/>
        <v>fish</v>
      </c>
      <c r="C1521" s="63" t="str">
        <f t="shared" si="2"/>
        <v>U16331</v>
      </c>
      <c r="D1521" s="11" t="str">
        <f t="array" ref="D1521">iferror(index(fish_lab_data!D:D,match(A1521,fish_lab_data!C:C,0)))</f>
        <v>P1034</v>
      </c>
      <c r="E1521" s="6">
        <v>112.0</v>
      </c>
      <c r="F1521" s="17" t="str">
        <f t="shared" si="3"/>
        <v>BCA112</v>
      </c>
      <c r="G1521" s="43" t="str">
        <f t="shared" si="4"/>
        <v>NA</v>
      </c>
      <c r="H1521" s="17" t="str">
        <f t="shared" si="5"/>
        <v>BCA112-NA</v>
      </c>
      <c r="J1521" t="str">
        <f t="shared" si="6"/>
        <v>collected</v>
      </c>
      <c r="K1521" t="str">
        <f t="shared" si="7"/>
        <v>N</v>
      </c>
    </row>
    <row r="1522">
      <c r="A1522" s="27" t="s">
        <v>2065</v>
      </c>
      <c r="B1522" s="10" t="str">
        <f t="shared" si="1"/>
        <v>fish</v>
      </c>
      <c r="C1522" s="63" t="str">
        <f t="shared" si="2"/>
        <v>U17481</v>
      </c>
      <c r="D1522" s="11" t="str">
        <f t="array" ref="D1522">iferror(index(fish_lab_data!D:D,match(A1522,fish_lab_data!C:C,0)))</f>
        <v>P1149</v>
      </c>
      <c r="E1522" s="6">
        <v>112.0</v>
      </c>
      <c r="F1522" s="17" t="str">
        <f t="shared" si="3"/>
        <v>BCA112</v>
      </c>
      <c r="G1522" s="43" t="str">
        <f t="shared" si="4"/>
        <v>NA</v>
      </c>
      <c r="H1522" s="17" t="str">
        <f t="shared" si="5"/>
        <v>BCA112-NA</v>
      </c>
      <c r="J1522" t="str">
        <f t="shared" si="6"/>
        <v>collected</v>
      </c>
      <c r="K1522" t="str">
        <f t="shared" si="7"/>
        <v>N</v>
      </c>
    </row>
    <row r="1523">
      <c r="A1523" s="27" t="s">
        <v>2066</v>
      </c>
      <c r="B1523" s="10" t="str">
        <f t="shared" si="1"/>
        <v>fish</v>
      </c>
      <c r="C1523" s="63" t="str">
        <f t="shared" si="2"/>
        <v>U16071</v>
      </c>
      <c r="D1523" s="11" t="str">
        <f t="array" ref="D1523">iferror(index(fish_lab_data!D:D,match(A1523,fish_lab_data!C:C,0)))</f>
        <v>P1008</v>
      </c>
      <c r="E1523" s="6">
        <v>112.0</v>
      </c>
      <c r="F1523" s="17" t="str">
        <f t="shared" si="3"/>
        <v>BCA112</v>
      </c>
      <c r="G1523" s="43" t="str">
        <f t="shared" si="4"/>
        <v>NA</v>
      </c>
      <c r="H1523" s="17" t="str">
        <f t="shared" si="5"/>
        <v>BCA112-NA</v>
      </c>
      <c r="J1523" t="str">
        <f t="shared" si="6"/>
        <v>collected</v>
      </c>
      <c r="K1523" t="str">
        <f t="shared" si="7"/>
        <v>N</v>
      </c>
    </row>
    <row r="1524">
      <c r="A1524" s="27" t="s">
        <v>2067</v>
      </c>
      <c r="B1524" s="10" t="str">
        <f t="shared" si="1"/>
        <v>fish</v>
      </c>
      <c r="C1524" s="63" t="str">
        <f t="shared" si="2"/>
        <v>U17031</v>
      </c>
      <c r="D1524" s="11" t="str">
        <f t="array" ref="D1524">iferror(index(fish_lab_data!D:D,match(A1524,fish_lab_data!C:C,0)))</f>
        <v>P1104</v>
      </c>
      <c r="E1524" s="6">
        <v>112.0</v>
      </c>
      <c r="F1524" s="17" t="str">
        <f t="shared" si="3"/>
        <v>BCA112</v>
      </c>
      <c r="G1524" s="43" t="str">
        <f t="shared" si="4"/>
        <v>NA</v>
      </c>
      <c r="H1524" s="17" t="str">
        <f t="shared" si="5"/>
        <v>BCA112-NA</v>
      </c>
      <c r="J1524" t="str">
        <f t="shared" si="6"/>
        <v>collected</v>
      </c>
      <c r="K1524" t="str">
        <f t="shared" si="7"/>
        <v>N</v>
      </c>
    </row>
    <row r="1525">
      <c r="A1525" s="27" t="s">
        <v>2068</v>
      </c>
      <c r="B1525" s="10" t="str">
        <f t="shared" si="1"/>
        <v>fish</v>
      </c>
      <c r="C1525" s="63" t="str">
        <f t="shared" si="2"/>
        <v>U17061</v>
      </c>
      <c r="D1525" s="11" t="str">
        <f t="array" ref="D1525">iferror(index(fish_lab_data!D:D,match(A1525,fish_lab_data!C:C,0)))</f>
        <v>P1107</v>
      </c>
      <c r="E1525" s="6">
        <v>112.0</v>
      </c>
      <c r="F1525" s="17" t="str">
        <f t="shared" si="3"/>
        <v>BCA112</v>
      </c>
      <c r="G1525" s="43" t="str">
        <f t="shared" si="4"/>
        <v>NA</v>
      </c>
      <c r="H1525" s="17" t="str">
        <f t="shared" si="5"/>
        <v>BCA112-NA</v>
      </c>
      <c r="J1525" t="str">
        <f t="shared" si="6"/>
        <v>collected</v>
      </c>
      <c r="K1525" t="str">
        <f t="shared" si="7"/>
        <v>N</v>
      </c>
    </row>
    <row r="1526">
      <c r="A1526" s="27" t="s">
        <v>2069</v>
      </c>
      <c r="B1526" s="10" t="str">
        <f t="shared" si="1"/>
        <v>fish</v>
      </c>
      <c r="C1526" s="63" t="str">
        <f t="shared" si="2"/>
        <v>U16381</v>
      </c>
      <c r="D1526" s="11" t="str">
        <f t="array" ref="D1526">iferror(index(fish_lab_data!D:D,match(A1526,fish_lab_data!C:C,0)))</f>
        <v>P1039</v>
      </c>
      <c r="E1526" s="6">
        <v>112.0</v>
      </c>
      <c r="F1526" s="17" t="str">
        <f t="shared" si="3"/>
        <v>BCA112</v>
      </c>
      <c r="G1526" s="43" t="str">
        <f t="shared" si="4"/>
        <v>NA</v>
      </c>
      <c r="H1526" s="17" t="str">
        <f t="shared" si="5"/>
        <v>BCA112-NA</v>
      </c>
      <c r="J1526" t="str">
        <f t="shared" si="6"/>
        <v>collected</v>
      </c>
      <c r="K1526" t="str">
        <f t="shared" si="7"/>
        <v>N</v>
      </c>
    </row>
    <row r="1527">
      <c r="A1527" s="27" t="s">
        <v>2070</v>
      </c>
      <c r="B1527" s="10" t="str">
        <f t="shared" si="1"/>
        <v>fish</v>
      </c>
      <c r="C1527" s="63" t="str">
        <f t="shared" si="2"/>
        <v>U16311</v>
      </c>
      <c r="D1527" s="11" t="str">
        <f t="array" ref="D1527">iferror(index(fish_lab_data!D:D,match(A1527,fish_lab_data!C:C,0)))</f>
        <v>P1032</v>
      </c>
      <c r="E1527" s="6">
        <v>112.0</v>
      </c>
      <c r="F1527" s="17" t="str">
        <f t="shared" si="3"/>
        <v>BCA112</v>
      </c>
      <c r="G1527" s="43" t="str">
        <f t="shared" si="4"/>
        <v>NA</v>
      </c>
      <c r="H1527" s="17" t="str">
        <f t="shared" si="5"/>
        <v>BCA112-NA</v>
      </c>
      <c r="J1527" t="str">
        <f t="shared" si="6"/>
        <v>collected</v>
      </c>
      <c r="K1527" t="str">
        <f t="shared" si="7"/>
        <v>N</v>
      </c>
    </row>
    <row r="1528">
      <c r="A1528" s="27" t="s">
        <v>2071</v>
      </c>
      <c r="B1528" s="10" t="str">
        <f t="shared" si="1"/>
        <v>fish</v>
      </c>
      <c r="C1528" s="63" t="str">
        <f t="shared" si="2"/>
        <v>U16312</v>
      </c>
      <c r="D1528" s="11" t="str">
        <f t="array" ref="D1528">iferror(index(fish_lab_data!D:D,match(A1528,fish_lab_data!C:C,0)))</f>
        <v>P1032</v>
      </c>
      <c r="E1528" s="6">
        <v>112.0</v>
      </c>
      <c r="F1528" s="17" t="str">
        <f t="shared" si="3"/>
        <v>BCA112</v>
      </c>
      <c r="G1528" s="43" t="str">
        <f t="shared" si="4"/>
        <v>NA</v>
      </c>
      <c r="H1528" s="17" t="str">
        <f t="shared" si="5"/>
        <v>BCA112-NA</v>
      </c>
      <c r="J1528" t="str">
        <f t="shared" si="6"/>
        <v>collected</v>
      </c>
      <c r="K1528" t="str">
        <f t="shared" si="7"/>
        <v>N</v>
      </c>
    </row>
    <row r="1529">
      <c r="A1529" s="27" t="s">
        <v>2072</v>
      </c>
      <c r="B1529" s="10" t="str">
        <f t="shared" si="1"/>
        <v>fish</v>
      </c>
      <c r="C1529" s="63" t="str">
        <f t="shared" si="2"/>
        <v>U16371</v>
      </c>
      <c r="D1529" s="11" t="str">
        <f t="array" ref="D1529">iferror(index(fish_lab_data!D:D,match(A1529,fish_lab_data!C:C,0)))</f>
        <v>P1038</v>
      </c>
      <c r="E1529" s="6">
        <v>112.0</v>
      </c>
      <c r="F1529" s="17" t="str">
        <f t="shared" si="3"/>
        <v>BCA112</v>
      </c>
      <c r="G1529" s="43" t="str">
        <f t="shared" si="4"/>
        <v>NA</v>
      </c>
      <c r="H1529" s="17" t="str">
        <f t="shared" si="5"/>
        <v>BCA112-NA</v>
      </c>
      <c r="J1529" t="str">
        <f t="shared" si="6"/>
        <v>collected</v>
      </c>
      <c r="K1529" t="str">
        <f t="shared" si="7"/>
        <v>N</v>
      </c>
    </row>
    <row r="1530">
      <c r="A1530" s="27" t="s">
        <v>2073</v>
      </c>
      <c r="B1530" s="10" t="str">
        <f t="shared" si="1"/>
        <v>fish</v>
      </c>
      <c r="C1530" s="63" t="str">
        <f t="shared" si="2"/>
        <v>U16372</v>
      </c>
      <c r="D1530" s="11" t="str">
        <f t="array" ref="D1530">iferror(index(fish_lab_data!D:D,match(A1530,fish_lab_data!C:C,0)))</f>
        <v>P1038</v>
      </c>
      <c r="E1530" s="6">
        <v>112.0</v>
      </c>
      <c r="F1530" s="17" t="str">
        <f t="shared" si="3"/>
        <v>BCA112</v>
      </c>
      <c r="G1530" s="43" t="str">
        <f t="shared" si="4"/>
        <v>NA</v>
      </c>
      <c r="H1530" s="17" t="str">
        <f t="shared" si="5"/>
        <v>BCA112-NA</v>
      </c>
      <c r="J1530" t="str">
        <f t="shared" si="6"/>
        <v>collected</v>
      </c>
      <c r="K1530" t="str">
        <f t="shared" si="7"/>
        <v>N</v>
      </c>
    </row>
    <row r="1531">
      <c r="A1531" s="27" t="s">
        <v>2074</v>
      </c>
      <c r="B1531" s="10" t="str">
        <f t="shared" si="1"/>
        <v>fish</v>
      </c>
      <c r="C1531" s="63" t="str">
        <f t="shared" si="2"/>
        <v>U16171</v>
      </c>
      <c r="D1531" s="11" t="str">
        <f t="array" ref="D1531">iferror(index(fish_lab_data!D:D,match(A1531,fish_lab_data!C:C,0)))</f>
        <v>P1018</v>
      </c>
      <c r="E1531" s="6">
        <v>112.0</v>
      </c>
      <c r="F1531" s="17" t="str">
        <f t="shared" si="3"/>
        <v>BCA112</v>
      </c>
      <c r="G1531" s="43" t="str">
        <f t="shared" si="4"/>
        <v>NA</v>
      </c>
      <c r="H1531" s="17" t="str">
        <f t="shared" si="5"/>
        <v>BCA112-NA</v>
      </c>
      <c r="J1531" t="str">
        <f t="shared" si="6"/>
        <v>collected</v>
      </c>
      <c r="K1531" t="str">
        <f t="shared" si="7"/>
        <v>N</v>
      </c>
    </row>
    <row r="1532">
      <c r="A1532" s="27" t="s">
        <v>2075</v>
      </c>
      <c r="B1532" s="10" t="str">
        <f t="shared" si="1"/>
        <v>fish</v>
      </c>
      <c r="C1532" s="63" t="str">
        <f t="shared" si="2"/>
        <v>U16172</v>
      </c>
      <c r="D1532" s="11" t="str">
        <f t="array" ref="D1532">iferror(index(fish_lab_data!D:D,match(A1532,fish_lab_data!C:C,0)))</f>
        <v>P1018</v>
      </c>
      <c r="E1532" s="6">
        <v>112.0</v>
      </c>
      <c r="F1532" s="17" t="str">
        <f t="shared" si="3"/>
        <v>BCA112</v>
      </c>
      <c r="G1532" s="43" t="str">
        <f t="shared" si="4"/>
        <v>NA</v>
      </c>
      <c r="H1532" s="17" t="str">
        <f t="shared" si="5"/>
        <v>BCA112-NA</v>
      </c>
      <c r="J1532" t="str">
        <f t="shared" si="6"/>
        <v>collected</v>
      </c>
      <c r="K1532" t="str">
        <f t="shared" si="7"/>
        <v>N</v>
      </c>
    </row>
    <row r="1533">
      <c r="A1533" s="27" t="s">
        <v>2076</v>
      </c>
      <c r="B1533" s="10" t="str">
        <f t="shared" si="1"/>
        <v>fish</v>
      </c>
      <c r="C1533" s="63" t="str">
        <f t="shared" si="2"/>
        <v>U16216</v>
      </c>
      <c r="D1533" s="11" t="str">
        <f t="array" ref="D1533">iferror(index(fish_lab_data!D:D,match(A1533,fish_lab_data!C:C,0)))</f>
        <v>P1022</v>
      </c>
      <c r="E1533" s="6">
        <v>112.0</v>
      </c>
      <c r="F1533" s="17" t="str">
        <f t="shared" si="3"/>
        <v>BCA112</v>
      </c>
      <c r="G1533" s="43" t="str">
        <f t="shared" si="4"/>
        <v>NA</v>
      </c>
      <c r="H1533" s="17" t="str">
        <f t="shared" si="5"/>
        <v>BCA112-NA</v>
      </c>
      <c r="J1533" t="str">
        <f t="shared" si="6"/>
        <v>collected</v>
      </c>
      <c r="K1533" t="str">
        <f t="shared" si="7"/>
        <v>N</v>
      </c>
    </row>
    <row r="1534">
      <c r="A1534" s="27" t="s">
        <v>2077</v>
      </c>
      <c r="B1534" s="10" t="str">
        <f t="shared" si="1"/>
        <v>fish</v>
      </c>
      <c r="C1534" s="63" t="str">
        <f t="shared" si="2"/>
        <v>U16211</v>
      </c>
      <c r="D1534" s="11" t="str">
        <f t="array" ref="D1534">iferror(index(fish_lab_data!D:D,match(A1534,fish_lab_data!C:C,0)))</f>
        <v>P1022</v>
      </c>
      <c r="E1534" s="6">
        <v>112.0</v>
      </c>
      <c r="F1534" s="17" t="str">
        <f t="shared" si="3"/>
        <v>BCA112</v>
      </c>
      <c r="G1534" s="43" t="str">
        <f t="shared" si="4"/>
        <v>NA</v>
      </c>
      <c r="H1534" s="17" t="str">
        <f t="shared" si="5"/>
        <v>BCA112-NA</v>
      </c>
      <c r="J1534" t="str">
        <f t="shared" si="6"/>
        <v>collected</v>
      </c>
      <c r="K1534" t="str">
        <f t="shared" si="7"/>
        <v>N</v>
      </c>
    </row>
    <row r="1535">
      <c r="A1535" s="27" t="s">
        <v>2078</v>
      </c>
      <c r="B1535" s="10" t="str">
        <f t="shared" si="1"/>
        <v>fish</v>
      </c>
      <c r="C1535" s="63" t="str">
        <f t="shared" si="2"/>
        <v>U16212</v>
      </c>
      <c r="D1535" s="11" t="str">
        <f t="array" ref="D1535">iferror(index(fish_lab_data!D:D,match(A1535,fish_lab_data!C:C,0)))</f>
        <v>P1022</v>
      </c>
      <c r="E1535" s="6">
        <v>112.0</v>
      </c>
      <c r="F1535" s="17" t="str">
        <f t="shared" si="3"/>
        <v>BCA112</v>
      </c>
      <c r="G1535" s="43" t="str">
        <f t="shared" si="4"/>
        <v>NA</v>
      </c>
      <c r="H1535" s="17" t="str">
        <f t="shared" si="5"/>
        <v>BCA112-NA</v>
      </c>
      <c r="J1535" t="str">
        <f t="shared" si="6"/>
        <v>collected</v>
      </c>
      <c r="K1535" t="str">
        <f t="shared" si="7"/>
        <v>N</v>
      </c>
    </row>
    <row r="1536">
      <c r="A1536" s="27" t="s">
        <v>2079</v>
      </c>
      <c r="B1536" s="10" t="str">
        <f t="shared" si="1"/>
        <v>fish</v>
      </c>
      <c r="C1536" s="63" t="str">
        <f t="shared" si="2"/>
        <v>U16213</v>
      </c>
      <c r="D1536" s="11" t="str">
        <f t="array" ref="D1536">iferror(index(fish_lab_data!D:D,match(A1536,fish_lab_data!C:C,0)))</f>
        <v>P1022</v>
      </c>
      <c r="E1536" s="6">
        <v>112.0</v>
      </c>
      <c r="F1536" s="17" t="str">
        <f t="shared" si="3"/>
        <v>BCA112</v>
      </c>
      <c r="G1536" s="43" t="str">
        <f t="shared" si="4"/>
        <v>NA</v>
      </c>
      <c r="H1536" s="17" t="str">
        <f t="shared" si="5"/>
        <v>BCA112-NA</v>
      </c>
      <c r="J1536" t="str">
        <f t="shared" si="6"/>
        <v>collected</v>
      </c>
      <c r="K1536" t="str">
        <f t="shared" si="7"/>
        <v>N</v>
      </c>
    </row>
    <row r="1537">
      <c r="A1537" s="27" t="s">
        <v>2080</v>
      </c>
      <c r="B1537" s="10" t="str">
        <f t="shared" si="1"/>
        <v>fish</v>
      </c>
      <c r="C1537" s="63" t="str">
        <f t="shared" si="2"/>
        <v>U16215</v>
      </c>
      <c r="D1537" s="11" t="str">
        <f t="array" ref="D1537">iferror(index(fish_lab_data!D:D,match(A1537,fish_lab_data!C:C,0)))</f>
        <v>P1022</v>
      </c>
      <c r="E1537" s="6">
        <v>112.0</v>
      </c>
      <c r="F1537" s="17" t="str">
        <f t="shared" si="3"/>
        <v>BCA112</v>
      </c>
      <c r="G1537" s="43" t="str">
        <f t="shared" si="4"/>
        <v>NA</v>
      </c>
      <c r="H1537" s="17" t="str">
        <f t="shared" si="5"/>
        <v>BCA112-NA</v>
      </c>
      <c r="J1537" t="str">
        <f t="shared" si="6"/>
        <v>collected</v>
      </c>
      <c r="K1537" t="str">
        <f t="shared" si="7"/>
        <v>N</v>
      </c>
    </row>
    <row r="1538">
      <c r="A1538" s="27" t="s">
        <v>2081</v>
      </c>
      <c r="B1538" s="10" t="str">
        <f t="shared" si="1"/>
        <v>fish</v>
      </c>
      <c r="C1538" s="63" t="str">
        <f t="shared" si="2"/>
        <v>U16214</v>
      </c>
      <c r="D1538" s="11" t="str">
        <f t="array" ref="D1538">iferror(index(fish_lab_data!D:D,match(A1538,fish_lab_data!C:C,0)))</f>
        <v>P1022</v>
      </c>
      <c r="E1538" s="6">
        <v>112.0</v>
      </c>
      <c r="F1538" s="17" t="str">
        <f t="shared" si="3"/>
        <v>BCA112</v>
      </c>
      <c r="G1538" s="43" t="str">
        <f t="shared" si="4"/>
        <v>NA</v>
      </c>
      <c r="H1538" s="17" t="str">
        <f t="shared" si="5"/>
        <v>BCA112-NA</v>
      </c>
      <c r="J1538" t="str">
        <f t="shared" si="6"/>
        <v>collected</v>
      </c>
      <c r="K1538" t="str">
        <f t="shared" si="7"/>
        <v>N</v>
      </c>
    </row>
    <row r="1539">
      <c r="A1539" s="27" t="s">
        <v>2082</v>
      </c>
      <c r="B1539" s="10" t="str">
        <f t="shared" si="1"/>
        <v>fish</v>
      </c>
      <c r="C1539" s="63" t="str">
        <f t="shared" si="2"/>
        <v>U17641</v>
      </c>
      <c r="D1539" s="11" t="str">
        <f t="array" ref="D1539">iferror(index(fish_lab_data!D:D,match(A1539,fish_lab_data!C:C,0)))</f>
        <v>P1165</v>
      </c>
      <c r="E1539" s="6">
        <v>112.0</v>
      </c>
      <c r="F1539" s="17" t="str">
        <f t="shared" si="3"/>
        <v>BCA112</v>
      </c>
      <c r="G1539" s="43" t="str">
        <f t="shared" si="4"/>
        <v>NA</v>
      </c>
      <c r="H1539" s="17" t="str">
        <f t="shared" si="5"/>
        <v>BCA112-NA</v>
      </c>
      <c r="J1539" t="str">
        <f t="shared" si="6"/>
        <v>collected</v>
      </c>
      <c r="K1539" t="str">
        <f t="shared" si="7"/>
        <v>N</v>
      </c>
    </row>
    <row r="1540">
      <c r="A1540" s="27" t="s">
        <v>2083</v>
      </c>
      <c r="B1540" s="10" t="str">
        <f t="shared" si="1"/>
        <v>fish</v>
      </c>
      <c r="C1540" s="63" t="str">
        <f t="shared" si="2"/>
        <v>U16531</v>
      </c>
      <c r="D1540" s="11" t="str">
        <f t="array" ref="D1540">iferror(index(fish_lab_data!D:D,match(A1540,fish_lab_data!C:C,0)))</f>
        <v>P1054</v>
      </c>
      <c r="E1540" s="6">
        <v>112.0</v>
      </c>
      <c r="F1540" s="17" t="str">
        <f t="shared" si="3"/>
        <v>BCA112</v>
      </c>
      <c r="G1540" s="43" t="str">
        <f t="shared" si="4"/>
        <v>NA</v>
      </c>
      <c r="H1540" s="17" t="str">
        <f t="shared" si="5"/>
        <v>BCA112-NA</v>
      </c>
      <c r="J1540" t="str">
        <f t="shared" si="6"/>
        <v>collected</v>
      </c>
      <c r="K1540" t="str">
        <f t="shared" si="7"/>
        <v>N</v>
      </c>
    </row>
    <row r="1541">
      <c r="A1541" s="27" t="s">
        <v>2084</v>
      </c>
      <c r="B1541" s="10" t="str">
        <f t="shared" si="1"/>
        <v>fish</v>
      </c>
      <c r="C1541" s="63" t="str">
        <f t="shared" si="2"/>
        <v>U17431</v>
      </c>
      <c r="D1541" s="11" t="str">
        <f t="array" ref="D1541">iferror(index(fish_lab_data!D:D,match(A1541,fish_lab_data!C:C,0)))</f>
        <v>P1144</v>
      </c>
      <c r="E1541" s="6">
        <v>112.0</v>
      </c>
      <c r="F1541" s="17" t="str">
        <f t="shared" si="3"/>
        <v>BCA112</v>
      </c>
      <c r="G1541" s="43" t="str">
        <f t="shared" si="4"/>
        <v>NA</v>
      </c>
      <c r="H1541" s="17" t="str">
        <f t="shared" si="5"/>
        <v>BCA112-NA</v>
      </c>
      <c r="J1541" t="str">
        <f t="shared" si="6"/>
        <v>collected</v>
      </c>
      <c r="K1541" t="str">
        <f t="shared" si="7"/>
        <v>N</v>
      </c>
    </row>
    <row r="1542">
      <c r="A1542" s="40" t="s">
        <v>2085</v>
      </c>
      <c r="B1542" s="10" t="str">
        <f t="shared" si="1"/>
        <v>fish</v>
      </c>
      <c r="C1542" s="63" t="str">
        <f t="shared" si="2"/>
        <v>U16633</v>
      </c>
      <c r="D1542" s="11" t="str">
        <f t="array" ref="D1542">iferror(index(fish_lab_data!D:D,match(A1542,fish_lab_data!C:C,0)))</f>
        <v>P1064</v>
      </c>
      <c r="E1542" s="6">
        <v>112.0</v>
      </c>
      <c r="F1542" s="17" t="str">
        <f t="shared" si="3"/>
        <v>BCA112</v>
      </c>
      <c r="G1542" s="43" t="str">
        <f t="shared" si="4"/>
        <v>NA</v>
      </c>
      <c r="H1542" s="17" t="str">
        <f t="shared" si="5"/>
        <v>BCA112-NA</v>
      </c>
      <c r="J1542" t="str">
        <f t="shared" si="6"/>
        <v>collected</v>
      </c>
      <c r="K1542" t="str">
        <f t="shared" si="7"/>
        <v>N</v>
      </c>
    </row>
    <row r="1543">
      <c r="A1543" s="40" t="s">
        <v>2086</v>
      </c>
      <c r="B1543" s="10" t="str">
        <f t="shared" si="1"/>
        <v>fish</v>
      </c>
      <c r="C1543" s="63" t="str">
        <f t="shared" si="2"/>
        <v>U16637</v>
      </c>
      <c r="D1543" s="11" t="str">
        <f t="array" ref="D1543">iferror(index(fish_lab_data!D:D,match(A1543,fish_lab_data!C:C,0)))</f>
        <v>P1064</v>
      </c>
      <c r="E1543" s="6">
        <v>112.0</v>
      </c>
      <c r="F1543" s="17" t="str">
        <f t="shared" si="3"/>
        <v>BCA112</v>
      </c>
      <c r="G1543" s="43" t="str">
        <f t="shared" si="4"/>
        <v>NA</v>
      </c>
      <c r="H1543" s="17" t="str">
        <f t="shared" si="5"/>
        <v>BCA112-NA</v>
      </c>
      <c r="J1543" t="str">
        <f t="shared" si="6"/>
        <v>collected</v>
      </c>
      <c r="K1543" t="str">
        <f t="shared" si="7"/>
        <v>N</v>
      </c>
    </row>
    <row r="1544">
      <c r="A1544" s="40" t="s">
        <v>2087</v>
      </c>
      <c r="B1544" s="10" t="str">
        <f t="shared" si="1"/>
        <v>fish</v>
      </c>
      <c r="C1544" s="63" t="str">
        <f t="shared" si="2"/>
        <v>U17250</v>
      </c>
      <c r="D1544" s="11" t="str">
        <f t="array" ref="D1544">iferror(index(fish_lab_data!D:D,match(A1544,fish_lab_data!C:C,0)))</f>
        <v>P1125</v>
      </c>
      <c r="E1544" s="6">
        <v>112.0</v>
      </c>
      <c r="F1544" s="17" t="str">
        <f t="shared" si="3"/>
        <v>BCA112</v>
      </c>
      <c r="G1544" s="43" t="str">
        <f t="shared" si="4"/>
        <v>NA</v>
      </c>
      <c r="H1544" s="17" t="str">
        <f t="shared" si="5"/>
        <v>BCA112-NA</v>
      </c>
      <c r="J1544" t="str">
        <f t="shared" si="6"/>
        <v>collected</v>
      </c>
      <c r="K1544" t="str">
        <f t="shared" si="7"/>
        <v>N</v>
      </c>
    </row>
    <row r="1545">
      <c r="A1545" s="40" t="s">
        <v>2088</v>
      </c>
      <c r="B1545" s="10" t="str">
        <f t="shared" si="1"/>
        <v>fish</v>
      </c>
      <c r="C1545" s="63" t="str">
        <f t="shared" si="2"/>
        <v>U17249</v>
      </c>
      <c r="D1545" s="11" t="str">
        <f t="array" ref="D1545">iferror(index(fish_lab_data!D:D,match(A1545,fish_lab_data!C:C,0)))</f>
        <v>P1125</v>
      </c>
      <c r="E1545" s="6">
        <v>112.0</v>
      </c>
      <c r="F1545" s="17" t="str">
        <f t="shared" si="3"/>
        <v>BCA112</v>
      </c>
      <c r="G1545" s="43" t="str">
        <f t="shared" si="4"/>
        <v>NA</v>
      </c>
      <c r="H1545" s="17" t="str">
        <f t="shared" si="5"/>
        <v>BCA112-NA</v>
      </c>
      <c r="J1545" t="str">
        <f t="shared" si="6"/>
        <v>collected</v>
      </c>
      <c r="K1545" t="str">
        <f t="shared" si="7"/>
        <v>N</v>
      </c>
    </row>
    <row r="1546">
      <c r="A1546" s="40" t="s">
        <v>2089</v>
      </c>
      <c r="B1546" s="10" t="str">
        <f t="shared" si="1"/>
        <v>fish</v>
      </c>
      <c r="C1546" s="63" t="str">
        <f t="shared" si="2"/>
        <v>U17247</v>
      </c>
      <c r="D1546" s="11" t="str">
        <f t="array" ref="D1546">iferror(index(fish_lab_data!D:D,match(A1546,fish_lab_data!C:C,0)))</f>
        <v>P1125</v>
      </c>
      <c r="E1546" s="6">
        <v>112.0</v>
      </c>
      <c r="F1546" s="17" t="str">
        <f t="shared" si="3"/>
        <v>BCA112</v>
      </c>
      <c r="G1546" s="43" t="str">
        <f t="shared" si="4"/>
        <v>NA</v>
      </c>
      <c r="H1546" s="17" t="str">
        <f t="shared" si="5"/>
        <v>BCA112-NA</v>
      </c>
      <c r="J1546" t="str">
        <f t="shared" si="6"/>
        <v>collected</v>
      </c>
      <c r="K1546" t="str">
        <f t="shared" si="7"/>
        <v>N</v>
      </c>
    </row>
    <row r="1547">
      <c r="A1547" s="40" t="s">
        <v>2090</v>
      </c>
      <c r="B1547" s="10" t="str">
        <f t="shared" si="1"/>
        <v>fish</v>
      </c>
      <c r="C1547" s="63" t="str">
        <f t="shared" si="2"/>
        <v>U17248</v>
      </c>
      <c r="D1547" s="11" t="str">
        <f t="array" ref="D1547">iferror(index(fish_lab_data!D:D,match(A1547,fish_lab_data!C:C,0)))</f>
        <v>P1125</v>
      </c>
      <c r="E1547" s="6">
        <v>112.0</v>
      </c>
      <c r="F1547" s="17" t="str">
        <f t="shared" si="3"/>
        <v>BCA112</v>
      </c>
      <c r="G1547" s="43" t="str">
        <f t="shared" si="4"/>
        <v>NA</v>
      </c>
      <c r="H1547" s="17" t="str">
        <f t="shared" si="5"/>
        <v>BCA112-NA</v>
      </c>
      <c r="J1547" t="str">
        <f t="shared" si="6"/>
        <v>collected</v>
      </c>
      <c r="K1547" t="str">
        <f t="shared" si="7"/>
        <v>N</v>
      </c>
    </row>
    <row r="1548">
      <c r="A1548" s="40" t="s">
        <v>2091</v>
      </c>
      <c r="B1548" s="10" t="str">
        <f t="shared" si="1"/>
        <v>fish</v>
      </c>
      <c r="C1548" s="63" t="str">
        <f t="shared" si="2"/>
        <v>U17245</v>
      </c>
      <c r="D1548" s="11" t="str">
        <f t="array" ref="D1548">iferror(index(fish_lab_data!D:D,match(A1548,fish_lab_data!C:C,0)))</f>
        <v>P1125</v>
      </c>
      <c r="E1548" s="6">
        <v>112.0</v>
      </c>
      <c r="F1548" s="17" t="str">
        <f t="shared" si="3"/>
        <v>BCA112</v>
      </c>
      <c r="G1548" s="43" t="str">
        <f t="shared" si="4"/>
        <v>NA</v>
      </c>
      <c r="H1548" s="17" t="str">
        <f t="shared" si="5"/>
        <v>BCA112-NA</v>
      </c>
      <c r="J1548" t="str">
        <f t="shared" si="6"/>
        <v>collected</v>
      </c>
      <c r="K1548" t="str">
        <f t="shared" si="7"/>
        <v>N</v>
      </c>
    </row>
    <row r="1549">
      <c r="A1549" s="40" t="s">
        <v>2092</v>
      </c>
      <c r="B1549" s="10" t="str">
        <f t="shared" si="1"/>
        <v>fish</v>
      </c>
      <c r="C1549" s="63" t="str">
        <f t="shared" si="2"/>
        <v>U17246</v>
      </c>
      <c r="D1549" s="11" t="str">
        <f t="array" ref="D1549">iferror(index(fish_lab_data!D:D,match(A1549,fish_lab_data!C:C,0)))</f>
        <v>P1125</v>
      </c>
      <c r="E1549" s="6">
        <v>112.0</v>
      </c>
      <c r="F1549" s="17" t="str">
        <f t="shared" si="3"/>
        <v>BCA112</v>
      </c>
      <c r="G1549" s="43" t="str">
        <f t="shared" si="4"/>
        <v>NA</v>
      </c>
      <c r="H1549" s="17" t="str">
        <f t="shared" si="5"/>
        <v>BCA112-NA</v>
      </c>
      <c r="J1549" t="str">
        <f t="shared" si="6"/>
        <v>collected</v>
      </c>
      <c r="K1549" t="str">
        <f t="shared" si="7"/>
        <v>N</v>
      </c>
    </row>
    <row r="1550">
      <c r="A1550" s="40" t="s">
        <v>2094</v>
      </c>
      <c r="B1550" s="10" t="str">
        <f t="shared" si="1"/>
        <v>fish</v>
      </c>
      <c r="C1550" s="63" t="str">
        <f t="shared" si="2"/>
        <v>U17243</v>
      </c>
      <c r="D1550" s="11" t="str">
        <f t="array" ref="D1550">iferror(index(fish_lab_data!D:D,match(A1550,fish_lab_data!C:C,0)))</f>
        <v>P1125</v>
      </c>
      <c r="E1550" s="6">
        <v>112.0</v>
      </c>
      <c r="F1550" s="17" t="str">
        <f t="shared" si="3"/>
        <v>BCA112</v>
      </c>
      <c r="G1550" s="43" t="str">
        <f t="shared" si="4"/>
        <v>NA</v>
      </c>
      <c r="H1550" s="17" t="str">
        <f t="shared" si="5"/>
        <v>BCA112-NA</v>
      </c>
      <c r="J1550" t="str">
        <f t="shared" si="6"/>
        <v>collected</v>
      </c>
      <c r="K1550" t="str">
        <f t="shared" si="7"/>
        <v>N</v>
      </c>
    </row>
    <row r="1551">
      <c r="A1551" s="40" t="s">
        <v>2095</v>
      </c>
      <c r="B1551" s="10" t="str">
        <f t="shared" si="1"/>
        <v>fish</v>
      </c>
      <c r="C1551" s="63" t="str">
        <f t="shared" si="2"/>
        <v>U17244</v>
      </c>
      <c r="D1551" s="11" t="str">
        <f t="array" ref="D1551">iferror(index(fish_lab_data!D:D,match(A1551,fish_lab_data!C:C,0)))</f>
        <v>P1125</v>
      </c>
      <c r="E1551" s="6">
        <v>112.0</v>
      </c>
      <c r="F1551" s="17" t="str">
        <f t="shared" si="3"/>
        <v>BCA112</v>
      </c>
      <c r="G1551" s="43" t="str">
        <f t="shared" si="4"/>
        <v>NA</v>
      </c>
      <c r="H1551" s="17" t="str">
        <f t="shared" si="5"/>
        <v>BCA112-NA</v>
      </c>
      <c r="J1551" t="str">
        <f t="shared" si="6"/>
        <v>collected</v>
      </c>
      <c r="K1551" t="str">
        <f t="shared" si="7"/>
        <v>N</v>
      </c>
    </row>
    <row r="1552">
      <c r="A1552" s="40" t="s">
        <v>2096</v>
      </c>
      <c r="B1552" s="10" t="str">
        <f t="shared" si="1"/>
        <v>fish</v>
      </c>
      <c r="C1552" s="63" t="str">
        <f t="shared" si="2"/>
        <v>U17242</v>
      </c>
      <c r="D1552" s="11" t="str">
        <f t="array" ref="D1552">iferror(index(fish_lab_data!D:D,match(A1552,fish_lab_data!C:C,0)))</f>
        <v>P1125</v>
      </c>
      <c r="E1552" s="6">
        <v>112.0</v>
      </c>
      <c r="F1552" s="17" t="str">
        <f t="shared" si="3"/>
        <v>BCA112</v>
      </c>
      <c r="G1552" s="43" t="str">
        <f t="shared" si="4"/>
        <v>NA</v>
      </c>
      <c r="H1552" s="17" t="str">
        <f t="shared" si="5"/>
        <v>BCA112-NA</v>
      </c>
      <c r="J1552" t="str">
        <f t="shared" si="6"/>
        <v>collected</v>
      </c>
      <c r="K1552" t="str">
        <f t="shared" si="7"/>
        <v>N</v>
      </c>
    </row>
    <row r="1553">
      <c r="A1553" s="40" t="s">
        <v>2097</v>
      </c>
      <c r="B1553" s="10" t="str">
        <f t="shared" si="1"/>
        <v>fish</v>
      </c>
      <c r="C1553" s="63" t="str">
        <f t="shared" si="2"/>
        <v>U17241</v>
      </c>
      <c r="D1553" s="11" t="str">
        <f t="array" ref="D1553">iferror(index(fish_lab_data!D:D,match(A1553,fish_lab_data!C:C,0)))</f>
        <v>P1125</v>
      </c>
      <c r="E1553" s="6">
        <v>112.0</v>
      </c>
      <c r="F1553" s="17" t="str">
        <f t="shared" si="3"/>
        <v>BCA112</v>
      </c>
      <c r="G1553" s="43" t="str">
        <f t="shared" si="4"/>
        <v>NA</v>
      </c>
      <c r="H1553" s="17" t="str">
        <f t="shared" si="5"/>
        <v>BCA112-NA</v>
      </c>
      <c r="J1553" t="str">
        <f t="shared" si="6"/>
        <v>collected</v>
      </c>
      <c r="K1553" t="str">
        <f t="shared" si="7"/>
        <v>N</v>
      </c>
    </row>
    <row r="1554">
      <c r="A1554" s="40" t="s">
        <v>2098</v>
      </c>
      <c r="B1554" s="10" t="str">
        <f t="shared" si="1"/>
        <v>fish</v>
      </c>
      <c r="C1554" s="63" t="str">
        <f t="shared" si="2"/>
        <v>U16851</v>
      </c>
      <c r="D1554" s="11" t="str">
        <f t="array" ref="D1554">iferror(index(fish_lab_data!D:D,match(A1554,fish_lab_data!C:C,0)))</f>
        <v>P1086</v>
      </c>
      <c r="E1554" s="6">
        <v>112.0</v>
      </c>
      <c r="F1554" s="17" t="str">
        <f t="shared" si="3"/>
        <v>BCA112</v>
      </c>
      <c r="G1554" s="43" t="str">
        <f t="shared" si="4"/>
        <v>NA</v>
      </c>
      <c r="H1554" s="17" t="str">
        <f t="shared" si="5"/>
        <v>BCA112-NA</v>
      </c>
      <c r="J1554" t="str">
        <f t="shared" si="6"/>
        <v>collected</v>
      </c>
      <c r="K1554" t="str">
        <f t="shared" si="7"/>
        <v>N</v>
      </c>
    </row>
    <row r="1555">
      <c r="A1555" s="40" t="s">
        <v>2099</v>
      </c>
      <c r="B1555" s="10" t="str">
        <f t="shared" si="1"/>
        <v>fish</v>
      </c>
      <c r="C1555" s="63" t="str">
        <f t="shared" si="2"/>
        <v>U16855</v>
      </c>
      <c r="D1555" s="11" t="str">
        <f t="array" ref="D1555">iferror(index(fish_lab_data!D:D,match(A1555,fish_lab_data!C:C,0)))</f>
        <v>P1086</v>
      </c>
      <c r="E1555" s="6">
        <v>112.0</v>
      </c>
      <c r="F1555" s="17" t="str">
        <f t="shared" si="3"/>
        <v>BCA112</v>
      </c>
      <c r="G1555" s="43" t="str">
        <f t="shared" si="4"/>
        <v>NA</v>
      </c>
      <c r="H1555" s="17" t="str">
        <f t="shared" si="5"/>
        <v>BCA112-NA</v>
      </c>
      <c r="J1555" t="str">
        <f t="shared" si="6"/>
        <v>collected</v>
      </c>
      <c r="K1555" t="str">
        <f t="shared" si="7"/>
        <v>N</v>
      </c>
    </row>
    <row r="1556">
      <c r="A1556" s="40" t="s">
        <v>2100</v>
      </c>
      <c r="B1556" s="10" t="str">
        <f t="shared" si="1"/>
        <v>fish</v>
      </c>
      <c r="C1556" s="63" t="str">
        <f t="shared" si="2"/>
        <v>U16852</v>
      </c>
      <c r="D1556" s="11" t="str">
        <f t="array" ref="D1556">iferror(index(fish_lab_data!D:D,match(A1556,fish_lab_data!C:C,0)))</f>
        <v>P1086</v>
      </c>
      <c r="E1556" s="6">
        <v>112.0</v>
      </c>
      <c r="F1556" s="17" t="str">
        <f t="shared" si="3"/>
        <v>BCA112</v>
      </c>
      <c r="G1556" s="43" t="str">
        <f t="shared" si="4"/>
        <v>NA</v>
      </c>
      <c r="H1556" s="17" t="str">
        <f t="shared" si="5"/>
        <v>BCA112-NA</v>
      </c>
      <c r="J1556" t="str">
        <f t="shared" si="6"/>
        <v>collected</v>
      </c>
      <c r="K1556" t="str">
        <f t="shared" si="7"/>
        <v>N</v>
      </c>
    </row>
    <row r="1557">
      <c r="A1557" s="40" t="s">
        <v>2101</v>
      </c>
      <c r="B1557" s="10" t="str">
        <f t="shared" si="1"/>
        <v>fish</v>
      </c>
      <c r="C1557" s="63" t="str">
        <f t="shared" si="2"/>
        <v>U16854</v>
      </c>
      <c r="D1557" s="11" t="str">
        <f t="array" ref="D1557">iferror(index(fish_lab_data!D:D,match(A1557,fish_lab_data!C:C,0)))</f>
        <v>P1086</v>
      </c>
      <c r="E1557" s="6">
        <v>112.0</v>
      </c>
      <c r="F1557" s="17" t="str">
        <f t="shared" si="3"/>
        <v>BCA112</v>
      </c>
      <c r="G1557" s="43" t="str">
        <f t="shared" si="4"/>
        <v>NA</v>
      </c>
      <c r="H1557" s="17" t="str">
        <f t="shared" si="5"/>
        <v>BCA112-NA</v>
      </c>
      <c r="J1557" t="str">
        <f t="shared" si="6"/>
        <v>collected</v>
      </c>
      <c r="K1557" t="str">
        <f t="shared" si="7"/>
        <v>N</v>
      </c>
    </row>
    <row r="1558">
      <c r="A1558" s="40" t="s">
        <v>2102</v>
      </c>
      <c r="B1558" s="10" t="str">
        <f t="shared" si="1"/>
        <v>fish</v>
      </c>
      <c r="C1558" s="63" t="str">
        <f t="shared" si="2"/>
        <v>U16853</v>
      </c>
      <c r="D1558" s="11" t="str">
        <f t="array" ref="D1558">iferror(index(fish_lab_data!D:D,match(A1558,fish_lab_data!C:C,0)))</f>
        <v>P1086</v>
      </c>
      <c r="E1558" s="6">
        <v>112.0</v>
      </c>
      <c r="F1558" s="17" t="str">
        <f t="shared" si="3"/>
        <v>BCA112</v>
      </c>
      <c r="G1558" s="43" t="str">
        <f t="shared" si="4"/>
        <v>NA</v>
      </c>
      <c r="H1558" s="17" t="str">
        <f t="shared" si="5"/>
        <v>BCA112-NA</v>
      </c>
      <c r="J1558" t="str">
        <f t="shared" si="6"/>
        <v>collected</v>
      </c>
      <c r="K1558" t="str">
        <f t="shared" si="7"/>
        <v>N</v>
      </c>
    </row>
  </sheetData>
  <autoFilter ref="$A$1:$M$731"/>
  <conditionalFormatting sqref="K1:K1558">
    <cfRule type="cellIs" dxfId="0" priority="1" operator="equal">
      <formula>"Y"</formula>
    </cfRule>
  </conditionalFormatting>
  <dataValidations>
    <dataValidation type="list" allowBlank="1" showDropDown="1" showInputMessage="1" showErrorMessage="1" prompt="Ensure there are no duplicate UFNs" sqref="A1:A583 A601:A976 A993:A1558">
      <formula1>fish_lab_data!$C:$C</formula1>
    </dataValidation>
  </dataValidations>
  <drawing r:id="rId2"/>
  <legacy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tabColor rgb="FF0000FF"/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9" max="19" width="15.29"/>
    <col customWidth="1" min="20" max="21" width="8.71"/>
  </cols>
  <sheetData>
    <row r="1">
      <c r="A1" s="6" t="s">
        <v>0</v>
      </c>
      <c r="B1" s="56" t="s">
        <v>2229</v>
      </c>
      <c r="C1" s="56" t="s">
        <v>2230</v>
      </c>
      <c r="D1" s="56" t="s">
        <v>2231</v>
      </c>
      <c r="E1" s="56" t="s">
        <v>2232</v>
      </c>
      <c r="F1" s="56" t="s">
        <v>2233</v>
      </c>
      <c r="G1" s="56" t="s">
        <v>2234</v>
      </c>
      <c r="H1" s="56" t="s">
        <v>2235</v>
      </c>
      <c r="I1" s="56" t="s">
        <v>2236</v>
      </c>
      <c r="J1" s="56" t="s">
        <v>2237</v>
      </c>
      <c r="K1" s="56" t="s">
        <v>2238</v>
      </c>
      <c r="L1" s="57" t="s">
        <v>2239</v>
      </c>
      <c r="M1" s="57" t="s">
        <v>2240</v>
      </c>
      <c r="N1" s="56" t="s">
        <v>2241</v>
      </c>
      <c r="O1" s="56" t="s">
        <v>2242</v>
      </c>
      <c r="P1" s="56" t="s">
        <v>2243</v>
      </c>
      <c r="Q1" s="56" t="s">
        <v>2244</v>
      </c>
      <c r="R1" s="56" t="s">
        <v>2245</v>
      </c>
      <c r="S1" s="56" t="s">
        <v>2246</v>
      </c>
      <c r="T1" s="58" t="s">
        <v>40</v>
      </c>
      <c r="U1" s="58" t="s">
        <v>49</v>
      </c>
    </row>
    <row r="2">
      <c r="A2" t="str">
        <f>fish_lab_data!C2</f>
        <v>U5471</v>
      </c>
      <c r="B2" t="str">
        <f t="array" ref="B2">iferror(index('rna-muscle'!$I:$I,match($A2,'rna-muscle'!$A:$A,0)))</f>
        <v>BRN63M-H1</v>
      </c>
      <c r="C2" t="str">
        <f t="array" ref="C2">iferror(index('rna-muscle'!$L:$L,match($A2,'rna-muscle'!$A:$A,0)))</f>
        <v>N</v>
      </c>
      <c r="D2" t="str">
        <f t="array" ref="D2">iferror(index('rna-gill'!$I:$I,match($A2,'rna-gill'!$A:$A,0)))</f>
        <v>BRN63G-H1</v>
      </c>
      <c r="E2" t="str">
        <f t="array" ref="E2">iferror(index('rna-gill'!$L:$L,match($A2,'rna-gill'!$A:$A,0)))</f>
        <v>N</v>
      </c>
      <c r="F2" t="str">
        <f t="array" ref="F2">iferror(index(fatty_acid!$G:$G,match($A2,fatty_acid!$A:$A,0)))</f>
        <v>BFA20-65</v>
      </c>
      <c r="G2" t="str">
        <f t="array" ref="G2">iferror(index(fatty_acid!$J:$J,match($A2,fatty_acid!$A:$A,0)))</f>
        <v>N</v>
      </c>
      <c r="H2" t="str">
        <f t="array" ref="H2">iferror(index(isotopes!$G:$G,match($A2,isotopes!$A:$A,0)))</f>
        <v>BIS21-78</v>
      </c>
      <c r="I2" t="str">
        <f t="array" ref="I2">iferror(index(isotopes!$J:$J,match($A2,isotopes!$A:$A,0)))</f>
        <v>N</v>
      </c>
      <c r="J2" t="str">
        <f t="array" ref="J2">iferror(index(extra_muscle!$G:$G,match($A2,extra_muscle!$A:$A,0)))</f>
        <v>BXM22-85</v>
      </c>
      <c r="K2" t="str">
        <f t="array" ref="K2">iferror(index(extra_muscle!$J:$J,match($A2,extra_muscle!$A:$A,0)))</f>
        <v>N</v>
      </c>
      <c r="L2" s="59" t="str">
        <f t="array" ref="L2">iferror(index(dna!$G:$G,match($A2,dna!$A:$A,0)))</f>
        <v/>
      </c>
      <c r="M2" s="60" t="str">
        <f t="array" ref="M2">iferror(index(dna!$J:$J,match($A2,dna!$A:$A,0)))</f>
        <v/>
      </c>
      <c r="N2" t="str">
        <f t="array" ref="N2">iferror(index(stomachs!$G:$G,match($A2,stomachs!$A:$A,0)))</f>
        <v>BST244-20</v>
      </c>
      <c r="O2" t="str">
        <f t="array" ref="O2">iferror(index(stomachs!$J:$J,match($A2,stomachs!$A:$A,0)))</f>
        <v>N</v>
      </c>
      <c r="P2" t="str">
        <f t="array" ref="P2">iferror(index(sea_lice!$G:$G,match($A2,sea_lice!$A:$A,0)))</f>
        <v/>
      </c>
      <c r="Q2" t="str">
        <f t="array" ref="Q2">iferror(index(sea_lice!$J:$J,match($A2,sea_lice!$A:$A,0)))</f>
        <v/>
      </c>
      <c r="R2" s="40" t="str">
        <f t="array" ref="R2">iferror(index(dissected_fish!$F:$F,match($A2,dissected_fish!$A:$A,0)))</f>
        <v>BCA99</v>
      </c>
      <c r="S2" s="40" t="str">
        <f t="array" ref="S2">iferror(index(dissected_fish!$K:$K,match($A2,dissected_fish!$A:$A,0)))</f>
        <v>N</v>
      </c>
      <c r="T2" s="61" t="str">
        <f t="array" ref="T2">index(fish_lab_data!O:O,match(A2,fish_lab_data!C:C,0))</f>
        <v>STB</v>
      </c>
      <c r="U2" s="61">
        <f t="array" ref="U2">if(A2="","",index(fish_lab_data!X:X,match(A2,fish_lab_data!C:C,0)))</f>
        <v>1</v>
      </c>
    </row>
    <row r="3">
      <c r="A3" t="str">
        <f>fish_lab_data!C3</f>
        <v>U5472</v>
      </c>
      <c r="B3" t="str">
        <f t="array" ref="B3">iferror(index('rna-muscle'!$I:$I,match($A3,'rna-muscle'!$A:$A,0)))</f>
        <v>BRN63M-G1</v>
      </c>
      <c r="C3" t="str">
        <f t="array" ref="C3">iferror(index('rna-muscle'!$L:$L,match($A3,'rna-muscle'!$A:$A,0)))</f>
        <v>N</v>
      </c>
      <c r="D3" t="str">
        <f t="array" ref="D3">iferror(index('rna-gill'!$I:$I,match($A3,'rna-gill'!$A:$A,0)))</f>
        <v>BRN63G-G1</v>
      </c>
      <c r="E3" t="str">
        <f t="array" ref="E3">iferror(index('rna-gill'!$L:$L,match($A3,'rna-gill'!$A:$A,0)))</f>
        <v>N</v>
      </c>
      <c r="F3" t="str">
        <f t="array" ref="F3">iferror(index(fatty_acid!$G:$G,match($A3,fatty_acid!$A:$A,0)))</f>
        <v>BFA20-64</v>
      </c>
      <c r="G3" t="str">
        <f t="array" ref="G3">iferror(index(fatty_acid!$J:$J,match($A3,fatty_acid!$A:$A,0)))</f>
        <v>N</v>
      </c>
      <c r="H3" t="str">
        <f t="array" ref="H3">iferror(index(isotopes!$G:$G,match($A3,isotopes!$A:$A,0)))</f>
        <v>BIS21-77</v>
      </c>
      <c r="I3" t="str">
        <f t="array" ref="I3">iferror(index(isotopes!$J:$J,match($A3,isotopes!$A:$A,0)))</f>
        <v>N</v>
      </c>
      <c r="J3" t="str">
        <f t="array" ref="J3">iferror(index(extra_muscle!$G:$G,match($A3,extra_muscle!$A:$A,0)))</f>
        <v>BXM22-84</v>
      </c>
      <c r="K3" t="str">
        <f t="array" ref="K3">iferror(index(extra_muscle!$J:$J,match($A3,extra_muscle!$A:$A,0)))</f>
        <v>N</v>
      </c>
      <c r="L3" s="59" t="str">
        <f t="array" ref="L3">iferror(index(dna!$G:$G,match($A3,dna!$A:$A,0)))</f>
        <v/>
      </c>
      <c r="M3" s="60" t="str">
        <f t="array" ref="M3">iferror(index(dna!$J:$J,match($A3,dna!$A:$A,0)))</f>
        <v/>
      </c>
      <c r="N3" t="str">
        <f t="array" ref="N3">iferror(index(stomachs!$G:$G,match($A3,stomachs!$A:$A,0)))</f>
        <v>BST244-21</v>
      </c>
      <c r="O3" t="str">
        <f t="array" ref="O3">iferror(index(stomachs!$J:$J,match($A3,stomachs!$A:$A,0)))</f>
        <v>N</v>
      </c>
      <c r="P3" t="str">
        <f t="array" ref="P3">iferror(index(sea_lice!$G:$G,match($A3,sea_lice!$A:$A,0)))</f>
        <v/>
      </c>
      <c r="Q3" t="str">
        <f t="array" ref="Q3">iferror(index(sea_lice!$J:$J,match($A3,sea_lice!$A:$A,0)))</f>
        <v/>
      </c>
      <c r="R3" s="40" t="str">
        <f t="array" ref="R3">iferror(index(dissected_fish!$F:$F,match($A3,dissected_fish!$A:$A,0)))</f>
        <v>BCA99</v>
      </c>
      <c r="S3" s="40" t="str">
        <f t="array" ref="S3">iferror(index(dissected_fish!$K:$K,match($A3,dissected_fish!$A:$A,0)))</f>
        <v>N</v>
      </c>
      <c r="T3" s="61" t="str">
        <f t="array" ref="T3">index(fish_lab_data!O:O,match(A3,fish_lab_data!C:C,0))</f>
        <v>STB</v>
      </c>
      <c r="U3" s="61">
        <f t="array" ref="U3">if(A3="","",index(fish_lab_data!X:X,match(A3,fish_lab_data!C:C,0)))</f>
        <v>2</v>
      </c>
    </row>
    <row r="4">
      <c r="A4" t="str">
        <f>fish_lab_data!C4</f>
        <v>U5473</v>
      </c>
      <c r="B4" t="str">
        <f t="array" ref="B4">iferror(index('rna-muscle'!$I:$I,match($A4,'rna-muscle'!$A:$A,0)))</f>
        <v>BRN63M-F1</v>
      </c>
      <c r="C4" t="str">
        <f t="array" ref="C4">iferror(index('rna-muscle'!$L:$L,match($A4,'rna-muscle'!$A:$A,0)))</f>
        <v>N</v>
      </c>
      <c r="D4" t="str">
        <f t="array" ref="D4">iferror(index('rna-gill'!$I:$I,match($A4,'rna-gill'!$A:$A,0)))</f>
        <v>BRN63G-F1</v>
      </c>
      <c r="E4" t="str">
        <f t="array" ref="E4">iferror(index('rna-gill'!$L:$L,match($A4,'rna-gill'!$A:$A,0)))</f>
        <v>N</v>
      </c>
      <c r="F4" t="str">
        <f t="array" ref="F4">iferror(index(fatty_acid!$G:$G,match($A4,fatty_acid!$A:$A,0)))</f>
        <v>BFA20-63</v>
      </c>
      <c r="G4" t="str">
        <f t="array" ref="G4">iferror(index(fatty_acid!$J:$J,match($A4,fatty_acid!$A:$A,0)))</f>
        <v>N</v>
      </c>
      <c r="H4" t="str">
        <f t="array" ref="H4">iferror(index(isotopes!$G:$G,match($A4,isotopes!$A:$A,0)))</f>
        <v>BIS21-75</v>
      </c>
      <c r="I4" t="str">
        <f t="array" ref="I4">iferror(index(isotopes!$J:$J,match($A4,isotopes!$A:$A,0)))</f>
        <v>N</v>
      </c>
      <c r="J4" t="str">
        <f t="array" ref="J4">iferror(index(extra_muscle!$G:$G,match($A4,extra_muscle!$A:$A,0)))</f>
        <v>BXM22-83</v>
      </c>
      <c r="K4" t="str">
        <f t="array" ref="K4">iferror(index(extra_muscle!$J:$J,match($A4,extra_muscle!$A:$A,0)))</f>
        <v>N</v>
      </c>
      <c r="L4" s="59" t="str">
        <f t="array" ref="L4">iferror(index(dna!$G:$G,match($A4,dna!$A:$A,0)))</f>
        <v/>
      </c>
      <c r="M4" s="60" t="str">
        <f t="array" ref="M4">iferror(index(dna!$J:$J,match($A4,dna!$A:$A,0)))</f>
        <v/>
      </c>
      <c r="N4" t="str">
        <f t="array" ref="N4">iferror(index(stomachs!$G:$G,match($A4,stomachs!$A:$A,0)))</f>
        <v>BST244-22</v>
      </c>
      <c r="O4" t="str">
        <f t="array" ref="O4">iferror(index(stomachs!$J:$J,match($A4,stomachs!$A:$A,0)))</f>
        <v>N</v>
      </c>
      <c r="P4" t="str">
        <f t="array" ref="P4">iferror(index(sea_lice!$G:$G,match($A4,sea_lice!$A:$A,0)))</f>
        <v/>
      </c>
      <c r="Q4" t="str">
        <f t="array" ref="Q4">iferror(index(sea_lice!$J:$J,match($A4,sea_lice!$A:$A,0)))</f>
        <v/>
      </c>
      <c r="R4" s="40" t="str">
        <f t="array" ref="R4">iferror(index(dissected_fish!$F:$F,match($A4,dissected_fish!$A:$A,0)))</f>
        <v>BCA99</v>
      </c>
      <c r="S4" s="40" t="str">
        <f t="array" ref="S4">iferror(index(dissected_fish!$K:$K,match($A4,dissected_fish!$A:$A,0)))</f>
        <v>N</v>
      </c>
      <c r="T4" s="61" t="str">
        <f t="array" ref="T4">index(fish_lab_data!O:O,match(A4,fish_lab_data!C:C,0))</f>
        <v>STB</v>
      </c>
      <c r="U4" s="61">
        <f t="array" ref="U4">if(A4="","",index(fish_lab_data!X:X,match(A4,fish_lab_data!C:C,0)))</f>
        <v>3</v>
      </c>
    </row>
    <row r="5">
      <c r="A5" t="str">
        <f>fish_lab_data!C5</f>
        <v>U5474</v>
      </c>
      <c r="B5" t="str">
        <f t="array" ref="B5">iferror(index('rna-muscle'!$I:$I,match($A5,'rna-muscle'!$A:$A,0)))</f>
        <v>BRN63M-E1</v>
      </c>
      <c r="C5" t="str">
        <f t="array" ref="C5">iferror(index('rna-muscle'!$L:$L,match($A5,'rna-muscle'!$A:$A,0)))</f>
        <v>N</v>
      </c>
      <c r="D5" t="str">
        <f t="array" ref="D5">iferror(index('rna-gill'!$I:$I,match($A5,'rna-gill'!$A:$A,0)))</f>
        <v>BRN63G-E1</v>
      </c>
      <c r="E5" t="str">
        <f t="array" ref="E5">iferror(index('rna-gill'!$L:$L,match($A5,'rna-gill'!$A:$A,0)))</f>
        <v>N</v>
      </c>
      <c r="F5" t="str">
        <f t="array" ref="F5">iferror(index(fatty_acid!$G:$G,match($A5,fatty_acid!$A:$A,0)))</f>
        <v>BFA20-62</v>
      </c>
      <c r="G5" t="str">
        <f t="array" ref="G5">iferror(index(fatty_acid!$J:$J,match($A5,fatty_acid!$A:$A,0)))</f>
        <v>N</v>
      </c>
      <c r="H5" t="str">
        <f t="array" ref="H5">iferror(index(isotopes!$G:$G,match($A5,isotopes!$A:$A,0)))</f>
        <v>BIS21-74</v>
      </c>
      <c r="I5" t="str">
        <f t="array" ref="I5">iferror(index(isotopes!$J:$J,match($A5,isotopes!$A:$A,0)))</f>
        <v>N</v>
      </c>
      <c r="J5" t="str">
        <f t="array" ref="J5">iferror(index(extra_muscle!$G:$G,match($A5,extra_muscle!$A:$A,0)))</f>
        <v>BXM22-82</v>
      </c>
      <c r="K5" t="str">
        <f t="array" ref="K5">iferror(index(extra_muscle!$J:$J,match($A5,extra_muscle!$A:$A,0)))</f>
        <v>N</v>
      </c>
      <c r="L5" s="59" t="str">
        <f t="array" ref="L5">iferror(index(dna!$G:$G,match($A5,dna!$A:$A,0)))</f>
        <v/>
      </c>
      <c r="M5" s="60" t="str">
        <f t="array" ref="M5">iferror(index(dna!$J:$J,match($A5,dna!$A:$A,0)))</f>
        <v/>
      </c>
      <c r="N5" t="str">
        <f t="array" ref="N5">iferror(index(stomachs!$G:$G,match($A5,stomachs!$A:$A,0)))</f>
        <v>BST244-23</v>
      </c>
      <c r="O5" t="str">
        <f t="array" ref="O5">iferror(index(stomachs!$J:$J,match($A5,stomachs!$A:$A,0)))</f>
        <v>N</v>
      </c>
      <c r="P5" t="str">
        <f t="array" ref="P5">iferror(index(sea_lice!$G:$G,match($A5,sea_lice!$A:$A,0)))</f>
        <v>BSL5-85</v>
      </c>
      <c r="Q5" t="str">
        <f t="array" ref="Q5">iferror(index(sea_lice!$J:$J,match($A5,sea_lice!$A:$A,0)))</f>
        <v>N</v>
      </c>
      <c r="R5" s="40" t="str">
        <f t="array" ref="R5">iferror(index(dissected_fish!$F:$F,match($A5,dissected_fish!$A:$A,0)))</f>
        <v>BCA99</v>
      </c>
      <c r="S5" s="40" t="str">
        <f t="array" ref="S5">iferror(index(dissected_fish!$K:$K,match($A5,dissected_fish!$A:$A,0)))</f>
        <v>N</v>
      </c>
      <c r="T5" s="61" t="str">
        <f t="array" ref="T5">index(fish_lab_data!O:O,match(A5,fish_lab_data!C:C,0))</f>
        <v>STB</v>
      </c>
      <c r="U5" s="61">
        <f t="array" ref="U5">if(A5="","",index(fish_lab_data!X:X,match(A5,fish_lab_data!C:C,0)))</f>
        <v>4</v>
      </c>
    </row>
    <row r="6">
      <c r="A6" t="str">
        <f>fish_lab_data!C6</f>
        <v>U5475</v>
      </c>
      <c r="B6" t="str">
        <f t="array" ref="B6">iferror(index('rna-muscle'!$I:$I,match($A6,'rna-muscle'!$A:$A,0)))</f>
        <v>BRN63M-D1</v>
      </c>
      <c r="C6" t="str">
        <f t="array" ref="C6">iferror(index('rna-muscle'!$L:$L,match($A6,'rna-muscle'!$A:$A,0)))</f>
        <v>N</v>
      </c>
      <c r="D6" t="str">
        <f t="array" ref="D6">iferror(index('rna-gill'!$I:$I,match($A6,'rna-gill'!$A:$A,0)))</f>
        <v>BRN63G-D1</v>
      </c>
      <c r="E6" t="str">
        <f t="array" ref="E6">iferror(index('rna-gill'!$L:$L,match($A6,'rna-gill'!$A:$A,0)))</f>
        <v>N</v>
      </c>
      <c r="F6" t="str">
        <f t="array" ref="F6">iferror(index(fatty_acid!$G:$G,match($A6,fatty_acid!$A:$A,0)))</f>
        <v>BFA20-61</v>
      </c>
      <c r="G6" t="str">
        <f t="array" ref="G6">iferror(index(fatty_acid!$J:$J,match($A6,fatty_acid!$A:$A,0)))</f>
        <v>N</v>
      </c>
      <c r="H6" t="str">
        <f t="array" ref="H6">iferror(index(isotopes!$G:$G,match($A6,isotopes!$A:$A,0)))</f>
        <v>BIS21-73</v>
      </c>
      <c r="I6" t="str">
        <f t="array" ref="I6">iferror(index(isotopes!$J:$J,match($A6,isotopes!$A:$A,0)))</f>
        <v>N</v>
      </c>
      <c r="J6" t="str">
        <f t="array" ref="J6">iferror(index(extra_muscle!$G:$G,match($A6,extra_muscle!$A:$A,0)))</f>
        <v>BXM22-81</v>
      </c>
      <c r="K6" t="str">
        <f t="array" ref="K6">iferror(index(extra_muscle!$J:$J,match($A6,extra_muscle!$A:$A,0)))</f>
        <v>N</v>
      </c>
      <c r="L6" s="59" t="str">
        <f t="array" ref="L6">iferror(index(dna!$G:$G,match($A6,dna!$A:$A,0)))</f>
        <v/>
      </c>
      <c r="M6" s="60" t="str">
        <f t="array" ref="M6">iferror(index(dna!$J:$J,match($A6,dna!$A:$A,0)))</f>
        <v/>
      </c>
      <c r="N6" t="str">
        <f t="array" ref="N6">iferror(index(stomachs!$G:$G,match($A6,stomachs!$A:$A,0)))</f>
        <v>BST244-24</v>
      </c>
      <c r="O6" t="str">
        <f t="array" ref="O6">iferror(index(stomachs!$J:$J,match($A6,stomachs!$A:$A,0)))</f>
        <v>N</v>
      </c>
      <c r="P6" t="str">
        <f t="array" ref="P6">iferror(index(sea_lice!$G:$G,match($A6,sea_lice!$A:$A,0)))</f>
        <v>BSL5-84</v>
      </c>
      <c r="Q6" t="str">
        <f t="array" ref="Q6">iferror(index(sea_lice!$J:$J,match($A6,sea_lice!$A:$A,0)))</f>
        <v>N</v>
      </c>
      <c r="R6" s="40" t="str">
        <f t="array" ref="R6">iferror(index(dissected_fish!$F:$F,match($A6,dissected_fish!$A:$A,0)))</f>
        <v>BCA99</v>
      </c>
      <c r="S6" s="40" t="str">
        <f t="array" ref="S6">iferror(index(dissected_fish!$K:$K,match($A6,dissected_fish!$A:$A,0)))</f>
        <v>N</v>
      </c>
      <c r="T6" s="61" t="str">
        <f t="array" ref="T6">index(fish_lab_data!O:O,match(A6,fish_lab_data!C:C,0))</f>
        <v>STB</v>
      </c>
      <c r="U6" s="61">
        <f t="array" ref="U6">if(A6="","",index(fish_lab_data!X:X,match(A6,fish_lab_data!C:C,0)))</f>
        <v>5</v>
      </c>
    </row>
    <row r="7">
      <c r="A7" t="str">
        <f>fish_lab_data!C7</f>
        <v>U5476</v>
      </c>
      <c r="B7" t="str">
        <f t="array" ref="B7">iferror(index('rna-muscle'!$I:$I,match($A7,'rna-muscle'!$A:$A,0)))</f>
        <v>BRN63M-C1</v>
      </c>
      <c r="C7" t="str">
        <f t="array" ref="C7">iferror(index('rna-muscle'!$L:$L,match($A7,'rna-muscle'!$A:$A,0)))</f>
        <v>N</v>
      </c>
      <c r="D7" t="str">
        <f t="array" ref="D7">iferror(index('rna-gill'!$I:$I,match($A7,'rna-gill'!$A:$A,0)))</f>
        <v>BRN63G-C1</v>
      </c>
      <c r="E7" t="str">
        <f t="array" ref="E7">iferror(index('rna-gill'!$L:$L,match($A7,'rna-gill'!$A:$A,0)))</f>
        <v>N</v>
      </c>
      <c r="F7" t="str">
        <f t="array" ref="F7">iferror(index(fatty_acid!$G:$G,match($A7,fatty_acid!$A:$A,0)))</f>
        <v>BFA20-50</v>
      </c>
      <c r="G7" t="str">
        <f t="array" ref="G7">iferror(index(fatty_acid!$J:$J,match($A7,fatty_acid!$A:$A,0)))</f>
        <v>N</v>
      </c>
      <c r="H7" t="str">
        <f t="array" ref="H7">iferror(index(isotopes!$G:$G,match($A7,isotopes!$A:$A,0)))</f>
        <v>BIS21-72</v>
      </c>
      <c r="I7" t="str">
        <f t="array" ref="I7">iferror(index(isotopes!$J:$J,match($A7,isotopes!$A:$A,0)))</f>
        <v>N</v>
      </c>
      <c r="J7" t="str">
        <f t="array" ref="J7">iferror(index(extra_muscle!$G:$G,match($A7,extra_muscle!$A:$A,0)))</f>
        <v>BXM22-80</v>
      </c>
      <c r="K7" t="str">
        <f t="array" ref="K7">iferror(index(extra_muscle!$J:$J,match($A7,extra_muscle!$A:$A,0)))</f>
        <v>N</v>
      </c>
      <c r="L7" s="59" t="str">
        <f t="array" ref="L7">iferror(index(dna!$G:$G,match($A7,dna!$A:$A,0)))</f>
        <v/>
      </c>
      <c r="M7" s="60" t="str">
        <f t="array" ref="M7">iferror(index(dna!$J:$J,match($A7,dna!$A:$A,0)))</f>
        <v/>
      </c>
      <c r="N7" t="str">
        <f t="array" ref="N7">iferror(index(stomachs!$G:$G,match($A7,stomachs!$A:$A,0)))</f>
        <v>BST244-25</v>
      </c>
      <c r="O7" t="str">
        <f t="array" ref="O7">iferror(index(stomachs!$J:$J,match($A7,stomachs!$A:$A,0)))</f>
        <v>N</v>
      </c>
      <c r="P7" t="str">
        <f t="array" ref="P7">iferror(index(sea_lice!$G:$G,match($A7,sea_lice!$A:$A,0)))</f>
        <v/>
      </c>
      <c r="Q7" t="str">
        <f t="array" ref="Q7">iferror(index(sea_lice!$J:$J,match($A7,sea_lice!$A:$A,0)))</f>
        <v/>
      </c>
      <c r="R7" s="40" t="str">
        <f t="array" ref="R7">iferror(index(dissected_fish!$F:$F,match($A7,dissected_fish!$A:$A,0)))</f>
        <v>BCA99</v>
      </c>
      <c r="S7" s="40" t="str">
        <f t="array" ref="S7">iferror(index(dissected_fish!$K:$K,match($A7,dissected_fish!$A:$A,0)))</f>
        <v>N</v>
      </c>
      <c r="T7" s="61" t="str">
        <f t="array" ref="T7">index(fish_lab_data!O:O,match(A7,fish_lab_data!C:C,0))</f>
        <v>STB</v>
      </c>
      <c r="U7" s="61">
        <f t="array" ref="U7">if(A7="","",index(fish_lab_data!X:X,match(A7,fish_lab_data!C:C,0)))</f>
        <v>6</v>
      </c>
    </row>
    <row r="8">
      <c r="A8" t="str">
        <f>fish_lab_data!C8</f>
        <v>U5477</v>
      </c>
      <c r="B8" t="str">
        <f t="array" ref="B8">iferror(index('rna-muscle'!$I:$I,match($A8,'rna-muscle'!$A:$A,0)))</f>
        <v>BRN63M-B1</v>
      </c>
      <c r="C8" t="str">
        <f t="array" ref="C8">iferror(index('rna-muscle'!$L:$L,match($A8,'rna-muscle'!$A:$A,0)))</f>
        <v>N</v>
      </c>
      <c r="D8" t="str">
        <f t="array" ref="D8">iferror(index('rna-gill'!$I:$I,match($A8,'rna-gill'!$A:$A,0)))</f>
        <v>BRN63G-B1</v>
      </c>
      <c r="E8" t="str">
        <f t="array" ref="E8">iferror(index('rna-gill'!$L:$L,match($A8,'rna-gill'!$A:$A,0)))</f>
        <v>N</v>
      </c>
      <c r="F8" t="str">
        <f t="array" ref="F8">iferror(index(fatty_acid!$G:$G,match($A8,fatty_acid!$A:$A,0)))</f>
        <v>BFA20-49</v>
      </c>
      <c r="G8" t="str">
        <f t="array" ref="G8">iferror(index(fatty_acid!$J:$J,match($A8,fatty_acid!$A:$A,0)))</f>
        <v>N</v>
      </c>
      <c r="H8" t="str">
        <f t="array" ref="H8">iferror(index(isotopes!$G:$G,match($A8,isotopes!$A:$A,0)))</f>
        <v>BIS21-71</v>
      </c>
      <c r="I8" t="str">
        <f t="array" ref="I8">iferror(index(isotopes!$J:$J,match($A8,isotopes!$A:$A,0)))</f>
        <v>N</v>
      </c>
      <c r="J8" t="str">
        <f t="array" ref="J8">iferror(index(extra_muscle!$G:$G,match($A8,extra_muscle!$A:$A,0)))</f>
        <v>BXM22-79</v>
      </c>
      <c r="K8" t="str">
        <f t="array" ref="K8">iferror(index(extra_muscle!$J:$J,match($A8,extra_muscle!$A:$A,0)))</f>
        <v>N</v>
      </c>
      <c r="L8" s="59" t="str">
        <f t="array" ref="L8">iferror(index(dna!$G:$G,match($A8,dna!$A:$A,0)))</f>
        <v/>
      </c>
      <c r="M8" s="60" t="str">
        <f t="array" ref="M8">iferror(index(dna!$J:$J,match($A8,dna!$A:$A,0)))</f>
        <v/>
      </c>
      <c r="N8" t="str">
        <f t="array" ref="N8">iferror(index(stomachs!$G:$G,match($A8,stomachs!$A:$A,0)))</f>
        <v>BST239-21</v>
      </c>
      <c r="O8" t="str">
        <f t="array" ref="O8">iferror(index(stomachs!$J:$J,match($A8,stomachs!$A:$A,0)))</f>
        <v>N</v>
      </c>
      <c r="P8" t="str">
        <f t="array" ref="P8">iferror(index(sea_lice!$G:$G,match($A8,sea_lice!$A:$A,0)))</f>
        <v>BSL5-83</v>
      </c>
      <c r="Q8" t="str">
        <f t="array" ref="Q8">iferror(index(sea_lice!$J:$J,match($A8,sea_lice!$A:$A,0)))</f>
        <v>N</v>
      </c>
      <c r="R8" s="40" t="str">
        <f t="array" ref="R8">iferror(index(dissected_fish!$F:$F,match($A8,dissected_fish!$A:$A,0)))</f>
        <v>BCA99</v>
      </c>
      <c r="S8" s="40" t="str">
        <f t="array" ref="S8">iferror(index(dissected_fish!$K:$K,match($A8,dissected_fish!$A:$A,0)))</f>
        <v>N</v>
      </c>
      <c r="T8" s="61" t="str">
        <f t="array" ref="T8">index(fish_lab_data!O:O,match(A8,fish_lab_data!C:C,0))</f>
        <v>STB</v>
      </c>
      <c r="U8" s="61">
        <f t="array" ref="U8">if(A8="","",index(fish_lab_data!X:X,match(A8,fish_lab_data!C:C,0)))</f>
        <v>7</v>
      </c>
    </row>
    <row r="9">
      <c r="A9" t="str">
        <f>fish_lab_data!C9</f>
        <v>U5478</v>
      </c>
      <c r="B9" t="str">
        <f t="array" ref="B9">iferror(index('rna-muscle'!$I:$I,match($A9,'rna-muscle'!$A:$A,0)))</f>
        <v>BRN63M-A1</v>
      </c>
      <c r="C9" t="str">
        <f t="array" ref="C9">iferror(index('rna-muscle'!$L:$L,match($A9,'rna-muscle'!$A:$A,0)))</f>
        <v>N</v>
      </c>
      <c r="D9" t="str">
        <f t="array" ref="D9">iferror(index('rna-gill'!$I:$I,match($A9,'rna-gill'!$A:$A,0)))</f>
        <v>BRN63G-A1</v>
      </c>
      <c r="E9" t="str">
        <f t="array" ref="E9">iferror(index('rna-gill'!$L:$L,match($A9,'rna-gill'!$A:$A,0)))</f>
        <v>N</v>
      </c>
      <c r="F9" t="str">
        <f t="array" ref="F9">iferror(index(fatty_acid!$G:$G,match($A9,fatty_acid!$A:$A,0)))</f>
        <v>BFA20-48</v>
      </c>
      <c r="G9" t="str">
        <f t="array" ref="G9">iferror(index(fatty_acid!$J:$J,match($A9,fatty_acid!$A:$A,0)))</f>
        <v>N</v>
      </c>
      <c r="H9" t="str">
        <f t="array" ref="H9">iferror(index(isotopes!$G:$G,match($A9,isotopes!$A:$A,0)))</f>
        <v>BIS21-50</v>
      </c>
      <c r="I9" t="str">
        <f t="array" ref="I9">iferror(index(isotopes!$J:$J,match($A9,isotopes!$A:$A,0)))</f>
        <v>N</v>
      </c>
      <c r="J9" t="str">
        <f t="array" ref="J9">iferror(index(extra_muscle!$G:$G,match($A9,extra_muscle!$A:$A,0)))</f>
        <v>BXM22-78</v>
      </c>
      <c r="K9" t="str">
        <f t="array" ref="K9">iferror(index(extra_muscle!$J:$J,match($A9,extra_muscle!$A:$A,0)))</f>
        <v>N</v>
      </c>
      <c r="L9" s="59" t="str">
        <f t="array" ref="L9">iferror(index(dna!$G:$G,match($A9,dna!$A:$A,0)))</f>
        <v/>
      </c>
      <c r="M9" s="60" t="str">
        <f t="array" ref="M9">iferror(index(dna!$J:$J,match($A9,dna!$A:$A,0)))</f>
        <v/>
      </c>
      <c r="N9" t="str">
        <f t="array" ref="N9">iferror(index(stomachs!$G:$G,match($A9,stomachs!$A:$A,0)))</f>
        <v>BST239-22</v>
      </c>
      <c r="O9" t="str">
        <f t="array" ref="O9">iferror(index(stomachs!$J:$J,match($A9,stomachs!$A:$A,0)))</f>
        <v>N</v>
      </c>
      <c r="P9" t="str">
        <f t="array" ref="P9">iferror(index(sea_lice!$G:$G,match($A9,sea_lice!$A:$A,0)))</f>
        <v>BSL5-82</v>
      </c>
      <c r="Q9" t="str">
        <f t="array" ref="Q9">iferror(index(sea_lice!$J:$J,match($A9,sea_lice!$A:$A,0)))</f>
        <v>N</v>
      </c>
      <c r="R9" s="40" t="str">
        <f t="array" ref="R9">iferror(index(dissected_fish!$F:$F,match($A9,dissected_fish!$A:$A,0)))</f>
        <v>BCA99</v>
      </c>
      <c r="S9" s="40" t="str">
        <f t="array" ref="S9">iferror(index(dissected_fish!$K:$K,match($A9,dissected_fish!$A:$A,0)))</f>
        <v>N</v>
      </c>
      <c r="T9" s="61" t="str">
        <f t="array" ref="T9">index(fish_lab_data!O:O,match(A9,fish_lab_data!C:C,0))</f>
        <v>STB</v>
      </c>
      <c r="U9" s="61">
        <f t="array" ref="U9">if(A9="","",index(fish_lab_data!X:X,match(A9,fish_lab_data!C:C,0)))</f>
        <v>8</v>
      </c>
    </row>
    <row r="10">
      <c r="A10" t="str">
        <f>fish_lab_data!C10</f>
        <v>U5479</v>
      </c>
      <c r="B10" t="str">
        <f t="array" ref="B10">iferror(index('rna-muscle'!$I:$I,match($A10,'rna-muscle'!$A:$A,0)))</f>
        <v>BRN63M-H2</v>
      </c>
      <c r="C10" t="str">
        <f t="array" ref="C10">iferror(index('rna-muscle'!$L:$L,match($A10,'rna-muscle'!$A:$A,0)))</f>
        <v>N</v>
      </c>
      <c r="D10" t="str">
        <f t="array" ref="D10">iferror(index('rna-gill'!$I:$I,match($A10,'rna-gill'!$A:$A,0)))</f>
        <v>BRN63G-H2</v>
      </c>
      <c r="E10" t="str">
        <f t="array" ref="E10">iferror(index('rna-gill'!$L:$L,match($A10,'rna-gill'!$A:$A,0)))</f>
        <v>N</v>
      </c>
      <c r="F10" t="str">
        <f t="array" ref="F10">iferror(index(fatty_acid!$G:$G,match($A10,fatty_acid!$A:$A,0)))</f>
        <v>BFA20-47</v>
      </c>
      <c r="G10" t="str">
        <f t="array" ref="G10">iferror(index(fatty_acid!$J:$J,match($A10,fatty_acid!$A:$A,0)))</f>
        <v>N</v>
      </c>
      <c r="H10" t="str">
        <f t="array" ref="H10">iferror(index(isotopes!$G:$G,match($A10,isotopes!$A:$A,0)))</f>
        <v>BIS21-49</v>
      </c>
      <c r="I10" t="str">
        <f t="array" ref="I10">iferror(index(isotopes!$J:$J,match($A10,isotopes!$A:$A,0)))</f>
        <v>N</v>
      </c>
      <c r="J10" t="str">
        <f t="array" ref="J10">iferror(index(extra_muscle!$G:$G,match($A10,extra_muscle!$A:$A,0)))</f>
        <v>BXM22-77</v>
      </c>
      <c r="K10" t="str">
        <f t="array" ref="K10">iferror(index(extra_muscle!$J:$J,match($A10,extra_muscle!$A:$A,0)))</f>
        <v>N</v>
      </c>
      <c r="L10" s="59" t="str">
        <f t="array" ref="L10">iferror(index(dna!$G:$G,match($A10,dna!$A:$A,0)))</f>
        <v/>
      </c>
      <c r="M10" s="60" t="str">
        <f t="array" ref="M10">iferror(index(dna!$J:$J,match($A10,dna!$A:$A,0)))</f>
        <v/>
      </c>
      <c r="N10" t="str">
        <f t="array" ref="N10">iferror(index(stomachs!$G:$G,match($A10,stomachs!$A:$A,0)))</f>
        <v>BST239-23</v>
      </c>
      <c r="O10" t="str">
        <f t="array" ref="O10">iferror(index(stomachs!$J:$J,match($A10,stomachs!$A:$A,0)))</f>
        <v>N</v>
      </c>
      <c r="P10" t="str">
        <f t="array" ref="P10">iferror(index(sea_lice!$G:$G,match($A10,sea_lice!$A:$A,0)))</f>
        <v/>
      </c>
      <c r="Q10" t="str">
        <f t="array" ref="Q10">iferror(index(sea_lice!$J:$J,match($A10,sea_lice!$A:$A,0)))</f>
        <v/>
      </c>
      <c r="R10" s="40" t="str">
        <f t="array" ref="R10">iferror(index(dissected_fish!$F:$F,match($A10,dissected_fish!$A:$A,0)))</f>
        <v>BCA99</v>
      </c>
      <c r="S10" s="40" t="str">
        <f t="array" ref="S10">iferror(index(dissected_fish!$K:$K,match($A10,dissected_fish!$A:$A,0)))</f>
        <v>N</v>
      </c>
      <c r="T10" s="61" t="str">
        <f t="array" ref="T10">index(fish_lab_data!O:O,match(A10,fish_lab_data!C:C,0))</f>
        <v>STB</v>
      </c>
      <c r="U10" s="61">
        <f t="array" ref="U10">if(A10="","",index(fish_lab_data!X:X,match(A10,fish_lab_data!C:C,0)))</f>
        <v>9</v>
      </c>
    </row>
    <row r="11">
      <c r="A11" t="str">
        <f>fish_lab_data!C11</f>
        <v>U5480</v>
      </c>
      <c r="B11" t="str">
        <f t="array" ref="B11">iferror(index('rna-muscle'!$I:$I,match($A11,'rna-muscle'!$A:$A,0)))</f>
        <v>BRN63M-G2</v>
      </c>
      <c r="C11" t="str">
        <f t="array" ref="C11">iferror(index('rna-muscle'!$L:$L,match($A11,'rna-muscle'!$A:$A,0)))</f>
        <v>N</v>
      </c>
      <c r="D11" t="str">
        <f t="array" ref="D11">iferror(index('rna-gill'!$I:$I,match($A11,'rna-gill'!$A:$A,0)))</f>
        <v>BRN63G-G2</v>
      </c>
      <c r="E11" t="str">
        <f t="array" ref="E11">iferror(index('rna-gill'!$L:$L,match($A11,'rna-gill'!$A:$A,0)))</f>
        <v>N</v>
      </c>
      <c r="F11" t="str">
        <f t="array" ref="F11">iferror(index(fatty_acid!$G:$G,match($A11,fatty_acid!$A:$A,0)))</f>
        <v>BFA20-45</v>
      </c>
      <c r="G11" t="str">
        <f t="array" ref="G11">iferror(index(fatty_acid!$J:$J,match($A11,fatty_acid!$A:$A,0)))</f>
        <v>N</v>
      </c>
      <c r="H11" t="str">
        <f t="array" ref="H11">iferror(index(isotopes!$G:$G,match($A11,isotopes!$A:$A,0)))</f>
        <v>BIS21-48</v>
      </c>
      <c r="I11" t="str">
        <f t="array" ref="I11">iferror(index(isotopes!$J:$J,match($A11,isotopes!$A:$A,0)))</f>
        <v>N</v>
      </c>
      <c r="J11" t="str">
        <f t="array" ref="J11">iferror(index(extra_muscle!$G:$G,match($A11,extra_muscle!$A:$A,0)))</f>
        <v>BXM22-75</v>
      </c>
      <c r="K11" t="str">
        <f t="array" ref="K11">iferror(index(extra_muscle!$J:$J,match($A11,extra_muscle!$A:$A,0)))</f>
        <v>N</v>
      </c>
      <c r="L11" s="59" t="str">
        <f t="array" ref="L11">iferror(index(dna!$G:$G,match($A11,dna!$A:$A,0)))</f>
        <v/>
      </c>
      <c r="M11" s="60" t="str">
        <f t="array" ref="M11">iferror(index(dna!$J:$J,match($A11,dna!$A:$A,0)))</f>
        <v/>
      </c>
      <c r="N11" t="str">
        <f t="array" ref="N11">iferror(index(stomachs!$G:$G,match($A11,stomachs!$A:$A,0)))</f>
        <v>BST239-24</v>
      </c>
      <c r="O11" t="str">
        <f t="array" ref="O11">iferror(index(stomachs!$J:$J,match($A11,stomachs!$A:$A,0)))</f>
        <v>N</v>
      </c>
      <c r="P11" t="str">
        <f t="array" ref="P11">iferror(index(sea_lice!$G:$G,match($A11,sea_lice!$A:$A,0)))</f>
        <v/>
      </c>
      <c r="Q11" t="str">
        <f t="array" ref="Q11">iferror(index(sea_lice!$J:$J,match($A11,sea_lice!$A:$A,0)))</f>
        <v/>
      </c>
      <c r="R11" s="40" t="str">
        <f t="array" ref="R11">iferror(index(dissected_fish!$F:$F,match($A11,dissected_fish!$A:$A,0)))</f>
        <v>BCA99</v>
      </c>
      <c r="S11" s="40" t="str">
        <f t="array" ref="S11">iferror(index(dissected_fish!$K:$K,match($A11,dissected_fish!$A:$A,0)))</f>
        <v>N</v>
      </c>
      <c r="T11" s="61" t="str">
        <f t="array" ref="T11">index(fish_lab_data!O:O,match(A11,fish_lab_data!C:C,0))</f>
        <v>STB</v>
      </c>
      <c r="U11" s="61">
        <f t="array" ref="U11">if(A11="","",index(fish_lab_data!X:X,match(A11,fish_lab_data!C:C,0)))</f>
        <v>10</v>
      </c>
    </row>
    <row r="12">
      <c r="A12" t="str">
        <f>fish_lab_data!C12</f>
        <v>U5481</v>
      </c>
      <c r="B12" t="str">
        <f t="array" ref="B12">iferror(index('rna-muscle'!$I:$I,match($A12,'rna-muscle'!$A:$A,0)))</f>
        <v>BRN60M-H10</v>
      </c>
      <c r="C12" t="str">
        <f t="array" ref="C12">iferror(index('rna-muscle'!$L:$L,match($A12,'rna-muscle'!$A:$A,0)))</f>
        <v>N</v>
      </c>
      <c r="D12" t="str">
        <f t="array" ref="D12">iferror(index('rna-gill'!$I:$I,match($A12,'rna-gill'!$A:$A,0)))</f>
        <v>BRN60G-H10</v>
      </c>
      <c r="E12" t="str">
        <f t="array" ref="E12">iferror(index('rna-gill'!$L:$L,match($A12,'rna-gill'!$A:$A,0)))</f>
        <v>N</v>
      </c>
      <c r="F12" t="str">
        <f t="array" ref="F12">iferror(index(fatty_acid!$G:$G,match($A12,fatty_acid!$A:$A,0)))</f>
        <v>BFA20-44</v>
      </c>
      <c r="G12" t="str">
        <f t="array" ref="G12">iferror(index(fatty_acid!$J:$J,match($A12,fatty_acid!$A:$A,0)))</f>
        <v>N</v>
      </c>
      <c r="H12" t="str">
        <f t="array" ref="H12">iferror(index(isotopes!$G:$G,match($A12,isotopes!$A:$A,0)))</f>
        <v>BIS21-47</v>
      </c>
      <c r="I12" t="str">
        <f t="array" ref="I12">iferror(index(isotopes!$J:$J,match($A12,isotopes!$A:$A,0)))</f>
        <v>N</v>
      </c>
      <c r="J12" t="str">
        <f t="array" ref="J12">iferror(index(extra_muscle!$G:$G,match($A12,extra_muscle!$A:$A,0)))</f>
        <v>BXM22-74</v>
      </c>
      <c r="K12" t="str">
        <f t="array" ref="K12">iferror(index(extra_muscle!$J:$J,match($A12,extra_muscle!$A:$A,0)))</f>
        <v>N</v>
      </c>
      <c r="L12" s="59" t="str">
        <f t="array" ref="L12">iferror(index(dna!$G:$G,match($A12,dna!$A:$A,0)))</f>
        <v/>
      </c>
      <c r="M12" s="60" t="str">
        <f t="array" ref="M12">iferror(index(dna!$J:$J,match($A12,dna!$A:$A,0)))</f>
        <v/>
      </c>
      <c r="N12" t="str">
        <f t="array" ref="N12">iferror(index(stomachs!$G:$G,match($A12,stomachs!$A:$A,0)))</f>
        <v>BST239-25</v>
      </c>
      <c r="O12" t="str">
        <f t="array" ref="O12">iferror(index(stomachs!$J:$J,match($A12,stomachs!$A:$A,0)))</f>
        <v>N</v>
      </c>
      <c r="P12" t="str">
        <f t="array" ref="P12">iferror(index(sea_lice!$G:$G,match($A12,sea_lice!$A:$A,0)))</f>
        <v/>
      </c>
      <c r="Q12" t="str">
        <f t="array" ref="Q12">iferror(index(sea_lice!$J:$J,match($A12,sea_lice!$A:$A,0)))</f>
        <v/>
      </c>
      <c r="R12" s="40" t="str">
        <f t="array" ref="R12">iferror(index(dissected_fish!$F:$F,match($A12,dissected_fish!$A:$A,0)))</f>
        <v>BCA99</v>
      </c>
      <c r="S12" s="40" t="str">
        <f t="array" ref="S12">iferror(index(dissected_fish!$K:$K,match($A12,dissected_fish!$A:$A,0)))</f>
        <v>N</v>
      </c>
      <c r="T12" s="61" t="str">
        <f t="array" ref="T12">index(fish_lab_data!O:O,match(A12,fish_lab_data!C:C,0))</f>
        <v>STB</v>
      </c>
      <c r="U12" s="61">
        <f t="array" ref="U12">if(A12="","",index(fish_lab_data!X:X,match(A12,fish_lab_data!C:C,0)))</f>
        <v>11</v>
      </c>
    </row>
    <row r="13">
      <c r="A13" t="str">
        <f>fish_lab_data!C13</f>
        <v>U5482</v>
      </c>
      <c r="B13" t="str">
        <f t="array" ref="B13">iferror(index('rna-muscle'!$I:$I,match($A13,'rna-muscle'!$A:$A,0)))</f>
        <v>BRN60M-G10</v>
      </c>
      <c r="C13" t="str">
        <f t="array" ref="C13">iferror(index('rna-muscle'!$L:$L,match($A13,'rna-muscle'!$A:$A,0)))</f>
        <v>N</v>
      </c>
      <c r="D13" t="str">
        <f t="array" ref="D13">iferror(index('rna-gill'!$I:$I,match($A13,'rna-gill'!$A:$A,0)))</f>
        <v>BRN60G-G10</v>
      </c>
      <c r="E13" t="str">
        <f t="array" ref="E13">iferror(index('rna-gill'!$L:$L,match($A13,'rna-gill'!$A:$A,0)))</f>
        <v>N</v>
      </c>
      <c r="F13" t="str">
        <f t="array" ref="F13">iferror(index(fatty_acid!$G:$G,match($A13,fatty_acid!$A:$A,0)))</f>
        <v>BFA20-43</v>
      </c>
      <c r="G13" t="str">
        <f t="array" ref="G13">iferror(index(fatty_acid!$J:$J,match($A13,fatty_acid!$A:$A,0)))</f>
        <v>N</v>
      </c>
      <c r="H13" t="str">
        <f t="array" ref="H13">iferror(index(isotopes!$G:$G,match($A13,isotopes!$A:$A,0)))</f>
        <v>BIS21-45</v>
      </c>
      <c r="I13" t="str">
        <f t="array" ref="I13">iferror(index(isotopes!$J:$J,match($A13,isotopes!$A:$A,0)))</f>
        <v>N</v>
      </c>
      <c r="J13" t="str">
        <f t="array" ref="J13">iferror(index(extra_muscle!$G:$G,match($A13,extra_muscle!$A:$A,0)))</f>
        <v>BXM22-73</v>
      </c>
      <c r="K13" t="str">
        <f t="array" ref="K13">iferror(index(extra_muscle!$J:$J,match($A13,extra_muscle!$A:$A,0)))</f>
        <v>N</v>
      </c>
      <c r="L13" s="59" t="str">
        <f t="array" ref="L13">iferror(index(dna!$G:$G,match($A13,dna!$A:$A,0)))</f>
        <v/>
      </c>
      <c r="M13" s="60" t="str">
        <f t="array" ref="M13">iferror(index(dna!$J:$J,match($A13,dna!$A:$A,0)))</f>
        <v/>
      </c>
      <c r="N13" t="str">
        <f t="array" ref="N13">iferror(index(stomachs!$G:$G,match($A13,stomachs!$A:$A,0)))</f>
        <v>BST233-21</v>
      </c>
      <c r="O13" t="str">
        <f t="array" ref="O13">iferror(index(stomachs!$J:$J,match($A13,stomachs!$A:$A,0)))</f>
        <v>N</v>
      </c>
      <c r="P13" t="str">
        <f t="array" ref="P13">iferror(index(sea_lice!$G:$G,match($A13,sea_lice!$A:$A,0)))</f>
        <v/>
      </c>
      <c r="Q13" t="str">
        <f t="array" ref="Q13">iferror(index(sea_lice!$J:$J,match($A13,sea_lice!$A:$A,0)))</f>
        <v/>
      </c>
      <c r="R13" s="40" t="str">
        <f t="array" ref="R13">iferror(index(dissected_fish!$F:$F,match($A13,dissected_fish!$A:$A,0)))</f>
        <v>BCA99</v>
      </c>
      <c r="S13" s="40" t="str">
        <f t="array" ref="S13">iferror(index(dissected_fish!$K:$K,match($A13,dissected_fish!$A:$A,0)))</f>
        <v>N</v>
      </c>
      <c r="T13" s="61" t="str">
        <f t="array" ref="T13">index(fish_lab_data!O:O,match(A13,fish_lab_data!C:C,0))</f>
        <v>STB</v>
      </c>
      <c r="U13" s="61">
        <f t="array" ref="U13">if(A13="","",index(fish_lab_data!X:X,match(A13,fish_lab_data!C:C,0)))</f>
        <v>12</v>
      </c>
    </row>
    <row r="14">
      <c r="A14" t="str">
        <f>fish_lab_data!C14</f>
        <v>U5483</v>
      </c>
      <c r="B14" t="str">
        <f t="array" ref="B14">iferror(index('rna-muscle'!$I:$I,match($A14,'rna-muscle'!$A:$A,0)))</f>
        <v>BRN60M-F10</v>
      </c>
      <c r="C14" t="str">
        <f t="array" ref="C14">iferror(index('rna-muscle'!$L:$L,match($A14,'rna-muscle'!$A:$A,0)))</f>
        <v>N</v>
      </c>
      <c r="D14" t="str">
        <f t="array" ref="D14">iferror(index('rna-gill'!$I:$I,match($A14,'rna-gill'!$A:$A,0)))</f>
        <v>BRN60G-F10</v>
      </c>
      <c r="E14" t="str">
        <f t="array" ref="E14">iferror(index('rna-gill'!$L:$L,match($A14,'rna-gill'!$A:$A,0)))</f>
        <v>N</v>
      </c>
      <c r="F14" t="str">
        <f t="array" ref="F14">iferror(index(fatty_acid!$G:$G,match($A14,fatty_acid!$A:$A,0)))</f>
        <v>BFA20-42</v>
      </c>
      <c r="G14" t="str">
        <f t="array" ref="G14">iferror(index(fatty_acid!$J:$J,match($A14,fatty_acid!$A:$A,0)))</f>
        <v>N</v>
      </c>
      <c r="H14" t="str">
        <f t="array" ref="H14">iferror(index(isotopes!$G:$G,match($A14,isotopes!$A:$A,0)))</f>
        <v>BIS21-44</v>
      </c>
      <c r="I14" t="str">
        <f t="array" ref="I14">iferror(index(isotopes!$J:$J,match($A14,isotopes!$A:$A,0)))</f>
        <v>N</v>
      </c>
      <c r="J14" t="str">
        <f t="array" ref="J14">iferror(index(extra_muscle!$G:$G,match($A14,extra_muscle!$A:$A,0)))</f>
        <v>BXM22-72</v>
      </c>
      <c r="K14" t="str">
        <f t="array" ref="K14">iferror(index(extra_muscle!$J:$J,match($A14,extra_muscle!$A:$A,0)))</f>
        <v>N</v>
      </c>
      <c r="L14" s="59" t="str">
        <f t="array" ref="L14">iferror(index(dna!$G:$G,match($A14,dna!$A:$A,0)))</f>
        <v/>
      </c>
      <c r="M14" s="60" t="str">
        <f t="array" ref="M14">iferror(index(dna!$J:$J,match($A14,dna!$A:$A,0)))</f>
        <v/>
      </c>
      <c r="N14" t="str">
        <f t="array" ref="N14">iferror(index(stomachs!$G:$G,match($A14,stomachs!$A:$A,0)))</f>
        <v>BST233-22</v>
      </c>
      <c r="O14" t="str">
        <f t="array" ref="O14">iferror(index(stomachs!$J:$J,match($A14,stomachs!$A:$A,0)))</f>
        <v>N</v>
      </c>
      <c r="P14" t="str">
        <f t="array" ref="P14">iferror(index(sea_lice!$G:$G,match($A14,sea_lice!$A:$A,0)))</f>
        <v/>
      </c>
      <c r="Q14" t="str">
        <f t="array" ref="Q14">iferror(index(sea_lice!$J:$J,match($A14,sea_lice!$A:$A,0)))</f>
        <v/>
      </c>
      <c r="R14" s="40" t="str">
        <f t="array" ref="R14">iferror(index(dissected_fish!$F:$F,match($A14,dissected_fish!$A:$A,0)))</f>
        <v>BCA99</v>
      </c>
      <c r="S14" s="40" t="str">
        <f t="array" ref="S14">iferror(index(dissected_fish!$K:$K,match($A14,dissected_fish!$A:$A,0)))</f>
        <v>N</v>
      </c>
      <c r="T14" s="61" t="str">
        <f t="array" ref="T14">index(fish_lab_data!O:O,match(A14,fish_lab_data!C:C,0))</f>
        <v>STB</v>
      </c>
      <c r="U14" s="61">
        <f t="array" ref="U14">if(A14="","",index(fish_lab_data!X:X,match(A14,fish_lab_data!C:C,0)))</f>
        <v>13</v>
      </c>
    </row>
    <row r="15">
      <c r="A15" t="str">
        <f>fish_lab_data!C15</f>
        <v>U5484</v>
      </c>
      <c r="B15" t="str">
        <f t="array" ref="B15">iferror(index('rna-muscle'!$I:$I,match($A15,'rna-muscle'!$A:$A,0)))</f>
        <v>BRN60M-E10</v>
      </c>
      <c r="C15" t="str">
        <f t="array" ref="C15">iferror(index('rna-muscle'!$L:$L,match($A15,'rna-muscle'!$A:$A,0)))</f>
        <v>N</v>
      </c>
      <c r="D15" t="str">
        <f t="array" ref="D15">iferror(index('rna-gill'!$I:$I,match($A15,'rna-gill'!$A:$A,0)))</f>
        <v>BRN60G-E10</v>
      </c>
      <c r="E15" t="str">
        <f t="array" ref="E15">iferror(index('rna-gill'!$L:$L,match($A15,'rna-gill'!$A:$A,0)))</f>
        <v>N</v>
      </c>
      <c r="F15" t="str">
        <f t="array" ref="F15">iferror(index(fatty_acid!$G:$G,match($A15,fatty_acid!$A:$A,0)))</f>
        <v>BFA20-41</v>
      </c>
      <c r="G15" t="str">
        <f t="array" ref="G15">iferror(index(fatty_acid!$J:$J,match($A15,fatty_acid!$A:$A,0)))</f>
        <v>N</v>
      </c>
      <c r="H15" t="str">
        <f t="array" ref="H15">iferror(index(isotopes!$G:$G,match($A15,isotopes!$A:$A,0)))</f>
        <v>BIS21-43</v>
      </c>
      <c r="I15" t="str">
        <f t="array" ref="I15">iferror(index(isotopes!$J:$J,match($A15,isotopes!$A:$A,0)))</f>
        <v>N</v>
      </c>
      <c r="J15" t="str">
        <f t="array" ref="J15">iferror(index(extra_muscle!$G:$G,match($A15,extra_muscle!$A:$A,0)))</f>
        <v>BXM22-71</v>
      </c>
      <c r="K15" t="str">
        <f t="array" ref="K15">iferror(index(extra_muscle!$J:$J,match($A15,extra_muscle!$A:$A,0)))</f>
        <v>N</v>
      </c>
      <c r="L15" s="59" t="str">
        <f t="array" ref="L15">iferror(index(dna!$G:$G,match($A15,dna!$A:$A,0)))</f>
        <v/>
      </c>
      <c r="M15" s="60" t="str">
        <f t="array" ref="M15">iferror(index(dna!$J:$J,match($A15,dna!$A:$A,0)))</f>
        <v/>
      </c>
      <c r="N15" t="str">
        <f t="array" ref="N15">iferror(index(stomachs!$G:$G,match($A15,stomachs!$A:$A,0)))</f>
        <v>BST233-23</v>
      </c>
      <c r="O15" t="str">
        <f t="array" ref="O15">iferror(index(stomachs!$J:$J,match($A15,stomachs!$A:$A,0)))</f>
        <v>N</v>
      </c>
      <c r="P15" t="str">
        <f t="array" ref="P15">iferror(index(sea_lice!$G:$G,match($A15,sea_lice!$A:$A,0)))</f>
        <v>BSL6-1</v>
      </c>
      <c r="Q15" t="str">
        <f t="array" ref="Q15">iferror(index(sea_lice!$J:$J,match($A15,sea_lice!$A:$A,0)))</f>
        <v>N</v>
      </c>
      <c r="R15" s="40" t="str">
        <f t="array" ref="R15">iferror(index(dissected_fish!$F:$F,match($A15,dissected_fish!$A:$A,0)))</f>
        <v>BCA99</v>
      </c>
      <c r="S15" s="40" t="str">
        <f t="array" ref="S15">iferror(index(dissected_fish!$K:$K,match($A15,dissected_fish!$A:$A,0)))</f>
        <v>N</v>
      </c>
      <c r="T15" s="61" t="str">
        <f t="array" ref="T15">index(fish_lab_data!O:O,match(A15,fish_lab_data!C:C,0))</f>
        <v>STB</v>
      </c>
      <c r="U15" s="61">
        <f t="array" ref="U15">if(A15="","",index(fish_lab_data!X:X,match(A15,fish_lab_data!C:C,0)))</f>
        <v>14</v>
      </c>
    </row>
    <row r="16">
      <c r="A16" t="str">
        <f>fish_lab_data!C16</f>
        <v>U5115</v>
      </c>
      <c r="B16" t="str">
        <f t="array" ref="B16">iferror(index('rna-muscle'!$I:$I,match($A16,'rna-muscle'!$A:$A,0)))</f>
        <v>BRN60M-D10</v>
      </c>
      <c r="C16" t="str">
        <f t="array" ref="C16">iferror(index('rna-muscle'!$L:$L,match($A16,'rna-muscle'!$A:$A,0)))</f>
        <v>N</v>
      </c>
      <c r="D16" t="str">
        <f t="array" ref="D16">iferror(index('rna-gill'!$I:$I,match($A16,'rna-gill'!$A:$A,0)))</f>
        <v>BRN60G-D10</v>
      </c>
      <c r="E16" t="str">
        <f t="array" ref="E16">iferror(index('rna-gill'!$L:$L,match($A16,'rna-gill'!$A:$A,0)))</f>
        <v>N</v>
      </c>
      <c r="F16" t="str">
        <f t="array" ref="F16">iferror(index(fatty_acid!$G:$G,match($A16,fatty_acid!$A:$A,0)))</f>
        <v>BFA20-40</v>
      </c>
      <c r="G16" t="str">
        <f t="array" ref="G16">iferror(index(fatty_acid!$J:$J,match($A16,fatty_acid!$A:$A,0)))</f>
        <v>N</v>
      </c>
      <c r="H16" t="str">
        <f t="array" ref="H16">iferror(index(isotopes!$G:$G,match($A16,isotopes!$A:$A,0)))</f>
        <v>BIS21-42</v>
      </c>
      <c r="I16" t="str">
        <f t="array" ref="I16">iferror(index(isotopes!$J:$J,match($A16,isotopes!$A:$A,0)))</f>
        <v>N</v>
      </c>
      <c r="J16" t="str">
        <f t="array" ref="J16">iferror(index(extra_muscle!$G:$G,match($A16,extra_muscle!$A:$A,0)))</f>
        <v>BXM22-70</v>
      </c>
      <c r="K16" t="str">
        <f t="array" ref="K16">iferror(index(extra_muscle!$J:$J,match($A16,extra_muscle!$A:$A,0)))</f>
        <v>N</v>
      </c>
      <c r="L16" s="59" t="str">
        <f t="array" ref="L16">iferror(index(dna!$G:$G,match($A16,dna!$A:$A,0)))</f>
        <v/>
      </c>
      <c r="M16" s="60" t="str">
        <f t="array" ref="M16">iferror(index(dna!$J:$J,match($A16,dna!$A:$A,0)))</f>
        <v/>
      </c>
      <c r="N16" t="str">
        <f t="array" ref="N16">iferror(index(stomachs!$G:$G,match($A16,stomachs!$A:$A,0)))</f>
        <v>BST233-24</v>
      </c>
      <c r="O16" t="str">
        <f t="array" ref="O16">iferror(index(stomachs!$J:$J,match($A16,stomachs!$A:$A,0)))</f>
        <v>N</v>
      </c>
      <c r="P16" t="str">
        <f t="array" ref="P16">iferror(index(sea_lice!$G:$G,match($A16,sea_lice!$A:$A,0)))</f>
        <v>BSL6-2</v>
      </c>
      <c r="Q16" t="str">
        <f t="array" ref="Q16">iferror(index(sea_lice!$J:$J,match($A16,sea_lice!$A:$A,0)))</f>
        <v>N</v>
      </c>
      <c r="R16" s="40" t="str">
        <f t="array" ref="R16">iferror(index(dissected_fish!$F:$F,match($A16,dissected_fish!$A:$A,0)))</f>
        <v>BCA99</v>
      </c>
      <c r="S16" s="40" t="str">
        <f t="array" ref="S16">iferror(index(dissected_fish!$K:$K,match($A16,dissected_fish!$A:$A,0)))</f>
        <v>N</v>
      </c>
      <c r="T16" s="61" t="str">
        <f t="array" ref="T16">index(fish_lab_data!O:O,match(A16,fish_lab_data!C:C,0))</f>
        <v>STB</v>
      </c>
      <c r="U16" s="61">
        <f t="array" ref="U16">if(A16="","",index(fish_lab_data!X:X,match(A16,fish_lab_data!C:C,0)))</f>
        <v>15</v>
      </c>
    </row>
    <row r="17">
      <c r="A17" t="str">
        <f>fish_lab_data!C17</f>
        <v>U5485</v>
      </c>
      <c r="B17" t="str">
        <f t="array" ref="B17">iferror(index('rna-muscle'!$I:$I,match($A17,'rna-muscle'!$A:$A,0)))</f>
        <v>BRN60M-C10</v>
      </c>
      <c r="C17" t="str">
        <f t="array" ref="C17">iferror(index('rna-muscle'!$L:$L,match($A17,'rna-muscle'!$A:$A,0)))</f>
        <v>N</v>
      </c>
      <c r="D17" t="str">
        <f t="array" ref="D17">iferror(index('rna-gill'!$I:$I,match($A17,'rna-gill'!$A:$A,0)))</f>
        <v>BRN60G-C10</v>
      </c>
      <c r="E17" t="str">
        <f t="array" ref="E17">iferror(index('rna-gill'!$L:$L,match($A17,'rna-gill'!$A:$A,0)))</f>
        <v>N</v>
      </c>
      <c r="F17" t="str">
        <f t="array" ref="F17">iferror(index(fatty_acid!$G:$G,match($A17,fatty_acid!$A:$A,0)))</f>
        <v>BFA20-39</v>
      </c>
      <c r="G17" t="str">
        <f t="array" ref="G17">iferror(index(fatty_acid!$J:$J,match($A17,fatty_acid!$A:$A,0)))</f>
        <v>N</v>
      </c>
      <c r="H17" t="str">
        <f t="array" ref="H17">iferror(index(isotopes!$G:$G,match($A17,isotopes!$A:$A,0)))</f>
        <v>BIS21-41</v>
      </c>
      <c r="I17" t="str">
        <f t="array" ref="I17">iferror(index(isotopes!$J:$J,match($A17,isotopes!$A:$A,0)))</f>
        <v>N</v>
      </c>
      <c r="J17" t="str">
        <f t="array" ref="J17">iferror(index(extra_muscle!$G:$G,match($A17,extra_muscle!$A:$A,0)))</f>
        <v>BXM22-69</v>
      </c>
      <c r="K17" t="str">
        <f t="array" ref="K17">iferror(index(extra_muscle!$J:$J,match($A17,extra_muscle!$A:$A,0)))</f>
        <v>N</v>
      </c>
      <c r="L17" s="59" t="str">
        <f t="array" ref="L17">iferror(index(dna!$G:$G,match($A17,dna!$A:$A,0)))</f>
        <v/>
      </c>
      <c r="M17" s="60" t="str">
        <f t="array" ref="M17">iferror(index(dna!$J:$J,match($A17,dna!$A:$A,0)))</f>
        <v/>
      </c>
      <c r="N17" t="str">
        <f t="array" ref="N17">iferror(index(stomachs!$G:$G,match($A17,stomachs!$A:$A,0)))</f>
        <v>BST233-25</v>
      </c>
      <c r="O17" t="str">
        <f t="array" ref="O17">iferror(index(stomachs!$J:$J,match($A17,stomachs!$A:$A,0)))</f>
        <v>N</v>
      </c>
      <c r="P17" t="str">
        <f t="array" ref="P17">iferror(index(sea_lice!$G:$G,match($A17,sea_lice!$A:$A,0)))</f>
        <v/>
      </c>
      <c r="Q17" t="str">
        <f t="array" ref="Q17">iferror(index(sea_lice!$J:$J,match($A17,sea_lice!$A:$A,0)))</f>
        <v/>
      </c>
      <c r="R17" s="40" t="str">
        <f t="array" ref="R17">iferror(index(dissected_fish!$F:$F,match($A17,dissected_fish!$A:$A,0)))</f>
        <v>BCA99</v>
      </c>
      <c r="S17" s="40" t="str">
        <f t="array" ref="S17">iferror(index(dissected_fish!$K:$K,match($A17,dissected_fish!$A:$A,0)))</f>
        <v>N</v>
      </c>
      <c r="T17" s="61" t="str">
        <f t="array" ref="T17">index(fish_lab_data!O:O,match(A17,fish_lab_data!C:C,0))</f>
        <v>STB</v>
      </c>
      <c r="U17" s="61">
        <f t="array" ref="U17">if(A17="","",index(fish_lab_data!X:X,match(A17,fish_lab_data!C:C,0)))</f>
        <v>16</v>
      </c>
    </row>
    <row r="18">
      <c r="A18" t="str">
        <f>fish_lab_data!C18</f>
        <v>U5486</v>
      </c>
      <c r="B18" t="str">
        <f t="array" ref="B18">iferror(index('rna-muscle'!$I:$I,match($A18,'rna-muscle'!$A:$A,0)))</f>
        <v>BRN60M-B10</v>
      </c>
      <c r="C18" t="str">
        <f t="array" ref="C18">iferror(index('rna-muscle'!$L:$L,match($A18,'rna-muscle'!$A:$A,0)))</f>
        <v>N</v>
      </c>
      <c r="D18" t="str">
        <f t="array" ref="D18">iferror(index('rna-gill'!$I:$I,match($A18,'rna-gill'!$A:$A,0)))</f>
        <v>BRN60G-B10</v>
      </c>
      <c r="E18" t="str">
        <f t="array" ref="E18">iferror(index('rna-gill'!$L:$L,match($A18,'rna-gill'!$A:$A,0)))</f>
        <v>N</v>
      </c>
      <c r="F18" t="str">
        <f t="array" ref="F18">iferror(index(fatty_acid!$G:$G,match($A18,fatty_acid!$A:$A,0)))</f>
        <v>BFA20-38</v>
      </c>
      <c r="G18" t="str">
        <f t="array" ref="G18">iferror(index(fatty_acid!$J:$J,match($A18,fatty_acid!$A:$A,0)))</f>
        <v>N</v>
      </c>
      <c r="H18" t="str">
        <f t="array" ref="H18">iferror(index(isotopes!$G:$G,match($A18,isotopes!$A:$A,0)))</f>
        <v>BIS21-40</v>
      </c>
      <c r="I18" t="str">
        <f t="array" ref="I18">iferror(index(isotopes!$J:$J,match($A18,isotopes!$A:$A,0)))</f>
        <v>N</v>
      </c>
      <c r="J18" t="str">
        <f t="array" ref="J18">iferror(index(extra_muscle!$G:$G,match($A18,extra_muscle!$A:$A,0)))</f>
        <v>BXM22-68</v>
      </c>
      <c r="K18" t="str">
        <f t="array" ref="K18">iferror(index(extra_muscle!$J:$J,match($A18,extra_muscle!$A:$A,0)))</f>
        <v>N</v>
      </c>
      <c r="L18" s="59" t="str">
        <f t="array" ref="L18">iferror(index(dna!$G:$G,match($A18,dna!$A:$A,0)))</f>
        <v/>
      </c>
      <c r="M18" s="60" t="str">
        <f t="array" ref="M18">iferror(index(dna!$J:$J,match($A18,dna!$A:$A,0)))</f>
        <v/>
      </c>
      <c r="N18" t="str">
        <f t="array" ref="N18">iferror(index(stomachs!$G:$G,match($A18,stomachs!$A:$A,0)))</f>
        <v>BST233-16</v>
      </c>
      <c r="O18" t="str">
        <f t="array" ref="O18">iferror(index(stomachs!$J:$J,match($A18,stomachs!$A:$A,0)))</f>
        <v>N</v>
      </c>
      <c r="P18" t="str">
        <f t="array" ref="P18">iferror(index(sea_lice!$G:$G,match($A18,sea_lice!$A:$A,0)))</f>
        <v>BSL6-3</v>
      </c>
      <c r="Q18" t="str">
        <f t="array" ref="Q18">iferror(index(sea_lice!$J:$J,match($A18,sea_lice!$A:$A,0)))</f>
        <v>N</v>
      </c>
      <c r="R18" s="40" t="str">
        <f t="array" ref="R18">iferror(index(dissected_fish!$F:$F,match($A18,dissected_fish!$A:$A,0)))</f>
        <v>BCA99</v>
      </c>
      <c r="S18" s="40" t="str">
        <f t="array" ref="S18">iferror(index(dissected_fish!$K:$K,match($A18,dissected_fish!$A:$A,0)))</f>
        <v>N</v>
      </c>
      <c r="T18" s="61" t="str">
        <f t="array" ref="T18">index(fish_lab_data!O:O,match(A18,fish_lab_data!C:C,0))</f>
        <v>STB</v>
      </c>
      <c r="U18" s="61">
        <f t="array" ref="U18">if(A18="","",index(fish_lab_data!X:X,match(A18,fish_lab_data!C:C,0)))</f>
        <v>17</v>
      </c>
    </row>
    <row r="19">
      <c r="A19" t="str">
        <f>fish_lab_data!C19</f>
        <v>U5487</v>
      </c>
      <c r="B19" t="str">
        <f t="array" ref="B19">iferror(index('rna-muscle'!$I:$I,match($A19,'rna-muscle'!$A:$A,0)))</f>
        <v>BRN60M-A10</v>
      </c>
      <c r="C19" t="str">
        <f t="array" ref="C19">iferror(index('rna-muscle'!$L:$L,match($A19,'rna-muscle'!$A:$A,0)))</f>
        <v>N</v>
      </c>
      <c r="D19" t="str">
        <f t="array" ref="D19">iferror(index('rna-gill'!$I:$I,match($A19,'rna-gill'!$A:$A,0)))</f>
        <v>BRN60G-A10</v>
      </c>
      <c r="E19" t="str">
        <f t="array" ref="E19">iferror(index('rna-gill'!$L:$L,match($A19,'rna-gill'!$A:$A,0)))</f>
        <v>N</v>
      </c>
      <c r="F19" t="str">
        <f t="array" ref="F19">iferror(index(fatty_acid!$G:$G,match($A19,fatty_acid!$A:$A,0)))</f>
        <v>BFA20-37</v>
      </c>
      <c r="G19" t="str">
        <f t="array" ref="G19">iferror(index(fatty_acid!$J:$J,match($A19,fatty_acid!$A:$A,0)))</f>
        <v>N</v>
      </c>
      <c r="H19" t="str">
        <f t="array" ref="H19">iferror(index(isotopes!$G:$G,match($A19,isotopes!$A:$A,0)))</f>
        <v>BIS21-39</v>
      </c>
      <c r="I19" t="str">
        <f t="array" ref="I19">iferror(index(isotopes!$J:$J,match($A19,isotopes!$A:$A,0)))</f>
        <v>N</v>
      </c>
      <c r="J19" t="str">
        <f t="array" ref="J19">iferror(index(extra_muscle!$G:$G,match($A19,extra_muscle!$A:$A,0)))</f>
        <v>BXM22-67</v>
      </c>
      <c r="K19" t="str">
        <f t="array" ref="K19">iferror(index(extra_muscle!$J:$J,match($A19,extra_muscle!$A:$A,0)))</f>
        <v>N</v>
      </c>
      <c r="L19" s="59" t="str">
        <f t="array" ref="L19">iferror(index(dna!$G:$G,match($A19,dna!$A:$A,0)))</f>
        <v/>
      </c>
      <c r="M19" s="60" t="str">
        <f t="array" ref="M19">iferror(index(dna!$J:$J,match($A19,dna!$A:$A,0)))</f>
        <v/>
      </c>
      <c r="N19" t="str">
        <f t="array" ref="N19">iferror(index(stomachs!$G:$G,match($A19,stomachs!$A:$A,0)))</f>
        <v>BST233-17</v>
      </c>
      <c r="O19" t="str">
        <f t="array" ref="O19">iferror(index(stomachs!$J:$J,match($A19,stomachs!$A:$A,0)))</f>
        <v>N</v>
      </c>
      <c r="P19" t="str">
        <f t="array" ref="P19">iferror(index(sea_lice!$G:$G,match($A19,sea_lice!$A:$A,0)))</f>
        <v>BSL6-4</v>
      </c>
      <c r="Q19" t="str">
        <f t="array" ref="Q19">iferror(index(sea_lice!$J:$J,match($A19,sea_lice!$A:$A,0)))</f>
        <v>N</v>
      </c>
      <c r="R19" s="40" t="str">
        <f t="array" ref="R19">iferror(index(dissected_fish!$F:$F,match($A19,dissected_fish!$A:$A,0)))</f>
        <v>BCA99</v>
      </c>
      <c r="S19" s="40" t="str">
        <f t="array" ref="S19">iferror(index(dissected_fish!$K:$K,match($A19,dissected_fish!$A:$A,0)))</f>
        <v>N</v>
      </c>
      <c r="T19" s="61" t="str">
        <f t="array" ref="T19">index(fish_lab_data!O:O,match(A19,fish_lab_data!C:C,0))</f>
        <v>STB</v>
      </c>
      <c r="U19" s="61">
        <f t="array" ref="U19">if(A19="","",index(fish_lab_data!X:X,match(A19,fish_lab_data!C:C,0)))</f>
        <v>18</v>
      </c>
    </row>
    <row r="20">
      <c r="A20" t="str">
        <f>fish_lab_data!C20</f>
        <v>U5488</v>
      </c>
      <c r="B20" t="str">
        <f t="array" ref="B20">iferror(index('rna-muscle'!$I:$I,match($A20,'rna-muscle'!$A:$A,0)))</f>
        <v>BRN60M-H11</v>
      </c>
      <c r="C20" t="str">
        <f t="array" ref="C20">iferror(index('rna-muscle'!$L:$L,match($A20,'rna-muscle'!$A:$A,0)))</f>
        <v>N</v>
      </c>
      <c r="D20" t="str">
        <f t="array" ref="D20">iferror(index('rna-gill'!$I:$I,match($A20,'rna-gill'!$A:$A,0)))</f>
        <v>BRN60G-H11</v>
      </c>
      <c r="E20" t="str">
        <f t="array" ref="E20">iferror(index('rna-gill'!$L:$L,match($A20,'rna-gill'!$A:$A,0)))</f>
        <v>N</v>
      </c>
      <c r="F20" t="str">
        <f t="array" ref="F20">iferror(index(fatty_acid!$G:$G,match($A20,fatty_acid!$A:$A,0)))</f>
        <v>BFA20-35</v>
      </c>
      <c r="G20" t="str">
        <f t="array" ref="G20">iferror(index(fatty_acid!$J:$J,match($A20,fatty_acid!$A:$A,0)))</f>
        <v>N</v>
      </c>
      <c r="H20" t="str">
        <f t="array" ref="H20">iferror(index(isotopes!$G:$G,match($A20,isotopes!$A:$A,0)))</f>
        <v>BIS21-38</v>
      </c>
      <c r="I20" t="str">
        <f t="array" ref="I20">iferror(index(isotopes!$J:$J,match($A20,isotopes!$A:$A,0)))</f>
        <v>N</v>
      </c>
      <c r="J20" t="str">
        <f t="array" ref="J20">iferror(index(extra_muscle!$G:$G,match($A20,extra_muscle!$A:$A,0)))</f>
        <v>BXM22-65</v>
      </c>
      <c r="K20" t="str">
        <f t="array" ref="K20">iferror(index(extra_muscle!$J:$J,match($A20,extra_muscle!$A:$A,0)))</f>
        <v>N</v>
      </c>
      <c r="L20" s="59" t="str">
        <f t="array" ref="L20">iferror(index(dna!$G:$G,match($A20,dna!$A:$A,0)))</f>
        <v/>
      </c>
      <c r="M20" s="60" t="str">
        <f t="array" ref="M20">iferror(index(dna!$J:$J,match($A20,dna!$A:$A,0)))</f>
        <v/>
      </c>
      <c r="N20" t="str">
        <f t="array" ref="N20">iferror(index(stomachs!$G:$G,match($A20,stomachs!$A:$A,0)))</f>
        <v>BST233-18</v>
      </c>
      <c r="O20" t="str">
        <f t="array" ref="O20">iferror(index(stomachs!$J:$J,match($A20,stomachs!$A:$A,0)))</f>
        <v>N</v>
      </c>
      <c r="P20" t="str">
        <f t="array" ref="P20">iferror(index(sea_lice!$G:$G,match($A20,sea_lice!$A:$A,0)))</f>
        <v>BSL6-5</v>
      </c>
      <c r="Q20" t="str">
        <f t="array" ref="Q20">iferror(index(sea_lice!$J:$J,match($A20,sea_lice!$A:$A,0)))</f>
        <v>N</v>
      </c>
      <c r="R20" s="40" t="str">
        <f t="array" ref="R20">iferror(index(dissected_fish!$F:$F,match($A20,dissected_fish!$A:$A,0)))</f>
        <v>BCA99</v>
      </c>
      <c r="S20" s="40" t="str">
        <f t="array" ref="S20">iferror(index(dissected_fish!$K:$K,match($A20,dissected_fish!$A:$A,0)))</f>
        <v>N</v>
      </c>
      <c r="T20" s="61" t="str">
        <f t="array" ref="T20">index(fish_lab_data!O:O,match(A20,fish_lab_data!C:C,0))</f>
        <v>STB</v>
      </c>
      <c r="U20" s="61">
        <f t="array" ref="U20">if(A20="","",index(fish_lab_data!X:X,match(A20,fish_lab_data!C:C,0)))</f>
        <v>19</v>
      </c>
    </row>
    <row r="21">
      <c r="A21" t="str">
        <f>fish_lab_data!C21</f>
        <v>U5489</v>
      </c>
      <c r="B21" t="str">
        <f t="array" ref="B21">iferror(index('rna-muscle'!$I:$I,match($A21,'rna-muscle'!$A:$A,0)))</f>
        <v>BRN60M-G11</v>
      </c>
      <c r="C21" t="str">
        <f t="array" ref="C21">iferror(index('rna-muscle'!$L:$L,match($A21,'rna-muscle'!$A:$A,0)))</f>
        <v>N</v>
      </c>
      <c r="D21" t="str">
        <f t="array" ref="D21">iferror(index('rna-gill'!$I:$I,match($A21,'rna-gill'!$A:$A,0)))</f>
        <v>BRN60G-G11</v>
      </c>
      <c r="E21" t="str">
        <f t="array" ref="E21">iferror(index('rna-gill'!$L:$L,match($A21,'rna-gill'!$A:$A,0)))</f>
        <v>N</v>
      </c>
      <c r="F21" t="str">
        <f t="array" ref="F21">iferror(index(fatty_acid!$G:$G,match($A21,fatty_acid!$A:$A,0)))</f>
        <v>BFA20-34</v>
      </c>
      <c r="G21" t="str">
        <f t="array" ref="G21">iferror(index(fatty_acid!$J:$J,match($A21,fatty_acid!$A:$A,0)))</f>
        <v>N</v>
      </c>
      <c r="H21" t="str">
        <f t="array" ref="H21">iferror(index(isotopes!$G:$G,match($A21,isotopes!$A:$A,0)))</f>
        <v>BIS21-37</v>
      </c>
      <c r="I21" t="str">
        <f t="array" ref="I21">iferror(index(isotopes!$J:$J,match($A21,isotopes!$A:$A,0)))</f>
        <v>N</v>
      </c>
      <c r="J21" t="str">
        <f t="array" ref="J21">iferror(index(extra_muscle!$G:$G,match($A21,extra_muscle!$A:$A,0)))</f>
        <v>BXM22-64</v>
      </c>
      <c r="K21" t="str">
        <f t="array" ref="K21">iferror(index(extra_muscle!$J:$J,match($A21,extra_muscle!$A:$A,0)))</f>
        <v>N</v>
      </c>
      <c r="L21" s="59" t="str">
        <f t="array" ref="L21">iferror(index(dna!$G:$G,match($A21,dna!$A:$A,0)))</f>
        <v/>
      </c>
      <c r="M21" s="60" t="str">
        <f t="array" ref="M21">iferror(index(dna!$J:$J,match($A21,dna!$A:$A,0)))</f>
        <v/>
      </c>
      <c r="N21" t="str">
        <f t="array" ref="N21">iferror(index(stomachs!$G:$G,match($A21,stomachs!$A:$A,0)))</f>
        <v>BST233-19</v>
      </c>
      <c r="O21" t="str">
        <f t="array" ref="O21">iferror(index(stomachs!$J:$J,match($A21,stomachs!$A:$A,0)))</f>
        <v>N</v>
      </c>
      <c r="P21" t="str">
        <f t="array" ref="P21">iferror(index(sea_lice!$G:$G,match($A21,sea_lice!$A:$A,0)))</f>
        <v/>
      </c>
      <c r="Q21" t="str">
        <f t="array" ref="Q21">iferror(index(sea_lice!$J:$J,match($A21,sea_lice!$A:$A,0)))</f>
        <v/>
      </c>
      <c r="R21" s="40" t="str">
        <f t="array" ref="R21">iferror(index(dissected_fish!$F:$F,match($A21,dissected_fish!$A:$A,0)))</f>
        <v>BCA99</v>
      </c>
      <c r="S21" s="40" t="str">
        <f t="array" ref="S21">iferror(index(dissected_fish!$K:$K,match($A21,dissected_fish!$A:$A,0)))</f>
        <v>N</v>
      </c>
      <c r="T21" s="61" t="str">
        <f t="array" ref="T21">index(fish_lab_data!O:O,match(A21,fish_lab_data!C:C,0))</f>
        <v>STB</v>
      </c>
      <c r="U21" s="61">
        <f t="array" ref="U21">if(A21="","",index(fish_lab_data!X:X,match(A21,fish_lab_data!C:C,0)))</f>
        <v>20</v>
      </c>
    </row>
    <row r="22">
      <c r="A22" t="str">
        <f>fish_lab_data!C22</f>
        <v>U5490</v>
      </c>
      <c r="B22" t="str">
        <f t="array" ref="B22">iferror(index('rna-muscle'!$I:$I,match($A22,'rna-muscle'!$A:$A,0)))</f>
        <v>BRN60M-F11</v>
      </c>
      <c r="C22" t="str">
        <f t="array" ref="C22">iferror(index('rna-muscle'!$L:$L,match($A22,'rna-muscle'!$A:$A,0)))</f>
        <v>N</v>
      </c>
      <c r="D22" t="str">
        <f t="array" ref="D22">iferror(index('rna-gill'!$I:$I,match($A22,'rna-gill'!$A:$A,0)))</f>
        <v>BRN60G-F11</v>
      </c>
      <c r="E22" t="str">
        <f t="array" ref="E22">iferror(index('rna-gill'!$L:$L,match($A22,'rna-gill'!$A:$A,0)))</f>
        <v>N</v>
      </c>
      <c r="F22" t="str">
        <f t="array" ref="F22">iferror(index(fatty_acid!$G:$G,match($A22,fatty_acid!$A:$A,0)))</f>
        <v>BFA20-31</v>
      </c>
      <c r="G22" t="str">
        <f t="array" ref="G22">iferror(index(fatty_acid!$J:$J,match($A22,fatty_acid!$A:$A,0)))</f>
        <v>N</v>
      </c>
      <c r="H22" t="str">
        <f t="array" ref="H22">iferror(index(isotopes!$G:$G,match($A22,isotopes!$A:$A,0)))</f>
        <v>BIS21-2</v>
      </c>
      <c r="I22" t="str">
        <f t="array" ref="I22">iferror(index(isotopes!$J:$J,match($A22,isotopes!$A:$A,0)))</f>
        <v>N</v>
      </c>
      <c r="J22" t="str">
        <f t="array" ref="J22">iferror(index(extra_muscle!$G:$G,match($A22,extra_muscle!$A:$A,0)))</f>
        <v>BXM14-17</v>
      </c>
      <c r="K22" t="str">
        <f t="array" ref="K22">iferror(index(extra_muscle!$J:$J,match($A22,extra_muscle!$A:$A,0)))</f>
        <v>N</v>
      </c>
      <c r="L22" s="59" t="str">
        <f t="array" ref="L22">iferror(index(dna!$G:$G,match($A22,dna!$A:$A,0)))</f>
        <v/>
      </c>
      <c r="M22" s="60" t="str">
        <f t="array" ref="M22">iferror(index(dna!$J:$J,match($A22,dna!$A:$A,0)))</f>
        <v/>
      </c>
      <c r="N22" t="str">
        <f t="array" ref="N22">iferror(index(stomachs!$G:$G,match($A22,stomachs!$A:$A,0)))</f>
        <v>BST233-20</v>
      </c>
      <c r="O22" t="str">
        <f t="array" ref="O22">iferror(index(stomachs!$J:$J,match($A22,stomachs!$A:$A,0)))</f>
        <v>N</v>
      </c>
      <c r="P22" t="str">
        <f t="array" ref="P22">iferror(index(sea_lice!$G:$G,match($A22,sea_lice!$A:$A,0)))</f>
        <v/>
      </c>
      <c r="Q22" t="str">
        <f t="array" ref="Q22">iferror(index(sea_lice!$J:$J,match($A22,sea_lice!$A:$A,0)))</f>
        <v/>
      </c>
      <c r="R22" s="40" t="str">
        <f t="array" ref="R22">iferror(index(dissected_fish!$F:$F,match($A22,dissected_fish!$A:$A,0)))</f>
        <v>BCA99</v>
      </c>
      <c r="S22" s="40" t="str">
        <f t="array" ref="S22">iferror(index(dissected_fish!$K:$K,match($A22,dissected_fish!$A:$A,0)))</f>
        <v>N</v>
      </c>
      <c r="T22" s="61" t="str">
        <f t="array" ref="T22">index(fish_lab_data!O:O,match(A22,fish_lab_data!C:C,0))</f>
        <v>EJ</v>
      </c>
      <c r="U22" s="61">
        <f t="array" ref="U22">if(A22="","",index(fish_lab_data!X:X,match(A22,fish_lab_data!C:C,0)))</f>
        <v>21</v>
      </c>
    </row>
    <row r="23">
      <c r="A23" t="str">
        <f>fish_lab_data!C23</f>
        <v>U5491</v>
      </c>
      <c r="B23" t="str">
        <f t="array" ref="B23">iferror(index('rna-muscle'!$I:$I,match($A23,'rna-muscle'!$A:$A,0)))</f>
        <v>BRN60M-E11</v>
      </c>
      <c r="C23" t="str">
        <f t="array" ref="C23">iferror(index('rna-muscle'!$L:$L,match($A23,'rna-muscle'!$A:$A,0)))</f>
        <v>N</v>
      </c>
      <c r="D23" t="str">
        <f t="array" ref="D23">iferror(index('rna-gill'!$I:$I,match($A23,'rna-gill'!$A:$A,0)))</f>
        <v>BRN60G-E11</v>
      </c>
      <c r="E23" t="str">
        <f t="array" ref="E23">iferror(index('rna-gill'!$L:$L,match($A23,'rna-gill'!$A:$A,0)))</f>
        <v>N</v>
      </c>
      <c r="F23" t="str">
        <f t="array" ref="F23">iferror(index(fatty_acid!$G:$G,match($A23,fatty_acid!$A:$A,0)))</f>
        <v>BFA20-32</v>
      </c>
      <c r="G23" t="str">
        <f t="array" ref="G23">iferror(index(fatty_acid!$J:$J,match($A23,fatty_acid!$A:$A,0)))</f>
        <v>N</v>
      </c>
      <c r="H23" t="str">
        <f t="array" ref="H23">iferror(index(isotopes!$G:$G,match($A23,isotopes!$A:$A,0)))</f>
        <v>BIS21-4</v>
      </c>
      <c r="I23" t="str">
        <f t="array" ref="I23">iferror(index(isotopes!$J:$J,match($A23,isotopes!$A:$A,0)))</f>
        <v>N</v>
      </c>
      <c r="J23" t="str">
        <f t="array" ref="J23">iferror(index(extra_muscle!$G:$G,match($A23,extra_muscle!$A:$A,0)))</f>
        <v>BXM14-22</v>
      </c>
      <c r="K23" t="str">
        <f t="array" ref="K23">iferror(index(extra_muscle!$J:$J,match($A23,extra_muscle!$A:$A,0)))</f>
        <v>N</v>
      </c>
      <c r="L23" s="59" t="str">
        <f t="array" ref="L23">iferror(index(dna!$G:$G,match($A23,dna!$A:$A,0)))</f>
        <v/>
      </c>
      <c r="M23" s="60" t="str">
        <f t="array" ref="M23">iferror(index(dna!$J:$J,match($A23,dna!$A:$A,0)))</f>
        <v/>
      </c>
      <c r="N23" t="str">
        <f t="array" ref="N23">iferror(index(stomachs!$G:$G,match($A23,stomachs!$A:$A,0)))</f>
        <v>BST233-11</v>
      </c>
      <c r="O23" t="str">
        <f t="array" ref="O23">iferror(index(stomachs!$J:$J,match($A23,stomachs!$A:$A,0)))</f>
        <v>N</v>
      </c>
      <c r="P23" t="str">
        <f t="array" ref="P23">iferror(index(sea_lice!$G:$G,match($A23,sea_lice!$A:$A,0)))</f>
        <v/>
      </c>
      <c r="Q23" t="str">
        <f t="array" ref="Q23">iferror(index(sea_lice!$J:$J,match($A23,sea_lice!$A:$A,0)))</f>
        <v/>
      </c>
      <c r="R23" s="40" t="str">
        <f t="array" ref="R23">iferror(index(dissected_fish!$F:$F,match($A23,dissected_fish!$A:$A,0)))</f>
        <v>BCA99</v>
      </c>
      <c r="S23" s="40" t="str">
        <f t="array" ref="S23">iferror(index(dissected_fish!$K:$K,match($A23,dissected_fish!$A:$A,0)))</f>
        <v>N</v>
      </c>
      <c r="T23" s="61" t="str">
        <f t="array" ref="T23">index(fish_lab_data!O:O,match(A23,fish_lab_data!C:C,0))</f>
        <v>EJ</v>
      </c>
      <c r="U23" s="61">
        <f t="array" ref="U23">if(A23="","",index(fish_lab_data!X:X,match(A23,fish_lab_data!C:C,0)))</f>
        <v>22</v>
      </c>
    </row>
    <row r="24">
      <c r="A24" t="str">
        <f>fish_lab_data!C24</f>
        <v>U5492</v>
      </c>
      <c r="B24" t="str">
        <f t="array" ref="B24">iferror(index('rna-muscle'!$I:$I,match($A24,'rna-muscle'!$A:$A,0)))</f>
        <v>BRN60M-D11</v>
      </c>
      <c r="C24" t="str">
        <f t="array" ref="C24">iferror(index('rna-muscle'!$L:$L,match($A24,'rna-muscle'!$A:$A,0)))</f>
        <v>N</v>
      </c>
      <c r="D24" t="str">
        <f t="array" ref="D24">iferror(index('rna-gill'!$I:$I,match($A24,'rna-gill'!$A:$A,0)))</f>
        <v>BRN60G-D11</v>
      </c>
      <c r="E24" t="str">
        <f t="array" ref="E24">iferror(index('rna-gill'!$L:$L,match($A24,'rna-gill'!$A:$A,0)))</f>
        <v>N</v>
      </c>
      <c r="F24" t="str">
        <f t="array" ref="F24">iferror(index(fatty_acid!$G:$G,match($A24,fatty_acid!$A:$A,0)))</f>
        <v>BFA20-33</v>
      </c>
      <c r="G24" t="str">
        <f t="array" ref="G24">iferror(index(fatty_acid!$J:$J,match($A24,fatty_acid!$A:$A,0)))</f>
        <v>N</v>
      </c>
      <c r="H24" t="str">
        <f t="array" ref="H24">iferror(index(isotopes!$G:$G,match($A24,isotopes!$A:$A,0)))</f>
        <v>BIS21-29</v>
      </c>
      <c r="I24" t="str">
        <f t="array" ref="I24">iferror(index(isotopes!$J:$J,match($A24,isotopes!$A:$A,0)))</f>
        <v>N</v>
      </c>
      <c r="J24" t="str">
        <f t="array" ref="J24">iferror(index(extra_muscle!$G:$G,match($A24,extra_muscle!$A:$A,0)))</f>
        <v>BXM14-28</v>
      </c>
      <c r="K24" t="str">
        <f t="array" ref="K24">iferror(index(extra_muscle!$J:$J,match($A24,extra_muscle!$A:$A,0)))</f>
        <v>N</v>
      </c>
      <c r="L24" s="59" t="str">
        <f t="array" ref="L24">iferror(index(dna!$G:$G,match($A24,dna!$A:$A,0)))</f>
        <v/>
      </c>
      <c r="M24" s="60" t="str">
        <f t="array" ref="M24">iferror(index(dna!$J:$J,match($A24,dna!$A:$A,0)))</f>
        <v/>
      </c>
      <c r="N24" t="str">
        <f t="array" ref="N24">iferror(index(stomachs!$G:$G,match($A24,stomachs!$A:$A,0)))</f>
        <v>BST233-12</v>
      </c>
      <c r="O24" t="str">
        <f t="array" ref="O24">iferror(index(stomachs!$J:$J,match($A24,stomachs!$A:$A,0)))</f>
        <v>N</v>
      </c>
      <c r="P24" t="str">
        <f t="array" ref="P24">iferror(index(sea_lice!$G:$G,match($A24,sea_lice!$A:$A,0)))</f>
        <v/>
      </c>
      <c r="Q24" t="str">
        <f t="array" ref="Q24">iferror(index(sea_lice!$J:$J,match($A24,sea_lice!$A:$A,0)))</f>
        <v/>
      </c>
      <c r="R24" s="40" t="str">
        <f t="array" ref="R24">iferror(index(dissected_fish!$F:$F,match($A24,dissected_fish!$A:$A,0)))</f>
        <v>BCA99</v>
      </c>
      <c r="S24" s="40" t="str">
        <f t="array" ref="S24">iferror(index(dissected_fish!$K:$K,match($A24,dissected_fish!$A:$A,0)))</f>
        <v>N</v>
      </c>
      <c r="T24" s="61" t="str">
        <f t="array" ref="T24">index(fish_lab_data!O:O,match(A24,fish_lab_data!C:C,0))</f>
        <v>EJ</v>
      </c>
      <c r="U24" s="61">
        <f t="array" ref="U24">if(A24="","",index(fish_lab_data!X:X,match(A24,fish_lab_data!C:C,0)))</f>
        <v>23</v>
      </c>
    </row>
    <row r="25">
      <c r="A25" t="str">
        <f>fish_lab_data!C25</f>
        <v>U5493</v>
      </c>
      <c r="B25" t="str">
        <f t="array" ref="B25">iferror(index('rna-muscle'!$I:$I,match($A25,'rna-muscle'!$A:$A,0)))</f>
        <v>BRN60M-C11</v>
      </c>
      <c r="C25" t="str">
        <f t="array" ref="C25">iferror(index('rna-muscle'!$L:$L,match($A25,'rna-muscle'!$A:$A,0)))</f>
        <v>N</v>
      </c>
      <c r="D25" t="str">
        <f t="array" ref="D25">iferror(index('rna-gill'!$I:$I,match($A25,'rna-gill'!$A:$A,0)))</f>
        <v>BRN60G-C11</v>
      </c>
      <c r="E25" t="str">
        <f t="array" ref="E25">iferror(index('rna-gill'!$L:$L,match($A25,'rna-gill'!$A:$A,0)))</f>
        <v>N</v>
      </c>
      <c r="F25" t="str">
        <f t="array" ref="F25">iferror(index(fatty_acid!$G:$G,match($A25,fatty_acid!$A:$A,0)))</f>
        <v>BFA20-29</v>
      </c>
      <c r="G25" t="str">
        <f t="array" ref="G25">iferror(index(fatty_acid!$J:$J,match($A25,fatty_acid!$A:$A,0)))</f>
        <v>N</v>
      </c>
      <c r="H25" t="str">
        <f t="array" ref="H25">iferror(index(isotopes!$G:$G,match($A25,isotopes!$A:$A,0)))</f>
        <v>BIS21-30</v>
      </c>
      <c r="I25" t="str">
        <f t="array" ref="I25">iferror(index(isotopes!$J:$J,match($A25,isotopes!$A:$A,0)))</f>
        <v>N</v>
      </c>
      <c r="J25" t="str">
        <f t="array" ref="J25">iferror(index(extra_muscle!$G:$G,match($A25,extra_muscle!$A:$A,0)))</f>
        <v>BXM14-31</v>
      </c>
      <c r="K25" t="str">
        <f t="array" ref="K25">iferror(index(extra_muscle!$J:$J,match($A25,extra_muscle!$A:$A,0)))</f>
        <v>N</v>
      </c>
      <c r="L25" s="59" t="str">
        <f t="array" ref="L25">iferror(index(dna!$G:$G,match($A25,dna!$A:$A,0)))</f>
        <v/>
      </c>
      <c r="M25" s="60" t="str">
        <f t="array" ref="M25">iferror(index(dna!$J:$J,match($A25,dna!$A:$A,0)))</f>
        <v/>
      </c>
      <c r="N25" t="str">
        <f t="array" ref="N25">iferror(index(stomachs!$G:$G,match($A25,stomachs!$A:$A,0)))</f>
        <v>BST233-13</v>
      </c>
      <c r="O25" t="str">
        <f t="array" ref="O25">iferror(index(stomachs!$J:$J,match($A25,stomachs!$A:$A,0)))</f>
        <v>N</v>
      </c>
      <c r="P25" t="str">
        <f t="array" ref="P25">iferror(index(sea_lice!$G:$G,match($A25,sea_lice!$A:$A,0)))</f>
        <v/>
      </c>
      <c r="Q25" t="str">
        <f t="array" ref="Q25">iferror(index(sea_lice!$J:$J,match($A25,sea_lice!$A:$A,0)))</f>
        <v/>
      </c>
      <c r="R25" s="40" t="str">
        <f t="array" ref="R25">iferror(index(dissected_fish!$F:$F,match($A25,dissected_fish!$A:$A,0)))</f>
        <v>BCA99</v>
      </c>
      <c r="S25" s="40" t="str">
        <f t="array" ref="S25">iferror(index(dissected_fish!$K:$K,match($A25,dissected_fish!$A:$A,0)))</f>
        <v>N</v>
      </c>
      <c r="T25" s="61" t="str">
        <f t="array" ref="T25">index(fish_lab_data!O:O,match(A25,fish_lab_data!C:C,0))</f>
        <v>EJ</v>
      </c>
      <c r="U25" s="61">
        <f t="array" ref="U25">if(A25="","",index(fish_lab_data!X:X,match(A25,fish_lab_data!C:C,0)))</f>
        <v>24</v>
      </c>
    </row>
    <row r="26">
      <c r="A26" t="str">
        <f>fish_lab_data!C26</f>
        <v>U5494</v>
      </c>
      <c r="B26" t="str">
        <f t="array" ref="B26">iferror(index('rna-muscle'!$I:$I,match($A26,'rna-muscle'!$A:$A,0)))</f>
        <v>BRN60M-B11</v>
      </c>
      <c r="C26" t="str">
        <f t="array" ref="C26">iferror(index('rna-muscle'!$L:$L,match($A26,'rna-muscle'!$A:$A,0)))</f>
        <v>N</v>
      </c>
      <c r="D26" t="str">
        <f t="array" ref="D26">iferror(index('rna-gill'!$I:$I,match($A26,'rna-gill'!$A:$A,0)))</f>
        <v>BRN60G-B11</v>
      </c>
      <c r="E26" t="str">
        <f t="array" ref="E26">iferror(index('rna-gill'!$L:$L,match($A26,'rna-gill'!$A:$A,0)))</f>
        <v>N</v>
      </c>
      <c r="F26" t="str">
        <f t="array" ref="F26">iferror(index(fatty_acid!$G:$G,match($A26,fatty_acid!$A:$A,0)))</f>
        <v>BFA20-30</v>
      </c>
      <c r="G26" t="str">
        <f t="array" ref="G26">iferror(index(fatty_acid!$J:$J,match($A26,fatty_acid!$A:$A,0)))</f>
        <v>N</v>
      </c>
      <c r="H26" t="str">
        <f t="array" ref="H26">iferror(index(isotopes!$G:$G,match($A26,isotopes!$A:$A,0)))</f>
        <v>BIS21-31</v>
      </c>
      <c r="I26" t="str">
        <f t="array" ref="I26">iferror(index(isotopes!$J:$J,match($A26,isotopes!$A:$A,0)))</f>
        <v>N</v>
      </c>
      <c r="J26" t="str">
        <f t="array" ref="J26">iferror(index(extra_muscle!$G:$G,match($A26,extra_muscle!$A:$A,0)))</f>
        <v>BXM14-33</v>
      </c>
      <c r="K26" t="str">
        <f t="array" ref="K26">iferror(index(extra_muscle!$J:$J,match($A26,extra_muscle!$A:$A,0)))</f>
        <v>N</v>
      </c>
      <c r="L26" s="59" t="str">
        <f t="array" ref="L26">iferror(index(dna!$G:$G,match($A26,dna!$A:$A,0)))</f>
        <v/>
      </c>
      <c r="M26" s="60" t="str">
        <f t="array" ref="M26">iferror(index(dna!$J:$J,match($A26,dna!$A:$A,0)))</f>
        <v/>
      </c>
      <c r="N26" t="str">
        <f t="array" ref="N26">iferror(index(stomachs!$G:$G,match($A26,stomachs!$A:$A,0)))</f>
        <v>BST233-14</v>
      </c>
      <c r="O26" t="str">
        <f t="array" ref="O26">iferror(index(stomachs!$J:$J,match($A26,stomachs!$A:$A,0)))</f>
        <v>N</v>
      </c>
      <c r="P26" t="str">
        <f t="array" ref="P26">iferror(index(sea_lice!$G:$G,match($A26,sea_lice!$A:$A,0)))</f>
        <v/>
      </c>
      <c r="Q26" t="str">
        <f t="array" ref="Q26">iferror(index(sea_lice!$J:$J,match($A26,sea_lice!$A:$A,0)))</f>
        <v/>
      </c>
      <c r="R26" s="40" t="str">
        <f t="array" ref="R26">iferror(index(dissected_fish!$F:$F,match($A26,dissected_fish!$A:$A,0)))</f>
        <v>BCA99</v>
      </c>
      <c r="S26" s="40" t="str">
        <f t="array" ref="S26">iferror(index(dissected_fish!$K:$K,match($A26,dissected_fish!$A:$A,0)))</f>
        <v>N</v>
      </c>
      <c r="T26" s="61" t="str">
        <f t="array" ref="T26">index(fish_lab_data!O:O,match(A26,fish_lab_data!C:C,0))</f>
        <v>EJ</v>
      </c>
      <c r="U26" s="61">
        <f t="array" ref="U26">if(A26="","",index(fish_lab_data!X:X,match(A26,fish_lab_data!C:C,0)))</f>
        <v>25</v>
      </c>
    </row>
    <row r="27">
      <c r="A27" t="str">
        <f>fish_lab_data!C27</f>
        <v>U5495</v>
      </c>
      <c r="B27" t="str">
        <f t="array" ref="B27">iferror(index('rna-muscle'!$I:$I,match($A27,'rna-muscle'!$A:$A,0)))</f>
        <v>BRN60M-A11</v>
      </c>
      <c r="C27" t="str">
        <f t="array" ref="C27">iferror(index('rna-muscle'!$L:$L,match($A27,'rna-muscle'!$A:$A,0)))</f>
        <v>N</v>
      </c>
      <c r="D27" t="str">
        <f t="array" ref="D27">iferror(index('rna-gill'!$I:$I,match($A27,'rna-gill'!$A:$A,0)))</f>
        <v>BRN60G-A11</v>
      </c>
      <c r="E27" t="str">
        <f t="array" ref="E27">iferror(index('rna-gill'!$L:$L,match($A27,'rna-gill'!$A:$A,0)))</f>
        <v>N</v>
      </c>
      <c r="F27" t="str">
        <f t="array" ref="F27">iferror(index(fatty_acid!$G:$G,match($A27,fatty_acid!$A:$A,0)))</f>
        <v>BFA9-33</v>
      </c>
      <c r="G27" t="str">
        <f t="array" ref="G27">iferror(index(fatty_acid!$J:$J,match($A27,fatty_acid!$A:$A,0)))</f>
        <v>N</v>
      </c>
      <c r="H27" t="str">
        <f t="array" ref="H27">iferror(index(isotopes!$G:$G,match($A27,isotopes!$A:$A,0)))</f>
        <v>BIS21-32</v>
      </c>
      <c r="I27" t="str">
        <f t="array" ref="I27">iferror(index(isotopes!$J:$J,match($A27,isotopes!$A:$A,0)))</f>
        <v>N</v>
      </c>
      <c r="J27" t="str">
        <f t="array" ref="J27">iferror(index(extra_muscle!$G:$G,match($A27,extra_muscle!$A:$A,0)))</f>
        <v>BXM14-24</v>
      </c>
      <c r="K27" t="str">
        <f t="array" ref="K27">iferror(index(extra_muscle!$J:$J,match($A27,extra_muscle!$A:$A,0)))</f>
        <v>N</v>
      </c>
      <c r="L27" s="59" t="str">
        <f t="array" ref="L27">iferror(index(dna!$G:$G,match($A27,dna!$A:$A,0)))</f>
        <v/>
      </c>
      <c r="M27" s="60" t="str">
        <f t="array" ref="M27">iferror(index(dna!$J:$J,match($A27,dna!$A:$A,0)))</f>
        <v/>
      </c>
      <c r="N27" t="str">
        <f t="array" ref="N27">iferror(index(stomachs!$G:$G,match($A27,stomachs!$A:$A,0)))</f>
        <v>BST233-15</v>
      </c>
      <c r="O27" t="str">
        <f t="array" ref="O27">iferror(index(stomachs!$J:$J,match($A27,stomachs!$A:$A,0)))</f>
        <v>N</v>
      </c>
      <c r="P27" t="str">
        <f t="array" ref="P27">iferror(index(sea_lice!$G:$G,match($A27,sea_lice!$A:$A,0)))</f>
        <v/>
      </c>
      <c r="Q27" t="str">
        <f t="array" ref="Q27">iferror(index(sea_lice!$J:$J,match($A27,sea_lice!$A:$A,0)))</f>
        <v/>
      </c>
      <c r="R27" s="40" t="str">
        <f t="array" ref="R27">iferror(index(dissected_fish!$F:$F,match($A27,dissected_fish!$A:$A,0)))</f>
        <v>BCA99</v>
      </c>
      <c r="S27" s="40" t="str">
        <f t="array" ref="S27">iferror(index(dissected_fish!$K:$K,match($A27,dissected_fish!$A:$A,0)))</f>
        <v>N</v>
      </c>
      <c r="T27" s="61" t="str">
        <f t="array" ref="T27">index(fish_lab_data!O:O,match(A27,fish_lab_data!C:C,0))</f>
        <v>EJ</v>
      </c>
      <c r="U27" s="61">
        <f t="array" ref="U27">if(A27="","",index(fish_lab_data!X:X,match(A27,fish_lab_data!C:C,0)))</f>
        <v>26</v>
      </c>
    </row>
    <row r="28">
      <c r="A28" t="str">
        <f>fish_lab_data!C28</f>
        <v>U5496</v>
      </c>
      <c r="B28" t="str">
        <f t="array" ref="B28">iferror(index('rna-muscle'!$I:$I,match($A28,'rna-muscle'!$A:$A,0)))</f>
        <v>BRN60M-H12</v>
      </c>
      <c r="C28" t="str">
        <f t="array" ref="C28">iferror(index('rna-muscle'!$L:$L,match($A28,'rna-muscle'!$A:$A,0)))</f>
        <v>N</v>
      </c>
      <c r="D28" t="str">
        <f t="array" ref="D28">iferror(index('rna-gill'!$I:$I,match($A28,'rna-gill'!$A:$A,0)))</f>
        <v>BRN60G-H12</v>
      </c>
      <c r="E28" t="str">
        <f t="array" ref="E28">iferror(index('rna-gill'!$L:$L,match($A28,'rna-gill'!$A:$A,0)))</f>
        <v>N</v>
      </c>
      <c r="F28" t="str">
        <f t="array" ref="F28">iferror(index(fatty_acid!$G:$G,match($A28,fatty_acid!$A:$A,0)))</f>
        <v>BFA9-34</v>
      </c>
      <c r="G28" t="str">
        <f t="array" ref="G28">iferror(index(fatty_acid!$J:$J,match($A28,fatty_acid!$A:$A,0)))</f>
        <v>N</v>
      </c>
      <c r="H28" t="str">
        <f t="array" ref="H28">iferror(index(isotopes!$G:$G,match($A28,isotopes!$A:$A,0)))</f>
        <v>BIS21-33</v>
      </c>
      <c r="I28" t="str">
        <f t="array" ref="I28">iferror(index(isotopes!$J:$J,match($A28,isotopes!$A:$A,0)))</f>
        <v>N</v>
      </c>
      <c r="J28" t="str">
        <f t="array" ref="J28">iferror(index(extra_muscle!$G:$G,match($A28,extra_muscle!$A:$A,0)))</f>
        <v>BXM14-37</v>
      </c>
      <c r="K28" t="str">
        <f t="array" ref="K28">iferror(index(extra_muscle!$J:$J,match($A28,extra_muscle!$A:$A,0)))</f>
        <v>N</v>
      </c>
      <c r="L28" s="59" t="str">
        <f t="array" ref="L28">iferror(index(dna!$G:$G,match($A28,dna!$A:$A,0)))</f>
        <v/>
      </c>
      <c r="M28" s="60" t="str">
        <f t="array" ref="M28">iferror(index(dna!$J:$J,match($A28,dna!$A:$A,0)))</f>
        <v/>
      </c>
      <c r="N28" t="str">
        <f t="array" ref="N28">iferror(index(stomachs!$G:$G,match($A28,stomachs!$A:$A,0)))</f>
        <v>BST233-6</v>
      </c>
      <c r="O28" t="str">
        <f t="array" ref="O28">iferror(index(stomachs!$J:$J,match($A28,stomachs!$A:$A,0)))</f>
        <v>N</v>
      </c>
      <c r="P28" t="str">
        <f t="array" ref="P28">iferror(index(sea_lice!$G:$G,match($A28,sea_lice!$A:$A,0)))</f>
        <v/>
      </c>
      <c r="Q28" t="str">
        <f t="array" ref="Q28">iferror(index(sea_lice!$J:$J,match($A28,sea_lice!$A:$A,0)))</f>
        <v/>
      </c>
      <c r="R28" s="40" t="str">
        <f t="array" ref="R28">iferror(index(dissected_fish!$F:$F,match($A28,dissected_fish!$A:$A,0)))</f>
        <v>BCA99</v>
      </c>
      <c r="S28" s="40" t="str">
        <f t="array" ref="S28">iferror(index(dissected_fish!$K:$K,match($A28,dissected_fish!$A:$A,0)))</f>
        <v>N</v>
      </c>
      <c r="T28" s="61" t="str">
        <f t="array" ref="T28">index(fish_lab_data!O:O,match(A28,fish_lab_data!C:C,0))</f>
        <v>EJ</v>
      </c>
      <c r="U28" s="61">
        <f t="array" ref="U28">if(A28="","",index(fish_lab_data!X:X,match(A28,fish_lab_data!C:C,0)))</f>
        <v>27</v>
      </c>
    </row>
    <row r="29">
      <c r="A29" t="str">
        <f>fish_lab_data!C29</f>
        <v>U5497</v>
      </c>
      <c r="B29" t="str">
        <f t="array" ref="B29">iferror(index('rna-muscle'!$I:$I,match($A29,'rna-muscle'!$A:$A,0)))</f>
        <v>BRN60M-G12</v>
      </c>
      <c r="C29" t="str">
        <f t="array" ref="C29">iferror(index('rna-muscle'!$L:$L,match($A29,'rna-muscle'!$A:$A,0)))</f>
        <v>N</v>
      </c>
      <c r="D29" t="str">
        <f t="array" ref="D29">iferror(index('rna-gill'!$I:$I,match($A29,'rna-gill'!$A:$A,0)))</f>
        <v>BRN60G-G12</v>
      </c>
      <c r="E29" t="str">
        <f t="array" ref="E29">iferror(index('rna-gill'!$L:$L,match($A29,'rna-gill'!$A:$A,0)))</f>
        <v>N</v>
      </c>
      <c r="F29" t="str">
        <f t="array" ref="F29">iferror(index(fatty_acid!$G:$G,match($A29,fatty_acid!$A:$A,0)))</f>
        <v>BFA9-36</v>
      </c>
      <c r="G29" t="str">
        <f t="array" ref="G29">iferror(index(fatty_acid!$J:$J,match($A29,fatty_acid!$A:$A,0)))</f>
        <v>N</v>
      </c>
      <c r="H29" t="str">
        <f t="array" ref="H29">iferror(index(isotopes!$G:$G,match($A29,isotopes!$A:$A,0)))</f>
        <v>BIS21-34</v>
      </c>
      <c r="I29" t="str">
        <f t="array" ref="I29">iferror(index(isotopes!$J:$J,match($A29,isotopes!$A:$A,0)))</f>
        <v>N</v>
      </c>
      <c r="J29" t="str">
        <f t="array" ref="J29">iferror(index(extra_muscle!$G:$G,match($A29,extra_muscle!$A:$A,0)))</f>
        <v>BXM14-30</v>
      </c>
      <c r="K29" t="str">
        <f t="array" ref="K29">iferror(index(extra_muscle!$J:$J,match($A29,extra_muscle!$A:$A,0)))</f>
        <v>N</v>
      </c>
      <c r="L29" s="59" t="str">
        <f t="array" ref="L29">iferror(index(dna!$G:$G,match($A29,dna!$A:$A,0)))</f>
        <v/>
      </c>
      <c r="M29" s="60" t="str">
        <f t="array" ref="M29">iferror(index(dna!$J:$J,match($A29,dna!$A:$A,0)))</f>
        <v/>
      </c>
      <c r="N29" t="str">
        <f t="array" ref="N29">iferror(index(stomachs!$G:$G,match($A29,stomachs!$A:$A,0)))</f>
        <v>BST233-7</v>
      </c>
      <c r="O29" t="str">
        <f t="array" ref="O29">iferror(index(stomachs!$J:$J,match($A29,stomachs!$A:$A,0)))</f>
        <v>N</v>
      </c>
      <c r="P29" t="str">
        <f t="array" ref="P29">iferror(index(sea_lice!$G:$G,match($A29,sea_lice!$A:$A,0)))</f>
        <v/>
      </c>
      <c r="Q29" t="str">
        <f t="array" ref="Q29">iferror(index(sea_lice!$J:$J,match($A29,sea_lice!$A:$A,0)))</f>
        <v/>
      </c>
      <c r="R29" s="40" t="str">
        <f t="array" ref="R29">iferror(index(dissected_fish!$F:$F,match($A29,dissected_fish!$A:$A,0)))</f>
        <v>BCA99</v>
      </c>
      <c r="S29" s="40" t="str">
        <f t="array" ref="S29">iferror(index(dissected_fish!$K:$K,match($A29,dissected_fish!$A:$A,0)))</f>
        <v>N</v>
      </c>
      <c r="T29" s="61" t="str">
        <f t="array" ref="T29">index(fish_lab_data!O:O,match(A29,fish_lab_data!C:C,0))</f>
        <v>EJ</v>
      </c>
      <c r="U29" s="61">
        <f t="array" ref="U29">if(A29="","",index(fish_lab_data!X:X,match(A29,fish_lab_data!C:C,0)))</f>
        <v>28</v>
      </c>
    </row>
    <row r="30">
      <c r="A30" t="str">
        <f>fish_lab_data!C30</f>
        <v>U5498</v>
      </c>
      <c r="B30" t="str">
        <f t="array" ref="B30">iferror(index('rna-muscle'!$I:$I,match($A30,'rna-muscle'!$A:$A,0)))</f>
        <v>BRN60M-F12</v>
      </c>
      <c r="C30" t="str">
        <f t="array" ref="C30">iferror(index('rna-muscle'!$L:$L,match($A30,'rna-muscle'!$A:$A,0)))</f>
        <v>N</v>
      </c>
      <c r="D30" t="str">
        <f t="array" ref="D30">iferror(index('rna-gill'!$I:$I,match($A30,'rna-gill'!$A:$A,0)))</f>
        <v>BRN60G-F12</v>
      </c>
      <c r="E30" t="str">
        <f t="array" ref="E30">iferror(index('rna-gill'!$L:$L,match($A30,'rna-gill'!$A:$A,0)))</f>
        <v>N</v>
      </c>
      <c r="F30" t="str">
        <f t="array" ref="F30">iferror(index(fatty_acid!$G:$G,match($A30,fatty_acid!$A:$A,0)))</f>
        <v>BFA9-37</v>
      </c>
      <c r="G30" t="str">
        <f t="array" ref="G30">iferror(index(fatty_acid!$J:$J,match($A30,fatty_acid!$A:$A,0)))</f>
        <v>N</v>
      </c>
      <c r="H30" t="str">
        <f t="array" ref="H30">iferror(index(isotopes!$G:$G,match($A30,isotopes!$A:$A,0)))</f>
        <v>BIS21-35</v>
      </c>
      <c r="I30" t="str">
        <f t="array" ref="I30">iferror(index(isotopes!$J:$J,match($A30,isotopes!$A:$A,0)))</f>
        <v>N</v>
      </c>
      <c r="J30" t="str">
        <f t="array" ref="J30">iferror(index(extra_muscle!$G:$G,match($A30,extra_muscle!$A:$A,0)))</f>
        <v>BXM14-39</v>
      </c>
      <c r="K30" t="str">
        <f t="array" ref="K30">iferror(index(extra_muscle!$J:$J,match($A30,extra_muscle!$A:$A,0)))</f>
        <v>N</v>
      </c>
      <c r="L30" s="59" t="str">
        <f t="array" ref="L30">iferror(index(dna!$G:$G,match($A30,dna!$A:$A,0)))</f>
        <v/>
      </c>
      <c r="M30" s="60" t="str">
        <f t="array" ref="M30">iferror(index(dna!$J:$J,match($A30,dna!$A:$A,0)))</f>
        <v/>
      </c>
      <c r="N30" t="str">
        <f t="array" ref="N30">iferror(index(stomachs!$G:$G,match($A30,stomachs!$A:$A,0)))</f>
        <v>BST233-8</v>
      </c>
      <c r="O30" t="str">
        <f t="array" ref="O30">iferror(index(stomachs!$J:$J,match($A30,stomachs!$A:$A,0)))</f>
        <v>N</v>
      </c>
      <c r="P30" t="str">
        <f t="array" ref="P30">iferror(index(sea_lice!$G:$G,match($A30,sea_lice!$A:$A,0)))</f>
        <v/>
      </c>
      <c r="Q30" t="str">
        <f t="array" ref="Q30">iferror(index(sea_lice!$J:$J,match($A30,sea_lice!$A:$A,0)))</f>
        <v/>
      </c>
      <c r="R30" s="40" t="str">
        <f t="array" ref="R30">iferror(index(dissected_fish!$F:$F,match($A30,dissected_fish!$A:$A,0)))</f>
        <v>BCA99</v>
      </c>
      <c r="S30" s="40" t="str">
        <f t="array" ref="S30">iferror(index(dissected_fish!$K:$K,match($A30,dissected_fish!$A:$A,0)))</f>
        <v>N</v>
      </c>
      <c r="T30" s="61" t="str">
        <f t="array" ref="T30">index(fish_lab_data!O:O,match(A30,fish_lab_data!C:C,0))</f>
        <v>EJ</v>
      </c>
      <c r="U30" s="61">
        <f t="array" ref="U30">if(A30="","",index(fish_lab_data!X:X,match(A30,fish_lab_data!C:C,0)))</f>
        <v>29</v>
      </c>
    </row>
    <row r="31">
      <c r="A31" t="str">
        <f>fish_lab_data!C31</f>
        <v>U5499</v>
      </c>
      <c r="B31" t="str">
        <f t="array" ref="B31">iferror(index('rna-muscle'!$I:$I,match($A31,'rna-muscle'!$A:$A,0)))</f>
        <v>BRN60M-E12</v>
      </c>
      <c r="C31" t="str">
        <f t="array" ref="C31">iferror(index('rna-muscle'!$L:$L,match($A31,'rna-muscle'!$A:$A,0)))</f>
        <v>N</v>
      </c>
      <c r="D31" t="str">
        <f t="array" ref="D31">iferror(index('rna-gill'!$I:$I,match($A31,'rna-gill'!$A:$A,0)))</f>
        <v>BRN60G-E12</v>
      </c>
      <c r="E31" t="str">
        <f t="array" ref="E31">iferror(index('rna-gill'!$L:$L,match($A31,'rna-gill'!$A:$A,0)))</f>
        <v>N</v>
      </c>
      <c r="F31" t="str">
        <f t="array" ref="F31">iferror(index(fatty_acid!$G:$G,match($A31,fatty_acid!$A:$A,0)))</f>
        <v>BFA9-38</v>
      </c>
      <c r="G31" t="str">
        <f t="array" ref="G31">iferror(index(fatty_acid!$J:$J,match($A31,fatty_acid!$A:$A,0)))</f>
        <v>N</v>
      </c>
      <c r="H31" t="str">
        <f t="array" ref="H31">iferror(index(isotopes!$G:$G,match($A31,isotopes!$A:$A,0)))</f>
        <v>BIS22-1</v>
      </c>
      <c r="I31" t="str">
        <f t="array" ref="I31">iferror(index(isotopes!$J:$J,match($A31,isotopes!$A:$A,0)))</f>
        <v>N</v>
      </c>
      <c r="J31" t="str">
        <f t="array" ref="J31">iferror(index(extra_muscle!$G:$G,match($A31,extra_muscle!$A:$A,0)))</f>
        <v>BXM14-42</v>
      </c>
      <c r="K31" t="str">
        <f t="array" ref="K31">iferror(index(extra_muscle!$J:$J,match($A31,extra_muscle!$A:$A,0)))</f>
        <v>N</v>
      </c>
      <c r="L31" s="59" t="str">
        <f t="array" ref="L31">iferror(index(dna!$G:$G,match($A31,dna!$A:$A,0)))</f>
        <v/>
      </c>
      <c r="M31" s="60" t="str">
        <f t="array" ref="M31">iferror(index(dna!$J:$J,match($A31,dna!$A:$A,0)))</f>
        <v/>
      </c>
      <c r="N31" t="str">
        <f t="array" ref="N31">iferror(index(stomachs!$G:$G,match($A31,stomachs!$A:$A,0)))</f>
        <v>BST233-9</v>
      </c>
      <c r="O31" t="str">
        <f t="array" ref="O31">iferror(index(stomachs!$J:$J,match($A31,stomachs!$A:$A,0)))</f>
        <v>N</v>
      </c>
      <c r="P31" t="str">
        <f t="array" ref="P31">iferror(index(sea_lice!$G:$G,match($A31,sea_lice!$A:$A,0)))</f>
        <v/>
      </c>
      <c r="Q31" t="str">
        <f t="array" ref="Q31">iferror(index(sea_lice!$J:$J,match($A31,sea_lice!$A:$A,0)))</f>
        <v/>
      </c>
      <c r="R31" s="40" t="str">
        <f t="array" ref="R31">iferror(index(dissected_fish!$F:$F,match($A31,dissected_fish!$A:$A,0)))</f>
        <v>BCA99</v>
      </c>
      <c r="S31" s="40" t="str">
        <f t="array" ref="S31">iferror(index(dissected_fish!$K:$K,match($A31,dissected_fish!$A:$A,0)))</f>
        <v>N</v>
      </c>
      <c r="T31" s="61" t="str">
        <f t="array" ref="T31">index(fish_lab_data!O:O,match(A31,fish_lab_data!C:C,0))</f>
        <v>EJ</v>
      </c>
      <c r="U31" s="61">
        <f t="array" ref="U31">if(A31="","",index(fish_lab_data!X:X,match(A31,fish_lab_data!C:C,0)))</f>
        <v>30</v>
      </c>
    </row>
    <row r="32">
      <c r="A32" t="str">
        <f>fish_lab_data!C32</f>
        <v>U5500</v>
      </c>
      <c r="B32" t="str">
        <f t="array" ref="B32">iferror(index('rna-muscle'!$I:$I,match($A32,'rna-muscle'!$A:$A,0)))</f>
        <v>BRN60M-C12</v>
      </c>
      <c r="C32" t="str">
        <f t="array" ref="C32">iferror(index('rna-muscle'!$L:$L,match($A32,'rna-muscle'!$A:$A,0)))</f>
        <v>N</v>
      </c>
      <c r="D32" t="str">
        <f t="array" ref="D32">iferror(index('rna-gill'!$I:$I,match($A32,'rna-gill'!$A:$A,0)))</f>
        <v>BRN60G-C12</v>
      </c>
      <c r="E32" t="str">
        <f t="array" ref="E32">iferror(index('rna-gill'!$L:$L,match($A32,'rna-gill'!$A:$A,0)))</f>
        <v>N</v>
      </c>
      <c r="F32" t="str">
        <f t="array" ref="F32">iferror(index(fatty_acid!$G:$G,match($A32,fatty_acid!$A:$A,0)))</f>
        <v>BFA9-39</v>
      </c>
      <c r="G32" t="str">
        <f t="array" ref="G32">iferror(index(fatty_acid!$J:$J,match($A32,fatty_acid!$A:$A,0)))</f>
        <v>N</v>
      </c>
      <c r="H32" t="str">
        <f t="array" ref="H32">iferror(index(isotopes!$G:$G,match($A32,isotopes!$A:$A,0)))</f>
        <v>BIS22-2</v>
      </c>
      <c r="I32" t="str">
        <f t="array" ref="I32">iferror(index(isotopes!$J:$J,match($A32,isotopes!$A:$A,0)))</f>
        <v>N</v>
      </c>
      <c r="J32" t="str">
        <f t="array" ref="J32">iferror(index(extra_muscle!$G:$G,match($A32,extra_muscle!$A:$A,0)))</f>
        <v>BXM14-48</v>
      </c>
      <c r="K32" t="str">
        <f t="array" ref="K32">iferror(index(extra_muscle!$J:$J,match($A32,extra_muscle!$A:$A,0)))</f>
        <v>N</v>
      </c>
      <c r="L32" s="59" t="str">
        <f t="array" ref="L32">iferror(index(dna!$G:$G,match($A32,dna!$A:$A,0)))</f>
        <v/>
      </c>
      <c r="M32" s="60" t="str">
        <f t="array" ref="M32">iferror(index(dna!$J:$J,match($A32,dna!$A:$A,0)))</f>
        <v/>
      </c>
      <c r="N32" t="str">
        <f t="array" ref="N32">iferror(index(stomachs!$G:$G,match($A32,stomachs!$A:$A,0)))</f>
        <v>BST233-10</v>
      </c>
      <c r="O32" t="str">
        <f t="array" ref="O32">iferror(index(stomachs!$J:$J,match($A32,stomachs!$A:$A,0)))</f>
        <v>N</v>
      </c>
      <c r="P32" t="str">
        <f t="array" ref="P32">iferror(index(sea_lice!$G:$G,match($A32,sea_lice!$A:$A,0)))</f>
        <v/>
      </c>
      <c r="Q32" t="str">
        <f t="array" ref="Q32">iferror(index(sea_lice!$J:$J,match($A32,sea_lice!$A:$A,0)))</f>
        <v/>
      </c>
      <c r="R32" s="40" t="str">
        <f t="array" ref="R32">iferror(index(dissected_fish!$F:$F,match($A32,dissected_fish!$A:$A,0)))</f>
        <v>BCA99</v>
      </c>
      <c r="S32" s="40" t="str">
        <f t="array" ref="S32">iferror(index(dissected_fish!$K:$K,match($A32,dissected_fish!$A:$A,0)))</f>
        <v>N</v>
      </c>
      <c r="T32" s="61" t="str">
        <f t="array" ref="T32">index(fish_lab_data!O:O,match(A32,fish_lab_data!C:C,0))</f>
        <v>EJ</v>
      </c>
      <c r="U32" s="61">
        <f t="array" ref="U32">if(A32="","",index(fish_lab_data!X:X,match(A32,fish_lab_data!C:C,0)))</f>
        <v>31</v>
      </c>
    </row>
    <row r="33">
      <c r="A33" t="str">
        <f>fish_lab_data!C33</f>
        <v>U5132</v>
      </c>
      <c r="B33" t="str">
        <f t="array" ref="B33">iferror(index('rna-muscle'!$I:$I,match($A33,'rna-muscle'!$A:$A,0)))</f>
        <v>BRN60M-B12</v>
      </c>
      <c r="C33" t="str">
        <f t="array" ref="C33">iferror(index('rna-muscle'!$L:$L,match($A33,'rna-muscle'!$A:$A,0)))</f>
        <v>N</v>
      </c>
      <c r="D33" t="str">
        <f t="array" ref="D33">iferror(index('rna-gill'!$I:$I,match($A33,'rna-gill'!$A:$A,0)))</f>
        <v>BRN60G-B12</v>
      </c>
      <c r="E33" t="str">
        <f t="array" ref="E33">iferror(index('rna-gill'!$L:$L,match($A33,'rna-gill'!$A:$A,0)))</f>
        <v>N</v>
      </c>
      <c r="F33" t="str">
        <f t="array" ref="F33">iferror(index(fatty_acid!$G:$G,match($A33,fatty_acid!$A:$A,0)))</f>
        <v>BFA9-41</v>
      </c>
      <c r="G33" t="str">
        <f t="array" ref="G33">iferror(index(fatty_acid!$J:$J,match($A33,fatty_acid!$A:$A,0)))</f>
        <v>N</v>
      </c>
      <c r="H33" t="str">
        <f t="array" ref="H33">iferror(index(isotopes!$G:$G,match($A33,isotopes!$A:$A,0)))</f>
        <v>BIS22-3</v>
      </c>
      <c r="I33" t="str">
        <f t="array" ref="I33">iferror(index(isotopes!$J:$J,match($A33,isotopes!$A:$A,0)))</f>
        <v>N</v>
      </c>
      <c r="J33" t="str">
        <f t="array" ref="J33">iferror(index(extra_muscle!$G:$G,match($A33,extra_muscle!$A:$A,0)))</f>
        <v>BXM14-50</v>
      </c>
      <c r="K33" t="str">
        <f t="array" ref="K33">iferror(index(extra_muscle!$J:$J,match($A33,extra_muscle!$A:$A,0)))</f>
        <v>N</v>
      </c>
      <c r="L33" s="59" t="str">
        <f t="array" ref="L33">iferror(index(dna!$G:$G,match($A33,dna!$A:$A,0)))</f>
        <v/>
      </c>
      <c r="M33" s="60" t="str">
        <f t="array" ref="M33">iferror(index(dna!$J:$J,match($A33,dna!$A:$A,0)))</f>
        <v/>
      </c>
      <c r="N33" t="str">
        <f t="array" ref="N33">iferror(index(stomachs!$G:$G,match($A33,stomachs!$A:$A,0)))</f>
        <v>BST233-1</v>
      </c>
      <c r="O33" t="str">
        <f t="array" ref="O33">iferror(index(stomachs!$J:$J,match($A33,stomachs!$A:$A,0)))</f>
        <v>N</v>
      </c>
      <c r="P33" t="str">
        <f t="array" ref="P33">iferror(index(sea_lice!$G:$G,match($A33,sea_lice!$A:$A,0)))</f>
        <v/>
      </c>
      <c r="Q33" t="str">
        <f t="array" ref="Q33">iferror(index(sea_lice!$J:$J,match($A33,sea_lice!$A:$A,0)))</f>
        <v/>
      </c>
      <c r="R33" s="40" t="str">
        <f t="array" ref="R33">iferror(index(dissected_fish!$F:$F,match($A33,dissected_fish!$A:$A,0)))</f>
        <v>BCA99</v>
      </c>
      <c r="S33" s="40" t="str">
        <f t="array" ref="S33">iferror(index(dissected_fish!$K:$K,match($A33,dissected_fish!$A:$A,0)))</f>
        <v>N</v>
      </c>
      <c r="T33" s="61" t="str">
        <f t="array" ref="T33">index(fish_lab_data!O:O,match(A33,fish_lab_data!C:C,0))</f>
        <v>EJ</v>
      </c>
      <c r="U33" s="61">
        <f t="array" ref="U33">if(A33="","",index(fish_lab_data!X:X,match(A33,fish_lab_data!C:C,0)))</f>
        <v>32</v>
      </c>
    </row>
    <row r="34">
      <c r="A34" t="str">
        <f>fish_lab_data!C34</f>
        <v>U5133</v>
      </c>
      <c r="B34" t="str">
        <f t="array" ref="B34">iferror(index('rna-muscle'!$I:$I,match($A34,'rna-muscle'!$A:$A,0)))</f>
        <v>BRN60M-A12</v>
      </c>
      <c r="C34" t="str">
        <f t="array" ref="C34">iferror(index('rna-muscle'!$L:$L,match($A34,'rna-muscle'!$A:$A,0)))</f>
        <v>N</v>
      </c>
      <c r="D34" t="str">
        <f t="array" ref="D34">iferror(index('rna-gill'!$I:$I,match($A34,'rna-gill'!$A:$A,0)))</f>
        <v>BRN60G-A12</v>
      </c>
      <c r="E34" t="str">
        <f t="array" ref="E34">iferror(index('rna-gill'!$L:$L,match($A34,'rna-gill'!$A:$A,0)))</f>
        <v>N</v>
      </c>
      <c r="F34" t="str">
        <f t="array" ref="F34">iferror(index(fatty_acid!$G:$G,match($A34,fatty_acid!$A:$A,0)))</f>
        <v>BFA9-42</v>
      </c>
      <c r="G34" t="str">
        <f t="array" ref="G34">iferror(index(fatty_acid!$J:$J,match($A34,fatty_acid!$A:$A,0)))</f>
        <v>N</v>
      </c>
      <c r="H34" t="str">
        <f t="array" ref="H34">iferror(index(isotopes!$G:$G,match($A34,isotopes!$A:$A,0)))</f>
        <v>BIS22-4</v>
      </c>
      <c r="I34" t="str">
        <f t="array" ref="I34">iferror(index(isotopes!$J:$J,match($A34,isotopes!$A:$A,0)))</f>
        <v>N</v>
      </c>
      <c r="J34" t="str">
        <f t="array" ref="J34">iferror(index(extra_muscle!$G:$G,match($A34,extra_muscle!$A:$A,0)))</f>
        <v>BXM14-44</v>
      </c>
      <c r="K34" t="str">
        <f t="array" ref="K34">iferror(index(extra_muscle!$J:$J,match($A34,extra_muscle!$A:$A,0)))</f>
        <v>N</v>
      </c>
      <c r="L34" s="59" t="str">
        <f t="array" ref="L34">iferror(index(dna!$G:$G,match($A34,dna!$A:$A,0)))</f>
        <v/>
      </c>
      <c r="M34" s="60" t="str">
        <f t="array" ref="M34">iferror(index(dna!$J:$J,match($A34,dna!$A:$A,0)))</f>
        <v/>
      </c>
      <c r="N34" t="str">
        <f t="array" ref="N34">iferror(index(stomachs!$G:$G,match($A34,stomachs!$A:$A,0)))</f>
        <v>BST233-2</v>
      </c>
      <c r="O34" t="str">
        <f t="array" ref="O34">iferror(index(stomachs!$J:$J,match($A34,stomachs!$A:$A,0)))</f>
        <v>N</v>
      </c>
      <c r="P34" t="str">
        <f t="array" ref="P34">iferror(index(sea_lice!$G:$G,match($A34,sea_lice!$A:$A,0)))</f>
        <v/>
      </c>
      <c r="Q34" t="str">
        <f t="array" ref="Q34">iferror(index(sea_lice!$J:$J,match($A34,sea_lice!$A:$A,0)))</f>
        <v/>
      </c>
      <c r="R34" s="40" t="str">
        <f t="array" ref="R34">iferror(index(dissected_fish!$F:$F,match($A34,dissected_fish!$A:$A,0)))</f>
        <v>BCA99</v>
      </c>
      <c r="S34" s="40" t="str">
        <f t="array" ref="S34">iferror(index(dissected_fish!$K:$K,match($A34,dissected_fish!$A:$A,0)))</f>
        <v>N</v>
      </c>
      <c r="T34" s="61" t="str">
        <f t="array" ref="T34">index(fish_lab_data!O:O,match(A34,fish_lab_data!C:C,0))</f>
        <v>EJ</v>
      </c>
      <c r="U34" s="61">
        <f t="array" ref="U34">if(A34="","",index(fish_lab_data!X:X,match(A34,fish_lab_data!C:C,0)))</f>
        <v>33</v>
      </c>
    </row>
    <row r="35">
      <c r="A35" t="str">
        <f>fish_lab_data!C35</f>
        <v>U5134</v>
      </c>
      <c r="B35" t="str">
        <f t="array" ref="B35">iferror(index('rna-muscle'!$I:$I,match($A35,'rna-muscle'!$A:$A,0)))</f>
        <v>BRN66M-H1</v>
      </c>
      <c r="C35" t="str">
        <f t="array" ref="C35">iferror(index('rna-muscle'!$L:$L,match($A35,'rna-muscle'!$A:$A,0)))</f>
        <v>N</v>
      </c>
      <c r="D35" t="str">
        <f t="array" ref="D35">iferror(index('rna-gill'!$I:$I,match($A35,'rna-gill'!$A:$A,0)))</f>
        <v>BRN66G-H1</v>
      </c>
      <c r="E35" t="str">
        <f t="array" ref="E35">iferror(index('rna-gill'!$L:$L,match($A35,'rna-gill'!$A:$A,0)))</f>
        <v>N</v>
      </c>
      <c r="F35" t="str">
        <f t="array" ref="F35">iferror(index(fatty_acid!$G:$G,match($A35,fatty_acid!$A:$A,0)))</f>
        <v>BFA9-43</v>
      </c>
      <c r="G35" t="str">
        <f t="array" ref="G35">iferror(index(fatty_acid!$J:$J,match($A35,fatty_acid!$A:$A,0)))</f>
        <v>N</v>
      </c>
      <c r="H35" t="str">
        <f t="array" ref="H35">iferror(index(isotopes!$G:$G,match($A35,isotopes!$A:$A,0)))</f>
        <v>BIS22-5</v>
      </c>
      <c r="I35" t="str">
        <f t="array" ref="I35">iferror(index(isotopes!$J:$J,match($A35,isotopes!$A:$A,0)))</f>
        <v>N</v>
      </c>
      <c r="J35" t="str">
        <f t="array" ref="J35">iferror(index(extra_muscle!$G:$G,match($A35,extra_muscle!$A:$A,0)))</f>
        <v>BXM14-51</v>
      </c>
      <c r="K35" t="str">
        <f t="array" ref="K35">iferror(index(extra_muscle!$J:$J,match($A35,extra_muscle!$A:$A,0)))</f>
        <v>N</v>
      </c>
      <c r="L35" s="59" t="str">
        <f t="array" ref="L35">iferror(index(dna!$G:$G,match($A35,dna!$A:$A,0)))</f>
        <v/>
      </c>
      <c r="M35" s="60" t="str">
        <f t="array" ref="M35">iferror(index(dna!$J:$J,match($A35,dna!$A:$A,0)))</f>
        <v/>
      </c>
      <c r="N35" t="str">
        <f t="array" ref="N35">iferror(index(stomachs!$G:$G,match($A35,stomachs!$A:$A,0)))</f>
        <v>BST233-3</v>
      </c>
      <c r="O35" t="str">
        <f t="array" ref="O35">iferror(index(stomachs!$J:$J,match($A35,stomachs!$A:$A,0)))</f>
        <v>N</v>
      </c>
      <c r="P35" t="str">
        <f t="array" ref="P35">iferror(index(sea_lice!$G:$G,match($A35,sea_lice!$A:$A,0)))</f>
        <v/>
      </c>
      <c r="Q35" t="str">
        <f t="array" ref="Q35">iferror(index(sea_lice!$J:$J,match($A35,sea_lice!$A:$A,0)))</f>
        <v/>
      </c>
      <c r="R35" s="40" t="str">
        <f t="array" ref="R35">iferror(index(dissected_fish!$F:$F,match($A35,dissected_fish!$A:$A,0)))</f>
        <v>BCA99</v>
      </c>
      <c r="S35" s="40" t="str">
        <f t="array" ref="S35">iferror(index(dissected_fish!$K:$K,match($A35,dissected_fish!$A:$A,0)))</f>
        <v>N</v>
      </c>
      <c r="T35" s="61" t="str">
        <f t="array" ref="T35">index(fish_lab_data!O:O,match(A35,fish_lab_data!C:C,0))</f>
        <v>EJ</v>
      </c>
      <c r="U35" s="61">
        <f t="array" ref="U35">if(A35="","",index(fish_lab_data!X:X,match(A35,fish_lab_data!C:C,0)))</f>
        <v>34</v>
      </c>
    </row>
    <row r="36">
      <c r="A36" t="str">
        <f>fish_lab_data!C36</f>
        <v>U5135</v>
      </c>
      <c r="B36" t="str">
        <f t="array" ref="B36">iferror(index('rna-muscle'!$I:$I,match($A36,'rna-muscle'!$A:$A,0)))</f>
        <v>BRN66M-G1</v>
      </c>
      <c r="C36" t="str">
        <f t="array" ref="C36">iferror(index('rna-muscle'!$L:$L,match($A36,'rna-muscle'!$A:$A,0)))</f>
        <v>N</v>
      </c>
      <c r="D36" t="str">
        <f t="array" ref="D36">iferror(index('rna-gill'!$I:$I,match($A36,'rna-gill'!$A:$A,0)))</f>
        <v>BRN66G-G1</v>
      </c>
      <c r="E36" t="str">
        <f t="array" ref="E36">iferror(index('rna-gill'!$L:$L,match($A36,'rna-gill'!$A:$A,0)))</f>
        <v>N</v>
      </c>
      <c r="F36" t="str">
        <f t="array" ref="F36">iferror(index(fatty_acid!$G:$G,match($A36,fatty_acid!$A:$A,0)))</f>
        <v>BFA9-44</v>
      </c>
      <c r="G36" t="str">
        <f t="array" ref="G36">iferror(index(fatty_acid!$J:$J,match($A36,fatty_acid!$A:$A,0)))</f>
        <v>N</v>
      </c>
      <c r="H36" t="str">
        <f t="array" ref="H36">iferror(index(isotopes!$G:$G,match($A36,isotopes!$A:$A,0)))</f>
        <v>BIS22-7</v>
      </c>
      <c r="I36" t="str">
        <f t="array" ref="I36">iferror(index(isotopes!$J:$J,match($A36,isotopes!$A:$A,0)))</f>
        <v>N</v>
      </c>
      <c r="J36" t="str">
        <f t="array" ref="J36">iferror(index(extra_muscle!$G:$G,match($A36,extra_muscle!$A:$A,0)))</f>
        <v>BXM14-53</v>
      </c>
      <c r="K36" t="str">
        <f t="array" ref="K36">iferror(index(extra_muscle!$J:$J,match($A36,extra_muscle!$A:$A,0)))</f>
        <v>N</v>
      </c>
      <c r="L36" s="59" t="str">
        <f t="array" ref="L36">iferror(index(dna!$G:$G,match($A36,dna!$A:$A,0)))</f>
        <v/>
      </c>
      <c r="M36" s="60" t="str">
        <f t="array" ref="M36">iferror(index(dna!$J:$J,match($A36,dna!$A:$A,0)))</f>
        <v/>
      </c>
      <c r="N36" t="str">
        <f t="array" ref="N36">iferror(index(stomachs!$G:$G,match($A36,stomachs!$A:$A,0)))</f>
        <v>BST233-4</v>
      </c>
      <c r="O36" t="str">
        <f t="array" ref="O36">iferror(index(stomachs!$J:$J,match($A36,stomachs!$A:$A,0)))</f>
        <v>N</v>
      </c>
      <c r="P36" t="str">
        <f t="array" ref="P36">iferror(index(sea_lice!$G:$G,match($A36,sea_lice!$A:$A,0)))</f>
        <v/>
      </c>
      <c r="Q36" t="str">
        <f t="array" ref="Q36">iferror(index(sea_lice!$J:$J,match($A36,sea_lice!$A:$A,0)))</f>
        <v/>
      </c>
      <c r="R36" s="40" t="str">
        <f t="array" ref="R36">iferror(index(dissected_fish!$F:$F,match($A36,dissected_fish!$A:$A,0)))</f>
        <v>BCA99</v>
      </c>
      <c r="S36" s="40" t="str">
        <f t="array" ref="S36">iferror(index(dissected_fish!$K:$K,match($A36,dissected_fish!$A:$A,0)))</f>
        <v>N</v>
      </c>
      <c r="T36" s="61" t="str">
        <f t="array" ref="T36">index(fish_lab_data!O:O,match(A36,fish_lab_data!C:C,0))</f>
        <v>EJ</v>
      </c>
      <c r="U36" s="61">
        <f t="array" ref="U36">if(A36="","",index(fish_lab_data!X:X,match(A36,fish_lab_data!C:C,0)))</f>
        <v>35</v>
      </c>
    </row>
    <row r="37">
      <c r="A37" t="str">
        <f>fish_lab_data!C37</f>
        <v>U5136</v>
      </c>
      <c r="B37" t="str">
        <f t="array" ref="B37">iferror(index('rna-muscle'!$I:$I,match($A37,'rna-muscle'!$A:$A,0)))</f>
        <v>BRN66M-F1</v>
      </c>
      <c r="C37" t="str">
        <f t="array" ref="C37">iferror(index('rna-muscle'!$L:$L,match($A37,'rna-muscle'!$A:$A,0)))</f>
        <v>N</v>
      </c>
      <c r="D37" t="str">
        <f t="array" ref="D37">iferror(index('rna-gill'!$I:$I,match($A37,'rna-gill'!$A:$A,0)))</f>
        <v>BRN66G-F1</v>
      </c>
      <c r="E37" t="str">
        <f t="array" ref="E37">iferror(index('rna-gill'!$L:$L,match($A37,'rna-gill'!$A:$A,0)))</f>
        <v>N</v>
      </c>
      <c r="F37" t="str">
        <f t="array" ref="F37">iferror(index(fatty_acid!$G:$G,match($A37,fatty_acid!$A:$A,0)))</f>
        <v>BFA9-46</v>
      </c>
      <c r="G37" t="str">
        <f t="array" ref="G37">iferror(index(fatty_acid!$J:$J,match($A37,fatty_acid!$A:$A,0)))</f>
        <v>N</v>
      </c>
      <c r="H37" t="str">
        <f t="array" ref="H37">iferror(index(isotopes!$G:$G,match($A37,isotopes!$A:$A,0)))</f>
        <v>BIS22-8</v>
      </c>
      <c r="I37" t="str">
        <f t="array" ref="I37">iferror(index(isotopes!$J:$J,match($A37,isotopes!$A:$A,0)))</f>
        <v>N</v>
      </c>
      <c r="J37" t="str">
        <f t="array" ref="J37">iferror(index(extra_muscle!$G:$G,match($A37,extra_muscle!$A:$A,0)))</f>
        <v>BXM14-59</v>
      </c>
      <c r="K37" t="str">
        <f t="array" ref="K37">iferror(index(extra_muscle!$J:$J,match($A37,extra_muscle!$A:$A,0)))</f>
        <v>N</v>
      </c>
      <c r="L37" s="59" t="str">
        <f t="array" ref="L37">iferror(index(dna!$G:$G,match($A37,dna!$A:$A,0)))</f>
        <v/>
      </c>
      <c r="M37" s="60" t="str">
        <f t="array" ref="M37">iferror(index(dna!$J:$J,match($A37,dna!$A:$A,0)))</f>
        <v/>
      </c>
      <c r="N37" t="str">
        <f t="array" ref="N37">iferror(index(stomachs!$G:$G,match($A37,stomachs!$A:$A,0)))</f>
        <v>BST233-5</v>
      </c>
      <c r="O37" t="str">
        <f t="array" ref="O37">iferror(index(stomachs!$J:$J,match($A37,stomachs!$A:$A,0)))</f>
        <v>N</v>
      </c>
      <c r="P37" t="str">
        <f t="array" ref="P37">iferror(index(sea_lice!$G:$G,match($A37,sea_lice!$A:$A,0)))</f>
        <v/>
      </c>
      <c r="Q37" t="str">
        <f t="array" ref="Q37">iferror(index(sea_lice!$J:$J,match($A37,sea_lice!$A:$A,0)))</f>
        <v/>
      </c>
      <c r="R37" s="40" t="str">
        <f t="array" ref="R37">iferror(index(dissected_fish!$F:$F,match($A37,dissected_fish!$A:$A,0)))</f>
        <v>BCA99</v>
      </c>
      <c r="S37" s="40" t="str">
        <f t="array" ref="S37">iferror(index(dissected_fish!$K:$K,match($A37,dissected_fish!$A:$A,0)))</f>
        <v>N</v>
      </c>
      <c r="T37" s="61" t="str">
        <f t="array" ref="T37">index(fish_lab_data!O:O,match(A37,fish_lab_data!C:C,0))</f>
        <v>EJ</v>
      </c>
      <c r="U37" s="61">
        <f t="array" ref="U37">if(A37="","",index(fish_lab_data!X:X,match(A37,fish_lab_data!C:C,0)))</f>
        <v>36</v>
      </c>
    </row>
    <row r="38">
      <c r="A38" t="str">
        <f>fish_lab_data!C38</f>
        <v>U5137</v>
      </c>
      <c r="B38" t="str">
        <f t="array" ref="B38">iferror(index('rna-muscle'!$I:$I,match($A38,'rna-muscle'!$A:$A,0)))</f>
        <v>BRN66M-E1</v>
      </c>
      <c r="C38" t="str">
        <f t="array" ref="C38">iferror(index('rna-muscle'!$L:$L,match($A38,'rna-muscle'!$A:$A,0)))</f>
        <v>N</v>
      </c>
      <c r="D38" t="str">
        <f t="array" ref="D38">iferror(index('rna-gill'!$I:$I,match($A38,'rna-gill'!$A:$A,0)))</f>
        <v>BRN66G-E1</v>
      </c>
      <c r="E38" t="str">
        <f t="array" ref="E38">iferror(index('rna-gill'!$L:$L,match($A38,'rna-gill'!$A:$A,0)))</f>
        <v>N</v>
      </c>
      <c r="F38" t="str">
        <f t="array" ref="F38">iferror(index(fatty_acid!$G:$G,match($A38,fatty_acid!$A:$A,0)))</f>
        <v>BFA9-47</v>
      </c>
      <c r="G38" t="str">
        <f t="array" ref="G38">iferror(index(fatty_acid!$J:$J,match($A38,fatty_acid!$A:$A,0)))</f>
        <v>N</v>
      </c>
      <c r="H38" t="str">
        <f t="array" ref="H38">iferror(index(isotopes!$G:$G,match($A38,isotopes!$A:$A,0)))</f>
        <v>BIS22-9</v>
      </c>
      <c r="I38" t="str">
        <f t="array" ref="I38">iferror(index(isotopes!$J:$J,match($A38,isotopes!$A:$A,0)))</f>
        <v>N</v>
      </c>
      <c r="J38" t="str">
        <f t="array" ref="J38">iferror(index(extra_muscle!$G:$G,match($A38,extra_muscle!$A:$A,0)))</f>
        <v>BXM14-62</v>
      </c>
      <c r="K38" t="str">
        <f t="array" ref="K38">iferror(index(extra_muscle!$J:$J,match($A38,extra_muscle!$A:$A,0)))</f>
        <v>N</v>
      </c>
      <c r="L38" s="59" t="str">
        <f t="array" ref="L38">iferror(index(dna!$G:$G,match($A38,dna!$A:$A,0)))</f>
        <v/>
      </c>
      <c r="M38" s="60" t="str">
        <f t="array" ref="M38">iferror(index(dna!$J:$J,match($A38,dna!$A:$A,0)))</f>
        <v/>
      </c>
      <c r="N38" t="str">
        <f t="array" ref="N38">iferror(index(stomachs!$G:$G,match($A38,stomachs!$A:$A,0)))</f>
        <v>BST231-21</v>
      </c>
      <c r="O38" t="str">
        <f t="array" ref="O38">iferror(index(stomachs!$J:$J,match($A38,stomachs!$A:$A,0)))</f>
        <v>N</v>
      </c>
      <c r="P38" t="str">
        <f t="array" ref="P38">iferror(index(sea_lice!$G:$G,match($A38,sea_lice!$A:$A,0)))</f>
        <v/>
      </c>
      <c r="Q38" t="str">
        <f t="array" ref="Q38">iferror(index(sea_lice!$J:$J,match($A38,sea_lice!$A:$A,0)))</f>
        <v/>
      </c>
      <c r="R38" s="40" t="str">
        <f t="array" ref="R38">iferror(index(dissected_fish!$F:$F,match($A38,dissected_fish!$A:$A,0)))</f>
        <v>BCA99</v>
      </c>
      <c r="S38" s="40" t="str">
        <f t="array" ref="S38">iferror(index(dissected_fish!$K:$K,match($A38,dissected_fish!$A:$A,0)))</f>
        <v>N</v>
      </c>
      <c r="T38" s="61" t="str">
        <f t="array" ref="T38">index(fish_lab_data!O:O,match(A38,fish_lab_data!C:C,0))</f>
        <v>EJ</v>
      </c>
      <c r="U38" s="61">
        <f t="array" ref="U38">if(A38="","",index(fish_lab_data!X:X,match(A38,fish_lab_data!C:C,0)))</f>
        <v>37</v>
      </c>
    </row>
    <row r="39">
      <c r="A39" t="str">
        <f>fish_lab_data!C39</f>
        <v>U5138</v>
      </c>
      <c r="B39" t="str">
        <f t="array" ref="B39">iferror(index('rna-muscle'!$I:$I,match($A39,'rna-muscle'!$A:$A,0)))</f>
        <v>BRN66M-D1</v>
      </c>
      <c r="C39" t="str">
        <f t="array" ref="C39">iferror(index('rna-muscle'!$L:$L,match($A39,'rna-muscle'!$A:$A,0)))</f>
        <v>N</v>
      </c>
      <c r="D39" t="str">
        <f t="array" ref="D39">iferror(index('rna-gill'!$I:$I,match($A39,'rna-gill'!$A:$A,0)))</f>
        <v>BRN66G-D1</v>
      </c>
      <c r="E39" t="str">
        <f t="array" ref="E39">iferror(index('rna-gill'!$L:$L,match($A39,'rna-gill'!$A:$A,0)))</f>
        <v>N</v>
      </c>
      <c r="F39" t="str">
        <f t="array" ref="F39">iferror(index(fatty_acid!$G:$G,match($A39,fatty_acid!$A:$A,0)))</f>
        <v>BFA9-48</v>
      </c>
      <c r="G39" t="str">
        <f t="array" ref="G39">iferror(index(fatty_acid!$J:$J,match($A39,fatty_acid!$A:$A,0)))</f>
        <v>N</v>
      </c>
      <c r="H39" t="str">
        <f t="array" ref="H39">iferror(index(isotopes!$G:$G,match($A39,isotopes!$A:$A,0)))</f>
        <v>BIS22-10</v>
      </c>
      <c r="I39" t="str">
        <f t="array" ref="I39">iferror(index(isotopes!$J:$J,match($A39,isotopes!$A:$A,0)))</f>
        <v>N</v>
      </c>
      <c r="J39" t="str">
        <f t="array" ref="J39">iferror(index(extra_muscle!$G:$G,match($A39,extra_muscle!$A:$A,0)))</f>
        <v>BXM14-64</v>
      </c>
      <c r="K39" t="str">
        <f t="array" ref="K39">iferror(index(extra_muscle!$J:$J,match($A39,extra_muscle!$A:$A,0)))</f>
        <v>N</v>
      </c>
      <c r="L39" s="59" t="str">
        <f t="array" ref="L39">iferror(index(dna!$G:$G,match($A39,dna!$A:$A,0)))</f>
        <v/>
      </c>
      <c r="M39" s="60" t="str">
        <f t="array" ref="M39">iferror(index(dna!$J:$J,match($A39,dna!$A:$A,0)))</f>
        <v/>
      </c>
      <c r="N39" t="str">
        <f t="array" ref="N39">iferror(index(stomachs!$G:$G,match($A39,stomachs!$A:$A,0)))</f>
        <v>BST231-22</v>
      </c>
      <c r="O39" t="str">
        <f t="array" ref="O39">iferror(index(stomachs!$J:$J,match($A39,stomachs!$A:$A,0)))</f>
        <v>N</v>
      </c>
      <c r="P39" t="str">
        <f t="array" ref="P39">iferror(index(sea_lice!$G:$G,match($A39,sea_lice!$A:$A,0)))</f>
        <v/>
      </c>
      <c r="Q39" t="str">
        <f t="array" ref="Q39">iferror(index(sea_lice!$J:$J,match($A39,sea_lice!$A:$A,0)))</f>
        <v/>
      </c>
      <c r="R39" s="40" t="str">
        <f t="array" ref="R39">iferror(index(dissected_fish!$F:$F,match($A39,dissected_fish!$A:$A,0)))</f>
        <v>BCA99</v>
      </c>
      <c r="S39" s="40" t="str">
        <f t="array" ref="S39">iferror(index(dissected_fish!$K:$K,match($A39,dissected_fish!$A:$A,0)))</f>
        <v>N</v>
      </c>
      <c r="T39" s="61" t="str">
        <f t="array" ref="T39">index(fish_lab_data!O:O,match(A39,fish_lab_data!C:C,0))</f>
        <v>EJ</v>
      </c>
      <c r="U39" s="61">
        <f t="array" ref="U39">if(A39="","",index(fish_lab_data!X:X,match(A39,fish_lab_data!C:C,0)))</f>
        <v>38</v>
      </c>
    </row>
    <row r="40">
      <c r="A40" t="str">
        <f>fish_lab_data!C40</f>
        <v>U5139</v>
      </c>
      <c r="B40" t="str">
        <f t="array" ref="B40">iferror(index('rna-muscle'!$I:$I,match($A40,'rna-muscle'!$A:$A,0)))</f>
        <v>BRN66M-C1</v>
      </c>
      <c r="C40" t="str">
        <f t="array" ref="C40">iferror(index('rna-muscle'!$L:$L,match($A40,'rna-muscle'!$A:$A,0)))</f>
        <v>N</v>
      </c>
      <c r="D40" t="str">
        <f t="array" ref="D40">iferror(index('rna-gill'!$I:$I,match($A40,'rna-gill'!$A:$A,0)))</f>
        <v>BRN66G-C1</v>
      </c>
      <c r="E40" t="str">
        <f t="array" ref="E40">iferror(index('rna-gill'!$L:$L,match($A40,'rna-gill'!$A:$A,0)))</f>
        <v>N</v>
      </c>
      <c r="F40" t="str">
        <f t="array" ref="F40">iferror(index(fatty_acid!$G:$G,match($A40,fatty_acid!$A:$A,0)))</f>
        <v>BFA9-49</v>
      </c>
      <c r="G40" t="str">
        <f t="array" ref="G40">iferror(index(fatty_acid!$J:$J,match($A40,fatty_acid!$A:$A,0)))</f>
        <v>N</v>
      </c>
      <c r="H40" t="str">
        <f t="array" ref="H40">iferror(index(isotopes!$G:$G,match($A40,isotopes!$A:$A,0)))</f>
        <v>BIS22-11</v>
      </c>
      <c r="I40" t="str">
        <f t="array" ref="I40">iferror(index(isotopes!$J:$J,match($A40,isotopes!$A:$A,0)))</f>
        <v>N</v>
      </c>
      <c r="J40" t="str">
        <f t="array" ref="J40">iferror(index(extra_muscle!$G:$G,match($A40,extra_muscle!$A:$A,0)))</f>
        <v>BXM14-68</v>
      </c>
      <c r="K40" t="str">
        <f t="array" ref="K40">iferror(index(extra_muscle!$J:$J,match($A40,extra_muscle!$A:$A,0)))</f>
        <v>N</v>
      </c>
      <c r="L40" s="59" t="str">
        <f t="array" ref="L40">iferror(index(dna!$G:$G,match($A40,dna!$A:$A,0)))</f>
        <v/>
      </c>
      <c r="M40" s="60" t="str">
        <f t="array" ref="M40">iferror(index(dna!$J:$J,match($A40,dna!$A:$A,0)))</f>
        <v/>
      </c>
      <c r="N40" t="str">
        <f t="array" ref="N40">iferror(index(stomachs!$G:$G,match($A40,stomachs!$A:$A,0)))</f>
        <v>BST231-23</v>
      </c>
      <c r="O40" t="str">
        <f t="array" ref="O40">iferror(index(stomachs!$J:$J,match($A40,stomachs!$A:$A,0)))</f>
        <v>N</v>
      </c>
      <c r="P40" t="str">
        <f t="array" ref="P40">iferror(index(sea_lice!$G:$G,match($A40,sea_lice!$A:$A,0)))</f>
        <v/>
      </c>
      <c r="Q40" t="str">
        <f t="array" ref="Q40">iferror(index(sea_lice!$J:$J,match($A40,sea_lice!$A:$A,0)))</f>
        <v/>
      </c>
      <c r="R40" s="40" t="str">
        <f t="array" ref="R40">iferror(index(dissected_fish!$F:$F,match($A40,dissected_fish!$A:$A,0)))</f>
        <v>BCA99</v>
      </c>
      <c r="S40" s="40" t="str">
        <f t="array" ref="S40">iferror(index(dissected_fish!$K:$K,match($A40,dissected_fish!$A:$A,0)))</f>
        <v>N</v>
      </c>
      <c r="T40" s="61" t="str">
        <f t="array" ref="T40">index(fish_lab_data!O:O,match(A40,fish_lab_data!C:C,0))</f>
        <v>EJ</v>
      </c>
      <c r="U40" s="61">
        <f t="array" ref="U40">if(A40="","",index(fish_lab_data!X:X,match(A40,fish_lab_data!C:C,0)))</f>
        <v>39</v>
      </c>
    </row>
    <row r="41">
      <c r="A41" t="str">
        <f>fish_lab_data!C41</f>
        <v>U5140</v>
      </c>
      <c r="B41" t="str">
        <f t="array" ref="B41">iferror(index('rna-muscle'!$I:$I,match($A41,'rna-muscle'!$A:$A,0)))</f>
        <v>BRN66M-A1</v>
      </c>
      <c r="C41" t="str">
        <f t="array" ref="C41">iferror(index('rna-muscle'!$L:$L,match($A41,'rna-muscle'!$A:$A,0)))</f>
        <v>N</v>
      </c>
      <c r="D41" t="str">
        <f t="array" ref="D41">iferror(index('rna-gill'!$I:$I,match($A41,'rna-gill'!$A:$A,0)))</f>
        <v>BRN66G-A1</v>
      </c>
      <c r="E41" t="str">
        <f t="array" ref="E41">iferror(index('rna-gill'!$L:$L,match($A41,'rna-gill'!$A:$A,0)))</f>
        <v>N</v>
      </c>
      <c r="F41" t="str">
        <f t="array" ref="F41">iferror(index(fatty_acid!$G:$G,match($A41,fatty_acid!$A:$A,0)))</f>
        <v>BFA9-50</v>
      </c>
      <c r="G41" t="str">
        <f t="array" ref="G41">iferror(index(fatty_acid!$J:$J,match($A41,fatty_acid!$A:$A,0)))</f>
        <v>N</v>
      </c>
      <c r="H41" t="str">
        <f t="array" ref="H41">iferror(index(isotopes!$G:$G,match($A41,isotopes!$A:$A,0)))</f>
        <v>BIS22-12</v>
      </c>
      <c r="I41" t="str">
        <f t="array" ref="I41">iferror(index(isotopes!$J:$J,match($A41,isotopes!$A:$A,0)))</f>
        <v>N</v>
      </c>
      <c r="J41" t="str">
        <f t="array" ref="J41">iferror(index(extra_muscle!$G:$G,match($A41,extra_muscle!$A:$A,0)))</f>
        <v>BXM14-70</v>
      </c>
      <c r="K41" t="str">
        <f t="array" ref="K41">iferror(index(extra_muscle!$J:$J,match($A41,extra_muscle!$A:$A,0)))</f>
        <v>N</v>
      </c>
      <c r="L41" s="59" t="str">
        <f t="array" ref="L41">iferror(index(dna!$G:$G,match($A41,dna!$A:$A,0)))</f>
        <v/>
      </c>
      <c r="M41" s="60" t="str">
        <f t="array" ref="M41">iferror(index(dna!$J:$J,match($A41,dna!$A:$A,0)))</f>
        <v/>
      </c>
      <c r="N41" t="str">
        <f t="array" ref="N41">iferror(index(stomachs!$G:$G,match($A41,stomachs!$A:$A,0)))</f>
        <v>BST231-24</v>
      </c>
      <c r="O41" t="str">
        <f t="array" ref="O41">iferror(index(stomachs!$J:$J,match($A41,stomachs!$A:$A,0)))</f>
        <v>N</v>
      </c>
      <c r="P41" t="str">
        <f t="array" ref="P41">iferror(index(sea_lice!$G:$G,match($A41,sea_lice!$A:$A,0)))</f>
        <v/>
      </c>
      <c r="Q41" t="str">
        <f t="array" ref="Q41">iferror(index(sea_lice!$J:$J,match($A41,sea_lice!$A:$A,0)))</f>
        <v/>
      </c>
      <c r="R41" s="40" t="str">
        <f t="array" ref="R41">iferror(index(dissected_fish!$F:$F,match($A41,dissected_fish!$A:$A,0)))</f>
        <v>BCA99</v>
      </c>
      <c r="S41" s="40" t="str">
        <f t="array" ref="S41">iferror(index(dissected_fish!$K:$K,match($A41,dissected_fish!$A:$A,0)))</f>
        <v>N</v>
      </c>
      <c r="T41" s="61" t="str">
        <f t="array" ref="T41">index(fish_lab_data!O:O,match(A41,fish_lab_data!C:C,0))</f>
        <v>EJ</v>
      </c>
      <c r="U41" s="61">
        <f t="array" ref="U41">if(A41="","",index(fish_lab_data!X:X,match(A41,fish_lab_data!C:C,0)))</f>
        <v>40</v>
      </c>
    </row>
    <row r="42">
      <c r="A42" t="str">
        <f>fish_lab_data!C42</f>
        <v>U5141</v>
      </c>
      <c r="B42" t="str">
        <f t="array" ref="B42">iferror(index('rna-muscle'!$I:$I,match($A42,'rna-muscle'!$A:$A,0)))</f>
        <v>BRN66M-H2</v>
      </c>
      <c r="C42" t="str">
        <f t="array" ref="C42">iferror(index('rna-muscle'!$L:$L,match($A42,'rna-muscle'!$A:$A,0)))</f>
        <v>N</v>
      </c>
      <c r="D42" t="str">
        <f t="array" ref="D42">iferror(index('rna-gill'!$I:$I,match($A42,'rna-gill'!$A:$A,0)))</f>
        <v>BRN66G-H2</v>
      </c>
      <c r="E42" t="str">
        <f t="array" ref="E42">iferror(index('rna-gill'!$L:$L,match($A42,'rna-gill'!$A:$A,0)))</f>
        <v>N</v>
      </c>
      <c r="F42" t="str">
        <f t="array" ref="F42">iferror(index(fatty_acid!$G:$G,match($A42,fatty_acid!$A:$A,0)))</f>
        <v>BFA9-61</v>
      </c>
      <c r="G42" t="str">
        <f t="array" ref="G42">iferror(index(fatty_acid!$J:$J,match($A42,fatty_acid!$A:$A,0)))</f>
        <v>N</v>
      </c>
      <c r="H42" t="str">
        <f t="array" ref="H42">iferror(index(isotopes!$G:$G,match($A42,isotopes!$A:$A,0)))</f>
        <v>BIS22-13</v>
      </c>
      <c r="I42" t="str">
        <f t="array" ref="I42">iferror(index(isotopes!$J:$J,match($A42,isotopes!$A:$A,0)))</f>
        <v>N</v>
      </c>
      <c r="J42" t="str">
        <f t="array" ref="J42">iferror(index(extra_muscle!$G:$G,match($A42,extra_muscle!$A:$A,0)))</f>
        <v>BXM14-82</v>
      </c>
      <c r="K42" t="str">
        <f t="array" ref="K42">iferror(index(extra_muscle!$J:$J,match($A42,extra_muscle!$A:$A,0)))</f>
        <v>N</v>
      </c>
      <c r="L42" s="59" t="str">
        <f t="array" ref="L42">iferror(index(dna!$G:$G,match($A42,dna!$A:$A,0)))</f>
        <v/>
      </c>
      <c r="M42" s="60" t="str">
        <f t="array" ref="M42">iferror(index(dna!$J:$J,match($A42,dna!$A:$A,0)))</f>
        <v/>
      </c>
      <c r="N42" t="str">
        <f t="array" ref="N42">iferror(index(stomachs!$G:$G,match($A42,stomachs!$A:$A,0)))</f>
        <v>BST231-25</v>
      </c>
      <c r="O42" t="str">
        <f t="array" ref="O42">iferror(index(stomachs!$J:$J,match($A42,stomachs!$A:$A,0)))</f>
        <v>N</v>
      </c>
      <c r="P42" t="str">
        <f t="array" ref="P42">iferror(index(sea_lice!$G:$G,match($A42,sea_lice!$A:$A,0)))</f>
        <v/>
      </c>
      <c r="Q42" t="str">
        <f t="array" ref="Q42">iferror(index(sea_lice!$J:$J,match($A42,sea_lice!$A:$A,0)))</f>
        <v/>
      </c>
      <c r="R42" s="40" t="str">
        <f t="array" ref="R42">iferror(index(dissected_fish!$F:$F,match($A42,dissected_fish!$A:$A,0)))</f>
        <v>BCA99</v>
      </c>
      <c r="S42" s="40" t="str">
        <f t="array" ref="S42">iferror(index(dissected_fish!$K:$K,match($A42,dissected_fish!$A:$A,0)))</f>
        <v>N</v>
      </c>
      <c r="T42" s="61" t="str">
        <f t="array" ref="T42">index(fish_lab_data!O:O,match(A42,fish_lab_data!C:C,0))</f>
        <v>EJ</v>
      </c>
      <c r="U42" s="61">
        <f t="array" ref="U42">if(A42="","",index(fish_lab_data!X:X,match(A42,fish_lab_data!C:C,0)))</f>
        <v>41</v>
      </c>
    </row>
    <row r="43">
      <c r="A43" t="str">
        <f>fish_lab_data!C43</f>
        <v>U5142</v>
      </c>
      <c r="B43" t="str">
        <f t="array" ref="B43">iferror(index('rna-muscle'!$I:$I,match($A43,'rna-muscle'!$A:$A,0)))</f>
        <v>BRN66M-G2</v>
      </c>
      <c r="C43" t="str">
        <f t="array" ref="C43">iferror(index('rna-muscle'!$L:$L,match($A43,'rna-muscle'!$A:$A,0)))</f>
        <v>N</v>
      </c>
      <c r="D43" t="str">
        <f t="array" ref="D43">iferror(index('rna-gill'!$I:$I,match($A43,'rna-gill'!$A:$A,0)))</f>
        <v>BRN66G-G2</v>
      </c>
      <c r="E43" t="str">
        <f t="array" ref="E43">iferror(index('rna-gill'!$L:$L,match($A43,'rna-gill'!$A:$A,0)))</f>
        <v>N</v>
      </c>
      <c r="F43" t="str">
        <f t="array" ref="F43">iferror(index(fatty_acid!$G:$G,match($A43,fatty_acid!$A:$A,0)))</f>
        <v>BFA9-62</v>
      </c>
      <c r="G43" t="str">
        <f t="array" ref="G43">iferror(index(fatty_acid!$J:$J,match($A43,fatty_acid!$A:$A,0)))</f>
        <v>N</v>
      </c>
      <c r="H43" t="str">
        <f t="array" ref="H43">iferror(index(isotopes!$G:$G,match($A43,isotopes!$A:$A,0)))</f>
        <v>BIS22-14</v>
      </c>
      <c r="I43" t="str">
        <f t="array" ref="I43">iferror(index(isotopes!$J:$J,match($A43,isotopes!$A:$A,0)))</f>
        <v>N</v>
      </c>
      <c r="J43" t="str">
        <f t="array" ref="J43">iferror(index(extra_muscle!$G:$G,match($A43,extra_muscle!$A:$A,0)))</f>
        <v>BXM14-84</v>
      </c>
      <c r="K43" t="str">
        <f t="array" ref="K43">iferror(index(extra_muscle!$J:$J,match($A43,extra_muscle!$A:$A,0)))</f>
        <v>N</v>
      </c>
      <c r="L43" s="59" t="str">
        <f t="array" ref="L43">iferror(index(dna!$G:$G,match($A43,dna!$A:$A,0)))</f>
        <v/>
      </c>
      <c r="M43" s="60" t="str">
        <f t="array" ref="M43">iferror(index(dna!$J:$J,match($A43,dna!$A:$A,0)))</f>
        <v/>
      </c>
      <c r="N43" t="str">
        <f t="array" ref="N43">iferror(index(stomachs!$G:$G,match($A43,stomachs!$A:$A,0)))</f>
        <v>BST231-16</v>
      </c>
      <c r="O43" t="str">
        <f t="array" ref="O43">iferror(index(stomachs!$J:$J,match($A43,stomachs!$A:$A,0)))</f>
        <v>N</v>
      </c>
      <c r="P43" t="str">
        <f t="array" ref="P43">iferror(index(sea_lice!$G:$G,match($A43,sea_lice!$A:$A,0)))</f>
        <v/>
      </c>
      <c r="Q43" t="str">
        <f t="array" ref="Q43">iferror(index(sea_lice!$J:$J,match($A43,sea_lice!$A:$A,0)))</f>
        <v/>
      </c>
      <c r="R43" s="40" t="str">
        <f t="array" ref="R43">iferror(index(dissected_fish!$F:$F,match($A43,dissected_fish!$A:$A,0)))</f>
        <v>BCA99</v>
      </c>
      <c r="S43" s="40" t="str">
        <f t="array" ref="S43">iferror(index(dissected_fish!$K:$K,match($A43,dissected_fish!$A:$A,0)))</f>
        <v>N</v>
      </c>
      <c r="T43" s="61" t="str">
        <f t="array" ref="T43">index(fish_lab_data!O:O,match(A43,fish_lab_data!C:C,0))</f>
        <v>EJ</v>
      </c>
      <c r="U43" s="61">
        <f t="array" ref="U43">if(A43="","",index(fish_lab_data!X:X,match(A43,fish_lab_data!C:C,0)))</f>
        <v>42</v>
      </c>
    </row>
    <row r="44">
      <c r="A44" t="str">
        <f>fish_lab_data!C44</f>
        <v>U5143</v>
      </c>
      <c r="B44" t="str">
        <f t="array" ref="B44">iferror(index('rna-muscle'!$I:$I,match($A44,'rna-muscle'!$A:$A,0)))</f>
        <v>BRN66M-F2</v>
      </c>
      <c r="C44" t="str">
        <f t="array" ref="C44">iferror(index('rna-muscle'!$L:$L,match($A44,'rna-muscle'!$A:$A,0)))</f>
        <v>N</v>
      </c>
      <c r="D44" t="str">
        <f t="array" ref="D44">iferror(index('rna-gill'!$I:$I,match($A44,'rna-gill'!$A:$A,0)))</f>
        <v>BRN66G-F2</v>
      </c>
      <c r="E44" t="str">
        <f t="array" ref="E44">iferror(index('rna-gill'!$L:$L,match($A44,'rna-gill'!$A:$A,0)))</f>
        <v>N</v>
      </c>
      <c r="F44" t="str">
        <f t="array" ref="F44">iferror(index(fatty_acid!$G:$G,match($A44,fatty_acid!$A:$A,0)))</f>
        <v>BFA9-63</v>
      </c>
      <c r="G44" t="str">
        <f t="array" ref="G44">iferror(index(fatty_acid!$J:$J,match($A44,fatty_acid!$A:$A,0)))</f>
        <v>N</v>
      </c>
      <c r="H44" t="str">
        <f t="array" ref="H44">iferror(index(isotopes!$G:$G,match($A44,isotopes!$A:$A,0)))</f>
        <v>BIS22-15</v>
      </c>
      <c r="I44" t="str">
        <f t="array" ref="I44">iferror(index(isotopes!$J:$J,match($A44,isotopes!$A:$A,0)))</f>
        <v>N</v>
      </c>
      <c r="J44" t="str">
        <f t="array" ref="J44">iferror(index(extra_muscle!$G:$G,match($A44,extra_muscle!$A:$A,0)))</f>
        <v>BXM14-88</v>
      </c>
      <c r="K44" t="str">
        <f t="array" ref="K44">iferror(index(extra_muscle!$J:$J,match($A44,extra_muscle!$A:$A,0)))</f>
        <v>N</v>
      </c>
      <c r="L44" s="59" t="str">
        <f t="array" ref="L44">iferror(index(dna!$G:$G,match($A44,dna!$A:$A,0)))</f>
        <v/>
      </c>
      <c r="M44" s="60" t="str">
        <f t="array" ref="M44">iferror(index(dna!$J:$J,match($A44,dna!$A:$A,0)))</f>
        <v/>
      </c>
      <c r="N44" t="str">
        <f t="array" ref="N44">iferror(index(stomachs!$G:$G,match($A44,stomachs!$A:$A,0)))</f>
        <v>BST231-17</v>
      </c>
      <c r="O44" t="str">
        <f t="array" ref="O44">iferror(index(stomachs!$J:$J,match($A44,stomachs!$A:$A,0)))</f>
        <v>N</v>
      </c>
      <c r="P44" t="str">
        <f t="array" ref="P44">iferror(index(sea_lice!$G:$G,match($A44,sea_lice!$A:$A,0)))</f>
        <v/>
      </c>
      <c r="Q44" t="str">
        <f t="array" ref="Q44">iferror(index(sea_lice!$J:$J,match($A44,sea_lice!$A:$A,0)))</f>
        <v/>
      </c>
      <c r="R44" s="40" t="str">
        <f t="array" ref="R44">iferror(index(dissected_fish!$F:$F,match($A44,dissected_fish!$A:$A,0)))</f>
        <v>BCA99</v>
      </c>
      <c r="S44" s="40" t="str">
        <f t="array" ref="S44">iferror(index(dissected_fish!$K:$K,match($A44,dissected_fish!$A:$A,0)))</f>
        <v>N</v>
      </c>
      <c r="T44" s="61" t="str">
        <f t="array" ref="T44">index(fish_lab_data!O:O,match(A44,fish_lab_data!C:C,0))</f>
        <v>EJ</v>
      </c>
      <c r="U44" s="61">
        <f t="array" ref="U44">if(A44="","",index(fish_lab_data!X:X,match(A44,fish_lab_data!C:C,0)))</f>
        <v>43</v>
      </c>
    </row>
    <row r="45">
      <c r="A45" t="str">
        <f>fish_lab_data!C45</f>
        <v>U5144</v>
      </c>
      <c r="B45" t="str">
        <f t="array" ref="B45">iferror(index('rna-muscle'!$I:$I,match($A45,'rna-muscle'!$A:$A,0)))</f>
        <v>BRN66M-E2</v>
      </c>
      <c r="C45" t="str">
        <f t="array" ref="C45">iferror(index('rna-muscle'!$L:$L,match($A45,'rna-muscle'!$A:$A,0)))</f>
        <v>N</v>
      </c>
      <c r="D45" t="str">
        <f t="array" ref="D45">iferror(index('rna-gill'!$I:$I,match($A45,'rna-gill'!$A:$A,0)))</f>
        <v>BRN66G-E2</v>
      </c>
      <c r="E45" t="str">
        <f t="array" ref="E45">iferror(index('rna-gill'!$L:$L,match($A45,'rna-gill'!$A:$A,0)))</f>
        <v>N</v>
      </c>
      <c r="F45" t="str">
        <f t="array" ref="F45">iferror(index(fatty_acid!$G:$G,match($A45,fatty_acid!$A:$A,0)))</f>
        <v>BFA9-64</v>
      </c>
      <c r="G45" t="str">
        <f t="array" ref="G45">iferror(index(fatty_acid!$J:$J,match($A45,fatty_acid!$A:$A,0)))</f>
        <v>N</v>
      </c>
      <c r="H45" t="str">
        <f t="array" ref="H45">iferror(index(isotopes!$G:$G,match($A45,isotopes!$A:$A,0)))</f>
        <v>BIS22-17</v>
      </c>
      <c r="I45" t="str">
        <f t="array" ref="I45">iferror(index(isotopes!$J:$J,match($A45,isotopes!$A:$A,0)))</f>
        <v>N</v>
      </c>
      <c r="J45" t="str">
        <f t="array" ref="J45">iferror(index(extra_muscle!$G:$G,match($A45,extra_muscle!$A:$A,0)))</f>
        <v>BXM14-91</v>
      </c>
      <c r="K45" t="str">
        <f t="array" ref="K45">iferror(index(extra_muscle!$J:$J,match($A45,extra_muscle!$A:$A,0)))</f>
        <v>N</v>
      </c>
      <c r="L45" s="59" t="str">
        <f t="array" ref="L45">iferror(index(dna!$G:$G,match($A45,dna!$A:$A,0)))</f>
        <v/>
      </c>
      <c r="M45" s="60" t="str">
        <f t="array" ref="M45">iferror(index(dna!$J:$J,match($A45,dna!$A:$A,0)))</f>
        <v/>
      </c>
      <c r="N45" t="str">
        <f t="array" ref="N45">iferror(index(stomachs!$G:$G,match($A45,stomachs!$A:$A,0)))</f>
        <v>BST231-18</v>
      </c>
      <c r="O45" t="str">
        <f t="array" ref="O45">iferror(index(stomachs!$J:$J,match($A45,stomachs!$A:$A,0)))</f>
        <v>N</v>
      </c>
      <c r="P45" t="str">
        <f t="array" ref="P45">iferror(index(sea_lice!$G:$G,match($A45,sea_lice!$A:$A,0)))</f>
        <v/>
      </c>
      <c r="Q45" t="str">
        <f t="array" ref="Q45">iferror(index(sea_lice!$J:$J,match($A45,sea_lice!$A:$A,0)))</f>
        <v/>
      </c>
      <c r="R45" s="40" t="str">
        <f t="array" ref="R45">iferror(index(dissected_fish!$F:$F,match($A45,dissected_fish!$A:$A,0)))</f>
        <v>BCA99</v>
      </c>
      <c r="S45" s="40" t="str">
        <f t="array" ref="S45">iferror(index(dissected_fish!$K:$K,match($A45,dissected_fish!$A:$A,0)))</f>
        <v>N</v>
      </c>
      <c r="T45" s="61" t="str">
        <f t="array" ref="T45">index(fish_lab_data!O:O,match(A45,fish_lab_data!C:C,0))</f>
        <v>EJ</v>
      </c>
      <c r="U45" s="61">
        <f t="array" ref="U45">if(A45="","",index(fish_lab_data!X:X,match(A45,fish_lab_data!C:C,0)))</f>
        <v>44</v>
      </c>
    </row>
    <row r="46">
      <c r="A46" t="str">
        <f>fish_lab_data!C46</f>
        <v>U5145</v>
      </c>
      <c r="B46" t="str">
        <f t="array" ref="B46">iferror(index('rna-muscle'!$I:$I,match($A46,'rna-muscle'!$A:$A,0)))</f>
        <v>BRN66M-D2</v>
      </c>
      <c r="C46" t="str">
        <f t="array" ref="C46">iferror(index('rna-muscle'!$L:$L,match($A46,'rna-muscle'!$A:$A,0)))</f>
        <v>N</v>
      </c>
      <c r="D46" t="str">
        <f t="array" ref="D46">iferror(index('rna-gill'!$I:$I,match($A46,'rna-gill'!$A:$A,0)))</f>
        <v>BRN66G-D2</v>
      </c>
      <c r="E46" t="str">
        <f t="array" ref="E46">iferror(index('rna-gill'!$L:$L,match($A46,'rna-gill'!$A:$A,0)))</f>
        <v>N</v>
      </c>
      <c r="F46" t="str">
        <f t="array" ref="F46">iferror(index(fatty_acid!$G:$G,match($A46,fatty_acid!$A:$A,0)))</f>
        <v>BFA9-66</v>
      </c>
      <c r="G46" t="str">
        <f t="array" ref="G46">iferror(index(fatty_acid!$J:$J,match($A46,fatty_acid!$A:$A,0)))</f>
        <v>N</v>
      </c>
      <c r="H46" t="str">
        <f t="array" ref="H46">iferror(index(isotopes!$G:$G,match($A46,isotopes!$A:$A,0)))</f>
        <v>BIS22-18</v>
      </c>
      <c r="I46" t="str">
        <f t="array" ref="I46">iferror(index(isotopes!$J:$J,match($A46,isotopes!$A:$A,0)))</f>
        <v>N</v>
      </c>
      <c r="J46" t="str">
        <f t="array" ref="J46">iferror(index(extra_muscle!$G:$G,match($A46,extra_muscle!$A:$A,0)))</f>
        <v>BXM14-93</v>
      </c>
      <c r="K46" t="str">
        <f t="array" ref="K46">iferror(index(extra_muscle!$J:$J,match($A46,extra_muscle!$A:$A,0)))</f>
        <v>N</v>
      </c>
      <c r="L46" s="59" t="str">
        <f t="array" ref="L46">iferror(index(dna!$G:$G,match($A46,dna!$A:$A,0)))</f>
        <v/>
      </c>
      <c r="M46" s="60" t="str">
        <f t="array" ref="M46">iferror(index(dna!$J:$J,match($A46,dna!$A:$A,0)))</f>
        <v/>
      </c>
      <c r="N46" t="str">
        <f t="array" ref="N46">iferror(index(stomachs!$G:$G,match($A46,stomachs!$A:$A,0)))</f>
        <v>BST231-19</v>
      </c>
      <c r="O46" t="str">
        <f t="array" ref="O46">iferror(index(stomachs!$J:$J,match($A46,stomachs!$A:$A,0)))</f>
        <v>N</v>
      </c>
      <c r="P46" t="str">
        <f t="array" ref="P46">iferror(index(sea_lice!$G:$G,match($A46,sea_lice!$A:$A,0)))</f>
        <v/>
      </c>
      <c r="Q46" t="str">
        <f t="array" ref="Q46">iferror(index(sea_lice!$J:$J,match($A46,sea_lice!$A:$A,0)))</f>
        <v/>
      </c>
      <c r="R46" s="40" t="str">
        <f t="array" ref="R46">iferror(index(dissected_fish!$F:$F,match($A46,dissected_fish!$A:$A,0)))</f>
        <v>BCA99</v>
      </c>
      <c r="S46" s="40" t="str">
        <f t="array" ref="S46">iferror(index(dissected_fish!$K:$K,match($A46,dissected_fish!$A:$A,0)))</f>
        <v>N</v>
      </c>
      <c r="T46" s="61" t="str">
        <f t="array" ref="T46">index(fish_lab_data!O:O,match(A46,fish_lab_data!C:C,0))</f>
        <v>EJ</v>
      </c>
      <c r="U46" s="61">
        <f t="array" ref="U46">if(A46="","",index(fish_lab_data!X:X,match(A46,fish_lab_data!C:C,0)))</f>
        <v>45</v>
      </c>
    </row>
    <row r="47">
      <c r="A47" t="str">
        <f>fish_lab_data!C47</f>
        <v>U5146</v>
      </c>
      <c r="B47" t="str">
        <f t="array" ref="B47">iferror(index('rna-muscle'!$I:$I,match($A47,'rna-muscle'!$A:$A,0)))</f>
        <v>BRN66M-C2</v>
      </c>
      <c r="C47" t="str">
        <f t="array" ref="C47">iferror(index('rna-muscle'!$L:$L,match($A47,'rna-muscle'!$A:$A,0)))</f>
        <v>N</v>
      </c>
      <c r="D47" t="str">
        <f t="array" ref="D47">iferror(index('rna-gill'!$I:$I,match($A47,'rna-gill'!$A:$A,0)))</f>
        <v>BRN66G-C2</v>
      </c>
      <c r="E47" t="str">
        <f t="array" ref="E47">iferror(index('rna-gill'!$L:$L,match($A47,'rna-gill'!$A:$A,0)))</f>
        <v>N</v>
      </c>
      <c r="F47" t="str">
        <f t="array" ref="F47">iferror(index(fatty_acid!$G:$G,match($A47,fatty_acid!$A:$A,0)))</f>
        <v>BFA9-67</v>
      </c>
      <c r="G47" t="str">
        <f t="array" ref="G47">iferror(index(fatty_acid!$J:$J,match($A47,fatty_acid!$A:$A,0)))</f>
        <v>N</v>
      </c>
      <c r="H47" t="str">
        <f t="array" ref="H47">iferror(index(isotopes!$G:$G,match($A47,isotopes!$A:$A,0)))</f>
        <v>BIS22-19</v>
      </c>
      <c r="I47" t="str">
        <f t="array" ref="I47">iferror(index(isotopes!$J:$J,match($A47,isotopes!$A:$A,0)))</f>
        <v>N</v>
      </c>
      <c r="J47" t="str">
        <f t="array" ref="J47">iferror(index(extra_muscle!$G:$G,match($A47,extra_muscle!$A:$A,0)))</f>
        <v>BXM14-96</v>
      </c>
      <c r="K47" t="str">
        <f t="array" ref="K47">iferror(index(extra_muscle!$J:$J,match($A47,extra_muscle!$A:$A,0)))</f>
        <v>N</v>
      </c>
      <c r="L47" s="59" t="str">
        <f t="array" ref="L47">iferror(index(dna!$G:$G,match($A47,dna!$A:$A,0)))</f>
        <v/>
      </c>
      <c r="M47" s="60" t="str">
        <f t="array" ref="M47">iferror(index(dna!$J:$J,match($A47,dna!$A:$A,0)))</f>
        <v/>
      </c>
      <c r="N47" t="str">
        <f t="array" ref="N47">iferror(index(stomachs!$G:$G,match($A47,stomachs!$A:$A,0)))</f>
        <v>BST231-20</v>
      </c>
      <c r="O47" t="str">
        <f t="array" ref="O47">iferror(index(stomachs!$J:$J,match($A47,stomachs!$A:$A,0)))</f>
        <v>N</v>
      </c>
      <c r="P47" t="str">
        <f t="array" ref="P47">iferror(index(sea_lice!$G:$G,match($A47,sea_lice!$A:$A,0)))</f>
        <v/>
      </c>
      <c r="Q47" t="str">
        <f t="array" ref="Q47">iferror(index(sea_lice!$J:$J,match($A47,sea_lice!$A:$A,0)))</f>
        <v/>
      </c>
      <c r="R47" s="40" t="str">
        <f t="array" ref="R47">iferror(index(dissected_fish!$F:$F,match($A47,dissected_fish!$A:$A,0)))</f>
        <v>BCA99</v>
      </c>
      <c r="S47" s="40" t="str">
        <f t="array" ref="S47">iferror(index(dissected_fish!$K:$K,match($A47,dissected_fish!$A:$A,0)))</f>
        <v>N</v>
      </c>
      <c r="T47" s="61" t="str">
        <f t="array" ref="T47">index(fish_lab_data!O:O,match(A47,fish_lab_data!C:C,0))</f>
        <v>EJ</v>
      </c>
      <c r="U47" s="61">
        <f t="array" ref="U47">if(A47="","",index(fish_lab_data!X:X,match(A47,fish_lab_data!C:C,0)))</f>
        <v>46</v>
      </c>
    </row>
    <row r="48">
      <c r="A48" t="str">
        <f>fish_lab_data!C48</f>
        <v>U5147</v>
      </c>
      <c r="B48" t="str">
        <f t="array" ref="B48">iferror(index('rna-muscle'!$I:$I,match($A48,'rna-muscle'!$A:$A,0)))</f>
        <v>BRN66M-B2</v>
      </c>
      <c r="C48" t="str">
        <f t="array" ref="C48">iferror(index('rna-muscle'!$L:$L,match($A48,'rna-muscle'!$A:$A,0)))</f>
        <v>N</v>
      </c>
      <c r="D48" t="str">
        <f t="array" ref="D48">iferror(index('rna-gill'!$I:$I,match($A48,'rna-gill'!$A:$A,0)))</f>
        <v>BRN66G-B2</v>
      </c>
      <c r="E48" t="str">
        <f t="array" ref="E48">iferror(index('rna-gill'!$L:$L,match($A48,'rna-gill'!$A:$A,0)))</f>
        <v>N</v>
      </c>
      <c r="F48" t="str">
        <f t="array" ref="F48">iferror(index(fatty_acid!$G:$G,match($A48,fatty_acid!$A:$A,0)))</f>
        <v>BFA9-68</v>
      </c>
      <c r="G48" t="str">
        <f t="array" ref="G48">iferror(index(fatty_acid!$J:$J,match($A48,fatty_acid!$A:$A,0)))</f>
        <v>N</v>
      </c>
      <c r="H48" t="str">
        <f t="array" ref="H48">iferror(index(isotopes!$G:$G,match($A48,isotopes!$A:$A,0)))</f>
        <v>BIS22-20</v>
      </c>
      <c r="I48" t="str">
        <f t="array" ref="I48">iferror(index(isotopes!$J:$J,match($A48,isotopes!$A:$A,0)))</f>
        <v>N</v>
      </c>
      <c r="J48" t="str">
        <f t="array" ref="J48">iferror(index(extra_muscle!$G:$G,match($A48,extra_muscle!$A:$A,0)))</f>
        <v>BXM22-5</v>
      </c>
      <c r="K48" t="str">
        <f t="array" ref="K48">iferror(index(extra_muscle!$J:$J,match($A48,extra_muscle!$A:$A,0)))</f>
        <v>N</v>
      </c>
      <c r="L48" s="59" t="str">
        <f t="array" ref="L48">iferror(index(dna!$G:$G,match($A48,dna!$A:$A,0)))</f>
        <v/>
      </c>
      <c r="M48" s="60" t="str">
        <f t="array" ref="M48">iferror(index(dna!$J:$J,match($A48,dna!$A:$A,0)))</f>
        <v/>
      </c>
      <c r="N48" t="str">
        <f t="array" ref="N48">iferror(index(stomachs!$G:$G,match($A48,stomachs!$A:$A,0)))</f>
        <v>BST231-11</v>
      </c>
      <c r="O48" t="str">
        <f t="array" ref="O48">iferror(index(stomachs!$J:$J,match($A48,stomachs!$A:$A,0)))</f>
        <v>N</v>
      </c>
      <c r="P48" t="str">
        <f t="array" ref="P48">iferror(index(sea_lice!$G:$G,match($A48,sea_lice!$A:$A,0)))</f>
        <v/>
      </c>
      <c r="Q48" t="str">
        <f t="array" ref="Q48">iferror(index(sea_lice!$J:$J,match($A48,sea_lice!$A:$A,0)))</f>
        <v/>
      </c>
      <c r="R48" s="40" t="str">
        <f t="array" ref="R48">iferror(index(dissected_fish!$F:$F,match($A48,dissected_fish!$A:$A,0)))</f>
        <v>BCA99</v>
      </c>
      <c r="S48" s="40" t="str">
        <f t="array" ref="S48">iferror(index(dissected_fish!$K:$K,match($A48,dissected_fish!$A:$A,0)))</f>
        <v>N</v>
      </c>
      <c r="T48" s="61" t="str">
        <f t="array" ref="T48">index(fish_lab_data!O:O,match(A48,fish_lab_data!C:C,0))</f>
        <v>EJ</v>
      </c>
      <c r="U48" s="61">
        <f t="array" ref="U48">if(A48="","",index(fish_lab_data!X:X,match(A48,fish_lab_data!C:C,0)))</f>
        <v>47</v>
      </c>
    </row>
    <row r="49">
      <c r="A49" t="str">
        <f>fish_lab_data!C49</f>
        <v>U5148</v>
      </c>
      <c r="B49" t="str">
        <f t="array" ref="B49">iferror(index('rna-muscle'!$I:$I,match($A49,'rna-muscle'!$A:$A,0)))</f>
        <v>BRN66M-A2</v>
      </c>
      <c r="C49" t="str">
        <f t="array" ref="C49">iferror(index('rna-muscle'!$L:$L,match($A49,'rna-muscle'!$A:$A,0)))</f>
        <v>N</v>
      </c>
      <c r="D49" t="str">
        <f t="array" ref="D49">iferror(index('rna-gill'!$I:$I,match($A49,'rna-gill'!$A:$A,0)))</f>
        <v>BRN66G-A2</v>
      </c>
      <c r="E49" t="str">
        <f t="array" ref="E49">iferror(index('rna-gill'!$L:$L,match($A49,'rna-gill'!$A:$A,0)))</f>
        <v>N</v>
      </c>
      <c r="F49" t="str">
        <f t="array" ref="F49">iferror(index(fatty_acid!$G:$G,match($A49,fatty_acid!$A:$A,0)))</f>
        <v>BFA9-69</v>
      </c>
      <c r="G49" t="str">
        <f t="array" ref="G49">iferror(index(fatty_acid!$J:$J,match($A49,fatty_acid!$A:$A,0)))</f>
        <v>N</v>
      </c>
      <c r="H49" t="str">
        <f t="array" ref="H49">iferror(index(isotopes!$G:$G,match($A49,isotopes!$A:$A,0)))</f>
        <v>BIS22-21</v>
      </c>
      <c r="I49" t="str">
        <f t="array" ref="I49">iferror(index(isotopes!$J:$J,match($A49,isotopes!$A:$A,0)))</f>
        <v>N</v>
      </c>
      <c r="J49" t="str">
        <f t="array" ref="J49">iferror(index(extra_muscle!$G:$G,match($A49,extra_muscle!$A:$A,0)))</f>
        <v>BXM22-7</v>
      </c>
      <c r="K49" t="str">
        <f t="array" ref="K49">iferror(index(extra_muscle!$J:$J,match($A49,extra_muscle!$A:$A,0)))</f>
        <v>N</v>
      </c>
      <c r="L49" s="59" t="str">
        <f t="array" ref="L49">iferror(index(dna!$G:$G,match($A49,dna!$A:$A,0)))</f>
        <v/>
      </c>
      <c r="M49" s="60" t="str">
        <f t="array" ref="M49">iferror(index(dna!$J:$J,match($A49,dna!$A:$A,0)))</f>
        <v/>
      </c>
      <c r="N49" t="str">
        <f t="array" ref="N49">iferror(index(stomachs!$G:$G,match($A49,stomachs!$A:$A,0)))</f>
        <v>BST231-12</v>
      </c>
      <c r="O49" t="str">
        <f t="array" ref="O49">iferror(index(stomachs!$J:$J,match($A49,stomachs!$A:$A,0)))</f>
        <v>N</v>
      </c>
      <c r="P49" t="str">
        <f t="array" ref="P49">iferror(index(sea_lice!$G:$G,match($A49,sea_lice!$A:$A,0)))</f>
        <v/>
      </c>
      <c r="Q49" t="str">
        <f t="array" ref="Q49">iferror(index(sea_lice!$J:$J,match($A49,sea_lice!$A:$A,0)))</f>
        <v/>
      </c>
      <c r="R49" s="40" t="str">
        <f t="array" ref="R49">iferror(index(dissected_fish!$F:$F,match($A49,dissected_fish!$A:$A,0)))</f>
        <v>BCA99</v>
      </c>
      <c r="S49" s="40" t="str">
        <f t="array" ref="S49">iferror(index(dissected_fish!$K:$K,match($A49,dissected_fish!$A:$A,0)))</f>
        <v>N</v>
      </c>
      <c r="T49" s="61" t="str">
        <f t="array" ref="T49">index(fish_lab_data!O:O,match(A49,fish_lab_data!C:C,0))</f>
        <v>EJ</v>
      </c>
      <c r="U49" s="61">
        <f t="array" ref="U49">if(A49="","",index(fish_lab_data!X:X,match(A49,fish_lab_data!C:C,0)))</f>
        <v>48</v>
      </c>
    </row>
    <row r="50">
      <c r="A50" t="str">
        <f>fish_lab_data!C50</f>
        <v>U5149</v>
      </c>
      <c r="B50" t="str">
        <f t="array" ref="B50">iferror(index('rna-muscle'!$I:$I,match($A50,'rna-muscle'!$A:$A,0)))</f>
        <v>BRN66M-H4</v>
      </c>
      <c r="C50" t="str">
        <f t="array" ref="C50">iferror(index('rna-muscle'!$L:$L,match($A50,'rna-muscle'!$A:$A,0)))</f>
        <v>N</v>
      </c>
      <c r="D50" t="str">
        <f t="array" ref="D50">iferror(index('rna-gill'!$I:$I,match($A50,'rna-gill'!$A:$A,0)))</f>
        <v>BRN66G-H4</v>
      </c>
      <c r="E50" t="str">
        <f t="array" ref="E50">iferror(index('rna-gill'!$L:$L,match($A50,'rna-gill'!$A:$A,0)))</f>
        <v>N</v>
      </c>
      <c r="F50" t="str">
        <f t="array" ref="F50">iferror(index(fatty_acid!$G:$G,match($A50,fatty_acid!$A:$A,0)))</f>
        <v>BFA9-70</v>
      </c>
      <c r="G50" t="str">
        <f t="array" ref="G50">iferror(index(fatty_acid!$J:$J,match($A50,fatty_acid!$A:$A,0)))</f>
        <v>N</v>
      </c>
      <c r="H50" t="str">
        <f t="array" ref="H50">iferror(index(isotopes!$G:$G,match($A50,isotopes!$A:$A,0)))</f>
        <v>BIS22-22</v>
      </c>
      <c r="I50" t="str">
        <f t="array" ref="I50">iferror(index(isotopes!$J:$J,match($A50,isotopes!$A:$A,0)))</f>
        <v>N</v>
      </c>
      <c r="J50" t="str">
        <f t="array" ref="J50">iferror(index(extra_muscle!$G:$G,match($A50,extra_muscle!$A:$A,0)))</f>
        <v>BXM22-8</v>
      </c>
      <c r="K50" t="str">
        <f t="array" ref="K50">iferror(index(extra_muscle!$J:$J,match($A50,extra_muscle!$A:$A,0)))</f>
        <v>N</v>
      </c>
      <c r="L50" s="59" t="str">
        <f t="array" ref="L50">iferror(index(dna!$G:$G,match($A50,dna!$A:$A,0)))</f>
        <v/>
      </c>
      <c r="M50" s="60" t="str">
        <f t="array" ref="M50">iferror(index(dna!$J:$J,match($A50,dna!$A:$A,0)))</f>
        <v/>
      </c>
      <c r="N50" t="str">
        <f t="array" ref="N50">iferror(index(stomachs!$G:$G,match($A50,stomachs!$A:$A,0)))</f>
        <v>BST231-13</v>
      </c>
      <c r="O50" t="str">
        <f t="array" ref="O50">iferror(index(stomachs!$J:$J,match($A50,stomachs!$A:$A,0)))</f>
        <v>N</v>
      </c>
      <c r="P50" t="str">
        <f t="array" ref="P50">iferror(index(sea_lice!$G:$G,match($A50,sea_lice!$A:$A,0)))</f>
        <v/>
      </c>
      <c r="Q50" t="str">
        <f t="array" ref="Q50">iferror(index(sea_lice!$J:$J,match($A50,sea_lice!$A:$A,0)))</f>
        <v/>
      </c>
      <c r="R50" s="40" t="str">
        <f t="array" ref="R50">iferror(index(dissected_fish!$F:$F,match($A50,dissected_fish!$A:$A,0)))</f>
        <v>BCA99</v>
      </c>
      <c r="S50" s="40" t="str">
        <f t="array" ref="S50">iferror(index(dissected_fish!$K:$K,match($A50,dissected_fish!$A:$A,0)))</f>
        <v>N</v>
      </c>
      <c r="T50" s="61" t="str">
        <f t="array" ref="T50">index(fish_lab_data!O:O,match(A50,fish_lab_data!C:C,0))</f>
        <v>EJ</v>
      </c>
      <c r="U50" s="61">
        <f t="array" ref="U50">if(A50="","",index(fish_lab_data!X:X,match(A50,fish_lab_data!C:C,0)))</f>
        <v>49</v>
      </c>
    </row>
    <row r="51">
      <c r="A51" t="str">
        <f>fish_lab_data!C51</f>
        <v>U5150</v>
      </c>
      <c r="B51" t="str">
        <f t="array" ref="B51">iferror(index('rna-muscle'!$I:$I,match($A51,'rna-muscle'!$A:$A,0)))</f>
        <v>BRN66M-G4</v>
      </c>
      <c r="C51" t="str">
        <f t="array" ref="C51">iferror(index('rna-muscle'!$L:$L,match($A51,'rna-muscle'!$A:$A,0)))</f>
        <v>N</v>
      </c>
      <c r="D51" t="str">
        <f t="array" ref="D51">iferror(index('rna-gill'!$I:$I,match($A51,'rna-gill'!$A:$A,0)))</f>
        <v>BRN66G-G4</v>
      </c>
      <c r="E51" t="str">
        <f t="array" ref="E51">iferror(index('rna-gill'!$L:$L,match($A51,'rna-gill'!$A:$A,0)))</f>
        <v>N</v>
      </c>
      <c r="F51" t="str">
        <f t="array" ref="F51">iferror(index(fatty_acid!$G:$G,match($A51,fatty_acid!$A:$A,0)))</f>
        <v>BFA9-71</v>
      </c>
      <c r="G51" t="str">
        <f t="array" ref="G51">iferror(index(fatty_acid!$J:$J,match($A51,fatty_acid!$A:$A,0)))</f>
        <v>N</v>
      </c>
      <c r="H51" t="str">
        <f t="array" ref="H51">iferror(index(isotopes!$G:$G,match($A51,isotopes!$A:$A,0)))</f>
        <v>BIS22-23</v>
      </c>
      <c r="I51" t="str">
        <f t="array" ref="I51">iferror(index(isotopes!$J:$J,match($A51,isotopes!$A:$A,0)))</f>
        <v>N</v>
      </c>
      <c r="J51" t="str">
        <f t="array" ref="J51">iferror(index(extra_muscle!$G:$G,match($A51,extra_muscle!$A:$A,0)))</f>
        <v>BXM22-9</v>
      </c>
      <c r="K51" t="str">
        <f t="array" ref="K51">iferror(index(extra_muscle!$J:$J,match($A51,extra_muscle!$A:$A,0)))</f>
        <v>N</v>
      </c>
      <c r="L51" s="59" t="str">
        <f t="array" ref="L51">iferror(index(dna!$G:$G,match($A51,dna!$A:$A,0)))</f>
        <v/>
      </c>
      <c r="M51" s="60" t="str">
        <f t="array" ref="M51">iferror(index(dna!$J:$J,match($A51,dna!$A:$A,0)))</f>
        <v/>
      </c>
      <c r="N51" t="str">
        <f t="array" ref="N51">iferror(index(stomachs!$G:$G,match($A51,stomachs!$A:$A,0)))</f>
        <v>BST231-14</v>
      </c>
      <c r="O51" t="str">
        <f t="array" ref="O51">iferror(index(stomachs!$J:$J,match($A51,stomachs!$A:$A,0)))</f>
        <v>N</v>
      </c>
      <c r="P51" t="str">
        <f t="array" ref="P51">iferror(index(sea_lice!$G:$G,match($A51,sea_lice!$A:$A,0)))</f>
        <v/>
      </c>
      <c r="Q51" t="str">
        <f t="array" ref="Q51">iferror(index(sea_lice!$J:$J,match($A51,sea_lice!$A:$A,0)))</f>
        <v/>
      </c>
      <c r="R51" s="40" t="str">
        <f t="array" ref="R51">iferror(index(dissected_fish!$F:$F,match($A51,dissected_fish!$A:$A,0)))</f>
        <v>BCA99</v>
      </c>
      <c r="S51" s="40" t="str">
        <f t="array" ref="S51">iferror(index(dissected_fish!$K:$K,match($A51,dissected_fish!$A:$A,0)))</f>
        <v>N</v>
      </c>
      <c r="T51" s="61" t="str">
        <f t="array" ref="T51">index(fish_lab_data!O:O,match(A51,fish_lab_data!C:C,0))</f>
        <v>EJ</v>
      </c>
      <c r="U51" s="61">
        <f t="array" ref="U51">if(A51="","",index(fish_lab_data!X:X,match(A51,fish_lab_data!C:C,0)))</f>
        <v>50</v>
      </c>
    </row>
    <row r="52">
      <c r="A52" t="str">
        <f>fish_lab_data!C52</f>
        <v>U5161</v>
      </c>
      <c r="B52" t="str">
        <f t="array" ref="B52">iferror(index('rna-muscle'!$I:$I,match($A52,'rna-muscle'!$A:$A,0)))</f>
        <v>BRN66M-F4</v>
      </c>
      <c r="C52" t="str">
        <f t="array" ref="C52">iferror(index('rna-muscle'!$L:$L,match($A52,'rna-muscle'!$A:$A,0)))</f>
        <v>N</v>
      </c>
      <c r="D52" t="str">
        <f t="array" ref="D52">iferror(index('rna-gill'!$I:$I,match($A52,'rna-gill'!$A:$A,0)))</f>
        <v>BRN66G-F4</v>
      </c>
      <c r="E52" t="str">
        <f t="array" ref="E52">iferror(index('rna-gill'!$L:$L,match($A52,'rna-gill'!$A:$A,0)))</f>
        <v>N</v>
      </c>
      <c r="F52" t="str">
        <f t="array" ref="F52">iferror(index(fatty_acid!$G:$G,match($A52,fatty_acid!$A:$A,0)))</f>
        <v>BFA9-72</v>
      </c>
      <c r="G52" t="str">
        <f t="array" ref="G52">iferror(index(fatty_acid!$J:$J,match($A52,fatty_acid!$A:$A,0)))</f>
        <v>N</v>
      </c>
      <c r="H52" t="str">
        <f t="array" ref="H52">iferror(index(isotopes!$G:$G,match($A52,isotopes!$A:$A,0)))</f>
        <v>BIS22-25</v>
      </c>
      <c r="I52" t="str">
        <f t="array" ref="I52">iferror(index(isotopes!$J:$J,match($A52,isotopes!$A:$A,0)))</f>
        <v>N</v>
      </c>
      <c r="J52" t="str">
        <f t="array" ref="J52">iferror(index(extra_muscle!$G:$G,match($A52,extra_muscle!$A:$A,0)))</f>
        <v>BXM22-10</v>
      </c>
      <c r="K52" t="str">
        <f t="array" ref="K52">iferror(index(extra_muscle!$J:$J,match($A52,extra_muscle!$A:$A,0)))</f>
        <v>N</v>
      </c>
      <c r="L52" s="59" t="str">
        <f t="array" ref="L52">iferror(index(dna!$G:$G,match($A52,dna!$A:$A,0)))</f>
        <v/>
      </c>
      <c r="M52" s="60" t="str">
        <f t="array" ref="M52">iferror(index(dna!$J:$J,match($A52,dna!$A:$A,0)))</f>
        <v/>
      </c>
      <c r="N52" t="str">
        <f t="array" ref="N52">iferror(index(stomachs!$G:$G,match($A52,stomachs!$A:$A,0)))</f>
        <v>BST231-15</v>
      </c>
      <c r="O52" t="str">
        <f t="array" ref="O52">iferror(index(stomachs!$J:$J,match($A52,stomachs!$A:$A,0)))</f>
        <v>N</v>
      </c>
      <c r="P52" t="str">
        <f t="array" ref="P52">iferror(index(sea_lice!$G:$G,match($A52,sea_lice!$A:$A,0)))</f>
        <v/>
      </c>
      <c r="Q52" t="str">
        <f t="array" ref="Q52">iferror(index(sea_lice!$J:$J,match($A52,sea_lice!$A:$A,0)))</f>
        <v/>
      </c>
      <c r="R52" s="40" t="str">
        <f t="array" ref="R52">iferror(index(dissected_fish!$F:$F,match($A52,dissected_fish!$A:$A,0)))</f>
        <v>BCA99</v>
      </c>
      <c r="S52" s="40" t="str">
        <f t="array" ref="S52">iferror(index(dissected_fish!$K:$K,match($A52,dissected_fish!$A:$A,0)))</f>
        <v>N</v>
      </c>
      <c r="T52" s="61" t="str">
        <f t="array" ref="T52">index(fish_lab_data!O:O,match(A52,fish_lab_data!C:C,0))</f>
        <v>EJ</v>
      </c>
      <c r="U52" s="61">
        <f t="array" ref="U52">if(A52="","",index(fish_lab_data!X:X,match(A52,fish_lab_data!C:C,0)))</f>
        <v>51</v>
      </c>
    </row>
    <row r="53">
      <c r="A53" t="str">
        <f>fish_lab_data!C53</f>
        <v>U5162</v>
      </c>
      <c r="B53" t="str">
        <f t="array" ref="B53">iferror(index('rna-muscle'!$I:$I,match($A53,'rna-muscle'!$A:$A,0)))</f>
        <v>BRN66M-E4</v>
      </c>
      <c r="C53" t="str">
        <f t="array" ref="C53">iferror(index('rna-muscle'!$L:$L,match($A53,'rna-muscle'!$A:$A,0)))</f>
        <v>N</v>
      </c>
      <c r="D53" t="str">
        <f t="array" ref="D53">iferror(index('rna-gill'!$I:$I,match($A53,'rna-gill'!$A:$A,0)))</f>
        <v>BRN66G-E4</v>
      </c>
      <c r="E53" t="str">
        <f t="array" ref="E53">iferror(index('rna-gill'!$L:$L,match($A53,'rna-gill'!$A:$A,0)))</f>
        <v>N</v>
      </c>
      <c r="F53" t="str">
        <f t="array" ref="F53">iferror(index(fatty_acid!$G:$G,match($A53,fatty_acid!$A:$A,0)))</f>
        <v>BFA9-73</v>
      </c>
      <c r="G53" t="str">
        <f t="array" ref="G53">iferror(index(fatty_acid!$J:$J,match($A53,fatty_acid!$A:$A,0)))</f>
        <v>N</v>
      </c>
      <c r="H53" t="str">
        <f t="array" ref="H53">iferror(index(isotopes!$G:$G,match($A53,isotopes!$A:$A,0)))</f>
        <v>BIS22-27</v>
      </c>
      <c r="I53" t="str">
        <f t="array" ref="I53">iferror(index(isotopes!$J:$J,match($A53,isotopes!$A:$A,0)))</f>
        <v>N</v>
      </c>
      <c r="J53" t="str">
        <f t="array" ref="J53">iferror(index(extra_muscle!$G:$G,match($A53,extra_muscle!$A:$A,0)))</f>
        <v>BXM22-11</v>
      </c>
      <c r="K53" t="str">
        <f t="array" ref="K53">iferror(index(extra_muscle!$J:$J,match($A53,extra_muscle!$A:$A,0)))</f>
        <v>N</v>
      </c>
      <c r="L53" s="59" t="str">
        <f t="array" ref="L53">iferror(index(dna!$G:$G,match($A53,dna!$A:$A,0)))</f>
        <v/>
      </c>
      <c r="M53" s="60" t="str">
        <f t="array" ref="M53">iferror(index(dna!$J:$J,match($A53,dna!$A:$A,0)))</f>
        <v/>
      </c>
      <c r="N53" t="str">
        <f t="array" ref="N53">iferror(index(stomachs!$G:$G,match($A53,stomachs!$A:$A,0)))</f>
        <v>BST231-6</v>
      </c>
      <c r="O53" t="str">
        <f t="array" ref="O53">iferror(index(stomachs!$J:$J,match($A53,stomachs!$A:$A,0)))</f>
        <v>N</v>
      </c>
      <c r="P53" t="str">
        <f t="array" ref="P53">iferror(index(sea_lice!$G:$G,match($A53,sea_lice!$A:$A,0)))</f>
        <v/>
      </c>
      <c r="Q53" t="str">
        <f t="array" ref="Q53">iferror(index(sea_lice!$J:$J,match($A53,sea_lice!$A:$A,0)))</f>
        <v/>
      </c>
      <c r="R53" s="40" t="str">
        <f t="array" ref="R53">iferror(index(dissected_fish!$F:$F,match($A53,dissected_fish!$A:$A,0)))</f>
        <v>BCA99</v>
      </c>
      <c r="S53" s="40" t="str">
        <f t="array" ref="S53">iferror(index(dissected_fish!$K:$K,match($A53,dissected_fish!$A:$A,0)))</f>
        <v>N</v>
      </c>
      <c r="T53" s="61" t="str">
        <f t="array" ref="T53">index(fish_lab_data!O:O,match(A53,fish_lab_data!C:C,0))</f>
        <v>EJ</v>
      </c>
      <c r="U53" s="61">
        <f t="array" ref="U53">if(A53="","",index(fish_lab_data!X:X,match(A53,fish_lab_data!C:C,0)))</f>
        <v>52</v>
      </c>
    </row>
    <row r="54">
      <c r="A54" t="str">
        <f>fish_lab_data!C54</f>
        <v>U5163</v>
      </c>
      <c r="B54" t="str">
        <f t="array" ref="B54">iferror(index('rna-muscle'!$I:$I,match($A54,'rna-muscle'!$A:$A,0)))</f>
        <v>BRN66M-D4</v>
      </c>
      <c r="C54" t="str">
        <f t="array" ref="C54">iferror(index('rna-muscle'!$L:$L,match($A54,'rna-muscle'!$A:$A,0)))</f>
        <v>N</v>
      </c>
      <c r="D54" t="str">
        <f t="array" ref="D54">iferror(index('rna-gill'!$I:$I,match($A54,'rna-gill'!$A:$A,0)))</f>
        <v>BRN66G-D4</v>
      </c>
      <c r="E54" t="str">
        <f t="array" ref="E54">iferror(index('rna-gill'!$L:$L,match($A54,'rna-gill'!$A:$A,0)))</f>
        <v>N</v>
      </c>
      <c r="F54" t="str">
        <f t="array" ref="F54">iferror(index(fatty_acid!$G:$G,match($A54,fatty_acid!$A:$A,0)))</f>
        <v>BFA9-74</v>
      </c>
      <c r="G54" t="str">
        <f t="array" ref="G54">iferror(index(fatty_acid!$J:$J,match($A54,fatty_acid!$A:$A,0)))</f>
        <v>N</v>
      </c>
      <c r="H54" t="str">
        <f t="array" ref="H54">iferror(index(isotopes!$G:$G,match($A54,isotopes!$A:$A,0)))</f>
        <v>BIS22-29</v>
      </c>
      <c r="I54" t="str">
        <f t="array" ref="I54">iferror(index(isotopes!$J:$J,match($A54,isotopes!$A:$A,0)))</f>
        <v>N</v>
      </c>
      <c r="J54" t="str">
        <f t="array" ref="J54">iferror(index(extra_muscle!$G:$G,match($A54,extra_muscle!$A:$A,0)))</f>
        <v>BXM22-12</v>
      </c>
      <c r="K54" t="str">
        <f t="array" ref="K54">iferror(index(extra_muscle!$J:$J,match($A54,extra_muscle!$A:$A,0)))</f>
        <v>N</v>
      </c>
      <c r="L54" s="59" t="str">
        <f t="array" ref="L54">iferror(index(dna!$G:$G,match($A54,dna!$A:$A,0)))</f>
        <v/>
      </c>
      <c r="M54" s="60" t="str">
        <f t="array" ref="M54">iferror(index(dna!$J:$J,match($A54,dna!$A:$A,0)))</f>
        <v/>
      </c>
      <c r="N54" t="str">
        <f t="array" ref="N54">iferror(index(stomachs!$G:$G,match($A54,stomachs!$A:$A,0)))</f>
        <v>BST231-7</v>
      </c>
      <c r="O54" t="str">
        <f t="array" ref="O54">iferror(index(stomachs!$J:$J,match($A54,stomachs!$A:$A,0)))</f>
        <v>N</v>
      </c>
      <c r="P54" t="str">
        <f t="array" ref="P54">iferror(index(sea_lice!$G:$G,match($A54,sea_lice!$A:$A,0)))</f>
        <v/>
      </c>
      <c r="Q54" t="str">
        <f t="array" ref="Q54">iferror(index(sea_lice!$J:$J,match($A54,sea_lice!$A:$A,0)))</f>
        <v/>
      </c>
      <c r="R54" s="40" t="str">
        <f t="array" ref="R54">iferror(index(dissected_fish!$F:$F,match($A54,dissected_fish!$A:$A,0)))</f>
        <v>BCA99</v>
      </c>
      <c r="S54" s="40" t="str">
        <f t="array" ref="S54">iferror(index(dissected_fish!$K:$K,match($A54,dissected_fish!$A:$A,0)))</f>
        <v>N</v>
      </c>
      <c r="T54" s="61" t="str">
        <f t="array" ref="T54">index(fish_lab_data!O:O,match(A54,fish_lab_data!C:C,0))</f>
        <v>EJ</v>
      </c>
      <c r="U54" s="61">
        <f t="array" ref="U54">if(A54="","",index(fish_lab_data!X:X,match(A54,fish_lab_data!C:C,0)))</f>
        <v>53</v>
      </c>
    </row>
    <row r="55">
      <c r="A55" t="str">
        <f>fish_lab_data!C55</f>
        <v>U5164</v>
      </c>
      <c r="B55" t="str">
        <f t="array" ref="B55">iferror(index('rna-muscle'!$I:$I,match($A55,'rna-muscle'!$A:$A,0)))</f>
        <v>BRN66M-C4</v>
      </c>
      <c r="C55" t="str">
        <f t="array" ref="C55">iferror(index('rna-muscle'!$L:$L,match($A55,'rna-muscle'!$A:$A,0)))</f>
        <v>N</v>
      </c>
      <c r="D55" t="str">
        <f t="array" ref="D55">iferror(index('rna-gill'!$I:$I,match($A55,'rna-gill'!$A:$A,0)))</f>
        <v>BRN66G-C4</v>
      </c>
      <c r="E55" t="str">
        <f t="array" ref="E55">iferror(index('rna-gill'!$L:$L,match($A55,'rna-gill'!$A:$A,0)))</f>
        <v>N</v>
      </c>
      <c r="F55" t="str">
        <f t="array" ref="F55">iferror(index(fatty_acid!$G:$G,match($A55,fatty_acid!$A:$A,0)))</f>
        <v>BFA9-76</v>
      </c>
      <c r="G55" t="str">
        <f t="array" ref="G55">iferror(index(fatty_acid!$J:$J,match($A55,fatty_acid!$A:$A,0)))</f>
        <v>N</v>
      </c>
      <c r="H55" t="str">
        <f t="array" ref="H55">iferror(index(isotopes!$G:$G,match($A55,isotopes!$A:$A,0)))</f>
        <v>BIS22-32</v>
      </c>
      <c r="I55" t="str">
        <f t="array" ref="I55">iferror(index(isotopes!$J:$J,match($A55,isotopes!$A:$A,0)))</f>
        <v>N</v>
      </c>
      <c r="J55" t="str">
        <f t="array" ref="J55">iferror(index(extra_muscle!$G:$G,match($A55,extra_muscle!$A:$A,0)))</f>
        <v>BXM22-13</v>
      </c>
      <c r="K55" t="str">
        <f t="array" ref="K55">iferror(index(extra_muscle!$J:$J,match($A55,extra_muscle!$A:$A,0)))</f>
        <v>N</v>
      </c>
      <c r="L55" s="59" t="str">
        <f t="array" ref="L55">iferror(index(dna!$G:$G,match($A55,dna!$A:$A,0)))</f>
        <v/>
      </c>
      <c r="M55" s="60" t="str">
        <f t="array" ref="M55">iferror(index(dna!$J:$J,match($A55,dna!$A:$A,0)))</f>
        <v/>
      </c>
      <c r="N55" t="str">
        <f t="array" ref="N55">iferror(index(stomachs!$G:$G,match($A55,stomachs!$A:$A,0)))</f>
        <v>BST231-8</v>
      </c>
      <c r="O55" t="str">
        <f t="array" ref="O55">iferror(index(stomachs!$J:$J,match($A55,stomachs!$A:$A,0)))</f>
        <v>N</v>
      </c>
      <c r="P55" t="str">
        <f t="array" ref="P55">iferror(index(sea_lice!$G:$G,match($A55,sea_lice!$A:$A,0)))</f>
        <v/>
      </c>
      <c r="Q55" t="str">
        <f t="array" ref="Q55">iferror(index(sea_lice!$J:$J,match($A55,sea_lice!$A:$A,0)))</f>
        <v/>
      </c>
      <c r="R55" s="40" t="str">
        <f t="array" ref="R55">iferror(index(dissected_fish!$F:$F,match($A55,dissected_fish!$A:$A,0)))</f>
        <v>BCA99</v>
      </c>
      <c r="S55" s="40" t="str">
        <f t="array" ref="S55">iferror(index(dissected_fish!$K:$K,match($A55,dissected_fish!$A:$A,0)))</f>
        <v>N</v>
      </c>
      <c r="T55" s="61" t="str">
        <f t="array" ref="T55">index(fish_lab_data!O:O,match(A55,fish_lab_data!C:C,0))</f>
        <v>EJ</v>
      </c>
      <c r="U55" s="61">
        <f t="array" ref="U55">if(A55="","",index(fish_lab_data!X:X,match(A55,fish_lab_data!C:C,0)))</f>
        <v>54</v>
      </c>
    </row>
    <row r="56">
      <c r="A56" t="str">
        <f>fish_lab_data!C56</f>
        <v>U5165</v>
      </c>
      <c r="B56" t="str">
        <f t="array" ref="B56">iferror(index('rna-muscle'!$I:$I,match($A56,'rna-muscle'!$A:$A,0)))</f>
        <v>BRN66M-B4</v>
      </c>
      <c r="C56" t="str">
        <f t="array" ref="C56">iferror(index('rna-muscle'!$L:$L,match($A56,'rna-muscle'!$A:$A,0)))</f>
        <v>N</v>
      </c>
      <c r="D56" t="str">
        <f t="array" ref="D56">iferror(index('rna-gill'!$I:$I,match($A56,'rna-gill'!$A:$A,0)))</f>
        <v>BRN66G-B4</v>
      </c>
      <c r="E56" t="str">
        <f t="array" ref="E56">iferror(index('rna-gill'!$L:$L,match($A56,'rna-gill'!$A:$A,0)))</f>
        <v>N</v>
      </c>
      <c r="F56" t="str">
        <f t="array" ref="F56">iferror(index(fatty_acid!$G:$G,match($A56,fatty_acid!$A:$A,0)))</f>
        <v>BFA9-77</v>
      </c>
      <c r="G56" t="str">
        <f t="array" ref="G56">iferror(index(fatty_acid!$J:$J,match($A56,fatty_acid!$A:$A,0)))</f>
        <v>N</v>
      </c>
      <c r="H56" t="str">
        <f t="array" ref="H56">iferror(index(isotopes!$G:$G,match($A56,isotopes!$A:$A,0)))</f>
        <v>BIS22-34</v>
      </c>
      <c r="I56" t="str">
        <f t="array" ref="I56">iferror(index(isotopes!$J:$J,match($A56,isotopes!$A:$A,0)))</f>
        <v>N</v>
      </c>
      <c r="J56" t="str">
        <f t="array" ref="J56">iferror(index(extra_muscle!$G:$G,match($A56,extra_muscle!$A:$A,0)))</f>
        <v>BXM22-14</v>
      </c>
      <c r="K56" t="str">
        <f t="array" ref="K56">iferror(index(extra_muscle!$J:$J,match($A56,extra_muscle!$A:$A,0)))</f>
        <v>N</v>
      </c>
      <c r="L56" s="59" t="str">
        <f t="array" ref="L56">iferror(index(dna!$G:$G,match($A56,dna!$A:$A,0)))</f>
        <v/>
      </c>
      <c r="M56" s="60" t="str">
        <f t="array" ref="M56">iferror(index(dna!$J:$J,match($A56,dna!$A:$A,0)))</f>
        <v/>
      </c>
      <c r="N56" t="str">
        <f t="array" ref="N56">iferror(index(stomachs!$G:$G,match($A56,stomachs!$A:$A,0)))</f>
        <v>BST231-9</v>
      </c>
      <c r="O56" t="str">
        <f t="array" ref="O56">iferror(index(stomachs!$J:$J,match($A56,stomachs!$A:$A,0)))</f>
        <v>N</v>
      </c>
      <c r="P56" t="str">
        <f t="array" ref="P56">iferror(index(sea_lice!$G:$G,match($A56,sea_lice!$A:$A,0)))</f>
        <v/>
      </c>
      <c r="Q56" t="str">
        <f t="array" ref="Q56">iferror(index(sea_lice!$J:$J,match($A56,sea_lice!$A:$A,0)))</f>
        <v/>
      </c>
      <c r="R56" s="40" t="str">
        <f t="array" ref="R56">iferror(index(dissected_fish!$F:$F,match($A56,dissected_fish!$A:$A,0)))</f>
        <v>BCA99</v>
      </c>
      <c r="S56" s="40" t="str">
        <f t="array" ref="S56">iferror(index(dissected_fish!$K:$K,match($A56,dissected_fish!$A:$A,0)))</f>
        <v>N</v>
      </c>
      <c r="T56" s="61" t="str">
        <f t="array" ref="T56">index(fish_lab_data!O:O,match(A56,fish_lab_data!C:C,0))</f>
        <v>EJ</v>
      </c>
      <c r="U56" s="61">
        <f t="array" ref="U56">if(A56="","",index(fish_lab_data!X:X,match(A56,fish_lab_data!C:C,0)))</f>
        <v>55</v>
      </c>
    </row>
    <row r="57">
      <c r="A57" t="str">
        <f>fish_lab_data!C57</f>
        <v>U5166</v>
      </c>
      <c r="B57" t="str">
        <f t="array" ref="B57">iferror(index('rna-muscle'!$I:$I,match($A57,'rna-muscle'!$A:$A,0)))</f>
        <v>BRN66M-A4</v>
      </c>
      <c r="C57" t="str">
        <f t="array" ref="C57">iferror(index('rna-muscle'!$L:$L,match($A57,'rna-muscle'!$A:$A,0)))</f>
        <v>N</v>
      </c>
      <c r="D57" t="str">
        <f t="array" ref="D57">iferror(index('rna-gill'!$I:$I,match($A57,'rna-gill'!$A:$A,0)))</f>
        <v>BRN66G-A4</v>
      </c>
      <c r="E57" t="str">
        <f t="array" ref="E57">iferror(index('rna-gill'!$L:$L,match($A57,'rna-gill'!$A:$A,0)))</f>
        <v>N</v>
      </c>
      <c r="F57" t="str">
        <f t="array" ref="F57">iferror(index(fatty_acid!$G:$G,match($A57,fatty_acid!$A:$A,0)))</f>
        <v>BFA9-78</v>
      </c>
      <c r="G57" t="str">
        <f t="array" ref="G57">iferror(index(fatty_acid!$J:$J,match($A57,fatty_acid!$A:$A,0)))</f>
        <v>N</v>
      </c>
      <c r="H57" t="str">
        <f t="array" ref="H57">iferror(index(isotopes!$G:$G,match($A57,isotopes!$A:$A,0)))</f>
        <v>BIS22-36</v>
      </c>
      <c r="I57" t="str">
        <f t="array" ref="I57">iferror(index(isotopes!$J:$J,match($A57,isotopes!$A:$A,0)))</f>
        <v>N</v>
      </c>
      <c r="J57" t="str">
        <f t="array" ref="J57">iferror(index(extra_muscle!$G:$G,match($A57,extra_muscle!$A:$A,0)))</f>
        <v>BXM22-15</v>
      </c>
      <c r="K57" t="str">
        <f t="array" ref="K57">iferror(index(extra_muscle!$J:$J,match($A57,extra_muscle!$A:$A,0)))</f>
        <v>N</v>
      </c>
      <c r="L57" s="59" t="str">
        <f t="array" ref="L57">iferror(index(dna!$G:$G,match($A57,dna!$A:$A,0)))</f>
        <v/>
      </c>
      <c r="M57" s="60" t="str">
        <f t="array" ref="M57">iferror(index(dna!$J:$J,match($A57,dna!$A:$A,0)))</f>
        <v/>
      </c>
      <c r="N57" t="str">
        <f t="array" ref="N57">iferror(index(stomachs!$G:$G,match($A57,stomachs!$A:$A,0)))</f>
        <v>BST231-10</v>
      </c>
      <c r="O57" t="str">
        <f t="array" ref="O57">iferror(index(stomachs!$J:$J,match($A57,stomachs!$A:$A,0)))</f>
        <v>N</v>
      </c>
      <c r="P57" t="str">
        <f t="array" ref="P57">iferror(index(sea_lice!$G:$G,match($A57,sea_lice!$A:$A,0)))</f>
        <v/>
      </c>
      <c r="Q57" t="str">
        <f t="array" ref="Q57">iferror(index(sea_lice!$J:$J,match($A57,sea_lice!$A:$A,0)))</f>
        <v/>
      </c>
      <c r="R57" s="40" t="str">
        <f t="array" ref="R57">iferror(index(dissected_fish!$F:$F,match($A57,dissected_fish!$A:$A,0)))</f>
        <v>BCA99</v>
      </c>
      <c r="S57" s="40" t="str">
        <f t="array" ref="S57">iferror(index(dissected_fish!$K:$K,match($A57,dissected_fish!$A:$A,0)))</f>
        <v>N</v>
      </c>
      <c r="T57" s="61" t="str">
        <f t="array" ref="T57">index(fish_lab_data!O:O,match(A57,fish_lab_data!C:C,0))</f>
        <v>EJ</v>
      </c>
      <c r="U57" s="61">
        <f t="array" ref="U57">if(A57="","",index(fish_lab_data!X:X,match(A57,fish_lab_data!C:C,0)))</f>
        <v>56</v>
      </c>
    </row>
    <row r="58">
      <c r="A58" t="str">
        <f>fish_lab_data!C58</f>
        <v>U5167</v>
      </c>
      <c r="B58" t="str">
        <f t="array" ref="B58">iferror(index('rna-muscle'!$I:$I,match($A58,'rna-muscle'!$A:$A,0)))</f>
        <v>BRN66M-G6</v>
      </c>
      <c r="C58" t="str">
        <f t="array" ref="C58">iferror(index('rna-muscle'!$L:$L,match($A58,'rna-muscle'!$A:$A,0)))</f>
        <v>N</v>
      </c>
      <c r="D58" t="str">
        <f t="array" ref="D58">iferror(index('rna-gill'!$I:$I,match($A58,'rna-gill'!$A:$A,0)))</f>
        <v>BRN66G-G6</v>
      </c>
      <c r="E58" t="str">
        <f t="array" ref="E58">iferror(index('rna-gill'!$L:$L,match($A58,'rna-gill'!$A:$A,0)))</f>
        <v>N</v>
      </c>
      <c r="F58" t="str">
        <f t="array" ref="F58">iferror(index(fatty_acid!$G:$G,match($A58,fatty_acid!$A:$A,0)))</f>
        <v>BFA9-79</v>
      </c>
      <c r="G58" t="str">
        <f t="array" ref="G58">iferror(index(fatty_acid!$J:$J,match($A58,fatty_acid!$A:$A,0)))</f>
        <v>N</v>
      </c>
      <c r="H58" t="str">
        <f t="array" ref="H58">iferror(index(isotopes!$G:$G,match($A58,isotopes!$A:$A,0)))</f>
        <v>BIS22-38</v>
      </c>
      <c r="I58" t="str">
        <f t="array" ref="I58">iferror(index(isotopes!$J:$J,match($A58,isotopes!$A:$A,0)))</f>
        <v>N</v>
      </c>
      <c r="J58" t="str">
        <f t="array" ref="J58">iferror(index(extra_muscle!$G:$G,match($A58,extra_muscle!$A:$A,0)))</f>
        <v>BXM22-17</v>
      </c>
      <c r="K58" t="str">
        <f t="array" ref="K58">iferror(index(extra_muscle!$J:$J,match($A58,extra_muscle!$A:$A,0)))</f>
        <v>N</v>
      </c>
      <c r="L58" s="59" t="str">
        <f t="array" ref="L58">iferror(index(dna!$G:$G,match($A58,dna!$A:$A,0)))</f>
        <v/>
      </c>
      <c r="M58" s="60" t="str">
        <f t="array" ref="M58">iferror(index(dna!$J:$J,match($A58,dna!$A:$A,0)))</f>
        <v/>
      </c>
      <c r="N58" t="str">
        <f t="array" ref="N58">iferror(index(stomachs!$G:$G,match($A58,stomachs!$A:$A,0)))</f>
        <v>BST231-1</v>
      </c>
      <c r="O58" t="str">
        <f t="array" ref="O58">iferror(index(stomachs!$J:$J,match($A58,stomachs!$A:$A,0)))</f>
        <v>N</v>
      </c>
      <c r="P58" t="str">
        <f t="array" ref="P58">iferror(index(sea_lice!$G:$G,match($A58,sea_lice!$A:$A,0)))</f>
        <v/>
      </c>
      <c r="Q58" t="str">
        <f t="array" ref="Q58">iferror(index(sea_lice!$J:$J,match($A58,sea_lice!$A:$A,0)))</f>
        <v/>
      </c>
      <c r="R58" s="40" t="str">
        <f t="array" ref="R58">iferror(index(dissected_fish!$F:$F,match($A58,dissected_fish!$A:$A,0)))</f>
        <v>BCA99</v>
      </c>
      <c r="S58" s="40" t="str">
        <f t="array" ref="S58">iferror(index(dissected_fish!$K:$K,match($A58,dissected_fish!$A:$A,0)))</f>
        <v>N</v>
      </c>
      <c r="T58" s="61" t="str">
        <f t="array" ref="T58">index(fish_lab_data!O:O,match(A58,fish_lab_data!C:C,0))</f>
        <v>EJ</v>
      </c>
      <c r="U58" s="61">
        <f t="array" ref="U58">if(A58="","",index(fish_lab_data!X:X,match(A58,fish_lab_data!C:C,0)))</f>
        <v>57</v>
      </c>
    </row>
    <row r="59">
      <c r="A59" t="str">
        <f>fish_lab_data!C59</f>
        <v>U5168</v>
      </c>
      <c r="B59" t="str">
        <f t="array" ref="B59">iferror(index('rna-muscle'!$I:$I,match($A59,'rna-muscle'!$A:$A,0)))</f>
        <v>BRN66M-F6</v>
      </c>
      <c r="C59" t="str">
        <f t="array" ref="C59">iferror(index('rna-muscle'!$L:$L,match($A59,'rna-muscle'!$A:$A,0)))</f>
        <v>N</v>
      </c>
      <c r="D59" t="str">
        <f t="array" ref="D59">iferror(index('rna-gill'!$I:$I,match($A59,'rna-gill'!$A:$A,0)))</f>
        <v>BRN66G-F6</v>
      </c>
      <c r="E59" t="str">
        <f t="array" ref="E59">iferror(index('rna-gill'!$L:$L,match($A59,'rna-gill'!$A:$A,0)))</f>
        <v>N</v>
      </c>
      <c r="F59" t="str">
        <f t="array" ref="F59">iferror(index(fatty_acid!$G:$G,match($A59,fatty_acid!$A:$A,0)))</f>
        <v>BFA9-80</v>
      </c>
      <c r="G59" t="str">
        <f t="array" ref="G59">iferror(index(fatty_acid!$J:$J,match($A59,fatty_acid!$A:$A,0)))</f>
        <v>N</v>
      </c>
      <c r="H59" t="str">
        <f t="array" ref="H59">iferror(index(isotopes!$G:$G,match($A59,isotopes!$A:$A,0)))</f>
        <v>BIS22-40</v>
      </c>
      <c r="I59" t="str">
        <f t="array" ref="I59">iferror(index(isotopes!$J:$J,match($A59,isotopes!$A:$A,0)))</f>
        <v>N</v>
      </c>
      <c r="J59" t="str">
        <f t="array" ref="J59">iferror(index(extra_muscle!$G:$G,match($A59,extra_muscle!$A:$A,0)))</f>
        <v>BXM22-18</v>
      </c>
      <c r="K59" t="str">
        <f t="array" ref="K59">iferror(index(extra_muscle!$J:$J,match($A59,extra_muscle!$A:$A,0)))</f>
        <v>N</v>
      </c>
      <c r="L59" s="59" t="str">
        <f t="array" ref="L59">iferror(index(dna!$G:$G,match($A59,dna!$A:$A,0)))</f>
        <v/>
      </c>
      <c r="M59" s="60" t="str">
        <f t="array" ref="M59">iferror(index(dna!$J:$J,match($A59,dna!$A:$A,0)))</f>
        <v/>
      </c>
      <c r="N59" t="str">
        <f t="array" ref="N59">iferror(index(stomachs!$G:$G,match($A59,stomachs!$A:$A,0)))</f>
        <v>BST231-2</v>
      </c>
      <c r="O59" t="str">
        <f t="array" ref="O59">iferror(index(stomachs!$J:$J,match($A59,stomachs!$A:$A,0)))</f>
        <v>N</v>
      </c>
      <c r="P59" t="str">
        <f t="array" ref="P59">iferror(index(sea_lice!$G:$G,match($A59,sea_lice!$A:$A,0)))</f>
        <v/>
      </c>
      <c r="Q59" t="str">
        <f t="array" ref="Q59">iferror(index(sea_lice!$J:$J,match($A59,sea_lice!$A:$A,0)))</f>
        <v/>
      </c>
      <c r="R59" s="40" t="str">
        <f t="array" ref="R59">iferror(index(dissected_fish!$F:$F,match($A59,dissected_fish!$A:$A,0)))</f>
        <v>BCA99</v>
      </c>
      <c r="S59" s="40" t="str">
        <f t="array" ref="S59">iferror(index(dissected_fish!$K:$K,match($A59,dissected_fish!$A:$A,0)))</f>
        <v>N</v>
      </c>
      <c r="T59" s="61" t="str">
        <f t="array" ref="T59">index(fish_lab_data!O:O,match(A59,fish_lab_data!C:C,0))</f>
        <v>EJ</v>
      </c>
      <c r="U59" s="61">
        <f t="array" ref="U59">if(A59="","",index(fish_lab_data!X:X,match(A59,fish_lab_data!C:C,0)))</f>
        <v>58</v>
      </c>
    </row>
    <row r="60">
      <c r="A60" t="str">
        <f>fish_lab_data!C60</f>
        <v>U5169</v>
      </c>
      <c r="B60" t="str">
        <f t="array" ref="B60">iferror(index('rna-muscle'!$I:$I,match($A60,'rna-muscle'!$A:$A,0)))</f>
        <v>BRN66M-E6</v>
      </c>
      <c r="C60" t="str">
        <f t="array" ref="C60">iferror(index('rna-muscle'!$L:$L,match($A60,'rna-muscle'!$A:$A,0)))</f>
        <v>N</v>
      </c>
      <c r="D60" t="str">
        <f t="array" ref="D60">iferror(index('rna-gill'!$I:$I,match($A60,'rna-gill'!$A:$A,0)))</f>
        <v>BRN66G-E6</v>
      </c>
      <c r="E60" t="str">
        <f t="array" ref="E60">iferror(index('rna-gill'!$L:$L,match($A60,'rna-gill'!$A:$A,0)))</f>
        <v>N</v>
      </c>
      <c r="F60" t="str">
        <f t="array" ref="F60">iferror(index(fatty_acid!$G:$G,match($A60,fatty_acid!$A:$A,0)))</f>
        <v>BFA9-81</v>
      </c>
      <c r="G60" t="str">
        <f t="array" ref="G60">iferror(index(fatty_acid!$J:$J,match($A60,fatty_acid!$A:$A,0)))</f>
        <v>N</v>
      </c>
      <c r="H60" t="str">
        <f t="array" ref="H60">iferror(index(isotopes!$G:$G,match($A60,isotopes!$A:$A,0)))</f>
        <v>BIS22-41</v>
      </c>
      <c r="I60" t="str">
        <f t="array" ref="I60">iferror(index(isotopes!$J:$J,match($A60,isotopes!$A:$A,0)))</f>
        <v>N</v>
      </c>
      <c r="J60" t="str">
        <f t="array" ref="J60">iferror(index(extra_muscle!$G:$G,match($A60,extra_muscle!$A:$A,0)))</f>
        <v>BXM22-19</v>
      </c>
      <c r="K60" t="str">
        <f t="array" ref="K60">iferror(index(extra_muscle!$J:$J,match($A60,extra_muscle!$A:$A,0)))</f>
        <v>N</v>
      </c>
      <c r="L60" s="59" t="str">
        <f t="array" ref="L60">iferror(index(dna!$G:$G,match($A60,dna!$A:$A,0)))</f>
        <v/>
      </c>
      <c r="M60" s="60" t="str">
        <f t="array" ref="M60">iferror(index(dna!$J:$J,match($A60,dna!$A:$A,0)))</f>
        <v/>
      </c>
      <c r="N60" t="str">
        <f t="array" ref="N60">iferror(index(stomachs!$G:$G,match($A60,stomachs!$A:$A,0)))</f>
        <v>BST231-3</v>
      </c>
      <c r="O60" t="str">
        <f t="array" ref="O60">iferror(index(stomachs!$J:$J,match($A60,stomachs!$A:$A,0)))</f>
        <v>N</v>
      </c>
      <c r="P60" t="str">
        <f t="array" ref="P60">iferror(index(sea_lice!$G:$G,match($A60,sea_lice!$A:$A,0)))</f>
        <v/>
      </c>
      <c r="Q60" t="str">
        <f t="array" ref="Q60">iferror(index(sea_lice!$J:$J,match($A60,sea_lice!$A:$A,0)))</f>
        <v/>
      </c>
      <c r="R60" s="40" t="str">
        <f t="array" ref="R60">iferror(index(dissected_fish!$F:$F,match($A60,dissected_fish!$A:$A,0)))</f>
        <v>BCA99</v>
      </c>
      <c r="S60" s="40" t="str">
        <f t="array" ref="S60">iferror(index(dissected_fish!$K:$K,match($A60,dissected_fish!$A:$A,0)))</f>
        <v>N</v>
      </c>
      <c r="T60" s="61" t="str">
        <f t="array" ref="T60">index(fish_lab_data!O:O,match(A60,fish_lab_data!C:C,0))</f>
        <v>EJ</v>
      </c>
      <c r="U60" s="61">
        <f t="array" ref="U60">if(A60="","",index(fish_lab_data!X:X,match(A60,fish_lab_data!C:C,0)))</f>
        <v>59</v>
      </c>
    </row>
    <row r="61">
      <c r="A61" t="str">
        <f>fish_lab_data!C61</f>
        <v>U5170</v>
      </c>
      <c r="B61" t="str">
        <f t="array" ref="B61">iferror(index('rna-muscle'!$I:$I,match($A61,'rna-muscle'!$A:$A,0)))</f>
        <v>BRN66M-D6</v>
      </c>
      <c r="C61" t="str">
        <f t="array" ref="C61">iferror(index('rna-muscle'!$L:$L,match($A61,'rna-muscle'!$A:$A,0)))</f>
        <v>N</v>
      </c>
      <c r="D61" t="str">
        <f t="array" ref="D61">iferror(index('rna-gill'!$I:$I,match($A61,'rna-gill'!$A:$A,0)))</f>
        <v>BRN66G-D6</v>
      </c>
      <c r="E61" t="str">
        <f t="array" ref="E61">iferror(index('rna-gill'!$L:$L,match($A61,'rna-gill'!$A:$A,0)))</f>
        <v>N</v>
      </c>
      <c r="F61" t="str">
        <f t="array" ref="F61">iferror(index(fatty_acid!$G:$G,match($A61,fatty_acid!$A:$A,0)))</f>
        <v>BFA9-82</v>
      </c>
      <c r="G61" t="str">
        <f t="array" ref="G61">iferror(index(fatty_acid!$J:$J,match($A61,fatty_acid!$A:$A,0)))</f>
        <v>N</v>
      </c>
      <c r="H61" t="str">
        <f t="array" ref="H61">iferror(index(isotopes!$G:$G,match($A61,isotopes!$A:$A,0)))</f>
        <v>BIS22-43</v>
      </c>
      <c r="I61" t="str">
        <f t="array" ref="I61">iferror(index(isotopes!$J:$J,match($A61,isotopes!$A:$A,0)))</f>
        <v>N</v>
      </c>
      <c r="J61" t="str">
        <f t="array" ref="J61">iferror(index(extra_muscle!$G:$G,match($A61,extra_muscle!$A:$A,0)))</f>
        <v>BXM22-20</v>
      </c>
      <c r="K61" t="str">
        <f t="array" ref="K61">iferror(index(extra_muscle!$J:$J,match($A61,extra_muscle!$A:$A,0)))</f>
        <v>N</v>
      </c>
      <c r="L61" s="59" t="str">
        <f t="array" ref="L61">iferror(index(dna!$G:$G,match($A61,dna!$A:$A,0)))</f>
        <v/>
      </c>
      <c r="M61" s="60" t="str">
        <f t="array" ref="M61">iferror(index(dna!$J:$J,match($A61,dna!$A:$A,0)))</f>
        <v/>
      </c>
      <c r="N61" t="str">
        <f t="array" ref="N61">iferror(index(stomachs!$G:$G,match($A61,stomachs!$A:$A,0)))</f>
        <v>BST231-4</v>
      </c>
      <c r="O61" t="str">
        <f t="array" ref="O61">iferror(index(stomachs!$J:$J,match($A61,stomachs!$A:$A,0)))</f>
        <v>N</v>
      </c>
      <c r="P61" t="str">
        <f t="array" ref="P61">iferror(index(sea_lice!$G:$G,match($A61,sea_lice!$A:$A,0)))</f>
        <v/>
      </c>
      <c r="Q61" t="str">
        <f t="array" ref="Q61">iferror(index(sea_lice!$J:$J,match($A61,sea_lice!$A:$A,0)))</f>
        <v/>
      </c>
      <c r="R61" s="40" t="str">
        <f t="array" ref="R61">iferror(index(dissected_fish!$F:$F,match($A61,dissected_fish!$A:$A,0)))</f>
        <v>BCA99</v>
      </c>
      <c r="S61" s="40" t="str">
        <f t="array" ref="S61">iferror(index(dissected_fish!$K:$K,match($A61,dissected_fish!$A:$A,0)))</f>
        <v>N</v>
      </c>
      <c r="T61" s="61" t="str">
        <f t="array" ref="T61">index(fish_lab_data!O:O,match(A61,fish_lab_data!C:C,0))</f>
        <v>EJ</v>
      </c>
      <c r="U61" s="61">
        <f t="array" ref="U61">if(A61="","",index(fish_lab_data!X:X,match(A61,fish_lab_data!C:C,0)))</f>
        <v>60</v>
      </c>
    </row>
    <row r="62">
      <c r="A62" t="str">
        <f>fish_lab_data!C62</f>
        <v>U5151</v>
      </c>
      <c r="B62" t="str">
        <f t="array" ref="B62">iferror(index('rna-muscle'!$I:$I,match($A62,'rna-muscle'!$A:$A,0)))</f>
        <v>BRN66M-H3</v>
      </c>
      <c r="C62" t="str">
        <f t="array" ref="C62">iferror(index('rna-muscle'!$L:$L,match($A62,'rna-muscle'!$A:$A,0)))</f>
        <v>N</v>
      </c>
      <c r="D62" t="str">
        <f t="array" ref="D62">iferror(index('rna-gill'!$I:$I,match($A62,'rna-gill'!$A:$A,0)))</f>
        <v>BRN66G-H3</v>
      </c>
      <c r="E62" t="str">
        <f t="array" ref="E62">iferror(index('rna-gill'!$L:$L,match($A62,'rna-gill'!$A:$A,0)))</f>
        <v>N</v>
      </c>
      <c r="F62" t="str">
        <f t="array" ref="F62">iferror(index(fatty_acid!$G:$G,match($A62,fatty_acid!$A:$A,0)))</f>
        <v>BFA7-17</v>
      </c>
      <c r="G62" t="str">
        <f t="array" ref="G62">iferror(index(fatty_acid!$J:$J,match($A62,fatty_acid!$A:$A,0)))</f>
        <v>N</v>
      </c>
      <c r="H62" t="str">
        <f t="array" ref="H62">iferror(index(isotopes!$G:$G,match($A62,isotopes!$A:$A,0)))</f>
        <v>BIS23-1</v>
      </c>
      <c r="I62" t="str">
        <f t="array" ref="I62">iferror(index(isotopes!$J:$J,match($A62,isotopes!$A:$A,0)))</f>
        <v>N</v>
      </c>
      <c r="J62" t="str">
        <f t="array" ref="J62">iferror(index(extra_muscle!$G:$G,match($A62,extra_muscle!$A:$A,0)))</f>
        <v>BXM16-33</v>
      </c>
      <c r="K62" t="str">
        <f t="array" ref="K62">iferror(index(extra_muscle!$J:$J,match($A62,extra_muscle!$A:$A,0)))</f>
        <v>N</v>
      </c>
      <c r="L62" s="59" t="str">
        <f t="array" ref="L62">iferror(index(dna!$G:$G,match($A62,dna!$A:$A,0)))</f>
        <v/>
      </c>
      <c r="M62" s="60" t="str">
        <f t="array" ref="M62">iferror(index(dna!$J:$J,match($A62,dna!$A:$A,0)))</f>
        <v/>
      </c>
      <c r="N62" t="str">
        <f t="array" ref="N62">iferror(index(stomachs!$G:$G,match($A62,stomachs!$A:$A,0)))</f>
        <v>BST232-1</v>
      </c>
      <c r="O62" t="str">
        <f t="array" ref="O62">iferror(index(stomachs!$J:$J,match($A62,stomachs!$A:$A,0)))</f>
        <v>N</v>
      </c>
      <c r="P62" t="str">
        <f t="array" ref="P62">iferror(index(sea_lice!$G:$G,match($A62,sea_lice!$A:$A,0)))</f>
        <v/>
      </c>
      <c r="Q62" t="str">
        <f t="array" ref="Q62">iferror(index(sea_lice!$J:$J,match($A62,sea_lice!$A:$A,0)))</f>
        <v/>
      </c>
      <c r="R62" s="40" t="str">
        <f t="array" ref="R62">iferror(index(dissected_fish!$F:$F,match($A62,dissected_fish!$A:$A,0)))</f>
        <v>BCA99</v>
      </c>
      <c r="S62" s="40" t="str">
        <f t="array" ref="S62">iferror(index(dissected_fish!$K:$K,match($A62,dissected_fish!$A:$A,0)))</f>
        <v>N</v>
      </c>
      <c r="T62" s="61" t="str">
        <f t="array" ref="T62">index(fish_lab_data!O:O,match(A62,fish_lab_data!C:C,0))</f>
        <v>JG</v>
      </c>
      <c r="U62" s="61">
        <f t="array" ref="U62">if(A62="","",index(fish_lab_data!X:X,match(A62,fish_lab_data!C:C,0)))</f>
        <v>61</v>
      </c>
    </row>
    <row r="63">
      <c r="A63" t="str">
        <f>fish_lab_data!C63</f>
        <v>U5152</v>
      </c>
      <c r="B63" t="str">
        <f t="array" ref="B63">iferror(index('rna-muscle'!$I:$I,match($A63,'rna-muscle'!$A:$A,0)))</f>
        <v>BRN66M-G3</v>
      </c>
      <c r="C63" t="str">
        <f t="array" ref="C63">iferror(index('rna-muscle'!$L:$L,match($A63,'rna-muscle'!$A:$A,0)))</f>
        <v>N</v>
      </c>
      <c r="D63" t="str">
        <f t="array" ref="D63">iferror(index('rna-gill'!$I:$I,match($A63,'rna-gill'!$A:$A,0)))</f>
        <v>BRN66G-G3</v>
      </c>
      <c r="E63" t="str">
        <f t="array" ref="E63">iferror(index('rna-gill'!$L:$L,match($A63,'rna-gill'!$A:$A,0)))</f>
        <v>N</v>
      </c>
      <c r="F63" t="str">
        <f t="array" ref="F63">iferror(index(fatty_acid!$G:$G,match($A63,fatty_acid!$A:$A,0)))</f>
        <v>BFA7-22</v>
      </c>
      <c r="G63" t="str">
        <f t="array" ref="G63">iferror(index(fatty_acid!$J:$J,match($A63,fatty_acid!$A:$A,0)))</f>
        <v>N</v>
      </c>
      <c r="H63" t="str">
        <f t="array" ref="H63">iferror(index(isotopes!$G:$G,match($A63,isotopes!$A:$A,0)))</f>
        <v>BIS23-3</v>
      </c>
      <c r="I63" t="str">
        <f t="array" ref="I63">iferror(index(isotopes!$J:$J,match($A63,isotopes!$A:$A,0)))</f>
        <v>N</v>
      </c>
      <c r="J63" t="str">
        <f t="array" ref="J63">iferror(index(extra_muscle!$G:$G,match($A63,extra_muscle!$A:$A,0)))</f>
        <v>BXM16-34</v>
      </c>
      <c r="K63" t="str">
        <f t="array" ref="K63">iferror(index(extra_muscle!$J:$J,match($A63,extra_muscle!$A:$A,0)))</f>
        <v>N</v>
      </c>
      <c r="L63" s="59" t="str">
        <f t="array" ref="L63">iferror(index(dna!$G:$G,match($A63,dna!$A:$A,0)))</f>
        <v/>
      </c>
      <c r="M63" s="60" t="str">
        <f t="array" ref="M63">iferror(index(dna!$J:$J,match($A63,dna!$A:$A,0)))</f>
        <v/>
      </c>
      <c r="N63" t="str">
        <f t="array" ref="N63">iferror(index(stomachs!$G:$G,match($A63,stomachs!$A:$A,0)))</f>
        <v>BST232-2</v>
      </c>
      <c r="O63" t="str">
        <f t="array" ref="O63">iferror(index(stomachs!$J:$J,match($A63,stomachs!$A:$A,0)))</f>
        <v>N</v>
      </c>
      <c r="P63" t="str">
        <f t="array" ref="P63">iferror(index(sea_lice!$G:$G,match($A63,sea_lice!$A:$A,0)))</f>
        <v/>
      </c>
      <c r="Q63" t="str">
        <f t="array" ref="Q63">iferror(index(sea_lice!$J:$J,match($A63,sea_lice!$A:$A,0)))</f>
        <v/>
      </c>
      <c r="R63" s="40" t="str">
        <f t="array" ref="R63">iferror(index(dissected_fish!$F:$F,match($A63,dissected_fish!$A:$A,0)))</f>
        <v>BCA99</v>
      </c>
      <c r="S63" s="40" t="str">
        <f t="array" ref="S63">iferror(index(dissected_fish!$K:$K,match($A63,dissected_fish!$A:$A,0)))</f>
        <v>N</v>
      </c>
      <c r="T63" s="61" t="str">
        <f t="array" ref="T63">index(fish_lab_data!O:O,match(A63,fish_lab_data!C:C,0))</f>
        <v>JG</v>
      </c>
      <c r="U63" s="61">
        <f t="array" ref="U63">if(A63="","",index(fish_lab_data!X:X,match(A63,fish_lab_data!C:C,0)))</f>
        <v>62</v>
      </c>
    </row>
    <row r="64">
      <c r="A64" t="str">
        <f>fish_lab_data!C64</f>
        <v>U5153</v>
      </c>
      <c r="B64" t="str">
        <f t="array" ref="B64">iferror(index('rna-muscle'!$I:$I,match($A64,'rna-muscle'!$A:$A,0)))</f>
        <v>BRN66M-F3</v>
      </c>
      <c r="C64" t="str">
        <f t="array" ref="C64">iferror(index('rna-muscle'!$L:$L,match($A64,'rna-muscle'!$A:$A,0)))</f>
        <v>N</v>
      </c>
      <c r="D64" t="str">
        <f t="array" ref="D64">iferror(index('rna-gill'!$I:$I,match($A64,'rna-gill'!$A:$A,0)))</f>
        <v>BRN66G-F3</v>
      </c>
      <c r="E64" t="str">
        <f t="array" ref="E64">iferror(index('rna-gill'!$L:$L,match($A64,'rna-gill'!$A:$A,0)))</f>
        <v>N</v>
      </c>
      <c r="F64" t="str">
        <f t="array" ref="F64">iferror(index(fatty_acid!$G:$G,match($A64,fatty_acid!$A:$A,0)))</f>
        <v>BFA7-24</v>
      </c>
      <c r="G64" t="str">
        <f t="array" ref="G64">iferror(index(fatty_acid!$J:$J,match($A64,fatty_acid!$A:$A,0)))</f>
        <v>N</v>
      </c>
      <c r="H64" t="str">
        <f t="array" ref="H64">iferror(index(isotopes!$G:$G,match($A64,isotopes!$A:$A,0)))</f>
        <v>BIS23-5</v>
      </c>
      <c r="I64" t="str">
        <f t="array" ref="I64">iferror(index(isotopes!$J:$J,match($A64,isotopes!$A:$A,0)))</f>
        <v>N</v>
      </c>
      <c r="J64" t="str">
        <f t="array" ref="J64">iferror(index(extra_muscle!$G:$G,match($A64,extra_muscle!$A:$A,0)))</f>
        <v>BXM16-36</v>
      </c>
      <c r="K64" t="str">
        <f t="array" ref="K64">iferror(index(extra_muscle!$J:$J,match($A64,extra_muscle!$A:$A,0)))</f>
        <v>N</v>
      </c>
      <c r="L64" s="59" t="str">
        <f t="array" ref="L64">iferror(index(dna!$G:$G,match($A64,dna!$A:$A,0)))</f>
        <v/>
      </c>
      <c r="M64" s="60" t="str">
        <f t="array" ref="M64">iferror(index(dna!$J:$J,match($A64,dna!$A:$A,0)))</f>
        <v/>
      </c>
      <c r="N64" t="str">
        <f t="array" ref="N64">iferror(index(stomachs!$G:$G,match($A64,stomachs!$A:$A,0)))</f>
        <v>BST232-3</v>
      </c>
      <c r="O64" t="str">
        <f t="array" ref="O64">iferror(index(stomachs!$J:$J,match($A64,stomachs!$A:$A,0)))</f>
        <v>N</v>
      </c>
      <c r="P64" t="str">
        <f t="array" ref="P64">iferror(index(sea_lice!$G:$G,match($A64,sea_lice!$A:$A,0)))</f>
        <v/>
      </c>
      <c r="Q64" t="str">
        <f t="array" ref="Q64">iferror(index(sea_lice!$J:$J,match($A64,sea_lice!$A:$A,0)))</f>
        <v/>
      </c>
      <c r="R64" s="40" t="str">
        <f t="array" ref="R64">iferror(index(dissected_fish!$F:$F,match($A64,dissected_fish!$A:$A,0)))</f>
        <v>BCA99</v>
      </c>
      <c r="S64" s="40" t="str">
        <f t="array" ref="S64">iferror(index(dissected_fish!$K:$K,match($A64,dissected_fish!$A:$A,0)))</f>
        <v>N</v>
      </c>
      <c r="T64" s="61" t="str">
        <f t="array" ref="T64">index(fish_lab_data!O:O,match(A64,fish_lab_data!C:C,0))</f>
        <v>JG</v>
      </c>
      <c r="U64" s="61">
        <f t="array" ref="U64">if(A64="","",index(fish_lab_data!X:X,match(A64,fish_lab_data!C:C,0)))</f>
        <v>63</v>
      </c>
    </row>
    <row r="65">
      <c r="A65" t="str">
        <f>fish_lab_data!C65</f>
        <v>U5154</v>
      </c>
      <c r="B65" t="str">
        <f t="array" ref="B65">iferror(index('rna-muscle'!$I:$I,match($A65,'rna-muscle'!$A:$A,0)))</f>
        <v>BRN66M-E3</v>
      </c>
      <c r="C65" t="str">
        <f t="array" ref="C65">iferror(index('rna-muscle'!$L:$L,match($A65,'rna-muscle'!$A:$A,0)))</f>
        <v>N</v>
      </c>
      <c r="D65" t="str">
        <f t="array" ref="D65">iferror(index('rna-gill'!$I:$I,match($A65,'rna-gill'!$A:$A,0)))</f>
        <v>BRN66G-E3</v>
      </c>
      <c r="E65" t="str">
        <f t="array" ref="E65">iferror(index('rna-gill'!$L:$L,match($A65,'rna-gill'!$A:$A,0)))</f>
        <v>N</v>
      </c>
      <c r="F65" t="str">
        <f t="array" ref="F65">iferror(index(fatty_acid!$G:$G,match($A65,fatty_acid!$A:$A,0)))</f>
        <v>BFA7-28</v>
      </c>
      <c r="G65" t="str">
        <f t="array" ref="G65">iferror(index(fatty_acid!$J:$J,match($A65,fatty_acid!$A:$A,0)))</f>
        <v>N</v>
      </c>
      <c r="H65" t="str">
        <f t="array" ref="H65">iferror(index(isotopes!$G:$G,match($A65,isotopes!$A:$A,0)))</f>
        <v>BIS23-7</v>
      </c>
      <c r="I65" t="str">
        <f t="array" ref="I65">iferror(index(isotopes!$J:$J,match($A65,isotopes!$A:$A,0)))</f>
        <v>N</v>
      </c>
      <c r="J65" t="str">
        <f t="array" ref="J65">iferror(index(extra_muscle!$G:$G,match($A65,extra_muscle!$A:$A,0)))</f>
        <v>BXM16-37</v>
      </c>
      <c r="K65" t="str">
        <f t="array" ref="K65">iferror(index(extra_muscle!$J:$J,match($A65,extra_muscle!$A:$A,0)))</f>
        <v>N</v>
      </c>
      <c r="L65" s="59" t="str">
        <f t="array" ref="L65">iferror(index(dna!$G:$G,match($A65,dna!$A:$A,0)))</f>
        <v/>
      </c>
      <c r="M65" s="60" t="str">
        <f t="array" ref="M65">iferror(index(dna!$J:$J,match($A65,dna!$A:$A,0)))</f>
        <v/>
      </c>
      <c r="N65" t="str">
        <f t="array" ref="N65">iferror(index(stomachs!$G:$G,match($A65,stomachs!$A:$A,0)))</f>
        <v>BST232-4</v>
      </c>
      <c r="O65" t="str">
        <f t="array" ref="O65">iferror(index(stomachs!$J:$J,match($A65,stomachs!$A:$A,0)))</f>
        <v>N</v>
      </c>
      <c r="P65" t="str">
        <f t="array" ref="P65">iferror(index(sea_lice!$G:$G,match($A65,sea_lice!$A:$A,0)))</f>
        <v/>
      </c>
      <c r="Q65" t="str">
        <f t="array" ref="Q65">iferror(index(sea_lice!$J:$J,match($A65,sea_lice!$A:$A,0)))</f>
        <v/>
      </c>
      <c r="R65" s="40" t="str">
        <f t="array" ref="R65">iferror(index(dissected_fish!$F:$F,match($A65,dissected_fish!$A:$A,0)))</f>
        <v>BCA99</v>
      </c>
      <c r="S65" s="40" t="str">
        <f t="array" ref="S65">iferror(index(dissected_fish!$K:$K,match($A65,dissected_fish!$A:$A,0)))</f>
        <v>N</v>
      </c>
      <c r="T65" s="61" t="str">
        <f t="array" ref="T65">index(fish_lab_data!O:O,match(A65,fish_lab_data!C:C,0))</f>
        <v>JG</v>
      </c>
      <c r="U65" s="61">
        <f t="array" ref="U65">if(A65="","",index(fish_lab_data!X:X,match(A65,fish_lab_data!C:C,0)))</f>
        <v>64</v>
      </c>
    </row>
    <row r="66">
      <c r="A66" t="str">
        <f>fish_lab_data!C66</f>
        <v>U5155</v>
      </c>
      <c r="B66" t="str">
        <f t="array" ref="B66">iferror(index('rna-muscle'!$I:$I,match($A66,'rna-muscle'!$A:$A,0)))</f>
        <v>BRN66M-D3</v>
      </c>
      <c r="C66" t="str">
        <f t="array" ref="C66">iferror(index('rna-muscle'!$L:$L,match($A66,'rna-muscle'!$A:$A,0)))</f>
        <v>N</v>
      </c>
      <c r="D66" t="str">
        <f t="array" ref="D66">iferror(index('rna-gill'!$I:$I,match($A66,'rna-gill'!$A:$A,0)))</f>
        <v>BRN66G-D3</v>
      </c>
      <c r="E66" t="str">
        <f t="array" ref="E66">iferror(index('rna-gill'!$L:$L,match($A66,'rna-gill'!$A:$A,0)))</f>
        <v>N</v>
      </c>
      <c r="F66" t="str">
        <f t="array" ref="F66">iferror(index(fatty_acid!$G:$G,match($A66,fatty_acid!$A:$A,0)))</f>
        <v>BFA7-30</v>
      </c>
      <c r="G66" t="str">
        <f t="array" ref="G66">iferror(index(fatty_acid!$J:$J,match($A66,fatty_acid!$A:$A,0)))</f>
        <v>N</v>
      </c>
      <c r="H66" t="str">
        <f t="array" ref="H66">iferror(index(isotopes!$G:$G,match($A66,isotopes!$A:$A,0)))</f>
        <v>BIS23-9</v>
      </c>
      <c r="I66" t="str">
        <f t="array" ref="I66">iferror(index(isotopes!$J:$J,match($A66,isotopes!$A:$A,0)))</f>
        <v>N</v>
      </c>
      <c r="J66" t="str">
        <f t="array" ref="J66">iferror(index(extra_muscle!$G:$G,match($A66,extra_muscle!$A:$A,0)))</f>
        <v>BXM16-38</v>
      </c>
      <c r="K66" t="str">
        <f t="array" ref="K66">iferror(index(extra_muscle!$J:$J,match($A66,extra_muscle!$A:$A,0)))</f>
        <v>N</v>
      </c>
      <c r="L66" s="59" t="str">
        <f t="array" ref="L66">iferror(index(dna!$G:$G,match($A66,dna!$A:$A,0)))</f>
        <v/>
      </c>
      <c r="M66" s="60" t="str">
        <f t="array" ref="M66">iferror(index(dna!$J:$J,match($A66,dna!$A:$A,0)))</f>
        <v/>
      </c>
      <c r="N66" t="str">
        <f t="array" ref="N66">iferror(index(stomachs!$G:$G,match($A66,stomachs!$A:$A,0)))</f>
        <v>BST232-5</v>
      </c>
      <c r="O66" t="str">
        <f t="array" ref="O66">iferror(index(stomachs!$J:$J,match($A66,stomachs!$A:$A,0)))</f>
        <v>N</v>
      </c>
      <c r="P66" t="str">
        <f t="array" ref="P66">iferror(index(sea_lice!$G:$G,match($A66,sea_lice!$A:$A,0)))</f>
        <v/>
      </c>
      <c r="Q66" t="str">
        <f t="array" ref="Q66">iferror(index(sea_lice!$J:$J,match($A66,sea_lice!$A:$A,0)))</f>
        <v/>
      </c>
      <c r="R66" s="40" t="str">
        <f t="array" ref="R66">iferror(index(dissected_fish!$F:$F,match($A66,dissected_fish!$A:$A,0)))</f>
        <v>BCA99</v>
      </c>
      <c r="S66" s="40" t="str">
        <f t="array" ref="S66">iferror(index(dissected_fish!$K:$K,match($A66,dissected_fish!$A:$A,0)))</f>
        <v>N</v>
      </c>
      <c r="T66" s="61" t="str">
        <f t="array" ref="T66">index(fish_lab_data!O:O,match(A66,fish_lab_data!C:C,0))</f>
        <v>JG</v>
      </c>
      <c r="U66" s="61">
        <f t="array" ref="U66">if(A66="","",index(fish_lab_data!X:X,match(A66,fish_lab_data!C:C,0)))</f>
        <v>65</v>
      </c>
    </row>
    <row r="67">
      <c r="A67" t="str">
        <f>fish_lab_data!C67</f>
        <v>U5156</v>
      </c>
      <c r="B67" t="str">
        <f t="array" ref="B67">iferror(index('rna-muscle'!$I:$I,match($A67,'rna-muscle'!$A:$A,0)))</f>
        <v>BRN66M-C3</v>
      </c>
      <c r="C67" t="str">
        <f t="array" ref="C67">iferror(index('rna-muscle'!$L:$L,match($A67,'rna-muscle'!$A:$A,0)))</f>
        <v>N</v>
      </c>
      <c r="D67" t="str">
        <f t="array" ref="D67">iferror(index('rna-gill'!$I:$I,match($A67,'rna-gill'!$A:$A,0)))</f>
        <v>BRN66G-C3</v>
      </c>
      <c r="E67" t="str">
        <f t="array" ref="E67">iferror(index('rna-gill'!$L:$L,match($A67,'rna-gill'!$A:$A,0)))</f>
        <v>N</v>
      </c>
      <c r="F67" t="str">
        <f t="array" ref="F67">iferror(index(fatty_acid!$G:$G,match($A67,fatty_acid!$A:$A,0)))</f>
        <v>BFA7-31</v>
      </c>
      <c r="G67" t="str">
        <f t="array" ref="G67">iferror(index(fatty_acid!$J:$J,match($A67,fatty_acid!$A:$A,0)))</f>
        <v>N</v>
      </c>
      <c r="H67" t="str">
        <f t="array" ref="H67">iferror(index(isotopes!$G:$G,match($A67,isotopes!$A:$A,0)))</f>
        <v>BIS23-12</v>
      </c>
      <c r="I67" t="str">
        <f t="array" ref="I67">iferror(index(isotopes!$J:$J,match($A67,isotopes!$A:$A,0)))</f>
        <v>N</v>
      </c>
      <c r="J67" t="str">
        <f t="array" ref="J67">iferror(index(extra_muscle!$G:$G,match($A67,extra_muscle!$A:$A,0)))</f>
        <v>BXM16-39</v>
      </c>
      <c r="K67" t="str">
        <f t="array" ref="K67">iferror(index(extra_muscle!$J:$J,match($A67,extra_muscle!$A:$A,0)))</f>
        <v>N</v>
      </c>
      <c r="L67" s="59" t="str">
        <f t="array" ref="L67">iferror(index(dna!$G:$G,match($A67,dna!$A:$A,0)))</f>
        <v/>
      </c>
      <c r="M67" s="60" t="str">
        <f t="array" ref="M67">iferror(index(dna!$J:$J,match($A67,dna!$A:$A,0)))</f>
        <v/>
      </c>
      <c r="N67" t="str">
        <f t="array" ref="N67">iferror(index(stomachs!$G:$G,match($A67,stomachs!$A:$A,0)))</f>
        <v>BST232-6</v>
      </c>
      <c r="O67" t="str">
        <f t="array" ref="O67">iferror(index(stomachs!$J:$J,match($A67,stomachs!$A:$A,0)))</f>
        <v>N</v>
      </c>
      <c r="P67" t="str">
        <f t="array" ref="P67">iferror(index(sea_lice!$G:$G,match($A67,sea_lice!$A:$A,0)))</f>
        <v/>
      </c>
      <c r="Q67" t="str">
        <f t="array" ref="Q67">iferror(index(sea_lice!$J:$J,match($A67,sea_lice!$A:$A,0)))</f>
        <v/>
      </c>
      <c r="R67" s="40" t="str">
        <f t="array" ref="R67">iferror(index(dissected_fish!$F:$F,match($A67,dissected_fish!$A:$A,0)))</f>
        <v>BCA99</v>
      </c>
      <c r="S67" s="40" t="str">
        <f t="array" ref="S67">iferror(index(dissected_fish!$K:$K,match($A67,dissected_fish!$A:$A,0)))</f>
        <v>N</v>
      </c>
      <c r="T67" s="61" t="str">
        <f t="array" ref="T67">index(fish_lab_data!O:O,match(A67,fish_lab_data!C:C,0))</f>
        <v>JG</v>
      </c>
      <c r="U67" s="61">
        <f t="array" ref="U67">if(A67="","",index(fish_lab_data!X:X,match(A67,fish_lab_data!C:C,0)))</f>
        <v>66</v>
      </c>
    </row>
    <row r="68">
      <c r="A68" t="str">
        <f>fish_lab_data!C68</f>
        <v>U5157</v>
      </c>
      <c r="B68" t="str">
        <f t="array" ref="B68">iferror(index('rna-muscle'!$I:$I,match($A68,'rna-muscle'!$A:$A,0)))</f>
        <v>BRN66M-B3</v>
      </c>
      <c r="C68" t="str">
        <f t="array" ref="C68">iferror(index('rna-muscle'!$L:$L,match($A68,'rna-muscle'!$A:$A,0)))</f>
        <v>N</v>
      </c>
      <c r="D68" t="str">
        <f t="array" ref="D68">iferror(index('rna-gill'!$I:$I,match($A68,'rna-gill'!$A:$A,0)))</f>
        <v>BRN66G-B3</v>
      </c>
      <c r="E68" t="str">
        <f t="array" ref="E68">iferror(index('rna-gill'!$L:$L,match($A68,'rna-gill'!$A:$A,0)))</f>
        <v>N</v>
      </c>
      <c r="F68" t="str">
        <f t="array" ref="F68">iferror(index(fatty_acid!$G:$G,match($A68,fatty_acid!$A:$A,0)))</f>
        <v>BFA7-33</v>
      </c>
      <c r="G68" t="str">
        <f t="array" ref="G68">iferror(index(fatty_acid!$J:$J,match($A68,fatty_acid!$A:$A,0)))</f>
        <v>N</v>
      </c>
      <c r="H68" t="str">
        <f t="array" ref="H68">iferror(index(isotopes!$G:$G,match($A68,isotopes!$A:$A,0)))</f>
        <v>BIS23-14</v>
      </c>
      <c r="I68" t="str">
        <f t="array" ref="I68">iferror(index(isotopes!$J:$J,match($A68,isotopes!$A:$A,0)))</f>
        <v>N</v>
      </c>
      <c r="J68" t="str">
        <f t="array" ref="J68">iferror(index(extra_muscle!$G:$G,match($A68,extra_muscle!$A:$A,0)))</f>
        <v>BXM16-40</v>
      </c>
      <c r="K68" t="str">
        <f t="array" ref="K68">iferror(index(extra_muscle!$J:$J,match($A68,extra_muscle!$A:$A,0)))</f>
        <v>N</v>
      </c>
      <c r="L68" s="59" t="str">
        <f t="array" ref="L68">iferror(index(dna!$G:$G,match($A68,dna!$A:$A,0)))</f>
        <v/>
      </c>
      <c r="M68" s="60" t="str">
        <f t="array" ref="M68">iferror(index(dna!$J:$J,match($A68,dna!$A:$A,0)))</f>
        <v/>
      </c>
      <c r="N68" t="str">
        <f t="array" ref="N68">iferror(index(stomachs!$G:$G,match($A68,stomachs!$A:$A,0)))</f>
        <v>BST232-7</v>
      </c>
      <c r="O68" t="str">
        <f t="array" ref="O68">iferror(index(stomachs!$J:$J,match($A68,stomachs!$A:$A,0)))</f>
        <v>N</v>
      </c>
      <c r="P68" t="str">
        <f t="array" ref="P68">iferror(index(sea_lice!$G:$G,match($A68,sea_lice!$A:$A,0)))</f>
        <v/>
      </c>
      <c r="Q68" t="str">
        <f t="array" ref="Q68">iferror(index(sea_lice!$J:$J,match($A68,sea_lice!$A:$A,0)))</f>
        <v/>
      </c>
      <c r="R68" s="40" t="str">
        <f t="array" ref="R68">iferror(index(dissected_fish!$F:$F,match($A68,dissected_fish!$A:$A,0)))</f>
        <v>BCA99</v>
      </c>
      <c r="S68" s="40" t="str">
        <f t="array" ref="S68">iferror(index(dissected_fish!$K:$K,match($A68,dissected_fish!$A:$A,0)))</f>
        <v>N</v>
      </c>
      <c r="T68" s="61" t="str">
        <f t="array" ref="T68">index(fish_lab_data!O:O,match(A68,fish_lab_data!C:C,0))</f>
        <v>JG</v>
      </c>
      <c r="U68" s="61">
        <f t="array" ref="U68">if(A68="","",index(fish_lab_data!X:X,match(A68,fish_lab_data!C:C,0)))</f>
        <v>67</v>
      </c>
    </row>
    <row r="69">
      <c r="A69" t="str">
        <f>fish_lab_data!C69</f>
        <v>U5158</v>
      </c>
      <c r="B69" t="str">
        <f t="array" ref="B69">iferror(index('rna-muscle'!$I:$I,match($A69,'rna-muscle'!$A:$A,0)))</f>
        <v>BRN66M-A3</v>
      </c>
      <c r="C69" t="str">
        <f t="array" ref="C69">iferror(index('rna-muscle'!$L:$L,match($A69,'rna-muscle'!$A:$A,0)))</f>
        <v>N</v>
      </c>
      <c r="D69" t="str">
        <f t="array" ref="D69">iferror(index('rna-gill'!$I:$I,match($A69,'rna-gill'!$A:$A,0)))</f>
        <v>BRN66G-A3</v>
      </c>
      <c r="E69" t="str">
        <f t="array" ref="E69">iferror(index('rna-gill'!$L:$L,match($A69,'rna-gill'!$A:$A,0)))</f>
        <v>N</v>
      </c>
      <c r="F69" t="str">
        <f t="array" ref="F69">iferror(index(fatty_acid!$G:$G,match($A69,fatty_acid!$A:$A,0)))</f>
        <v>BFA7-37</v>
      </c>
      <c r="G69" t="str">
        <f t="array" ref="G69">iferror(index(fatty_acid!$J:$J,match($A69,fatty_acid!$A:$A,0)))</f>
        <v>N</v>
      </c>
      <c r="H69" t="str">
        <f t="array" ref="H69">iferror(index(isotopes!$G:$G,match($A69,isotopes!$A:$A,0)))</f>
        <v>BIS23-16</v>
      </c>
      <c r="I69" t="str">
        <f t="array" ref="I69">iferror(index(isotopes!$J:$J,match($A69,isotopes!$A:$A,0)))</f>
        <v>N</v>
      </c>
      <c r="J69" t="str">
        <f t="array" ref="J69">iferror(index(extra_muscle!$G:$G,match($A69,extra_muscle!$A:$A,0)))</f>
        <v>BXM16-41</v>
      </c>
      <c r="K69" t="str">
        <f t="array" ref="K69">iferror(index(extra_muscle!$J:$J,match($A69,extra_muscle!$A:$A,0)))</f>
        <v>N</v>
      </c>
      <c r="L69" s="59" t="str">
        <f t="array" ref="L69">iferror(index(dna!$G:$G,match($A69,dna!$A:$A,0)))</f>
        <v/>
      </c>
      <c r="M69" s="60" t="str">
        <f t="array" ref="M69">iferror(index(dna!$J:$J,match($A69,dna!$A:$A,0)))</f>
        <v/>
      </c>
      <c r="N69" t="str">
        <f t="array" ref="N69">iferror(index(stomachs!$G:$G,match($A69,stomachs!$A:$A,0)))</f>
        <v>BST232-8</v>
      </c>
      <c r="O69" t="str">
        <f t="array" ref="O69">iferror(index(stomachs!$J:$J,match($A69,stomachs!$A:$A,0)))</f>
        <v>N</v>
      </c>
      <c r="P69" t="str">
        <f t="array" ref="P69">iferror(index(sea_lice!$G:$G,match($A69,sea_lice!$A:$A,0)))</f>
        <v/>
      </c>
      <c r="Q69" t="str">
        <f t="array" ref="Q69">iferror(index(sea_lice!$J:$J,match($A69,sea_lice!$A:$A,0)))</f>
        <v/>
      </c>
      <c r="R69" s="40" t="str">
        <f t="array" ref="R69">iferror(index(dissected_fish!$F:$F,match($A69,dissected_fish!$A:$A,0)))</f>
        <v>BCA99</v>
      </c>
      <c r="S69" s="40" t="str">
        <f t="array" ref="S69">iferror(index(dissected_fish!$K:$K,match($A69,dissected_fish!$A:$A,0)))</f>
        <v>N</v>
      </c>
      <c r="T69" s="61" t="str">
        <f t="array" ref="T69">index(fish_lab_data!O:O,match(A69,fish_lab_data!C:C,0))</f>
        <v>JG</v>
      </c>
      <c r="U69" s="61">
        <f t="array" ref="U69">if(A69="","",index(fish_lab_data!X:X,match(A69,fish_lab_data!C:C,0)))</f>
        <v>68</v>
      </c>
    </row>
    <row r="70">
      <c r="A70" t="str">
        <f>fish_lab_data!C70</f>
        <v>U5159</v>
      </c>
      <c r="B70" t="str">
        <f t="array" ref="B70">iferror(index('rna-muscle'!$I:$I,match($A70,'rna-muscle'!$A:$A,0)))</f>
        <v>BRN66M-H5</v>
      </c>
      <c r="C70" t="str">
        <f t="array" ref="C70">iferror(index('rna-muscle'!$L:$L,match($A70,'rna-muscle'!$A:$A,0)))</f>
        <v>N</v>
      </c>
      <c r="D70" t="str">
        <f t="array" ref="D70">iferror(index('rna-gill'!$I:$I,match($A70,'rna-gill'!$A:$A,0)))</f>
        <v>BRN66G-H5</v>
      </c>
      <c r="E70" t="str">
        <f t="array" ref="E70">iferror(index('rna-gill'!$L:$L,match($A70,'rna-gill'!$A:$A,0)))</f>
        <v>N</v>
      </c>
      <c r="F70" t="str">
        <f t="array" ref="F70">iferror(index(fatty_acid!$G:$G,match($A70,fatty_acid!$A:$A,0)))</f>
        <v>BFA7-39</v>
      </c>
      <c r="G70" t="str">
        <f t="array" ref="G70">iferror(index(fatty_acid!$J:$J,match($A70,fatty_acid!$A:$A,0)))</f>
        <v>N</v>
      </c>
      <c r="H70" t="str">
        <f t="array" ref="H70">iferror(index(isotopes!$G:$G,match($A70,isotopes!$A:$A,0)))</f>
        <v>BIS23-18</v>
      </c>
      <c r="I70" t="str">
        <f t="array" ref="I70">iferror(index(isotopes!$J:$J,match($A70,isotopes!$A:$A,0)))</f>
        <v>N</v>
      </c>
      <c r="J70" t="str">
        <f t="array" ref="J70">iferror(index(extra_muscle!$G:$G,match($A70,extra_muscle!$A:$A,0)))</f>
        <v>BXM16-42</v>
      </c>
      <c r="K70" t="str">
        <f t="array" ref="K70">iferror(index(extra_muscle!$J:$J,match($A70,extra_muscle!$A:$A,0)))</f>
        <v>N</v>
      </c>
      <c r="L70" s="59" t="str">
        <f t="array" ref="L70">iferror(index(dna!$G:$G,match($A70,dna!$A:$A,0)))</f>
        <v/>
      </c>
      <c r="M70" s="60" t="str">
        <f t="array" ref="M70">iferror(index(dna!$J:$J,match($A70,dna!$A:$A,0)))</f>
        <v/>
      </c>
      <c r="N70" t="str">
        <f t="array" ref="N70">iferror(index(stomachs!$G:$G,match($A70,stomachs!$A:$A,0)))</f>
        <v>BST232-9</v>
      </c>
      <c r="O70" t="str">
        <f t="array" ref="O70">iferror(index(stomachs!$J:$J,match($A70,stomachs!$A:$A,0)))</f>
        <v>N</v>
      </c>
      <c r="P70" t="str">
        <f t="array" ref="P70">iferror(index(sea_lice!$G:$G,match($A70,sea_lice!$A:$A,0)))</f>
        <v/>
      </c>
      <c r="Q70" t="str">
        <f t="array" ref="Q70">iferror(index(sea_lice!$J:$J,match($A70,sea_lice!$A:$A,0)))</f>
        <v/>
      </c>
      <c r="R70" s="40" t="str">
        <f t="array" ref="R70">iferror(index(dissected_fish!$F:$F,match($A70,dissected_fish!$A:$A,0)))</f>
        <v>BCA99</v>
      </c>
      <c r="S70" s="40" t="str">
        <f t="array" ref="S70">iferror(index(dissected_fish!$K:$K,match($A70,dissected_fish!$A:$A,0)))</f>
        <v>N</v>
      </c>
      <c r="T70" s="61" t="str">
        <f t="array" ref="T70">index(fish_lab_data!O:O,match(A70,fish_lab_data!C:C,0))</f>
        <v>JG</v>
      </c>
      <c r="U70" s="61">
        <f t="array" ref="U70">if(A70="","",index(fish_lab_data!X:X,match(A70,fish_lab_data!C:C,0)))</f>
        <v>69</v>
      </c>
    </row>
    <row r="71">
      <c r="A71" t="str">
        <f>fish_lab_data!C71</f>
        <v>U5160</v>
      </c>
      <c r="B71" t="str">
        <f t="array" ref="B71">iferror(index('rna-muscle'!$I:$I,match($A71,'rna-muscle'!$A:$A,0)))</f>
        <v>BRN66M-G5</v>
      </c>
      <c r="C71" t="str">
        <f t="array" ref="C71">iferror(index('rna-muscle'!$L:$L,match($A71,'rna-muscle'!$A:$A,0)))</f>
        <v>N</v>
      </c>
      <c r="D71" t="str">
        <f t="array" ref="D71">iferror(index('rna-gill'!$I:$I,match($A71,'rna-gill'!$A:$A,0)))</f>
        <v>BRN66G-G5</v>
      </c>
      <c r="E71" t="str">
        <f t="array" ref="E71">iferror(index('rna-gill'!$L:$L,match($A71,'rna-gill'!$A:$A,0)))</f>
        <v>N</v>
      </c>
      <c r="F71" t="str">
        <f t="array" ref="F71">iferror(index(fatty_acid!$G:$G,match($A71,fatty_acid!$A:$A,0)))</f>
        <v>BFA7-42</v>
      </c>
      <c r="G71" t="str">
        <f t="array" ref="G71">iferror(index(fatty_acid!$J:$J,match($A71,fatty_acid!$A:$A,0)))</f>
        <v>N</v>
      </c>
      <c r="H71" t="str">
        <f t="array" ref="H71">iferror(index(isotopes!$G:$G,match($A71,isotopes!$A:$A,0)))</f>
        <v>BIS23-20</v>
      </c>
      <c r="I71" t="str">
        <f t="array" ref="I71">iferror(index(isotopes!$J:$J,match($A71,isotopes!$A:$A,0)))</f>
        <v>N</v>
      </c>
      <c r="J71" t="str">
        <f t="array" ref="J71">iferror(index(extra_muscle!$G:$G,match($A71,extra_muscle!$A:$A,0)))</f>
        <v>BXM16-43</v>
      </c>
      <c r="K71" t="str">
        <f t="array" ref="K71">iferror(index(extra_muscle!$J:$J,match($A71,extra_muscle!$A:$A,0)))</f>
        <v>N</v>
      </c>
      <c r="L71" s="59" t="str">
        <f t="array" ref="L71">iferror(index(dna!$G:$G,match($A71,dna!$A:$A,0)))</f>
        <v/>
      </c>
      <c r="M71" s="60" t="str">
        <f t="array" ref="M71">iferror(index(dna!$J:$J,match($A71,dna!$A:$A,0)))</f>
        <v/>
      </c>
      <c r="N71" t="str">
        <f t="array" ref="N71">iferror(index(stomachs!$G:$G,match($A71,stomachs!$A:$A,0)))</f>
        <v>BST232-10</v>
      </c>
      <c r="O71" t="str">
        <f t="array" ref="O71">iferror(index(stomachs!$J:$J,match($A71,stomachs!$A:$A,0)))</f>
        <v>N</v>
      </c>
      <c r="P71" t="str">
        <f t="array" ref="P71">iferror(index(sea_lice!$G:$G,match($A71,sea_lice!$A:$A,0)))</f>
        <v/>
      </c>
      <c r="Q71" t="str">
        <f t="array" ref="Q71">iferror(index(sea_lice!$J:$J,match($A71,sea_lice!$A:$A,0)))</f>
        <v/>
      </c>
      <c r="R71" s="40" t="str">
        <f t="array" ref="R71">iferror(index(dissected_fish!$F:$F,match($A71,dissected_fish!$A:$A,0)))</f>
        <v>BCA99</v>
      </c>
      <c r="S71" s="40" t="str">
        <f t="array" ref="S71">iferror(index(dissected_fish!$K:$K,match($A71,dissected_fish!$A:$A,0)))</f>
        <v>N</v>
      </c>
      <c r="T71" s="61" t="str">
        <f t="array" ref="T71">index(fish_lab_data!O:O,match(A71,fish_lab_data!C:C,0))</f>
        <v>JG</v>
      </c>
      <c r="U71" s="61">
        <f t="array" ref="U71">if(A71="","",index(fish_lab_data!X:X,match(A71,fish_lab_data!C:C,0)))</f>
        <v>70</v>
      </c>
    </row>
    <row r="72">
      <c r="A72" t="str">
        <f>fish_lab_data!C72</f>
        <v>U5179</v>
      </c>
      <c r="B72" t="str">
        <f t="array" ref="B72">iferror(index('rna-muscle'!$I:$I,match($A72,'rna-muscle'!$A:$A,0)))</f>
        <v>BRN66M-F5</v>
      </c>
      <c r="C72" t="str">
        <f t="array" ref="C72">iferror(index('rna-muscle'!$L:$L,match($A72,'rna-muscle'!$A:$A,0)))</f>
        <v>N</v>
      </c>
      <c r="D72" t="str">
        <f t="array" ref="D72">iferror(index('rna-gill'!$I:$I,match($A72,'rna-gill'!$A:$A,0)))</f>
        <v>BRN66G-F5</v>
      </c>
      <c r="E72" t="str">
        <f t="array" ref="E72">iferror(index('rna-gill'!$L:$L,match($A72,'rna-gill'!$A:$A,0)))</f>
        <v>N</v>
      </c>
      <c r="F72" t="str">
        <f t="array" ref="F72">iferror(index(fatty_acid!$G:$G,match($A72,fatty_acid!$A:$A,0)))</f>
        <v>BFA7-44</v>
      </c>
      <c r="G72" t="str">
        <f t="array" ref="G72">iferror(index(fatty_acid!$J:$J,match($A72,fatty_acid!$A:$A,0)))</f>
        <v>N</v>
      </c>
      <c r="H72" t="str">
        <f t="array" ref="H72">iferror(index(isotopes!$G:$G,match($A72,isotopes!$A:$A,0)))</f>
        <v>BIS23-21</v>
      </c>
      <c r="I72" t="str">
        <f t="array" ref="I72">iferror(index(isotopes!$J:$J,match($A72,isotopes!$A:$A,0)))</f>
        <v>N</v>
      </c>
      <c r="J72" t="str">
        <f t="array" ref="J72">iferror(index(extra_muscle!$G:$G,match($A72,extra_muscle!$A:$A,0)))</f>
        <v>BXM16-44</v>
      </c>
      <c r="K72" t="str">
        <f t="array" ref="K72">iferror(index(extra_muscle!$J:$J,match($A72,extra_muscle!$A:$A,0)))</f>
        <v>N</v>
      </c>
      <c r="L72" s="59" t="str">
        <f t="array" ref="L72">iferror(index(dna!$G:$G,match($A72,dna!$A:$A,0)))</f>
        <v/>
      </c>
      <c r="M72" s="60" t="str">
        <f t="array" ref="M72">iferror(index(dna!$J:$J,match($A72,dna!$A:$A,0)))</f>
        <v/>
      </c>
      <c r="N72" t="str">
        <f t="array" ref="N72">iferror(index(stomachs!$G:$G,match($A72,stomachs!$A:$A,0)))</f>
        <v>BST232-11</v>
      </c>
      <c r="O72" t="str">
        <f t="array" ref="O72">iferror(index(stomachs!$J:$J,match($A72,stomachs!$A:$A,0)))</f>
        <v>N</v>
      </c>
      <c r="P72" t="str">
        <f t="array" ref="P72">iferror(index(sea_lice!$G:$G,match($A72,sea_lice!$A:$A,0)))</f>
        <v/>
      </c>
      <c r="Q72" t="str">
        <f t="array" ref="Q72">iferror(index(sea_lice!$J:$J,match($A72,sea_lice!$A:$A,0)))</f>
        <v/>
      </c>
      <c r="R72" s="40" t="str">
        <f t="array" ref="R72">iferror(index(dissected_fish!$F:$F,match($A72,dissected_fish!$A:$A,0)))</f>
        <v>BCA100</v>
      </c>
      <c r="S72" s="40" t="str">
        <f t="array" ref="S72">iferror(index(dissected_fish!$K:$K,match($A72,dissected_fish!$A:$A,0)))</f>
        <v>N</v>
      </c>
      <c r="T72" s="61" t="str">
        <f t="array" ref="T72">index(fish_lab_data!O:O,match(A72,fish_lab_data!C:C,0))</f>
        <v>JG</v>
      </c>
      <c r="U72" s="61">
        <f t="array" ref="U72">if(A72="","",index(fish_lab_data!X:X,match(A72,fish_lab_data!C:C,0)))</f>
        <v>71</v>
      </c>
    </row>
    <row r="73">
      <c r="A73" t="str">
        <f>fish_lab_data!C73</f>
        <v>U5180</v>
      </c>
      <c r="B73" t="str">
        <f t="array" ref="B73">iferror(index('rna-muscle'!$I:$I,match($A73,'rna-muscle'!$A:$A,0)))</f>
        <v>BRN66M-E5</v>
      </c>
      <c r="C73" t="str">
        <f t="array" ref="C73">iferror(index('rna-muscle'!$L:$L,match($A73,'rna-muscle'!$A:$A,0)))</f>
        <v>N</v>
      </c>
      <c r="D73" t="str">
        <f t="array" ref="D73">iferror(index('rna-gill'!$I:$I,match($A73,'rna-gill'!$A:$A,0)))</f>
        <v>BRN66G-E5</v>
      </c>
      <c r="E73" t="str">
        <f t="array" ref="E73">iferror(index('rna-gill'!$L:$L,match($A73,'rna-gill'!$A:$A,0)))</f>
        <v>N</v>
      </c>
      <c r="F73" t="str">
        <f t="array" ref="F73">iferror(index(fatty_acid!$G:$G,match($A73,fatty_acid!$A:$A,0)))</f>
        <v>BFA7-48</v>
      </c>
      <c r="G73" t="str">
        <f t="array" ref="G73">iferror(index(fatty_acid!$J:$J,match($A73,fatty_acid!$A:$A,0)))</f>
        <v>N</v>
      </c>
      <c r="H73" t="str">
        <f t="array" ref="H73">iferror(index(isotopes!$G:$G,match($A73,isotopes!$A:$A,0)))</f>
        <v>BIS23-23</v>
      </c>
      <c r="I73" t="str">
        <f t="array" ref="I73">iferror(index(isotopes!$J:$J,match($A73,isotopes!$A:$A,0)))</f>
        <v>N</v>
      </c>
      <c r="J73" t="str">
        <f t="array" ref="J73">iferror(index(extra_muscle!$G:$G,match($A73,extra_muscle!$A:$A,0)))</f>
        <v>BXM16-46</v>
      </c>
      <c r="K73" t="str">
        <f t="array" ref="K73">iferror(index(extra_muscle!$J:$J,match($A73,extra_muscle!$A:$A,0)))</f>
        <v>N</v>
      </c>
      <c r="L73" s="59" t="str">
        <f t="array" ref="L73">iferror(index(dna!$G:$G,match($A73,dna!$A:$A,0)))</f>
        <v/>
      </c>
      <c r="M73" s="60" t="str">
        <f t="array" ref="M73">iferror(index(dna!$J:$J,match($A73,dna!$A:$A,0)))</f>
        <v/>
      </c>
      <c r="N73" t="str">
        <f t="array" ref="N73">iferror(index(stomachs!$G:$G,match($A73,stomachs!$A:$A,0)))</f>
        <v>BST232-12</v>
      </c>
      <c r="O73" t="str">
        <f t="array" ref="O73">iferror(index(stomachs!$J:$J,match($A73,stomachs!$A:$A,0)))</f>
        <v>N</v>
      </c>
      <c r="P73" t="str">
        <f t="array" ref="P73">iferror(index(sea_lice!$G:$G,match($A73,sea_lice!$A:$A,0)))</f>
        <v/>
      </c>
      <c r="Q73" t="str">
        <f t="array" ref="Q73">iferror(index(sea_lice!$J:$J,match($A73,sea_lice!$A:$A,0)))</f>
        <v/>
      </c>
      <c r="R73" s="40" t="str">
        <f t="array" ref="R73">iferror(index(dissected_fish!$F:$F,match($A73,dissected_fish!$A:$A,0)))</f>
        <v>BCA100</v>
      </c>
      <c r="S73" s="40" t="str">
        <f t="array" ref="S73">iferror(index(dissected_fish!$K:$K,match($A73,dissected_fish!$A:$A,0)))</f>
        <v>N</v>
      </c>
      <c r="T73" s="61" t="str">
        <f t="array" ref="T73">index(fish_lab_data!O:O,match(A73,fish_lab_data!C:C,0))</f>
        <v>JG</v>
      </c>
      <c r="U73" s="61">
        <f t="array" ref="U73">if(A73="","",index(fish_lab_data!X:X,match(A73,fish_lab_data!C:C,0)))</f>
        <v>72</v>
      </c>
    </row>
    <row r="74">
      <c r="A74" t="str">
        <f>fish_lab_data!C74</f>
        <v>U5181</v>
      </c>
      <c r="B74" t="str">
        <f t="array" ref="B74">iferror(index('rna-muscle'!$I:$I,match($A74,'rna-muscle'!$A:$A,0)))</f>
        <v>BRN66M-D5</v>
      </c>
      <c r="C74" t="str">
        <f t="array" ref="C74">iferror(index('rna-muscle'!$L:$L,match($A74,'rna-muscle'!$A:$A,0)))</f>
        <v>N</v>
      </c>
      <c r="D74" t="str">
        <f t="array" ref="D74">iferror(index('rna-gill'!$I:$I,match($A74,'rna-gill'!$A:$A,0)))</f>
        <v>BRN66G-D5</v>
      </c>
      <c r="E74" t="str">
        <f t="array" ref="E74">iferror(index('rna-gill'!$L:$L,match($A74,'rna-gill'!$A:$A,0)))</f>
        <v>N</v>
      </c>
      <c r="F74" t="str">
        <f t="array" ref="F74">iferror(index(fatty_acid!$G:$G,match($A74,fatty_acid!$A:$A,0)))</f>
        <v>BFA7-50</v>
      </c>
      <c r="G74" t="str">
        <f t="array" ref="G74">iferror(index(fatty_acid!$J:$J,match($A74,fatty_acid!$A:$A,0)))</f>
        <v>N</v>
      </c>
      <c r="H74" t="str">
        <f t="array" ref="H74">iferror(index(isotopes!$G:$G,match($A74,isotopes!$A:$A,0)))</f>
        <v>BIS23-25</v>
      </c>
      <c r="I74" t="str">
        <f t="array" ref="I74">iferror(index(isotopes!$J:$J,match($A74,isotopes!$A:$A,0)))</f>
        <v>N</v>
      </c>
      <c r="J74" t="str">
        <f t="array" ref="J74">iferror(index(extra_muscle!$G:$G,match($A74,extra_muscle!$A:$A,0)))</f>
        <v>BXM16-47</v>
      </c>
      <c r="K74" t="str">
        <f t="array" ref="K74">iferror(index(extra_muscle!$J:$J,match($A74,extra_muscle!$A:$A,0)))</f>
        <v>N</v>
      </c>
      <c r="L74" s="59" t="str">
        <f t="array" ref="L74">iferror(index(dna!$G:$G,match($A74,dna!$A:$A,0)))</f>
        <v/>
      </c>
      <c r="M74" s="60" t="str">
        <f t="array" ref="M74">iferror(index(dna!$J:$J,match($A74,dna!$A:$A,0)))</f>
        <v/>
      </c>
      <c r="N74" t="str">
        <f t="array" ref="N74">iferror(index(stomachs!$G:$G,match($A74,stomachs!$A:$A,0)))</f>
        <v>BST232-13</v>
      </c>
      <c r="O74" t="str">
        <f t="array" ref="O74">iferror(index(stomachs!$J:$J,match($A74,stomachs!$A:$A,0)))</f>
        <v>N</v>
      </c>
      <c r="P74" t="str">
        <f t="array" ref="P74">iferror(index(sea_lice!$G:$G,match($A74,sea_lice!$A:$A,0)))</f>
        <v/>
      </c>
      <c r="Q74" t="str">
        <f t="array" ref="Q74">iferror(index(sea_lice!$J:$J,match($A74,sea_lice!$A:$A,0)))</f>
        <v/>
      </c>
      <c r="R74" s="40" t="str">
        <f t="array" ref="R74">iferror(index(dissected_fish!$F:$F,match($A74,dissected_fish!$A:$A,0)))</f>
        <v>BCA100</v>
      </c>
      <c r="S74" s="40" t="str">
        <f t="array" ref="S74">iferror(index(dissected_fish!$K:$K,match($A74,dissected_fish!$A:$A,0)))</f>
        <v>N</v>
      </c>
      <c r="T74" s="61" t="str">
        <f t="array" ref="T74">index(fish_lab_data!O:O,match(A74,fish_lab_data!C:C,0))</f>
        <v>JG</v>
      </c>
      <c r="U74" s="61">
        <f t="array" ref="U74">if(A74="","",index(fish_lab_data!X:X,match(A74,fish_lab_data!C:C,0)))</f>
        <v>73</v>
      </c>
    </row>
    <row r="75">
      <c r="A75" t="str">
        <f>fish_lab_data!C75</f>
        <v>U5182</v>
      </c>
      <c r="B75" t="str">
        <f t="array" ref="B75">iferror(index('rna-muscle'!$I:$I,match($A75,'rna-muscle'!$A:$A,0)))</f>
        <v>BRN66M-C5</v>
      </c>
      <c r="C75" t="str">
        <f t="array" ref="C75">iferror(index('rna-muscle'!$L:$L,match($A75,'rna-muscle'!$A:$A,0)))</f>
        <v>N</v>
      </c>
      <c r="D75" t="str">
        <f t="array" ref="D75">iferror(index('rna-gill'!$I:$I,match($A75,'rna-gill'!$A:$A,0)))</f>
        <v>BRN66G-C5</v>
      </c>
      <c r="E75" t="str">
        <f t="array" ref="E75">iferror(index('rna-gill'!$L:$L,match($A75,'rna-gill'!$A:$A,0)))</f>
        <v>N</v>
      </c>
      <c r="F75" t="str">
        <f t="array" ref="F75">iferror(index(fatty_acid!$G:$G,match($A75,fatty_acid!$A:$A,0)))</f>
        <v>BFA7-51</v>
      </c>
      <c r="G75" t="str">
        <f t="array" ref="G75">iferror(index(fatty_acid!$J:$J,match($A75,fatty_acid!$A:$A,0)))</f>
        <v>N</v>
      </c>
      <c r="H75" t="str">
        <f t="array" ref="H75">iferror(index(isotopes!$G:$G,match($A75,isotopes!$A:$A,0)))</f>
        <v>BIS23-27</v>
      </c>
      <c r="I75" t="str">
        <f t="array" ref="I75">iferror(index(isotopes!$J:$J,match($A75,isotopes!$A:$A,0)))</f>
        <v>N</v>
      </c>
      <c r="J75" t="str">
        <f t="array" ref="J75">iferror(index(extra_muscle!$G:$G,match($A75,extra_muscle!$A:$A,0)))</f>
        <v>BXM16-48</v>
      </c>
      <c r="K75" t="str">
        <f t="array" ref="K75">iferror(index(extra_muscle!$J:$J,match($A75,extra_muscle!$A:$A,0)))</f>
        <v>N</v>
      </c>
      <c r="L75" s="59" t="str">
        <f t="array" ref="L75">iferror(index(dna!$G:$G,match($A75,dna!$A:$A,0)))</f>
        <v/>
      </c>
      <c r="M75" s="60" t="str">
        <f t="array" ref="M75">iferror(index(dna!$J:$J,match($A75,dna!$A:$A,0)))</f>
        <v/>
      </c>
      <c r="N75" t="str">
        <f t="array" ref="N75">iferror(index(stomachs!$G:$G,match($A75,stomachs!$A:$A,0)))</f>
        <v>BST232-14</v>
      </c>
      <c r="O75" t="str">
        <f t="array" ref="O75">iferror(index(stomachs!$J:$J,match($A75,stomachs!$A:$A,0)))</f>
        <v>N</v>
      </c>
      <c r="P75" t="str">
        <f t="array" ref="P75">iferror(index(sea_lice!$G:$G,match($A75,sea_lice!$A:$A,0)))</f>
        <v/>
      </c>
      <c r="Q75" t="str">
        <f t="array" ref="Q75">iferror(index(sea_lice!$J:$J,match($A75,sea_lice!$A:$A,0)))</f>
        <v/>
      </c>
      <c r="R75" s="40" t="str">
        <f t="array" ref="R75">iferror(index(dissected_fish!$F:$F,match($A75,dissected_fish!$A:$A,0)))</f>
        <v>BCA100</v>
      </c>
      <c r="S75" s="40" t="str">
        <f t="array" ref="S75">iferror(index(dissected_fish!$K:$K,match($A75,dissected_fish!$A:$A,0)))</f>
        <v>N</v>
      </c>
      <c r="T75" s="61" t="str">
        <f t="array" ref="T75">index(fish_lab_data!O:O,match(A75,fish_lab_data!C:C,0))</f>
        <v>JG</v>
      </c>
      <c r="U75" s="61">
        <f t="array" ref="U75">if(A75="","",index(fish_lab_data!X:X,match(A75,fish_lab_data!C:C,0)))</f>
        <v>74</v>
      </c>
    </row>
    <row r="76">
      <c r="A76" t="str">
        <f>fish_lab_data!C76</f>
        <v>U5183</v>
      </c>
      <c r="B76" t="str">
        <f t="array" ref="B76">iferror(index('rna-muscle'!$I:$I,match($A76,'rna-muscle'!$A:$A,0)))</f>
        <v>BRN66M-B5</v>
      </c>
      <c r="C76" t="str">
        <f t="array" ref="C76">iferror(index('rna-muscle'!$L:$L,match($A76,'rna-muscle'!$A:$A,0)))</f>
        <v>N</v>
      </c>
      <c r="D76" t="str">
        <f t="array" ref="D76">iferror(index('rna-gill'!$I:$I,match($A76,'rna-gill'!$A:$A,0)))</f>
        <v>BRN66G-B5</v>
      </c>
      <c r="E76" t="str">
        <f t="array" ref="E76">iferror(index('rna-gill'!$L:$L,match($A76,'rna-gill'!$A:$A,0)))</f>
        <v>N</v>
      </c>
      <c r="F76" t="str">
        <f t="array" ref="F76">iferror(index(fatty_acid!$G:$G,match($A76,fatty_acid!$A:$A,0)))</f>
        <v>BFA7-53</v>
      </c>
      <c r="G76" t="str">
        <f t="array" ref="G76">iferror(index(fatty_acid!$J:$J,match($A76,fatty_acid!$A:$A,0)))</f>
        <v>N</v>
      </c>
      <c r="H76" t="str">
        <f t="array" ref="H76">iferror(index(isotopes!$G:$G,match($A76,isotopes!$A:$A,0)))</f>
        <v>BIS23-29</v>
      </c>
      <c r="I76" t="str">
        <f t="array" ref="I76">iferror(index(isotopes!$J:$J,match($A76,isotopes!$A:$A,0)))</f>
        <v>N</v>
      </c>
      <c r="J76" t="str">
        <f t="array" ref="J76">iferror(index(extra_muscle!$G:$G,match($A76,extra_muscle!$A:$A,0)))</f>
        <v>BXM16-49</v>
      </c>
      <c r="K76" t="str">
        <f t="array" ref="K76">iferror(index(extra_muscle!$J:$J,match($A76,extra_muscle!$A:$A,0)))</f>
        <v>N</v>
      </c>
      <c r="L76" s="59" t="str">
        <f t="array" ref="L76">iferror(index(dna!$G:$G,match($A76,dna!$A:$A,0)))</f>
        <v/>
      </c>
      <c r="M76" s="60" t="str">
        <f t="array" ref="M76">iferror(index(dna!$J:$J,match($A76,dna!$A:$A,0)))</f>
        <v/>
      </c>
      <c r="N76" t="str">
        <f t="array" ref="N76">iferror(index(stomachs!$G:$G,match($A76,stomachs!$A:$A,0)))</f>
        <v>BST232-15</v>
      </c>
      <c r="O76" t="str">
        <f t="array" ref="O76">iferror(index(stomachs!$J:$J,match($A76,stomachs!$A:$A,0)))</f>
        <v>N</v>
      </c>
      <c r="P76" t="str">
        <f t="array" ref="P76">iferror(index(sea_lice!$G:$G,match($A76,sea_lice!$A:$A,0)))</f>
        <v/>
      </c>
      <c r="Q76" t="str">
        <f t="array" ref="Q76">iferror(index(sea_lice!$J:$J,match($A76,sea_lice!$A:$A,0)))</f>
        <v/>
      </c>
      <c r="R76" s="40" t="str">
        <f t="array" ref="R76">iferror(index(dissected_fish!$F:$F,match($A76,dissected_fish!$A:$A,0)))</f>
        <v>BCA100</v>
      </c>
      <c r="S76" s="40" t="str">
        <f t="array" ref="S76">iferror(index(dissected_fish!$K:$K,match($A76,dissected_fish!$A:$A,0)))</f>
        <v>N</v>
      </c>
      <c r="T76" s="61" t="str">
        <f t="array" ref="T76">index(fish_lab_data!O:O,match(A76,fish_lab_data!C:C,0))</f>
        <v>JG</v>
      </c>
      <c r="U76" s="61">
        <f t="array" ref="U76">if(A76="","",index(fish_lab_data!X:X,match(A76,fish_lab_data!C:C,0)))</f>
        <v>75</v>
      </c>
    </row>
    <row r="77">
      <c r="A77" t="str">
        <f>fish_lab_data!C77</f>
        <v>U5184</v>
      </c>
      <c r="B77" t="str">
        <f t="array" ref="B77">iferror(index('rna-muscle'!$I:$I,match($A77,'rna-muscle'!$A:$A,0)))</f>
        <v>BRN66M-A5</v>
      </c>
      <c r="C77" t="str">
        <f t="array" ref="C77">iferror(index('rna-muscle'!$L:$L,match($A77,'rna-muscle'!$A:$A,0)))</f>
        <v>N</v>
      </c>
      <c r="D77" t="str">
        <f t="array" ref="D77">iferror(index('rna-gill'!$I:$I,match($A77,'rna-gill'!$A:$A,0)))</f>
        <v>BRN66G-A5</v>
      </c>
      <c r="E77" t="str">
        <f t="array" ref="E77">iferror(index('rna-gill'!$L:$L,match($A77,'rna-gill'!$A:$A,0)))</f>
        <v>N</v>
      </c>
      <c r="F77" t="str">
        <f t="array" ref="F77">iferror(index(fatty_acid!$G:$G,match($A77,fatty_acid!$A:$A,0)))</f>
        <v>BFA7-57</v>
      </c>
      <c r="G77" t="str">
        <f t="array" ref="G77">iferror(index(fatty_acid!$J:$J,match($A77,fatty_acid!$A:$A,0)))</f>
        <v>N</v>
      </c>
      <c r="H77" t="str">
        <f t="array" ref="H77">iferror(index(isotopes!$G:$G,match($A77,isotopes!$A:$A,0)))</f>
        <v>BIS23-32</v>
      </c>
      <c r="I77" t="str">
        <f t="array" ref="I77">iferror(index(isotopes!$J:$J,match($A77,isotopes!$A:$A,0)))</f>
        <v>N</v>
      </c>
      <c r="J77" t="str">
        <f t="array" ref="J77">iferror(index(extra_muscle!$G:$G,match($A77,extra_muscle!$A:$A,0)))</f>
        <v>BXM16-50</v>
      </c>
      <c r="K77" t="str">
        <f t="array" ref="K77">iferror(index(extra_muscle!$J:$J,match($A77,extra_muscle!$A:$A,0)))</f>
        <v>N</v>
      </c>
      <c r="L77" s="59" t="str">
        <f t="array" ref="L77">iferror(index(dna!$G:$G,match($A77,dna!$A:$A,0)))</f>
        <v/>
      </c>
      <c r="M77" s="60" t="str">
        <f t="array" ref="M77">iferror(index(dna!$J:$J,match($A77,dna!$A:$A,0)))</f>
        <v/>
      </c>
      <c r="N77" t="str">
        <f t="array" ref="N77">iferror(index(stomachs!$G:$G,match($A77,stomachs!$A:$A,0)))</f>
        <v>BST232-16</v>
      </c>
      <c r="O77" t="str">
        <f t="array" ref="O77">iferror(index(stomachs!$J:$J,match($A77,stomachs!$A:$A,0)))</f>
        <v>N</v>
      </c>
      <c r="P77" t="str">
        <f t="array" ref="P77">iferror(index(sea_lice!$G:$G,match($A77,sea_lice!$A:$A,0)))</f>
        <v/>
      </c>
      <c r="Q77" t="str">
        <f t="array" ref="Q77">iferror(index(sea_lice!$J:$J,match($A77,sea_lice!$A:$A,0)))</f>
        <v/>
      </c>
      <c r="R77" s="40" t="str">
        <f t="array" ref="R77">iferror(index(dissected_fish!$F:$F,match($A77,dissected_fish!$A:$A,0)))</f>
        <v>BCA100</v>
      </c>
      <c r="S77" s="40" t="str">
        <f t="array" ref="S77">iferror(index(dissected_fish!$K:$K,match($A77,dissected_fish!$A:$A,0)))</f>
        <v>N</v>
      </c>
      <c r="T77" s="61" t="str">
        <f t="array" ref="T77">index(fish_lab_data!O:O,match(A77,fish_lab_data!C:C,0))</f>
        <v>JG</v>
      </c>
      <c r="U77" s="61">
        <f t="array" ref="U77">if(A77="","",index(fish_lab_data!X:X,match(A77,fish_lab_data!C:C,0)))</f>
        <v>76</v>
      </c>
    </row>
    <row r="78">
      <c r="A78" t="str">
        <f>fish_lab_data!C78</f>
        <v>U5171</v>
      </c>
      <c r="B78" t="str">
        <f t="array" ref="B78">iferror(index('rna-muscle'!$I:$I,match($A78,'rna-muscle'!$A:$A,0)))</f>
        <v>BRN66M-C6</v>
      </c>
      <c r="C78" t="str">
        <f t="array" ref="C78">iferror(index('rna-muscle'!$L:$L,match($A78,'rna-muscle'!$A:$A,0)))</f>
        <v>N</v>
      </c>
      <c r="D78" t="str">
        <f t="array" ref="D78">iferror(index('rna-gill'!$I:$I,match($A78,'rna-gill'!$A:$A,0)))</f>
        <v>BRN66G-C6</v>
      </c>
      <c r="E78" t="str">
        <f t="array" ref="E78">iferror(index('rna-gill'!$L:$L,match($A78,'rna-gill'!$A:$A,0)))</f>
        <v>N</v>
      </c>
      <c r="F78" t="str">
        <f t="array" ref="F78">iferror(index(fatty_acid!$G:$G,match($A78,fatty_acid!$A:$A,0)))</f>
        <v>BFA9-83</v>
      </c>
      <c r="G78" t="str">
        <f t="array" ref="G78">iferror(index(fatty_acid!$J:$J,match($A78,fatty_acid!$A:$A,0)))</f>
        <v>N</v>
      </c>
      <c r="H78" t="str">
        <f t="array" ref="H78">iferror(index(isotopes!$G:$G,match($A78,isotopes!$A:$A,0)))</f>
        <v>BIS22-45</v>
      </c>
      <c r="I78" t="str">
        <f t="array" ref="I78">iferror(index(isotopes!$J:$J,match($A78,isotopes!$A:$A,0)))</f>
        <v>N</v>
      </c>
      <c r="J78" t="str">
        <f t="array" ref="J78">iferror(index(extra_muscle!$G:$G,match($A78,extra_muscle!$A:$A,0)))</f>
        <v>BXM22-21</v>
      </c>
      <c r="K78" t="str">
        <f t="array" ref="K78">iferror(index(extra_muscle!$J:$J,match($A78,extra_muscle!$A:$A,0)))</f>
        <v>N</v>
      </c>
      <c r="L78" s="59" t="str">
        <f t="array" ref="L78">iferror(index(dna!$G:$G,match($A78,dna!$A:$A,0)))</f>
        <v/>
      </c>
      <c r="M78" s="60" t="str">
        <f t="array" ref="M78">iferror(index(dna!$J:$J,match($A78,dna!$A:$A,0)))</f>
        <v/>
      </c>
      <c r="N78" t="str">
        <f t="array" ref="N78">iferror(index(stomachs!$G:$G,match($A78,stomachs!$A:$A,0)))</f>
        <v>BST231-5</v>
      </c>
      <c r="O78" t="str">
        <f t="array" ref="O78">iferror(index(stomachs!$J:$J,match($A78,stomachs!$A:$A,0)))</f>
        <v>N</v>
      </c>
      <c r="P78" t="str">
        <f t="array" ref="P78">iferror(index(sea_lice!$G:$G,match($A78,sea_lice!$A:$A,0)))</f>
        <v/>
      </c>
      <c r="Q78" t="str">
        <f t="array" ref="Q78">iferror(index(sea_lice!$J:$J,match($A78,sea_lice!$A:$A,0)))</f>
        <v/>
      </c>
      <c r="R78" s="40" t="str">
        <f t="array" ref="R78">iferror(index(dissected_fish!$F:$F,match($A78,dissected_fish!$A:$A,0)))</f>
        <v>BCA99</v>
      </c>
      <c r="S78" s="40" t="str">
        <f t="array" ref="S78">iferror(index(dissected_fish!$K:$K,match($A78,dissected_fish!$A:$A,0)))</f>
        <v>N</v>
      </c>
      <c r="T78" s="61" t="str">
        <f t="array" ref="T78">index(fish_lab_data!O:O,match(A78,fish_lab_data!C:C,0))</f>
        <v>EJ</v>
      </c>
      <c r="U78" s="61">
        <f t="array" ref="U78">if(A78="","",index(fish_lab_data!X:X,match(A78,fish_lab_data!C:C,0)))</f>
        <v>77</v>
      </c>
    </row>
    <row r="79">
      <c r="A79" t="str">
        <f>fish_lab_data!C79</f>
        <v>U5172</v>
      </c>
      <c r="B79" t="str">
        <f t="array" ref="B79">iferror(index('rna-muscle'!$I:$I,match($A79,'rna-muscle'!$A:$A,0)))</f>
        <v>BRN66M-B6</v>
      </c>
      <c r="C79" t="str">
        <f t="array" ref="C79">iferror(index('rna-muscle'!$L:$L,match($A79,'rna-muscle'!$A:$A,0)))</f>
        <v>N</v>
      </c>
      <c r="D79" t="str">
        <f t="array" ref="D79">iferror(index('rna-gill'!$I:$I,match($A79,'rna-gill'!$A:$A,0)))</f>
        <v>BRN66G-B6</v>
      </c>
      <c r="E79" t="str">
        <f t="array" ref="E79">iferror(index('rna-gill'!$L:$L,match($A79,'rna-gill'!$A:$A,0)))</f>
        <v>N</v>
      </c>
      <c r="F79" t="str">
        <f t="array" ref="F79">iferror(index(fatty_acid!$G:$G,match($A79,fatty_acid!$A:$A,0)))</f>
        <v>BFA9-84</v>
      </c>
      <c r="G79" t="str">
        <f t="array" ref="G79">iferror(index(fatty_acid!$J:$J,match($A79,fatty_acid!$A:$A,0)))</f>
        <v>N</v>
      </c>
      <c r="H79" t="str">
        <f t="array" ref="H79">iferror(index(isotopes!$G:$G,match($A79,isotopes!$A:$A,0)))</f>
        <v>BIS22-47</v>
      </c>
      <c r="I79" t="str">
        <f t="array" ref="I79">iferror(index(isotopes!$J:$J,match($A79,isotopes!$A:$A,0)))</f>
        <v>N</v>
      </c>
      <c r="J79" t="str">
        <f t="array" ref="J79">iferror(index(extra_muscle!$G:$G,match($A79,extra_muscle!$A:$A,0)))</f>
        <v>BXM22-22</v>
      </c>
      <c r="K79" t="str">
        <f t="array" ref="K79">iferror(index(extra_muscle!$J:$J,match($A79,extra_muscle!$A:$A,0)))</f>
        <v>N</v>
      </c>
      <c r="L79" s="59" t="str">
        <f t="array" ref="L79">iferror(index(dna!$G:$G,match($A79,dna!$A:$A,0)))</f>
        <v/>
      </c>
      <c r="M79" s="60" t="str">
        <f t="array" ref="M79">iferror(index(dna!$J:$J,match($A79,dna!$A:$A,0)))</f>
        <v/>
      </c>
      <c r="N79" t="str">
        <f t="array" ref="N79">iferror(index(stomachs!$G:$G,match($A79,stomachs!$A:$A,0)))</f>
        <v>BST234-1</v>
      </c>
      <c r="O79" t="str">
        <f t="array" ref="O79">iferror(index(stomachs!$J:$J,match($A79,stomachs!$A:$A,0)))</f>
        <v>N</v>
      </c>
      <c r="P79" t="str">
        <f t="array" ref="P79">iferror(index(sea_lice!$G:$G,match($A79,sea_lice!$A:$A,0)))</f>
        <v/>
      </c>
      <c r="Q79" t="str">
        <f t="array" ref="Q79">iferror(index(sea_lice!$J:$J,match($A79,sea_lice!$A:$A,0)))</f>
        <v/>
      </c>
      <c r="R79" s="40" t="str">
        <f t="array" ref="R79">iferror(index(dissected_fish!$F:$F,match($A79,dissected_fish!$A:$A,0)))</f>
        <v>BCA99</v>
      </c>
      <c r="S79" s="40" t="str">
        <f t="array" ref="S79">iferror(index(dissected_fish!$K:$K,match($A79,dissected_fish!$A:$A,0)))</f>
        <v>N</v>
      </c>
      <c r="T79" s="61" t="str">
        <f t="array" ref="T79">index(fish_lab_data!O:O,match(A79,fish_lab_data!C:C,0))</f>
        <v>EJ</v>
      </c>
      <c r="U79" s="61">
        <f t="array" ref="U79">if(A79="","",index(fish_lab_data!X:X,match(A79,fish_lab_data!C:C,0)))</f>
        <v>78</v>
      </c>
    </row>
    <row r="80">
      <c r="A80" t="str">
        <f>fish_lab_data!C80</f>
        <v>U5173</v>
      </c>
      <c r="B80" t="str">
        <f t="array" ref="B80">iferror(index('rna-muscle'!$I:$I,match($A80,'rna-muscle'!$A:$A,0)))</f>
        <v>BRN66M-A6</v>
      </c>
      <c r="C80" t="str">
        <f t="array" ref="C80">iferror(index('rna-muscle'!$L:$L,match($A80,'rna-muscle'!$A:$A,0)))</f>
        <v>N</v>
      </c>
      <c r="D80" t="str">
        <f t="array" ref="D80">iferror(index('rna-gill'!$I:$I,match($A80,'rna-gill'!$A:$A,0)))</f>
        <v>BRN66G-A6</v>
      </c>
      <c r="E80" t="str">
        <f t="array" ref="E80">iferror(index('rna-gill'!$L:$L,match($A80,'rna-gill'!$A:$A,0)))</f>
        <v>N</v>
      </c>
      <c r="F80" t="str">
        <f t="array" ref="F80">iferror(index(fatty_acid!$G:$G,match($A80,fatty_acid!$A:$A,0)))</f>
        <v>BFA9-86</v>
      </c>
      <c r="G80" t="str">
        <f t="array" ref="G80">iferror(index(fatty_acid!$J:$J,match($A80,fatty_acid!$A:$A,0)))</f>
        <v>N</v>
      </c>
      <c r="H80" t="str">
        <f t="array" ref="H80">iferror(index(isotopes!$G:$G,match($A80,isotopes!$A:$A,0)))</f>
        <v>BIS22-49</v>
      </c>
      <c r="I80" t="str">
        <f t="array" ref="I80">iferror(index(isotopes!$J:$J,match($A80,isotopes!$A:$A,0)))</f>
        <v>N</v>
      </c>
      <c r="J80" t="str">
        <f t="array" ref="J80">iferror(index(extra_muscle!$G:$G,match($A80,extra_muscle!$A:$A,0)))</f>
        <v>BXM22-23</v>
      </c>
      <c r="K80" t="str">
        <f t="array" ref="K80">iferror(index(extra_muscle!$J:$J,match($A80,extra_muscle!$A:$A,0)))</f>
        <v>N</v>
      </c>
      <c r="L80" s="59" t="str">
        <f t="array" ref="L80">iferror(index(dna!$G:$G,match($A80,dna!$A:$A,0)))</f>
        <v/>
      </c>
      <c r="M80" s="60" t="str">
        <f t="array" ref="M80">iferror(index(dna!$J:$J,match($A80,dna!$A:$A,0)))</f>
        <v/>
      </c>
      <c r="N80" t="str">
        <f t="array" ref="N80">iferror(index(stomachs!$G:$G,match($A80,stomachs!$A:$A,0)))</f>
        <v>BST234-2</v>
      </c>
      <c r="O80" t="str">
        <f t="array" ref="O80">iferror(index(stomachs!$J:$J,match($A80,stomachs!$A:$A,0)))</f>
        <v>N</v>
      </c>
      <c r="P80" t="str">
        <f t="array" ref="P80">iferror(index(sea_lice!$G:$G,match($A80,sea_lice!$A:$A,0)))</f>
        <v/>
      </c>
      <c r="Q80" t="str">
        <f t="array" ref="Q80">iferror(index(sea_lice!$J:$J,match($A80,sea_lice!$A:$A,0)))</f>
        <v/>
      </c>
      <c r="R80" s="40" t="str">
        <f t="array" ref="R80">iferror(index(dissected_fish!$F:$F,match($A80,dissected_fish!$A:$A,0)))</f>
        <v>BCA99</v>
      </c>
      <c r="S80" s="40" t="str">
        <f t="array" ref="S80">iferror(index(dissected_fish!$K:$K,match($A80,dissected_fish!$A:$A,0)))</f>
        <v>N</v>
      </c>
      <c r="T80" s="61" t="str">
        <f t="array" ref="T80">index(fish_lab_data!O:O,match(A80,fish_lab_data!C:C,0))</f>
        <v>EJ</v>
      </c>
      <c r="U80" s="61">
        <f t="array" ref="U80">if(A80="","",index(fish_lab_data!X:X,match(A80,fish_lab_data!C:C,0)))</f>
        <v>79</v>
      </c>
    </row>
    <row r="81">
      <c r="A81" t="str">
        <f>fish_lab_data!C81</f>
        <v>U5174</v>
      </c>
      <c r="B81" t="str">
        <f t="array" ref="B81">iferror(index('rna-muscle'!$I:$I,match($A81,'rna-muscle'!$A:$A,0)))</f>
        <v>BRN66M-H7</v>
      </c>
      <c r="C81" t="str">
        <f t="array" ref="C81">iferror(index('rna-muscle'!$L:$L,match($A81,'rna-muscle'!$A:$A,0)))</f>
        <v>N</v>
      </c>
      <c r="D81" t="str">
        <f t="array" ref="D81">iferror(index('rna-gill'!$I:$I,match($A81,'rna-gill'!$A:$A,0)))</f>
        <v>BRN66G-H7</v>
      </c>
      <c r="E81" t="str">
        <f t="array" ref="E81">iferror(index('rna-gill'!$L:$L,match($A81,'rna-gill'!$A:$A,0)))</f>
        <v>N</v>
      </c>
      <c r="F81" t="str">
        <f t="array" ref="F81">iferror(index(fatty_acid!$G:$G,match($A81,fatty_acid!$A:$A,0)))</f>
        <v>BFA9-87</v>
      </c>
      <c r="G81" t="str">
        <f t="array" ref="G81">iferror(index(fatty_acid!$J:$J,match($A81,fatty_acid!$A:$A,0)))</f>
        <v>N</v>
      </c>
      <c r="H81" t="str">
        <f t="array" ref="H81">iferror(index(isotopes!$G:$G,match($A81,isotopes!$A:$A,0)))</f>
        <v>BIS22-52</v>
      </c>
      <c r="I81" t="str">
        <f t="array" ref="I81">iferror(index(isotopes!$J:$J,match($A81,isotopes!$A:$A,0)))</f>
        <v>N</v>
      </c>
      <c r="J81" t="str">
        <f t="array" ref="J81">iferror(index(extra_muscle!$G:$G,match($A81,extra_muscle!$A:$A,0)))</f>
        <v>BXM22-24</v>
      </c>
      <c r="K81" t="str">
        <f t="array" ref="K81">iferror(index(extra_muscle!$J:$J,match($A81,extra_muscle!$A:$A,0)))</f>
        <v>N</v>
      </c>
      <c r="L81" s="59" t="str">
        <f t="array" ref="L81">iferror(index(dna!$G:$G,match($A81,dna!$A:$A,0)))</f>
        <v/>
      </c>
      <c r="M81" s="60" t="str">
        <f t="array" ref="M81">iferror(index(dna!$J:$J,match($A81,dna!$A:$A,0)))</f>
        <v/>
      </c>
      <c r="N81" t="str">
        <f t="array" ref="N81">iferror(index(stomachs!$G:$G,match($A81,stomachs!$A:$A,0)))</f>
        <v>BST234-3</v>
      </c>
      <c r="O81" t="str">
        <f t="array" ref="O81">iferror(index(stomachs!$J:$J,match($A81,stomachs!$A:$A,0)))</f>
        <v>N</v>
      </c>
      <c r="P81" t="str">
        <f t="array" ref="P81">iferror(index(sea_lice!$G:$G,match($A81,sea_lice!$A:$A,0)))</f>
        <v/>
      </c>
      <c r="Q81" t="str">
        <f t="array" ref="Q81">iferror(index(sea_lice!$J:$J,match($A81,sea_lice!$A:$A,0)))</f>
        <v/>
      </c>
      <c r="R81" s="40" t="str">
        <f t="array" ref="R81">iferror(index(dissected_fish!$F:$F,match($A81,dissected_fish!$A:$A,0)))</f>
        <v>BCA99</v>
      </c>
      <c r="S81" s="40" t="str">
        <f t="array" ref="S81">iferror(index(dissected_fish!$K:$K,match($A81,dissected_fish!$A:$A,0)))</f>
        <v>N</v>
      </c>
      <c r="T81" s="61" t="str">
        <f t="array" ref="T81">index(fish_lab_data!O:O,match(A81,fish_lab_data!C:C,0))</f>
        <v>EJ</v>
      </c>
      <c r="U81" s="61">
        <f t="array" ref="U81">if(A81="","",index(fish_lab_data!X:X,match(A81,fish_lab_data!C:C,0)))</f>
        <v>80</v>
      </c>
    </row>
    <row r="82">
      <c r="A82" t="str">
        <f>fish_lab_data!C82</f>
        <v>U5175</v>
      </c>
      <c r="B82" t="str">
        <f t="array" ref="B82">iferror(index('rna-muscle'!$I:$I,match($A82,'rna-muscle'!$A:$A,0)))</f>
        <v>BRN66M-G7</v>
      </c>
      <c r="C82" t="str">
        <f t="array" ref="C82">iferror(index('rna-muscle'!$L:$L,match($A82,'rna-muscle'!$A:$A,0)))</f>
        <v>N</v>
      </c>
      <c r="D82" t="str">
        <f t="array" ref="D82">iferror(index('rna-gill'!$I:$I,match($A82,'rna-gill'!$A:$A,0)))</f>
        <v>BRN66G-G7</v>
      </c>
      <c r="E82" t="str">
        <f t="array" ref="E82">iferror(index('rna-gill'!$L:$L,match($A82,'rna-gill'!$A:$A,0)))</f>
        <v>N</v>
      </c>
      <c r="F82" t="str">
        <f t="array" ref="F82">iferror(index(fatty_acid!$G:$G,match($A82,fatty_acid!$A:$A,0)))</f>
        <v>BFA9-88</v>
      </c>
      <c r="G82" t="str">
        <f t="array" ref="G82">iferror(index(fatty_acid!$J:$J,match($A82,fatty_acid!$A:$A,0)))</f>
        <v>N</v>
      </c>
      <c r="H82" t="str">
        <f t="array" ref="H82">iferror(index(isotopes!$G:$G,match($A82,isotopes!$A:$A,0)))</f>
        <v>BIS22-54</v>
      </c>
      <c r="I82" t="str">
        <f t="array" ref="I82">iferror(index(isotopes!$J:$J,match($A82,isotopes!$A:$A,0)))</f>
        <v>N</v>
      </c>
      <c r="J82" t="str">
        <f t="array" ref="J82">iferror(index(extra_muscle!$G:$G,match($A82,extra_muscle!$A:$A,0)))</f>
        <v>BXM22-25</v>
      </c>
      <c r="K82" t="str">
        <f t="array" ref="K82">iferror(index(extra_muscle!$J:$J,match($A82,extra_muscle!$A:$A,0)))</f>
        <v>N</v>
      </c>
      <c r="L82" s="59" t="str">
        <f t="array" ref="L82">iferror(index(dna!$G:$G,match($A82,dna!$A:$A,0)))</f>
        <v/>
      </c>
      <c r="M82" s="60" t="str">
        <f t="array" ref="M82">iferror(index(dna!$J:$J,match($A82,dna!$A:$A,0)))</f>
        <v/>
      </c>
      <c r="N82" t="str">
        <f t="array" ref="N82">iferror(index(stomachs!$G:$G,match($A82,stomachs!$A:$A,0)))</f>
        <v>BST234-4</v>
      </c>
      <c r="O82" t="str">
        <f t="array" ref="O82">iferror(index(stomachs!$J:$J,match($A82,stomachs!$A:$A,0)))</f>
        <v>N</v>
      </c>
      <c r="P82" t="str">
        <f t="array" ref="P82">iferror(index(sea_lice!$G:$G,match($A82,sea_lice!$A:$A,0)))</f>
        <v/>
      </c>
      <c r="Q82" t="str">
        <f t="array" ref="Q82">iferror(index(sea_lice!$J:$J,match($A82,sea_lice!$A:$A,0)))</f>
        <v/>
      </c>
      <c r="R82" s="40" t="str">
        <f t="array" ref="R82">iferror(index(dissected_fish!$F:$F,match($A82,dissected_fish!$A:$A,0)))</f>
        <v>BCA99</v>
      </c>
      <c r="S82" s="40" t="str">
        <f t="array" ref="S82">iferror(index(dissected_fish!$K:$K,match($A82,dissected_fish!$A:$A,0)))</f>
        <v>N</v>
      </c>
      <c r="T82" s="61" t="str">
        <f t="array" ref="T82">index(fish_lab_data!O:O,match(A82,fish_lab_data!C:C,0))</f>
        <v>EJ</v>
      </c>
      <c r="U82" s="61">
        <f t="array" ref="U82">if(A82="","",index(fish_lab_data!X:X,match(A82,fish_lab_data!C:C,0)))</f>
        <v>81</v>
      </c>
    </row>
    <row r="83">
      <c r="A83" t="str">
        <f>fish_lab_data!C83</f>
        <v>U5176</v>
      </c>
      <c r="B83" t="str">
        <f t="array" ref="B83">iferror(index('rna-muscle'!$I:$I,match($A83,'rna-muscle'!$A:$A,0)))</f>
        <v>BRN66M-F7</v>
      </c>
      <c r="C83" t="str">
        <f t="array" ref="C83">iferror(index('rna-muscle'!$L:$L,match($A83,'rna-muscle'!$A:$A,0)))</f>
        <v>N</v>
      </c>
      <c r="D83" t="str">
        <f t="array" ref="D83">iferror(index('rna-gill'!$I:$I,match($A83,'rna-gill'!$A:$A,0)))</f>
        <v>BRN66G-F7</v>
      </c>
      <c r="E83" t="str">
        <f t="array" ref="E83">iferror(index('rna-gill'!$L:$L,match($A83,'rna-gill'!$A:$A,0)))</f>
        <v>N</v>
      </c>
      <c r="F83" t="str">
        <f t="array" ref="F83">iferror(index(fatty_acid!$G:$G,match($A83,fatty_acid!$A:$A,0)))</f>
        <v>BFA9-89</v>
      </c>
      <c r="G83" t="str">
        <f t="array" ref="G83">iferror(index(fatty_acid!$J:$J,match($A83,fatty_acid!$A:$A,0)))</f>
        <v>N</v>
      </c>
      <c r="H83" t="str">
        <f t="array" ref="H83">iferror(index(isotopes!$G:$G,match($A83,isotopes!$A:$A,0)))</f>
        <v>BIS22-56</v>
      </c>
      <c r="I83" t="str">
        <f t="array" ref="I83">iferror(index(isotopes!$J:$J,match($A83,isotopes!$A:$A,0)))</f>
        <v>N</v>
      </c>
      <c r="J83" t="str">
        <f t="array" ref="J83">iferror(index(extra_muscle!$G:$G,match($A83,extra_muscle!$A:$A,0)))</f>
        <v>BXM22-27</v>
      </c>
      <c r="K83" t="str">
        <f t="array" ref="K83">iferror(index(extra_muscle!$J:$J,match($A83,extra_muscle!$A:$A,0)))</f>
        <v>N</v>
      </c>
      <c r="L83" s="59" t="str">
        <f t="array" ref="L83">iferror(index(dna!$G:$G,match($A83,dna!$A:$A,0)))</f>
        <v/>
      </c>
      <c r="M83" s="60" t="str">
        <f t="array" ref="M83">iferror(index(dna!$J:$J,match($A83,dna!$A:$A,0)))</f>
        <v/>
      </c>
      <c r="N83" t="str">
        <f t="array" ref="N83">iferror(index(stomachs!$G:$G,match($A83,stomachs!$A:$A,0)))</f>
        <v>BST234-5</v>
      </c>
      <c r="O83" t="str">
        <f t="array" ref="O83">iferror(index(stomachs!$J:$J,match($A83,stomachs!$A:$A,0)))</f>
        <v>N</v>
      </c>
      <c r="P83" t="str">
        <f t="array" ref="P83">iferror(index(sea_lice!$G:$G,match($A83,sea_lice!$A:$A,0)))</f>
        <v/>
      </c>
      <c r="Q83" t="str">
        <f t="array" ref="Q83">iferror(index(sea_lice!$J:$J,match($A83,sea_lice!$A:$A,0)))</f>
        <v/>
      </c>
      <c r="R83" s="40" t="str">
        <f t="array" ref="R83">iferror(index(dissected_fish!$F:$F,match($A83,dissected_fish!$A:$A,0)))</f>
        <v>BCA99</v>
      </c>
      <c r="S83" s="40" t="str">
        <f t="array" ref="S83">iferror(index(dissected_fish!$K:$K,match($A83,dissected_fish!$A:$A,0)))</f>
        <v>N</v>
      </c>
      <c r="T83" s="61" t="str">
        <f t="array" ref="T83">index(fish_lab_data!O:O,match(A83,fish_lab_data!C:C,0))</f>
        <v>EJ</v>
      </c>
      <c r="U83" s="61">
        <f t="array" ref="U83">if(A83="","",index(fish_lab_data!X:X,match(A83,fish_lab_data!C:C,0)))</f>
        <v>82</v>
      </c>
    </row>
    <row r="84">
      <c r="A84" t="str">
        <f>fish_lab_data!C84</f>
        <v>U5177</v>
      </c>
      <c r="B84" t="str">
        <f t="array" ref="B84">iferror(index('rna-muscle'!$I:$I,match($A84,'rna-muscle'!$A:$A,0)))</f>
        <v>BRN66M-E7</v>
      </c>
      <c r="C84" t="str">
        <f t="array" ref="C84">iferror(index('rna-muscle'!$L:$L,match($A84,'rna-muscle'!$A:$A,0)))</f>
        <v>N</v>
      </c>
      <c r="D84" t="str">
        <f t="array" ref="D84">iferror(index('rna-gill'!$I:$I,match($A84,'rna-gill'!$A:$A,0)))</f>
        <v>BRN66G-E7</v>
      </c>
      <c r="E84" t="str">
        <f t="array" ref="E84">iferror(index('rna-gill'!$L:$L,match($A84,'rna-gill'!$A:$A,0)))</f>
        <v>N</v>
      </c>
      <c r="F84" t="str">
        <f t="array" ref="F84">iferror(index(fatty_acid!$G:$G,match($A84,fatty_acid!$A:$A,0)))</f>
        <v>BFA9-90</v>
      </c>
      <c r="G84" t="str">
        <f t="array" ref="G84">iferror(index(fatty_acid!$J:$J,match($A84,fatty_acid!$A:$A,0)))</f>
        <v>N</v>
      </c>
      <c r="H84" t="str">
        <f t="array" ref="H84">iferror(index(isotopes!$G:$G,match($A84,isotopes!$A:$A,0)))</f>
        <v>BIS22-58</v>
      </c>
      <c r="I84" t="str">
        <f t="array" ref="I84">iferror(index(isotopes!$J:$J,match($A84,isotopes!$A:$A,0)))</f>
        <v>N</v>
      </c>
      <c r="J84" t="str">
        <f t="array" ref="J84">iferror(index(extra_muscle!$G:$G,match($A84,extra_muscle!$A:$A,0)))</f>
        <v>BXM22-28</v>
      </c>
      <c r="K84" t="str">
        <f t="array" ref="K84">iferror(index(extra_muscle!$J:$J,match($A84,extra_muscle!$A:$A,0)))</f>
        <v>N</v>
      </c>
      <c r="L84" s="59" t="str">
        <f t="array" ref="L84">iferror(index(dna!$G:$G,match($A84,dna!$A:$A,0)))</f>
        <v/>
      </c>
      <c r="M84" s="60" t="str">
        <f t="array" ref="M84">iferror(index(dna!$J:$J,match($A84,dna!$A:$A,0)))</f>
        <v/>
      </c>
      <c r="N84" t="str">
        <f t="array" ref="N84">iferror(index(stomachs!$G:$G,match($A84,stomachs!$A:$A,0)))</f>
        <v>BST234-6</v>
      </c>
      <c r="O84" t="str">
        <f t="array" ref="O84">iferror(index(stomachs!$J:$J,match($A84,stomachs!$A:$A,0)))</f>
        <v>N</v>
      </c>
      <c r="P84" t="str">
        <f t="array" ref="P84">iferror(index(sea_lice!$G:$G,match($A84,sea_lice!$A:$A,0)))</f>
        <v/>
      </c>
      <c r="Q84" t="str">
        <f t="array" ref="Q84">iferror(index(sea_lice!$J:$J,match($A84,sea_lice!$A:$A,0)))</f>
        <v/>
      </c>
      <c r="R84" s="40" t="str">
        <f t="array" ref="R84">iferror(index(dissected_fish!$F:$F,match($A84,dissected_fish!$A:$A,0)))</f>
        <v>BCA99</v>
      </c>
      <c r="S84" s="40" t="str">
        <f t="array" ref="S84">iferror(index(dissected_fish!$K:$K,match($A84,dissected_fish!$A:$A,0)))</f>
        <v>N</v>
      </c>
      <c r="T84" s="61" t="str">
        <f t="array" ref="T84">index(fish_lab_data!O:O,match(A84,fish_lab_data!C:C,0))</f>
        <v>EJ</v>
      </c>
      <c r="U84" s="61">
        <f t="array" ref="U84">if(A84="","",index(fish_lab_data!X:X,match(A84,fish_lab_data!C:C,0)))</f>
        <v>83</v>
      </c>
    </row>
    <row r="85">
      <c r="A85" t="str">
        <f>fish_lab_data!C85</f>
        <v>U5178</v>
      </c>
      <c r="B85" t="str">
        <f t="array" ref="B85">iferror(index('rna-muscle'!$I:$I,match($A85,'rna-muscle'!$A:$A,0)))</f>
        <v>BRN66M-D7</v>
      </c>
      <c r="C85" t="str">
        <f t="array" ref="C85">iferror(index('rna-muscle'!$L:$L,match($A85,'rna-muscle'!$A:$A,0)))</f>
        <v>N</v>
      </c>
      <c r="D85" t="str">
        <f t="array" ref="D85">iferror(index('rna-gill'!$I:$I,match($A85,'rna-gill'!$A:$A,0)))</f>
        <v>BRN66G-D7</v>
      </c>
      <c r="E85" t="str">
        <f t="array" ref="E85">iferror(index('rna-gill'!$L:$L,match($A85,'rna-gill'!$A:$A,0)))</f>
        <v>N</v>
      </c>
      <c r="F85" t="str">
        <f t="array" ref="F85">iferror(index(fatty_acid!$G:$G,match($A85,fatty_acid!$A:$A,0)))</f>
        <v>BFA9-91</v>
      </c>
      <c r="G85" t="str">
        <f t="array" ref="G85">iferror(index(fatty_acid!$J:$J,match($A85,fatty_acid!$A:$A,0)))</f>
        <v>N</v>
      </c>
      <c r="H85" t="str">
        <f t="array" ref="H85">iferror(index(isotopes!$G:$G,match($A85,isotopes!$A:$A,0)))</f>
        <v>BIS22-60</v>
      </c>
      <c r="I85" t="str">
        <f t="array" ref="I85">iferror(index(isotopes!$J:$J,match($A85,isotopes!$A:$A,0)))</f>
        <v>N</v>
      </c>
      <c r="J85" t="str">
        <f t="array" ref="J85">iferror(index(extra_muscle!$G:$G,match($A85,extra_muscle!$A:$A,0)))</f>
        <v>BXM22-29</v>
      </c>
      <c r="K85" t="str">
        <f t="array" ref="K85">iferror(index(extra_muscle!$J:$J,match($A85,extra_muscle!$A:$A,0)))</f>
        <v>N</v>
      </c>
      <c r="L85" s="59" t="str">
        <f t="array" ref="L85">iferror(index(dna!$G:$G,match($A85,dna!$A:$A,0)))</f>
        <v/>
      </c>
      <c r="M85" s="60" t="str">
        <f t="array" ref="M85">iferror(index(dna!$J:$J,match($A85,dna!$A:$A,0)))</f>
        <v/>
      </c>
      <c r="N85" t="str">
        <f t="array" ref="N85">iferror(index(stomachs!$G:$G,match($A85,stomachs!$A:$A,0)))</f>
        <v>BST234-7</v>
      </c>
      <c r="O85" t="str">
        <f t="array" ref="O85">iferror(index(stomachs!$J:$J,match($A85,stomachs!$A:$A,0)))</f>
        <v>N</v>
      </c>
      <c r="P85" t="str">
        <f t="array" ref="P85">iferror(index(sea_lice!$G:$G,match($A85,sea_lice!$A:$A,0)))</f>
        <v/>
      </c>
      <c r="Q85" t="str">
        <f t="array" ref="Q85">iferror(index(sea_lice!$J:$J,match($A85,sea_lice!$A:$A,0)))</f>
        <v/>
      </c>
      <c r="R85" s="40" t="str">
        <f t="array" ref="R85">iferror(index(dissected_fish!$F:$F,match($A85,dissected_fish!$A:$A,0)))</f>
        <v>BCA99</v>
      </c>
      <c r="S85" s="40" t="str">
        <f t="array" ref="S85">iferror(index(dissected_fish!$K:$K,match($A85,dissected_fish!$A:$A,0)))</f>
        <v>N</v>
      </c>
      <c r="T85" s="61" t="str">
        <f t="array" ref="T85">index(fish_lab_data!O:O,match(A85,fish_lab_data!C:C,0))</f>
        <v>EJ</v>
      </c>
      <c r="U85" s="61">
        <f t="array" ref="U85">if(A85="","",index(fish_lab_data!X:X,match(A85,fish_lab_data!C:C,0)))</f>
        <v>84</v>
      </c>
    </row>
    <row r="86">
      <c r="A86" t="str">
        <f>fish_lab_data!C86</f>
        <v>U5194</v>
      </c>
      <c r="B86" t="str">
        <f t="array" ref="B86">iferror(index('rna-muscle'!$I:$I,match($A86,'rna-muscle'!$A:$A,0)))</f>
        <v>BRN66M-C7</v>
      </c>
      <c r="C86" t="str">
        <f t="array" ref="C86">iferror(index('rna-muscle'!$L:$L,match($A86,'rna-muscle'!$A:$A,0)))</f>
        <v>N</v>
      </c>
      <c r="D86" t="str">
        <f t="array" ref="D86">iferror(index('rna-gill'!$I:$I,match($A86,'rna-gill'!$A:$A,0)))</f>
        <v>BRN66G-C7</v>
      </c>
      <c r="E86" t="str">
        <f t="array" ref="E86">iferror(index('rna-gill'!$L:$L,match($A86,'rna-gill'!$A:$A,0)))</f>
        <v>N</v>
      </c>
      <c r="F86" t="str">
        <f t="array" ref="F86">iferror(index(fatty_acid!$G:$G,match($A86,fatty_acid!$A:$A,0)))</f>
        <v>BFA9-92</v>
      </c>
      <c r="G86" t="str">
        <f t="array" ref="G86">iferror(index(fatty_acid!$J:$J,match($A86,fatty_acid!$A:$A,0)))</f>
        <v>N</v>
      </c>
      <c r="H86" t="str">
        <f t="array" ref="H86">iferror(index(isotopes!$G:$G,match($A86,isotopes!$A:$A,0)))</f>
        <v>BIS22-61</v>
      </c>
      <c r="I86" t="str">
        <f t="array" ref="I86">iferror(index(isotopes!$J:$J,match($A86,isotopes!$A:$A,0)))</f>
        <v>N</v>
      </c>
      <c r="J86" t="str">
        <f t="array" ref="J86">iferror(index(extra_muscle!$G:$G,match($A86,extra_muscle!$A:$A,0)))</f>
        <v>BXM22-30</v>
      </c>
      <c r="K86" t="str">
        <f t="array" ref="K86">iferror(index(extra_muscle!$J:$J,match($A86,extra_muscle!$A:$A,0)))</f>
        <v>N</v>
      </c>
      <c r="L86" s="59" t="str">
        <f t="array" ref="L86">iferror(index(dna!$G:$G,match($A86,dna!$A:$A,0)))</f>
        <v/>
      </c>
      <c r="M86" s="60" t="str">
        <f t="array" ref="M86">iferror(index(dna!$J:$J,match($A86,dna!$A:$A,0)))</f>
        <v/>
      </c>
      <c r="N86" t="str">
        <f t="array" ref="N86">iferror(index(stomachs!$G:$G,match($A86,stomachs!$A:$A,0)))</f>
        <v>BST234-8</v>
      </c>
      <c r="O86" t="str">
        <f t="array" ref="O86">iferror(index(stomachs!$J:$J,match($A86,stomachs!$A:$A,0)))</f>
        <v>N</v>
      </c>
      <c r="P86" t="str">
        <f t="array" ref="P86">iferror(index(sea_lice!$G:$G,match($A86,sea_lice!$A:$A,0)))</f>
        <v/>
      </c>
      <c r="Q86" t="str">
        <f t="array" ref="Q86">iferror(index(sea_lice!$J:$J,match($A86,sea_lice!$A:$A,0)))</f>
        <v/>
      </c>
      <c r="R86" s="40" t="str">
        <f t="array" ref="R86">iferror(index(dissected_fish!$F:$F,match($A86,dissected_fish!$A:$A,0)))</f>
        <v>BCA99</v>
      </c>
      <c r="S86" s="40" t="str">
        <f t="array" ref="S86">iferror(index(dissected_fish!$K:$K,match($A86,dissected_fish!$A:$A,0)))</f>
        <v>N</v>
      </c>
      <c r="T86" s="61" t="str">
        <f t="array" ref="T86">index(fish_lab_data!O:O,match(A86,fish_lab_data!C:C,0))</f>
        <v>EJ</v>
      </c>
      <c r="U86" s="61">
        <f t="array" ref="U86">if(A86="","",index(fish_lab_data!X:X,match(A86,fish_lab_data!C:C,0)))</f>
        <v>85</v>
      </c>
    </row>
    <row r="87">
      <c r="A87" t="str">
        <f>fish_lab_data!C87</f>
        <v>U5195</v>
      </c>
      <c r="B87" t="str">
        <f t="array" ref="B87">iferror(index('rna-muscle'!$I:$I,match($A87,'rna-muscle'!$A:$A,0)))</f>
        <v>BRN66M-B7</v>
      </c>
      <c r="C87" t="str">
        <f t="array" ref="C87">iferror(index('rna-muscle'!$L:$L,match($A87,'rna-muscle'!$A:$A,0)))</f>
        <v>N</v>
      </c>
      <c r="D87" t="str">
        <f t="array" ref="D87">iferror(index('rna-gill'!$I:$I,match($A87,'rna-gill'!$A:$A,0)))</f>
        <v>BRN66G-B7</v>
      </c>
      <c r="E87" t="str">
        <f t="array" ref="E87">iferror(index('rna-gill'!$L:$L,match($A87,'rna-gill'!$A:$A,0)))</f>
        <v>N</v>
      </c>
      <c r="F87" t="str">
        <f t="array" ref="F87">iferror(index(fatty_acid!$G:$G,match($A87,fatty_acid!$A:$A,0)))</f>
        <v>BFA9-93</v>
      </c>
      <c r="G87" t="str">
        <f t="array" ref="G87">iferror(index(fatty_acid!$J:$J,match($A87,fatty_acid!$A:$A,0)))</f>
        <v>N</v>
      </c>
      <c r="H87" t="str">
        <f t="array" ref="H87">iferror(index(isotopes!$G:$G,match($A87,isotopes!$A:$A,0)))</f>
        <v>BIS22-63</v>
      </c>
      <c r="I87" t="str">
        <f t="array" ref="I87">iferror(index(isotopes!$J:$J,match($A87,isotopes!$A:$A,0)))</f>
        <v>N</v>
      </c>
      <c r="J87" t="str">
        <f t="array" ref="J87">iferror(index(extra_muscle!$G:$G,match($A87,extra_muscle!$A:$A,0)))</f>
        <v>BXM22-31</v>
      </c>
      <c r="K87" t="str">
        <f t="array" ref="K87">iferror(index(extra_muscle!$J:$J,match($A87,extra_muscle!$A:$A,0)))</f>
        <v>N</v>
      </c>
      <c r="L87" s="59" t="str">
        <f t="array" ref="L87">iferror(index(dna!$G:$G,match($A87,dna!$A:$A,0)))</f>
        <v/>
      </c>
      <c r="M87" s="60" t="str">
        <f t="array" ref="M87">iferror(index(dna!$J:$J,match($A87,dna!$A:$A,0)))</f>
        <v/>
      </c>
      <c r="N87" t="str">
        <f t="array" ref="N87">iferror(index(stomachs!$G:$G,match($A87,stomachs!$A:$A,0)))</f>
        <v>BST234-9</v>
      </c>
      <c r="O87" t="str">
        <f t="array" ref="O87">iferror(index(stomachs!$J:$J,match($A87,stomachs!$A:$A,0)))</f>
        <v>N</v>
      </c>
      <c r="P87" t="str">
        <f t="array" ref="P87">iferror(index(sea_lice!$G:$G,match($A87,sea_lice!$A:$A,0)))</f>
        <v/>
      </c>
      <c r="Q87" t="str">
        <f t="array" ref="Q87">iferror(index(sea_lice!$J:$J,match($A87,sea_lice!$A:$A,0)))</f>
        <v/>
      </c>
      <c r="R87" s="40" t="str">
        <f t="array" ref="R87">iferror(index(dissected_fish!$F:$F,match($A87,dissected_fish!$A:$A,0)))</f>
        <v>BCA99</v>
      </c>
      <c r="S87" s="40" t="str">
        <f t="array" ref="S87">iferror(index(dissected_fish!$K:$K,match($A87,dissected_fish!$A:$A,0)))</f>
        <v>N</v>
      </c>
      <c r="T87" s="61" t="str">
        <f t="array" ref="T87">index(fish_lab_data!O:O,match(A87,fish_lab_data!C:C,0))</f>
        <v>EJ</v>
      </c>
      <c r="U87" s="61">
        <f t="array" ref="U87">if(A87="","",index(fish_lab_data!X:X,match(A87,fish_lab_data!C:C,0)))</f>
        <v>86</v>
      </c>
    </row>
    <row r="88">
      <c r="A88" t="str">
        <f>fish_lab_data!C88</f>
        <v>U5196</v>
      </c>
      <c r="B88" t="str">
        <f t="array" ref="B88">iferror(index('rna-muscle'!$I:$I,match($A88,'rna-muscle'!$A:$A,0)))</f>
        <v>BRN66M-A7</v>
      </c>
      <c r="C88" t="str">
        <f t="array" ref="C88">iferror(index('rna-muscle'!$L:$L,match($A88,'rna-muscle'!$A:$A,0)))</f>
        <v>N</v>
      </c>
      <c r="D88" t="str">
        <f t="array" ref="D88">iferror(index('rna-gill'!$I:$I,match($A88,'rna-gill'!$A:$A,0)))</f>
        <v>BRN66G-A7</v>
      </c>
      <c r="E88" t="str">
        <f t="array" ref="E88">iferror(index('rna-gill'!$L:$L,match($A88,'rna-gill'!$A:$A,0)))</f>
        <v>N</v>
      </c>
      <c r="F88" t="str">
        <f t="array" ref="F88">iferror(index(fatty_acid!$G:$G,match($A88,fatty_acid!$A:$A,0)))</f>
        <v>BFA9-94</v>
      </c>
      <c r="G88" t="str">
        <f t="array" ref="G88">iferror(index(fatty_acid!$J:$J,match($A88,fatty_acid!$A:$A,0)))</f>
        <v>N</v>
      </c>
      <c r="H88" t="str">
        <f t="array" ref="H88">iferror(index(isotopes!$G:$G,match($A88,isotopes!$A:$A,0)))</f>
        <v>BIS22-65</v>
      </c>
      <c r="I88" t="str">
        <f t="array" ref="I88">iferror(index(isotopes!$J:$J,match($A88,isotopes!$A:$A,0)))</f>
        <v>N</v>
      </c>
      <c r="J88" t="str">
        <f t="array" ref="J88">iferror(index(extra_muscle!$G:$G,match($A88,extra_muscle!$A:$A,0)))</f>
        <v>BXM22-32</v>
      </c>
      <c r="K88" t="str">
        <f t="array" ref="K88">iferror(index(extra_muscle!$J:$J,match($A88,extra_muscle!$A:$A,0)))</f>
        <v>N</v>
      </c>
      <c r="L88" s="59" t="str">
        <f t="array" ref="L88">iferror(index(dna!$G:$G,match($A88,dna!$A:$A,0)))</f>
        <v/>
      </c>
      <c r="M88" s="60" t="str">
        <f t="array" ref="M88">iferror(index(dna!$J:$J,match($A88,dna!$A:$A,0)))</f>
        <v/>
      </c>
      <c r="N88" t="str">
        <f t="array" ref="N88">iferror(index(stomachs!$G:$G,match($A88,stomachs!$A:$A,0)))</f>
        <v>BST234-10</v>
      </c>
      <c r="O88" t="str">
        <f t="array" ref="O88">iferror(index(stomachs!$J:$J,match($A88,stomachs!$A:$A,0)))</f>
        <v>N</v>
      </c>
      <c r="P88" t="str">
        <f t="array" ref="P88">iferror(index(sea_lice!$G:$G,match($A88,sea_lice!$A:$A,0)))</f>
        <v/>
      </c>
      <c r="Q88" t="str">
        <f t="array" ref="Q88">iferror(index(sea_lice!$J:$J,match($A88,sea_lice!$A:$A,0)))</f>
        <v/>
      </c>
      <c r="R88" s="40" t="str">
        <f t="array" ref="R88">iferror(index(dissected_fish!$F:$F,match($A88,dissected_fish!$A:$A,0)))</f>
        <v>BCA100</v>
      </c>
      <c r="S88" s="40" t="str">
        <f t="array" ref="S88">iferror(index(dissected_fish!$K:$K,match($A88,dissected_fish!$A:$A,0)))</f>
        <v>N</v>
      </c>
      <c r="T88" s="61" t="str">
        <f t="array" ref="T88">index(fish_lab_data!O:O,match(A88,fish_lab_data!C:C,0))</f>
        <v>EJ</v>
      </c>
      <c r="U88" s="61">
        <f t="array" ref="U88">if(A88="","",index(fish_lab_data!X:X,match(A88,fish_lab_data!C:C,0)))</f>
        <v>87</v>
      </c>
    </row>
    <row r="89">
      <c r="A89" t="str">
        <f>fish_lab_data!C89</f>
        <v>U5197</v>
      </c>
      <c r="B89" t="str">
        <f t="array" ref="B89">iferror(index('rna-muscle'!$I:$I,match($A89,'rna-muscle'!$A:$A,0)))</f>
        <v>BRN66M-H8</v>
      </c>
      <c r="C89" t="str">
        <f t="array" ref="C89">iferror(index('rna-muscle'!$L:$L,match($A89,'rna-muscle'!$A:$A,0)))</f>
        <v>N</v>
      </c>
      <c r="D89" t="str">
        <f t="array" ref="D89">iferror(index('rna-gill'!$I:$I,match($A89,'rna-gill'!$A:$A,0)))</f>
        <v>BRN66G-H8</v>
      </c>
      <c r="E89" t="str">
        <f t="array" ref="E89">iferror(index('rna-gill'!$L:$L,match($A89,'rna-gill'!$A:$A,0)))</f>
        <v>N</v>
      </c>
      <c r="F89" t="str">
        <f t="array" ref="F89">iferror(index(fatty_acid!$G:$G,match($A89,fatty_acid!$A:$A,0)))</f>
        <v>BFA9-96</v>
      </c>
      <c r="G89" t="str">
        <f t="array" ref="G89">iferror(index(fatty_acid!$J:$J,match($A89,fatty_acid!$A:$A,0)))</f>
        <v>N</v>
      </c>
      <c r="H89" t="str">
        <f t="array" ref="H89">iferror(index(isotopes!$G:$G,match($A89,isotopes!$A:$A,0)))</f>
        <v>BIS22-67</v>
      </c>
      <c r="I89" t="str">
        <f t="array" ref="I89">iferror(index(isotopes!$J:$J,match($A89,isotopes!$A:$A,0)))</f>
        <v>N</v>
      </c>
      <c r="J89" t="str">
        <f t="array" ref="J89">iferror(index(extra_muscle!$G:$G,match($A89,extra_muscle!$A:$A,0)))</f>
        <v>BXM22-33</v>
      </c>
      <c r="K89" t="str">
        <f t="array" ref="K89">iferror(index(extra_muscle!$J:$J,match($A89,extra_muscle!$A:$A,0)))</f>
        <v>N</v>
      </c>
      <c r="L89" s="59" t="str">
        <f t="array" ref="L89">iferror(index(dna!$G:$G,match($A89,dna!$A:$A,0)))</f>
        <v/>
      </c>
      <c r="M89" s="60" t="str">
        <f t="array" ref="M89">iferror(index(dna!$J:$J,match($A89,dna!$A:$A,0)))</f>
        <v/>
      </c>
      <c r="N89" t="str">
        <f t="array" ref="N89">iferror(index(stomachs!$G:$G,match($A89,stomachs!$A:$A,0)))</f>
        <v>BST234-11</v>
      </c>
      <c r="O89" t="str">
        <f t="array" ref="O89">iferror(index(stomachs!$J:$J,match($A89,stomachs!$A:$A,0)))</f>
        <v>N</v>
      </c>
      <c r="P89" t="str">
        <f t="array" ref="P89">iferror(index(sea_lice!$G:$G,match($A89,sea_lice!$A:$A,0)))</f>
        <v/>
      </c>
      <c r="Q89" t="str">
        <f t="array" ref="Q89">iferror(index(sea_lice!$J:$J,match($A89,sea_lice!$A:$A,0)))</f>
        <v/>
      </c>
      <c r="R89" s="40" t="str">
        <f t="array" ref="R89">iferror(index(dissected_fish!$F:$F,match($A89,dissected_fish!$A:$A,0)))</f>
        <v>BCA100</v>
      </c>
      <c r="S89" s="40" t="str">
        <f t="array" ref="S89">iferror(index(dissected_fish!$K:$K,match($A89,dissected_fish!$A:$A,0)))</f>
        <v>N</v>
      </c>
      <c r="T89" s="61" t="str">
        <f t="array" ref="T89">index(fish_lab_data!O:O,match(A89,fish_lab_data!C:C,0))</f>
        <v>EJ</v>
      </c>
      <c r="U89" s="61">
        <f t="array" ref="U89">if(A89="","",index(fish_lab_data!X:X,match(A89,fish_lab_data!C:C,0)))</f>
        <v>88</v>
      </c>
    </row>
    <row r="90">
      <c r="A90" t="str">
        <f>fish_lab_data!C90</f>
        <v>U5198</v>
      </c>
      <c r="B90" t="str">
        <f t="array" ref="B90">iferror(index('rna-muscle'!$I:$I,match($A90,'rna-muscle'!$A:$A,0)))</f>
        <v>BRN66M-G8</v>
      </c>
      <c r="C90" t="str">
        <f t="array" ref="C90">iferror(index('rna-muscle'!$L:$L,match($A90,'rna-muscle'!$A:$A,0)))</f>
        <v>N</v>
      </c>
      <c r="D90" t="str">
        <f t="array" ref="D90">iferror(index('rna-gill'!$I:$I,match($A90,'rna-gill'!$A:$A,0)))</f>
        <v>BRN66G-G8</v>
      </c>
      <c r="E90" t="str">
        <f t="array" ref="E90">iferror(index('rna-gill'!$L:$L,match($A90,'rna-gill'!$A:$A,0)))</f>
        <v>N</v>
      </c>
      <c r="F90" t="str">
        <f t="array" ref="F90">iferror(index(fatty_acid!$G:$G,match($A90,fatty_acid!$A:$A,0)))</f>
        <v>BFA9-97</v>
      </c>
      <c r="G90" t="str">
        <f t="array" ref="G90">iferror(index(fatty_acid!$J:$J,match($A90,fatty_acid!$A:$A,0)))</f>
        <v>N</v>
      </c>
      <c r="H90" t="str">
        <f t="array" ref="H90">iferror(index(isotopes!$G:$G,match($A90,isotopes!$A:$A,0)))</f>
        <v>BIS22-69</v>
      </c>
      <c r="I90" t="str">
        <f t="array" ref="I90">iferror(index(isotopes!$J:$J,match($A90,isotopes!$A:$A,0)))</f>
        <v>N</v>
      </c>
      <c r="J90" t="str">
        <f t="array" ref="J90">iferror(index(extra_muscle!$G:$G,match($A90,extra_muscle!$A:$A,0)))</f>
        <v>BXM22-34</v>
      </c>
      <c r="K90" t="str">
        <f t="array" ref="K90">iferror(index(extra_muscle!$J:$J,match($A90,extra_muscle!$A:$A,0)))</f>
        <v>N</v>
      </c>
      <c r="L90" s="59" t="str">
        <f t="array" ref="L90">iferror(index(dna!$G:$G,match($A90,dna!$A:$A,0)))</f>
        <v/>
      </c>
      <c r="M90" s="60" t="str">
        <f t="array" ref="M90">iferror(index(dna!$J:$J,match($A90,dna!$A:$A,0)))</f>
        <v/>
      </c>
      <c r="N90" t="str">
        <f t="array" ref="N90">iferror(index(stomachs!$G:$G,match($A90,stomachs!$A:$A,0)))</f>
        <v>BST234-12</v>
      </c>
      <c r="O90" t="str">
        <f t="array" ref="O90">iferror(index(stomachs!$J:$J,match($A90,stomachs!$A:$A,0)))</f>
        <v>N</v>
      </c>
      <c r="P90" t="str">
        <f t="array" ref="P90">iferror(index(sea_lice!$G:$G,match($A90,sea_lice!$A:$A,0)))</f>
        <v/>
      </c>
      <c r="Q90" t="str">
        <f t="array" ref="Q90">iferror(index(sea_lice!$J:$J,match($A90,sea_lice!$A:$A,0)))</f>
        <v/>
      </c>
      <c r="R90" s="40" t="str">
        <f t="array" ref="R90">iferror(index(dissected_fish!$F:$F,match($A90,dissected_fish!$A:$A,0)))</f>
        <v>BCA100</v>
      </c>
      <c r="S90" s="40" t="str">
        <f t="array" ref="S90">iferror(index(dissected_fish!$K:$K,match($A90,dissected_fish!$A:$A,0)))</f>
        <v>N</v>
      </c>
      <c r="T90" s="61" t="str">
        <f t="array" ref="T90">index(fish_lab_data!O:O,match(A90,fish_lab_data!C:C,0))</f>
        <v>EJ</v>
      </c>
      <c r="U90" s="61">
        <f t="array" ref="U90">if(A90="","",index(fish_lab_data!X:X,match(A90,fish_lab_data!C:C,0)))</f>
        <v>89</v>
      </c>
    </row>
    <row r="91">
      <c r="A91" t="str">
        <f>fish_lab_data!C91</f>
        <v>U5199</v>
      </c>
      <c r="B91" t="str">
        <f t="array" ref="B91">iferror(index('rna-muscle'!$I:$I,match($A91,'rna-muscle'!$A:$A,0)))</f>
        <v>BRN66M-F8</v>
      </c>
      <c r="C91" t="str">
        <f t="array" ref="C91">iferror(index('rna-muscle'!$L:$L,match($A91,'rna-muscle'!$A:$A,0)))</f>
        <v>N</v>
      </c>
      <c r="D91" t="str">
        <f t="array" ref="D91">iferror(index('rna-gill'!$I:$I,match($A91,'rna-gill'!$A:$A,0)))</f>
        <v>BRN66G-F8</v>
      </c>
      <c r="E91" t="str">
        <f t="array" ref="E91">iferror(index('rna-gill'!$L:$L,match($A91,'rna-gill'!$A:$A,0)))</f>
        <v>N</v>
      </c>
      <c r="F91" t="str">
        <f t="array" ref="F91">iferror(index(fatty_acid!$G:$G,match($A91,fatty_acid!$A:$A,0)))</f>
        <v>BFA9-98</v>
      </c>
      <c r="G91" t="str">
        <f t="array" ref="G91">iferror(index(fatty_acid!$J:$J,match($A91,fatty_acid!$A:$A,0)))</f>
        <v>N</v>
      </c>
      <c r="H91" t="str">
        <f t="array" ref="H91">iferror(index(isotopes!$G:$G,match($A91,isotopes!$A:$A,0)))</f>
        <v>BIS22-72</v>
      </c>
      <c r="I91" t="str">
        <f t="array" ref="I91">iferror(index(isotopes!$J:$J,match($A91,isotopes!$A:$A,0)))</f>
        <v>N</v>
      </c>
      <c r="J91" t="str">
        <f t="array" ref="J91">iferror(index(extra_muscle!$G:$G,match($A91,extra_muscle!$A:$A,0)))</f>
        <v>BXM22-35</v>
      </c>
      <c r="K91" t="str">
        <f t="array" ref="K91">iferror(index(extra_muscle!$J:$J,match($A91,extra_muscle!$A:$A,0)))</f>
        <v>N</v>
      </c>
      <c r="L91" s="59" t="str">
        <f t="array" ref="L91">iferror(index(dna!$G:$G,match($A91,dna!$A:$A,0)))</f>
        <v/>
      </c>
      <c r="M91" s="60" t="str">
        <f t="array" ref="M91">iferror(index(dna!$J:$J,match($A91,dna!$A:$A,0)))</f>
        <v/>
      </c>
      <c r="N91" t="str">
        <f t="array" ref="N91">iferror(index(stomachs!$G:$G,match($A91,stomachs!$A:$A,0)))</f>
        <v>BST234-13</v>
      </c>
      <c r="O91" t="str">
        <f t="array" ref="O91">iferror(index(stomachs!$J:$J,match($A91,stomachs!$A:$A,0)))</f>
        <v>N</v>
      </c>
      <c r="P91" t="str">
        <f t="array" ref="P91">iferror(index(sea_lice!$G:$G,match($A91,sea_lice!$A:$A,0)))</f>
        <v/>
      </c>
      <c r="Q91" t="str">
        <f t="array" ref="Q91">iferror(index(sea_lice!$J:$J,match($A91,sea_lice!$A:$A,0)))</f>
        <v/>
      </c>
      <c r="R91" s="40" t="str">
        <f t="array" ref="R91">iferror(index(dissected_fish!$F:$F,match($A91,dissected_fish!$A:$A,0)))</f>
        <v>BCA100</v>
      </c>
      <c r="S91" s="40" t="str">
        <f t="array" ref="S91">iferror(index(dissected_fish!$K:$K,match($A91,dissected_fish!$A:$A,0)))</f>
        <v>N</v>
      </c>
      <c r="T91" s="61" t="str">
        <f t="array" ref="T91">index(fish_lab_data!O:O,match(A91,fish_lab_data!C:C,0))</f>
        <v>EJ</v>
      </c>
      <c r="U91" s="61">
        <f t="array" ref="U91">if(A91="","",index(fish_lab_data!X:X,match(A91,fish_lab_data!C:C,0)))</f>
        <v>90</v>
      </c>
    </row>
    <row r="92">
      <c r="A92" t="str">
        <f>fish_lab_data!C92</f>
        <v>U5200</v>
      </c>
      <c r="B92" t="str">
        <f t="array" ref="B92">iferror(index('rna-muscle'!$I:$I,match($A92,'rna-muscle'!$A:$A,0)))</f>
        <v>BRN66M-E8</v>
      </c>
      <c r="C92" t="str">
        <f t="array" ref="C92">iferror(index('rna-muscle'!$L:$L,match($A92,'rna-muscle'!$A:$A,0)))</f>
        <v>N</v>
      </c>
      <c r="D92" t="str">
        <f t="array" ref="D92">iferror(index('rna-gill'!$I:$I,match($A92,'rna-gill'!$A:$A,0)))</f>
        <v>BRN66G-E8</v>
      </c>
      <c r="E92" t="str">
        <f t="array" ref="E92">iferror(index('rna-gill'!$L:$L,match($A92,'rna-gill'!$A:$A,0)))</f>
        <v>N</v>
      </c>
      <c r="F92" t="str">
        <f t="array" ref="F92">iferror(index(fatty_acid!$G:$G,match($A92,fatty_acid!$A:$A,0)))</f>
        <v>BFA9-99</v>
      </c>
      <c r="G92" t="str">
        <f t="array" ref="G92">iferror(index(fatty_acid!$J:$J,match($A92,fatty_acid!$A:$A,0)))</f>
        <v>N</v>
      </c>
      <c r="H92" t="str">
        <f t="array" ref="H92">iferror(index(isotopes!$G:$G,match($A92,isotopes!$A:$A,0)))</f>
        <v>BIS22-74</v>
      </c>
      <c r="I92" t="str">
        <f t="array" ref="I92">iferror(index(isotopes!$J:$J,match($A92,isotopes!$A:$A,0)))</f>
        <v>N</v>
      </c>
      <c r="J92" t="str">
        <f t="array" ref="J92">iferror(index(extra_muscle!$G:$G,match($A92,extra_muscle!$A:$A,0)))</f>
        <v>BXM22-37</v>
      </c>
      <c r="K92" t="str">
        <f t="array" ref="K92">iferror(index(extra_muscle!$J:$J,match($A92,extra_muscle!$A:$A,0)))</f>
        <v>N</v>
      </c>
      <c r="L92" s="59" t="str">
        <f t="array" ref="L92">iferror(index(dna!$G:$G,match($A92,dna!$A:$A,0)))</f>
        <v/>
      </c>
      <c r="M92" s="60" t="str">
        <f t="array" ref="M92">iferror(index(dna!$J:$J,match($A92,dna!$A:$A,0)))</f>
        <v/>
      </c>
      <c r="N92" t="str">
        <f t="array" ref="N92">iferror(index(stomachs!$G:$G,match($A92,stomachs!$A:$A,0)))</f>
        <v>BST234-14</v>
      </c>
      <c r="O92" t="str">
        <f t="array" ref="O92">iferror(index(stomachs!$J:$J,match($A92,stomachs!$A:$A,0)))</f>
        <v>N</v>
      </c>
      <c r="P92" t="str">
        <f t="array" ref="P92">iferror(index(sea_lice!$G:$G,match($A92,sea_lice!$A:$A,0)))</f>
        <v/>
      </c>
      <c r="Q92" t="str">
        <f t="array" ref="Q92">iferror(index(sea_lice!$J:$J,match($A92,sea_lice!$A:$A,0)))</f>
        <v/>
      </c>
      <c r="R92" s="40" t="str">
        <f t="array" ref="R92">iferror(index(dissected_fish!$F:$F,match($A92,dissected_fish!$A:$A,0)))</f>
        <v>BCA100</v>
      </c>
      <c r="S92" s="40" t="str">
        <f t="array" ref="S92">iferror(index(dissected_fish!$K:$K,match($A92,dissected_fish!$A:$A,0)))</f>
        <v>N</v>
      </c>
      <c r="T92" s="61" t="str">
        <f t="array" ref="T92">index(fish_lab_data!O:O,match(A92,fish_lab_data!C:C,0))</f>
        <v>EJ</v>
      </c>
      <c r="U92" s="61">
        <f t="array" ref="U92">if(A92="","",index(fish_lab_data!X:X,match(A92,fish_lab_data!C:C,0)))</f>
        <v>91</v>
      </c>
    </row>
    <row r="93">
      <c r="A93" t="str">
        <f>fish_lab_data!C93</f>
        <v>U5201</v>
      </c>
      <c r="B93" t="str">
        <f t="array" ref="B93">iferror(index('rna-muscle'!$I:$I,match($A93,'rna-muscle'!$A:$A,0)))</f>
        <v>BRN66M-D8</v>
      </c>
      <c r="C93" t="str">
        <f t="array" ref="C93">iferror(index('rna-muscle'!$L:$L,match($A93,'rna-muscle'!$A:$A,0)))</f>
        <v>N</v>
      </c>
      <c r="D93" t="str">
        <f t="array" ref="D93">iferror(index('rna-gill'!$I:$I,match($A93,'rna-gill'!$A:$A,0)))</f>
        <v>BRN66G-D8</v>
      </c>
      <c r="E93" t="str">
        <f t="array" ref="E93">iferror(index('rna-gill'!$L:$L,match($A93,'rna-gill'!$A:$A,0)))</f>
        <v>N</v>
      </c>
      <c r="F93" t="str">
        <f t="array" ref="F93">iferror(index(fatty_acid!$G:$G,match($A93,fatty_acid!$A:$A,0)))</f>
        <v>BFA9-100</v>
      </c>
      <c r="G93" t="str">
        <f t="array" ref="G93">iferror(index(fatty_acid!$J:$J,match($A93,fatty_acid!$A:$A,0)))</f>
        <v>N</v>
      </c>
      <c r="H93" t="str">
        <f t="array" ref="H93">iferror(index(isotopes!$G:$G,match($A93,isotopes!$A:$A,0)))</f>
        <v>BIS22-76</v>
      </c>
      <c r="I93" t="str">
        <f t="array" ref="I93">iferror(index(isotopes!$J:$J,match($A93,isotopes!$A:$A,0)))</f>
        <v>N</v>
      </c>
      <c r="J93" t="str">
        <f t="array" ref="J93">iferror(index(extra_muscle!$G:$G,match($A93,extra_muscle!$A:$A,0)))</f>
        <v>BXM22-38</v>
      </c>
      <c r="K93" t="str">
        <f t="array" ref="K93">iferror(index(extra_muscle!$J:$J,match($A93,extra_muscle!$A:$A,0)))</f>
        <v>N</v>
      </c>
      <c r="L93" s="59" t="str">
        <f t="array" ref="L93">iferror(index(dna!$G:$G,match($A93,dna!$A:$A,0)))</f>
        <v/>
      </c>
      <c r="M93" s="60" t="str">
        <f t="array" ref="M93">iferror(index(dna!$J:$J,match($A93,dna!$A:$A,0)))</f>
        <v/>
      </c>
      <c r="N93" t="str">
        <f t="array" ref="N93">iferror(index(stomachs!$G:$G,match($A93,stomachs!$A:$A,0)))</f>
        <v>BST234-15</v>
      </c>
      <c r="O93" t="str">
        <f t="array" ref="O93">iferror(index(stomachs!$J:$J,match($A93,stomachs!$A:$A,0)))</f>
        <v>N</v>
      </c>
      <c r="P93" t="str">
        <f t="array" ref="P93">iferror(index(sea_lice!$G:$G,match($A93,sea_lice!$A:$A,0)))</f>
        <v/>
      </c>
      <c r="Q93" t="str">
        <f t="array" ref="Q93">iferror(index(sea_lice!$J:$J,match($A93,sea_lice!$A:$A,0)))</f>
        <v/>
      </c>
      <c r="R93" s="40" t="str">
        <f t="array" ref="R93">iferror(index(dissected_fish!$F:$F,match($A93,dissected_fish!$A:$A,0)))</f>
        <v>BCA100</v>
      </c>
      <c r="S93" s="40" t="str">
        <f t="array" ref="S93">iferror(index(dissected_fish!$K:$K,match($A93,dissected_fish!$A:$A,0)))</f>
        <v>N</v>
      </c>
      <c r="T93" s="61" t="str">
        <f t="array" ref="T93">index(fish_lab_data!O:O,match(A93,fish_lab_data!C:C,0))</f>
        <v>EJ</v>
      </c>
      <c r="U93" s="61">
        <f t="array" ref="U93">if(A93="","",index(fish_lab_data!X:X,match(A93,fish_lab_data!C:C,0)))</f>
        <v>92</v>
      </c>
    </row>
    <row r="94">
      <c r="A94" t="str">
        <f>fish_lab_data!C94</f>
        <v>U5202</v>
      </c>
      <c r="B94" t="str">
        <f t="array" ref="B94">iferror(index('rna-muscle'!$I:$I,match($A94,'rna-muscle'!$A:$A,0)))</f>
        <v>BRN66M-C8</v>
      </c>
      <c r="C94" t="str">
        <f t="array" ref="C94">iferror(index('rna-muscle'!$L:$L,match($A94,'rna-muscle'!$A:$A,0)))</f>
        <v>N</v>
      </c>
      <c r="D94" t="str">
        <f t="array" ref="D94">iferror(index('rna-gill'!$I:$I,match($A94,'rna-gill'!$A:$A,0)))</f>
        <v>BRN66G-C8</v>
      </c>
      <c r="E94" t="str">
        <f t="array" ref="E94">iferror(index('rna-gill'!$L:$L,match($A94,'rna-gill'!$A:$A,0)))</f>
        <v>N</v>
      </c>
      <c r="F94" t="str">
        <f t="array" ref="F94">iferror(index(fatty_acid!$G:$G,match($A94,fatty_acid!$A:$A,0)))</f>
        <v>BFA21-1</v>
      </c>
      <c r="G94" t="str">
        <f t="array" ref="G94">iferror(index(fatty_acid!$J:$J,match($A94,fatty_acid!$A:$A,0)))</f>
        <v>N</v>
      </c>
      <c r="H94" t="str">
        <f t="array" ref="H94">iferror(index(isotopes!$G:$G,match($A94,isotopes!$A:$A,0)))</f>
        <v>BIS22-78</v>
      </c>
      <c r="I94" t="str">
        <f t="array" ref="I94">iferror(index(isotopes!$J:$J,match($A94,isotopes!$A:$A,0)))</f>
        <v>N</v>
      </c>
      <c r="J94" t="str">
        <f t="array" ref="J94">iferror(index(extra_muscle!$G:$G,match($A94,extra_muscle!$A:$A,0)))</f>
        <v>BXM22-39</v>
      </c>
      <c r="K94" t="str">
        <f t="array" ref="K94">iferror(index(extra_muscle!$J:$J,match($A94,extra_muscle!$A:$A,0)))</f>
        <v>N</v>
      </c>
      <c r="L94" s="59" t="str">
        <f t="array" ref="L94">iferror(index(dna!$G:$G,match($A94,dna!$A:$A,0)))</f>
        <v/>
      </c>
      <c r="M94" s="60" t="str">
        <f t="array" ref="M94">iferror(index(dna!$J:$J,match($A94,dna!$A:$A,0)))</f>
        <v/>
      </c>
      <c r="N94" t="str">
        <f t="array" ref="N94">iferror(index(stomachs!$G:$G,match($A94,stomachs!$A:$A,0)))</f>
        <v>BST234-16</v>
      </c>
      <c r="O94" t="str">
        <f t="array" ref="O94">iferror(index(stomachs!$J:$J,match($A94,stomachs!$A:$A,0)))</f>
        <v>N</v>
      </c>
      <c r="P94" t="str">
        <f t="array" ref="P94">iferror(index(sea_lice!$G:$G,match($A94,sea_lice!$A:$A,0)))</f>
        <v/>
      </c>
      <c r="Q94" t="str">
        <f t="array" ref="Q94">iferror(index(sea_lice!$J:$J,match($A94,sea_lice!$A:$A,0)))</f>
        <v/>
      </c>
      <c r="R94" s="40" t="str">
        <f t="array" ref="R94">iferror(index(dissected_fish!$F:$F,match($A94,dissected_fish!$A:$A,0)))</f>
        <v>BCA100</v>
      </c>
      <c r="S94" s="40" t="str">
        <f t="array" ref="S94">iferror(index(dissected_fish!$K:$K,match($A94,dissected_fish!$A:$A,0)))</f>
        <v>N</v>
      </c>
      <c r="T94" s="61" t="str">
        <f t="array" ref="T94">index(fish_lab_data!O:O,match(A94,fish_lab_data!C:C,0))</f>
        <v>EJ</v>
      </c>
      <c r="U94" s="61">
        <f t="array" ref="U94">if(A94="","",index(fish_lab_data!X:X,match(A94,fish_lab_data!C:C,0)))</f>
        <v>93</v>
      </c>
    </row>
    <row r="95">
      <c r="A95" t="str">
        <f>fish_lab_data!C95</f>
        <v>U5203</v>
      </c>
      <c r="B95" t="str">
        <f t="array" ref="B95">iferror(index('rna-muscle'!$I:$I,match($A95,'rna-muscle'!$A:$A,0)))</f>
        <v>BRN66M-B8</v>
      </c>
      <c r="C95" t="str">
        <f t="array" ref="C95">iferror(index('rna-muscle'!$L:$L,match($A95,'rna-muscle'!$A:$A,0)))</f>
        <v>N</v>
      </c>
      <c r="D95" t="str">
        <f t="array" ref="D95">iferror(index('rna-gill'!$I:$I,match($A95,'rna-gill'!$A:$A,0)))</f>
        <v>BRN66G-B8</v>
      </c>
      <c r="E95" t="str">
        <f t="array" ref="E95">iferror(index('rna-gill'!$L:$L,match($A95,'rna-gill'!$A:$A,0)))</f>
        <v>N</v>
      </c>
      <c r="F95" t="str">
        <f t="array" ref="F95">iferror(index(fatty_acid!$G:$G,match($A95,fatty_acid!$A:$A,0)))</f>
        <v>BFA21-2</v>
      </c>
      <c r="G95" t="str">
        <f t="array" ref="G95">iferror(index(fatty_acid!$J:$J,match($A95,fatty_acid!$A:$A,0)))</f>
        <v>N</v>
      </c>
      <c r="H95" t="str">
        <f t="array" ref="H95">iferror(index(isotopes!$G:$G,match($A95,isotopes!$A:$A,0)))</f>
        <v>BIS22-80</v>
      </c>
      <c r="I95" t="str">
        <f t="array" ref="I95">iferror(index(isotopes!$J:$J,match($A95,isotopes!$A:$A,0)))</f>
        <v>N</v>
      </c>
      <c r="J95" t="str">
        <f t="array" ref="J95">iferror(index(extra_muscle!$G:$G,match($A95,extra_muscle!$A:$A,0)))</f>
        <v>BXM22-40</v>
      </c>
      <c r="K95" t="str">
        <f t="array" ref="K95">iferror(index(extra_muscle!$J:$J,match($A95,extra_muscle!$A:$A,0)))</f>
        <v>N</v>
      </c>
      <c r="L95" s="59" t="str">
        <f t="array" ref="L95">iferror(index(dna!$G:$G,match($A95,dna!$A:$A,0)))</f>
        <v/>
      </c>
      <c r="M95" s="60" t="str">
        <f t="array" ref="M95">iferror(index(dna!$J:$J,match($A95,dna!$A:$A,0)))</f>
        <v/>
      </c>
      <c r="N95" t="str">
        <f t="array" ref="N95">iferror(index(stomachs!$G:$G,match($A95,stomachs!$A:$A,0)))</f>
        <v>BST234-17</v>
      </c>
      <c r="O95" t="str">
        <f t="array" ref="O95">iferror(index(stomachs!$J:$J,match($A95,stomachs!$A:$A,0)))</f>
        <v>N</v>
      </c>
      <c r="P95" t="str">
        <f t="array" ref="P95">iferror(index(sea_lice!$G:$G,match($A95,sea_lice!$A:$A,0)))</f>
        <v/>
      </c>
      <c r="Q95" t="str">
        <f t="array" ref="Q95">iferror(index(sea_lice!$J:$J,match($A95,sea_lice!$A:$A,0)))</f>
        <v/>
      </c>
      <c r="R95" s="40" t="str">
        <f t="array" ref="R95">iferror(index(dissected_fish!$F:$F,match($A95,dissected_fish!$A:$A,0)))</f>
        <v>BCA100</v>
      </c>
      <c r="S95" s="40" t="str">
        <f t="array" ref="S95">iferror(index(dissected_fish!$K:$K,match($A95,dissected_fish!$A:$A,0)))</f>
        <v>N</v>
      </c>
      <c r="T95" s="61" t="str">
        <f t="array" ref="T95">index(fish_lab_data!O:O,match(A95,fish_lab_data!C:C,0))</f>
        <v>EJ</v>
      </c>
      <c r="U95" s="61">
        <f t="array" ref="U95">if(A95="","",index(fish_lab_data!X:X,match(A95,fish_lab_data!C:C,0)))</f>
        <v>94</v>
      </c>
    </row>
    <row r="96">
      <c r="A96" t="str">
        <f>fish_lab_data!C96</f>
        <v>U5204</v>
      </c>
      <c r="B96" t="str">
        <f t="array" ref="B96">iferror(index('rna-muscle'!$I:$I,match($A96,'rna-muscle'!$A:$A,0)))</f>
        <v>BRN66M-A8</v>
      </c>
      <c r="C96" t="str">
        <f t="array" ref="C96">iferror(index('rna-muscle'!$L:$L,match($A96,'rna-muscle'!$A:$A,0)))</f>
        <v>N</v>
      </c>
      <c r="D96" t="str">
        <f t="array" ref="D96">iferror(index('rna-gill'!$I:$I,match($A96,'rna-gill'!$A:$A,0)))</f>
        <v>BRN66G-A8</v>
      </c>
      <c r="E96" t="str">
        <f t="array" ref="E96">iferror(index('rna-gill'!$L:$L,match($A96,'rna-gill'!$A:$A,0)))</f>
        <v>N</v>
      </c>
      <c r="F96" t="str">
        <f t="array" ref="F96">iferror(index(fatty_acid!$G:$G,match($A96,fatty_acid!$A:$A,0)))</f>
        <v>BFA21-3</v>
      </c>
      <c r="G96" t="str">
        <f t="array" ref="G96">iferror(index(fatty_acid!$J:$J,match($A96,fatty_acid!$A:$A,0)))</f>
        <v>N</v>
      </c>
      <c r="H96" t="str">
        <f t="array" ref="H96">iferror(index(isotopes!$G:$G,match($A96,isotopes!$A:$A,0)))</f>
        <v>BIS22-81</v>
      </c>
      <c r="I96" t="str">
        <f t="array" ref="I96">iferror(index(isotopes!$J:$J,match($A96,isotopes!$A:$A,0)))</f>
        <v>N</v>
      </c>
      <c r="J96" t="str">
        <f t="array" ref="J96">iferror(index(extra_muscle!$G:$G,match($A96,extra_muscle!$A:$A,0)))</f>
        <v>BXM22-41</v>
      </c>
      <c r="K96" t="str">
        <f t="array" ref="K96">iferror(index(extra_muscle!$J:$J,match($A96,extra_muscle!$A:$A,0)))</f>
        <v>N</v>
      </c>
      <c r="L96" s="59" t="str">
        <f t="array" ref="L96">iferror(index(dna!$G:$G,match($A96,dna!$A:$A,0)))</f>
        <v/>
      </c>
      <c r="M96" s="60" t="str">
        <f t="array" ref="M96">iferror(index(dna!$J:$J,match($A96,dna!$A:$A,0)))</f>
        <v/>
      </c>
      <c r="N96" t="str">
        <f t="array" ref="N96">iferror(index(stomachs!$G:$G,match($A96,stomachs!$A:$A,0)))</f>
        <v>BST234-18</v>
      </c>
      <c r="O96" t="str">
        <f t="array" ref="O96">iferror(index(stomachs!$J:$J,match($A96,stomachs!$A:$A,0)))</f>
        <v>N</v>
      </c>
      <c r="P96" t="str">
        <f t="array" ref="P96">iferror(index(sea_lice!$G:$G,match($A96,sea_lice!$A:$A,0)))</f>
        <v/>
      </c>
      <c r="Q96" t="str">
        <f t="array" ref="Q96">iferror(index(sea_lice!$J:$J,match($A96,sea_lice!$A:$A,0)))</f>
        <v/>
      </c>
      <c r="R96" s="40" t="str">
        <f t="array" ref="R96">iferror(index(dissected_fish!$F:$F,match($A96,dissected_fish!$A:$A,0)))</f>
        <v>BCA100</v>
      </c>
      <c r="S96" s="40" t="str">
        <f t="array" ref="S96">iferror(index(dissected_fish!$K:$K,match($A96,dissected_fish!$A:$A,0)))</f>
        <v>N</v>
      </c>
      <c r="T96" s="61" t="str">
        <f t="array" ref="T96">index(fish_lab_data!O:O,match(A96,fish_lab_data!C:C,0))</f>
        <v>EJ</v>
      </c>
      <c r="U96" s="61">
        <f t="array" ref="U96">if(A96="","",index(fish_lab_data!X:X,match(A96,fish_lab_data!C:C,0)))</f>
        <v>95</v>
      </c>
    </row>
    <row r="97">
      <c r="A97" t="str">
        <f>fish_lab_data!C97</f>
        <v>U5205</v>
      </c>
      <c r="B97" t="str">
        <f t="array" ref="B97">iferror(index('rna-muscle'!$I:$I,match($A97,'rna-muscle'!$A:$A,0)))</f>
        <v>BRN66M-H10</v>
      </c>
      <c r="C97" t="str">
        <f t="array" ref="C97">iferror(index('rna-muscle'!$L:$L,match($A97,'rna-muscle'!$A:$A,0)))</f>
        <v>N</v>
      </c>
      <c r="D97" t="str">
        <f t="array" ref="D97">iferror(index('rna-gill'!$I:$I,match($A97,'rna-gill'!$A:$A,0)))</f>
        <v>BRN66G-H10</v>
      </c>
      <c r="E97" t="str">
        <f t="array" ref="E97">iferror(index('rna-gill'!$L:$L,match($A97,'rna-gill'!$A:$A,0)))</f>
        <v>N</v>
      </c>
      <c r="F97" t="str">
        <f t="array" ref="F97">iferror(index(fatty_acid!$G:$G,match($A97,fatty_acid!$A:$A,0)))</f>
        <v>BFA21-4</v>
      </c>
      <c r="G97" t="str">
        <f t="array" ref="G97">iferror(index(fatty_acid!$J:$J,match($A97,fatty_acid!$A:$A,0)))</f>
        <v>N</v>
      </c>
      <c r="H97" t="str">
        <f t="array" ref="H97">iferror(index(isotopes!$G:$G,match($A97,isotopes!$A:$A,0)))</f>
        <v>BIS22-83</v>
      </c>
      <c r="I97" t="str">
        <f t="array" ref="I97">iferror(index(isotopes!$J:$J,match($A97,isotopes!$A:$A,0)))</f>
        <v>N</v>
      </c>
      <c r="J97" t="str">
        <f t="array" ref="J97">iferror(index(extra_muscle!$G:$G,match($A97,extra_muscle!$A:$A,0)))</f>
        <v>BXM22-42</v>
      </c>
      <c r="K97" t="str">
        <f t="array" ref="K97">iferror(index(extra_muscle!$J:$J,match($A97,extra_muscle!$A:$A,0)))</f>
        <v>N</v>
      </c>
      <c r="L97" s="59" t="str">
        <f t="array" ref="L97">iferror(index(dna!$G:$G,match($A97,dna!$A:$A,0)))</f>
        <v/>
      </c>
      <c r="M97" s="60" t="str">
        <f t="array" ref="M97">iferror(index(dna!$J:$J,match($A97,dna!$A:$A,0)))</f>
        <v/>
      </c>
      <c r="N97" t="str">
        <f t="array" ref="N97">iferror(index(stomachs!$G:$G,match($A97,stomachs!$A:$A,0)))</f>
        <v>BST234-19</v>
      </c>
      <c r="O97" t="str">
        <f t="array" ref="O97">iferror(index(stomachs!$J:$J,match($A97,stomachs!$A:$A,0)))</f>
        <v>N</v>
      </c>
      <c r="P97" t="str">
        <f t="array" ref="P97">iferror(index(sea_lice!$G:$G,match($A97,sea_lice!$A:$A,0)))</f>
        <v/>
      </c>
      <c r="Q97" t="str">
        <f t="array" ref="Q97">iferror(index(sea_lice!$J:$J,match($A97,sea_lice!$A:$A,0)))</f>
        <v/>
      </c>
      <c r="R97" s="40" t="str">
        <f t="array" ref="R97">iferror(index(dissected_fish!$F:$F,match($A97,dissected_fish!$A:$A,0)))</f>
        <v>BCA100</v>
      </c>
      <c r="S97" s="40" t="str">
        <f t="array" ref="S97">iferror(index(dissected_fish!$K:$K,match($A97,dissected_fish!$A:$A,0)))</f>
        <v>N</v>
      </c>
      <c r="T97" s="61" t="str">
        <f t="array" ref="T97">index(fish_lab_data!O:O,match(A97,fish_lab_data!C:C,0))</f>
        <v>EJ</v>
      </c>
      <c r="U97" s="61">
        <f t="array" ref="U97">if(A97="","",index(fish_lab_data!X:X,match(A97,fish_lab_data!C:C,0)))</f>
        <v>96</v>
      </c>
    </row>
    <row r="98">
      <c r="A98" t="str">
        <f>fish_lab_data!C98</f>
        <v>U5206</v>
      </c>
      <c r="B98" t="str">
        <f t="array" ref="B98">iferror(index('rna-muscle'!$I:$I,match($A98,'rna-muscle'!$A:$A,0)))</f>
        <v>BRN66M-G10</v>
      </c>
      <c r="C98" t="str">
        <f t="array" ref="C98">iferror(index('rna-muscle'!$L:$L,match($A98,'rna-muscle'!$A:$A,0)))</f>
        <v>N</v>
      </c>
      <c r="D98" t="str">
        <f t="array" ref="D98">iferror(index('rna-gill'!$I:$I,match($A98,'rna-gill'!$A:$A,0)))</f>
        <v>BRN66G-G10</v>
      </c>
      <c r="E98" t="str">
        <f t="array" ref="E98">iferror(index('rna-gill'!$L:$L,match($A98,'rna-gill'!$A:$A,0)))</f>
        <v>N</v>
      </c>
      <c r="F98" t="str">
        <f t="array" ref="F98">iferror(index(fatty_acid!$G:$G,match($A98,fatty_acid!$A:$A,0)))</f>
        <v>BFA21-5</v>
      </c>
      <c r="G98" t="str">
        <f t="array" ref="G98">iferror(index(fatty_acid!$J:$J,match($A98,fatty_acid!$A:$A,0)))</f>
        <v>N</v>
      </c>
      <c r="H98" t="str">
        <f t="array" ref="H98">iferror(index(isotopes!$G:$G,match($A98,isotopes!$A:$A,0)))</f>
        <v>BIS22-85</v>
      </c>
      <c r="I98" t="str">
        <f t="array" ref="I98">iferror(index(isotopes!$J:$J,match($A98,isotopes!$A:$A,0)))</f>
        <v>N</v>
      </c>
      <c r="J98" t="str">
        <f t="array" ref="J98">iferror(index(extra_muscle!$G:$G,match($A98,extra_muscle!$A:$A,0)))</f>
        <v>BXM22-43</v>
      </c>
      <c r="K98" t="str">
        <f t="array" ref="K98">iferror(index(extra_muscle!$J:$J,match($A98,extra_muscle!$A:$A,0)))</f>
        <v>N</v>
      </c>
      <c r="L98" s="59" t="str">
        <f t="array" ref="L98">iferror(index(dna!$G:$G,match($A98,dna!$A:$A,0)))</f>
        <v/>
      </c>
      <c r="M98" s="60" t="str">
        <f t="array" ref="M98">iferror(index(dna!$J:$J,match($A98,dna!$A:$A,0)))</f>
        <v/>
      </c>
      <c r="N98" t="str">
        <f t="array" ref="N98">iferror(index(stomachs!$G:$G,match($A98,stomachs!$A:$A,0)))</f>
        <v>BST234-20</v>
      </c>
      <c r="O98" t="str">
        <f t="array" ref="O98">iferror(index(stomachs!$J:$J,match($A98,stomachs!$A:$A,0)))</f>
        <v>N</v>
      </c>
      <c r="P98" t="str">
        <f t="array" ref="P98">iferror(index(sea_lice!$G:$G,match($A98,sea_lice!$A:$A,0)))</f>
        <v/>
      </c>
      <c r="Q98" t="str">
        <f t="array" ref="Q98">iferror(index(sea_lice!$J:$J,match($A98,sea_lice!$A:$A,0)))</f>
        <v/>
      </c>
      <c r="R98" s="40" t="str">
        <f t="array" ref="R98">iferror(index(dissected_fish!$F:$F,match($A98,dissected_fish!$A:$A,0)))</f>
        <v>BCA100</v>
      </c>
      <c r="S98" s="40" t="str">
        <f t="array" ref="S98">iferror(index(dissected_fish!$K:$K,match($A98,dissected_fish!$A:$A,0)))</f>
        <v>N</v>
      </c>
      <c r="T98" s="61" t="str">
        <f t="array" ref="T98">index(fish_lab_data!O:O,match(A98,fish_lab_data!C:C,0))</f>
        <v>EJ</v>
      </c>
      <c r="U98" s="61">
        <f t="array" ref="U98">if(A98="","",index(fish_lab_data!X:X,match(A98,fish_lab_data!C:C,0)))</f>
        <v>97</v>
      </c>
    </row>
    <row r="99">
      <c r="A99" t="str">
        <f>fish_lab_data!C99</f>
        <v>U5207</v>
      </c>
      <c r="B99" t="str">
        <f t="array" ref="B99">iferror(index('rna-muscle'!$I:$I,match($A99,'rna-muscle'!$A:$A,0)))</f>
        <v>BRN66M-F10</v>
      </c>
      <c r="C99" t="str">
        <f t="array" ref="C99">iferror(index('rna-muscle'!$L:$L,match($A99,'rna-muscle'!$A:$A,0)))</f>
        <v>N</v>
      </c>
      <c r="D99" t="str">
        <f t="array" ref="D99">iferror(index('rna-gill'!$I:$I,match($A99,'rna-gill'!$A:$A,0)))</f>
        <v>BRN66G-F10</v>
      </c>
      <c r="E99" t="str">
        <f t="array" ref="E99">iferror(index('rna-gill'!$L:$L,match($A99,'rna-gill'!$A:$A,0)))</f>
        <v>N</v>
      </c>
      <c r="F99" t="str">
        <f t="array" ref="F99">iferror(index(fatty_acid!$G:$G,match($A99,fatty_acid!$A:$A,0)))</f>
        <v>BFA21-7</v>
      </c>
      <c r="G99" t="str">
        <f t="array" ref="G99">iferror(index(fatty_acid!$J:$J,match($A99,fatty_acid!$A:$A,0)))</f>
        <v>N</v>
      </c>
      <c r="H99" t="str">
        <f t="array" ref="H99">iferror(index(isotopes!$G:$G,match($A99,isotopes!$A:$A,0)))</f>
        <v>BIS22-87</v>
      </c>
      <c r="I99" t="str">
        <f t="array" ref="I99">iferror(index(isotopes!$J:$J,match($A99,isotopes!$A:$A,0)))</f>
        <v>N</v>
      </c>
      <c r="J99" t="str">
        <f t="array" ref="J99">iferror(index(extra_muscle!$G:$G,match($A99,extra_muscle!$A:$A,0)))</f>
        <v>BXM22-44</v>
      </c>
      <c r="K99" t="str">
        <f t="array" ref="K99">iferror(index(extra_muscle!$J:$J,match($A99,extra_muscle!$A:$A,0)))</f>
        <v>N</v>
      </c>
      <c r="L99" s="59" t="str">
        <f t="array" ref="L99">iferror(index(dna!$G:$G,match($A99,dna!$A:$A,0)))</f>
        <v/>
      </c>
      <c r="M99" s="60" t="str">
        <f t="array" ref="M99">iferror(index(dna!$J:$J,match($A99,dna!$A:$A,0)))</f>
        <v/>
      </c>
      <c r="N99" t="str">
        <f t="array" ref="N99">iferror(index(stomachs!$G:$G,match($A99,stomachs!$A:$A,0)))</f>
        <v>BST234-21</v>
      </c>
      <c r="O99" t="str">
        <f t="array" ref="O99">iferror(index(stomachs!$J:$J,match($A99,stomachs!$A:$A,0)))</f>
        <v>N</v>
      </c>
      <c r="P99" t="str">
        <f t="array" ref="P99">iferror(index(sea_lice!$G:$G,match($A99,sea_lice!$A:$A,0)))</f>
        <v/>
      </c>
      <c r="Q99" t="str">
        <f t="array" ref="Q99">iferror(index(sea_lice!$J:$J,match($A99,sea_lice!$A:$A,0)))</f>
        <v/>
      </c>
      <c r="R99" s="40" t="str">
        <f t="array" ref="R99">iferror(index(dissected_fish!$F:$F,match($A99,dissected_fish!$A:$A,0)))</f>
        <v>BCA100</v>
      </c>
      <c r="S99" s="40" t="str">
        <f t="array" ref="S99">iferror(index(dissected_fish!$K:$K,match($A99,dissected_fish!$A:$A,0)))</f>
        <v>N</v>
      </c>
      <c r="T99" s="61" t="str">
        <f t="array" ref="T99">index(fish_lab_data!O:O,match(A99,fish_lab_data!C:C,0))</f>
        <v>EJ</v>
      </c>
      <c r="U99" s="61">
        <f t="array" ref="U99">if(A99="","",index(fish_lab_data!X:X,match(A99,fish_lab_data!C:C,0)))</f>
        <v>98</v>
      </c>
    </row>
    <row r="100">
      <c r="A100" t="str">
        <f>fish_lab_data!C100</f>
        <v>U5208</v>
      </c>
      <c r="B100" t="str">
        <f t="array" ref="B100">iferror(index('rna-muscle'!$I:$I,match($A100,'rna-muscle'!$A:$A,0)))</f>
        <v>BRN66M-E10</v>
      </c>
      <c r="C100" t="str">
        <f t="array" ref="C100">iferror(index('rna-muscle'!$L:$L,match($A100,'rna-muscle'!$A:$A,0)))</f>
        <v>N</v>
      </c>
      <c r="D100" t="str">
        <f t="array" ref="D100">iferror(index('rna-gill'!$I:$I,match($A100,'rna-gill'!$A:$A,0)))</f>
        <v>BRN66G-E10</v>
      </c>
      <c r="E100" t="str">
        <f t="array" ref="E100">iferror(index('rna-gill'!$L:$L,match($A100,'rna-gill'!$A:$A,0)))</f>
        <v>N</v>
      </c>
      <c r="F100" t="str">
        <f t="array" ref="F100">iferror(index(fatty_acid!$G:$G,match($A100,fatty_acid!$A:$A,0)))</f>
        <v>BFA21-8</v>
      </c>
      <c r="G100" t="str">
        <f t="array" ref="G100">iferror(index(fatty_acid!$J:$J,match($A100,fatty_acid!$A:$A,0)))</f>
        <v>N</v>
      </c>
      <c r="H100" t="str">
        <f t="array" ref="H100">iferror(index(isotopes!$G:$G,match($A100,isotopes!$A:$A,0)))</f>
        <v>BIS22-89</v>
      </c>
      <c r="I100" t="str">
        <f t="array" ref="I100">iferror(index(isotopes!$J:$J,match($A100,isotopes!$A:$A,0)))</f>
        <v>N</v>
      </c>
      <c r="J100" t="str">
        <f t="array" ref="J100">iferror(index(extra_muscle!$G:$G,match($A100,extra_muscle!$A:$A,0)))</f>
        <v>BXM22-45</v>
      </c>
      <c r="K100" t="str">
        <f t="array" ref="K100">iferror(index(extra_muscle!$J:$J,match($A100,extra_muscle!$A:$A,0)))</f>
        <v>N</v>
      </c>
      <c r="L100" s="59" t="str">
        <f t="array" ref="L100">iferror(index(dna!$G:$G,match($A100,dna!$A:$A,0)))</f>
        <v/>
      </c>
      <c r="M100" s="60" t="str">
        <f t="array" ref="M100">iferror(index(dna!$J:$J,match($A100,dna!$A:$A,0)))</f>
        <v/>
      </c>
      <c r="N100" t="str">
        <f t="array" ref="N100">iferror(index(stomachs!$G:$G,match($A100,stomachs!$A:$A,0)))</f>
        <v>BST234-22</v>
      </c>
      <c r="O100" t="str">
        <f t="array" ref="O100">iferror(index(stomachs!$J:$J,match($A100,stomachs!$A:$A,0)))</f>
        <v>N</v>
      </c>
      <c r="P100" t="str">
        <f t="array" ref="P100">iferror(index(sea_lice!$G:$G,match($A100,sea_lice!$A:$A,0)))</f>
        <v/>
      </c>
      <c r="Q100" t="str">
        <f t="array" ref="Q100">iferror(index(sea_lice!$J:$J,match($A100,sea_lice!$A:$A,0)))</f>
        <v/>
      </c>
      <c r="R100" s="40" t="str">
        <f t="array" ref="R100">iferror(index(dissected_fish!$F:$F,match($A100,dissected_fish!$A:$A,0)))</f>
        <v>BCA100</v>
      </c>
      <c r="S100" s="40" t="str">
        <f t="array" ref="S100">iferror(index(dissected_fish!$K:$K,match($A100,dissected_fish!$A:$A,0)))</f>
        <v>N</v>
      </c>
      <c r="T100" s="61" t="str">
        <f t="array" ref="T100">index(fish_lab_data!O:O,match(A100,fish_lab_data!C:C,0))</f>
        <v>EJ</v>
      </c>
      <c r="U100" s="61">
        <f t="array" ref="U100">if(A100="","",index(fish_lab_data!X:X,match(A100,fish_lab_data!C:C,0)))</f>
        <v>99</v>
      </c>
    </row>
    <row r="101">
      <c r="A101" t="str">
        <f>fish_lab_data!C101</f>
        <v>U5209</v>
      </c>
      <c r="B101" t="str">
        <f t="array" ref="B101">iferror(index('rna-muscle'!$I:$I,match($A101,'rna-muscle'!$A:$A,0)))</f>
        <v>BRN66M-D10</v>
      </c>
      <c r="C101" t="str">
        <f t="array" ref="C101">iferror(index('rna-muscle'!$L:$L,match($A101,'rna-muscle'!$A:$A,0)))</f>
        <v>N</v>
      </c>
      <c r="D101" t="str">
        <f t="array" ref="D101">iferror(index('rna-gill'!$I:$I,match($A101,'rna-gill'!$A:$A,0)))</f>
        <v>BRN66G-D10</v>
      </c>
      <c r="E101" t="str">
        <f t="array" ref="E101">iferror(index('rna-gill'!$L:$L,match($A101,'rna-gill'!$A:$A,0)))</f>
        <v>N</v>
      </c>
      <c r="F101" t="str">
        <f t="array" ref="F101">iferror(index(fatty_acid!$G:$G,match($A101,fatty_acid!$A:$A,0)))</f>
        <v>BFA21-9</v>
      </c>
      <c r="G101" t="str">
        <f t="array" ref="G101">iferror(index(fatty_acid!$J:$J,match($A101,fatty_acid!$A:$A,0)))</f>
        <v>N</v>
      </c>
      <c r="H101" t="str">
        <f t="array" ref="H101">iferror(index(isotopes!$G:$G,match($A101,isotopes!$A:$A,0)))</f>
        <v>BIS22-92</v>
      </c>
      <c r="I101" t="str">
        <f t="array" ref="I101">iferror(index(isotopes!$J:$J,match($A101,isotopes!$A:$A,0)))</f>
        <v>N</v>
      </c>
      <c r="J101" t="str">
        <f t="array" ref="J101">iferror(index(extra_muscle!$G:$G,match($A101,extra_muscle!$A:$A,0)))</f>
        <v>BXM22-47</v>
      </c>
      <c r="K101" t="str">
        <f t="array" ref="K101">iferror(index(extra_muscle!$J:$J,match($A101,extra_muscle!$A:$A,0)))</f>
        <v>N</v>
      </c>
      <c r="L101" s="59" t="str">
        <f t="array" ref="L101">iferror(index(dna!$G:$G,match($A101,dna!$A:$A,0)))</f>
        <v/>
      </c>
      <c r="M101" s="60" t="str">
        <f t="array" ref="M101">iferror(index(dna!$J:$J,match($A101,dna!$A:$A,0)))</f>
        <v/>
      </c>
      <c r="N101" t="str">
        <f t="array" ref="N101">iferror(index(stomachs!$G:$G,match($A101,stomachs!$A:$A,0)))</f>
        <v>BST234-23</v>
      </c>
      <c r="O101" t="str">
        <f t="array" ref="O101">iferror(index(stomachs!$J:$J,match($A101,stomachs!$A:$A,0)))</f>
        <v>N</v>
      </c>
      <c r="P101" t="str">
        <f t="array" ref="P101">iferror(index(sea_lice!$G:$G,match($A101,sea_lice!$A:$A,0)))</f>
        <v/>
      </c>
      <c r="Q101" t="str">
        <f t="array" ref="Q101">iferror(index(sea_lice!$J:$J,match($A101,sea_lice!$A:$A,0)))</f>
        <v/>
      </c>
      <c r="R101" s="40" t="str">
        <f t="array" ref="R101">iferror(index(dissected_fish!$F:$F,match($A101,dissected_fish!$A:$A,0)))</f>
        <v>BCA100</v>
      </c>
      <c r="S101" s="40" t="str">
        <f t="array" ref="S101">iferror(index(dissected_fish!$K:$K,match($A101,dissected_fish!$A:$A,0)))</f>
        <v>N</v>
      </c>
      <c r="T101" s="61" t="str">
        <f t="array" ref="T101">index(fish_lab_data!O:O,match(A101,fish_lab_data!C:C,0))</f>
        <v>EJ</v>
      </c>
      <c r="U101" s="61">
        <f t="array" ref="U101">if(A101="","",index(fish_lab_data!X:X,match(A101,fish_lab_data!C:C,0)))</f>
        <v>100</v>
      </c>
    </row>
    <row r="102">
      <c r="A102" t="str">
        <f>fish_lab_data!C102</f>
        <v>U5210</v>
      </c>
      <c r="B102" t="str">
        <f t="array" ref="B102">iferror(index('rna-muscle'!$I:$I,match($A102,'rna-muscle'!$A:$A,0)))</f>
        <v>BRN66M-C10</v>
      </c>
      <c r="C102" t="str">
        <f t="array" ref="C102">iferror(index('rna-muscle'!$L:$L,match($A102,'rna-muscle'!$A:$A,0)))</f>
        <v>N</v>
      </c>
      <c r="D102" t="str">
        <f t="array" ref="D102">iferror(index('rna-gill'!$I:$I,match($A102,'rna-gill'!$A:$A,0)))</f>
        <v>BRN66G-C10</v>
      </c>
      <c r="E102" t="str">
        <f t="array" ref="E102">iferror(index('rna-gill'!$L:$L,match($A102,'rna-gill'!$A:$A,0)))</f>
        <v>N</v>
      </c>
      <c r="F102" t="str">
        <f t="array" ref="F102">iferror(index(fatty_acid!$G:$G,match($A102,fatty_acid!$A:$A,0)))</f>
        <v>BFA21-10</v>
      </c>
      <c r="G102" t="str">
        <f t="array" ref="G102">iferror(index(fatty_acid!$J:$J,match($A102,fatty_acid!$A:$A,0)))</f>
        <v>N</v>
      </c>
      <c r="H102" t="str">
        <f t="array" ref="H102">iferror(index(isotopes!$G:$G,match($A102,isotopes!$A:$A,0)))</f>
        <v>BIS22-94</v>
      </c>
      <c r="I102" t="str">
        <f t="array" ref="I102">iferror(index(isotopes!$J:$J,match($A102,isotopes!$A:$A,0)))</f>
        <v>N</v>
      </c>
      <c r="J102" t="str">
        <f t="array" ref="J102">iferror(index(extra_muscle!$G:$G,match($A102,extra_muscle!$A:$A,0)))</f>
        <v>BXM22-48</v>
      </c>
      <c r="K102" t="str">
        <f t="array" ref="K102">iferror(index(extra_muscle!$J:$J,match($A102,extra_muscle!$A:$A,0)))</f>
        <v>N</v>
      </c>
      <c r="L102" s="59" t="str">
        <f t="array" ref="L102">iferror(index(dna!$G:$G,match($A102,dna!$A:$A,0)))</f>
        <v/>
      </c>
      <c r="M102" s="60" t="str">
        <f t="array" ref="M102">iferror(index(dna!$J:$J,match($A102,dna!$A:$A,0)))</f>
        <v/>
      </c>
      <c r="N102" t="str">
        <f t="array" ref="N102">iferror(index(stomachs!$G:$G,match($A102,stomachs!$A:$A,0)))</f>
        <v>BST234-24</v>
      </c>
      <c r="O102" t="str">
        <f t="array" ref="O102">iferror(index(stomachs!$J:$J,match($A102,stomachs!$A:$A,0)))</f>
        <v>N</v>
      </c>
      <c r="P102" t="str">
        <f t="array" ref="P102">iferror(index(sea_lice!$G:$G,match($A102,sea_lice!$A:$A,0)))</f>
        <v/>
      </c>
      <c r="Q102" t="str">
        <f t="array" ref="Q102">iferror(index(sea_lice!$J:$J,match($A102,sea_lice!$A:$A,0)))</f>
        <v/>
      </c>
      <c r="R102" s="40" t="str">
        <f t="array" ref="R102">iferror(index(dissected_fish!$F:$F,match($A102,dissected_fish!$A:$A,0)))</f>
        <v>BCA100</v>
      </c>
      <c r="S102" s="40" t="str">
        <f t="array" ref="S102">iferror(index(dissected_fish!$K:$K,match($A102,dissected_fish!$A:$A,0)))</f>
        <v>N</v>
      </c>
      <c r="T102" s="61" t="str">
        <f t="array" ref="T102">index(fish_lab_data!O:O,match(A102,fish_lab_data!C:C,0))</f>
        <v>EJ</v>
      </c>
      <c r="U102" s="61">
        <f t="array" ref="U102">if(A102="","",index(fish_lab_data!X:X,match(A102,fish_lab_data!C:C,0)))</f>
        <v>101</v>
      </c>
    </row>
    <row r="103">
      <c r="A103" t="str">
        <f>fish_lab_data!C103</f>
        <v>U5211</v>
      </c>
      <c r="B103" t="str">
        <f t="array" ref="B103">iferror(index('rna-muscle'!$I:$I,match($A103,'rna-muscle'!$A:$A,0)))</f>
        <v>BRN66M-B10</v>
      </c>
      <c r="C103" t="str">
        <f t="array" ref="C103">iferror(index('rna-muscle'!$L:$L,match($A103,'rna-muscle'!$A:$A,0)))</f>
        <v>N</v>
      </c>
      <c r="D103" t="str">
        <f t="array" ref="D103">iferror(index('rna-gill'!$I:$I,match($A103,'rna-gill'!$A:$A,0)))</f>
        <v>BRN66G-B10</v>
      </c>
      <c r="E103" t="str">
        <f t="array" ref="E103">iferror(index('rna-gill'!$L:$L,match($A103,'rna-gill'!$A:$A,0)))</f>
        <v>N</v>
      </c>
      <c r="F103" t="str">
        <f t="array" ref="F103">iferror(index(fatty_acid!$G:$G,match($A103,fatty_acid!$A:$A,0)))</f>
        <v>BFA21-11</v>
      </c>
      <c r="G103" t="str">
        <f t="array" ref="G103">iferror(index(fatty_acid!$J:$J,match($A103,fatty_acid!$A:$A,0)))</f>
        <v>N</v>
      </c>
      <c r="H103" t="str">
        <f t="array" ref="H103">iferror(index(isotopes!$G:$G,match($A103,isotopes!$A:$A,0)))</f>
        <v>BIS22-96</v>
      </c>
      <c r="I103" t="str">
        <f t="array" ref="I103">iferror(index(isotopes!$J:$J,match($A103,isotopes!$A:$A,0)))</f>
        <v>N</v>
      </c>
      <c r="J103" t="str">
        <f t="array" ref="J103">iferror(index(extra_muscle!$G:$G,match($A103,extra_muscle!$A:$A,0)))</f>
        <v>BXM22-49</v>
      </c>
      <c r="K103" t="str">
        <f t="array" ref="K103">iferror(index(extra_muscle!$J:$J,match($A103,extra_muscle!$A:$A,0)))</f>
        <v>N</v>
      </c>
      <c r="L103" s="59" t="str">
        <f t="array" ref="L103">iferror(index(dna!$G:$G,match($A103,dna!$A:$A,0)))</f>
        <v/>
      </c>
      <c r="M103" s="60" t="str">
        <f t="array" ref="M103">iferror(index(dna!$J:$J,match($A103,dna!$A:$A,0)))</f>
        <v/>
      </c>
      <c r="N103" t="str">
        <f t="array" ref="N103">iferror(index(stomachs!$G:$G,match($A103,stomachs!$A:$A,0)))</f>
        <v>BST234-25</v>
      </c>
      <c r="O103" t="str">
        <f t="array" ref="O103">iferror(index(stomachs!$J:$J,match($A103,stomachs!$A:$A,0)))</f>
        <v>N</v>
      </c>
      <c r="P103" t="str">
        <f t="array" ref="P103">iferror(index(sea_lice!$G:$G,match($A103,sea_lice!$A:$A,0)))</f>
        <v/>
      </c>
      <c r="Q103" t="str">
        <f t="array" ref="Q103">iferror(index(sea_lice!$J:$J,match($A103,sea_lice!$A:$A,0)))</f>
        <v/>
      </c>
      <c r="R103" s="40" t="str">
        <f t="array" ref="R103">iferror(index(dissected_fish!$F:$F,match($A103,dissected_fish!$A:$A,0)))</f>
        <v>BCA100</v>
      </c>
      <c r="S103" s="40" t="str">
        <f t="array" ref="S103">iferror(index(dissected_fish!$K:$K,match($A103,dissected_fish!$A:$A,0)))</f>
        <v>N</v>
      </c>
      <c r="T103" s="61" t="str">
        <f t="array" ref="T103">index(fish_lab_data!O:O,match(A103,fish_lab_data!C:C,0))</f>
        <v>EJ</v>
      </c>
      <c r="U103" s="61">
        <f t="array" ref="U103">if(A103="","",index(fish_lab_data!X:X,match(A103,fish_lab_data!C:C,0)))</f>
        <v>102</v>
      </c>
    </row>
    <row r="104">
      <c r="A104" t="str">
        <f>fish_lab_data!C104</f>
        <v>U5185</v>
      </c>
      <c r="B104" t="str">
        <f t="array" ref="B104">iferror(index('rna-muscle'!$I:$I,match($A104,'rna-muscle'!$A:$A,0)))</f>
        <v>BRN66M-H9</v>
      </c>
      <c r="C104" t="str">
        <f t="array" ref="C104">iferror(index('rna-muscle'!$L:$L,match($A104,'rna-muscle'!$A:$A,0)))</f>
        <v>N</v>
      </c>
      <c r="D104" t="str">
        <f t="array" ref="D104">iferror(index('rna-gill'!$I:$I,match($A104,'rna-gill'!$A:$A,0)))</f>
        <v>BRN66G-H9</v>
      </c>
      <c r="E104" t="str">
        <f t="array" ref="E104">iferror(index('rna-gill'!$L:$L,match($A104,'rna-gill'!$A:$A,0)))</f>
        <v>N</v>
      </c>
      <c r="F104" t="str">
        <f t="array" ref="F104">iferror(index(fatty_acid!$G:$G,match($A104,fatty_acid!$A:$A,0)))</f>
        <v>BFA7-62</v>
      </c>
      <c r="G104" t="str">
        <f t="array" ref="G104">iferror(index(fatty_acid!$J:$J,match($A104,fatty_acid!$A:$A,0)))</f>
        <v>N</v>
      </c>
      <c r="H104" t="str">
        <f t="array" ref="H104">iferror(index(isotopes!$G:$G,match($A104,isotopes!$A:$A,0)))</f>
        <v>BIS23-34</v>
      </c>
      <c r="I104" t="str">
        <f t="array" ref="I104">iferror(index(isotopes!$J:$J,match($A104,isotopes!$A:$A,0)))</f>
        <v>N</v>
      </c>
      <c r="J104" t="str">
        <f t="array" ref="J104">iferror(index(extra_muscle!$G:$G,match($A104,extra_muscle!$A:$A,0)))</f>
        <v>BXM16-51</v>
      </c>
      <c r="K104" t="str">
        <f t="array" ref="K104">iferror(index(extra_muscle!$J:$J,match($A104,extra_muscle!$A:$A,0)))</f>
        <v>N</v>
      </c>
      <c r="L104" s="59" t="str">
        <f t="array" ref="L104">iferror(index(dna!$G:$G,match($A104,dna!$A:$A,0)))</f>
        <v/>
      </c>
      <c r="M104" s="60" t="str">
        <f t="array" ref="M104">iferror(index(dna!$J:$J,match($A104,dna!$A:$A,0)))</f>
        <v/>
      </c>
      <c r="N104" t="str">
        <f t="array" ref="N104">iferror(index(stomachs!$G:$G,match($A104,stomachs!$A:$A,0)))</f>
        <v>BST232-17</v>
      </c>
      <c r="O104" t="str">
        <f t="array" ref="O104">iferror(index(stomachs!$J:$J,match($A104,stomachs!$A:$A,0)))</f>
        <v>N</v>
      </c>
      <c r="P104" t="str">
        <f t="array" ref="P104">iferror(index(sea_lice!$G:$G,match($A104,sea_lice!$A:$A,0)))</f>
        <v/>
      </c>
      <c r="Q104" t="str">
        <f t="array" ref="Q104">iferror(index(sea_lice!$J:$J,match($A104,sea_lice!$A:$A,0)))</f>
        <v/>
      </c>
      <c r="R104" s="40" t="str">
        <f t="array" ref="R104">iferror(index(dissected_fish!$F:$F,match($A104,dissected_fish!$A:$A,0)))</f>
        <v>BCA100</v>
      </c>
      <c r="S104" s="40" t="str">
        <f t="array" ref="S104">iferror(index(dissected_fish!$K:$K,match($A104,dissected_fish!$A:$A,0)))</f>
        <v>N</v>
      </c>
      <c r="T104" s="61" t="str">
        <f t="array" ref="T104">index(fish_lab_data!O:O,match(A104,fish_lab_data!C:C,0))</f>
        <v>JG</v>
      </c>
      <c r="U104" s="61">
        <f t="array" ref="U104">if(A104="","",index(fish_lab_data!X:X,match(A104,fish_lab_data!C:C,0)))</f>
        <v>103</v>
      </c>
    </row>
    <row r="105">
      <c r="A105" t="str">
        <f>fish_lab_data!C105</f>
        <v>U5186</v>
      </c>
      <c r="B105" t="str">
        <f t="array" ref="B105">iferror(index('rna-muscle'!$I:$I,match($A105,'rna-muscle'!$A:$A,0)))</f>
        <v>BRN66M-G9</v>
      </c>
      <c r="C105" t="str">
        <f t="array" ref="C105">iferror(index('rna-muscle'!$L:$L,match($A105,'rna-muscle'!$A:$A,0)))</f>
        <v>N</v>
      </c>
      <c r="D105" t="str">
        <f t="array" ref="D105">iferror(index('rna-gill'!$I:$I,match($A105,'rna-gill'!$A:$A,0)))</f>
        <v>BRN66G-G9</v>
      </c>
      <c r="E105" t="str">
        <f t="array" ref="E105">iferror(index('rna-gill'!$L:$L,match($A105,'rna-gill'!$A:$A,0)))</f>
        <v>N</v>
      </c>
      <c r="F105" t="str">
        <f t="array" ref="F105">iferror(index(fatty_acid!$G:$G,match($A105,fatty_acid!$A:$A,0)))</f>
        <v>BFA7-64</v>
      </c>
      <c r="G105" t="str">
        <f t="array" ref="G105">iferror(index(fatty_acid!$J:$J,match($A105,fatty_acid!$A:$A,0)))</f>
        <v>N</v>
      </c>
      <c r="H105" t="str">
        <f t="array" ref="H105">iferror(index(isotopes!$G:$G,match($A105,isotopes!$A:$A,0)))</f>
        <v>BIS23-36</v>
      </c>
      <c r="I105" t="str">
        <f t="array" ref="I105">iferror(index(isotopes!$J:$J,match($A105,isotopes!$A:$A,0)))</f>
        <v>N</v>
      </c>
      <c r="J105" t="str">
        <f t="array" ref="J105">iferror(index(extra_muscle!$G:$G,match($A105,extra_muscle!$A:$A,0)))</f>
        <v>BXM16-52</v>
      </c>
      <c r="K105" t="str">
        <f t="array" ref="K105">iferror(index(extra_muscle!$J:$J,match($A105,extra_muscle!$A:$A,0)))</f>
        <v>N</v>
      </c>
      <c r="L105" s="59" t="str">
        <f t="array" ref="L105">iferror(index(dna!$G:$G,match($A105,dna!$A:$A,0)))</f>
        <v/>
      </c>
      <c r="M105" s="60" t="str">
        <f t="array" ref="M105">iferror(index(dna!$J:$J,match($A105,dna!$A:$A,0)))</f>
        <v/>
      </c>
      <c r="N105" t="str">
        <f t="array" ref="N105">iferror(index(stomachs!$G:$G,match($A105,stomachs!$A:$A,0)))</f>
        <v>BST232-18</v>
      </c>
      <c r="O105" t="str">
        <f t="array" ref="O105">iferror(index(stomachs!$J:$J,match($A105,stomachs!$A:$A,0)))</f>
        <v>N</v>
      </c>
      <c r="P105" t="str">
        <f t="array" ref="P105">iferror(index(sea_lice!$G:$G,match($A105,sea_lice!$A:$A,0)))</f>
        <v/>
      </c>
      <c r="Q105" t="str">
        <f t="array" ref="Q105">iferror(index(sea_lice!$J:$J,match($A105,sea_lice!$A:$A,0)))</f>
        <v/>
      </c>
      <c r="R105" s="40" t="str">
        <f t="array" ref="R105">iferror(index(dissected_fish!$F:$F,match($A105,dissected_fish!$A:$A,0)))</f>
        <v>BCA100</v>
      </c>
      <c r="S105" s="40" t="str">
        <f t="array" ref="S105">iferror(index(dissected_fish!$K:$K,match($A105,dissected_fish!$A:$A,0)))</f>
        <v>N</v>
      </c>
      <c r="T105" s="61" t="str">
        <f t="array" ref="T105">index(fish_lab_data!O:O,match(A105,fish_lab_data!C:C,0))</f>
        <v>JG</v>
      </c>
      <c r="U105" s="61">
        <f t="array" ref="U105">if(A105="","",index(fish_lab_data!X:X,match(A105,fish_lab_data!C:C,0)))</f>
        <v>104</v>
      </c>
    </row>
    <row r="106">
      <c r="A106" t="str">
        <f>fish_lab_data!C106</f>
        <v>U5187</v>
      </c>
      <c r="B106" t="str">
        <f t="array" ref="B106">iferror(index('rna-muscle'!$I:$I,match($A106,'rna-muscle'!$A:$A,0)))</f>
        <v>BRN66M-F9</v>
      </c>
      <c r="C106" t="str">
        <f t="array" ref="C106">iferror(index('rna-muscle'!$L:$L,match($A106,'rna-muscle'!$A:$A,0)))</f>
        <v>N</v>
      </c>
      <c r="D106" t="str">
        <f t="array" ref="D106">iferror(index('rna-gill'!$I:$I,match($A106,'rna-gill'!$A:$A,0)))</f>
        <v>BRN66G-F9</v>
      </c>
      <c r="E106" t="str">
        <f t="array" ref="E106">iferror(index('rna-gill'!$L:$L,match($A106,'rna-gill'!$A:$A,0)))</f>
        <v>N</v>
      </c>
      <c r="F106" t="str">
        <f t="array" ref="F106">iferror(index(fatty_acid!$G:$G,match($A106,fatty_acid!$A:$A,0)))</f>
        <v>BFA7-68</v>
      </c>
      <c r="G106" t="str">
        <f t="array" ref="G106">iferror(index(fatty_acid!$J:$J,match($A106,fatty_acid!$A:$A,0)))</f>
        <v>N</v>
      </c>
      <c r="H106" t="str">
        <f t="array" ref="H106">iferror(index(isotopes!$G:$G,match($A106,isotopes!$A:$A,0)))</f>
        <v>BIS23-38</v>
      </c>
      <c r="I106" t="str">
        <f t="array" ref="I106">iferror(index(isotopes!$J:$J,match($A106,isotopes!$A:$A,0)))</f>
        <v>N</v>
      </c>
      <c r="J106" t="str">
        <f t="array" ref="J106">iferror(index(extra_muscle!$G:$G,match($A106,extra_muscle!$A:$A,0)))</f>
        <v>BXM16-53</v>
      </c>
      <c r="K106" t="str">
        <f t="array" ref="K106">iferror(index(extra_muscle!$J:$J,match($A106,extra_muscle!$A:$A,0)))</f>
        <v>N</v>
      </c>
      <c r="L106" s="59" t="str">
        <f t="array" ref="L106">iferror(index(dna!$G:$G,match($A106,dna!$A:$A,0)))</f>
        <v/>
      </c>
      <c r="M106" s="60" t="str">
        <f t="array" ref="M106">iferror(index(dna!$J:$J,match($A106,dna!$A:$A,0)))</f>
        <v/>
      </c>
      <c r="N106" t="str">
        <f t="array" ref="N106">iferror(index(stomachs!$G:$G,match($A106,stomachs!$A:$A,0)))</f>
        <v>BST232-19</v>
      </c>
      <c r="O106" t="str">
        <f t="array" ref="O106">iferror(index(stomachs!$J:$J,match($A106,stomachs!$A:$A,0)))</f>
        <v>N</v>
      </c>
      <c r="P106" t="str">
        <f t="array" ref="P106">iferror(index(sea_lice!$G:$G,match($A106,sea_lice!$A:$A,0)))</f>
        <v/>
      </c>
      <c r="Q106" t="str">
        <f t="array" ref="Q106">iferror(index(sea_lice!$J:$J,match($A106,sea_lice!$A:$A,0)))</f>
        <v/>
      </c>
      <c r="R106" s="40" t="str">
        <f t="array" ref="R106">iferror(index(dissected_fish!$F:$F,match($A106,dissected_fish!$A:$A,0)))</f>
        <v>BCA100</v>
      </c>
      <c r="S106" s="40" t="str">
        <f t="array" ref="S106">iferror(index(dissected_fish!$K:$K,match($A106,dissected_fish!$A:$A,0)))</f>
        <v>N</v>
      </c>
      <c r="T106" s="61" t="str">
        <f t="array" ref="T106">index(fish_lab_data!O:O,match(A106,fish_lab_data!C:C,0))</f>
        <v>JG</v>
      </c>
      <c r="U106" s="61">
        <f t="array" ref="U106">if(A106="","",index(fish_lab_data!X:X,match(A106,fish_lab_data!C:C,0)))</f>
        <v>105</v>
      </c>
    </row>
    <row r="107">
      <c r="A107" t="str">
        <f>fish_lab_data!C107</f>
        <v>U5188</v>
      </c>
      <c r="B107" t="str">
        <f t="array" ref="B107">iferror(index('rna-muscle'!$I:$I,match($A107,'rna-muscle'!$A:$A,0)))</f>
        <v>BRN66M-E9</v>
      </c>
      <c r="C107" t="str">
        <f t="array" ref="C107">iferror(index('rna-muscle'!$L:$L,match($A107,'rna-muscle'!$A:$A,0)))</f>
        <v>N</v>
      </c>
      <c r="D107" t="str">
        <f t="array" ref="D107">iferror(index('rna-gill'!$I:$I,match($A107,'rna-gill'!$A:$A,0)))</f>
        <v>BRN66G-E9</v>
      </c>
      <c r="E107" t="str">
        <f t="array" ref="E107">iferror(index('rna-gill'!$L:$L,match($A107,'rna-gill'!$A:$A,0)))</f>
        <v>N</v>
      </c>
      <c r="F107" t="str">
        <f t="array" ref="F107">iferror(index(fatty_acid!$G:$G,match($A107,fatty_acid!$A:$A,0)))</f>
        <v>BFA7-70</v>
      </c>
      <c r="G107" t="str">
        <f t="array" ref="G107">iferror(index(fatty_acid!$J:$J,match($A107,fatty_acid!$A:$A,0)))</f>
        <v>N</v>
      </c>
      <c r="H107" t="str">
        <f t="array" ref="H107">iferror(index(isotopes!$G:$G,match($A107,isotopes!$A:$A,0)))</f>
        <v>BIS23-40</v>
      </c>
      <c r="I107" t="str">
        <f t="array" ref="I107">iferror(index(isotopes!$J:$J,match($A107,isotopes!$A:$A,0)))</f>
        <v>N</v>
      </c>
      <c r="J107" t="str">
        <f t="array" ref="J107">iferror(index(extra_muscle!$G:$G,match($A107,extra_muscle!$A:$A,0)))</f>
        <v>BXM16-54</v>
      </c>
      <c r="K107" t="str">
        <f t="array" ref="K107">iferror(index(extra_muscle!$J:$J,match($A107,extra_muscle!$A:$A,0)))</f>
        <v>N</v>
      </c>
      <c r="L107" s="59" t="str">
        <f t="array" ref="L107">iferror(index(dna!$G:$G,match($A107,dna!$A:$A,0)))</f>
        <v/>
      </c>
      <c r="M107" s="60" t="str">
        <f t="array" ref="M107">iferror(index(dna!$J:$J,match($A107,dna!$A:$A,0)))</f>
        <v/>
      </c>
      <c r="N107" t="str">
        <f t="array" ref="N107">iferror(index(stomachs!$G:$G,match($A107,stomachs!$A:$A,0)))</f>
        <v>BST232-20</v>
      </c>
      <c r="O107" t="str">
        <f t="array" ref="O107">iferror(index(stomachs!$J:$J,match($A107,stomachs!$A:$A,0)))</f>
        <v>N</v>
      </c>
      <c r="P107" t="str">
        <f t="array" ref="P107">iferror(index(sea_lice!$G:$G,match($A107,sea_lice!$A:$A,0)))</f>
        <v/>
      </c>
      <c r="Q107" t="str">
        <f t="array" ref="Q107">iferror(index(sea_lice!$J:$J,match($A107,sea_lice!$A:$A,0)))</f>
        <v/>
      </c>
      <c r="R107" s="40" t="str">
        <f t="array" ref="R107">iferror(index(dissected_fish!$F:$F,match($A107,dissected_fish!$A:$A,0)))</f>
        <v>BCA100</v>
      </c>
      <c r="S107" s="40" t="str">
        <f t="array" ref="S107">iferror(index(dissected_fish!$K:$K,match($A107,dissected_fish!$A:$A,0)))</f>
        <v>N</v>
      </c>
      <c r="T107" s="61" t="str">
        <f t="array" ref="T107">index(fish_lab_data!O:O,match(A107,fish_lab_data!C:C,0))</f>
        <v>JG</v>
      </c>
      <c r="U107" s="61">
        <f t="array" ref="U107">if(A107="","",index(fish_lab_data!X:X,match(A107,fish_lab_data!C:C,0)))</f>
        <v>106</v>
      </c>
    </row>
    <row r="108">
      <c r="A108" t="str">
        <f>fish_lab_data!C108</f>
        <v>U5189</v>
      </c>
      <c r="B108" t="str">
        <f t="array" ref="B108">iferror(index('rna-muscle'!$I:$I,match($A108,'rna-muscle'!$A:$A,0)))</f>
        <v>BRN66M-D9</v>
      </c>
      <c r="C108" t="str">
        <f t="array" ref="C108">iferror(index('rna-muscle'!$L:$L,match($A108,'rna-muscle'!$A:$A,0)))</f>
        <v>N</v>
      </c>
      <c r="D108" t="str">
        <f t="array" ref="D108">iferror(index('rna-gill'!$I:$I,match($A108,'rna-gill'!$A:$A,0)))</f>
        <v>BRN66G-D9</v>
      </c>
      <c r="E108" t="str">
        <f t="array" ref="E108">iferror(index('rna-gill'!$L:$L,match($A108,'rna-gill'!$A:$A,0)))</f>
        <v>N</v>
      </c>
      <c r="F108" t="str">
        <f t="array" ref="F108">iferror(index(fatty_acid!$G:$G,match($A108,fatty_acid!$A:$A,0)))</f>
        <v>BFA7-71</v>
      </c>
      <c r="G108" t="str">
        <f t="array" ref="G108">iferror(index(fatty_acid!$J:$J,match($A108,fatty_acid!$A:$A,0)))</f>
        <v>N</v>
      </c>
      <c r="H108" t="str">
        <f t="array" ref="H108">iferror(index(isotopes!$G:$G,match($A108,isotopes!$A:$A,0)))</f>
        <v>BIS23-41</v>
      </c>
      <c r="I108" t="str">
        <f t="array" ref="I108">iferror(index(isotopes!$J:$J,match($A108,isotopes!$A:$A,0)))</f>
        <v>N</v>
      </c>
      <c r="J108" t="str">
        <f t="array" ref="J108">iferror(index(extra_muscle!$G:$G,match($A108,extra_muscle!$A:$A,0)))</f>
        <v>BXM16-56</v>
      </c>
      <c r="K108" t="str">
        <f t="array" ref="K108">iferror(index(extra_muscle!$J:$J,match($A108,extra_muscle!$A:$A,0)))</f>
        <v>N</v>
      </c>
      <c r="L108" s="59" t="str">
        <f t="array" ref="L108">iferror(index(dna!$G:$G,match($A108,dna!$A:$A,0)))</f>
        <v/>
      </c>
      <c r="M108" s="60" t="str">
        <f t="array" ref="M108">iferror(index(dna!$J:$J,match($A108,dna!$A:$A,0)))</f>
        <v/>
      </c>
      <c r="N108" t="str">
        <f t="array" ref="N108">iferror(index(stomachs!$G:$G,match($A108,stomachs!$A:$A,0)))</f>
        <v>BST232-21</v>
      </c>
      <c r="O108" t="str">
        <f t="array" ref="O108">iferror(index(stomachs!$J:$J,match($A108,stomachs!$A:$A,0)))</f>
        <v>N</v>
      </c>
      <c r="P108" t="str">
        <f t="array" ref="P108">iferror(index(sea_lice!$G:$G,match($A108,sea_lice!$A:$A,0)))</f>
        <v/>
      </c>
      <c r="Q108" t="str">
        <f t="array" ref="Q108">iferror(index(sea_lice!$J:$J,match($A108,sea_lice!$A:$A,0)))</f>
        <v/>
      </c>
      <c r="R108" s="40" t="str">
        <f t="array" ref="R108">iferror(index(dissected_fish!$F:$F,match($A108,dissected_fish!$A:$A,0)))</f>
        <v>BCA100</v>
      </c>
      <c r="S108" s="40" t="str">
        <f t="array" ref="S108">iferror(index(dissected_fish!$K:$K,match($A108,dissected_fish!$A:$A,0)))</f>
        <v>N</v>
      </c>
      <c r="T108" s="61" t="str">
        <f t="array" ref="T108">index(fish_lab_data!O:O,match(A108,fish_lab_data!C:C,0))</f>
        <v>JG</v>
      </c>
      <c r="U108" s="61">
        <f t="array" ref="U108">if(A108="","",index(fish_lab_data!X:X,match(A108,fish_lab_data!C:C,0)))</f>
        <v>107</v>
      </c>
    </row>
    <row r="109">
      <c r="A109" t="str">
        <f>fish_lab_data!C109</f>
        <v>U5190</v>
      </c>
      <c r="B109" t="str">
        <f t="array" ref="B109">iferror(index('rna-muscle'!$I:$I,match($A109,'rna-muscle'!$A:$A,0)))</f>
        <v>BRN66M-C9</v>
      </c>
      <c r="C109" t="str">
        <f t="array" ref="C109">iferror(index('rna-muscle'!$L:$L,match($A109,'rna-muscle'!$A:$A,0)))</f>
        <v>N</v>
      </c>
      <c r="D109" t="str">
        <f t="array" ref="D109">iferror(index('rna-gill'!$I:$I,match($A109,'rna-gill'!$A:$A,0)))</f>
        <v>BRN66G-C9</v>
      </c>
      <c r="E109" t="str">
        <f t="array" ref="E109">iferror(index('rna-gill'!$L:$L,match($A109,'rna-gill'!$A:$A,0)))</f>
        <v>N</v>
      </c>
      <c r="F109" t="str">
        <f t="array" ref="F109">iferror(index(fatty_acid!$G:$G,match($A109,fatty_acid!$A:$A,0)))</f>
        <v>BFA7-73</v>
      </c>
      <c r="G109" t="str">
        <f t="array" ref="G109">iferror(index(fatty_acid!$J:$J,match($A109,fatty_acid!$A:$A,0)))</f>
        <v>N</v>
      </c>
      <c r="H109" t="str">
        <f t="array" ref="H109">iferror(index(isotopes!$G:$G,match($A109,isotopes!$A:$A,0)))</f>
        <v>BIS23-43</v>
      </c>
      <c r="I109" t="str">
        <f t="array" ref="I109">iferror(index(isotopes!$J:$J,match($A109,isotopes!$A:$A,0)))</f>
        <v>N</v>
      </c>
      <c r="J109" t="str">
        <f t="array" ref="J109">iferror(index(extra_muscle!$G:$G,match($A109,extra_muscle!$A:$A,0)))</f>
        <v>BXM16-57</v>
      </c>
      <c r="K109" t="str">
        <f t="array" ref="K109">iferror(index(extra_muscle!$J:$J,match($A109,extra_muscle!$A:$A,0)))</f>
        <v>N</v>
      </c>
      <c r="L109" s="59" t="str">
        <f t="array" ref="L109">iferror(index(dna!$G:$G,match($A109,dna!$A:$A,0)))</f>
        <v/>
      </c>
      <c r="M109" s="60" t="str">
        <f t="array" ref="M109">iferror(index(dna!$J:$J,match($A109,dna!$A:$A,0)))</f>
        <v/>
      </c>
      <c r="N109" t="str">
        <f t="array" ref="N109">iferror(index(stomachs!$G:$G,match($A109,stomachs!$A:$A,0)))</f>
        <v>BST232-22</v>
      </c>
      <c r="O109" t="str">
        <f t="array" ref="O109">iferror(index(stomachs!$J:$J,match($A109,stomachs!$A:$A,0)))</f>
        <v>N</v>
      </c>
      <c r="P109" t="str">
        <f t="array" ref="P109">iferror(index(sea_lice!$G:$G,match($A109,sea_lice!$A:$A,0)))</f>
        <v/>
      </c>
      <c r="Q109" t="str">
        <f t="array" ref="Q109">iferror(index(sea_lice!$J:$J,match($A109,sea_lice!$A:$A,0)))</f>
        <v/>
      </c>
      <c r="R109" s="40" t="str">
        <f t="array" ref="R109">iferror(index(dissected_fish!$F:$F,match($A109,dissected_fish!$A:$A,0)))</f>
        <v>BCA100</v>
      </c>
      <c r="S109" s="40" t="str">
        <f t="array" ref="S109">iferror(index(dissected_fish!$K:$K,match($A109,dissected_fish!$A:$A,0)))</f>
        <v>N</v>
      </c>
      <c r="T109" s="61" t="str">
        <f t="array" ref="T109">index(fish_lab_data!O:O,match(A109,fish_lab_data!C:C,0))</f>
        <v>JG</v>
      </c>
      <c r="U109" s="61">
        <f t="array" ref="U109">if(A109="","",index(fish_lab_data!X:X,match(A109,fish_lab_data!C:C,0)))</f>
        <v>108</v>
      </c>
    </row>
    <row r="110">
      <c r="A110" t="str">
        <f>fish_lab_data!C110</f>
        <v>U5191</v>
      </c>
      <c r="B110" t="str">
        <f t="array" ref="B110">iferror(index('rna-muscle'!$I:$I,match($A110,'rna-muscle'!$A:$A,0)))</f>
        <v>BRN66M-B9</v>
      </c>
      <c r="C110" t="str">
        <f t="array" ref="C110">iferror(index('rna-muscle'!$L:$L,match($A110,'rna-muscle'!$A:$A,0)))</f>
        <v>N</v>
      </c>
      <c r="D110" t="str">
        <f t="array" ref="D110">iferror(index('rna-gill'!$I:$I,match($A110,'rna-gill'!$A:$A,0)))</f>
        <v>BRN66G-B9</v>
      </c>
      <c r="E110" t="str">
        <f t="array" ref="E110">iferror(index('rna-gill'!$L:$L,match($A110,'rna-gill'!$A:$A,0)))</f>
        <v>N</v>
      </c>
      <c r="F110" t="str">
        <f t="array" ref="F110">iferror(index(fatty_acid!$G:$G,match($A110,fatty_acid!$A:$A,0)))</f>
        <v>BFA7-77</v>
      </c>
      <c r="G110" t="str">
        <f t="array" ref="G110">iferror(index(fatty_acid!$J:$J,match($A110,fatty_acid!$A:$A,0)))</f>
        <v>N</v>
      </c>
      <c r="H110" t="str">
        <f t="array" ref="H110">iferror(index(isotopes!$G:$G,match($A110,isotopes!$A:$A,0)))</f>
        <v>BIS23-45</v>
      </c>
      <c r="I110" t="str">
        <f t="array" ref="I110">iferror(index(isotopes!$J:$J,match($A110,isotopes!$A:$A,0)))</f>
        <v>N</v>
      </c>
      <c r="J110" t="str">
        <f t="array" ref="J110">iferror(index(extra_muscle!$G:$G,match($A110,extra_muscle!$A:$A,0)))</f>
        <v>BXM16-58</v>
      </c>
      <c r="K110" t="str">
        <f t="array" ref="K110">iferror(index(extra_muscle!$J:$J,match($A110,extra_muscle!$A:$A,0)))</f>
        <v>N</v>
      </c>
      <c r="L110" s="59" t="str">
        <f t="array" ref="L110">iferror(index(dna!$G:$G,match($A110,dna!$A:$A,0)))</f>
        <v/>
      </c>
      <c r="M110" s="60" t="str">
        <f t="array" ref="M110">iferror(index(dna!$J:$J,match($A110,dna!$A:$A,0)))</f>
        <v/>
      </c>
      <c r="N110" t="str">
        <f t="array" ref="N110">iferror(index(stomachs!$G:$G,match($A110,stomachs!$A:$A,0)))</f>
        <v>BST232-23</v>
      </c>
      <c r="O110" t="str">
        <f t="array" ref="O110">iferror(index(stomachs!$J:$J,match($A110,stomachs!$A:$A,0)))</f>
        <v>N</v>
      </c>
      <c r="P110" t="str">
        <f t="array" ref="P110">iferror(index(sea_lice!$G:$G,match($A110,sea_lice!$A:$A,0)))</f>
        <v/>
      </c>
      <c r="Q110" t="str">
        <f t="array" ref="Q110">iferror(index(sea_lice!$J:$J,match($A110,sea_lice!$A:$A,0)))</f>
        <v/>
      </c>
      <c r="R110" s="40" t="str">
        <f t="array" ref="R110">iferror(index(dissected_fish!$F:$F,match($A110,dissected_fish!$A:$A,0)))</f>
        <v>BCA100</v>
      </c>
      <c r="S110" s="40" t="str">
        <f t="array" ref="S110">iferror(index(dissected_fish!$K:$K,match($A110,dissected_fish!$A:$A,0)))</f>
        <v>N</v>
      </c>
      <c r="T110" s="61" t="str">
        <f t="array" ref="T110">index(fish_lab_data!O:O,match(A110,fish_lab_data!C:C,0))</f>
        <v>JG</v>
      </c>
      <c r="U110" s="61">
        <f t="array" ref="U110">if(A110="","",index(fish_lab_data!X:X,match(A110,fish_lab_data!C:C,0)))</f>
        <v>109</v>
      </c>
    </row>
    <row r="111">
      <c r="A111" t="str">
        <f>fish_lab_data!C111</f>
        <v>U5192</v>
      </c>
      <c r="B111" t="str">
        <f t="array" ref="B111">iferror(index('rna-muscle'!$I:$I,match($A111,'rna-muscle'!$A:$A,0)))</f>
        <v>BRN66M-A9</v>
      </c>
      <c r="C111" t="str">
        <f t="array" ref="C111">iferror(index('rna-muscle'!$L:$L,match($A111,'rna-muscle'!$A:$A,0)))</f>
        <v>N</v>
      </c>
      <c r="D111" t="str">
        <f t="array" ref="D111">iferror(index('rna-gill'!$I:$I,match($A111,'rna-gill'!$A:$A,0)))</f>
        <v>BRN66G-A9</v>
      </c>
      <c r="E111" t="str">
        <f t="array" ref="E111">iferror(index('rna-gill'!$L:$L,match($A111,'rna-gill'!$A:$A,0)))</f>
        <v>N</v>
      </c>
      <c r="F111" t="str">
        <f t="array" ref="F111">iferror(index(fatty_acid!$G:$G,match($A111,fatty_acid!$A:$A,0)))</f>
        <v>BFA7-79</v>
      </c>
      <c r="G111" t="str">
        <f t="array" ref="G111">iferror(index(fatty_acid!$J:$J,match($A111,fatty_acid!$A:$A,0)))</f>
        <v>N</v>
      </c>
      <c r="H111" t="str">
        <f t="array" ref="H111">iferror(index(isotopes!$G:$G,match($A111,isotopes!$A:$A,0)))</f>
        <v>BIS23-47</v>
      </c>
      <c r="I111" t="str">
        <f t="array" ref="I111">iferror(index(isotopes!$J:$J,match($A111,isotopes!$A:$A,0)))</f>
        <v>N</v>
      </c>
      <c r="J111" t="str">
        <f t="array" ref="J111">iferror(index(extra_muscle!$G:$G,match($A111,extra_muscle!$A:$A,0)))</f>
        <v>BXM16-59</v>
      </c>
      <c r="K111" t="str">
        <f t="array" ref="K111">iferror(index(extra_muscle!$J:$J,match($A111,extra_muscle!$A:$A,0)))</f>
        <v>N</v>
      </c>
      <c r="L111" s="59" t="str">
        <f t="array" ref="L111">iferror(index(dna!$G:$G,match($A111,dna!$A:$A,0)))</f>
        <v/>
      </c>
      <c r="M111" s="60" t="str">
        <f t="array" ref="M111">iferror(index(dna!$J:$J,match($A111,dna!$A:$A,0)))</f>
        <v/>
      </c>
      <c r="N111" t="str">
        <f t="array" ref="N111">iferror(index(stomachs!$G:$G,match($A111,stomachs!$A:$A,0)))</f>
        <v>BST232-24</v>
      </c>
      <c r="O111" t="str">
        <f t="array" ref="O111">iferror(index(stomachs!$J:$J,match($A111,stomachs!$A:$A,0)))</f>
        <v>N</v>
      </c>
      <c r="P111" t="str">
        <f t="array" ref="P111">iferror(index(sea_lice!$G:$G,match($A111,sea_lice!$A:$A,0)))</f>
        <v/>
      </c>
      <c r="Q111" t="str">
        <f t="array" ref="Q111">iferror(index(sea_lice!$J:$J,match($A111,sea_lice!$A:$A,0)))</f>
        <v/>
      </c>
      <c r="R111" s="40" t="str">
        <f t="array" ref="R111">iferror(index(dissected_fish!$F:$F,match($A111,dissected_fish!$A:$A,0)))</f>
        <v>BCA100</v>
      </c>
      <c r="S111" s="40" t="str">
        <f t="array" ref="S111">iferror(index(dissected_fish!$K:$K,match($A111,dissected_fish!$A:$A,0)))</f>
        <v>N</v>
      </c>
      <c r="T111" s="61" t="str">
        <f t="array" ref="T111">index(fish_lab_data!O:O,match(A111,fish_lab_data!C:C,0))</f>
        <v>JG</v>
      </c>
      <c r="U111" s="61">
        <f t="array" ref="U111">if(A111="","",index(fish_lab_data!X:X,match(A111,fish_lab_data!C:C,0)))</f>
        <v>110</v>
      </c>
    </row>
    <row r="112">
      <c r="A112" t="str">
        <f>fish_lab_data!C112</f>
        <v>U5193</v>
      </c>
      <c r="B112" t="str">
        <f t="array" ref="B112">iferror(index('rna-muscle'!$I:$I,match($A112,'rna-muscle'!$A:$A,0)))</f>
        <v>BRN64M-H1</v>
      </c>
      <c r="C112" t="str">
        <f t="array" ref="C112">iferror(index('rna-muscle'!$L:$L,match($A112,'rna-muscle'!$A:$A,0)))</f>
        <v>N</v>
      </c>
      <c r="D112" t="str">
        <f t="array" ref="D112">iferror(index('rna-gill'!$I:$I,match($A112,'rna-gill'!$A:$A,0)))</f>
        <v>BRN64G-H1</v>
      </c>
      <c r="E112" t="str">
        <f t="array" ref="E112">iferror(index('rna-gill'!$L:$L,match($A112,'rna-gill'!$A:$A,0)))</f>
        <v>N</v>
      </c>
      <c r="F112" t="str">
        <f t="array" ref="F112">iferror(index(fatty_acid!$G:$G,match($A112,fatty_acid!$A:$A,0)))</f>
        <v>BFA7-93</v>
      </c>
      <c r="G112" t="str">
        <f t="array" ref="G112">iferror(index(fatty_acid!$J:$J,match($A112,fatty_acid!$A:$A,0)))</f>
        <v>N</v>
      </c>
      <c r="H112" t="str">
        <f t="array" ref="H112">iferror(index(isotopes!$G:$G,match($A112,isotopes!$A:$A,0)))</f>
        <v>BIS23-49</v>
      </c>
      <c r="I112" t="str">
        <f t="array" ref="I112">iferror(index(isotopes!$J:$J,match($A112,isotopes!$A:$A,0)))</f>
        <v>N</v>
      </c>
      <c r="J112" t="str">
        <f t="array" ref="J112">iferror(index(extra_muscle!$G:$G,match($A112,extra_muscle!$A:$A,0)))</f>
        <v>BXM16-60</v>
      </c>
      <c r="K112" t="str">
        <f t="array" ref="K112">iferror(index(extra_muscle!$J:$J,match($A112,extra_muscle!$A:$A,0)))</f>
        <v>N</v>
      </c>
      <c r="L112" s="59" t="str">
        <f t="array" ref="L112">iferror(index(dna!$G:$G,match($A112,dna!$A:$A,0)))</f>
        <v/>
      </c>
      <c r="M112" s="60" t="str">
        <f t="array" ref="M112">iferror(index(dna!$J:$J,match($A112,dna!$A:$A,0)))</f>
        <v/>
      </c>
      <c r="N112" t="str">
        <f t="array" ref="N112">iferror(index(stomachs!$G:$G,match($A112,stomachs!$A:$A,0)))</f>
        <v>BST232-25</v>
      </c>
      <c r="O112" t="str">
        <f t="array" ref="O112">iferror(index(stomachs!$J:$J,match($A112,stomachs!$A:$A,0)))</f>
        <v>N</v>
      </c>
      <c r="P112" t="str">
        <f t="array" ref="P112">iferror(index(sea_lice!$G:$G,match($A112,sea_lice!$A:$A,0)))</f>
        <v/>
      </c>
      <c r="Q112" t="str">
        <f t="array" ref="Q112">iferror(index(sea_lice!$J:$J,match($A112,sea_lice!$A:$A,0)))</f>
        <v/>
      </c>
      <c r="R112" s="40" t="str">
        <f t="array" ref="R112">iferror(index(dissected_fish!$F:$F,match($A112,dissected_fish!$A:$A,0)))</f>
        <v>BCA100</v>
      </c>
      <c r="S112" s="40" t="str">
        <f t="array" ref="S112">iferror(index(dissected_fish!$K:$K,match($A112,dissected_fish!$A:$A,0)))</f>
        <v>N</v>
      </c>
      <c r="T112" s="61" t="str">
        <f t="array" ref="T112">index(fish_lab_data!O:O,match(A112,fish_lab_data!C:C,0))</f>
        <v>JG</v>
      </c>
      <c r="U112" s="61">
        <f t="array" ref="U112">if(A112="","",index(fish_lab_data!X:X,match(A112,fish_lab_data!C:C,0)))</f>
        <v>111</v>
      </c>
    </row>
    <row r="113">
      <c r="A113" t="str">
        <f>fish_lab_data!C113</f>
        <v>U5232</v>
      </c>
      <c r="B113" t="str">
        <f t="array" ref="B113">iferror(index('rna-muscle'!$I:$I,match($A113,'rna-muscle'!$A:$A,0)))</f>
        <v>BRN64M-G1</v>
      </c>
      <c r="C113" t="str">
        <f t="array" ref="C113">iferror(index('rna-muscle'!$L:$L,match($A113,'rna-muscle'!$A:$A,0)))</f>
        <v>N</v>
      </c>
      <c r="D113" t="str">
        <f t="array" ref="D113">iferror(index('rna-gill'!$I:$I,match($A113,'rna-gill'!$A:$A,0)))</f>
        <v>BRN64G-G1</v>
      </c>
      <c r="E113" t="str">
        <f t="array" ref="E113">iferror(index('rna-gill'!$L:$L,match($A113,'rna-gill'!$A:$A,0)))</f>
        <v>N</v>
      </c>
      <c r="F113" t="str">
        <f t="array" ref="F113">iferror(index(fatty_acid!$G:$G,match($A113,fatty_acid!$A:$A,0)))</f>
        <v>BFA7-97</v>
      </c>
      <c r="G113" t="str">
        <f t="array" ref="G113">iferror(index(fatty_acid!$J:$J,match($A113,fatty_acid!$A:$A,0)))</f>
        <v>N</v>
      </c>
      <c r="H113" t="str">
        <f t="array" ref="H113">iferror(index(isotopes!$G:$G,match($A113,isotopes!$A:$A,0)))</f>
        <v>BIS23-52</v>
      </c>
      <c r="I113" t="str">
        <f t="array" ref="I113">iferror(index(isotopes!$J:$J,match($A113,isotopes!$A:$A,0)))</f>
        <v>N</v>
      </c>
      <c r="J113" t="str">
        <f t="array" ref="J113">iferror(index(extra_muscle!$G:$G,match($A113,extra_muscle!$A:$A,0)))</f>
        <v>BXM16-71</v>
      </c>
      <c r="K113" t="str">
        <f t="array" ref="K113">iferror(index(extra_muscle!$J:$J,match($A113,extra_muscle!$A:$A,0)))</f>
        <v>N</v>
      </c>
      <c r="L113" s="59" t="str">
        <f t="array" ref="L113">iferror(index(dna!$G:$G,match($A113,dna!$A:$A,0)))</f>
        <v/>
      </c>
      <c r="M113" s="60" t="str">
        <f t="array" ref="M113">iferror(index(dna!$J:$J,match($A113,dna!$A:$A,0)))</f>
        <v/>
      </c>
      <c r="N113" t="str">
        <f t="array" ref="N113">iferror(index(stomachs!$G:$G,match($A113,stomachs!$A:$A,0)))</f>
        <v>BST236-1</v>
      </c>
      <c r="O113" t="str">
        <f t="array" ref="O113">iferror(index(stomachs!$J:$J,match($A113,stomachs!$A:$A,0)))</f>
        <v>N</v>
      </c>
      <c r="P113" t="str">
        <f t="array" ref="P113">iferror(index(sea_lice!$G:$G,match($A113,sea_lice!$A:$A,0)))</f>
        <v/>
      </c>
      <c r="Q113" t="str">
        <f t="array" ref="Q113">iferror(index(sea_lice!$J:$J,match($A113,sea_lice!$A:$A,0)))</f>
        <v/>
      </c>
      <c r="R113" s="40" t="str">
        <f t="array" ref="R113">iferror(index(dissected_fish!$F:$F,match($A113,dissected_fish!$A:$A,0)))</f>
        <v>BCA100</v>
      </c>
      <c r="S113" s="40" t="str">
        <f t="array" ref="S113">iferror(index(dissected_fish!$K:$K,match($A113,dissected_fish!$A:$A,0)))</f>
        <v>N</v>
      </c>
      <c r="T113" s="61" t="str">
        <f t="array" ref="T113">index(fish_lab_data!O:O,match(A113,fish_lab_data!C:C,0))</f>
        <v>JG</v>
      </c>
      <c r="U113" s="61">
        <f t="array" ref="U113">if(A113="","",index(fish_lab_data!X:X,match(A113,fish_lab_data!C:C,0)))</f>
        <v>112</v>
      </c>
    </row>
    <row r="114">
      <c r="A114" t="str">
        <f>fish_lab_data!C114</f>
        <v>U5233</v>
      </c>
      <c r="B114" t="str">
        <f t="array" ref="B114">iferror(index('rna-muscle'!$I:$I,match($A114,'rna-muscle'!$A:$A,0)))</f>
        <v>BRN64M-F1</v>
      </c>
      <c r="C114" t="str">
        <f t="array" ref="C114">iferror(index('rna-muscle'!$L:$L,match($A114,'rna-muscle'!$A:$A,0)))</f>
        <v>N</v>
      </c>
      <c r="D114" t="str">
        <f t="array" ref="D114">iferror(index('rna-gill'!$I:$I,match($A114,'rna-gill'!$A:$A,0)))</f>
        <v>BRN64G-F1</v>
      </c>
      <c r="E114" t="str">
        <f t="array" ref="E114">iferror(index('rna-gill'!$L:$L,match($A114,'rna-gill'!$A:$A,0)))</f>
        <v>N</v>
      </c>
      <c r="F114" t="str">
        <f t="array" ref="F114">iferror(index(fatty_acid!$G:$G,match($A114,fatty_acid!$A:$A,0)))</f>
        <v>BFA22-1</v>
      </c>
      <c r="G114" t="str">
        <f t="array" ref="G114">iferror(index(fatty_acid!$J:$J,match($A114,fatty_acid!$A:$A,0)))</f>
        <v>N</v>
      </c>
      <c r="H114" t="str">
        <f t="array" ref="H114">iferror(index(isotopes!$G:$G,match($A114,isotopes!$A:$A,0)))</f>
        <v>BIS23-53</v>
      </c>
      <c r="I114" t="str">
        <f t="array" ref="I114">iferror(index(isotopes!$J:$J,match($A114,isotopes!$A:$A,0)))</f>
        <v>N</v>
      </c>
      <c r="J114" t="str">
        <f t="array" ref="J114">iferror(index(extra_muscle!$G:$G,match($A114,extra_muscle!$A:$A,0)))</f>
        <v>BXM16-72</v>
      </c>
      <c r="K114" t="str">
        <f t="array" ref="K114">iferror(index(extra_muscle!$J:$J,match($A114,extra_muscle!$A:$A,0)))</f>
        <v>N</v>
      </c>
      <c r="L114" s="59" t="str">
        <f t="array" ref="L114">iferror(index(dna!$G:$G,match($A114,dna!$A:$A,0)))</f>
        <v/>
      </c>
      <c r="M114" s="60" t="str">
        <f t="array" ref="M114">iferror(index(dna!$J:$J,match($A114,dna!$A:$A,0)))</f>
        <v/>
      </c>
      <c r="N114" t="str">
        <f t="array" ref="N114">iferror(index(stomachs!$G:$G,match($A114,stomachs!$A:$A,0)))</f>
        <v>BST236-2</v>
      </c>
      <c r="O114" t="str">
        <f t="array" ref="O114">iferror(index(stomachs!$J:$J,match($A114,stomachs!$A:$A,0)))</f>
        <v>N</v>
      </c>
      <c r="P114" t="str">
        <f t="array" ref="P114">iferror(index(sea_lice!$G:$G,match($A114,sea_lice!$A:$A,0)))</f>
        <v/>
      </c>
      <c r="Q114" t="str">
        <f t="array" ref="Q114">iferror(index(sea_lice!$J:$J,match($A114,sea_lice!$A:$A,0)))</f>
        <v/>
      </c>
      <c r="R114" s="40" t="str">
        <f t="array" ref="R114">iferror(index(dissected_fish!$F:$F,match($A114,dissected_fish!$A:$A,0)))</f>
        <v>BCA100</v>
      </c>
      <c r="S114" s="40" t="str">
        <f t="array" ref="S114">iferror(index(dissected_fish!$K:$K,match($A114,dissected_fish!$A:$A,0)))</f>
        <v>N</v>
      </c>
      <c r="T114" s="61" t="str">
        <f t="array" ref="T114">index(fish_lab_data!O:O,match(A114,fish_lab_data!C:C,0))</f>
        <v>JG</v>
      </c>
      <c r="U114" s="61">
        <f t="array" ref="U114">if(A114="","",index(fish_lab_data!X:X,match(A114,fish_lab_data!C:C,0)))</f>
        <v>113</v>
      </c>
    </row>
    <row r="115">
      <c r="A115" t="str">
        <f>fish_lab_data!C115</f>
        <v>U5234</v>
      </c>
      <c r="B115" t="str">
        <f t="array" ref="B115">iferror(index('rna-muscle'!$I:$I,match($A115,'rna-muscle'!$A:$A,0)))</f>
        <v>BRN64M-E1</v>
      </c>
      <c r="C115" t="str">
        <f t="array" ref="C115">iferror(index('rna-muscle'!$L:$L,match($A115,'rna-muscle'!$A:$A,0)))</f>
        <v>N</v>
      </c>
      <c r="D115" t="str">
        <f t="array" ref="D115">iferror(index('rna-gill'!$I:$I,match($A115,'rna-gill'!$A:$A,0)))</f>
        <v>BRN64G-E1</v>
      </c>
      <c r="E115" t="str">
        <f t="array" ref="E115">iferror(index('rna-gill'!$L:$L,match($A115,'rna-gill'!$A:$A,0)))</f>
        <v>N</v>
      </c>
      <c r="F115" t="str">
        <f t="array" ref="F115">iferror(index(fatty_acid!$G:$G,match($A115,fatty_acid!$A:$A,0)))</f>
        <v>BFA22-2</v>
      </c>
      <c r="G115" t="str">
        <f t="array" ref="G115">iferror(index(fatty_acid!$J:$J,match($A115,fatty_acid!$A:$A,0)))</f>
        <v>N</v>
      </c>
      <c r="H115" t="str">
        <f t="array" ref="H115">iferror(index(isotopes!$G:$G,match($A115,isotopes!$A:$A,0)))</f>
        <v>BIS23-56</v>
      </c>
      <c r="I115" t="str">
        <f t="array" ref="I115">iferror(index(isotopes!$J:$J,match($A115,isotopes!$A:$A,0)))</f>
        <v>N</v>
      </c>
      <c r="J115" t="str">
        <f t="array" ref="J115">iferror(index(extra_muscle!$G:$G,match($A115,extra_muscle!$A:$A,0)))</f>
        <v>BXM16-73</v>
      </c>
      <c r="K115" t="str">
        <f t="array" ref="K115">iferror(index(extra_muscle!$J:$J,match($A115,extra_muscle!$A:$A,0)))</f>
        <v>N</v>
      </c>
      <c r="L115" s="59" t="str">
        <f t="array" ref="L115">iferror(index(dna!$G:$G,match($A115,dna!$A:$A,0)))</f>
        <v/>
      </c>
      <c r="M115" s="60" t="str">
        <f t="array" ref="M115">iferror(index(dna!$J:$J,match($A115,dna!$A:$A,0)))</f>
        <v/>
      </c>
      <c r="N115" t="str">
        <f t="array" ref="N115">iferror(index(stomachs!$G:$G,match($A115,stomachs!$A:$A,0)))</f>
        <v>BST236-3</v>
      </c>
      <c r="O115" t="str">
        <f t="array" ref="O115">iferror(index(stomachs!$J:$J,match($A115,stomachs!$A:$A,0)))</f>
        <v>N</v>
      </c>
      <c r="P115" t="str">
        <f t="array" ref="P115">iferror(index(sea_lice!$G:$G,match($A115,sea_lice!$A:$A,0)))</f>
        <v/>
      </c>
      <c r="Q115" t="str">
        <f t="array" ref="Q115">iferror(index(sea_lice!$J:$J,match($A115,sea_lice!$A:$A,0)))</f>
        <v/>
      </c>
      <c r="R115" s="40" t="str">
        <f t="array" ref="R115">iferror(index(dissected_fish!$F:$F,match($A115,dissected_fish!$A:$A,0)))</f>
        <v>BCA100</v>
      </c>
      <c r="S115" s="40" t="str">
        <f t="array" ref="S115">iferror(index(dissected_fish!$K:$K,match($A115,dissected_fish!$A:$A,0)))</f>
        <v>N</v>
      </c>
      <c r="T115" s="61" t="str">
        <f t="array" ref="T115">index(fish_lab_data!O:O,match(A115,fish_lab_data!C:C,0))</f>
        <v>JG</v>
      </c>
      <c r="U115" s="61">
        <f t="array" ref="U115">if(A115="","",index(fish_lab_data!X:X,match(A115,fish_lab_data!C:C,0)))</f>
        <v>114</v>
      </c>
    </row>
    <row r="116">
      <c r="A116" t="str">
        <f>fish_lab_data!C116</f>
        <v>U5235</v>
      </c>
      <c r="B116" t="str">
        <f t="array" ref="B116">iferror(index('rna-muscle'!$I:$I,match($A116,'rna-muscle'!$A:$A,0)))</f>
        <v>BRN64M-D1</v>
      </c>
      <c r="C116" t="str">
        <f t="array" ref="C116">iferror(index('rna-muscle'!$L:$L,match($A116,'rna-muscle'!$A:$A,0)))</f>
        <v>N</v>
      </c>
      <c r="D116" t="str">
        <f t="array" ref="D116">iferror(index('rna-gill'!$I:$I,match($A116,'rna-gill'!$A:$A,0)))</f>
        <v>BRN64G-D1</v>
      </c>
      <c r="E116" t="str">
        <f t="array" ref="E116">iferror(index('rna-gill'!$L:$L,match($A116,'rna-gill'!$A:$A,0)))</f>
        <v>N</v>
      </c>
      <c r="F116" t="str">
        <f t="array" ref="F116">iferror(index(fatty_acid!$G:$G,match($A116,fatty_acid!$A:$A,0)))</f>
        <v>BFA22-3</v>
      </c>
      <c r="G116" t="str">
        <f t="array" ref="G116">iferror(index(fatty_acid!$J:$J,match($A116,fatty_acid!$A:$A,0)))</f>
        <v>N</v>
      </c>
      <c r="H116" t="str">
        <f t="array" ref="H116">iferror(index(isotopes!$G:$G,match($A116,isotopes!$A:$A,0)))</f>
        <v>BIS23-58</v>
      </c>
      <c r="I116" t="str">
        <f t="array" ref="I116">iferror(index(isotopes!$J:$J,match($A116,isotopes!$A:$A,0)))</f>
        <v>N</v>
      </c>
      <c r="J116" t="str">
        <f t="array" ref="J116">iferror(index(extra_muscle!$G:$G,match($A116,extra_muscle!$A:$A,0)))</f>
        <v>BXM16-74</v>
      </c>
      <c r="K116" t="str">
        <f t="array" ref="K116">iferror(index(extra_muscle!$J:$J,match($A116,extra_muscle!$A:$A,0)))</f>
        <v>N</v>
      </c>
      <c r="L116" s="59" t="str">
        <f t="array" ref="L116">iferror(index(dna!$G:$G,match($A116,dna!$A:$A,0)))</f>
        <v/>
      </c>
      <c r="M116" s="60" t="str">
        <f t="array" ref="M116">iferror(index(dna!$J:$J,match($A116,dna!$A:$A,0)))</f>
        <v/>
      </c>
      <c r="N116" t="str">
        <f t="array" ref="N116">iferror(index(stomachs!$G:$G,match($A116,stomachs!$A:$A,0)))</f>
        <v>BST236-4</v>
      </c>
      <c r="O116" t="str">
        <f t="array" ref="O116">iferror(index(stomachs!$J:$J,match($A116,stomachs!$A:$A,0)))</f>
        <v>N</v>
      </c>
      <c r="P116" t="str">
        <f t="array" ref="P116">iferror(index(sea_lice!$G:$G,match($A116,sea_lice!$A:$A,0)))</f>
        <v/>
      </c>
      <c r="Q116" t="str">
        <f t="array" ref="Q116">iferror(index(sea_lice!$J:$J,match($A116,sea_lice!$A:$A,0)))</f>
        <v/>
      </c>
      <c r="R116" s="40" t="str">
        <f t="array" ref="R116">iferror(index(dissected_fish!$F:$F,match($A116,dissected_fish!$A:$A,0)))</f>
        <v>BCA100</v>
      </c>
      <c r="S116" s="40" t="str">
        <f t="array" ref="S116">iferror(index(dissected_fish!$K:$K,match($A116,dissected_fish!$A:$A,0)))</f>
        <v>N</v>
      </c>
      <c r="T116" s="61" t="str">
        <f t="array" ref="T116">index(fish_lab_data!O:O,match(A116,fish_lab_data!C:C,0))</f>
        <v>JG</v>
      </c>
      <c r="U116" s="61">
        <f t="array" ref="U116">if(A116="","",index(fish_lab_data!X:X,match(A116,fish_lab_data!C:C,0)))</f>
        <v>115</v>
      </c>
    </row>
    <row r="117">
      <c r="A117" t="str">
        <f>fish_lab_data!C117</f>
        <v>U5236</v>
      </c>
      <c r="B117" t="str">
        <f t="array" ref="B117">iferror(index('rna-muscle'!$I:$I,match($A117,'rna-muscle'!$A:$A,0)))</f>
        <v>BRN64M-C1</v>
      </c>
      <c r="C117" t="str">
        <f t="array" ref="C117">iferror(index('rna-muscle'!$L:$L,match($A117,'rna-muscle'!$A:$A,0)))</f>
        <v>N</v>
      </c>
      <c r="D117" t="str">
        <f t="array" ref="D117">iferror(index('rna-gill'!$I:$I,match($A117,'rna-gill'!$A:$A,0)))</f>
        <v>BRN64G-C1</v>
      </c>
      <c r="E117" t="str">
        <f t="array" ref="E117">iferror(index('rna-gill'!$L:$L,match($A117,'rna-gill'!$A:$A,0)))</f>
        <v>N</v>
      </c>
      <c r="F117" t="str">
        <f t="array" ref="F117">iferror(index(fatty_acid!$G:$G,match($A117,fatty_acid!$A:$A,0)))</f>
        <v>BFA22-4</v>
      </c>
      <c r="G117" t="str">
        <f t="array" ref="G117">iferror(index(fatty_acid!$J:$J,match($A117,fatty_acid!$A:$A,0)))</f>
        <v>N</v>
      </c>
      <c r="H117" t="str">
        <f t="array" ref="H117">iferror(index(isotopes!$G:$G,match($A117,isotopes!$A:$A,0)))</f>
        <v>BIS23-60</v>
      </c>
      <c r="I117" t="str">
        <f t="array" ref="I117">iferror(index(isotopes!$J:$J,match($A117,isotopes!$A:$A,0)))</f>
        <v>N</v>
      </c>
      <c r="J117" t="str">
        <f t="array" ref="J117">iferror(index(extra_muscle!$G:$G,match($A117,extra_muscle!$A:$A,0)))</f>
        <v>BXM16-76</v>
      </c>
      <c r="K117" t="str">
        <f t="array" ref="K117">iferror(index(extra_muscle!$J:$J,match($A117,extra_muscle!$A:$A,0)))</f>
        <v>N</v>
      </c>
      <c r="L117" s="59" t="str">
        <f t="array" ref="L117">iferror(index(dna!$G:$G,match($A117,dna!$A:$A,0)))</f>
        <v/>
      </c>
      <c r="M117" s="60" t="str">
        <f t="array" ref="M117">iferror(index(dna!$J:$J,match($A117,dna!$A:$A,0)))</f>
        <v/>
      </c>
      <c r="N117" t="str">
        <f t="array" ref="N117">iferror(index(stomachs!$G:$G,match($A117,stomachs!$A:$A,0)))</f>
        <v>BST236-5</v>
      </c>
      <c r="O117" t="str">
        <f t="array" ref="O117">iferror(index(stomachs!$J:$J,match($A117,stomachs!$A:$A,0)))</f>
        <v>N</v>
      </c>
      <c r="P117" t="str">
        <f t="array" ref="P117">iferror(index(sea_lice!$G:$G,match($A117,sea_lice!$A:$A,0)))</f>
        <v/>
      </c>
      <c r="Q117" t="str">
        <f t="array" ref="Q117">iferror(index(sea_lice!$J:$J,match($A117,sea_lice!$A:$A,0)))</f>
        <v/>
      </c>
      <c r="R117" s="40" t="str">
        <f t="array" ref="R117">iferror(index(dissected_fish!$F:$F,match($A117,dissected_fish!$A:$A,0)))</f>
        <v>BCA100</v>
      </c>
      <c r="S117" s="40" t="str">
        <f t="array" ref="S117">iferror(index(dissected_fish!$K:$K,match($A117,dissected_fish!$A:$A,0)))</f>
        <v>N</v>
      </c>
      <c r="T117" s="61" t="str">
        <f t="array" ref="T117">index(fish_lab_data!O:O,match(A117,fish_lab_data!C:C,0))</f>
        <v>JG</v>
      </c>
      <c r="U117" s="61">
        <f t="array" ref="U117">if(A117="","",index(fish_lab_data!X:X,match(A117,fish_lab_data!C:C,0)))</f>
        <v>116</v>
      </c>
    </row>
    <row r="118">
      <c r="A118" t="str">
        <f>fish_lab_data!C118</f>
        <v>U5212</v>
      </c>
      <c r="B118" t="str">
        <f t="array" ref="B118">iferror(index('rna-muscle'!$I:$I,match($A118,'rna-muscle'!$A:$A,0)))</f>
        <v>BRN66M-A10</v>
      </c>
      <c r="C118" t="str">
        <f t="array" ref="C118">iferror(index('rna-muscle'!$L:$L,match($A118,'rna-muscle'!$A:$A,0)))</f>
        <v>N</v>
      </c>
      <c r="D118" t="str">
        <f t="array" ref="D118">iferror(index('rna-gill'!$I:$I,match($A118,'rna-gill'!$A:$A,0)))</f>
        <v>BRN66G-A10</v>
      </c>
      <c r="E118" t="str">
        <f t="array" ref="E118">iferror(index('rna-gill'!$L:$L,match($A118,'rna-gill'!$A:$A,0)))</f>
        <v>N</v>
      </c>
      <c r="F118" t="str">
        <f t="array" ref="F118">iferror(index(fatty_acid!$G:$G,match($A118,fatty_acid!$A:$A,0)))</f>
        <v>BFA21-12</v>
      </c>
      <c r="G118" t="str">
        <f t="array" ref="G118">iferror(index(fatty_acid!$J:$J,match($A118,fatty_acid!$A:$A,0)))</f>
        <v>N</v>
      </c>
      <c r="H118" t="str">
        <f t="array" ref="H118">iferror(index(isotopes!$G:$G,match($A118,isotopes!$A:$A,0)))</f>
        <v>BIS22-98</v>
      </c>
      <c r="I118" t="str">
        <f t="array" ref="I118">iferror(index(isotopes!$J:$J,match($A118,isotopes!$A:$A,0)))</f>
        <v>N</v>
      </c>
      <c r="J118" t="str">
        <f t="array" ref="J118">iferror(index(extra_muscle!$G:$G,match($A118,extra_muscle!$A:$A,0)))</f>
        <v>BXM22-50</v>
      </c>
      <c r="K118" t="str">
        <f t="array" ref="K118">iferror(index(extra_muscle!$J:$J,match($A118,extra_muscle!$A:$A,0)))</f>
        <v>N</v>
      </c>
      <c r="L118" s="59" t="str">
        <f t="array" ref="L118">iferror(index(dna!$G:$G,match($A118,dna!$A:$A,0)))</f>
        <v/>
      </c>
      <c r="M118" s="60" t="str">
        <f t="array" ref="M118">iferror(index(dna!$J:$J,match($A118,dna!$A:$A,0)))</f>
        <v/>
      </c>
      <c r="N118" t="str">
        <f t="array" ref="N118">iferror(index(stomachs!$G:$G,match($A118,stomachs!$A:$A,0)))</f>
        <v>BST235-1</v>
      </c>
      <c r="O118" t="str">
        <f t="array" ref="O118">iferror(index(stomachs!$J:$J,match($A118,stomachs!$A:$A,0)))</f>
        <v>N</v>
      </c>
      <c r="P118" t="str">
        <f t="array" ref="P118">iferror(index(sea_lice!$G:$G,match($A118,sea_lice!$A:$A,0)))</f>
        <v/>
      </c>
      <c r="Q118" t="str">
        <f t="array" ref="Q118">iferror(index(sea_lice!$J:$J,match($A118,sea_lice!$A:$A,0)))</f>
        <v/>
      </c>
      <c r="R118" s="40" t="str">
        <f t="array" ref="R118">iferror(index(dissected_fish!$F:$F,match($A118,dissected_fish!$A:$A,0)))</f>
        <v>BCA100</v>
      </c>
      <c r="S118" s="40" t="str">
        <f t="array" ref="S118">iferror(index(dissected_fish!$K:$K,match($A118,dissected_fish!$A:$A,0)))</f>
        <v>N</v>
      </c>
      <c r="T118" s="61" t="str">
        <f t="array" ref="T118">index(fish_lab_data!O:O,match(A118,fish_lab_data!C:C,0))</f>
        <v>EJ</v>
      </c>
      <c r="U118" s="61">
        <f t="array" ref="U118">if(A118="","",index(fish_lab_data!X:X,match(A118,fish_lab_data!C:C,0)))</f>
        <v>117</v>
      </c>
    </row>
    <row r="119">
      <c r="A119" t="str">
        <f>fish_lab_data!C119</f>
        <v>U5213</v>
      </c>
      <c r="B119" t="str">
        <f t="array" ref="B119">iferror(index('rna-muscle'!$I:$I,match($A119,'rna-muscle'!$A:$A,0)))</f>
        <v>BRN66M-H11</v>
      </c>
      <c r="C119" t="str">
        <f t="array" ref="C119">iferror(index('rna-muscle'!$L:$L,match($A119,'rna-muscle'!$A:$A,0)))</f>
        <v>N</v>
      </c>
      <c r="D119" t="str">
        <f t="array" ref="D119">iferror(index('rna-gill'!$I:$I,match($A119,'rna-gill'!$A:$A,0)))</f>
        <v>BRN66G-H11</v>
      </c>
      <c r="E119" t="str">
        <f t="array" ref="E119">iferror(index('rna-gill'!$L:$L,match($A119,'rna-gill'!$A:$A,0)))</f>
        <v>N</v>
      </c>
      <c r="F119" t="str">
        <f t="array" ref="F119">iferror(index(fatty_acid!$G:$G,match($A119,fatty_acid!$A:$A,0)))</f>
        <v>BFA21-13</v>
      </c>
      <c r="G119" t="str">
        <f t="array" ref="G119">iferror(index(fatty_acid!$J:$J,match($A119,fatty_acid!$A:$A,0)))</f>
        <v>N</v>
      </c>
      <c r="H119" t="str">
        <f t="array" ref="H119">iferror(index(isotopes!$G:$G,match($A119,isotopes!$A:$A,0)))</f>
        <v>BIS22-100</v>
      </c>
      <c r="I119" t="str">
        <f t="array" ref="I119">iferror(index(isotopes!$J:$J,match($A119,isotopes!$A:$A,0)))</f>
        <v>N</v>
      </c>
      <c r="J119" t="str">
        <f t="array" ref="J119">iferror(index(extra_muscle!$G:$G,match($A119,extra_muscle!$A:$A,0)))</f>
        <v>BXM22-61</v>
      </c>
      <c r="K119" t="str">
        <f t="array" ref="K119">iferror(index(extra_muscle!$J:$J,match($A119,extra_muscle!$A:$A,0)))</f>
        <v>N</v>
      </c>
      <c r="L119" s="59" t="str">
        <f t="array" ref="L119">iferror(index(dna!$G:$G,match($A119,dna!$A:$A,0)))</f>
        <v/>
      </c>
      <c r="M119" s="60" t="str">
        <f t="array" ref="M119">iferror(index(dna!$J:$J,match($A119,dna!$A:$A,0)))</f>
        <v/>
      </c>
      <c r="N119" t="str">
        <f t="array" ref="N119">iferror(index(stomachs!$G:$G,match($A119,stomachs!$A:$A,0)))</f>
        <v>BST235-2</v>
      </c>
      <c r="O119" t="str">
        <f t="array" ref="O119">iferror(index(stomachs!$J:$J,match($A119,stomachs!$A:$A,0)))</f>
        <v>N</v>
      </c>
      <c r="P119" t="str">
        <f t="array" ref="P119">iferror(index(sea_lice!$G:$G,match($A119,sea_lice!$A:$A,0)))</f>
        <v/>
      </c>
      <c r="Q119" t="str">
        <f t="array" ref="Q119">iferror(index(sea_lice!$J:$J,match($A119,sea_lice!$A:$A,0)))</f>
        <v/>
      </c>
      <c r="R119" s="40" t="str">
        <f t="array" ref="R119">iferror(index(dissected_fish!$F:$F,match($A119,dissected_fish!$A:$A,0)))</f>
        <v>BCA100</v>
      </c>
      <c r="S119" s="40" t="str">
        <f t="array" ref="S119">iferror(index(dissected_fish!$K:$K,match($A119,dissected_fish!$A:$A,0)))</f>
        <v>N</v>
      </c>
      <c r="T119" s="61" t="str">
        <f t="array" ref="T119">index(fish_lab_data!O:O,match(A119,fish_lab_data!C:C,0))</f>
        <v>EJ</v>
      </c>
      <c r="U119" s="61">
        <f t="array" ref="U119">if(A119="","",index(fish_lab_data!X:X,match(A119,fish_lab_data!C:C,0)))</f>
        <v>118</v>
      </c>
    </row>
    <row r="120">
      <c r="A120" t="str">
        <f>fish_lab_data!C120</f>
        <v>U5214</v>
      </c>
      <c r="B120" t="str">
        <f t="array" ref="B120">iferror(index('rna-muscle'!$I:$I,match($A120,'rna-muscle'!$A:$A,0)))</f>
        <v>BRN66M-G11</v>
      </c>
      <c r="C120" t="str">
        <f t="array" ref="C120">iferror(index('rna-muscle'!$L:$L,match($A120,'rna-muscle'!$A:$A,0)))</f>
        <v>N</v>
      </c>
      <c r="D120" t="str">
        <f t="array" ref="D120">iferror(index('rna-gill'!$I:$I,match($A120,'rna-gill'!$A:$A,0)))</f>
        <v>BRN66G-G11</v>
      </c>
      <c r="E120" t="str">
        <f t="array" ref="E120">iferror(index('rna-gill'!$L:$L,match($A120,'rna-gill'!$A:$A,0)))</f>
        <v>N</v>
      </c>
      <c r="F120" t="str">
        <f t="array" ref="F120">iferror(index(fatty_acid!$G:$G,match($A120,fatty_acid!$A:$A,0)))</f>
        <v>BFA21-14</v>
      </c>
      <c r="G120" t="str">
        <f t="array" ref="G120">iferror(index(fatty_acid!$J:$J,match($A120,fatty_acid!$A:$A,0)))</f>
        <v>N</v>
      </c>
      <c r="H120" t="str">
        <f t="array" ref="H120">iferror(index(isotopes!$G:$G,match($A120,isotopes!$A:$A,0)))</f>
        <v>BIS24-1</v>
      </c>
      <c r="I120" t="str">
        <f t="array" ref="I120">iferror(index(isotopes!$J:$J,match($A120,isotopes!$A:$A,0)))</f>
        <v>N</v>
      </c>
      <c r="J120" t="str">
        <f t="array" ref="J120">iferror(index(extra_muscle!$G:$G,match($A120,extra_muscle!$A:$A,0)))</f>
        <v>BXM22-62</v>
      </c>
      <c r="K120" t="str">
        <f t="array" ref="K120">iferror(index(extra_muscle!$J:$J,match($A120,extra_muscle!$A:$A,0)))</f>
        <v>N</v>
      </c>
      <c r="L120" s="59" t="str">
        <f t="array" ref="L120">iferror(index(dna!$G:$G,match($A120,dna!$A:$A,0)))</f>
        <v/>
      </c>
      <c r="M120" s="60" t="str">
        <f t="array" ref="M120">iferror(index(dna!$J:$J,match($A120,dna!$A:$A,0)))</f>
        <v/>
      </c>
      <c r="N120" t="str">
        <f t="array" ref="N120">iferror(index(stomachs!$G:$G,match($A120,stomachs!$A:$A,0)))</f>
        <v>BST235-3</v>
      </c>
      <c r="O120" t="str">
        <f t="array" ref="O120">iferror(index(stomachs!$J:$J,match($A120,stomachs!$A:$A,0)))</f>
        <v>N</v>
      </c>
      <c r="P120" t="str">
        <f t="array" ref="P120">iferror(index(sea_lice!$G:$G,match($A120,sea_lice!$A:$A,0)))</f>
        <v/>
      </c>
      <c r="Q120" t="str">
        <f t="array" ref="Q120">iferror(index(sea_lice!$J:$J,match($A120,sea_lice!$A:$A,0)))</f>
        <v/>
      </c>
      <c r="R120" s="40" t="str">
        <f t="array" ref="R120">iferror(index(dissected_fish!$F:$F,match($A120,dissected_fish!$A:$A,0)))</f>
        <v>BCA100</v>
      </c>
      <c r="S120" s="40" t="str">
        <f t="array" ref="S120">iferror(index(dissected_fish!$K:$K,match($A120,dissected_fish!$A:$A,0)))</f>
        <v>N</v>
      </c>
      <c r="T120" s="61" t="str">
        <f t="array" ref="T120">index(fish_lab_data!O:O,match(A120,fish_lab_data!C:C,0))</f>
        <v>EJ</v>
      </c>
      <c r="U120" s="61">
        <f t="array" ref="U120">if(A120="","",index(fish_lab_data!X:X,match(A120,fish_lab_data!C:C,0)))</f>
        <v>119</v>
      </c>
    </row>
    <row r="121">
      <c r="A121" t="str">
        <f>fish_lab_data!C121</f>
        <v>U5215</v>
      </c>
      <c r="B121" t="str">
        <f t="array" ref="B121">iferror(index('rna-muscle'!$I:$I,match($A121,'rna-muscle'!$A:$A,0)))</f>
        <v>BRN66M-F11</v>
      </c>
      <c r="C121" t="str">
        <f t="array" ref="C121">iferror(index('rna-muscle'!$L:$L,match($A121,'rna-muscle'!$A:$A,0)))</f>
        <v>N</v>
      </c>
      <c r="D121" t="str">
        <f t="array" ref="D121">iferror(index('rna-gill'!$I:$I,match($A121,'rna-gill'!$A:$A,0)))</f>
        <v>BRN66G-F11</v>
      </c>
      <c r="E121" t="str">
        <f t="array" ref="E121">iferror(index('rna-gill'!$L:$L,match($A121,'rna-gill'!$A:$A,0)))</f>
        <v>N</v>
      </c>
      <c r="F121" t="str">
        <f t="array" ref="F121">iferror(index(fatty_acid!$G:$G,match($A121,fatty_acid!$A:$A,0)))</f>
        <v>BFA21-15</v>
      </c>
      <c r="G121" t="str">
        <f t="array" ref="G121">iferror(index(fatty_acid!$J:$J,match($A121,fatty_acid!$A:$A,0)))</f>
        <v>N</v>
      </c>
      <c r="H121" t="str">
        <f t="array" ref="H121">iferror(index(isotopes!$G:$G,match($A121,isotopes!$A:$A,0)))</f>
        <v>BIS24-3</v>
      </c>
      <c r="I121" t="str">
        <f t="array" ref="I121">iferror(index(isotopes!$J:$J,match($A121,isotopes!$A:$A,0)))</f>
        <v>N</v>
      </c>
      <c r="J121" t="str">
        <f t="array" ref="J121">iferror(index(extra_muscle!$G:$G,match($A121,extra_muscle!$A:$A,0)))</f>
        <v>BXM22-63</v>
      </c>
      <c r="K121" t="str">
        <f t="array" ref="K121">iferror(index(extra_muscle!$J:$J,match($A121,extra_muscle!$A:$A,0)))</f>
        <v>N</v>
      </c>
      <c r="L121" s="59" t="str">
        <f t="array" ref="L121">iferror(index(dna!$G:$G,match($A121,dna!$A:$A,0)))</f>
        <v/>
      </c>
      <c r="M121" s="60" t="str">
        <f t="array" ref="M121">iferror(index(dna!$J:$J,match($A121,dna!$A:$A,0)))</f>
        <v/>
      </c>
      <c r="N121" t="str">
        <f t="array" ref="N121">iferror(index(stomachs!$G:$G,match($A121,stomachs!$A:$A,0)))</f>
        <v>BST235-4</v>
      </c>
      <c r="O121" t="str">
        <f t="array" ref="O121">iferror(index(stomachs!$J:$J,match($A121,stomachs!$A:$A,0)))</f>
        <v>N</v>
      </c>
      <c r="P121" t="str">
        <f t="array" ref="P121">iferror(index(sea_lice!$G:$G,match($A121,sea_lice!$A:$A,0)))</f>
        <v/>
      </c>
      <c r="Q121" t="str">
        <f t="array" ref="Q121">iferror(index(sea_lice!$J:$J,match($A121,sea_lice!$A:$A,0)))</f>
        <v/>
      </c>
      <c r="R121" s="40" t="str">
        <f t="array" ref="R121">iferror(index(dissected_fish!$F:$F,match($A121,dissected_fish!$A:$A,0)))</f>
        <v>BCA100</v>
      </c>
      <c r="S121" s="40" t="str">
        <f t="array" ref="S121">iferror(index(dissected_fish!$K:$K,match($A121,dissected_fish!$A:$A,0)))</f>
        <v>N</v>
      </c>
      <c r="T121" s="61" t="str">
        <f t="array" ref="T121">index(fish_lab_data!O:O,match(A121,fish_lab_data!C:C,0))</f>
        <v>EJ</v>
      </c>
      <c r="U121" s="61">
        <f t="array" ref="U121">if(A121="","",index(fish_lab_data!X:X,match(A121,fish_lab_data!C:C,0)))</f>
        <v>120</v>
      </c>
    </row>
    <row r="122">
      <c r="A122" t="str">
        <f>fish_lab_data!C122</f>
        <v>U5216</v>
      </c>
      <c r="B122" t="str">
        <f t="array" ref="B122">iferror(index('rna-muscle'!$I:$I,match($A122,'rna-muscle'!$A:$A,0)))</f>
        <v>BRN66M-E11</v>
      </c>
      <c r="C122" t="str">
        <f t="array" ref="C122">iferror(index('rna-muscle'!$L:$L,match($A122,'rna-muscle'!$A:$A,0)))</f>
        <v>N</v>
      </c>
      <c r="D122" t="str">
        <f t="array" ref="D122">iferror(index('rna-gill'!$I:$I,match($A122,'rna-gill'!$A:$A,0)))</f>
        <v>BRN66G-E11</v>
      </c>
      <c r="E122" t="str">
        <f t="array" ref="E122">iferror(index('rna-gill'!$L:$L,match($A122,'rna-gill'!$A:$A,0)))</f>
        <v>N</v>
      </c>
      <c r="F122" t="str">
        <f t="array" ref="F122">iferror(index(fatty_acid!$G:$G,match($A122,fatty_acid!$A:$A,0)))</f>
        <v>BFA21-17</v>
      </c>
      <c r="G122" t="str">
        <f t="array" ref="G122">iferror(index(fatty_acid!$J:$J,match($A122,fatty_acid!$A:$A,0)))</f>
        <v>N</v>
      </c>
      <c r="H122" t="str">
        <f t="array" ref="H122">iferror(index(isotopes!$G:$G,match($A122,isotopes!$A:$A,0)))</f>
        <v>BIS24-5</v>
      </c>
      <c r="I122" t="str">
        <f t="array" ref="I122">iferror(index(isotopes!$J:$J,match($A122,isotopes!$A:$A,0)))</f>
        <v>N</v>
      </c>
      <c r="J122" t="str">
        <f t="array" ref="J122">iferror(index(extra_muscle!$G:$G,match($A122,extra_muscle!$A:$A,0)))</f>
        <v>BXM23-1</v>
      </c>
      <c r="K122" t="str">
        <f t="array" ref="K122">iferror(index(extra_muscle!$J:$J,match($A122,extra_muscle!$A:$A,0)))</f>
        <v>N</v>
      </c>
      <c r="L122" s="59" t="str">
        <f t="array" ref="L122">iferror(index(dna!$G:$G,match($A122,dna!$A:$A,0)))</f>
        <v/>
      </c>
      <c r="M122" s="60" t="str">
        <f t="array" ref="M122">iferror(index(dna!$J:$J,match($A122,dna!$A:$A,0)))</f>
        <v/>
      </c>
      <c r="N122" t="str">
        <f t="array" ref="N122">iferror(index(stomachs!$G:$G,match($A122,stomachs!$A:$A,0)))</f>
        <v>BST235-5</v>
      </c>
      <c r="O122" t="str">
        <f t="array" ref="O122">iferror(index(stomachs!$J:$J,match($A122,stomachs!$A:$A,0)))</f>
        <v>N</v>
      </c>
      <c r="P122" t="str">
        <f t="array" ref="P122">iferror(index(sea_lice!$G:$G,match($A122,sea_lice!$A:$A,0)))</f>
        <v/>
      </c>
      <c r="Q122" t="str">
        <f t="array" ref="Q122">iferror(index(sea_lice!$J:$J,match($A122,sea_lice!$A:$A,0)))</f>
        <v/>
      </c>
      <c r="R122" s="40" t="str">
        <f t="array" ref="R122">iferror(index(dissected_fish!$F:$F,match($A122,dissected_fish!$A:$A,0)))</f>
        <v>BCA100</v>
      </c>
      <c r="S122" s="40" t="str">
        <f t="array" ref="S122">iferror(index(dissected_fish!$K:$K,match($A122,dissected_fish!$A:$A,0)))</f>
        <v>N</v>
      </c>
      <c r="T122" s="61" t="str">
        <f t="array" ref="T122">index(fish_lab_data!O:O,match(A122,fish_lab_data!C:C,0))</f>
        <v>EJ</v>
      </c>
      <c r="U122" s="61">
        <f t="array" ref="U122">if(A122="","",index(fish_lab_data!X:X,match(A122,fish_lab_data!C:C,0)))</f>
        <v>121</v>
      </c>
    </row>
    <row r="123">
      <c r="A123" t="str">
        <f>fish_lab_data!C123</f>
        <v>U5217</v>
      </c>
      <c r="B123" t="str">
        <f t="array" ref="B123">iferror(index('rna-muscle'!$I:$I,match($A123,'rna-muscle'!$A:$A,0)))</f>
        <v>BRN66M-D11</v>
      </c>
      <c r="C123" t="str">
        <f t="array" ref="C123">iferror(index('rna-muscle'!$L:$L,match($A123,'rna-muscle'!$A:$A,0)))</f>
        <v>N</v>
      </c>
      <c r="D123" t="str">
        <f t="array" ref="D123">iferror(index('rna-gill'!$I:$I,match($A123,'rna-gill'!$A:$A,0)))</f>
        <v>BRN66G-D11</v>
      </c>
      <c r="E123" t="str">
        <f t="array" ref="E123">iferror(index('rna-gill'!$L:$L,match($A123,'rna-gill'!$A:$A,0)))</f>
        <v>N</v>
      </c>
      <c r="F123" t="str">
        <f t="array" ref="F123">iferror(index(fatty_acid!$G:$G,match($A123,fatty_acid!$A:$A,0)))</f>
        <v>BFA21-18</v>
      </c>
      <c r="G123" t="str">
        <f t="array" ref="G123">iferror(index(fatty_acid!$J:$J,match($A123,fatty_acid!$A:$A,0)))</f>
        <v>N</v>
      </c>
      <c r="H123" t="str">
        <f t="array" ref="H123">iferror(index(isotopes!$G:$G,match($A123,isotopes!$A:$A,0)))</f>
        <v>BIS24-7</v>
      </c>
      <c r="I123" t="str">
        <f t="array" ref="I123">iferror(index(isotopes!$J:$J,match($A123,isotopes!$A:$A,0)))</f>
        <v>N</v>
      </c>
      <c r="J123" t="str">
        <f t="array" ref="J123">iferror(index(extra_muscle!$G:$G,match($A123,extra_muscle!$A:$A,0)))</f>
        <v>BXM23-2</v>
      </c>
      <c r="K123" t="str">
        <f t="array" ref="K123">iferror(index(extra_muscle!$J:$J,match($A123,extra_muscle!$A:$A,0)))</f>
        <v>N</v>
      </c>
      <c r="L123" s="59" t="str">
        <f t="array" ref="L123">iferror(index(dna!$G:$G,match($A123,dna!$A:$A,0)))</f>
        <v/>
      </c>
      <c r="M123" s="60" t="str">
        <f t="array" ref="M123">iferror(index(dna!$J:$J,match($A123,dna!$A:$A,0)))</f>
        <v/>
      </c>
      <c r="N123" t="str">
        <f t="array" ref="N123">iferror(index(stomachs!$G:$G,match($A123,stomachs!$A:$A,0)))</f>
        <v>BST235-6</v>
      </c>
      <c r="O123" t="str">
        <f t="array" ref="O123">iferror(index(stomachs!$J:$J,match($A123,stomachs!$A:$A,0)))</f>
        <v>N</v>
      </c>
      <c r="P123" t="str">
        <f t="array" ref="P123">iferror(index(sea_lice!$G:$G,match($A123,sea_lice!$A:$A,0)))</f>
        <v/>
      </c>
      <c r="Q123" t="str">
        <f t="array" ref="Q123">iferror(index(sea_lice!$J:$J,match($A123,sea_lice!$A:$A,0)))</f>
        <v/>
      </c>
      <c r="R123" s="40" t="str">
        <f t="array" ref="R123">iferror(index(dissected_fish!$F:$F,match($A123,dissected_fish!$A:$A,0)))</f>
        <v>BCA100</v>
      </c>
      <c r="S123" s="40" t="str">
        <f t="array" ref="S123">iferror(index(dissected_fish!$K:$K,match($A123,dissected_fish!$A:$A,0)))</f>
        <v>N</v>
      </c>
      <c r="T123" s="61" t="str">
        <f t="array" ref="T123">index(fish_lab_data!O:O,match(A123,fish_lab_data!C:C,0))</f>
        <v>EJ</v>
      </c>
      <c r="U123" s="61">
        <f t="array" ref="U123">if(A123="","",index(fish_lab_data!X:X,match(A123,fish_lab_data!C:C,0)))</f>
        <v>122</v>
      </c>
    </row>
    <row r="124">
      <c r="A124" t="str">
        <f>fish_lab_data!C124</f>
        <v>U5218</v>
      </c>
      <c r="B124" t="str">
        <f t="array" ref="B124">iferror(index('rna-muscle'!$I:$I,match($A124,'rna-muscle'!$A:$A,0)))</f>
        <v>BRN66M-C11</v>
      </c>
      <c r="C124" t="str">
        <f t="array" ref="C124">iferror(index('rna-muscle'!$L:$L,match($A124,'rna-muscle'!$A:$A,0)))</f>
        <v>N</v>
      </c>
      <c r="D124" t="str">
        <f t="array" ref="D124">iferror(index('rna-gill'!$I:$I,match($A124,'rna-gill'!$A:$A,0)))</f>
        <v>BRN66G-C11</v>
      </c>
      <c r="E124" t="str">
        <f t="array" ref="E124">iferror(index('rna-gill'!$L:$L,match($A124,'rna-gill'!$A:$A,0)))</f>
        <v>N</v>
      </c>
      <c r="F124" t="str">
        <f t="array" ref="F124">iferror(index(fatty_acid!$G:$G,match($A124,fatty_acid!$A:$A,0)))</f>
        <v>BFA21-19</v>
      </c>
      <c r="G124" t="str">
        <f t="array" ref="G124">iferror(index(fatty_acid!$J:$J,match($A124,fatty_acid!$A:$A,0)))</f>
        <v>N</v>
      </c>
      <c r="H124" t="str">
        <f t="array" ref="H124">iferror(index(isotopes!$G:$G,match($A124,isotopes!$A:$A,0)))</f>
        <v>BIS24-9</v>
      </c>
      <c r="I124" t="str">
        <f t="array" ref="I124">iferror(index(isotopes!$J:$J,match($A124,isotopes!$A:$A,0)))</f>
        <v>N</v>
      </c>
      <c r="J124" t="str">
        <f t="array" ref="J124">iferror(index(extra_muscle!$G:$G,match($A124,extra_muscle!$A:$A,0)))</f>
        <v>BXM23-3</v>
      </c>
      <c r="K124" t="str">
        <f t="array" ref="K124">iferror(index(extra_muscle!$J:$J,match($A124,extra_muscle!$A:$A,0)))</f>
        <v>N</v>
      </c>
      <c r="L124" s="59" t="str">
        <f t="array" ref="L124">iferror(index(dna!$G:$G,match($A124,dna!$A:$A,0)))</f>
        <v/>
      </c>
      <c r="M124" s="60" t="str">
        <f t="array" ref="M124">iferror(index(dna!$J:$J,match($A124,dna!$A:$A,0)))</f>
        <v/>
      </c>
      <c r="N124" t="str">
        <f t="array" ref="N124">iferror(index(stomachs!$G:$G,match($A124,stomachs!$A:$A,0)))</f>
        <v>BST235-7</v>
      </c>
      <c r="O124" t="str">
        <f t="array" ref="O124">iferror(index(stomachs!$J:$J,match($A124,stomachs!$A:$A,0)))</f>
        <v>N</v>
      </c>
      <c r="P124" t="str">
        <f t="array" ref="P124">iferror(index(sea_lice!$G:$G,match($A124,sea_lice!$A:$A,0)))</f>
        <v/>
      </c>
      <c r="Q124" t="str">
        <f t="array" ref="Q124">iferror(index(sea_lice!$J:$J,match($A124,sea_lice!$A:$A,0)))</f>
        <v/>
      </c>
      <c r="R124" s="40" t="str">
        <f t="array" ref="R124">iferror(index(dissected_fish!$F:$F,match($A124,dissected_fish!$A:$A,0)))</f>
        <v>BCA100</v>
      </c>
      <c r="S124" s="40" t="str">
        <f t="array" ref="S124">iferror(index(dissected_fish!$K:$K,match($A124,dissected_fish!$A:$A,0)))</f>
        <v>N</v>
      </c>
      <c r="T124" s="61" t="str">
        <f t="array" ref="T124">index(fish_lab_data!O:O,match(A124,fish_lab_data!C:C,0))</f>
        <v>EJ</v>
      </c>
      <c r="U124" s="61">
        <f t="array" ref="U124">if(A124="","",index(fish_lab_data!X:X,match(A124,fish_lab_data!C:C,0)))</f>
        <v>123</v>
      </c>
    </row>
    <row r="125">
      <c r="A125" t="str">
        <f>fish_lab_data!C125</f>
        <v>U5219</v>
      </c>
      <c r="B125" t="str">
        <f t="array" ref="B125">iferror(index('rna-muscle'!$I:$I,match($A125,'rna-muscle'!$A:$A,0)))</f>
        <v>BRN66M-B11</v>
      </c>
      <c r="C125" t="str">
        <f t="array" ref="C125">iferror(index('rna-muscle'!$L:$L,match($A125,'rna-muscle'!$A:$A,0)))</f>
        <v>N</v>
      </c>
      <c r="D125" t="str">
        <f t="array" ref="D125">iferror(index('rna-gill'!$I:$I,match($A125,'rna-gill'!$A:$A,0)))</f>
        <v>BRN66G-B11</v>
      </c>
      <c r="E125" t="str">
        <f t="array" ref="E125">iferror(index('rna-gill'!$L:$L,match($A125,'rna-gill'!$A:$A,0)))</f>
        <v>N</v>
      </c>
      <c r="F125" t="str">
        <f t="array" ref="F125">iferror(index(fatty_acid!$G:$G,match($A125,fatty_acid!$A:$A,0)))</f>
        <v>BFA21-20</v>
      </c>
      <c r="G125" t="str">
        <f t="array" ref="G125">iferror(index(fatty_acid!$J:$J,match($A125,fatty_acid!$A:$A,0)))</f>
        <v>N</v>
      </c>
      <c r="H125" t="str">
        <f t="array" ref="H125">iferror(index(isotopes!$G:$G,match($A125,isotopes!$A:$A,0)))</f>
        <v>BIS24-12</v>
      </c>
      <c r="I125" t="str">
        <f t="array" ref="I125">iferror(index(isotopes!$J:$J,match($A125,isotopes!$A:$A,0)))</f>
        <v>N</v>
      </c>
      <c r="J125" t="str">
        <f t="array" ref="J125">iferror(index(extra_muscle!$G:$G,match($A125,extra_muscle!$A:$A,0)))</f>
        <v>BXM23-4</v>
      </c>
      <c r="K125" t="str">
        <f t="array" ref="K125">iferror(index(extra_muscle!$J:$J,match($A125,extra_muscle!$A:$A,0)))</f>
        <v>N</v>
      </c>
      <c r="L125" s="59" t="str">
        <f t="array" ref="L125">iferror(index(dna!$G:$G,match($A125,dna!$A:$A,0)))</f>
        <v/>
      </c>
      <c r="M125" s="60" t="str">
        <f t="array" ref="M125">iferror(index(dna!$J:$J,match($A125,dna!$A:$A,0)))</f>
        <v/>
      </c>
      <c r="N125" t="str">
        <f t="array" ref="N125">iferror(index(stomachs!$G:$G,match($A125,stomachs!$A:$A,0)))</f>
        <v>BST235-8</v>
      </c>
      <c r="O125" t="str">
        <f t="array" ref="O125">iferror(index(stomachs!$J:$J,match($A125,stomachs!$A:$A,0)))</f>
        <v>N</v>
      </c>
      <c r="P125" t="str">
        <f t="array" ref="P125">iferror(index(sea_lice!$G:$G,match($A125,sea_lice!$A:$A,0)))</f>
        <v/>
      </c>
      <c r="Q125" t="str">
        <f t="array" ref="Q125">iferror(index(sea_lice!$J:$J,match($A125,sea_lice!$A:$A,0)))</f>
        <v/>
      </c>
      <c r="R125" s="40" t="str">
        <f t="array" ref="R125">iferror(index(dissected_fish!$F:$F,match($A125,dissected_fish!$A:$A,0)))</f>
        <v>BCA100</v>
      </c>
      <c r="S125" s="40" t="str">
        <f t="array" ref="S125">iferror(index(dissected_fish!$K:$K,match($A125,dissected_fish!$A:$A,0)))</f>
        <v>N</v>
      </c>
      <c r="T125" s="61" t="str">
        <f t="array" ref="T125">index(fish_lab_data!O:O,match(A125,fish_lab_data!C:C,0))</f>
        <v>EJ</v>
      </c>
      <c r="U125" s="61">
        <f t="array" ref="U125">if(A125="","",index(fish_lab_data!X:X,match(A125,fish_lab_data!C:C,0)))</f>
        <v>124</v>
      </c>
    </row>
    <row r="126">
      <c r="A126" t="str">
        <f>fish_lab_data!C126</f>
        <v>U5220</v>
      </c>
      <c r="B126" t="str">
        <f t="array" ref="B126">iferror(index('rna-muscle'!$I:$I,match($A126,'rna-muscle'!$A:$A,0)))</f>
        <v>BRN66M-A11</v>
      </c>
      <c r="C126" t="str">
        <f t="array" ref="C126">iferror(index('rna-muscle'!$L:$L,match($A126,'rna-muscle'!$A:$A,0)))</f>
        <v>N</v>
      </c>
      <c r="D126" t="str">
        <f t="array" ref="D126">iferror(index('rna-gill'!$I:$I,match($A126,'rna-gill'!$A:$A,0)))</f>
        <v>BRN66G-A11</v>
      </c>
      <c r="E126" t="str">
        <f t="array" ref="E126">iferror(index('rna-gill'!$L:$L,match($A126,'rna-gill'!$A:$A,0)))</f>
        <v>N</v>
      </c>
      <c r="F126" t="str">
        <f t="array" ref="F126">iferror(index(fatty_acid!$G:$G,match($A126,fatty_acid!$A:$A,0)))</f>
        <v>BFA21-21</v>
      </c>
      <c r="G126" t="str">
        <f t="array" ref="G126">iferror(index(fatty_acid!$J:$J,match($A126,fatty_acid!$A:$A,0)))</f>
        <v>N</v>
      </c>
      <c r="H126" t="str">
        <f t="array" ref="H126">iferror(index(isotopes!$G:$G,match($A126,isotopes!$A:$A,0)))</f>
        <v>BIS24-14</v>
      </c>
      <c r="I126" t="str">
        <f t="array" ref="I126">iferror(index(isotopes!$J:$J,match($A126,isotopes!$A:$A,0)))</f>
        <v>N</v>
      </c>
      <c r="J126" t="str">
        <f t="array" ref="J126">iferror(index(extra_muscle!$G:$G,match($A126,extra_muscle!$A:$A,0)))</f>
        <v>BXM23-5</v>
      </c>
      <c r="K126" t="str">
        <f t="array" ref="K126">iferror(index(extra_muscle!$J:$J,match($A126,extra_muscle!$A:$A,0)))</f>
        <v>N</v>
      </c>
      <c r="L126" s="59" t="str">
        <f t="array" ref="L126">iferror(index(dna!$G:$G,match($A126,dna!$A:$A,0)))</f>
        <v/>
      </c>
      <c r="M126" s="60" t="str">
        <f t="array" ref="M126">iferror(index(dna!$J:$J,match($A126,dna!$A:$A,0)))</f>
        <v/>
      </c>
      <c r="N126" t="str">
        <f t="array" ref="N126">iferror(index(stomachs!$G:$G,match($A126,stomachs!$A:$A,0)))</f>
        <v>BST235-9</v>
      </c>
      <c r="O126" t="str">
        <f t="array" ref="O126">iferror(index(stomachs!$J:$J,match($A126,stomachs!$A:$A,0)))</f>
        <v>N</v>
      </c>
      <c r="P126" t="str">
        <f t="array" ref="P126">iferror(index(sea_lice!$G:$G,match($A126,sea_lice!$A:$A,0)))</f>
        <v/>
      </c>
      <c r="Q126" t="str">
        <f t="array" ref="Q126">iferror(index(sea_lice!$J:$J,match($A126,sea_lice!$A:$A,0)))</f>
        <v/>
      </c>
      <c r="R126" s="40" t="str">
        <f t="array" ref="R126">iferror(index(dissected_fish!$F:$F,match($A126,dissected_fish!$A:$A,0)))</f>
        <v>BCA100</v>
      </c>
      <c r="S126" s="40" t="str">
        <f t="array" ref="S126">iferror(index(dissected_fish!$K:$K,match($A126,dissected_fish!$A:$A,0)))</f>
        <v>N</v>
      </c>
      <c r="T126" s="61" t="str">
        <f t="array" ref="T126">index(fish_lab_data!O:O,match(A126,fish_lab_data!C:C,0))</f>
        <v>EJ</v>
      </c>
      <c r="U126" s="61">
        <f t="array" ref="U126">if(A126="","",index(fish_lab_data!X:X,match(A126,fish_lab_data!C:C,0)))</f>
        <v>125</v>
      </c>
    </row>
    <row r="127">
      <c r="A127" t="str">
        <f>fish_lab_data!C127</f>
        <v>U5221</v>
      </c>
      <c r="B127" t="str">
        <f t="array" ref="B127">iferror(index('rna-muscle'!$I:$I,match($A127,'rna-muscle'!$A:$A,0)))</f>
        <v>BRN66M-G12</v>
      </c>
      <c r="C127" t="str">
        <f t="array" ref="C127">iferror(index('rna-muscle'!$L:$L,match($A127,'rna-muscle'!$A:$A,0)))</f>
        <v>N</v>
      </c>
      <c r="D127" t="str">
        <f t="array" ref="D127">iferror(index('rna-gill'!$I:$I,match($A127,'rna-gill'!$A:$A,0)))</f>
        <v>BRN66G-G12</v>
      </c>
      <c r="E127" t="str">
        <f t="array" ref="E127">iferror(index('rna-gill'!$L:$L,match($A127,'rna-gill'!$A:$A,0)))</f>
        <v>N</v>
      </c>
      <c r="F127" t="str">
        <f t="array" ref="F127">iferror(index(fatty_acid!$G:$G,match($A127,fatty_acid!$A:$A,0)))</f>
        <v>BFA21-22</v>
      </c>
      <c r="G127" t="str">
        <f t="array" ref="G127">iferror(index(fatty_acid!$J:$J,match($A127,fatty_acid!$A:$A,0)))</f>
        <v>N</v>
      </c>
      <c r="H127" t="str">
        <f t="array" ref="H127">iferror(index(isotopes!$G:$G,match($A127,isotopes!$A:$A,0)))</f>
        <v>BIS24-16</v>
      </c>
      <c r="I127" t="str">
        <f t="array" ref="I127">iferror(index(isotopes!$J:$J,match($A127,isotopes!$A:$A,0)))</f>
        <v>N</v>
      </c>
      <c r="J127" t="str">
        <f t="array" ref="J127">iferror(index(extra_muscle!$G:$G,match($A127,extra_muscle!$A:$A,0)))</f>
        <v>BXM23-7</v>
      </c>
      <c r="K127" t="str">
        <f t="array" ref="K127">iferror(index(extra_muscle!$J:$J,match($A127,extra_muscle!$A:$A,0)))</f>
        <v>N</v>
      </c>
      <c r="L127" s="59" t="str">
        <f t="array" ref="L127">iferror(index(dna!$G:$G,match($A127,dna!$A:$A,0)))</f>
        <v/>
      </c>
      <c r="M127" s="60" t="str">
        <f t="array" ref="M127">iferror(index(dna!$J:$J,match($A127,dna!$A:$A,0)))</f>
        <v/>
      </c>
      <c r="N127" t="str">
        <f t="array" ref="N127">iferror(index(stomachs!$G:$G,match($A127,stomachs!$A:$A,0)))</f>
        <v>BST235-10</v>
      </c>
      <c r="O127" t="str">
        <f t="array" ref="O127">iferror(index(stomachs!$J:$J,match($A127,stomachs!$A:$A,0)))</f>
        <v>N</v>
      </c>
      <c r="P127" t="str">
        <f t="array" ref="P127">iferror(index(sea_lice!$G:$G,match($A127,sea_lice!$A:$A,0)))</f>
        <v/>
      </c>
      <c r="Q127" t="str">
        <f t="array" ref="Q127">iferror(index(sea_lice!$J:$J,match($A127,sea_lice!$A:$A,0)))</f>
        <v/>
      </c>
      <c r="R127" s="40" t="str">
        <f t="array" ref="R127">iferror(index(dissected_fish!$F:$F,match($A127,dissected_fish!$A:$A,0)))</f>
        <v>BCA100</v>
      </c>
      <c r="S127" s="40" t="str">
        <f t="array" ref="S127">iferror(index(dissected_fish!$K:$K,match($A127,dissected_fish!$A:$A,0)))</f>
        <v>N</v>
      </c>
      <c r="T127" s="61" t="str">
        <f t="array" ref="T127">index(fish_lab_data!O:O,match(A127,fish_lab_data!C:C,0))</f>
        <v>EJ</v>
      </c>
      <c r="U127" s="61">
        <f t="array" ref="U127">if(A127="","",index(fish_lab_data!X:X,match(A127,fish_lab_data!C:C,0)))</f>
        <v>126</v>
      </c>
    </row>
    <row r="128">
      <c r="A128" t="str">
        <f>fish_lab_data!C128</f>
        <v>U5222</v>
      </c>
      <c r="B128" t="str">
        <f t="array" ref="B128">iferror(index('rna-muscle'!$I:$I,match($A128,'rna-muscle'!$A:$A,0)))</f>
        <v>BRN66M-F12</v>
      </c>
      <c r="C128" t="str">
        <f t="array" ref="C128">iferror(index('rna-muscle'!$L:$L,match($A128,'rna-muscle'!$A:$A,0)))</f>
        <v>N</v>
      </c>
      <c r="D128" t="str">
        <f t="array" ref="D128">iferror(index('rna-gill'!$I:$I,match($A128,'rna-gill'!$A:$A,0)))</f>
        <v>BRN66G-F12</v>
      </c>
      <c r="E128" t="str">
        <f t="array" ref="E128">iferror(index('rna-gill'!$L:$L,match($A128,'rna-gill'!$A:$A,0)))</f>
        <v>N</v>
      </c>
      <c r="F128" t="str">
        <f t="array" ref="F128">iferror(index(fatty_acid!$G:$G,match($A128,fatty_acid!$A:$A,0)))</f>
        <v>BFA21-23</v>
      </c>
      <c r="G128" t="str">
        <f t="array" ref="G128">iferror(index(fatty_acid!$J:$J,match($A128,fatty_acid!$A:$A,0)))</f>
        <v>N</v>
      </c>
      <c r="H128" t="str">
        <f t="array" ref="H128">iferror(index(isotopes!$G:$G,match($A128,isotopes!$A:$A,0)))</f>
        <v>BIS24-18</v>
      </c>
      <c r="I128" t="str">
        <f t="array" ref="I128">iferror(index(isotopes!$J:$J,match($A128,isotopes!$A:$A,0)))</f>
        <v>N</v>
      </c>
      <c r="J128" t="str">
        <f t="array" ref="J128">iferror(index(extra_muscle!$G:$G,match($A128,extra_muscle!$A:$A,0)))</f>
        <v>BXM23-8</v>
      </c>
      <c r="K128" t="str">
        <f t="array" ref="K128">iferror(index(extra_muscle!$J:$J,match($A128,extra_muscle!$A:$A,0)))</f>
        <v>N</v>
      </c>
      <c r="L128" s="59" t="str">
        <f t="array" ref="L128">iferror(index(dna!$G:$G,match($A128,dna!$A:$A,0)))</f>
        <v/>
      </c>
      <c r="M128" s="60" t="str">
        <f t="array" ref="M128">iferror(index(dna!$J:$J,match($A128,dna!$A:$A,0)))</f>
        <v/>
      </c>
      <c r="N128" t="str">
        <f t="array" ref="N128">iferror(index(stomachs!$G:$G,match($A128,stomachs!$A:$A,0)))</f>
        <v>BST235-11</v>
      </c>
      <c r="O128" t="str">
        <f t="array" ref="O128">iferror(index(stomachs!$J:$J,match($A128,stomachs!$A:$A,0)))</f>
        <v>N</v>
      </c>
      <c r="P128" t="str">
        <f t="array" ref="P128">iferror(index(sea_lice!$G:$G,match($A128,sea_lice!$A:$A,0)))</f>
        <v/>
      </c>
      <c r="Q128" t="str">
        <f t="array" ref="Q128">iferror(index(sea_lice!$J:$J,match($A128,sea_lice!$A:$A,0)))</f>
        <v/>
      </c>
      <c r="R128" s="40" t="str">
        <f t="array" ref="R128">iferror(index(dissected_fish!$F:$F,match($A128,dissected_fish!$A:$A,0)))</f>
        <v>BCA100</v>
      </c>
      <c r="S128" s="40" t="str">
        <f t="array" ref="S128">iferror(index(dissected_fish!$K:$K,match($A128,dissected_fish!$A:$A,0)))</f>
        <v>N</v>
      </c>
      <c r="T128" s="61" t="str">
        <f t="array" ref="T128">index(fish_lab_data!O:O,match(A128,fish_lab_data!C:C,0))</f>
        <v>EJ</v>
      </c>
      <c r="U128" s="61">
        <f t="array" ref="U128">if(A128="","",index(fish_lab_data!X:X,match(A128,fish_lab_data!C:C,0)))</f>
        <v>127</v>
      </c>
    </row>
    <row r="129">
      <c r="A129" t="str">
        <f>fish_lab_data!C129</f>
        <v>U5223</v>
      </c>
      <c r="B129" t="str">
        <f t="array" ref="B129">iferror(index('rna-muscle'!$I:$I,match($A129,'rna-muscle'!$A:$A,0)))</f>
        <v>BRN66M-E12</v>
      </c>
      <c r="C129" t="str">
        <f t="array" ref="C129">iferror(index('rna-muscle'!$L:$L,match($A129,'rna-muscle'!$A:$A,0)))</f>
        <v>N</v>
      </c>
      <c r="D129" t="str">
        <f t="array" ref="D129">iferror(index('rna-gill'!$I:$I,match($A129,'rna-gill'!$A:$A,0)))</f>
        <v>BRN66G-E12</v>
      </c>
      <c r="E129" t="str">
        <f t="array" ref="E129">iferror(index('rna-gill'!$L:$L,match($A129,'rna-gill'!$A:$A,0)))</f>
        <v>N</v>
      </c>
      <c r="F129" t="str">
        <f t="array" ref="F129">iferror(index(fatty_acid!$G:$G,match($A129,fatty_acid!$A:$A,0)))</f>
        <v>BFA21-24</v>
      </c>
      <c r="G129" t="str">
        <f t="array" ref="G129">iferror(index(fatty_acid!$J:$J,match($A129,fatty_acid!$A:$A,0)))</f>
        <v>N</v>
      </c>
      <c r="H129" t="str">
        <f t="array" ref="H129">iferror(index(isotopes!$G:$G,match($A129,isotopes!$A:$A,0)))</f>
        <v>BIS24-20</v>
      </c>
      <c r="I129" t="str">
        <f t="array" ref="I129">iferror(index(isotopes!$J:$J,match($A129,isotopes!$A:$A,0)))</f>
        <v>N</v>
      </c>
      <c r="J129" t="str">
        <f t="array" ref="J129">iferror(index(extra_muscle!$G:$G,match($A129,extra_muscle!$A:$A,0)))</f>
        <v>BXM23-9</v>
      </c>
      <c r="K129" t="str">
        <f t="array" ref="K129">iferror(index(extra_muscle!$J:$J,match($A129,extra_muscle!$A:$A,0)))</f>
        <v>N</v>
      </c>
      <c r="L129" s="59" t="str">
        <f t="array" ref="L129">iferror(index(dna!$G:$G,match($A129,dna!$A:$A,0)))</f>
        <v/>
      </c>
      <c r="M129" s="60" t="str">
        <f t="array" ref="M129">iferror(index(dna!$J:$J,match($A129,dna!$A:$A,0)))</f>
        <v/>
      </c>
      <c r="N129" t="str">
        <f t="array" ref="N129">iferror(index(stomachs!$G:$G,match($A129,stomachs!$A:$A,0)))</f>
        <v>BST235-12</v>
      </c>
      <c r="O129" t="str">
        <f t="array" ref="O129">iferror(index(stomachs!$J:$J,match($A129,stomachs!$A:$A,0)))</f>
        <v>N</v>
      </c>
      <c r="P129" t="str">
        <f t="array" ref="P129">iferror(index(sea_lice!$G:$G,match($A129,sea_lice!$A:$A,0)))</f>
        <v/>
      </c>
      <c r="Q129" t="str">
        <f t="array" ref="Q129">iferror(index(sea_lice!$J:$J,match($A129,sea_lice!$A:$A,0)))</f>
        <v/>
      </c>
      <c r="R129" s="40" t="str">
        <f t="array" ref="R129">iferror(index(dissected_fish!$F:$F,match($A129,dissected_fish!$A:$A,0)))</f>
        <v>BCA100</v>
      </c>
      <c r="S129" s="40" t="str">
        <f t="array" ref="S129">iferror(index(dissected_fish!$K:$K,match($A129,dissected_fish!$A:$A,0)))</f>
        <v>N</v>
      </c>
      <c r="T129" s="61" t="str">
        <f t="array" ref="T129">index(fish_lab_data!O:O,match(A129,fish_lab_data!C:C,0))</f>
        <v>EJ</v>
      </c>
      <c r="U129" s="61">
        <f t="array" ref="U129">if(A129="","",index(fish_lab_data!X:X,match(A129,fish_lab_data!C:C,0)))</f>
        <v>128</v>
      </c>
    </row>
    <row r="130">
      <c r="A130" t="str">
        <f>fish_lab_data!C130</f>
        <v>U5224</v>
      </c>
      <c r="B130" t="str">
        <f t="array" ref="B130">iferror(index('rna-muscle'!$I:$I,match($A130,'rna-muscle'!$A:$A,0)))</f>
        <v>BRN66M-D12</v>
      </c>
      <c r="C130" t="str">
        <f t="array" ref="C130">iferror(index('rna-muscle'!$L:$L,match($A130,'rna-muscle'!$A:$A,0)))</f>
        <v>N</v>
      </c>
      <c r="D130" t="str">
        <f t="array" ref="D130">iferror(index('rna-gill'!$I:$I,match($A130,'rna-gill'!$A:$A,0)))</f>
        <v>BRN66G-D12</v>
      </c>
      <c r="E130" t="str">
        <f t="array" ref="E130">iferror(index('rna-gill'!$L:$L,match($A130,'rna-gill'!$A:$A,0)))</f>
        <v>N</v>
      </c>
      <c r="F130" t="str">
        <f t="array" ref="F130">iferror(index(fatty_acid!$G:$G,match($A130,fatty_acid!$A:$A,0)))</f>
        <v>BFA21-25</v>
      </c>
      <c r="G130" t="str">
        <f t="array" ref="G130">iferror(index(fatty_acid!$J:$J,match($A130,fatty_acid!$A:$A,0)))</f>
        <v>N</v>
      </c>
      <c r="H130" t="str">
        <f t="array" ref="H130">iferror(index(isotopes!$G:$G,match($A130,isotopes!$A:$A,0)))</f>
        <v>BIS24-21</v>
      </c>
      <c r="I130" t="str">
        <f t="array" ref="I130">iferror(index(isotopes!$J:$J,match($A130,isotopes!$A:$A,0)))</f>
        <v>N</v>
      </c>
      <c r="J130" t="str">
        <f t="array" ref="J130">iferror(index(extra_muscle!$G:$G,match($A130,extra_muscle!$A:$A,0)))</f>
        <v>BXM23-10</v>
      </c>
      <c r="K130" t="str">
        <f t="array" ref="K130">iferror(index(extra_muscle!$J:$J,match($A130,extra_muscle!$A:$A,0)))</f>
        <v>N</v>
      </c>
      <c r="L130" s="59" t="str">
        <f t="array" ref="L130">iferror(index(dna!$G:$G,match($A130,dna!$A:$A,0)))</f>
        <v/>
      </c>
      <c r="M130" s="60" t="str">
        <f t="array" ref="M130">iferror(index(dna!$J:$J,match($A130,dna!$A:$A,0)))</f>
        <v/>
      </c>
      <c r="N130" t="str">
        <f t="array" ref="N130">iferror(index(stomachs!$G:$G,match($A130,stomachs!$A:$A,0)))</f>
        <v>BST235-13</v>
      </c>
      <c r="O130" t="str">
        <f t="array" ref="O130">iferror(index(stomachs!$J:$J,match($A130,stomachs!$A:$A,0)))</f>
        <v>N</v>
      </c>
      <c r="P130" t="str">
        <f t="array" ref="P130">iferror(index(sea_lice!$G:$G,match($A130,sea_lice!$A:$A,0)))</f>
        <v/>
      </c>
      <c r="Q130" t="str">
        <f t="array" ref="Q130">iferror(index(sea_lice!$J:$J,match($A130,sea_lice!$A:$A,0)))</f>
        <v/>
      </c>
      <c r="R130" s="40" t="str">
        <f t="array" ref="R130">iferror(index(dissected_fish!$F:$F,match($A130,dissected_fish!$A:$A,0)))</f>
        <v>BCA100</v>
      </c>
      <c r="S130" s="40" t="str">
        <f t="array" ref="S130">iferror(index(dissected_fish!$K:$K,match($A130,dissected_fish!$A:$A,0)))</f>
        <v>N</v>
      </c>
      <c r="T130" s="61" t="str">
        <f t="array" ref="T130">index(fish_lab_data!O:O,match(A130,fish_lab_data!C:C,0))</f>
        <v>EJ</v>
      </c>
      <c r="U130" s="61">
        <f t="array" ref="U130">if(A130="","",index(fish_lab_data!X:X,match(A130,fish_lab_data!C:C,0)))</f>
        <v>129</v>
      </c>
    </row>
    <row r="131">
      <c r="A131" t="str">
        <f>fish_lab_data!C131</f>
        <v>U5225</v>
      </c>
      <c r="B131" t="str">
        <f t="array" ref="B131">iferror(index('rna-muscle'!$I:$I,match($A131,'rna-muscle'!$A:$A,0)))</f>
        <v>BRN66M-C12</v>
      </c>
      <c r="C131" t="str">
        <f t="array" ref="C131">iferror(index('rna-muscle'!$L:$L,match($A131,'rna-muscle'!$A:$A,0)))</f>
        <v>N</v>
      </c>
      <c r="D131" t="str">
        <f t="array" ref="D131">iferror(index('rna-gill'!$I:$I,match($A131,'rna-gill'!$A:$A,0)))</f>
        <v>BRN66G-C12</v>
      </c>
      <c r="E131" t="str">
        <f t="array" ref="E131">iferror(index('rna-gill'!$L:$L,match($A131,'rna-gill'!$A:$A,0)))</f>
        <v>N</v>
      </c>
      <c r="F131" t="str">
        <f t="array" ref="F131">iferror(index(fatty_acid!$G:$G,match($A131,fatty_acid!$A:$A,0)))</f>
        <v>BFA21-27</v>
      </c>
      <c r="G131" t="str">
        <f t="array" ref="G131">iferror(index(fatty_acid!$J:$J,match($A131,fatty_acid!$A:$A,0)))</f>
        <v>N</v>
      </c>
      <c r="H131" t="str">
        <f t="array" ref="H131">iferror(index(isotopes!$G:$G,match($A131,isotopes!$A:$A,0)))</f>
        <v>BIS24-23</v>
      </c>
      <c r="I131" t="str">
        <f t="array" ref="I131">iferror(index(isotopes!$J:$J,match($A131,isotopes!$A:$A,0)))</f>
        <v>N</v>
      </c>
      <c r="J131" t="str">
        <f t="array" ref="J131">iferror(index(extra_muscle!$G:$G,match($A131,extra_muscle!$A:$A,0)))</f>
        <v>BXM23-11</v>
      </c>
      <c r="K131" t="str">
        <f t="array" ref="K131">iferror(index(extra_muscle!$J:$J,match($A131,extra_muscle!$A:$A,0)))</f>
        <v>N</v>
      </c>
      <c r="L131" s="59" t="str">
        <f t="array" ref="L131">iferror(index(dna!$G:$G,match($A131,dna!$A:$A,0)))</f>
        <v/>
      </c>
      <c r="M131" s="60" t="str">
        <f t="array" ref="M131">iferror(index(dna!$J:$J,match($A131,dna!$A:$A,0)))</f>
        <v/>
      </c>
      <c r="N131" t="str">
        <f t="array" ref="N131">iferror(index(stomachs!$G:$G,match($A131,stomachs!$A:$A,0)))</f>
        <v>BST235-14</v>
      </c>
      <c r="O131" t="str">
        <f t="array" ref="O131">iferror(index(stomachs!$J:$J,match($A131,stomachs!$A:$A,0)))</f>
        <v>N</v>
      </c>
      <c r="P131" t="str">
        <f t="array" ref="P131">iferror(index(sea_lice!$G:$G,match($A131,sea_lice!$A:$A,0)))</f>
        <v/>
      </c>
      <c r="Q131" t="str">
        <f t="array" ref="Q131">iferror(index(sea_lice!$J:$J,match($A131,sea_lice!$A:$A,0)))</f>
        <v/>
      </c>
      <c r="R131" s="40" t="str">
        <f t="array" ref="R131">iferror(index(dissected_fish!$F:$F,match($A131,dissected_fish!$A:$A,0)))</f>
        <v>BCA100</v>
      </c>
      <c r="S131" s="40" t="str">
        <f t="array" ref="S131">iferror(index(dissected_fish!$K:$K,match($A131,dissected_fish!$A:$A,0)))</f>
        <v>N</v>
      </c>
      <c r="T131" s="61" t="str">
        <f t="array" ref="T131">index(fish_lab_data!O:O,match(A131,fish_lab_data!C:C,0))</f>
        <v>EJ</v>
      </c>
      <c r="U131" s="61">
        <f t="array" ref="U131">if(A131="","",index(fish_lab_data!X:X,match(A131,fish_lab_data!C:C,0)))</f>
        <v>130</v>
      </c>
    </row>
    <row r="132">
      <c r="A132" t="str">
        <f>fish_lab_data!C132</f>
        <v>U5226</v>
      </c>
      <c r="B132" t="str">
        <f t="array" ref="B132">iferror(index('rna-muscle'!$I:$I,match($A132,'rna-muscle'!$A:$A,0)))</f>
        <v>BRN66M-B12</v>
      </c>
      <c r="C132" t="str">
        <f t="array" ref="C132">iferror(index('rna-muscle'!$L:$L,match($A132,'rna-muscle'!$A:$A,0)))</f>
        <v>N</v>
      </c>
      <c r="D132" t="str">
        <f t="array" ref="D132">iferror(index('rna-gill'!$I:$I,match($A132,'rna-gill'!$A:$A,0)))</f>
        <v>BRN66G-B12</v>
      </c>
      <c r="E132" t="str">
        <f t="array" ref="E132">iferror(index('rna-gill'!$L:$L,match($A132,'rna-gill'!$A:$A,0)))</f>
        <v>N</v>
      </c>
      <c r="F132" t="str">
        <f t="array" ref="F132">iferror(index(fatty_acid!$G:$G,match($A132,fatty_acid!$A:$A,0)))</f>
        <v>BFA21-28</v>
      </c>
      <c r="G132" t="str">
        <f t="array" ref="G132">iferror(index(fatty_acid!$J:$J,match($A132,fatty_acid!$A:$A,0)))</f>
        <v>N</v>
      </c>
      <c r="H132" t="str">
        <f t="array" ref="H132">iferror(index(isotopes!$G:$G,match($A132,isotopes!$A:$A,0)))</f>
        <v>BIS24-25</v>
      </c>
      <c r="I132" t="str">
        <f t="array" ref="I132">iferror(index(isotopes!$J:$J,match($A132,isotopes!$A:$A,0)))</f>
        <v>N</v>
      </c>
      <c r="J132" t="str">
        <f t="array" ref="J132">iferror(index(extra_muscle!$G:$G,match($A132,extra_muscle!$A:$A,0)))</f>
        <v>BXM23-12</v>
      </c>
      <c r="K132" t="str">
        <f t="array" ref="K132">iferror(index(extra_muscle!$J:$J,match($A132,extra_muscle!$A:$A,0)))</f>
        <v>N</v>
      </c>
      <c r="L132" s="59" t="str">
        <f t="array" ref="L132">iferror(index(dna!$G:$G,match($A132,dna!$A:$A,0)))</f>
        <v/>
      </c>
      <c r="M132" s="60" t="str">
        <f t="array" ref="M132">iferror(index(dna!$J:$J,match($A132,dna!$A:$A,0)))</f>
        <v/>
      </c>
      <c r="N132" t="str">
        <f t="array" ref="N132">iferror(index(stomachs!$G:$G,match($A132,stomachs!$A:$A,0)))</f>
        <v>BST235-15</v>
      </c>
      <c r="O132" t="str">
        <f t="array" ref="O132">iferror(index(stomachs!$J:$J,match($A132,stomachs!$A:$A,0)))</f>
        <v>N</v>
      </c>
      <c r="P132" t="str">
        <f t="array" ref="P132">iferror(index(sea_lice!$G:$G,match($A132,sea_lice!$A:$A,0)))</f>
        <v/>
      </c>
      <c r="Q132" t="str">
        <f t="array" ref="Q132">iferror(index(sea_lice!$J:$J,match($A132,sea_lice!$A:$A,0)))</f>
        <v/>
      </c>
      <c r="R132" s="40" t="str">
        <f t="array" ref="R132">iferror(index(dissected_fish!$F:$F,match($A132,dissected_fish!$A:$A,0)))</f>
        <v>BCA100</v>
      </c>
      <c r="S132" s="40" t="str">
        <f t="array" ref="S132">iferror(index(dissected_fish!$K:$K,match($A132,dissected_fish!$A:$A,0)))</f>
        <v>N</v>
      </c>
      <c r="T132" s="61" t="str">
        <f t="array" ref="T132">index(fish_lab_data!O:O,match(A132,fish_lab_data!C:C,0))</f>
        <v>EJ</v>
      </c>
      <c r="U132" s="61">
        <f t="array" ref="U132">if(A132="","",index(fish_lab_data!X:X,match(A132,fish_lab_data!C:C,0)))</f>
        <v>131</v>
      </c>
    </row>
    <row r="133">
      <c r="A133" t="str">
        <f>fish_lab_data!C133</f>
        <v>U5227</v>
      </c>
      <c r="B133" t="str">
        <f t="array" ref="B133">iferror(index('rna-muscle'!$I:$I,match($A133,'rna-muscle'!$A:$A,0)))</f>
        <v>BRN66M-A12</v>
      </c>
      <c r="C133" t="str">
        <f t="array" ref="C133">iferror(index('rna-muscle'!$L:$L,match($A133,'rna-muscle'!$A:$A,0)))</f>
        <v>N</v>
      </c>
      <c r="D133" t="str">
        <f t="array" ref="D133">iferror(index('rna-gill'!$I:$I,match($A133,'rna-gill'!$A:$A,0)))</f>
        <v>BRN66G-A12</v>
      </c>
      <c r="E133" t="str">
        <f t="array" ref="E133">iferror(index('rna-gill'!$L:$L,match($A133,'rna-gill'!$A:$A,0)))</f>
        <v>N</v>
      </c>
      <c r="F133" t="str">
        <f t="array" ref="F133">iferror(index(fatty_acid!$G:$G,match($A133,fatty_acid!$A:$A,0)))</f>
        <v>BFA21-29</v>
      </c>
      <c r="G133" t="str">
        <f t="array" ref="G133">iferror(index(fatty_acid!$J:$J,match($A133,fatty_acid!$A:$A,0)))</f>
        <v>N</v>
      </c>
      <c r="H133" t="str">
        <f t="array" ref="H133">iferror(index(isotopes!$G:$G,match($A133,isotopes!$A:$A,0)))</f>
        <v>BIS24-27</v>
      </c>
      <c r="I133" t="str">
        <f t="array" ref="I133">iferror(index(isotopes!$J:$J,match($A133,isotopes!$A:$A,0)))</f>
        <v>N</v>
      </c>
      <c r="J133" t="str">
        <f t="array" ref="J133">iferror(index(extra_muscle!$G:$G,match($A133,extra_muscle!$A:$A,0)))</f>
        <v>BXM23-13</v>
      </c>
      <c r="K133" t="str">
        <f t="array" ref="K133">iferror(index(extra_muscle!$J:$J,match($A133,extra_muscle!$A:$A,0)))</f>
        <v>N</v>
      </c>
      <c r="L133" s="59" t="str">
        <f t="array" ref="L133">iferror(index(dna!$G:$G,match($A133,dna!$A:$A,0)))</f>
        <v/>
      </c>
      <c r="M133" s="60" t="str">
        <f t="array" ref="M133">iferror(index(dna!$J:$J,match($A133,dna!$A:$A,0)))</f>
        <v/>
      </c>
      <c r="N133" t="str">
        <f t="array" ref="N133">iferror(index(stomachs!$G:$G,match($A133,stomachs!$A:$A,0)))</f>
        <v>BST235-16</v>
      </c>
      <c r="O133" t="str">
        <f t="array" ref="O133">iferror(index(stomachs!$J:$J,match($A133,stomachs!$A:$A,0)))</f>
        <v>N</v>
      </c>
      <c r="P133" t="str">
        <f t="array" ref="P133">iferror(index(sea_lice!$G:$G,match($A133,sea_lice!$A:$A,0)))</f>
        <v/>
      </c>
      <c r="Q133" t="str">
        <f t="array" ref="Q133">iferror(index(sea_lice!$J:$J,match($A133,sea_lice!$A:$A,0)))</f>
        <v/>
      </c>
      <c r="R133" s="40" t="str">
        <f t="array" ref="R133">iferror(index(dissected_fish!$F:$F,match($A133,dissected_fish!$A:$A,0)))</f>
        <v>BCA100</v>
      </c>
      <c r="S133" s="40" t="str">
        <f t="array" ref="S133">iferror(index(dissected_fish!$K:$K,match($A133,dissected_fish!$A:$A,0)))</f>
        <v>N</v>
      </c>
      <c r="T133" s="61" t="str">
        <f t="array" ref="T133">index(fish_lab_data!O:O,match(A133,fish_lab_data!C:C,0))</f>
        <v>EJ</v>
      </c>
      <c r="U133" s="61">
        <f t="array" ref="U133">if(A133="","",index(fish_lab_data!X:X,match(A133,fish_lab_data!C:C,0)))</f>
        <v>132</v>
      </c>
    </row>
    <row r="134">
      <c r="A134" t="str">
        <f>fish_lab_data!C134</f>
        <v>U5228</v>
      </c>
      <c r="B134" t="str">
        <f t="array" ref="B134">iferror(index('rna-muscle'!$I:$I,match($A134,'rna-muscle'!$A:$A,0)))</f>
        <v>BRN64M-H2</v>
      </c>
      <c r="C134" t="str">
        <f t="array" ref="C134">iferror(index('rna-muscle'!$L:$L,match($A134,'rna-muscle'!$A:$A,0)))</f>
        <v>N</v>
      </c>
      <c r="D134" t="str">
        <f t="array" ref="D134">iferror(index('rna-gill'!$I:$I,match($A134,'rna-gill'!$A:$A,0)))</f>
        <v>BRN64G-H2</v>
      </c>
      <c r="E134" t="str">
        <f t="array" ref="E134">iferror(index('rna-gill'!$L:$L,match($A134,'rna-gill'!$A:$A,0)))</f>
        <v>N</v>
      </c>
      <c r="F134" t="str">
        <f t="array" ref="F134">iferror(index(fatty_acid!$G:$G,match($A134,fatty_acid!$A:$A,0)))</f>
        <v>BFA21-30</v>
      </c>
      <c r="G134" t="str">
        <f t="array" ref="G134">iferror(index(fatty_acid!$J:$J,match($A134,fatty_acid!$A:$A,0)))</f>
        <v>N</v>
      </c>
      <c r="H134" t="str">
        <f t="array" ref="H134">iferror(index(isotopes!$G:$G,match($A134,isotopes!$A:$A,0)))</f>
        <v>BIS24-29</v>
      </c>
      <c r="I134" t="str">
        <f t="array" ref="I134">iferror(index(isotopes!$J:$J,match($A134,isotopes!$A:$A,0)))</f>
        <v>N</v>
      </c>
      <c r="J134" t="str">
        <f t="array" ref="J134">iferror(index(extra_muscle!$G:$G,match($A134,extra_muscle!$A:$A,0)))</f>
        <v>BXM23-14</v>
      </c>
      <c r="K134" t="str">
        <f t="array" ref="K134">iferror(index(extra_muscle!$J:$J,match($A134,extra_muscle!$A:$A,0)))</f>
        <v>N</v>
      </c>
      <c r="L134" s="59" t="str">
        <f t="array" ref="L134">iferror(index(dna!$G:$G,match($A134,dna!$A:$A,0)))</f>
        <v/>
      </c>
      <c r="M134" s="60" t="str">
        <f t="array" ref="M134">iferror(index(dna!$J:$J,match($A134,dna!$A:$A,0)))</f>
        <v/>
      </c>
      <c r="N134" t="str">
        <f t="array" ref="N134">iferror(index(stomachs!$G:$G,match($A134,stomachs!$A:$A,0)))</f>
        <v>BST235-17</v>
      </c>
      <c r="O134" t="str">
        <f t="array" ref="O134">iferror(index(stomachs!$J:$J,match($A134,stomachs!$A:$A,0)))</f>
        <v>N</v>
      </c>
      <c r="P134" t="str">
        <f t="array" ref="P134">iferror(index(sea_lice!$G:$G,match($A134,sea_lice!$A:$A,0)))</f>
        <v/>
      </c>
      <c r="Q134" t="str">
        <f t="array" ref="Q134">iferror(index(sea_lice!$J:$J,match($A134,sea_lice!$A:$A,0)))</f>
        <v/>
      </c>
      <c r="R134" s="40" t="str">
        <f t="array" ref="R134">iferror(index(dissected_fish!$F:$F,match($A134,dissected_fish!$A:$A,0)))</f>
        <v>BCA100</v>
      </c>
      <c r="S134" s="40" t="str">
        <f t="array" ref="S134">iferror(index(dissected_fish!$K:$K,match($A134,dissected_fish!$A:$A,0)))</f>
        <v>N</v>
      </c>
      <c r="T134" s="61" t="str">
        <f t="array" ref="T134">index(fish_lab_data!O:O,match(A134,fish_lab_data!C:C,0))</f>
        <v>EJ</v>
      </c>
      <c r="U134" s="61">
        <f t="array" ref="U134">if(A134="","",index(fish_lab_data!X:X,match(A134,fish_lab_data!C:C,0)))</f>
        <v>133</v>
      </c>
    </row>
    <row r="135">
      <c r="A135" t="str">
        <f>fish_lab_data!C135</f>
        <v>U5229</v>
      </c>
      <c r="B135" t="str">
        <f t="array" ref="B135">iferror(index('rna-muscle'!$I:$I,match($A135,'rna-muscle'!$A:$A,0)))</f>
        <v>BRN64M-G2</v>
      </c>
      <c r="C135" t="str">
        <f t="array" ref="C135">iferror(index('rna-muscle'!$L:$L,match($A135,'rna-muscle'!$A:$A,0)))</f>
        <v>N</v>
      </c>
      <c r="D135" t="str">
        <f t="array" ref="D135">iferror(index('rna-gill'!$I:$I,match($A135,'rna-gill'!$A:$A,0)))</f>
        <v>BRN64G-G2</v>
      </c>
      <c r="E135" t="str">
        <f t="array" ref="E135">iferror(index('rna-gill'!$L:$L,match($A135,'rna-gill'!$A:$A,0)))</f>
        <v>N</v>
      </c>
      <c r="F135" t="str">
        <f t="array" ref="F135">iferror(index(fatty_acid!$G:$G,match($A135,fatty_acid!$A:$A,0)))</f>
        <v>BFA21-31</v>
      </c>
      <c r="G135" t="str">
        <f t="array" ref="G135">iferror(index(fatty_acid!$J:$J,match($A135,fatty_acid!$A:$A,0)))</f>
        <v>N</v>
      </c>
      <c r="H135" t="str">
        <f t="array" ref="H135">iferror(index(isotopes!$G:$G,match($A135,isotopes!$A:$A,0)))</f>
        <v>BIS24-32</v>
      </c>
      <c r="I135" t="str">
        <f t="array" ref="I135">iferror(index(isotopes!$J:$J,match($A135,isotopes!$A:$A,0)))</f>
        <v>N</v>
      </c>
      <c r="J135" t="str">
        <f t="array" ref="J135">iferror(index(extra_muscle!$G:$G,match($A135,extra_muscle!$A:$A,0)))</f>
        <v>BXM23-15</v>
      </c>
      <c r="K135" t="str">
        <f t="array" ref="K135">iferror(index(extra_muscle!$J:$J,match($A135,extra_muscle!$A:$A,0)))</f>
        <v>N</v>
      </c>
      <c r="L135" s="59" t="str">
        <f t="array" ref="L135">iferror(index(dna!$G:$G,match($A135,dna!$A:$A,0)))</f>
        <v/>
      </c>
      <c r="M135" s="60" t="str">
        <f t="array" ref="M135">iferror(index(dna!$J:$J,match($A135,dna!$A:$A,0)))</f>
        <v/>
      </c>
      <c r="N135" t="str">
        <f t="array" ref="N135">iferror(index(stomachs!$G:$G,match($A135,stomachs!$A:$A,0)))</f>
        <v>BST235-18</v>
      </c>
      <c r="O135" t="str">
        <f t="array" ref="O135">iferror(index(stomachs!$J:$J,match($A135,stomachs!$A:$A,0)))</f>
        <v>N</v>
      </c>
      <c r="P135" t="str">
        <f t="array" ref="P135">iferror(index(sea_lice!$G:$G,match($A135,sea_lice!$A:$A,0)))</f>
        <v/>
      </c>
      <c r="Q135" t="str">
        <f t="array" ref="Q135">iferror(index(sea_lice!$J:$J,match($A135,sea_lice!$A:$A,0)))</f>
        <v/>
      </c>
      <c r="R135" s="40" t="str">
        <f t="array" ref="R135">iferror(index(dissected_fish!$F:$F,match($A135,dissected_fish!$A:$A,0)))</f>
        <v>BCA100</v>
      </c>
      <c r="S135" s="40" t="str">
        <f t="array" ref="S135">iferror(index(dissected_fish!$K:$K,match($A135,dissected_fish!$A:$A,0)))</f>
        <v>N</v>
      </c>
      <c r="T135" s="61" t="str">
        <f t="array" ref="T135">index(fish_lab_data!O:O,match(A135,fish_lab_data!C:C,0))</f>
        <v>EJ</v>
      </c>
      <c r="U135" s="61">
        <f t="array" ref="U135">if(A135="","",index(fish_lab_data!X:X,match(A135,fish_lab_data!C:C,0)))</f>
        <v>134</v>
      </c>
    </row>
    <row r="136">
      <c r="A136" t="str">
        <f>fish_lab_data!C136</f>
        <v>U5230</v>
      </c>
      <c r="B136" t="str">
        <f t="array" ref="B136">iferror(index('rna-muscle'!$I:$I,match($A136,'rna-muscle'!$A:$A,0)))</f>
        <v>BRN64M-F2</v>
      </c>
      <c r="C136" t="str">
        <f t="array" ref="C136">iferror(index('rna-muscle'!$L:$L,match($A136,'rna-muscle'!$A:$A,0)))</f>
        <v>N</v>
      </c>
      <c r="D136" t="str">
        <f t="array" ref="D136">iferror(index('rna-gill'!$I:$I,match($A136,'rna-gill'!$A:$A,0)))</f>
        <v>BRN64G-F2</v>
      </c>
      <c r="E136" t="str">
        <f t="array" ref="E136">iferror(index('rna-gill'!$L:$L,match($A136,'rna-gill'!$A:$A,0)))</f>
        <v>N</v>
      </c>
      <c r="F136" t="str">
        <f t="array" ref="F136">iferror(index(fatty_acid!$G:$G,match($A136,fatty_acid!$A:$A,0)))</f>
        <v>BFA21-32</v>
      </c>
      <c r="G136" t="str">
        <f t="array" ref="G136">iferror(index(fatty_acid!$J:$J,match($A136,fatty_acid!$A:$A,0)))</f>
        <v>N</v>
      </c>
      <c r="H136" t="str">
        <f t="array" ref="H136">iferror(index(isotopes!$G:$G,match($A136,isotopes!$A:$A,0)))</f>
        <v>BIS24-34</v>
      </c>
      <c r="I136" t="str">
        <f t="array" ref="I136">iferror(index(isotopes!$J:$J,match($A136,isotopes!$A:$A,0)))</f>
        <v>N</v>
      </c>
      <c r="J136" t="str">
        <f t="array" ref="J136">iferror(index(extra_muscle!$G:$G,match($A136,extra_muscle!$A:$A,0)))</f>
        <v>BXM23-17</v>
      </c>
      <c r="K136" t="str">
        <f t="array" ref="K136">iferror(index(extra_muscle!$J:$J,match($A136,extra_muscle!$A:$A,0)))</f>
        <v>N</v>
      </c>
      <c r="L136" s="59" t="str">
        <f t="array" ref="L136">iferror(index(dna!$G:$G,match($A136,dna!$A:$A,0)))</f>
        <v/>
      </c>
      <c r="M136" s="60" t="str">
        <f t="array" ref="M136">iferror(index(dna!$J:$J,match($A136,dna!$A:$A,0)))</f>
        <v/>
      </c>
      <c r="N136" t="str">
        <f t="array" ref="N136">iferror(index(stomachs!$G:$G,match($A136,stomachs!$A:$A,0)))</f>
        <v>BST235-19</v>
      </c>
      <c r="O136" t="str">
        <f t="array" ref="O136">iferror(index(stomachs!$J:$J,match($A136,stomachs!$A:$A,0)))</f>
        <v>N</v>
      </c>
      <c r="P136" t="str">
        <f t="array" ref="P136">iferror(index(sea_lice!$G:$G,match($A136,sea_lice!$A:$A,0)))</f>
        <v/>
      </c>
      <c r="Q136" t="str">
        <f t="array" ref="Q136">iferror(index(sea_lice!$J:$J,match($A136,sea_lice!$A:$A,0)))</f>
        <v/>
      </c>
      <c r="R136" s="40" t="str">
        <f t="array" ref="R136">iferror(index(dissected_fish!$F:$F,match($A136,dissected_fish!$A:$A,0)))</f>
        <v>BCA100</v>
      </c>
      <c r="S136" s="40" t="str">
        <f t="array" ref="S136">iferror(index(dissected_fish!$K:$K,match($A136,dissected_fish!$A:$A,0)))</f>
        <v>N</v>
      </c>
      <c r="T136" s="61" t="str">
        <f t="array" ref="T136">index(fish_lab_data!O:O,match(A136,fish_lab_data!C:C,0))</f>
        <v>EJ</v>
      </c>
      <c r="U136" s="61">
        <f t="array" ref="U136">if(A136="","",index(fish_lab_data!X:X,match(A136,fish_lab_data!C:C,0)))</f>
        <v>135</v>
      </c>
    </row>
    <row r="137">
      <c r="A137" t="str">
        <f>fish_lab_data!C137</f>
        <v>U5231</v>
      </c>
      <c r="B137" t="str">
        <f t="array" ref="B137">iferror(index('rna-muscle'!$I:$I,match($A137,'rna-muscle'!$A:$A,0)))</f>
        <v>BRN64M-E2</v>
      </c>
      <c r="C137" t="str">
        <f t="array" ref="C137">iferror(index('rna-muscle'!$L:$L,match($A137,'rna-muscle'!$A:$A,0)))</f>
        <v>N</v>
      </c>
      <c r="D137" t="str">
        <f t="array" ref="D137">iferror(index('rna-gill'!$I:$I,match($A137,'rna-gill'!$A:$A,0)))</f>
        <v>BRN64G-E2</v>
      </c>
      <c r="E137" t="str">
        <f t="array" ref="E137">iferror(index('rna-gill'!$L:$L,match($A137,'rna-gill'!$A:$A,0)))</f>
        <v>N</v>
      </c>
      <c r="F137" t="str">
        <f t="array" ref="F137">iferror(index(fatty_acid!$G:$G,match($A137,fatty_acid!$A:$A,0)))</f>
        <v>BFA21-33</v>
      </c>
      <c r="G137" t="str">
        <f t="array" ref="G137">iferror(index(fatty_acid!$J:$J,match($A137,fatty_acid!$A:$A,0)))</f>
        <v>N</v>
      </c>
      <c r="H137" t="str">
        <f t="array" ref="H137">iferror(index(isotopes!$G:$G,match($A137,isotopes!$A:$A,0)))</f>
        <v>BIS24-36</v>
      </c>
      <c r="I137" t="str">
        <f t="array" ref="I137">iferror(index(isotopes!$J:$J,match($A137,isotopes!$A:$A,0)))</f>
        <v>N</v>
      </c>
      <c r="J137" t="str">
        <f t="array" ref="J137">iferror(index(extra_muscle!$G:$G,match($A137,extra_muscle!$A:$A,0)))</f>
        <v>BXM23-18</v>
      </c>
      <c r="K137" t="str">
        <f t="array" ref="K137">iferror(index(extra_muscle!$J:$J,match($A137,extra_muscle!$A:$A,0)))</f>
        <v>N</v>
      </c>
      <c r="L137" s="59" t="str">
        <f t="array" ref="L137">iferror(index(dna!$G:$G,match($A137,dna!$A:$A,0)))</f>
        <v/>
      </c>
      <c r="M137" s="60" t="str">
        <f t="array" ref="M137">iferror(index(dna!$J:$J,match($A137,dna!$A:$A,0)))</f>
        <v/>
      </c>
      <c r="N137" t="str">
        <f t="array" ref="N137">iferror(index(stomachs!$G:$G,match($A137,stomachs!$A:$A,0)))</f>
        <v>BST235-20</v>
      </c>
      <c r="O137" t="str">
        <f t="array" ref="O137">iferror(index(stomachs!$J:$J,match($A137,stomachs!$A:$A,0)))</f>
        <v>N</v>
      </c>
      <c r="P137" t="str">
        <f t="array" ref="P137">iferror(index(sea_lice!$G:$G,match($A137,sea_lice!$A:$A,0)))</f>
        <v/>
      </c>
      <c r="Q137" t="str">
        <f t="array" ref="Q137">iferror(index(sea_lice!$J:$J,match($A137,sea_lice!$A:$A,0)))</f>
        <v/>
      </c>
      <c r="R137" s="40" t="str">
        <f t="array" ref="R137">iferror(index(dissected_fish!$F:$F,match($A137,dissected_fish!$A:$A,0)))</f>
        <v>BCA100</v>
      </c>
      <c r="S137" s="40" t="str">
        <f t="array" ref="S137">iferror(index(dissected_fish!$K:$K,match($A137,dissected_fish!$A:$A,0)))</f>
        <v>N</v>
      </c>
      <c r="T137" s="61" t="str">
        <f t="array" ref="T137">index(fish_lab_data!O:O,match(A137,fish_lab_data!C:C,0))</f>
        <v>EJ</v>
      </c>
      <c r="U137" s="61">
        <f t="array" ref="U137">if(A137="","",index(fish_lab_data!X:X,match(A137,fish_lab_data!C:C,0)))</f>
        <v>136</v>
      </c>
    </row>
    <row r="138">
      <c r="A138" t="str">
        <f>fish_lab_data!C138</f>
        <v>U5245</v>
      </c>
      <c r="B138" t="str">
        <f t="array" ref="B138">iferror(index('rna-muscle'!$I:$I,match($A138,'rna-muscle'!$A:$A,0)))</f>
        <v>BRN64M-D2</v>
      </c>
      <c r="C138" t="str">
        <f t="array" ref="C138">iferror(index('rna-muscle'!$L:$L,match($A138,'rna-muscle'!$A:$A,0)))</f>
        <v>N</v>
      </c>
      <c r="D138" t="str">
        <f t="array" ref="D138">iferror(index('rna-gill'!$I:$I,match($A138,'rna-gill'!$A:$A,0)))</f>
        <v>BRN64G-D2</v>
      </c>
      <c r="E138" t="str">
        <f t="array" ref="E138">iferror(index('rna-gill'!$L:$L,match($A138,'rna-gill'!$A:$A,0)))</f>
        <v>N</v>
      </c>
      <c r="F138" t="str">
        <f t="array" ref="F138">iferror(index(fatty_acid!$G:$G,match($A138,fatty_acid!$A:$A,0)))</f>
        <v>BFA21-34</v>
      </c>
      <c r="G138" t="str">
        <f t="array" ref="G138">iferror(index(fatty_acid!$J:$J,match($A138,fatty_acid!$A:$A,0)))</f>
        <v>N</v>
      </c>
      <c r="H138" t="str">
        <f t="array" ref="H138">iferror(index(isotopes!$G:$G,match($A138,isotopes!$A:$A,0)))</f>
        <v>BIS24-38</v>
      </c>
      <c r="I138" t="str">
        <f t="array" ref="I138">iferror(index(isotopes!$J:$J,match($A138,isotopes!$A:$A,0)))</f>
        <v>N</v>
      </c>
      <c r="J138" t="str">
        <f t="array" ref="J138">iferror(index(extra_muscle!$G:$G,match($A138,extra_muscle!$A:$A,0)))</f>
        <v>BXM23-19</v>
      </c>
      <c r="K138" t="str">
        <f t="array" ref="K138">iferror(index(extra_muscle!$J:$J,match($A138,extra_muscle!$A:$A,0)))</f>
        <v>N</v>
      </c>
      <c r="L138" s="59" t="str">
        <f t="array" ref="L138">iferror(index(dna!$G:$G,match($A138,dna!$A:$A,0)))</f>
        <v/>
      </c>
      <c r="M138" s="60" t="str">
        <f t="array" ref="M138">iferror(index(dna!$J:$J,match($A138,dna!$A:$A,0)))</f>
        <v/>
      </c>
      <c r="N138" t="str">
        <f t="array" ref="N138">iferror(index(stomachs!$G:$G,match($A138,stomachs!$A:$A,0)))</f>
        <v>BST235-21</v>
      </c>
      <c r="O138" t="str">
        <f t="array" ref="O138">iferror(index(stomachs!$J:$J,match($A138,stomachs!$A:$A,0)))</f>
        <v>N</v>
      </c>
      <c r="P138" t="str">
        <f t="array" ref="P138">iferror(index(sea_lice!$G:$G,match($A138,sea_lice!$A:$A,0)))</f>
        <v/>
      </c>
      <c r="Q138" t="str">
        <f t="array" ref="Q138">iferror(index(sea_lice!$J:$J,match($A138,sea_lice!$A:$A,0)))</f>
        <v/>
      </c>
      <c r="R138" s="40" t="str">
        <f t="array" ref="R138">iferror(index(dissected_fish!$F:$F,match($A138,dissected_fish!$A:$A,0)))</f>
        <v>BCA100</v>
      </c>
      <c r="S138" s="40" t="str">
        <f t="array" ref="S138">iferror(index(dissected_fish!$K:$K,match($A138,dissected_fish!$A:$A,0)))</f>
        <v>N</v>
      </c>
      <c r="T138" s="61" t="str">
        <f t="array" ref="T138">index(fish_lab_data!O:O,match(A138,fish_lab_data!C:C,0))</f>
        <v>EJ</v>
      </c>
      <c r="U138" s="61">
        <f t="array" ref="U138">if(A138="","",index(fish_lab_data!X:X,match(A138,fish_lab_data!C:C,0)))</f>
        <v>137</v>
      </c>
    </row>
    <row r="139">
      <c r="A139" t="str">
        <f>fish_lab_data!C139</f>
        <v>U5246</v>
      </c>
      <c r="B139" t="str">
        <f t="array" ref="B139">iferror(index('rna-muscle'!$I:$I,match($A139,'rna-muscle'!$A:$A,0)))</f>
        <v>BRN64M-C2</v>
      </c>
      <c r="C139" t="str">
        <f t="array" ref="C139">iferror(index('rna-muscle'!$L:$L,match($A139,'rna-muscle'!$A:$A,0)))</f>
        <v>N</v>
      </c>
      <c r="D139" t="str">
        <f t="array" ref="D139">iferror(index('rna-gill'!$I:$I,match($A139,'rna-gill'!$A:$A,0)))</f>
        <v>BRN64G-C2</v>
      </c>
      <c r="E139" t="str">
        <f t="array" ref="E139">iferror(index('rna-gill'!$L:$L,match($A139,'rna-gill'!$A:$A,0)))</f>
        <v>N</v>
      </c>
      <c r="F139" t="str">
        <f t="array" ref="F139">iferror(index(fatty_acid!$G:$G,match($A139,fatty_acid!$A:$A,0)))</f>
        <v>BFA21-35</v>
      </c>
      <c r="G139" t="str">
        <f t="array" ref="G139">iferror(index(fatty_acid!$J:$J,match($A139,fatty_acid!$A:$A,0)))</f>
        <v>N</v>
      </c>
      <c r="H139" t="str">
        <f t="array" ref="H139">iferror(index(isotopes!$G:$G,match($A139,isotopes!$A:$A,0)))</f>
        <v>BIS24-40</v>
      </c>
      <c r="I139" t="str">
        <f t="array" ref="I139">iferror(index(isotopes!$J:$J,match($A139,isotopes!$A:$A,0)))</f>
        <v>N</v>
      </c>
      <c r="J139" t="str">
        <f t="array" ref="J139">iferror(index(extra_muscle!$G:$G,match($A139,extra_muscle!$A:$A,0)))</f>
        <v>BXM23-20</v>
      </c>
      <c r="K139" t="str">
        <f t="array" ref="K139">iferror(index(extra_muscle!$J:$J,match($A139,extra_muscle!$A:$A,0)))</f>
        <v>N</v>
      </c>
      <c r="L139" s="59" t="str">
        <f t="array" ref="L139">iferror(index(dna!$G:$G,match($A139,dna!$A:$A,0)))</f>
        <v/>
      </c>
      <c r="M139" s="60" t="str">
        <f t="array" ref="M139">iferror(index(dna!$J:$J,match($A139,dna!$A:$A,0)))</f>
        <v/>
      </c>
      <c r="N139" t="str">
        <f t="array" ref="N139">iferror(index(stomachs!$G:$G,match($A139,stomachs!$A:$A,0)))</f>
        <v>BST235-22</v>
      </c>
      <c r="O139" t="str">
        <f t="array" ref="O139">iferror(index(stomachs!$J:$J,match($A139,stomachs!$A:$A,0)))</f>
        <v>N</v>
      </c>
      <c r="P139" t="str">
        <f t="array" ref="P139">iferror(index(sea_lice!$G:$G,match($A139,sea_lice!$A:$A,0)))</f>
        <v/>
      </c>
      <c r="Q139" t="str">
        <f t="array" ref="Q139">iferror(index(sea_lice!$J:$J,match($A139,sea_lice!$A:$A,0)))</f>
        <v/>
      </c>
      <c r="R139" s="40" t="str">
        <f t="array" ref="R139">iferror(index(dissected_fish!$F:$F,match($A139,dissected_fish!$A:$A,0)))</f>
        <v>BCA100</v>
      </c>
      <c r="S139" s="40" t="str">
        <f t="array" ref="S139">iferror(index(dissected_fish!$K:$K,match($A139,dissected_fish!$A:$A,0)))</f>
        <v>N</v>
      </c>
      <c r="T139" s="61" t="str">
        <f t="array" ref="T139">index(fish_lab_data!O:O,match(A139,fish_lab_data!C:C,0))</f>
        <v>EJ</v>
      </c>
      <c r="U139" s="61">
        <f t="array" ref="U139">if(A139="","",index(fish_lab_data!X:X,match(A139,fish_lab_data!C:C,0)))</f>
        <v>138</v>
      </c>
    </row>
    <row r="140">
      <c r="A140" t="str">
        <f>fish_lab_data!C140</f>
        <v>U5247</v>
      </c>
      <c r="B140" t="str">
        <f t="array" ref="B140">iferror(index('rna-muscle'!$I:$I,match($A140,'rna-muscle'!$A:$A,0)))</f>
        <v>BRN64M-B2</v>
      </c>
      <c r="C140" t="str">
        <f t="array" ref="C140">iferror(index('rna-muscle'!$L:$L,match($A140,'rna-muscle'!$A:$A,0)))</f>
        <v>N</v>
      </c>
      <c r="D140" t="str">
        <f t="array" ref="D140">iferror(index('rna-gill'!$I:$I,match($A140,'rna-gill'!$A:$A,0)))</f>
        <v>BRN64G-B2</v>
      </c>
      <c r="E140" t="str">
        <f t="array" ref="E140">iferror(index('rna-gill'!$L:$L,match($A140,'rna-gill'!$A:$A,0)))</f>
        <v>N</v>
      </c>
      <c r="F140" t="str">
        <f t="array" ref="F140">iferror(index(fatty_acid!$G:$G,match($A140,fatty_acid!$A:$A,0)))</f>
        <v>BFA21-37</v>
      </c>
      <c r="G140" t="str">
        <f t="array" ref="G140">iferror(index(fatty_acid!$J:$J,match($A140,fatty_acid!$A:$A,0)))</f>
        <v>N</v>
      </c>
      <c r="H140" t="str">
        <f t="array" ref="H140">iferror(index(isotopes!$G:$G,match($A140,isotopes!$A:$A,0)))</f>
        <v>BIS24-41</v>
      </c>
      <c r="I140" t="str">
        <f t="array" ref="I140">iferror(index(isotopes!$J:$J,match($A140,isotopes!$A:$A,0)))</f>
        <v>N</v>
      </c>
      <c r="J140" t="str">
        <f t="array" ref="J140">iferror(index(extra_muscle!$G:$G,match($A140,extra_muscle!$A:$A,0)))</f>
        <v>BXM23-21</v>
      </c>
      <c r="K140" t="str">
        <f t="array" ref="K140">iferror(index(extra_muscle!$J:$J,match($A140,extra_muscle!$A:$A,0)))</f>
        <v>N</v>
      </c>
      <c r="L140" s="59" t="str">
        <f t="array" ref="L140">iferror(index(dna!$G:$G,match($A140,dna!$A:$A,0)))</f>
        <v/>
      </c>
      <c r="M140" s="60" t="str">
        <f t="array" ref="M140">iferror(index(dna!$J:$J,match($A140,dna!$A:$A,0)))</f>
        <v/>
      </c>
      <c r="N140" t="str">
        <f t="array" ref="N140">iferror(index(stomachs!$G:$G,match($A140,stomachs!$A:$A,0)))</f>
        <v>BST235-23</v>
      </c>
      <c r="O140" t="str">
        <f t="array" ref="O140">iferror(index(stomachs!$J:$J,match($A140,stomachs!$A:$A,0)))</f>
        <v>N</v>
      </c>
      <c r="P140" t="str">
        <f t="array" ref="P140">iferror(index(sea_lice!$G:$G,match($A140,sea_lice!$A:$A,0)))</f>
        <v/>
      </c>
      <c r="Q140" t="str">
        <f t="array" ref="Q140">iferror(index(sea_lice!$J:$J,match($A140,sea_lice!$A:$A,0)))</f>
        <v/>
      </c>
      <c r="R140" s="40" t="str">
        <f t="array" ref="R140">iferror(index(dissected_fish!$F:$F,match($A140,dissected_fish!$A:$A,0)))</f>
        <v>BCA100</v>
      </c>
      <c r="S140" s="40" t="str">
        <f t="array" ref="S140">iferror(index(dissected_fish!$K:$K,match($A140,dissected_fish!$A:$A,0)))</f>
        <v>N</v>
      </c>
      <c r="T140" s="61" t="str">
        <f t="array" ref="T140">index(fish_lab_data!O:O,match(A140,fish_lab_data!C:C,0))</f>
        <v>EJ</v>
      </c>
      <c r="U140" s="61">
        <f t="array" ref="U140">if(A140="","",index(fish_lab_data!X:X,match(A140,fish_lab_data!C:C,0)))</f>
        <v>139</v>
      </c>
    </row>
    <row r="141">
      <c r="A141" t="str">
        <f>fish_lab_data!C141</f>
        <v>U5248</v>
      </c>
      <c r="B141" t="str">
        <f t="array" ref="B141">iferror(index('rna-muscle'!$I:$I,match($A141,'rna-muscle'!$A:$A,0)))</f>
        <v>BRN64M-A2</v>
      </c>
      <c r="C141" t="str">
        <f t="array" ref="C141">iferror(index('rna-muscle'!$L:$L,match($A141,'rna-muscle'!$A:$A,0)))</f>
        <v>N</v>
      </c>
      <c r="D141" t="str">
        <f t="array" ref="D141">iferror(index('rna-gill'!$I:$I,match($A141,'rna-gill'!$A:$A,0)))</f>
        <v>BRN64G-A2</v>
      </c>
      <c r="E141" t="str">
        <f t="array" ref="E141">iferror(index('rna-gill'!$L:$L,match($A141,'rna-gill'!$A:$A,0)))</f>
        <v>N</v>
      </c>
      <c r="F141" t="str">
        <f t="array" ref="F141">iferror(index(fatty_acid!$G:$G,match($A141,fatty_acid!$A:$A,0)))</f>
        <v>BFA21-38</v>
      </c>
      <c r="G141" t="str">
        <f t="array" ref="G141">iferror(index(fatty_acid!$J:$J,match($A141,fatty_acid!$A:$A,0)))</f>
        <v>N</v>
      </c>
      <c r="H141" t="str">
        <f t="array" ref="H141">iferror(index(isotopes!$G:$G,match($A141,isotopes!$A:$A,0)))</f>
        <v>BIS24-43</v>
      </c>
      <c r="I141" t="str">
        <f t="array" ref="I141">iferror(index(isotopes!$J:$J,match($A141,isotopes!$A:$A,0)))</f>
        <v>N</v>
      </c>
      <c r="J141" t="str">
        <f t="array" ref="J141">iferror(index(extra_muscle!$G:$G,match($A141,extra_muscle!$A:$A,0)))</f>
        <v>BXM23-22</v>
      </c>
      <c r="K141" t="str">
        <f t="array" ref="K141">iferror(index(extra_muscle!$J:$J,match($A141,extra_muscle!$A:$A,0)))</f>
        <v>N</v>
      </c>
      <c r="L141" s="59" t="str">
        <f t="array" ref="L141">iferror(index(dna!$G:$G,match($A141,dna!$A:$A,0)))</f>
        <v/>
      </c>
      <c r="M141" s="60" t="str">
        <f t="array" ref="M141">iferror(index(dna!$J:$J,match($A141,dna!$A:$A,0)))</f>
        <v/>
      </c>
      <c r="N141" t="str">
        <f t="array" ref="N141">iferror(index(stomachs!$G:$G,match($A141,stomachs!$A:$A,0)))</f>
        <v>BST235-24</v>
      </c>
      <c r="O141" t="str">
        <f t="array" ref="O141">iferror(index(stomachs!$J:$J,match($A141,stomachs!$A:$A,0)))</f>
        <v>N</v>
      </c>
      <c r="P141" t="str">
        <f t="array" ref="P141">iferror(index(sea_lice!$G:$G,match($A141,sea_lice!$A:$A,0)))</f>
        <v/>
      </c>
      <c r="Q141" t="str">
        <f t="array" ref="Q141">iferror(index(sea_lice!$J:$J,match($A141,sea_lice!$A:$A,0)))</f>
        <v/>
      </c>
      <c r="R141" s="40" t="str">
        <f t="array" ref="R141">iferror(index(dissected_fish!$F:$F,match($A141,dissected_fish!$A:$A,0)))</f>
        <v>BCA100</v>
      </c>
      <c r="S141" s="40" t="str">
        <f t="array" ref="S141">iferror(index(dissected_fish!$K:$K,match($A141,dissected_fish!$A:$A,0)))</f>
        <v>N</v>
      </c>
      <c r="T141" s="61" t="str">
        <f t="array" ref="T141">index(fish_lab_data!O:O,match(A141,fish_lab_data!C:C,0))</f>
        <v>EJ</v>
      </c>
      <c r="U141" s="61">
        <f t="array" ref="U141">if(A141="","",index(fish_lab_data!X:X,match(A141,fish_lab_data!C:C,0)))</f>
        <v>140</v>
      </c>
    </row>
    <row r="142">
      <c r="A142" t="str">
        <f>fish_lab_data!C142</f>
        <v>U5249</v>
      </c>
      <c r="B142" t="str">
        <f t="array" ref="B142">iferror(index('rna-muscle'!$I:$I,match($A142,'rna-muscle'!$A:$A,0)))</f>
        <v>BRN64M-H4</v>
      </c>
      <c r="C142" t="str">
        <f t="array" ref="C142">iferror(index('rna-muscle'!$L:$L,match($A142,'rna-muscle'!$A:$A,0)))</f>
        <v>N</v>
      </c>
      <c r="D142" t="str">
        <f t="array" ref="D142">iferror(index('rna-gill'!$I:$I,match($A142,'rna-gill'!$A:$A,0)))</f>
        <v>BRN64G-H4</v>
      </c>
      <c r="E142" t="str">
        <f t="array" ref="E142">iferror(index('rna-gill'!$L:$L,match($A142,'rna-gill'!$A:$A,0)))</f>
        <v>N</v>
      </c>
      <c r="F142" t="str">
        <f t="array" ref="F142">iferror(index(fatty_acid!$G:$G,match($A142,fatty_acid!$A:$A,0)))</f>
        <v>BFA21-39</v>
      </c>
      <c r="G142" t="str">
        <f t="array" ref="G142">iferror(index(fatty_acid!$J:$J,match($A142,fatty_acid!$A:$A,0)))</f>
        <v>N</v>
      </c>
      <c r="H142" t="str">
        <f t="array" ref="H142">iferror(index(isotopes!$G:$G,match($A142,isotopes!$A:$A,0)))</f>
        <v>BIS24-45</v>
      </c>
      <c r="I142" t="str">
        <f t="array" ref="I142">iferror(index(isotopes!$J:$J,match($A142,isotopes!$A:$A,0)))</f>
        <v>N</v>
      </c>
      <c r="J142" t="str">
        <f t="array" ref="J142">iferror(index(extra_muscle!$G:$G,match($A142,extra_muscle!$A:$A,0)))</f>
        <v>BXM23-23</v>
      </c>
      <c r="K142" t="str">
        <f t="array" ref="K142">iferror(index(extra_muscle!$J:$J,match($A142,extra_muscle!$A:$A,0)))</f>
        <v>N</v>
      </c>
      <c r="L142" s="59" t="str">
        <f t="array" ref="L142">iferror(index(dna!$G:$G,match($A142,dna!$A:$A,0)))</f>
        <v/>
      </c>
      <c r="M142" s="60" t="str">
        <f t="array" ref="M142">iferror(index(dna!$J:$J,match($A142,dna!$A:$A,0)))</f>
        <v/>
      </c>
      <c r="N142" t="str">
        <f t="array" ref="N142">iferror(index(stomachs!$G:$G,match($A142,stomachs!$A:$A,0)))</f>
        <v>BST235-25</v>
      </c>
      <c r="O142" t="str">
        <f t="array" ref="O142">iferror(index(stomachs!$J:$J,match($A142,stomachs!$A:$A,0)))</f>
        <v>N</v>
      </c>
      <c r="P142" t="str">
        <f t="array" ref="P142">iferror(index(sea_lice!$G:$G,match($A142,sea_lice!$A:$A,0)))</f>
        <v/>
      </c>
      <c r="Q142" t="str">
        <f t="array" ref="Q142">iferror(index(sea_lice!$J:$J,match($A142,sea_lice!$A:$A,0)))</f>
        <v/>
      </c>
      <c r="R142" s="40" t="str">
        <f t="array" ref="R142">iferror(index(dissected_fish!$F:$F,match($A142,dissected_fish!$A:$A,0)))</f>
        <v>BCA100</v>
      </c>
      <c r="S142" s="40" t="str">
        <f t="array" ref="S142">iferror(index(dissected_fish!$K:$K,match($A142,dissected_fish!$A:$A,0)))</f>
        <v>N</v>
      </c>
      <c r="T142" s="61" t="str">
        <f t="array" ref="T142">index(fish_lab_data!O:O,match(A142,fish_lab_data!C:C,0))</f>
        <v>EJ</v>
      </c>
      <c r="U142" s="61">
        <f t="array" ref="U142">if(A142="","",index(fish_lab_data!X:X,match(A142,fish_lab_data!C:C,0)))</f>
        <v>141</v>
      </c>
    </row>
    <row r="143">
      <c r="A143" t="str">
        <f>fish_lab_data!C143</f>
        <v>U5250</v>
      </c>
      <c r="B143" t="str">
        <f t="array" ref="B143">iferror(index('rna-muscle'!$I:$I,match($A143,'rna-muscle'!$A:$A,0)))</f>
        <v>BRN64M-G4</v>
      </c>
      <c r="C143" t="str">
        <f t="array" ref="C143">iferror(index('rna-muscle'!$L:$L,match($A143,'rna-muscle'!$A:$A,0)))</f>
        <v>N</v>
      </c>
      <c r="D143" t="str">
        <f t="array" ref="D143">iferror(index('rna-gill'!$I:$I,match($A143,'rna-gill'!$A:$A,0)))</f>
        <v>BRN64G-G4</v>
      </c>
      <c r="E143" t="str">
        <f t="array" ref="E143">iferror(index('rna-gill'!$L:$L,match($A143,'rna-gill'!$A:$A,0)))</f>
        <v>N</v>
      </c>
      <c r="F143" t="str">
        <f t="array" ref="F143">iferror(index(fatty_acid!$G:$G,match($A143,fatty_acid!$A:$A,0)))</f>
        <v>BFA21-40</v>
      </c>
      <c r="G143" t="str">
        <f t="array" ref="G143">iferror(index(fatty_acid!$J:$J,match($A143,fatty_acid!$A:$A,0)))</f>
        <v>N</v>
      </c>
      <c r="H143" t="str">
        <f t="array" ref="H143">iferror(index(isotopes!$G:$G,match($A143,isotopes!$A:$A,0)))</f>
        <v>BIS24-47</v>
      </c>
      <c r="I143" t="str">
        <f t="array" ref="I143">iferror(index(isotopes!$J:$J,match($A143,isotopes!$A:$A,0)))</f>
        <v>N</v>
      </c>
      <c r="J143" t="str">
        <f t="array" ref="J143">iferror(index(extra_muscle!$G:$G,match($A143,extra_muscle!$A:$A,0)))</f>
        <v>BXM23-24</v>
      </c>
      <c r="K143" t="str">
        <f t="array" ref="K143">iferror(index(extra_muscle!$J:$J,match($A143,extra_muscle!$A:$A,0)))</f>
        <v>N</v>
      </c>
      <c r="L143" s="59" t="str">
        <f t="array" ref="L143">iferror(index(dna!$G:$G,match($A143,dna!$A:$A,0)))</f>
        <v/>
      </c>
      <c r="M143" s="60" t="str">
        <f t="array" ref="M143">iferror(index(dna!$J:$J,match($A143,dna!$A:$A,0)))</f>
        <v/>
      </c>
      <c r="N143" t="str">
        <f t="array" ref="N143">iferror(index(stomachs!$G:$G,match($A143,stomachs!$A:$A,0)))</f>
        <v>BST237-1</v>
      </c>
      <c r="O143" t="str">
        <f t="array" ref="O143">iferror(index(stomachs!$J:$J,match($A143,stomachs!$A:$A,0)))</f>
        <v>N</v>
      </c>
      <c r="P143" t="str">
        <f t="array" ref="P143">iferror(index(sea_lice!$G:$G,match($A143,sea_lice!$A:$A,0)))</f>
        <v/>
      </c>
      <c r="Q143" t="str">
        <f t="array" ref="Q143">iferror(index(sea_lice!$J:$J,match($A143,sea_lice!$A:$A,0)))</f>
        <v/>
      </c>
      <c r="R143" s="40" t="str">
        <f t="array" ref="R143">iferror(index(dissected_fish!$F:$F,match($A143,dissected_fish!$A:$A,0)))</f>
        <v>BCA100</v>
      </c>
      <c r="S143" s="40" t="str">
        <f t="array" ref="S143">iferror(index(dissected_fish!$K:$K,match($A143,dissected_fish!$A:$A,0)))</f>
        <v>N</v>
      </c>
      <c r="T143" s="61" t="str">
        <f t="array" ref="T143">index(fish_lab_data!O:O,match(A143,fish_lab_data!C:C,0))</f>
        <v>EJ</v>
      </c>
      <c r="U143" s="61">
        <f t="array" ref="U143">if(A143="","",index(fish_lab_data!X:X,match(A143,fish_lab_data!C:C,0)))</f>
        <v>142</v>
      </c>
    </row>
    <row r="144">
      <c r="A144" t="str">
        <f>fish_lab_data!C144</f>
        <v>U5251</v>
      </c>
      <c r="B144" t="str">
        <f t="array" ref="B144">iferror(index('rna-muscle'!$I:$I,match($A144,'rna-muscle'!$A:$A,0)))</f>
        <v>BRN64M-F4</v>
      </c>
      <c r="C144" t="str">
        <f t="array" ref="C144">iferror(index('rna-muscle'!$L:$L,match($A144,'rna-muscle'!$A:$A,0)))</f>
        <v>N</v>
      </c>
      <c r="D144" t="str">
        <f t="array" ref="D144">iferror(index('rna-gill'!$I:$I,match($A144,'rna-gill'!$A:$A,0)))</f>
        <v>BRN64G-F4</v>
      </c>
      <c r="E144" t="str">
        <f t="array" ref="E144">iferror(index('rna-gill'!$L:$L,match($A144,'rna-gill'!$A:$A,0)))</f>
        <v>N</v>
      </c>
      <c r="F144" t="str">
        <f t="array" ref="F144">iferror(index(fatty_acid!$G:$G,match($A144,fatty_acid!$A:$A,0)))</f>
        <v>BFA21-41</v>
      </c>
      <c r="G144" t="str">
        <f t="array" ref="G144">iferror(index(fatty_acid!$J:$J,match($A144,fatty_acid!$A:$A,0)))</f>
        <v>N</v>
      </c>
      <c r="H144" t="str">
        <f t="array" ref="H144">iferror(index(isotopes!$G:$G,match($A144,isotopes!$A:$A,0)))</f>
        <v>BIS24-49</v>
      </c>
      <c r="I144" t="str">
        <f t="array" ref="I144">iferror(index(isotopes!$J:$J,match($A144,isotopes!$A:$A,0)))</f>
        <v>N</v>
      </c>
      <c r="J144" t="str">
        <f t="array" ref="J144">iferror(index(extra_muscle!$G:$G,match($A144,extra_muscle!$A:$A,0)))</f>
        <v>BXM23-25</v>
      </c>
      <c r="K144" t="str">
        <f t="array" ref="K144">iferror(index(extra_muscle!$J:$J,match($A144,extra_muscle!$A:$A,0)))</f>
        <v>N</v>
      </c>
      <c r="L144" s="59" t="str">
        <f t="array" ref="L144">iferror(index(dna!$G:$G,match($A144,dna!$A:$A,0)))</f>
        <v/>
      </c>
      <c r="M144" s="60" t="str">
        <f t="array" ref="M144">iferror(index(dna!$J:$J,match($A144,dna!$A:$A,0)))</f>
        <v/>
      </c>
      <c r="N144" t="str">
        <f t="array" ref="N144">iferror(index(stomachs!$G:$G,match($A144,stomachs!$A:$A,0)))</f>
        <v>BST237-2</v>
      </c>
      <c r="O144" t="str">
        <f t="array" ref="O144">iferror(index(stomachs!$J:$J,match($A144,stomachs!$A:$A,0)))</f>
        <v>N</v>
      </c>
      <c r="P144" t="str">
        <f t="array" ref="P144">iferror(index(sea_lice!$G:$G,match($A144,sea_lice!$A:$A,0)))</f>
        <v/>
      </c>
      <c r="Q144" t="str">
        <f t="array" ref="Q144">iferror(index(sea_lice!$J:$J,match($A144,sea_lice!$A:$A,0)))</f>
        <v/>
      </c>
      <c r="R144" s="40" t="str">
        <f t="array" ref="R144">iferror(index(dissected_fish!$F:$F,match($A144,dissected_fish!$A:$A,0)))</f>
        <v>BCA100</v>
      </c>
      <c r="S144" s="40" t="str">
        <f t="array" ref="S144">iferror(index(dissected_fish!$K:$K,match($A144,dissected_fish!$A:$A,0)))</f>
        <v>N</v>
      </c>
      <c r="T144" s="61" t="str">
        <f t="array" ref="T144">index(fish_lab_data!O:O,match(A144,fish_lab_data!C:C,0))</f>
        <v>EJ</v>
      </c>
      <c r="U144" s="61">
        <f t="array" ref="U144">if(A144="","",index(fish_lab_data!X:X,match(A144,fish_lab_data!C:C,0)))</f>
        <v>143</v>
      </c>
    </row>
    <row r="145">
      <c r="A145" t="str">
        <f>fish_lab_data!C145</f>
        <v>U5252</v>
      </c>
      <c r="B145" t="str">
        <f t="array" ref="B145">iferror(index('rna-muscle'!$I:$I,match($A145,'rna-muscle'!$A:$A,0)))</f>
        <v>BRN64M-E4</v>
      </c>
      <c r="C145" t="str">
        <f t="array" ref="C145">iferror(index('rna-muscle'!$L:$L,match($A145,'rna-muscle'!$A:$A,0)))</f>
        <v>N</v>
      </c>
      <c r="D145" t="str">
        <f t="array" ref="D145">iferror(index('rna-gill'!$I:$I,match($A145,'rna-gill'!$A:$A,0)))</f>
        <v>BRN64G-E4</v>
      </c>
      <c r="E145" t="str">
        <f t="array" ref="E145">iferror(index('rna-gill'!$L:$L,match($A145,'rna-gill'!$A:$A,0)))</f>
        <v>N</v>
      </c>
      <c r="F145" t="str">
        <f t="array" ref="F145">iferror(index(fatty_acid!$G:$G,match($A145,fatty_acid!$A:$A,0)))</f>
        <v>BFA21-42</v>
      </c>
      <c r="G145" t="str">
        <f t="array" ref="G145">iferror(index(fatty_acid!$J:$J,match($A145,fatty_acid!$A:$A,0)))</f>
        <v>N</v>
      </c>
      <c r="H145" t="str">
        <f t="array" ref="H145">iferror(index(isotopes!$G:$G,match($A145,isotopes!$A:$A,0)))</f>
        <v>BIS24-52</v>
      </c>
      <c r="I145" t="str">
        <f t="array" ref="I145">iferror(index(isotopes!$J:$J,match($A145,isotopes!$A:$A,0)))</f>
        <v>N</v>
      </c>
      <c r="J145" t="str">
        <f t="array" ref="J145">iferror(index(extra_muscle!$G:$G,match($A145,extra_muscle!$A:$A,0)))</f>
        <v>BXM23-27</v>
      </c>
      <c r="K145" t="str">
        <f t="array" ref="K145">iferror(index(extra_muscle!$J:$J,match($A145,extra_muscle!$A:$A,0)))</f>
        <v>N</v>
      </c>
      <c r="L145" s="59" t="str">
        <f t="array" ref="L145">iferror(index(dna!$G:$G,match($A145,dna!$A:$A,0)))</f>
        <v/>
      </c>
      <c r="M145" s="60" t="str">
        <f t="array" ref="M145">iferror(index(dna!$J:$J,match($A145,dna!$A:$A,0)))</f>
        <v/>
      </c>
      <c r="N145" t="str">
        <f t="array" ref="N145">iferror(index(stomachs!$G:$G,match($A145,stomachs!$A:$A,0)))</f>
        <v>BST237-3</v>
      </c>
      <c r="O145" t="str">
        <f t="array" ref="O145">iferror(index(stomachs!$J:$J,match($A145,stomachs!$A:$A,0)))</f>
        <v>N</v>
      </c>
      <c r="P145" t="str">
        <f t="array" ref="P145">iferror(index(sea_lice!$G:$G,match($A145,sea_lice!$A:$A,0)))</f>
        <v/>
      </c>
      <c r="Q145" t="str">
        <f t="array" ref="Q145">iferror(index(sea_lice!$J:$J,match($A145,sea_lice!$A:$A,0)))</f>
        <v/>
      </c>
      <c r="R145" s="40" t="str">
        <f t="array" ref="R145">iferror(index(dissected_fish!$F:$F,match($A145,dissected_fish!$A:$A,0)))</f>
        <v>BCA100</v>
      </c>
      <c r="S145" s="40" t="str">
        <f t="array" ref="S145">iferror(index(dissected_fish!$K:$K,match($A145,dissected_fish!$A:$A,0)))</f>
        <v>N</v>
      </c>
      <c r="T145" s="61" t="str">
        <f t="array" ref="T145">index(fish_lab_data!O:O,match(A145,fish_lab_data!C:C,0))</f>
        <v>EJ</v>
      </c>
      <c r="U145" s="61">
        <f t="array" ref="U145">if(A145="","",index(fish_lab_data!X:X,match(A145,fish_lab_data!C:C,0)))</f>
        <v>144</v>
      </c>
    </row>
    <row r="146">
      <c r="A146" t="str">
        <f>fish_lab_data!C146</f>
        <v>U5253</v>
      </c>
      <c r="B146" t="str">
        <f t="array" ref="B146">iferror(index('rna-muscle'!$I:$I,match($A146,'rna-muscle'!$A:$A,0)))</f>
        <v>BRN64M-D4</v>
      </c>
      <c r="C146" t="str">
        <f t="array" ref="C146">iferror(index('rna-muscle'!$L:$L,match($A146,'rna-muscle'!$A:$A,0)))</f>
        <v>N</v>
      </c>
      <c r="D146" t="str">
        <f t="array" ref="D146">iferror(index('rna-gill'!$I:$I,match($A146,'rna-gill'!$A:$A,0)))</f>
        <v>BRN64G-D4</v>
      </c>
      <c r="E146" t="str">
        <f t="array" ref="E146">iferror(index('rna-gill'!$L:$L,match($A146,'rna-gill'!$A:$A,0)))</f>
        <v>N</v>
      </c>
      <c r="F146" t="str">
        <f t="array" ref="F146">iferror(index(fatty_acid!$G:$G,match($A146,fatty_acid!$A:$A,0)))</f>
        <v>BFA21-43</v>
      </c>
      <c r="G146" t="str">
        <f t="array" ref="G146">iferror(index(fatty_acid!$J:$J,match($A146,fatty_acid!$A:$A,0)))</f>
        <v>N</v>
      </c>
      <c r="H146" t="str">
        <f t="array" ref="H146">iferror(index(isotopes!$G:$G,match($A146,isotopes!$A:$A,0)))</f>
        <v>BIS24-54</v>
      </c>
      <c r="I146" t="str">
        <f t="array" ref="I146">iferror(index(isotopes!$J:$J,match($A146,isotopes!$A:$A,0)))</f>
        <v>N</v>
      </c>
      <c r="J146" t="str">
        <f t="array" ref="J146">iferror(index(extra_muscle!$G:$G,match($A146,extra_muscle!$A:$A,0)))</f>
        <v>BXM23-28</v>
      </c>
      <c r="K146" t="str">
        <f t="array" ref="K146">iferror(index(extra_muscle!$J:$J,match($A146,extra_muscle!$A:$A,0)))</f>
        <v>N</v>
      </c>
      <c r="L146" s="59" t="str">
        <f t="array" ref="L146">iferror(index(dna!$G:$G,match($A146,dna!$A:$A,0)))</f>
        <v/>
      </c>
      <c r="M146" s="60" t="str">
        <f t="array" ref="M146">iferror(index(dna!$J:$J,match($A146,dna!$A:$A,0)))</f>
        <v/>
      </c>
      <c r="N146" t="str">
        <f t="array" ref="N146">iferror(index(stomachs!$G:$G,match($A146,stomachs!$A:$A,0)))</f>
        <v>BST237-4</v>
      </c>
      <c r="O146" t="str">
        <f t="array" ref="O146">iferror(index(stomachs!$J:$J,match($A146,stomachs!$A:$A,0)))</f>
        <v>N</v>
      </c>
      <c r="P146" t="str">
        <f t="array" ref="P146">iferror(index(sea_lice!$G:$G,match($A146,sea_lice!$A:$A,0)))</f>
        <v/>
      </c>
      <c r="Q146" t="str">
        <f t="array" ref="Q146">iferror(index(sea_lice!$J:$J,match($A146,sea_lice!$A:$A,0)))</f>
        <v/>
      </c>
      <c r="R146" s="40" t="str">
        <f t="array" ref="R146">iferror(index(dissected_fish!$F:$F,match($A146,dissected_fish!$A:$A,0)))</f>
        <v>BCA100</v>
      </c>
      <c r="S146" s="40" t="str">
        <f t="array" ref="S146">iferror(index(dissected_fish!$K:$K,match($A146,dissected_fish!$A:$A,0)))</f>
        <v>N</v>
      </c>
      <c r="T146" s="61" t="str">
        <f t="array" ref="T146">index(fish_lab_data!O:O,match(A146,fish_lab_data!C:C,0))</f>
        <v>EJ</v>
      </c>
      <c r="U146" s="61">
        <f t="array" ref="U146">if(A146="","",index(fish_lab_data!X:X,match(A146,fish_lab_data!C:C,0)))</f>
        <v>145</v>
      </c>
    </row>
    <row r="147">
      <c r="A147" t="str">
        <f>fish_lab_data!C147</f>
        <v>U5254</v>
      </c>
      <c r="B147" t="str">
        <f t="array" ref="B147">iferror(index('rna-muscle'!$I:$I,match($A147,'rna-muscle'!$A:$A,0)))</f>
        <v>BRN64M-C4</v>
      </c>
      <c r="C147" t="str">
        <f t="array" ref="C147">iferror(index('rna-muscle'!$L:$L,match($A147,'rna-muscle'!$A:$A,0)))</f>
        <v>N</v>
      </c>
      <c r="D147" t="str">
        <f t="array" ref="D147">iferror(index('rna-gill'!$I:$I,match($A147,'rna-gill'!$A:$A,0)))</f>
        <v>BRN64G-C4</v>
      </c>
      <c r="E147" t="str">
        <f t="array" ref="E147">iferror(index('rna-gill'!$L:$L,match($A147,'rna-gill'!$A:$A,0)))</f>
        <v>N</v>
      </c>
      <c r="F147" t="str">
        <f t="array" ref="F147">iferror(index(fatty_acid!$G:$G,match($A147,fatty_acid!$A:$A,0)))</f>
        <v>BFA21-44</v>
      </c>
      <c r="G147" t="str">
        <f t="array" ref="G147">iferror(index(fatty_acid!$J:$J,match($A147,fatty_acid!$A:$A,0)))</f>
        <v>N</v>
      </c>
      <c r="H147" t="str">
        <f t="array" ref="H147">iferror(index(isotopes!$G:$G,match($A147,isotopes!$A:$A,0)))</f>
        <v>BIS24-56</v>
      </c>
      <c r="I147" t="str">
        <f t="array" ref="I147">iferror(index(isotopes!$J:$J,match($A147,isotopes!$A:$A,0)))</f>
        <v>N</v>
      </c>
      <c r="J147" t="str">
        <f t="array" ref="J147">iferror(index(extra_muscle!$G:$G,match($A147,extra_muscle!$A:$A,0)))</f>
        <v>BXM23-29</v>
      </c>
      <c r="K147" t="str">
        <f t="array" ref="K147">iferror(index(extra_muscle!$J:$J,match($A147,extra_muscle!$A:$A,0)))</f>
        <v>N</v>
      </c>
      <c r="L147" s="59" t="str">
        <f t="array" ref="L147">iferror(index(dna!$G:$G,match($A147,dna!$A:$A,0)))</f>
        <v/>
      </c>
      <c r="M147" s="60" t="str">
        <f t="array" ref="M147">iferror(index(dna!$J:$J,match($A147,dna!$A:$A,0)))</f>
        <v/>
      </c>
      <c r="N147" t="str">
        <f t="array" ref="N147">iferror(index(stomachs!$G:$G,match($A147,stomachs!$A:$A,0)))</f>
        <v>BST237-5</v>
      </c>
      <c r="O147" t="str">
        <f t="array" ref="O147">iferror(index(stomachs!$J:$J,match($A147,stomachs!$A:$A,0)))</f>
        <v>N</v>
      </c>
      <c r="P147" t="str">
        <f t="array" ref="P147">iferror(index(sea_lice!$G:$G,match($A147,sea_lice!$A:$A,0)))</f>
        <v/>
      </c>
      <c r="Q147" t="str">
        <f t="array" ref="Q147">iferror(index(sea_lice!$J:$J,match($A147,sea_lice!$A:$A,0)))</f>
        <v/>
      </c>
      <c r="R147" s="40" t="str">
        <f t="array" ref="R147">iferror(index(dissected_fish!$F:$F,match($A147,dissected_fish!$A:$A,0)))</f>
        <v>BCA100</v>
      </c>
      <c r="S147" s="40" t="str">
        <f t="array" ref="S147">iferror(index(dissected_fish!$K:$K,match($A147,dissected_fish!$A:$A,0)))</f>
        <v>N</v>
      </c>
      <c r="T147" s="61" t="str">
        <f t="array" ref="T147">index(fish_lab_data!O:O,match(A147,fish_lab_data!C:C,0))</f>
        <v>EJ</v>
      </c>
      <c r="U147" s="61">
        <f t="array" ref="U147">if(A147="","",index(fish_lab_data!X:X,match(A147,fish_lab_data!C:C,0)))</f>
        <v>146</v>
      </c>
    </row>
    <row r="148">
      <c r="A148" t="str">
        <f>fish_lab_data!C148</f>
        <v>U5255</v>
      </c>
      <c r="B148" t="str">
        <f t="array" ref="B148">iferror(index('rna-muscle'!$I:$I,match($A148,'rna-muscle'!$A:$A,0)))</f>
        <v>BRN64M-B4</v>
      </c>
      <c r="C148" t="str">
        <f t="array" ref="C148">iferror(index('rna-muscle'!$L:$L,match($A148,'rna-muscle'!$A:$A,0)))</f>
        <v>N</v>
      </c>
      <c r="D148" t="str">
        <f t="array" ref="D148">iferror(index('rna-gill'!$I:$I,match($A148,'rna-gill'!$A:$A,0)))</f>
        <v>BRN64G-B4</v>
      </c>
      <c r="E148" t="str">
        <f t="array" ref="E148">iferror(index('rna-gill'!$L:$L,match($A148,'rna-gill'!$A:$A,0)))</f>
        <v>N</v>
      </c>
      <c r="F148" t="str">
        <f t="array" ref="F148">iferror(index(fatty_acid!$G:$G,match($A148,fatty_acid!$A:$A,0)))</f>
        <v>BFA21-45</v>
      </c>
      <c r="G148" t="str">
        <f t="array" ref="G148">iferror(index(fatty_acid!$J:$J,match($A148,fatty_acid!$A:$A,0)))</f>
        <v>N</v>
      </c>
      <c r="H148" t="str">
        <f t="array" ref="H148">iferror(index(isotopes!$G:$G,match($A148,isotopes!$A:$A,0)))</f>
        <v>BIS24-58</v>
      </c>
      <c r="I148" t="str">
        <f t="array" ref="I148">iferror(index(isotopes!$J:$J,match($A148,isotopes!$A:$A,0)))</f>
        <v>N</v>
      </c>
      <c r="J148" t="str">
        <f t="array" ref="J148">iferror(index(extra_muscle!$G:$G,match($A148,extra_muscle!$A:$A,0)))</f>
        <v>BXM23-30</v>
      </c>
      <c r="K148" t="str">
        <f t="array" ref="K148">iferror(index(extra_muscle!$J:$J,match($A148,extra_muscle!$A:$A,0)))</f>
        <v>N</v>
      </c>
      <c r="L148" s="59" t="str">
        <f t="array" ref="L148">iferror(index(dna!$G:$G,match($A148,dna!$A:$A,0)))</f>
        <v/>
      </c>
      <c r="M148" s="60" t="str">
        <f t="array" ref="M148">iferror(index(dna!$J:$J,match($A148,dna!$A:$A,0)))</f>
        <v/>
      </c>
      <c r="N148" t="str">
        <f t="array" ref="N148">iferror(index(stomachs!$G:$G,match($A148,stomachs!$A:$A,0)))</f>
        <v>BST237-6</v>
      </c>
      <c r="O148" t="str">
        <f t="array" ref="O148">iferror(index(stomachs!$J:$J,match($A148,stomachs!$A:$A,0)))</f>
        <v>N</v>
      </c>
      <c r="P148" t="str">
        <f t="array" ref="P148">iferror(index(sea_lice!$G:$G,match($A148,sea_lice!$A:$A,0)))</f>
        <v/>
      </c>
      <c r="Q148" t="str">
        <f t="array" ref="Q148">iferror(index(sea_lice!$J:$J,match($A148,sea_lice!$A:$A,0)))</f>
        <v/>
      </c>
      <c r="R148" s="40" t="str">
        <f t="array" ref="R148">iferror(index(dissected_fish!$F:$F,match($A148,dissected_fish!$A:$A,0)))</f>
        <v>BCA100</v>
      </c>
      <c r="S148" s="40" t="str">
        <f t="array" ref="S148">iferror(index(dissected_fish!$K:$K,match($A148,dissected_fish!$A:$A,0)))</f>
        <v>N</v>
      </c>
      <c r="T148" s="61" t="str">
        <f t="array" ref="T148">index(fish_lab_data!O:O,match(A148,fish_lab_data!C:C,0))</f>
        <v>EJ</v>
      </c>
      <c r="U148" s="61">
        <f t="array" ref="U148">if(A148="","",index(fish_lab_data!X:X,match(A148,fish_lab_data!C:C,0)))</f>
        <v>147</v>
      </c>
    </row>
    <row r="149">
      <c r="A149" t="str">
        <f>fish_lab_data!C149</f>
        <v>U5256</v>
      </c>
      <c r="B149" t="str">
        <f t="array" ref="B149">iferror(index('rna-muscle'!$I:$I,match($A149,'rna-muscle'!$A:$A,0)))</f>
        <v>BRN64M-A4</v>
      </c>
      <c r="C149" t="str">
        <f t="array" ref="C149">iferror(index('rna-muscle'!$L:$L,match($A149,'rna-muscle'!$A:$A,0)))</f>
        <v>N</v>
      </c>
      <c r="D149" t="str">
        <f t="array" ref="D149">iferror(index('rna-gill'!$I:$I,match($A149,'rna-gill'!$A:$A,0)))</f>
        <v>BRN64G-A4</v>
      </c>
      <c r="E149" t="str">
        <f t="array" ref="E149">iferror(index('rna-gill'!$L:$L,match($A149,'rna-gill'!$A:$A,0)))</f>
        <v>N</v>
      </c>
      <c r="F149" t="str">
        <f t="array" ref="F149">iferror(index(fatty_acid!$G:$G,match($A149,fatty_acid!$A:$A,0)))</f>
        <v>BFA21-47</v>
      </c>
      <c r="G149" t="str">
        <f t="array" ref="G149">iferror(index(fatty_acid!$J:$J,match($A149,fatty_acid!$A:$A,0)))</f>
        <v>N</v>
      </c>
      <c r="H149" t="str">
        <f t="array" ref="H149">iferror(index(isotopes!$G:$G,match($A149,isotopes!$A:$A,0)))</f>
        <v>BIS24-60</v>
      </c>
      <c r="I149" t="str">
        <f t="array" ref="I149">iferror(index(isotopes!$J:$J,match($A149,isotopes!$A:$A,0)))</f>
        <v>N</v>
      </c>
      <c r="J149" t="str">
        <f t="array" ref="J149">iferror(index(extra_muscle!$G:$G,match($A149,extra_muscle!$A:$A,0)))</f>
        <v>BXM23-31</v>
      </c>
      <c r="K149" t="str">
        <f t="array" ref="K149">iferror(index(extra_muscle!$J:$J,match($A149,extra_muscle!$A:$A,0)))</f>
        <v>N</v>
      </c>
      <c r="L149" s="59" t="str">
        <f t="array" ref="L149">iferror(index(dna!$G:$G,match($A149,dna!$A:$A,0)))</f>
        <v/>
      </c>
      <c r="M149" s="60" t="str">
        <f t="array" ref="M149">iferror(index(dna!$J:$J,match($A149,dna!$A:$A,0)))</f>
        <v/>
      </c>
      <c r="N149" t="str">
        <f t="array" ref="N149">iferror(index(stomachs!$G:$G,match($A149,stomachs!$A:$A,0)))</f>
        <v>BST237-7</v>
      </c>
      <c r="O149" t="str">
        <f t="array" ref="O149">iferror(index(stomachs!$J:$J,match($A149,stomachs!$A:$A,0)))</f>
        <v>N</v>
      </c>
      <c r="P149" t="str">
        <f t="array" ref="P149">iferror(index(sea_lice!$G:$G,match($A149,sea_lice!$A:$A,0)))</f>
        <v/>
      </c>
      <c r="Q149" t="str">
        <f t="array" ref="Q149">iferror(index(sea_lice!$J:$J,match($A149,sea_lice!$A:$A,0)))</f>
        <v/>
      </c>
      <c r="R149" s="40" t="str">
        <f t="array" ref="R149">iferror(index(dissected_fish!$F:$F,match($A149,dissected_fish!$A:$A,0)))</f>
        <v>BCA100</v>
      </c>
      <c r="S149" s="40" t="str">
        <f t="array" ref="S149">iferror(index(dissected_fish!$K:$K,match($A149,dissected_fish!$A:$A,0)))</f>
        <v>N</v>
      </c>
      <c r="T149" s="61" t="str">
        <f t="array" ref="T149">index(fish_lab_data!O:O,match(A149,fish_lab_data!C:C,0))</f>
        <v>EJ</v>
      </c>
      <c r="U149" s="61">
        <f t="array" ref="U149">if(A149="","",index(fish_lab_data!X:X,match(A149,fish_lab_data!C:C,0)))</f>
        <v>148</v>
      </c>
    </row>
    <row r="150">
      <c r="A150" t="str">
        <f>fish_lab_data!C150</f>
        <v>U5257</v>
      </c>
      <c r="B150" t="str">
        <f t="array" ref="B150">iferror(index('rna-muscle'!$I:$I,match($A150,'rna-muscle'!$A:$A,0)))</f>
        <v>BRN64M-G6</v>
      </c>
      <c r="C150" t="str">
        <f t="array" ref="C150">iferror(index('rna-muscle'!$L:$L,match($A150,'rna-muscle'!$A:$A,0)))</f>
        <v>N</v>
      </c>
      <c r="D150" t="str">
        <f t="array" ref="D150">iferror(index('rna-gill'!$I:$I,match($A150,'rna-gill'!$A:$A,0)))</f>
        <v>BRN64G-G6</v>
      </c>
      <c r="E150" t="str">
        <f t="array" ref="E150">iferror(index('rna-gill'!$L:$L,match($A150,'rna-gill'!$A:$A,0)))</f>
        <v>N</v>
      </c>
      <c r="F150" t="str">
        <f t="array" ref="F150">iferror(index(fatty_acid!$G:$G,match($A150,fatty_acid!$A:$A,0)))</f>
        <v>BFA21-48</v>
      </c>
      <c r="G150" t="str">
        <f t="array" ref="G150">iferror(index(fatty_acid!$J:$J,match($A150,fatty_acid!$A:$A,0)))</f>
        <v>N</v>
      </c>
      <c r="H150" t="str">
        <f t="array" ref="H150">iferror(index(isotopes!$G:$G,match($A150,isotopes!$A:$A,0)))</f>
        <v>BIS24-61</v>
      </c>
      <c r="I150" t="str">
        <f t="array" ref="I150">iferror(index(isotopes!$J:$J,match($A150,isotopes!$A:$A,0)))</f>
        <v>N</v>
      </c>
      <c r="J150" t="str">
        <f t="array" ref="J150">iferror(index(extra_muscle!$G:$G,match($A150,extra_muscle!$A:$A,0)))</f>
        <v>BXM23-32</v>
      </c>
      <c r="K150" t="str">
        <f t="array" ref="K150">iferror(index(extra_muscle!$J:$J,match($A150,extra_muscle!$A:$A,0)))</f>
        <v>N</v>
      </c>
      <c r="L150" s="59" t="str">
        <f t="array" ref="L150">iferror(index(dna!$G:$G,match($A150,dna!$A:$A,0)))</f>
        <v/>
      </c>
      <c r="M150" s="60" t="str">
        <f t="array" ref="M150">iferror(index(dna!$J:$J,match($A150,dna!$A:$A,0)))</f>
        <v/>
      </c>
      <c r="N150" t="str">
        <f t="array" ref="N150">iferror(index(stomachs!$G:$G,match($A150,stomachs!$A:$A,0)))</f>
        <v>BST237-8</v>
      </c>
      <c r="O150" t="str">
        <f t="array" ref="O150">iferror(index(stomachs!$J:$J,match($A150,stomachs!$A:$A,0)))</f>
        <v>N</v>
      </c>
      <c r="P150" t="str">
        <f t="array" ref="P150">iferror(index(sea_lice!$G:$G,match($A150,sea_lice!$A:$A,0)))</f>
        <v/>
      </c>
      <c r="Q150" t="str">
        <f t="array" ref="Q150">iferror(index(sea_lice!$J:$J,match($A150,sea_lice!$A:$A,0)))</f>
        <v/>
      </c>
      <c r="R150" s="40" t="str">
        <f t="array" ref="R150">iferror(index(dissected_fish!$F:$F,match($A150,dissected_fish!$A:$A,0)))</f>
        <v>BCA100</v>
      </c>
      <c r="S150" s="40" t="str">
        <f t="array" ref="S150">iferror(index(dissected_fish!$K:$K,match($A150,dissected_fish!$A:$A,0)))</f>
        <v>N</v>
      </c>
      <c r="T150" s="61" t="str">
        <f t="array" ref="T150">index(fish_lab_data!O:O,match(A150,fish_lab_data!C:C,0))</f>
        <v>EJ</v>
      </c>
      <c r="U150" s="61">
        <f t="array" ref="U150">if(A150="","",index(fish_lab_data!X:X,match(A150,fish_lab_data!C:C,0)))</f>
        <v>149</v>
      </c>
    </row>
    <row r="151">
      <c r="A151" t="str">
        <f>fish_lab_data!C151</f>
        <v>U5262</v>
      </c>
      <c r="B151" t="str">
        <f t="array" ref="B151">iferror(index('rna-muscle'!$I:$I,match($A151,'rna-muscle'!$A:$A,0)))</f>
        <v>BRN64M-H3</v>
      </c>
      <c r="C151" t="str">
        <f t="array" ref="C151">iferror(index('rna-muscle'!$L:$L,match($A151,'rna-muscle'!$A:$A,0)))</f>
        <v>N</v>
      </c>
      <c r="D151" t="str">
        <f t="array" ref="D151">iferror(index('rna-gill'!$I:$I,match($A151,'rna-gill'!$A:$A,0)))</f>
        <v>BRN64G-H3</v>
      </c>
      <c r="E151" t="str">
        <f t="array" ref="E151">iferror(index('rna-gill'!$L:$L,match($A151,'rna-gill'!$A:$A,0)))</f>
        <v>N</v>
      </c>
      <c r="F151" t="str">
        <f t="array" ref="F151">iferror(index(fatty_acid!$G:$G,match($A151,fatty_acid!$A:$A,0)))</f>
        <v>BFA23-1</v>
      </c>
      <c r="G151" t="str">
        <f t="array" ref="G151">iferror(index(fatty_acid!$J:$J,match($A151,fatty_acid!$A:$A,0)))</f>
        <v>N</v>
      </c>
      <c r="H151" t="str">
        <f t="array" ref="H151">iferror(index(isotopes!$G:$G,match($A151,isotopes!$A:$A,0)))</f>
        <v>BIS25-1</v>
      </c>
      <c r="I151" t="str">
        <f t="array" ref="I151">iferror(index(isotopes!$J:$J,match($A151,isotopes!$A:$A,0)))</f>
        <v>N</v>
      </c>
      <c r="J151" t="str">
        <f t="array" ref="J151">iferror(index(extra_muscle!$G:$G,match($A151,extra_muscle!$A:$A,0)))</f>
        <v>BXM24-1</v>
      </c>
      <c r="K151" t="str">
        <f t="array" ref="K151">iferror(index(extra_muscle!$J:$J,match($A151,extra_muscle!$A:$A,0)))</f>
        <v>N</v>
      </c>
      <c r="L151" s="59" t="str">
        <f t="array" ref="L151">iferror(index(dna!$G:$G,match($A151,dna!$A:$A,0)))</f>
        <v/>
      </c>
      <c r="M151" s="60" t="str">
        <f t="array" ref="M151">iferror(index(dna!$J:$J,match($A151,dna!$A:$A,0)))</f>
        <v/>
      </c>
      <c r="N151" t="str">
        <f t="array" ref="N151">iferror(index(stomachs!$G:$G,match($A151,stomachs!$A:$A,0)))</f>
        <v>BST236-25</v>
      </c>
      <c r="O151" t="str">
        <f t="array" ref="O151">iferror(index(stomachs!$J:$J,match($A151,stomachs!$A:$A,0)))</f>
        <v>N</v>
      </c>
      <c r="P151" t="str">
        <f t="array" ref="P151">iferror(index(sea_lice!$G:$G,match($A151,sea_lice!$A:$A,0)))</f>
        <v/>
      </c>
      <c r="Q151" t="str">
        <f t="array" ref="Q151">iferror(index(sea_lice!$J:$J,match($A151,sea_lice!$A:$A,0)))</f>
        <v/>
      </c>
      <c r="R151" s="40" t="str">
        <f t="array" ref="R151">iferror(index(dissected_fish!$F:$F,match($A151,dissected_fish!$A:$A,0)))</f>
        <v>BCA100</v>
      </c>
      <c r="S151" s="40" t="str">
        <f t="array" ref="S151">iferror(index(dissected_fish!$K:$K,match($A151,dissected_fish!$A:$A,0)))</f>
        <v>N</v>
      </c>
      <c r="T151" s="61" t="str">
        <f t="array" ref="T151">index(fish_lab_data!O:O,match(A151,fish_lab_data!C:C,0))</f>
        <v>KB</v>
      </c>
      <c r="U151" s="61">
        <f t="array" ref="U151">if(A151="","",index(fish_lab_data!X:X,match(A151,fish_lab_data!C:C,0)))</f>
        <v>150</v>
      </c>
    </row>
    <row r="152">
      <c r="A152" t="str">
        <f>fish_lab_data!C152</f>
        <v>U5263</v>
      </c>
      <c r="B152" t="str">
        <f t="array" ref="B152">iferror(index('rna-muscle'!$I:$I,match($A152,'rna-muscle'!$A:$A,0)))</f>
        <v>BRN64M-G3</v>
      </c>
      <c r="C152" t="str">
        <f t="array" ref="C152">iferror(index('rna-muscle'!$L:$L,match($A152,'rna-muscle'!$A:$A,0)))</f>
        <v>N</v>
      </c>
      <c r="D152" t="str">
        <f t="array" ref="D152">iferror(index('rna-gill'!$I:$I,match($A152,'rna-gill'!$A:$A,0)))</f>
        <v>BRN64G-G3</v>
      </c>
      <c r="E152" t="str">
        <f t="array" ref="E152">iferror(index('rna-gill'!$L:$L,match($A152,'rna-gill'!$A:$A,0)))</f>
        <v>N</v>
      </c>
      <c r="F152" t="str">
        <f t="array" ref="F152">iferror(index(fatty_acid!$G:$G,match($A152,fatty_acid!$A:$A,0)))</f>
        <v>BFA23-2</v>
      </c>
      <c r="G152" t="str">
        <f t="array" ref="G152">iferror(index(fatty_acid!$J:$J,match($A152,fatty_acid!$A:$A,0)))</f>
        <v>N</v>
      </c>
      <c r="H152" t="str">
        <f t="array" ref="H152">iferror(index(isotopes!$G:$G,match($A152,isotopes!$A:$A,0)))</f>
        <v>BIS25-2</v>
      </c>
      <c r="I152" t="str">
        <f t="array" ref="I152">iferror(index(isotopes!$J:$J,match($A152,isotopes!$A:$A,0)))</f>
        <v>N</v>
      </c>
      <c r="J152" t="str">
        <f t="array" ref="J152">iferror(index(extra_muscle!$G:$G,match($A152,extra_muscle!$A:$A,0)))</f>
        <v>BXM24-2</v>
      </c>
      <c r="K152" t="str">
        <f t="array" ref="K152">iferror(index(extra_muscle!$J:$J,match($A152,extra_muscle!$A:$A,0)))</f>
        <v>N</v>
      </c>
      <c r="L152" s="59" t="str">
        <f t="array" ref="L152">iferror(index(dna!$G:$G,match($A152,dna!$A:$A,0)))</f>
        <v/>
      </c>
      <c r="M152" s="60" t="str">
        <f t="array" ref="M152">iferror(index(dna!$J:$J,match($A152,dna!$A:$A,0)))</f>
        <v/>
      </c>
      <c r="N152" t="str">
        <f t="array" ref="N152">iferror(index(stomachs!$G:$G,match($A152,stomachs!$A:$A,0)))</f>
        <v>BST236-24</v>
      </c>
      <c r="O152" t="str">
        <f t="array" ref="O152">iferror(index(stomachs!$J:$J,match($A152,stomachs!$A:$A,0)))</f>
        <v>N</v>
      </c>
      <c r="P152" t="str">
        <f t="array" ref="P152">iferror(index(sea_lice!$G:$G,match($A152,sea_lice!$A:$A,0)))</f>
        <v/>
      </c>
      <c r="Q152" t="str">
        <f t="array" ref="Q152">iferror(index(sea_lice!$J:$J,match($A152,sea_lice!$A:$A,0)))</f>
        <v/>
      </c>
      <c r="R152" s="40" t="str">
        <f t="array" ref="R152">iferror(index(dissected_fish!$F:$F,match($A152,dissected_fish!$A:$A,0)))</f>
        <v>BCA100</v>
      </c>
      <c r="S152" s="40" t="str">
        <f t="array" ref="S152">iferror(index(dissected_fish!$K:$K,match($A152,dissected_fish!$A:$A,0)))</f>
        <v>N</v>
      </c>
      <c r="T152" s="61" t="str">
        <f t="array" ref="T152">index(fish_lab_data!O:O,match(A152,fish_lab_data!C:C,0))</f>
        <v>KB</v>
      </c>
      <c r="U152" s="61">
        <f t="array" ref="U152">if(A152="","",index(fish_lab_data!X:X,match(A152,fish_lab_data!C:C,0)))</f>
        <v>151</v>
      </c>
    </row>
    <row r="153">
      <c r="A153" t="str">
        <f>fish_lab_data!C153</f>
        <v>U5264</v>
      </c>
      <c r="B153" t="str">
        <f t="array" ref="B153">iferror(index('rna-muscle'!$I:$I,match($A153,'rna-muscle'!$A:$A,0)))</f>
        <v>BRN64M-F3</v>
      </c>
      <c r="C153" t="str">
        <f t="array" ref="C153">iferror(index('rna-muscle'!$L:$L,match($A153,'rna-muscle'!$A:$A,0)))</f>
        <v>N</v>
      </c>
      <c r="D153" t="str">
        <f t="array" ref="D153">iferror(index('rna-gill'!$I:$I,match($A153,'rna-gill'!$A:$A,0)))</f>
        <v>BRN64G-F3</v>
      </c>
      <c r="E153" t="str">
        <f t="array" ref="E153">iferror(index('rna-gill'!$L:$L,match($A153,'rna-gill'!$A:$A,0)))</f>
        <v>N</v>
      </c>
      <c r="F153" t="str">
        <f t="array" ref="F153">iferror(index(fatty_acid!$G:$G,match($A153,fatty_acid!$A:$A,0)))</f>
        <v>BFA23-3</v>
      </c>
      <c r="G153" t="str">
        <f t="array" ref="G153">iferror(index(fatty_acid!$J:$J,match($A153,fatty_acid!$A:$A,0)))</f>
        <v>N</v>
      </c>
      <c r="H153" t="str">
        <f t="array" ref="H153">iferror(index(isotopes!$G:$G,match($A153,isotopes!$A:$A,0)))</f>
        <v>BIS25-3</v>
      </c>
      <c r="I153" t="str">
        <f t="array" ref="I153">iferror(index(isotopes!$J:$J,match($A153,isotopes!$A:$A,0)))</f>
        <v>N</v>
      </c>
      <c r="J153" t="str">
        <f t="array" ref="J153">iferror(index(extra_muscle!$G:$G,match($A153,extra_muscle!$A:$A,0)))</f>
        <v>BXM24-3</v>
      </c>
      <c r="K153" t="str">
        <f t="array" ref="K153">iferror(index(extra_muscle!$J:$J,match($A153,extra_muscle!$A:$A,0)))</f>
        <v>N</v>
      </c>
      <c r="L153" s="59" t="str">
        <f t="array" ref="L153">iferror(index(dna!$G:$G,match($A153,dna!$A:$A,0)))</f>
        <v/>
      </c>
      <c r="M153" s="60" t="str">
        <f t="array" ref="M153">iferror(index(dna!$J:$J,match($A153,dna!$A:$A,0)))</f>
        <v/>
      </c>
      <c r="N153" t="str">
        <f t="array" ref="N153">iferror(index(stomachs!$G:$G,match($A153,stomachs!$A:$A,0)))</f>
        <v>BST236-23</v>
      </c>
      <c r="O153" t="str">
        <f t="array" ref="O153">iferror(index(stomachs!$J:$J,match($A153,stomachs!$A:$A,0)))</f>
        <v>N</v>
      </c>
      <c r="P153" t="str">
        <f t="array" ref="P153">iferror(index(sea_lice!$G:$G,match($A153,sea_lice!$A:$A,0)))</f>
        <v/>
      </c>
      <c r="Q153" t="str">
        <f t="array" ref="Q153">iferror(index(sea_lice!$J:$J,match($A153,sea_lice!$A:$A,0)))</f>
        <v/>
      </c>
      <c r="R153" s="40" t="str">
        <f t="array" ref="R153">iferror(index(dissected_fish!$F:$F,match($A153,dissected_fish!$A:$A,0)))</f>
        <v>BCA100</v>
      </c>
      <c r="S153" s="40" t="str">
        <f t="array" ref="S153">iferror(index(dissected_fish!$K:$K,match($A153,dissected_fish!$A:$A,0)))</f>
        <v>N</v>
      </c>
      <c r="T153" s="61" t="str">
        <f t="array" ref="T153">index(fish_lab_data!O:O,match(A153,fish_lab_data!C:C,0))</f>
        <v>KB</v>
      </c>
      <c r="U153" s="61">
        <f t="array" ref="U153">if(A153="","",index(fish_lab_data!X:X,match(A153,fish_lab_data!C:C,0)))</f>
        <v>152</v>
      </c>
    </row>
    <row r="154">
      <c r="A154" t="str">
        <f>fish_lab_data!C154</f>
        <v>U5265</v>
      </c>
      <c r="B154" t="str">
        <f t="array" ref="B154">iferror(index('rna-muscle'!$I:$I,match($A154,'rna-muscle'!$A:$A,0)))</f>
        <v>BRN64M-E3</v>
      </c>
      <c r="C154" t="str">
        <f t="array" ref="C154">iferror(index('rna-muscle'!$L:$L,match($A154,'rna-muscle'!$A:$A,0)))</f>
        <v>N</v>
      </c>
      <c r="D154" t="str">
        <f t="array" ref="D154">iferror(index('rna-gill'!$I:$I,match($A154,'rna-gill'!$A:$A,0)))</f>
        <v>BRN64G-E3</v>
      </c>
      <c r="E154" t="str">
        <f t="array" ref="E154">iferror(index('rna-gill'!$L:$L,match($A154,'rna-gill'!$A:$A,0)))</f>
        <v>N</v>
      </c>
      <c r="F154" t="str">
        <f t="array" ref="F154">iferror(index(fatty_acid!$G:$G,match($A154,fatty_acid!$A:$A,0)))</f>
        <v>BFA23-4</v>
      </c>
      <c r="G154" t="str">
        <f t="array" ref="G154">iferror(index(fatty_acid!$J:$J,match($A154,fatty_acid!$A:$A,0)))</f>
        <v>N</v>
      </c>
      <c r="H154" t="str">
        <f t="array" ref="H154">iferror(index(isotopes!$G:$G,match($A154,isotopes!$A:$A,0)))</f>
        <v>BIS25-4</v>
      </c>
      <c r="I154" t="str">
        <f t="array" ref="I154">iferror(index(isotopes!$J:$J,match($A154,isotopes!$A:$A,0)))</f>
        <v>N</v>
      </c>
      <c r="J154" t="str">
        <f t="array" ref="J154">iferror(index(extra_muscle!$G:$G,match($A154,extra_muscle!$A:$A,0)))</f>
        <v>BXM24-4</v>
      </c>
      <c r="K154" t="str">
        <f t="array" ref="K154">iferror(index(extra_muscle!$J:$J,match($A154,extra_muscle!$A:$A,0)))</f>
        <v>N</v>
      </c>
      <c r="L154" s="59" t="str">
        <f t="array" ref="L154">iferror(index(dna!$G:$G,match($A154,dna!$A:$A,0)))</f>
        <v/>
      </c>
      <c r="M154" s="60" t="str">
        <f t="array" ref="M154">iferror(index(dna!$J:$J,match($A154,dna!$A:$A,0)))</f>
        <v/>
      </c>
      <c r="N154" t="str">
        <f t="array" ref="N154">iferror(index(stomachs!$G:$G,match($A154,stomachs!$A:$A,0)))</f>
        <v>BST236-22</v>
      </c>
      <c r="O154" t="str">
        <f t="array" ref="O154">iferror(index(stomachs!$J:$J,match($A154,stomachs!$A:$A,0)))</f>
        <v>N</v>
      </c>
      <c r="P154" t="str">
        <f t="array" ref="P154">iferror(index(sea_lice!$G:$G,match($A154,sea_lice!$A:$A,0)))</f>
        <v/>
      </c>
      <c r="Q154" t="str">
        <f t="array" ref="Q154">iferror(index(sea_lice!$J:$J,match($A154,sea_lice!$A:$A,0)))</f>
        <v/>
      </c>
      <c r="R154" s="40" t="str">
        <f t="array" ref="R154">iferror(index(dissected_fish!$F:$F,match($A154,dissected_fish!$A:$A,0)))</f>
        <v>BCA100</v>
      </c>
      <c r="S154" s="40" t="str">
        <f t="array" ref="S154">iferror(index(dissected_fish!$K:$K,match($A154,dissected_fish!$A:$A,0)))</f>
        <v>N</v>
      </c>
      <c r="T154" s="61" t="str">
        <f t="array" ref="T154">index(fish_lab_data!O:O,match(A154,fish_lab_data!C:C,0))</f>
        <v>KB</v>
      </c>
      <c r="U154" s="61">
        <f t="array" ref="U154">if(A154="","",index(fish_lab_data!X:X,match(A154,fish_lab_data!C:C,0)))</f>
        <v>153</v>
      </c>
    </row>
    <row r="155">
      <c r="A155" t="str">
        <f>fish_lab_data!C155</f>
        <v>U5266</v>
      </c>
      <c r="B155" t="str">
        <f t="array" ref="B155">iferror(index('rna-muscle'!$I:$I,match($A155,'rna-muscle'!$A:$A,0)))</f>
        <v>BRN64M-D3</v>
      </c>
      <c r="C155" t="str">
        <f t="array" ref="C155">iferror(index('rna-muscle'!$L:$L,match($A155,'rna-muscle'!$A:$A,0)))</f>
        <v>N</v>
      </c>
      <c r="D155" t="str">
        <f t="array" ref="D155">iferror(index('rna-gill'!$I:$I,match($A155,'rna-gill'!$A:$A,0)))</f>
        <v>BRN64G-D3</v>
      </c>
      <c r="E155" t="str">
        <f t="array" ref="E155">iferror(index('rna-gill'!$L:$L,match($A155,'rna-gill'!$A:$A,0)))</f>
        <v>N</v>
      </c>
      <c r="F155" t="str">
        <f t="array" ref="F155">iferror(index(fatty_acid!$G:$G,match($A155,fatty_acid!$A:$A,0)))</f>
        <v>BFA23-5</v>
      </c>
      <c r="G155" t="str">
        <f t="array" ref="G155">iferror(index(fatty_acid!$J:$J,match($A155,fatty_acid!$A:$A,0)))</f>
        <v>N</v>
      </c>
      <c r="H155" t="str">
        <f t="array" ref="H155">iferror(index(isotopes!$G:$G,match($A155,isotopes!$A:$A,0)))</f>
        <v>BIS25-5</v>
      </c>
      <c r="I155" t="str">
        <f t="array" ref="I155">iferror(index(isotopes!$J:$J,match($A155,isotopes!$A:$A,0)))</f>
        <v>N</v>
      </c>
      <c r="J155" t="str">
        <f t="array" ref="J155">iferror(index(extra_muscle!$G:$G,match($A155,extra_muscle!$A:$A,0)))</f>
        <v>BXM24-5</v>
      </c>
      <c r="K155" t="str">
        <f t="array" ref="K155">iferror(index(extra_muscle!$J:$J,match($A155,extra_muscle!$A:$A,0)))</f>
        <v>N</v>
      </c>
      <c r="L155" s="59" t="str">
        <f t="array" ref="L155">iferror(index(dna!$G:$G,match($A155,dna!$A:$A,0)))</f>
        <v/>
      </c>
      <c r="M155" s="60" t="str">
        <f t="array" ref="M155">iferror(index(dna!$J:$J,match($A155,dna!$A:$A,0)))</f>
        <v/>
      </c>
      <c r="N155" t="str">
        <f t="array" ref="N155">iferror(index(stomachs!$G:$G,match($A155,stomachs!$A:$A,0)))</f>
        <v>BST236-21</v>
      </c>
      <c r="O155" t="str">
        <f t="array" ref="O155">iferror(index(stomachs!$J:$J,match($A155,stomachs!$A:$A,0)))</f>
        <v>N</v>
      </c>
      <c r="P155" t="str">
        <f t="array" ref="P155">iferror(index(sea_lice!$G:$G,match($A155,sea_lice!$A:$A,0)))</f>
        <v/>
      </c>
      <c r="Q155" t="str">
        <f t="array" ref="Q155">iferror(index(sea_lice!$J:$J,match($A155,sea_lice!$A:$A,0)))</f>
        <v/>
      </c>
      <c r="R155" s="40" t="str">
        <f t="array" ref="R155">iferror(index(dissected_fish!$F:$F,match($A155,dissected_fish!$A:$A,0)))</f>
        <v>BCA100</v>
      </c>
      <c r="S155" s="40" t="str">
        <f t="array" ref="S155">iferror(index(dissected_fish!$K:$K,match($A155,dissected_fish!$A:$A,0)))</f>
        <v>N</v>
      </c>
      <c r="T155" s="61" t="str">
        <f t="array" ref="T155">index(fish_lab_data!O:O,match(A155,fish_lab_data!C:C,0))</f>
        <v>KB</v>
      </c>
      <c r="U155" s="61">
        <f t="array" ref="U155">if(A155="","",index(fish_lab_data!X:X,match(A155,fish_lab_data!C:C,0)))</f>
        <v>154</v>
      </c>
    </row>
    <row r="156">
      <c r="A156" t="str">
        <f>fish_lab_data!C156</f>
        <v>U5267</v>
      </c>
      <c r="B156" t="str">
        <f t="array" ref="B156">iferror(index('rna-muscle'!$I:$I,match($A156,'rna-muscle'!$A:$A,0)))</f>
        <v>BRN64M-C3</v>
      </c>
      <c r="C156" t="str">
        <f t="array" ref="C156">iferror(index('rna-muscle'!$L:$L,match($A156,'rna-muscle'!$A:$A,0)))</f>
        <v>N</v>
      </c>
      <c r="D156" t="str">
        <f t="array" ref="D156">iferror(index('rna-gill'!$I:$I,match($A156,'rna-gill'!$A:$A,0)))</f>
        <v>BRN64G-C3</v>
      </c>
      <c r="E156" t="str">
        <f t="array" ref="E156">iferror(index('rna-gill'!$L:$L,match($A156,'rna-gill'!$A:$A,0)))</f>
        <v>N</v>
      </c>
      <c r="F156" t="str">
        <f t="array" ref="F156">iferror(index(fatty_acid!$G:$G,match($A156,fatty_acid!$A:$A,0)))</f>
        <v>BFA23-6</v>
      </c>
      <c r="G156" t="str">
        <f t="array" ref="G156">iferror(index(fatty_acid!$J:$J,match($A156,fatty_acid!$A:$A,0)))</f>
        <v>N</v>
      </c>
      <c r="H156" t="str">
        <f t="array" ref="H156">iferror(index(isotopes!$G:$G,match($A156,isotopes!$A:$A,0)))</f>
        <v>BIS25-6</v>
      </c>
      <c r="I156" t="str">
        <f t="array" ref="I156">iferror(index(isotopes!$J:$J,match($A156,isotopes!$A:$A,0)))</f>
        <v>N</v>
      </c>
      <c r="J156" t="str">
        <f t="array" ref="J156">iferror(index(extra_muscle!$G:$G,match($A156,extra_muscle!$A:$A,0)))</f>
        <v>BXM24-6</v>
      </c>
      <c r="K156" t="str">
        <f t="array" ref="K156">iferror(index(extra_muscle!$J:$J,match($A156,extra_muscle!$A:$A,0)))</f>
        <v>N</v>
      </c>
      <c r="L156" s="59" t="str">
        <f t="array" ref="L156">iferror(index(dna!$G:$G,match($A156,dna!$A:$A,0)))</f>
        <v/>
      </c>
      <c r="M156" s="60" t="str">
        <f t="array" ref="M156">iferror(index(dna!$J:$J,match($A156,dna!$A:$A,0)))</f>
        <v/>
      </c>
      <c r="N156" t="str">
        <f t="array" ref="N156">iferror(index(stomachs!$G:$G,match($A156,stomachs!$A:$A,0)))</f>
        <v>BST236-20</v>
      </c>
      <c r="O156" t="str">
        <f t="array" ref="O156">iferror(index(stomachs!$J:$J,match($A156,stomachs!$A:$A,0)))</f>
        <v>N</v>
      </c>
      <c r="P156" t="str">
        <f t="array" ref="P156">iferror(index(sea_lice!$G:$G,match($A156,sea_lice!$A:$A,0)))</f>
        <v/>
      </c>
      <c r="Q156" t="str">
        <f t="array" ref="Q156">iferror(index(sea_lice!$J:$J,match($A156,sea_lice!$A:$A,0)))</f>
        <v/>
      </c>
      <c r="R156" s="40" t="str">
        <f t="array" ref="R156">iferror(index(dissected_fish!$F:$F,match($A156,dissected_fish!$A:$A,0)))</f>
        <v>BCA100</v>
      </c>
      <c r="S156" s="40" t="str">
        <f t="array" ref="S156">iferror(index(dissected_fish!$K:$K,match($A156,dissected_fish!$A:$A,0)))</f>
        <v>N</v>
      </c>
      <c r="T156" s="61" t="str">
        <f t="array" ref="T156">index(fish_lab_data!O:O,match(A156,fish_lab_data!C:C,0))</f>
        <v>KB</v>
      </c>
      <c r="U156" s="61">
        <f t="array" ref="U156">if(A156="","",index(fish_lab_data!X:X,match(A156,fish_lab_data!C:C,0)))</f>
        <v>155</v>
      </c>
    </row>
    <row r="157">
      <c r="A157" t="str">
        <f>fish_lab_data!C157</f>
        <v>U5268</v>
      </c>
      <c r="B157" t="str">
        <f t="array" ref="B157">iferror(index('rna-muscle'!$I:$I,match($A157,'rna-muscle'!$A:$A,0)))</f>
        <v>BRN64M-B3</v>
      </c>
      <c r="C157" t="str">
        <f t="array" ref="C157">iferror(index('rna-muscle'!$L:$L,match($A157,'rna-muscle'!$A:$A,0)))</f>
        <v>N</v>
      </c>
      <c r="D157" t="str">
        <f t="array" ref="D157">iferror(index('rna-gill'!$I:$I,match($A157,'rna-gill'!$A:$A,0)))</f>
        <v>BRN64G-B3</v>
      </c>
      <c r="E157" t="str">
        <f t="array" ref="E157">iferror(index('rna-gill'!$L:$L,match($A157,'rna-gill'!$A:$A,0)))</f>
        <v>N</v>
      </c>
      <c r="F157" t="str">
        <f t="array" ref="F157">iferror(index(fatty_acid!$G:$G,match($A157,fatty_acid!$A:$A,0)))</f>
        <v>BFA23-7</v>
      </c>
      <c r="G157" t="str">
        <f t="array" ref="G157">iferror(index(fatty_acid!$J:$J,match($A157,fatty_acid!$A:$A,0)))</f>
        <v>N</v>
      </c>
      <c r="H157" t="str">
        <f t="array" ref="H157">iferror(index(isotopes!$G:$G,match($A157,isotopes!$A:$A,0)))</f>
        <v>BIS25-7</v>
      </c>
      <c r="I157" t="str">
        <f t="array" ref="I157">iferror(index(isotopes!$J:$J,match($A157,isotopes!$A:$A,0)))</f>
        <v>N</v>
      </c>
      <c r="J157" t="str">
        <f t="array" ref="J157">iferror(index(extra_muscle!$G:$G,match($A157,extra_muscle!$A:$A,0)))</f>
        <v>BXM24-7</v>
      </c>
      <c r="K157" t="str">
        <f t="array" ref="K157">iferror(index(extra_muscle!$J:$J,match($A157,extra_muscle!$A:$A,0)))</f>
        <v>N</v>
      </c>
      <c r="L157" s="59" t="str">
        <f t="array" ref="L157">iferror(index(dna!$G:$G,match($A157,dna!$A:$A,0)))</f>
        <v/>
      </c>
      <c r="M157" s="60" t="str">
        <f t="array" ref="M157">iferror(index(dna!$J:$J,match($A157,dna!$A:$A,0)))</f>
        <v/>
      </c>
      <c r="N157" t="str">
        <f t="array" ref="N157">iferror(index(stomachs!$G:$G,match($A157,stomachs!$A:$A,0)))</f>
        <v>BST236-19</v>
      </c>
      <c r="O157" t="str">
        <f t="array" ref="O157">iferror(index(stomachs!$J:$J,match($A157,stomachs!$A:$A,0)))</f>
        <v>N</v>
      </c>
      <c r="P157" t="str">
        <f t="array" ref="P157">iferror(index(sea_lice!$G:$G,match($A157,sea_lice!$A:$A,0)))</f>
        <v/>
      </c>
      <c r="Q157" t="str">
        <f t="array" ref="Q157">iferror(index(sea_lice!$J:$J,match($A157,sea_lice!$A:$A,0)))</f>
        <v/>
      </c>
      <c r="R157" s="40" t="str">
        <f t="array" ref="R157">iferror(index(dissected_fish!$F:$F,match($A157,dissected_fish!$A:$A,0)))</f>
        <v>BCA100</v>
      </c>
      <c r="S157" s="40" t="str">
        <f t="array" ref="S157">iferror(index(dissected_fish!$K:$K,match($A157,dissected_fish!$A:$A,0)))</f>
        <v>N</v>
      </c>
      <c r="T157" s="61" t="str">
        <f t="array" ref="T157">index(fish_lab_data!O:O,match(A157,fish_lab_data!C:C,0))</f>
        <v>KB</v>
      </c>
      <c r="U157" s="61">
        <f t="array" ref="U157">if(A157="","",index(fish_lab_data!X:X,match(A157,fish_lab_data!C:C,0)))</f>
        <v>156</v>
      </c>
    </row>
    <row r="158">
      <c r="A158" t="str">
        <f>fish_lab_data!C158</f>
        <v>U5269</v>
      </c>
      <c r="B158" t="str">
        <f t="array" ref="B158">iferror(index('rna-muscle'!$I:$I,match($A158,'rna-muscle'!$A:$A,0)))</f>
        <v>BRN64M-A3</v>
      </c>
      <c r="C158" t="str">
        <f t="array" ref="C158">iferror(index('rna-muscle'!$L:$L,match($A158,'rna-muscle'!$A:$A,0)))</f>
        <v>N</v>
      </c>
      <c r="D158" t="str">
        <f t="array" ref="D158">iferror(index('rna-gill'!$I:$I,match($A158,'rna-gill'!$A:$A,0)))</f>
        <v>BRN64G-A3</v>
      </c>
      <c r="E158" t="str">
        <f t="array" ref="E158">iferror(index('rna-gill'!$L:$L,match($A158,'rna-gill'!$A:$A,0)))</f>
        <v>N</v>
      </c>
      <c r="F158" t="str">
        <f t="array" ref="F158">iferror(index(fatty_acid!$G:$G,match($A158,fatty_acid!$A:$A,0)))</f>
        <v>BFA23-8</v>
      </c>
      <c r="G158" t="str">
        <f t="array" ref="G158">iferror(index(fatty_acid!$J:$J,match($A158,fatty_acid!$A:$A,0)))</f>
        <v>N</v>
      </c>
      <c r="H158" t="str">
        <f t="array" ref="H158">iferror(index(isotopes!$G:$G,match($A158,isotopes!$A:$A,0)))</f>
        <v>BIS25-8</v>
      </c>
      <c r="I158" t="str">
        <f t="array" ref="I158">iferror(index(isotopes!$J:$J,match($A158,isotopes!$A:$A,0)))</f>
        <v>N</v>
      </c>
      <c r="J158" t="str">
        <f t="array" ref="J158">iferror(index(extra_muscle!$G:$G,match($A158,extra_muscle!$A:$A,0)))</f>
        <v>BXM24-8</v>
      </c>
      <c r="K158" t="str">
        <f t="array" ref="K158">iferror(index(extra_muscle!$J:$J,match($A158,extra_muscle!$A:$A,0)))</f>
        <v>N</v>
      </c>
      <c r="L158" s="59" t="str">
        <f t="array" ref="L158">iferror(index(dna!$G:$G,match($A158,dna!$A:$A,0)))</f>
        <v/>
      </c>
      <c r="M158" s="60" t="str">
        <f t="array" ref="M158">iferror(index(dna!$J:$J,match($A158,dna!$A:$A,0)))</f>
        <v/>
      </c>
      <c r="N158" t="str">
        <f t="array" ref="N158">iferror(index(stomachs!$G:$G,match($A158,stomachs!$A:$A,0)))</f>
        <v>BST236-18</v>
      </c>
      <c r="O158" t="str">
        <f t="array" ref="O158">iferror(index(stomachs!$J:$J,match($A158,stomachs!$A:$A,0)))</f>
        <v>N</v>
      </c>
      <c r="P158" t="str">
        <f t="array" ref="P158">iferror(index(sea_lice!$G:$G,match($A158,sea_lice!$A:$A,0)))</f>
        <v/>
      </c>
      <c r="Q158" t="str">
        <f t="array" ref="Q158">iferror(index(sea_lice!$J:$J,match($A158,sea_lice!$A:$A,0)))</f>
        <v/>
      </c>
      <c r="R158" s="40" t="str">
        <f t="array" ref="R158">iferror(index(dissected_fish!$F:$F,match($A158,dissected_fish!$A:$A,0)))</f>
        <v>BCA100</v>
      </c>
      <c r="S158" s="40" t="str">
        <f t="array" ref="S158">iferror(index(dissected_fish!$K:$K,match($A158,dissected_fish!$A:$A,0)))</f>
        <v>N</v>
      </c>
      <c r="T158" s="61" t="str">
        <f t="array" ref="T158">index(fish_lab_data!O:O,match(A158,fish_lab_data!C:C,0))</f>
        <v>KB</v>
      </c>
      <c r="U158" s="61">
        <f t="array" ref="U158">if(A158="","",index(fish_lab_data!X:X,match(A158,fish_lab_data!C:C,0)))</f>
        <v>157</v>
      </c>
    </row>
    <row r="159">
      <c r="A159" t="str">
        <f>fish_lab_data!C159</f>
        <v>U5270</v>
      </c>
      <c r="B159" t="str">
        <f t="array" ref="B159">iferror(index('rna-muscle'!$I:$I,match($A159,'rna-muscle'!$A:$A,0)))</f>
        <v>BRN64M-H5</v>
      </c>
      <c r="C159" t="str">
        <f t="array" ref="C159">iferror(index('rna-muscle'!$L:$L,match($A159,'rna-muscle'!$A:$A,0)))</f>
        <v>N</v>
      </c>
      <c r="D159" t="str">
        <f t="array" ref="D159">iferror(index('rna-gill'!$I:$I,match($A159,'rna-gill'!$A:$A,0)))</f>
        <v>BRN64G-H5</v>
      </c>
      <c r="E159" t="str">
        <f t="array" ref="E159">iferror(index('rna-gill'!$L:$L,match($A159,'rna-gill'!$A:$A,0)))</f>
        <v>N</v>
      </c>
      <c r="F159" t="str">
        <f t="array" ref="F159">iferror(index(fatty_acid!$G:$G,match($A159,fatty_acid!$A:$A,0)))</f>
        <v>BFA23-9</v>
      </c>
      <c r="G159" t="str">
        <f t="array" ref="G159">iferror(index(fatty_acid!$J:$J,match($A159,fatty_acid!$A:$A,0)))</f>
        <v>N</v>
      </c>
      <c r="H159" t="str">
        <f t="array" ref="H159">iferror(index(isotopes!$G:$G,match($A159,isotopes!$A:$A,0)))</f>
        <v>BIS25-9</v>
      </c>
      <c r="I159" t="str">
        <f t="array" ref="I159">iferror(index(isotopes!$J:$J,match($A159,isotopes!$A:$A,0)))</f>
        <v>N</v>
      </c>
      <c r="J159" t="str">
        <f t="array" ref="J159">iferror(index(extra_muscle!$G:$G,match($A159,extra_muscle!$A:$A,0)))</f>
        <v>BXM24-9</v>
      </c>
      <c r="K159" t="str">
        <f t="array" ref="K159">iferror(index(extra_muscle!$J:$J,match($A159,extra_muscle!$A:$A,0)))</f>
        <v>N</v>
      </c>
      <c r="L159" s="59" t="str">
        <f t="array" ref="L159">iferror(index(dna!$G:$G,match($A159,dna!$A:$A,0)))</f>
        <v/>
      </c>
      <c r="M159" s="60" t="str">
        <f t="array" ref="M159">iferror(index(dna!$J:$J,match($A159,dna!$A:$A,0)))</f>
        <v/>
      </c>
      <c r="N159" t="str">
        <f t="array" ref="N159">iferror(index(stomachs!$G:$G,match($A159,stomachs!$A:$A,0)))</f>
        <v>BST236-17</v>
      </c>
      <c r="O159" t="str">
        <f t="array" ref="O159">iferror(index(stomachs!$J:$J,match($A159,stomachs!$A:$A,0)))</f>
        <v>N</v>
      </c>
      <c r="P159" t="str">
        <f t="array" ref="P159">iferror(index(sea_lice!$G:$G,match($A159,sea_lice!$A:$A,0)))</f>
        <v/>
      </c>
      <c r="Q159" t="str">
        <f t="array" ref="Q159">iferror(index(sea_lice!$J:$J,match($A159,sea_lice!$A:$A,0)))</f>
        <v/>
      </c>
      <c r="R159" s="40" t="str">
        <f t="array" ref="R159">iferror(index(dissected_fish!$F:$F,match($A159,dissected_fish!$A:$A,0)))</f>
        <v>BCA100</v>
      </c>
      <c r="S159" s="40" t="str">
        <f t="array" ref="S159">iferror(index(dissected_fish!$K:$K,match($A159,dissected_fish!$A:$A,0)))</f>
        <v>N</v>
      </c>
      <c r="T159" s="61" t="str">
        <f t="array" ref="T159">index(fish_lab_data!O:O,match(A159,fish_lab_data!C:C,0))</f>
        <v>KB</v>
      </c>
      <c r="U159" s="61">
        <f t="array" ref="U159">if(A159="","",index(fish_lab_data!X:X,match(A159,fish_lab_data!C:C,0)))</f>
        <v>158</v>
      </c>
    </row>
    <row r="160">
      <c r="A160" t="str">
        <f>fish_lab_data!C160</f>
        <v>U5271</v>
      </c>
      <c r="B160" t="str">
        <f t="array" ref="B160">iferror(index('rna-muscle'!$I:$I,match($A160,'rna-muscle'!$A:$A,0)))</f>
        <v>BRN64M-G5</v>
      </c>
      <c r="C160" t="str">
        <f t="array" ref="C160">iferror(index('rna-muscle'!$L:$L,match($A160,'rna-muscle'!$A:$A,0)))</f>
        <v>N</v>
      </c>
      <c r="D160" t="str">
        <f t="array" ref="D160">iferror(index('rna-gill'!$I:$I,match($A160,'rna-gill'!$A:$A,0)))</f>
        <v>BRN64G-G5</v>
      </c>
      <c r="E160" t="str">
        <f t="array" ref="E160">iferror(index('rna-gill'!$L:$L,match($A160,'rna-gill'!$A:$A,0)))</f>
        <v>N</v>
      </c>
      <c r="F160" t="str">
        <f t="array" ref="F160">iferror(index(fatty_acid!$G:$G,match($A160,fatty_acid!$A:$A,0)))</f>
        <v>BFA23-10</v>
      </c>
      <c r="G160" t="str">
        <f t="array" ref="G160">iferror(index(fatty_acid!$J:$J,match($A160,fatty_acid!$A:$A,0)))</f>
        <v>N</v>
      </c>
      <c r="H160" t="str">
        <f t="array" ref="H160">iferror(index(isotopes!$G:$G,match($A160,isotopes!$A:$A,0)))</f>
        <v>BIS25-10</v>
      </c>
      <c r="I160" t="str">
        <f t="array" ref="I160">iferror(index(isotopes!$J:$J,match($A160,isotopes!$A:$A,0)))</f>
        <v>N</v>
      </c>
      <c r="J160" t="str">
        <f t="array" ref="J160">iferror(index(extra_muscle!$G:$G,match($A160,extra_muscle!$A:$A,0)))</f>
        <v>BXM24-10</v>
      </c>
      <c r="K160" t="str">
        <f t="array" ref="K160">iferror(index(extra_muscle!$J:$J,match($A160,extra_muscle!$A:$A,0)))</f>
        <v>N</v>
      </c>
      <c r="L160" s="59" t="str">
        <f t="array" ref="L160">iferror(index(dna!$G:$G,match($A160,dna!$A:$A,0)))</f>
        <v/>
      </c>
      <c r="M160" s="60" t="str">
        <f t="array" ref="M160">iferror(index(dna!$J:$J,match($A160,dna!$A:$A,0)))</f>
        <v/>
      </c>
      <c r="N160" t="str">
        <f t="array" ref="N160">iferror(index(stomachs!$G:$G,match($A160,stomachs!$A:$A,0)))</f>
        <v>BST236-16</v>
      </c>
      <c r="O160" t="str">
        <f t="array" ref="O160">iferror(index(stomachs!$J:$J,match($A160,stomachs!$A:$A,0)))</f>
        <v>N</v>
      </c>
      <c r="P160" t="str">
        <f t="array" ref="P160">iferror(index(sea_lice!$G:$G,match($A160,sea_lice!$A:$A,0)))</f>
        <v/>
      </c>
      <c r="Q160" t="str">
        <f t="array" ref="Q160">iferror(index(sea_lice!$J:$J,match($A160,sea_lice!$A:$A,0)))</f>
        <v/>
      </c>
      <c r="R160" s="40" t="str">
        <f t="array" ref="R160">iferror(index(dissected_fish!$F:$F,match($A160,dissected_fish!$A:$A,0)))</f>
        <v>BCA100</v>
      </c>
      <c r="S160" s="40" t="str">
        <f t="array" ref="S160">iferror(index(dissected_fish!$K:$K,match($A160,dissected_fish!$A:$A,0)))</f>
        <v>N</v>
      </c>
      <c r="T160" s="61" t="str">
        <f t="array" ref="T160">index(fish_lab_data!O:O,match(A160,fish_lab_data!C:C,0))</f>
        <v>KB</v>
      </c>
      <c r="U160" s="61">
        <f t="array" ref="U160">if(A160="","",index(fish_lab_data!X:X,match(A160,fish_lab_data!C:C,0)))</f>
        <v>159</v>
      </c>
    </row>
    <row r="161">
      <c r="A161" t="str">
        <f>fish_lab_data!C161</f>
        <v>U5272</v>
      </c>
      <c r="B161" t="str">
        <f t="array" ref="B161">iferror(index('rna-muscle'!$I:$I,match($A161,'rna-muscle'!$A:$A,0)))</f>
        <v>BRN64M-F5</v>
      </c>
      <c r="C161" t="str">
        <f t="array" ref="C161">iferror(index('rna-muscle'!$L:$L,match($A161,'rna-muscle'!$A:$A,0)))</f>
        <v>N</v>
      </c>
      <c r="D161" t="str">
        <f t="array" ref="D161">iferror(index('rna-gill'!$I:$I,match($A161,'rna-gill'!$A:$A,0)))</f>
        <v>BRN64G-F5</v>
      </c>
      <c r="E161" t="str">
        <f t="array" ref="E161">iferror(index('rna-gill'!$L:$L,match($A161,'rna-gill'!$A:$A,0)))</f>
        <v>N</v>
      </c>
      <c r="F161" t="str">
        <f t="array" ref="F161">iferror(index(fatty_acid!$G:$G,match($A161,fatty_acid!$A:$A,0)))</f>
        <v>BFA23-11</v>
      </c>
      <c r="G161" t="str">
        <f t="array" ref="G161">iferror(index(fatty_acid!$J:$J,match($A161,fatty_acid!$A:$A,0)))</f>
        <v>N</v>
      </c>
      <c r="H161" t="str">
        <f t="array" ref="H161">iferror(index(isotopes!$G:$G,match($A161,isotopes!$A:$A,0)))</f>
        <v>BIS25-11</v>
      </c>
      <c r="I161" t="str">
        <f t="array" ref="I161">iferror(index(isotopes!$J:$J,match($A161,isotopes!$A:$A,0)))</f>
        <v>N</v>
      </c>
      <c r="J161" t="str">
        <f t="array" ref="J161">iferror(index(extra_muscle!$G:$G,match($A161,extra_muscle!$A:$A,0)))</f>
        <v>BXM24-11</v>
      </c>
      <c r="K161" t="str">
        <f t="array" ref="K161">iferror(index(extra_muscle!$J:$J,match($A161,extra_muscle!$A:$A,0)))</f>
        <v>N</v>
      </c>
      <c r="L161" s="59" t="str">
        <f t="array" ref="L161">iferror(index(dna!$G:$G,match($A161,dna!$A:$A,0)))</f>
        <v/>
      </c>
      <c r="M161" s="60" t="str">
        <f t="array" ref="M161">iferror(index(dna!$J:$J,match($A161,dna!$A:$A,0)))</f>
        <v/>
      </c>
      <c r="N161" t="str">
        <f t="array" ref="N161">iferror(index(stomachs!$G:$G,match($A161,stomachs!$A:$A,0)))</f>
        <v>BST236-15</v>
      </c>
      <c r="O161" t="str">
        <f t="array" ref="O161">iferror(index(stomachs!$J:$J,match($A161,stomachs!$A:$A,0)))</f>
        <v>N</v>
      </c>
      <c r="P161" t="str">
        <f t="array" ref="P161">iferror(index(sea_lice!$G:$G,match($A161,sea_lice!$A:$A,0)))</f>
        <v/>
      </c>
      <c r="Q161" t="str">
        <f t="array" ref="Q161">iferror(index(sea_lice!$J:$J,match($A161,sea_lice!$A:$A,0)))</f>
        <v/>
      </c>
      <c r="R161" s="40" t="str">
        <f t="array" ref="R161">iferror(index(dissected_fish!$F:$F,match($A161,dissected_fish!$A:$A,0)))</f>
        <v>BCA100</v>
      </c>
      <c r="S161" s="40" t="str">
        <f t="array" ref="S161">iferror(index(dissected_fish!$K:$K,match($A161,dissected_fish!$A:$A,0)))</f>
        <v>N</v>
      </c>
      <c r="T161" s="61" t="str">
        <f t="array" ref="T161">index(fish_lab_data!O:O,match(A161,fish_lab_data!C:C,0))</f>
        <v>KB</v>
      </c>
      <c r="U161" s="61">
        <f t="array" ref="U161">if(A161="","",index(fish_lab_data!X:X,match(A161,fish_lab_data!C:C,0)))</f>
        <v>160</v>
      </c>
    </row>
    <row r="162">
      <c r="A162" t="str">
        <f>fish_lab_data!C162</f>
        <v>U5273</v>
      </c>
      <c r="B162" t="str">
        <f t="array" ref="B162">iferror(index('rna-muscle'!$I:$I,match($A162,'rna-muscle'!$A:$A,0)))</f>
        <v>BRN64M-E5</v>
      </c>
      <c r="C162" t="str">
        <f t="array" ref="C162">iferror(index('rna-muscle'!$L:$L,match($A162,'rna-muscle'!$A:$A,0)))</f>
        <v>N</v>
      </c>
      <c r="D162" t="str">
        <f t="array" ref="D162">iferror(index('rna-gill'!$I:$I,match($A162,'rna-gill'!$A:$A,0)))</f>
        <v>BRN64G-E5</v>
      </c>
      <c r="E162" t="str">
        <f t="array" ref="E162">iferror(index('rna-gill'!$L:$L,match($A162,'rna-gill'!$A:$A,0)))</f>
        <v>N</v>
      </c>
      <c r="F162" t="str">
        <f t="array" ref="F162">iferror(index(fatty_acid!$G:$G,match($A162,fatty_acid!$A:$A,0)))</f>
        <v>BFA23-12</v>
      </c>
      <c r="G162" t="str">
        <f t="array" ref="G162">iferror(index(fatty_acid!$J:$J,match($A162,fatty_acid!$A:$A,0)))</f>
        <v>N</v>
      </c>
      <c r="H162" t="str">
        <f t="array" ref="H162">iferror(index(isotopes!$G:$G,match($A162,isotopes!$A:$A,0)))</f>
        <v>BIS25-12</v>
      </c>
      <c r="I162" t="str">
        <f t="array" ref="I162">iferror(index(isotopes!$J:$J,match($A162,isotopes!$A:$A,0)))</f>
        <v>N</v>
      </c>
      <c r="J162" t="str">
        <f t="array" ref="J162">iferror(index(extra_muscle!$G:$G,match($A162,extra_muscle!$A:$A,0)))</f>
        <v>BXM24-12</v>
      </c>
      <c r="K162" t="str">
        <f t="array" ref="K162">iferror(index(extra_muscle!$J:$J,match($A162,extra_muscle!$A:$A,0)))</f>
        <v>N</v>
      </c>
      <c r="L162" s="59" t="str">
        <f t="array" ref="L162">iferror(index(dna!$G:$G,match($A162,dna!$A:$A,0)))</f>
        <v/>
      </c>
      <c r="M162" s="60" t="str">
        <f t="array" ref="M162">iferror(index(dna!$J:$J,match($A162,dna!$A:$A,0)))</f>
        <v/>
      </c>
      <c r="N162" t="str">
        <f t="array" ref="N162">iferror(index(stomachs!$G:$G,match($A162,stomachs!$A:$A,0)))</f>
        <v>BST236-14</v>
      </c>
      <c r="O162" t="str">
        <f t="array" ref="O162">iferror(index(stomachs!$J:$J,match($A162,stomachs!$A:$A,0)))</f>
        <v>N</v>
      </c>
      <c r="P162" t="str">
        <f t="array" ref="P162">iferror(index(sea_lice!$G:$G,match($A162,sea_lice!$A:$A,0)))</f>
        <v/>
      </c>
      <c r="Q162" t="str">
        <f t="array" ref="Q162">iferror(index(sea_lice!$J:$J,match($A162,sea_lice!$A:$A,0)))</f>
        <v/>
      </c>
      <c r="R162" s="40" t="str">
        <f t="array" ref="R162">iferror(index(dissected_fish!$F:$F,match($A162,dissected_fish!$A:$A,0)))</f>
        <v>BCA100</v>
      </c>
      <c r="S162" s="40" t="str">
        <f t="array" ref="S162">iferror(index(dissected_fish!$K:$K,match($A162,dissected_fish!$A:$A,0)))</f>
        <v>N</v>
      </c>
      <c r="T162" s="61" t="str">
        <f t="array" ref="T162">index(fish_lab_data!O:O,match(A162,fish_lab_data!C:C,0))</f>
        <v>KB</v>
      </c>
      <c r="U162" s="61">
        <f t="array" ref="U162">if(A162="","",index(fish_lab_data!X:X,match(A162,fish_lab_data!C:C,0)))</f>
        <v>161</v>
      </c>
    </row>
    <row r="163">
      <c r="A163" t="str">
        <f>fish_lab_data!C163</f>
        <v>U5237</v>
      </c>
      <c r="B163" t="str">
        <f t="array" ref="B163">iferror(index('rna-muscle'!$I:$I,match($A163,'rna-muscle'!$A:$A,0)))</f>
        <v>BRN64M-D5</v>
      </c>
      <c r="C163" t="str">
        <f t="array" ref="C163">iferror(index('rna-muscle'!$L:$L,match($A163,'rna-muscle'!$A:$A,0)))</f>
        <v>N</v>
      </c>
      <c r="D163" t="str">
        <f t="array" ref="D163">iferror(index('rna-gill'!$I:$I,match($A163,'rna-gill'!$A:$A,0)))</f>
        <v>BRN64G-D5</v>
      </c>
      <c r="E163" t="str">
        <f t="array" ref="E163">iferror(index('rna-gill'!$L:$L,match($A163,'rna-gill'!$A:$A,0)))</f>
        <v>N</v>
      </c>
      <c r="F163" t="str">
        <f t="array" ref="F163">iferror(index(fatty_acid!$G:$G,match($A163,fatty_acid!$A:$A,0)))</f>
        <v>BFA23-13</v>
      </c>
      <c r="G163" t="str">
        <f t="array" ref="G163">iferror(index(fatty_acid!$J:$J,match($A163,fatty_acid!$A:$A,0)))</f>
        <v>N</v>
      </c>
      <c r="H163" t="str">
        <f t="array" ref="H163">iferror(index(isotopes!$G:$G,match($A163,isotopes!$A:$A,0)))</f>
        <v>BIS25-13</v>
      </c>
      <c r="I163" t="str">
        <f t="array" ref="I163">iferror(index(isotopes!$J:$J,match($A163,isotopes!$A:$A,0)))</f>
        <v>N</v>
      </c>
      <c r="J163" t="str">
        <f t="array" ref="J163">iferror(index(extra_muscle!$G:$G,match($A163,extra_muscle!$A:$A,0)))</f>
        <v>BXM24-13</v>
      </c>
      <c r="K163" t="str">
        <f t="array" ref="K163">iferror(index(extra_muscle!$J:$J,match($A163,extra_muscle!$A:$A,0)))</f>
        <v>N</v>
      </c>
      <c r="L163" s="59" t="str">
        <f t="array" ref="L163">iferror(index(dna!$G:$G,match($A163,dna!$A:$A,0)))</f>
        <v/>
      </c>
      <c r="M163" s="60" t="str">
        <f t="array" ref="M163">iferror(index(dna!$J:$J,match($A163,dna!$A:$A,0)))</f>
        <v/>
      </c>
      <c r="N163" t="str">
        <f t="array" ref="N163">iferror(index(stomachs!$G:$G,match($A163,stomachs!$A:$A,0)))</f>
        <v>BST236-6</v>
      </c>
      <c r="O163" t="str">
        <f t="array" ref="O163">iferror(index(stomachs!$J:$J,match($A163,stomachs!$A:$A,0)))</f>
        <v>N</v>
      </c>
      <c r="P163" t="str">
        <f t="array" ref="P163">iferror(index(sea_lice!$G:$G,match($A163,sea_lice!$A:$A,0)))</f>
        <v/>
      </c>
      <c r="Q163" t="str">
        <f t="array" ref="Q163">iferror(index(sea_lice!$J:$J,match($A163,sea_lice!$A:$A,0)))</f>
        <v/>
      </c>
      <c r="R163" s="40" t="str">
        <f t="array" ref="R163">iferror(index(dissected_fish!$F:$F,match($A163,dissected_fish!$A:$A,0)))</f>
        <v>BCA100</v>
      </c>
      <c r="S163" s="40" t="str">
        <f t="array" ref="S163">iferror(index(dissected_fish!$K:$K,match($A163,dissected_fish!$A:$A,0)))</f>
        <v>N</v>
      </c>
      <c r="T163" s="61" t="str">
        <f t="array" ref="T163">index(fish_lab_data!O:O,match(A163,fish_lab_data!C:C,0))</f>
        <v>KB</v>
      </c>
      <c r="U163" s="61">
        <f t="array" ref="U163">if(A163="","",index(fish_lab_data!X:X,match(A163,fish_lab_data!C:C,0)))</f>
        <v>162</v>
      </c>
    </row>
    <row r="164">
      <c r="A164" t="str">
        <f>fish_lab_data!C164</f>
        <v>U5238</v>
      </c>
      <c r="B164" t="str">
        <f t="array" ref="B164">iferror(index('rna-muscle'!$I:$I,match($A164,'rna-muscle'!$A:$A,0)))</f>
        <v>BRN64M-C5</v>
      </c>
      <c r="C164" t="str">
        <f t="array" ref="C164">iferror(index('rna-muscle'!$L:$L,match($A164,'rna-muscle'!$A:$A,0)))</f>
        <v>N</v>
      </c>
      <c r="D164" t="str">
        <f t="array" ref="D164">iferror(index('rna-gill'!$I:$I,match($A164,'rna-gill'!$A:$A,0)))</f>
        <v>BRN64G-C5</v>
      </c>
      <c r="E164" t="str">
        <f t="array" ref="E164">iferror(index('rna-gill'!$L:$L,match($A164,'rna-gill'!$A:$A,0)))</f>
        <v>N</v>
      </c>
      <c r="F164" t="str">
        <f t="array" ref="F164">iferror(index(fatty_acid!$G:$G,match($A164,fatty_acid!$A:$A,0)))</f>
        <v>BFA23-14</v>
      </c>
      <c r="G164" t="str">
        <f t="array" ref="G164">iferror(index(fatty_acid!$J:$J,match($A164,fatty_acid!$A:$A,0)))</f>
        <v>N</v>
      </c>
      <c r="H164" t="str">
        <f t="array" ref="H164">iferror(index(isotopes!$G:$G,match($A164,isotopes!$A:$A,0)))</f>
        <v>BIS25-14</v>
      </c>
      <c r="I164" t="str">
        <f t="array" ref="I164">iferror(index(isotopes!$J:$J,match($A164,isotopes!$A:$A,0)))</f>
        <v>N</v>
      </c>
      <c r="J164" t="str">
        <f t="array" ref="J164">iferror(index(extra_muscle!$G:$G,match($A164,extra_muscle!$A:$A,0)))</f>
        <v>BXM24-14</v>
      </c>
      <c r="K164" t="str">
        <f t="array" ref="K164">iferror(index(extra_muscle!$J:$J,match($A164,extra_muscle!$A:$A,0)))</f>
        <v>N</v>
      </c>
      <c r="L164" s="59" t="str">
        <f t="array" ref="L164">iferror(index(dna!$G:$G,match($A164,dna!$A:$A,0)))</f>
        <v/>
      </c>
      <c r="M164" s="60" t="str">
        <f t="array" ref="M164">iferror(index(dna!$J:$J,match($A164,dna!$A:$A,0)))</f>
        <v/>
      </c>
      <c r="N164" t="str">
        <f t="array" ref="N164">iferror(index(stomachs!$G:$G,match($A164,stomachs!$A:$A,0)))</f>
        <v>BST236-7</v>
      </c>
      <c r="O164" t="str">
        <f t="array" ref="O164">iferror(index(stomachs!$J:$J,match($A164,stomachs!$A:$A,0)))</f>
        <v>N</v>
      </c>
      <c r="P164" t="str">
        <f t="array" ref="P164">iferror(index(sea_lice!$G:$G,match($A164,sea_lice!$A:$A,0)))</f>
        <v/>
      </c>
      <c r="Q164" t="str">
        <f t="array" ref="Q164">iferror(index(sea_lice!$J:$J,match($A164,sea_lice!$A:$A,0)))</f>
        <v/>
      </c>
      <c r="R164" s="40" t="str">
        <f t="array" ref="R164">iferror(index(dissected_fish!$F:$F,match($A164,dissected_fish!$A:$A,0)))</f>
        <v>BCA100</v>
      </c>
      <c r="S164" s="40" t="str">
        <f t="array" ref="S164">iferror(index(dissected_fish!$K:$K,match($A164,dissected_fish!$A:$A,0)))</f>
        <v>N</v>
      </c>
      <c r="T164" s="61" t="str">
        <f t="array" ref="T164">index(fish_lab_data!O:O,match(A164,fish_lab_data!C:C,0))</f>
        <v>KB</v>
      </c>
      <c r="U164" s="61">
        <f t="array" ref="U164">if(A164="","",index(fish_lab_data!X:X,match(A164,fish_lab_data!C:C,0)))</f>
        <v>163</v>
      </c>
    </row>
    <row r="165">
      <c r="A165" t="str">
        <f>fish_lab_data!C165</f>
        <v>U5239</v>
      </c>
      <c r="B165" t="str">
        <f t="array" ref="B165">iferror(index('rna-muscle'!$I:$I,match($A165,'rna-muscle'!$A:$A,0)))</f>
        <v>BRN64M-B5</v>
      </c>
      <c r="C165" t="str">
        <f t="array" ref="C165">iferror(index('rna-muscle'!$L:$L,match($A165,'rna-muscle'!$A:$A,0)))</f>
        <v>N</v>
      </c>
      <c r="D165" t="str">
        <f t="array" ref="D165">iferror(index('rna-gill'!$I:$I,match($A165,'rna-gill'!$A:$A,0)))</f>
        <v>BRN64G-B5</v>
      </c>
      <c r="E165" t="str">
        <f t="array" ref="E165">iferror(index('rna-gill'!$L:$L,match($A165,'rna-gill'!$A:$A,0)))</f>
        <v>N</v>
      </c>
      <c r="F165" t="str">
        <f t="array" ref="F165">iferror(index(fatty_acid!$G:$G,match($A165,fatty_acid!$A:$A,0)))</f>
        <v>BFA23-15</v>
      </c>
      <c r="G165" t="str">
        <f t="array" ref="G165">iferror(index(fatty_acid!$J:$J,match($A165,fatty_acid!$A:$A,0)))</f>
        <v>N</v>
      </c>
      <c r="H165" t="str">
        <f t="array" ref="H165">iferror(index(isotopes!$G:$G,match($A165,isotopes!$A:$A,0)))</f>
        <v>BIS25-15</v>
      </c>
      <c r="I165" t="str">
        <f t="array" ref="I165">iferror(index(isotopes!$J:$J,match($A165,isotopes!$A:$A,0)))</f>
        <v>N</v>
      </c>
      <c r="J165" t="str">
        <f t="array" ref="J165">iferror(index(extra_muscle!$G:$G,match($A165,extra_muscle!$A:$A,0)))</f>
        <v>BXM24-15</v>
      </c>
      <c r="K165" t="str">
        <f t="array" ref="K165">iferror(index(extra_muscle!$J:$J,match($A165,extra_muscle!$A:$A,0)))</f>
        <v>N</v>
      </c>
      <c r="L165" s="59" t="str">
        <f t="array" ref="L165">iferror(index(dna!$G:$G,match($A165,dna!$A:$A,0)))</f>
        <v/>
      </c>
      <c r="M165" s="60" t="str">
        <f t="array" ref="M165">iferror(index(dna!$J:$J,match($A165,dna!$A:$A,0)))</f>
        <v/>
      </c>
      <c r="N165" t="str">
        <f t="array" ref="N165">iferror(index(stomachs!$G:$G,match($A165,stomachs!$A:$A,0)))</f>
        <v>BST236-8</v>
      </c>
      <c r="O165" t="str">
        <f t="array" ref="O165">iferror(index(stomachs!$J:$J,match($A165,stomachs!$A:$A,0)))</f>
        <v>N</v>
      </c>
      <c r="P165" t="str">
        <f t="array" ref="P165">iferror(index(sea_lice!$G:$G,match($A165,sea_lice!$A:$A,0)))</f>
        <v/>
      </c>
      <c r="Q165" t="str">
        <f t="array" ref="Q165">iferror(index(sea_lice!$J:$J,match($A165,sea_lice!$A:$A,0)))</f>
        <v/>
      </c>
      <c r="R165" s="40" t="str">
        <f t="array" ref="R165">iferror(index(dissected_fish!$F:$F,match($A165,dissected_fish!$A:$A,0)))</f>
        <v>BCA100</v>
      </c>
      <c r="S165" s="40" t="str">
        <f t="array" ref="S165">iferror(index(dissected_fish!$K:$K,match($A165,dissected_fish!$A:$A,0)))</f>
        <v>N</v>
      </c>
      <c r="T165" s="61" t="str">
        <f t="array" ref="T165">index(fish_lab_data!O:O,match(A165,fish_lab_data!C:C,0))</f>
        <v>KB</v>
      </c>
      <c r="U165" s="61">
        <f t="array" ref="U165">if(A165="","",index(fish_lab_data!X:X,match(A165,fish_lab_data!C:C,0)))</f>
        <v>164</v>
      </c>
    </row>
    <row r="166">
      <c r="A166" t="str">
        <f>fish_lab_data!C166</f>
        <v>U5240</v>
      </c>
      <c r="B166" t="str">
        <f t="array" ref="B166">iferror(index('rna-muscle'!$I:$I,match($A166,'rna-muscle'!$A:$A,0)))</f>
        <v>BRN64M-A5</v>
      </c>
      <c r="C166" t="str">
        <f t="array" ref="C166">iferror(index('rna-muscle'!$L:$L,match($A166,'rna-muscle'!$A:$A,0)))</f>
        <v>N</v>
      </c>
      <c r="D166" t="str">
        <f t="array" ref="D166">iferror(index('rna-gill'!$I:$I,match($A166,'rna-gill'!$A:$A,0)))</f>
        <v>BRN64G-A5</v>
      </c>
      <c r="E166" t="str">
        <f t="array" ref="E166">iferror(index('rna-gill'!$L:$L,match($A166,'rna-gill'!$A:$A,0)))</f>
        <v>N</v>
      </c>
      <c r="F166" t="str">
        <f t="array" ref="F166">iferror(index(fatty_acid!$G:$G,match($A166,fatty_acid!$A:$A,0)))</f>
        <v>BFA23-16</v>
      </c>
      <c r="G166" t="str">
        <f t="array" ref="G166">iferror(index(fatty_acid!$J:$J,match($A166,fatty_acid!$A:$A,0)))</f>
        <v>N</v>
      </c>
      <c r="H166" t="str">
        <f t="array" ref="H166">iferror(index(isotopes!$G:$G,match($A166,isotopes!$A:$A,0)))</f>
        <v>BIS25-16</v>
      </c>
      <c r="I166" t="str">
        <f t="array" ref="I166">iferror(index(isotopes!$J:$J,match($A166,isotopes!$A:$A,0)))</f>
        <v>N</v>
      </c>
      <c r="J166" t="str">
        <f t="array" ref="J166">iferror(index(extra_muscle!$G:$G,match($A166,extra_muscle!$A:$A,0)))</f>
        <v>BXM24-16</v>
      </c>
      <c r="K166" t="str">
        <f t="array" ref="K166">iferror(index(extra_muscle!$J:$J,match($A166,extra_muscle!$A:$A,0)))</f>
        <v>N</v>
      </c>
      <c r="L166" s="59" t="str">
        <f t="array" ref="L166">iferror(index(dna!$G:$G,match($A166,dna!$A:$A,0)))</f>
        <v/>
      </c>
      <c r="M166" s="60" t="str">
        <f t="array" ref="M166">iferror(index(dna!$J:$J,match($A166,dna!$A:$A,0)))</f>
        <v/>
      </c>
      <c r="N166" t="str">
        <f t="array" ref="N166">iferror(index(stomachs!$G:$G,match($A166,stomachs!$A:$A,0)))</f>
        <v>BST236-9</v>
      </c>
      <c r="O166" t="str">
        <f t="array" ref="O166">iferror(index(stomachs!$J:$J,match($A166,stomachs!$A:$A,0)))</f>
        <v>N</v>
      </c>
      <c r="P166" t="str">
        <f t="array" ref="P166">iferror(index(sea_lice!$G:$G,match($A166,sea_lice!$A:$A,0)))</f>
        <v/>
      </c>
      <c r="Q166" t="str">
        <f t="array" ref="Q166">iferror(index(sea_lice!$J:$J,match($A166,sea_lice!$A:$A,0)))</f>
        <v/>
      </c>
      <c r="R166" s="40" t="str">
        <f t="array" ref="R166">iferror(index(dissected_fish!$F:$F,match($A166,dissected_fish!$A:$A,0)))</f>
        <v>BCA100</v>
      </c>
      <c r="S166" s="40" t="str">
        <f t="array" ref="S166">iferror(index(dissected_fish!$K:$K,match($A166,dissected_fish!$A:$A,0)))</f>
        <v>N</v>
      </c>
      <c r="T166" s="61" t="str">
        <f t="array" ref="T166">index(fish_lab_data!O:O,match(A166,fish_lab_data!C:C,0))</f>
        <v>KB</v>
      </c>
      <c r="U166" s="61">
        <f t="array" ref="U166">if(A166="","",index(fish_lab_data!X:X,match(A166,fish_lab_data!C:C,0)))</f>
        <v>165</v>
      </c>
    </row>
    <row r="167">
      <c r="A167" t="str">
        <f>fish_lab_data!C167</f>
        <v>U5241</v>
      </c>
      <c r="B167" t="str">
        <f t="array" ref="B167">iferror(index('rna-muscle'!$I:$I,match($A167,'rna-muscle'!$A:$A,0)))</f>
        <v>BRN64M-F6</v>
      </c>
      <c r="C167" t="str">
        <f t="array" ref="C167">iferror(index('rna-muscle'!$L:$L,match($A167,'rna-muscle'!$A:$A,0)))</f>
        <v>N</v>
      </c>
      <c r="D167" t="str">
        <f t="array" ref="D167">iferror(index('rna-gill'!$I:$I,match($A167,'rna-gill'!$A:$A,0)))</f>
        <v>BRN64G-F6</v>
      </c>
      <c r="E167" t="str">
        <f t="array" ref="E167">iferror(index('rna-gill'!$L:$L,match($A167,'rna-gill'!$A:$A,0)))</f>
        <v>N</v>
      </c>
      <c r="F167" t="str">
        <f t="array" ref="F167">iferror(index(fatty_acid!$G:$G,match($A167,fatty_acid!$A:$A,0)))</f>
        <v>BFA23-17</v>
      </c>
      <c r="G167" t="str">
        <f t="array" ref="G167">iferror(index(fatty_acid!$J:$J,match($A167,fatty_acid!$A:$A,0)))</f>
        <v>N</v>
      </c>
      <c r="H167" t="str">
        <f t="array" ref="H167">iferror(index(isotopes!$G:$G,match($A167,isotopes!$A:$A,0)))</f>
        <v>BIS25-17</v>
      </c>
      <c r="I167" t="str">
        <f t="array" ref="I167">iferror(index(isotopes!$J:$J,match($A167,isotopes!$A:$A,0)))</f>
        <v>N</v>
      </c>
      <c r="J167" t="str">
        <f t="array" ref="J167">iferror(index(extra_muscle!$G:$G,match($A167,extra_muscle!$A:$A,0)))</f>
        <v>BXM24-17</v>
      </c>
      <c r="K167" t="str">
        <f t="array" ref="K167">iferror(index(extra_muscle!$J:$J,match($A167,extra_muscle!$A:$A,0)))</f>
        <v>N</v>
      </c>
      <c r="L167" s="59" t="str">
        <f t="array" ref="L167">iferror(index(dna!$G:$G,match($A167,dna!$A:$A,0)))</f>
        <v/>
      </c>
      <c r="M167" s="60" t="str">
        <f t="array" ref="M167">iferror(index(dna!$J:$J,match($A167,dna!$A:$A,0)))</f>
        <v/>
      </c>
      <c r="N167" t="str">
        <f t="array" ref="N167">iferror(index(stomachs!$G:$G,match($A167,stomachs!$A:$A,0)))</f>
        <v>BST236-10</v>
      </c>
      <c r="O167" t="str">
        <f t="array" ref="O167">iferror(index(stomachs!$J:$J,match($A167,stomachs!$A:$A,0)))</f>
        <v>N</v>
      </c>
      <c r="P167" t="str">
        <f t="array" ref="P167">iferror(index(sea_lice!$G:$G,match($A167,sea_lice!$A:$A,0)))</f>
        <v/>
      </c>
      <c r="Q167" t="str">
        <f t="array" ref="Q167">iferror(index(sea_lice!$J:$J,match($A167,sea_lice!$A:$A,0)))</f>
        <v/>
      </c>
      <c r="R167" s="40" t="str">
        <f t="array" ref="R167">iferror(index(dissected_fish!$F:$F,match($A167,dissected_fish!$A:$A,0)))</f>
        <v>BCA100</v>
      </c>
      <c r="S167" s="40" t="str">
        <f t="array" ref="S167">iferror(index(dissected_fish!$K:$K,match($A167,dissected_fish!$A:$A,0)))</f>
        <v>N</v>
      </c>
      <c r="T167" s="61" t="str">
        <f t="array" ref="T167">index(fish_lab_data!O:O,match(A167,fish_lab_data!C:C,0))</f>
        <v>KB</v>
      </c>
      <c r="U167" s="61">
        <f t="array" ref="U167">if(A167="","",index(fish_lab_data!X:X,match(A167,fish_lab_data!C:C,0)))</f>
        <v>166</v>
      </c>
    </row>
    <row r="168">
      <c r="A168" t="str">
        <f>fish_lab_data!C168</f>
        <v>U5242</v>
      </c>
      <c r="B168" t="str">
        <f t="array" ref="B168">iferror(index('rna-muscle'!$I:$I,match($A168,'rna-muscle'!$A:$A,0)))</f>
        <v>BRN64M-E6</v>
      </c>
      <c r="C168" t="str">
        <f t="array" ref="C168">iferror(index('rna-muscle'!$L:$L,match($A168,'rna-muscle'!$A:$A,0)))</f>
        <v>N</v>
      </c>
      <c r="D168" t="str">
        <f t="array" ref="D168">iferror(index('rna-gill'!$I:$I,match($A168,'rna-gill'!$A:$A,0)))</f>
        <v>BRN64G-E6</v>
      </c>
      <c r="E168" t="str">
        <f t="array" ref="E168">iferror(index('rna-gill'!$L:$L,match($A168,'rna-gill'!$A:$A,0)))</f>
        <v>N</v>
      </c>
      <c r="F168" t="str">
        <f t="array" ref="F168">iferror(index(fatty_acid!$G:$G,match($A168,fatty_acid!$A:$A,0)))</f>
        <v>BFA23-18</v>
      </c>
      <c r="G168" t="str">
        <f t="array" ref="G168">iferror(index(fatty_acid!$J:$J,match($A168,fatty_acid!$A:$A,0)))</f>
        <v>N</v>
      </c>
      <c r="H168" t="str">
        <f t="array" ref="H168">iferror(index(isotopes!$G:$G,match($A168,isotopes!$A:$A,0)))</f>
        <v>BIS25-18</v>
      </c>
      <c r="I168" t="str">
        <f t="array" ref="I168">iferror(index(isotopes!$J:$J,match($A168,isotopes!$A:$A,0)))</f>
        <v>N</v>
      </c>
      <c r="J168" t="str">
        <f t="array" ref="J168">iferror(index(extra_muscle!$G:$G,match($A168,extra_muscle!$A:$A,0)))</f>
        <v>BXM24-18</v>
      </c>
      <c r="K168" t="str">
        <f t="array" ref="K168">iferror(index(extra_muscle!$J:$J,match($A168,extra_muscle!$A:$A,0)))</f>
        <v>N</v>
      </c>
      <c r="L168" s="59" t="str">
        <f t="array" ref="L168">iferror(index(dna!$G:$G,match($A168,dna!$A:$A,0)))</f>
        <v/>
      </c>
      <c r="M168" s="60" t="str">
        <f t="array" ref="M168">iferror(index(dna!$J:$J,match($A168,dna!$A:$A,0)))</f>
        <v/>
      </c>
      <c r="N168" t="str">
        <f t="array" ref="N168">iferror(index(stomachs!$G:$G,match($A168,stomachs!$A:$A,0)))</f>
        <v>BST236-11</v>
      </c>
      <c r="O168" t="str">
        <f t="array" ref="O168">iferror(index(stomachs!$J:$J,match($A168,stomachs!$A:$A,0)))</f>
        <v>N</v>
      </c>
      <c r="P168" t="str">
        <f t="array" ref="P168">iferror(index(sea_lice!$G:$G,match($A168,sea_lice!$A:$A,0)))</f>
        <v/>
      </c>
      <c r="Q168" t="str">
        <f t="array" ref="Q168">iferror(index(sea_lice!$J:$J,match($A168,sea_lice!$A:$A,0)))</f>
        <v/>
      </c>
      <c r="R168" s="40" t="str">
        <f t="array" ref="R168">iferror(index(dissected_fish!$F:$F,match($A168,dissected_fish!$A:$A,0)))</f>
        <v>BCA100</v>
      </c>
      <c r="S168" s="40" t="str">
        <f t="array" ref="S168">iferror(index(dissected_fish!$K:$K,match($A168,dissected_fish!$A:$A,0)))</f>
        <v>N</v>
      </c>
      <c r="T168" s="61" t="str">
        <f t="array" ref="T168">index(fish_lab_data!O:O,match(A168,fish_lab_data!C:C,0))</f>
        <v>KB</v>
      </c>
      <c r="U168" s="61">
        <f t="array" ref="U168">if(A168="","",index(fish_lab_data!X:X,match(A168,fish_lab_data!C:C,0)))</f>
        <v>167</v>
      </c>
    </row>
    <row r="169">
      <c r="A169" t="str">
        <f>fish_lab_data!C169</f>
        <v>U5243</v>
      </c>
      <c r="B169" t="str">
        <f t="array" ref="B169">iferror(index('rna-muscle'!$I:$I,match($A169,'rna-muscle'!$A:$A,0)))</f>
        <v>BRN64M-D6</v>
      </c>
      <c r="C169" t="str">
        <f t="array" ref="C169">iferror(index('rna-muscle'!$L:$L,match($A169,'rna-muscle'!$A:$A,0)))</f>
        <v>N</v>
      </c>
      <c r="D169" t="str">
        <f t="array" ref="D169">iferror(index('rna-gill'!$I:$I,match($A169,'rna-gill'!$A:$A,0)))</f>
        <v>BRN64G-D6</v>
      </c>
      <c r="E169" t="str">
        <f t="array" ref="E169">iferror(index('rna-gill'!$L:$L,match($A169,'rna-gill'!$A:$A,0)))</f>
        <v>N</v>
      </c>
      <c r="F169" t="str">
        <f t="array" ref="F169">iferror(index(fatty_acid!$G:$G,match($A169,fatty_acid!$A:$A,0)))</f>
        <v>BFA23-19</v>
      </c>
      <c r="G169" t="str">
        <f t="array" ref="G169">iferror(index(fatty_acid!$J:$J,match($A169,fatty_acid!$A:$A,0)))</f>
        <v>N</v>
      </c>
      <c r="H169" t="str">
        <f t="array" ref="H169">iferror(index(isotopes!$G:$G,match($A169,isotopes!$A:$A,0)))</f>
        <v>BIS25-19</v>
      </c>
      <c r="I169" t="str">
        <f t="array" ref="I169">iferror(index(isotopes!$J:$J,match($A169,isotopes!$A:$A,0)))</f>
        <v>N</v>
      </c>
      <c r="J169" t="str">
        <f t="array" ref="J169">iferror(index(extra_muscle!$G:$G,match($A169,extra_muscle!$A:$A,0)))</f>
        <v>BXM24-19</v>
      </c>
      <c r="K169" t="str">
        <f t="array" ref="K169">iferror(index(extra_muscle!$J:$J,match($A169,extra_muscle!$A:$A,0)))</f>
        <v>N</v>
      </c>
      <c r="L169" s="59" t="str">
        <f t="array" ref="L169">iferror(index(dna!$G:$G,match($A169,dna!$A:$A,0)))</f>
        <v/>
      </c>
      <c r="M169" s="60" t="str">
        <f t="array" ref="M169">iferror(index(dna!$J:$J,match($A169,dna!$A:$A,0)))</f>
        <v/>
      </c>
      <c r="N169" t="str">
        <f t="array" ref="N169">iferror(index(stomachs!$G:$G,match($A169,stomachs!$A:$A,0)))</f>
        <v>BST236-12</v>
      </c>
      <c r="O169" t="str">
        <f t="array" ref="O169">iferror(index(stomachs!$J:$J,match($A169,stomachs!$A:$A,0)))</f>
        <v>N</v>
      </c>
      <c r="P169" t="str">
        <f t="array" ref="P169">iferror(index(sea_lice!$G:$G,match($A169,sea_lice!$A:$A,0)))</f>
        <v/>
      </c>
      <c r="Q169" t="str">
        <f t="array" ref="Q169">iferror(index(sea_lice!$J:$J,match($A169,sea_lice!$A:$A,0)))</f>
        <v/>
      </c>
      <c r="R169" s="40" t="str">
        <f t="array" ref="R169">iferror(index(dissected_fish!$F:$F,match($A169,dissected_fish!$A:$A,0)))</f>
        <v>BCA100</v>
      </c>
      <c r="S169" s="40" t="str">
        <f t="array" ref="S169">iferror(index(dissected_fish!$K:$K,match($A169,dissected_fish!$A:$A,0)))</f>
        <v>N</v>
      </c>
      <c r="T169" s="61" t="str">
        <f t="array" ref="T169">index(fish_lab_data!O:O,match(A169,fish_lab_data!C:C,0))</f>
        <v>KB</v>
      </c>
      <c r="U169" s="61">
        <f t="array" ref="U169">if(A169="","",index(fish_lab_data!X:X,match(A169,fish_lab_data!C:C,0)))</f>
        <v>168</v>
      </c>
    </row>
    <row r="170">
      <c r="A170" t="str">
        <f>fish_lab_data!C170</f>
        <v>U5244</v>
      </c>
      <c r="B170" t="str">
        <f t="array" ref="B170">iferror(index('rna-muscle'!$I:$I,match($A170,'rna-muscle'!$A:$A,0)))</f>
        <v>BRN64M-C6</v>
      </c>
      <c r="C170" t="str">
        <f t="array" ref="C170">iferror(index('rna-muscle'!$L:$L,match($A170,'rna-muscle'!$A:$A,0)))</f>
        <v>N</v>
      </c>
      <c r="D170" t="str">
        <f t="array" ref="D170">iferror(index('rna-gill'!$I:$I,match($A170,'rna-gill'!$A:$A,0)))</f>
        <v>BRN64G-C6</v>
      </c>
      <c r="E170" t="str">
        <f t="array" ref="E170">iferror(index('rna-gill'!$L:$L,match($A170,'rna-gill'!$A:$A,0)))</f>
        <v>N</v>
      </c>
      <c r="F170" t="str">
        <f t="array" ref="F170">iferror(index(fatty_acid!$G:$G,match($A170,fatty_acid!$A:$A,0)))</f>
        <v>BFA23-20</v>
      </c>
      <c r="G170" t="str">
        <f t="array" ref="G170">iferror(index(fatty_acid!$J:$J,match($A170,fatty_acid!$A:$A,0)))</f>
        <v>N</v>
      </c>
      <c r="H170" t="str">
        <f t="array" ref="H170">iferror(index(isotopes!$G:$G,match($A170,isotopes!$A:$A,0)))</f>
        <v>BIS25-20</v>
      </c>
      <c r="I170" t="str">
        <f t="array" ref="I170">iferror(index(isotopes!$J:$J,match($A170,isotopes!$A:$A,0)))</f>
        <v>N</v>
      </c>
      <c r="J170" t="str">
        <f t="array" ref="J170">iferror(index(extra_muscle!$G:$G,match($A170,extra_muscle!$A:$A,0)))</f>
        <v>BXM24-20</v>
      </c>
      <c r="K170" t="str">
        <f t="array" ref="K170">iferror(index(extra_muscle!$J:$J,match($A170,extra_muscle!$A:$A,0)))</f>
        <v>N</v>
      </c>
      <c r="L170" s="59" t="str">
        <f t="array" ref="L170">iferror(index(dna!$G:$G,match($A170,dna!$A:$A,0)))</f>
        <v/>
      </c>
      <c r="M170" s="60" t="str">
        <f t="array" ref="M170">iferror(index(dna!$J:$J,match($A170,dna!$A:$A,0)))</f>
        <v/>
      </c>
      <c r="N170" t="str">
        <f t="array" ref="N170">iferror(index(stomachs!$G:$G,match($A170,stomachs!$A:$A,0)))</f>
        <v>BST236-13</v>
      </c>
      <c r="O170" t="str">
        <f t="array" ref="O170">iferror(index(stomachs!$J:$J,match($A170,stomachs!$A:$A,0)))</f>
        <v>N</v>
      </c>
      <c r="P170" t="str">
        <f t="array" ref="P170">iferror(index(sea_lice!$G:$G,match($A170,sea_lice!$A:$A,0)))</f>
        <v/>
      </c>
      <c r="Q170" t="str">
        <f t="array" ref="Q170">iferror(index(sea_lice!$J:$J,match($A170,sea_lice!$A:$A,0)))</f>
        <v/>
      </c>
      <c r="R170" s="40" t="str">
        <f t="array" ref="R170">iferror(index(dissected_fish!$F:$F,match($A170,dissected_fish!$A:$A,0)))</f>
        <v>BCA100</v>
      </c>
      <c r="S170" s="40" t="str">
        <f t="array" ref="S170">iferror(index(dissected_fish!$K:$K,match($A170,dissected_fish!$A:$A,0)))</f>
        <v>N</v>
      </c>
      <c r="T170" s="61" t="str">
        <f t="array" ref="T170">index(fish_lab_data!O:O,match(A170,fish_lab_data!C:C,0))</f>
        <v>KB</v>
      </c>
      <c r="U170" s="61">
        <f t="array" ref="U170">if(A170="","",index(fish_lab_data!X:X,match(A170,fish_lab_data!C:C,0)))</f>
        <v>169</v>
      </c>
    </row>
    <row r="171">
      <c r="A171" t="str">
        <f>fish_lab_data!C171</f>
        <v>U5287</v>
      </c>
      <c r="B171" t="str">
        <f t="array" ref="B171">iferror(index('rna-muscle'!$I:$I,match($A171,'rna-muscle'!$A:$A,0)))</f>
        <v>BRN56M-H11</v>
      </c>
      <c r="C171" t="str">
        <f t="array" ref="C171">iferror(index('rna-muscle'!$L:$L,match($A171,'rna-muscle'!$A:$A,0)))</f>
        <v>N</v>
      </c>
      <c r="D171" t="str">
        <f t="array" ref="D171">iferror(index('rna-gill'!$I:$I,match($A171,'rna-gill'!$A:$A,0)))</f>
        <v>BRN56G-H11</v>
      </c>
      <c r="E171" t="str">
        <f t="array" ref="E171">iferror(index('rna-gill'!$L:$L,match($A171,'rna-gill'!$A:$A,0)))</f>
        <v>N</v>
      </c>
      <c r="F171" t="str">
        <f t="array" ref="F171">iferror(index(fatty_acid!$G:$G,match($A171,fatty_acid!$A:$A,0)))</f>
        <v>BFA23-21</v>
      </c>
      <c r="G171" t="str">
        <f t="array" ref="G171">iferror(index(fatty_acid!$J:$J,match($A171,fatty_acid!$A:$A,0)))</f>
        <v>N</v>
      </c>
      <c r="H171" t="str">
        <f t="array" ref="H171">iferror(index(isotopes!$G:$G,match($A171,isotopes!$A:$A,0)))</f>
        <v>BIS25-21</v>
      </c>
      <c r="I171" t="str">
        <f t="array" ref="I171">iferror(index(isotopes!$J:$J,match($A171,isotopes!$A:$A,0)))</f>
        <v>N</v>
      </c>
      <c r="J171" t="str">
        <f t="array" ref="J171">iferror(index(extra_muscle!$G:$G,match($A171,extra_muscle!$A:$A,0)))</f>
        <v>BXM24-21</v>
      </c>
      <c r="K171" t="str">
        <f t="array" ref="K171">iferror(index(extra_muscle!$J:$J,match($A171,extra_muscle!$A:$A,0)))</f>
        <v>N</v>
      </c>
      <c r="L171" s="59" t="str">
        <f t="array" ref="L171">iferror(index(dna!$G:$G,match($A171,dna!$A:$A,0)))</f>
        <v/>
      </c>
      <c r="M171" s="60" t="str">
        <f t="array" ref="M171">iferror(index(dna!$J:$J,match($A171,dna!$A:$A,0)))</f>
        <v/>
      </c>
      <c r="N171" t="str">
        <f t="array" ref="N171">iferror(index(stomachs!$G:$G,match($A171,stomachs!$A:$A,0)))</f>
        <v>BST238-1</v>
      </c>
      <c r="O171" t="str">
        <f t="array" ref="O171">iferror(index(stomachs!$J:$J,match($A171,stomachs!$A:$A,0)))</f>
        <v>N</v>
      </c>
      <c r="P171" t="str">
        <f t="array" ref="P171">iferror(index(sea_lice!$G:$G,match($A171,sea_lice!$A:$A,0)))</f>
        <v/>
      </c>
      <c r="Q171" t="str">
        <f t="array" ref="Q171">iferror(index(sea_lice!$J:$J,match($A171,sea_lice!$A:$A,0)))</f>
        <v/>
      </c>
      <c r="R171" s="40" t="str">
        <f t="array" ref="R171">iferror(index(dissected_fish!$F:$F,match($A171,dissected_fish!$A:$A,0)))</f>
        <v>BCA100</v>
      </c>
      <c r="S171" s="40" t="str">
        <f t="array" ref="S171">iferror(index(dissected_fish!$K:$K,match($A171,dissected_fish!$A:$A,0)))</f>
        <v>N</v>
      </c>
      <c r="T171" s="61" t="str">
        <f t="array" ref="T171">index(fish_lab_data!O:O,match(A171,fish_lab_data!C:C,0))</f>
        <v>KB</v>
      </c>
      <c r="U171" s="61">
        <f t="array" ref="U171">if(A171="","",index(fish_lab_data!X:X,match(A171,fish_lab_data!C:C,0)))</f>
        <v>170</v>
      </c>
    </row>
    <row r="172">
      <c r="A172" t="str">
        <f>fish_lab_data!C172</f>
        <v>U5288</v>
      </c>
      <c r="B172" t="str">
        <f t="array" ref="B172">iferror(index('rna-muscle'!$I:$I,match($A172,'rna-muscle'!$A:$A,0)))</f>
        <v>BRN56M-G11</v>
      </c>
      <c r="C172" t="str">
        <f t="array" ref="C172">iferror(index('rna-muscle'!$L:$L,match($A172,'rna-muscle'!$A:$A,0)))</f>
        <v>N</v>
      </c>
      <c r="D172" t="str">
        <f t="array" ref="D172">iferror(index('rna-gill'!$I:$I,match($A172,'rna-gill'!$A:$A,0)))</f>
        <v>BRN56G-G11</v>
      </c>
      <c r="E172" t="str">
        <f t="array" ref="E172">iferror(index('rna-gill'!$L:$L,match($A172,'rna-gill'!$A:$A,0)))</f>
        <v>N</v>
      </c>
      <c r="F172" t="str">
        <f t="array" ref="F172">iferror(index(fatty_acid!$G:$G,match($A172,fatty_acid!$A:$A,0)))</f>
        <v>BFA23-22</v>
      </c>
      <c r="G172" t="str">
        <f t="array" ref="G172">iferror(index(fatty_acid!$J:$J,match($A172,fatty_acid!$A:$A,0)))</f>
        <v>N</v>
      </c>
      <c r="H172" t="str">
        <f t="array" ref="H172">iferror(index(isotopes!$G:$G,match($A172,isotopes!$A:$A,0)))</f>
        <v>BIS25-22</v>
      </c>
      <c r="I172" t="str">
        <f t="array" ref="I172">iferror(index(isotopes!$J:$J,match($A172,isotopes!$A:$A,0)))</f>
        <v>N</v>
      </c>
      <c r="J172" t="str">
        <f t="array" ref="J172">iferror(index(extra_muscle!$G:$G,match($A172,extra_muscle!$A:$A,0)))</f>
        <v>BXM24-22</v>
      </c>
      <c r="K172" t="str">
        <f t="array" ref="K172">iferror(index(extra_muscle!$J:$J,match($A172,extra_muscle!$A:$A,0)))</f>
        <v>N</v>
      </c>
      <c r="L172" s="59" t="str">
        <f t="array" ref="L172">iferror(index(dna!$G:$G,match($A172,dna!$A:$A,0)))</f>
        <v/>
      </c>
      <c r="M172" s="60" t="str">
        <f t="array" ref="M172">iferror(index(dna!$J:$J,match($A172,dna!$A:$A,0)))</f>
        <v/>
      </c>
      <c r="N172" t="str">
        <f t="array" ref="N172">iferror(index(stomachs!$G:$G,match($A172,stomachs!$A:$A,0)))</f>
        <v>BST238-2</v>
      </c>
      <c r="O172" t="str">
        <f t="array" ref="O172">iferror(index(stomachs!$J:$J,match($A172,stomachs!$A:$A,0)))</f>
        <v>N</v>
      </c>
      <c r="P172" t="str">
        <f t="array" ref="P172">iferror(index(sea_lice!$G:$G,match($A172,sea_lice!$A:$A,0)))</f>
        <v/>
      </c>
      <c r="Q172" t="str">
        <f t="array" ref="Q172">iferror(index(sea_lice!$J:$J,match($A172,sea_lice!$A:$A,0)))</f>
        <v/>
      </c>
      <c r="R172" s="40" t="str">
        <f t="array" ref="R172">iferror(index(dissected_fish!$F:$F,match($A172,dissected_fish!$A:$A,0)))</f>
        <v>BCA100</v>
      </c>
      <c r="S172" s="40" t="str">
        <f t="array" ref="S172">iferror(index(dissected_fish!$K:$K,match($A172,dissected_fish!$A:$A,0)))</f>
        <v>N</v>
      </c>
      <c r="T172" s="61" t="str">
        <f t="array" ref="T172">index(fish_lab_data!O:O,match(A172,fish_lab_data!C:C,0))</f>
        <v>KB</v>
      </c>
      <c r="U172" s="61">
        <f t="array" ref="U172">if(A172="","",index(fish_lab_data!X:X,match(A172,fish_lab_data!C:C,0)))</f>
        <v>171</v>
      </c>
    </row>
    <row r="173">
      <c r="A173" t="str">
        <f>fish_lab_data!C173</f>
        <v>U5289</v>
      </c>
      <c r="B173" t="str">
        <f t="array" ref="B173">iferror(index('rna-muscle'!$I:$I,match($A173,'rna-muscle'!$A:$A,0)))</f>
        <v>BRN56M-F11</v>
      </c>
      <c r="C173" t="str">
        <f t="array" ref="C173">iferror(index('rna-muscle'!$L:$L,match($A173,'rna-muscle'!$A:$A,0)))</f>
        <v>N</v>
      </c>
      <c r="D173" t="str">
        <f t="array" ref="D173">iferror(index('rna-gill'!$I:$I,match($A173,'rna-gill'!$A:$A,0)))</f>
        <v>BRN56G-F11</v>
      </c>
      <c r="E173" t="str">
        <f t="array" ref="E173">iferror(index('rna-gill'!$L:$L,match($A173,'rna-gill'!$A:$A,0)))</f>
        <v>N</v>
      </c>
      <c r="F173" t="str">
        <f t="array" ref="F173">iferror(index(fatty_acid!$G:$G,match($A173,fatty_acid!$A:$A,0)))</f>
        <v>BFA23-23</v>
      </c>
      <c r="G173" t="str">
        <f t="array" ref="G173">iferror(index(fatty_acid!$J:$J,match($A173,fatty_acid!$A:$A,0)))</f>
        <v>N</v>
      </c>
      <c r="H173" t="str">
        <f t="array" ref="H173">iferror(index(isotopes!$G:$G,match($A173,isotopes!$A:$A,0)))</f>
        <v>BIS25-23</v>
      </c>
      <c r="I173" t="str">
        <f t="array" ref="I173">iferror(index(isotopes!$J:$J,match($A173,isotopes!$A:$A,0)))</f>
        <v>N</v>
      </c>
      <c r="J173" t="str">
        <f t="array" ref="J173">iferror(index(extra_muscle!$G:$G,match($A173,extra_muscle!$A:$A,0)))</f>
        <v>BXM24-23</v>
      </c>
      <c r="K173" t="str">
        <f t="array" ref="K173">iferror(index(extra_muscle!$J:$J,match($A173,extra_muscle!$A:$A,0)))</f>
        <v>N</v>
      </c>
      <c r="L173" s="59" t="str">
        <f t="array" ref="L173">iferror(index(dna!$G:$G,match($A173,dna!$A:$A,0)))</f>
        <v/>
      </c>
      <c r="M173" s="60" t="str">
        <f t="array" ref="M173">iferror(index(dna!$J:$J,match($A173,dna!$A:$A,0)))</f>
        <v/>
      </c>
      <c r="N173" t="str">
        <f t="array" ref="N173">iferror(index(stomachs!$G:$G,match($A173,stomachs!$A:$A,0)))</f>
        <v>BST238-3</v>
      </c>
      <c r="O173" t="str">
        <f t="array" ref="O173">iferror(index(stomachs!$J:$J,match($A173,stomachs!$A:$A,0)))</f>
        <v>N</v>
      </c>
      <c r="P173" t="str">
        <f t="array" ref="P173">iferror(index(sea_lice!$G:$G,match($A173,sea_lice!$A:$A,0)))</f>
        <v/>
      </c>
      <c r="Q173" t="str">
        <f t="array" ref="Q173">iferror(index(sea_lice!$J:$J,match($A173,sea_lice!$A:$A,0)))</f>
        <v/>
      </c>
      <c r="R173" s="40" t="str">
        <f t="array" ref="R173">iferror(index(dissected_fish!$F:$F,match($A173,dissected_fish!$A:$A,0)))</f>
        <v>BCA100</v>
      </c>
      <c r="S173" s="40" t="str">
        <f t="array" ref="S173">iferror(index(dissected_fish!$K:$K,match($A173,dissected_fish!$A:$A,0)))</f>
        <v>N</v>
      </c>
      <c r="T173" s="61" t="str">
        <f t="array" ref="T173">index(fish_lab_data!O:O,match(A173,fish_lab_data!C:C,0))</f>
        <v>KB</v>
      </c>
      <c r="U173" s="61">
        <f t="array" ref="U173">if(A173="","",index(fish_lab_data!X:X,match(A173,fish_lab_data!C:C,0)))</f>
        <v>172</v>
      </c>
    </row>
    <row r="174">
      <c r="A174" t="str">
        <f>fish_lab_data!C174</f>
        <v>U5290</v>
      </c>
      <c r="B174" t="str">
        <f t="array" ref="B174">iferror(index('rna-muscle'!$I:$I,match($A174,'rna-muscle'!$A:$A,0)))</f>
        <v>BRN56M-E11</v>
      </c>
      <c r="C174" t="str">
        <f t="array" ref="C174">iferror(index('rna-muscle'!$L:$L,match($A174,'rna-muscle'!$A:$A,0)))</f>
        <v>N</v>
      </c>
      <c r="D174" t="str">
        <f t="array" ref="D174">iferror(index('rna-gill'!$I:$I,match($A174,'rna-gill'!$A:$A,0)))</f>
        <v>BRN56G-E11</v>
      </c>
      <c r="E174" t="str">
        <f t="array" ref="E174">iferror(index('rna-gill'!$L:$L,match($A174,'rna-gill'!$A:$A,0)))</f>
        <v>N</v>
      </c>
      <c r="F174" t="str">
        <f t="array" ref="F174">iferror(index(fatty_acid!$G:$G,match($A174,fatty_acid!$A:$A,0)))</f>
        <v>BFA23-24</v>
      </c>
      <c r="G174" t="str">
        <f t="array" ref="G174">iferror(index(fatty_acid!$J:$J,match($A174,fatty_acid!$A:$A,0)))</f>
        <v>N</v>
      </c>
      <c r="H174" t="str">
        <f t="array" ref="H174">iferror(index(isotopes!$G:$G,match($A174,isotopes!$A:$A,0)))</f>
        <v>BIS25-24</v>
      </c>
      <c r="I174" t="str">
        <f t="array" ref="I174">iferror(index(isotopes!$J:$J,match($A174,isotopes!$A:$A,0)))</f>
        <v>N</v>
      </c>
      <c r="J174" t="str">
        <f t="array" ref="J174">iferror(index(extra_muscle!$G:$G,match($A174,extra_muscle!$A:$A,0)))</f>
        <v>BXM24-24</v>
      </c>
      <c r="K174" t="str">
        <f t="array" ref="K174">iferror(index(extra_muscle!$J:$J,match($A174,extra_muscle!$A:$A,0)))</f>
        <v>N</v>
      </c>
      <c r="L174" s="59" t="str">
        <f t="array" ref="L174">iferror(index(dna!$G:$G,match($A174,dna!$A:$A,0)))</f>
        <v/>
      </c>
      <c r="M174" s="60" t="str">
        <f t="array" ref="M174">iferror(index(dna!$J:$J,match($A174,dna!$A:$A,0)))</f>
        <v/>
      </c>
      <c r="N174" t="str">
        <f t="array" ref="N174">iferror(index(stomachs!$G:$G,match($A174,stomachs!$A:$A,0)))</f>
        <v>BST238-4</v>
      </c>
      <c r="O174" t="str">
        <f t="array" ref="O174">iferror(index(stomachs!$J:$J,match($A174,stomachs!$A:$A,0)))</f>
        <v>N</v>
      </c>
      <c r="P174" t="str">
        <f t="array" ref="P174">iferror(index(sea_lice!$G:$G,match($A174,sea_lice!$A:$A,0)))</f>
        <v/>
      </c>
      <c r="Q174" t="str">
        <f t="array" ref="Q174">iferror(index(sea_lice!$J:$J,match($A174,sea_lice!$A:$A,0)))</f>
        <v/>
      </c>
      <c r="R174" s="40" t="str">
        <f t="array" ref="R174">iferror(index(dissected_fish!$F:$F,match($A174,dissected_fish!$A:$A,0)))</f>
        <v>BCA100</v>
      </c>
      <c r="S174" s="40" t="str">
        <f t="array" ref="S174">iferror(index(dissected_fish!$K:$K,match($A174,dissected_fish!$A:$A,0)))</f>
        <v>N</v>
      </c>
      <c r="T174" s="61" t="str">
        <f t="array" ref="T174">index(fish_lab_data!O:O,match(A174,fish_lab_data!C:C,0))</f>
        <v>KB</v>
      </c>
      <c r="U174" s="61">
        <f t="array" ref="U174">if(A174="","",index(fish_lab_data!X:X,match(A174,fish_lab_data!C:C,0)))</f>
        <v>173</v>
      </c>
    </row>
    <row r="175">
      <c r="A175" t="str">
        <f>fish_lab_data!C175</f>
        <v>U5291</v>
      </c>
      <c r="B175" t="str">
        <f t="array" ref="B175">iferror(index('rna-muscle'!$I:$I,match($A175,'rna-muscle'!$A:$A,0)))</f>
        <v>BRN56M-D11</v>
      </c>
      <c r="C175" t="str">
        <f t="array" ref="C175">iferror(index('rna-muscle'!$L:$L,match($A175,'rna-muscle'!$A:$A,0)))</f>
        <v>N</v>
      </c>
      <c r="D175" t="str">
        <f t="array" ref="D175">iferror(index('rna-gill'!$I:$I,match($A175,'rna-gill'!$A:$A,0)))</f>
        <v>BRN56G-D11</v>
      </c>
      <c r="E175" t="str">
        <f t="array" ref="E175">iferror(index('rna-gill'!$L:$L,match($A175,'rna-gill'!$A:$A,0)))</f>
        <v>N</v>
      </c>
      <c r="F175" t="str">
        <f t="array" ref="F175">iferror(index(fatty_acid!$G:$G,match($A175,fatty_acid!$A:$A,0)))</f>
        <v>BFA23-25</v>
      </c>
      <c r="G175" t="str">
        <f t="array" ref="G175">iferror(index(fatty_acid!$J:$J,match($A175,fatty_acid!$A:$A,0)))</f>
        <v>N</v>
      </c>
      <c r="H175" t="str">
        <f t="array" ref="H175">iferror(index(isotopes!$G:$G,match($A175,isotopes!$A:$A,0)))</f>
        <v>BIS25-25</v>
      </c>
      <c r="I175" t="str">
        <f t="array" ref="I175">iferror(index(isotopes!$J:$J,match($A175,isotopes!$A:$A,0)))</f>
        <v>N</v>
      </c>
      <c r="J175" t="str">
        <f t="array" ref="J175">iferror(index(extra_muscle!$G:$G,match($A175,extra_muscle!$A:$A,0)))</f>
        <v>BXM24-25</v>
      </c>
      <c r="K175" t="str">
        <f t="array" ref="K175">iferror(index(extra_muscle!$J:$J,match($A175,extra_muscle!$A:$A,0)))</f>
        <v>N</v>
      </c>
      <c r="L175" s="59" t="str">
        <f t="array" ref="L175">iferror(index(dna!$G:$G,match($A175,dna!$A:$A,0)))</f>
        <v/>
      </c>
      <c r="M175" s="60" t="str">
        <f t="array" ref="M175">iferror(index(dna!$J:$J,match($A175,dna!$A:$A,0)))</f>
        <v/>
      </c>
      <c r="N175" t="str">
        <f t="array" ref="N175">iferror(index(stomachs!$G:$G,match($A175,stomachs!$A:$A,0)))</f>
        <v>BST238-5</v>
      </c>
      <c r="O175" t="str">
        <f t="array" ref="O175">iferror(index(stomachs!$J:$J,match($A175,stomachs!$A:$A,0)))</f>
        <v>N</v>
      </c>
      <c r="P175" t="str">
        <f t="array" ref="P175">iferror(index(sea_lice!$G:$G,match($A175,sea_lice!$A:$A,0)))</f>
        <v/>
      </c>
      <c r="Q175" t="str">
        <f t="array" ref="Q175">iferror(index(sea_lice!$J:$J,match($A175,sea_lice!$A:$A,0)))</f>
        <v/>
      </c>
      <c r="R175" s="40" t="str">
        <f t="array" ref="R175">iferror(index(dissected_fish!$F:$F,match($A175,dissected_fish!$A:$A,0)))</f>
        <v>BCA100</v>
      </c>
      <c r="S175" s="40" t="str">
        <f t="array" ref="S175">iferror(index(dissected_fish!$K:$K,match($A175,dissected_fish!$A:$A,0)))</f>
        <v>N</v>
      </c>
      <c r="T175" s="61" t="str">
        <f t="array" ref="T175">index(fish_lab_data!O:O,match(A175,fish_lab_data!C:C,0))</f>
        <v>KB</v>
      </c>
      <c r="U175" s="61">
        <f t="array" ref="U175">if(A175="","",index(fish_lab_data!X:X,match(A175,fish_lab_data!C:C,0)))</f>
        <v>174</v>
      </c>
    </row>
    <row r="176">
      <c r="A176" t="str">
        <f>fish_lab_data!C176</f>
        <v>U5292</v>
      </c>
      <c r="B176" t="str">
        <f t="array" ref="B176">iferror(index('rna-muscle'!$I:$I,match($A176,'rna-muscle'!$A:$A,0)))</f>
        <v>BRN56M-C11</v>
      </c>
      <c r="C176" t="str">
        <f t="array" ref="C176">iferror(index('rna-muscle'!$L:$L,match($A176,'rna-muscle'!$A:$A,0)))</f>
        <v>N</v>
      </c>
      <c r="D176" t="str">
        <f t="array" ref="D176">iferror(index('rna-gill'!$I:$I,match($A176,'rna-gill'!$A:$A,0)))</f>
        <v>BRN56G-C11</v>
      </c>
      <c r="E176" t="str">
        <f t="array" ref="E176">iferror(index('rna-gill'!$L:$L,match($A176,'rna-gill'!$A:$A,0)))</f>
        <v>N</v>
      </c>
      <c r="F176" t="str">
        <f t="array" ref="F176">iferror(index(fatty_acid!$G:$G,match($A176,fatty_acid!$A:$A,0)))</f>
        <v>BFA23-26</v>
      </c>
      <c r="G176" t="str">
        <f t="array" ref="G176">iferror(index(fatty_acid!$J:$J,match($A176,fatty_acid!$A:$A,0)))</f>
        <v>N</v>
      </c>
      <c r="H176" t="str">
        <f t="array" ref="H176">iferror(index(isotopes!$G:$G,match($A176,isotopes!$A:$A,0)))</f>
        <v>BIS25-26</v>
      </c>
      <c r="I176" t="str">
        <f t="array" ref="I176">iferror(index(isotopes!$J:$J,match($A176,isotopes!$A:$A,0)))</f>
        <v>N</v>
      </c>
      <c r="J176" t="str">
        <f t="array" ref="J176">iferror(index(extra_muscle!$G:$G,match($A176,extra_muscle!$A:$A,0)))</f>
        <v>BXM24-26</v>
      </c>
      <c r="K176" t="str">
        <f t="array" ref="K176">iferror(index(extra_muscle!$J:$J,match($A176,extra_muscle!$A:$A,0)))</f>
        <v>N</v>
      </c>
      <c r="L176" s="59" t="str">
        <f t="array" ref="L176">iferror(index(dna!$G:$G,match($A176,dna!$A:$A,0)))</f>
        <v/>
      </c>
      <c r="M176" s="60" t="str">
        <f t="array" ref="M176">iferror(index(dna!$J:$J,match($A176,dna!$A:$A,0)))</f>
        <v/>
      </c>
      <c r="N176" t="str">
        <f t="array" ref="N176">iferror(index(stomachs!$G:$G,match($A176,stomachs!$A:$A,0)))</f>
        <v>BST238-6</v>
      </c>
      <c r="O176" t="str">
        <f t="array" ref="O176">iferror(index(stomachs!$J:$J,match($A176,stomachs!$A:$A,0)))</f>
        <v>N</v>
      </c>
      <c r="P176" t="str">
        <f t="array" ref="P176">iferror(index(sea_lice!$G:$G,match($A176,sea_lice!$A:$A,0)))</f>
        <v/>
      </c>
      <c r="Q176" t="str">
        <f t="array" ref="Q176">iferror(index(sea_lice!$J:$J,match($A176,sea_lice!$A:$A,0)))</f>
        <v/>
      </c>
      <c r="R176" s="40" t="str">
        <f t="array" ref="R176">iferror(index(dissected_fish!$F:$F,match($A176,dissected_fish!$A:$A,0)))</f>
        <v>BCA100</v>
      </c>
      <c r="S176" s="40" t="str">
        <f t="array" ref="S176">iferror(index(dissected_fish!$K:$K,match($A176,dissected_fish!$A:$A,0)))</f>
        <v>N</v>
      </c>
      <c r="T176" s="61" t="str">
        <f t="array" ref="T176">index(fish_lab_data!O:O,match(A176,fish_lab_data!C:C,0))</f>
        <v>KB</v>
      </c>
      <c r="U176" s="61">
        <f t="array" ref="U176">if(A176="","",index(fish_lab_data!X:X,match(A176,fish_lab_data!C:C,0)))</f>
        <v>175</v>
      </c>
    </row>
    <row r="177">
      <c r="A177" t="str">
        <f>fish_lab_data!C177</f>
        <v>U5293</v>
      </c>
      <c r="B177" t="str">
        <f t="array" ref="B177">iferror(index('rna-muscle'!$I:$I,match($A177,'rna-muscle'!$A:$A,0)))</f>
        <v>BRN56M-B11</v>
      </c>
      <c r="C177" t="str">
        <f t="array" ref="C177">iferror(index('rna-muscle'!$L:$L,match($A177,'rna-muscle'!$A:$A,0)))</f>
        <v>N</v>
      </c>
      <c r="D177" t="str">
        <f t="array" ref="D177">iferror(index('rna-gill'!$I:$I,match($A177,'rna-gill'!$A:$A,0)))</f>
        <v>BRN56G-B11</v>
      </c>
      <c r="E177" t="str">
        <f t="array" ref="E177">iferror(index('rna-gill'!$L:$L,match($A177,'rna-gill'!$A:$A,0)))</f>
        <v>N</v>
      </c>
      <c r="F177" t="str">
        <f t="array" ref="F177">iferror(index(fatty_acid!$G:$G,match($A177,fatty_acid!$A:$A,0)))</f>
        <v>BFA23-27</v>
      </c>
      <c r="G177" t="str">
        <f t="array" ref="G177">iferror(index(fatty_acid!$J:$J,match($A177,fatty_acid!$A:$A,0)))</f>
        <v>N</v>
      </c>
      <c r="H177" t="str">
        <f t="array" ref="H177">iferror(index(isotopes!$G:$G,match($A177,isotopes!$A:$A,0)))</f>
        <v>BIS25-27</v>
      </c>
      <c r="I177" t="str">
        <f t="array" ref="I177">iferror(index(isotopes!$J:$J,match($A177,isotopes!$A:$A,0)))</f>
        <v>N</v>
      </c>
      <c r="J177" t="str">
        <f t="array" ref="J177">iferror(index(extra_muscle!$G:$G,match($A177,extra_muscle!$A:$A,0)))</f>
        <v>BXM24-27</v>
      </c>
      <c r="K177" t="str">
        <f t="array" ref="K177">iferror(index(extra_muscle!$J:$J,match($A177,extra_muscle!$A:$A,0)))</f>
        <v>N</v>
      </c>
      <c r="L177" s="59" t="str">
        <f t="array" ref="L177">iferror(index(dna!$G:$G,match($A177,dna!$A:$A,0)))</f>
        <v/>
      </c>
      <c r="M177" s="60" t="str">
        <f t="array" ref="M177">iferror(index(dna!$J:$J,match($A177,dna!$A:$A,0)))</f>
        <v/>
      </c>
      <c r="N177" t="str">
        <f t="array" ref="N177">iferror(index(stomachs!$G:$G,match($A177,stomachs!$A:$A,0)))</f>
        <v>BST238-7</v>
      </c>
      <c r="O177" t="str">
        <f t="array" ref="O177">iferror(index(stomachs!$J:$J,match($A177,stomachs!$A:$A,0)))</f>
        <v>N</v>
      </c>
      <c r="P177" t="str">
        <f t="array" ref="P177">iferror(index(sea_lice!$G:$G,match($A177,sea_lice!$A:$A,0)))</f>
        <v/>
      </c>
      <c r="Q177" t="str">
        <f t="array" ref="Q177">iferror(index(sea_lice!$J:$J,match($A177,sea_lice!$A:$A,0)))</f>
        <v/>
      </c>
      <c r="R177" s="40" t="str">
        <f t="array" ref="R177">iferror(index(dissected_fish!$F:$F,match($A177,dissected_fish!$A:$A,0)))</f>
        <v>BCA100</v>
      </c>
      <c r="S177" s="40" t="str">
        <f t="array" ref="S177">iferror(index(dissected_fish!$K:$K,match($A177,dissected_fish!$A:$A,0)))</f>
        <v>N</v>
      </c>
      <c r="T177" s="61" t="str">
        <f t="array" ref="T177">index(fish_lab_data!O:O,match(A177,fish_lab_data!C:C,0))</f>
        <v>KB</v>
      </c>
      <c r="U177" s="61">
        <f t="array" ref="U177">if(A177="","",index(fish_lab_data!X:X,match(A177,fish_lab_data!C:C,0)))</f>
        <v>176</v>
      </c>
    </row>
    <row r="178">
      <c r="A178" t="str">
        <f>fish_lab_data!C178</f>
        <v>U5294</v>
      </c>
      <c r="B178" t="str">
        <f t="array" ref="B178">iferror(index('rna-muscle'!$I:$I,match($A178,'rna-muscle'!$A:$A,0)))</f>
        <v>BRN56M-A11</v>
      </c>
      <c r="C178" t="str">
        <f t="array" ref="C178">iferror(index('rna-muscle'!$L:$L,match($A178,'rna-muscle'!$A:$A,0)))</f>
        <v>N</v>
      </c>
      <c r="D178" t="str">
        <f t="array" ref="D178">iferror(index('rna-gill'!$I:$I,match($A178,'rna-gill'!$A:$A,0)))</f>
        <v>BRN56G-A11</v>
      </c>
      <c r="E178" t="str">
        <f t="array" ref="E178">iferror(index('rna-gill'!$L:$L,match($A178,'rna-gill'!$A:$A,0)))</f>
        <v>N</v>
      </c>
      <c r="F178" t="str">
        <f t="array" ref="F178">iferror(index(fatty_acid!$G:$G,match($A178,fatty_acid!$A:$A,0)))</f>
        <v>BFA23-28</v>
      </c>
      <c r="G178" t="str">
        <f t="array" ref="G178">iferror(index(fatty_acid!$J:$J,match($A178,fatty_acid!$A:$A,0)))</f>
        <v>N</v>
      </c>
      <c r="H178" t="str">
        <f t="array" ref="H178">iferror(index(isotopes!$G:$G,match($A178,isotopes!$A:$A,0)))</f>
        <v>BIS25-28</v>
      </c>
      <c r="I178" t="str">
        <f t="array" ref="I178">iferror(index(isotopes!$J:$J,match($A178,isotopes!$A:$A,0)))</f>
        <v>N</v>
      </c>
      <c r="J178" t="str">
        <f t="array" ref="J178">iferror(index(extra_muscle!$G:$G,match($A178,extra_muscle!$A:$A,0)))</f>
        <v>BXM24-28</v>
      </c>
      <c r="K178" t="str">
        <f t="array" ref="K178">iferror(index(extra_muscle!$J:$J,match($A178,extra_muscle!$A:$A,0)))</f>
        <v>N</v>
      </c>
      <c r="L178" s="59" t="str">
        <f t="array" ref="L178">iferror(index(dna!$G:$G,match($A178,dna!$A:$A,0)))</f>
        <v/>
      </c>
      <c r="M178" s="60" t="str">
        <f t="array" ref="M178">iferror(index(dna!$J:$J,match($A178,dna!$A:$A,0)))</f>
        <v/>
      </c>
      <c r="N178" t="str">
        <f t="array" ref="N178">iferror(index(stomachs!$G:$G,match($A178,stomachs!$A:$A,0)))</f>
        <v>BST238-8</v>
      </c>
      <c r="O178" t="str">
        <f t="array" ref="O178">iferror(index(stomachs!$J:$J,match($A178,stomachs!$A:$A,0)))</f>
        <v>N</v>
      </c>
      <c r="P178" t="str">
        <f t="array" ref="P178">iferror(index(sea_lice!$G:$G,match($A178,sea_lice!$A:$A,0)))</f>
        <v/>
      </c>
      <c r="Q178" t="str">
        <f t="array" ref="Q178">iferror(index(sea_lice!$J:$J,match($A178,sea_lice!$A:$A,0)))</f>
        <v/>
      </c>
      <c r="R178" s="40" t="str">
        <f t="array" ref="R178">iferror(index(dissected_fish!$F:$F,match($A178,dissected_fish!$A:$A,0)))</f>
        <v>BCA100</v>
      </c>
      <c r="S178" s="40" t="str">
        <f t="array" ref="S178">iferror(index(dissected_fish!$K:$K,match($A178,dissected_fish!$A:$A,0)))</f>
        <v>N</v>
      </c>
      <c r="T178" s="61" t="str">
        <f t="array" ref="T178">index(fish_lab_data!O:O,match(A178,fish_lab_data!C:C,0))</f>
        <v>KB</v>
      </c>
      <c r="U178" s="61">
        <f t="array" ref="U178">if(A178="","",index(fish_lab_data!X:X,match(A178,fish_lab_data!C:C,0)))</f>
        <v>177</v>
      </c>
    </row>
    <row r="179">
      <c r="A179" t="str">
        <f>fish_lab_data!C179</f>
        <v>U5295</v>
      </c>
      <c r="B179" t="str">
        <f t="array" ref="B179">iferror(index('rna-muscle'!$I:$I,match($A179,'rna-muscle'!$A:$A,0)))</f>
        <v>BRN63M-F2</v>
      </c>
      <c r="C179" t="str">
        <f t="array" ref="C179">iferror(index('rna-muscle'!$L:$L,match($A179,'rna-muscle'!$A:$A,0)))</f>
        <v>N</v>
      </c>
      <c r="D179" t="str">
        <f t="array" ref="D179">iferror(index('rna-gill'!$I:$I,match($A179,'rna-gill'!$A:$A,0)))</f>
        <v>BRN63G-F2</v>
      </c>
      <c r="E179" t="str">
        <f t="array" ref="E179">iferror(index('rna-gill'!$L:$L,match($A179,'rna-gill'!$A:$A,0)))</f>
        <v>N</v>
      </c>
      <c r="F179" t="str">
        <f t="array" ref="F179">iferror(index(fatty_acid!$G:$G,match($A179,fatty_acid!$A:$A,0)))</f>
        <v>BFA23-29</v>
      </c>
      <c r="G179" t="str">
        <f t="array" ref="G179">iferror(index(fatty_acid!$J:$J,match($A179,fatty_acid!$A:$A,0)))</f>
        <v>N</v>
      </c>
      <c r="H179" t="str">
        <f t="array" ref="H179">iferror(index(isotopes!$G:$G,match($A179,isotopes!$A:$A,0)))</f>
        <v>BIS25-29</v>
      </c>
      <c r="I179" t="str">
        <f t="array" ref="I179">iferror(index(isotopes!$J:$J,match($A179,isotopes!$A:$A,0)))</f>
        <v>N</v>
      </c>
      <c r="J179" t="str">
        <f t="array" ref="J179">iferror(index(extra_muscle!$G:$G,match($A179,extra_muscle!$A:$A,0)))</f>
        <v>BXM24-29</v>
      </c>
      <c r="K179" t="str">
        <f t="array" ref="K179">iferror(index(extra_muscle!$J:$J,match($A179,extra_muscle!$A:$A,0)))</f>
        <v>N</v>
      </c>
      <c r="L179" s="59" t="str">
        <f t="array" ref="L179">iferror(index(dna!$G:$G,match($A179,dna!$A:$A,0)))</f>
        <v/>
      </c>
      <c r="M179" s="60" t="str">
        <f t="array" ref="M179">iferror(index(dna!$J:$J,match($A179,dna!$A:$A,0)))</f>
        <v/>
      </c>
      <c r="N179" t="str">
        <f t="array" ref="N179">iferror(index(stomachs!$G:$G,match($A179,stomachs!$A:$A,0)))</f>
        <v>BST238-9</v>
      </c>
      <c r="O179" t="str">
        <f t="array" ref="O179">iferror(index(stomachs!$J:$J,match($A179,stomachs!$A:$A,0)))</f>
        <v>N</v>
      </c>
      <c r="P179" t="str">
        <f t="array" ref="P179">iferror(index(sea_lice!$G:$G,match($A179,sea_lice!$A:$A,0)))</f>
        <v/>
      </c>
      <c r="Q179" t="str">
        <f t="array" ref="Q179">iferror(index(sea_lice!$J:$J,match($A179,sea_lice!$A:$A,0)))</f>
        <v/>
      </c>
      <c r="R179" s="40" t="str">
        <f t="array" ref="R179">iferror(index(dissected_fish!$F:$F,match($A179,dissected_fish!$A:$A,0)))</f>
        <v>BCA100</v>
      </c>
      <c r="S179" s="40" t="str">
        <f t="array" ref="S179">iferror(index(dissected_fish!$K:$K,match($A179,dissected_fish!$A:$A,0)))</f>
        <v>N</v>
      </c>
      <c r="T179" s="61" t="str">
        <f t="array" ref="T179">index(fish_lab_data!O:O,match(A179,fish_lab_data!C:C,0))</f>
        <v>KB</v>
      </c>
      <c r="U179" s="61">
        <f t="array" ref="U179">if(A179="","",index(fish_lab_data!X:X,match(A179,fish_lab_data!C:C,0)))</f>
        <v>178</v>
      </c>
    </row>
    <row r="180">
      <c r="A180" t="str">
        <f>fish_lab_data!C180</f>
        <v>U5296</v>
      </c>
      <c r="B180" t="str">
        <f t="array" ref="B180">iferror(index('rna-muscle'!$I:$I,match($A180,'rna-muscle'!$A:$A,0)))</f>
        <v>BRN63M-E2</v>
      </c>
      <c r="C180" t="str">
        <f t="array" ref="C180">iferror(index('rna-muscle'!$L:$L,match($A180,'rna-muscle'!$A:$A,0)))</f>
        <v>N</v>
      </c>
      <c r="D180" t="str">
        <f t="array" ref="D180">iferror(index('rna-gill'!$I:$I,match($A180,'rna-gill'!$A:$A,0)))</f>
        <v>BRN63G-E2</v>
      </c>
      <c r="E180" t="str">
        <f t="array" ref="E180">iferror(index('rna-gill'!$L:$L,match($A180,'rna-gill'!$A:$A,0)))</f>
        <v>N</v>
      </c>
      <c r="F180" t="str">
        <f t="array" ref="F180">iferror(index(fatty_acid!$G:$G,match($A180,fatty_acid!$A:$A,0)))</f>
        <v>BFA23-30</v>
      </c>
      <c r="G180" t="str">
        <f t="array" ref="G180">iferror(index(fatty_acid!$J:$J,match($A180,fatty_acid!$A:$A,0)))</f>
        <v>N</v>
      </c>
      <c r="H180" t="str">
        <f t="array" ref="H180">iferror(index(isotopes!$G:$G,match($A180,isotopes!$A:$A,0)))</f>
        <v>BIS25-30</v>
      </c>
      <c r="I180" t="str">
        <f t="array" ref="I180">iferror(index(isotopes!$J:$J,match($A180,isotopes!$A:$A,0)))</f>
        <v>N</v>
      </c>
      <c r="J180" t="str">
        <f t="array" ref="J180">iferror(index(extra_muscle!$G:$G,match($A180,extra_muscle!$A:$A,0)))</f>
        <v>BXM24-30</v>
      </c>
      <c r="K180" t="str">
        <f t="array" ref="K180">iferror(index(extra_muscle!$J:$J,match($A180,extra_muscle!$A:$A,0)))</f>
        <v>N</v>
      </c>
      <c r="L180" s="59" t="str">
        <f t="array" ref="L180">iferror(index(dna!$G:$G,match($A180,dna!$A:$A,0)))</f>
        <v/>
      </c>
      <c r="M180" s="60" t="str">
        <f t="array" ref="M180">iferror(index(dna!$J:$J,match($A180,dna!$A:$A,0)))</f>
        <v/>
      </c>
      <c r="N180" t="str">
        <f t="array" ref="N180">iferror(index(stomachs!$G:$G,match($A180,stomachs!$A:$A,0)))</f>
        <v>BST238-10</v>
      </c>
      <c r="O180" t="str">
        <f t="array" ref="O180">iferror(index(stomachs!$J:$J,match($A180,stomachs!$A:$A,0)))</f>
        <v>N</v>
      </c>
      <c r="P180" t="str">
        <f t="array" ref="P180">iferror(index(sea_lice!$G:$G,match($A180,sea_lice!$A:$A,0)))</f>
        <v/>
      </c>
      <c r="Q180" t="str">
        <f t="array" ref="Q180">iferror(index(sea_lice!$J:$J,match($A180,sea_lice!$A:$A,0)))</f>
        <v/>
      </c>
      <c r="R180" s="40" t="str">
        <f t="array" ref="R180">iferror(index(dissected_fish!$F:$F,match($A180,dissected_fish!$A:$A,0)))</f>
        <v>BCA100</v>
      </c>
      <c r="S180" s="40" t="str">
        <f t="array" ref="S180">iferror(index(dissected_fish!$K:$K,match($A180,dissected_fish!$A:$A,0)))</f>
        <v>N</v>
      </c>
      <c r="T180" s="61" t="str">
        <f t="array" ref="T180">index(fish_lab_data!O:O,match(A180,fish_lab_data!C:C,0))</f>
        <v>KB</v>
      </c>
      <c r="U180" s="61">
        <f t="array" ref="U180">if(A180="","",index(fish_lab_data!X:X,match(A180,fish_lab_data!C:C,0)))</f>
        <v>179</v>
      </c>
    </row>
    <row r="181">
      <c r="A181" t="str">
        <f>fish_lab_data!C181</f>
        <v>U5258</v>
      </c>
      <c r="B181" t="str">
        <f t="array" ref="B181">iferror(index('rna-muscle'!$I:$I,match($A181,'rna-muscle'!$A:$A,0)))</f>
        <v>BRN56M-H10</v>
      </c>
      <c r="C181" t="str">
        <f t="array" ref="C181">iferror(index('rna-muscle'!$L:$L,match($A181,'rna-muscle'!$A:$A,0)))</f>
        <v>N</v>
      </c>
      <c r="D181" t="str">
        <f t="array" ref="D181">iferror(index('rna-gill'!$I:$I,match($A181,'rna-gill'!$A:$A,0)))</f>
        <v>BRN56G-H10</v>
      </c>
      <c r="E181" t="str">
        <f t="array" ref="E181">iferror(index('rna-gill'!$L:$L,match($A181,'rna-gill'!$A:$A,0)))</f>
        <v>N</v>
      </c>
      <c r="F181" t="str">
        <f t="array" ref="F181">iferror(index(fatty_acid!$G:$G,match($A181,fatty_acid!$A:$A,0)))</f>
        <v>BFA21-49</v>
      </c>
      <c r="G181" t="str">
        <f t="array" ref="G181">iferror(index(fatty_acid!$J:$J,match($A181,fatty_acid!$A:$A,0)))</f>
        <v>N</v>
      </c>
      <c r="H181" t="str">
        <f t="array" ref="H181">iferror(index(isotopes!$G:$G,match($A181,isotopes!$A:$A,0)))</f>
        <v>BIS24-63</v>
      </c>
      <c r="I181" t="str">
        <f t="array" ref="I181">iferror(index(isotopes!$J:$J,match($A181,isotopes!$A:$A,0)))</f>
        <v>N</v>
      </c>
      <c r="J181" t="str">
        <f t="array" ref="J181">iferror(index(extra_muscle!$G:$G,match($A181,extra_muscle!$A:$A,0)))</f>
        <v>BXM23-33</v>
      </c>
      <c r="K181" t="str">
        <f t="array" ref="K181">iferror(index(extra_muscle!$J:$J,match($A181,extra_muscle!$A:$A,0)))</f>
        <v>N</v>
      </c>
      <c r="L181" s="59" t="str">
        <f t="array" ref="L181">iferror(index(dna!$G:$G,match($A181,dna!$A:$A,0)))</f>
        <v/>
      </c>
      <c r="M181" s="60" t="str">
        <f t="array" ref="M181">iferror(index(dna!$J:$J,match($A181,dna!$A:$A,0)))</f>
        <v/>
      </c>
      <c r="N181" t="str">
        <f t="array" ref="N181">iferror(index(stomachs!$G:$G,match($A181,stomachs!$A:$A,0)))</f>
        <v>BST237-9</v>
      </c>
      <c r="O181" t="str">
        <f t="array" ref="O181">iferror(index(stomachs!$J:$J,match($A181,stomachs!$A:$A,0)))</f>
        <v>N</v>
      </c>
      <c r="P181" t="str">
        <f t="array" ref="P181">iferror(index(sea_lice!$G:$G,match($A181,sea_lice!$A:$A,0)))</f>
        <v/>
      </c>
      <c r="Q181" t="str">
        <f t="array" ref="Q181">iferror(index(sea_lice!$J:$J,match($A181,sea_lice!$A:$A,0)))</f>
        <v/>
      </c>
      <c r="R181" s="40" t="str">
        <f t="array" ref="R181">iferror(index(dissected_fish!$F:$F,match($A181,dissected_fish!$A:$A,0)))</f>
        <v>BCA100</v>
      </c>
      <c r="S181" s="40" t="str">
        <f t="array" ref="S181">iferror(index(dissected_fish!$K:$K,match($A181,dissected_fish!$A:$A,0)))</f>
        <v>N</v>
      </c>
      <c r="T181" s="61" t="str">
        <f t="array" ref="T181">index(fish_lab_data!O:O,match(A181,fish_lab_data!C:C,0))</f>
        <v>EJ</v>
      </c>
      <c r="U181" s="61">
        <f t="array" ref="U181">if(A181="","",index(fish_lab_data!X:X,match(A181,fish_lab_data!C:C,0)))</f>
        <v>180</v>
      </c>
    </row>
    <row r="182">
      <c r="A182" t="str">
        <f>fish_lab_data!C182</f>
        <v>U5259</v>
      </c>
      <c r="B182" t="str">
        <f t="array" ref="B182">iferror(index('rna-muscle'!$I:$I,match($A182,'rna-muscle'!$A:$A,0)))</f>
        <v>BRN56M-G10</v>
      </c>
      <c r="C182" t="str">
        <f t="array" ref="C182">iferror(index('rna-muscle'!$L:$L,match($A182,'rna-muscle'!$A:$A,0)))</f>
        <v>N</v>
      </c>
      <c r="D182" t="str">
        <f t="array" ref="D182">iferror(index('rna-gill'!$I:$I,match($A182,'rna-gill'!$A:$A,0)))</f>
        <v>BRN56G-G10</v>
      </c>
      <c r="E182" t="str">
        <f t="array" ref="E182">iferror(index('rna-gill'!$L:$L,match($A182,'rna-gill'!$A:$A,0)))</f>
        <v>N</v>
      </c>
      <c r="F182" t="str">
        <f t="array" ref="F182">iferror(index(fatty_acid!$G:$G,match($A182,fatty_acid!$A:$A,0)))</f>
        <v>BFA21-50</v>
      </c>
      <c r="G182" t="str">
        <f t="array" ref="G182">iferror(index(fatty_acid!$J:$J,match($A182,fatty_acid!$A:$A,0)))</f>
        <v>N</v>
      </c>
      <c r="H182" t="str">
        <f t="array" ref="H182">iferror(index(isotopes!$G:$G,match($A182,isotopes!$A:$A,0)))</f>
        <v>BIS24-65</v>
      </c>
      <c r="I182" t="str">
        <f t="array" ref="I182">iferror(index(isotopes!$J:$J,match($A182,isotopes!$A:$A,0)))</f>
        <v>N</v>
      </c>
      <c r="J182" t="str">
        <f t="array" ref="J182">iferror(index(extra_muscle!$G:$G,match($A182,extra_muscle!$A:$A,0)))</f>
        <v>BXM23-34</v>
      </c>
      <c r="K182" t="str">
        <f t="array" ref="K182">iferror(index(extra_muscle!$J:$J,match($A182,extra_muscle!$A:$A,0)))</f>
        <v>N</v>
      </c>
      <c r="L182" s="59" t="str">
        <f t="array" ref="L182">iferror(index(dna!$G:$G,match($A182,dna!$A:$A,0)))</f>
        <v/>
      </c>
      <c r="M182" s="60" t="str">
        <f t="array" ref="M182">iferror(index(dna!$J:$J,match($A182,dna!$A:$A,0)))</f>
        <v/>
      </c>
      <c r="N182" t="str">
        <f t="array" ref="N182">iferror(index(stomachs!$G:$G,match($A182,stomachs!$A:$A,0)))</f>
        <v>BST237-10</v>
      </c>
      <c r="O182" t="str">
        <f t="array" ref="O182">iferror(index(stomachs!$J:$J,match($A182,stomachs!$A:$A,0)))</f>
        <v>N</v>
      </c>
      <c r="P182" t="str">
        <f t="array" ref="P182">iferror(index(sea_lice!$G:$G,match($A182,sea_lice!$A:$A,0)))</f>
        <v/>
      </c>
      <c r="Q182" t="str">
        <f t="array" ref="Q182">iferror(index(sea_lice!$J:$J,match($A182,sea_lice!$A:$A,0)))</f>
        <v/>
      </c>
      <c r="R182" s="40" t="str">
        <f t="array" ref="R182">iferror(index(dissected_fish!$F:$F,match($A182,dissected_fish!$A:$A,0)))</f>
        <v>BCA100</v>
      </c>
      <c r="S182" s="40" t="str">
        <f t="array" ref="S182">iferror(index(dissected_fish!$K:$K,match($A182,dissected_fish!$A:$A,0)))</f>
        <v>N</v>
      </c>
      <c r="T182" s="61" t="str">
        <f t="array" ref="T182">index(fish_lab_data!O:O,match(A182,fish_lab_data!C:C,0))</f>
        <v>EJ</v>
      </c>
      <c r="U182" s="61">
        <f t="array" ref="U182">if(A182="","",index(fish_lab_data!X:X,match(A182,fish_lab_data!C:C,0)))</f>
        <v>181</v>
      </c>
    </row>
    <row r="183">
      <c r="A183" t="str">
        <f>fish_lab_data!C183</f>
        <v>U5260</v>
      </c>
      <c r="B183" t="str">
        <f t="array" ref="B183">iferror(index('rna-muscle'!$I:$I,match($A183,'rna-muscle'!$A:$A,0)))</f>
        <v>BRN56M-F10</v>
      </c>
      <c r="C183" t="str">
        <f t="array" ref="C183">iferror(index('rna-muscle'!$L:$L,match($A183,'rna-muscle'!$A:$A,0)))</f>
        <v>N</v>
      </c>
      <c r="D183" t="str">
        <f t="array" ref="D183">iferror(index('rna-gill'!$I:$I,match($A183,'rna-gill'!$A:$A,0)))</f>
        <v>BRN56G-F10</v>
      </c>
      <c r="E183" t="str">
        <f t="array" ref="E183">iferror(index('rna-gill'!$L:$L,match($A183,'rna-gill'!$A:$A,0)))</f>
        <v>N</v>
      </c>
      <c r="F183" t="str">
        <f t="array" ref="F183">iferror(index(fatty_acid!$G:$G,match($A183,fatty_acid!$A:$A,0)))</f>
        <v>BFA21-51</v>
      </c>
      <c r="G183" t="str">
        <f t="array" ref="G183">iferror(index(fatty_acid!$J:$J,match($A183,fatty_acid!$A:$A,0)))</f>
        <v>N</v>
      </c>
      <c r="H183" t="str">
        <f t="array" ref="H183">iferror(index(isotopes!$G:$G,match($A183,isotopes!$A:$A,0)))</f>
        <v>BIS24-67</v>
      </c>
      <c r="I183" t="str">
        <f t="array" ref="I183">iferror(index(isotopes!$J:$J,match($A183,isotopes!$A:$A,0)))</f>
        <v>N</v>
      </c>
      <c r="J183" t="str">
        <f t="array" ref="J183">iferror(index(extra_muscle!$G:$G,match($A183,extra_muscle!$A:$A,0)))</f>
        <v>BXM23-35</v>
      </c>
      <c r="K183" t="str">
        <f t="array" ref="K183">iferror(index(extra_muscle!$J:$J,match($A183,extra_muscle!$A:$A,0)))</f>
        <v>N</v>
      </c>
      <c r="L183" s="59" t="str">
        <f t="array" ref="L183">iferror(index(dna!$G:$G,match($A183,dna!$A:$A,0)))</f>
        <v/>
      </c>
      <c r="M183" s="60" t="str">
        <f t="array" ref="M183">iferror(index(dna!$J:$J,match($A183,dna!$A:$A,0)))</f>
        <v/>
      </c>
      <c r="N183" t="str">
        <f t="array" ref="N183">iferror(index(stomachs!$G:$G,match($A183,stomachs!$A:$A,0)))</f>
        <v>BST237-11</v>
      </c>
      <c r="O183" t="str">
        <f t="array" ref="O183">iferror(index(stomachs!$J:$J,match($A183,stomachs!$A:$A,0)))</f>
        <v>N</v>
      </c>
      <c r="P183" t="str">
        <f t="array" ref="P183">iferror(index(sea_lice!$G:$G,match($A183,sea_lice!$A:$A,0)))</f>
        <v/>
      </c>
      <c r="Q183" t="str">
        <f t="array" ref="Q183">iferror(index(sea_lice!$J:$J,match($A183,sea_lice!$A:$A,0)))</f>
        <v/>
      </c>
      <c r="R183" s="40" t="str">
        <f t="array" ref="R183">iferror(index(dissected_fish!$F:$F,match($A183,dissected_fish!$A:$A,0)))</f>
        <v>BCA100</v>
      </c>
      <c r="S183" s="40" t="str">
        <f t="array" ref="S183">iferror(index(dissected_fish!$K:$K,match($A183,dissected_fish!$A:$A,0)))</f>
        <v>N</v>
      </c>
      <c r="T183" s="61" t="str">
        <f t="array" ref="T183">index(fish_lab_data!O:O,match(A183,fish_lab_data!C:C,0))</f>
        <v>EJ</v>
      </c>
      <c r="U183" s="61">
        <f t="array" ref="U183">if(A183="","",index(fish_lab_data!X:X,match(A183,fish_lab_data!C:C,0)))</f>
        <v>182</v>
      </c>
    </row>
    <row r="184">
      <c r="A184" t="str">
        <f>fish_lab_data!C184</f>
        <v>U5261</v>
      </c>
      <c r="B184" t="str">
        <f t="array" ref="B184">iferror(index('rna-muscle'!$I:$I,match($A184,'rna-muscle'!$A:$A,0)))</f>
        <v>BRN56M-E10</v>
      </c>
      <c r="C184" t="str">
        <f t="array" ref="C184">iferror(index('rna-muscle'!$L:$L,match($A184,'rna-muscle'!$A:$A,0)))</f>
        <v>N</v>
      </c>
      <c r="D184" t="str">
        <f t="array" ref="D184">iferror(index('rna-gill'!$I:$I,match($A184,'rna-gill'!$A:$A,0)))</f>
        <v>BRN56G-E10</v>
      </c>
      <c r="E184" t="str">
        <f t="array" ref="E184">iferror(index('rna-gill'!$L:$L,match($A184,'rna-gill'!$A:$A,0)))</f>
        <v>N</v>
      </c>
      <c r="F184" t="str">
        <f t="array" ref="F184">iferror(index(fatty_acid!$G:$G,match($A184,fatty_acid!$A:$A,0)))</f>
        <v>BFA21-52</v>
      </c>
      <c r="G184" t="str">
        <f t="array" ref="G184">iferror(index(fatty_acid!$J:$J,match($A184,fatty_acid!$A:$A,0)))</f>
        <v>N</v>
      </c>
      <c r="H184" t="str">
        <f t="array" ref="H184">iferror(index(isotopes!$G:$G,match($A184,isotopes!$A:$A,0)))</f>
        <v>BIS24-69</v>
      </c>
      <c r="I184" t="str">
        <f t="array" ref="I184">iferror(index(isotopes!$J:$J,match($A184,isotopes!$A:$A,0)))</f>
        <v>N</v>
      </c>
      <c r="J184" t="str">
        <f t="array" ref="J184">iferror(index(extra_muscle!$G:$G,match($A184,extra_muscle!$A:$A,0)))</f>
        <v>BXM23-37</v>
      </c>
      <c r="K184" t="str">
        <f t="array" ref="K184">iferror(index(extra_muscle!$J:$J,match($A184,extra_muscle!$A:$A,0)))</f>
        <v>N</v>
      </c>
      <c r="L184" s="59" t="str">
        <f t="array" ref="L184">iferror(index(dna!$G:$G,match($A184,dna!$A:$A,0)))</f>
        <v/>
      </c>
      <c r="M184" s="60" t="str">
        <f t="array" ref="M184">iferror(index(dna!$J:$J,match($A184,dna!$A:$A,0)))</f>
        <v/>
      </c>
      <c r="N184" t="str">
        <f t="array" ref="N184">iferror(index(stomachs!$G:$G,match($A184,stomachs!$A:$A,0)))</f>
        <v>BST237-12</v>
      </c>
      <c r="O184" t="str">
        <f t="array" ref="O184">iferror(index(stomachs!$J:$J,match($A184,stomachs!$A:$A,0)))</f>
        <v>N</v>
      </c>
      <c r="P184" t="str">
        <f t="array" ref="P184">iferror(index(sea_lice!$G:$G,match($A184,sea_lice!$A:$A,0)))</f>
        <v/>
      </c>
      <c r="Q184" t="str">
        <f t="array" ref="Q184">iferror(index(sea_lice!$J:$J,match($A184,sea_lice!$A:$A,0)))</f>
        <v/>
      </c>
      <c r="R184" s="40" t="str">
        <f t="array" ref="R184">iferror(index(dissected_fish!$F:$F,match($A184,dissected_fish!$A:$A,0)))</f>
        <v>BCA100</v>
      </c>
      <c r="S184" s="40" t="str">
        <f t="array" ref="S184">iferror(index(dissected_fish!$K:$K,match($A184,dissected_fish!$A:$A,0)))</f>
        <v>N</v>
      </c>
      <c r="T184" s="61" t="str">
        <f t="array" ref="T184">index(fish_lab_data!O:O,match(A184,fish_lab_data!C:C,0))</f>
        <v>EJ</v>
      </c>
      <c r="U184" s="61">
        <f t="array" ref="U184">if(A184="","",index(fish_lab_data!X:X,match(A184,fish_lab_data!C:C,0)))</f>
        <v>183</v>
      </c>
    </row>
    <row r="185">
      <c r="A185" t="str">
        <f>fish_lab_data!C185</f>
        <v>U5274</v>
      </c>
      <c r="B185" t="str">
        <f t="array" ref="B185">iferror(index('rna-muscle'!$I:$I,match($A185,'rna-muscle'!$A:$A,0)))</f>
        <v>BRN56M-D10</v>
      </c>
      <c r="C185" t="str">
        <f t="array" ref="C185">iferror(index('rna-muscle'!$L:$L,match($A185,'rna-muscle'!$A:$A,0)))</f>
        <v>N</v>
      </c>
      <c r="D185" t="str">
        <f t="array" ref="D185">iferror(index('rna-gill'!$I:$I,match($A185,'rna-gill'!$A:$A,0)))</f>
        <v>BRN56G-D10</v>
      </c>
      <c r="E185" t="str">
        <f t="array" ref="E185">iferror(index('rna-gill'!$L:$L,match($A185,'rna-gill'!$A:$A,0)))</f>
        <v>N</v>
      </c>
      <c r="F185" t="str">
        <f t="array" ref="F185">iferror(index(fatty_acid!$G:$G,match($A185,fatty_acid!$A:$A,0)))</f>
        <v>BFA21-53</v>
      </c>
      <c r="G185" t="str">
        <f t="array" ref="G185">iferror(index(fatty_acid!$J:$J,match($A185,fatty_acid!$A:$A,0)))</f>
        <v>N</v>
      </c>
      <c r="H185" t="str">
        <f t="array" ref="H185">iferror(index(isotopes!$G:$G,match($A185,isotopes!$A:$A,0)))</f>
        <v>BIS24-72</v>
      </c>
      <c r="I185" t="str">
        <f t="array" ref="I185">iferror(index(isotopes!$J:$J,match($A185,isotopes!$A:$A,0)))</f>
        <v>N</v>
      </c>
      <c r="J185" t="str">
        <f t="array" ref="J185">iferror(index(extra_muscle!$G:$G,match($A185,extra_muscle!$A:$A,0)))</f>
        <v>BXM23-38</v>
      </c>
      <c r="K185" t="str">
        <f t="array" ref="K185">iferror(index(extra_muscle!$J:$J,match($A185,extra_muscle!$A:$A,0)))</f>
        <v>N</v>
      </c>
      <c r="L185" s="59" t="str">
        <f t="array" ref="L185">iferror(index(dna!$G:$G,match($A185,dna!$A:$A,0)))</f>
        <v/>
      </c>
      <c r="M185" s="60" t="str">
        <f t="array" ref="M185">iferror(index(dna!$J:$J,match($A185,dna!$A:$A,0)))</f>
        <v/>
      </c>
      <c r="N185" t="str">
        <f t="array" ref="N185">iferror(index(stomachs!$G:$G,match($A185,stomachs!$A:$A,0)))</f>
        <v>BST237-13</v>
      </c>
      <c r="O185" t="str">
        <f t="array" ref="O185">iferror(index(stomachs!$J:$J,match($A185,stomachs!$A:$A,0)))</f>
        <v>N</v>
      </c>
      <c r="P185" t="str">
        <f t="array" ref="P185">iferror(index(sea_lice!$G:$G,match($A185,sea_lice!$A:$A,0)))</f>
        <v/>
      </c>
      <c r="Q185" t="str">
        <f t="array" ref="Q185">iferror(index(sea_lice!$J:$J,match($A185,sea_lice!$A:$A,0)))</f>
        <v/>
      </c>
      <c r="R185" s="40" t="str">
        <f t="array" ref="R185">iferror(index(dissected_fish!$F:$F,match($A185,dissected_fish!$A:$A,0)))</f>
        <v>BCA100</v>
      </c>
      <c r="S185" s="40" t="str">
        <f t="array" ref="S185">iferror(index(dissected_fish!$K:$K,match($A185,dissected_fish!$A:$A,0)))</f>
        <v>N</v>
      </c>
      <c r="T185" s="61" t="str">
        <f t="array" ref="T185">index(fish_lab_data!O:O,match(A185,fish_lab_data!C:C,0))</f>
        <v>EJ</v>
      </c>
      <c r="U185" s="61">
        <f t="array" ref="U185">if(A185="","",index(fish_lab_data!X:X,match(A185,fish_lab_data!C:C,0)))</f>
        <v>184</v>
      </c>
    </row>
    <row r="186">
      <c r="A186" t="str">
        <f>fish_lab_data!C186</f>
        <v>U5275</v>
      </c>
      <c r="B186" t="str">
        <f t="array" ref="B186">iferror(index('rna-muscle'!$I:$I,match($A186,'rna-muscle'!$A:$A,0)))</f>
        <v>BRN56M-C10</v>
      </c>
      <c r="C186" t="str">
        <f t="array" ref="C186">iferror(index('rna-muscle'!$L:$L,match($A186,'rna-muscle'!$A:$A,0)))</f>
        <v>N</v>
      </c>
      <c r="D186" t="str">
        <f t="array" ref="D186">iferror(index('rna-gill'!$I:$I,match($A186,'rna-gill'!$A:$A,0)))</f>
        <v>BRN56G-C10</v>
      </c>
      <c r="E186" t="str">
        <f t="array" ref="E186">iferror(index('rna-gill'!$L:$L,match($A186,'rna-gill'!$A:$A,0)))</f>
        <v>N</v>
      </c>
      <c r="F186" t="str">
        <f t="array" ref="F186">iferror(index(fatty_acid!$G:$G,match($A186,fatty_acid!$A:$A,0)))</f>
        <v>BFA21-54</v>
      </c>
      <c r="G186" t="str">
        <f t="array" ref="G186">iferror(index(fatty_acid!$J:$J,match($A186,fatty_acid!$A:$A,0)))</f>
        <v>N</v>
      </c>
      <c r="H186" t="str">
        <f t="array" ref="H186">iferror(index(isotopes!$G:$G,match($A186,isotopes!$A:$A,0)))</f>
        <v>BIS24-74</v>
      </c>
      <c r="I186" t="str">
        <f t="array" ref="I186">iferror(index(isotopes!$J:$J,match($A186,isotopes!$A:$A,0)))</f>
        <v>N</v>
      </c>
      <c r="J186" t="str">
        <f t="array" ref="J186">iferror(index(extra_muscle!$G:$G,match($A186,extra_muscle!$A:$A,0)))</f>
        <v>BXM23-39</v>
      </c>
      <c r="K186" t="str">
        <f t="array" ref="K186">iferror(index(extra_muscle!$J:$J,match($A186,extra_muscle!$A:$A,0)))</f>
        <v>N</v>
      </c>
      <c r="L186" s="59" t="str">
        <f t="array" ref="L186">iferror(index(dna!$G:$G,match($A186,dna!$A:$A,0)))</f>
        <v/>
      </c>
      <c r="M186" s="60" t="str">
        <f t="array" ref="M186">iferror(index(dna!$J:$J,match($A186,dna!$A:$A,0)))</f>
        <v/>
      </c>
      <c r="N186" t="str">
        <f t="array" ref="N186">iferror(index(stomachs!$G:$G,match($A186,stomachs!$A:$A,0)))</f>
        <v>BST237-14</v>
      </c>
      <c r="O186" t="str">
        <f t="array" ref="O186">iferror(index(stomachs!$J:$J,match($A186,stomachs!$A:$A,0)))</f>
        <v>N</v>
      </c>
      <c r="P186" t="str">
        <f t="array" ref="P186">iferror(index(sea_lice!$G:$G,match($A186,sea_lice!$A:$A,0)))</f>
        <v/>
      </c>
      <c r="Q186" t="str">
        <f t="array" ref="Q186">iferror(index(sea_lice!$J:$J,match($A186,sea_lice!$A:$A,0)))</f>
        <v/>
      </c>
      <c r="R186" s="40" t="str">
        <f t="array" ref="R186">iferror(index(dissected_fish!$F:$F,match($A186,dissected_fish!$A:$A,0)))</f>
        <v>BCA100</v>
      </c>
      <c r="S186" s="40" t="str">
        <f t="array" ref="S186">iferror(index(dissected_fish!$K:$K,match($A186,dissected_fish!$A:$A,0)))</f>
        <v>N</v>
      </c>
      <c r="T186" s="61" t="str">
        <f t="array" ref="T186">index(fish_lab_data!O:O,match(A186,fish_lab_data!C:C,0))</f>
        <v>EJ</v>
      </c>
      <c r="U186" s="61">
        <f t="array" ref="U186">if(A186="","",index(fish_lab_data!X:X,match(A186,fish_lab_data!C:C,0)))</f>
        <v>185</v>
      </c>
    </row>
    <row r="187">
      <c r="A187" t="str">
        <f>fish_lab_data!C187</f>
        <v>U5276</v>
      </c>
      <c r="B187" t="str">
        <f t="array" ref="B187">iferror(index('rna-muscle'!$I:$I,match($A187,'rna-muscle'!$A:$A,0)))</f>
        <v>BRN56M-B10</v>
      </c>
      <c r="C187" t="str">
        <f t="array" ref="C187">iferror(index('rna-muscle'!$L:$L,match($A187,'rna-muscle'!$A:$A,0)))</f>
        <v>N</v>
      </c>
      <c r="D187" t="str">
        <f t="array" ref="D187">iferror(index('rna-gill'!$I:$I,match($A187,'rna-gill'!$A:$A,0)))</f>
        <v>BRN56G-B10</v>
      </c>
      <c r="E187" t="str">
        <f t="array" ref="E187">iferror(index('rna-gill'!$L:$L,match($A187,'rna-gill'!$A:$A,0)))</f>
        <v>N</v>
      </c>
      <c r="F187" t="str">
        <f t="array" ref="F187">iferror(index(fatty_acid!$G:$G,match($A187,fatty_acid!$A:$A,0)))</f>
        <v>BFA21-55</v>
      </c>
      <c r="G187" t="str">
        <f t="array" ref="G187">iferror(index(fatty_acid!$J:$J,match($A187,fatty_acid!$A:$A,0)))</f>
        <v>N</v>
      </c>
      <c r="H187" t="str">
        <f t="array" ref="H187">iferror(index(isotopes!$G:$G,match($A187,isotopes!$A:$A,0)))</f>
        <v>BIS24-76</v>
      </c>
      <c r="I187" t="str">
        <f t="array" ref="I187">iferror(index(isotopes!$J:$J,match($A187,isotopes!$A:$A,0)))</f>
        <v>N</v>
      </c>
      <c r="J187" t="str">
        <f t="array" ref="J187">iferror(index(extra_muscle!$G:$G,match($A187,extra_muscle!$A:$A,0)))</f>
        <v>BXM23-40</v>
      </c>
      <c r="K187" t="str">
        <f t="array" ref="K187">iferror(index(extra_muscle!$J:$J,match($A187,extra_muscle!$A:$A,0)))</f>
        <v>N</v>
      </c>
      <c r="L187" s="59" t="str">
        <f t="array" ref="L187">iferror(index(dna!$G:$G,match($A187,dna!$A:$A,0)))</f>
        <v/>
      </c>
      <c r="M187" s="60" t="str">
        <f t="array" ref="M187">iferror(index(dna!$J:$J,match($A187,dna!$A:$A,0)))</f>
        <v/>
      </c>
      <c r="N187" t="str">
        <f t="array" ref="N187">iferror(index(stomachs!$G:$G,match($A187,stomachs!$A:$A,0)))</f>
        <v>BST237-15</v>
      </c>
      <c r="O187" t="str">
        <f t="array" ref="O187">iferror(index(stomachs!$J:$J,match($A187,stomachs!$A:$A,0)))</f>
        <v>N</v>
      </c>
      <c r="P187" t="str">
        <f t="array" ref="P187">iferror(index(sea_lice!$G:$G,match($A187,sea_lice!$A:$A,0)))</f>
        <v/>
      </c>
      <c r="Q187" t="str">
        <f t="array" ref="Q187">iferror(index(sea_lice!$J:$J,match($A187,sea_lice!$A:$A,0)))</f>
        <v/>
      </c>
      <c r="R187" s="40" t="str">
        <f t="array" ref="R187">iferror(index(dissected_fish!$F:$F,match($A187,dissected_fish!$A:$A,0)))</f>
        <v>BCA100</v>
      </c>
      <c r="S187" s="40" t="str">
        <f t="array" ref="S187">iferror(index(dissected_fish!$K:$K,match($A187,dissected_fish!$A:$A,0)))</f>
        <v>N</v>
      </c>
      <c r="T187" s="61" t="str">
        <f t="array" ref="T187">index(fish_lab_data!O:O,match(A187,fish_lab_data!C:C,0))</f>
        <v>EJ</v>
      </c>
      <c r="U187" s="61">
        <f t="array" ref="U187">if(A187="","",index(fish_lab_data!X:X,match(A187,fish_lab_data!C:C,0)))</f>
        <v>186</v>
      </c>
    </row>
    <row r="188">
      <c r="A188" t="str">
        <f>fish_lab_data!C188</f>
        <v>U5277</v>
      </c>
      <c r="B188" t="str">
        <f t="array" ref="B188">iferror(index('rna-muscle'!$I:$I,match($A188,'rna-muscle'!$A:$A,0)))</f>
        <v>BRN56M-A10</v>
      </c>
      <c r="C188" t="str">
        <f t="array" ref="C188">iferror(index('rna-muscle'!$L:$L,match($A188,'rna-muscle'!$A:$A,0)))</f>
        <v>N</v>
      </c>
      <c r="D188" t="str">
        <f t="array" ref="D188">iferror(index('rna-gill'!$I:$I,match($A188,'rna-gill'!$A:$A,0)))</f>
        <v>BRN56G-A10</v>
      </c>
      <c r="E188" t="str">
        <f t="array" ref="E188">iferror(index('rna-gill'!$L:$L,match($A188,'rna-gill'!$A:$A,0)))</f>
        <v>N</v>
      </c>
      <c r="F188" t="str">
        <f t="array" ref="F188">iferror(index(fatty_acid!$G:$G,match($A188,fatty_acid!$A:$A,0)))</f>
        <v>BFA21-57</v>
      </c>
      <c r="G188" t="str">
        <f t="array" ref="G188">iferror(index(fatty_acid!$J:$J,match($A188,fatty_acid!$A:$A,0)))</f>
        <v>N</v>
      </c>
      <c r="H188" t="str">
        <f t="array" ref="H188">iferror(index(isotopes!$G:$G,match($A188,isotopes!$A:$A,0)))</f>
        <v>BIS24-78</v>
      </c>
      <c r="I188" t="str">
        <f t="array" ref="I188">iferror(index(isotopes!$J:$J,match($A188,isotopes!$A:$A,0)))</f>
        <v>N</v>
      </c>
      <c r="J188" t="str">
        <f t="array" ref="J188">iferror(index(extra_muscle!$G:$G,match($A188,extra_muscle!$A:$A,0)))</f>
        <v>BXM23-41</v>
      </c>
      <c r="K188" t="str">
        <f t="array" ref="K188">iferror(index(extra_muscle!$J:$J,match($A188,extra_muscle!$A:$A,0)))</f>
        <v>N</v>
      </c>
      <c r="L188" s="59" t="str">
        <f t="array" ref="L188">iferror(index(dna!$G:$G,match($A188,dna!$A:$A,0)))</f>
        <v/>
      </c>
      <c r="M188" s="60" t="str">
        <f t="array" ref="M188">iferror(index(dna!$J:$J,match($A188,dna!$A:$A,0)))</f>
        <v/>
      </c>
      <c r="N188" t="str">
        <f t="array" ref="N188">iferror(index(stomachs!$G:$G,match($A188,stomachs!$A:$A,0)))</f>
        <v>BST237-16</v>
      </c>
      <c r="O188" t="str">
        <f t="array" ref="O188">iferror(index(stomachs!$J:$J,match($A188,stomachs!$A:$A,0)))</f>
        <v>N</v>
      </c>
      <c r="P188" t="str">
        <f t="array" ref="P188">iferror(index(sea_lice!$G:$G,match($A188,sea_lice!$A:$A,0)))</f>
        <v/>
      </c>
      <c r="Q188" t="str">
        <f t="array" ref="Q188">iferror(index(sea_lice!$J:$J,match($A188,sea_lice!$A:$A,0)))</f>
        <v/>
      </c>
      <c r="R188" s="40" t="str">
        <f t="array" ref="R188">iferror(index(dissected_fish!$F:$F,match($A188,dissected_fish!$A:$A,0)))</f>
        <v>BCA101</v>
      </c>
      <c r="S188" s="40" t="str">
        <f t="array" ref="S188">iferror(index(dissected_fish!$K:$K,match($A188,dissected_fish!$A:$A,0)))</f>
        <v>N</v>
      </c>
      <c r="T188" s="61" t="str">
        <f t="array" ref="T188">index(fish_lab_data!O:O,match(A188,fish_lab_data!C:C,0))</f>
        <v>EJ</v>
      </c>
      <c r="U188" s="61">
        <f t="array" ref="U188">if(A188="","",index(fish_lab_data!X:X,match(A188,fish_lab_data!C:C,0)))</f>
        <v>187</v>
      </c>
    </row>
    <row r="189">
      <c r="A189" t="str">
        <f>fish_lab_data!C189</f>
        <v>U5278</v>
      </c>
      <c r="B189" t="str">
        <f t="array" ref="B189">iferror(index('rna-muscle'!$I:$I,match($A189,'rna-muscle'!$A:$A,0)))</f>
        <v>BRN56M-G12</v>
      </c>
      <c r="C189" t="str">
        <f t="array" ref="C189">iferror(index('rna-muscle'!$L:$L,match($A189,'rna-muscle'!$A:$A,0)))</f>
        <v>N</v>
      </c>
      <c r="D189" t="str">
        <f t="array" ref="D189">iferror(index('rna-gill'!$I:$I,match($A189,'rna-gill'!$A:$A,0)))</f>
        <v>BRN56G-G12</v>
      </c>
      <c r="E189" t="str">
        <f t="array" ref="E189">iferror(index('rna-gill'!$L:$L,match($A189,'rna-gill'!$A:$A,0)))</f>
        <v>N</v>
      </c>
      <c r="F189" t="str">
        <f t="array" ref="F189">iferror(index(fatty_acid!$G:$G,match($A189,fatty_acid!$A:$A,0)))</f>
        <v>BFA21-58</v>
      </c>
      <c r="G189" t="str">
        <f t="array" ref="G189">iferror(index(fatty_acid!$J:$J,match($A189,fatty_acid!$A:$A,0)))</f>
        <v>N</v>
      </c>
      <c r="H189" t="str">
        <f t="array" ref="H189">iferror(index(isotopes!$G:$G,match($A189,isotopes!$A:$A,0)))</f>
        <v>BIS24-80</v>
      </c>
      <c r="I189" t="str">
        <f t="array" ref="I189">iferror(index(isotopes!$J:$J,match($A189,isotopes!$A:$A,0)))</f>
        <v>N</v>
      </c>
      <c r="J189" t="str">
        <f t="array" ref="J189">iferror(index(extra_muscle!$G:$G,match($A189,extra_muscle!$A:$A,0)))</f>
        <v>BXM23-42</v>
      </c>
      <c r="K189" t="str">
        <f t="array" ref="K189">iferror(index(extra_muscle!$J:$J,match($A189,extra_muscle!$A:$A,0)))</f>
        <v>N</v>
      </c>
      <c r="L189" s="59" t="str">
        <f t="array" ref="L189">iferror(index(dna!$G:$G,match($A189,dna!$A:$A,0)))</f>
        <v/>
      </c>
      <c r="M189" s="60" t="str">
        <f t="array" ref="M189">iferror(index(dna!$J:$J,match($A189,dna!$A:$A,0)))</f>
        <v/>
      </c>
      <c r="N189" t="str">
        <f t="array" ref="N189">iferror(index(stomachs!$G:$G,match($A189,stomachs!$A:$A,0)))</f>
        <v>BST237-17</v>
      </c>
      <c r="O189" t="str">
        <f t="array" ref="O189">iferror(index(stomachs!$J:$J,match($A189,stomachs!$A:$A,0)))</f>
        <v>N</v>
      </c>
      <c r="P189" t="str">
        <f t="array" ref="P189">iferror(index(sea_lice!$G:$G,match($A189,sea_lice!$A:$A,0)))</f>
        <v/>
      </c>
      <c r="Q189" t="str">
        <f t="array" ref="Q189">iferror(index(sea_lice!$J:$J,match($A189,sea_lice!$A:$A,0)))</f>
        <v/>
      </c>
      <c r="R189" s="40" t="str">
        <f t="array" ref="R189">iferror(index(dissected_fish!$F:$F,match($A189,dissected_fish!$A:$A,0)))</f>
        <v>BCA101</v>
      </c>
      <c r="S189" s="40" t="str">
        <f t="array" ref="S189">iferror(index(dissected_fish!$K:$K,match($A189,dissected_fish!$A:$A,0)))</f>
        <v>N</v>
      </c>
      <c r="T189" s="61" t="str">
        <f t="array" ref="T189">index(fish_lab_data!O:O,match(A189,fish_lab_data!C:C,0))</f>
        <v>EJ</v>
      </c>
      <c r="U189" s="61">
        <f t="array" ref="U189">if(A189="","",index(fish_lab_data!X:X,match(A189,fish_lab_data!C:C,0)))</f>
        <v>188</v>
      </c>
    </row>
    <row r="190">
      <c r="A190" t="str">
        <f>fish_lab_data!C190</f>
        <v>U5279</v>
      </c>
      <c r="B190" t="str">
        <f t="array" ref="B190">iferror(index('rna-muscle'!$I:$I,match($A190,'rna-muscle'!$A:$A,0)))</f>
        <v>BRN56M-F12</v>
      </c>
      <c r="C190" t="str">
        <f t="array" ref="C190">iferror(index('rna-muscle'!$L:$L,match($A190,'rna-muscle'!$A:$A,0)))</f>
        <v>N</v>
      </c>
      <c r="D190" t="str">
        <f t="array" ref="D190">iferror(index('rna-gill'!$I:$I,match($A190,'rna-gill'!$A:$A,0)))</f>
        <v>BRN56G-F12</v>
      </c>
      <c r="E190" t="str">
        <f t="array" ref="E190">iferror(index('rna-gill'!$L:$L,match($A190,'rna-gill'!$A:$A,0)))</f>
        <v>N</v>
      </c>
      <c r="F190" t="str">
        <f t="array" ref="F190">iferror(index(fatty_acid!$G:$G,match($A190,fatty_acid!$A:$A,0)))</f>
        <v>BFA21-59</v>
      </c>
      <c r="G190" t="str">
        <f t="array" ref="G190">iferror(index(fatty_acid!$J:$J,match($A190,fatty_acid!$A:$A,0)))</f>
        <v>N</v>
      </c>
      <c r="H190" t="str">
        <f t="array" ref="H190">iferror(index(isotopes!$G:$G,match($A190,isotopes!$A:$A,0)))</f>
        <v>BIS24-81</v>
      </c>
      <c r="I190" t="str">
        <f t="array" ref="I190">iferror(index(isotopes!$J:$J,match($A190,isotopes!$A:$A,0)))</f>
        <v>N</v>
      </c>
      <c r="J190" t="str">
        <f t="array" ref="J190">iferror(index(extra_muscle!$G:$G,match($A190,extra_muscle!$A:$A,0)))</f>
        <v>BXM23-43</v>
      </c>
      <c r="K190" t="str">
        <f t="array" ref="K190">iferror(index(extra_muscle!$J:$J,match($A190,extra_muscle!$A:$A,0)))</f>
        <v>N</v>
      </c>
      <c r="L190" s="59" t="str">
        <f t="array" ref="L190">iferror(index(dna!$G:$G,match($A190,dna!$A:$A,0)))</f>
        <v/>
      </c>
      <c r="M190" s="60" t="str">
        <f t="array" ref="M190">iferror(index(dna!$J:$J,match($A190,dna!$A:$A,0)))</f>
        <v/>
      </c>
      <c r="N190" t="str">
        <f t="array" ref="N190">iferror(index(stomachs!$G:$G,match($A190,stomachs!$A:$A,0)))</f>
        <v>BST237-18</v>
      </c>
      <c r="O190" t="str">
        <f t="array" ref="O190">iferror(index(stomachs!$J:$J,match($A190,stomachs!$A:$A,0)))</f>
        <v>N</v>
      </c>
      <c r="P190" t="str">
        <f t="array" ref="P190">iferror(index(sea_lice!$G:$G,match($A190,sea_lice!$A:$A,0)))</f>
        <v/>
      </c>
      <c r="Q190" t="str">
        <f t="array" ref="Q190">iferror(index(sea_lice!$J:$J,match($A190,sea_lice!$A:$A,0)))</f>
        <v/>
      </c>
      <c r="R190" s="40" t="str">
        <f t="array" ref="R190">iferror(index(dissected_fish!$F:$F,match($A190,dissected_fish!$A:$A,0)))</f>
        <v>BCA101</v>
      </c>
      <c r="S190" s="40" t="str">
        <f t="array" ref="S190">iferror(index(dissected_fish!$K:$K,match($A190,dissected_fish!$A:$A,0)))</f>
        <v>N</v>
      </c>
      <c r="T190" s="61" t="str">
        <f t="array" ref="T190">index(fish_lab_data!O:O,match(A190,fish_lab_data!C:C,0))</f>
        <v>EJ</v>
      </c>
      <c r="U190" s="61">
        <f t="array" ref="U190">if(A190="","",index(fish_lab_data!X:X,match(A190,fish_lab_data!C:C,0)))</f>
        <v>189</v>
      </c>
    </row>
    <row r="191">
      <c r="A191" t="str">
        <f>fish_lab_data!C191</f>
        <v>U5280</v>
      </c>
      <c r="B191" t="str">
        <f t="array" ref="B191">iferror(index('rna-muscle'!$I:$I,match($A191,'rna-muscle'!$A:$A,0)))</f>
        <v>BRN56M-E12</v>
      </c>
      <c r="C191" t="str">
        <f t="array" ref="C191">iferror(index('rna-muscle'!$L:$L,match($A191,'rna-muscle'!$A:$A,0)))</f>
        <v>N</v>
      </c>
      <c r="D191" t="str">
        <f t="array" ref="D191">iferror(index('rna-gill'!$I:$I,match($A191,'rna-gill'!$A:$A,0)))</f>
        <v>BRN56G-E12</v>
      </c>
      <c r="E191" t="str">
        <f t="array" ref="E191">iferror(index('rna-gill'!$L:$L,match($A191,'rna-gill'!$A:$A,0)))</f>
        <v>N</v>
      </c>
      <c r="F191" t="str">
        <f t="array" ref="F191">iferror(index(fatty_acid!$G:$G,match($A191,fatty_acid!$A:$A,0)))</f>
        <v>BFA21-60</v>
      </c>
      <c r="G191" t="str">
        <f t="array" ref="G191">iferror(index(fatty_acid!$J:$J,match($A191,fatty_acid!$A:$A,0)))</f>
        <v>N</v>
      </c>
      <c r="H191" t="str">
        <f t="array" ref="H191">iferror(index(isotopes!$G:$G,match($A191,isotopes!$A:$A,0)))</f>
        <v>BIS24-83</v>
      </c>
      <c r="I191" t="str">
        <f t="array" ref="I191">iferror(index(isotopes!$J:$J,match($A191,isotopes!$A:$A,0)))</f>
        <v>N</v>
      </c>
      <c r="J191" t="str">
        <f t="array" ref="J191">iferror(index(extra_muscle!$G:$G,match($A191,extra_muscle!$A:$A,0)))</f>
        <v>BXM23-44</v>
      </c>
      <c r="K191" t="str">
        <f t="array" ref="K191">iferror(index(extra_muscle!$J:$J,match($A191,extra_muscle!$A:$A,0)))</f>
        <v>N</v>
      </c>
      <c r="L191" s="59" t="str">
        <f t="array" ref="L191">iferror(index(dna!$G:$G,match($A191,dna!$A:$A,0)))</f>
        <v/>
      </c>
      <c r="M191" s="60" t="str">
        <f t="array" ref="M191">iferror(index(dna!$J:$J,match($A191,dna!$A:$A,0)))</f>
        <v/>
      </c>
      <c r="N191" t="str">
        <f t="array" ref="N191">iferror(index(stomachs!$G:$G,match($A191,stomachs!$A:$A,0)))</f>
        <v>BST237-19</v>
      </c>
      <c r="O191" t="str">
        <f t="array" ref="O191">iferror(index(stomachs!$J:$J,match($A191,stomachs!$A:$A,0)))</f>
        <v>N</v>
      </c>
      <c r="P191" t="str">
        <f t="array" ref="P191">iferror(index(sea_lice!$G:$G,match($A191,sea_lice!$A:$A,0)))</f>
        <v/>
      </c>
      <c r="Q191" t="str">
        <f t="array" ref="Q191">iferror(index(sea_lice!$J:$J,match($A191,sea_lice!$A:$A,0)))</f>
        <v/>
      </c>
      <c r="R191" s="40" t="str">
        <f t="array" ref="R191">iferror(index(dissected_fish!$F:$F,match($A191,dissected_fish!$A:$A,0)))</f>
        <v>BCA101</v>
      </c>
      <c r="S191" s="40" t="str">
        <f t="array" ref="S191">iferror(index(dissected_fish!$K:$K,match($A191,dissected_fish!$A:$A,0)))</f>
        <v>N</v>
      </c>
      <c r="T191" s="61" t="str">
        <f t="array" ref="T191">index(fish_lab_data!O:O,match(A191,fish_lab_data!C:C,0))</f>
        <v>EJ</v>
      </c>
      <c r="U191" s="61">
        <f t="array" ref="U191">if(A191="","",index(fish_lab_data!X:X,match(A191,fish_lab_data!C:C,0)))</f>
        <v>190</v>
      </c>
    </row>
    <row r="192">
      <c r="A192" t="str">
        <f>fish_lab_data!C192</f>
        <v>U5281</v>
      </c>
      <c r="B192" t="str">
        <f t="array" ref="B192">iferror(index('rna-muscle'!$I:$I,match($A192,'rna-muscle'!$A:$A,0)))</f>
        <v>BRN56M-D12</v>
      </c>
      <c r="C192" t="str">
        <f t="array" ref="C192">iferror(index('rna-muscle'!$L:$L,match($A192,'rna-muscle'!$A:$A,0)))</f>
        <v>N</v>
      </c>
      <c r="D192" t="str">
        <f t="array" ref="D192">iferror(index('rna-gill'!$I:$I,match($A192,'rna-gill'!$A:$A,0)))</f>
        <v>BRN56G-D12</v>
      </c>
      <c r="E192" t="str">
        <f t="array" ref="E192">iferror(index('rna-gill'!$L:$L,match($A192,'rna-gill'!$A:$A,0)))</f>
        <v>N</v>
      </c>
      <c r="F192" t="str">
        <f t="array" ref="F192">iferror(index(fatty_acid!$G:$G,match($A192,fatty_acid!$A:$A,0)))</f>
        <v>BFA21-71</v>
      </c>
      <c r="G192" t="str">
        <f t="array" ref="G192">iferror(index(fatty_acid!$J:$J,match($A192,fatty_acid!$A:$A,0)))</f>
        <v>N</v>
      </c>
      <c r="H192" t="str">
        <f t="array" ref="H192">iferror(index(isotopes!$G:$G,match($A192,isotopes!$A:$A,0)))</f>
        <v>BIS24-85</v>
      </c>
      <c r="I192" t="str">
        <f t="array" ref="I192">iferror(index(isotopes!$J:$J,match($A192,isotopes!$A:$A,0)))</f>
        <v>N</v>
      </c>
      <c r="J192" t="str">
        <f t="array" ref="J192">iferror(index(extra_muscle!$G:$G,match($A192,extra_muscle!$A:$A,0)))</f>
        <v>BXM23-45</v>
      </c>
      <c r="K192" t="str">
        <f t="array" ref="K192">iferror(index(extra_muscle!$J:$J,match($A192,extra_muscle!$A:$A,0)))</f>
        <v>N</v>
      </c>
      <c r="L192" s="59" t="str">
        <f t="array" ref="L192">iferror(index(dna!$G:$G,match($A192,dna!$A:$A,0)))</f>
        <v/>
      </c>
      <c r="M192" s="60" t="str">
        <f t="array" ref="M192">iferror(index(dna!$J:$J,match($A192,dna!$A:$A,0)))</f>
        <v/>
      </c>
      <c r="N192" t="str">
        <f t="array" ref="N192">iferror(index(stomachs!$G:$G,match($A192,stomachs!$A:$A,0)))</f>
        <v>BST237-20</v>
      </c>
      <c r="O192" t="str">
        <f t="array" ref="O192">iferror(index(stomachs!$J:$J,match($A192,stomachs!$A:$A,0)))</f>
        <v>N</v>
      </c>
      <c r="P192" t="str">
        <f t="array" ref="P192">iferror(index(sea_lice!$G:$G,match($A192,sea_lice!$A:$A,0)))</f>
        <v/>
      </c>
      <c r="Q192" t="str">
        <f t="array" ref="Q192">iferror(index(sea_lice!$J:$J,match($A192,sea_lice!$A:$A,0)))</f>
        <v/>
      </c>
      <c r="R192" s="40" t="str">
        <f t="array" ref="R192">iferror(index(dissected_fish!$F:$F,match($A192,dissected_fish!$A:$A,0)))</f>
        <v>BCA101</v>
      </c>
      <c r="S192" s="40" t="str">
        <f t="array" ref="S192">iferror(index(dissected_fish!$K:$K,match($A192,dissected_fish!$A:$A,0)))</f>
        <v>N</v>
      </c>
      <c r="T192" s="61" t="str">
        <f t="array" ref="T192">index(fish_lab_data!O:O,match(A192,fish_lab_data!C:C,0))</f>
        <v>EJ</v>
      </c>
      <c r="U192" s="61">
        <f t="array" ref="U192">if(A192="","",index(fish_lab_data!X:X,match(A192,fish_lab_data!C:C,0)))</f>
        <v>191</v>
      </c>
    </row>
    <row r="193">
      <c r="A193" t="str">
        <f>fish_lab_data!C193</f>
        <v>U5282</v>
      </c>
      <c r="B193" t="str">
        <f t="array" ref="B193">iferror(index('rna-muscle'!$I:$I,match($A193,'rna-muscle'!$A:$A,0)))</f>
        <v>BRN56M-C12</v>
      </c>
      <c r="C193" t="str">
        <f t="array" ref="C193">iferror(index('rna-muscle'!$L:$L,match($A193,'rna-muscle'!$A:$A,0)))</f>
        <v>N</v>
      </c>
      <c r="D193" t="str">
        <f t="array" ref="D193">iferror(index('rna-gill'!$I:$I,match($A193,'rna-gill'!$A:$A,0)))</f>
        <v>BRN56G-C12</v>
      </c>
      <c r="E193" t="str">
        <f t="array" ref="E193">iferror(index('rna-gill'!$L:$L,match($A193,'rna-gill'!$A:$A,0)))</f>
        <v>N</v>
      </c>
      <c r="F193" t="str">
        <f t="array" ref="F193">iferror(index(fatty_acid!$G:$G,match($A193,fatty_acid!$A:$A,0)))</f>
        <v>BFA21-72</v>
      </c>
      <c r="G193" t="str">
        <f t="array" ref="G193">iferror(index(fatty_acid!$J:$J,match($A193,fatty_acid!$A:$A,0)))</f>
        <v>N</v>
      </c>
      <c r="H193" t="str">
        <f t="array" ref="H193">iferror(index(isotopes!$G:$G,match($A193,isotopes!$A:$A,0)))</f>
        <v>BIS24-87</v>
      </c>
      <c r="I193" t="str">
        <f t="array" ref="I193">iferror(index(isotopes!$J:$J,match($A193,isotopes!$A:$A,0)))</f>
        <v>N</v>
      </c>
      <c r="J193" t="str">
        <f t="array" ref="J193">iferror(index(extra_muscle!$G:$G,match($A193,extra_muscle!$A:$A,0)))</f>
        <v>BXM23-47</v>
      </c>
      <c r="K193" t="str">
        <f t="array" ref="K193">iferror(index(extra_muscle!$J:$J,match($A193,extra_muscle!$A:$A,0)))</f>
        <v>N</v>
      </c>
      <c r="L193" s="59" t="str">
        <f t="array" ref="L193">iferror(index(dna!$G:$G,match($A193,dna!$A:$A,0)))</f>
        <v/>
      </c>
      <c r="M193" s="60" t="str">
        <f t="array" ref="M193">iferror(index(dna!$J:$J,match($A193,dna!$A:$A,0)))</f>
        <v/>
      </c>
      <c r="N193" t="str">
        <f t="array" ref="N193">iferror(index(stomachs!$G:$G,match($A193,stomachs!$A:$A,0)))</f>
        <v>BST237-21</v>
      </c>
      <c r="O193" t="str">
        <f t="array" ref="O193">iferror(index(stomachs!$J:$J,match($A193,stomachs!$A:$A,0)))</f>
        <v>N</v>
      </c>
      <c r="P193" t="str">
        <f t="array" ref="P193">iferror(index(sea_lice!$G:$G,match($A193,sea_lice!$A:$A,0)))</f>
        <v/>
      </c>
      <c r="Q193" t="str">
        <f t="array" ref="Q193">iferror(index(sea_lice!$J:$J,match($A193,sea_lice!$A:$A,0)))</f>
        <v/>
      </c>
      <c r="R193" s="40" t="str">
        <f t="array" ref="R193">iferror(index(dissected_fish!$F:$F,match($A193,dissected_fish!$A:$A,0)))</f>
        <v>BCA101</v>
      </c>
      <c r="S193" s="40" t="str">
        <f t="array" ref="S193">iferror(index(dissected_fish!$K:$K,match($A193,dissected_fish!$A:$A,0)))</f>
        <v>N</v>
      </c>
      <c r="T193" s="61" t="str">
        <f t="array" ref="T193">index(fish_lab_data!O:O,match(A193,fish_lab_data!C:C,0))</f>
        <v>EJ</v>
      </c>
      <c r="U193" s="61">
        <f t="array" ref="U193">if(A193="","",index(fish_lab_data!X:X,match(A193,fish_lab_data!C:C,0)))</f>
        <v>192</v>
      </c>
    </row>
    <row r="194">
      <c r="A194" t="str">
        <f>fish_lab_data!C194</f>
        <v>U5283</v>
      </c>
      <c r="B194" t="str">
        <f t="array" ref="B194">iferror(index('rna-muscle'!$I:$I,match($A194,'rna-muscle'!$A:$A,0)))</f>
        <v>BRN56M-B12</v>
      </c>
      <c r="C194" t="str">
        <f t="array" ref="C194">iferror(index('rna-muscle'!$L:$L,match($A194,'rna-muscle'!$A:$A,0)))</f>
        <v>N</v>
      </c>
      <c r="D194" t="str">
        <f t="array" ref="D194">iferror(index('rna-gill'!$I:$I,match($A194,'rna-gill'!$A:$A,0)))</f>
        <v>BRN56G-B12</v>
      </c>
      <c r="E194" t="str">
        <f t="array" ref="E194">iferror(index('rna-gill'!$L:$L,match($A194,'rna-gill'!$A:$A,0)))</f>
        <v>N</v>
      </c>
      <c r="F194" t="str">
        <f t="array" ref="F194">iferror(index(fatty_acid!$G:$G,match($A194,fatty_acid!$A:$A,0)))</f>
        <v>BFA21-73</v>
      </c>
      <c r="G194" t="str">
        <f t="array" ref="G194">iferror(index(fatty_acid!$J:$J,match($A194,fatty_acid!$A:$A,0)))</f>
        <v>N</v>
      </c>
      <c r="H194" t="str">
        <f t="array" ref="H194">iferror(index(isotopes!$G:$G,match($A194,isotopes!$A:$A,0)))</f>
        <v>BIS24-89</v>
      </c>
      <c r="I194" t="str">
        <f t="array" ref="I194">iferror(index(isotopes!$J:$J,match($A194,isotopes!$A:$A,0)))</f>
        <v>N</v>
      </c>
      <c r="J194" t="str">
        <f t="array" ref="J194">iferror(index(extra_muscle!$G:$G,match($A194,extra_muscle!$A:$A,0)))</f>
        <v>BXM23-48</v>
      </c>
      <c r="K194" t="str">
        <f t="array" ref="K194">iferror(index(extra_muscle!$J:$J,match($A194,extra_muscle!$A:$A,0)))</f>
        <v>N</v>
      </c>
      <c r="L194" s="59" t="str">
        <f t="array" ref="L194">iferror(index(dna!$G:$G,match($A194,dna!$A:$A,0)))</f>
        <v/>
      </c>
      <c r="M194" s="60" t="str">
        <f t="array" ref="M194">iferror(index(dna!$J:$J,match($A194,dna!$A:$A,0)))</f>
        <v/>
      </c>
      <c r="N194" t="str">
        <f t="array" ref="N194">iferror(index(stomachs!$G:$G,match($A194,stomachs!$A:$A,0)))</f>
        <v>BST237-22</v>
      </c>
      <c r="O194" t="str">
        <f t="array" ref="O194">iferror(index(stomachs!$J:$J,match($A194,stomachs!$A:$A,0)))</f>
        <v>N</v>
      </c>
      <c r="P194" t="str">
        <f t="array" ref="P194">iferror(index(sea_lice!$G:$G,match($A194,sea_lice!$A:$A,0)))</f>
        <v/>
      </c>
      <c r="Q194" t="str">
        <f t="array" ref="Q194">iferror(index(sea_lice!$J:$J,match($A194,sea_lice!$A:$A,0)))</f>
        <v/>
      </c>
      <c r="R194" s="40" t="str">
        <f t="array" ref="R194">iferror(index(dissected_fish!$F:$F,match($A194,dissected_fish!$A:$A,0)))</f>
        <v>BCA101</v>
      </c>
      <c r="S194" s="40" t="str">
        <f t="array" ref="S194">iferror(index(dissected_fish!$K:$K,match($A194,dissected_fish!$A:$A,0)))</f>
        <v>N</v>
      </c>
      <c r="T194" s="61" t="str">
        <f t="array" ref="T194">index(fish_lab_data!O:O,match(A194,fish_lab_data!C:C,0))</f>
        <v>EJ</v>
      </c>
      <c r="U194" s="61">
        <f t="array" ref="U194">if(A194="","",index(fish_lab_data!X:X,match(A194,fish_lab_data!C:C,0)))</f>
        <v>193</v>
      </c>
    </row>
    <row r="195">
      <c r="A195" t="str">
        <f>fish_lab_data!C195</f>
        <v>U5284</v>
      </c>
      <c r="B195" t="str">
        <f t="array" ref="B195">iferror(index('rna-muscle'!$I:$I,match($A195,'rna-muscle'!$A:$A,0)))</f>
        <v>BRN56M-A12</v>
      </c>
      <c r="C195" t="str">
        <f t="array" ref="C195">iferror(index('rna-muscle'!$L:$L,match($A195,'rna-muscle'!$A:$A,0)))</f>
        <v>N</v>
      </c>
      <c r="D195" t="str">
        <f t="array" ref="D195">iferror(index('rna-gill'!$I:$I,match($A195,'rna-gill'!$A:$A,0)))</f>
        <v>BRN56G-A12</v>
      </c>
      <c r="E195" t="str">
        <f t="array" ref="E195">iferror(index('rna-gill'!$L:$L,match($A195,'rna-gill'!$A:$A,0)))</f>
        <v>N</v>
      </c>
      <c r="F195" t="str">
        <f t="array" ref="F195">iferror(index(fatty_acid!$G:$G,match($A195,fatty_acid!$A:$A,0)))</f>
        <v>BFA21-74</v>
      </c>
      <c r="G195" t="str">
        <f t="array" ref="G195">iferror(index(fatty_acid!$J:$J,match($A195,fatty_acid!$A:$A,0)))</f>
        <v>N</v>
      </c>
      <c r="H195" t="str">
        <f t="array" ref="H195">iferror(index(isotopes!$G:$G,match($A195,isotopes!$A:$A,0)))</f>
        <v>BIS24-92</v>
      </c>
      <c r="I195" t="str">
        <f t="array" ref="I195">iferror(index(isotopes!$J:$J,match($A195,isotopes!$A:$A,0)))</f>
        <v>N</v>
      </c>
      <c r="J195" t="str">
        <f t="array" ref="J195">iferror(index(extra_muscle!$G:$G,match($A195,extra_muscle!$A:$A,0)))</f>
        <v>BXM23-49</v>
      </c>
      <c r="K195" t="str">
        <f t="array" ref="K195">iferror(index(extra_muscle!$J:$J,match($A195,extra_muscle!$A:$A,0)))</f>
        <v>N</v>
      </c>
      <c r="L195" s="59" t="str">
        <f t="array" ref="L195">iferror(index(dna!$G:$G,match($A195,dna!$A:$A,0)))</f>
        <v/>
      </c>
      <c r="M195" s="60" t="str">
        <f t="array" ref="M195">iferror(index(dna!$J:$J,match($A195,dna!$A:$A,0)))</f>
        <v/>
      </c>
      <c r="N195" t="str">
        <f t="array" ref="N195">iferror(index(stomachs!$G:$G,match($A195,stomachs!$A:$A,0)))</f>
        <v>BST237-23</v>
      </c>
      <c r="O195" t="str">
        <f t="array" ref="O195">iferror(index(stomachs!$J:$J,match($A195,stomachs!$A:$A,0)))</f>
        <v>N</v>
      </c>
      <c r="P195" t="str">
        <f t="array" ref="P195">iferror(index(sea_lice!$G:$G,match($A195,sea_lice!$A:$A,0)))</f>
        <v/>
      </c>
      <c r="Q195" t="str">
        <f t="array" ref="Q195">iferror(index(sea_lice!$J:$J,match($A195,sea_lice!$A:$A,0)))</f>
        <v/>
      </c>
      <c r="R195" s="40" t="str">
        <f t="array" ref="R195">iferror(index(dissected_fish!$F:$F,match($A195,dissected_fish!$A:$A,0)))</f>
        <v>BCA101</v>
      </c>
      <c r="S195" s="40" t="str">
        <f t="array" ref="S195">iferror(index(dissected_fish!$K:$K,match($A195,dissected_fish!$A:$A,0)))</f>
        <v>N</v>
      </c>
      <c r="T195" s="61" t="str">
        <f t="array" ref="T195">index(fish_lab_data!O:O,match(A195,fish_lab_data!C:C,0))</f>
        <v>EJ</v>
      </c>
      <c r="U195" s="61">
        <f t="array" ref="U195">if(A195="","",index(fish_lab_data!X:X,match(A195,fish_lab_data!C:C,0)))</f>
        <v>194</v>
      </c>
    </row>
    <row r="196">
      <c r="A196" t="str">
        <f>fish_lab_data!C196</f>
        <v>U5285</v>
      </c>
      <c r="B196" t="str">
        <f t="array" ref="B196">iferror(index('rna-muscle'!$I:$I,match($A196,'rna-muscle'!$A:$A,0)))</f>
        <v>BRN63M-H4</v>
      </c>
      <c r="C196" t="str">
        <f t="array" ref="C196">iferror(index('rna-muscle'!$L:$L,match($A196,'rna-muscle'!$A:$A,0)))</f>
        <v>N</v>
      </c>
      <c r="D196" t="str">
        <f t="array" ref="D196">iferror(index('rna-gill'!$I:$I,match($A196,'rna-gill'!$A:$A,0)))</f>
        <v>BRN63G-H4</v>
      </c>
      <c r="E196" t="str">
        <f t="array" ref="E196">iferror(index('rna-gill'!$L:$L,match($A196,'rna-gill'!$A:$A,0)))</f>
        <v>N</v>
      </c>
      <c r="F196" t="str">
        <f t="array" ref="F196">iferror(index(fatty_acid!$G:$G,match($A196,fatty_acid!$A:$A,0)))</f>
        <v>BFA21-75</v>
      </c>
      <c r="G196" t="str">
        <f t="array" ref="G196">iferror(index(fatty_acid!$J:$J,match($A196,fatty_acid!$A:$A,0)))</f>
        <v>N</v>
      </c>
      <c r="H196" t="str">
        <f t="array" ref="H196">iferror(index(isotopes!$G:$G,match($A196,isotopes!$A:$A,0)))</f>
        <v>BIS24-94</v>
      </c>
      <c r="I196" t="str">
        <f t="array" ref="I196">iferror(index(isotopes!$J:$J,match($A196,isotopes!$A:$A,0)))</f>
        <v>N</v>
      </c>
      <c r="J196" t="str">
        <f t="array" ref="J196">iferror(index(extra_muscle!$G:$G,match($A196,extra_muscle!$A:$A,0)))</f>
        <v>BXM23-50</v>
      </c>
      <c r="K196" t="str">
        <f t="array" ref="K196">iferror(index(extra_muscle!$J:$J,match($A196,extra_muscle!$A:$A,0)))</f>
        <v>N</v>
      </c>
      <c r="L196" s="59" t="str">
        <f t="array" ref="L196">iferror(index(dna!$G:$G,match($A196,dna!$A:$A,0)))</f>
        <v/>
      </c>
      <c r="M196" s="60" t="str">
        <f t="array" ref="M196">iferror(index(dna!$J:$J,match($A196,dna!$A:$A,0)))</f>
        <v/>
      </c>
      <c r="N196" t="str">
        <f t="array" ref="N196">iferror(index(stomachs!$G:$G,match($A196,stomachs!$A:$A,0)))</f>
        <v>BST237-24</v>
      </c>
      <c r="O196" t="str">
        <f t="array" ref="O196">iferror(index(stomachs!$J:$J,match($A196,stomachs!$A:$A,0)))</f>
        <v>N</v>
      </c>
      <c r="P196" t="str">
        <f t="array" ref="P196">iferror(index(sea_lice!$G:$G,match($A196,sea_lice!$A:$A,0)))</f>
        <v/>
      </c>
      <c r="Q196" t="str">
        <f t="array" ref="Q196">iferror(index(sea_lice!$J:$J,match($A196,sea_lice!$A:$A,0)))</f>
        <v/>
      </c>
      <c r="R196" s="40" t="str">
        <f t="array" ref="R196">iferror(index(dissected_fish!$F:$F,match($A196,dissected_fish!$A:$A,0)))</f>
        <v>BCA101</v>
      </c>
      <c r="S196" s="40" t="str">
        <f t="array" ref="S196">iferror(index(dissected_fish!$K:$K,match($A196,dissected_fish!$A:$A,0)))</f>
        <v>N</v>
      </c>
      <c r="T196" s="61" t="str">
        <f t="array" ref="T196">index(fish_lab_data!O:O,match(A196,fish_lab_data!C:C,0))</f>
        <v>EJ</v>
      </c>
      <c r="U196" s="61">
        <f t="array" ref="U196">if(A196="","",index(fish_lab_data!X:X,match(A196,fish_lab_data!C:C,0)))</f>
        <v>195</v>
      </c>
    </row>
    <row r="197">
      <c r="A197" t="str">
        <f>fish_lab_data!C197</f>
        <v>U5286</v>
      </c>
      <c r="B197" t="str">
        <f t="array" ref="B197">iferror(index('rna-muscle'!$I:$I,match($A197,'rna-muscle'!$A:$A,0)))</f>
        <v>BRN63M-G4</v>
      </c>
      <c r="C197" t="str">
        <f t="array" ref="C197">iferror(index('rna-muscle'!$L:$L,match($A197,'rna-muscle'!$A:$A,0)))</f>
        <v>N</v>
      </c>
      <c r="D197" t="str">
        <f t="array" ref="D197">iferror(index('rna-gill'!$I:$I,match($A197,'rna-gill'!$A:$A,0)))</f>
        <v>BRN63G-G4</v>
      </c>
      <c r="E197" t="str">
        <f t="array" ref="E197">iferror(index('rna-gill'!$L:$L,match($A197,'rna-gill'!$A:$A,0)))</f>
        <v>N</v>
      </c>
      <c r="F197" t="str">
        <f t="array" ref="F197">iferror(index(fatty_acid!$G:$G,match($A197,fatty_acid!$A:$A,0)))</f>
        <v>BFA21-77</v>
      </c>
      <c r="G197" t="str">
        <f t="array" ref="G197">iferror(index(fatty_acid!$J:$J,match($A197,fatty_acid!$A:$A,0)))</f>
        <v>N</v>
      </c>
      <c r="H197" t="str">
        <f t="array" ref="H197">iferror(index(isotopes!$G:$G,match($A197,isotopes!$A:$A,0)))</f>
        <v>BIS24-96</v>
      </c>
      <c r="I197" t="str">
        <f t="array" ref="I197">iferror(index(isotopes!$J:$J,match($A197,isotopes!$A:$A,0)))</f>
        <v>N</v>
      </c>
      <c r="J197" t="str">
        <f t="array" ref="J197">iferror(index(extra_muscle!$G:$G,match($A197,extra_muscle!$A:$A,0)))</f>
        <v>BXM23-51</v>
      </c>
      <c r="K197" t="str">
        <f t="array" ref="K197">iferror(index(extra_muscle!$J:$J,match($A197,extra_muscle!$A:$A,0)))</f>
        <v>N</v>
      </c>
      <c r="L197" s="59" t="str">
        <f t="array" ref="L197">iferror(index(dna!$G:$G,match($A197,dna!$A:$A,0)))</f>
        <v/>
      </c>
      <c r="M197" s="60" t="str">
        <f t="array" ref="M197">iferror(index(dna!$J:$J,match($A197,dna!$A:$A,0)))</f>
        <v/>
      </c>
      <c r="N197" t="str">
        <f t="array" ref="N197">iferror(index(stomachs!$G:$G,match($A197,stomachs!$A:$A,0)))</f>
        <v>BST237-25</v>
      </c>
      <c r="O197" t="str">
        <f t="array" ref="O197">iferror(index(stomachs!$J:$J,match($A197,stomachs!$A:$A,0)))</f>
        <v>N</v>
      </c>
      <c r="P197" t="str">
        <f t="array" ref="P197">iferror(index(sea_lice!$G:$G,match($A197,sea_lice!$A:$A,0)))</f>
        <v/>
      </c>
      <c r="Q197" t="str">
        <f t="array" ref="Q197">iferror(index(sea_lice!$J:$J,match($A197,sea_lice!$A:$A,0)))</f>
        <v/>
      </c>
      <c r="R197" s="40" t="str">
        <f t="array" ref="R197">iferror(index(dissected_fish!$F:$F,match($A197,dissected_fish!$A:$A,0)))</f>
        <v>BCA101</v>
      </c>
      <c r="S197" s="40" t="str">
        <f t="array" ref="S197">iferror(index(dissected_fish!$K:$K,match($A197,dissected_fish!$A:$A,0)))</f>
        <v>N</v>
      </c>
      <c r="T197" s="61" t="str">
        <f t="array" ref="T197">index(fish_lab_data!O:O,match(A197,fish_lab_data!C:C,0))</f>
        <v>EJ</v>
      </c>
      <c r="U197" s="61">
        <f t="array" ref="U197">if(A197="","",index(fish_lab_data!X:X,match(A197,fish_lab_data!C:C,0)))</f>
        <v>196</v>
      </c>
    </row>
    <row r="198">
      <c r="A198" t="str">
        <f>fish_lab_data!C198</f>
        <v>U5337</v>
      </c>
      <c r="B198" t="str">
        <f t="array" ref="B198">iferror(index('rna-muscle'!$I:$I,match($A198,'rna-muscle'!$A:$A,0)))</f>
        <v>BRN63M-F4</v>
      </c>
      <c r="C198" t="str">
        <f t="array" ref="C198">iferror(index('rna-muscle'!$L:$L,match($A198,'rna-muscle'!$A:$A,0)))</f>
        <v>N</v>
      </c>
      <c r="D198" t="str">
        <f t="array" ref="D198">iferror(index('rna-gill'!$I:$I,match($A198,'rna-gill'!$A:$A,0)))</f>
        <v>BRN63G-F4</v>
      </c>
      <c r="E198" t="str">
        <f t="array" ref="E198">iferror(index('rna-gill'!$L:$L,match($A198,'rna-gill'!$A:$A,0)))</f>
        <v>N</v>
      </c>
      <c r="F198" t="str">
        <f t="array" ref="F198">iferror(index(fatty_acid!$G:$G,match($A198,fatty_acid!$A:$A,0)))</f>
        <v>BFA21-78</v>
      </c>
      <c r="G198" t="str">
        <f t="array" ref="G198">iferror(index(fatty_acid!$J:$J,match($A198,fatty_acid!$A:$A,0)))</f>
        <v>N</v>
      </c>
      <c r="H198" t="str">
        <f t="array" ref="H198">iferror(index(isotopes!$G:$G,match($A198,isotopes!$A:$A,0)))</f>
        <v>BIS24-98</v>
      </c>
      <c r="I198" t="str">
        <f t="array" ref="I198">iferror(index(isotopes!$J:$J,match($A198,isotopes!$A:$A,0)))</f>
        <v>N</v>
      </c>
      <c r="J198" t="str">
        <f t="array" ref="J198">iferror(index(extra_muscle!$G:$G,match($A198,extra_muscle!$A:$A,0)))</f>
        <v>BXM23-52</v>
      </c>
      <c r="K198" t="str">
        <f t="array" ref="K198">iferror(index(extra_muscle!$J:$J,match($A198,extra_muscle!$A:$A,0)))</f>
        <v>N</v>
      </c>
      <c r="L198" s="59" t="str">
        <f t="array" ref="L198">iferror(index(dna!$G:$G,match($A198,dna!$A:$A,0)))</f>
        <v/>
      </c>
      <c r="M198" s="60" t="str">
        <f t="array" ref="M198">iferror(index(dna!$J:$J,match($A198,dna!$A:$A,0)))</f>
        <v/>
      </c>
      <c r="N198" t="str">
        <f t="array" ref="N198">iferror(index(stomachs!$G:$G,match($A198,stomachs!$A:$A,0)))</f>
        <v>BST240-1</v>
      </c>
      <c r="O198" t="str">
        <f t="array" ref="O198">iferror(index(stomachs!$J:$J,match($A198,stomachs!$A:$A,0)))</f>
        <v>N</v>
      </c>
      <c r="P198" t="str">
        <f t="array" ref="P198">iferror(index(sea_lice!$G:$G,match($A198,sea_lice!$A:$A,0)))</f>
        <v/>
      </c>
      <c r="Q198" t="str">
        <f t="array" ref="Q198">iferror(index(sea_lice!$J:$J,match($A198,sea_lice!$A:$A,0)))</f>
        <v/>
      </c>
      <c r="R198" s="40" t="str">
        <f t="array" ref="R198">iferror(index(dissected_fish!$F:$F,match($A198,dissected_fish!$A:$A,0)))</f>
        <v>BCA101</v>
      </c>
      <c r="S198" s="40" t="str">
        <f t="array" ref="S198">iferror(index(dissected_fish!$K:$K,match($A198,dissected_fish!$A:$A,0)))</f>
        <v>N</v>
      </c>
      <c r="T198" s="61" t="str">
        <f t="array" ref="T198">index(fish_lab_data!O:O,match(A198,fish_lab_data!C:C,0))</f>
        <v>EJ</v>
      </c>
      <c r="U198" s="61">
        <f t="array" ref="U198">if(A198="","",index(fish_lab_data!X:X,match(A198,fish_lab_data!C:C,0)))</f>
        <v>197</v>
      </c>
    </row>
    <row r="199">
      <c r="A199" t="str">
        <f>fish_lab_data!C199</f>
        <v>U5338</v>
      </c>
      <c r="B199" t="str">
        <f t="array" ref="B199">iferror(index('rna-muscle'!$I:$I,match($A199,'rna-muscle'!$A:$A,0)))</f>
        <v>BRN63M-E4</v>
      </c>
      <c r="C199" t="str">
        <f t="array" ref="C199">iferror(index('rna-muscle'!$L:$L,match($A199,'rna-muscle'!$A:$A,0)))</f>
        <v>N</v>
      </c>
      <c r="D199" t="str">
        <f t="array" ref="D199">iferror(index('rna-gill'!$I:$I,match($A199,'rna-gill'!$A:$A,0)))</f>
        <v>BRN63G-E4</v>
      </c>
      <c r="E199" t="str">
        <f t="array" ref="E199">iferror(index('rna-gill'!$L:$L,match($A199,'rna-gill'!$A:$A,0)))</f>
        <v>N</v>
      </c>
      <c r="F199" t="str">
        <f t="array" ref="F199">iferror(index(fatty_acid!$G:$G,match($A199,fatty_acid!$A:$A,0)))</f>
        <v>BFA21-79</v>
      </c>
      <c r="G199" t="str">
        <f t="array" ref="G199">iferror(index(fatty_acid!$J:$J,match($A199,fatty_acid!$A:$A,0)))</f>
        <v>N</v>
      </c>
      <c r="H199" t="str">
        <f t="array" ref="H199">iferror(index(isotopes!$G:$G,match($A199,isotopes!$A:$A,0)))</f>
        <v>BIS24-100</v>
      </c>
      <c r="I199" t="str">
        <f t="array" ref="I199">iferror(index(isotopes!$J:$J,match($A199,isotopes!$A:$A,0)))</f>
        <v>N</v>
      </c>
      <c r="J199" t="str">
        <f t="array" ref="J199">iferror(index(extra_muscle!$G:$G,match($A199,extra_muscle!$A:$A,0)))</f>
        <v>BXM23-53</v>
      </c>
      <c r="K199" t="str">
        <f t="array" ref="K199">iferror(index(extra_muscle!$J:$J,match($A199,extra_muscle!$A:$A,0)))</f>
        <v>N</v>
      </c>
      <c r="L199" s="59" t="str">
        <f t="array" ref="L199">iferror(index(dna!$G:$G,match($A199,dna!$A:$A,0)))</f>
        <v/>
      </c>
      <c r="M199" s="60" t="str">
        <f t="array" ref="M199">iferror(index(dna!$J:$J,match($A199,dna!$A:$A,0)))</f>
        <v/>
      </c>
      <c r="N199" t="str">
        <f t="array" ref="N199">iferror(index(stomachs!$G:$G,match($A199,stomachs!$A:$A,0)))</f>
        <v>BST240-2</v>
      </c>
      <c r="O199" t="str">
        <f t="array" ref="O199">iferror(index(stomachs!$J:$J,match($A199,stomachs!$A:$A,0)))</f>
        <v>N</v>
      </c>
      <c r="P199" t="str">
        <f t="array" ref="P199">iferror(index(sea_lice!$G:$G,match($A199,sea_lice!$A:$A,0)))</f>
        <v/>
      </c>
      <c r="Q199" t="str">
        <f t="array" ref="Q199">iferror(index(sea_lice!$J:$J,match($A199,sea_lice!$A:$A,0)))</f>
        <v/>
      </c>
      <c r="R199" s="40" t="str">
        <f t="array" ref="R199">iferror(index(dissected_fish!$F:$F,match($A199,dissected_fish!$A:$A,0)))</f>
        <v>BCA101</v>
      </c>
      <c r="S199" s="40" t="str">
        <f t="array" ref="S199">iferror(index(dissected_fish!$K:$K,match($A199,dissected_fish!$A:$A,0)))</f>
        <v>N</v>
      </c>
      <c r="T199" s="61" t="str">
        <f t="array" ref="T199">index(fish_lab_data!O:O,match(A199,fish_lab_data!C:C,0))</f>
        <v>EJ</v>
      </c>
      <c r="U199" s="61">
        <f t="array" ref="U199">if(A199="","",index(fish_lab_data!X:X,match(A199,fish_lab_data!C:C,0)))</f>
        <v>198</v>
      </c>
    </row>
    <row r="200">
      <c r="A200" t="str">
        <f>fish_lab_data!C200</f>
        <v>U5339</v>
      </c>
      <c r="B200" t="str">
        <f t="array" ref="B200">iferror(index('rna-muscle'!$I:$I,match($A200,'rna-muscle'!$A:$A,0)))</f>
        <v>BRN63M-D4</v>
      </c>
      <c r="C200" t="str">
        <f t="array" ref="C200">iferror(index('rna-muscle'!$L:$L,match($A200,'rna-muscle'!$A:$A,0)))</f>
        <v>N</v>
      </c>
      <c r="D200" t="str">
        <f t="array" ref="D200">iferror(index('rna-gill'!$I:$I,match($A200,'rna-gill'!$A:$A,0)))</f>
        <v>BRN63G-D4</v>
      </c>
      <c r="E200" t="str">
        <f t="array" ref="E200">iferror(index('rna-gill'!$L:$L,match($A200,'rna-gill'!$A:$A,0)))</f>
        <v>N</v>
      </c>
      <c r="F200" t="str">
        <f t="array" ref="F200">iferror(index(fatty_acid!$G:$G,match($A200,fatty_acid!$A:$A,0)))</f>
        <v>BFA21-80</v>
      </c>
      <c r="G200" t="str">
        <f t="array" ref="G200">iferror(index(fatty_acid!$J:$J,match($A200,fatty_acid!$A:$A,0)))</f>
        <v>N</v>
      </c>
      <c r="H200" t="str">
        <f t="array" ref="H200">iferror(index(isotopes!$G:$G,match($A200,isotopes!$A:$A,0)))</f>
        <v>BIS26-1</v>
      </c>
      <c r="I200" t="str">
        <f t="array" ref="I200">iferror(index(isotopes!$J:$J,match($A200,isotopes!$A:$A,0)))</f>
        <v>N</v>
      </c>
      <c r="J200" t="str">
        <f t="array" ref="J200">iferror(index(extra_muscle!$G:$G,match($A200,extra_muscle!$A:$A,0)))</f>
        <v>BXM23-54</v>
      </c>
      <c r="K200" t="str">
        <f t="array" ref="K200">iferror(index(extra_muscle!$J:$J,match($A200,extra_muscle!$A:$A,0)))</f>
        <v>N</v>
      </c>
      <c r="L200" s="59" t="str">
        <f t="array" ref="L200">iferror(index(dna!$G:$G,match($A200,dna!$A:$A,0)))</f>
        <v/>
      </c>
      <c r="M200" s="60" t="str">
        <f t="array" ref="M200">iferror(index(dna!$J:$J,match($A200,dna!$A:$A,0)))</f>
        <v/>
      </c>
      <c r="N200" t="str">
        <f t="array" ref="N200">iferror(index(stomachs!$G:$G,match($A200,stomachs!$A:$A,0)))</f>
        <v>BST240-3</v>
      </c>
      <c r="O200" t="str">
        <f t="array" ref="O200">iferror(index(stomachs!$J:$J,match($A200,stomachs!$A:$A,0)))</f>
        <v>N</v>
      </c>
      <c r="P200" t="str">
        <f t="array" ref="P200">iferror(index(sea_lice!$G:$G,match($A200,sea_lice!$A:$A,0)))</f>
        <v/>
      </c>
      <c r="Q200" t="str">
        <f t="array" ref="Q200">iferror(index(sea_lice!$J:$J,match($A200,sea_lice!$A:$A,0)))</f>
        <v/>
      </c>
      <c r="R200" s="40" t="str">
        <f t="array" ref="R200">iferror(index(dissected_fish!$F:$F,match($A200,dissected_fish!$A:$A,0)))</f>
        <v>BCA101</v>
      </c>
      <c r="S200" s="40" t="str">
        <f t="array" ref="S200">iferror(index(dissected_fish!$K:$K,match($A200,dissected_fish!$A:$A,0)))</f>
        <v>N</v>
      </c>
      <c r="T200" s="61" t="str">
        <f t="array" ref="T200">index(fish_lab_data!O:O,match(A200,fish_lab_data!C:C,0))</f>
        <v>EJ</v>
      </c>
      <c r="U200" s="61">
        <f t="array" ref="U200">if(A200="","",index(fish_lab_data!X:X,match(A200,fish_lab_data!C:C,0)))</f>
        <v>199</v>
      </c>
    </row>
    <row r="201">
      <c r="A201" t="str">
        <f>fish_lab_data!C201</f>
        <v>U5340</v>
      </c>
      <c r="B201" t="str">
        <f t="array" ref="B201">iferror(index('rna-muscle'!$I:$I,match($A201,'rna-muscle'!$A:$A,0)))</f>
        <v>BRN63M-C4</v>
      </c>
      <c r="C201" t="str">
        <f t="array" ref="C201">iferror(index('rna-muscle'!$L:$L,match($A201,'rna-muscle'!$A:$A,0)))</f>
        <v>N</v>
      </c>
      <c r="D201" t="str">
        <f t="array" ref="D201">iferror(index('rna-gill'!$I:$I,match($A201,'rna-gill'!$A:$A,0)))</f>
        <v>BRN63G-C4</v>
      </c>
      <c r="E201" t="str">
        <f t="array" ref="E201">iferror(index('rna-gill'!$L:$L,match($A201,'rna-gill'!$A:$A,0)))</f>
        <v>N</v>
      </c>
      <c r="F201" t="str">
        <f t="array" ref="F201">iferror(index(fatty_acid!$G:$G,match($A201,fatty_acid!$A:$A,0)))</f>
        <v>BFA21-81</v>
      </c>
      <c r="G201" t="str">
        <f t="array" ref="G201">iferror(index(fatty_acid!$J:$J,match($A201,fatty_acid!$A:$A,0)))</f>
        <v>N</v>
      </c>
      <c r="H201" t="str">
        <f t="array" ref="H201">iferror(index(isotopes!$G:$G,match($A201,isotopes!$A:$A,0)))</f>
        <v>BIS26-2</v>
      </c>
      <c r="I201" t="str">
        <f t="array" ref="I201">iferror(index(isotopes!$J:$J,match($A201,isotopes!$A:$A,0)))</f>
        <v>N</v>
      </c>
      <c r="J201" t="str">
        <f t="array" ref="J201">iferror(index(extra_muscle!$G:$G,match($A201,extra_muscle!$A:$A,0)))</f>
        <v>BXM23-55</v>
      </c>
      <c r="K201" t="str">
        <f t="array" ref="K201">iferror(index(extra_muscle!$J:$J,match($A201,extra_muscle!$A:$A,0)))</f>
        <v>N</v>
      </c>
      <c r="L201" s="59" t="str">
        <f t="array" ref="L201">iferror(index(dna!$G:$G,match($A201,dna!$A:$A,0)))</f>
        <v/>
      </c>
      <c r="M201" s="60" t="str">
        <f t="array" ref="M201">iferror(index(dna!$J:$J,match($A201,dna!$A:$A,0)))</f>
        <v/>
      </c>
      <c r="N201" t="str">
        <f t="array" ref="N201">iferror(index(stomachs!$G:$G,match($A201,stomachs!$A:$A,0)))</f>
        <v>BST240-4</v>
      </c>
      <c r="O201" t="str">
        <f t="array" ref="O201">iferror(index(stomachs!$J:$J,match($A201,stomachs!$A:$A,0)))</f>
        <v>N</v>
      </c>
      <c r="P201" t="str">
        <f t="array" ref="P201">iferror(index(sea_lice!$G:$G,match($A201,sea_lice!$A:$A,0)))</f>
        <v/>
      </c>
      <c r="Q201" t="str">
        <f t="array" ref="Q201">iferror(index(sea_lice!$J:$J,match($A201,sea_lice!$A:$A,0)))</f>
        <v/>
      </c>
      <c r="R201" s="40" t="str">
        <f t="array" ref="R201">iferror(index(dissected_fish!$F:$F,match($A201,dissected_fish!$A:$A,0)))</f>
        <v>BCA101</v>
      </c>
      <c r="S201" s="40" t="str">
        <f t="array" ref="S201">iferror(index(dissected_fish!$K:$K,match($A201,dissected_fish!$A:$A,0)))</f>
        <v>N</v>
      </c>
      <c r="T201" s="61" t="str">
        <f t="array" ref="T201">index(fish_lab_data!O:O,match(A201,fish_lab_data!C:C,0))</f>
        <v>EJ</v>
      </c>
      <c r="U201" s="61">
        <f t="array" ref="U201">if(A201="","",index(fish_lab_data!X:X,match(A201,fish_lab_data!C:C,0)))</f>
        <v>200</v>
      </c>
    </row>
    <row r="202">
      <c r="A202" t="str">
        <f>fish_lab_data!C202</f>
        <v>U5297</v>
      </c>
      <c r="B202" t="str">
        <f t="array" ref="B202">iferror(index('rna-muscle'!$I:$I,match($A202,'rna-muscle'!$A:$A,0)))</f>
        <v>BRN63M-D2</v>
      </c>
      <c r="C202" t="str">
        <f t="array" ref="C202">iferror(index('rna-muscle'!$L:$L,match($A202,'rna-muscle'!$A:$A,0)))</f>
        <v>N</v>
      </c>
      <c r="D202" t="str">
        <f t="array" ref="D202">iferror(index('rna-gill'!$I:$I,match($A202,'rna-gill'!$A:$A,0)))</f>
        <v>BRN63G-D2</v>
      </c>
      <c r="E202" t="str">
        <f t="array" ref="E202">iferror(index('rna-gill'!$L:$L,match($A202,'rna-gill'!$A:$A,0)))</f>
        <v>N</v>
      </c>
      <c r="F202" t="str">
        <f t="array" ref="F202">iferror(index(fatty_acid!$G:$G,match($A202,fatty_acid!$A:$A,0)))</f>
        <v>BFA23-31</v>
      </c>
      <c r="G202" t="str">
        <f t="array" ref="G202">iferror(index(fatty_acid!$J:$J,match($A202,fatty_acid!$A:$A,0)))</f>
        <v>N</v>
      </c>
      <c r="H202" t="str">
        <f t="array" ref="H202">iferror(index(isotopes!$G:$G,match($A202,isotopes!$A:$A,0)))</f>
        <v>BIS25-31</v>
      </c>
      <c r="I202" t="str">
        <f t="array" ref="I202">iferror(index(isotopes!$J:$J,match($A202,isotopes!$A:$A,0)))</f>
        <v>N</v>
      </c>
      <c r="J202" t="str">
        <f t="array" ref="J202">iferror(index(extra_muscle!$G:$G,match($A202,extra_muscle!$A:$A,0)))</f>
        <v>BXM24-31</v>
      </c>
      <c r="K202" t="str">
        <f t="array" ref="K202">iferror(index(extra_muscle!$J:$J,match($A202,extra_muscle!$A:$A,0)))</f>
        <v>N</v>
      </c>
      <c r="L202" s="59" t="str">
        <f t="array" ref="L202">iferror(index(dna!$G:$G,match($A202,dna!$A:$A,0)))</f>
        <v/>
      </c>
      <c r="M202" s="60" t="str">
        <f t="array" ref="M202">iferror(index(dna!$J:$J,match($A202,dna!$A:$A,0)))</f>
        <v/>
      </c>
      <c r="N202" t="str">
        <f t="array" ref="N202">iferror(index(stomachs!$G:$G,match($A202,stomachs!$A:$A,0)))</f>
        <v>BST238-11</v>
      </c>
      <c r="O202" t="str">
        <f t="array" ref="O202">iferror(index(stomachs!$J:$J,match($A202,stomachs!$A:$A,0)))</f>
        <v>N</v>
      </c>
      <c r="P202" t="str">
        <f t="array" ref="P202">iferror(index(sea_lice!$G:$G,match($A202,sea_lice!$A:$A,0)))</f>
        <v/>
      </c>
      <c r="Q202" t="str">
        <f t="array" ref="Q202">iferror(index(sea_lice!$J:$J,match($A202,sea_lice!$A:$A,0)))</f>
        <v/>
      </c>
      <c r="R202" s="40" t="str">
        <f t="array" ref="R202">iferror(index(dissected_fish!$F:$F,match($A202,dissected_fish!$A:$A,0)))</f>
        <v>BCA101</v>
      </c>
      <c r="S202" s="40" t="str">
        <f t="array" ref="S202">iferror(index(dissected_fish!$K:$K,match($A202,dissected_fish!$A:$A,0)))</f>
        <v>N</v>
      </c>
      <c r="T202" s="61" t="str">
        <f t="array" ref="T202">index(fish_lab_data!O:O,match(A202,fish_lab_data!C:C,0))</f>
        <v>KB</v>
      </c>
      <c r="U202" s="61">
        <f t="array" ref="U202">if(A202="","",index(fish_lab_data!X:X,match(A202,fish_lab_data!C:C,0)))</f>
        <v>201</v>
      </c>
    </row>
    <row r="203">
      <c r="A203" t="str">
        <f>fish_lab_data!C203</f>
        <v>U5298</v>
      </c>
      <c r="B203" t="str">
        <f t="array" ref="B203">iferror(index('rna-muscle'!$I:$I,match($A203,'rna-muscle'!$A:$A,0)))</f>
        <v>BRN63M-C2</v>
      </c>
      <c r="C203" t="str">
        <f t="array" ref="C203">iferror(index('rna-muscle'!$L:$L,match($A203,'rna-muscle'!$A:$A,0)))</f>
        <v>N</v>
      </c>
      <c r="D203" t="str">
        <f t="array" ref="D203">iferror(index('rna-gill'!$I:$I,match($A203,'rna-gill'!$A:$A,0)))</f>
        <v>BRN63G-C2</v>
      </c>
      <c r="E203" t="str">
        <f t="array" ref="E203">iferror(index('rna-gill'!$L:$L,match($A203,'rna-gill'!$A:$A,0)))</f>
        <v>N</v>
      </c>
      <c r="F203" t="str">
        <f t="array" ref="F203">iferror(index(fatty_acid!$G:$G,match($A203,fatty_acid!$A:$A,0)))</f>
        <v>BFA23-32</v>
      </c>
      <c r="G203" t="str">
        <f t="array" ref="G203">iferror(index(fatty_acid!$J:$J,match($A203,fatty_acid!$A:$A,0)))</f>
        <v>N</v>
      </c>
      <c r="H203" t="str">
        <f t="array" ref="H203">iferror(index(isotopes!$G:$G,match($A203,isotopes!$A:$A,0)))</f>
        <v>BIS25-32</v>
      </c>
      <c r="I203" t="str">
        <f t="array" ref="I203">iferror(index(isotopes!$J:$J,match($A203,isotopes!$A:$A,0)))</f>
        <v>N</v>
      </c>
      <c r="J203" t="str">
        <f t="array" ref="J203">iferror(index(extra_muscle!$G:$G,match($A203,extra_muscle!$A:$A,0)))</f>
        <v>BXM24-32</v>
      </c>
      <c r="K203" t="str">
        <f t="array" ref="K203">iferror(index(extra_muscle!$J:$J,match($A203,extra_muscle!$A:$A,0)))</f>
        <v>N</v>
      </c>
      <c r="L203" s="59" t="str">
        <f t="array" ref="L203">iferror(index(dna!$G:$G,match($A203,dna!$A:$A,0)))</f>
        <v/>
      </c>
      <c r="M203" s="60" t="str">
        <f t="array" ref="M203">iferror(index(dna!$J:$J,match($A203,dna!$A:$A,0)))</f>
        <v/>
      </c>
      <c r="N203" t="str">
        <f t="array" ref="N203">iferror(index(stomachs!$G:$G,match($A203,stomachs!$A:$A,0)))</f>
        <v>BST238-12</v>
      </c>
      <c r="O203" t="str">
        <f t="array" ref="O203">iferror(index(stomachs!$J:$J,match($A203,stomachs!$A:$A,0)))</f>
        <v>N</v>
      </c>
      <c r="P203" t="str">
        <f t="array" ref="P203">iferror(index(sea_lice!$G:$G,match($A203,sea_lice!$A:$A,0)))</f>
        <v/>
      </c>
      <c r="Q203" t="str">
        <f t="array" ref="Q203">iferror(index(sea_lice!$J:$J,match($A203,sea_lice!$A:$A,0)))</f>
        <v/>
      </c>
      <c r="R203" s="40" t="str">
        <f t="array" ref="R203">iferror(index(dissected_fish!$F:$F,match($A203,dissected_fish!$A:$A,0)))</f>
        <v>BCA101</v>
      </c>
      <c r="S203" s="40" t="str">
        <f t="array" ref="S203">iferror(index(dissected_fish!$K:$K,match($A203,dissected_fish!$A:$A,0)))</f>
        <v>N</v>
      </c>
      <c r="T203" s="61" t="str">
        <f t="array" ref="T203">index(fish_lab_data!O:O,match(A203,fish_lab_data!C:C,0))</f>
        <v>KB</v>
      </c>
      <c r="U203" s="61">
        <f t="array" ref="U203">if(A203="","",index(fish_lab_data!X:X,match(A203,fish_lab_data!C:C,0)))</f>
        <v>202</v>
      </c>
    </row>
    <row r="204">
      <c r="A204" t="str">
        <f>fish_lab_data!C204</f>
        <v>U5299</v>
      </c>
      <c r="B204" t="str">
        <f t="array" ref="B204">iferror(index('rna-muscle'!$I:$I,match($A204,'rna-muscle'!$A:$A,0)))</f>
        <v>BRN63M-B2</v>
      </c>
      <c r="C204" t="str">
        <f t="array" ref="C204">iferror(index('rna-muscle'!$L:$L,match($A204,'rna-muscle'!$A:$A,0)))</f>
        <v>N</v>
      </c>
      <c r="D204" t="str">
        <f t="array" ref="D204">iferror(index('rna-gill'!$I:$I,match($A204,'rna-gill'!$A:$A,0)))</f>
        <v>BRN63G-B2</v>
      </c>
      <c r="E204" t="str">
        <f t="array" ref="E204">iferror(index('rna-gill'!$L:$L,match($A204,'rna-gill'!$A:$A,0)))</f>
        <v>N</v>
      </c>
      <c r="F204" t="str">
        <f t="array" ref="F204">iferror(index(fatty_acid!$G:$G,match($A204,fatty_acid!$A:$A,0)))</f>
        <v>BFA23-33</v>
      </c>
      <c r="G204" t="str">
        <f t="array" ref="G204">iferror(index(fatty_acid!$J:$J,match($A204,fatty_acid!$A:$A,0)))</f>
        <v>N</v>
      </c>
      <c r="H204" t="str">
        <f t="array" ref="H204">iferror(index(isotopes!$G:$G,match($A204,isotopes!$A:$A,0)))</f>
        <v>BIS25-33</v>
      </c>
      <c r="I204" t="str">
        <f t="array" ref="I204">iferror(index(isotopes!$J:$J,match($A204,isotopes!$A:$A,0)))</f>
        <v>N</v>
      </c>
      <c r="J204" t="str">
        <f t="array" ref="J204">iferror(index(extra_muscle!$G:$G,match($A204,extra_muscle!$A:$A,0)))</f>
        <v>BXM24-33</v>
      </c>
      <c r="K204" t="str">
        <f t="array" ref="K204">iferror(index(extra_muscle!$J:$J,match($A204,extra_muscle!$A:$A,0)))</f>
        <v>N</v>
      </c>
      <c r="L204" s="59" t="str">
        <f t="array" ref="L204">iferror(index(dna!$G:$G,match($A204,dna!$A:$A,0)))</f>
        <v/>
      </c>
      <c r="M204" s="60" t="str">
        <f t="array" ref="M204">iferror(index(dna!$J:$J,match($A204,dna!$A:$A,0)))</f>
        <v/>
      </c>
      <c r="N204" t="str">
        <f t="array" ref="N204">iferror(index(stomachs!$G:$G,match($A204,stomachs!$A:$A,0)))</f>
        <v>BST238-13</v>
      </c>
      <c r="O204" t="str">
        <f t="array" ref="O204">iferror(index(stomachs!$J:$J,match($A204,stomachs!$A:$A,0)))</f>
        <v>N</v>
      </c>
      <c r="P204" t="str">
        <f t="array" ref="P204">iferror(index(sea_lice!$G:$G,match($A204,sea_lice!$A:$A,0)))</f>
        <v/>
      </c>
      <c r="Q204" t="str">
        <f t="array" ref="Q204">iferror(index(sea_lice!$J:$J,match($A204,sea_lice!$A:$A,0)))</f>
        <v/>
      </c>
      <c r="R204" s="40" t="str">
        <f t="array" ref="R204">iferror(index(dissected_fish!$F:$F,match($A204,dissected_fish!$A:$A,0)))</f>
        <v>BCA101</v>
      </c>
      <c r="S204" s="40" t="str">
        <f t="array" ref="S204">iferror(index(dissected_fish!$K:$K,match($A204,dissected_fish!$A:$A,0)))</f>
        <v>N</v>
      </c>
      <c r="T204" s="61" t="str">
        <f t="array" ref="T204">index(fish_lab_data!O:O,match(A204,fish_lab_data!C:C,0))</f>
        <v>KB</v>
      </c>
      <c r="U204" s="61">
        <f t="array" ref="U204">if(A204="","",index(fish_lab_data!X:X,match(A204,fish_lab_data!C:C,0)))</f>
        <v>203</v>
      </c>
    </row>
    <row r="205">
      <c r="A205" t="str">
        <f>fish_lab_data!C205</f>
        <v>U5300</v>
      </c>
      <c r="B205" t="str">
        <f t="array" ref="B205">iferror(index('rna-muscle'!$I:$I,match($A205,'rna-muscle'!$A:$A,0)))</f>
        <v>BRN63M-A2</v>
      </c>
      <c r="C205" t="str">
        <f t="array" ref="C205">iferror(index('rna-muscle'!$L:$L,match($A205,'rna-muscle'!$A:$A,0)))</f>
        <v>N</v>
      </c>
      <c r="D205" t="str">
        <f t="array" ref="D205">iferror(index('rna-gill'!$I:$I,match($A205,'rna-gill'!$A:$A,0)))</f>
        <v>BRN63G-A2</v>
      </c>
      <c r="E205" t="str">
        <f t="array" ref="E205">iferror(index('rna-gill'!$L:$L,match($A205,'rna-gill'!$A:$A,0)))</f>
        <v>N</v>
      </c>
      <c r="F205" t="str">
        <f t="array" ref="F205">iferror(index(fatty_acid!$G:$G,match($A205,fatty_acid!$A:$A,0)))</f>
        <v>BFA23-34</v>
      </c>
      <c r="G205" t="str">
        <f t="array" ref="G205">iferror(index(fatty_acid!$J:$J,match($A205,fatty_acid!$A:$A,0)))</f>
        <v>N</v>
      </c>
      <c r="H205" t="str">
        <f t="array" ref="H205">iferror(index(isotopes!$G:$G,match($A205,isotopes!$A:$A,0)))</f>
        <v>BIS25-34</v>
      </c>
      <c r="I205" t="str">
        <f t="array" ref="I205">iferror(index(isotopes!$J:$J,match($A205,isotopes!$A:$A,0)))</f>
        <v>N</v>
      </c>
      <c r="J205" t="str">
        <f t="array" ref="J205">iferror(index(extra_muscle!$G:$G,match($A205,extra_muscle!$A:$A,0)))</f>
        <v>BXM24-34</v>
      </c>
      <c r="K205" t="str">
        <f t="array" ref="K205">iferror(index(extra_muscle!$J:$J,match($A205,extra_muscle!$A:$A,0)))</f>
        <v>N</v>
      </c>
      <c r="L205" s="59" t="str">
        <f t="array" ref="L205">iferror(index(dna!$G:$G,match($A205,dna!$A:$A,0)))</f>
        <v/>
      </c>
      <c r="M205" s="60" t="str">
        <f t="array" ref="M205">iferror(index(dna!$J:$J,match($A205,dna!$A:$A,0)))</f>
        <v/>
      </c>
      <c r="N205" t="str">
        <f t="array" ref="N205">iferror(index(stomachs!$G:$G,match($A205,stomachs!$A:$A,0)))</f>
        <v>BST238-14</v>
      </c>
      <c r="O205" t="str">
        <f t="array" ref="O205">iferror(index(stomachs!$J:$J,match($A205,stomachs!$A:$A,0)))</f>
        <v>N</v>
      </c>
      <c r="P205" t="str">
        <f t="array" ref="P205">iferror(index(sea_lice!$G:$G,match($A205,sea_lice!$A:$A,0)))</f>
        <v/>
      </c>
      <c r="Q205" t="str">
        <f t="array" ref="Q205">iferror(index(sea_lice!$J:$J,match($A205,sea_lice!$A:$A,0)))</f>
        <v/>
      </c>
      <c r="R205" s="40" t="str">
        <f t="array" ref="R205">iferror(index(dissected_fish!$F:$F,match($A205,dissected_fish!$A:$A,0)))</f>
        <v>BCA101</v>
      </c>
      <c r="S205" s="40" t="str">
        <f t="array" ref="S205">iferror(index(dissected_fish!$K:$K,match($A205,dissected_fish!$A:$A,0)))</f>
        <v>N</v>
      </c>
      <c r="T205" s="61" t="str">
        <f t="array" ref="T205">index(fish_lab_data!O:O,match(A205,fish_lab_data!C:C,0))</f>
        <v>KB</v>
      </c>
      <c r="U205" s="61">
        <f t="array" ref="U205">if(A205="","",index(fish_lab_data!X:X,match(A205,fish_lab_data!C:C,0)))</f>
        <v>204</v>
      </c>
    </row>
    <row r="206">
      <c r="A206" t="str">
        <f>fish_lab_data!C206</f>
        <v>U5301</v>
      </c>
      <c r="B206" t="str">
        <f t="array" ref="B206">iferror(index('rna-muscle'!$I:$I,match($A206,'rna-muscle'!$A:$A,0)))</f>
        <v>BRN63M-H3</v>
      </c>
      <c r="C206" t="str">
        <f t="array" ref="C206">iferror(index('rna-muscle'!$L:$L,match($A206,'rna-muscle'!$A:$A,0)))</f>
        <v>N</v>
      </c>
      <c r="D206" t="str">
        <f t="array" ref="D206">iferror(index('rna-gill'!$I:$I,match($A206,'rna-gill'!$A:$A,0)))</f>
        <v>BRN63G-H3</v>
      </c>
      <c r="E206" t="str">
        <f t="array" ref="E206">iferror(index('rna-gill'!$L:$L,match($A206,'rna-gill'!$A:$A,0)))</f>
        <v>N</v>
      </c>
      <c r="F206" t="str">
        <f t="array" ref="F206">iferror(index(fatty_acid!$G:$G,match($A206,fatty_acid!$A:$A,0)))</f>
        <v>BFA23-35</v>
      </c>
      <c r="G206" t="str">
        <f t="array" ref="G206">iferror(index(fatty_acid!$J:$J,match($A206,fatty_acid!$A:$A,0)))</f>
        <v>N</v>
      </c>
      <c r="H206" t="str">
        <f t="array" ref="H206">iferror(index(isotopes!$G:$G,match($A206,isotopes!$A:$A,0)))</f>
        <v>BIS25-35</v>
      </c>
      <c r="I206" t="str">
        <f t="array" ref="I206">iferror(index(isotopes!$J:$J,match($A206,isotopes!$A:$A,0)))</f>
        <v>N</v>
      </c>
      <c r="J206" t="str">
        <f t="array" ref="J206">iferror(index(extra_muscle!$G:$G,match($A206,extra_muscle!$A:$A,0)))</f>
        <v>BXM24-35</v>
      </c>
      <c r="K206" t="str">
        <f t="array" ref="K206">iferror(index(extra_muscle!$J:$J,match($A206,extra_muscle!$A:$A,0)))</f>
        <v>N</v>
      </c>
      <c r="L206" s="59" t="str">
        <f t="array" ref="L206">iferror(index(dna!$G:$G,match($A206,dna!$A:$A,0)))</f>
        <v/>
      </c>
      <c r="M206" s="60" t="str">
        <f t="array" ref="M206">iferror(index(dna!$J:$J,match($A206,dna!$A:$A,0)))</f>
        <v/>
      </c>
      <c r="N206" t="str">
        <f t="array" ref="N206">iferror(index(stomachs!$G:$G,match($A206,stomachs!$A:$A,0)))</f>
        <v>BST238-15</v>
      </c>
      <c r="O206" t="str">
        <f t="array" ref="O206">iferror(index(stomachs!$J:$J,match($A206,stomachs!$A:$A,0)))</f>
        <v>N</v>
      </c>
      <c r="P206" t="str">
        <f t="array" ref="P206">iferror(index(sea_lice!$G:$G,match($A206,sea_lice!$A:$A,0)))</f>
        <v/>
      </c>
      <c r="Q206" t="str">
        <f t="array" ref="Q206">iferror(index(sea_lice!$J:$J,match($A206,sea_lice!$A:$A,0)))</f>
        <v/>
      </c>
      <c r="R206" s="40" t="str">
        <f t="array" ref="R206">iferror(index(dissected_fish!$F:$F,match($A206,dissected_fish!$A:$A,0)))</f>
        <v>BCA101</v>
      </c>
      <c r="S206" s="40" t="str">
        <f t="array" ref="S206">iferror(index(dissected_fish!$K:$K,match($A206,dissected_fish!$A:$A,0)))</f>
        <v>N</v>
      </c>
      <c r="T206" s="61" t="str">
        <f t="array" ref="T206">index(fish_lab_data!O:O,match(A206,fish_lab_data!C:C,0))</f>
        <v>KB</v>
      </c>
      <c r="U206" s="61">
        <f t="array" ref="U206">if(A206="","",index(fish_lab_data!X:X,match(A206,fish_lab_data!C:C,0)))</f>
        <v>205</v>
      </c>
    </row>
    <row r="207">
      <c r="A207" t="str">
        <f>fish_lab_data!C207</f>
        <v>U5327</v>
      </c>
      <c r="B207" t="str">
        <f t="array" ref="B207">iferror(index('rna-muscle'!$I:$I,match($A207,'rna-muscle'!$A:$A,0)))</f>
        <v>BRN63M-G3</v>
      </c>
      <c r="C207" t="str">
        <f t="array" ref="C207">iferror(index('rna-muscle'!$L:$L,match($A207,'rna-muscle'!$A:$A,0)))</f>
        <v>N</v>
      </c>
      <c r="D207" t="str">
        <f t="array" ref="D207">iferror(index('rna-gill'!$I:$I,match($A207,'rna-gill'!$A:$A,0)))</f>
        <v>BRN63G-G3</v>
      </c>
      <c r="E207" t="str">
        <f t="array" ref="E207">iferror(index('rna-gill'!$L:$L,match($A207,'rna-gill'!$A:$A,0)))</f>
        <v>N</v>
      </c>
      <c r="F207" t="str">
        <f t="array" ref="F207">iferror(index(fatty_acid!$G:$G,match($A207,fatty_acid!$A:$A,0)))</f>
        <v>BFA23-36</v>
      </c>
      <c r="G207" t="str">
        <f t="array" ref="G207">iferror(index(fatty_acid!$J:$J,match($A207,fatty_acid!$A:$A,0)))</f>
        <v>N</v>
      </c>
      <c r="H207" t="str">
        <f t="array" ref="H207">iferror(index(isotopes!$G:$G,match($A207,isotopes!$A:$A,0)))</f>
        <v>BIS25-36</v>
      </c>
      <c r="I207" t="str">
        <f t="array" ref="I207">iferror(index(isotopes!$J:$J,match($A207,isotopes!$A:$A,0)))</f>
        <v>N</v>
      </c>
      <c r="J207" t="str">
        <f t="array" ref="J207">iferror(index(extra_muscle!$G:$G,match($A207,extra_muscle!$A:$A,0)))</f>
        <v>BXM24-36</v>
      </c>
      <c r="K207" t="str">
        <f t="array" ref="K207">iferror(index(extra_muscle!$J:$J,match($A207,extra_muscle!$A:$A,0)))</f>
        <v>N</v>
      </c>
      <c r="L207" s="59" t="str">
        <f t="array" ref="L207">iferror(index(dna!$G:$G,match($A207,dna!$A:$A,0)))</f>
        <v/>
      </c>
      <c r="M207" s="60" t="str">
        <f t="array" ref="M207">iferror(index(dna!$J:$J,match($A207,dna!$A:$A,0)))</f>
        <v/>
      </c>
      <c r="N207" t="str">
        <f t="array" ref="N207">iferror(index(stomachs!$G:$G,match($A207,stomachs!$A:$A,0)))</f>
        <v>BST238-16</v>
      </c>
      <c r="O207" t="str">
        <f t="array" ref="O207">iferror(index(stomachs!$J:$J,match($A207,stomachs!$A:$A,0)))</f>
        <v>N</v>
      </c>
      <c r="P207" t="str">
        <f t="array" ref="P207">iferror(index(sea_lice!$G:$G,match($A207,sea_lice!$A:$A,0)))</f>
        <v/>
      </c>
      <c r="Q207" t="str">
        <f t="array" ref="Q207">iferror(index(sea_lice!$J:$J,match($A207,sea_lice!$A:$A,0)))</f>
        <v/>
      </c>
      <c r="R207" s="40" t="str">
        <f t="array" ref="R207">iferror(index(dissected_fish!$F:$F,match($A207,dissected_fish!$A:$A,0)))</f>
        <v>BCA101</v>
      </c>
      <c r="S207" s="40" t="str">
        <f t="array" ref="S207">iferror(index(dissected_fish!$K:$K,match($A207,dissected_fish!$A:$A,0)))</f>
        <v>N</v>
      </c>
      <c r="T207" s="61" t="str">
        <f t="array" ref="T207">index(fish_lab_data!O:O,match(A207,fish_lab_data!C:C,0))</f>
        <v>KB</v>
      </c>
      <c r="U207" s="61">
        <f t="array" ref="U207">if(A207="","",index(fish_lab_data!X:X,match(A207,fish_lab_data!C:C,0)))</f>
        <v>206</v>
      </c>
    </row>
    <row r="208">
      <c r="A208" t="str">
        <f>fish_lab_data!C208</f>
        <v>U5328</v>
      </c>
      <c r="B208" t="str">
        <f t="array" ref="B208">iferror(index('rna-muscle'!$I:$I,match($A208,'rna-muscle'!$A:$A,0)))</f>
        <v>BRN63M-F3</v>
      </c>
      <c r="C208" t="str">
        <f t="array" ref="C208">iferror(index('rna-muscle'!$L:$L,match($A208,'rna-muscle'!$A:$A,0)))</f>
        <v>N</v>
      </c>
      <c r="D208" t="str">
        <f t="array" ref="D208">iferror(index('rna-gill'!$I:$I,match($A208,'rna-gill'!$A:$A,0)))</f>
        <v>BRN63G-F3</v>
      </c>
      <c r="E208" t="str">
        <f t="array" ref="E208">iferror(index('rna-gill'!$L:$L,match($A208,'rna-gill'!$A:$A,0)))</f>
        <v>N</v>
      </c>
      <c r="F208" t="str">
        <f t="array" ref="F208">iferror(index(fatty_acid!$G:$G,match($A208,fatty_acid!$A:$A,0)))</f>
        <v>BFA23-37</v>
      </c>
      <c r="G208" t="str">
        <f t="array" ref="G208">iferror(index(fatty_acid!$J:$J,match($A208,fatty_acid!$A:$A,0)))</f>
        <v>N</v>
      </c>
      <c r="H208" t="str">
        <f t="array" ref="H208">iferror(index(isotopes!$G:$G,match($A208,isotopes!$A:$A,0)))</f>
        <v>BIS25-37</v>
      </c>
      <c r="I208" t="str">
        <f t="array" ref="I208">iferror(index(isotopes!$J:$J,match($A208,isotopes!$A:$A,0)))</f>
        <v>N</v>
      </c>
      <c r="J208" t="str">
        <f t="array" ref="J208">iferror(index(extra_muscle!$G:$G,match($A208,extra_muscle!$A:$A,0)))</f>
        <v>BXM24-37</v>
      </c>
      <c r="K208" t="str">
        <f t="array" ref="K208">iferror(index(extra_muscle!$J:$J,match($A208,extra_muscle!$A:$A,0)))</f>
        <v>N</v>
      </c>
      <c r="L208" s="59" t="str">
        <f t="array" ref="L208">iferror(index(dna!$G:$G,match($A208,dna!$A:$A,0)))</f>
        <v/>
      </c>
      <c r="M208" s="60" t="str">
        <f t="array" ref="M208">iferror(index(dna!$J:$J,match($A208,dna!$A:$A,0)))</f>
        <v/>
      </c>
      <c r="N208" t="str">
        <f t="array" ref="N208">iferror(index(stomachs!$G:$G,match($A208,stomachs!$A:$A,0)))</f>
        <v>BST238-17</v>
      </c>
      <c r="O208" t="str">
        <f t="array" ref="O208">iferror(index(stomachs!$J:$J,match($A208,stomachs!$A:$A,0)))</f>
        <v>N</v>
      </c>
      <c r="P208" t="str">
        <f t="array" ref="P208">iferror(index(sea_lice!$G:$G,match($A208,sea_lice!$A:$A,0)))</f>
        <v/>
      </c>
      <c r="Q208" t="str">
        <f t="array" ref="Q208">iferror(index(sea_lice!$J:$J,match($A208,sea_lice!$A:$A,0)))</f>
        <v/>
      </c>
      <c r="R208" s="40" t="str">
        <f t="array" ref="R208">iferror(index(dissected_fish!$F:$F,match($A208,dissected_fish!$A:$A,0)))</f>
        <v>BCA101</v>
      </c>
      <c r="S208" s="40" t="str">
        <f t="array" ref="S208">iferror(index(dissected_fish!$K:$K,match($A208,dissected_fish!$A:$A,0)))</f>
        <v>N</v>
      </c>
      <c r="T208" s="61" t="str">
        <f t="array" ref="T208">index(fish_lab_data!O:O,match(A208,fish_lab_data!C:C,0))</f>
        <v>KB</v>
      </c>
      <c r="U208" s="61">
        <f t="array" ref="U208">if(A208="","",index(fish_lab_data!X:X,match(A208,fish_lab_data!C:C,0)))</f>
        <v>207</v>
      </c>
    </row>
    <row r="209">
      <c r="A209" t="str">
        <f>fish_lab_data!C209</f>
        <v>U5329</v>
      </c>
      <c r="B209" t="str">
        <f t="array" ref="B209">iferror(index('rna-muscle'!$I:$I,match($A209,'rna-muscle'!$A:$A,0)))</f>
        <v>BRN63M-E3</v>
      </c>
      <c r="C209" t="str">
        <f t="array" ref="C209">iferror(index('rna-muscle'!$L:$L,match($A209,'rna-muscle'!$A:$A,0)))</f>
        <v>N</v>
      </c>
      <c r="D209" t="str">
        <f t="array" ref="D209">iferror(index('rna-gill'!$I:$I,match($A209,'rna-gill'!$A:$A,0)))</f>
        <v>BRN63G-E3</v>
      </c>
      <c r="E209" t="str">
        <f t="array" ref="E209">iferror(index('rna-gill'!$L:$L,match($A209,'rna-gill'!$A:$A,0)))</f>
        <v>N</v>
      </c>
      <c r="F209" t="str">
        <f t="array" ref="F209">iferror(index(fatty_acid!$G:$G,match($A209,fatty_acid!$A:$A,0)))</f>
        <v>BFA23-38</v>
      </c>
      <c r="G209" t="str">
        <f t="array" ref="G209">iferror(index(fatty_acid!$J:$J,match($A209,fatty_acid!$A:$A,0)))</f>
        <v>N</v>
      </c>
      <c r="H209" t="str">
        <f t="array" ref="H209">iferror(index(isotopes!$G:$G,match($A209,isotopes!$A:$A,0)))</f>
        <v>BIS25-38</v>
      </c>
      <c r="I209" t="str">
        <f t="array" ref="I209">iferror(index(isotopes!$J:$J,match($A209,isotopes!$A:$A,0)))</f>
        <v>N</v>
      </c>
      <c r="J209" t="str">
        <f t="array" ref="J209">iferror(index(extra_muscle!$G:$G,match($A209,extra_muscle!$A:$A,0)))</f>
        <v>BXM24-38</v>
      </c>
      <c r="K209" t="str">
        <f t="array" ref="K209">iferror(index(extra_muscle!$J:$J,match($A209,extra_muscle!$A:$A,0)))</f>
        <v>N</v>
      </c>
      <c r="L209" s="59" t="str">
        <f t="array" ref="L209">iferror(index(dna!$G:$G,match($A209,dna!$A:$A,0)))</f>
        <v/>
      </c>
      <c r="M209" s="60" t="str">
        <f t="array" ref="M209">iferror(index(dna!$J:$J,match($A209,dna!$A:$A,0)))</f>
        <v/>
      </c>
      <c r="N209" t="str">
        <f t="array" ref="N209">iferror(index(stomachs!$G:$G,match($A209,stomachs!$A:$A,0)))</f>
        <v>BST238-18</v>
      </c>
      <c r="O209" t="str">
        <f t="array" ref="O209">iferror(index(stomachs!$J:$J,match($A209,stomachs!$A:$A,0)))</f>
        <v>N</v>
      </c>
      <c r="P209" t="str">
        <f t="array" ref="P209">iferror(index(sea_lice!$G:$G,match($A209,sea_lice!$A:$A,0)))</f>
        <v/>
      </c>
      <c r="Q209" t="str">
        <f t="array" ref="Q209">iferror(index(sea_lice!$J:$J,match($A209,sea_lice!$A:$A,0)))</f>
        <v/>
      </c>
      <c r="R209" s="40" t="str">
        <f t="array" ref="R209">iferror(index(dissected_fish!$F:$F,match($A209,dissected_fish!$A:$A,0)))</f>
        <v>BCA101</v>
      </c>
      <c r="S209" s="40" t="str">
        <f t="array" ref="S209">iferror(index(dissected_fish!$K:$K,match($A209,dissected_fish!$A:$A,0)))</f>
        <v>N</v>
      </c>
      <c r="T209" s="61" t="str">
        <f t="array" ref="T209">index(fish_lab_data!O:O,match(A209,fish_lab_data!C:C,0))</f>
        <v>KB</v>
      </c>
      <c r="U209" s="61">
        <f t="array" ref="U209">if(A209="","",index(fish_lab_data!X:X,match(A209,fish_lab_data!C:C,0)))</f>
        <v>208</v>
      </c>
    </row>
    <row r="210">
      <c r="A210" t="str">
        <f>fish_lab_data!C210</f>
        <v>U5330</v>
      </c>
      <c r="B210" t="str">
        <f t="array" ref="B210">iferror(index('rna-muscle'!$I:$I,match($A210,'rna-muscle'!$A:$A,0)))</f>
        <v>BRN63M-D3</v>
      </c>
      <c r="C210" t="str">
        <f t="array" ref="C210">iferror(index('rna-muscle'!$L:$L,match($A210,'rna-muscle'!$A:$A,0)))</f>
        <v>N</v>
      </c>
      <c r="D210" t="str">
        <f t="array" ref="D210">iferror(index('rna-gill'!$I:$I,match($A210,'rna-gill'!$A:$A,0)))</f>
        <v>BRN63G-D3</v>
      </c>
      <c r="E210" t="str">
        <f t="array" ref="E210">iferror(index('rna-gill'!$L:$L,match($A210,'rna-gill'!$A:$A,0)))</f>
        <v>N</v>
      </c>
      <c r="F210" t="str">
        <f t="array" ref="F210">iferror(index(fatty_acid!$G:$G,match($A210,fatty_acid!$A:$A,0)))</f>
        <v>BFA23-39</v>
      </c>
      <c r="G210" t="str">
        <f t="array" ref="G210">iferror(index(fatty_acid!$J:$J,match($A210,fatty_acid!$A:$A,0)))</f>
        <v>N</v>
      </c>
      <c r="H210" t="str">
        <f t="array" ref="H210">iferror(index(isotopes!$G:$G,match($A210,isotopes!$A:$A,0)))</f>
        <v>BIS25-39</v>
      </c>
      <c r="I210" t="str">
        <f t="array" ref="I210">iferror(index(isotopes!$J:$J,match($A210,isotopes!$A:$A,0)))</f>
        <v>N</v>
      </c>
      <c r="J210" t="str">
        <f t="array" ref="J210">iferror(index(extra_muscle!$G:$G,match($A210,extra_muscle!$A:$A,0)))</f>
        <v>BXM24-39</v>
      </c>
      <c r="K210" t="str">
        <f t="array" ref="K210">iferror(index(extra_muscle!$J:$J,match($A210,extra_muscle!$A:$A,0)))</f>
        <v>N</v>
      </c>
      <c r="L210" s="59" t="str">
        <f t="array" ref="L210">iferror(index(dna!$G:$G,match($A210,dna!$A:$A,0)))</f>
        <v/>
      </c>
      <c r="M210" s="60" t="str">
        <f t="array" ref="M210">iferror(index(dna!$J:$J,match($A210,dna!$A:$A,0)))</f>
        <v/>
      </c>
      <c r="N210" t="str">
        <f t="array" ref="N210">iferror(index(stomachs!$G:$G,match($A210,stomachs!$A:$A,0)))</f>
        <v>BST238-19</v>
      </c>
      <c r="O210" t="str">
        <f t="array" ref="O210">iferror(index(stomachs!$J:$J,match($A210,stomachs!$A:$A,0)))</f>
        <v>N</v>
      </c>
      <c r="P210" t="str">
        <f t="array" ref="P210">iferror(index(sea_lice!$G:$G,match($A210,sea_lice!$A:$A,0)))</f>
        <v/>
      </c>
      <c r="Q210" t="str">
        <f t="array" ref="Q210">iferror(index(sea_lice!$J:$J,match($A210,sea_lice!$A:$A,0)))</f>
        <v/>
      </c>
      <c r="R210" s="40" t="str">
        <f t="array" ref="R210">iferror(index(dissected_fish!$F:$F,match($A210,dissected_fish!$A:$A,0)))</f>
        <v>BCA101</v>
      </c>
      <c r="S210" s="40" t="str">
        <f t="array" ref="S210">iferror(index(dissected_fish!$K:$K,match($A210,dissected_fish!$A:$A,0)))</f>
        <v>N</v>
      </c>
      <c r="T210" s="61" t="str">
        <f t="array" ref="T210">index(fish_lab_data!O:O,match(A210,fish_lab_data!C:C,0))</f>
        <v>KB</v>
      </c>
      <c r="U210" s="61">
        <f t="array" ref="U210">if(A210="","",index(fish_lab_data!X:X,match(A210,fish_lab_data!C:C,0)))</f>
        <v>209</v>
      </c>
    </row>
    <row r="211">
      <c r="A211" t="str">
        <f>fish_lab_data!C211</f>
        <v>U5331</v>
      </c>
      <c r="B211" t="str">
        <f t="array" ref="B211">iferror(index('rna-muscle'!$I:$I,match($A211,'rna-muscle'!$A:$A,0)))</f>
        <v>BRN63M-C3</v>
      </c>
      <c r="C211" t="str">
        <f t="array" ref="C211">iferror(index('rna-muscle'!$L:$L,match($A211,'rna-muscle'!$A:$A,0)))</f>
        <v>N</v>
      </c>
      <c r="D211" t="str">
        <f t="array" ref="D211">iferror(index('rna-gill'!$I:$I,match($A211,'rna-gill'!$A:$A,0)))</f>
        <v>BRN63G-C3</v>
      </c>
      <c r="E211" t="str">
        <f t="array" ref="E211">iferror(index('rna-gill'!$L:$L,match($A211,'rna-gill'!$A:$A,0)))</f>
        <v>N</v>
      </c>
      <c r="F211" t="str">
        <f t="array" ref="F211">iferror(index(fatty_acid!$G:$G,match($A211,fatty_acid!$A:$A,0)))</f>
        <v>BFA23-40</v>
      </c>
      <c r="G211" t="str">
        <f t="array" ref="G211">iferror(index(fatty_acid!$J:$J,match($A211,fatty_acid!$A:$A,0)))</f>
        <v>N</v>
      </c>
      <c r="H211" t="str">
        <f t="array" ref="H211">iferror(index(isotopes!$G:$G,match($A211,isotopes!$A:$A,0)))</f>
        <v>BIS25-40</v>
      </c>
      <c r="I211" t="str">
        <f t="array" ref="I211">iferror(index(isotopes!$J:$J,match($A211,isotopes!$A:$A,0)))</f>
        <v>N</v>
      </c>
      <c r="J211" t="str">
        <f t="array" ref="J211">iferror(index(extra_muscle!$G:$G,match($A211,extra_muscle!$A:$A,0)))</f>
        <v>BXM24-40</v>
      </c>
      <c r="K211" t="str">
        <f t="array" ref="K211">iferror(index(extra_muscle!$J:$J,match($A211,extra_muscle!$A:$A,0)))</f>
        <v>N</v>
      </c>
      <c r="L211" s="59" t="str">
        <f t="array" ref="L211">iferror(index(dna!$G:$G,match($A211,dna!$A:$A,0)))</f>
        <v/>
      </c>
      <c r="M211" s="60" t="str">
        <f t="array" ref="M211">iferror(index(dna!$J:$J,match($A211,dna!$A:$A,0)))</f>
        <v/>
      </c>
      <c r="N211" t="str">
        <f t="array" ref="N211">iferror(index(stomachs!$G:$G,match($A211,stomachs!$A:$A,0)))</f>
        <v>BST238-20</v>
      </c>
      <c r="O211" t="str">
        <f t="array" ref="O211">iferror(index(stomachs!$J:$J,match($A211,stomachs!$A:$A,0)))</f>
        <v>N</v>
      </c>
      <c r="P211" t="str">
        <f t="array" ref="P211">iferror(index(sea_lice!$G:$G,match($A211,sea_lice!$A:$A,0)))</f>
        <v/>
      </c>
      <c r="Q211" t="str">
        <f t="array" ref="Q211">iferror(index(sea_lice!$J:$J,match($A211,sea_lice!$A:$A,0)))</f>
        <v/>
      </c>
      <c r="R211" s="40" t="str">
        <f t="array" ref="R211">iferror(index(dissected_fish!$F:$F,match($A211,dissected_fish!$A:$A,0)))</f>
        <v>BCA101</v>
      </c>
      <c r="S211" s="40" t="str">
        <f t="array" ref="S211">iferror(index(dissected_fish!$K:$K,match($A211,dissected_fish!$A:$A,0)))</f>
        <v>N</v>
      </c>
      <c r="T211" s="61" t="str">
        <f t="array" ref="T211">index(fish_lab_data!O:O,match(A211,fish_lab_data!C:C,0))</f>
        <v>KB</v>
      </c>
      <c r="U211" s="61">
        <f t="array" ref="U211">if(A211="","",index(fish_lab_data!X:X,match(A211,fish_lab_data!C:C,0)))</f>
        <v>210</v>
      </c>
    </row>
    <row r="212">
      <c r="A212" t="str">
        <f>fish_lab_data!C212</f>
        <v>U5332</v>
      </c>
      <c r="B212" t="str">
        <f t="array" ref="B212">iferror(index('rna-muscle'!$I:$I,match($A212,'rna-muscle'!$A:$A,0)))</f>
        <v>BRN63M-B3</v>
      </c>
      <c r="C212" t="str">
        <f t="array" ref="C212">iferror(index('rna-muscle'!$L:$L,match($A212,'rna-muscle'!$A:$A,0)))</f>
        <v>N</v>
      </c>
      <c r="D212" t="str">
        <f t="array" ref="D212">iferror(index('rna-gill'!$I:$I,match($A212,'rna-gill'!$A:$A,0)))</f>
        <v>BRN63G-B3</v>
      </c>
      <c r="E212" t="str">
        <f t="array" ref="E212">iferror(index('rna-gill'!$L:$L,match($A212,'rna-gill'!$A:$A,0)))</f>
        <v>N</v>
      </c>
      <c r="F212" t="str">
        <f t="array" ref="F212">iferror(index(fatty_acid!$G:$G,match($A212,fatty_acid!$A:$A,0)))</f>
        <v>BFA23-41</v>
      </c>
      <c r="G212" t="str">
        <f t="array" ref="G212">iferror(index(fatty_acid!$J:$J,match($A212,fatty_acid!$A:$A,0)))</f>
        <v>N</v>
      </c>
      <c r="H212" t="str">
        <f t="array" ref="H212">iferror(index(isotopes!$G:$G,match($A212,isotopes!$A:$A,0)))</f>
        <v>BIS25-41</v>
      </c>
      <c r="I212" t="str">
        <f t="array" ref="I212">iferror(index(isotopes!$J:$J,match($A212,isotopes!$A:$A,0)))</f>
        <v>N</v>
      </c>
      <c r="J212" t="str">
        <f t="array" ref="J212">iferror(index(extra_muscle!$G:$G,match($A212,extra_muscle!$A:$A,0)))</f>
        <v>BXM24-41</v>
      </c>
      <c r="K212" t="str">
        <f t="array" ref="K212">iferror(index(extra_muscle!$J:$J,match($A212,extra_muscle!$A:$A,0)))</f>
        <v>N</v>
      </c>
      <c r="L212" s="59" t="str">
        <f t="array" ref="L212">iferror(index(dna!$G:$G,match($A212,dna!$A:$A,0)))</f>
        <v/>
      </c>
      <c r="M212" s="60" t="str">
        <f t="array" ref="M212">iferror(index(dna!$J:$J,match($A212,dna!$A:$A,0)))</f>
        <v/>
      </c>
      <c r="N212" t="str">
        <f t="array" ref="N212">iferror(index(stomachs!$G:$G,match($A212,stomachs!$A:$A,0)))</f>
        <v>BST238-21</v>
      </c>
      <c r="O212" t="str">
        <f t="array" ref="O212">iferror(index(stomachs!$J:$J,match($A212,stomachs!$A:$A,0)))</f>
        <v>N</v>
      </c>
      <c r="P212" t="str">
        <f t="array" ref="P212">iferror(index(sea_lice!$G:$G,match($A212,sea_lice!$A:$A,0)))</f>
        <v/>
      </c>
      <c r="Q212" t="str">
        <f t="array" ref="Q212">iferror(index(sea_lice!$J:$J,match($A212,sea_lice!$A:$A,0)))</f>
        <v/>
      </c>
      <c r="R212" s="40" t="str">
        <f t="array" ref="R212">iferror(index(dissected_fish!$F:$F,match($A212,dissected_fish!$A:$A,0)))</f>
        <v>BCA101</v>
      </c>
      <c r="S212" s="40" t="str">
        <f t="array" ref="S212">iferror(index(dissected_fish!$K:$K,match($A212,dissected_fish!$A:$A,0)))</f>
        <v>N</v>
      </c>
      <c r="T212" s="61" t="str">
        <f t="array" ref="T212">index(fish_lab_data!O:O,match(A212,fish_lab_data!C:C,0))</f>
        <v>KB</v>
      </c>
      <c r="U212" s="61">
        <f t="array" ref="U212">if(A212="","",index(fish_lab_data!X:X,match(A212,fish_lab_data!C:C,0)))</f>
        <v>211</v>
      </c>
    </row>
    <row r="213">
      <c r="A213" t="str">
        <f>fish_lab_data!C213</f>
        <v>U5333</v>
      </c>
      <c r="B213" t="str">
        <f t="array" ref="B213">iferror(index('rna-muscle'!$I:$I,match($A213,'rna-muscle'!$A:$A,0)))</f>
        <v>BRN63M-A3</v>
      </c>
      <c r="C213" t="str">
        <f t="array" ref="C213">iferror(index('rna-muscle'!$L:$L,match($A213,'rna-muscle'!$A:$A,0)))</f>
        <v>N</v>
      </c>
      <c r="D213" t="str">
        <f t="array" ref="D213">iferror(index('rna-gill'!$I:$I,match($A213,'rna-gill'!$A:$A,0)))</f>
        <v>BRN63G-A3</v>
      </c>
      <c r="E213" t="str">
        <f t="array" ref="E213">iferror(index('rna-gill'!$L:$L,match($A213,'rna-gill'!$A:$A,0)))</f>
        <v>N</v>
      </c>
      <c r="F213" t="str">
        <f t="array" ref="F213">iferror(index(fatty_acid!$G:$G,match($A213,fatty_acid!$A:$A,0)))</f>
        <v>BFA23-42</v>
      </c>
      <c r="G213" t="str">
        <f t="array" ref="G213">iferror(index(fatty_acid!$J:$J,match($A213,fatty_acid!$A:$A,0)))</f>
        <v>N</v>
      </c>
      <c r="H213" t="str">
        <f t="array" ref="H213">iferror(index(isotopes!$G:$G,match($A213,isotopes!$A:$A,0)))</f>
        <v>BIS25-42</v>
      </c>
      <c r="I213" t="str">
        <f t="array" ref="I213">iferror(index(isotopes!$J:$J,match($A213,isotopes!$A:$A,0)))</f>
        <v>N</v>
      </c>
      <c r="J213" t="str">
        <f t="array" ref="J213">iferror(index(extra_muscle!$G:$G,match($A213,extra_muscle!$A:$A,0)))</f>
        <v>BXM24-42</v>
      </c>
      <c r="K213" t="str">
        <f t="array" ref="K213">iferror(index(extra_muscle!$J:$J,match($A213,extra_muscle!$A:$A,0)))</f>
        <v>N</v>
      </c>
      <c r="L213" s="59" t="str">
        <f t="array" ref="L213">iferror(index(dna!$G:$G,match($A213,dna!$A:$A,0)))</f>
        <v/>
      </c>
      <c r="M213" s="60" t="str">
        <f t="array" ref="M213">iferror(index(dna!$J:$J,match($A213,dna!$A:$A,0)))</f>
        <v/>
      </c>
      <c r="N213" t="str">
        <f t="array" ref="N213">iferror(index(stomachs!$G:$G,match($A213,stomachs!$A:$A,0)))</f>
        <v>BST238-22</v>
      </c>
      <c r="O213" t="str">
        <f t="array" ref="O213">iferror(index(stomachs!$J:$J,match($A213,stomachs!$A:$A,0)))</f>
        <v>N</v>
      </c>
      <c r="P213" t="str">
        <f t="array" ref="P213">iferror(index(sea_lice!$G:$G,match($A213,sea_lice!$A:$A,0)))</f>
        <v/>
      </c>
      <c r="Q213" t="str">
        <f t="array" ref="Q213">iferror(index(sea_lice!$J:$J,match($A213,sea_lice!$A:$A,0)))</f>
        <v/>
      </c>
      <c r="R213" s="40" t="str">
        <f t="array" ref="R213">iferror(index(dissected_fish!$F:$F,match($A213,dissected_fish!$A:$A,0)))</f>
        <v>BCA101</v>
      </c>
      <c r="S213" s="40" t="str">
        <f t="array" ref="S213">iferror(index(dissected_fish!$K:$K,match($A213,dissected_fish!$A:$A,0)))</f>
        <v>N</v>
      </c>
      <c r="T213" s="61" t="str">
        <f t="array" ref="T213">index(fish_lab_data!O:O,match(A213,fish_lab_data!C:C,0))</f>
        <v>KB</v>
      </c>
      <c r="U213" s="61">
        <f t="array" ref="U213">if(A213="","",index(fish_lab_data!X:X,match(A213,fish_lab_data!C:C,0)))</f>
        <v>212</v>
      </c>
    </row>
    <row r="214">
      <c r="A214" t="str">
        <f>fish_lab_data!C214</f>
        <v>U5334</v>
      </c>
      <c r="B214" t="str">
        <f t="array" ref="B214">iferror(index('rna-muscle'!$I:$I,match($A214,'rna-muscle'!$A:$A,0)))</f>
        <v>BRN63M-H5</v>
      </c>
      <c r="C214" t="str">
        <f t="array" ref="C214">iferror(index('rna-muscle'!$L:$L,match($A214,'rna-muscle'!$A:$A,0)))</f>
        <v>N</v>
      </c>
      <c r="D214" t="str">
        <f t="array" ref="D214">iferror(index('rna-gill'!$I:$I,match($A214,'rna-gill'!$A:$A,0)))</f>
        <v>BRN63G-H5</v>
      </c>
      <c r="E214" t="str">
        <f t="array" ref="E214">iferror(index('rna-gill'!$L:$L,match($A214,'rna-gill'!$A:$A,0)))</f>
        <v>N</v>
      </c>
      <c r="F214" t="str">
        <f t="array" ref="F214">iferror(index(fatty_acid!$G:$G,match($A214,fatty_acid!$A:$A,0)))</f>
        <v>BFA23-43</v>
      </c>
      <c r="G214" t="str">
        <f t="array" ref="G214">iferror(index(fatty_acid!$J:$J,match($A214,fatty_acid!$A:$A,0)))</f>
        <v>N</v>
      </c>
      <c r="H214" t="str">
        <f t="array" ref="H214">iferror(index(isotopes!$G:$G,match($A214,isotopes!$A:$A,0)))</f>
        <v>BIS25-43</v>
      </c>
      <c r="I214" t="str">
        <f t="array" ref="I214">iferror(index(isotopes!$J:$J,match($A214,isotopes!$A:$A,0)))</f>
        <v>N</v>
      </c>
      <c r="J214" t="str">
        <f t="array" ref="J214">iferror(index(extra_muscle!$G:$G,match($A214,extra_muscle!$A:$A,0)))</f>
        <v>BXM24-43</v>
      </c>
      <c r="K214" t="str">
        <f t="array" ref="K214">iferror(index(extra_muscle!$J:$J,match($A214,extra_muscle!$A:$A,0)))</f>
        <v>N</v>
      </c>
      <c r="L214" s="59" t="str">
        <f t="array" ref="L214">iferror(index(dna!$G:$G,match($A214,dna!$A:$A,0)))</f>
        <v/>
      </c>
      <c r="M214" s="60" t="str">
        <f t="array" ref="M214">iferror(index(dna!$J:$J,match($A214,dna!$A:$A,0)))</f>
        <v/>
      </c>
      <c r="N214" t="str">
        <f t="array" ref="N214">iferror(index(stomachs!$G:$G,match($A214,stomachs!$A:$A,0)))</f>
        <v>BST238-23</v>
      </c>
      <c r="O214" t="str">
        <f t="array" ref="O214">iferror(index(stomachs!$J:$J,match($A214,stomachs!$A:$A,0)))</f>
        <v>N</v>
      </c>
      <c r="P214" t="str">
        <f t="array" ref="P214">iferror(index(sea_lice!$G:$G,match($A214,sea_lice!$A:$A,0)))</f>
        <v/>
      </c>
      <c r="Q214" t="str">
        <f t="array" ref="Q214">iferror(index(sea_lice!$J:$J,match($A214,sea_lice!$A:$A,0)))</f>
        <v/>
      </c>
      <c r="R214" s="40" t="str">
        <f t="array" ref="R214">iferror(index(dissected_fish!$F:$F,match($A214,dissected_fish!$A:$A,0)))</f>
        <v>BCA101</v>
      </c>
      <c r="S214" s="40" t="str">
        <f t="array" ref="S214">iferror(index(dissected_fish!$K:$K,match($A214,dissected_fish!$A:$A,0)))</f>
        <v>N</v>
      </c>
      <c r="T214" s="61" t="str">
        <f t="array" ref="T214">index(fish_lab_data!O:O,match(A214,fish_lab_data!C:C,0))</f>
        <v>KB</v>
      </c>
      <c r="U214" s="61">
        <f t="array" ref="U214">if(A214="","",index(fish_lab_data!X:X,match(A214,fish_lab_data!C:C,0)))</f>
        <v>213</v>
      </c>
    </row>
    <row r="215">
      <c r="A215" t="str">
        <f>fish_lab_data!C215</f>
        <v>U5335</v>
      </c>
      <c r="B215" t="str">
        <f t="array" ref="B215">iferror(index('rna-muscle'!$I:$I,match($A215,'rna-muscle'!$A:$A,0)))</f>
        <v>BRN63M-G5</v>
      </c>
      <c r="C215" t="str">
        <f t="array" ref="C215">iferror(index('rna-muscle'!$L:$L,match($A215,'rna-muscle'!$A:$A,0)))</f>
        <v>N</v>
      </c>
      <c r="D215" t="str">
        <f t="array" ref="D215">iferror(index('rna-gill'!$I:$I,match($A215,'rna-gill'!$A:$A,0)))</f>
        <v>BRN63G-F5</v>
      </c>
      <c r="E215" t="str">
        <f t="array" ref="E215">iferror(index('rna-gill'!$L:$L,match($A215,'rna-gill'!$A:$A,0)))</f>
        <v>N</v>
      </c>
      <c r="F215" t="str">
        <f t="array" ref="F215">iferror(index(fatty_acid!$G:$G,match($A215,fatty_acid!$A:$A,0)))</f>
        <v>BFA23-44</v>
      </c>
      <c r="G215" t="str">
        <f t="array" ref="G215">iferror(index(fatty_acid!$J:$J,match($A215,fatty_acid!$A:$A,0)))</f>
        <v>N</v>
      </c>
      <c r="H215" t="str">
        <f t="array" ref="H215">iferror(index(isotopes!$G:$G,match($A215,isotopes!$A:$A,0)))</f>
        <v>BIS25-44</v>
      </c>
      <c r="I215" t="str">
        <f t="array" ref="I215">iferror(index(isotopes!$J:$J,match($A215,isotopes!$A:$A,0)))</f>
        <v>N</v>
      </c>
      <c r="J215" t="str">
        <f t="array" ref="J215">iferror(index(extra_muscle!$G:$G,match($A215,extra_muscle!$A:$A,0)))</f>
        <v>BXM24-44</v>
      </c>
      <c r="K215" t="str">
        <f t="array" ref="K215">iferror(index(extra_muscle!$J:$J,match($A215,extra_muscle!$A:$A,0)))</f>
        <v>N</v>
      </c>
      <c r="L215" s="59" t="str">
        <f t="array" ref="L215">iferror(index(dna!$G:$G,match($A215,dna!$A:$A,0)))</f>
        <v/>
      </c>
      <c r="M215" s="60" t="str">
        <f t="array" ref="M215">iferror(index(dna!$J:$J,match($A215,dna!$A:$A,0)))</f>
        <v/>
      </c>
      <c r="N215" t="str">
        <f t="array" ref="N215">iferror(index(stomachs!$G:$G,match($A215,stomachs!$A:$A,0)))</f>
        <v>BST238-24</v>
      </c>
      <c r="O215" t="str">
        <f t="array" ref="O215">iferror(index(stomachs!$J:$J,match($A215,stomachs!$A:$A,0)))</f>
        <v>N</v>
      </c>
      <c r="P215" t="str">
        <f t="array" ref="P215">iferror(index(sea_lice!$G:$G,match($A215,sea_lice!$A:$A,0)))</f>
        <v/>
      </c>
      <c r="Q215" t="str">
        <f t="array" ref="Q215">iferror(index(sea_lice!$J:$J,match($A215,sea_lice!$A:$A,0)))</f>
        <v/>
      </c>
      <c r="R215" s="40" t="str">
        <f t="array" ref="R215">iferror(index(dissected_fish!$F:$F,match($A215,dissected_fish!$A:$A,0)))</f>
        <v>BCA101</v>
      </c>
      <c r="S215" s="40" t="str">
        <f t="array" ref="S215">iferror(index(dissected_fish!$K:$K,match($A215,dissected_fish!$A:$A,0)))</f>
        <v>N</v>
      </c>
      <c r="T215" s="61" t="str">
        <f t="array" ref="T215">index(fish_lab_data!O:O,match(A215,fish_lab_data!C:C,0))</f>
        <v>KB</v>
      </c>
      <c r="U215" s="61">
        <f t="array" ref="U215">if(A215="","",index(fish_lab_data!X:X,match(A215,fish_lab_data!C:C,0)))</f>
        <v>214</v>
      </c>
    </row>
    <row r="216">
      <c r="A216" t="str">
        <f>fish_lab_data!C216</f>
        <v>U5336</v>
      </c>
      <c r="B216" t="str">
        <f t="array" ref="B216">iferror(index('rna-muscle'!$I:$I,match($A216,'rna-muscle'!$A:$A,0)))</f>
        <v>BRN63M-F5</v>
      </c>
      <c r="C216" t="str">
        <f t="array" ref="C216">iferror(index('rna-muscle'!$L:$L,match($A216,'rna-muscle'!$A:$A,0)))</f>
        <v>N</v>
      </c>
      <c r="D216" t="str">
        <f t="array" ref="D216">iferror(index('rna-gill'!$I:$I,match($A216,'rna-gill'!$A:$A,0)))</f>
        <v>BRN63G-G5</v>
      </c>
      <c r="E216" t="str">
        <f t="array" ref="E216">iferror(index('rna-gill'!$L:$L,match($A216,'rna-gill'!$A:$A,0)))</f>
        <v>N</v>
      </c>
      <c r="F216" t="str">
        <f t="array" ref="F216">iferror(index(fatty_acid!$G:$G,match($A216,fatty_acid!$A:$A,0)))</f>
        <v>BFA23-45</v>
      </c>
      <c r="G216" t="str">
        <f t="array" ref="G216">iferror(index(fatty_acid!$J:$J,match($A216,fatty_acid!$A:$A,0)))</f>
        <v>N</v>
      </c>
      <c r="H216" t="str">
        <f t="array" ref="H216">iferror(index(isotopes!$G:$G,match($A216,isotopes!$A:$A,0)))</f>
        <v>BIS25-45</v>
      </c>
      <c r="I216" t="str">
        <f t="array" ref="I216">iferror(index(isotopes!$J:$J,match($A216,isotopes!$A:$A,0)))</f>
        <v>N</v>
      </c>
      <c r="J216" t="str">
        <f t="array" ref="J216">iferror(index(extra_muscle!$G:$G,match($A216,extra_muscle!$A:$A,0)))</f>
        <v>BXM24-45</v>
      </c>
      <c r="K216" t="str">
        <f t="array" ref="K216">iferror(index(extra_muscle!$J:$J,match($A216,extra_muscle!$A:$A,0)))</f>
        <v>N</v>
      </c>
      <c r="L216" s="59" t="str">
        <f t="array" ref="L216">iferror(index(dna!$G:$G,match($A216,dna!$A:$A,0)))</f>
        <v/>
      </c>
      <c r="M216" s="60" t="str">
        <f t="array" ref="M216">iferror(index(dna!$J:$J,match($A216,dna!$A:$A,0)))</f>
        <v/>
      </c>
      <c r="N216" t="str">
        <f t="array" ref="N216">iferror(index(stomachs!$G:$G,match($A216,stomachs!$A:$A,0)))</f>
        <v>BST238-25</v>
      </c>
      <c r="O216" t="str">
        <f t="array" ref="O216">iferror(index(stomachs!$J:$J,match($A216,stomachs!$A:$A,0)))</f>
        <v>N</v>
      </c>
      <c r="P216" t="str">
        <f t="array" ref="P216">iferror(index(sea_lice!$G:$G,match($A216,sea_lice!$A:$A,0)))</f>
        <v/>
      </c>
      <c r="Q216" t="str">
        <f t="array" ref="Q216">iferror(index(sea_lice!$J:$J,match($A216,sea_lice!$A:$A,0)))</f>
        <v/>
      </c>
      <c r="R216" s="40" t="str">
        <f t="array" ref="R216">iferror(index(dissected_fish!$F:$F,match($A216,dissected_fish!$A:$A,0)))</f>
        <v>BCA101</v>
      </c>
      <c r="S216" s="40" t="str">
        <f t="array" ref="S216">iferror(index(dissected_fish!$K:$K,match($A216,dissected_fish!$A:$A,0)))</f>
        <v>N</v>
      </c>
      <c r="T216" s="61" t="str">
        <f t="array" ref="T216">index(fish_lab_data!O:O,match(A216,fish_lab_data!C:C,0))</f>
        <v>KB</v>
      </c>
      <c r="U216" s="61">
        <f t="array" ref="U216">if(A216="","",index(fish_lab_data!X:X,match(A216,fish_lab_data!C:C,0)))</f>
        <v>215</v>
      </c>
    </row>
    <row r="217">
      <c r="A217" t="str">
        <f>fish_lab_data!C217</f>
        <v>U5362</v>
      </c>
      <c r="B217" t="str">
        <f t="array" ref="B217">iferror(index('rna-muscle'!$I:$I,match($A217,'rna-muscle'!$A:$A,0)))</f>
        <v>BRN63M-E5</v>
      </c>
      <c r="C217" t="str">
        <f t="array" ref="C217">iferror(index('rna-muscle'!$L:$L,match($A217,'rna-muscle'!$A:$A,0)))</f>
        <v>N</v>
      </c>
      <c r="D217" t="str">
        <f t="array" ref="D217">iferror(index('rna-gill'!$I:$I,match($A217,'rna-gill'!$A:$A,0)))</f>
        <v>BRN63G-E5</v>
      </c>
      <c r="E217" t="str">
        <f t="array" ref="E217">iferror(index('rna-gill'!$L:$L,match($A217,'rna-gill'!$A:$A,0)))</f>
        <v>N</v>
      </c>
      <c r="F217" t="str">
        <f t="array" ref="F217">iferror(index(fatty_acid!$G:$G,match($A217,fatty_acid!$A:$A,0)))</f>
        <v>BFA23-46</v>
      </c>
      <c r="G217" t="str">
        <f t="array" ref="G217">iferror(index(fatty_acid!$J:$J,match($A217,fatty_acid!$A:$A,0)))</f>
        <v>N</v>
      </c>
      <c r="H217" t="str">
        <f t="array" ref="H217">iferror(index(isotopes!$G:$G,match($A217,isotopes!$A:$A,0)))</f>
        <v>BIS25-46</v>
      </c>
      <c r="I217" t="str">
        <f t="array" ref="I217">iferror(index(isotopes!$J:$J,match($A217,isotopes!$A:$A,0)))</f>
        <v>N</v>
      </c>
      <c r="J217" t="str">
        <f t="array" ref="J217">iferror(index(extra_muscle!$G:$G,match($A217,extra_muscle!$A:$A,0)))</f>
        <v>BXM24-46</v>
      </c>
      <c r="K217" t="str">
        <f t="array" ref="K217">iferror(index(extra_muscle!$J:$J,match($A217,extra_muscle!$A:$A,0)))</f>
        <v>N</v>
      </c>
      <c r="L217" s="59" t="str">
        <f t="array" ref="L217">iferror(index(dna!$G:$G,match($A217,dna!$A:$A,0)))</f>
        <v/>
      </c>
      <c r="M217" s="60" t="str">
        <f t="array" ref="M217">iferror(index(dna!$J:$J,match($A217,dna!$A:$A,0)))</f>
        <v/>
      </c>
      <c r="N217" t="str">
        <f t="array" ref="N217">iferror(index(stomachs!$G:$G,match($A217,stomachs!$A:$A,0)))</f>
        <v>BST241-1</v>
      </c>
      <c r="O217" t="str">
        <f t="array" ref="O217">iferror(index(stomachs!$J:$J,match($A217,stomachs!$A:$A,0)))</f>
        <v>N</v>
      </c>
      <c r="P217" t="str">
        <f t="array" ref="P217">iferror(index(sea_lice!$G:$G,match($A217,sea_lice!$A:$A,0)))</f>
        <v/>
      </c>
      <c r="Q217" t="str">
        <f t="array" ref="Q217">iferror(index(sea_lice!$J:$J,match($A217,sea_lice!$A:$A,0)))</f>
        <v/>
      </c>
      <c r="R217" s="40" t="str">
        <f t="array" ref="R217">iferror(index(dissected_fish!$F:$F,match($A217,dissected_fish!$A:$A,0)))</f>
        <v>BCA101</v>
      </c>
      <c r="S217" s="40" t="str">
        <f t="array" ref="S217">iferror(index(dissected_fish!$K:$K,match($A217,dissected_fish!$A:$A,0)))</f>
        <v>N</v>
      </c>
      <c r="T217" s="61" t="str">
        <f t="array" ref="T217">index(fish_lab_data!O:O,match(A217,fish_lab_data!C:C,0))</f>
        <v>KB</v>
      </c>
      <c r="U217" s="61">
        <f t="array" ref="U217">if(A217="","",index(fish_lab_data!X:X,match(A217,fish_lab_data!C:C,0)))</f>
        <v>216</v>
      </c>
    </row>
    <row r="218">
      <c r="A218" t="str">
        <f>fish_lab_data!C218</f>
        <v>U5363</v>
      </c>
      <c r="B218" t="str">
        <f t="array" ref="B218">iferror(index('rna-muscle'!$I:$I,match($A218,'rna-muscle'!$A:$A,0)))</f>
        <v>BRN63M-D5</v>
      </c>
      <c r="C218" t="str">
        <f t="array" ref="C218">iferror(index('rna-muscle'!$L:$L,match($A218,'rna-muscle'!$A:$A,0)))</f>
        <v>N</v>
      </c>
      <c r="D218" t="str">
        <f t="array" ref="D218">iferror(index('rna-gill'!$I:$I,match($A218,'rna-gill'!$A:$A,0)))</f>
        <v>BRN63G-D5</v>
      </c>
      <c r="E218" t="str">
        <f t="array" ref="E218">iferror(index('rna-gill'!$L:$L,match($A218,'rna-gill'!$A:$A,0)))</f>
        <v>N</v>
      </c>
      <c r="F218" t="str">
        <f t="array" ref="F218">iferror(index(fatty_acid!$G:$G,match($A218,fatty_acid!$A:$A,0)))</f>
        <v>BFA23-47</v>
      </c>
      <c r="G218" t="str">
        <f t="array" ref="G218">iferror(index(fatty_acid!$J:$J,match($A218,fatty_acid!$A:$A,0)))</f>
        <v>N</v>
      </c>
      <c r="H218" t="str">
        <f t="array" ref="H218">iferror(index(isotopes!$G:$G,match($A218,isotopes!$A:$A,0)))</f>
        <v>BIS25-47</v>
      </c>
      <c r="I218" t="str">
        <f t="array" ref="I218">iferror(index(isotopes!$J:$J,match($A218,isotopes!$A:$A,0)))</f>
        <v>N</v>
      </c>
      <c r="J218" t="str">
        <f t="array" ref="J218">iferror(index(extra_muscle!$G:$G,match($A218,extra_muscle!$A:$A,0)))</f>
        <v>BXM24-47</v>
      </c>
      <c r="K218" t="str">
        <f t="array" ref="K218">iferror(index(extra_muscle!$J:$J,match($A218,extra_muscle!$A:$A,0)))</f>
        <v>N</v>
      </c>
      <c r="L218" s="59" t="str">
        <f t="array" ref="L218">iferror(index(dna!$G:$G,match($A218,dna!$A:$A,0)))</f>
        <v/>
      </c>
      <c r="M218" s="60" t="str">
        <f t="array" ref="M218">iferror(index(dna!$J:$J,match($A218,dna!$A:$A,0)))</f>
        <v/>
      </c>
      <c r="N218" t="str">
        <f t="array" ref="N218">iferror(index(stomachs!$G:$G,match($A218,stomachs!$A:$A,0)))</f>
        <v>BST241-2</v>
      </c>
      <c r="O218" t="str">
        <f t="array" ref="O218">iferror(index(stomachs!$J:$J,match($A218,stomachs!$A:$A,0)))</f>
        <v>N</v>
      </c>
      <c r="P218" t="str">
        <f t="array" ref="P218">iferror(index(sea_lice!$G:$G,match($A218,sea_lice!$A:$A,0)))</f>
        <v/>
      </c>
      <c r="Q218" t="str">
        <f t="array" ref="Q218">iferror(index(sea_lice!$J:$J,match($A218,sea_lice!$A:$A,0)))</f>
        <v/>
      </c>
      <c r="R218" s="40" t="str">
        <f t="array" ref="R218">iferror(index(dissected_fish!$F:$F,match($A218,dissected_fish!$A:$A,0)))</f>
        <v>BCA101</v>
      </c>
      <c r="S218" s="40" t="str">
        <f t="array" ref="S218">iferror(index(dissected_fish!$K:$K,match($A218,dissected_fish!$A:$A,0)))</f>
        <v>N</v>
      </c>
      <c r="T218" s="61" t="str">
        <f t="array" ref="T218">index(fish_lab_data!O:O,match(A218,fish_lab_data!C:C,0))</f>
        <v>KB</v>
      </c>
      <c r="U218" s="61">
        <f t="array" ref="U218">if(A218="","",index(fish_lab_data!X:X,match(A218,fish_lab_data!C:C,0)))</f>
        <v>217</v>
      </c>
    </row>
    <row r="219">
      <c r="A219" t="str">
        <f>fish_lab_data!C219</f>
        <v>U5364</v>
      </c>
      <c r="B219" t="str">
        <f t="array" ref="B219">iferror(index('rna-muscle'!$I:$I,match($A219,'rna-muscle'!$A:$A,0)))</f>
        <v>BRN63M-C5</v>
      </c>
      <c r="C219" t="str">
        <f t="array" ref="C219">iferror(index('rna-muscle'!$L:$L,match($A219,'rna-muscle'!$A:$A,0)))</f>
        <v>N</v>
      </c>
      <c r="D219" t="str">
        <f t="array" ref="D219">iferror(index('rna-gill'!$I:$I,match($A219,'rna-gill'!$A:$A,0)))</f>
        <v>BRN63G-C5</v>
      </c>
      <c r="E219" t="str">
        <f t="array" ref="E219">iferror(index('rna-gill'!$L:$L,match($A219,'rna-gill'!$A:$A,0)))</f>
        <v>N</v>
      </c>
      <c r="F219" t="str">
        <f t="array" ref="F219">iferror(index(fatty_acid!$G:$G,match($A219,fatty_acid!$A:$A,0)))</f>
        <v>BFA23-48</v>
      </c>
      <c r="G219" t="str">
        <f t="array" ref="G219">iferror(index(fatty_acid!$J:$J,match($A219,fatty_acid!$A:$A,0)))</f>
        <v>N</v>
      </c>
      <c r="H219" t="str">
        <f t="array" ref="H219">iferror(index(isotopes!$G:$G,match($A219,isotopes!$A:$A,0)))</f>
        <v>BIS25-48</v>
      </c>
      <c r="I219" t="str">
        <f t="array" ref="I219">iferror(index(isotopes!$J:$J,match($A219,isotopes!$A:$A,0)))</f>
        <v>N</v>
      </c>
      <c r="J219" t="str">
        <f t="array" ref="J219">iferror(index(extra_muscle!$G:$G,match($A219,extra_muscle!$A:$A,0)))</f>
        <v>BXM24-48</v>
      </c>
      <c r="K219" t="str">
        <f t="array" ref="K219">iferror(index(extra_muscle!$J:$J,match($A219,extra_muscle!$A:$A,0)))</f>
        <v>N</v>
      </c>
      <c r="L219" s="59" t="str">
        <f t="array" ref="L219">iferror(index(dna!$G:$G,match($A219,dna!$A:$A,0)))</f>
        <v/>
      </c>
      <c r="M219" s="60" t="str">
        <f t="array" ref="M219">iferror(index(dna!$J:$J,match($A219,dna!$A:$A,0)))</f>
        <v/>
      </c>
      <c r="N219" t="str">
        <f t="array" ref="N219">iferror(index(stomachs!$G:$G,match($A219,stomachs!$A:$A,0)))</f>
        <v>BST241-3</v>
      </c>
      <c r="O219" t="str">
        <f t="array" ref="O219">iferror(index(stomachs!$J:$J,match($A219,stomachs!$A:$A,0)))</f>
        <v>N</v>
      </c>
      <c r="P219" t="str">
        <f t="array" ref="P219">iferror(index(sea_lice!$G:$G,match($A219,sea_lice!$A:$A,0)))</f>
        <v/>
      </c>
      <c r="Q219" t="str">
        <f t="array" ref="Q219">iferror(index(sea_lice!$J:$J,match($A219,sea_lice!$A:$A,0)))</f>
        <v/>
      </c>
      <c r="R219" s="40" t="str">
        <f t="array" ref="R219">iferror(index(dissected_fish!$F:$F,match($A219,dissected_fish!$A:$A,0)))</f>
        <v>BCA101</v>
      </c>
      <c r="S219" s="40" t="str">
        <f t="array" ref="S219">iferror(index(dissected_fish!$K:$K,match($A219,dissected_fish!$A:$A,0)))</f>
        <v>N</v>
      </c>
      <c r="T219" s="61" t="str">
        <f t="array" ref="T219">index(fish_lab_data!O:O,match(A219,fish_lab_data!C:C,0))</f>
        <v>KB</v>
      </c>
      <c r="U219" s="61">
        <f t="array" ref="U219">if(A219="","",index(fish_lab_data!X:X,match(A219,fish_lab_data!C:C,0)))</f>
        <v>218</v>
      </c>
    </row>
    <row r="220">
      <c r="A220" t="str">
        <f>fish_lab_data!C220</f>
        <v>U5365</v>
      </c>
      <c r="B220" t="str">
        <f t="array" ref="B220">iferror(index('rna-muscle'!$I:$I,match($A220,'rna-muscle'!$A:$A,0)))</f>
        <v>BRN63M-B5</v>
      </c>
      <c r="C220" t="str">
        <f t="array" ref="C220">iferror(index('rna-muscle'!$L:$L,match($A220,'rna-muscle'!$A:$A,0)))</f>
        <v>N</v>
      </c>
      <c r="D220" t="str">
        <f t="array" ref="D220">iferror(index('rna-gill'!$I:$I,match($A220,'rna-gill'!$A:$A,0)))</f>
        <v>BRN63G-B5</v>
      </c>
      <c r="E220" t="str">
        <f t="array" ref="E220">iferror(index('rna-gill'!$L:$L,match($A220,'rna-gill'!$A:$A,0)))</f>
        <v>N</v>
      </c>
      <c r="F220" t="str">
        <f t="array" ref="F220">iferror(index(fatty_acid!$G:$G,match($A220,fatty_acid!$A:$A,0)))</f>
        <v>BFA23-49</v>
      </c>
      <c r="G220" t="str">
        <f t="array" ref="G220">iferror(index(fatty_acid!$J:$J,match($A220,fatty_acid!$A:$A,0)))</f>
        <v>N</v>
      </c>
      <c r="H220" t="str">
        <f t="array" ref="H220">iferror(index(isotopes!$G:$G,match($A220,isotopes!$A:$A,0)))</f>
        <v>BIS25-49</v>
      </c>
      <c r="I220" t="str">
        <f t="array" ref="I220">iferror(index(isotopes!$J:$J,match($A220,isotopes!$A:$A,0)))</f>
        <v>N</v>
      </c>
      <c r="J220" t="str">
        <f t="array" ref="J220">iferror(index(extra_muscle!$G:$G,match($A220,extra_muscle!$A:$A,0)))</f>
        <v>BXM24-49</v>
      </c>
      <c r="K220" t="str">
        <f t="array" ref="K220">iferror(index(extra_muscle!$J:$J,match($A220,extra_muscle!$A:$A,0)))</f>
        <v>N</v>
      </c>
      <c r="L220" s="59" t="str">
        <f t="array" ref="L220">iferror(index(dna!$G:$G,match($A220,dna!$A:$A,0)))</f>
        <v/>
      </c>
      <c r="M220" s="60" t="str">
        <f t="array" ref="M220">iferror(index(dna!$J:$J,match($A220,dna!$A:$A,0)))</f>
        <v/>
      </c>
      <c r="N220" t="str">
        <f t="array" ref="N220">iferror(index(stomachs!$G:$G,match($A220,stomachs!$A:$A,0)))</f>
        <v>BST241-4</v>
      </c>
      <c r="O220" t="str">
        <f t="array" ref="O220">iferror(index(stomachs!$J:$J,match($A220,stomachs!$A:$A,0)))</f>
        <v>N</v>
      </c>
      <c r="P220" t="str">
        <f t="array" ref="P220">iferror(index(sea_lice!$G:$G,match($A220,sea_lice!$A:$A,0)))</f>
        <v/>
      </c>
      <c r="Q220" t="str">
        <f t="array" ref="Q220">iferror(index(sea_lice!$J:$J,match($A220,sea_lice!$A:$A,0)))</f>
        <v/>
      </c>
      <c r="R220" s="40" t="str">
        <f t="array" ref="R220">iferror(index(dissected_fish!$F:$F,match($A220,dissected_fish!$A:$A,0)))</f>
        <v>BCA101</v>
      </c>
      <c r="S220" s="40" t="str">
        <f t="array" ref="S220">iferror(index(dissected_fish!$K:$K,match($A220,dissected_fish!$A:$A,0)))</f>
        <v>N</v>
      </c>
      <c r="T220" s="61" t="str">
        <f t="array" ref="T220">index(fish_lab_data!O:O,match(A220,fish_lab_data!C:C,0))</f>
        <v>KB</v>
      </c>
      <c r="U220" s="61">
        <f t="array" ref="U220">if(A220="","",index(fish_lab_data!X:X,match(A220,fish_lab_data!C:C,0)))</f>
        <v>219</v>
      </c>
    </row>
    <row r="221">
      <c r="A221" t="str">
        <f>fish_lab_data!C221</f>
        <v>U5366</v>
      </c>
      <c r="B221" t="str">
        <f t="array" ref="B221">iferror(index('rna-muscle'!$I:$I,match($A221,'rna-muscle'!$A:$A,0)))</f>
        <v>BRN63M-A5</v>
      </c>
      <c r="C221" t="str">
        <f t="array" ref="C221">iferror(index('rna-muscle'!$L:$L,match($A221,'rna-muscle'!$A:$A,0)))</f>
        <v>N</v>
      </c>
      <c r="D221" t="str">
        <f t="array" ref="D221">iferror(index('rna-gill'!$I:$I,match($A221,'rna-gill'!$A:$A,0)))</f>
        <v>BRN63G-A5</v>
      </c>
      <c r="E221" t="str">
        <f t="array" ref="E221">iferror(index('rna-gill'!$L:$L,match($A221,'rna-gill'!$A:$A,0)))</f>
        <v>N</v>
      </c>
      <c r="F221" t="str">
        <f t="array" ref="F221">iferror(index(fatty_acid!$G:$G,match($A221,fatty_acid!$A:$A,0)))</f>
        <v>BFA23-50</v>
      </c>
      <c r="G221" t="str">
        <f t="array" ref="G221">iferror(index(fatty_acid!$J:$J,match($A221,fatty_acid!$A:$A,0)))</f>
        <v>N</v>
      </c>
      <c r="H221" t="str">
        <f t="array" ref="H221">iferror(index(isotopes!$G:$G,match($A221,isotopes!$A:$A,0)))</f>
        <v>BIS25-50</v>
      </c>
      <c r="I221" t="str">
        <f t="array" ref="I221">iferror(index(isotopes!$J:$J,match($A221,isotopes!$A:$A,0)))</f>
        <v>N</v>
      </c>
      <c r="J221" t="str">
        <f t="array" ref="J221">iferror(index(extra_muscle!$G:$G,match($A221,extra_muscle!$A:$A,0)))</f>
        <v>BXM24-50</v>
      </c>
      <c r="K221" t="str">
        <f t="array" ref="K221">iferror(index(extra_muscle!$J:$J,match($A221,extra_muscle!$A:$A,0)))</f>
        <v>N</v>
      </c>
      <c r="L221" s="59" t="str">
        <f t="array" ref="L221">iferror(index(dna!$G:$G,match($A221,dna!$A:$A,0)))</f>
        <v/>
      </c>
      <c r="M221" s="60" t="str">
        <f t="array" ref="M221">iferror(index(dna!$J:$J,match($A221,dna!$A:$A,0)))</f>
        <v/>
      </c>
      <c r="N221" t="str">
        <f t="array" ref="N221">iferror(index(stomachs!$G:$G,match($A221,stomachs!$A:$A,0)))</f>
        <v>BST241-5</v>
      </c>
      <c r="O221" t="str">
        <f t="array" ref="O221">iferror(index(stomachs!$J:$J,match($A221,stomachs!$A:$A,0)))</f>
        <v>N</v>
      </c>
      <c r="P221" t="str">
        <f t="array" ref="P221">iferror(index(sea_lice!$G:$G,match($A221,sea_lice!$A:$A,0)))</f>
        <v/>
      </c>
      <c r="Q221" t="str">
        <f t="array" ref="Q221">iferror(index(sea_lice!$J:$J,match($A221,sea_lice!$A:$A,0)))</f>
        <v/>
      </c>
      <c r="R221" s="40" t="str">
        <f t="array" ref="R221">iferror(index(dissected_fish!$F:$F,match($A221,dissected_fish!$A:$A,0)))</f>
        <v>BCA101</v>
      </c>
      <c r="S221" s="40" t="str">
        <f t="array" ref="S221">iferror(index(dissected_fish!$K:$K,match($A221,dissected_fish!$A:$A,0)))</f>
        <v>N</v>
      </c>
      <c r="T221" s="61" t="str">
        <f t="array" ref="T221">index(fish_lab_data!O:O,match(A221,fish_lab_data!C:C,0))</f>
        <v>KB</v>
      </c>
      <c r="U221" s="61">
        <f t="array" ref="U221">if(A221="","",index(fish_lab_data!X:X,match(A221,fish_lab_data!C:C,0)))</f>
        <v>220</v>
      </c>
    </row>
    <row r="222">
      <c r="A222" t="str">
        <f>fish_lab_data!C222</f>
        <v>U5367</v>
      </c>
      <c r="B222" t="str">
        <f t="array" ref="B222">iferror(index('rna-muscle'!$I:$I,match($A222,'rna-muscle'!$A:$A,0)))</f>
        <v>BRN63M-G6</v>
      </c>
      <c r="C222" t="str">
        <f t="array" ref="C222">iferror(index('rna-muscle'!$L:$L,match($A222,'rna-muscle'!$A:$A,0)))</f>
        <v>N</v>
      </c>
      <c r="D222" t="str">
        <f t="array" ref="D222">iferror(index('rna-gill'!$I:$I,match($A222,'rna-gill'!$A:$A,0)))</f>
        <v>BRN63G-G6</v>
      </c>
      <c r="E222" t="str">
        <f t="array" ref="E222">iferror(index('rna-gill'!$L:$L,match($A222,'rna-gill'!$A:$A,0)))</f>
        <v>N</v>
      </c>
      <c r="F222" t="str">
        <f t="array" ref="F222">iferror(index(fatty_acid!$G:$G,match($A222,fatty_acid!$A:$A,0)))</f>
        <v>BFA23-51</v>
      </c>
      <c r="G222" t="str">
        <f t="array" ref="G222">iferror(index(fatty_acid!$J:$J,match($A222,fatty_acid!$A:$A,0)))</f>
        <v>N</v>
      </c>
      <c r="H222" t="str">
        <f t="array" ref="H222">iferror(index(isotopes!$G:$G,match($A222,isotopes!$A:$A,0)))</f>
        <v>BIS25-51</v>
      </c>
      <c r="I222" t="str">
        <f t="array" ref="I222">iferror(index(isotopes!$J:$J,match($A222,isotopes!$A:$A,0)))</f>
        <v>N</v>
      </c>
      <c r="J222" t="str">
        <f t="array" ref="J222">iferror(index(extra_muscle!$G:$G,match($A222,extra_muscle!$A:$A,0)))</f>
        <v>BXM24-51</v>
      </c>
      <c r="K222" t="str">
        <f t="array" ref="K222">iferror(index(extra_muscle!$J:$J,match($A222,extra_muscle!$A:$A,0)))</f>
        <v>N</v>
      </c>
      <c r="L222" s="59" t="str">
        <f t="array" ref="L222">iferror(index(dna!$G:$G,match($A222,dna!$A:$A,0)))</f>
        <v/>
      </c>
      <c r="M222" s="60" t="str">
        <f t="array" ref="M222">iferror(index(dna!$J:$J,match($A222,dna!$A:$A,0)))</f>
        <v/>
      </c>
      <c r="N222" t="str">
        <f t="array" ref="N222">iferror(index(stomachs!$G:$G,match($A222,stomachs!$A:$A,0)))</f>
        <v>BST241-6</v>
      </c>
      <c r="O222" t="str">
        <f t="array" ref="O222">iferror(index(stomachs!$J:$J,match($A222,stomachs!$A:$A,0)))</f>
        <v>N</v>
      </c>
      <c r="P222" t="str">
        <f t="array" ref="P222">iferror(index(sea_lice!$G:$G,match($A222,sea_lice!$A:$A,0)))</f>
        <v/>
      </c>
      <c r="Q222" t="str">
        <f t="array" ref="Q222">iferror(index(sea_lice!$J:$J,match($A222,sea_lice!$A:$A,0)))</f>
        <v/>
      </c>
      <c r="R222" s="40" t="str">
        <f t="array" ref="R222">iferror(index(dissected_fish!$F:$F,match($A222,dissected_fish!$A:$A,0)))</f>
        <v>BCA101</v>
      </c>
      <c r="S222" s="40" t="str">
        <f t="array" ref="S222">iferror(index(dissected_fish!$K:$K,match($A222,dissected_fish!$A:$A,0)))</f>
        <v>N</v>
      </c>
      <c r="T222" s="61" t="str">
        <f t="array" ref="T222">index(fish_lab_data!O:O,match(A222,fish_lab_data!C:C,0))</f>
        <v>KB</v>
      </c>
      <c r="U222" s="61">
        <f t="array" ref="U222">if(A222="","",index(fish_lab_data!X:X,match(A222,fish_lab_data!C:C,0)))</f>
        <v>221</v>
      </c>
    </row>
    <row r="223">
      <c r="A223" t="str">
        <f>fish_lab_data!C223</f>
        <v>U5368</v>
      </c>
      <c r="B223" t="str">
        <f t="array" ref="B223">iferror(index('rna-muscle'!$I:$I,match($A223,'rna-muscle'!$A:$A,0)))</f>
        <v>BRN63M-F6</v>
      </c>
      <c r="C223" t="str">
        <f t="array" ref="C223">iferror(index('rna-muscle'!$L:$L,match($A223,'rna-muscle'!$A:$A,0)))</f>
        <v>N</v>
      </c>
      <c r="D223" t="str">
        <f t="array" ref="D223">iferror(index('rna-gill'!$I:$I,match($A223,'rna-gill'!$A:$A,0)))</f>
        <v>BRN63G-F6</v>
      </c>
      <c r="E223" t="str">
        <f t="array" ref="E223">iferror(index('rna-gill'!$L:$L,match($A223,'rna-gill'!$A:$A,0)))</f>
        <v>N</v>
      </c>
      <c r="F223" t="str">
        <f t="array" ref="F223">iferror(index(fatty_acid!$G:$G,match($A223,fatty_acid!$A:$A,0)))</f>
        <v>BFA23-52</v>
      </c>
      <c r="G223" t="str">
        <f t="array" ref="G223">iferror(index(fatty_acid!$J:$J,match($A223,fatty_acid!$A:$A,0)))</f>
        <v>N</v>
      </c>
      <c r="H223" t="str">
        <f t="array" ref="H223">iferror(index(isotopes!$G:$G,match($A223,isotopes!$A:$A,0)))</f>
        <v>BIS25-52</v>
      </c>
      <c r="I223" t="str">
        <f t="array" ref="I223">iferror(index(isotopes!$J:$J,match($A223,isotopes!$A:$A,0)))</f>
        <v>N</v>
      </c>
      <c r="J223" t="str">
        <f t="array" ref="J223">iferror(index(extra_muscle!$G:$G,match($A223,extra_muscle!$A:$A,0)))</f>
        <v>BXM24-52</v>
      </c>
      <c r="K223" t="str">
        <f t="array" ref="K223">iferror(index(extra_muscle!$J:$J,match($A223,extra_muscle!$A:$A,0)))</f>
        <v>N</v>
      </c>
      <c r="L223" s="59" t="str">
        <f t="array" ref="L223">iferror(index(dna!$G:$G,match($A223,dna!$A:$A,0)))</f>
        <v/>
      </c>
      <c r="M223" s="60" t="str">
        <f t="array" ref="M223">iferror(index(dna!$J:$J,match($A223,dna!$A:$A,0)))</f>
        <v/>
      </c>
      <c r="N223" t="str">
        <f t="array" ref="N223">iferror(index(stomachs!$G:$G,match($A223,stomachs!$A:$A,0)))</f>
        <v>BST241-7</v>
      </c>
      <c r="O223" t="str">
        <f t="array" ref="O223">iferror(index(stomachs!$J:$J,match($A223,stomachs!$A:$A,0)))</f>
        <v>N</v>
      </c>
      <c r="P223" t="str">
        <f t="array" ref="P223">iferror(index(sea_lice!$G:$G,match($A223,sea_lice!$A:$A,0)))</f>
        <v/>
      </c>
      <c r="Q223" t="str">
        <f t="array" ref="Q223">iferror(index(sea_lice!$J:$J,match($A223,sea_lice!$A:$A,0)))</f>
        <v/>
      </c>
      <c r="R223" s="40" t="str">
        <f t="array" ref="R223">iferror(index(dissected_fish!$F:$F,match($A223,dissected_fish!$A:$A,0)))</f>
        <v>BCA101</v>
      </c>
      <c r="S223" s="40" t="str">
        <f t="array" ref="S223">iferror(index(dissected_fish!$K:$K,match($A223,dissected_fish!$A:$A,0)))</f>
        <v>N</v>
      </c>
      <c r="T223" s="61" t="str">
        <f t="array" ref="T223">index(fish_lab_data!O:O,match(A223,fish_lab_data!C:C,0))</f>
        <v>KB</v>
      </c>
      <c r="U223" s="61">
        <f t="array" ref="U223">if(A223="","",index(fish_lab_data!X:X,match(A223,fish_lab_data!C:C,0)))</f>
        <v>222</v>
      </c>
    </row>
    <row r="224">
      <c r="A224" t="str">
        <f>fish_lab_data!C224</f>
        <v>U5369</v>
      </c>
      <c r="B224" t="str">
        <f t="array" ref="B224">iferror(index('rna-muscle'!$I:$I,match($A224,'rna-muscle'!$A:$A,0)))</f>
        <v>BRN63M-E6</v>
      </c>
      <c r="C224" t="str">
        <f t="array" ref="C224">iferror(index('rna-muscle'!$L:$L,match($A224,'rna-muscle'!$A:$A,0)))</f>
        <v>N</v>
      </c>
      <c r="D224" t="str">
        <f t="array" ref="D224">iferror(index('rna-gill'!$I:$I,match($A224,'rna-gill'!$A:$A,0)))</f>
        <v>BRN63G-E6</v>
      </c>
      <c r="E224" t="str">
        <f t="array" ref="E224">iferror(index('rna-gill'!$L:$L,match($A224,'rna-gill'!$A:$A,0)))</f>
        <v>N</v>
      </c>
      <c r="F224" t="str">
        <f t="array" ref="F224">iferror(index(fatty_acid!$G:$G,match($A224,fatty_acid!$A:$A,0)))</f>
        <v>BFA23-53</v>
      </c>
      <c r="G224" t="str">
        <f t="array" ref="G224">iferror(index(fatty_acid!$J:$J,match($A224,fatty_acid!$A:$A,0)))</f>
        <v>N</v>
      </c>
      <c r="H224" t="str">
        <f t="array" ref="H224">iferror(index(isotopes!$G:$G,match($A224,isotopes!$A:$A,0)))</f>
        <v>BIS25-53</v>
      </c>
      <c r="I224" t="str">
        <f t="array" ref="I224">iferror(index(isotopes!$J:$J,match($A224,isotopes!$A:$A,0)))</f>
        <v>N</v>
      </c>
      <c r="J224" t="str">
        <f t="array" ref="J224">iferror(index(extra_muscle!$G:$G,match($A224,extra_muscle!$A:$A,0)))</f>
        <v>BXM24-53</v>
      </c>
      <c r="K224" t="str">
        <f t="array" ref="K224">iferror(index(extra_muscle!$J:$J,match($A224,extra_muscle!$A:$A,0)))</f>
        <v>N</v>
      </c>
      <c r="L224" s="59" t="str">
        <f t="array" ref="L224">iferror(index(dna!$G:$G,match($A224,dna!$A:$A,0)))</f>
        <v/>
      </c>
      <c r="M224" s="60" t="str">
        <f t="array" ref="M224">iferror(index(dna!$J:$J,match($A224,dna!$A:$A,0)))</f>
        <v/>
      </c>
      <c r="N224" t="str">
        <f t="array" ref="N224">iferror(index(stomachs!$G:$G,match($A224,stomachs!$A:$A,0)))</f>
        <v>BST241-8</v>
      </c>
      <c r="O224" t="str">
        <f t="array" ref="O224">iferror(index(stomachs!$J:$J,match($A224,stomachs!$A:$A,0)))</f>
        <v>N</v>
      </c>
      <c r="P224" t="str">
        <f t="array" ref="P224">iferror(index(sea_lice!$G:$G,match($A224,sea_lice!$A:$A,0)))</f>
        <v/>
      </c>
      <c r="Q224" t="str">
        <f t="array" ref="Q224">iferror(index(sea_lice!$J:$J,match($A224,sea_lice!$A:$A,0)))</f>
        <v/>
      </c>
      <c r="R224" s="40" t="str">
        <f t="array" ref="R224">iferror(index(dissected_fish!$F:$F,match($A224,dissected_fish!$A:$A,0)))</f>
        <v>BCA101</v>
      </c>
      <c r="S224" s="40" t="str">
        <f t="array" ref="S224">iferror(index(dissected_fish!$K:$K,match($A224,dissected_fish!$A:$A,0)))</f>
        <v>N</v>
      </c>
      <c r="T224" s="61" t="str">
        <f t="array" ref="T224">index(fish_lab_data!O:O,match(A224,fish_lab_data!C:C,0))</f>
        <v>KB</v>
      </c>
      <c r="U224" s="61">
        <f t="array" ref="U224">if(A224="","",index(fish_lab_data!X:X,match(A224,fish_lab_data!C:C,0)))</f>
        <v>223</v>
      </c>
    </row>
    <row r="225">
      <c r="A225" t="str">
        <f>fish_lab_data!C225</f>
        <v>U5370</v>
      </c>
      <c r="B225" t="str">
        <f t="array" ref="B225">iferror(index('rna-muscle'!$I:$I,match($A225,'rna-muscle'!$A:$A,0)))</f>
        <v>BRN63M-D6</v>
      </c>
      <c r="C225" t="str">
        <f t="array" ref="C225">iferror(index('rna-muscle'!$L:$L,match($A225,'rna-muscle'!$A:$A,0)))</f>
        <v>N</v>
      </c>
      <c r="D225" t="str">
        <f t="array" ref="D225">iferror(index('rna-gill'!$I:$I,match($A225,'rna-gill'!$A:$A,0)))</f>
        <v>BRN63G-D6</v>
      </c>
      <c r="E225" t="str">
        <f t="array" ref="E225">iferror(index('rna-gill'!$L:$L,match($A225,'rna-gill'!$A:$A,0)))</f>
        <v>N</v>
      </c>
      <c r="F225" t="str">
        <f t="array" ref="F225">iferror(index(fatty_acid!$G:$G,match($A225,fatty_acid!$A:$A,0)))</f>
        <v>BFA23-54</v>
      </c>
      <c r="G225" t="str">
        <f t="array" ref="G225">iferror(index(fatty_acid!$J:$J,match($A225,fatty_acid!$A:$A,0)))</f>
        <v>N</v>
      </c>
      <c r="H225" t="str">
        <f t="array" ref="H225">iferror(index(isotopes!$G:$G,match($A225,isotopes!$A:$A,0)))</f>
        <v>BIS25-54</v>
      </c>
      <c r="I225" t="str">
        <f t="array" ref="I225">iferror(index(isotopes!$J:$J,match($A225,isotopes!$A:$A,0)))</f>
        <v>N</v>
      </c>
      <c r="J225" t="str">
        <f t="array" ref="J225">iferror(index(extra_muscle!$G:$G,match($A225,extra_muscle!$A:$A,0)))</f>
        <v>BXM24-54</v>
      </c>
      <c r="K225" t="str">
        <f t="array" ref="K225">iferror(index(extra_muscle!$J:$J,match($A225,extra_muscle!$A:$A,0)))</f>
        <v>N</v>
      </c>
      <c r="L225" s="59" t="str">
        <f t="array" ref="L225">iferror(index(dna!$G:$G,match($A225,dna!$A:$A,0)))</f>
        <v/>
      </c>
      <c r="M225" s="60" t="str">
        <f t="array" ref="M225">iferror(index(dna!$J:$J,match($A225,dna!$A:$A,0)))</f>
        <v/>
      </c>
      <c r="N225" t="str">
        <f t="array" ref="N225">iferror(index(stomachs!$G:$G,match($A225,stomachs!$A:$A,0)))</f>
        <v>BST241-9</v>
      </c>
      <c r="O225" t="str">
        <f t="array" ref="O225">iferror(index(stomachs!$J:$J,match($A225,stomachs!$A:$A,0)))</f>
        <v>N</v>
      </c>
      <c r="P225" t="str">
        <f t="array" ref="P225">iferror(index(sea_lice!$G:$G,match($A225,sea_lice!$A:$A,0)))</f>
        <v/>
      </c>
      <c r="Q225" t="str">
        <f t="array" ref="Q225">iferror(index(sea_lice!$J:$J,match($A225,sea_lice!$A:$A,0)))</f>
        <v/>
      </c>
      <c r="R225" s="40" t="str">
        <f t="array" ref="R225">iferror(index(dissected_fish!$F:$F,match($A225,dissected_fish!$A:$A,0)))</f>
        <v>BCA101</v>
      </c>
      <c r="S225" s="40" t="str">
        <f t="array" ref="S225">iferror(index(dissected_fish!$K:$K,match($A225,dissected_fish!$A:$A,0)))</f>
        <v>N</v>
      </c>
      <c r="T225" s="61" t="str">
        <f t="array" ref="T225">index(fish_lab_data!O:O,match(A225,fish_lab_data!C:C,0))</f>
        <v>KB</v>
      </c>
      <c r="U225" s="61">
        <f t="array" ref="U225">if(A225="","",index(fish_lab_data!X:X,match(A225,fish_lab_data!C:C,0)))</f>
        <v>224</v>
      </c>
    </row>
    <row r="226">
      <c r="A226" t="str">
        <f>fish_lab_data!C226</f>
        <v>U5371</v>
      </c>
      <c r="B226" t="str">
        <f t="array" ref="B226">iferror(index('rna-muscle'!$I:$I,match($A226,'rna-muscle'!$A:$A,0)))</f>
        <v>BRN63M-C6</v>
      </c>
      <c r="C226" t="str">
        <f t="array" ref="C226">iferror(index('rna-muscle'!$L:$L,match($A226,'rna-muscle'!$A:$A,0)))</f>
        <v>N</v>
      </c>
      <c r="D226" t="str">
        <f t="array" ref="D226">iferror(index('rna-gill'!$I:$I,match($A226,'rna-gill'!$A:$A,0)))</f>
        <v>BRN63G-C6</v>
      </c>
      <c r="E226" t="str">
        <f t="array" ref="E226">iferror(index('rna-gill'!$L:$L,match($A226,'rna-gill'!$A:$A,0)))</f>
        <v>N</v>
      </c>
      <c r="F226" t="str">
        <f t="array" ref="F226">iferror(index(fatty_acid!$G:$G,match($A226,fatty_acid!$A:$A,0)))</f>
        <v>BFA23-55</v>
      </c>
      <c r="G226" t="str">
        <f t="array" ref="G226">iferror(index(fatty_acid!$J:$J,match($A226,fatty_acid!$A:$A,0)))</f>
        <v>N</v>
      </c>
      <c r="H226" t="str">
        <f t="array" ref="H226">iferror(index(isotopes!$G:$G,match($A226,isotopes!$A:$A,0)))</f>
        <v>BIS25-55</v>
      </c>
      <c r="I226" t="str">
        <f t="array" ref="I226">iferror(index(isotopes!$J:$J,match($A226,isotopes!$A:$A,0)))</f>
        <v>N</v>
      </c>
      <c r="J226" t="str">
        <f t="array" ref="J226">iferror(index(extra_muscle!$G:$G,match($A226,extra_muscle!$A:$A,0)))</f>
        <v>BXM24-55</v>
      </c>
      <c r="K226" t="str">
        <f t="array" ref="K226">iferror(index(extra_muscle!$J:$J,match($A226,extra_muscle!$A:$A,0)))</f>
        <v>N</v>
      </c>
      <c r="L226" s="59" t="str">
        <f t="array" ref="L226">iferror(index(dna!$G:$G,match($A226,dna!$A:$A,0)))</f>
        <v/>
      </c>
      <c r="M226" s="60" t="str">
        <f t="array" ref="M226">iferror(index(dna!$J:$J,match($A226,dna!$A:$A,0)))</f>
        <v/>
      </c>
      <c r="N226" t="str">
        <f t="array" ref="N226">iferror(index(stomachs!$G:$G,match($A226,stomachs!$A:$A,0)))</f>
        <v>BST241-10</v>
      </c>
      <c r="O226" t="str">
        <f t="array" ref="O226">iferror(index(stomachs!$J:$J,match($A226,stomachs!$A:$A,0)))</f>
        <v>N</v>
      </c>
      <c r="P226" t="str">
        <f t="array" ref="P226">iferror(index(sea_lice!$G:$G,match($A226,sea_lice!$A:$A,0)))</f>
        <v/>
      </c>
      <c r="Q226" t="str">
        <f t="array" ref="Q226">iferror(index(sea_lice!$J:$J,match($A226,sea_lice!$A:$A,0)))</f>
        <v/>
      </c>
      <c r="R226" s="40" t="str">
        <f t="array" ref="R226">iferror(index(dissected_fish!$F:$F,match($A226,dissected_fish!$A:$A,0)))</f>
        <v>BCA101</v>
      </c>
      <c r="S226" s="40" t="str">
        <f t="array" ref="S226">iferror(index(dissected_fish!$K:$K,match($A226,dissected_fish!$A:$A,0)))</f>
        <v>N</v>
      </c>
      <c r="T226" s="61" t="str">
        <f t="array" ref="T226">index(fish_lab_data!O:O,match(A226,fish_lab_data!C:C,0))</f>
        <v>KB</v>
      </c>
      <c r="U226" s="61">
        <f t="array" ref="U226">if(A226="","",index(fish_lab_data!X:X,match(A226,fish_lab_data!C:C,0)))</f>
        <v>225</v>
      </c>
    </row>
    <row r="227">
      <c r="A227" t="str">
        <f>fish_lab_data!C227</f>
        <v>U5372</v>
      </c>
      <c r="B227" t="str">
        <f t="array" ref="B227">iferror(index('rna-muscle'!$I:$I,match($A227,'rna-muscle'!$A:$A,0)))</f>
        <v>BRN63M-B6</v>
      </c>
      <c r="C227" t="str">
        <f t="array" ref="C227">iferror(index('rna-muscle'!$L:$L,match($A227,'rna-muscle'!$A:$A,0)))</f>
        <v>N</v>
      </c>
      <c r="D227" t="str">
        <f t="array" ref="D227">iferror(index('rna-gill'!$I:$I,match($A227,'rna-gill'!$A:$A,0)))</f>
        <v>BRN63G-B6</v>
      </c>
      <c r="E227" t="str">
        <f t="array" ref="E227">iferror(index('rna-gill'!$L:$L,match($A227,'rna-gill'!$A:$A,0)))</f>
        <v>N</v>
      </c>
      <c r="F227" t="str">
        <f t="array" ref="F227">iferror(index(fatty_acid!$G:$G,match($A227,fatty_acid!$A:$A,0)))</f>
        <v>BFA23-56</v>
      </c>
      <c r="G227" t="str">
        <f t="array" ref="G227">iferror(index(fatty_acid!$J:$J,match($A227,fatty_acid!$A:$A,0)))</f>
        <v>N</v>
      </c>
      <c r="H227" t="str">
        <f t="array" ref="H227">iferror(index(isotopes!$G:$G,match($A227,isotopes!$A:$A,0)))</f>
        <v>BIS25-56</v>
      </c>
      <c r="I227" t="str">
        <f t="array" ref="I227">iferror(index(isotopes!$J:$J,match($A227,isotopes!$A:$A,0)))</f>
        <v>N</v>
      </c>
      <c r="J227" t="str">
        <f t="array" ref="J227">iferror(index(extra_muscle!$G:$G,match($A227,extra_muscle!$A:$A,0)))</f>
        <v>BXM24-56</v>
      </c>
      <c r="K227" t="str">
        <f t="array" ref="K227">iferror(index(extra_muscle!$J:$J,match($A227,extra_muscle!$A:$A,0)))</f>
        <v>N</v>
      </c>
      <c r="L227" s="59" t="str">
        <f t="array" ref="L227">iferror(index(dna!$G:$G,match($A227,dna!$A:$A,0)))</f>
        <v/>
      </c>
      <c r="M227" s="60" t="str">
        <f t="array" ref="M227">iferror(index(dna!$J:$J,match($A227,dna!$A:$A,0)))</f>
        <v/>
      </c>
      <c r="N227" t="str">
        <f t="array" ref="N227">iferror(index(stomachs!$G:$G,match($A227,stomachs!$A:$A,0)))</f>
        <v>BST241-11</v>
      </c>
      <c r="O227" t="str">
        <f t="array" ref="O227">iferror(index(stomachs!$J:$J,match($A227,stomachs!$A:$A,0)))</f>
        <v>N</v>
      </c>
      <c r="P227" t="str">
        <f t="array" ref="P227">iferror(index(sea_lice!$G:$G,match($A227,sea_lice!$A:$A,0)))</f>
        <v/>
      </c>
      <c r="Q227" t="str">
        <f t="array" ref="Q227">iferror(index(sea_lice!$J:$J,match($A227,sea_lice!$A:$A,0)))</f>
        <v/>
      </c>
      <c r="R227" s="40" t="str">
        <f t="array" ref="R227">iferror(index(dissected_fish!$F:$F,match($A227,dissected_fish!$A:$A,0)))</f>
        <v>BCA101</v>
      </c>
      <c r="S227" s="40" t="str">
        <f t="array" ref="S227">iferror(index(dissected_fish!$K:$K,match($A227,dissected_fish!$A:$A,0)))</f>
        <v>N</v>
      </c>
      <c r="T227" s="61" t="str">
        <f t="array" ref="T227">index(fish_lab_data!O:O,match(A227,fish_lab_data!C:C,0))</f>
        <v>KB</v>
      </c>
      <c r="U227" s="61">
        <f t="array" ref="U227">if(A227="","",index(fish_lab_data!X:X,match(A227,fish_lab_data!C:C,0)))</f>
        <v>226</v>
      </c>
    </row>
    <row r="228">
      <c r="A228" t="str">
        <f>fish_lab_data!C228</f>
        <v>U5373</v>
      </c>
      <c r="B228" t="str">
        <f t="array" ref="B228">iferror(index('rna-muscle'!$I:$I,match($A228,'rna-muscle'!$A:$A,0)))</f>
        <v>BRN63M-A6</v>
      </c>
      <c r="C228" t="str">
        <f t="array" ref="C228">iferror(index('rna-muscle'!$L:$L,match($A228,'rna-muscle'!$A:$A,0)))</f>
        <v>N</v>
      </c>
      <c r="D228" t="str">
        <f t="array" ref="D228">iferror(index('rna-gill'!$I:$I,match($A228,'rna-gill'!$A:$A,0)))</f>
        <v>BRN63G-A6</v>
      </c>
      <c r="E228" t="str">
        <f t="array" ref="E228">iferror(index('rna-gill'!$L:$L,match($A228,'rna-gill'!$A:$A,0)))</f>
        <v>N</v>
      </c>
      <c r="F228" t="str">
        <f t="array" ref="F228">iferror(index(fatty_acid!$G:$G,match($A228,fatty_acid!$A:$A,0)))</f>
        <v>BFA23-57</v>
      </c>
      <c r="G228" t="str">
        <f t="array" ref="G228">iferror(index(fatty_acid!$J:$J,match($A228,fatty_acid!$A:$A,0)))</f>
        <v>N</v>
      </c>
      <c r="H228" t="str">
        <f t="array" ref="H228">iferror(index(isotopes!$G:$G,match($A228,isotopes!$A:$A,0)))</f>
        <v>BIS25-57</v>
      </c>
      <c r="I228" t="str">
        <f t="array" ref="I228">iferror(index(isotopes!$J:$J,match($A228,isotopes!$A:$A,0)))</f>
        <v>N</v>
      </c>
      <c r="J228" t="str">
        <f t="array" ref="J228">iferror(index(extra_muscle!$G:$G,match($A228,extra_muscle!$A:$A,0)))</f>
        <v>BXM24-57</v>
      </c>
      <c r="K228" t="str">
        <f t="array" ref="K228">iferror(index(extra_muscle!$J:$J,match($A228,extra_muscle!$A:$A,0)))</f>
        <v>N</v>
      </c>
      <c r="L228" s="59" t="str">
        <f t="array" ref="L228">iferror(index(dna!$G:$G,match($A228,dna!$A:$A,0)))</f>
        <v/>
      </c>
      <c r="M228" s="60" t="str">
        <f t="array" ref="M228">iferror(index(dna!$J:$J,match($A228,dna!$A:$A,0)))</f>
        <v/>
      </c>
      <c r="N228" t="str">
        <f t="array" ref="N228">iferror(index(stomachs!$G:$G,match($A228,stomachs!$A:$A,0)))</f>
        <v>BST241-12</v>
      </c>
      <c r="O228" t="str">
        <f t="array" ref="O228">iferror(index(stomachs!$J:$J,match($A228,stomachs!$A:$A,0)))</f>
        <v>N</v>
      </c>
      <c r="P228" t="str">
        <f t="array" ref="P228">iferror(index(sea_lice!$G:$G,match($A228,sea_lice!$A:$A,0)))</f>
        <v/>
      </c>
      <c r="Q228" t="str">
        <f t="array" ref="Q228">iferror(index(sea_lice!$J:$J,match($A228,sea_lice!$A:$A,0)))</f>
        <v/>
      </c>
      <c r="R228" s="40" t="str">
        <f t="array" ref="R228">iferror(index(dissected_fish!$F:$F,match($A228,dissected_fish!$A:$A,0)))</f>
        <v>BCA101</v>
      </c>
      <c r="S228" s="40" t="str">
        <f t="array" ref="S228">iferror(index(dissected_fish!$K:$K,match($A228,dissected_fish!$A:$A,0)))</f>
        <v>N</v>
      </c>
      <c r="T228" s="61" t="str">
        <f t="array" ref="T228">index(fish_lab_data!O:O,match(A228,fish_lab_data!C:C,0))</f>
        <v>KB</v>
      </c>
      <c r="U228" s="61">
        <f t="array" ref="U228">if(A228="","",index(fish_lab_data!X:X,match(A228,fish_lab_data!C:C,0)))</f>
        <v>227</v>
      </c>
    </row>
    <row r="229">
      <c r="A229" t="str">
        <f>fish_lab_data!C229</f>
        <v>U5374</v>
      </c>
      <c r="B229" t="str">
        <f t="array" ref="B229">iferror(index('rna-muscle'!$I:$I,match($A229,'rna-muscle'!$A:$A,0)))</f>
        <v>BRN63M-H7</v>
      </c>
      <c r="C229" t="str">
        <f t="array" ref="C229">iferror(index('rna-muscle'!$L:$L,match($A229,'rna-muscle'!$A:$A,0)))</f>
        <v>N</v>
      </c>
      <c r="D229" t="str">
        <f t="array" ref="D229">iferror(index('rna-gill'!$I:$I,match($A229,'rna-gill'!$A:$A,0)))</f>
        <v>BRN63G-H7</v>
      </c>
      <c r="E229" t="str">
        <f t="array" ref="E229">iferror(index('rna-gill'!$L:$L,match($A229,'rna-gill'!$A:$A,0)))</f>
        <v>N</v>
      </c>
      <c r="F229" t="str">
        <f t="array" ref="F229">iferror(index(fatty_acid!$G:$G,match($A229,fatty_acid!$A:$A,0)))</f>
        <v>BFA23-58</v>
      </c>
      <c r="G229" t="str">
        <f t="array" ref="G229">iferror(index(fatty_acid!$J:$J,match($A229,fatty_acid!$A:$A,0)))</f>
        <v>N</v>
      </c>
      <c r="H229" t="str">
        <f t="array" ref="H229">iferror(index(isotopes!$G:$G,match($A229,isotopes!$A:$A,0)))</f>
        <v>BIS25-58</v>
      </c>
      <c r="I229" t="str">
        <f t="array" ref="I229">iferror(index(isotopes!$J:$J,match($A229,isotopes!$A:$A,0)))</f>
        <v>N</v>
      </c>
      <c r="J229" t="str">
        <f t="array" ref="J229">iferror(index(extra_muscle!$G:$G,match($A229,extra_muscle!$A:$A,0)))</f>
        <v>BXM24-58</v>
      </c>
      <c r="K229" t="str">
        <f t="array" ref="K229">iferror(index(extra_muscle!$J:$J,match($A229,extra_muscle!$A:$A,0)))</f>
        <v>N</v>
      </c>
      <c r="L229" s="59" t="str">
        <f t="array" ref="L229">iferror(index(dna!$G:$G,match($A229,dna!$A:$A,0)))</f>
        <v/>
      </c>
      <c r="M229" s="60" t="str">
        <f t="array" ref="M229">iferror(index(dna!$J:$J,match($A229,dna!$A:$A,0)))</f>
        <v/>
      </c>
      <c r="N229" t="str">
        <f t="array" ref="N229">iferror(index(stomachs!$G:$G,match($A229,stomachs!$A:$A,0)))</f>
        <v>BST241-13</v>
      </c>
      <c r="O229" t="str">
        <f t="array" ref="O229">iferror(index(stomachs!$J:$J,match($A229,stomachs!$A:$A,0)))</f>
        <v>N</v>
      </c>
      <c r="P229" t="str">
        <f t="array" ref="P229">iferror(index(sea_lice!$G:$G,match($A229,sea_lice!$A:$A,0)))</f>
        <v/>
      </c>
      <c r="Q229" t="str">
        <f t="array" ref="Q229">iferror(index(sea_lice!$J:$J,match($A229,sea_lice!$A:$A,0)))</f>
        <v/>
      </c>
      <c r="R229" s="40" t="str">
        <f t="array" ref="R229">iferror(index(dissected_fish!$F:$F,match($A229,dissected_fish!$A:$A,0)))</f>
        <v>BCA101</v>
      </c>
      <c r="S229" s="40" t="str">
        <f t="array" ref="S229">iferror(index(dissected_fish!$K:$K,match($A229,dissected_fish!$A:$A,0)))</f>
        <v>N</v>
      </c>
      <c r="T229" s="61" t="str">
        <f t="array" ref="T229">index(fish_lab_data!O:O,match(A229,fish_lab_data!C:C,0))</f>
        <v>KB</v>
      </c>
      <c r="U229" s="61">
        <f t="array" ref="U229">if(A229="","",index(fish_lab_data!X:X,match(A229,fish_lab_data!C:C,0)))</f>
        <v>228</v>
      </c>
    </row>
    <row r="230">
      <c r="A230" t="str">
        <f>fish_lab_data!C230</f>
        <v>U5375</v>
      </c>
      <c r="B230" t="str">
        <f t="array" ref="B230">iferror(index('rna-muscle'!$I:$I,match($A230,'rna-muscle'!$A:$A,0)))</f>
        <v>BRN63M-G7</v>
      </c>
      <c r="C230" t="str">
        <f t="array" ref="C230">iferror(index('rna-muscle'!$L:$L,match($A230,'rna-muscle'!$A:$A,0)))</f>
        <v>N</v>
      </c>
      <c r="D230" t="str">
        <f t="array" ref="D230">iferror(index('rna-gill'!$I:$I,match($A230,'rna-gill'!$A:$A,0)))</f>
        <v>BRN63G-G7</v>
      </c>
      <c r="E230" t="str">
        <f t="array" ref="E230">iferror(index('rna-gill'!$L:$L,match($A230,'rna-gill'!$A:$A,0)))</f>
        <v>N</v>
      </c>
      <c r="F230" t="str">
        <f t="array" ref="F230">iferror(index(fatty_acid!$G:$G,match($A230,fatty_acid!$A:$A,0)))</f>
        <v>BFA23-59</v>
      </c>
      <c r="G230" t="str">
        <f t="array" ref="G230">iferror(index(fatty_acid!$J:$J,match($A230,fatty_acid!$A:$A,0)))</f>
        <v>N</v>
      </c>
      <c r="H230" t="str">
        <f t="array" ref="H230">iferror(index(isotopes!$G:$G,match($A230,isotopes!$A:$A,0)))</f>
        <v>BIS25-59</v>
      </c>
      <c r="I230" t="str">
        <f t="array" ref="I230">iferror(index(isotopes!$J:$J,match($A230,isotopes!$A:$A,0)))</f>
        <v>N</v>
      </c>
      <c r="J230" t="str">
        <f t="array" ref="J230">iferror(index(extra_muscle!$G:$G,match($A230,extra_muscle!$A:$A,0)))</f>
        <v>BXM24-59</v>
      </c>
      <c r="K230" t="str">
        <f t="array" ref="K230">iferror(index(extra_muscle!$J:$J,match($A230,extra_muscle!$A:$A,0)))</f>
        <v>N</v>
      </c>
      <c r="L230" s="59" t="str">
        <f t="array" ref="L230">iferror(index(dna!$G:$G,match($A230,dna!$A:$A,0)))</f>
        <v/>
      </c>
      <c r="M230" s="60" t="str">
        <f t="array" ref="M230">iferror(index(dna!$J:$J,match($A230,dna!$A:$A,0)))</f>
        <v/>
      </c>
      <c r="N230" t="str">
        <f t="array" ref="N230">iferror(index(stomachs!$G:$G,match($A230,stomachs!$A:$A,0)))</f>
        <v>BST241-14</v>
      </c>
      <c r="O230" t="str">
        <f t="array" ref="O230">iferror(index(stomachs!$J:$J,match($A230,stomachs!$A:$A,0)))</f>
        <v>N</v>
      </c>
      <c r="P230" t="str">
        <f t="array" ref="P230">iferror(index(sea_lice!$G:$G,match($A230,sea_lice!$A:$A,0)))</f>
        <v/>
      </c>
      <c r="Q230" t="str">
        <f t="array" ref="Q230">iferror(index(sea_lice!$J:$J,match($A230,sea_lice!$A:$A,0)))</f>
        <v/>
      </c>
      <c r="R230" s="40" t="str">
        <f t="array" ref="R230">iferror(index(dissected_fish!$F:$F,match($A230,dissected_fish!$A:$A,0)))</f>
        <v>BCA101</v>
      </c>
      <c r="S230" s="40" t="str">
        <f t="array" ref="S230">iferror(index(dissected_fish!$K:$K,match($A230,dissected_fish!$A:$A,0)))</f>
        <v>N</v>
      </c>
      <c r="T230" s="61" t="str">
        <f t="array" ref="T230">index(fish_lab_data!O:O,match(A230,fish_lab_data!C:C,0))</f>
        <v>KB</v>
      </c>
      <c r="U230" s="61">
        <f t="array" ref="U230">if(A230="","",index(fish_lab_data!X:X,match(A230,fish_lab_data!C:C,0)))</f>
        <v>229</v>
      </c>
    </row>
    <row r="231">
      <c r="A231" t="str">
        <f>fish_lab_data!C231</f>
        <v>U5376</v>
      </c>
      <c r="B231" t="str">
        <f t="array" ref="B231">iferror(index('rna-muscle'!$I:$I,match($A231,'rna-muscle'!$A:$A,0)))</f>
        <v>BRN63M-F7</v>
      </c>
      <c r="C231" t="str">
        <f t="array" ref="C231">iferror(index('rna-muscle'!$L:$L,match($A231,'rna-muscle'!$A:$A,0)))</f>
        <v>N</v>
      </c>
      <c r="D231" t="str">
        <f t="array" ref="D231">iferror(index('rna-gill'!$I:$I,match($A231,'rna-gill'!$A:$A,0)))</f>
        <v>BRN63G-F7</v>
      </c>
      <c r="E231" t="str">
        <f t="array" ref="E231">iferror(index('rna-gill'!$L:$L,match($A231,'rna-gill'!$A:$A,0)))</f>
        <v>N</v>
      </c>
      <c r="F231" t="str">
        <f t="array" ref="F231">iferror(index(fatty_acid!$G:$G,match($A231,fatty_acid!$A:$A,0)))</f>
        <v>BFA23-60</v>
      </c>
      <c r="G231" t="str">
        <f t="array" ref="G231">iferror(index(fatty_acid!$J:$J,match($A231,fatty_acid!$A:$A,0)))</f>
        <v>N</v>
      </c>
      <c r="H231" t="str">
        <f t="array" ref="H231">iferror(index(isotopes!$G:$G,match($A231,isotopes!$A:$A,0)))</f>
        <v>BIS25-60</v>
      </c>
      <c r="I231" t="str">
        <f t="array" ref="I231">iferror(index(isotopes!$J:$J,match($A231,isotopes!$A:$A,0)))</f>
        <v>N</v>
      </c>
      <c r="J231" t="str">
        <f t="array" ref="J231">iferror(index(extra_muscle!$G:$G,match($A231,extra_muscle!$A:$A,0)))</f>
        <v>BXM24-60</v>
      </c>
      <c r="K231" t="str">
        <f t="array" ref="K231">iferror(index(extra_muscle!$J:$J,match($A231,extra_muscle!$A:$A,0)))</f>
        <v>N</v>
      </c>
      <c r="L231" s="59" t="str">
        <f t="array" ref="L231">iferror(index(dna!$G:$G,match($A231,dna!$A:$A,0)))</f>
        <v/>
      </c>
      <c r="M231" s="60" t="str">
        <f t="array" ref="M231">iferror(index(dna!$J:$J,match($A231,dna!$A:$A,0)))</f>
        <v/>
      </c>
      <c r="N231" t="str">
        <f t="array" ref="N231">iferror(index(stomachs!$G:$G,match($A231,stomachs!$A:$A,0)))</f>
        <v>BST241-15</v>
      </c>
      <c r="O231" t="str">
        <f t="array" ref="O231">iferror(index(stomachs!$J:$J,match($A231,stomachs!$A:$A,0)))</f>
        <v>N</v>
      </c>
      <c r="P231" t="str">
        <f t="array" ref="P231">iferror(index(sea_lice!$G:$G,match($A231,sea_lice!$A:$A,0)))</f>
        <v/>
      </c>
      <c r="Q231" t="str">
        <f t="array" ref="Q231">iferror(index(sea_lice!$J:$J,match($A231,sea_lice!$A:$A,0)))</f>
        <v/>
      </c>
      <c r="R231" s="40" t="str">
        <f t="array" ref="R231">iferror(index(dissected_fish!$F:$F,match($A231,dissected_fish!$A:$A,0)))</f>
        <v>BCA101</v>
      </c>
      <c r="S231" s="40" t="str">
        <f t="array" ref="S231">iferror(index(dissected_fish!$K:$K,match($A231,dissected_fish!$A:$A,0)))</f>
        <v>N</v>
      </c>
      <c r="T231" s="61" t="str">
        <f t="array" ref="T231">index(fish_lab_data!O:O,match(A231,fish_lab_data!C:C,0))</f>
        <v>KB</v>
      </c>
      <c r="U231" s="61">
        <f t="array" ref="U231">if(A231="","",index(fish_lab_data!X:X,match(A231,fish_lab_data!C:C,0)))</f>
        <v>230</v>
      </c>
    </row>
    <row r="232">
      <c r="A232" t="str">
        <f>fish_lab_data!C232</f>
        <v>U5377</v>
      </c>
      <c r="B232" t="str">
        <f t="array" ref="B232">iferror(index('rna-muscle'!$I:$I,match($A232,'rna-muscle'!$A:$A,0)))</f>
        <v>BRN63M-E7</v>
      </c>
      <c r="C232" t="str">
        <f t="array" ref="C232">iferror(index('rna-muscle'!$L:$L,match($A232,'rna-muscle'!$A:$A,0)))</f>
        <v>N</v>
      </c>
      <c r="D232" t="str">
        <f t="array" ref="D232">iferror(index('rna-gill'!$I:$I,match($A232,'rna-gill'!$A:$A,0)))</f>
        <v>BRN63G-E7</v>
      </c>
      <c r="E232" t="str">
        <f t="array" ref="E232">iferror(index('rna-gill'!$L:$L,match($A232,'rna-gill'!$A:$A,0)))</f>
        <v>N</v>
      </c>
      <c r="F232" t="str">
        <f t="array" ref="F232">iferror(index(fatty_acid!$G:$G,match($A232,fatty_acid!$A:$A,0)))</f>
        <v>BFA23-61</v>
      </c>
      <c r="G232" t="str">
        <f t="array" ref="G232">iferror(index(fatty_acid!$J:$J,match($A232,fatty_acid!$A:$A,0)))</f>
        <v>N</v>
      </c>
      <c r="H232" t="str">
        <f t="array" ref="H232">iferror(index(isotopes!$G:$G,match($A232,isotopes!$A:$A,0)))</f>
        <v>BIS25-61</v>
      </c>
      <c r="I232" t="str">
        <f t="array" ref="I232">iferror(index(isotopes!$J:$J,match($A232,isotopes!$A:$A,0)))</f>
        <v>N</v>
      </c>
      <c r="J232" t="str">
        <f t="array" ref="J232">iferror(index(extra_muscle!$G:$G,match($A232,extra_muscle!$A:$A,0)))</f>
        <v>BXM24-61</v>
      </c>
      <c r="K232" t="str">
        <f t="array" ref="K232">iferror(index(extra_muscle!$J:$J,match($A232,extra_muscle!$A:$A,0)))</f>
        <v>N</v>
      </c>
      <c r="L232" s="59" t="str">
        <f t="array" ref="L232">iferror(index(dna!$G:$G,match($A232,dna!$A:$A,0)))</f>
        <v/>
      </c>
      <c r="M232" s="60" t="str">
        <f t="array" ref="M232">iferror(index(dna!$J:$J,match($A232,dna!$A:$A,0)))</f>
        <v/>
      </c>
      <c r="N232" t="str">
        <f t="array" ref="N232">iferror(index(stomachs!$G:$G,match($A232,stomachs!$A:$A,0)))</f>
        <v>BST241-16</v>
      </c>
      <c r="O232" t="str">
        <f t="array" ref="O232">iferror(index(stomachs!$J:$J,match($A232,stomachs!$A:$A,0)))</f>
        <v>N</v>
      </c>
      <c r="P232" t="str">
        <f t="array" ref="P232">iferror(index(sea_lice!$G:$G,match($A232,sea_lice!$A:$A,0)))</f>
        <v/>
      </c>
      <c r="Q232" t="str">
        <f t="array" ref="Q232">iferror(index(sea_lice!$J:$J,match($A232,sea_lice!$A:$A,0)))</f>
        <v/>
      </c>
      <c r="R232" s="40" t="str">
        <f t="array" ref="R232">iferror(index(dissected_fish!$F:$F,match($A232,dissected_fish!$A:$A,0)))</f>
        <v>BCA101</v>
      </c>
      <c r="S232" s="40" t="str">
        <f t="array" ref="S232">iferror(index(dissected_fish!$K:$K,match($A232,dissected_fish!$A:$A,0)))</f>
        <v>N</v>
      </c>
      <c r="T232" s="61" t="str">
        <f t="array" ref="T232">index(fish_lab_data!O:O,match(A232,fish_lab_data!C:C,0))</f>
        <v>KB</v>
      </c>
      <c r="U232" s="61">
        <f t="array" ref="U232">if(A232="","",index(fish_lab_data!X:X,match(A232,fish_lab_data!C:C,0)))</f>
        <v>231</v>
      </c>
    </row>
    <row r="233">
      <c r="A233" t="str">
        <f>fish_lab_data!C233</f>
        <v>U5378</v>
      </c>
      <c r="B233" t="str">
        <f t="array" ref="B233">iferror(index('rna-muscle'!$I:$I,match($A233,'rna-muscle'!$A:$A,0)))</f>
        <v>BRN63M-D7</v>
      </c>
      <c r="C233" t="str">
        <f t="array" ref="C233">iferror(index('rna-muscle'!$L:$L,match($A233,'rna-muscle'!$A:$A,0)))</f>
        <v>N</v>
      </c>
      <c r="D233" t="str">
        <f t="array" ref="D233">iferror(index('rna-gill'!$I:$I,match($A233,'rna-gill'!$A:$A,0)))</f>
        <v>BRN63G-D7</v>
      </c>
      <c r="E233" t="str">
        <f t="array" ref="E233">iferror(index('rna-gill'!$L:$L,match($A233,'rna-gill'!$A:$A,0)))</f>
        <v>N</v>
      </c>
      <c r="F233" t="str">
        <f t="array" ref="F233">iferror(index(fatty_acid!$G:$G,match($A233,fatty_acid!$A:$A,0)))</f>
        <v>BFA23-62</v>
      </c>
      <c r="G233" t="str">
        <f t="array" ref="G233">iferror(index(fatty_acid!$J:$J,match($A233,fatty_acid!$A:$A,0)))</f>
        <v>N</v>
      </c>
      <c r="H233" t="str">
        <f t="array" ref="H233">iferror(index(isotopes!$G:$G,match($A233,isotopes!$A:$A,0)))</f>
        <v>BIS25-62</v>
      </c>
      <c r="I233" t="str">
        <f t="array" ref="I233">iferror(index(isotopes!$J:$J,match($A233,isotopes!$A:$A,0)))</f>
        <v>N</v>
      </c>
      <c r="J233" t="str">
        <f t="array" ref="J233">iferror(index(extra_muscle!$G:$G,match($A233,extra_muscle!$A:$A,0)))</f>
        <v>BXM24-62</v>
      </c>
      <c r="K233" t="str">
        <f t="array" ref="K233">iferror(index(extra_muscle!$J:$J,match($A233,extra_muscle!$A:$A,0)))</f>
        <v>N</v>
      </c>
      <c r="L233" s="59" t="str">
        <f t="array" ref="L233">iferror(index(dna!$G:$G,match($A233,dna!$A:$A,0)))</f>
        <v/>
      </c>
      <c r="M233" s="60" t="str">
        <f t="array" ref="M233">iferror(index(dna!$J:$J,match($A233,dna!$A:$A,0)))</f>
        <v/>
      </c>
      <c r="N233" t="str">
        <f t="array" ref="N233">iferror(index(stomachs!$G:$G,match($A233,stomachs!$A:$A,0)))</f>
        <v>BST241-17</v>
      </c>
      <c r="O233" t="str">
        <f t="array" ref="O233">iferror(index(stomachs!$J:$J,match($A233,stomachs!$A:$A,0)))</f>
        <v>N</v>
      </c>
      <c r="P233" t="str">
        <f t="array" ref="P233">iferror(index(sea_lice!$G:$G,match($A233,sea_lice!$A:$A,0)))</f>
        <v/>
      </c>
      <c r="Q233" t="str">
        <f t="array" ref="Q233">iferror(index(sea_lice!$J:$J,match($A233,sea_lice!$A:$A,0)))</f>
        <v/>
      </c>
      <c r="R233" s="40" t="str">
        <f t="array" ref="R233">iferror(index(dissected_fish!$F:$F,match($A233,dissected_fish!$A:$A,0)))</f>
        <v>BCA101</v>
      </c>
      <c r="S233" s="40" t="str">
        <f t="array" ref="S233">iferror(index(dissected_fish!$K:$K,match($A233,dissected_fish!$A:$A,0)))</f>
        <v>N</v>
      </c>
      <c r="T233" s="61" t="str">
        <f t="array" ref="T233">index(fish_lab_data!O:O,match(A233,fish_lab_data!C:C,0))</f>
        <v>KB</v>
      </c>
      <c r="U233" s="61">
        <f t="array" ref="U233">if(A233="","",index(fish_lab_data!X:X,match(A233,fish_lab_data!C:C,0)))</f>
        <v>232</v>
      </c>
    </row>
    <row r="234">
      <c r="A234" t="str">
        <f>fish_lab_data!C234</f>
        <v>U5379</v>
      </c>
      <c r="B234" t="str">
        <f t="array" ref="B234">iferror(index('rna-muscle'!$I:$I,match($A234,'rna-muscle'!$A:$A,0)))</f>
        <v>BRN63M-C7</v>
      </c>
      <c r="C234" t="str">
        <f t="array" ref="C234">iferror(index('rna-muscle'!$L:$L,match($A234,'rna-muscle'!$A:$A,0)))</f>
        <v>N</v>
      </c>
      <c r="D234" t="str">
        <f t="array" ref="D234">iferror(index('rna-gill'!$I:$I,match($A234,'rna-gill'!$A:$A,0)))</f>
        <v>BRN63G-C7</v>
      </c>
      <c r="E234" t="str">
        <f t="array" ref="E234">iferror(index('rna-gill'!$L:$L,match($A234,'rna-gill'!$A:$A,0)))</f>
        <v>N</v>
      </c>
      <c r="F234" t="str">
        <f t="array" ref="F234">iferror(index(fatty_acid!$G:$G,match($A234,fatty_acid!$A:$A,0)))</f>
        <v>BFA23-63</v>
      </c>
      <c r="G234" t="str">
        <f t="array" ref="G234">iferror(index(fatty_acid!$J:$J,match($A234,fatty_acid!$A:$A,0)))</f>
        <v>N</v>
      </c>
      <c r="H234" t="str">
        <f t="array" ref="H234">iferror(index(isotopes!$G:$G,match($A234,isotopes!$A:$A,0)))</f>
        <v>BIS25-63</v>
      </c>
      <c r="I234" t="str">
        <f t="array" ref="I234">iferror(index(isotopes!$J:$J,match($A234,isotopes!$A:$A,0)))</f>
        <v>N</v>
      </c>
      <c r="J234" t="str">
        <f t="array" ref="J234">iferror(index(extra_muscle!$G:$G,match($A234,extra_muscle!$A:$A,0)))</f>
        <v>BXM24-63</v>
      </c>
      <c r="K234" t="str">
        <f t="array" ref="K234">iferror(index(extra_muscle!$J:$J,match($A234,extra_muscle!$A:$A,0)))</f>
        <v>N</v>
      </c>
      <c r="L234" s="59" t="str">
        <f t="array" ref="L234">iferror(index(dna!$G:$G,match($A234,dna!$A:$A,0)))</f>
        <v/>
      </c>
      <c r="M234" s="60" t="str">
        <f t="array" ref="M234">iferror(index(dna!$J:$J,match($A234,dna!$A:$A,0)))</f>
        <v/>
      </c>
      <c r="N234" t="str">
        <f t="array" ref="N234">iferror(index(stomachs!$G:$G,match($A234,stomachs!$A:$A,0)))</f>
        <v>BST241-18</v>
      </c>
      <c r="O234" t="str">
        <f t="array" ref="O234">iferror(index(stomachs!$J:$J,match($A234,stomachs!$A:$A,0)))</f>
        <v>N</v>
      </c>
      <c r="P234" t="str">
        <f t="array" ref="P234">iferror(index(sea_lice!$G:$G,match($A234,sea_lice!$A:$A,0)))</f>
        <v/>
      </c>
      <c r="Q234" t="str">
        <f t="array" ref="Q234">iferror(index(sea_lice!$J:$J,match($A234,sea_lice!$A:$A,0)))</f>
        <v/>
      </c>
      <c r="R234" s="40" t="str">
        <f t="array" ref="R234">iferror(index(dissected_fish!$F:$F,match($A234,dissected_fish!$A:$A,0)))</f>
        <v>BCA101</v>
      </c>
      <c r="S234" s="40" t="str">
        <f t="array" ref="S234">iferror(index(dissected_fish!$K:$K,match($A234,dissected_fish!$A:$A,0)))</f>
        <v>N</v>
      </c>
      <c r="T234" s="61" t="str">
        <f t="array" ref="T234">index(fish_lab_data!O:O,match(A234,fish_lab_data!C:C,0))</f>
        <v>KB</v>
      </c>
      <c r="U234" s="61">
        <f t="array" ref="U234">if(A234="","",index(fish_lab_data!X:X,match(A234,fish_lab_data!C:C,0)))</f>
        <v>233</v>
      </c>
    </row>
    <row r="235">
      <c r="A235" t="str">
        <f>fish_lab_data!C235</f>
        <v>U5380</v>
      </c>
      <c r="B235" t="str">
        <f t="array" ref="B235">iferror(index('rna-muscle'!$I:$I,match($A235,'rna-muscle'!$A:$A,0)))</f>
        <v>BRN63M-B7</v>
      </c>
      <c r="C235" t="str">
        <f t="array" ref="C235">iferror(index('rna-muscle'!$L:$L,match($A235,'rna-muscle'!$A:$A,0)))</f>
        <v>N</v>
      </c>
      <c r="D235" t="str">
        <f t="array" ref="D235">iferror(index('rna-gill'!$I:$I,match($A235,'rna-gill'!$A:$A,0)))</f>
        <v>BRN63G-B7</v>
      </c>
      <c r="E235" t="str">
        <f t="array" ref="E235">iferror(index('rna-gill'!$L:$L,match($A235,'rna-gill'!$A:$A,0)))</f>
        <v>N</v>
      </c>
      <c r="F235" t="str">
        <f t="array" ref="F235">iferror(index(fatty_acid!$G:$G,match($A235,fatty_acid!$A:$A,0)))</f>
        <v>BFA23-64</v>
      </c>
      <c r="G235" t="str">
        <f t="array" ref="G235">iferror(index(fatty_acid!$J:$J,match($A235,fatty_acid!$A:$A,0)))</f>
        <v>N</v>
      </c>
      <c r="H235" t="str">
        <f t="array" ref="H235">iferror(index(isotopes!$G:$G,match($A235,isotopes!$A:$A,0)))</f>
        <v>BIS25-64</v>
      </c>
      <c r="I235" t="str">
        <f t="array" ref="I235">iferror(index(isotopes!$J:$J,match($A235,isotopes!$A:$A,0)))</f>
        <v>N</v>
      </c>
      <c r="J235" t="str">
        <f t="array" ref="J235">iferror(index(extra_muscle!$G:$G,match($A235,extra_muscle!$A:$A,0)))</f>
        <v>BXM24-64</v>
      </c>
      <c r="K235" t="str">
        <f t="array" ref="K235">iferror(index(extra_muscle!$J:$J,match($A235,extra_muscle!$A:$A,0)))</f>
        <v>N</v>
      </c>
      <c r="L235" s="59" t="str">
        <f t="array" ref="L235">iferror(index(dna!$G:$G,match($A235,dna!$A:$A,0)))</f>
        <v/>
      </c>
      <c r="M235" s="60" t="str">
        <f t="array" ref="M235">iferror(index(dna!$J:$J,match($A235,dna!$A:$A,0)))</f>
        <v/>
      </c>
      <c r="N235" t="str">
        <f t="array" ref="N235">iferror(index(stomachs!$G:$G,match($A235,stomachs!$A:$A,0)))</f>
        <v>BST241-19</v>
      </c>
      <c r="O235" t="str">
        <f t="array" ref="O235">iferror(index(stomachs!$J:$J,match($A235,stomachs!$A:$A,0)))</f>
        <v>N</v>
      </c>
      <c r="P235" t="str">
        <f t="array" ref="P235">iferror(index(sea_lice!$G:$G,match($A235,sea_lice!$A:$A,0)))</f>
        <v/>
      </c>
      <c r="Q235" t="str">
        <f t="array" ref="Q235">iferror(index(sea_lice!$J:$J,match($A235,sea_lice!$A:$A,0)))</f>
        <v/>
      </c>
      <c r="R235" s="40" t="str">
        <f t="array" ref="R235">iferror(index(dissected_fish!$F:$F,match($A235,dissected_fish!$A:$A,0)))</f>
        <v>BCA101</v>
      </c>
      <c r="S235" s="40" t="str">
        <f t="array" ref="S235">iferror(index(dissected_fish!$K:$K,match($A235,dissected_fish!$A:$A,0)))</f>
        <v>N</v>
      </c>
      <c r="T235" s="61" t="str">
        <f t="array" ref="T235">index(fish_lab_data!O:O,match(A235,fish_lab_data!C:C,0))</f>
        <v>KB</v>
      </c>
      <c r="U235" s="61">
        <f t="array" ref="U235">if(A235="","",index(fish_lab_data!X:X,match(A235,fish_lab_data!C:C,0)))</f>
        <v>234</v>
      </c>
    </row>
    <row r="236">
      <c r="A236" t="str">
        <f>fish_lab_data!C236</f>
        <v>U5381</v>
      </c>
      <c r="B236" t="str">
        <f t="array" ref="B236">iferror(index('rna-muscle'!$I:$I,match($A236,'rna-muscle'!$A:$A,0)))</f>
        <v>BRN63M-A7</v>
      </c>
      <c r="C236" t="str">
        <f t="array" ref="C236">iferror(index('rna-muscle'!$L:$L,match($A236,'rna-muscle'!$A:$A,0)))</f>
        <v>N</v>
      </c>
      <c r="D236" t="str">
        <f t="array" ref="D236">iferror(index('rna-gill'!$I:$I,match($A236,'rna-gill'!$A:$A,0)))</f>
        <v>BRN63G-A7</v>
      </c>
      <c r="E236" t="str">
        <f t="array" ref="E236">iferror(index('rna-gill'!$L:$L,match($A236,'rna-gill'!$A:$A,0)))</f>
        <v>N</v>
      </c>
      <c r="F236" t="str">
        <f t="array" ref="F236">iferror(index(fatty_acid!$G:$G,match($A236,fatty_acid!$A:$A,0)))</f>
        <v>BFA23-65</v>
      </c>
      <c r="G236" t="str">
        <f t="array" ref="G236">iferror(index(fatty_acid!$J:$J,match($A236,fatty_acid!$A:$A,0)))</f>
        <v>N</v>
      </c>
      <c r="H236" t="str">
        <f t="array" ref="H236">iferror(index(isotopes!$G:$G,match($A236,isotopes!$A:$A,0)))</f>
        <v>BIS25-65</v>
      </c>
      <c r="I236" t="str">
        <f t="array" ref="I236">iferror(index(isotopes!$J:$J,match($A236,isotopes!$A:$A,0)))</f>
        <v>N</v>
      </c>
      <c r="J236" t="str">
        <f t="array" ref="J236">iferror(index(extra_muscle!$G:$G,match($A236,extra_muscle!$A:$A,0)))</f>
        <v>BXM24-65</v>
      </c>
      <c r="K236" t="str">
        <f t="array" ref="K236">iferror(index(extra_muscle!$J:$J,match($A236,extra_muscle!$A:$A,0)))</f>
        <v>N</v>
      </c>
      <c r="L236" s="59" t="str">
        <f t="array" ref="L236">iferror(index(dna!$G:$G,match($A236,dna!$A:$A,0)))</f>
        <v/>
      </c>
      <c r="M236" s="60" t="str">
        <f t="array" ref="M236">iferror(index(dna!$J:$J,match($A236,dna!$A:$A,0)))</f>
        <v/>
      </c>
      <c r="N236" t="str">
        <f t="array" ref="N236">iferror(index(stomachs!$G:$G,match($A236,stomachs!$A:$A,0)))</f>
        <v>BST241-20</v>
      </c>
      <c r="O236" t="str">
        <f t="array" ref="O236">iferror(index(stomachs!$J:$J,match($A236,stomachs!$A:$A,0)))</f>
        <v>N</v>
      </c>
      <c r="P236" t="str">
        <f t="array" ref="P236">iferror(index(sea_lice!$G:$G,match($A236,sea_lice!$A:$A,0)))</f>
        <v/>
      </c>
      <c r="Q236" t="str">
        <f t="array" ref="Q236">iferror(index(sea_lice!$J:$J,match($A236,sea_lice!$A:$A,0)))</f>
        <v/>
      </c>
      <c r="R236" s="40" t="str">
        <f t="array" ref="R236">iferror(index(dissected_fish!$F:$F,match($A236,dissected_fish!$A:$A,0)))</f>
        <v>BCA101</v>
      </c>
      <c r="S236" s="40" t="str">
        <f t="array" ref="S236">iferror(index(dissected_fish!$K:$K,match($A236,dissected_fish!$A:$A,0)))</f>
        <v>N</v>
      </c>
      <c r="T236" s="61" t="str">
        <f t="array" ref="T236">index(fish_lab_data!O:O,match(A236,fish_lab_data!C:C,0))</f>
        <v>KB</v>
      </c>
      <c r="U236" s="61">
        <f t="array" ref="U236">if(A236="","",index(fish_lab_data!X:X,match(A236,fish_lab_data!C:C,0)))</f>
        <v>235</v>
      </c>
    </row>
    <row r="237">
      <c r="A237" t="str">
        <f>fish_lab_data!C237</f>
        <v>U5382</v>
      </c>
      <c r="B237" t="str">
        <f t="array" ref="B237">iferror(index('rna-muscle'!$I:$I,match($A237,'rna-muscle'!$A:$A,0)))</f>
        <v>BRN63M-H9</v>
      </c>
      <c r="C237" t="str">
        <f t="array" ref="C237">iferror(index('rna-muscle'!$L:$L,match($A237,'rna-muscle'!$A:$A,0)))</f>
        <v>N</v>
      </c>
      <c r="D237" t="str">
        <f t="array" ref="D237">iferror(index('rna-gill'!$I:$I,match($A237,'rna-gill'!$A:$A,0)))</f>
        <v>BRN63G-H9</v>
      </c>
      <c r="E237" t="str">
        <f t="array" ref="E237">iferror(index('rna-gill'!$L:$L,match($A237,'rna-gill'!$A:$A,0)))</f>
        <v>N</v>
      </c>
      <c r="F237" t="str">
        <f t="array" ref="F237">iferror(index(fatty_acid!$G:$G,match($A237,fatty_acid!$A:$A,0)))</f>
        <v>BFA23-66</v>
      </c>
      <c r="G237" t="str">
        <f t="array" ref="G237">iferror(index(fatty_acid!$J:$J,match($A237,fatty_acid!$A:$A,0)))</f>
        <v>N</v>
      </c>
      <c r="H237" t="str">
        <f t="array" ref="H237">iferror(index(isotopes!$G:$G,match($A237,isotopes!$A:$A,0)))</f>
        <v>BIS25-66</v>
      </c>
      <c r="I237" t="str">
        <f t="array" ref="I237">iferror(index(isotopes!$J:$J,match($A237,isotopes!$A:$A,0)))</f>
        <v>N</v>
      </c>
      <c r="J237" t="str">
        <f t="array" ref="J237">iferror(index(extra_muscle!$G:$G,match($A237,extra_muscle!$A:$A,0)))</f>
        <v>BXM24-66</v>
      </c>
      <c r="K237" t="str">
        <f t="array" ref="K237">iferror(index(extra_muscle!$J:$J,match($A237,extra_muscle!$A:$A,0)))</f>
        <v>N</v>
      </c>
      <c r="L237" s="59" t="str">
        <f t="array" ref="L237">iferror(index(dna!$G:$G,match($A237,dna!$A:$A,0)))</f>
        <v/>
      </c>
      <c r="M237" s="60" t="str">
        <f t="array" ref="M237">iferror(index(dna!$J:$J,match($A237,dna!$A:$A,0)))</f>
        <v/>
      </c>
      <c r="N237" t="str">
        <f t="array" ref="N237">iferror(index(stomachs!$G:$G,match($A237,stomachs!$A:$A,0)))</f>
        <v>BST241-21</v>
      </c>
      <c r="O237" t="str">
        <f t="array" ref="O237">iferror(index(stomachs!$J:$J,match($A237,stomachs!$A:$A,0)))</f>
        <v>N</v>
      </c>
      <c r="P237" t="str">
        <f t="array" ref="P237">iferror(index(sea_lice!$G:$G,match($A237,sea_lice!$A:$A,0)))</f>
        <v/>
      </c>
      <c r="Q237" t="str">
        <f t="array" ref="Q237">iferror(index(sea_lice!$J:$J,match($A237,sea_lice!$A:$A,0)))</f>
        <v/>
      </c>
      <c r="R237" s="40" t="str">
        <f t="array" ref="R237">iferror(index(dissected_fish!$F:$F,match($A237,dissected_fish!$A:$A,0)))</f>
        <v>BCA101</v>
      </c>
      <c r="S237" s="40" t="str">
        <f t="array" ref="S237">iferror(index(dissected_fish!$K:$K,match($A237,dissected_fish!$A:$A,0)))</f>
        <v>N</v>
      </c>
      <c r="T237" s="61" t="str">
        <f t="array" ref="T237">index(fish_lab_data!O:O,match(A237,fish_lab_data!C:C,0))</f>
        <v>KB</v>
      </c>
      <c r="U237" s="61">
        <f t="array" ref="U237">if(A237="","",index(fish_lab_data!X:X,match(A237,fish_lab_data!C:C,0)))</f>
        <v>236</v>
      </c>
    </row>
    <row r="238">
      <c r="A238" t="str">
        <f>fish_lab_data!C238</f>
        <v>U5383</v>
      </c>
      <c r="B238" t="str">
        <f t="array" ref="B238">iferror(index('rna-muscle'!$I:$I,match($A238,'rna-muscle'!$A:$A,0)))</f>
        <v>BRN63M-G9</v>
      </c>
      <c r="C238" t="str">
        <f t="array" ref="C238">iferror(index('rna-muscle'!$L:$L,match($A238,'rna-muscle'!$A:$A,0)))</f>
        <v>N</v>
      </c>
      <c r="D238" t="str">
        <f t="array" ref="D238">iferror(index('rna-gill'!$I:$I,match($A238,'rna-gill'!$A:$A,0)))</f>
        <v>BRN63G-G9</v>
      </c>
      <c r="E238" t="str">
        <f t="array" ref="E238">iferror(index('rna-gill'!$L:$L,match($A238,'rna-gill'!$A:$A,0)))</f>
        <v>N</v>
      </c>
      <c r="F238" t="str">
        <f t="array" ref="F238">iferror(index(fatty_acid!$G:$G,match($A238,fatty_acid!$A:$A,0)))</f>
        <v>BFA23-67</v>
      </c>
      <c r="G238" t="str">
        <f t="array" ref="G238">iferror(index(fatty_acid!$J:$J,match($A238,fatty_acid!$A:$A,0)))</f>
        <v>N</v>
      </c>
      <c r="H238" t="str">
        <f t="array" ref="H238">iferror(index(isotopes!$G:$G,match($A238,isotopes!$A:$A,0)))</f>
        <v>BIS25-67</v>
      </c>
      <c r="I238" t="str">
        <f t="array" ref="I238">iferror(index(isotopes!$J:$J,match($A238,isotopes!$A:$A,0)))</f>
        <v>N</v>
      </c>
      <c r="J238" t="str">
        <f t="array" ref="J238">iferror(index(extra_muscle!$G:$G,match($A238,extra_muscle!$A:$A,0)))</f>
        <v>BXM24-67</v>
      </c>
      <c r="K238" t="str">
        <f t="array" ref="K238">iferror(index(extra_muscle!$J:$J,match($A238,extra_muscle!$A:$A,0)))</f>
        <v>N</v>
      </c>
      <c r="L238" s="59" t="str">
        <f t="array" ref="L238">iferror(index(dna!$G:$G,match($A238,dna!$A:$A,0)))</f>
        <v/>
      </c>
      <c r="M238" s="60" t="str">
        <f t="array" ref="M238">iferror(index(dna!$J:$J,match($A238,dna!$A:$A,0)))</f>
        <v/>
      </c>
      <c r="N238" t="str">
        <f t="array" ref="N238">iferror(index(stomachs!$G:$G,match($A238,stomachs!$A:$A,0)))</f>
        <v>BST241-22</v>
      </c>
      <c r="O238" t="str">
        <f t="array" ref="O238">iferror(index(stomachs!$J:$J,match($A238,stomachs!$A:$A,0)))</f>
        <v>N</v>
      </c>
      <c r="P238" t="str">
        <f t="array" ref="P238">iferror(index(sea_lice!$G:$G,match($A238,sea_lice!$A:$A,0)))</f>
        <v/>
      </c>
      <c r="Q238" t="str">
        <f t="array" ref="Q238">iferror(index(sea_lice!$J:$J,match($A238,sea_lice!$A:$A,0)))</f>
        <v/>
      </c>
      <c r="R238" s="40" t="str">
        <f t="array" ref="R238">iferror(index(dissected_fish!$F:$F,match($A238,dissected_fish!$A:$A,0)))</f>
        <v>BCA101</v>
      </c>
      <c r="S238" s="40" t="str">
        <f t="array" ref="S238">iferror(index(dissected_fish!$K:$K,match($A238,dissected_fish!$A:$A,0)))</f>
        <v>N</v>
      </c>
      <c r="T238" s="61" t="str">
        <f t="array" ref="T238">index(fish_lab_data!O:O,match(A238,fish_lab_data!C:C,0))</f>
        <v>KB</v>
      </c>
      <c r="U238" s="61">
        <f t="array" ref="U238">if(A238="","",index(fish_lab_data!X:X,match(A238,fish_lab_data!C:C,0)))</f>
        <v>237</v>
      </c>
    </row>
    <row r="239">
      <c r="A239" t="str">
        <f>fish_lab_data!C239</f>
        <v>U5384</v>
      </c>
      <c r="B239" t="str">
        <f t="array" ref="B239">iferror(index('rna-muscle'!$I:$I,match($A239,'rna-muscle'!$A:$A,0)))</f>
        <v>BRN63M-F9</v>
      </c>
      <c r="C239" t="str">
        <f t="array" ref="C239">iferror(index('rna-muscle'!$L:$L,match($A239,'rna-muscle'!$A:$A,0)))</f>
        <v>N</v>
      </c>
      <c r="D239" t="str">
        <f t="array" ref="D239">iferror(index('rna-gill'!$I:$I,match($A239,'rna-gill'!$A:$A,0)))</f>
        <v>BRN63G-F9</v>
      </c>
      <c r="E239" t="str">
        <f t="array" ref="E239">iferror(index('rna-gill'!$L:$L,match($A239,'rna-gill'!$A:$A,0)))</f>
        <v>N</v>
      </c>
      <c r="F239" t="str">
        <f t="array" ref="F239">iferror(index(fatty_acid!$G:$G,match($A239,fatty_acid!$A:$A,0)))</f>
        <v>BFA23-68</v>
      </c>
      <c r="G239" t="str">
        <f t="array" ref="G239">iferror(index(fatty_acid!$J:$J,match($A239,fatty_acid!$A:$A,0)))</f>
        <v>N</v>
      </c>
      <c r="H239" t="str">
        <f t="array" ref="H239">iferror(index(isotopes!$G:$G,match($A239,isotopes!$A:$A,0)))</f>
        <v>BIS25-68</v>
      </c>
      <c r="I239" t="str">
        <f t="array" ref="I239">iferror(index(isotopes!$J:$J,match($A239,isotopes!$A:$A,0)))</f>
        <v>N</v>
      </c>
      <c r="J239" t="str">
        <f t="array" ref="J239">iferror(index(extra_muscle!$G:$G,match($A239,extra_muscle!$A:$A,0)))</f>
        <v>BXM24-68</v>
      </c>
      <c r="K239" t="str">
        <f t="array" ref="K239">iferror(index(extra_muscle!$J:$J,match($A239,extra_muscle!$A:$A,0)))</f>
        <v>N</v>
      </c>
      <c r="L239" s="59" t="str">
        <f t="array" ref="L239">iferror(index(dna!$G:$G,match($A239,dna!$A:$A,0)))</f>
        <v/>
      </c>
      <c r="M239" s="60" t="str">
        <f t="array" ref="M239">iferror(index(dna!$J:$J,match($A239,dna!$A:$A,0)))</f>
        <v/>
      </c>
      <c r="N239" t="str">
        <f t="array" ref="N239">iferror(index(stomachs!$G:$G,match($A239,stomachs!$A:$A,0)))</f>
        <v>BST241-23</v>
      </c>
      <c r="O239" t="str">
        <f t="array" ref="O239">iferror(index(stomachs!$J:$J,match($A239,stomachs!$A:$A,0)))</f>
        <v>N</v>
      </c>
      <c r="P239" t="str">
        <f t="array" ref="P239">iferror(index(sea_lice!$G:$G,match($A239,sea_lice!$A:$A,0)))</f>
        <v/>
      </c>
      <c r="Q239" t="str">
        <f t="array" ref="Q239">iferror(index(sea_lice!$J:$J,match($A239,sea_lice!$A:$A,0)))</f>
        <v/>
      </c>
      <c r="R239" s="40" t="str">
        <f t="array" ref="R239">iferror(index(dissected_fish!$F:$F,match($A239,dissected_fish!$A:$A,0)))</f>
        <v>BCA101</v>
      </c>
      <c r="S239" s="40" t="str">
        <f t="array" ref="S239">iferror(index(dissected_fish!$K:$K,match($A239,dissected_fish!$A:$A,0)))</f>
        <v>N</v>
      </c>
      <c r="T239" s="61" t="str">
        <f t="array" ref="T239">index(fish_lab_data!O:O,match(A239,fish_lab_data!C:C,0))</f>
        <v>KB</v>
      </c>
      <c r="U239" s="61">
        <f t="array" ref="U239">if(A239="","",index(fish_lab_data!X:X,match(A239,fish_lab_data!C:C,0)))</f>
        <v>238</v>
      </c>
    </row>
    <row r="240">
      <c r="A240" t="str">
        <f>fish_lab_data!C240</f>
        <v>U5385</v>
      </c>
      <c r="B240" t="str">
        <f t="array" ref="B240">iferror(index('rna-muscle'!$I:$I,match($A240,'rna-muscle'!$A:$A,0)))</f>
        <v>BRN63M-E9</v>
      </c>
      <c r="C240" t="str">
        <f t="array" ref="C240">iferror(index('rna-muscle'!$L:$L,match($A240,'rna-muscle'!$A:$A,0)))</f>
        <v>N</v>
      </c>
      <c r="D240" t="str">
        <f t="array" ref="D240">iferror(index('rna-gill'!$I:$I,match($A240,'rna-gill'!$A:$A,0)))</f>
        <v>BRN63G-E9</v>
      </c>
      <c r="E240" t="str">
        <f t="array" ref="E240">iferror(index('rna-gill'!$L:$L,match($A240,'rna-gill'!$A:$A,0)))</f>
        <v>N</v>
      </c>
      <c r="F240" t="str">
        <f t="array" ref="F240">iferror(index(fatty_acid!$G:$G,match($A240,fatty_acid!$A:$A,0)))</f>
        <v>BFA23-69</v>
      </c>
      <c r="G240" t="str">
        <f t="array" ref="G240">iferror(index(fatty_acid!$J:$J,match($A240,fatty_acid!$A:$A,0)))</f>
        <v>N</v>
      </c>
      <c r="H240" t="str">
        <f t="array" ref="H240">iferror(index(isotopes!$G:$G,match($A240,isotopes!$A:$A,0)))</f>
        <v>BIS25-69</v>
      </c>
      <c r="I240" t="str">
        <f t="array" ref="I240">iferror(index(isotopes!$J:$J,match($A240,isotopes!$A:$A,0)))</f>
        <v>N</v>
      </c>
      <c r="J240" t="str">
        <f t="array" ref="J240">iferror(index(extra_muscle!$G:$G,match($A240,extra_muscle!$A:$A,0)))</f>
        <v>BXM24-69</v>
      </c>
      <c r="K240" t="str">
        <f t="array" ref="K240">iferror(index(extra_muscle!$J:$J,match($A240,extra_muscle!$A:$A,0)))</f>
        <v>N</v>
      </c>
      <c r="L240" s="59" t="str">
        <f t="array" ref="L240">iferror(index(dna!$G:$G,match($A240,dna!$A:$A,0)))</f>
        <v/>
      </c>
      <c r="M240" s="60" t="str">
        <f t="array" ref="M240">iferror(index(dna!$J:$J,match($A240,dna!$A:$A,0)))</f>
        <v/>
      </c>
      <c r="N240" t="str">
        <f t="array" ref="N240">iferror(index(stomachs!$G:$G,match($A240,stomachs!$A:$A,0)))</f>
        <v>BST241-24</v>
      </c>
      <c r="O240" t="str">
        <f t="array" ref="O240">iferror(index(stomachs!$J:$J,match($A240,stomachs!$A:$A,0)))</f>
        <v>N</v>
      </c>
      <c r="P240" t="str">
        <f t="array" ref="P240">iferror(index(sea_lice!$G:$G,match($A240,sea_lice!$A:$A,0)))</f>
        <v/>
      </c>
      <c r="Q240" t="str">
        <f t="array" ref="Q240">iferror(index(sea_lice!$J:$J,match($A240,sea_lice!$A:$A,0)))</f>
        <v/>
      </c>
      <c r="R240" s="40" t="str">
        <f t="array" ref="R240">iferror(index(dissected_fish!$F:$F,match($A240,dissected_fish!$A:$A,0)))</f>
        <v>BCA101</v>
      </c>
      <c r="S240" s="40" t="str">
        <f t="array" ref="S240">iferror(index(dissected_fish!$K:$K,match($A240,dissected_fish!$A:$A,0)))</f>
        <v>N</v>
      </c>
      <c r="T240" s="61" t="str">
        <f t="array" ref="T240">index(fish_lab_data!O:O,match(A240,fish_lab_data!C:C,0))</f>
        <v>KB</v>
      </c>
      <c r="U240" s="61">
        <f t="array" ref="U240">if(A240="","",index(fish_lab_data!X:X,match(A240,fish_lab_data!C:C,0)))</f>
        <v>239</v>
      </c>
    </row>
    <row r="241">
      <c r="A241" t="str">
        <f>fish_lab_data!C241</f>
        <v>U5386</v>
      </c>
      <c r="B241" t="str">
        <f t="array" ref="B241">iferror(index('rna-muscle'!$I:$I,match($A241,'rna-muscle'!$A:$A,0)))</f>
        <v>BRN63M-D9</v>
      </c>
      <c r="C241" t="str">
        <f t="array" ref="C241">iferror(index('rna-muscle'!$L:$L,match($A241,'rna-muscle'!$A:$A,0)))</f>
        <v>N</v>
      </c>
      <c r="D241" t="str">
        <f t="array" ref="D241">iferror(index('rna-gill'!$I:$I,match($A241,'rna-gill'!$A:$A,0)))</f>
        <v>BRN63G-D9</v>
      </c>
      <c r="E241" t="str">
        <f t="array" ref="E241">iferror(index('rna-gill'!$L:$L,match($A241,'rna-gill'!$A:$A,0)))</f>
        <v>N</v>
      </c>
      <c r="F241" t="str">
        <f t="array" ref="F241">iferror(index(fatty_acid!$G:$G,match($A241,fatty_acid!$A:$A,0)))</f>
        <v>BFA23-70</v>
      </c>
      <c r="G241" t="str">
        <f t="array" ref="G241">iferror(index(fatty_acid!$J:$J,match($A241,fatty_acid!$A:$A,0)))</f>
        <v>N</v>
      </c>
      <c r="H241" t="str">
        <f t="array" ref="H241">iferror(index(isotopes!$G:$G,match($A241,isotopes!$A:$A,0)))</f>
        <v>BIS25-70</v>
      </c>
      <c r="I241" t="str">
        <f t="array" ref="I241">iferror(index(isotopes!$J:$J,match($A241,isotopes!$A:$A,0)))</f>
        <v>N</v>
      </c>
      <c r="J241" t="str">
        <f t="array" ref="J241">iferror(index(extra_muscle!$G:$G,match($A241,extra_muscle!$A:$A,0)))</f>
        <v>BXM24-70</v>
      </c>
      <c r="K241" t="str">
        <f t="array" ref="K241">iferror(index(extra_muscle!$J:$J,match($A241,extra_muscle!$A:$A,0)))</f>
        <v>N</v>
      </c>
      <c r="L241" s="59" t="str">
        <f t="array" ref="L241">iferror(index(dna!$G:$G,match($A241,dna!$A:$A,0)))</f>
        <v/>
      </c>
      <c r="M241" s="60" t="str">
        <f t="array" ref="M241">iferror(index(dna!$J:$J,match($A241,dna!$A:$A,0)))</f>
        <v/>
      </c>
      <c r="N241" t="str">
        <f t="array" ref="N241">iferror(index(stomachs!$G:$G,match($A241,stomachs!$A:$A,0)))</f>
        <v>BST241-25</v>
      </c>
      <c r="O241" t="str">
        <f t="array" ref="O241">iferror(index(stomachs!$J:$J,match($A241,stomachs!$A:$A,0)))</f>
        <v>N</v>
      </c>
      <c r="P241" t="str">
        <f t="array" ref="P241">iferror(index(sea_lice!$G:$G,match($A241,sea_lice!$A:$A,0)))</f>
        <v/>
      </c>
      <c r="Q241" t="str">
        <f t="array" ref="Q241">iferror(index(sea_lice!$J:$J,match($A241,sea_lice!$A:$A,0)))</f>
        <v/>
      </c>
      <c r="R241" s="40" t="str">
        <f t="array" ref="R241">iferror(index(dissected_fish!$F:$F,match($A241,dissected_fish!$A:$A,0)))</f>
        <v>BCA101</v>
      </c>
      <c r="S241" s="40" t="str">
        <f t="array" ref="S241">iferror(index(dissected_fish!$K:$K,match($A241,dissected_fish!$A:$A,0)))</f>
        <v>N</v>
      </c>
      <c r="T241" s="61" t="str">
        <f t="array" ref="T241">index(fish_lab_data!O:O,match(A241,fish_lab_data!C:C,0))</f>
        <v>KB</v>
      </c>
      <c r="U241" s="61">
        <f t="array" ref="U241">if(A241="","",index(fish_lab_data!X:X,match(A241,fish_lab_data!C:C,0)))</f>
        <v>240</v>
      </c>
    </row>
    <row r="242">
      <c r="A242" t="str">
        <f>fish_lab_data!C242</f>
        <v>U5387</v>
      </c>
      <c r="B242" t="str">
        <f t="array" ref="B242">iferror(index('rna-muscle'!$I:$I,match($A242,'rna-muscle'!$A:$A,0)))</f>
        <v>BRN63M-C9</v>
      </c>
      <c r="C242" t="str">
        <f t="array" ref="C242">iferror(index('rna-muscle'!$L:$L,match($A242,'rna-muscle'!$A:$A,0)))</f>
        <v>N</v>
      </c>
      <c r="D242" t="str">
        <f t="array" ref="D242">iferror(index('rna-gill'!$I:$I,match($A242,'rna-gill'!$A:$A,0)))</f>
        <v>BRN63G-C9</v>
      </c>
      <c r="E242" t="str">
        <f t="array" ref="E242">iferror(index('rna-gill'!$L:$L,match($A242,'rna-gill'!$A:$A,0)))</f>
        <v>N</v>
      </c>
      <c r="F242" t="str">
        <f t="array" ref="F242">iferror(index(fatty_acid!$G:$G,match($A242,fatty_acid!$A:$A,0)))</f>
        <v>BFA23-71</v>
      </c>
      <c r="G242" t="str">
        <f t="array" ref="G242">iferror(index(fatty_acid!$J:$J,match($A242,fatty_acid!$A:$A,0)))</f>
        <v>N</v>
      </c>
      <c r="H242" t="str">
        <f t="array" ref="H242">iferror(index(isotopes!$G:$G,match($A242,isotopes!$A:$A,0)))</f>
        <v>BIS25-71</v>
      </c>
      <c r="I242" t="str">
        <f t="array" ref="I242">iferror(index(isotopes!$J:$J,match($A242,isotopes!$A:$A,0)))</f>
        <v>N</v>
      </c>
      <c r="J242" t="str">
        <f t="array" ref="J242">iferror(index(extra_muscle!$G:$G,match($A242,extra_muscle!$A:$A,0)))</f>
        <v>BXM24-71</v>
      </c>
      <c r="K242" t="str">
        <f t="array" ref="K242">iferror(index(extra_muscle!$J:$J,match($A242,extra_muscle!$A:$A,0)))</f>
        <v>N</v>
      </c>
      <c r="L242" s="59" t="str">
        <f t="array" ref="L242">iferror(index(dna!$G:$G,match($A242,dna!$A:$A,0)))</f>
        <v/>
      </c>
      <c r="M242" s="60" t="str">
        <f t="array" ref="M242">iferror(index(dna!$J:$J,match($A242,dna!$A:$A,0)))</f>
        <v/>
      </c>
      <c r="N242" t="str">
        <f t="array" ref="N242">iferror(index(stomachs!$G:$G,match($A242,stomachs!$A:$A,0)))</f>
        <v>BST242-1</v>
      </c>
      <c r="O242" t="str">
        <f t="array" ref="O242">iferror(index(stomachs!$J:$J,match($A242,stomachs!$A:$A,0)))</f>
        <v>N</v>
      </c>
      <c r="P242" t="str">
        <f t="array" ref="P242">iferror(index(sea_lice!$G:$G,match($A242,sea_lice!$A:$A,0)))</f>
        <v/>
      </c>
      <c r="Q242" t="str">
        <f t="array" ref="Q242">iferror(index(sea_lice!$J:$J,match($A242,sea_lice!$A:$A,0)))</f>
        <v/>
      </c>
      <c r="R242" s="40" t="str">
        <f t="array" ref="R242">iferror(index(dissected_fish!$F:$F,match($A242,dissected_fish!$A:$A,0)))</f>
        <v>BCA101</v>
      </c>
      <c r="S242" s="40" t="str">
        <f t="array" ref="S242">iferror(index(dissected_fish!$K:$K,match($A242,dissected_fish!$A:$A,0)))</f>
        <v>N</v>
      </c>
      <c r="T242" s="61" t="str">
        <f t="array" ref="T242">index(fish_lab_data!O:O,match(A242,fish_lab_data!C:C,0))</f>
        <v>KB</v>
      </c>
      <c r="U242" s="61">
        <f t="array" ref="U242">if(A242="","",index(fish_lab_data!X:X,match(A242,fish_lab_data!C:C,0)))</f>
        <v>241</v>
      </c>
    </row>
    <row r="243">
      <c r="A243" t="str">
        <f>fish_lab_data!C243</f>
        <v>U5388</v>
      </c>
      <c r="B243" t="str">
        <f t="array" ref="B243">iferror(index('rna-muscle'!$I:$I,match($A243,'rna-muscle'!$A:$A,0)))</f>
        <v>BRN63M-B9</v>
      </c>
      <c r="C243" t="str">
        <f t="array" ref="C243">iferror(index('rna-muscle'!$L:$L,match($A243,'rna-muscle'!$A:$A,0)))</f>
        <v>N</v>
      </c>
      <c r="D243" t="str">
        <f t="array" ref="D243">iferror(index('rna-gill'!$I:$I,match($A243,'rna-gill'!$A:$A,0)))</f>
        <v>BRN63G-B9</v>
      </c>
      <c r="E243" t="str">
        <f t="array" ref="E243">iferror(index('rna-gill'!$L:$L,match($A243,'rna-gill'!$A:$A,0)))</f>
        <v>N</v>
      </c>
      <c r="F243" t="str">
        <f t="array" ref="F243">iferror(index(fatty_acid!$G:$G,match($A243,fatty_acid!$A:$A,0)))</f>
        <v>BFA23-72</v>
      </c>
      <c r="G243" t="str">
        <f t="array" ref="G243">iferror(index(fatty_acid!$J:$J,match($A243,fatty_acid!$A:$A,0)))</f>
        <v>N</v>
      </c>
      <c r="H243" t="str">
        <f t="array" ref="H243">iferror(index(isotopes!$G:$G,match($A243,isotopes!$A:$A,0)))</f>
        <v>BIS25-72</v>
      </c>
      <c r="I243" t="str">
        <f t="array" ref="I243">iferror(index(isotopes!$J:$J,match($A243,isotopes!$A:$A,0)))</f>
        <v>N</v>
      </c>
      <c r="J243" t="str">
        <f t="array" ref="J243">iferror(index(extra_muscle!$G:$G,match($A243,extra_muscle!$A:$A,0)))</f>
        <v>BXM24-72</v>
      </c>
      <c r="K243" t="str">
        <f t="array" ref="K243">iferror(index(extra_muscle!$J:$J,match($A243,extra_muscle!$A:$A,0)))</f>
        <v>N</v>
      </c>
      <c r="L243" s="59" t="str">
        <f t="array" ref="L243">iferror(index(dna!$G:$G,match($A243,dna!$A:$A,0)))</f>
        <v/>
      </c>
      <c r="M243" s="60" t="str">
        <f t="array" ref="M243">iferror(index(dna!$J:$J,match($A243,dna!$A:$A,0)))</f>
        <v/>
      </c>
      <c r="N243" t="str">
        <f t="array" ref="N243">iferror(index(stomachs!$G:$G,match($A243,stomachs!$A:$A,0)))</f>
        <v>BST242-2</v>
      </c>
      <c r="O243" t="str">
        <f t="array" ref="O243">iferror(index(stomachs!$J:$J,match($A243,stomachs!$A:$A,0)))</f>
        <v>N</v>
      </c>
      <c r="P243" t="str">
        <f t="array" ref="P243">iferror(index(sea_lice!$G:$G,match($A243,sea_lice!$A:$A,0)))</f>
        <v/>
      </c>
      <c r="Q243" t="str">
        <f t="array" ref="Q243">iferror(index(sea_lice!$J:$J,match($A243,sea_lice!$A:$A,0)))</f>
        <v/>
      </c>
      <c r="R243" s="40" t="str">
        <f t="array" ref="R243">iferror(index(dissected_fish!$F:$F,match($A243,dissected_fish!$A:$A,0)))</f>
        <v>BCA101</v>
      </c>
      <c r="S243" s="40" t="str">
        <f t="array" ref="S243">iferror(index(dissected_fish!$K:$K,match($A243,dissected_fish!$A:$A,0)))</f>
        <v>N</v>
      </c>
      <c r="T243" s="61" t="str">
        <f t="array" ref="T243">index(fish_lab_data!O:O,match(A243,fish_lab_data!C:C,0))</f>
        <v>KB</v>
      </c>
      <c r="U243" s="61">
        <f t="array" ref="U243">if(A243="","",index(fish_lab_data!X:X,match(A243,fish_lab_data!C:C,0)))</f>
        <v>242</v>
      </c>
    </row>
    <row r="244">
      <c r="A244" t="str">
        <f>fish_lab_data!C244</f>
        <v>U5341</v>
      </c>
      <c r="B244" t="str">
        <f t="array" ref="B244">iferror(index('rna-muscle'!$I:$I,match($A244,'rna-muscle'!$A:$A,0)))</f>
        <v>BRN63M-B4</v>
      </c>
      <c r="C244" t="str">
        <f t="array" ref="C244">iferror(index('rna-muscle'!$L:$L,match($A244,'rna-muscle'!$A:$A,0)))</f>
        <v>N</v>
      </c>
      <c r="D244" t="str">
        <f t="array" ref="D244">iferror(index('rna-gill'!$I:$I,match($A244,'rna-gill'!$A:$A,0)))</f>
        <v>BRN63G-B4</v>
      </c>
      <c r="E244" t="str">
        <f t="array" ref="E244">iferror(index('rna-gill'!$L:$L,match($A244,'rna-gill'!$A:$A,0)))</f>
        <v>N</v>
      </c>
      <c r="F244" t="str">
        <f t="array" ref="F244">iferror(index(fatty_acid!$G:$G,match($A244,fatty_acid!$A:$A,0)))</f>
        <v>BFA21-82</v>
      </c>
      <c r="G244" t="str">
        <f t="array" ref="G244">iferror(index(fatty_acid!$J:$J,match($A244,fatty_acid!$A:$A,0)))</f>
        <v>N</v>
      </c>
      <c r="H244" t="str">
        <f t="array" ref="H244">iferror(index(isotopes!$G:$G,match($A244,isotopes!$A:$A,0)))</f>
        <v>BIS26-3</v>
      </c>
      <c r="I244" t="str">
        <f t="array" ref="I244">iferror(index(isotopes!$J:$J,match($A244,isotopes!$A:$A,0)))</f>
        <v>N</v>
      </c>
      <c r="J244" t="str">
        <f t="array" ref="J244">iferror(index(extra_muscle!$G:$G,match($A244,extra_muscle!$A:$A,0)))</f>
        <v>BXM23-67</v>
      </c>
      <c r="K244" t="str">
        <f t="array" ref="K244">iferror(index(extra_muscle!$J:$J,match($A244,extra_muscle!$A:$A,0)))</f>
        <v>N</v>
      </c>
      <c r="L244" s="59" t="str">
        <f t="array" ref="L244">iferror(index(dna!$G:$G,match($A244,dna!$A:$A,0)))</f>
        <v/>
      </c>
      <c r="M244" s="60" t="str">
        <f t="array" ref="M244">iferror(index(dna!$J:$J,match($A244,dna!$A:$A,0)))</f>
        <v/>
      </c>
      <c r="N244" t="str">
        <f t="array" ref="N244">iferror(index(stomachs!$G:$G,match($A244,stomachs!$A:$A,0)))</f>
        <v>BST240-5</v>
      </c>
      <c r="O244" t="str">
        <f t="array" ref="O244">iferror(index(stomachs!$J:$J,match($A244,stomachs!$A:$A,0)))</f>
        <v>N</v>
      </c>
      <c r="P244" t="str">
        <f t="array" ref="P244">iferror(index(sea_lice!$G:$G,match($A244,sea_lice!$A:$A,0)))</f>
        <v/>
      </c>
      <c r="Q244" t="str">
        <f t="array" ref="Q244">iferror(index(sea_lice!$J:$J,match($A244,sea_lice!$A:$A,0)))</f>
        <v/>
      </c>
      <c r="R244" s="40" t="str">
        <f t="array" ref="R244">iferror(index(dissected_fish!$F:$F,match($A244,dissected_fish!$A:$A,0)))</f>
        <v>BCA101</v>
      </c>
      <c r="S244" s="40" t="str">
        <f t="array" ref="S244">iferror(index(dissected_fish!$K:$K,match($A244,dissected_fish!$A:$A,0)))</f>
        <v>N</v>
      </c>
      <c r="T244" s="61" t="str">
        <f t="array" ref="T244">index(fish_lab_data!O:O,match(A244,fish_lab_data!C:C,0))</f>
        <v>EJ</v>
      </c>
      <c r="U244" s="61">
        <f t="array" ref="U244">if(A244="","",index(fish_lab_data!X:X,match(A244,fish_lab_data!C:C,0)))</f>
        <v>243</v>
      </c>
    </row>
    <row r="245">
      <c r="A245" t="str">
        <f>fish_lab_data!C245</f>
        <v>U5342</v>
      </c>
      <c r="B245" t="str">
        <f t="array" ref="B245">iferror(index('rna-muscle'!$I:$I,match($A245,'rna-muscle'!$A:$A,0)))</f>
        <v>BRN63M-A4</v>
      </c>
      <c r="C245" t="str">
        <f t="array" ref="C245">iferror(index('rna-muscle'!$L:$L,match($A245,'rna-muscle'!$A:$A,0)))</f>
        <v>N</v>
      </c>
      <c r="D245" t="str">
        <f t="array" ref="D245">iferror(index('rna-gill'!$I:$I,match($A245,'rna-gill'!$A:$A,0)))</f>
        <v>BRN63G-A4</v>
      </c>
      <c r="E245" t="str">
        <f t="array" ref="E245">iferror(index('rna-gill'!$L:$L,match($A245,'rna-gill'!$A:$A,0)))</f>
        <v>N</v>
      </c>
      <c r="F245" t="str">
        <f t="array" ref="F245">iferror(index(fatty_acid!$G:$G,match($A245,fatty_acid!$A:$A,0)))</f>
        <v>BFA21-83</v>
      </c>
      <c r="G245" t="str">
        <f t="array" ref="G245">iferror(index(fatty_acid!$J:$J,match($A245,fatty_acid!$A:$A,0)))</f>
        <v>N</v>
      </c>
      <c r="H245" t="str">
        <f t="array" ref="H245">iferror(index(isotopes!$G:$G,match($A245,isotopes!$A:$A,0)))</f>
        <v>BIS26-4</v>
      </c>
      <c r="I245" t="str">
        <f t="array" ref="I245">iferror(index(isotopes!$J:$J,match($A245,isotopes!$A:$A,0)))</f>
        <v>N</v>
      </c>
      <c r="J245" t="str">
        <f t="array" ref="J245">iferror(index(extra_muscle!$G:$G,match($A245,extra_muscle!$A:$A,0)))</f>
        <v>BXM23-68</v>
      </c>
      <c r="K245" t="str">
        <f t="array" ref="K245">iferror(index(extra_muscle!$J:$J,match($A245,extra_muscle!$A:$A,0)))</f>
        <v>N</v>
      </c>
      <c r="L245" s="59" t="str">
        <f t="array" ref="L245">iferror(index(dna!$G:$G,match($A245,dna!$A:$A,0)))</f>
        <v/>
      </c>
      <c r="M245" s="60" t="str">
        <f t="array" ref="M245">iferror(index(dna!$J:$J,match($A245,dna!$A:$A,0)))</f>
        <v/>
      </c>
      <c r="N245" t="str">
        <f t="array" ref="N245">iferror(index(stomachs!$G:$G,match($A245,stomachs!$A:$A,0)))</f>
        <v>BST240-6</v>
      </c>
      <c r="O245" t="str">
        <f t="array" ref="O245">iferror(index(stomachs!$J:$J,match($A245,stomachs!$A:$A,0)))</f>
        <v>N</v>
      </c>
      <c r="P245" t="str">
        <f t="array" ref="P245">iferror(index(sea_lice!$G:$G,match($A245,sea_lice!$A:$A,0)))</f>
        <v/>
      </c>
      <c r="Q245" t="str">
        <f t="array" ref="Q245">iferror(index(sea_lice!$J:$J,match($A245,sea_lice!$A:$A,0)))</f>
        <v/>
      </c>
      <c r="R245" s="40" t="str">
        <f t="array" ref="R245">iferror(index(dissected_fish!$F:$F,match($A245,dissected_fish!$A:$A,0)))</f>
        <v>BCA101</v>
      </c>
      <c r="S245" s="40" t="str">
        <f t="array" ref="S245">iferror(index(dissected_fish!$K:$K,match($A245,dissected_fish!$A:$A,0)))</f>
        <v>N</v>
      </c>
      <c r="T245" s="61" t="str">
        <f t="array" ref="T245">index(fish_lab_data!O:O,match(A245,fish_lab_data!C:C,0))</f>
        <v>EJ</v>
      </c>
      <c r="U245" s="61">
        <f t="array" ref="U245">if(A245="","",index(fish_lab_data!X:X,match(A245,fish_lab_data!C:C,0)))</f>
        <v>244</v>
      </c>
    </row>
    <row r="246">
      <c r="A246" t="str">
        <f>fish_lab_data!C246</f>
        <v>U5343</v>
      </c>
      <c r="B246" t="str">
        <f t="array" ref="B246">iferror(index('rna-muscle'!$I:$I,match($A246,'rna-muscle'!$A:$A,0)))</f>
        <v>BRN63M-H8</v>
      </c>
      <c r="C246" t="str">
        <f t="array" ref="C246">iferror(index('rna-muscle'!$L:$L,match($A246,'rna-muscle'!$A:$A,0)))</f>
        <v>N</v>
      </c>
      <c r="D246" t="str">
        <f t="array" ref="D246">iferror(index('rna-gill'!$I:$I,match($A246,'rna-gill'!$A:$A,0)))</f>
        <v>BRN63G-H8</v>
      </c>
      <c r="E246" t="str">
        <f t="array" ref="E246">iferror(index('rna-gill'!$L:$L,match($A246,'rna-gill'!$A:$A,0)))</f>
        <v>N</v>
      </c>
      <c r="F246" t="str">
        <f t="array" ref="F246">iferror(index(fatty_acid!$G:$G,match($A246,fatty_acid!$A:$A,0)))</f>
        <v>BFA21-84</v>
      </c>
      <c r="G246" t="str">
        <f t="array" ref="G246">iferror(index(fatty_acid!$J:$J,match($A246,fatty_acid!$A:$A,0)))</f>
        <v>N</v>
      </c>
      <c r="H246" t="str">
        <f t="array" ref="H246">iferror(index(isotopes!$G:$G,match($A246,isotopes!$A:$A,0)))</f>
        <v>BIS26-5</v>
      </c>
      <c r="I246" t="str">
        <f t="array" ref="I246">iferror(index(isotopes!$J:$J,match($A246,isotopes!$A:$A,0)))</f>
        <v>N</v>
      </c>
      <c r="J246" t="str">
        <f t="array" ref="J246">iferror(index(extra_muscle!$G:$G,match($A246,extra_muscle!$A:$A,0)))</f>
        <v>BXM23-69</v>
      </c>
      <c r="K246" t="str">
        <f t="array" ref="K246">iferror(index(extra_muscle!$J:$J,match($A246,extra_muscle!$A:$A,0)))</f>
        <v>N</v>
      </c>
      <c r="L246" s="59" t="str">
        <f t="array" ref="L246">iferror(index(dna!$G:$G,match($A246,dna!$A:$A,0)))</f>
        <v/>
      </c>
      <c r="M246" s="60" t="str">
        <f t="array" ref="M246">iferror(index(dna!$J:$J,match($A246,dna!$A:$A,0)))</f>
        <v/>
      </c>
      <c r="N246" t="str">
        <f t="array" ref="N246">iferror(index(stomachs!$G:$G,match($A246,stomachs!$A:$A,0)))</f>
        <v>BST240-7</v>
      </c>
      <c r="O246" t="str">
        <f t="array" ref="O246">iferror(index(stomachs!$J:$J,match($A246,stomachs!$A:$A,0)))</f>
        <v>N</v>
      </c>
      <c r="P246" t="str">
        <f t="array" ref="P246">iferror(index(sea_lice!$G:$G,match($A246,sea_lice!$A:$A,0)))</f>
        <v/>
      </c>
      <c r="Q246" t="str">
        <f t="array" ref="Q246">iferror(index(sea_lice!$J:$J,match($A246,sea_lice!$A:$A,0)))</f>
        <v/>
      </c>
      <c r="R246" s="40" t="str">
        <f t="array" ref="R246">iferror(index(dissected_fish!$F:$F,match($A246,dissected_fish!$A:$A,0)))</f>
        <v>BCA101</v>
      </c>
      <c r="S246" s="40" t="str">
        <f t="array" ref="S246">iferror(index(dissected_fish!$K:$K,match($A246,dissected_fish!$A:$A,0)))</f>
        <v>N</v>
      </c>
      <c r="T246" s="61" t="str">
        <f t="array" ref="T246">index(fish_lab_data!O:O,match(A246,fish_lab_data!C:C,0))</f>
        <v>EJ</v>
      </c>
      <c r="U246" s="61">
        <f t="array" ref="U246">if(A246="","",index(fish_lab_data!X:X,match(A246,fish_lab_data!C:C,0)))</f>
        <v>245</v>
      </c>
    </row>
    <row r="247">
      <c r="A247" t="str">
        <f>fish_lab_data!C247</f>
        <v>U5344</v>
      </c>
      <c r="B247" t="str">
        <f t="array" ref="B247">iferror(index('rna-muscle'!$I:$I,match($A247,'rna-muscle'!$A:$A,0)))</f>
        <v>BRN63M-G8</v>
      </c>
      <c r="C247" t="str">
        <f t="array" ref="C247">iferror(index('rna-muscle'!$L:$L,match($A247,'rna-muscle'!$A:$A,0)))</f>
        <v>N</v>
      </c>
      <c r="D247" t="str">
        <f t="array" ref="D247">iferror(index('rna-gill'!$I:$I,match($A247,'rna-gill'!$A:$A,0)))</f>
        <v>BRN63G-G8</v>
      </c>
      <c r="E247" t="str">
        <f t="array" ref="E247">iferror(index('rna-gill'!$L:$L,match($A247,'rna-gill'!$A:$A,0)))</f>
        <v>N</v>
      </c>
      <c r="F247" t="str">
        <f t="array" ref="F247">iferror(index(fatty_acid!$G:$G,match($A247,fatty_acid!$A:$A,0)))</f>
        <v>BFA21-85</v>
      </c>
      <c r="G247" t="str">
        <f t="array" ref="G247">iferror(index(fatty_acid!$J:$J,match($A247,fatty_acid!$A:$A,0)))</f>
        <v>N</v>
      </c>
      <c r="H247" t="str">
        <f t="array" ref="H247">iferror(index(isotopes!$G:$G,match($A247,isotopes!$A:$A,0)))</f>
        <v>BIS26-6</v>
      </c>
      <c r="I247" t="str">
        <f t="array" ref="I247">iferror(index(isotopes!$J:$J,match($A247,isotopes!$A:$A,0)))</f>
        <v>N</v>
      </c>
      <c r="J247" t="str">
        <f t="array" ref="J247">iferror(index(extra_muscle!$G:$G,match($A247,extra_muscle!$A:$A,0)))</f>
        <v>BXM23-70</v>
      </c>
      <c r="K247" t="str">
        <f t="array" ref="K247">iferror(index(extra_muscle!$J:$J,match($A247,extra_muscle!$A:$A,0)))</f>
        <v>N</v>
      </c>
      <c r="L247" s="59" t="str">
        <f t="array" ref="L247">iferror(index(dna!$G:$G,match($A247,dna!$A:$A,0)))</f>
        <v/>
      </c>
      <c r="M247" s="60" t="str">
        <f t="array" ref="M247">iferror(index(dna!$J:$J,match($A247,dna!$A:$A,0)))</f>
        <v/>
      </c>
      <c r="N247" t="str">
        <f t="array" ref="N247">iferror(index(stomachs!$G:$G,match($A247,stomachs!$A:$A,0)))</f>
        <v>BST240-8</v>
      </c>
      <c r="O247" t="str">
        <f t="array" ref="O247">iferror(index(stomachs!$J:$J,match($A247,stomachs!$A:$A,0)))</f>
        <v>N</v>
      </c>
      <c r="P247" t="str">
        <f t="array" ref="P247">iferror(index(sea_lice!$G:$G,match($A247,sea_lice!$A:$A,0)))</f>
        <v/>
      </c>
      <c r="Q247" t="str">
        <f t="array" ref="Q247">iferror(index(sea_lice!$J:$J,match($A247,sea_lice!$A:$A,0)))</f>
        <v/>
      </c>
      <c r="R247" s="40" t="str">
        <f t="array" ref="R247">iferror(index(dissected_fish!$F:$F,match($A247,dissected_fish!$A:$A,0)))</f>
        <v>BCA101</v>
      </c>
      <c r="S247" s="40" t="str">
        <f t="array" ref="S247">iferror(index(dissected_fish!$K:$K,match($A247,dissected_fish!$A:$A,0)))</f>
        <v>N</v>
      </c>
      <c r="T247" s="61" t="str">
        <f t="array" ref="T247">index(fish_lab_data!O:O,match(A247,fish_lab_data!C:C,0))</f>
        <v>EJ</v>
      </c>
      <c r="U247" s="61">
        <f t="array" ref="U247">if(A247="","",index(fish_lab_data!X:X,match(A247,fish_lab_data!C:C,0)))</f>
        <v>246</v>
      </c>
    </row>
    <row r="248">
      <c r="A248" t="str">
        <f>fish_lab_data!C248</f>
        <v>U5345</v>
      </c>
      <c r="B248" t="str">
        <f t="array" ref="B248">iferror(index('rna-muscle'!$I:$I,match($A248,'rna-muscle'!$A:$A,0)))</f>
        <v>BRN63M-F8</v>
      </c>
      <c r="C248" t="str">
        <f t="array" ref="C248">iferror(index('rna-muscle'!$L:$L,match($A248,'rna-muscle'!$A:$A,0)))</f>
        <v>N</v>
      </c>
      <c r="D248" t="str">
        <f t="array" ref="D248">iferror(index('rna-gill'!$I:$I,match($A248,'rna-gill'!$A:$A,0)))</f>
        <v>BRN63G-F8</v>
      </c>
      <c r="E248" t="str">
        <f t="array" ref="E248">iferror(index('rna-gill'!$L:$L,match($A248,'rna-gill'!$A:$A,0)))</f>
        <v>N</v>
      </c>
      <c r="F248" t="str">
        <f t="array" ref="F248">iferror(index(fatty_acid!$G:$G,match($A248,fatty_acid!$A:$A,0)))</f>
        <v>BFA21-87</v>
      </c>
      <c r="G248" t="str">
        <f t="array" ref="G248">iferror(index(fatty_acid!$J:$J,match($A248,fatty_acid!$A:$A,0)))</f>
        <v>N</v>
      </c>
      <c r="H248" t="str">
        <f t="array" ref="H248">iferror(index(isotopes!$G:$G,match($A248,isotopes!$A:$A,0)))</f>
        <v>BIS26-7</v>
      </c>
      <c r="I248" t="str">
        <f t="array" ref="I248">iferror(index(isotopes!$J:$J,match($A248,isotopes!$A:$A,0)))</f>
        <v>N</v>
      </c>
      <c r="J248" t="str">
        <f t="array" ref="J248">iferror(index(extra_muscle!$G:$G,match($A248,extra_muscle!$A:$A,0)))</f>
        <v>BXM23-71</v>
      </c>
      <c r="K248" t="str">
        <f t="array" ref="K248">iferror(index(extra_muscle!$J:$J,match($A248,extra_muscle!$A:$A,0)))</f>
        <v>N</v>
      </c>
      <c r="L248" s="59" t="str">
        <f t="array" ref="L248">iferror(index(dna!$G:$G,match($A248,dna!$A:$A,0)))</f>
        <v/>
      </c>
      <c r="M248" s="60" t="str">
        <f t="array" ref="M248">iferror(index(dna!$J:$J,match($A248,dna!$A:$A,0)))</f>
        <v/>
      </c>
      <c r="N248" t="str">
        <f t="array" ref="N248">iferror(index(stomachs!$G:$G,match($A248,stomachs!$A:$A,0)))</f>
        <v>BST240-9</v>
      </c>
      <c r="O248" t="str">
        <f t="array" ref="O248">iferror(index(stomachs!$J:$J,match($A248,stomachs!$A:$A,0)))</f>
        <v>N</v>
      </c>
      <c r="P248" t="str">
        <f t="array" ref="P248">iferror(index(sea_lice!$G:$G,match($A248,sea_lice!$A:$A,0)))</f>
        <v/>
      </c>
      <c r="Q248" t="str">
        <f t="array" ref="Q248">iferror(index(sea_lice!$J:$J,match($A248,sea_lice!$A:$A,0)))</f>
        <v/>
      </c>
      <c r="R248" s="40" t="str">
        <f t="array" ref="R248">iferror(index(dissected_fish!$F:$F,match($A248,dissected_fish!$A:$A,0)))</f>
        <v>BCA101</v>
      </c>
      <c r="S248" s="40" t="str">
        <f t="array" ref="S248">iferror(index(dissected_fish!$K:$K,match($A248,dissected_fish!$A:$A,0)))</f>
        <v>N</v>
      </c>
      <c r="T248" s="61" t="str">
        <f t="array" ref="T248">index(fish_lab_data!O:O,match(A248,fish_lab_data!C:C,0))</f>
        <v>EJ</v>
      </c>
      <c r="U248" s="61">
        <f t="array" ref="U248">if(A248="","",index(fish_lab_data!X:X,match(A248,fish_lab_data!C:C,0)))</f>
        <v>247</v>
      </c>
    </row>
    <row r="249">
      <c r="A249" t="str">
        <f>fish_lab_data!C249</f>
        <v>U5346</v>
      </c>
      <c r="B249" t="str">
        <f t="array" ref="B249">iferror(index('rna-muscle'!$I:$I,match($A249,'rna-muscle'!$A:$A,0)))</f>
        <v>BRN63M-E8</v>
      </c>
      <c r="C249" t="str">
        <f t="array" ref="C249">iferror(index('rna-muscle'!$L:$L,match($A249,'rna-muscle'!$A:$A,0)))</f>
        <v>N</v>
      </c>
      <c r="D249" t="str">
        <f t="array" ref="D249">iferror(index('rna-gill'!$I:$I,match($A249,'rna-gill'!$A:$A,0)))</f>
        <v>BRN63G-E8</v>
      </c>
      <c r="E249" t="str">
        <f t="array" ref="E249">iferror(index('rna-gill'!$L:$L,match($A249,'rna-gill'!$A:$A,0)))</f>
        <v>N</v>
      </c>
      <c r="F249" t="str">
        <f t="array" ref="F249">iferror(index(fatty_acid!$G:$G,match($A249,fatty_acid!$A:$A,0)))</f>
        <v>BFA21-88</v>
      </c>
      <c r="G249" t="str">
        <f t="array" ref="G249">iferror(index(fatty_acid!$J:$J,match($A249,fatty_acid!$A:$A,0)))</f>
        <v>N</v>
      </c>
      <c r="H249" t="str">
        <f t="array" ref="H249">iferror(index(isotopes!$G:$G,match($A249,isotopes!$A:$A,0)))</f>
        <v>BIS26-8</v>
      </c>
      <c r="I249" t="str">
        <f t="array" ref="I249">iferror(index(isotopes!$J:$J,match($A249,isotopes!$A:$A,0)))</f>
        <v>N</v>
      </c>
      <c r="J249" t="str">
        <f t="array" ref="J249">iferror(index(extra_muscle!$G:$G,match($A249,extra_muscle!$A:$A,0)))</f>
        <v>BXM23-72</v>
      </c>
      <c r="K249" t="str">
        <f t="array" ref="K249">iferror(index(extra_muscle!$J:$J,match($A249,extra_muscle!$A:$A,0)))</f>
        <v>N</v>
      </c>
      <c r="L249" s="59" t="str">
        <f t="array" ref="L249">iferror(index(dna!$G:$G,match($A249,dna!$A:$A,0)))</f>
        <v/>
      </c>
      <c r="M249" s="60" t="str">
        <f t="array" ref="M249">iferror(index(dna!$J:$J,match($A249,dna!$A:$A,0)))</f>
        <v/>
      </c>
      <c r="N249" t="str">
        <f t="array" ref="N249">iferror(index(stomachs!$G:$G,match($A249,stomachs!$A:$A,0)))</f>
        <v>BST240-10</v>
      </c>
      <c r="O249" t="str">
        <f t="array" ref="O249">iferror(index(stomachs!$J:$J,match($A249,stomachs!$A:$A,0)))</f>
        <v>N</v>
      </c>
      <c r="P249" t="str">
        <f t="array" ref="P249">iferror(index(sea_lice!$G:$G,match($A249,sea_lice!$A:$A,0)))</f>
        <v/>
      </c>
      <c r="Q249" t="str">
        <f t="array" ref="Q249">iferror(index(sea_lice!$J:$J,match($A249,sea_lice!$A:$A,0)))</f>
        <v/>
      </c>
      <c r="R249" s="40" t="str">
        <f t="array" ref="R249">iferror(index(dissected_fish!$F:$F,match($A249,dissected_fish!$A:$A,0)))</f>
        <v>BCA101</v>
      </c>
      <c r="S249" s="40" t="str">
        <f t="array" ref="S249">iferror(index(dissected_fish!$K:$K,match($A249,dissected_fish!$A:$A,0)))</f>
        <v>N</v>
      </c>
      <c r="T249" s="61" t="str">
        <f t="array" ref="T249">index(fish_lab_data!O:O,match(A249,fish_lab_data!C:C,0))</f>
        <v>EJ</v>
      </c>
      <c r="U249" s="61">
        <f t="array" ref="U249">if(A249="","",index(fish_lab_data!X:X,match(A249,fish_lab_data!C:C,0)))</f>
        <v>248</v>
      </c>
    </row>
    <row r="250">
      <c r="A250" t="str">
        <f>fish_lab_data!C250</f>
        <v>U5347</v>
      </c>
      <c r="B250" t="str">
        <f t="array" ref="B250">iferror(index('rna-muscle'!$I:$I,match($A250,'rna-muscle'!$A:$A,0)))</f>
        <v>BRN63M-D8</v>
      </c>
      <c r="C250" t="str">
        <f t="array" ref="C250">iferror(index('rna-muscle'!$L:$L,match($A250,'rna-muscle'!$A:$A,0)))</f>
        <v>N</v>
      </c>
      <c r="D250" t="str">
        <f t="array" ref="D250">iferror(index('rna-gill'!$I:$I,match($A250,'rna-gill'!$A:$A,0)))</f>
        <v>BRN63G-D8</v>
      </c>
      <c r="E250" t="str">
        <f t="array" ref="E250">iferror(index('rna-gill'!$L:$L,match($A250,'rna-gill'!$A:$A,0)))</f>
        <v>N</v>
      </c>
      <c r="F250" t="str">
        <f t="array" ref="F250">iferror(index(fatty_acid!$G:$G,match($A250,fatty_acid!$A:$A,0)))</f>
        <v>BFA21-89</v>
      </c>
      <c r="G250" t="str">
        <f t="array" ref="G250">iferror(index(fatty_acid!$J:$J,match($A250,fatty_acid!$A:$A,0)))</f>
        <v>N</v>
      </c>
      <c r="H250" t="str">
        <f t="array" ref="H250">iferror(index(isotopes!$G:$G,match($A250,isotopes!$A:$A,0)))</f>
        <v>BIS26-9</v>
      </c>
      <c r="I250" t="str">
        <f t="array" ref="I250">iferror(index(isotopes!$J:$J,match($A250,isotopes!$A:$A,0)))</f>
        <v>N</v>
      </c>
      <c r="J250" t="str">
        <f t="array" ref="J250">iferror(index(extra_muscle!$G:$G,match($A250,extra_muscle!$A:$A,0)))</f>
        <v>BXM23-73</v>
      </c>
      <c r="K250" t="str">
        <f t="array" ref="K250">iferror(index(extra_muscle!$J:$J,match($A250,extra_muscle!$A:$A,0)))</f>
        <v>N</v>
      </c>
      <c r="L250" s="59" t="str">
        <f t="array" ref="L250">iferror(index(dna!$G:$G,match($A250,dna!$A:$A,0)))</f>
        <v/>
      </c>
      <c r="M250" s="60" t="str">
        <f t="array" ref="M250">iferror(index(dna!$J:$J,match($A250,dna!$A:$A,0)))</f>
        <v/>
      </c>
      <c r="N250" t="str">
        <f t="array" ref="N250">iferror(index(stomachs!$G:$G,match($A250,stomachs!$A:$A,0)))</f>
        <v>BST240-11</v>
      </c>
      <c r="O250" t="str">
        <f t="array" ref="O250">iferror(index(stomachs!$J:$J,match($A250,stomachs!$A:$A,0)))</f>
        <v>N</v>
      </c>
      <c r="P250" t="str">
        <f t="array" ref="P250">iferror(index(sea_lice!$G:$G,match($A250,sea_lice!$A:$A,0)))</f>
        <v/>
      </c>
      <c r="Q250" t="str">
        <f t="array" ref="Q250">iferror(index(sea_lice!$J:$J,match($A250,sea_lice!$A:$A,0)))</f>
        <v/>
      </c>
      <c r="R250" s="40" t="str">
        <f t="array" ref="R250">iferror(index(dissected_fish!$F:$F,match($A250,dissected_fish!$A:$A,0)))</f>
        <v>BCA101</v>
      </c>
      <c r="S250" s="40" t="str">
        <f t="array" ref="S250">iferror(index(dissected_fish!$K:$K,match($A250,dissected_fish!$A:$A,0)))</f>
        <v>N</v>
      </c>
      <c r="T250" s="61" t="str">
        <f t="array" ref="T250">index(fish_lab_data!O:O,match(A250,fish_lab_data!C:C,0))</f>
        <v>EJ</v>
      </c>
      <c r="U250" s="61">
        <f t="array" ref="U250">if(A250="","",index(fish_lab_data!X:X,match(A250,fish_lab_data!C:C,0)))</f>
        <v>249</v>
      </c>
    </row>
    <row r="251">
      <c r="A251" t="str">
        <f>fish_lab_data!C251</f>
        <v>U5348</v>
      </c>
      <c r="B251" t="str">
        <f t="array" ref="B251">iferror(index('rna-muscle'!$I:$I,match($A251,'rna-muscle'!$A:$A,0)))</f>
        <v>BRN63M-C8</v>
      </c>
      <c r="C251" t="str">
        <f t="array" ref="C251">iferror(index('rna-muscle'!$L:$L,match($A251,'rna-muscle'!$A:$A,0)))</f>
        <v>N</v>
      </c>
      <c r="D251" t="str">
        <f t="array" ref="D251">iferror(index('rna-gill'!$I:$I,match($A251,'rna-gill'!$A:$A,0)))</f>
        <v>BRN63G-C8</v>
      </c>
      <c r="E251" t="str">
        <f t="array" ref="E251">iferror(index('rna-gill'!$L:$L,match($A251,'rna-gill'!$A:$A,0)))</f>
        <v>N</v>
      </c>
      <c r="F251" t="str">
        <f t="array" ref="F251">iferror(index(fatty_acid!$G:$G,match($A251,fatty_acid!$A:$A,0)))</f>
        <v>BFA21-90</v>
      </c>
      <c r="G251" t="str">
        <f t="array" ref="G251">iferror(index(fatty_acid!$J:$J,match($A251,fatty_acid!$A:$A,0)))</f>
        <v>N</v>
      </c>
      <c r="H251" t="str">
        <f t="array" ref="H251">iferror(index(isotopes!$G:$G,match($A251,isotopes!$A:$A,0)))</f>
        <v>BIS26-10</v>
      </c>
      <c r="I251" t="str">
        <f t="array" ref="I251">iferror(index(isotopes!$J:$J,match($A251,isotopes!$A:$A,0)))</f>
        <v>N</v>
      </c>
      <c r="J251" t="str">
        <f t="array" ref="J251">iferror(index(extra_muscle!$G:$G,match($A251,extra_muscle!$A:$A,0)))</f>
        <v>BXM23-74</v>
      </c>
      <c r="K251" t="str">
        <f t="array" ref="K251">iferror(index(extra_muscle!$J:$J,match($A251,extra_muscle!$A:$A,0)))</f>
        <v>N</v>
      </c>
      <c r="L251" s="59" t="str">
        <f t="array" ref="L251">iferror(index(dna!$G:$G,match($A251,dna!$A:$A,0)))</f>
        <v/>
      </c>
      <c r="M251" s="60" t="str">
        <f t="array" ref="M251">iferror(index(dna!$J:$J,match($A251,dna!$A:$A,0)))</f>
        <v/>
      </c>
      <c r="N251" t="str">
        <f t="array" ref="N251">iferror(index(stomachs!$G:$G,match($A251,stomachs!$A:$A,0)))</f>
        <v>BST240-12</v>
      </c>
      <c r="O251" t="str">
        <f t="array" ref="O251">iferror(index(stomachs!$J:$J,match($A251,stomachs!$A:$A,0)))</f>
        <v>N</v>
      </c>
      <c r="P251" t="str">
        <f t="array" ref="P251">iferror(index(sea_lice!$G:$G,match($A251,sea_lice!$A:$A,0)))</f>
        <v/>
      </c>
      <c r="Q251" t="str">
        <f t="array" ref="Q251">iferror(index(sea_lice!$J:$J,match($A251,sea_lice!$A:$A,0)))</f>
        <v/>
      </c>
      <c r="R251" s="40" t="str">
        <f t="array" ref="R251">iferror(index(dissected_fish!$F:$F,match($A251,dissected_fish!$A:$A,0)))</f>
        <v>BCA101</v>
      </c>
      <c r="S251" s="40" t="str">
        <f t="array" ref="S251">iferror(index(dissected_fish!$K:$K,match($A251,dissected_fish!$A:$A,0)))</f>
        <v>N</v>
      </c>
      <c r="T251" s="61" t="str">
        <f t="array" ref="T251">index(fish_lab_data!O:O,match(A251,fish_lab_data!C:C,0))</f>
        <v>EJ</v>
      </c>
      <c r="U251" s="61">
        <f t="array" ref="U251">if(A251="","",index(fish_lab_data!X:X,match(A251,fish_lab_data!C:C,0)))</f>
        <v>250</v>
      </c>
    </row>
    <row r="252">
      <c r="A252" t="str">
        <f>fish_lab_data!C252</f>
        <v>U5349</v>
      </c>
      <c r="B252" t="str">
        <f t="array" ref="B252">iferror(index('rna-muscle'!$I:$I,match($A252,'rna-muscle'!$A:$A,0)))</f>
        <v>BRN63M-B8</v>
      </c>
      <c r="C252" t="str">
        <f t="array" ref="C252">iferror(index('rna-muscle'!$L:$L,match($A252,'rna-muscle'!$A:$A,0)))</f>
        <v>N</v>
      </c>
      <c r="D252" t="str">
        <f t="array" ref="D252">iferror(index('rna-gill'!$I:$I,match($A252,'rna-gill'!$A:$A,0)))</f>
        <v>BRN63G-B8</v>
      </c>
      <c r="E252" t="str">
        <f t="array" ref="E252">iferror(index('rna-gill'!$L:$L,match($A252,'rna-gill'!$A:$A,0)))</f>
        <v>N</v>
      </c>
      <c r="F252" t="str">
        <f t="array" ref="F252">iferror(index(fatty_acid!$G:$G,match($A252,fatty_acid!$A:$A,0)))</f>
        <v>BFA21-91</v>
      </c>
      <c r="G252" t="str">
        <f t="array" ref="G252">iferror(index(fatty_acid!$J:$J,match($A252,fatty_acid!$A:$A,0)))</f>
        <v>N</v>
      </c>
      <c r="H252" t="str">
        <f t="array" ref="H252">iferror(index(isotopes!$G:$G,match($A252,isotopes!$A:$A,0)))</f>
        <v>BIS26-11</v>
      </c>
      <c r="I252" t="str">
        <f t="array" ref="I252">iferror(index(isotopes!$J:$J,match($A252,isotopes!$A:$A,0)))</f>
        <v>N</v>
      </c>
      <c r="J252" t="str">
        <f t="array" ref="J252">iferror(index(extra_muscle!$G:$G,match($A252,extra_muscle!$A:$A,0)))</f>
        <v>BXM23-75</v>
      </c>
      <c r="K252" t="str">
        <f t="array" ref="K252">iferror(index(extra_muscle!$J:$J,match($A252,extra_muscle!$A:$A,0)))</f>
        <v>N</v>
      </c>
      <c r="L252" s="59" t="str">
        <f t="array" ref="L252">iferror(index(dna!$G:$G,match($A252,dna!$A:$A,0)))</f>
        <v/>
      </c>
      <c r="M252" s="60" t="str">
        <f t="array" ref="M252">iferror(index(dna!$J:$J,match($A252,dna!$A:$A,0)))</f>
        <v/>
      </c>
      <c r="N252" t="str">
        <f t="array" ref="N252">iferror(index(stomachs!$G:$G,match($A252,stomachs!$A:$A,0)))</f>
        <v>BST240-13</v>
      </c>
      <c r="O252" t="str">
        <f t="array" ref="O252">iferror(index(stomachs!$J:$J,match($A252,stomachs!$A:$A,0)))</f>
        <v>N</v>
      </c>
      <c r="P252" t="str">
        <f t="array" ref="P252">iferror(index(sea_lice!$G:$G,match($A252,sea_lice!$A:$A,0)))</f>
        <v/>
      </c>
      <c r="Q252" t="str">
        <f t="array" ref="Q252">iferror(index(sea_lice!$J:$J,match($A252,sea_lice!$A:$A,0)))</f>
        <v/>
      </c>
      <c r="R252" s="40" t="str">
        <f t="array" ref="R252">iferror(index(dissected_fish!$F:$F,match($A252,dissected_fish!$A:$A,0)))</f>
        <v>BCA101</v>
      </c>
      <c r="S252" s="40" t="str">
        <f t="array" ref="S252">iferror(index(dissected_fish!$K:$K,match($A252,dissected_fish!$A:$A,0)))</f>
        <v>N</v>
      </c>
      <c r="T252" s="61" t="str">
        <f t="array" ref="T252">index(fish_lab_data!O:O,match(A252,fish_lab_data!C:C,0))</f>
        <v>EJ</v>
      </c>
      <c r="U252" s="61">
        <f t="array" ref="U252">if(A252="","",index(fish_lab_data!X:X,match(A252,fish_lab_data!C:C,0)))</f>
        <v>251</v>
      </c>
    </row>
    <row r="253">
      <c r="A253" t="str">
        <f>fish_lab_data!C253</f>
        <v>U5350</v>
      </c>
      <c r="B253" t="str">
        <f t="array" ref="B253">iferror(index('rna-muscle'!$I:$I,match($A253,'rna-muscle'!$A:$A,0)))</f>
        <v>BRN63M-A8</v>
      </c>
      <c r="C253" t="str">
        <f t="array" ref="C253">iferror(index('rna-muscle'!$L:$L,match($A253,'rna-muscle'!$A:$A,0)))</f>
        <v>N</v>
      </c>
      <c r="D253" t="str">
        <f t="array" ref="D253">iferror(index('rna-gill'!$I:$I,match($A253,'rna-gill'!$A:$A,0)))</f>
        <v>BRN63G-A8</v>
      </c>
      <c r="E253" t="str">
        <f t="array" ref="E253">iferror(index('rna-gill'!$L:$L,match($A253,'rna-gill'!$A:$A,0)))</f>
        <v>N</v>
      </c>
      <c r="F253" t="str">
        <f t="array" ref="F253">iferror(index(fatty_acid!$G:$G,match($A253,fatty_acid!$A:$A,0)))</f>
        <v>BFA21-92</v>
      </c>
      <c r="G253" t="str">
        <f t="array" ref="G253">iferror(index(fatty_acid!$J:$J,match($A253,fatty_acid!$A:$A,0)))</f>
        <v>N</v>
      </c>
      <c r="H253" t="str">
        <f t="array" ref="H253">iferror(index(isotopes!$G:$G,match($A253,isotopes!$A:$A,0)))</f>
        <v>BIS26-12</v>
      </c>
      <c r="I253" t="str">
        <f t="array" ref="I253">iferror(index(isotopes!$J:$J,match($A253,isotopes!$A:$A,0)))</f>
        <v>N</v>
      </c>
      <c r="J253" t="str">
        <f t="array" ref="J253">iferror(index(extra_muscle!$G:$G,match($A253,extra_muscle!$A:$A,0)))</f>
        <v>BXM23-77</v>
      </c>
      <c r="K253" t="str">
        <f t="array" ref="K253">iferror(index(extra_muscle!$J:$J,match($A253,extra_muscle!$A:$A,0)))</f>
        <v>N</v>
      </c>
      <c r="L253" s="59" t="str">
        <f t="array" ref="L253">iferror(index(dna!$G:$G,match($A253,dna!$A:$A,0)))</f>
        <v/>
      </c>
      <c r="M253" s="60" t="str">
        <f t="array" ref="M253">iferror(index(dna!$J:$J,match($A253,dna!$A:$A,0)))</f>
        <v/>
      </c>
      <c r="N253" t="str">
        <f t="array" ref="N253">iferror(index(stomachs!$G:$G,match($A253,stomachs!$A:$A,0)))</f>
        <v>BST240-14</v>
      </c>
      <c r="O253" t="str">
        <f t="array" ref="O253">iferror(index(stomachs!$J:$J,match($A253,stomachs!$A:$A,0)))</f>
        <v>N</v>
      </c>
      <c r="P253" t="str">
        <f t="array" ref="P253">iferror(index(sea_lice!$G:$G,match($A253,sea_lice!$A:$A,0)))</f>
        <v/>
      </c>
      <c r="Q253" t="str">
        <f t="array" ref="Q253">iferror(index(sea_lice!$J:$J,match($A253,sea_lice!$A:$A,0)))</f>
        <v/>
      </c>
      <c r="R253" s="40" t="str">
        <f t="array" ref="R253">iferror(index(dissected_fish!$F:$F,match($A253,dissected_fish!$A:$A,0)))</f>
        <v>BCA101</v>
      </c>
      <c r="S253" s="40" t="str">
        <f t="array" ref="S253">iferror(index(dissected_fish!$K:$K,match($A253,dissected_fish!$A:$A,0)))</f>
        <v>N</v>
      </c>
      <c r="T253" s="61" t="str">
        <f t="array" ref="T253">index(fish_lab_data!O:O,match(A253,fish_lab_data!C:C,0))</f>
        <v>EJ</v>
      </c>
      <c r="U253" s="61">
        <f t="array" ref="U253">if(A253="","",index(fish_lab_data!X:X,match(A253,fish_lab_data!C:C,0)))</f>
        <v>252</v>
      </c>
    </row>
    <row r="254">
      <c r="A254" t="str">
        <f>fish_lab_data!C254</f>
        <v>U5351</v>
      </c>
      <c r="B254" t="str">
        <f t="array" ref="B254">iferror(index('rna-muscle'!$I:$I,match($A254,'rna-muscle'!$A:$A,0)))</f>
        <v>BRN63M-H10</v>
      </c>
      <c r="C254" t="str">
        <f t="array" ref="C254">iferror(index('rna-muscle'!$L:$L,match($A254,'rna-muscle'!$A:$A,0)))</f>
        <v>N</v>
      </c>
      <c r="D254" t="str">
        <f t="array" ref="D254">iferror(index('rna-gill'!$I:$I,match($A254,'rna-gill'!$A:$A,0)))</f>
        <v>BRN63G-H10</v>
      </c>
      <c r="E254" t="str">
        <f t="array" ref="E254">iferror(index('rna-gill'!$L:$L,match($A254,'rna-gill'!$A:$A,0)))</f>
        <v>N</v>
      </c>
      <c r="F254" t="str">
        <f t="array" ref="F254">iferror(index(fatty_acid!$G:$G,match($A254,fatty_acid!$A:$A,0)))</f>
        <v>BFA21-93</v>
      </c>
      <c r="G254" t="str">
        <f t="array" ref="G254">iferror(index(fatty_acid!$J:$J,match($A254,fatty_acid!$A:$A,0)))</f>
        <v>N</v>
      </c>
      <c r="H254" t="str">
        <f t="array" ref="H254">iferror(index(isotopes!$G:$G,match($A254,isotopes!$A:$A,0)))</f>
        <v>BIS26-13</v>
      </c>
      <c r="I254" t="str">
        <f t="array" ref="I254">iferror(index(isotopes!$J:$J,match($A254,isotopes!$A:$A,0)))</f>
        <v>N</v>
      </c>
      <c r="J254" t="str">
        <f t="array" ref="J254">iferror(index(extra_muscle!$G:$G,match($A254,extra_muscle!$A:$A,0)))</f>
        <v>BXM23-78</v>
      </c>
      <c r="K254" t="str">
        <f t="array" ref="K254">iferror(index(extra_muscle!$J:$J,match($A254,extra_muscle!$A:$A,0)))</f>
        <v>N</v>
      </c>
      <c r="L254" s="59" t="str">
        <f t="array" ref="L254">iferror(index(dna!$G:$G,match($A254,dna!$A:$A,0)))</f>
        <v/>
      </c>
      <c r="M254" s="60" t="str">
        <f t="array" ref="M254">iferror(index(dna!$J:$J,match($A254,dna!$A:$A,0)))</f>
        <v/>
      </c>
      <c r="N254" t="str">
        <f t="array" ref="N254">iferror(index(stomachs!$G:$G,match($A254,stomachs!$A:$A,0)))</f>
        <v>BST240-15</v>
      </c>
      <c r="O254" t="str">
        <f t="array" ref="O254">iferror(index(stomachs!$J:$J,match($A254,stomachs!$A:$A,0)))</f>
        <v>N</v>
      </c>
      <c r="P254" t="str">
        <f t="array" ref="P254">iferror(index(sea_lice!$G:$G,match($A254,sea_lice!$A:$A,0)))</f>
        <v/>
      </c>
      <c r="Q254" t="str">
        <f t="array" ref="Q254">iferror(index(sea_lice!$J:$J,match($A254,sea_lice!$A:$A,0)))</f>
        <v/>
      </c>
      <c r="R254" s="40" t="str">
        <f t="array" ref="R254">iferror(index(dissected_fish!$F:$F,match($A254,dissected_fish!$A:$A,0)))</f>
        <v>BCA101</v>
      </c>
      <c r="S254" s="40" t="str">
        <f t="array" ref="S254">iferror(index(dissected_fish!$K:$K,match($A254,dissected_fish!$A:$A,0)))</f>
        <v>N</v>
      </c>
      <c r="T254" s="61" t="str">
        <f t="array" ref="T254">index(fish_lab_data!O:O,match(A254,fish_lab_data!C:C,0))</f>
        <v>EJ</v>
      </c>
      <c r="U254" s="61">
        <f t="array" ref="U254">if(A254="","",index(fish_lab_data!X:X,match(A254,fish_lab_data!C:C,0)))</f>
        <v>253</v>
      </c>
    </row>
    <row r="255">
      <c r="A255" t="str">
        <f>fish_lab_data!C255</f>
        <v>U5352</v>
      </c>
      <c r="B255" t="str">
        <f t="array" ref="B255">iferror(index('rna-muscle'!$I:$I,match($A255,'rna-muscle'!$A:$A,0)))</f>
        <v>BRN63M-G10</v>
      </c>
      <c r="C255" t="str">
        <f t="array" ref="C255">iferror(index('rna-muscle'!$L:$L,match($A255,'rna-muscle'!$A:$A,0)))</f>
        <v>N</v>
      </c>
      <c r="D255" t="str">
        <f t="array" ref="D255">iferror(index('rna-gill'!$I:$I,match($A255,'rna-gill'!$A:$A,0)))</f>
        <v>BRN63G-G10</v>
      </c>
      <c r="E255" t="str">
        <f t="array" ref="E255">iferror(index('rna-gill'!$L:$L,match($A255,'rna-gill'!$A:$A,0)))</f>
        <v>N</v>
      </c>
      <c r="F255" t="str">
        <f t="array" ref="F255">iferror(index(fatty_acid!$G:$G,match($A255,fatty_acid!$A:$A,0)))</f>
        <v>BFA21-94</v>
      </c>
      <c r="G255" t="str">
        <f t="array" ref="G255">iferror(index(fatty_acid!$J:$J,match($A255,fatty_acid!$A:$A,0)))</f>
        <v>N</v>
      </c>
      <c r="H255" t="str">
        <f t="array" ref="H255">iferror(index(isotopes!$G:$G,match($A255,isotopes!$A:$A,0)))</f>
        <v>BIS26-14</v>
      </c>
      <c r="I255" t="str">
        <f t="array" ref="I255">iferror(index(isotopes!$J:$J,match($A255,isotopes!$A:$A,0)))</f>
        <v>N</v>
      </c>
      <c r="J255" t="str">
        <f t="array" ref="J255">iferror(index(extra_muscle!$G:$G,match($A255,extra_muscle!$A:$A,0)))</f>
        <v>BXM23-79</v>
      </c>
      <c r="K255" t="str">
        <f t="array" ref="K255">iferror(index(extra_muscle!$J:$J,match($A255,extra_muscle!$A:$A,0)))</f>
        <v>N</v>
      </c>
      <c r="L255" s="59" t="str">
        <f t="array" ref="L255">iferror(index(dna!$G:$G,match($A255,dna!$A:$A,0)))</f>
        <v/>
      </c>
      <c r="M255" s="60" t="str">
        <f t="array" ref="M255">iferror(index(dna!$J:$J,match($A255,dna!$A:$A,0)))</f>
        <v/>
      </c>
      <c r="N255" t="str">
        <f t="array" ref="N255">iferror(index(stomachs!$G:$G,match($A255,stomachs!$A:$A,0)))</f>
        <v>BST240-16</v>
      </c>
      <c r="O255" t="str">
        <f t="array" ref="O255">iferror(index(stomachs!$J:$J,match($A255,stomachs!$A:$A,0)))</f>
        <v>N</v>
      </c>
      <c r="P255" t="str">
        <f t="array" ref="P255">iferror(index(sea_lice!$G:$G,match($A255,sea_lice!$A:$A,0)))</f>
        <v/>
      </c>
      <c r="Q255" t="str">
        <f t="array" ref="Q255">iferror(index(sea_lice!$J:$J,match($A255,sea_lice!$A:$A,0)))</f>
        <v/>
      </c>
      <c r="R255" s="40" t="str">
        <f t="array" ref="R255">iferror(index(dissected_fish!$F:$F,match($A255,dissected_fish!$A:$A,0)))</f>
        <v>BCA101</v>
      </c>
      <c r="S255" s="40" t="str">
        <f t="array" ref="S255">iferror(index(dissected_fish!$K:$K,match($A255,dissected_fish!$A:$A,0)))</f>
        <v>N</v>
      </c>
      <c r="T255" s="61" t="str">
        <f t="array" ref="T255">index(fish_lab_data!O:O,match(A255,fish_lab_data!C:C,0))</f>
        <v>EJ</v>
      </c>
      <c r="U255" s="61">
        <f t="array" ref="U255">if(A255="","",index(fish_lab_data!X:X,match(A255,fish_lab_data!C:C,0)))</f>
        <v>254</v>
      </c>
    </row>
    <row r="256">
      <c r="A256" t="str">
        <f>fish_lab_data!C256</f>
        <v>U5353</v>
      </c>
      <c r="B256" t="str">
        <f t="array" ref="B256">iferror(index('rna-muscle'!$I:$I,match($A256,'rna-muscle'!$A:$A,0)))</f>
        <v>BRN63M-F10</v>
      </c>
      <c r="C256" t="str">
        <f t="array" ref="C256">iferror(index('rna-muscle'!$L:$L,match($A256,'rna-muscle'!$A:$A,0)))</f>
        <v>N</v>
      </c>
      <c r="D256" t="str">
        <f t="array" ref="D256">iferror(index('rna-gill'!$I:$I,match($A256,'rna-gill'!$A:$A,0)))</f>
        <v>BRN63G-F10</v>
      </c>
      <c r="E256" t="str">
        <f t="array" ref="E256">iferror(index('rna-gill'!$L:$L,match($A256,'rna-gill'!$A:$A,0)))</f>
        <v>N</v>
      </c>
      <c r="F256" t="str">
        <f t="array" ref="F256">iferror(index(fatty_acid!$G:$G,match($A256,fatty_acid!$A:$A,0)))</f>
        <v>BFA21-95</v>
      </c>
      <c r="G256" t="str">
        <f t="array" ref="G256">iferror(index(fatty_acid!$J:$J,match($A256,fatty_acid!$A:$A,0)))</f>
        <v>N</v>
      </c>
      <c r="H256" t="str">
        <f t="array" ref="H256">iferror(index(isotopes!$G:$G,match($A256,isotopes!$A:$A,0)))</f>
        <v>BIS26-15</v>
      </c>
      <c r="I256" t="str">
        <f t="array" ref="I256">iferror(index(isotopes!$J:$J,match($A256,isotopes!$A:$A,0)))</f>
        <v>N</v>
      </c>
      <c r="J256" t="str">
        <f t="array" ref="J256">iferror(index(extra_muscle!$G:$G,match($A256,extra_muscle!$A:$A,0)))</f>
        <v>BXM23-80</v>
      </c>
      <c r="K256" t="str">
        <f t="array" ref="K256">iferror(index(extra_muscle!$J:$J,match($A256,extra_muscle!$A:$A,0)))</f>
        <v>N</v>
      </c>
      <c r="L256" s="59" t="str">
        <f t="array" ref="L256">iferror(index(dna!$G:$G,match($A256,dna!$A:$A,0)))</f>
        <v/>
      </c>
      <c r="M256" s="60" t="str">
        <f t="array" ref="M256">iferror(index(dna!$J:$J,match($A256,dna!$A:$A,0)))</f>
        <v/>
      </c>
      <c r="N256" t="str">
        <f t="array" ref="N256">iferror(index(stomachs!$G:$G,match($A256,stomachs!$A:$A,0)))</f>
        <v>BST240-17</v>
      </c>
      <c r="O256" t="str">
        <f t="array" ref="O256">iferror(index(stomachs!$J:$J,match($A256,stomachs!$A:$A,0)))</f>
        <v>N</v>
      </c>
      <c r="P256" t="str">
        <f t="array" ref="P256">iferror(index(sea_lice!$G:$G,match($A256,sea_lice!$A:$A,0)))</f>
        <v/>
      </c>
      <c r="Q256" t="str">
        <f t="array" ref="Q256">iferror(index(sea_lice!$J:$J,match($A256,sea_lice!$A:$A,0)))</f>
        <v/>
      </c>
      <c r="R256" s="40" t="str">
        <f t="array" ref="R256">iferror(index(dissected_fish!$F:$F,match($A256,dissected_fish!$A:$A,0)))</f>
        <v>BCA101</v>
      </c>
      <c r="S256" s="40" t="str">
        <f t="array" ref="S256">iferror(index(dissected_fish!$K:$K,match($A256,dissected_fish!$A:$A,0)))</f>
        <v>N</v>
      </c>
      <c r="T256" s="61" t="str">
        <f t="array" ref="T256">index(fish_lab_data!O:O,match(A256,fish_lab_data!C:C,0))</f>
        <v>EJ</v>
      </c>
      <c r="U256" s="61">
        <f t="array" ref="U256">if(A256="","",index(fish_lab_data!X:X,match(A256,fish_lab_data!C:C,0)))</f>
        <v>255</v>
      </c>
    </row>
    <row r="257">
      <c r="A257" t="str">
        <f>fish_lab_data!C257</f>
        <v>U5354</v>
      </c>
      <c r="B257" t="str">
        <f t="array" ref="B257">iferror(index('rna-muscle'!$I:$I,match($A257,'rna-muscle'!$A:$A,0)))</f>
        <v>BRN63M-E10</v>
      </c>
      <c r="C257" t="str">
        <f t="array" ref="C257">iferror(index('rna-muscle'!$L:$L,match($A257,'rna-muscle'!$A:$A,0)))</f>
        <v>N</v>
      </c>
      <c r="D257" t="str">
        <f t="array" ref="D257">iferror(index('rna-gill'!$I:$I,match($A257,'rna-gill'!$A:$A,0)))</f>
        <v>BRN63G-E10</v>
      </c>
      <c r="E257" t="str">
        <f t="array" ref="E257">iferror(index('rna-gill'!$L:$L,match($A257,'rna-gill'!$A:$A,0)))</f>
        <v>N</v>
      </c>
      <c r="F257" t="str">
        <f t="array" ref="F257">iferror(index(fatty_acid!$G:$G,match($A257,fatty_acid!$A:$A,0)))</f>
        <v>BFA21-97</v>
      </c>
      <c r="G257" t="str">
        <f t="array" ref="G257">iferror(index(fatty_acid!$J:$J,match($A257,fatty_acid!$A:$A,0)))</f>
        <v>N</v>
      </c>
      <c r="H257" t="str">
        <f t="array" ref="H257">iferror(index(isotopes!$G:$G,match($A257,isotopes!$A:$A,0)))</f>
        <v>BIS26-16</v>
      </c>
      <c r="I257" t="str">
        <f t="array" ref="I257">iferror(index(isotopes!$J:$J,match($A257,isotopes!$A:$A,0)))</f>
        <v>N</v>
      </c>
      <c r="J257" t="str">
        <f t="array" ref="J257">iferror(index(extra_muscle!$G:$G,match($A257,extra_muscle!$A:$A,0)))</f>
        <v>BXM23-81</v>
      </c>
      <c r="K257" t="str">
        <f t="array" ref="K257">iferror(index(extra_muscle!$J:$J,match($A257,extra_muscle!$A:$A,0)))</f>
        <v>N</v>
      </c>
      <c r="L257" s="59" t="str">
        <f t="array" ref="L257">iferror(index(dna!$G:$G,match($A257,dna!$A:$A,0)))</f>
        <v/>
      </c>
      <c r="M257" s="60" t="str">
        <f t="array" ref="M257">iferror(index(dna!$J:$J,match($A257,dna!$A:$A,0)))</f>
        <v/>
      </c>
      <c r="N257" t="str">
        <f t="array" ref="N257">iferror(index(stomachs!$G:$G,match($A257,stomachs!$A:$A,0)))</f>
        <v>BST240-18</v>
      </c>
      <c r="O257" t="str">
        <f t="array" ref="O257">iferror(index(stomachs!$J:$J,match($A257,stomachs!$A:$A,0)))</f>
        <v>N</v>
      </c>
      <c r="P257" t="str">
        <f t="array" ref="P257">iferror(index(sea_lice!$G:$G,match($A257,sea_lice!$A:$A,0)))</f>
        <v/>
      </c>
      <c r="Q257" t="str">
        <f t="array" ref="Q257">iferror(index(sea_lice!$J:$J,match($A257,sea_lice!$A:$A,0)))</f>
        <v/>
      </c>
      <c r="R257" s="40" t="str">
        <f t="array" ref="R257">iferror(index(dissected_fish!$F:$F,match($A257,dissected_fish!$A:$A,0)))</f>
        <v>BCA101</v>
      </c>
      <c r="S257" s="40" t="str">
        <f t="array" ref="S257">iferror(index(dissected_fish!$K:$K,match($A257,dissected_fish!$A:$A,0)))</f>
        <v>N</v>
      </c>
      <c r="T257" s="61" t="str">
        <f t="array" ref="T257">index(fish_lab_data!O:O,match(A257,fish_lab_data!C:C,0))</f>
        <v>EJ</v>
      </c>
      <c r="U257" s="61">
        <f t="array" ref="U257">if(A257="","",index(fish_lab_data!X:X,match(A257,fish_lab_data!C:C,0)))</f>
        <v>256</v>
      </c>
    </row>
    <row r="258">
      <c r="A258" t="str">
        <f>fish_lab_data!C258</f>
        <v>U5355</v>
      </c>
      <c r="B258" t="str">
        <f t="array" ref="B258">iferror(index('rna-muscle'!$I:$I,match($A258,'rna-muscle'!$A:$A,0)))</f>
        <v>BRN63M-D10</v>
      </c>
      <c r="C258" t="str">
        <f t="array" ref="C258">iferror(index('rna-muscle'!$L:$L,match($A258,'rna-muscle'!$A:$A,0)))</f>
        <v>N</v>
      </c>
      <c r="D258" t="str">
        <f t="array" ref="D258">iferror(index('rna-gill'!$I:$I,match($A258,'rna-gill'!$A:$A,0)))</f>
        <v>BRN63G-D10</v>
      </c>
      <c r="E258" t="str">
        <f t="array" ref="E258">iferror(index('rna-gill'!$L:$L,match($A258,'rna-gill'!$A:$A,0)))</f>
        <v>N</v>
      </c>
      <c r="F258" t="str">
        <f t="array" ref="F258">iferror(index(fatty_acid!$G:$G,match($A258,fatty_acid!$A:$A,0)))</f>
        <v>BFA21-98</v>
      </c>
      <c r="G258" t="str">
        <f t="array" ref="G258">iferror(index(fatty_acid!$J:$J,match($A258,fatty_acid!$A:$A,0)))</f>
        <v>N</v>
      </c>
      <c r="H258" t="str">
        <f t="array" ref="H258">iferror(index(isotopes!$G:$G,match($A258,isotopes!$A:$A,0)))</f>
        <v>BIS26-17</v>
      </c>
      <c r="I258" t="str">
        <f t="array" ref="I258">iferror(index(isotopes!$J:$J,match($A258,isotopes!$A:$A,0)))</f>
        <v>N</v>
      </c>
      <c r="J258" t="str">
        <f t="array" ref="J258">iferror(index(extra_muscle!$G:$G,match($A258,extra_muscle!$A:$A,0)))</f>
        <v>BXM23-82</v>
      </c>
      <c r="K258" t="str">
        <f t="array" ref="K258">iferror(index(extra_muscle!$J:$J,match($A258,extra_muscle!$A:$A,0)))</f>
        <v>N</v>
      </c>
      <c r="L258" s="59" t="str">
        <f t="array" ref="L258">iferror(index(dna!$G:$G,match($A258,dna!$A:$A,0)))</f>
        <v/>
      </c>
      <c r="M258" s="60" t="str">
        <f t="array" ref="M258">iferror(index(dna!$J:$J,match($A258,dna!$A:$A,0)))</f>
        <v/>
      </c>
      <c r="N258" t="str">
        <f t="array" ref="N258">iferror(index(stomachs!$G:$G,match($A258,stomachs!$A:$A,0)))</f>
        <v>BST240-19</v>
      </c>
      <c r="O258" t="str">
        <f t="array" ref="O258">iferror(index(stomachs!$J:$J,match($A258,stomachs!$A:$A,0)))</f>
        <v>N</v>
      </c>
      <c r="P258" t="str">
        <f t="array" ref="P258">iferror(index(sea_lice!$G:$G,match($A258,sea_lice!$A:$A,0)))</f>
        <v/>
      </c>
      <c r="Q258" t="str">
        <f t="array" ref="Q258">iferror(index(sea_lice!$J:$J,match($A258,sea_lice!$A:$A,0)))</f>
        <v/>
      </c>
      <c r="R258" s="40" t="str">
        <f t="array" ref="R258">iferror(index(dissected_fish!$F:$F,match($A258,dissected_fish!$A:$A,0)))</f>
        <v>BCA101</v>
      </c>
      <c r="S258" s="40" t="str">
        <f t="array" ref="S258">iferror(index(dissected_fish!$K:$K,match($A258,dissected_fish!$A:$A,0)))</f>
        <v>N</v>
      </c>
      <c r="T258" s="61" t="str">
        <f t="array" ref="T258">index(fish_lab_data!O:O,match(A258,fish_lab_data!C:C,0))</f>
        <v>EJ</v>
      </c>
      <c r="U258" s="61">
        <f t="array" ref="U258">if(A258="","",index(fish_lab_data!X:X,match(A258,fish_lab_data!C:C,0)))</f>
        <v>257</v>
      </c>
    </row>
    <row r="259">
      <c r="A259" t="str">
        <f>fish_lab_data!C259</f>
        <v>U5356</v>
      </c>
      <c r="B259" t="str">
        <f t="array" ref="B259">iferror(index('rna-muscle'!$I:$I,match($A259,'rna-muscle'!$A:$A,0)))</f>
        <v>BRN63M-C10</v>
      </c>
      <c r="C259" t="str">
        <f t="array" ref="C259">iferror(index('rna-muscle'!$L:$L,match($A259,'rna-muscle'!$A:$A,0)))</f>
        <v>N</v>
      </c>
      <c r="D259" t="str">
        <f t="array" ref="D259">iferror(index('rna-gill'!$I:$I,match($A259,'rna-gill'!$A:$A,0)))</f>
        <v>BRN63G-C10</v>
      </c>
      <c r="E259" t="str">
        <f t="array" ref="E259">iferror(index('rna-gill'!$L:$L,match($A259,'rna-gill'!$A:$A,0)))</f>
        <v>N</v>
      </c>
      <c r="F259" t="str">
        <f t="array" ref="F259">iferror(index(fatty_acid!$G:$G,match($A259,fatty_acid!$A:$A,0)))</f>
        <v>BFA21-99</v>
      </c>
      <c r="G259" t="str">
        <f t="array" ref="G259">iferror(index(fatty_acid!$J:$J,match($A259,fatty_acid!$A:$A,0)))</f>
        <v>N</v>
      </c>
      <c r="H259" t="str">
        <f t="array" ref="H259">iferror(index(isotopes!$G:$G,match($A259,isotopes!$A:$A,0)))</f>
        <v>BIS26-18</v>
      </c>
      <c r="I259" t="str">
        <f t="array" ref="I259">iferror(index(isotopes!$J:$J,match($A259,isotopes!$A:$A,0)))</f>
        <v>N</v>
      </c>
      <c r="J259" t="str">
        <f t="array" ref="J259">iferror(index(extra_muscle!$G:$G,match($A259,extra_muscle!$A:$A,0)))</f>
        <v>BXM23-83</v>
      </c>
      <c r="K259" t="str">
        <f t="array" ref="K259">iferror(index(extra_muscle!$J:$J,match($A259,extra_muscle!$A:$A,0)))</f>
        <v>N</v>
      </c>
      <c r="L259" s="59" t="str">
        <f t="array" ref="L259">iferror(index(dna!$G:$G,match($A259,dna!$A:$A,0)))</f>
        <v/>
      </c>
      <c r="M259" s="60" t="str">
        <f t="array" ref="M259">iferror(index(dna!$J:$J,match($A259,dna!$A:$A,0)))</f>
        <v/>
      </c>
      <c r="N259" t="str">
        <f t="array" ref="N259">iferror(index(stomachs!$G:$G,match($A259,stomachs!$A:$A,0)))</f>
        <v>BST240-20</v>
      </c>
      <c r="O259" t="str">
        <f t="array" ref="O259">iferror(index(stomachs!$J:$J,match($A259,stomachs!$A:$A,0)))</f>
        <v>N</v>
      </c>
      <c r="P259" t="str">
        <f t="array" ref="P259">iferror(index(sea_lice!$G:$G,match($A259,sea_lice!$A:$A,0)))</f>
        <v/>
      </c>
      <c r="Q259" t="str">
        <f t="array" ref="Q259">iferror(index(sea_lice!$J:$J,match($A259,sea_lice!$A:$A,0)))</f>
        <v/>
      </c>
      <c r="R259" s="40" t="str">
        <f t="array" ref="R259">iferror(index(dissected_fish!$F:$F,match($A259,dissected_fish!$A:$A,0)))</f>
        <v>BCA101</v>
      </c>
      <c r="S259" s="40" t="str">
        <f t="array" ref="S259">iferror(index(dissected_fish!$K:$K,match($A259,dissected_fish!$A:$A,0)))</f>
        <v>N</v>
      </c>
      <c r="T259" s="61" t="str">
        <f t="array" ref="T259">index(fish_lab_data!O:O,match(A259,fish_lab_data!C:C,0))</f>
        <v>EJ</v>
      </c>
      <c r="U259" s="61">
        <f t="array" ref="U259">if(A259="","",index(fish_lab_data!X:X,match(A259,fish_lab_data!C:C,0)))</f>
        <v>258</v>
      </c>
    </row>
    <row r="260">
      <c r="A260" t="str">
        <f>fish_lab_data!C260</f>
        <v>U5302</v>
      </c>
      <c r="B260" t="str">
        <f t="array" ref="B260">iferror(index('rna-muscle'!$I:$I,match($A260,'rna-muscle'!$A:$A,0)))</f>
        <v>BRN63M-H11</v>
      </c>
      <c r="C260" t="str">
        <f t="array" ref="C260">iferror(index('rna-muscle'!$L:$L,match($A260,'rna-muscle'!$A:$A,0)))</f>
        <v>N</v>
      </c>
      <c r="D260" t="str">
        <f t="array" ref="D260">iferror(index('rna-gill'!$I:$I,match($A260,'rna-gill'!$A:$A,0)))</f>
        <v>BRN63G-H11</v>
      </c>
      <c r="E260" t="str">
        <f t="array" ref="E260">iferror(index('rna-gill'!$L:$L,match($A260,'rna-gill'!$A:$A,0)))</f>
        <v>N</v>
      </c>
      <c r="F260" t="str">
        <f t="array" ref="F260">iferror(index(fatty_acid!$G:$G,match($A260,fatty_acid!$A:$A,0)))</f>
        <v>BFA22-5</v>
      </c>
      <c r="G260" t="str">
        <f t="array" ref="G260">iferror(index(fatty_acid!$J:$J,match($A260,fatty_acid!$A:$A,0)))</f>
        <v>N</v>
      </c>
      <c r="H260" t="str">
        <f t="array" ref="H260">iferror(index(isotopes!$G:$G,match($A260,isotopes!$A:$A,0)))</f>
        <v>BIS23-61</v>
      </c>
      <c r="I260" t="str">
        <f t="array" ref="I260">iferror(index(isotopes!$J:$J,match($A260,isotopes!$A:$A,0)))</f>
        <v>N</v>
      </c>
      <c r="J260" t="str">
        <f t="array" ref="J260">iferror(index(extra_muscle!$G:$G,match($A260,extra_muscle!$A:$A,0)))</f>
        <v>BXM16-77</v>
      </c>
      <c r="K260" t="str">
        <f t="array" ref="K260">iferror(index(extra_muscle!$J:$J,match($A260,extra_muscle!$A:$A,0)))</f>
        <v>N</v>
      </c>
      <c r="L260" s="59" t="str">
        <f t="array" ref="L260">iferror(index(dna!$G:$G,match($A260,dna!$A:$A,0)))</f>
        <v/>
      </c>
      <c r="M260" s="60" t="str">
        <f t="array" ref="M260">iferror(index(dna!$J:$J,match($A260,dna!$A:$A,0)))</f>
        <v/>
      </c>
      <c r="N260" t="str">
        <f t="array" ref="N260">iferror(index(stomachs!$G:$G,match($A260,stomachs!$A:$A,0)))</f>
        <v>BST239-1</v>
      </c>
      <c r="O260" t="str">
        <f t="array" ref="O260">iferror(index(stomachs!$J:$J,match($A260,stomachs!$A:$A,0)))</f>
        <v>N</v>
      </c>
      <c r="P260" t="str">
        <f t="array" ref="P260">iferror(index(sea_lice!$G:$G,match($A260,sea_lice!$A:$A,0)))</f>
        <v/>
      </c>
      <c r="Q260" t="str">
        <f t="array" ref="Q260">iferror(index(sea_lice!$J:$J,match($A260,sea_lice!$A:$A,0)))</f>
        <v/>
      </c>
      <c r="R260" s="40" t="str">
        <f t="array" ref="R260">iferror(index(dissected_fish!$F:$F,match($A260,dissected_fish!$A:$A,0)))</f>
        <v>BCA101</v>
      </c>
      <c r="S260" s="40" t="str">
        <f t="array" ref="S260">iferror(index(dissected_fish!$K:$K,match($A260,dissected_fish!$A:$A,0)))</f>
        <v>N</v>
      </c>
      <c r="T260" s="61" t="str">
        <f t="array" ref="T260">index(fish_lab_data!O:O,match(A260,fish_lab_data!C:C,0))</f>
        <v>JG</v>
      </c>
      <c r="U260" s="61">
        <f t="array" ref="U260">if(A260="","",index(fish_lab_data!X:X,match(A260,fish_lab_data!C:C,0)))</f>
        <v>259</v>
      </c>
    </row>
    <row r="261">
      <c r="A261" t="str">
        <f>fish_lab_data!C261</f>
        <v>U5303</v>
      </c>
      <c r="B261" t="str">
        <f t="array" ref="B261">iferror(index('rna-muscle'!$I:$I,match($A261,'rna-muscle'!$A:$A,0)))</f>
        <v>BRN63M-G11</v>
      </c>
      <c r="C261" t="str">
        <f t="array" ref="C261">iferror(index('rna-muscle'!$L:$L,match($A261,'rna-muscle'!$A:$A,0)))</f>
        <v>N</v>
      </c>
      <c r="D261" t="str">
        <f t="array" ref="D261">iferror(index('rna-gill'!$I:$I,match($A261,'rna-gill'!$A:$A,0)))</f>
        <v>BRN63G-G11</v>
      </c>
      <c r="E261" t="str">
        <f t="array" ref="E261">iferror(index('rna-gill'!$L:$L,match($A261,'rna-gill'!$A:$A,0)))</f>
        <v>N</v>
      </c>
      <c r="F261" t="str">
        <f t="array" ref="F261">iferror(index(fatty_acid!$G:$G,match($A261,fatty_acid!$A:$A,0)))</f>
        <v>BFA22-6</v>
      </c>
      <c r="G261" t="str">
        <f t="array" ref="G261">iferror(index(fatty_acid!$J:$J,match($A261,fatty_acid!$A:$A,0)))</f>
        <v>N</v>
      </c>
      <c r="H261" t="str">
        <f t="array" ref="H261">iferror(index(isotopes!$G:$G,match($A261,isotopes!$A:$A,0)))</f>
        <v>BIS23-63</v>
      </c>
      <c r="I261" t="str">
        <f t="array" ref="I261">iferror(index(isotopes!$J:$J,match($A261,isotopes!$A:$A,0)))</f>
        <v>N</v>
      </c>
      <c r="J261" t="str">
        <f t="array" ref="J261">iferror(index(extra_muscle!$G:$G,match($A261,extra_muscle!$A:$A,0)))</f>
        <v>BXM16-78</v>
      </c>
      <c r="K261" t="str">
        <f t="array" ref="K261">iferror(index(extra_muscle!$J:$J,match($A261,extra_muscle!$A:$A,0)))</f>
        <v>N</v>
      </c>
      <c r="L261" s="59" t="str">
        <f t="array" ref="L261">iferror(index(dna!$G:$G,match($A261,dna!$A:$A,0)))</f>
        <v/>
      </c>
      <c r="M261" s="60" t="str">
        <f t="array" ref="M261">iferror(index(dna!$J:$J,match($A261,dna!$A:$A,0)))</f>
        <v/>
      </c>
      <c r="N261" t="str">
        <f t="array" ref="N261">iferror(index(stomachs!$G:$G,match($A261,stomachs!$A:$A,0)))</f>
        <v>BST239-2</v>
      </c>
      <c r="O261" t="str">
        <f t="array" ref="O261">iferror(index(stomachs!$J:$J,match($A261,stomachs!$A:$A,0)))</f>
        <v>N</v>
      </c>
      <c r="P261" t="str">
        <f t="array" ref="P261">iferror(index(sea_lice!$G:$G,match($A261,sea_lice!$A:$A,0)))</f>
        <v/>
      </c>
      <c r="Q261" t="str">
        <f t="array" ref="Q261">iferror(index(sea_lice!$J:$J,match($A261,sea_lice!$A:$A,0)))</f>
        <v/>
      </c>
      <c r="R261" s="40" t="str">
        <f t="array" ref="R261">iferror(index(dissected_fish!$F:$F,match($A261,dissected_fish!$A:$A,0)))</f>
        <v>BCA101</v>
      </c>
      <c r="S261" s="40" t="str">
        <f t="array" ref="S261">iferror(index(dissected_fish!$K:$K,match($A261,dissected_fish!$A:$A,0)))</f>
        <v>N</v>
      </c>
      <c r="T261" s="61" t="str">
        <f t="array" ref="T261">index(fish_lab_data!O:O,match(A261,fish_lab_data!C:C,0))</f>
        <v>JG</v>
      </c>
      <c r="U261" s="61">
        <f t="array" ref="U261">if(A261="","",index(fish_lab_data!X:X,match(A261,fish_lab_data!C:C,0)))</f>
        <v>260</v>
      </c>
    </row>
    <row r="262">
      <c r="A262" t="str">
        <f>fish_lab_data!C262</f>
        <v>U5304</v>
      </c>
      <c r="B262" t="str">
        <f t="array" ref="B262">iferror(index('rna-muscle'!$I:$I,match($A262,'rna-muscle'!$A:$A,0)))</f>
        <v>BRN63M-F11</v>
      </c>
      <c r="C262" t="str">
        <f t="array" ref="C262">iferror(index('rna-muscle'!$L:$L,match($A262,'rna-muscle'!$A:$A,0)))</f>
        <v>N</v>
      </c>
      <c r="D262" t="str">
        <f t="array" ref="D262">iferror(index('rna-gill'!$I:$I,match($A262,'rna-gill'!$A:$A,0)))</f>
        <v>BRN63G-F11</v>
      </c>
      <c r="E262" t="str">
        <f t="array" ref="E262">iferror(index('rna-gill'!$L:$L,match($A262,'rna-gill'!$A:$A,0)))</f>
        <v>N</v>
      </c>
      <c r="F262" t="str">
        <f t="array" ref="F262">iferror(index(fatty_acid!$G:$G,match($A262,fatty_acid!$A:$A,0)))</f>
        <v>BFA22-7</v>
      </c>
      <c r="G262" t="str">
        <f t="array" ref="G262">iferror(index(fatty_acid!$J:$J,match($A262,fatty_acid!$A:$A,0)))</f>
        <v>N</v>
      </c>
      <c r="H262" t="str">
        <f t="array" ref="H262">iferror(index(isotopes!$G:$G,match($A262,isotopes!$A:$A,0)))</f>
        <v>BIS23-65</v>
      </c>
      <c r="I262" t="str">
        <f t="array" ref="I262">iferror(index(isotopes!$J:$J,match($A262,isotopes!$A:$A,0)))</f>
        <v>N</v>
      </c>
      <c r="J262" t="str">
        <f t="array" ref="J262">iferror(index(extra_muscle!$G:$G,match($A262,extra_muscle!$A:$A,0)))</f>
        <v>BXM16-79</v>
      </c>
      <c r="K262" t="str">
        <f t="array" ref="K262">iferror(index(extra_muscle!$J:$J,match($A262,extra_muscle!$A:$A,0)))</f>
        <v>N</v>
      </c>
      <c r="L262" s="59" t="str">
        <f t="array" ref="L262">iferror(index(dna!$G:$G,match($A262,dna!$A:$A,0)))</f>
        <v/>
      </c>
      <c r="M262" s="60" t="str">
        <f t="array" ref="M262">iferror(index(dna!$J:$J,match($A262,dna!$A:$A,0)))</f>
        <v/>
      </c>
      <c r="N262" t="str">
        <f t="array" ref="N262">iferror(index(stomachs!$G:$G,match($A262,stomachs!$A:$A,0)))</f>
        <v>BST239-3</v>
      </c>
      <c r="O262" t="str">
        <f t="array" ref="O262">iferror(index(stomachs!$J:$J,match($A262,stomachs!$A:$A,0)))</f>
        <v>N</v>
      </c>
      <c r="P262" t="str">
        <f t="array" ref="P262">iferror(index(sea_lice!$G:$G,match($A262,sea_lice!$A:$A,0)))</f>
        <v/>
      </c>
      <c r="Q262" t="str">
        <f t="array" ref="Q262">iferror(index(sea_lice!$J:$J,match($A262,sea_lice!$A:$A,0)))</f>
        <v/>
      </c>
      <c r="R262" s="40" t="str">
        <f t="array" ref="R262">iferror(index(dissected_fish!$F:$F,match($A262,dissected_fish!$A:$A,0)))</f>
        <v>BCA101</v>
      </c>
      <c r="S262" s="40" t="str">
        <f t="array" ref="S262">iferror(index(dissected_fish!$K:$K,match($A262,dissected_fish!$A:$A,0)))</f>
        <v>N</v>
      </c>
      <c r="T262" s="61" t="str">
        <f t="array" ref="T262">index(fish_lab_data!O:O,match(A262,fish_lab_data!C:C,0))</f>
        <v>JG</v>
      </c>
      <c r="U262" s="61">
        <f t="array" ref="U262">if(A262="","",index(fish_lab_data!X:X,match(A262,fish_lab_data!C:C,0)))</f>
        <v>261</v>
      </c>
    </row>
    <row r="263">
      <c r="A263" t="str">
        <f>fish_lab_data!C263</f>
        <v>U5305</v>
      </c>
      <c r="B263" t="str">
        <f t="array" ref="B263">iferror(index('rna-muscle'!$I:$I,match($A263,'rna-muscle'!$A:$A,0)))</f>
        <v>BRN63M-E11</v>
      </c>
      <c r="C263" t="str">
        <f t="array" ref="C263">iferror(index('rna-muscle'!$L:$L,match($A263,'rna-muscle'!$A:$A,0)))</f>
        <v>N</v>
      </c>
      <c r="D263" t="str">
        <f t="array" ref="D263">iferror(index('rna-gill'!$I:$I,match($A263,'rna-gill'!$A:$A,0)))</f>
        <v>BRN63G-E11</v>
      </c>
      <c r="E263" t="str">
        <f t="array" ref="E263">iferror(index('rna-gill'!$L:$L,match($A263,'rna-gill'!$A:$A,0)))</f>
        <v>N</v>
      </c>
      <c r="F263" t="str">
        <f t="array" ref="F263">iferror(index(fatty_acid!$G:$G,match($A263,fatty_acid!$A:$A,0)))</f>
        <v>BFA22-8</v>
      </c>
      <c r="G263" t="str">
        <f t="array" ref="G263">iferror(index(fatty_acid!$J:$J,match($A263,fatty_acid!$A:$A,0)))</f>
        <v>N</v>
      </c>
      <c r="H263" t="str">
        <f t="array" ref="H263">iferror(index(isotopes!$G:$G,match($A263,isotopes!$A:$A,0)))</f>
        <v>BIS23-67</v>
      </c>
      <c r="I263" t="str">
        <f t="array" ref="I263">iferror(index(isotopes!$J:$J,match($A263,isotopes!$A:$A,0)))</f>
        <v>N</v>
      </c>
      <c r="J263" t="str">
        <f t="array" ref="J263">iferror(index(extra_muscle!$G:$G,match($A263,extra_muscle!$A:$A,0)))</f>
        <v>BXM16-80</v>
      </c>
      <c r="K263" t="str">
        <f t="array" ref="K263">iferror(index(extra_muscle!$J:$J,match($A263,extra_muscle!$A:$A,0)))</f>
        <v>N</v>
      </c>
      <c r="L263" s="59" t="str">
        <f t="array" ref="L263">iferror(index(dna!$G:$G,match($A263,dna!$A:$A,0)))</f>
        <v/>
      </c>
      <c r="M263" s="60" t="str">
        <f t="array" ref="M263">iferror(index(dna!$J:$J,match($A263,dna!$A:$A,0)))</f>
        <v/>
      </c>
      <c r="N263" t="str">
        <f t="array" ref="N263">iferror(index(stomachs!$G:$G,match($A263,stomachs!$A:$A,0)))</f>
        <v>BST239-4</v>
      </c>
      <c r="O263" t="str">
        <f t="array" ref="O263">iferror(index(stomachs!$J:$J,match($A263,stomachs!$A:$A,0)))</f>
        <v>N</v>
      </c>
      <c r="P263" t="str">
        <f t="array" ref="P263">iferror(index(sea_lice!$G:$G,match($A263,sea_lice!$A:$A,0)))</f>
        <v/>
      </c>
      <c r="Q263" t="str">
        <f t="array" ref="Q263">iferror(index(sea_lice!$J:$J,match($A263,sea_lice!$A:$A,0)))</f>
        <v/>
      </c>
      <c r="R263" s="40" t="str">
        <f t="array" ref="R263">iferror(index(dissected_fish!$F:$F,match($A263,dissected_fish!$A:$A,0)))</f>
        <v>BCA101</v>
      </c>
      <c r="S263" s="40" t="str">
        <f t="array" ref="S263">iferror(index(dissected_fish!$K:$K,match($A263,dissected_fish!$A:$A,0)))</f>
        <v>N</v>
      </c>
      <c r="T263" s="61" t="str">
        <f t="array" ref="T263">index(fish_lab_data!O:O,match(A263,fish_lab_data!C:C,0))</f>
        <v>JG</v>
      </c>
      <c r="U263" s="61">
        <f t="array" ref="U263">if(A263="","",index(fish_lab_data!X:X,match(A263,fish_lab_data!C:C,0)))</f>
        <v>262</v>
      </c>
    </row>
    <row r="264">
      <c r="A264" t="str">
        <f>fish_lab_data!C264</f>
        <v>U5306</v>
      </c>
      <c r="B264" t="str">
        <f t="array" ref="B264">iferror(index('rna-muscle'!$I:$I,match($A264,'rna-muscle'!$A:$A,0)))</f>
        <v>BRN63M-D11</v>
      </c>
      <c r="C264" t="str">
        <f t="array" ref="C264">iferror(index('rna-muscle'!$L:$L,match($A264,'rna-muscle'!$A:$A,0)))</f>
        <v>N</v>
      </c>
      <c r="D264" t="str">
        <f t="array" ref="D264">iferror(index('rna-gill'!$I:$I,match($A264,'rna-gill'!$A:$A,0)))</f>
        <v>BRN63G-D11</v>
      </c>
      <c r="E264" t="str">
        <f t="array" ref="E264">iferror(index('rna-gill'!$L:$L,match($A264,'rna-gill'!$A:$A,0)))</f>
        <v>N</v>
      </c>
      <c r="F264" t="str">
        <f t="array" ref="F264">iferror(index(fatty_acid!$G:$G,match($A264,fatty_acid!$A:$A,0)))</f>
        <v>BFA22-9</v>
      </c>
      <c r="G264" t="str">
        <f t="array" ref="G264">iferror(index(fatty_acid!$J:$J,match($A264,fatty_acid!$A:$A,0)))</f>
        <v>N</v>
      </c>
      <c r="H264" t="str">
        <f t="array" ref="H264">iferror(index(isotopes!$G:$G,match($A264,isotopes!$A:$A,0)))</f>
        <v>BIS23-69</v>
      </c>
      <c r="I264" t="str">
        <f t="array" ref="I264">iferror(index(isotopes!$J:$J,match($A264,isotopes!$A:$A,0)))</f>
        <v>N</v>
      </c>
      <c r="J264" t="str">
        <f t="array" ref="J264">iferror(index(extra_muscle!$G:$G,match($A264,extra_muscle!$A:$A,0)))</f>
        <v>BXM16-81</v>
      </c>
      <c r="K264" t="str">
        <f t="array" ref="K264">iferror(index(extra_muscle!$J:$J,match($A264,extra_muscle!$A:$A,0)))</f>
        <v>N</v>
      </c>
      <c r="L264" s="59" t="str">
        <f t="array" ref="L264">iferror(index(dna!$G:$G,match($A264,dna!$A:$A,0)))</f>
        <v/>
      </c>
      <c r="M264" s="60" t="str">
        <f t="array" ref="M264">iferror(index(dna!$J:$J,match($A264,dna!$A:$A,0)))</f>
        <v/>
      </c>
      <c r="N264" t="str">
        <f t="array" ref="N264">iferror(index(stomachs!$G:$G,match($A264,stomachs!$A:$A,0)))</f>
        <v>BST239-5</v>
      </c>
      <c r="O264" t="str">
        <f t="array" ref="O264">iferror(index(stomachs!$J:$J,match($A264,stomachs!$A:$A,0)))</f>
        <v>N</v>
      </c>
      <c r="P264" t="str">
        <f t="array" ref="P264">iferror(index(sea_lice!$G:$G,match($A264,sea_lice!$A:$A,0)))</f>
        <v/>
      </c>
      <c r="Q264" t="str">
        <f t="array" ref="Q264">iferror(index(sea_lice!$J:$J,match($A264,sea_lice!$A:$A,0)))</f>
        <v/>
      </c>
      <c r="R264" s="40" t="str">
        <f t="array" ref="R264">iferror(index(dissected_fish!$F:$F,match($A264,dissected_fish!$A:$A,0)))</f>
        <v>BCA101</v>
      </c>
      <c r="S264" s="40" t="str">
        <f t="array" ref="S264">iferror(index(dissected_fish!$K:$K,match($A264,dissected_fish!$A:$A,0)))</f>
        <v>N</v>
      </c>
      <c r="T264" s="61" t="str">
        <f t="array" ref="T264">index(fish_lab_data!O:O,match(A264,fish_lab_data!C:C,0))</f>
        <v>JG</v>
      </c>
      <c r="U264" s="61">
        <f t="array" ref="U264">if(A264="","",index(fish_lab_data!X:X,match(A264,fish_lab_data!C:C,0)))</f>
        <v>263</v>
      </c>
    </row>
    <row r="265">
      <c r="A265" t="str">
        <f>fish_lab_data!C265</f>
        <v>U5307</v>
      </c>
      <c r="B265" t="str">
        <f t="array" ref="B265">iferror(index('rna-muscle'!$I:$I,match($A265,'rna-muscle'!$A:$A,0)))</f>
        <v>BRN63M-C11</v>
      </c>
      <c r="C265" t="str">
        <f t="array" ref="C265">iferror(index('rna-muscle'!$L:$L,match($A265,'rna-muscle'!$A:$A,0)))</f>
        <v>N</v>
      </c>
      <c r="D265" t="str">
        <f t="array" ref="D265">iferror(index('rna-gill'!$I:$I,match($A265,'rna-gill'!$A:$A,0)))</f>
        <v>BRN63G-C11</v>
      </c>
      <c r="E265" t="str">
        <f t="array" ref="E265">iferror(index('rna-gill'!$L:$L,match($A265,'rna-gill'!$A:$A,0)))</f>
        <v>N</v>
      </c>
      <c r="F265" t="str">
        <f t="array" ref="F265">iferror(index(fatty_acid!$G:$G,match($A265,fatty_acid!$A:$A,0)))</f>
        <v>BFA22-10</v>
      </c>
      <c r="G265" t="str">
        <f t="array" ref="G265">iferror(index(fatty_acid!$J:$J,match($A265,fatty_acid!$A:$A,0)))</f>
        <v>N</v>
      </c>
      <c r="H265" t="str">
        <f t="array" ref="H265">iferror(index(isotopes!$G:$G,match($A265,isotopes!$A:$A,0)))</f>
        <v>BIS23-72</v>
      </c>
      <c r="I265" t="str">
        <f t="array" ref="I265">iferror(index(isotopes!$J:$J,match($A265,isotopes!$A:$A,0)))</f>
        <v>N</v>
      </c>
      <c r="J265" t="str">
        <f t="array" ref="J265">iferror(index(extra_muscle!$G:$G,match($A265,extra_muscle!$A:$A,0)))</f>
        <v>BXM16-82</v>
      </c>
      <c r="K265" t="str">
        <f t="array" ref="K265">iferror(index(extra_muscle!$J:$J,match($A265,extra_muscle!$A:$A,0)))</f>
        <v>N</v>
      </c>
      <c r="L265" s="59" t="str">
        <f t="array" ref="L265">iferror(index(dna!$G:$G,match($A265,dna!$A:$A,0)))</f>
        <v/>
      </c>
      <c r="M265" s="60" t="str">
        <f t="array" ref="M265">iferror(index(dna!$J:$J,match($A265,dna!$A:$A,0)))</f>
        <v/>
      </c>
      <c r="N265" t="str">
        <f t="array" ref="N265">iferror(index(stomachs!$G:$G,match($A265,stomachs!$A:$A,0)))</f>
        <v>BST239-6</v>
      </c>
      <c r="O265" t="str">
        <f t="array" ref="O265">iferror(index(stomachs!$J:$J,match($A265,stomachs!$A:$A,0)))</f>
        <v>N</v>
      </c>
      <c r="P265" t="str">
        <f t="array" ref="P265">iferror(index(sea_lice!$G:$G,match($A265,sea_lice!$A:$A,0)))</f>
        <v/>
      </c>
      <c r="Q265" t="str">
        <f t="array" ref="Q265">iferror(index(sea_lice!$J:$J,match($A265,sea_lice!$A:$A,0)))</f>
        <v/>
      </c>
      <c r="R265" s="40" t="str">
        <f t="array" ref="R265">iferror(index(dissected_fish!$F:$F,match($A265,dissected_fish!$A:$A,0)))</f>
        <v>BCA101</v>
      </c>
      <c r="S265" s="40" t="str">
        <f t="array" ref="S265">iferror(index(dissected_fish!$K:$K,match($A265,dissected_fish!$A:$A,0)))</f>
        <v>N</v>
      </c>
      <c r="T265" s="61" t="str">
        <f t="array" ref="T265">index(fish_lab_data!O:O,match(A265,fish_lab_data!C:C,0))</f>
        <v>JG</v>
      </c>
      <c r="U265" s="61">
        <f t="array" ref="U265">if(A265="","",index(fish_lab_data!X:X,match(A265,fish_lab_data!C:C,0)))</f>
        <v>264</v>
      </c>
    </row>
    <row r="266">
      <c r="A266" t="str">
        <f>fish_lab_data!C266</f>
        <v>U5308</v>
      </c>
      <c r="B266" t="str">
        <f t="array" ref="B266">iferror(index('rna-muscle'!$I:$I,match($A266,'rna-muscle'!$A:$A,0)))</f>
        <v>BRN63M-B11</v>
      </c>
      <c r="C266" t="str">
        <f t="array" ref="C266">iferror(index('rna-muscle'!$L:$L,match($A266,'rna-muscle'!$A:$A,0)))</f>
        <v>N</v>
      </c>
      <c r="D266" t="str">
        <f t="array" ref="D266">iferror(index('rna-gill'!$I:$I,match($A266,'rna-gill'!$A:$A,0)))</f>
        <v>BRN63G-B11</v>
      </c>
      <c r="E266" t="str">
        <f t="array" ref="E266">iferror(index('rna-gill'!$L:$L,match($A266,'rna-gill'!$A:$A,0)))</f>
        <v>N</v>
      </c>
      <c r="F266" t="str">
        <f t="array" ref="F266">iferror(index(fatty_acid!$G:$G,match($A266,fatty_acid!$A:$A,0)))</f>
        <v>BFA22-11</v>
      </c>
      <c r="G266" t="str">
        <f t="array" ref="G266">iferror(index(fatty_acid!$J:$J,match($A266,fatty_acid!$A:$A,0)))</f>
        <v>N</v>
      </c>
      <c r="H266" t="str">
        <f t="array" ref="H266">iferror(index(isotopes!$G:$G,match($A266,isotopes!$A:$A,0)))</f>
        <v>BIS23-74</v>
      </c>
      <c r="I266" t="str">
        <f t="array" ref="I266">iferror(index(isotopes!$J:$J,match($A266,isotopes!$A:$A,0)))</f>
        <v>N</v>
      </c>
      <c r="J266" t="str">
        <f t="array" ref="J266">iferror(index(extra_muscle!$G:$G,match($A266,extra_muscle!$A:$A,0)))</f>
        <v>BXM16-83</v>
      </c>
      <c r="K266" t="str">
        <f t="array" ref="K266">iferror(index(extra_muscle!$J:$J,match($A266,extra_muscle!$A:$A,0)))</f>
        <v>N</v>
      </c>
      <c r="L266" s="59" t="str">
        <f t="array" ref="L266">iferror(index(dna!$G:$G,match($A266,dna!$A:$A,0)))</f>
        <v/>
      </c>
      <c r="M266" s="60" t="str">
        <f t="array" ref="M266">iferror(index(dna!$J:$J,match($A266,dna!$A:$A,0)))</f>
        <v/>
      </c>
      <c r="N266" t="str">
        <f t="array" ref="N266">iferror(index(stomachs!$G:$G,match($A266,stomachs!$A:$A,0)))</f>
        <v>BST239-7</v>
      </c>
      <c r="O266" t="str">
        <f t="array" ref="O266">iferror(index(stomachs!$J:$J,match($A266,stomachs!$A:$A,0)))</f>
        <v>N</v>
      </c>
      <c r="P266" t="str">
        <f t="array" ref="P266">iferror(index(sea_lice!$G:$G,match($A266,sea_lice!$A:$A,0)))</f>
        <v/>
      </c>
      <c r="Q266" t="str">
        <f t="array" ref="Q266">iferror(index(sea_lice!$J:$J,match($A266,sea_lice!$A:$A,0)))</f>
        <v/>
      </c>
      <c r="R266" s="40" t="str">
        <f t="array" ref="R266">iferror(index(dissected_fish!$F:$F,match($A266,dissected_fish!$A:$A,0)))</f>
        <v>BCA101</v>
      </c>
      <c r="S266" s="40" t="str">
        <f t="array" ref="S266">iferror(index(dissected_fish!$K:$K,match($A266,dissected_fish!$A:$A,0)))</f>
        <v>N</v>
      </c>
      <c r="T266" s="61" t="str">
        <f t="array" ref="T266">index(fish_lab_data!O:O,match(A266,fish_lab_data!C:C,0))</f>
        <v>JG</v>
      </c>
      <c r="U266" s="61">
        <f t="array" ref="U266">if(A266="","",index(fish_lab_data!X:X,match(A266,fish_lab_data!C:C,0)))</f>
        <v>265</v>
      </c>
    </row>
    <row r="267">
      <c r="A267" t="str">
        <f>fish_lab_data!C267</f>
        <v>U5309</v>
      </c>
      <c r="B267" t="str">
        <f t="array" ref="B267">iferror(index('rna-muscle'!$I:$I,match($A267,'rna-muscle'!$A:$A,0)))</f>
        <v>BRN63M-A11</v>
      </c>
      <c r="C267" t="str">
        <f t="array" ref="C267">iferror(index('rna-muscle'!$L:$L,match($A267,'rna-muscle'!$A:$A,0)))</f>
        <v>N</v>
      </c>
      <c r="D267" t="str">
        <f t="array" ref="D267">iferror(index('rna-gill'!$I:$I,match($A267,'rna-gill'!$A:$A,0)))</f>
        <v>BRN63G-A11</v>
      </c>
      <c r="E267" t="str">
        <f t="array" ref="E267">iferror(index('rna-gill'!$L:$L,match($A267,'rna-gill'!$A:$A,0)))</f>
        <v>N</v>
      </c>
      <c r="F267" t="str">
        <f t="array" ref="F267">iferror(index(fatty_acid!$G:$G,match($A267,fatty_acid!$A:$A,0)))</f>
        <v>BFA22-12</v>
      </c>
      <c r="G267" t="str">
        <f t="array" ref="G267">iferror(index(fatty_acid!$J:$J,match($A267,fatty_acid!$A:$A,0)))</f>
        <v>N</v>
      </c>
      <c r="H267" t="str">
        <f t="array" ref="H267">iferror(index(isotopes!$G:$G,match($A267,isotopes!$A:$A,0)))</f>
        <v>BIS23-76</v>
      </c>
      <c r="I267" t="str">
        <f t="array" ref="I267">iferror(index(isotopes!$J:$J,match($A267,isotopes!$A:$A,0)))</f>
        <v>N</v>
      </c>
      <c r="J267" t="str">
        <f t="array" ref="J267">iferror(index(extra_muscle!$G:$G,match($A267,extra_muscle!$A:$A,0)))</f>
        <v>BXM16-84</v>
      </c>
      <c r="K267" t="str">
        <f t="array" ref="K267">iferror(index(extra_muscle!$J:$J,match($A267,extra_muscle!$A:$A,0)))</f>
        <v>N</v>
      </c>
      <c r="L267" s="59" t="str">
        <f t="array" ref="L267">iferror(index(dna!$G:$G,match($A267,dna!$A:$A,0)))</f>
        <v/>
      </c>
      <c r="M267" s="60" t="str">
        <f t="array" ref="M267">iferror(index(dna!$J:$J,match($A267,dna!$A:$A,0)))</f>
        <v/>
      </c>
      <c r="N267" t="str">
        <f t="array" ref="N267">iferror(index(stomachs!$G:$G,match($A267,stomachs!$A:$A,0)))</f>
        <v>BST239-8</v>
      </c>
      <c r="O267" t="str">
        <f t="array" ref="O267">iferror(index(stomachs!$J:$J,match($A267,stomachs!$A:$A,0)))</f>
        <v>N</v>
      </c>
      <c r="P267" t="str">
        <f t="array" ref="P267">iferror(index(sea_lice!$G:$G,match($A267,sea_lice!$A:$A,0)))</f>
        <v/>
      </c>
      <c r="Q267" t="str">
        <f t="array" ref="Q267">iferror(index(sea_lice!$J:$J,match($A267,sea_lice!$A:$A,0)))</f>
        <v/>
      </c>
      <c r="R267" s="40" t="str">
        <f t="array" ref="R267">iferror(index(dissected_fish!$F:$F,match($A267,dissected_fish!$A:$A,0)))</f>
        <v>BCA101</v>
      </c>
      <c r="S267" s="40" t="str">
        <f t="array" ref="S267">iferror(index(dissected_fish!$K:$K,match($A267,dissected_fish!$A:$A,0)))</f>
        <v>N</v>
      </c>
      <c r="T267" s="61" t="str">
        <f t="array" ref="T267">index(fish_lab_data!O:O,match(A267,fish_lab_data!C:C,0))</f>
        <v>JG</v>
      </c>
      <c r="U267" s="61">
        <f t="array" ref="U267">if(A267="","",index(fish_lab_data!X:X,match(A267,fish_lab_data!C:C,0)))</f>
        <v>266</v>
      </c>
    </row>
    <row r="268">
      <c r="A268" t="str">
        <f>fish_lab_data!C268</f>
        <v>U5310</v>
      </c>
      <c r="B268" t="str">
        <f t="array" ref="B268">iferror(index('rna-muscle'!$I:$I,match($A268,'rna-muscle'!$A:$A,0)))</f>
        <v>BRN63M-G12</v>
      </c>
      <c r="C268" t="str">
        <f t="array" ref="C268">iferror(index('rna-muscle'!$L:$L,match($A268,'rna-muscle'!$A:$A,0)))</f>
        <v>N</v>
      </c>
      <c r="D268" t="str">
        <f t="array" ref="D268">iferror(index('rna-gill'!$I:$I,match($A268,'rna-gill'!$A:$A,0)))</f>
        <v>BRN63G-G12</v>
      </c>
      <c r="E268" t="str">
        <f t="array" ref="E268">iferror(index('rna-gill'!$L:$L,match($A268,'rna-gill'!$A:$A,0)))</f>
        <v>N</v>
      </c>
      <c r="F268" t="str">
        <f t="array" ref="F268">iferror(index(fatty_acid!$G:$G,match($A268,fatty_acid!$A:$A,0)))</f>
        <v>BFA22-13</v>
      </c>
      <c r="G268" t="str">
        <f t="array" ref="G268">iferror(index(fatty_acid!$J:$J,match($A268,fatty_acid!$A:$A,0)))</f>
        <v>N</v>
      </c>
      <c r="H268" t="str">
        <f t="array" ref="H268">iferror(index(isotopes!$G:$G,match($A268,isotopes!$A:$A,0)))</f>
        <v>BIS23-78</v>
      </c>
      <c r="I268" t="str">
        <f t="array" ref="I268">iferror(index(isotopes!$J:$J,match($A268,isotopes!$A:$A,0)))</f>
        <v>N</v>
      </c>
      <c r="J268" t="str">
        <f t="array" ref="J268">iferror(index(extra_muscle!$G:$G,match($A268,extra_muscle!$A:$A,0)))</f>
        <v>BXM16-86</v>
      </c>
      <c r="K268" t="str">
        <f t="array" ref="K268">iferror(index(extra_muscle!$J:$J,match($A268,extra_muscle!$A:$A,0)))</f>
        <v>N</v>
      </c>
      <c r="L268" s="59" t="str">
        <f t="array" ref="L268">iferror(index(dna!$G:$G,match($A268,dna!$A:$A,0)))</f>
        <v/>
      </c>
      <c r="M268" s="60" t="str">
        <f t="array" ref="M268">iferror(index(dna!$J:$J,match($A268,dna!$A:$A,0)))</f>
        <v/>
      </c>
      <c r="N268" t="str">
        <f t="array" ref="N268">iferror(index(stomachs!$G:$G,match($A268,stomachs!$A:$A,0)))</f>
        <v>BST239-9</v>
      </c>
      <c r="O268" t="str">
        <f t="array" ref="O268">iferror(index(stomachs!$J:$J,match($A268,stomachs!$A:$A,0)))</f>
        <v>N</v>
      </c>
      <c r="P268" t="str">
        <f t="array" ref="P268">iferror(index(sea_lice!$G:$G,match($A268,sea_lice!$A:$A,0)))</f>
        <v/>
      </c>
      <c r="Q268" t="str">
        <f t="array" ref="Q268">iferror(index(sea_lice!$J:$J,match($A268,sea_lice!$A:$A,0)))</f>
        <v/>
      </c>
      <c r="R268" s="40" t="str">
        <f t="array" ref="R268">iferror(index(dissected_fish!$F:$F,match($A268,dissected_fish!$A:$A,0)))</f>
        <v>BCA101</v>
      </c>
      <c r="S268" s="40" t="str">
        <f t="array" ref="S268">iferror(index(dissected_fish!$K:$K,match($A268,dissected_fish!$A:$A,0)))</f>
        <v>N</v>
      </c>
      <c r="T268" s="61" t="str">
        <f t="array" ref="T268">index(fish_lab_data!O:O,match(A268,fish_lab_data!C:C,0))</f>
        <v>JG</v>
      </c>
      <c r="U268" s="61">
        <f t="array" ref="U268">if(A268="","",index(fish_lab_data!X:X,match(A268,fish_lab_data!C:C,0)))</f>
        <v>267</v>
      </c>
    </row>
    <row r="269">
      <c r="A269" t="str">
        <f>fish_lab_data!C269</f>
        <v>U5311</v>
      </c>
      <c r="B269" t="str">
        <f t="array" ref="B269">iferror(index('rna-muscle'!$I:$I,match($A269,'rna-muscle'!$A:$A,0)))</f>
        <v>BRN63M-F12</v>
      </c>
      <c r="C269" t="str">
        <f t="array" ref="C269">iferror(index('rna-muscle'!$L:$L,match($A269,'rna-muscle'!$A:$A,0)))</f>
        <v>N</v>
      </c>
      <c r="D269" t="str">
        <f t="array" ref="D269">iferror(index('rna-gill'!$I:$I,match($A269,'rna-gill'!$A:$A,0)))</f>
        <v>BRN63G-F12</v>
      </c>
      <c r="E269" t="str">
        <f t="array" ref="E269">iferror(index('rna-gill'!$L:$L,match($A269,'rna-gill'!$A:$A,0)))</f>
        <v>N</v>
      </c>
      <c r="F269" t="str">
        <f t="array" ref="F269">iferror(index(fatty_acid!$G:$G,match($A269,fatty_acid!$A:$A,0)))</f>
        <v>BFA22-14</v>
      </c>
      <c r="G269" t="str">
        <f t="array" ref="G269">iferror(index(fatty_acid!$J:$J,match($A269,fatty_acid!$A:$A,0)))</f>
        <v>N</v>
      </c>
      <c r="H269" t="str">
        <f t="array" ref="H269">iferror(index(isotopes!$G:$G,match($A269,isotopes!$A:$A,0)))</f>
        <v>BIS23-80</v>
      </c>
      <c r="I269" t="str">
        <f t="array" ref="I269">iferror(index(isotopes!$J:$J,match($A269,isotopes!$A:$A,0)))</f>
        <v>N</v>
      </c>
      <c r="J269" t="str">
        <f t="array" ref="J269">iferror(index(extra_muscle!$G:$G,match($A269,extra_muscle!$A:$A,0)))</f>
        <v>BXM16-87</v>
      </c>
      <c r="K269" t="str">
        <f t="array" ref="K269">iferror(index(extra_muscle!$J:$J,match($A269,extra_muscle!$A:$A,0)))</f>
        <v>N</v>
      </c>
      <c r="L269" s="59" t="str">
        <f t="array" ref="L269">iferror(index(dna!$G:$G,match($A269,dna!$A:$A,0)))</f>
        <v/>
      </c>
      <c r="M269" s="60" t="str">
        <f t="array" ref="M269">iferror(index(dna!$J:$J,match($A269,dna!$A:$A,0)))</f>
        <v/>
      </c>
      <c r="N269" t="str">
        <f t="array" ref="N269">iferror(index(stomachs!$G:$G,match($A269,stomachs!$A:$A,0)))</f>
        <v>BST239-10</v>
      </c>
      <c r="O269" t="str">
        <f t="array" ref="O269">iferror(index(stomachs!$J:$J,match($A269,stomachs!$A:$A,0)))</f>
        <v>N</v>
      </c>
      <c r="P269" t="str">
        <f t="array" ref="P269">iferror(index(sea_lice!$G:$G,match($A269,sea_lice!$A:$A,0)))</f>
        <v/>
      </c>
      <c r="Q269" t="str">
        <f t="array" ref="Q269">iferror(index(sea_lice!$J:$J,match($A269,sea_lice!$A:$A,0)))</f>
        <v/>
      </c>
      <c r="R269" s="40" t="str">
        <f t="array" ref="R269">iferror(index(dissected_fish!$F:$F,match($A269,dissected_fish!$A:$A,0)))</f>
        <v>BCA101</v>
      </c>
      <c r="S269" s="40" t="str">
        <f t="array" ref="S269">iferror(index(dissected_fish!$K:$K,match($A269,dissected_fish!$A:$A,0)))</f>
        <v>N</v>
      </c>
      <c r="T269" s="61" t="str">
        <f t="array" ref="T269">index(fish_lab_data!O:O,match(A269,fish_lab_data!C:C,0))</f>
        <v>JG</v>
      </c>
      <c r="U269" s="61">
        <f t="array" ref="U269">if(A269="","",index(fish_lab_data!X:X,match(A269,fish_lab_data!C:C,0)))</f>
        <v>268</v>
      </c>
    </row>
    <row r="270">
      <c r="A270" t="str">
        <f>fish_lab_data!C270</f>
        <v>U5312</v>
      </c>
      <c r="B270" t="str">
        <f t="array" ref="B270">iferror(index('rna-muscle'!$I:$I,match($A270,'rna-muscle'!$A:$A,0)))</f>
        <v>BRN63M-E12</v>
      </c>
      <c r="C270" t="str">
        <f t="array" ref="C270">iferror(index('rna-muscle'!$L:$L,match($A270,'rna-muscle'!$A:$A,0)))</f>
        <v>N</v>
      </c>
      <c r="D270" t="str">
        <f t="array" ref="D270">iferror(index('rna-gill'!$I:$I,match($A270,'rna-gill'!$A:$A,0)))</f>
        <v>BRN63G-E12</v>
      </c>
      <c r="E270" t="str">
        <f t="array" ref="E270">iferror(index('rna-gill'!$L:$L,match($A270,'rna-gill'!$A:$A,0)))</f>
        <v>N</v>
      </c>
      <c r="F270" t="str">
        <f t="array" ref="F270">iferror(index(fatty_acid!$G:$G,match($A270,fatty_acid!$A:$A,0)))</f>
        <v>BFA22-15</v>
      </c>
      <c r="G270" t="str">
        <f t="array" ref="G270">iferror(index(fatty_acid!$J:$J,match($A270,fatty_acid!$A:$A,0)))</f>
        <v>N</v>
      </c>
      <c r="H270" t="str">
        <f t="array" ref="H270">iferror(index(isotopes!$G:$G,match($A270,isotopes!$A:$A,0)))</f>
        <v>BIS23-81</v>
      </c>
      <c r="I270" t="str">
        <f t="array" ref="I270">iferror(index(isotopes!$J:$J,match($A270,isotopes!$A:$A,0)))</f>
        <v>N</v>
      </c>
      <c r="J270" t="str">
        <f t="array" ref="J270">iferror(index(extra_muscle!$G:$G,match($A270,extra_muscle!$A:$A,0)))</f>
        <v>BXM16-88</v>
      </c>
      <c r="K270" t="str">
        <f t="array" ref="K270">iferror(index(extra_muscle!$J:$J,match($A270,extra_muscle!$A:$A,0)))</f>
        <v>N</v>
      </c>
      <c r="L270" s="59" t="str">
        <f t="array" ref="L270">iferror(index(dna!$G:$G,match($A270,dna!$A:$A,0)))</f>
        <v/>
      </c>
      <c r="M270" s="60" t="str">
        <f t="array" ref="M270">iferror(index(dna!$J:$J,match($A270,dna!$A:$A,0)))</f>
        <v/>
      </c>
      <c r="N270" t="str">
        <f t="array" ref="N270">iferror(index(stomachs!$G:$G,match($A270,stomachs!$A:$A,0)))</f>
        <v>BST239-11</v>
      </c>
      <c r="O270" t="str">
        <f t="array" ref="O270">iferror(index(stomachs!$J:$J,match($A270,stomachs!$A:$A,0)))</f>
        <v>N</v>
      </c>
      <c r="P270" t="str">
        <f t="array" ref="P270">iferror(index(sea_lice!$G:$G,match($A270,sea_lice!$A:$A,0)))</f>
        <v/>
      </c>
      <c r="Q270" t="str">
        <f t="array" ref="Q270">iferror(index(sea_lice!$J:$J,match($A270,sea_lice!$A:$A,0)))</f>
        <v/>
      </c>
      <c r="R270" s="40" t="str">
        <f t="array" ref="R270">iferror(index(dissected_fish!$F:$F,match($A270,dissected_fish!$A:$A,0)))</f>
        <v>BCA102</v>
      </c>
      <c r="S270" s="40" t="str">
        <f t="array" ref="S270">iferror(index(dissected_fish!$K:$K,match($A270,dissected_fish!$A:$A,0)))</f>
        <v>N</v>
      </c>
      <c r="T270" s="61" t="str">
        <f t="array" ref="T270">index(fish_lab_data!O:O,match(A270,fish_lab_data!C:C,0))</f>
        <v>JG</v>
      </c>
      <c r="U270" s="61">
        <f t="array" ref="U270">if(A270="","",index(fish_lab_data!X:X,match(A270,fish_lab_data!C:C,0)))</f>
        <v>269</v>
      </c>
    </row>
    <row r="271">
      <c r="A271" t="str">
        <f>fish_lab_data!C271</f>
        <v>U5313</v>
      </c>
      <c r="B271" t="str">
        <f t="array" ref="B271">iferror(index('rna-muscle'!$I:$I,match($A271,'rna-muscle'!$A:$A,0)))</f>
        <v>BRN63M-D12</v>
      </c>
      <c r="C271" t="str">
        <f t="array" ref="C271">iferror(index('rna-muscle'!$L:$L,match($A271,'rna-muscle'!$A:$A,0)))</f>
        <v>N</v>
      </c>
      <c r="D271" t="str">
        <f t="array" ref="D271">iferror(index('rna-gill'!$I:$I,match($A271,'rna-gill'!$A:$A,0)))</f>
        <v>BRN63G-D12</v>
      </c>
      <c r="E271" t="str">
        <f t="array" ref="E271">iferror(index('rna-gill'!$L:$L,match($A271,'rna-gill'!$A:$A,0)))</f>
        <v>N</v>
      </c>
      <c r="F271" t="str">
        <f t="array" ref="F271">iferror(index(fatty_acid!$G:$G,match($A271,fatty_acid!$A:$A,0)))</f>
        <v>BFA22-16</v>
      </c>
      <c r="G271" t="str">
        <f t="array" ref="G271">iferror(index(fatty_acid!$J:$J,match($A271,fatty_acid!$A:$A,0)))</f>
        <v>N</v>
      </c>
      <c r="H271" t="str">
        <f t="array" ref="H271">iferror(index(isotopes!$G:$G,match($A271,isotopes!$A:$A,0)))</f>
        <v>BIS23-83</v>
      </c>
      <c r="I271" t="str">
        <f t="array" ref="I271">iferror(index(isotopes!$J:$J,match($A271,isotopes!$A:$A,0)))</f>
        <v>N</v>
      </c>
      <c r="J271" t="str">
        <f t="array" ref="J271">iferror(index(extra_muscle!$G:$G,match($A271,extra_muscle!$A:$A,0)))</f>
        <v>BXM16-89</v>
      </c>
      <c r="K271" t="str">
        <f t="array" ref="K271">iferror(index(extra_muscle!$J:$J,match($A271,extra_muscle!$A:$A,0)))</f>
        <v>N</v>
      </c>
      <c r="L271" s="59" t="str">
        <f t="array" ref="L271">iferror(index(dna!$G:$G,match($A271,dna!$A:$A,0)))</f>
        <v/>
      </c>
      <c r="M271" s="60" t="str">
        <f t="array" ref="M271">iferror(index(dna!$J:$J,match($A271,dna!$A:$A,0)))</f>
        <v/>
      </c>
      <c r="N271" t="str">
        <f t="array" ref="N271">iferror(index(stomachs!$G:$G,match($A271,stomachs!$A:$A,0)))</f>
        <v>BST239-12</v>
      </c>
      <c r="O271" t="str">
        <f t="array" ref="O271">iferror(index(stomachs!$J:$J,match($A271,stomachs!$A:$A,0)))</f>
        <v>N</v>
      </c>
      <c r="P271" t="str">
        <f t="array" ref="P271">iferror(index(sea_lice!$G:$G,match($A271,sea_lice!$A:$A,0)))</f>
        <v/>
      </c>
      <c r="Q271" t="str">
        <f t="array" ref="Q271">iferror(index(sea_lice!$J:$J,match($A271,sea_lice!$A:$A,0)))</f>
        <v/>
      </c>
      <c r="R271" s="40" t="str">
        <f t="array" ref="R271">iferror(index(dissected_fish!$F:$F,match($A271,dissected_fish!$A:$A,0)))</f>
        <v>BCA102</v>
      </c>
      <c r="S271" s="40" t="str">
        <f t="array" ref="S271">iferror(index(dissected_fish!$K:$K,match($A271,dissected_fish!$A:$A,0)))</f>
        <v>N</v>
      </c>
      <c r="T271" s="61" t="str">
        <f t="array" ref="T271">index(fish_lab_data!O:O,match(A271,fish_lab_data!C:C,0))</f>
        <v>JG</v>
      </c>
      <c r="U271" s="61">
        <f t="array" ref="U271">if(A271="","",index(fish_lab_data!X:X,match(A271,fish_lab_data!C:C,0)))</f>
        <v>270</v>
      </c>
    </row>
    <row r="272">
      <c r="A272" t="str">
        <f>fish_lab_data!C272</f>
        <v>U5314</v>
      </c>
      <c r="B272" t="str">
        <f t="array" ref="B272">iferror(index('rna-muscle'!$I:$I,match($A272,'rna-muscle'!$A:$A,0)))</f>
        <v>BRN63M-C12</v>
      </c>
      <c r="C272" t="str">
        <f t="array" ref="C272">iferror(index('rna-muscle'!$L:$L,match($A272,'rna-muscle'!$A:$A,0)))</f>
        <v>N</v>
      </c>
      <c r="D272" t="str">
        <f t="array" ref="D272">iferror(index('rna-gill'!$I:$I,match($A272,'rna-gill'!$A:$A,0)))</f>
        <v>BRN63G-C12</v>
      </c>
      <c r="E272" t="str">
        <f t="array" ref="E272">iferror(index('rna-gill'!$L:$L,match($A272,'rna-gill'!$A:$A,0)))</f>
        <v>N</v>
      </c>
      <c r="F272" t="str">
        <f t="array" ref="F272">iferror(index(fatty_acid!$G:$G,match($A272,fatty_acid!$A:$A,0)))</f>
        <v>BFA22-17</v>
      </c>
      <c r="G272" t="str">
        <f t="array" ref="G272">iferror(index(fatty_acid!$J:$J,match($A272,fatty_acid!$A:$A,0)))</f>
        <v>N</v>
      </c>
      <c r="H272" t="str">
        <f t="array" ref="H272">iferror(index(isotopes!$G:$G,match($A272,isotopes!$A:$A,0)))</f>
        <v>BIS23-85</v>
      </c>
      <c r="I272" t="str">
        <f t="array" ref="I272">iferror(index(isotopes!$J:$J,match($A272,isotopes!$A:$A,0)))</f>
        <v>N</v>
      </c>
      <c r="J272" t="str">
        <f t="array" ref="J272">iferror(index(extra_muscle!$G:$G,match($A272,extra_muscle!$A:$A,0)))</f>
        <v>BXM16-90</v>
      </c>
      <c r="K272" t="str">
        <f t="array" ref="K272">iferror(index(extra_muscle!$J:$J,match($A272,extra_muscle!$A:$A,0)))</f>
        <v>N</v>
      </c>
      <c r="L272" s="59" t="str">
        <f t="array" ref="L272">iferror(index(dna!$G:$G,match($A272,dna!$A:$A,0)))</f>
        <v/>
      </c>
      <c r="M272" s="60" t="str">
        <f t="array" ref="M272">iferror(index(dna!$J:$J,match($A272,dna!$A:$A,0)))</f>
        <v/>
      </c>
      <c r="N272" t="str">
        <f t="array" ref="N272">iferror(index(stomachs!$G:$G,match($A272,stomachs!$A:$A,0)))</f>
        <v>BST239-13</v>
      </c>
      <c r="O272" t="str">
        <f t="array" ref="O272">iferror(index(stomachs!$J:$J,match($A272,stomachs!$A:$A,0)))</f>
        <v>N</v>
      </c>
      <c r="P272" t="str">
        <f t="array" ref="P272">iferror(index(sea_lice!$G:$G,match($A272,sea_lice!$A:$A,0)))</f>
        <v/>
      </c>
      <c r="Q272" t="str">
        <f t="array" ref="Q272">iferror(index(sea_lice!$J:$J,match($A272,sea_lice!$A:$A,0)))</f>
        <v/>
      </c>
      <c r="R272" s="40" t="str">
        <f t="array" ref="R272">iferror(index(dissected_fish!$F:$F,match($A272,dissected_fish!$A:$A,0)))</f>
        <v>BCA102</v>
      </c>
      <c r="S272" s="40" t="str">
        <f t="array" ref="S272">iferror(index(dissected_fish!$K:$K,match($A272,dissected_fish!$A:$A,0)))</f>
        <v>N</v>
      </c>
      <c r="T272" s="61" t="str">
        <f t="array" ref="T272">index(fish_lab_data!O:O,match(A272,fish_lab_data!C:C,0))</f>
        <v>JG</v>
      </c>
      <c r="U272" s="61">
        <f t="array" ref="U272">if(A272="","",index(fish_lab_data!X:X,match(A272,fish_lab_data!C:C,0)))</f>
        <v>271</v>
      </c>
    </row>
    <row r="273">
      <c r="A273" t="str">
        <f>fish_lab_data!C273</f>
        <v>U5357</v>
      </c>
      <c r="B273" t="str">
        <f t="array" ref="B273">iferror(index('rna-muscle'!$I:$I,match($A273,'rna-muscle'!$A:$A,0)))</f>
        <v>BRN63M-B10</v>
      </c>
      <c r="C273" t="str">
        <f t="array" ref="C273">iferror(index('rna-muscle'!$L:$L,match($A273,'rna-muscle'!$A:$A,0)))</f>
        <v>N</v>
      </c>
      <c r="D273" t="str">
        <f t="array" ref="D273">iferror(index('rna-gill'!$I:$I,match($A273,'rna-gill'!$A:$A,0)))</f>
        <v>BRN63G-B10</v>
      </c>
      <c r="E273" t="str">
        <f t="array" ref="E273">iferror(index('rna-gill'!$L:$L,match($A273,'rna-gill'!$A:$A,0)))</f>
        <v>N</v>
      </c>
      <c r="F273" t="str">
        <f t="array" ref="F273">iferror(index(fatty_acid!$G:$G,match($A273,fatty_acid!$A:$A,0)))</f>
        <v>BFA21-100</v>
      </c>
      <c r="G273" t="str">
        <f t="array" ref="G273">iferror(index(fatty_acid!$J:$J,match($A273,fatty_acid!$A:$A,0)))</f>
        <v>N</v>
      </c>
      <c r="H273" t="str">
        <f t="array" ref="H273">iferror(index(isotopes!$G:$G,match($A273,isotopes!$A:$A,0)))</f>
        <v>BIS26-19</v>
      </c>
      <c r="I273" t="str">
        <f t="array" ref="I273">iferror(index(isotopes!$J:$J,match($A273,isotopes!$A:$A,0)))</f>
        <v>N</v>
      </c>
      <c r="J273" t="str">
        <f t="array" ref="J273">iferror(index(extra_muscle!$G:$G,match($A273,extra_muscle!$A:$A,0)))</f>
        <v>BXM23-84</v>
      </c>
      <c r="K273" t="str">
        <f t="array" ref="K273">iferror(index(extra_muscle!$J:$J,match($A273,extra_muscle!$A:$A,0)))</f>
        <v>N</v>
      </c>
      <c r="L273" s="59" t="str">
        <f t="array" ref="L273">iferror(index(dna!$G:$G,match($A273,dna!$A:$A,0)))</f>
        <v/>
      </c>
      <c r="M273" s="60" t="str">
        <f t="array" ref="M273">iferror(index(dna!$J:$J,match($A273,dna!$A:$A,0)))</f>
        <v/>
      </c>
      <c r="N273" t="str">
        <f t="array" ref="N273">iferror(index(stomachs!$G:$G,match($A273,stomachs!$A:$A,0)))</f>
        <v>BST240-21</v>
      </c>
      <c r="O273" t="str">
        <f t="array" ref="O273">iferror(index(stomachs!$J:$J,match($A273,stomachs!$A:$A,0)))</f>
        <v>N</v>
      </c>
      <c r="P273" t="str">
        <f t="array" ref="P273">iferror(index(sea_lice!$G:$G,match($A273,sea_lice!$A:$A,0)))</f>
        <v/>
      </c>
      <c r="Q273" t="str">
        <f t="array" ref="Q273">iferror(index(sea_lice!$J:$J,match($A273,sea_lice!$A:$A,0)))</f>
        <v/>
      </c>
      <c r="R273" s="40" t="str">
        <f t="array" ref="R273">iferror(index(dissected_fish!$F:$F,match($A273,dissected_fish!$A:$A,0)))</f>
        <v>BCA101</v>
      </c>
      <c r="S273" s="40" t="str">
        <f t="array" ref="S273">iferror(index(dissected_fish!$K:$K,match($A273,dissected_fish!$A:$A,0)))</f>
        <v>N</v>
      </c>
      <c r="T273" s="61" t="str">
        <f t="array" ref="T273">index(fish_lab_data!O:O,match(A273,fish_lab_data!C:C,0))</f>
        <v>EJ</v>
      </c>
      <c r="U273" s="61">
        <f t="array" ref="U273">if(A273="","",index(fish_lab_data!X:X,match(A273,fish_lab_data!C:C,0)))</f>
        <v>272</v>
      </c>
    </row>
    <row r="274">
      <c r="A274" t="str">
        <f>fish_lab_data!C274</f>
        <v>U5358</v>
      </c>
      <c r="B274" t="str">
        <f t="array" ref="B274">iferror(index('rna-muscle'!$I:$I,match($A274,'rna-muscle'!$A:$A,0)))</f>
        <v>BRN63M-A10</v>
      </c>
      <c r="C274" t="str">
        <f t="array" ref="C274">iferror(index('rna-muscle'!$L:$L,match($A274,'rna-muscle'!$A:$A,0)))</f>
        <v>N</v>
      </c>
      <c r="D274" t="str">
        <f t="array" ref="D274">iferror(index('rna-gill'!$I:$I,match($A274,'rna-gill'!$A:$A,0)))</f>
        <v>BRN63G-A10</v>
      </c>
      <c r="E274" t="str">
        <f t="array" ref="E274">iferror(index('rna-gill'!$L:$L,match($A274,'rna-gill'!$A:$A,0)))</f>
        <v>N</v>
      </c>
      <c r="F274" t="str">
        <f t="array" ref="F274">iferror(index(fatty_acid!$G:$G,match($A274,fatty_acid!$A:$A,0)))</f>
        <v>BFA24-1</v>
      </c>
      <c r="G274" t="str">
        <f t="array" ref="G274">iferror(index(fatty_acid!$J:$J,match($A274,fatty_acid!$A:$A,0)))</f>
        <v>N</v>
      </c>
      <c r="H274" t="str">
        <f t="array" ref="H274">iferror(index(isotopes!$G:$G,match($A274,isotopes!$A:$A,0)))</f>
        <v>BIS26-20</v>
      </c>
      <c r="I274" t="str">
        <f t="array" ref="I274">iferror(index(isotopes!$J:$J,match($A274,isotopes!$A:$A,0)))</f>
        <v>N</v>
      </c>
      <c r="J274" t="str">
        <f t="array" ref="J274">iferror(index(extra_muscle!$G:$G,match($A274,extra_muscle!$A:$A,0)))</f>
        <v>BXM23-85</v>
      </c>
      <c r="K274" t="str">
        <f t="array" ref="K274">iferror(index(extra_muscle!$J:$J,match($A274,extra_muscle!$A:$A,0)))</f>
        <v>N</v>
      </c>
      <c r="L274" s="59" t="str">
        <f t="array" ref="L274">iferror(index(dna!$G:$G,match($A274,dna!$A:$A,0)))</f>
        <v/>
      </c>
      <c r="M274" s="60" t="str">
        <f t="array" ref="M274">iferror(index(dna!$J:$J,match($A274,dna!$A:$A,0)))</f>
        <v/>
      </c>
      <c r="N274" t="str">
        <f t="array" ref="N274">iferror(index(stomachs!$G:$G,match($A274,stomachs!$A:$A,0)))</f>
        <v>BST240-22</v>
      </c>
      <c r="O274" t="str">
        <f t="array" ref="O274">iferror(index(stomachs!$J:$J,match($A274,stomachs!$A:$A,0)))</f>
        <v>N</v>
      </c>
      <c r="P274" t="str">
        <f t="array" ref="P274">iferror(index(sea_lice!$G:$G,match($A274,sea_lice!$A:$A,0)))</f>
        <v/>
      </c>
      <c r="Q274" t="str">
        <f t="array" ref="Q274">iferror(index(sea_lice!$J:$J,match($A274,sea_lice!$A:$A,0)))</f>
        <v/>
      </c>
      <c r="R274" s="40" t="str">
        <f t="array" ref="R274">iferror(index(dissected_fish!$F:$F,match($A274,dissected_fish!$A:$A,0)))</f>
        <v>BCA101</v>
      </c>
      <c r="S274" s="40" t="str">
        <f t="array" ref="S274">iferror(index(dissected_fish!$K:$K,match($A274,dissected_fish!$A:$A,0)))</f>
        <v>N</v>
      </c>
      <c r="T274" s="61" t="str">
        <f t="array" ref="T274">index(fish_lab_data!O:O,match(A274,fish_lab_data!C:C,0))</f>
        <v>EJ</v>
      </c>
      <c r="U274" s="61">
        <f t="array" ref="U274">if(A274="","",index(fish_lab_data!X:X,match(A274,fish_lab_data!C:C,0)))</f>
        <v>273</v>
      </c>
    </row>
    <row r="275">
      <c r="A275" t="str">
        <f>fish_lab_data!C275</f>
        <v>U5359</v>
      </c>
      <c r="B275" t="str">
        <f t="array" ref="B275">iferror(index('rna-muscle'!$I:$I,match($A275,'rna-muscle'!$A:$A,0)))</f>
        <v>BRN65M-H2</v>
      </c>
      <c r="C275" t="str">
        <f t="array" ref="C275">iferror(index('rna-muscle'!$L:$L,match($A275,'rna-muscle'!$A:$A,0)))</f>
        <v>N</v>
      </c>
      <c r="D275" t="str">
        <f t="array" ref="D275">iferror(index('rna-gill'!$I:$I,match($A275,'rna-gill'!$A:$A,0)))</f>
        <v>BRN65G-H2</v>
      </c>
      <c r="E275" t="str">
        <f t="array" ref="E275">iferror(index('rna-gill'!$L:$L,match($A275,'rna-gill'!$A:$A,0)))</f>
        <v>N</v>
      </c>
      <c r="F275" t="str">
        <f t="array" ref="F275">iferror(index(fatty_acid!$G:$G,match($A275,fatty_acid!$A:$A,0)))</f>
        <v>BFA24-2</v>
      </c>
      <c r="G275" t="str">
        <f t="array" ref="G275">iferror(index(fatty_acid!$J:$J,match($A275,fatty_acid!$A:$A,0)))</f>
        <v>N</v>
      </c>
      <c r="H275" t="str">
        <f t="array" ref="H275">iferror(index(isotopes!$G:$G,match($A275,isotopes!$A:$A,0)))</f>
        <v>BIS26-21</v>
      </c>
      <c r="I275" t="str">
        <f t="array" ref="I275">iferror(index(isotopes!$J:$J,match($A275,isotopes!$A:$A,0)))</f>
        <v>N</v>
      </c>
      <c r="J275" t="str">
        <f t="array" ref="J275">iferror(index(extra_muscle!$G:$G,match($A275,extra_muscle!$A:$A,0)))</f>
        <v>BXM23-87</v>
      </c>
      <c r="K275" t="str">
        <f t="array" ref="K275">iferror(index(extra_muscle!$J:$J,match($A275,extra_muscle!$A:$A,0)))</f>
        <v>N</v>
      </c>
      <c r="L275" s="59" t="str">
        <f t="array" ref="L275">iferror(index(dna!$G:$G,match($A275,dna!$A:$A,0)))</f>
        <v/>
      </c>
      <c r="M275" s="60" t="str">
        <f t="array" ref="M275">iferror(index(dna!$J:$J,match($A275,dna!$A:$A,0)))</f>
        <v/>
      </c>
      <c r="N275" t="str">
        <f t="array" ref="N275">iferror(index(stomachs!$G:$G,match($A275,stomachs!$A:$A,0)))</f>
        <v>BST240-23</v>
      </c>
      <c r="O275" t="str">
        <f t="array" ref="O275">iferror(index(stomachs!$J:$J,match($A275,stomachs!$A:$A,0)))</f>
        <v>N</v>
      </c>
      <c r="P275" t="str">
        <f t="array" ref="P275">iferror(index(sea_lice!$G:$G,match($A275,sea_lice!$A:$A,0)))</f>
        <v/>
      </c>
      <c r="Q275" t="str">
        <f t="array" ref="Q275">iferror(index(sea_lice!$J:$J,match($A275,sea_lice!$A:$A,0)))</f>
        <v/>
      </c>
      <c r="R275" s="40" t="str">
        <f t="array" ref="R275">iferror(index(dissected_fish!$F:$F,match($A275,dissected_fish!$A:$A,0)))</f>
        <v>BCA101</v>
      </c>
      <c r="S275" s="40" t="str">
        <f t="array" ref="S275">iferror(index(dissected_fish!$K:$K,match($A275,dissected_fish!$A:$A,0)))</f>
        <v>N</v>
      </c>
      <c r="T275" s="61" t="str">
        <f t="array" ref="T275">index(fish_lab_data!O:O,match(A275,fish_lab_data!C:C,0))</f>
        <v>EJ</v>
      </c>
      <c r="U275" s="61">
        <f t="array" ref="U275">if(A275="","",index(fish_lab_data!X:X,match(A275,fish_lab_data!C:C,0)))</f>
        <v>274</v>
      </c>
    </row>
    <row r="276">
      <c r="A276" t="str">
        <f>fish_lab_data!C276</f>
        <v>U5360</v>
      </c>
      <c r="B276" t="str">
        <f t="array" ref="B276">iferror(index('rna-muscle'!$I:$I,match($A276,'rna-muscle'!$A:$A,0)))</f>
        <v>BRN65M-G2</v>
      </c>
      <c r="C276" t="str">
        <f t="array" ref="C276">iferror(index('rna-muscle'!$L:$L,match($A276,'rna-muscle'!$A:$A,0)))</f>
        <v>N</v>
      </c>
      <c r="D276" t="str">
        <f t="array" ref="D276">iferror(index('rna-gill'!$I:$I,match($A276,'rna-gill'!$A:$A,0)))</f>
        <v>BRN65G-G2</v>
      </c>
      <c r="E276" t="str">
        <f t="array" ref="E276">iferror(index('rna-gill'!$L:$L,match($A276,'rna-gill'!$A:$A,0)))</f>
        <v>N</v>
      </c>
      <c r="F276" t="str">
        <f t="array" ref="F276">iferror(index(fatty_acid!$G:$G,match($A276,fatty_acid!$A:$A,0)))</f>
        <v>BFA24-3</v>
      </c>
      <c r="G276" t="str">
        <f t="array" ref="G276">iferror(index(fatty_acid!$J:$J,match($A276,fatty_acid!$A:$A,0)))</f>
        <v>N</v>
      </c>
      <c r="H276" t="str">
        <f t="array" ref="H276">iferror(index(isotopes!$G:$G,match($A276,isotopes!$A:$A,0)))</f>
        <v>BIS26-22</v>
      </c>
      <c r="I276" t="str">
        <f t="array" ref="I276">iferror(index(isotopes!$J:$J,match($A276,isotopes!$A:$A,0)))</f>
        <v>N</v>
      </c>
      <c r="J276" t="str">
        <f t="array" ref="J276">iferror(index(extra_muscle!$G:$G,match($A276,extra_muscle!$A:$A,0)))</f>
        <v>BXM23-88</v>
      </c>
      <c r="K276" t="str">
        <f t="array" ref="K276">iferror(index(extra_muscle!$J:$J,match($A276,extra_muscle!$A:$A,0)))</f>
        <v>N</v>
      </c>
      <c r="L276" s="59" t="str">
        <f t="array" ref="L276">iferror(index(dna!$G:$G,match($A276,dna!$A:$A,0)))</f>
        <v/>
      </c>
      <c r="M276" s="60" t="str">
        <f t="array" ref="M276">iferror(index(dna!$J:$J,match($A276,dna!$A:$A,0)))</f>
        <v/>
      </c>
      <c r="N276" t="str">
        <f t="array" ref="N276">iferror(index(stomachs!$G:$G,match($A276,stomachs!$A:$A,0)))</f>
        <v>BST240-24</v>
      </c>
      <c r="O276" t="str">
        <f t="array" ref="O276">iferror(index(stomachs!$J:$J,match($A276,stomachs!$A:$A,0)))</f>
        <v>N</v>
      </c>
      <c r="P276" t="str">
        <f t="array" ref="P276">iferror(index(sea_lice!$G:$G,match($A276,sea_lice!$A:$A,0)))</f>
        <v/>
      </c>
      <c r="Q276" t="str">
        <f t="array" ref="Q276">iferror(index(sea_lice!$J:$J,match($A276,sea_lice!$A:$A,0)))</f>
        <v/>
      </c>
      <c r="R276" s="40" t="str">
        <f t="array" ref="R276">iferror(index(dissected_fish!$F:$F,match($A276,dissected_fish!$A:$A,0)))</f>
        <v>BCA101</v>
      </c>
      <c r="S276" s="40" t="str">
        <f t="array" ref="S276">iferror(index(dissected_fish!$K:$K,match($A276,dissected_fish!$A:$A,0)))</f>
        <v>N</v>
      </c>
      <c r="T276" s="61" t="str">
        <f t="array" ref="T276">index(fish_lab_data!O:O,match(A276,fish_lab_data!C:C,0))</f>
        <v>EJ</v>
      </c>
      <c r="U276" s="61">
        <f t="array" ref="U276">if(A276="","",index(fish_lab_data!X:X,match(A276,fish_lab_data!C:C,0)))</f>
        <v>275</v>
      </c>
    </row>
    <row r="277">
      <c r="A277" t="str">
        <f>fish_lab_data!C277</f>
        <v>U5361</v>
      </c>
      <c r="B277" t="str">
        <f t="array" ref="B277">iferror(index('rna-muscle'!$I:$I,match($A277,'rna-muscle'!$A:$A,0)))</f>
        <v>BRN65M-F2</v>
      </c>
      <c r="C277" t="str">
        <f t="array" ref="C277">iferror(index('rna-muscle'!$L:$L,match($A277,'rna-muscle'!$A:$A,0)))</f>
        <v>N</v>
      </c>
      <c r="D277" t="str">
        <f t="array" ref="D277">iferror(index('rna-gill'!$I:$I,match($A277,'rna-gill'!$A:$A,0)))</f>
        <v>BRN65G-F2</v>
      </c>
      <c r="E277" t="str">
        <f t="array" ref="E277">iferror(index('rna-gill'!$L:$L,match($A277,'rna-gill'!$A:$A,0)))</f>
        <v>N</v>
      </c>
      <c r="F277" t="str">
        <f t="array" ref="F277">iferror(index(fatty_acid!$G:$G,match($A277,fatty_acid!$A:$A,0)))</f>
        <v>BFA24-4</v>
      </c>
      <c r="G277" t="str">
        <f t="array" ref="G277">iferror(index(fatty_acid!$J:$J,match($A277,fatty_acid!$A:$A,0)))</f>
        <v>N</v>
      </c>
      <c r="H277" t="str">
        <f t="array" ref="H277">iferror(index(isotopes!$G:$G,match($A277,isotopes!$A:$A,0)))</f>
        <v>BIS26-23</v>
      </c>
      <c r="I277" t="str">
        <f t="array" ref="I277">iferror(index(isotopes!$J:$J,match($A277,isotopes!$A:$A,0)))</f>
        <v>N</v>
      </c>
      <c r="J277" t="str">
        <f t="array" ref="J277">iferror(index(extra_muscle!$G:$G,match($A277,extra_muscle!$A:$A,0)))</f>
        <v>BXM23-89</v>
      </c>
      <c r="K277" t="str">
        <f t="array" ref="K277">iferror(index(extra_muscle!$J:$J,match($A277,extra_muscle!$A:$A,0)))</f>
        <v>N</v>
      </c>
      <c r="L277" s="59" t="str">
        <f t="array" ref="L277">iferror(index(dna!$G:$G,match($A277,dna!$A:$A,0)))</f>
        <v/>
      </c>
      <c r="M277" s="60" t="str">
        <f t="array" ref="M277">iferror(index(dna!$J:$J,match($A277,dna!$A:$A,0)))</f>
        <v/>
      </c>
      <c r="N277" t="str">
        <f t="array" ref="N277">iferror(index(stomachs!$G:$G,match($A277,stomachs!$A:$A,0)))</f>
        <v>BST240-25</v>
      </c>
      <c r="O277" t="str">
        <f t="array" ref="O277">iferror(index(stomachs!$J:$J,match($A277,stomachs!$A:$A,0)))</f>
        <v>N</v>
      </c>
      <c r="P277" t="str">
        <f t="array" ref="P277">iferror(index(sea_lice!$G:$G,match($A277,sea_lice!$A:$A,0)))</f>
        <v/>
      </c>
      <c r="Q277" t="str">
        <f t="array" ref="Q277">iferror(index(sea_lice!$J:$J,match($A277,sea_lice!$A:$A,0)))</f>
        <v/>
      </c>
      <c r="R277" s="40" t="str">
        <f t="array" ref="R277">iferror(index(dissected_fish!$F:$F,match($A277,dissected_fish!$A:$A,0)))</f>
        <v>BCA101</v>
      </c>
      <c r="S277" s="40" t="str">
        <f t="array" ref="S277">iferror(index(dissected_fish!$K:$K,match($A277,dissected_fish!$A:$A,0)))</f>
        <v>N</v>
      </c>
      <c r="T277" s="61" t="str">
        <f t="array" ref="T277">index(fish_lab_data!O:O,match(A277,fish_lab_data!C:C,0))</f>
        <v>EJ</v>
      </c>
      <c r="U277" s="61">
        <f t="array" ref="U277">if(A277="","",index(fish_lab_data!X:X,match(A277,fish_lab_data!C:C,0)))</f>
        <v>276</v>
      </c>
    </row>
    <row r="278">
      <c r="A278" t="str">
        <f>fish_lab_data!C278</f>
        <v>U5412</v>
      </c>
      <c r="B278" t="str">
        <f t="array" ref="B278">iferror(index('rna-muscle'!$I:$I,match($A278,'rna-muscle'!$A:$A,0)))</f>
        <v>BRN65M-E2</v>
      </c>
      <c r="C278" t="str">
        <f t="array" ref="C278">iferror(index('rna-muscle'!$L:$L,match($A278,'rna-muscle'!$A:$A,0)))</f>
        <v>N</v>
      </c>
      <c r="D278" t="str">
        <f t="array" ref="D278">iferror(index('rna-gill'!$I:$I,match($A278,'rna-gill'!$A:$A,0)))</f>
        <v>BRN65G-E2</v>
      </c>
      <c r="E278" t="str">
        <f t="array" ref="E278">iferror(index('rna-gill'!$L:$L,match($A278,'rna-gill'!$A:$A,0)))</f>
        <v>N</v>
      </c>
      <c r="F278" t="str">
        <f t="array" ref="F278">iferror(index(fatty_acid!$G:$G,match($A278,fatty_acid!$A:$A,0)))</f>
        <v>BFA24-5</v>
      </c>
      <c r="G278" t="str">
        <f t="array" ref="G278">iferror(index(fatty_acid!$J:$J,match($A278,fatty_acid!$A:$A,0)))</f>
        <v>N</v>
      </c>
      <c r="H278" t="str">
        <f t="array" ref="H278">iferror(index(isotopes!$G:$G,match($A278,isotopes!$A:$A,0)))</f>
        <v>BIS26-24</v>
      </c>
      <c r="I278" t="str">
        <f t="array" ref="I278">iferror(index(isotopes!$J:$J,match($A278,isotopes!$A:$A,0)))</f>
        <v>N</v>
      </c>
      <c r="J278" t="str">
        <f t="array" ref="J278">iferror(index(extra_muscle!$G:$G,match($A278,extra_muscle!$A:$A,0)))</f>
        <v>BXM23-90</v>
      </c>
      <c r="K278" t="str">
        <f t="array" ref="K278">iferror(index(extra_muscle!$J:$J,match($A278,extra_muscle!$A:$A,0)))</f>
        <v>N</v>
      </c>
      <c r="L278" s="59" t="str">
        <f t="array" ref="L278">iferror(index(dna!$G:$G,match($A278,dna!$A:$A,0)))</f>
        <v/>
      </c>
      <c r="M278" s="60" t="str">
        <f t="array" ref="M278">iferror(index(dna!$J:$J,match($A278,dna!$A:$A,0)))</f>
        <v/>
      </c>
      <c r="N278" t="str">
        <f t="array" ref="N278">iferror(index(stomachs!$G:$G,match($A278,stomachs!$A:$A,0)))</f>
        <v>BST243-1</v>
      </c>
      <c r="O278" t="str">
        <f t="array" ref="O278">iferror(index(stomachs!$J:$J,match($A278,stomachs!$A:$A,0)))</f>
        <v>N</v>
      </c>
      <c r="P278" t="str">
        <f t="array" ref="P278">iferror(index(sea_lice!$G:$G,match($A278,sea_lice!$A:$A,0)))</f>
        <v/>
      </c>
      <c r="Q278" t="str">
        <f t="array" ref="Q278">iferror(index(sea_lice!$J:$J,match($A278,sea_lice!$A:$A,0)))</f>
        <v/>
      </c>
      <c r="R278" s="40" t="str">
        <f t="array" ref="R278">iferror(index(dissected_fish!$F:$F,match($A278,dissected_fish!$A:$A,0)))</f>
        <v>BCA101</v>
      </c>
      <c r="S278" s="40" t="str">
        <f t="array" ref="S278">iferror(index(dissected_fish!$K:$K,match($A278,dissected_fish!$A:$A,0)))</f>
        <v>N</v>
      </c>
      <c r="T278" s="61" t="str">
        <f t="array" ref="T278">index(fish_lab_data!O:O,match(A278,fish_lab_data!C:C,0))</f>
        <v>EJ</v>
      </c>
      <c r="U278" s="61">
        <f t="array" ref="U278">if(A278="","",index(fish_lab_data!X:X,match(A278,fish_lab_data!C:C,0)))</f>
        <v>277</v>
      </c>
    </row>
    <row r="279">
      <c r="A279" t="str">
        <f>fish_lab_data!C279</f>
        <v>U5413</v>
      </c>
      <c r="B279" t="str">
        <f t="array" ref="B279">iferror(index('rna-muscle'!$I:$I,match($A279,'rna-muscle'!$A:$A,0)))</f>
        <v>BRN65M-D2</v>
      </c>
      <c r="C279" t="str">
        <f t="array" ref="C279">iferror(index('rna-muscle'!$L:$L,match($A279,'rna-muscle'!$A:$A,0)))</f>
        <v>N</v>
      </c>
      <c r="D279" t="str">
        <f t="array" ref="D279">iferror(index('rna-gill'!$I:$I,match($A279,'rna-gill'!$A:$A,0)))</f>
        <v>BRN65G-D2</v>
      </c>
      <c r="E279" t="str">
        <f t="array" ref="E279">iferror(index('rna-gill'!$L:$L,match($A279,'rna-gill'!$A:$A,0)))</f>
        <v>N</v>
      </c>
      <c r="F279" t="str">
        <f t="array" ref="F279">iferror(index(fatty_acid!$G:$G,match($A279,fatty_acid!$A:$A,0)))</f>
        <v>BFA24-6</v>
      </c>
      <c r="G279" t="str">
        <f t="array" ref="G279">iferror(index(fatty_acid!$J:$J,match($A279,fatty_acid!$A:$A,0)))</f>
        <v>N</v>
      </c>
      <c r="H279" t="str">
        <f t="array" ref="H279">iferror(index(isotopes!$G:$G,match($A279,isotopes!$A:$A,0)))</f>
        <v>BIS26-25</v>
      </c>
      <c r="I279" t="str">
        <f t="array" ref="I279">iferror(index(isotopes!$J:$J,match($A279,isotopes!$A:$A,0)))</f>
        <v>N</v>
      </c>
      <c r="J279" t="str">
        <f t="array" ref="J279">iferror(index(extra_muscle!$G:$G,match($A279,extra_muscle!$A:$A,0)))</f>
        <v>BXM23-91</v>
      </c>
      <c r="K279" t="str">
        <f t="array" ref="K279">iferror(index(extra_muscle!$J:$J,match($A279,extra_muscle!$A:$A,0)))</f>
        <v>N</v>
      </c>
      <c r="L279" s="59" t="str">
        <f t="array" ref="L279">iferror(index(dna!$G:$G,match($A279,dna!$A:$A,0)))</f>
        <v/>
      </c>
      <c r="M279" s="60" t="str">
        <f t="array" ref="M279">iferror(index(dna!$J:$J,match($A279,dna!$A:$A,0)))</f>
        <v/>
      </c>
      <c r="N279" t="str">
        <f t="array" ref="N279">iferror(index(stomachs!$G:$G,match($A279,stomachs!$A:$A,0)))</f>
        <v>BST243-2</v>
      </c>
      <c r="O279" t="str">
        <f t="array" ref="O279">iferror(index(stomachs!$J:$J,match($A279,stomachs!$A:$A,0)))</f>
        <v>N</v>
      </c>
      <c r="P279" t="str">
        <f t="array" ref="P279">iferror(index(sea_lice!$G:$G,match($A279,sea_lice!$A:$A,0)))</f>
        <v/>
      </c>
      <c r="Q279" t="str">
        <f t="array" ref="Q279">iferror(index(sea_lice!$J:$J,match($A279,sea_lice!$A:$A,0)))</f>
        <v/>
      </c>
      <c r="R279" s="40" t="str">
        <f t="array" ref="R279">iferror(index(dissected_fish!$F:$F,match($A279,dissected_fish!$A:$A,0)))</f>
        <v>BCA101</v>
      </c>
      <c r="S279" s="40" t="str">
        <f t="array" ref="S279">iferror(index(dissected_fish!$K:$K,match($A279,dissected_fish!$A:$A,0)))</f>
        <v>N</v>
      </c>
      <c r="T279" s="61" t="str">
        <f t="array" ref="T279">index(fish_lab_data!O:O,match(A279,fish_lab_data!C:C,0))</f>
        <v>EJ</v>
      </c>
      <c r="U279" s="61">
        <f t="array" ref="U279">if(A279="","",index(fish_lab_data!X:X,match(A279,fish_lab_data!C:C,0)))</f>
        <v>278</v>
      </c>
    </row>
    <row r="280">
      <c r="A280" t="str">
        <f>fish_lab_data!C280</f>
        <v>U5414</v>
      </c>
      <c r="B280" t="str">
        <f t="array" ref="B280">iferror(index('rna-muscle'!$I:$I,match($A280,'rna-muscle'!$A:$A,0)))</f>
        <v>BRN65M-C2</v>
      </c>
      <c r="C280" t="str">
        <f t="array" ref="C280">iferror(index('rna-muscle'!$L:$L,match($A280,'rna-muscle'!$A:$A,0)))</f>
        <v>N</v>
      </c>
      <c r="D280" t="str">
        <f t="array" ref="D280">iferror(index('rna-gill'!$I:$I,match($A280,'rna-gill'!$A:$A,0)))</f>
        <v>BRN65G-C2</v>
      </c>
      <c r="E280" t="str">
        <f t="array" ref="E280">iferror(index('rna-gill'!$L:$L,match($A280,'rna-gill'!$A:$A,0)))</f>
        <v>N</v>
      </c>
      <c r="F280" t="str">
        <f t="array" ref="F280">iferror(index(fatty_acid!$G:$G,match($A280,fatty_acid!$A:$A,0)))</f>
        <v>BFA24-7</v>
      </c>
      <c r="G280" t="str">
        <f t="array" ref="G280">iferror(index(fatty_acid!$J:$J,match($A280,fatty_acid!$A:$A,0)))</f>
        <v>N</v>
      </c>
      <c r="H280" t="str">
        <f t="array" ref="H280">iferror(index(isotopes!$G:$G,match($A280,isotopes!$A:$A,0)))</f>
        <v>BIS26-26</v>
      </c>
      <c r="I280" t="str">
        <f t="array" ref="I280">iferror(index(isotopes!$J:$J,match($A280,isotopes!$A:$A,0)))</f>
        <v>N</v>
      </c>
      <c r="J280" t="str">
        <f t="array" ref="J280">iferror(index(extra_muscle!$G:$G,match($A280,extra_muscle!$A:$A,0)))</f>
        <v>BXM23-92</v>
      </c>
      <c r="K280" t="str">
        <f t="array" ref="K280">iferror(index(extra_muscle!$J:$J,match($A280,extra_muscle!$A:$A,0)))</f>
        <v>N</v>
      </c>
      <c r="L280" s="59" t="str">
        <f t="array" ref="L280">iferror(index(dna!$G:$G,match($A280,dna!$A:$A,0)))</f>
        <v/>
      </c>
      <c r="M280" s="60" t="str">
        <f t="array" ref="M280">iferror(index(dna!$J:$J,match($A280,dna!$A:$A,0)))</f>
        <v/>
      </c>
      <c r="N280" t="str">
        <f t="array" ref="N280">iferror(index(stomachs!$G:$G,match($A280,stomachs!$A:$A,0)))</f>
        <v>BST243-3</v>
      </c>
      <c r="O280" t="str">
        <f t="array" ref="O280">iferror(index(stomachs!$J:$J,match($A280,stomachs!$A:$A,0)))</f>
        <v>N</v>
      </c>
      <c r="P280" t="str">
        <f t="array" ref="P280">iferror(index(sea_lice!$G:$G,match($A280,sea_lice!$A:$A,0)))</f>
        <v/>
      </c>
      <c r="Q280" t="str">
        <f t="array" ref="Q280">iferror(index(sea_lice!$J:$J,match($A280,sea_lice!$A:$A,0)))</f>
        <v/>
      </c>
      <c r="R280" s="40" t="str">
        <f t="array" ref="R280">iferror(index(dissected_fish!$F:$F,match($A280,dissected_fish!$A:$A,0)))</f>
        <v>BCA101</v>
      </c>
      <c r="S280" s="40" t="str">
        <f t="array" ref="S280">iferror(index(dissected_fish!$K:$K,match($A280,dissected_fish!$A:$A,0)))</f>
        <v>N</v>
      </c>
      <c r="T280" s="61" t="str">
        <f t="array" ref="T280">index(fish_lab_data!O:O,match(A280,fish_lab_data!C:C,0))</f>
        <v>EJ</v>
      </c>
      <c r="U280" s="61">
        <f t="array" ref="U280">if(A280="","",index(fish_lab_data!X:X,match(A280,fish_lab_data!C:C,0)))</f>
        <v>279</v>
      </c>
    </row>
    <row r="281">
      <c r="A281" t="str">
        <f>fish_lab_data!C281</f>
        <v>U5415</v>
      </c>
      <c r="B281" t="str">
        <f t="array" ref="B281">iferror(index('rna-muscle'!$I:$I,match($A281,'rna-muscle'!$A:$A,0)))</f>
        <v>BRN65M-B2</v>
      </c>
      <c r="C281" t="str">
        <f t="array" ref="C281">iferror(index('rna-muscle'!$L:$L,match($A281,'rna-muscle'!$A:$A,0)))</f>
        <v>N</v>
      </c>
      <c r="D281" t="str">
        <f t="array" ref="D281">iferror(index('rna-gill'!$I:$I,match($A281,'rna-gill'!$A:$A,0)))</f>
        <v>BRN65G-B2</v>
      </c>
      <c r="E281" t="str">
        <f t="array" ref="E281">iferror(index('rna-gill'!$L:$L,match($A281,'rna-gill'!$A:$A,0)))</f>
        <v>N</v>
      </c>
      <c r="F281" t="str">
        <f t="array" ref="F281">iferror(index(fatty_acid!$G:$G,match($A281,fatty_acid!$A:$A,0)))</f>
        <v>BFA24-8</v>
      </c>
      <c r="G281" t="str">
        <f t="array" ref="G281">iferror(index(fatty_acid!$J:$J,match($A281,fatty_acid!$A:$A,0)))</f>
        <v>N</v>
      </c>
      <c r="H281" t="str">
        <f t="array" ref="H281">iferror(index(isotopes!$G:$G,match($A281,isotopes!$A:$A,0)))</f>
        <v>BIS26-27</v>
      </c>
      <c r="I281" t="str">
        <f t="array" ref="I281">iferror(index(isotopes!$J:$J,match($A281,isotopes!$A:$A,0)))</f>
        <v>N</v>
      </c>
      <c r="J281" t="str">
        <f t="array" ref="J281">iferror(index(extra_muscle!$G:$G,match($A281,extra_muscle!$A:$A,0)))</f>
        <v>BXM23-93</v>
      </c>
      <c r="K281" t="str">
        <f t="array" ref="K281">iferror(index(extra_muscle!$J:$J,match($A281,extra_muscle!$A:$A,0)))</f>
        <v>N</v>
      </c>
      <c r="L281" s="59" t="str">
        <f t="array" ref="L281">iferror(index(dna!$G:$G,match($A281,dna!$A:$A,0)))</f>
        <v/>
      </c>
      <c r="M281" s="60" t="str">
        <f t="array" ref="M281">iferror(index(dna!$J:$J,match($A281,dna!$A:$A,0)))</f>
        <v/>
      </c>
      <c r="N281" t="str">
        <f t="array" ref="N281">iferror(index(stomachs!$G:$G,match($A281,stomachs!$A:$A,0)))</f>
        <v>BST243-4</v>
      </c>
      <c r="O281" t="str">
        <f t="array" ref="O281">iferror(index(stomachs!$J:$J,match($A281,stomachs!$A:$A,0)))</f>
        <v>N</v>
      </c>
      <c r="P281" t="str">
        <f t="array" ref="P281">iferror(index(sea_lice!$G:$G,match($A281,sea_lice!$A:$A,0)))</f>
        <v/>
      </c>
      <c r="Q281" t="str">
        <f t="array" ref="Q281">iferror(index(sea_lice!$J:$J,match($A281,sea_lice!$A:$A,0)))</f>
        <v/>
      </c>
      <c r="R281" s="40" t="str">
        <f t="array" ref="R281">iferror(index(dissected_fish!$F:$F,match($A281,dissected_fish!$A:$A,0)))</f>
        <v>BCA101</v>
      </c>
      <c r="S281" s="40" t="str">
        <f t="array" ref="S281">iferror(index(dissected_fish!$K:$K,match($A281,dissected_fish!$A:$A,0)))</f>
        <v>N</v>
      </c>
      <c r="T281" s="61" t="str">
        <f t="array" ref="T281">index(fish_lab_data!O:O,match(A281,fish_lab_data!C:C,0))</f>
        <v>EJ</v>
      </c>
      <c r="U281" s="61">
        <f t="array" ref="U281">if(A281="","",index(fish_lab_data!X:X,match(A281,fish_lab_data!C:C,0)))</f>
        <v>280</v>
      </c>
    </row>
    <row r="282">
      <c r="A282" t="str">
        <f>fish_lab_data!C282</f>
        <v>U5416</v>
      </c>
      <c r="B282" t="str">
        <f t="array" ref="B282">iferror(index('rna-muscle'!$I:$I,match($A282,'rna-muscle'!$A:$A,0)))</f>
        <v>BRN65M-A2</v>
      </c>
      <c r="C282" t="str">
        <f t="array" ref="C282">iferror(index('rna-muscle'!$L:$L,match($A282,'rna-muscle'!$A:$A,0)))</f>
        <v>N</v>
      </c>
      <c r="D282" t="str">
        <f t="array" ref="D282">iferror(index('rna-gill'!$I:$I,match($A282,'rna-gill'!$A:$A,0)))</f>
        <v>BRN65G-A2</v>
      </c>
      <c r="E282" t="str">
        <f t="array" ref="E282">iferror(index('rna-gill'!$L:$L,match($A282,'rna-gill'!$A:$A,0)))</f>
        <v>N</v>
      </c>
      <c r="F282" t="str">
        <f t="array" ref="F282">iferror(index(fatty_acid!$G:$G,match($A282,fatty_acid!$A:$A,0)))</f>
        <v>BFA24-9</v>
      </c>
      <c r="G282" t="str">
        <f t="array" ref="G282">iferror(index(fatty_acid!$J:$J,match($A282,fatty_acid!$A:$A,0)))</f>
        <v>N</v>
      </c>
      <c r="H282" t="str">
        <f t="array" ref="H282">iferror(index(isotopes!$G:$G,match($A282,isotopes!$A:$A,0)))</f>
        <v>BIS26-28</v>
      </c>
      <c r="I282" t="str">
        <f t="array" ref="I282">iferror(index(isotopes!$J:$J,match($A282,isotopes!$A:$A,0)))</f>
        <v>N</v>
      </c>
      <c r="J282" t="str">
        <f t="array" ref="J282">iferror(index(extra_muscle!$G:$G,match($A282,extra_muscle!$A:$A,0)))</f>
        <v>BXM23-94</v>
      </c>
      <c r="K282" t="str">
        <f t="array" ref="K282">iferror(index(extra_muscle!$J:$J,match($A282,extra_muscle!$A:$A,0)))</f>
        <v>N</v>
      </c>
      <c r="L282" s="59" t="str">
        <f t="array" ref="L282">iferror(index(dna!$G:$G,match($A282,dna!$A:$A,0)))</f>
        <v/>
      </c>
      <c r="M282" s="60" t="str">
        <f t="array" ref="M282">iferror(index(dna!$J:$J,match($A282,dna!$A:$A,0)))</f>
        <v/>
      </c>
      <c r="N282" t="str">
        <f t="array" ref="N282">iferror(index(stomachs!$G:$G,match($A282,stomachs!$A:$A,0)))</f>
        <v>BST243-5</v>
      </c>
      <c r="O282" t="str">
        <f t="array" ref="O282">iferror(index(stomachs!$J:$J,match($A282,stomachs!$A:$A,0)))</f>
        <v>N</v>
      </c>
      <c r="P282" t="str">
        <f t="array" ref="P282">iferror(index(sea_lice!$G:$G,match($A282,sea_lice!$A:$A,0)))</f>
        <v/>
      </c>
      <c r="Q282" t="str">
        <f t="array" ref="Q282">iferror(index(sea_lice!$J:$J,match($A282,sea_lice!$A:$A,0)))</f>
        <v/>
      </c>
      <c r="R282" s="40" t="str">
        <f t="array" ref="R282">iferror(index(dissected_fish!$F:$F,match($A282,dissected_fish!$A:$A,0)))</f>
        <v>BCA101</v>
      </c>
      <c r="S282" s="40" t="str">
        <f t="array" ref="S282">iferror(index(dissected_fish!$K:$K,match($A282,dissected_fish!$A:$A,0)))</f>
        <v>N</v>
      </c>
      <c r="T282" s="61" t="str">
        <f t="array" ref="T282">index(fish_lab_data!O:O,match(A282,fish_lab_data!C:C,0))</f>
        <v>EJ</v>
      </c>
      <c r="U282" s="61">
        <f t="array" ref="U282">if(A282="","",index(fish_lab_data!X:X,match(A282,fish_lab_data!C:C,0)))</f>
        <v>281</v>
      </c>
    </row>
    <row r="283">
      <c r="A283" t="str">
        <f>fish_lab_data!C283</f>
        <v>U5417</v>
      </c>
      <c r="B283" t="str">
        <f t="array" ref="B283">iferror(index('rna-muscle'!$I:$I,match($A283,'rna-muscle'!$A:$A,0)))</f>
        <v>BRN65M-H4</v>
      </c>
      <c r="C283" t="str">
        <f t="array" ref="C283">iferror(index('rna-muscle'!$L:$L,match($A283,'rna-muscle'!$A:$A,0)))</f>
        <v>N</v>
      </c>
      <c r="D283" t="str">
        <f t="array" ref="D283">iferror(index('rna-gill'!$I:$I,match($A283,'rna-gill'!$A:$A,0)))</f>
        <v>BRN65G-H4</v>
      </c>
      <c r="E283" t="str">
        <f t="array" ref="E283">iferror(index('rna-gill'!$L:$L,match($A283,'rna-gill'!$A:$A,0)))</f>
        <v>N</v>
      </c>
      <c r="F283" t="str">
        <f t="array" ref="F283">iferror(index(fatty_acid!$G:$G,match($A283,fatty_acid!$A:$A,0)))</f>
        <v>BFA24-10</v>
      </c>
      <c r="G283" t="str">
        <f t="array" ref="G283">iferror(index(fatty_acid!$J:$J,match($A283,fatty_acid!$A:$A,0)))</f>
        <v>N</v>
      </c>
      <c r="H283" t="str">
        <f t="array" ref="H283">iferror(index(isotopes!$G:$G,match($A283,isotopes!$A:$A,0)))</f>
        <v>BIS26-29</v>
      </c>
      <c r="I283" t="str">
        <f t="array" ref="I283">iferror(index(isotopes!$J:$J,match($A283,isotopes!$A:$A,0)))</f>
        <v>N</v>
      </c>
      <c r="J283" t="str">
        <f t="array" ref="J283">iferror(index(extra_muscle!$G:$G,match($A283,extra_muscle!$A:$A,0)))</f>
        <v>BXM23-95</v>
      </c>
      <c r="K283" t="str">
        <f t="array" ref="K283">iferror(index(extra_muscle!$J:$J,match($A283,extra_muscle!$A:$A,0)))</f>
        <v>N</v>
      </c>
      <c r="L283" s="59" t="str">
        <f t="array" ref="L283">iferror(index(dna!$G:$G,match($A283,dna!$A:$A,0)))</f>
        <v/>
      </c>
      <c r="M283" s="60" t="str">
        <f t="array" ref="M283">iferror(index(dna!$J:$J,match($A283,dna!$A:$A,0)))</f>
        <v/>
      </c>
      <c r="N283" t="str">
        <f t="array" ref="N283">iferror(index(stomachs!$G:$G,match($A283,stomachs!$A:$A,0)))</f>
        <v>BST243-6</v>
      </c>
      <c r="O283" t="str">
        <f t="array" ref="O283">iferror(index(stomachs!$J:$J,match($A283,stomachs!$A:$A,0)))</f>
        <v>N</v>
      </c>
      <c r="P283" t="str">
        <f t="array" ref="P283">iferror(index(sea_lice!$G:$G,match($A283,sea_lice!$A:$A,0)))</f>
        <v/>
      </c>
      <c r="Q283" t="str">
        <f t="array" ref="Q283">iferror(index(sea_lice!$J:$J,match($A283,sea_lice!$A:$A,0)))</f>
        <v/>
      </c>
      <c r="R283" s="40" t="str">
        <f t="array" ref="R283">iferror(index(dissected_fish!$F:$F,match($A283,dissected_fish!$A:$A,0)))</f>
        <v>BCA102</v>
      </c>
      <c r="S283" s="40" t="str">
        <f t="array" ref="S283">iferror(index(dissected_fish!$K:$K,match($A283,dissected_fish!$A:$A,0)))</f>
        <v>N</v>
      </c>
      <c r="T283" s="61" t="str">
        <f t="array" ref="T283">index(fish_lab_data!O:O,match(A283,fish_lab_data!C:C,0))</f>
        <v>EJ</v>
      </c>
      <c r="U283" s="61">
        <f t="array" ref="U283">if(A283="","",index(fish_lab_data!X:X,match(A283,fish_lab_data!C:C,0)))</f>
        <v>282</v>
      </c>
    </row>
    <row r="284">
      <c r="A284" t="str">
        <f>fish_lab_data!C284</f>
        <v>U5418</v>
      </c>
      <c r="B284" t="str">
        <f t="array" ref="B284">iferror(index('rna-muscle'!$I:$I,match($A284,'rna-muscle'!$A:$A,0)))</f>
        <v>BRN65M-G4</v>
      </c>
      <c r="C284" t="str">
        <f t="array" ref="C284">iferror(index('rna-muscle'!$L:$L,match($A284,'rna-muscle'!$A:$A,0)))</f>
        <v>N</v>
      </c>
      <c r="D284" t="str">
        <f t="array" ref="D284">iferror(index('rna-gill'!$I:$I,match($A284,'rna-gill'!$A:$A,0)))</f>
        <v>BRN65G-G4</v>
      </c>
      <c r="E284" t="str">
        <f t="array" ref="E284">iferror(index('rna-gill'!$L:$L,match($A284,'rna-gill'!$A:$A,0)))</f>
        <v>N</v>
      </c>
      <c r="F284" t="str">
        <f t="array" ref="F284">iferror(index(fatty_acid!$G:$G,match($A284,fatty_acid!$A:$A,0)))</f>
        <v>BFA24-11</v>
      </c>
      <c r="G284" t="str">
        <f t="array" ref="G284">iferror(index(fatty_acid!$J:$J,match($A284,fatty_acid!$A:$A,0)))</f>
        <v>N</v>
      </c>
      <c r="H284" t="str">
        <f t="array" ref="H284">iferror(index(isotopes!$G:$G,match($A284,isotopes!$A:$A,0)))</f>
        <v>BIS26-30</v>
      </c>
      <c r="I284" t="str">
        <f t="array" ref="I284">iferror(index(isotopes!$J:$J,match($A284,isotopes!$A:$A,0)))</f>
        <v>N</v>
      </c>
      <c r="J284" t="str">
        <f t="array" ref="J284">iferror(index(extra_muscle!$G:$G,match($A284,extra_muscle!$A:$A,0)))</f>
        <v>BXM23-97</v>
      </c>
      <c r="K284" t="str">
        <f t="array" ref="K284">iferror(index(extra_muscle!$J:$J,match($A284,extra_muscle!$A:$A,0)))</f>
        <v>N</v>
      </c>
      <c r="L284" s="59" t="str">
        <f t="array" ref="L284">iferror(index(dna!$G:$G,match($A284,dna!$A:$A,0)))</f>
        <v/>
      </c>
      <c r="M284" s="60" t="str">
        <f t="array" ref="M284">iferror(index(dna!$J:$J,match($A284,dna!$A:$A,0)))</f>
        <v/>
      </c>
      <c r="N284" t="str">
        <f t="array" ref="N284">iferror(index(stomachs!$G:$G,match($A284,stomachs!$A:$A,0)))</f>
        <v>BST243-7</v>
      </c>
      <c r="O284" t="str">
        <f t="array" ref="O284">iferror(index(stomachs!$J:$J,match($A284,stomachs!$A:$A,0)))</f>
        <v>N</v>
      </c>
      <c r="P284" t="str">
        <f t="array" ref="P284">iferror(index(sea_lice!$G:$G,match($A284,sea_lice!$A:$A,0)))</f>
        <v/>
      </c>
      <c r="Q284" t="str">
        <f t="array" ref="Q284">iferror(index(sea_lice!$J:$J,match($A284,sea_lice!$A:$A,0)))</f>
        <v/>
      </c>
      <c r="R284" s="40" t="str">
        <f t="array" ref="R284">iferror(index(dissected_fish!$F:$F,match($A284,dissected_fish!$A:$A,0)))</f>
        <v>BCA102</v>
      </c>
      <c r="S284" s="40" t="str">
        <f t="array" ref="S284">iferror(index(dissected_fish!$K:$K,match($A284,dissected_fish!$A:$A,0)))</f>
        <v>N</v>
      </c>
      <c r="T284" s="61" t="str">
        <f t="array" ref="T284">index(fish_lab_data!O:O,match(A284,fish_lab_data!C:C,0))</f>
        <v>EJ</v>
      </c>
      <c r="U284" s="61">
        <f t="array" ref="U284">if(A284="","",index(fish_lab_data!X:X,match(A284,fish_lab_data!C:C,0)))</f>
        <v>283</v>
      </c>
    </row>
    <row r="285">
      <c r="A285" t="str">
        <f>fish_lab_data!C285</f>
        <v>U5419</v>
      </c>
      <c r="B285" t="str">
        <f t="array" ref="B285">iferror(index('rna-muscle'!$I:$I,match($A285,'rna-muscle'!$A:$A,0)))</f>
        <v>BRN65M-F4</v>
      </c>
      <c r="C285" t="str">
        <f t="array" ref="C285">iferror(index('rna-muscle'!$L:$L,match($A285,'rna-muscle'!$A:$A,0)))</f>
        <v>N</v>
      </c>
      <c r="D285" t="str">
        <f t="array" ref="D285">iferror(index('rna-gill'!$I:$I,match($A285,'rna-gill'!$A:$A,0)))</f>
        <v>BRN65G-F4</v>
      </c>
      <c r="E285" t="str">
        <f t="array" ref="E285">iferror(index('rna-gill'!$L:$L,match($A285,'rna-gill'!$A:$A,0)))</f>
        <v>N</v>
      </c>
      <c r="F285" t="str">
        <f t="array" ref="F285">iferror(index(fatty_acid!$G:$G,match($A285,fatty_acid!$A:$A,0)))</f>
        <v>BFA24-12</v>
      </c>
      <c r="G285" t="str">
        <f t="array" ref="G285">iferror(index(fatty_acid!$J:$J,match($A285,fatty_acid!$A:$A,0)))</f>
        <v>N</v>
      </c>
      <c r="H285" t="str">
        <f t="array" ref="H285">iferror(index(isotopes!$G:$G,match($A285,isotopes!$A:$A,0)))</f>
        <v>BIS26-31</v>
      </c>
      <c r="I285" t="str">
        <f t="array" ref="I285">iferror(index(isotopes!$J:$J,match($A285,isotopes!$A:$A,0)))</f>
        <v>N</v>
      </c>
      <c r="J285" t="str">
        <f t="array" ref="J285">iferror(index(extra_muscle!$G:$G,match($A285,extra_muscle!$A:$A,0)))</f>
        <v>BXM23-98</v>
      </c>
      <c r="K285" t="str">
        <f t="array" ref="K285">iferror(index(extra_muscle!$J:$J,match($A285,extra_muscle!$A:$A,0)))</f>
        <v>N</v>
      </c>
      <c r="L285" s="59" t="str">
        <f t="array" ref="L285">iferror(index(dna!$G:$G,match($A285,dna!$A:$A,0)))</f>
        <v/>
      </c>
      <c r="M285" s="60" t="str">
        <f t="array" ref="M285">iferror(index(dna!$J:$J,match($A285,dna!$A:$A,0)))</f>
        <v/>
      </c>
      <c r="N285" t="str">
        <f t="array" ref="N285">iferror(index(stomachs!$G:$G,match($A285,stomachs!$A:$A,0)))</f>
        <v>BST243-8</v>
      </c>
      <c r="O285" t="str">
        <f t="array" ref="O285">iferror(index(stomachs!$J:$J,match($A285,stomachs!$A:$A,0)))</f>
        <v>N</v>
      </c>
      <c r="P285" t="str">
        <f t="array" ref="P285">iferror(index(sea_lice!$G:$G,match($A285,sea_lice!$A:$A,0)))</f>
        <v/>
      </c>
      <c r="Q285" t="str">
        <f t="array" ref="Q285">iferror(index(sea_lice!$J:$J,match($A285,sea_lice!$A:$A,0)))</f>
        <v/>
      </c>
      <c r="R285" s="40" t="str">
        <f t="array" ref="R285">iferror(index(dissected_fish!$F:$F,match($A285,dissected_fish!$A:$A,0)))</f>
        <v>BCA102</v>
      </c>
      <c r="S285" s="40" t="str">
        <f t="array" ref="S285">iferror(index(dissected_fish!$K:$K,match($A285,dissected_fish!$A:$A,0)))</f>
        <v>N</v>
      </c>
      <c r="T285" s="61" t="str">
        <f t="array" ref="T285">index(fish_lab_data!O:O,match(A285,fish_lab_data!C:C,0))</f>
        <v>EJ</v>
      </c>
      <c r="U285" s="61">
        <f t="array" ref="U285">if(A285="","",index(fish_lab_data!X:X,match(A285,fish_lab_data!C:C,0)))</f>
        <v>284</v>
      </c>
    </row>
    <row r="286">
      <c r="A286" t="str">
        <f>fish_lab_data!C286</f>
        <v>U5420</v>
      </c>
      <c r="B286" t="str">
        <f t="array" ref="B286">iferror(index('rna-muscle'!$I:$I,match($A286,'rna-muscle'!$A:$A,0)))</f>
        <v>BRN65M-E4</v>
      </c>
      <c r="C286" t="str">
        <f t="array" ref="C286">iferror(index('rna-muscle'!$L:$L,match($A286,'rna-muscle'!$A:$A,0)))</f>
        <v>N</v>
      </c>
      <c r="D286" t="str">
        <f t="array" ref="D286">iferror(index('rna-gill'!$I:$I,match($A286,'rna-gill'!$A:$A,0)))</f>
        <v>BRN65G-E4</v>
      </c>
      <c r="E286" t="str">
        <f t="array" ref="E286">iferror(index('rna-gill'!$L:$L,match($A286,'rna-gill'!$A:$A,0)))</f>
        <v>N</v>
      </c>
      <c r="F286" t="str">
        <f t="array" ref="F286">iferror(index(fatty_acid!$G:$G,match($A286,fatty_acid!$A:$A,0)))</f>
        <v>BFA24-13</v>
      </c>
      <c r="G286" t="str">
        <f t="array" ref="G286">iferror(index(fatty_acid!$J:$J,match($A286,fatty_acid!$A:$A,0)))</f>
        <v>N</v>
      </c>
      <c r="H286" t="str">
        <f t="array" ref="H286">iferror(index(isotopes!$G:$G,match($A286,isotopes!$A:$A,0)))</f>
        <v>BIS26-32</v>
      </c>
      <c r="I286" t="str">
        <f t="array" ref="I286">iferror(index(isotopes!$J:$J,match($A286,isotopes!$A:$A,0)))</f>
        <v>N</v>
      </c>
      <c r="J286" t="str">
        <f t="array" ref="J286">iferror(index(extra_muscle!$G:$G,match($A286,extra_muscle!$A:$A,0)))</f>
        <v>BXM23-99</v>
      </c>
      <c r="K286" t="str">
        <f t="array" ref="K286">iferror(index(extra_muscle!$J:$J,match($A286,extra_muscle!$A:$A,0)))</f>
        <v>N</v>
      </c>
      <c r="L286" s="59" t="str">
        <f t="array" ref="L286">iferror(index(dna!$G:$G,match($A286,dna!$A:$A,0)))</f>
        <v/>
      </c>
      <c r="M286" s="60" t="str">
        <f t="array" ref="M286">iferror(index(dna!$J:$J,match($A286,dna!$A:$A,0)))</f>
        <v/>
      </c>
      <c r="N286" t="str">
        <f t="array" ref="N286">iferror(index(stomachs!$G:$G,match($A286,stomachs!$A:$A,0)))</f>
        <v>BST243-9</v>
      </c>
      <c r="O286" t="str">
        <f t="array" ref="O286">iferror(index(stomachs!$J:$J,match($A286,stomachs!$A:$A,0)))</f>
        <v>N</v>
      </c>
      <c r="P286" t="str">
        <f t="array" ref="P286">iferror(index(sea_lice!$G:$G,match($A286,sea_lice!$A:$A,0)))</f>
        <v/>
      </c>
      <c r="Q286" t="str">
        <f t="array" ref="Q286">iferror(index(sea_lice!$J:$J,match($A286,sea_lice!$A:$A,0)))</f>
        <v/>
      </c>
      <c r="R286" s="40" t="str">
        <f t="array" ref="R286">iferror(index(dissected_fish!$F:$F,match($A286,dissected_fish!$A:$A,0)))</f>
        <v>BCA102</v>
      </c>
      <c r="S286" s="40" t="str">
        <f t="array" ref="S286">iferror(index(dissected_fish!$K:$K,match($A286,dissected_fish!$A:$A,0)))</f>
        <v>N</v>
      </c>
      <c r="T286" s="61" t="str">
        <f t="array" ref="T286">index(fish_lab_data!O:O,match(A286,fish_lab_data!C:C,0))</f>
        <v>EJ</v>
      </c>
      <c r="U286" s="61">
        <f t="array" ref="U286">if(A286="","",index(fish_lab_data!X:X,match(A286,fish_lab_data!C:C,0)))</f>
        <v>285</v>
      </c>
    </row>
    <row r="287">
      <c r="A287" t="str">
        <f>fish_lab_data!C287</f>
        <v>U5421</v>
      </c>
      <c r="B287" t="str">
        <f t="array" ref="B287">iferror(index('rna-muscle'!$I:$I,match($A287,'rna-muscle'!$A:$A,0)))</f>
        <v>BRN65M-D4</v>
      </c>
      <c r="C287" t="str">
        <f t="array" ref="C287">iferror(index('rna-muscle'!$L:$L,match($A287,'rna-muscle'!$A:$A,0)))</f>
        <v>N</v>
      </c>
      <c r="D287" t="str">
        <f t="array" ref="D287">iferror(index('rna-gill'!$I:$I,match($A287,'rna-gill'!$A:$A,0)))</f>
        <v>BRN65G-D4</v>
      </c>
      <c r="E287" t="str">
        <f t="array" ref="E287">iferror(index('rna-gill'!$L:$L,match($A287,'rna-gill'!$A:$A,0)))</f>
        <v>N</v>
      </c>
      <c r="F287" t="str">
        <f t="array" ref="F287">iferror(index(fatty_acid!$G:$G,match($A287,fatty_acid!$A:$A,0)))</f>
        <v>BFA24-14</v>
      </c>
      <c r="G287" t="str">
        <f t="array" ref="G287">iferror(index(fatty_acid!$J:$J,match($A287,fatty_acid!$A:$A,0)))</f>
        <v>N</v>
      </c>
      <c r="H287" t="str">
        <f t="array" ref="H287">iferror(index(isotopes!$G:$G,match($A287,isotopes!$A:$A,0)))</f>
        <v>BIS26-33</v>
      </c>
      <c r="I287" t="str">
        <f t="array" ref="I287">iferror(index(isotopes!$J:$J,match($A287,isotopes!$A:$A,0)))</f>
        <v>N</v>
      </c>
      <c r="J287" t="str">
        <f t="array" ref="J287">iferror(index(extra_muscle!$G:$G,match($A287,extra_muscle!$A:$A,0)))</f>
        <v>BXM23-100</v>
      </c>
      <c r="K287" t="str">
        <f t="array" ref="K287">iferror(index(extra_muscle!$J:$J,match($A287,extra_muscle!$A:$A,0)))</f>
        <v>N</v>
      </c>
      <c r="L287" s="59" t="str">
        <f t="array" ref="L287">iferror(index(dna!$G:$G,match($A287,dna!$A:$A,0)))</f>
        <v/>
      </c>
      <c r="M287" s="60" t="str">
        <f t="array" ref="M287">iferror(index(dna!$J:$J,match($A287,dna!$A:$A,0)))</f>
        <v/>
      </c>
      <c r="N287" t="str">
        <f t="array" ref="N287">iferror(index(stomachs!$G:$G,match($A287,stomachs!$A:$A,0)))</f>
        <v>BST243-10</v>
      </c>
      <c r="O287" t="str">
        <f t="array" ref="O287">iferror(index(stomachs!$J:$J,match($A287,stomachs!$A:$A,0)))</f>
        <v>N</v>
      </c>
      <c r="P287" t="str">
        <f t="array" ref="P287">iferror(index(sea_lice!$G:$G,match($A287,sea_lice!$A:$A,0)))</f>
        <v/>
      </c>
      <c r="Q287" t="str">
        <f t="array" ref="Q287">iferror(index(sea_lice!$J:$J,match($A287,sea_lice!$A:$A,0)))</f>
        <v/>
      </c>
      <c r="R287" s="40" t="str">
        <f t="array" ref="R287">iferror(index(dissected_fish!$F:$F,match($A287,dissected_fish!$A:$A,0)))</f>
        <v>BCA102</v>
      </c>
      <c r="S287" s="40" t="str">
        <f t="array" ref="S287">iferror(index(dissected_fish!$K:$K,match($A287,dissected_fish!$A:$A,0)))</f>
        <v>N</v>
      </c>
      <c r="T287" s="61" t="str">
        <f t="array" ref="T287">index(fish_lab_data!O:O,match(A287,fish_lab_data!C:C,0))</f>
        <v>EJ</v>
      </c>
      <c r="U287" s="61">
        <f t="array" ref="U287">if(A287="","",index(fish_lab_data!X:X,match(A287,fish_lab_data!C:C,0)))</f>
        <v>286</v>
      </c>
    </row>
    <row r="288">
      <c r="A288" t="str">
        <f>fish_lab_data!C288</f>
        <v>U5389</v>
      </c>
      <c r="B288" t="str">
        <f t="array" ref="B288">iferror(index('rna-muscle'!$I:$I,match($A288,'rna-muscle'!$A:$A,0)))</f>
        <v>BRN63M-A9</v>
      </c>
      <c r="C288" t="str">
        <f t="array" ref="C288">iferror(index('rna-muscle'!$L:$L,match($A288,'rna-muscle'!$A:$A,0)))</f>
        <v>N</v>
      </c>
      <c r="D288" t="str">
        <f t="array" ref="D288">iferror(index('rna-gill'!$I:$I,match($A288,'rna-gill'!$A:$A,0)))</f>
        <v>BRN63G-A9</v>
      </c>
      <c r="E288" t="str">
        <f t="array" ref="E288">iferror(index('rna-gill'!$L:$L,match($A288,'rna-gill'!$A:$A,0)))</f>
        <v>N</v>
      </c>
      <c r="F288" t="str">
        <f t="array" ref="F288">iferror(index(fatty_acid!$G:$G,match($A288,fatty_acid!$A:$A,0)))</f>
        <v>BFA23-73</v>
      </c>
      <c r="G288" t="str">
        <f t="array" ref="G288">iferror(index(fatty_acid!$J:$J,match($A288,fatty_acid!$A:$A,0)))</f>
        <v>N</v>
      </c>
      <c r="H288" t="str">
        <f t="array" ref="H288">iferror(index(isotopes!$G:$G,match($A288,isotopes!$A:$A,0)))</f>
        <v>BIS25-73</v>
      </c>
      <c r="I288" t="str">
        <f t="array" ref="I288">iferror(index(isotopes!$J:$J,match($A288,isotopes!$A:$A,0)))</f>
        <v>N</v>
      </c>
      <c r="J288" t="str">
        <f t="array" ref="J288">iferror(index(extra_muscle!$G:$G,match($A288,extra_muscle!$A:$A,0)))</f>
        <v>BXM24-73</v>
      </c>
      <c r="K288" t="str">
        <f t="array" ref="K288">iferror(index(extra_muscle!$J:$J,match($A288,extra_muscle!$A:$A,0)))</f>
        <v>N</v>
      </c>
      <c r="L288" s="59" t="str">
        <f t="array" ref="L288">iferror(index(dna!$G:$G,match($A288,dna!$A:$A,0)))</f>
        <v/>
      </c>
      <c r="M288" s="60" t="str">
        <f t="array" ref="M288">iferror(index(dna!$J:$J,match($A288,dna!$A:$A,0)))</f>
        <v/>
      </c>
      <c r="N288" t="str">
        <f t="array" ref="N288">iferror(index(stomachs!$G:$G,match($A288,stomachs!$A:$A,0)))</f>
        <v>BST242-3</v>
      </c>
      <c r="O288" t="str">
        <f t="array" ref="O288">iferror(index(stomachs!$J:$J,match($A288,stomachs!$A:$A,0)))</f>
        <v>N</v>
      </c>
      <c r="P288" t="str">
        <f t="array" ref="P288">iferror(index(sea_lice!$G:$G,match($A288,sea_lice!$A:$A,0)))</f>
        <v/>
      </c>
      <c r="Q288" t="str">
        <f t="array" ref="Q288">iferror(index(sea_lice!$J:$J,match($A288,sea_lice!$A:$A,0)))</f>
        <v/>
      </c>
      <c r="R288" s="40" t="str">
        <f t="array" ref="R288">iferror(index(dissected_fish!$F:$F,match($A288,dissected_fish!$A:$A,0)))</f>
        <v>BCA101</v>
      </c>
      <c r="S288" s="40" t="str">
        <f t="array" ref="S288">iferror(index(dissected_fish!$K:$K,match($A288,dissected_fish!$A:$A,0)))</f>
        <v>N</v>
      </c>
      <c r="T288" s="61" t="str">
        <f t="array" ref="T288">index(fish_lab_data!O:O,match(A288,fish_lab_data!C:C,0))</f>
        <v>KB</v>
      </c>
      <c r="U288" s="61">
        <f t="array" ref="U288">if(A288="","",index(fish_lab_data!X:X,match(A288,fish_lab_data!C:C,0)))</f>
        <v>287</v>
      </c>
    </row>
    <row r="289">
      <c r="A289" t="str">
        <f>fish_lab_data!C289</f>
        <v>U5390</v>
      </c>
      <c r="B289" t="str">
        <f t="array" ref="B289">iferror(index('rna-muscle'!$I:$I,match($A289,'rna-muscle'!$A:$A,0)))</f>
        <v>BRN65M-H1</v>
      </c>
      <c r="C289" t="str">
        <f t="array" ref="C289">iferror(index('rna-muscle'!$L:$L,match($A289,'rna-muscle'!$A:$A,0)))</f>
        <v>N</v>
      </c>
      <c r="D289" t="str">
        <f t="array" ref="D289">iferror(index('rna-gill'!$I:$I,match($A289,'rna-gill'!$A:$A,0)))</f>
        <v>BRN65G-H1</v>
      </c>
      <c r="E289" t="str">
        <f t="array" ref="E289">iferror(index('rna-gill'!$L:$L,match($A289,'rna-gill'!$A:$A,0)))</f>
        <v>N</v>
      </c>
      <c r="F289" t="str">
        <f t="array" ref="F289">iferror(index(fatty_acid!$G:$G,match($A289,fatty_acid!$A:$A,0)))</f>
        <v>BFA23-74</v>
      </c>
      <c r="G289" t="str">
        <f t="array" ref="G289">iferror(index(fatty_acid!$J:$J,match($A289,fatty_acid!$A:$A,0)))</f>
        <v>N</v>
      </c>
      <c r="H289" t="str">
        <f t="array" ref="H289">iferror(index(isotopes!$G:$G,match($A289,isotopes!$A:$A,0)))</f>
        <v>BIS25-74</v>
      </c>
      <c r="I289" t="str">
        <f t="array" ref="I289">iferror(index(isotopes!$J:$J,match($A289,isotopes!$A:$A,0)))</f>
        <v>N</v>
      </c>
      <c r="J289" t="str">
        <f t="array" ref="J289">iferror(index(extra_muscle!$G:$G,match($A289,extra_muscle!$A:$A,0)))</f>
        <v>BXM24-74</v>
      </c>
      <c r="K289" t="str">
        <f t="array" ref="K289">iferror(index(extra_muscle!$J:$J,match($A289,extra_muscle!$A:$A,0)))</f>
        <v>N</v>
      </c>
      <c r="L289" s="59" t="str">
        <f t="array" ref="L289">iferror(index(dna!$G:$G,match($A289,dna!$A:$A,0)))</f>
        <v/>
      </c>
      <c r="M289" s="60" t="str">
        <f t="array" ref="M289">iferror(index(dna!$J:$J,match($A289,dna!$A:$A,0)))</f>
        <v/>
      </c>
      <c r="N289" t="str">
        <f t="array" ref="N289">iferror(index(stomachs!$G:$G,match($A289,stomachs!$A:$A,0)))</f>
        <v>BST242-4</v>
      </c>
      <c r="O289" t="str">
        <f t="array" ref="O289">iferror(index(stomachs!$J:$J,match($A289,stomachs!$A:$A,0)))</f>
        <v>N</v>
      </c>
      <c r="P289" t="str">
        <f t="array" ref="P289">iferror(index(sea_lice!$G:$G,match($A289,sea_lice!$A:$A,0)))</f>
        <v/>
      </c>
      <c r="Q289" t="str">
        <f t="array" ref="Q289">iferror(index(sea_lice!$J:$J,match($A289,sea_lice!$A:$A,0)))</f>
        <v/>
      </c>
      <c r="R289" s="40" t="str">
        <f t="array" ref="R289">iferror(index(dissected_fish!$F:$F,match($A289,dissected_fish!$A:$A,0)))</f>
        <v>BCA101</v>
      </c>
      <c r="S289" s="40" t="str">
        <f t="array" ref="S289">iferror(index(dissected_fish!$K:$K,match($A289,dissected_fish!$A:$A,0)))</f>
        <v>N</v>
      </c>
      <c r="T289" s="61" t="str">
        <f t="array" ref="T289">index(fish_lab_data!O:O,match(A289,fish_lab_data!C:C,0))</f>
        <v>KB</v>
      </c>
      <c r="U289" s="61">
        <f t="array" ref="U289">if(A289="","",index(fish_lab_data!X:X,match(A289,fish_lab_data!C:C,0)))</f>
        <v>288</v>
      </c>
    </row>
    <row r="290">
      <c r="A290" t="str">
        <f>fish_lab_data!C290</f>
        <v>U5391</v>
      </c>
      <c r="B290" t="str">
        <f t="array" ref="B290">iferror(index('rna-muscle'!$I:$I,match($A290,'rna-muscle'!$A:$A,0)))</f>
        <v>BRN65M-G1</v>
      </c>
      <c r="C290" t="str">
        <f t="array" ref="C290">iferror(index('rna-muscle'!$L:$L,match($A290,'rna-muscle'!$A:$A,0)))</f>
        <v>N</v>
      </c>
      <c r="D290" t="str">
        <f t="array" ref="D290">iferror(index('rna-gill'!$I:$I,match($A290,'rna-gill'!$A:$A,0)))</f>
        <v>BRN65G-G1</v>
      </c>
      <c r="E290" t="str">
        <f t="array" ref="E290">iferror(index('rna-gill'!$L:$L,match($A290,'rna-gill'!$A:$A,0)))</f>
        <v>N</v>
      </c>
      <c r="F290" t="str">
        <f t="array" ref="F290">iferror(index(fatty_acid!$G:$G,match($A290,fatty_acid!$A:$A,0)))</f>
        <v>BFA23-75</v>
      </c>
      <c r="G290" t="str">
        <f t="array" ref="G290">iferror(index(fatty_acid!$J:$J,match($A290,fatty_acid!$A:$A,0)))</f>
        <v>N</v>
      </c>
      <c r="H290" t="str">
        <f t="array" ref="H290">iferror(index(isotopes!$G:$G,match($A290,isotopes!$A:$A,0)))</f>
        <v>BIS25-75</v>
      </c>
      <c r="I290" t="str">
        <f t="array" ref="I290">iferror(index(isotopes!$J:$J,match($A290,isotopes!$A:$A,0)))</f>
        <v>N</v>
      </c>
      <c r="J290" t="str">
        <f t="array" ref="J290">iferror(index(extra_muscle!$G:$G,match($A290,extra_muscle!$A:$A,0)))</f>
        <v>BXM24-75</v>
      </c>
      <c r="K290" t="str">
        <f t="array" ref="K290">iferror(index(extra_muscle!$J:$J,match($A290,extra_muscle!$A:$A,0)))</f>
        <v>N</v>
      </c>
      <c r="L290" s="59" t="str">
        <f t="array" ref="L290">iferror(index(dna!$G:$G,match($A290,dna!$A:$A,0)))</f>
        <v/>
      </c>
      <c r="M290" s="60" t="str">
        <f t="array" ref="M290">iferror(index(dna!$J:$J,match($A290,dna!$A:$A,0)))</f>
        <v/>
      </c>
      <c r="N290" t="str">
        <f t="array" ref="N290">iferror(index(stomachs!$G:$G,match($A290,stomachs!$A:$A,0)))</f>
        <v>BST242-5</v>
      </c>
      <c r="O290" t="str">
        <f t="array" ref="O290">iferror(index(stomachs!$J:$J,match($A290,stomachs!$A:$A,0)))</f>
        <v>N</v>
      </c>
      <c r="P290" t="str">
        <f t="array" ref="P290">iferror(index(sea_lice!$G:$G,match($A290,sea_lice!$A:$A,0)))</f>
        <v/>
      </c>
      <c r="Q290" t="str">
        <f t="array" ref="Q290">iferror(index(sea_lice!$J:$J,match($A290,sea_lice!$A:$A,0)))</f>
        <v/>
      </c>
      <c r="R290" s="40" t="str">
        <f t="array" ref="R290">iferror(index(dissected_fish!$F:$F,match($A290,dissected_fish!$A:$A,0)))</f>
        <v>BCA101</v>
      </c>
      <c r="S290" s="40" t="str">
        <f t="array" ref="S290">iferror(index(dissected_fish!$K:$K,match($A290,dissected_fish!$A:$A,0)))</f>
        <v>N</v>
      </c>
      <c r="T290" s="61" t="str">
        <f t="array" ref="T290">index(fish_lab_data!O:O,match(A290,fish_lab_data!C:C,0))</f>
        <v>KB</v>
      </c>
      <c r="U290" s="61">
        <f t="array" ref="U290">if(A290="","",index(fish_lab_data!X:X,match(A290,fish_lab_data!C:C,0)))</f>
        <v>289</v>
      </c>
    </row>
    <row r="291">
      <c r="A291" t="str">
        <f>fish_lab_data!C291</f>
        <v>U5392</v>
      </c>
      <c r="B291" t="str">
        <f t="array" ref="B291">iferror(index('rna-muscle'!$I:$I,match($A291,'rna-muscle'!$A:$A,0)))</f>
        <v>BRN65M-F1</v>
      </c>
      <c r="C291" t="str">
        <f t="array" ref="C291">iferror(index('rna-muscle'!$L:$L,match($A291,'rna-muscle'!$A:$A,0)))</f>
        <v>N</v>
      </c>
      <c r="D291" t="str">
        <f t="array" ref="D291">iferror(index('rna-gill'!$I:$I,match($A291,'rna-gill'!$A:$A,0)))</f>
        <v>BRN65G-F1</v>
      </c>
      <c r="E291" t="str">
        <f t="array" ref="E291">iferror(index('rna-gill'!$L:$L,match($A291,'rna-gill'!$A:$A,0)))</f>
        <v>N</v>
      </c>
      <c r="F291" t="str">
        <f t="array" ref="F291">iferror(index(fatty_acid!$G:$G,match($A291,fatty_acid!$A:$A,0)))</f>
        <v>BFA23-76</v>
      </c>
      <c r="G291" t="str">
        <f t="array" ref="G291">iferror(index(fatty_acid!$J:$J,match($A291,fatty_acid!$A:$A,0)))</f>
        <v>N</v>
      </c>
      <c r="H291" t="str">
        <f t="array" ref="H291">iferror(index(isotopes!$G:$G,match($A291,isotopes!$A:$A,0)))</f>
        <v>BIS25-76</v>
      </c>
      <c r="I291" t="str">
        <f t="array" ref="I291">iferror(index(isotopes!$J:$J,match($A291,isotopes!$A:$A,0)))</f>
        <v>N</v>
      </c>
      <c r="J291" t="str">
        <f t="array" ref="J291">iferror(index(extra_muscle!$G:$G,match($A291,extra_muscle!$A:$A,0)))</f>
        <v>BXM24-76</v>
      </c>
      <c r="K291" t="str">
        <f t="array" ref="K291">iferror(index(extra_muscle!$J:$J,match($A291,extra_muscle!$A:$A,0)))</f>
        <v>N</v>
      </c>
      <c r="L291" s="59" t="str">
        <f t="array" ref="L291">iferror(index(dna!$G:$G,match($A291,dna!$A:$A,0)))</f>
        <v/>
      </c>
      <c r="M291" s="60" t="str">
        <f t="array" ref="M291">iferror(index(dna!$J:$J,match($A291,dna!$A:$A,0)))</f>
        <v/>
      </c>
      <c r="N291" t="str">
        <f t="array" ref="N291">iferror(index(stomachs!$G:$G,match($A291,stomachs!$A:$A,0)))</f>
        <v>BST242-6</v>
      </c>
      <c r="O291" t="str">
        <f t="array" ref="O291">iferror(index(stomachs!$J:$J,match($A291,stomachs!$A:$A,0)))</f>
        <v>N</v>
      </c>
      <c r="P291" t="str">
        <f t="array" ref="P291">iferror(index(sea_lice!$G:$G,match($A291,sea_lice!$A:$A,0)))</f>
        <v/>
      </c>
      <c r="Q291" t="str">
        <f t="array" ref="Q291">iferror(index(sea_lice!$J:$J,match($A291,sea_lice!$A:$A,0)))</f>
        <v/>
      </c>
      <c r="R291" s="40" t="str">
        <f t="array" ref="R291">iferror(index(dissected_fish!$F:$F,match($A291,dissected_fish!$A:$A,0)))</f>
        <v>BCA101</v>
      </c>
      <c r="S291" s="40" t="str">
        <f t="array" ref="S291">iferror(index(dissected_fish!$K:$K,match($A291,dissected_fish!$A:$A,0)))</f>
        <v>N</v>
      </c>
      <c r="T291" s="61" t="str">
        <f t="array" ref="T291">index(fish_lab_data!O:O,match(A291,fish_lab_data!C:C,0))</f>
        <v>KB</v>
      </c>
      <c r="U291" s="61">
        <f t="array" ref="U291">if(A291="","",index(fish_lab_data!X:X,match(A291,fish_lab_data!C:C,0)))</f>
        <v>290</v>
      </c>
    </row>
    <row r="292">
      <c r="A292" t="str">
        <f>fish_lab_data!C292</f>
        <v>U5393</v>
      </c>
      <c r="B292" t="str">
        <f t="array" ref="B292">iferror(index('rna-muscle'!$I:$I,match($A292,'rna-muscle'!$A:$A,0)))</f>
        <v>BRN65M-E1</v>
      </c>
      <c r="C292" t="str">
        <f t="array" ref="C292">iferror(index('rna-muscle'!$L:$L,match($A292,'rna-muscle'!$A:$A,0)))</f>
        <v>N</v>
      </c>
      <c r="D292" t="str">
        <f t="array" ref="D292">iferror(index('rna-gill'!$I:$I,match($A292,'rna-gill'!$A:$A,0)))</f>
        <v>BRN65G-E1</v>
      </c>
      <c r="E292" t="str">
        <f t="array" ref="E292">iferror(index('rna-gill'!$L:$L,match($A292,'rna-gill'!$A:$A,0)))</f>
        <v>N</v>
      </c>
      <c r="F292" t="str">
        <f t="array" ref="F292">iferror(index(fatty_acid!$G:$G,match($A292,fatty_acid!$A:$A,0)))</f>
        <v>BFA23-77</v>
      </c>
      <c r="G292" t="str">
        <f t="array" ref="G292">iferror(index(fatty_acid!$J:$J,match($A292,fatty_acid!$A:$A,0)))</f>
        <v>N</v>
      </c>
      <c r="H292" t="str">
        <f t="array" ref="H292">iferror(index(isotopes!$G:$G,match($A292,isotopes!$A:$A,0)))</f>
        <v>BIS25-77</v>
      </c>
      <c r="I292" t="str">
        <f t="array" ref="I292">iferror(index(isotopes!$J:$J,match($A292,isotopes!$A:$A,0)))</f>
        <v>N</v>
      </c>
      <c r="J292" t="str">
        <f t="array" ref="J292">iferror(index(extra_muscle!$G:$G,match($A292,extra_muscle!$A:$A,0)))</f>
        <v>BXM24-77</v>
      </c>
      <c r="K292" t="str">
        <f t="array" ref="K292">iferror(index(extra_muscle!$J:$J,match($A292,extra_muscle!$A:$A,0)))</f>
        <v>N</v>
      </c>
      <c r="L292" s="59" t="str">
        <f t="array" ref="L292">iferror(index(dna!$G:$G,match($A292,dna!$A:$A,0)))</f>
        <v/>
      </c>
      <c r="M292" s="60" t="str">
        <f t="array" ref="M292">iferror(index(dna!$J:$J,match($A292,dna!$A:$A,0)))</f>
        <v/>
      </c>
      <c r="N292" t="str">
        <f t="array" ref="N292">iferror(index(stomachs!$G:$G,match($A292,stomachs!$A:$A,0)))</f>
        <v>BST242-7</v>
      </c>
      <c r="O292" t="str">
        <f t="array" ref="O292">iferror(index(stomachs!$J:$J,match($A292,stomachs!$A:$A,0)))</f>
        <v>N</v>
      </c>
      <c r="P292" t="str">
        <f t="array" ref="P292">iferror(index(sea_lice!$G:$G,match($A292,sea_lice!$A:$A,0)))</f>
        <v/>
      </c>
      <c r="Q292" t="str">
        <f t="array" ref="Q292">iferror(index(sea_lice!$J:$J,match($A292,sea_lice!$A:$A,0)))</f>
        <v/>
      </c>
      <c r="R292" s="40" t="str">
        <f t="array" ref="R292">iferror(index(dissected_fish!$F:$F,match($A292,dissected_fish!$A:$A,0)))</f>
        <v>BCA101</v>
      </c>
      <c r="S292" s="40" t="str">
        <f t="array" ref="S292">iferror(index(dissected_fish!$K:$K,match($A292,dissected_fish!$A:$A,0)))</f>
        <v>N</v>
      </c>
      <c r="T292" s="61" t="str">
        <f t="array" ref="T292">index(fish_lab_data!O:O,match(A292,fish_lab_data!C:C,0))</f>
        <v>KB</v>
      </c>
      <c r="U292" s="61">
        <f t="array" ref="U292">if(A292="","",index(fish_lab_data!X:X,match(A292,fish_lab_data!C:C,0)))</f>
        <v>291</v>
      </c>
    </row>
    <row r="293">
      <c r="A293" t="str">
        <f>fish_lab_data!C293</f>
        <v>U5394</v>
      </c>
      <c r="B293" t="str">
        <f t="array" ref="B293">iferror(index('rna-muscle'!$I:$I,match($A293,'rna-muscle'!$A:$A,0)))</f>
        <v>BRN65M-D1</v>
      </c>
      <c r="C293" t="str">
        <f t="array" ref="C293">iferror(index('rna-muscle'!$L:$L,match($A293,'rna-muscle'!$A:$A,0)))</f>
        <v>N</v>
      </c>
      <c r="D293" t="str">
        <f t="array" ref="D293">iferror(index('rna-gill'!$I:$I,match($A293,'rna-gill'!$A:$A,0)))</f>
        <v>BRN65G-D1</v>
      </c>
      <c r="E293" t="str">
        <f t="array" ref="E293">iferror(index('rna-gill'!$L:$L,match($A293,'rna-gill'!$A:$A,0)))</f>
        <v>N</v>
      </c>
      <c r="F293" t="str">
        <f t="array" ref="F293">iferror(index(fatty_acid!$G:$G,match($A293,fatty_acid!$A:$A,0)))</f>
        <v>BFA23-78</v>
      </c>
      <c r="G293" t="str">
        <f t="array" ref="G293">iferror(index(fatty_acid!$J:$J,match($A293,fatty_acid!$A:$A,0)))</f>
        <v>N</v>
      </c>
      <c r="H293" t="str">
        <f t="array" ref="H293">iferror(index(isotopes!$G:$G,match($A293,isotopes!$A:$A,0)))</f>
        <v>BIS25-78</v>
      </c>
      <c r="I293" t="str">
        <f t="array" ref="I293">iferror(index(isotopes!$J:$J,match($A293,isotopes!$A:$A,0)))</f>
        <v>N</v>
      </c>
      <c r="J293" t="str">
        <f t="array" ref="J293">iferror(index(extra_muscle!$G:$G,match($A293,extra_muscle!$A:$A,0)))</f>
        <v>BXM24-78</v>
      </c>
      <c r="K293" t="str">
        <f t="array" ref="K293">iferror(index(extra_muscle!$J:$J,match($A293,extra_muscle!$A:$A,0)))</f>
        <v>N</v>
      </c>
      <c r="L293" s="59" t="str">
        <f t="array" ref="L293">iferror(index(dna!$G:$G,match($A293,dna!$A:$A,0)))</f>
        <v/>
      </c>
      <c r="M293" s="60" t="str">
        <f t="array" ref="M293">iferror(index(dna!$J:$J,match($A293,dna!$A:$A,0)))</f>
        <v/>
      </c>
      <c r="N293" t="str">
        <f t="array" ref="N293">iferror(index(stomachs!$G:$G,match($A293,stomachs!$A:$A,0)))</f>
        <v>BST242-8</v>
      </c>
      <c r="O293" t="str">
        <f t="array" ref="O293">iferror(index(stomachs!$J:$J,match($A293,stomachs!$A:$A,0)))</f>
        <v>N</v>
      </c>
      <c r="P293" t="str">
        <f t="array" ref="P293">iferror(index(sea_lice!$G:$G,match($A293,sea_lice!$A:$A,0)))</f>
        <v/>
      </c>
      <c r="Q293" t="str">
        <f t="array" ref="Q293">iferror(index(sea_lice!$J:$J,match($A293,sea_lice!$A:$A,0)))</f>
        <v/>
      </c>
      <c r="R293" s="40" t="str">
        <f t="array" ref="R293">iferror(index(dissected_fish!$F:$F,match($A293,dissected_fish!$A:$A,0)))</f>
        <v>BCA101</v>
      </c>
      <c r="S293" s="40" t="str">
        <f t="array" ref="S293">iferror(index(dissected_fish!$K:$K,match($A293,dissected_fish!$A:$A,0)))</f>
        <v>N</v>
      </c>
      <c r="T293" s="61" t="str">
        <f t="array" ref="T293">index(fish_lab_data!O:O,match(A293,fish_lab_data!C:C,0))</f>
        <v>KB</v>
      </c>
      <c r="U293" s="61">
        <f t="array" ref="U293">if(A293="","",index(fish_lab_data!X:X,match(A293,fish_lab_data!C:C,0)))</f>
        <v>292</v>
      </c>
    </row>
    <row r="294">
      <c r="A294" t="str">
        <f>fish_lab_data!C294</f>
        <v>U5395</v>
      </c>
      <c r="B294" t="str">
        <f t="array" ref="B294">iferror(index('rna-muscle'!$I:$I,match($A294,'rna-muscle'!$A:$A,0)))</f>
        <v>BRN65M-C1</v>
      </c>
      <c r="C294" t="str">
        <f t="array" ref="C294">iferror(index('rna-muscle'!$L:$L,match($A294,'rna-muscle'!$A:$A,0)))</f>
        <v>N</v>
      </c>
      <c r="D294" t="str">
        <f t="array" ref="D294">iferror(index('rna-gill'!$I:$I,match($A294,'rna-gill'!$A:$A,0)))</f>
        <v>BRN65G-C1</v>
      </c>
      <c r="E294" t="str">
        <f t="array" ref="E294">iferror(index('rna-gill'!$L:$L,match($A294,'rna-gill'!$A:$A,0)))</f>
        <v>N</v>
      </c>
      <c r="F294" t="str">
        <f t="array" ref="F294">iferror(index(fatty_acid!$G:$G,match($A294,fatty_acid!$A:$A,0)))</f>
        <v>BFA23-79</v>
      </c>
      <c r="G294" t="str">
        <f t="array" ref="G294">iferror(index(fatty_acid!$J:$J,match($A294,fatty_acid!$A:$A,0)))</f>
        <v>N</v>
      </c>
      <c r="H294" t="str">
        <f t="array" ref="H294">iferror(index(isotopes!$G:$G,match($A294,isotopes!$A:$A,0)))</f>
        <v>BIS25-79</v>
      </c>
      <c r="I294" t="str">
        <f t="array" ref="I294">iferror(index(isotopes!$J:$J,match($A294,isotopes!$A:$A,0)))</f>
        <v>N</v>
      </c>
      <c r="J294" t="str">
        <f t="array" ref="J294">iferror(index(extra_muscle!$G:$G,match($A294,extra_muscle!$A:$A,0)))</f>
        <v>BXM24-79</v>
      </c>
      <c r="K294" t="str">
        <f t="array" ref="K294">iferror(index(extra_muscle!$J:$J,match($A294,extra_muscle!$A:$A,0)))</f>
        <v>N</v>
      </c>
      <c r="L294" s="59" t="str">
        <f t="array" ref="L294">iferror(index(dna!$G:$G,match($A294,dna!$A:$A,0)))</f>
        <v/>
      </c>
      <c r="M294" s="60" t="str">
        <f t="array" ref="M294">iferror(index(dna!$J:$J,match($A294,dna!$A:$A,0)))</f>
        <v/>
      </c>
      <c r="N294" t="str">
        <f t="array" ref="N294">iferror(index(stomachs!$G:$G,match($A294,stomachs!$A:$A,0)))</f>
        <v>BST242-9</v>
      </c>
      <c r="O294" t="str">
        <f t="array" ref="O294">iferror(index(stomachs!$J:$J,match($A294,stomachs!$A:$A,0)))</f>
        <v>N</v>
      </c>
      <c r="P294" t="str">
        <f t="array" ref="P294">iferror(index(sea_lice!$G:$G,match($A294,sea_lice!$A:$A,0)))</f>
        <v/>
      </c>
      <c r="Q294" t="str">
        <f t="array" ref="Q294">iferror(index(sea_lice!$J:$J,match($A294,sea_lice!$A:$A,0)))</f>
        <v/>
      </c>
      <c r="R294" s="40" t="str">
        <f t="array" ref="R294">iferror(index(dissected_fish!$F:$F,match($A294,dissected_fish!$A:$A,0)))</f>
        <v>BCA102</v>
      </c>
      <c r="S294" s="40" t="str">
        <f t="array" ref="S294">iferror(index(dissected_fish!$K:$K,match($A294,dissected_fish!$A:$A,0)))</f>
        <v>N</v>
      </c>
      <c r="T294" s="61" t="str">
        <f t="array" ref="T294">index(fish_lab_data!O:O,match(A294,fish_lab_data!C:C,0))</f>
        <v>KB</v>
      </c>
      <c r="U294" s="61">
        <f t="array" ref="U294">if(A294="","",index(fish_lab_data!X:X,match(A294,fish_lab_data!C:C,0)))</f>
        <v>293</v>
      </c>
    </row>
    <row r="295">
      <c r="A295" t="str">
        <f>fish_lab_data!C295</f>
        <v>U5396</v>
      </c>
      <c r="B295" t="str">
        <f t="array" ref="B295">iferror(index('rna-muscle'!$I:$I,match($A295,'rna-muscle'!$A:$A,0)))</f>
        <v>BRN65M-B1</v>
      </c>
      <c r="C295" t="str">
        <f t="array" ref="C295">iferror(index('rna-muscle'!$L:$L,match($A295,'rna-muscle'!$A:$A,0)))</f>
        <v>N</v>
      </c>
      <c r="D295" t="str">
        <f t="array" ref="D295">iferror(index('rna-gill'!$I:$I,match($A295,'rna-gill'!$A:$A,0)))</f>
        <v>BRN65G-B1</v>
      </c>
      <c r="E295" t="str">
        <f t="array" ref="E295">iferror(index('rna-gill'!$L:$L,match($A295,'rna-gill'!$A:$A,0)))</f>
        <v>N</v>
      </c>
      <c r="F295" t="str">
        <f t="array" ref="F295">iferror(index(fatty_acid!$G:$G,match($A295,fatty_acid!$A:$A,0)))</f>
        <v>BFA23-80</v>
      </c>
      <c r="G295" t="str">
        <f t="array" ref="G295">iferror(index(fatty_acid!$J:$J,match($A295,fatty_acid!$A:$A,0)))</f>
        <v>N</v>
      </c>
      <c r="H295" t="str">
        <f t="array" ref="H295">iferror(index(isotopes!$G:$G,match($A295,isotopes!$A:$A,0)))</f>
        <v>BIS25-80</v>
      </c>
      <c r="I295" t="str">
        <f t="array" ref="I295">iferror(index(isotopes!$J:$J,match($A295,isotopes!$A:$A,0)))</f>
        <v>N</v>
      </c>
      <c r="J295" t="str">
        <f t="array" ref="J295">iferror(index(extra_muscle!$G:$G,match($A295,extra_muscle!$A:$A,0)))</f>
        <v>BXM24-80</v>
      </c>
      <c r="K295" t="str">
        <f t="array" ref="K295">iferror(index(extra_muscle!$J:$J,match($A295,extra_muscle!$A:$A,0)))</f>
        <v>N</v>
      </c>
      <c r="L295" s="59" t="str">
        <f t="array" ref="L295">iferror(index(dna!$G:$G,match($A295,dna!$A:$A,0)))</f>
        <v/>
      </c>
      <c r="M295" s="60" t="str">
        <f t="array" ref="M295">iferror(index(dna!$J:$J,match($A295,dna!$A:$A,0)))</f>
        <v/>
      </c>
      <c r="N295" t="str">
        <f t="array" ref="N295">iferror(index(stomachs!$G:$G,match($A295,stomachs!$A:$A,0)))</f>
        <v>BST242-10</v>
      </c>
      <c r="O295" t="str">
        <f t="array" ref="O295">iferror(index(stomachs!$J:$J,match($A295,stomachs!$A:$A,0)))</f>
        <v>N</v>
      </c>
      <c r="P295" t="str">
        <f t="array" ref="P295">iferror(index(sea_lice!$G:$G,match($A295,sea_lice!$A:$A,0)))</f>
        <v/>
      </c>
      <c r="Q295" t="str">
        <f t="array" ref="Q295">iferror(index(sea_lice!$J:$J,match($A295,sea_lice!$A:$A,0)))</f>
        <v/>
      </c>
      <c r="R295" s="40" t="str">
        <f t="array" ref="R295">iferror(index(dissected_fish!$F:$F,match($A295,dissected_fish!$A:$A,0)))</f>
        <v>BCA102</v>
      </c>
      <c r="S295" s="40" t="str">
        <f t="array" ref="S295">iferror(index(dissected_fish!$K:$K,match($A295,dissected_fish!$A:$A,0)))</f>
        <v>N</v>
      </c>
      <c r="T295" s="61" t="str">
        <f t="array" ref="T295">index(fish_lab_data!O:O,match(A295,fish_lab_data!C:C,0))</f>
        <v>KB</v>
      </c>
      <c r="U295" s="61">
        <f t="array" ref="U295">if(A295="","",index(fish_lab_data!X:X,match(A295,fish_lab_data!C:C,0)))</f>
        <v>294</v>
      </c>
    </row>
    <row r="296">
      <c r="A296" t="str">
        <f>fish_lab_data!C296</f>
        <v>U5397</v>
      </c>
      <c r="B296" t="str">
        <f t="array" ref="B296">iferror(index('rna-muscle'!$I:$I,match($A296,'rna-muscle'!$A:$A,0)))</f>
        <v>BRN65M-A1</v>
      </c>
      <c r="C296" t="str">
        <f t="array" ref="C296">iferror(index('rna-muscle'!$L:$L,match($A296,'rna-muscle'!$A:$A,0)))</f>
        <v>N</v>
      </c>
      <c r="D296" t="str">
        <f t="array" ref="D296">iferror(index('rna-gill'!$I:$I,match($A296,'rna-gill'!$A:$A,0)))</f>
        <v>BRN65G-A1</v>
      </c>
      <c r="E296" t="str">
        <f t="array" ref="E296">iferror(index('rna-gill'!$L:$L,match($A296,'rna-gill'!$A:$A,0)))</f>
        <v>N</v>
      </c>
      <c r="F296" t="str">
        <f t="array" ref="F296">iferror(index(fatty_acid!$G:$G,match($A296,fatty_acid!$A:$A,0)))</f>
        <v>BFA23-81</v>
      </c>
      <c r="G296" t="str">
        <f t="array" ref="G296">iferror(index(fatty_acid!$J:$J,match($A296,fatty_acid!$A:$A,0)))</f>
        <v>N</v>
      </c>
      <c r="H296" t="str">
        <f t="array" ref="H296">iferror(index(isotopes!$G:$G,match($A296,isotopes!$A:$A,0)))</f>
        <v>BIS25-81</v>
      </c>
      <c r="I296" t="str">
        <f t="array" ref="I296">iferror(index(isotopes!$J:$J,match($A296,isotopes!$A:$A,0)))</f>
        <v>N</v>
      </c>
      <c r="J296" t="str">
        <f t="array" ref="J296">iferror(index(extra_muscle!$G:$G,match($A296,extra_muscle!$A:$A,0)))</f>
        <v>BXM24-81</v>
      </c>
      <c r="K296" t="str">
        <f t="array" ref="K296">iferror(index(extra_muscle!$J:$J,match($A296,extra_muscle!$A:$A,0)))</f>
        <v>N</v>
      </c>
      <c r="L296" s="59" t="str">
        <f t="array" ref="L296">iferror(index(dna!$G:$G,match($A296,dna!$A:$A,0)))</f>
        <v/>
      </c>
      <c r="M296" s="60" t="str">
        <f t="array" ref="M296">iferror(index(dna!$J:$J,match($A296,dna!$A:$A,0)))</f>
        <v/>
      </c>
      <c r="N296" t="str">
        <f t="array" ref="N296">iferror(index(stomachs!$G:$G,match($A296,stomachs!$A:$A,0)))</f>
        <v>BST242-11</v>
      </c>
      <c r="O296" t="str">
        <f t="array" ref="O296">iferror(index(stomachs!$J:$J,match($A296,stomachs!$A:$A,0)))</f>
        <v>N</v>
      </c>
      <c r="P296" t="str">
        <f t="array" ref="P296">iferror(index(sea_lice!$G:$G,match($A296,sea_lice!$A:$A,0)))</f>
        <v/>
      </c>
      <c r="Q296" t="str">
        <f t="array" ref="Q296">iferror(index(sea_lice!$J:$J,match($A296,sea_lice!$A:$A,0)))</f>
        <v/>
      </c>
      <c r="R296" s="40" t="str">
        <f t="array" ref="R296">iferror(index(dissected_fish!$F:$F,match($A296,dissected_fish!$A:$A,0)))</f>
        <v>BCA102</v>
      </c>
      <c r="S296" s="40" t="str">
        <f t="array" ref="S296">iferror(index(dissected_fish!$K:$K,match($A296,dissected_fish!$A:$A,0)))</f>
        <v>N</v>
      </c>
      <c r="T296" s="61" t="str">
        <f t="array" ref="T296">index(fish_lab_data!O:O,match(A296,fish_lab_data!C:C,0))</f>
        <v>KB</v>
      </c>
      <c r="U296" s="61">
        <f t="array" ref="U296">if(A296="","",index(fish_lab_data!X:X,match(A296,fish_lab_data!C:C,0)))</f>
        <v>295</v>
      </c>
    </row>
    <row r="297">
      <c r="A297" t="str">
        <f>fish_lab_data!C297</f>
        <v>U5398</v>
      </c>
      <c r="B297" t="str">
        <f t="array" ref="B297">iferror(index('rna-muscle'!$I:$I,match($A297,'rna-muscle'!$A:$A,0)))</f>
        <v>BRN65M-H3</v>
      </c>
      <c r="C297" t="str">
        <f t="array" ref="C297">iferror(index('rna-muscle'!$L:$L,match($A297,'rna-muscle'!$A:$A,0)))</f>
        <v>N</v>
      </c>
      <c r="D297" t="str">
        <f t="array" ref="D297">iferror(index('rna-gill'!$I:$I,match($A297,'rna-gill'!$A:$A,0)))</f>
        <v>BRN65G-H3</v>
      </c>
      <c r="E297" t="str">
        <f t="array" ref="E297">iferror(index('rna-gill'!$L:$L,match($A297,'rna-gill'!$A:$A,0)))</f>
        <v>N</v>
      </c>
      <c r="F297" t="str">
        <f t="array" ref="F297">iferror(index(fatty_acid!$G:$G,match($A297,fatty_acid!$A:$A,0)))</f>
        <v>BFA25-1</v>
      </c>
      <c r="G297" t="str">
        <f t="array" ref="G297">iferror(index(fatty_acid!$J:$J,match($A297,fatty_acid!$A:$A,0)))</f>
        <v>N</v>
      </c>
      <c r="H297" t="str">
        <f t="array" ref="H297">iferror(index(isotopes!$G:$G,match($A297,isotopes!$A:$A,0)))</f>
        <v>BIS27-1</v>
      </c>
      <c r="I297" t="str">
        <f t="array" ref="I297">iferror(index(isotopes!$J:$J,match($A297,isotopes!$A:$A,0)))</f>
        <v>N</v>
      </c>
      <c r="J297" t="str">
        <f t="array" ref="J297">iferror(index(extra_muscle!$G:$G,match($A297,extra_muscle!$A:$A,0)))</f>
        <v>BXM25-1</v>
      </c>
      <c r="K297" t="str">
        <f t="array" ref="K297">iferror(index(extra_muscle!$J:$J,match($A297,extra_muscle!$A:$A,0)))</f>
        <v>N</v>
      </c>
      <c r="L297" s="59" t="str">
        <f t="array" ref="L297">iferror(index(dna!$G:$G,match($A297,dna!$A:$A,0)))</f>
        <v/>
      </c>
      <c r="M297" s="60" t="str">
        <f t="array" ref="M297">iferror(index(dna!$J:$J,match($A297,dna!$A:$A,0)))</f>
        <v/>
      </c>
      <c r="N297" t="str">
        <f t="array" ref="N297">iferror(index(stomachs!$G:$G,match($A297,stomachs!$A:$A,0)))</f>
        <v>BST242-12</v>
      </c>
      <c r="O297" t="str">
        <f t="array" ref="O297">iferror(index(stomachs!$J:$J,match($A297,stomachs!$A:$A,0)))</f>
        <v>N</v>
      </c>
      <c r="P297" t="str">
        <f t="array" ref="P297">iferror(index(sea_lice!$G:$G,match($A297,sea_lice!$A:$A,0)))</f>
        <v/>
      </c>
      <c r="Q297" t="str">
        <f t="array" ref="Q297">iferror(index(sea_lice!$J:$J,match($A297,sea_lice!$A:$A,0)))</f>
        <v/>
      </c>
      <c r="R297" s="40" t="str">
        <f t="array" ref="R297">iferror(index(dissected_fish!$F:$F,match($A297,dissected_fish!$A:$A,0)))</f>
        <v>BCA102</v>
      </c>
      <c r="S297" s="40" t="str">
        <f t="array" ref="S297">iferror(index(dissected_fish!$K:$K,match($A297,dissected_fish!$A:$A,0)))</f>
        <v>N</v>
      </c>
      <c r="T297" s="61" t="str">
        <f t="array" ref="T297">index(fish_lab_data!O:O,match(A297,fish_lab_data!C:C,0))</f>
        <v>KB</v>
      </c>
      <c r="U297" s="61">
        <f t="array" ref="U297">if(A297="","",index(fish_lab_data!X:X,match(A297,fish_lab_data!C:C,0)))</f>
        <v>296</v>
      </c>
    </row>
    <row r="298">
      <c r="A298" t="str">
        <f>fish_lab_data!C298</f>
        <v>U5399</v>
      </c>
      <c r="B298" t="str">
        <f t="array" ref="B298">iferror(index('rna-muscle'!$I:$I,match($A298,'rna-muscle'!$A:$A,0)))</f>
        <v>BRN65M-G3</v>
      </c>
      <c r="C298" t="str">
        <f t="array" ref="C298">iferror(index('rna-muscle'!$L:$L,match($A298,'rna-muscle'!$A:$A,0)))</f>
        <v>N</v>
      </c>
      <c r="D298" t="str">
        <f t="array" ref="D298">iferror(index('rna-gill'!$I:$I,match($A298,'rna-gill'!$A:$A,0)))</f>
        <v>BRN65G-G3</v>
      </c>
      <c r="E298" t="str">
        <f t="array" ref="E298">iferror(index('rna-gill'!$L:$L,match($A298,'rna-gill'!$A:$A,0)))</f>
        <v>N</v>
      </c>
      <c r="F298" t="str">
        <f t="array" ref="F298">iferror(index(fatty_acid!$G:$G,match($A298,fatty_acid!$A:$A,0)))</f>
        <v>BFA25-2</v>
      </c>
      <c r="G298" t="str">
        <f t="array" ref="G298">iferror(index(fatty_acid!$J:$J,match($A298,fatty_acid!$A:$A,0)))</f>
        <v>N</v>
      </c>
      <c r="H298" t="str">
        <f t="array" ref="H298">iferror(index(isotopes!$G:$G,match($A298,isotopes!$A:$A,0)))</f>
        <v>BIS27-2</v>
      </c>
      <c r="I298" t="str">
        <f t="array" ref="I298">iferror(index(isotopes!$J:$J,match($A298,isotopes!$A:$A,0)))</f>
        <v>N</v>
      </c>
      <c r="J298" t="str">
        <f t="array" ref="J298">iferror(index(extra_muscle!$G:$G,match($A298,extra_muscle!$A:$A,0)))</f>
        <v>BXM25-2</v>
      </c>
      <c r="K298" t="str">
        <f t="array" ref="K298">iferror(index(extra_muscle!$J:$J,match($A298,extra_muscle!$A:$A,0)))</f>
        <v>N</v>
      </c>
      <c r="L298" s="59" t="str">
        <f t="array" ref="L298">iferror(index(dna!$G:$G,match($A298,dna!$A:$A,0)))</f>
        <v/>
      </c>
      <c r="M298" s="60" t="str">
        <f t="array" ref="M298">iferror(index(dna!$J:$J,match($A298,dna!$A:$A,0)))</f>
        <v/>
      </c>
      <c r="N298" t="str">
        <f t="array" ref="N298">iferror(index(stomachs!$G:$G,match($A298,stomachs!$A:$A,0)))</f>
        <v>BST242-13</v>
      </c>
      <c r="O298" t="str">
        <f t="array" ref="O298">iferror(index(stomachs!$J:$J,match($A298,stomachs!$A:$A,0)))</f>
        <v>N</v>
      </c>
      <c r="P298" t="str">
        <f t="array" ref="P298">iferror(index(sea_lice!$G:$G,match($A298,sea_lice!$A:$A,0)))</f>
        <v/>
      </c>
      <c r="Q298" t="str">
        <f t="array" ref="Q298">iferror(index(sea_lice!$J:$J,match($A298,sea_lice!$A:$A,0)))</f>
        <v/>
      </c>
      <c r="R298" s="40" t="str">
        <f t="array" ref="R298">iferror(index(dissected_fish!$F:$F,match($A298,dissected_fish!$A:$A,0)))</f>
        <v>BCA102</v>
      </c>
      <c r="S298" s="40" t="str">
        <f t="array" ref="S298">iferror(index(dissected_fish!$K:$K,match($A298,dissected_fish!$A:$A,0)))</f>
        <v>N</v>
      </c>
      <c r="T298" s="61" t="str">
        <f t="array" ref="T298">index(fish_lab_data!O:O,match(A298,fish_lab_data!C:C,0))</f>
        <v>KB</v>
      </c>
      <c r="U298" s="61">
        <f t="array" ref="U298">if(A298="","",index(fish_lab_data!X:X,match(A298,fish_lab_data!C:C,0)))</f>
        <v>297</v>
      </c>
    </row>
    <row r="299">
      <c r="A299" t="str">
        <f>fish_lab_data!C299</f>
        <v>U5400</v>
      </c>
      <c r="B299" t="str">
        <f t="array" ref="B299">iferror(index('rna-muscle'!$I:$I,match($A299,'rna-muscle'!$A:$A,0)))</f>
        <v>BRN65M-F3</v>
      </c>
      <c r="C299" t="str">
        <f t="array" ref="C299">iferror(index('rna-muscle'!$L:$L,match($A299,'rna-muscle'!$A:$A,0)))</f>
        <v>N</v>
      </c>
      <c r="D299" t="str">
        <f t="array" ref="D299">iferror(index('rna-gill'!$I:$I,match($A299,'rna-gill'!$A:$A,0)))</f>
        <v>BRN65G-F3</v>
      </c>
      <c r="E299" t="str">
        <f t="array" ref="E299">iferror(index('rna-gill'!$L:$L,match($A299,'rna-gill'!$A:$A,0)))</f>
        <v>N</v>
      </c>
      <c r="F299" t="str">
        <f t="array" ref="F299">iferror(index(fatty_acid!$G:$G,match($A299,fatty_acid!$A:$A,0)))</f>
        <v>BFA25-3</v>
      </c>
      <c r="G299" t="str">
        <f t="array" ref="G299">iferror(index(fatty_acid!$J:$J,match($A299,fatty_acid!$A:$A,0)))</f>
        <v>N</v>
      </c>
      <c r="H299" t="str">
        <f t="array" ref="H299">iferror(index(isotopes!$G:$G,match($A299,isotopes!$A:$A,0)))</f>
        <v>BIS27-3</v>
      </c>
      <c r="I299" t="str">
        <f t="array" ref="I299">iferror(index(isotopes!$J:$J,match($A299,isotopes!$A:$A,0)))</f>
        <v>N</v>
      </c>
      <c r="J299" t="str">
        <f t="array" ref="J299">iferror(index(extra_muscle!$G:$G,match($A299,extra_muscle!$A:$A,0)))</f>
        <v>BXM25-3</v>
      </c>
      <c r="K299" t="str">
        <f t="array" ref="K299">iferror(index(extra_muscle!$J:$J,match($A299,extra_muscle!$A:$A,0)))</f>
        <v>N</v>
      </c>
      <c r="L299" s="59" t="str">
        <f t="array" ref="L299">iferror(index(dna!$G:$G,match($A299,dna!$A:$A,0)))</f>
        <v/>
      </c>
      <c r="M299" s="60" t="str">
        <f t="array" ref="M299">iferror(index(dna!$J:$J,match($A299,dna!$A:$A,0)))</f>
        <v/>
      </c>
      <c r="N299" t="str">
        <f t="array" ref="N299">iferror(index(stomachs!$G:$G,match($A299,stomachs!$A:$A,0)))</f>
        <v>BST242-14</v>
      </c>
      <c r="O299" t="str">
        <f t="array" ref="O299">iferror(index(stomachs!$J:$J,match($A299,stomachs!$A:$A,0)))</f>
        <v>N</v>
      </c>
      <c r="P299" t="str">
        <f t="array" ref="P299">iferror(index(sea_lice!$G:$G,match($A299,sea_lice!$A:$A,0)))</f>
        <v/>
      </c>
      <c r="Q299" t="str">
        <f t="array" ref="Q299">iferror(index(sea_lice!$J:$J,match($A299,sea_lice!$A:$A,0)))</f>
        <v/>
      </c>
      <c r="R299" s="40" t="str">
        <f t="array" ref="R299">iferror(index(dissected_fish!$F:$F,match($A299,dissected_fish!$A:$A,0)))</f>
        <v>BCA102</v>
      </c>
      <c r="S299" s="40" t="str">
        <f t="array" ref="S299">iferror(index(dissected_fish!$K:$K,match($A299,dissected_fish!$A:$A,0)))</f>
        <v>N</v>
      </c>
      <c r="T299" s="61" t="str">
        <f t="array" ref="T299">index(fish_lab_data!O:O,match(A299,fish_lab_data!C:C,0))</f>
        <v>KB</v>
      </c>
      <c r="U299" s="61">
        <f t="array" ref="U299">if(A299="","",index(fish_lab_data!X:X,match(A299,fish_lab_data!C:C,0)))</f>
        <v>298</v>
      </c>
    </row>
    <row r="300">
      <c r="A300" t="str">
        <f>fish_lab_data!C300</f>
        <v>U5401</v>
      </c>
      <c r="B300" t="str">
        <f t="array" ref="B300">iferror(index('rna-muscle'!$I:$I,match($A300,'rna-muscle'!$A:$A,0)))</f>
        <v>BRN65M-E3</v>
      </c>
      <c r="C300" t="str">
        <f t="array" ref="C300">iferror(index('rna-muscle'!$L:$L,match($A300,'rna-muscle'!$A:$A,0)))</f>
        <v>N</v>
      </c>
      <c r="D300" t="str">
        <f t="array" ref="D300">iferror(index('rna-gill'!$I:$I,match($A300,'rna-gill'!$A:$A,0)))</f>
        <v>BRN65G-E3</v>
      </c>
      <c r="E300" t="str">
        <f t="array" ref="E300">iferror(index('rna-gill'!$L:$L,match($A300,'rna-gill'!$A:$A,0)))</f>
        <v>N</v>
      </c>
      <c r="F300" t="str">
        <f t="array" ref="F300">iferror(index(fatty_acid!$G:$G,match($A300,fatty_acid!$A:$A,0)))</f>
        <v>BFA25-4</v>
      </c>
      <c r="G300" t="str">
        <f t="array" ref="G300">iferror(index(fatty_acid!$J:$J,match($A300,fatty_acid!$A:$A,0)))</f>
        <v>N</v>
      </c>
      <c r="H300" t="str">
        <f t="array" ref="H300">iferror(index(isotopes!$G:$G,match($A300,isotopes!$A:$A,0)))</f>
        <v>BIS27-4</v>
      </c>
      <c r="I300" t="str">
        <f t="array" ref="I300">iferror(index(isotopes!$J:$J,match($A300,isotopes!$A:$A,0)))</f>
        <v>N</v>
      </c>
      <c r="J300" t="str">
        <f t="array" ref="J300">iferror(index(extra_muscle!$G:$G,match($A300,extra_muscle!$A:$A,0)))</f>
        <v>BXM25-4</v>
      </c>
      <c r="K300" t="str">
        <f t="array" ref="K300">iferror(index(extra_muscle!$J:$J,match($A300,extra_muscle!$A:$A,0)))</f>
        <v>N</v>
      </c>
      <c r="L300" s="59" t="str">
        <f t="array" ref="L300">iferror(index(dna!$G:$G,match($A300,dna!$A:$A,0)))</f>
        <v/>
      </c>
      <c r="M300" s="60" t="str">
        <f t="array" ref="M300">iferror(index(dna!$J:$J,match($A300,dna!$A:$A,0)))</f>
        <v/>
      </c>
      <c r="N300" t="str">
        <f t="array" ref="N300">iferror(index(stomachs!$G:$G,match($A300,stomachs!$A:$A,0)))</f>
        <v>BST242-15</v>
      </c>
      <c r="O300" t="str">
        <f t="array" ref="O300">iferror(index(stomachs!$J:$J,match($A300,stomachs!$A:$A,0)))</f>
        <v>N</v>
      </c>
      <c r="P300" t="str">
        <f t="array" ref="P300">iferror(index(sea_lice!$G:$G,match($A300,sea_lice!$A:$A,0)))</f>
        <v/>
      </c>
      <c r="Q300" t="str">
        <f t="array" ref="Q300">iferror(index(sea_lice!$J:$J,match($A300,sea_lice!$A:$A,0)))</f>
        <v/>
      </c>
      <c r="R300" s="40" t="str">
        <f t="array" ref="R300">iferror(index(dissected_fish!$F:$F,match($A300,dissected_fish!$A:$A,0)))</f>
        <v>BCA102</v>
      </c>
      <c r="S300" s="40" t="str">
        <f t="array" ref="S300">iferror(index(dissected_fish!$K:$K,match($A300,dissected_fish!$A:$A,0)))</f>
        <v>N</v>
      </c>
      <c r="T300" s="61" t="str">
        <f t="array" ref="T300">index(fish_lab_data!O:O,match(A300,fish_lab_data!C:C,0))</f>
        <v>KB</v>
      </c>
      <c r="U300" s="61">
        <f t="array" ref="U300">if(A300="","",index(fish_lab_data!X:X,match(A300,fish_lab_data!C:C,0)))</f>
        <v>299</v>
      </c>
    </row>
    <row r="301">
      <c r="A301" t="str">
        <f>fish_lab_data!C301</f>
        <v>U5402</v>
      </c>
      <c r="B301" t="str">
        <f t="array" ref="B301">iferror(index('rna-muscle'!$I:$I,match($A301,'rna-muscle'!$A:$A,0)))</f>
        <v>BRN65M-D3</v>
      </c>
      <c r="C301" t="str">
        <f t="array" ref="C301">iferror(index('rna-muscle'!$L:$L,match($A301,'rna-muscle'!$A:$A,0)))</f>
        <v>N</v>
      </c>
      <c r="D301" t="str">
        <f t="array" ref="D301">iferror(index('rna-gill'!$I:$I,match($A301,'rna-gill'!$A:$A,0)))</f>
        <v>BRN65G-D3</v>
      </c>
      <c r="E301" t="str">
        <f t="array" ref="E301">iferror(index('rna-gill'!$L:$L,match($A301,'rna-gill'!$A:$A,0)))</f>
        <v>N</v>
      </c>
      <c r="F301" t="str">
        <f t="array" ref="F301">iferror(index(fatty_acid!$G:$G,match($A301,fatty_acid!$A:$A,0)))</f>
        <v>BFA25-5</v>
      </c>
      <c r="G301" t="str">
        <f t="array" ref="G301">iferror(index(fatty_acid!$J:$J,match($A301,fatty_acid!$A:$A,0)))</f>
        <v>N</v>
      </c>
      <c r="H301" t="str">
        <f t="array" ref="H301">iferror(index(isotopes!$G:$G,match($A301,isotopes!$A:$A,0)))</f>
        <v>BIS27-5</v>
      </c>
      <c r="I301" t="str">
        <f t="array" ref="I301">iferror(index(isotopes!$J:$J,match($A301,isotopes!$A:$A,0)))</f>
        <v>N</v>
      </c>
      <c r="J301" t="str">
        <f t="array" ref="J301">iferror(index(extra_muscle!$G:$G,match($A301,extra_muscle!$A:$A,0)))</f>
        <v>BXM25-5</v>
      </c>
      <c r="K301" t="str">
        <f t="array" ref="K301">iferror(index(extra_muscle!$J:$J,match($A301,extra_muscle!$A:$A,0)))</f>
        <v>N</v>
      </c>
      <c r="L301" s="59" t="str">
        <f t="array" ref="L301">iferror(index(dna!$G:$G,match($A301,dna!$A:$A,0)))</f>
        <v/>
      </c>
      <c r="M301" s="60" t="str">
        <f t="array" ref="M301">iferror(index(dna!$J:$J,match($A301,dna!$A:$A,0)))</f>
        <v/>
      </c>
      <c r="N301" t="str">
        <f t="array" ref="N301">iferror(index(stomachs!$G:$G,match($A301,stomachs!$A:$A,0)))</f>
        <v>BST242-16</v>
      </c>
      <c r="O301" t="str">
        <f t="array" ref="O301">iferror(index(stomachs!$J:$J,match($A301,stomachs!$A:$A,0)))</f>
        <v>N</v>
      </c>
      <c r="P301" t="str">
        <f t="array" ref="P301">iferror(index(sea_lice!$G:$G,match($A301,sea_lice!$A:$A,0)))</f>
        <v/>
      </c>
      <c r="Q301" t="str">
        <f t="array" ref="Q301">iferror(index(sea_lice!$J:$J,match($A301,sea_lice!$A:$A,0)))</f>
        <v/>
      </c>
      <c r="R301" s="40" t="str">
        <f t="array" ref="R301">iferror(index(dissected_fish!$F:$F,match($A301,dissected_fish!$A:$A,0)))</f>
        <v>BCA102</v>
      </c>
      <c r="S301" s="40" t="str">
        <f t="array" ref="S301">iferror(index(dissected_fish!$K:$K,match($A301,dissected_fish!$A:$A,0)))</f>
        <v>N</v>
      </c>
      <c r="T301" s="61" t="str">
        <f t="array" ref="T301">index(fish_lab_data!O:O,match(A301,fish_lab_data!C:C,0))</f>
        <v>KB</v>
      </c>
      <c r="U301" s="61">
        <f t="array" ref="U301">if(A301="","",index(fish_lab_data!X:X,match(A301,fish_lab_data!C:C,0)))</f>
        <v>300</v>
      </c>
    </row>
    <row r="302">
      <c r="A302" t="str">
        <f>fish_lab_data!C302</f>
        <v>U5403</v>
      </c>
      <c r="B302" t="str">
        <f t="array" ref="B302">iferror(index('rna-muscle'!$I:$I,match($A302,'rna-muscle'!$A:$A,0)))</f>
        <v>BRN65M-C3</v>
      </c>
      <c r="C302" t="str">
        <f t="array" ref="C302">iferror(index('rna-muscle'!$L:$L,match($A302,'rna-muscle'!$A:$A,0)))</f>
        <v>N</v>
      </c>
      <c r="D302" t="str">
        <f t="array" ref="D302">iferror(index('rna-gill'!$I:$I,match($A302,'rna-gill'!$A:$A,0)))</f>
        <v>BRN65G-C3</v>
      </c>
      <c r="E302" t="str">
        <f t="array" ref="E302">iferror(index('rna-gill'!$L:$L,match($A302,'rna-gill'!$A:$A,0)))</f>
        <v>N</v>
      </c>
      <c r="F302" t="str">
        <f t="array" ref="F302">iferror(index(fatty_acid!$G:$G,match($A302,fatty_acid!$A:$A,0)))</f>
        <v>BFA25-6</v>
      </c>
      <c r="G302" t="str">
        <f t="array" ref="G302">iferror(index(fatty_acid!$J:$J,match($A302,fatty_acid!$A:$A,0)))</f>
        <v>N</v>
      </c>
      <c r="H302" t="str">
        <f t="array" ref="H302">iferror(index(isotopes!$G:$G,match($A302,isotopes!$A:$A,0)))</f>
        <v>BIS27-6</v>
      </c>
      <c r="I302" t="str">
        <f t="array" ref="I302">iferror(index(isotopes!$J:$J,match($A302,isotopes!$A:$A,0)))</f>
        <v>N</v>
      </c>
      <c r="J302" t="str">
        <f t="array" ref="J302">iferror(index(extra_muscle!$G:$G,match($A302,extra_muscle!$A:$A,0)))</f>
        <v>BXM25-6</v>
      </c>
      <c r="K302" t="str">
        <f t="array" ref="K302">iferror(index(extra_muscle!$J:$J,match($A302,extra_muscle!$A:$A,0)))</f>
        <v>N</v>
      </c>
      <c r="L302" s="59" t="str">
        <f t="array" ref="L302">iferror(index(dna!$G:$G,match($A302,dna!$A:$A,0)))</f>
        <v/>
      </c>
      <c r="M302" s="60" t="str">
        <f t="array" ref="M302">iferror(index(dna!$J:$J,match($A302,dna!$A:$A,0)))</f>
        <v/>
      </c>
      <c r="N302" t="str">
        <f t="array" ref="N302">iferror(index(stomachs!$G:$G,match($A302,stomachs!$A:$A,0)))</f>
        <v>BST242-17</v>
      </c>
      <c r="O302" t="str">
        <f t="array" ref="O302">iferror(index(stomachs!$J:$J,match($A302,stomachs!$A:$A,0)))</f>
        <v>N</v>
      </c>
      <c r="P302" t="str">
        <f t="array" ref="P302">iferror(index(sea_lice!$G:$G,match($A302,sea_lice!$A:$A,0)))</f>
        <v/>
      </c>
      <c r="Q302" t="str">
        <f t="array" ref="Q302">iferror(index(sea_lice!$J:$J,match($A302,sea_lice!$A:$A,0)))</f>
        <v/>
      </c>
      <c r="R302" s="40" t="str">
        <f t="array" ref="R302">iferror(index(dissected_fish!$F:$F,match($A302,dissected_fish!$A:$A,0)))</f>
        <v>BCA102</v>
      </c>
      <c r="S302" s="40" t="str">
        <f t="array" ref="S302">iferror(index(dissected_fish!$K:$K,match($A302,dissected_fish!$A:$A,0)))</f>
        <v>N</v>
      </c>
      <c r="T302" s="61" t="str">
        <f t="array" ref="T302">index(fish_lab_data!O:O,match(A302,fish_lab_data!C:C,0))</f>
        <v>KB</v>
      </c>
      <c r="U302" s="61">
        <f t="array" ref="U302">if(A302="","",index(fish_lab_data!X:X,match(A302,fish_lab_data!C:C,0)))</f>
        <v>301</v>
      </c>
    </row>
    <row r="303">
      <c r="A303" t="str">
        <f>fish_lab_data!C303</f>
        <v>U5404</v>
      </c>
      <c r="B303" t="str">
        <f t="array" ref="B303">iferror(index('rna-muscle'!$I:$I,match($A303,'rna-muscle'!$A:$A,0)))</f>
        <v>BRN65M-B3</v>
      </c>
      <c r="C303" t="str">
        <f t="array" ref="C303">iferror(index('rna-muscle'!$L:$L,match($A303,'rna-muscle'!$A:$A,0)))</f>
        <v>N</v>
      </c>
      <c r="D303" t="str">
        <f t="array" ref="D303">iferror(index('rna-gill'!$I:$I,match($A303,'rna-gill'!$A:$A,0)))</f>
        <v>BRN65G-B3</v>
      </c>
      <c r="E303" t="str">
        <f t="array" ref="E303">iferror(index('rna-gill'!$L:$L,match($A303,'rna-gill'!$A:$A,0)))</f>
        <v>N</v>
      </c>
      <c r="F303" t="str">
        <f t="array" ref="F303">iferror(index(fatty_acid!$G:$G,match($A303,fatty_acid!$A:$A,0)))</f>
        <v>BFA25-7</v>
      </c>
      <c r="G303" t="str">
        <f t="array" ref="G303">iferror(index(fatty_acid!$J:$J,match($A303,fatty_acid!$A:$A,0)))</f>
        <v>N</v>
      </c>
      <c r="H303" t="str">
        <f t="array" ref="H303">iferror(index(isotopes!$G:$G,match($A303,isotopes!$A:$A,0)))</f>
        <v>BIS27-7</v>
      </c>
      <c r="I303" t="str">
        <f t="array" ref="I303">iferror(index(isotopes!$J:$J,match($A303,isotopes!$A:$A,0)))</f>
        <v>N</v>
      </c>
      <c r="J303" t="str">
        <f t="array" ref="J303">iferror(index(extra_muscle!$G:$G,match($A303,extra_muscle!$A:$A,0)))</f>
        <v>BXM25-7</v>
      </c>
      <c r="K303" t="str">
        <f t="array" ref="K303">iferror(index(extra_muscle!$J:$J,match($A303,extra_muscle!$A:$A,0)))</f>
        <v>N</v>
      </c>
      <c r="L303" s="59" t="str">
        <f t="array" ref="L303">iferror(index(dna!$G:$G,match($A303,dna!$A:$A,0)))</f>
        <v/>
      </c>
      <c r="M303" s="60" t="str">
        <f t="array" ref="M303">iferror(index(dna!$J:$J,match($A303,dna!$A:$A,0)))</f>
        <v/>
      </c>
      <c r="N303" t="str">
        <f t="array" ref="N303">iferror(index(stomachs!$G:$G,match($A303,stomachs!$A:$A,0)))</f>
        <v>BST242-18</v>
      </c>
      <c r="O303" t="str">
        <f t="array" ref="O303">iferror(index(stomachs!$J:$J,match($A303,stomachs!$A:$A,0)))</f>
        <v>N</v>
      </c>
      <c r="P303" t="str">
        <f t="array" ref="P303">iferror(index(sea_lice!$G:$G,match($A303,sea_lice!$A:$A,0)))</f>
        <v/>
      </c>
      <c r="Q303" t="str">
        <f t="array" ref="Q303">iferror(index(sea_lice!$J:$J,match($A303,sea_lice!$A:$A,0)))</f>
        <v/>
      </c>
      <c r="R303" s="40" t="str">
        <f t="array" ref="R303">iferror(index(dissected_fish!$F:$F,match($A303,dissected_fish!$A:$A,0)))</f>
        <v>BCA102</v>
      </c>
      <c r="S303" s="40" t="str">
        <f t="array" ref="S303">iferror(index(dissected_fish!$K:$K,match($A303,dissected_fish!$A:$A,0)))</f>
        <v>N</v>
      </c>
      <c r="T303" s="61" t="str">
        <f t="array" ref="T303">index(fish_lab_data!O:O,match(A303,fish_lab_data!C:C,0))</f>
        <v>KB</v>
      </c>
      <c r="U303" s="61">
        <f t="array" ref="U303">if(A303="","",index(fish_lab_data!X:X,match(A303,fish_lab_data!C:C,0)))</f>
        <v>302</v>
      </c>
    </row>
    <row r="304">
      <c r="A304" t="str">
        <f>fish_lab_data!C304</f>
        <v>U5405</v>
      </c>
      <c r="B304" t="str">
        <f t="array" ref="B304">iferror(index('rna-muscle'!$I:$I,match($A304,'rna-muscle'!$A:$A,0)))</f>
        <v>BRN65M-A3</v>
      </c>
      <c r="C304" t="str">
        <f t="array" ref="C304">iferror(index('rna-muscle'!$L:$L,match($A304,'rna-muscle'!$A:$A,0)))</f>
        <v>N</v>
      </c>
      <c r="D304" t="str">
        <f t="array" ref="D304">iferror(index('rna-gill'!$I:$I,match($A304,'rna-gill'!$A:$A,0)))</f>
        <v>BRN65G-A3</v>
      </c>
      <c r="E304" t="str">
        <f t="array" ref="E304">iferror(index('rna-gill'!$L:$L,match($A304,'rna-gill'!$A:$A,0)))</f>
        <v>N</v>
      </c>
      <c r="F304" t="str">
        <f t="array" ref="F304">iferror(index(fatty_acid!$G:$G,match($A304,fatty_acid!$A:$A,0)))</f>
        <v>BFA25-8</v>
      </c>
      <c r="G304" t="str">
        <f t="array" ref="G304">iferror(index(fatty_acid!$J:$J,match($A304,fatty_acid!$A:$A,0)))</f>
        <v>N</v>
      </c>
      <c r="H304" t="str">
        <f t="array" ref="H304">iferror(index(isotopes!$G:$G,match($A304,isotopes!$A:$A,0)))</f>
        <v>BIS27-8</v>
      </c>
      <c r="I304" t="str">
        <f t="array" ref="I304">iferror(index(isotopes!$J:$J,match($A304,isotopes!$A:$A,0)))</f>
        <v>N</v>
      </c>
      <c r="J304" t="str">
        <f t="array" ref="J304">iferror(index(extra_muscle!$G:$G,match($A304,extra_muscle!$A:$A,0)))</f>
        <v>BXM25-8</v>
      </c>
      <c r="K304" t="str">
        <f t="array" ref="K304">iferror(index(extra_muscle!$J:$J,match($A304,extra_muscle!$A:$A,0)))</f>
        <v>N</v>
      </c>
      <c r="L304" s="59" t="str">
        <f t="array" ref="L304">iferror(index(dna!$G:$G,match($A304,dna!$A:$A,0)))</f>
        <v/>
      </c>
      <c r="M304" s="60" t="str">
        <f t="array" ref="M304">iferror(index(dna!$J:$J,match($A304,dna!$A:$A,0)))</f>
        <v/>
      </c>
      <c r="N304" t="str">
        <f t="array" ref="N304">iferror(index(stomachs!$G:$G,match($A304,stomachs!$A:$A,0)))</f>
        <v>BST242-19</v>
      </c>
      <c r="O304" t="str">
        <f t="array" ref="O304">iferror(index(stomachs!$J:$J,match($A304,stomachs!$A:$A,0)))</f>
        <v>N</v>
      </c>
      <c r="P304" t="str">
        <f t="array" ref="P304">iferror(index(sea_lice!$G:$G,match($A304,sea_lice!$A:$A,0)))</f>
        <v/>
      </c>
      <c r="Q304" t="str">
        <f t="array" ref="Q304">iferror(index(sea_lice!$J:$J,match($A304,sea_lice!$A:$A,0)))</f>
        <v/>
      </c>
      <c r="R304" s="40" t="str">
        <f t="array" ref="R304">iferror(index(dissected_fish!$F:$F,match($A304,dissected_fish!$A:$A,0)))</f>
        <v>BCA102</v>
      </c>
      <c r="S304" s="40" t="str">
        <f t="array" ref="S304">iferror(index(dissected_fish!$K:$K,match($A304,dissected_fish!$A:$A,0)))</f>
        <v>N</v>
      </c>
      <c r="T304" s="61" t="str">
        <f t="array" ref="T304">index(fish_lab_data!O:O,match(A304,fish_lab_data!C:C,0))</f>
        <v>KB</v>
      </c>
      <c r="U304" s="61">
        <f t="array" ref="U304">if(A304="","",index(fish_lab_data!X:X,match(A304,fish_lab_data!C:C,0)))</f>
        <v>303</v>
      </c>
    </row>
    <row r="305">
      <c r="A305" t="str">
        <f>fish_lab_data!C305</f>
        <v>U5315</v>
      </c>
      <c r="B305" t="str">
        <f t="array" ref="B305">iferror(index('rna-muscle'!$I:$I,match($A305,'rna-muscle'!$A:$A,0)))</f>
        <v>BRN63M-B12</v>
      </c>
      <c r="C305" t="str">
        <f t="array" ref="C305">iferror(index('rna-muscle'!$L:$L,match($A305,'rna-muscle'!$A:$A,0)))</f>
        <v>N</v>
      </c>
      <c r="D305" t="str">
        <f t="array" ref="D305">iferror(index('rna-gill'!$I:$I,match($A305,'rna-gill'!$A:$A,0)))</f>
        <v>BRN63G-B12</v>
      </c>
      <c r="E305" t="str">
        <f t="array" ref="E305">iferror(index('rna-gill'!$L:$L,match($A305,'rna-gill'!$A:$A,0)))</f>
        <v>N</v>
      </c>
      <c r="F305" t="str">
        <f t="array" ref="F305">iferror(index(fatty_acid!$G:$G,match($A305,fatty_acid!$A:$A,0)))</f>
        <v>BFA22-18</v>
      </c>
      <c r="G305" t="str">
        <f t="array" ref="G305">iferror(index(fatty_acid!$J:$J,match($A305,fatty_acid!$A:$A,0)))</f>
        <v>N</v>
      </c>
      <c r="H305" t="str">
        <f t="array" ref="H305">iferror(index(isotopes!$G:$G,match($A305,isotopes!$A:$A,0)))</f>
        <v>BIS23-87</v>
      </c>
      <c r="I305" t="str">
        <f t="array" ref="I305">iferror(index(isotopes!$J:$J,match($A305,isotopes!$A:$A,0)))</f>
        <v>N</v>
      </c>
      <c r="J305" t="str">
        <f t="array" ref="J305">iferror(index(extra_muscle!$G:$G,match($A305,extra_muscle!$A:$A,0)))</f>
        <v>BXM16-91</v>
      </c>
      <c r="K305" t="str">
        <f t="array" ref="K305">iferror(index(extra_muscle!$J:$J,match($A305,extra_muscle!$A:$A,0)))</f>
        <v>N</v>
      </c>
      <c r="L305" s="59" t="str">
        <f t="array" ref="L305">iferror(index(dna!$G:$G,match($A305,dna!$A:$A,0)))</f>
        <v/>
      </c>
      <c r="M305" s="60" t="str">
        <f t="array" ref="M305">iferror(index(dna!$J:$J,match($A305,dna!$A:$A,0)))</f>
        <v/>
      </c>
      <c r="N305" t="str">
        <f t="array" ref="N305">iferror(index(stomachs!$G:$G,match($A305,stomachs!$A:$A,0)))</f>
        <v>BST239-14</v>
      </c>
      <c r="O305" t="str">
        <f t="array" ref="O305">iferror(index(stomachs!$J:$J,match($A305,stomachs!$A:$A,0)))</f>
        <v>N</v>
      </c>
      <c r="P305" t="str">
        <f t="array" ref="P305">iferror(index(sea_lice!$G:$G,match($A305,sea_lice!$A:$A,0)))</f>
        <v/>
      </c>
      <c r="Q305" t="str">
        <f t="array" ref="Q305">iferror(index(sea_lice!$J:$J,match($A305,sea_lice!$A:$A,0)))</f>
        <v/>
      </c>
      <c r="R305" s="40" t="str">
        <f t="array" ref="R305">iferror(index(dissected_fish!$F:$F,match($A305,dissected_fish!$A:$A,0)))</f>
        <v>BCA102</v>
      </c>
      <c r="S305" s="40" t="str">
        <f t="array" ref="S305">iferror(index(dissected_fish!$K:$K,match($A305,dissected_fish!$A:$A,0)))</f>
        <v>N</v>
      </c>
      <c r="T305" s="61" t="str">
        <f t="array" ref="T305">index(fish_lab_data!O:O,match(A305,fish_lab_data!C:C,0))</f>
        <v>JG</v>
      </c>
      <c r="U305" s="61">
        <f t="array" ref="U305">if(A305="","",index(fish_lab_data!X:X,match(A305,fish_lab_data!C:C,0)))</f>
        <v>304</v>
      </c>
    </row>
    <row r="306">
      <c r="A306" t="str">
        <f>fish_lab_data!C306</f>
        <v>U5316</v>
      </c>
      <c r="B306" t="str">
        <f t="array" ref="B306">iferror(index('rna-muscle'!$I:$I,match($A306,'rna-muscle'!$A:$A,0)))</f>
        <v>BRN63M-A12</v>
      </c>
      <c r="C306" t="str">
        <f t="array" ref="C306">iferror(index('rna-muscle'!$L:$L,match($A306,'rna-muscle'!$A:$A,0)))</f>
        <v>N</v>
      </c>
      <c r="D306" t="str">
        <f t="array" ref="D306">iferror(index('rna-gill'!$I:$I,match($A306,'rna-gill'!$A:$A,0)))</f>
        <v>BRN63G-A12</v>
      </c>
      <c r="E306" t="str">
        <f t="array" ref="E306">iferror(index('rna-gill'!$L:$L,match($A306,'rna-gill'!$A:$A,0)))</f>
        <v>N</v>
      </c>
      <c r="F306" t="str">
        <f t="array" ref="F306">iferror(index(fatty_acid!$G:$G,match($A306,fatty_acid!$A:$A,0)))</f>
        <v>BFA22-19</v>
      </c>
      <c r="G306" t="str">
        <f t="array" ref="G306">iferror(index(fatty_acid!$J:$J,match($A306,fatty_acid!$A:$A,0)))</f>
        <v>N</v>
      </c>
      <c r="H306" t="str">
        <f t="array" ref="H306">iferror(index(isotopes!$G:$G,match($A306,isotopes!$A:$A,0)))</f>
        <v>BIS23-89</v>
      </c>
      <c r="I306" t="str">
        <f t="array" ref="I306">iferror(index(isotopes!$J:$J,match($A306,isotopes!$A:$A,0)))</f>
        <v>N</v>
      </c>
      <c r="J306" t="str">
        <f t="array" ref="J306">iferror(index(extra_muscle!$G:$G,match($A306,extra_muscle!$A:$A,0)))</f>
        <v>BXM16-92</v>
      </c>
      <c r="K306" t="str">
        <f t="array" ref="K306">iferror(index(extra_muscle!$J:$J,match($A306,extra_muscle!$A:$A,0)))</f>
        <v>N</v>
      </c>
      <c r="L306" s="59" t="str">
        <f t="array" ref="L306">iferror(index(dna!$G:$G,match($A306,dna!$A:$A,0)))</f>
        <v/>
      </c>
      <c r="M306" s="60" t="str">
        <f t="array" ref="M306">iferror(index(dna!$J:$J,match($A306,dna!$A:$A,0)))</f>
        <v/>
      </c>
      <c r="N306" t="str">
        <f t="array" ref="N306">iferror(index(stomachs!$G:$G,match($A306,stomachs!$A:$A,0)))</f>
        <v>BST239-15</v>
      </c>
      <c r="O306" t="str">
        <f t="array" ref="O306">iferror(index(stomachs!$J:$J,match($A306,stomachs!$A:$A,0)))</f>
        <v>N</v>
      </c>
      <c r="P306" t="str">
        <f t="array" ref="P306">iferror(index(sea_lice!$G:$G,match($A306,sea_lice!$A:$A,0)))</f>
        <v/>
      </c>
      <c r="Q306" t="str">
        <f t="array" ref="Q306">iferror(index(sea_lice!$J:$J,match($A306,sea_lice!$A:$A,0)))</f>
        <v/>
      </c>
      <c r="R306" s="40" t="str">
        <f t="array" ref="R306">iferror(index(dissected_fish!$F:$F,match($A306,dissected_fish!$A:$A,0)))</f>
        <v>BCA102</v>
      </c>
      <c r="S306" s="40" t="str">
        <f t="array" ref="S306">iferror(index(dissected_fish!$K:$K,match($A306,dissected_fish!$A:$A,0)))</f>
        <v>N</v>
      </c>
      <c r="T306" s="61" t="str">
        <f t="array" ref="T306">index(fish_lab_data!O:O,match(A306,fish_lab_data!C:C,0))</f>
        <v>JG</v>
      </c>
      <c r="U306" s="61">
        <f t="array" ref="U306">if(A306="","",index(fish_lab_data!X:X,match(A306,fish_lab_data!C:C,0)))</f>
        <v>305</v>
      </c>
    </row>
    <row r="307">
      <c r="A307" t="str">
        <f>fish_lab_data!C307</f>
        <v>U5317</v>
      </c>
      <c r="B307" t="str">
        <f t="array" ref="B307">iferror(index('rna-muscle'!$I:$I,match($A307,'rna-muscle'!$A:$A,0)))</f>
        <v>BRN65M-H7</v>
      </c>
      <c r="C307" t="str">
        <f t="array" ref="C307">iferror(index('rna-muscle'!$L:$L,match($A307,'rna-muscle'!$A:$A,0)))</f>
        <v>N</v>
      </c>
      <c r="D307" t="str">
        <f t="array" ref="D307">iferror(index('rna-gill'!$I:$I,match($A307,'rna-gill'!$A:$A,0)))</f>
        <v>BRN65G-H7</v>
      </c>
      <c r="E307" t="str">
        <f t="array" ref="E307">iferror(index('rna-gill'!$L:$L,match($A307,'rna-gill'!$A:$A,0)))</f>
        <v>N</v>
      </c>
      <c r="F307" t="str">
        <f t="array" ref="F307">iferror(index(fatty_acid!$G:$G,match($A307,fatty_acid!$A:$A,0)))</f>
        <v>BFA22-20</v>
      </c>
      <c r="G307" t="str">
        <f t="array" ref="G307">iferror(index(fatty_acid!$J:$J,match($A307,fatty_acid!$A:$A,0)))</f>
        <v>N</v>
      </c>
      <c r="H307" t="str">
        <f t="array" ref="H307">iferror(index(isotopes!$G:$G,match($A307,isotopes!$A:$A,0)))</f>
        <v>BIS23-92</v>
      </c>
      <c r="I307" t="str">
        <f t="array" ref="I307">iferror(index(isotopes!$J:$J,match($A307,isotopes!$A:$A,0)))</f>
        <v>N</v>
      </c>
      <c r="J307" t="str">
        <f t="array" ref="J307">iferror(index(extra_muscle!$G:$G,match($A307,extra_muscle!$A:$A,0)))</f>
        <v>BXM16-94</v>
      </c>
      <c r="K307" t="str">
        <f t="array" ref="K307">iferror(index(extra_muscle!$J:$J,match($A307,extra_muscle!$A:$A,0)))</f>
        <v>N</v>
      </c>
      <c r="L307" s="59" t="str">
        <f t="array" ref="L307">iferror(index(dna!$G:$G,match($A307,dna!$A:$A,0)))</f>
        <v/>
      </c>
      <c r="M307" s="60" t="str">
        <f t="array" ref="M307">iferror(index(dna!$J:$J,match($A307,dna!$A:$A,0)))</f>
        <v/>
      </c>
      <c r="N307" t="str">
        <f t="array" ref="N307">iferror(index(stomachs!$G:$G,match($A307,stomachs!$A:$A,0)))</f>
        <v>BST239-16</v>
      </c>
      <c r="O307" t="str">
        <f t="array" ref="O307">iferror(index(stomachs!$J:$J,match($A307,stomachs!$A:$A,0)))</f>
        <v>N</v>
      </c>
      <c r="P307" t="str">
        <f t="array" ref="P307">iferror(index(sea_lice!$G:$G,match($A307,sea_lice!$A:$A,0)))</f>
        <v/>
      </c>
      <c r="Q307" t="str">
        <f t="array" ref="Q307">iferror(index(sea_lice!$J:$J,match($A307,sea_lice!$A:$A,0)))</f>
        <v/>
      </c>
      <c r="R307" s="40" t="str">
        <f t="array" ref="R307">iferror(index(dissected_fish!$F:$F,match($A307,dissected_fish!$A:$A,0)))</f>
        <v>BCA102</v>
      </c>
      <c r="S307" s="40" t="str">
        <f t="array" ref="S307">iferror(index(dissected_fish!$K:$K,match($A307,dissected_fish!$A:$A,0)))</f>
        <v>N</v>
      </c>
      <c r="T307" s="61" t="str">
        <f t="array" ref="T307">index(fish_lab_data!O:O,match(A307,fish_lab_data!C:C,0))</f>
        <v>JG</v>
      </c>
      <c r="U307" s="61">
        <f t="array" ref="U307">if(A307="","",index(fish_lab_data!X:X,match(A307,fish_lab_data!C:C,0)))</f>
        <v>306</v>
      </c>
    </row>
    <row r="308">
      <c r="A308" t="str">
        <f>fish_lab_data!C308</f>
        <v>U5318</v>
      </c>
      <c r="B308" t="str">
        <f t="array" ref="B308">iferror(index('rna-muscle'!$I:$I,match($A308,'rna-muscle'!$A:$A,0)))</f>
        <v>BRN65M-G7</v>
      </c>
      <c r="C308" t="str">
        <f t="array" ref="C308">iferror(index('rna-muscle'!$L:$L,match($A308,'rna-muscle'!$A:$A,0)))</f>
        <v>N</v>
      </c>
      <c r="D308" t="str">
        <f t="array" ref="D308">iferror(index('rna-gill'!$I:$I,match($A308,'rna-gill'!$A:$A,0)))</f>
        <v>BRN65G-G7</v>
      </c>
      <c r="E308" t="str">
        <f t="array" ref="E308">iferror(index('rna-gill'!$L:$L,match($A308,'rna-gill'!$A:$A,0)))</f>
        <v>N</v>
      </c>
      <c r="F308" t="str">
        <f t="array" ref="F308">iferror(index(fatty_acid!$G:$G,match($A308,fatty_acid!$A:$A,0)))</f>
        <v>BFA22-21</v>
      </c>
      <c r="G308" t="str">
        <f t="array" ref="G308">iferror(index(fatty_acid!$J:$J,match($A308,fatty_acid!$A:$A,0)))</f>
        <v>N</v>
      </c>
      <c r="H308" t="str">
        <f t="array" ref="H308">iferror(index(isotopes!$G:$G,match($A308,isotopes!$A:$A,0)))</f>
        <v>BIS23-94</v>
      </c>
      <c r="I308" t="str">
        <f t="array" ref="I308">iferror(index(isotopes!$J:$J,match($A308,isotopes!$A:$A,0)))</f>
        <v>N</v>
      </c>
      <c r="J308" t="str">
        <f t="array" ref="J308">iferror(index(extra_muscle!$G:$G,match($A308,extra_muscle!$A:$A,0)))</f>
        <v>BXM16-95</v>
      </c>
      <c r="K308" t="str">
        <f t="array" ref="K308">iferror(index(extra_muscle!$J:$J,match($A308,extra_muscle!$A:$A,0)))</f>
        <v>N</v>
      </c>
      <c r="L308" s="59" t="str">
        <f t="array" ref="L308">iferror(index(dna!$G:$G,match($A308,dna!$A:$A,0)))</f>
        <v/>
      </c>
      <c r="M308" s="60" t="str">
        <f t="array" ref="M308">iferror(index(dna!$J:$J,match($A308,dna!$A:$A,0)))</f>
        <v/>
      </c>
      <c r="N308" t="str">
        <f t="array" ref="N308">iferror(index(stomachs!$G:$G,match($A308,stomachs!$A:$A,0)))</f>
        <v>BST239-17</v>
      </c>
      <c r="O308" t="str">
        <f t="array" ref="O308">iferror(index(stomachs!$J:$J,match($A308,stomachs!$A:$A,0)))</f>
        <v>N</v>
      </c>
      <c r="P308" t="str">
        <f t="array" ref="P308">iferror(index(sea_lice!$G:$G,match($A308,sea_lice!$A:$A,0)))</f>
        <v/>
      </c>
      <c r="Q308" t="str">
        <f t="array" ref="Q308">iferror(index(sea_lice!$J:$J,match($A308,sea_lice!$A:$A,0)))</f>
        <v/>
      </c>
      <c r="R308" s="40" t="str">
        <f t="array" ref="R308">iferror(index(dissected_fish!$F:$F,match($A308,dissected_fish!$A:$A,0)))</f>
        <v>BCA102</v>
      </c>
      <c r="S308" s="40" t="str">
        <f t="array" ref="S308">iferror(index(dissected_fish!$K:$K,match($A308,dissected_fish!$A:$A,0)))</f>
        <v>N</v>
      </c>
      <c r="T308" s="61" t="str">
        <f t="array" ref="T308">index(fish_lab_data!O:O,match(A308,fish_lab_data!C:C,0))</f>
        <v>JG</v>
      </c>
      <c r="U308" s="61">
        <f t="array" ref="U308">if(A308="","",index(fish_lab_data!X:X,match(A308,fish_lab_data!C:C,0)))</f>
        <v>307</v>
      </c>
    </row>
    <row r="309">
      <c r="A309" t="str">
        <f>fish_lab_data!C309</f>
        <v>U5319</v>
      </c>
      <c r="B309" t="str">
        <f t="array" ref="B309">iferror(index('rna-muscle'!$I:$I,match($A309,'rna-muscle'!$A:$A,0)))</f>
        <v>BRN65M-F7</v>
      </c>
      <c r="C309" t="str">
        <f t="array" ref="C309">iferror(index('rna-muscle'!$L:$L,match($A309,'rna-muscle'!$A:$A,0)))</f>
        <v>N</v>
      </c>
      <c r="D309" t="str">
        <f t="array" ref="D309">iferror(index('rna-gill'!$I:$I,match($A309,'rna-gill'!$A:$A,0)))</f>
        <v>BRN65G-F7</v>
      </c>
      <c r="E309" t="str">
        <f t="array" ref="E309">iferror(index('rna-gill'!$L:$L,match($A309,'rna-gill'!$A:$A,0)))</f>
        <v>N</v>
      </c>
      <c r="F309" t="str">
        <f t="array" ref="F309">iferror(index(fatty_acid!$G:$G,match($A309,fatty_acid!$A:$A,0)))</f>
        <v>BFA22-22</v>
      </c>
      <c r="G309" t="str">
        <f t="array" ref="G309">iferror(index(fatty_acid!$J:$J,match($A309,fatty_acid!$A:$A,0)))</f>
        <v>N</v>
      </c>
      <c r="H309" t="str">
        <f t="array" ref="H309">iferror(index(isotopes!$G:$G,match($A309,isotopes!$A:$A,0)))</f>
        <v>BIS23-96</v>
      </c>
      <c r="I309" t="str">
        <f t="array" ref="I309">iferror(index(isotopes!$J:$J,match($A309,isotopes!$A:$A,0)))</f>
        <v>N</v>
      </c>
      <c r="J309" t="str">
        <f t="array" ref="J309">iferror(index(extra_muscle!$G:$G,match($A309,extra_muscle!$A:$A,0)))</f>
        <v>BXM16-96</v>
      </c>
      <c r="K309" t="str">
        <f t="array" ref="K309">iferror(index(extra_muscle!$J:$J,match($A309,extra_muscle!$A:$A,0)))</f>
        <v>N</v>
      </c>
      <c r="L309" s="59" t="str">
        <f t="array" ref="L309">iferror(index(dna!$G:$G,match($A309,dna!$A:$A,0)))</f>
        <v/>
      </c>
      <c r="M309" s="60" t="str">
        <f t="array" ref="M309">iferror(index(dna!$J:$J,match($A309,dna!$A:$A,0)))</f>
        <v/>
      </c>
      <c r="N309" t="str">
        <f t="array" ref="N309">iferror(index(stomachs!$G:$G,match($A309,stomachs!$A:$A,0)))</f>
        <v>BST239-18</v>
      </c>
      <c r="O309" t="str">
        <f t="array" ref="O309">iferror(index(stomachs!$J:$J,match($A309,stomachs!$A:$A,0)))</f>
        <v>N</v>
      </c>
      <c r="P309" t="str">
        <f t="array" ref="P309">iferror(index(sea_lice!$G:$G,match($A309,sea_lice!$A:$A,0)))</f>
        <v/>
      </c>
      <c r="Q309" t="str">
        <f t="array" ref="Q309">iferror(index(sea_lice!$J:$J,match($A309,sea_lice!$A:$A,0)))</f>
        <v/>
      </c>
      <c r="R309" s="40" t="str">
        <f t="array" ref="R309">iferror(index(dissected_fish!$F:$F,match($A309,dissected_fish!$A:$A,0)))</f>
        <v>BCA102</v>
      </c>
      <c r="S309" s="40" t="str">
        <f t="array" ref="S309">iferror(index(dissected_fish!$K:$K,match($A309,dissected_fish!$A:$A,0)))</f>
        <v>N</v>
      </c>
      <c r="T309" s="61" t="str">
        <f t="array" ref="T309">index(fish_lab_data!O:O,match(A309,fish_lab_data!C:C,0))</f>
        <v>JG</v>
      </c>
      <c r="U309" s="61">
        <f t="array" ref="U309">if(A309="","",index(fish_lab_data!X:X,match(A309,fish_lab_data!C:C,0)))</f>
        <v>308</v>
      </c>
    </row>
    <row r="310">
      <c r="A310" t="str">
        <f>fish_lab_data!C310</f>
        <v>U5320</v>
      </c>
      <c r="B310" t="str">
        <f t="array" ref="B310">iferror(index('rna-muscle'!$I:$I,match($A310,'rna-muscle'!$A:$A,0)))</f>
        <v>BRN65M-E7</v>
      </c>
      <c r="C310" t="str">
        <f t="array" ref="C310">iferror(index('rna-muscle'!$L:$L,match($A310,'rna-muscle'!$A:$A,0)))</f>
        <v>N</v>
      </c>
      <c r="D310" t="str">
        <f t="array" ref="D310">iferror(index('rna-gill'!$I:$I,match($A310,'rna-gill'!$A:$A,0)))</f>
        <v>BRN65G-E7</v>
      </c>
      <c r="E310" t="str">
        <f t="array" ref="E310">iferror(index('rna-gill'!$L:$L,match($A310,'rna-gill'!$A:$A,0)))</f>
        <v>N</v>
      </c>
      <c r="F310" t="str">
        <f t="array" ref="F310">iferror(index(fatty_acid!$G:$G,match($A310,fatty_acid!$A:$A,0)))</f>
        <v>BFA22-23</v>
      </c>
      <c r="G310" t="str">
        <f t="array" ref="G310">iferror(index(fatty_acid!$J:$J,match($A310,fatty_acid!$A:$A,0)))</f>
        <v>N</v>
      </c>
      <c r="H310" t="str">
        <f t="array" ref="H310">iferror(index(isotopes!$G:$G,match($A310,isotopes!$A:$A,0)))</f>
        <v>BIS23-98</v>
      </c>
      <c r="I310" t="str">
        <f t="array" ref="I310">iferror(index(isotopes!$J:$J,match($A310,isotopes!$A:$A,0)))</f>
        <v>N</v>
      </c>
      <c r="J310" t="str">
        <f t="array" ref="J310">iferror(index(extra_muscle!$G:$G,match($A310,extra_muscle!$A:$A,0)))</f>
        <v>BXM16-97</v>
      </c>
      <c r="K310" t="str">
        <f t="array" ref="K310">iferror(index(extra_muscle!$J:$J,match($A310,extra_muscle!$A:$A,0)))</f>
        <v>N</v>
      </c>
      <c r="L310" s="59" t="str">
        <f t="array" ref="L310">iferror(index(dna!$G:$G,match($A310,dna!$A:$A,0)))</f>
        <v/>
      </c>
      <c r="M310" s="60" t="str">
        <f t="array" ref="M310">iferror(index(dna!$J:$J,match($A310,dna!$A:$A,0)))</f>
        <v/>
      </c>
      <c r="N310" t="str">
        <f t="array" ref="N310">iferror(index(stomachs!$G:$G,match($A310,stomachs!$A:$A,0)))</f>
        <v>BST239-19</v>
      </c>
      <c r="O310" t="str">
        <f t="array" ref="O310">iferror(index(stomachs!$J:$J,match($A310,stomachs!$A:$A,0)))</f>
        <v>N</v>
      </c>
      <c r="P310" t="str">
        <f t="array" ref="P310">iferror(index(sea_lice!$G:$G,match($A310,sea_lice!$A:$A,0)))</f>
        <v/>
      </c>
      <c r="Q310" t="str">
        <f t="array" ref="Q310">iferror(index(sea_lice!$J:$J,match($A310,sea_lice!$A:$A,0)))</f>
        <v/>
      </c>
      <c r="R310" s="40" t="str">
        <f t="array" ref="R310">iferror(index(dissected_fish!$F:$F,match($A310,dissected_fish!$A:$A,0)))</f>
        <v>BCA102</v>
      </c>
      <c r="S310" s="40" t="str">
        <f t="array" ref="S310">iferror(index(dissected_fish!$K:$K,match($A310,dissected_fish!$A:$A,0)))</f>
        <v>N</v>
      </c>
      <c r="T310" s="61" t="str">
        <f t="array" ref="T310">index(fish_lab_data!O:O,match(A310,fish_lab_data!C:C,0))</f>
        <v>JG</v>
      </c>
      <c r="U310" s="61">
        <f t="array" ref="U310">if(A310="","",index(fish_lab_data!X:X,match(A310,fish_lab_data!C:C,0)))</f>
        <v>309</v>
      </c>
    </row>
    <row r="311">
      <c r="A311" t="str">
        <f>fish_lab_data!C311</f>
        <v>U5321</v>
      </c>
      <c r="B311" t="str">
        <f t="array" ref="B311">iferror(index('rna-muscle'!$I:$I,match($A311,'rna-muscle'!$A:$A,0)))</f>
        <v>BRN65M-D7</v>
      </c>
      <c r="C311" t="str">
        <f t="array" ref="C311">iferror(index('rna-muscle'!$L:$L,match($A311,'rna-muscle'!$A:$A,0)))</f>
        <v>N</v>
      </c>
      <c r="D311" t="str">
        <f t="array" ref="D311">iferror(index('rna-gill'!$I:$I,match($A311,'rna-gill'!$A:$A,0)))</f>
        <v>BRN65G-D7</v>
      </c>
      <c r="E311" t="str">
        <f t="array" ref="E311">iferror(index('rna-gill'!$L:$L,match($A311,'rna-gill'!$A:$A,0)))</f>
        <v>N</v>
      </c>
      <c r="F311" t="str">
        <f t="array" ref="F311">iferror(index(fatty_acid!$G:$G,match($A311,fatty_acid!$A:$A,0)))</f>
        <v>BFA22-24</v>
      </c>
      <c r="G311" t="str">
        <f t="array" ref="G311">iferror(index(fatty_acid!$J:$J,match($A311,fatty_acid!$A:$A,0)))</f>
        <v>N</v>
      </c>
      <c r="H311" t="str">
        <f t="array" ref="H311">iferror(index(isotopes!$G:$G,match($A311,isotopes!$A:$A,0)))</f>
        <v>BIS23-100</v>
      </c>
      <c r="I311" t="str">
        <f t="array" ref="I311">iferror(index(isotopes!$J:$J,match($A311,isotopes!$A:$A,0)))</f>
        <v>N</v>
      </c>
      <c r="J311" t="str">
        <f t="array" ref="J311">iferror(index(extra_muscle!$G:$G,match($A311,extra_muscle!$A:$A,0)))</f>
        <v>BXM16-98</v>
      </c>
      <c r="K311" t="str">
        <f t="array" ref="K311">iferror(index(extra_muscle!$J:$J,match($A311,extra_muscle!$A:$A,0)))</f>
        <v>N</v>
      </c>
      <c r="L311" s="59" t="str">
        <f t="array" ref="L311">iferror(index(dna!$G:$G,match($A311,dna!$A:$A,0)))</f>
        <v/>
      </c>
      <c r="M311" s="60" t="str">
        <f t="array" ref="M311">iferror(index(dna!$J:$J,match($A311,dna!$A:$A,0)))</f>
        <v/>
      </c>
      <c r="N311" t="str">
        <f t="array" ref="N311">iferror(index(stomachs!$G:$G,match($A311,stomachs!$A:$A,0)))</f>
        <v>BST239-20</v>
      </c>
      <c r="O311" t="str">
        <f t="array" ref="O311">iferror(index(stomachs!$J:$J,match($A311,stomachs!$A:$A,0)))</f>
        <v>N</v>
      </c>
      <c r="P311" t="str">
        <f t="array" ref="P311">iferror(index(sea_lice!$G:$G,match($A311,sea_lice!$A:$A,0)))</f>
        <v/>
      </c>
      <c r="Q311" t="str">
        <f t="array" ref="Q311">iferror(index(sea_lice!$J:$J,match($A311,sea_lice!$A:$A,0)))</f>
        <v/>
      </c>
      <c r="R311" s="40" t="str">
        <f t="array" ref="R311">iferror(index(dissected_fish!$F:$F,match($A311,dissected_fish!$A:$A,0)))</f>
        <v>BCA102</v>
      </c>
      <c r="S311" s="40" t="str">
        <f t="array" ref="S311">iferror(index(dissected_fish!$K:$K,match($A311,dissected_fish!$A:$A,0)))</f>
        <v>N</v>
      </c>
      <c r="T311" s="61" t="str">
        <f t="array" ref="T311">index(fish_lab_data!O:O,match(A311,fish_lab_data!C:C,0))</f>
        <v>JG</v>
      </c>
      <c r="U311" s="61">
        <f t="array" ref="U311">if(A311="","",index(fish_lab_data!X:X,match(A311,fish_lab_data!C:C,0)))</f>
        <v>310</v>
      </c>
    </row>
    <row r="312">
      <c r="A312" t="str">
        <f>fish_lab_data!C312</f>
        <v>U5406</v>
      </c>
      <c r="B312" t="str">
        <f t="array" ref="B312">iferror(index('rna-muscle'!$I:$I,match($A312,'rna-muscle'!$A:$A,0)))</f>
        <v>BRN65M-H5</v>
      </c>
      <c r="C312" t="str">
        <f t="array" ref="C312">iferror(index('rna-muscle'!$L:$L,match($A312,'rna-muscle'!$A:$A,0)))</f>
        <v>N</v>
      </c>
      <c r="D312" t="str">
        <f t="array" ref="D312">iferror(index('rna-gill'!$I:$I,match($A312,'rna-gill'!$A:$A,0)))</f>
        <v>BRN65G-H5</v>
      </c>
      <c r="E312" t="str">
        <f t="array" ref="E312">iferror(index('rna-gill'!$L:$L,match($A312,'rna-gill'!$A:$A,0)))</f>
        <v>N</v>
      </c>
      <c r="F312" t="str">
        <f t="array" ref="F312">iferror(index(fatty_acid!$G:$G,match($A312,fatty_acid!$A:$A,0)))</f>
        <v>BFA25-9</v>
      </c>
      <c r="G312" t="str">
        <f t="array" ref="G312">iferror(index(fatty_acid!$J:$J,match($A312,fatty_acid!$A:$A,0)))</f>
        <v>N</v>
      </c>
      <c r="H312" t="str">
        <f t="array" ref="H312">iferror(index(isotopes!$G:$G,match($A312,isotopes!$A:$A,0)))</f>
        <v>BIS27-9</v>
      </c>
      <c r="I312" t="str">
        <f t="array" ref="I312">iferror(index(isotopes!$J:$J,match($A312,isotopes!$A:$A,0)))</f>
        <v>N</v>
      </c>
      <c r="J312" t="str">
        <f t="array" ref="J312">iferror(index(extra_muscle!$G:$G,match($A312,extra_muscle!$A:$A,0)))</f>
        <v>BXM25-9</v>
      </c>
      <c r="K312" t="str">
        <f t="array" ref="K312">iferror(index(extra_muscle!$J:$J,match($A312,extra_muscle!$A:$A,0)))</f>
        <v>N</v>
      </c>
      <c r="L312" s="59" t="str">
        <f t="array" ref="L312">iferror(index(dna!$G:$G,match($A312,dna!$A:$A,0)))</f>
        <v/>
      </c>
      <c r="M312" s="60" t="str">
        <f t="array" ref="M312">iferror(index(dna!$J:$J,match($A312,dna!$A:$A,0)))</f>
        <v/>
      </c>
      <c r="N312" t="str">
        <f t="array" ref="N312">iferror(index(stomachs!$G:$G,match($A312,stomachs!$A:$A,0)))</f>
        <v>BST242-20</v>
      </c>
      <c r="O312" t="str">
        <f t="array" ref="O312">iferror(index(stomachs!$J:$J,match($A312,stomachs!$A:$A,0)))</f>
        <v>N</v>
      </c>
      <c r="P312" t="str">
        <f t="array" ref="P312">iferror(index(sea_lice!$G:$G,match($A312,sea_lice!$A:$A,0)))</f>
        <v/>
      </c>
      <c r="Q312" t="str">
        <f t="array" ref="Q312">iferror(index(sea_lice!$J:$J,match($A312,sea_lice!$A:$A,0)))</f>
        <v/>
      </c>
      <c r="R312" s="40" t="str">
        <f t="array" ref="R312">iferror(index(dissected_fish!$F:$F,match($A312,dissected_fish!$A:$A,0)))</f>
        <v>BCA102</v>
      </c>
      <c r="S312" s="40" t="str">
        <f t="array" ref="S312">iferror(index(dissected_fish!$K:$K,match($A312,dissected_fish!$A:$A,0)))</f>
        <v>N</v>
      </c>
      <c r="T312" s="61" t="str">
        <f t="array" ref="T312">index(fish_lab_data!O:O,match(A312,fish_lab_data!C:C,0))</f>
        <v>KB</v>
      </c>
      <c r="U312" s="61">
        <f t="array" ref="U312">if(A312="","",index(fish_lab_data!X:X,match(A312,fish_lab_data!C:C,0)))</f>
        <v>311</v>
      </c>
    </row>
    <row r="313">
      <c r="A313" t="str">
        <f>fish_lab_data!C313</f>
        <v>U5407</v>
      </c>
      <c r="B313" t="str">
        <f t="array" ref="B313">iferror(index('rna-muscle'!$I:$I,match($A313,'rna-muscle'!$A:$A,0)))</f>
        <v>BRN65M-G5</v>
      </c>
      <c r="C313" t="str">
        <f t="array" ref="C313">iferror(index('rna-muscle'!$L:$L,match($A313,'rna-muscle'!$A:$A,0)))</f>
        <v>N</v>
      </c>
      <c r="D313" t="str">
        <f t="array" ref="D313">iferror(index('rna-gill'!$I:$I,match($A313,'rna-gill'!$A:$A,0)))</f>
        <v>BRN65G-G5</v>
      </c>
      <c r="E313" t="str">
        <f t="array" ref="E313">iferror(index('rna-gill'!$L:$L,match($A313,'rna-gill'!$A:$A,0)))</f>
        <v>N</v>
      </c>
      <c r="F313" t="str">
        <f t="array" ref="F313">iferror(index(fatty_acid!$G:$G,match($A313,fatty_acid!$A:$A,0)))</f>
        <v>BFA25-10</v>
      </c>
      <c r="G313" t="str">
        <f t="array" ref="G313">iferror(index(fatty_acid!$J:$J,match($A313,fatty_acid!$A:$A,0)))</f>
        <v>N</v>
      </c>
      <c r="H313" t="str">
        <f t="array" ref="H313">iferror(index(isotopes!$G:$G,match($A313,isotopes!$A:$A,0)))</f>
        <v>BIS27-10</v>
      </c>
      <c r="I313" t="str">
        <f t="array" ref="I313">iferror(index(isotopes!$J:$J,match($A313,isotopes!$A:$A,0)))</f>
        <v>N</v>
      </c>
      <c r="J313" t="str">
        <f t="array" ref="J313">iferror(index(extra_muscle!$G:$G,match($A313,extra_muscle!$A:$A,0)))</f>
        <v>BXM25-10</v>
      </c>
      <c r="K313" t="str">
        <f t="array" ref="K313">iferror(index(extra_muscle!$J:$J,match($A313,extra_muscle!$A:$A,0)))</f>
        <v>N</v>
      </c>
      <c r="L313" s="59" t="str">
        <f t="array" ref="L313">iferror(index(dna!$G:$G,match($A313,dna!$A:$A,0)))</f>
        <v/>
      </c>
      <c r="M313" s="60" t="str">
        <f t="array" ref="M313">iferror(index(dna!$J:$J,match($A313,dna!$A:$A,0)))</f>
        <v/>
      </c>
      <c r="N313" t="str">
        <f t="array" ref="N313">iferror(index(stomachs!$G:$G,match($A313,stomachs!$A:$A,0)))</f>
        <v>BST242-21</v>
      </c>
      <c r="O313" t="str">
        <f t="array" ref="O313">iferror(index(stomachs!$J:$J,match($A313,stomachs!$A:$A,0)))</f>
        <v>N</v>
      </c>
      <c r="P313" t="str">
        <f t="array" ref="P313">iferror(index(sea_lice!$G:$G,match($A313,sea_lice!$A:$A,0)))</f>
        <v/>
      </c>
      <c r="Q313" t="str">
        <f t="array" ref="Q313">iferror(index(sea_lice!$J:$J,match($A313,sea_lice!$A:$A,0)))</f>
        <v/>
      </c>
      <c r="R313" s="40" t="str">
        <f t="array" ref="R313">iferror(index(dissected_fish!$F:$F,match($A313,dissected_fish!$A:$A,0)))</f>
        <v>BCA102</v>
      </c>
      <c r="S313" s="40" t="str">
        <f t="array" ref="S313">iferror(index(dissected_fish!$K:$K,match($A313,dissected_fish!$A:$A,0)))</f>
        <v>N</v>
      </c>
      <c r="T313" s="61" t="str">
        <f t="array" ref="T313">index(fish_lab_data!O:O,match(A313,fish_lab_data!C:C,0))</f>
        <v>KB</v>
      </c>
      <c r="U313" s="61">
        <f t="array" ref="U313">if(A313="","",index(fish_lab_data!X:X,match(A313,fish_lab_data!C:C,0)))</f>
        <v>312</v>
      </c>
    </row>
    <row r="314">
      <c r="A314" t="str">
        <f>fish_lab_data!C314</f>
        <v>U5408</v>
      </c>
      <c r="B314" t="str">
        <f t="array" ref="B314">iferror(index('rna-muscle'!$I:$I,match($A314,'rna-muscle'!$A:$A,0)))</f>
        <v>BRN65M-F5</v>
      </c>
      <c r="C314" t="str">
        <f t="array" ref="C314">iferror(index('rna-muscle'!$L:$L,match($A314,'rna-muscle'!$A:$A,0)))</f>
        <v>N</v>
      </c>
      <c r="D314" t="str">
        <f t="array" ref="D314">iferror(index('rna-gill'!$I:$I,match($A314,'rna-gill'!$A:$A,0)))</f>
        <v>BRN65G-F5</v>
      </c>
      <c r="E314" t="str">
        <f t="array" ref="E314">iferror(index('rna-gill'!$L:$L,match($A314,'rna-gill'!$A:$A,0)))</f>
        <v>N</v>
      </c>
      <c r="F314" t="str">
        <f t="array" ref="F314">iferror(index(fatty_acid!$G:$G,match($A314,fatty_acid!$A:$A,0)))</f>
        <v>BFA25-11</v>
      </c>
      <c r="G314" t="str">
        <f t="array" ref="G314">iferror(index(fatty_acid!$J:$J,match($A314,fatty_acid!$A:$A,0)))</f>
        <v>N</v>
      </c>
      <c r="H314" t="str">
        <f t="array" ref="H314">iferror(index(isotopes!$G:$G,match($A314,isotopes!$A:$A,0)))</f>
        <v>BIS27-11</v>
      </c>
      <c r="I314" t="str">
        <f t="array" ref="I314">iferror(index(isotopes!$J:$J,match($A314,isotopes!$A:$A,0)))</f>
        <v>N</v>
      </c>
      <c r="J314" t="str">
        <f t="array" ref="J314">iferror(index(extra_muscle!$G:$G,match($A314,extra_muscle!$A:$A,0)))</f>
        <v>BXM25-11</v>
      </c>
      <c r="K314" t="str">
        <f t="array" ref="K314">iferror(index(extra_muscle!$J:$J,match($A314,extra_muscle!$A:$A,0)))</f>
        <v>N</v>
      </c>
      <c r="L314" s="59" t="str">
        <f t="array" ref="L314">iferror(index(dna!$G:$G,match($A314,dna!$A:$A,0)))</f>
        <v/>
      </c>
      <c r="M314" s="60" t="str">
        <f t="array" ref="M314">iferror(index(dna!$J:$J,match($A314,dna!$A:$A,0)))</f>
        <v/>
      </c>
      <c r="N314" t="str">
        <f t="array" ref="N314">iferror(index(stomachs!$G:$G,match($A314,stomachs!$A:$A,0)))</f>
        <v>BST242-22</v>
      </c>
      <c r="O314" t="str">
        <f t="array" ref="O314">iferror(index(stomachs!$J:$J,match($A314,stomachs!$A:$A,0)))</f>
        <v>N</v>
      </c>
      <c r="P314" t="str">
        <f t="array" ref="P314">iferror(index(sea_lice!$G:$G,match($A314,sea_lice!$A:$A,0)))</f>
        <v/>
      </c>
      <c r="Q314" t="str">
        <f t="array" ref="Q314">iferror(index(sea_lice!$J:$J,match($A314,sea_lice!$A:$A,0)))</f>
        <v/>
      </c>
      <c r="R314" s="40" t="str">
        <f t="array" ref="R314">iferror(index(dissected_fish!$F:$F,match($A314,dissected_fish!$A:$A,0)))</f>
        <v>BCA102</v>
      </c>
      <c r="S314" s="40" t="str">
        <f t="array" ref="S314">iferror(index(dissected_fish!$K:$K,match($A314,dissected_fish!$A:$A,0)))</f>
        <v>N</v>
      </c>
      <c r="T314" s="61" t="str">
        <f t="array" ref="T314">index(fish_lab_data!O:O,match(A314,fish_lab_data!C:C,0))</f>
        <v>KB</v>
      </c>
      <c r="U314" s="61">
        <f t="array" ref="U314">if(A314="","",index(fish_lab_data!X:X,match(A314,fish_lab_data!C:C,0)))</f>
        <v>313</v>
      </c>
    </row>
    <row r="315">
      <c r="A315" t="str">
        <f>fish_lab_data!C315</f>
        <v>U5409</v>
      </c>
      <c r="B315" t="str">
        <f t="array" ref="B315">iferror(index('rna-muscle'!$I:$I,match($A315,'rna-muscle'!$A:$A,0)))</f>
        <v>BRN65M-E5</v>
      </c>
      <c r="C315" t="str">
        <f t="array" ref="C315">iferror(index('rna-muscle'!$L:$L,match($A315,'rna-muscle'!$A:$A,0)))</f>
        <v>N</v>
      </c>
      <c r="D315" t="str">
        <f t="array" ref="D315">iferror(index('rna-gill'!$I:$I,match($A315,'rna-gill'!$A:$A,0)))</f>
        <v>BRN65G-E5</v>
      </c>
      <c r="E315" t="str">
        <f t="array" ref="E315">iferror(index('rna-gill'!$L:$L,match($A315,'rna-gill'!$A:$A,0)))</f>
        <v>N</v>
      </c>
      <c r="F315" t="str">
        <f t="array" ref="F315">iferror(index(fatty_acid!$G:$G,match($A315,fatty_acid!$A:$A,0)))</f>
        <v>BFA25-12</v>
      </c>
      <c r="G315" t="str">
        <f t="array" ref="G315">iferror(index(fatty_acid!$J:$J,match($A315,fatty_acid!$A:$A,0)))</f>
        <v>N</v>
      </c>
      <c r="H315" t="str">
        <f t="array" ref="H315">iferror(index(isotopes!$G:$G,match($A315,isotopes!$A:$A,0)))</f>
        <v>BIS27-12</v>
      </c>
      <c r="I315" t="str">
        <f t="array" ref="I315">iferror(index(isotopes!$J:$J,match($A315,isotopes!$A:$A,0)))</f>
        <v>N</v>
      </c>
      <c r="J315" t="str">
        <f t="array" ref="J315">iferror(index(extra_muscle!$G:$G,match($A315,extra_muscle!$A:$A,0)))</f>
        <v>BXM25-12</v>
      </c>
      <c r="K315" t="str">
        <f t="array" ref="K315">iferror(index(extra_muscle!$J:$J,match($A315,extra_muscle!$A:$A,0)))</f>
        <v>N</v>
      </c>
      <c r="L315" s="59" t="str">
        <f t="array" ref="L315">iferror(index(dna!$G:$G,match($A315,dna!$A:$A,0)))</f>
        <v/>
      </c>
      <c r="M315" s="60" t="str">
        <f t="array" ref="M315">iferror(index(dna!$J:$J,match($A315,dna!$A:$A,0)))</f>
        <v/>
      </c>
      <c r="N315" t="str">
        <f t="array" ref="N315">iferror(index(stomachs!$G:$G,match($A315,stomachs!$A:$A,0)))</f>
        <v>BST242-23</v>
      </c>
      <c r="O315" t="str">
        <f t="array" ref="O315">iferror(index(stomachs!$J:$J,match($A315,stomachs!$A:$A,0)))</f>
        <v>N</v>
      </c>
      <c r="P315" t="str">
        <f t="array" ref="P315">iferror(index(sea_lice!$G:$G,match($A315,sea_lice!$A:$A,0)))</f>
        <v/>
      </c>
      <c r="Q315" t="str">
        <f t="array" ref="Q315">iferror(index(sea_lice!$J:$J,match($A315,sea_lice!$A:$A,0)))</f>
        <v/>
      </c>
      <c r="R315" s="40" t="str">
        <f t="array" ref="R315">iferror(index(dissected_fish!$F:$F,match($A315,dissected_fish!$A:$A,0)))</f>
        <v>BCA102</v>
      </c>
      <c r="S315" s="40" t="str">
        <f t="array" ref="S315">iferror(index(dissected_fish!$K:$K,match($A315,dissected_fish!$A:$A,0)))</f>
        <v>N</v>
      </c>
      <c r="T315" s="61" t="str">
        <f t="array" ref="T315">index(fish_lab_data!O:O,match(A315,fish_lab_data!C:C,0))</f>
        <v>KB</v>
      </c>
      <c r="U315" s="61">
        <f t="array" ref="U315">if(A315="","",index(fish_lab_data!X:X,match(A315,fish_lab_data!C:C,0)))</f>
        <v>314</v>
      </c>
    </row>
    <row r="316">
      <c r="A316" t="str">
        <f>fish_lab_data!C316</f>
        <v>U5410</v>
      </c>
      <c r="B316" t="str">
        <f t="array" ref="B316">iferror(index('rna-muscle'!$I:$I,match($A316,'rna-muscle'!$A:$A,0)))</f>
        <v>BRN65M-D5</v>
      </c>
      <c r="C316" t="str">
        <f t="array" ref="C316">iferror(index('rna-muscle'!$L:$L,match($A316,'rna-muscle'!$A:$A,0)))</f>
        <v>N</v>
      </c>
      <c r="D316" t="str">
        <f t="array" ref="D316">iferror(index('rna-gill'!$I:$I,match($A316,'rna-gill'!$A:$A,0)))</f>
        <v>BRN65G-D5</v>
      </c>
      <c r="E316" t="str">
        <f t="array" ref="E316">iferror(index('rna-gill'!$L:$L,match($A316,'rna-gill'!$A:$A,0)))</f>
        <v>N</v>
      </c>
      <c r="F316" t="str">
        <f t="array" ref="F316">iferror(index(fatty_acid!$G:$G,match($A316,fatty_acid!$A:$A,0)))</f>
        <v>BFA25-13</v>
      </c>
      <c r="G316" t="str">
        <f t="array" ref="G316">iferror(index(fatty_acid!$J:$J,match($A316,fatty_acid!$A:$A,0)))</f>
        <v>N</v>
      </c>
      <c r="H316" t="str">
        <f t="array" ref="H316">iferror(index(isotopes!$G:$G,match($A316,isotopes!$A:$A,0)))</f>
        <v>BIS27-13</v>
      </c>
      <c r="I316" t="str">
        <f t="array" ref="I316">iferror(index(isotopes!$J:$J,match($A316,isotopes!$A:$A,0)))</f>
        <v>N</v>
      </c>
      <c r="J316" t="str">
        <f t="array" ref="J316">iferror(index(extra_muscle!$G:$G,match($A316,extra_muscle!$A:$A,0)))</f>
        <v>BXM25-13</v>
      </c>
      <c r="K316" t="str">
        <f t="array" ref="K316">iferror(index(extra_muscle!$J:$J,match($A316,extra_muscle!$A:$A,0)))</f>
        <v>N</v>
      </c>
      <c r="L316" s="59" t="str">
        <f t="array" ref="L316">iferror(index(dna!$G:$G,match($A316,dna!$A:$A,0)))</f>
        <v/>
      </c>
      <c r="M316" s="60" t="str">
        <f t="array" ref="M316">iferror(index(dna!$J:$J,match($A316,dna!$A:$A,0)))</f>
        <v/>
      </c>
      <c r="N316" t="str">
        <f t="array" ref="N316">iferror(index(stomachs!$G:$G,match($A316,stomachs!$A:$A,0)))</f>
        <v>BST242-24</v>
      </c>
      <c r="O316" t="str">
        <f t="array" ref="O316">iferror(index(stomachs!$J:$J,match($A316,stomachs!$A:$A,0)))</f>
        <v>N</v>
      </c>
      <c r="P316" t="str">
        <f t="array" ref="P316">iferror(index(sea_lice!$G:$G,match($A316,sea_lice!$A:$A,0)))</f>
        <v/>
      </c>
      <c r="Q316" t="str">
        <f t="array" ref="Q316">iferror(index(sea_lice!$J:$J,match($A316,sea_lice!$A:$A,0)))</f>
        <v/>
      </c>
      <c r="R316" s="40" t="str">
        <f t="array" ref="R316">iferror(index(dissected_fish!$F:$F,match($A316,dissected_fish!$A:$A,0)))</f>
        <v>BCA102</v>
      </c>
      <c r="S316" s="40" t="str">
        <f t="array" ref="S316">iferror(index(dissected_fish!$K:$K,match($A316,dissected_fish!$A:$A,0)))</f>
        <v>N</v>
      </c>
      <c r="T316" s="61" t="str">
        <f t="array" ref="T316">index(fish_lab_data!O:O,match(A316,fish_lab_data!C:C,0))</f>
        <v>KB</v>
      </c>
      <c r="U316" s="61">
        <f t="array" ref="U316">if(A316="","",index(fish_lab_data!X:X,match(A316,fish_lab_data!C:C,0)))</f>
        <v>315</v>
      </c>
    </row>
    <row r="317">
      <c r="A317" t="str">
        <f>fish_lab_data!C317</f>
        <v>U5411</v>
      </c>
      <c r="B317" t="str">
        <f t="array" ref="B317">iferror(index('rna-muscle'!$I:$I,match($A317,'rna-muscle'!$A:$A,0)))</f>
        <v>BRN65M-C5</v>
      </c>
      <c r="C317" t="str">
        <f t="array" ref="C317">iferror(index('rna-muscle'!$L:$L,match($A317,'rna-muscle'!$A:$A,0)))</f>
        <v>N</v>
      </c>
      <c r="D317" t="str">
        <f t="array" ref="D317">iferror(index('rna-gill'!$I:$I,match($A317,'rna-gill'!$A:$A,0)))</f>
        <v>BRN65G-C5</v>
      </c>
      <c r="E317" t="str">
        <f t="array" ref="E317">iferror(index('rna-gill'!$L:$L,match($A317,'rna-gill'!$A:$A,0)))</f>
        <v>N</v>
      </c>
      <c r="F317" t="str">
        <f t="array" ref="F317">iferror(index(fatty_acid!$G:$G,match($A317,fatty_acid!$A:$A,0)))</f>
        <v>BFA25-14</v>
      </c>
      <c r="G317" t="str">
        <f t="array" ref="G317">iferror(index(fatty_acid!$J:$J,match($A317,fatty_acid!$A:$A,0)))</f>
        <v>N</v>
      </c>
      <c r="H317" t="str">
        <f t="array" ref="H317">iferror(index(isotopes!$G:$G,match($A317,isotopes!$A:$A,0)))</f>
        <v>BIS27-14</v>
      </c>
      <c r="I317" t="str">
        <f t="array" ref="I317">iferror(index(isotopes!$J:$J,match($A317,isotopes!$A:$A,0)))</f>
        <v>N</v>
      </c>
      <c r="J317" t="str">
        <f t="array" ref="J317">iferror(index(extra_muscle!$G:$G,match($A317,extra_muscle!$A:$A,0)))</f>
        <v>BXM25-14</v>
      </c>
      <c r="K317" t="str">
        <f t="array" ref="K317">iferror(index(extra_muscle!$J:$J,match($A317,extra_muscle!$A:$A,0)))</f>
        <v>N</v>
      </c>
      <c r="L317" s="59" t="str">
        <f t="array" ref="L317">iferror(index(dna!$G:$G,match($A317,dna!$A:$A,0)))</f>
        <v/>
      </c>
      <c r="M317" s="60" t="str">
        <f t="array" ref="M317">iferror(index(dna!$J:$J,match($A317,dna!$A:$A,0)))</f>
        <v/>
      </c>
      <c r="N317" t="str">
        <f t="array" ref="N317">iferror(index(stomachs!$G:$G,match($A317,stomachs!$A:$A,0)))</f>
        <v>BST242-25</v>
      </c>
      <c r="O317" t="str">
        <f t="array" ref="O317">iferror(index(stomachs!$J:$J,match($A317,stomachs!$A:$A,0)))</f>
        <v>N</v>
      </c>
      <c r="P317" t="str">
        <f t="array" ref="P317">iferror(index(sea_lice!$G:$G,match($A317,sea_lice!$A:$A,0)))</f>
        <v/>
      </c>
      <c r="Q317" t="str">
        <f t="array" ref="Q317">iferror(index(sea_lice!$J:$J,match($A317,sea_lice!$A:$A,0)))</f>
        <v/>
      </c>
      <c r="R317" s="40" t="str">
        <f t="array" ref="R317">iferror(index(dissected_fish!$F:$F,match($A317,dissected_fish!$A:$A,0)))</f>
        <v>BCA102</v>
      </c>
      <c r="S317" s="40" t="str">
        <f t="array" ref="S317">iferror(index(dissected_fish!$K:$K,match($A317,dissected_fish!$A:$A,0)))</f>
        <v>N</v>
      </c>
      <c r="T317" s="61" t="str">
        <f t="array" ref="T317">index(fish_lab_data!O:O,match(A317,fish_lab_data!C:C,0))</f>
        <v>KB</v>
      </c>
      <c r="U317" s="61">
        <f t="array" ref="U317">if(A317="","",index(fish_lab_data!X:X,match(A317,fish_lab_data!C:C,0)))</f>
        <v>316</v>
      </c>
    </row>
    <row r="318">
      <c r="A318" t="str">
        <f>fish_lab_data!C318</f>
        <v>U5437</v>
      </c>
      <c r="B318" t="str">
        <f t="array" ref="B318">iferror(index('rna-muscle'!$I:$I,match($A318,'rna-muscle'!$A:$A,0)))</f>
        <v>BRN65M-B5</v>
      </c>
      <c r="C318" t="str">
        <f t="array" ref="C318">iferror(index('rna-muscle'!$L:$L,match($A318,'rna-muscle'!$A:$A,0)))</f>
        <v>N</v>
      </c>
      <c r="D318" t="str">
        <f t="array" ref="D318">iferror(index('rna-gill'!$I:$I,match($A318,'rna-gill'!$A:$A,0)))</f>
        <v>BRN65G-B5</v>
      </c>
      <c r="E318" t="str">
        <f t="array" ref="E318">iferror(index('rna-gill'!$L:$L,match($A318,'rna-gill'!$A:$A,0)))</f>
        <v>N</v>
      </c>
      <c r="F318" t="str">
        <f t="array" ref="F318">iferror(index(fatty_acid!$G:$G,match($A318,fatty_acid!$A:$A,0)))</f>
        <v>BFA25-15</v>
      </c>
      <c r="G318" t="str">
        <f t="array" ref="G318">iferror(index(fatty_acid!$J:$J,match($A318,fatty_acid!$A:$A,0)))</f>
        <v>N</v>
      </c>
      <c r="H318" t="str">
        <f t="array" ref="H318">iferror(index(isotopes!$G:$G,match($A318,isotopes!$A:$A,0)))</f>
        <v>BIS27-15</v>
      </c>
      <c r="I318" t="str">
        <f t="array" ref="I318">iferror(index(isotopes!$J:$J,match($A318,isotopes!$A:$A,0)))</f>
        <v>N</v>
      </c>
      <c r="J318" t="str">
        <f t="array" ref="J318">iferror(index(extra_muscle!$G:$G,match($A318,extra_muscle!$A:$A,0)))</f>
        <v>BXM25-15</v>
      </c>
      <c r="K318" t="str">
        <f t="array" ref="K318">iferror(index(extra_muscle!$J:$J,match($A318,extra_muscle!$A:$A,0)))</f>
        <v>N</v>
      </c>
      <c r="L318" s="59" t="str">
        <f t="array" ref="L318">iferror(index(dna!$G:$G,match($A318,dna!$A:$A,0)))</f>
        <v/>
      </c>
      <c r="M318" s="60" t="str">
        <f t="array" ref="M318">iferror(index(dna!$J:$J,match($A318,dna!$A:$A,0)))</f>
        <v/>
      </c>
      <c r="N318" t="str">
        <f t="array" ref="N318">iferror(index(stomachs!$G:$G,match($A318,stomachs!$A:$A,0)))</f>
        <v>BST244-1</v>
      </c>
      <c r="O318" t="str">
        <f t="array" ref="O318">iferror(index(stomachs!$J:$J,match($A318,stomachs!$A:$A,0)))</f>
        <v>N</v>
      </c>
      <c r="P318" t="str">
        <f t="array" ref="P318">iferror(index(sea_lice!$G:$G,match($A318,sea_lice!$A:$A,0)))</f>
        <v/>
      </c>
      <c r="Q318" t="str">
        <f t="array" ref="Q318">iferror(index(sea_lice!$J:$J,match($A318,sea_lice!$A:$A,0)))</f>
        <v/>
      </c>
      <c r="R318" s="40" t="str">
        <f t="array" ref="R318">iferror(index(dissected_fish!$F:$F,match($A318,dissected_fish!$A:$A,0)))</f>
        <v>BCA102</v>
      </c>
      <c r="S318" s="40" t="str">
        <f t="array" ref="S318">iferror(index(dissected_fish!$K:$K,match($A318,dissected_fish!$A:$A,0)))</f>
        <v>N</v>
      </c>
      <c r="T318" s="61" t="str">
        <f t="array" ref="T318">index(fish_lab_data!O:O,match(A318,fish_lab_data!C:C,0))</f>
        <v>KB</v>
      </c>
      <c r="U318" s="61">
        <f t="array" ref="U318">if(A318="","",index(fish_lab_data!X:X,match(A318,fish_lab_data!C:C,0)))</f>
        <v>317</v>
      </c>
    </row>
    <row r="319">
      <c r="A319" t="str">
        <f>fish_lab_data!C319</f>
        <v>U5438</v>
      </c>
      <c r="B319" t="str">
        <f t="array" ref="B319">iferror(index('rna-muscle'!$I:$I,match($A319,'rna-muscle'!$A:$A,0)))</f>
        <v>BRN65M-A5</v>
      </c>
      <c r="C319" t="str">
        <f t="array" ref="C319">iferror(index('rna-muscle'!$L:$L,match($A319,'rna-muscle'!$A:$A,0)))</f>
        <v>N</v>
      </c>
      <c r="D319" t="str">
        <f t="array" ref="D319">iferror(index('rna-gill'!$I:$I,match($A319,'rna-gill'!$A:$A,0)))</f>
        <v>BRN65G-A5</v>
      </c>
      <c r="E319" t="str">
        <f t="array" ref="E319">iferror(index('rna-gill'!$L:$L,match($A319,'rna-gill'!$A:$A,0)))</f>
        <v>N</v>
      </c>
      <c r="F319" t="str">
        <f t="array" ref="F319">iferror(index(fatty_acid!$G:$G,match($A319,fatty_acid!$A:$A,0)))</f>
        <v>BFA25-16</v>
      </c>
      <c r="G319" t="str">
        <f t="array" ref="G319">iferror(index(fatty_acid!$J:$J,match($A319,fatty_acid!$A:$A,0)))</f>
        <v>N</v>
      </c>
      <c r="H319" t="str">
        <f t="array" ref="H319">iferror(index(isotopes!$G:$G,match($A319,isotopes!$A:$A,0)))</f>
        <v>BIS27-16</v>
      </c>
      <c r="I319" t="str">
        <f t="array" ref="I319">iferror(index(isotopes!$J:$J,match($A319,isotopes!$A:$A,0)))</f>
        <v>N</v>
      </c>
      <c r="J319" t="str">
        <f t="array" ref="J319">iferror(index(extra_muscle!$G:$G,match($A319,extra_muscle!$A:$A,0)))</f>
        <v>BXM25-16</v>
      </c>
      <c r="K319" t="str">
        <f t="array" ref="K319">iferror(index(extra_muscle!$J:$J,match($A319,extra_muscle!$A:$A,0)))</f>
        <v>N</v>
      </c>
      <c r="L319" s="59" t="str">
        <f t="array" ref="L319">iferror(index(dna!$G:$G,match($A319,dna!$A:$A,0)))</f>
        <v/>
      </c>
      <c r="M319" s="60" t="str">
        <f t="array" ref="M319">iferror(index(dna!$J:$J,match($A319,dna!$A:$A,0)))</f>
        <v/>
      </c>
      <c r="N319" t="str">
        <f t="array" ref="N319">iferror(index(stomachs!$G:$G,match($A319,stomachs!$A:$A,0)))</f>
        <v>BST244-2</v>
      </c>
      <c r="O319" t="str">
        <f t="array" ref="O319">iferror(index(stomachs!$J:$J,match($A319,stomachs!$A:$A,0)))</f>
        <v>N</v>
      </c>
      <c r="P319" t="str">
        <f t="array" ref="P319">iferror(index(sea_lice!$G:$G,match($A319,sea_lice!$A:$A,0)))</f>
        <v/>
      </c>
      <c r="Q319" t="str">
        <f t="array" ref="Q319">iferror(index(sea_lice!$J:$J,match($A319,sea_lice!$A:$A,0)))</f>
        <v/>
      </c>
      <c r="R319" s="40" t="str">
        <f t="array" ref="R319">iferror(index(dissected_fish!$F:$F,match($A319,dissected_fish!$A:$A,0)))</f>
        <v>BCA102</v>
      </c>
      <c r="S319" s="40" t="str">
        <f t="array" ref="S319">iferror(index(dissected_fish!$K:$K,match($A319,dissected_fish!$A:$A,0)))</f>
        <v>N</v>
      </c>
      <c r="T319" s="61" t="str">
        <f t="array" ref="T319">index(fish_lab_data!O:O,match(A319,fish_lab_data!C:C,0))</f>
        <v>KB</v>
      </c>
      <c r="U319" s="61">
        <f t="array" ref="U319">if(A319="","",index(fish_lab_data!X:X,match(A319,fish_lab_data!C:C,0)))</f>
        <v>318</v>
      </c>
    </row>
    <row r="320">
      <c r="A320" t="str">
        <f>fish_lab_data!C320</f>
        <v>U5439</v>
      </c>
      <c r="B320" t="str">
        <f t="array" ref="B320">iferror(index('rna-muscle'!$I:$I,match($A320,'rna-muscle'!$A:$A,0)))</f>
        <v>BRN65M-H8</v>
      </c>
      <c r="C320" t="str">
        <f t="array" ref="C320">iferror(index('rna-muscle'!$L:$L,match($A320,'rna-muscle'!$A:$A,0)))</f>
        <v>N</v>
      </c>
      <c r="D320" t="str">
        <f t="array" ref="D320">iferror(index('rna-gill'!$I:$I,match($A320,'rna-gill'!$A:$A,0)))</f>
        <v>BRN65G-H8</v>
      </c>
      <c r="E320" t="str">
        <f t="array" ref="E320">iferror(index('rna-gill'!$L:$L,match($A320,'rna-gill'!$A:$A,0)))</f>
        <v>N</v>
      </c>
      <c r="F320" t="str">
        <f t="array" ref="F320">iferror(index(fatty_acid!$G:$G,match($A320,fatty_acid!$A:$A,0)))</f>
        <v>BFA25-17</v>
      </c>
      <c r="G320" t="str">
        <f t="array" ref="G320">iferror(index(fatty_acid!$J:$J,match($A320,fatty_acid!$A:$A,0)))</f>
        <v>N</v>
      </c>
      <c r="H320" t="str">
        <f t="array" ref="H320">iferror(index(isotopes!$G:$G,match($A320,isotopes!$A:$A,0)))</f>
        <v>BIS27-17</v>
      </c>
      <c r="I320" t="str">
        <f t="array" ref="I320">iferror(index(isotopes!$J:$J,match($A320,isotopes!$A:$A,0)))</f>
        <v>N</v>
      </c>
      <c r="J320" t="str">
        <f t="array" ref="J320">iferror(index(extra_muscle!$G:$G,match($A320,extra_muscle!$A:$A,0)))</f>
        <v>BXM25-17</v>
      </c>
      <c r="K320" t="str">
        <f t="array" ref="K320">iferror(index(extra_muscle!$J:$J,match($A320,extra_muscle!$A:$A,0)))</f>
        <v>N</v>
      </c>
      <c r="L320" s="59" t="str">
        <f t="array" ref="L320">iferror(index(dna!$G:$G,match($A320,dna!$A:$A,0)))</f>
        <v/>
      </c>
      <c r="M320" s="60" t="str">
        <f t="array" ref="M320">iferror(index(dna!$J:$J,match($A320,dna!$A:$A,0)))</f>
        <v/>
      </c>
      <c r="N320" t="str">
        <f t="array" ref="N320">iferror(index(stomachs!$G:$G,match($A320,stomachs!$A:$A,0)))</f>
        <v>BST244-3</v>
      </c>
      <c r="O320" t="str">
        <f t="array" ref="O320">iferror(index(stomachs!$J:$J,match($A320,stomachs!$A:$A,0)))</f>
        <v>N</v>
      </c>
      <c r="P320" t="str">
        <f t="array" ref="P320">iferror(index(sea_lice!$G:$G,match($A320,sea_lice!$A:$A,0)))</f>
        <v/>
      </c>
      <c r="Q320" t="str">
        <f t="array" ref="Q320">iferror(index(sea_lice!$J:$J,match($A320,sea_lice!$A:$A,0)))</f>
        <v/>
      </c>
      <c r="R320" s="40" t="str">
        <f t="array" ref="R320">iferror(index(dissected_fish!$F:$F,match($A320,dissected_fish!$A:$A,0)))</f>
        <v>BCA102</v>
      </c>
      <c r="S320" s="40" t="str">
        <f t="array" ref="S320">iferror(index(dissected_fish!$K:$K,match($A320,dissected_fish!$A:$A,0)))</f>
        <v>N</v>
      </c>
      <c r="T320" s="61" t="str">
        <f t="array" ref="T320">index(fish_lab_data!O:O,match(A320,fish_lab_data!C:C,0))</f>
        <v>KB</v>
      </c>
      <c r="U320" s="61">
        <f t="array" ref="U320">if(A320="","",index(fish_lab_data!X:X,match(A320,fish_lab_data!C:C,0)))</f>
        <v>319</v>
      </c>
    </row>
    <row r="321">
      <c r="A321" t="str">
        <f>fish_lab_data!C321</f>
        <v>U5440</v>
      </c>
      <c r="B321" t="str">
        <f t="array" ref="B321">iferror(index('rna-muscle'!$I:$I,match($A321,'rna-muscle'!$A:$A,0)))</f>
        <v>BRN64M-H7</v>
      </c>
      <c r="C321" t="str">
        <f t="array" ref="C321">iferror(index('rna-muscle'!$L:$L,match($A321,'rna-muscle'!$A:$A,0)))</f>
        <v>N</v>
      </c>
      <c r="D321" t="str">
        <f t="array" ref="D321">iferror(index('rna-gill'!$I:$I,match($A321,'rna-gill'!$A:$A,0)))</f>
        <v>BRN64G-H7</v>
      </c>
      <c r="E321" t="str">
        <f t="array" ref="E321">iferror(index('rna-gill'!$L:$L,match($A321,'rna-gill'!$A:$A,0)))</f>
        <v>N</v>
      </c>
      <c r="F321" t="str">
        <f t="array" ref="F321">iferror(index(fatty_acid!$G:$G,match($A321,fatty_acid!$A:$A,0)))</f>
        <v>BFA25-18</v>
      </c>
      <c r="G321" t="str">
        <f t="array" ref="G321">iferror(index(fatty_acid!$J:$J,match($A321,fatty_acid!$A:$A,0)))</f>
        <v>N</v>
      </c>
      <c r="H321" t="str">
        <f t="array" ref="H321">iferror(index(isotopes!$G:$G,match($A321,isotopes!$A:$A,0)))</f>
        <v>BIS27-18</v>
      </c>
      <c r="I321" t="str">
        <f t="array" ref="I321">iferror(index(isotopes!$J:$J,match($A321,isotopes!$A:$A,0)))</f>
        <v>N</v>
      </c>
      <c r="J321" t="str">
        <f t="array" ref="J321">iferror(index(extra_muscle!$G:$G,match($A321,extra_muscle!$A:$A,0)))</f>
        <v>BXM25-18</v>
      </c>
      <c r="K321" t="str">
        <f t="array" ref="K321">iferror(index(extra_muscle!$J:$J,match($A321,extra_muscle!$A:$A,0)))</f>
        <v>N</v>
      </c>
      <c r="L321" s="59" t="str">
        <f t="array" ref="L321">iferror(index(dna!$G:$G,match($A321,dna!$A:$A,0)))</f>
        <v/>
      </c>
      <c r="M321" s="60" t="str">
        <f t="array" ref="M321">iferror(index(dna!$J:$J,match($A321,dna!$A:$A,0)))</f>
        <v/>
      </c>
      <c r="N321" t="str">
        <f t="array" ref="N321">iferror(index(stomachs!$G:$G,match($A321,stomachs!$A:$A,0)))</f>
        <v>BST244-4</v>
      </c>
      <c r="O321" t="str">
        <f t="array" ref="O321">iferror(index(stomachs!$J:$J,match($A321,stomachs!$A:$A,0)))</f>
        <v>N</v>
      </c>
      <c r="P321" t="str">
        <f t="array" ref="P321">iferror(index(sea_lice!$G:$G,match($A321,sea_lice!$A:$A,0)))</f>
        <v/>
      </c>
      <c r="Q321" t="str">
        <f t="array" ref="Q321">iferror(index(sea_lice!$J:$J,match($A321,sea_lice!$A:$A,0)))</f>
        <v/>
      </c>
      <c r="R321" s="40" t="str">
        <f t="array" ref="R321">iferror(index(dissected_fish!$F:$F,match($A321,dissected_fish!$A:$A,0)))</f>
        <v>BCA102</v>
      </c>
      <c r="S321" s="40" t="str">
        <f t="array" ref="S321">iferror(index(dissected_fish!$K:$K,match($A321,dissected_fish!$A:$A,0)))</f>
        <v>N</v>
      </c>
      <c r="T321" s="61" t="str">
        <f t="array" ref="T321">index(fish_lab_data!O:O,match(A321,fish_lab_data!C:C,0))</f>
        <v>KB</v>
      </c>
      <c r="U321" s="61">
        <f t="array" ref="U321">if(A321="","",index(fish_lab_data!X:X,match(A321,fish_lab_data!C:C,0)))</f>
        <v>320</v>
      </c>
    </row>
    <row r="322">
      <c r="A322" t="str">
        <f>fish_lab_data!C322</f>
        <v>U5441</v>
      </c>
      <c r="B322" t="str">
        <f t="array" ref="B322">iferror(index('rna-muscle'!$I:$I,match($A322,'rna-muscle'!$A:$A,0)))</f>
        <v>BRN64M-G7</v>
      </c>
      <c r="C322" t="str">
        <f t="array" ref="C322">iferror(index('rna-muscle'!$L:$L,match($A322,'rna-muscle'!$A:$A,0)))</f>
        <v>N</v>
      </c>
      <c r="D322" t="str">
        <f t="array" ref="D322">iferror(index('rna-gill'!$I:$I,match($A322,'rna-gill'!$A:$A,0)))</f>
        <v>BRN64G-G7</v>
      </c>
      <c r="E322" t="str">
        <f t="array" ref="E322">iferror(index('rna-gill'!$L:$L,match($A322,'rna-gill'!$A:$A,0)))</f>
        <v>N</v>
      </c>
      <c r="F322" t="str">
        <f t="array" ref="F322">iferror(index(fatty_acid!$G:$G,match($A322,fatty_acid!$A:$A,0)))</f>
        <v>BFA25-19</v>
      </c>
      <c r="G322" t="str">
        <f t="array" ref="G322">iferror(index(fatty_acid!$J:$J,match($A322,fatty_acid!$A:$A,0)))</f>
        <v>N</v>
      </c>
      <c r="H322" t="str">
        <f t="array" ref="H322">iferror(index(isotopes!$G:$G,match($A322,isotopes!$A:$A,0)))</f>
        <v>BIS27-19</v>
      </c>
      <c r="I322" t="str">
        <f t="array" ref="I322">iferror(index(isotopes!$J:$J,match($A322,isotopes!$A:$A,0)))</f>
        <v>N</v>
      </c>
      <c r="J322" t="str">
        <f t="array" ref="J322">iferror(index(extra_muscle!$G:$G,match($A322,extra_muscle!$A:$A,0)))</f>
        <v>BXM25-19</v>
      </c>
      <c r="K322" t="str">
        <f t="array" ref="K322">iferror(index(extra_muscle!$J:$J,match($A322,extra_muscle!$A:$A,0)))</f>
        <v>N</v>
      </c>
      <c r="L322" s="59" t="str">
        <f t="array" ref="L322">iferror(index(dna!$G:$G,match($A322,dna!$A:$A,0)))</f>
        <v/>
      </c>
      <c r="M322" s="60" t="str">
        <f t="array" ref="M322">iferror(index(dna!$J:$J,match($A322,dna!$A:$A,0)))</f>
        <v/>
      </c>
      <c r="N322" t="str">
        <f t="array" ref="N322">iferror(index(stomachs!$G:$G,match($A322,stomachs!$A:$A,0)))</f>
        <v>BST244-5</v>
      </c>
      <c r="O322" t="str">
        <f t="array" ref="O322">iferror(index(stomachs!$J:$J,match($A322,stomachs!$A:$A,0)))</f>
        <v>N</v>
      </c>
      <c r="P322" t="str">
        <f t="array" ref="P322">iferror(index(sea_lice!$G:$G,match($A322,sea_lice!$A:$A,0)))</f>
        <v/>
      </c>
      <c r="Q322" t="str">
        <f t="array" ref="Q322">iferror(index(sea_lice!$J:$J,match($A322,sea_lice!$A:$A,0)))</f>
        <v/>
      </c>
      <c r="R322" s="40" t="str">
        <f t="array" ref="R322">iferror(index(dissected_fish!$F:$F,match($A322,dissected_fish!$A:$A,0)))</f>
        <v>BCA102</v>
      </c>
      <c r="S322" s="40" t="str">
        <f t="array" ref="S322">iferror(index(dissected_fish!$K:$K,match($A322,dissected_fish!$A:$A,0)))</f>
        <v>N</v>
      </c>
      <c r="T322" s="61" t="str">
        <f t="array" ref="T322">index(fish_lab_data!O:O,match(A322,fish_lab_data!C:C,0))</f>
        <v>KB</v>
      </c>
      <c r="U322" s="61">
        <f t="array" ref="U322">if(A322="","",index(fish_lab_data!X:X,match(A322,fish_lab_data!C:C,0)))</f>
        <v>321</v>
      </c>
    </row>
    <row r="323">
      <c r="A323" t="str">
        <f>fish_lab_data!C323</f>
        <v>U5442</v>
      </c>
      <c r="B323" t="str">
        <f t="array" ref="B323">iferror(index('rna-muscle'!$I:$I,match($A323,'rna-muscle'!$A:$A,0)))</f>
        <v>BRN64M-F7</v>
      </c>
      <c r="C323" t="str">
        <f t="array" ref="C323">iferror(index('rna-muscle'!$L:$L,match($A323,'rna-muscle'!$A:$A,0)))</f>
        <v>N</v>
      </c>
      <c r="D323" t="str">
        <f t="array" ref="D323">iferror(index('rna-gill'!$I:$I,match($A323,'rna-gill'!$A:$A,0)))</f>
        <v>BRN64G-F7</v>
      </c>
      <c r="E323" t="str">
        <f t="array" ref="E323">iferror(index('rna-gill'!$L:$L,match($A323,'rna-gill'!$A:$A,0)))</f>
        <v>N</v>
      </c>
      <c r="F323" t="str">
        <f t="array" ref="F323">iferror(index(fatty_acid!$G:$G,match($A323,fatty_acid!$A:$A,0)))</f>
        <v>BFA25-20</v>
      </c>
      <c r="G323" t="str">
        <f t="array" ref="G323">iferror(index(fatty_acid!$J:$J,match($A323,fatty_acid!$A:$A,0)))</f>
        <v>N</v>
      </c>
      <c r="H323" t="str">
        <f t="array" ref="H323">iferror(index(isotopes!$G:$G,match($A323,isotopes!$A:$A,0)))</f>
        <v>BIS27-20</v>
      </c>
      <c r="I323" t="str">
        <f t="array" ref="I323">iferror(index(isotopes!$J:$J,match($A323,isotopes!$A:$A,0)))</f>
        <v>N</v>
      </c>
      <c r="J323" t="str">
        <f t="array" ref="J323">iferror(index(extra_muscle!$G:$G,match($A323,extra_muscle!$A:$A,0)))</f>
        <v>BXM25-20</v>
      </c>
      <c r="K323" t="str">
        <f t="array" ref="K323">iferror(index(extra_muscle!$J:$J,match($A323,extra_muscle!$A:$A,0)))</f>
        <v>N</v>
      </c>
      <c r="L323" s="59" t="str">
        <f t="array" ref="L323">iferror(index(dna!$G:$G,match($A323,dna!$A:$A,0)))</f>
        <v/>
      </c>
      <c r="M323" s="60" t="str">
        <f t="array" ref="M323">iferror(index(dna!$J:$J,match($A323,dna!$A:$A,0)))</f>
        <v/>
      </c>
      <c r="N323" t="str">
        <f t="array" ref="N323">iferror(index(stomachs!$G:$G,match($A323,stomachs!$A:$A,0)))</f>
        <v>BST244-6</v>
      </c>
      <c r="O323" t="str">
        <f t="array" ref="O323">iferror(index(stomachs!$J:$J,match($A323,stomachs!$A:$A,0)))</f>
        <v>N</v>
      </c>
      <c r="P323" t="str">
        <f t="array" ref="P323">iferror(index(sea_lice!$G:$G,match($A323,sea_lice!$A:$A,0)))</f>
        <v/>
      </c>
      <c r="Q323" t="str">
        <f t="array" ref="Q323">iferror(index(sea_lice!$J:$J,match($A323,sea_lice!$A:$A,0)))</f>
        <v/>
      </c>
      <c r="R323" s="40" t="str">
        <f t="array" ref="R323">iferror(index(dissected_fish!$F:$F,match($A323,dissected_fish!$A:$A,0)))</f>
        <v>BCA102</v>
      </c>
      <c r="S323" s="40" t="str">
        <f t="array" ref="S323">iferror(index(dissected_fish!$K:$K,match($A323,dissected_fish!$A:$A,0)))</f>
        <v>N</v>
      </c>
      <c r="T323" s="61" t="str">
        <f t="array" ref="T323">index(fish_lab_data!O:O,match(A323,fish_lab_data!C:C,0))</f>
        <v>KB</v>
      </c>
      <c r="U323" s="61">
        <f t="array" ref="U323">if(A323="","",index(fish_lab_data!X:X,match(A323,fish_lab_data!C:C,0)))</f>
        <v>322</v>
      </c>
    </row>
    <row r="324">
      <c r="A324" t="str">
        <f>fish_lab_data!C324</f>
        <v>U5443</v>
      </c>
      <c r="B324" t="str">
        <f t="array" ref="B324">iferror(index('rna-muscle'!$I:$I,match($A324,'rna-muscle'!$A:$A,0)))</f>
        <v>BRN64M-E7</v>
      </c>
      <c r="C324" t="str">
        <f t="array" ref="C324">iferror(index('rna-muscle'!$L:$L,match($A324,'rna-muscle'!$A:$A,0)))</f>
        <v>N</v>
      </c>
      <c r="D324" t="str">
        <f t="array" ref="D324">iferror(index('rna-gill'!$I:$I,match($A324,'rna-gill'!$A:$A,0)))</f>
        <v>BRN64G-E7</v>
      </c>
      <c r="E324" t="str">
        <f t="array" ref="E324">iferror(index('rna-gill'!$L:$L,match($A324,'rna-gill'!$A:$A,0)))</f>
        <v>N</v>
      </c>
      <c r="F324" t="str">
        <f t="array" ref="F324">iferror(index(fatty_acid!$G:$G,match($A324,fatty_acid!$A:$A,0)))</f>
        <v>BFA25-21</v>
      </c>
      <c r="G324" t="str">
        <f t="array" ref="G324">iferror(index(fatty_acid!$J:$J,match($A324,fatty_acid!$A:$A,0)))</f>
        <v>N</v>
      </c>
      <c r="H324" t="str">
        <f t="array" ref="H324">iferror(index(isotopes!$G:$G,match($A324,isotopes!$A:$A,0)))</f>
        <v>BIS27-21</v>
      </c>
      <c r="I324" t="str">
        <f t="array" ref="I324">iferror(index(isotopes!$J:$J,match($A324,isotopes!$A:$A,0)))</f>
        <v>N</v>
      </c>
      <c r="J324" t="str">
        <f t="array" ref="J324">iferror(index(extra_muscle!$G:$G,match($A324,extra_muscle!$A:$A,0)))</f>
        <v>BXM25-21</v>
      </c>
      <c r="K324" t="str">
        <f t="array" ref="K324">iferror(index(extra_muscle!$J:$J,match($A324,extra_muscle!$A:$A,0)))</f>
        <v>N</v>
      </c>
      <c r="L324" s="59" t="str">
        <f t="array" ref="L324">iferror(index(dna!$G:$G,match($A324,dna!$A:$A,0)))</f>
        <v/>
      </c>
      <c r="M324" s="60" t="str">
        <f t="array" ref="M324">iferror(index(dna!$J:$J,match($A324,dna!$A:$A,0)))</f>
        <v/>
      </c>
      <c r="N324" t="str">
        <f t="array" ref="N324">iferror(index(stomachs!$G:$G,match($A324,stomachs!$A:$A,0)))</f>
        <v>BST244-7</v>
      </c>
      <c r="O324" t="str">
        <f t="array" ref="O324">iferror(index(stomachs!$J:$J,match($A324,stomachs!$A:$A,0)))</f>
        <v>N</v>
      </c>
      <c r="P324" t="str">
        <f t="array" ref="P324">iferror(index(sea_lice!$G:$G,match($A324,sea_lice!$A:$A,0)))</f>
        <v/>
      </c>
      <c r="Q324" t="str">
        <f t="array" ref="Q324">iferror(index(sea_lice!$J:$J,match($A324,sea_lice!$A:$A,0)))</f>
        <v/>
      </c>
      <c r="R324" s="40" t="str">
        <f t="array" ref="R324">iferror(index(dissected_fish!$F:$F,match($A324,dissected_fish!$A:$A,0)))</f>
        <v>BCA102</v>
      </c>
      <c r="S324" s="40" t="str">
        <f t="array" ref="S324">iferror(index(dissected_fish!$K:$K,match($A324,dissected_fish!$A:$A,0)))</f>
        <v>N</v>
      </c>
      <c r="T324" s="61" t="str">
        <f t="array" ref="T324">index(fish_lab_data!O:O,match(A324,fish_lab_data!C:C,0))</f>
        <v>KB</v>
      </c>
      <c r="U324" s="61">
        <f t="array" ref="U324">if(A324="","",index(fish_lab_data!X:X,match(A324,fish_lab_data!C:C,0)))</f>
        <v>323</v>
      </c>
    </row>
    <row r="325">
      <c r="A325" t="str">
        <f>fish_lab_data!C325</f>
        <v>U5444</v>
      </c>
      <c r="B325" t="str">
        <f t="array" ref="B325">iferror(index('rna-muscle'!$I:$I,match($A325,'rna-muscle'!$A:$A,0)))</f>
        <v>BRN64M-D7</v>
      </c>
      <c r="C325" t="str">
        <f t="array" ref="C325">iferror(index('rna-muscle'!$L:$L,match($A325,'rna-muscle'!$A:$A,0)))</f>
        <v>N</v>
      </c>
      <c r="D325" t="str">
        <f t="array" ref="D325">iferror(index('rna-gill'!$I:$I,match($A325,'rna-gill'!$A:$A,0)))</f>
        <v>BRN64G-D7</v>
      </c>
      <c r="E325" t="str">
        <f t="array" ref="E325">iferror(index('rna-gill'!$L:$L,match($A325,'rna-gill'!$A:$A,0)))</f>
        <v>N</v>
      </c>
      <c r="F325" t="str">
        <f t="array" ref="F325">iferror(index(fatty_acid!$G:$G,match($A325,fatty_acid!$A:$A,0)))</f>
        <v>BFA25-22</v>
      </c>
      <c r="G325" t="str">
        <f t="array" ref="G325">iferror(index(fatty_acid!$J:$J,match($A325,fatty_acid!$A:$A,0)))</f>
        <v>N</v>
      </c>
      <c r="H325" t="str">
        <f t="array" ref="H325">iferror(index(isotopes!$G:$G,match($A325,isotopes!$A:$A,0)))</f>
        <v>BIS27-22</v>
      </c>
      <c r="I325" t="str">
        <f t="array" ref="I325">iferror(index(isotopes!$J:$J,match($A325,isotopes!$A:$A,0)))</f>
        <v>N</v>
      </c>
      <c r="J325" t="str">
        <f t="array" ref="J325">iferror(index(extra_muscle!$G:$G,match($A325,extra_muscle!$A:$A,0)))</f>
        <v>BXM25-22</v>
      </c>
      <c r="K325" t="str">
        <f t="array" ref="K325">iferror(index(extra_muscle!$J:$J,match($A325,extra_muscle!$A:$A,0)))</f>
        <v>N</v>
      </c>
      <c r="L325" s="59" t="str">
        <f t="array" ref="L325">iferror(index(dna!$G:$G,match($A325,dna!$A:$A,0)))</f>
        <v/>
      </c>
      <c r="M325" s="60" t="str">
        <f t="array" ref="M325">iferror(index(dna!$J:$J,match($A325,dna!$A:$A,0)))</f>
        <v/>
      </c>
      <c r="N325" t="str">
        <f t="array" ref="N325">iferror(index(stomachs!$G:$G,match($A325,stomachs!$A:$A,0)))</f>
        <v>BST244-8</v>
      </c>
      <c r="O325" t="str">
        <f t="array" ref="O325">iferror(index(stomachs!$J:$J,match($A325,stomachs!$A:$A,0)))</f>
        <v>N</v>
      </c>
      <c r="P325" t="str">
        <f t="array" ref="P325">iferror(index(sea_lice!$G:$G,match($A325,sea_lice!$A:$A,0)))</f>
        <v/>
      </c>
      <c r="Q325" t="str">
        <f t="array" ref="Q325">iferror(index(sea_lice!$J:$J,match($A325,sea_lice!$A:$A,0)))</f>
        <v/>
      </c>
      <c r="R325" s="40" t="str">
        <f t="array" ref="R325">iferror(index(dissected_fish!$F:$F,match($A325,dissected_fish!$A:$A,0)))</f>
        <v>BCA102</v>
      </c>
      <c r="S325" s="40" t="str">
        <f t="array" ref="S325">iferror(index(dissected_fish!$K:$K,match($A325,dissected_fish!$A:$A,0)))</f>
        <v>N</v>
      </c>
      <c r="T325" s="61" t="str">
        <f t="array" ref="T325">index(fish_lab_data!O:O,match(A325,fish_lab_data!C:C,0))</f>
        <v>KB</v>
      </c>
      <c r="U325" s="61">
        <f t="array" ref="U325">if(A325="","",index(fish_lab_data!X:X,match(A325,fish_lab_data!C:C,0)))</f>
        <v>324</v>
      </c>
    </row>
    <row r="326">
      <c r="A326" t="str">
        <f>fish_lab_data!C326</f>
        <v>U5445</v>
      </c>
      <c r="B326" t="str">
        <f t="array" ref="B326">iferror(index('rna-muscle'!$I:$I,match($A326,'rna-muscle'!$A:$A,0)))</f>
        <v>BRN64M-C7</v>
      </c>
      <c r="C326" t="str">
        <f t="array" ref="C326">iferror(index('rna-muscle'!$L:$L,match($A326,'rna-muscle'!$A:$A,0)))</f>
        <v>N</v>
      </c>
      <c r="D326" t="str">
        <f t="array" ref="D326">iferror(index('rna-gill'!$I:$I,match($A326,'rna-gill'!$A:$A,0)))</f>
        <v>BRN64G-C7</v>
      </c>
      <c r="E326" t="str">
        <f t="array" ref="E326">iferror(index('rna-gill'!$L:$L,match($A326,'rna-gill'!$A:$A,0)))</f>
        <v>N</v>
      </c>
      <c r="F326" t="str">
        <f t="array" ref="F326">iferror(index(fatty_acid!$G:$G,match($A326,fatty_acid!$A:$A,0)))</f>
        <v>BFA25-23</v>
      </c>
      <c r="G326" t="str">
        <f t="array" ref="G326">iferror(index(fatty_acid!$J:$J,match($A326,fatty_acid!$A:$A,0)))</f>
        <v>N</v>
      </c>
      <c r="H326" t="str">
        <f t="array" ref="H326">iferror(index(isotopes!$G:$G,match($A326,isotopes!$A:$A,0)))</f>
        <v>BIS27-23</v>
      </c>
      <c r="I326" t="str">
        <f t="array" ref="I326">iferror(index(isotopes!$J:$J,match($A326,isotopes!$A:$A,0)))</f>
        <v>N</v>
      </c>
      <c r="J326" t="str">
        <f t="array" ref="J326">iferror(index(extra_muscle!$G:$G,match($A326,extra_muscle!$A:$A,0)))</f>
        <v>BXM25-23</v>
      </c>
      <c r="K326" t="str">
        <f t="array" ref="K326">iferror(index(extra_muscle!$J:$J,match($A326,extra_muscle!$A:$A,0)))</f>
        <v>N</v>
      </c>
      <c r="L326" s="59" t="str">
        <f t="array" ref="L326">iferror(index(dna!$G:$G,match($A326,dna!$A:$A,0)))</f>
        <v/>
      </c>
      <c r="M326" s="60" t="str">
        <f t="array" ref="M326">iferror(index(dna!$J:$J,match($A326,dna!$A:$A,0)))</f>
        <v/>
      </c>
      <c r="N326" t="str">
        <f t="array" ref="N326">iferror(index(stomachs!$G:$G,match($A326,stomachs!$A:$A,0)))</f>
        <v>BST244-9</v>
      </c>
      <c r="O326" t="str">
        <f t="array" ref="O326">iferror(index(stomachs!$J:$J,match($A326,stomachs!$A:$A,0)))</f>
        <v>N</v>
      </c>
      <c r="P326" t="str">
        <f t="array" ref="P326">iferror(index(sea_lice!$G:$G,match($A326,sea_lice!$A:$A,0)))</f>
        <v/>
      </c>
      <c r="Q326" t="str">
        <f t="array" ref="Q326">iferror(index(sea_lice!$J:$J,match($A326,sea_lice!$A:$A,0)))</f>
        <v/>
      </c>
      <c r="R326" s="40" t="str">
        <f t="array" ref="R326">iferror(index(dissected_fish!$F:$F,match($A326,dissected_fish!$A:$A,0)))</f>
        <v>BCA102</v>
      </c>
      <c r="S326" s="40" t="str">
        <f t="array" ref="S326">iferror(index(dissected_fish!$K:$K,match($A326,dissected_fish!$A:$A,0)))</f>
        <v>N</v>
      </c>
      <c r="T326" s="61" t="str">
        <f t="array" ref="T326">index(fish_lab_data!O:O,match(A326,fish_lab_data!C:C,0))</f>
        <v>KB</v>
      </c>
      <c r="U326" s="61">
        <f t="array" ref="U326">if(A326="","",index(fish_lab_data!X:X,match(A326,fish_lab_data!C:C,0)))</f>
        <v>325</v>
      </c>
    </row>
    <row r="327">
      <c r="A327" t="str">
        <f>fish_lab_data!C327</f>
        <v>U5446</v>
      </c>
      <c r="B327" t="str">
        <f t="array" ref="B327">iferror(index('rna-muscle'!$I:$I,match($A327,'rna-muscle'!$A:$A,0)))</f>
        <v>BRN64M-B7</v>
      </c>
      <c r="C327" t="str">
        <f t="array" ref="C327">iferror(index('rna-muscle'!$L:$L,match($A327,'rna-muscle'!$A:$A,0)))</f>
        <v>N</v>
      </c>
      <c r="D327" t="str">
        <f t="array" ref="D327">iferror(index('rna-gill'!$I:$I,match($A327,'rna-gill'!$A:$A,0)))</f>
        <v>BRN64G-B7</v>
      </c>
      <c r="E327" t="str">
        <f t="array" ref="E327">iferror(index('rna-gill'!$L:$L,match($A327,'rna-gill'!$A:$A,0)))</f>
        <v>N</v>
      </c>
      <c r="F327" t="str">
        <f t="array" ref="F327">iferror(index(fatty_acid!$G:$G,match($A327,fatty_acid!$A:$A,0)))</f>
        <v>BFA25-24</v>
      </c>
      <c r="G327" t="str">
        <f t="array" ref="G327">iferror(index(fatty_acid!$J:$J,match($A327,fatty_acid!$A:$A,0)))</f>
        <v>N</v>
      </c>
      <c r="H327" t="str">
        <f t="array" ref="H327">iferror(index(isotopes!$G:$G,match($A327,isotopes!$A:$A,0)))</f>
        <v>BIS27-24</v>
      </c>
      <c r="I327" t="str">
        <f t="array" ref="I327">iferror(index(isotopes!$J:$J,match($A327,isotopes!$A:$A,0)))</f>
        <v>N</v>
      </c>
      <c r="J327" t="str">
        <f t="array" ref="J327">iferror(index(extra_muscle!$G:$G,match($A327,extra_muscle!$A:$A,0)))</f>
        <v>BXM25-24</v>
      </c>
      <c r="K327" t="str">
        <f t="array" ref="K327">iferror(index(extra_muscle!$J:$J,match($A327,extra_muscle!$A:$A,0)))</f>
        <v>N</v>
      </c>
      <c r="L327" s="59" t="str">
        <f t="array" ref="L327">iferror(index(dna!$G:$G,match($A327,dna!$A:$A,0)))</f>
        <v/>
      </c>
      <c r="M327" s="60" t="str">
        <f t="array" ref="M327">iferror(index(dna!$J:$J,match($A327,dna!$A:$A,0)))</f>
        <v/>
      </c>
      <c r="N327" t="str">
        <f t="array" ref="N327">iferror(index(stomachs!$G:$G,match($A327,stomachs!$A:$A,0)))</f>
        <v>BST244-10</v>
      </c>
      <c r="O327" t="str">
        <f t="array" ref="O327">iferror(index(stomachs!$J:$J,match($A327,stomachs!$A:$A,0)))</f>
        <v>N</v>
      </c>
      <c r="P327" t="str">
        <f t="array" ref="P327">iferror(index(sea_lice!$G:$G,match($A327,sea_lice!$A:$A,0)))</f>
        <v/>
      </c>
      <c r="Q327" t="str">
        <f t="array" ref="Q327">iferror(index(sea_lice!$J:$J,match($A327,sea_lice!$A:$A,0)))</f>
        <v/>
      </c>
      <c r="R327" s="40" t="str">
        <f t="array" ref="R327">iferror(index(dissected_fish!$F:$F,match($A327,dissected_fish!$A:$A,0)))</f>
        <v>BCA102</v>
      </c>
      <c r="S327" s="40" t="str">
        <f t="array" ref="S327">iferror(index(dissected_fish!$K:$K,match($A327,dissected_fish!$A:$A,0)))</f>
        <v>N</v>
      </c>
      <c r="T327" s="61" t="str">
        <f t="array" ref="T327">index(fish_lab_data!O:O,match(A327,fish_lab_data!C:C,0))</f>
        <v>KB</v>
      </c>
      <c r="U327" s="61">
        <f t="array" ref="U327">if(A327="","",index(fish_lab_data!X:X,match(A327,fish_lab_data!C:C,0)))</f>
        <v>326</v>
      </c>
    </row>
    <row r="328">
      <c r="A328" t="str">
        <f>fish_lab_data!C328</f>
        <v>U5447</v>
      </c>
      <c r="B328" t="str">
        <f t="array" ref="B328">iferror(index('rna-muscle'!$I:$I,match($A328,'rna-muscle'!$A:$A,0)))</f>
        <v>BRN64M-A7</v>
      </c>
      <c r="C328" t="str">
        <f t="array" ref="C328">iferror(index('rna-muscle'!$L:$L,match($A328,'rna-muscle'!$A:$A,0)))</f>
        <v>N</v>
      </c>
      <c r="D328" t="str">
        <f t="array" ref="D328">iferror(index('rna-gill'!$I:$I,match($A328,'rna-gill'!$A:$A,0)))</f>
        <v>BRN64G-A7</v>
      </c>
      <c r="E328" t="str">
        <f t="array" ref="E328">iferror(index('rna-gill'!$L:$L,match($A328,'rna-gill'!$A:$A,0)))</f>
        <v>N</v>
      </c>
      <c r="F328" t="str">
        <f t="array" ref="F328">iferror(index(fatty_acid!$G:$G,match($A328,fatty_acid!$A:$A,0)))</f>
        <v>BFA25-25</v>
      </c>
      <c r="G328" t="str">
        <f t="array" ref="G328">iferror(index(fatty_acid!$J:$J,match($A328,fatty_acid!$A:$A,0)))</f>
        <v>N</v>
      </c>
      <c r="H328" t="str">
        <f t="array" ref="H328">iferror(index(isotopes!$G:$G,match($A328,isotopes!$A:$A,0)))</f>
        <v>BIS27-25</v>
      </c>
      <c r="I328" t="str">
        <f t="array" ref="I328">iferror(index(isotopes!$J:$J,match($A328,isotopes!$A:$A,0)))</f>
        <v>N</v>
      </c>
      <c r="J328" t="str">
        <f t="array" ref="J328">iferror(index(extra_muscle!$G:$G,match($A328,extra_muscle!$A:$A,0)))</f>
        <v>BXM25-25</v>
      </c>
      <c r="K328" t="str">
        <f t="array" ref="K328">iferror(index(extra_muscle!$J:$J,match($A328,extra_muscle!$A:$A,0)))</f>
        <v>N</v>
      </c>
      <c r="L328" s="59" t="str">
        <f t="array" ref="L328">iferror(index(dna!$G:$G,match($A328,dna!$A:$A,0)))</f>
        <v/>
      </c>
      <c r="M328" s="60" t="str">
        <f t="array" ref="M328">iferror(index(dna!$J:$J,match($A328,dna!$A:$A,0)))</f>
        <v/>
      </c>
      <c r="N328" t="str">
        <f t="array" ref="N328">iferror(index(stomachs!$G:$G,match($A328,stomachs!$A:$A,0)))</f>
        <v>BST244-11</v>
      </c>
      <c r="O328" t="str">
        <f t="array" ref="O328">iferror(index(stomachs!$J:$J,match($A328,stomachs!$A:$A,0)))</f>
        <v>N</v>
      </c>
      <c r="P328" t="str">
        <f t="array" ref="P328">iferror(index(sea_lice!$G:$G,match($A328,sea_lice!$A:$A,0)))</f>
        <v/>
      </c>
      <c r="Q328" t="str">
        <f t="array" ref="Q328">iferror(index(sea_lice!$J:$J,match($A328,sea_lice!$A:$A,0)))</f>
        <v/>
      </c>
      <c r="R328" s="40" t="str">
        <f t="array" ref="R328">iferror(index(dissected_fish!$F:$F,match($A328,dissected_fish!$A:$A,0)))</f>
        <v>BCA102</v>
      </c>
      <c r="S328" s="40" t="str">
        <f t="array" ref="S328">iferror(index(dissected_fish!$K:$K,match($A328,dissected_fish!$A:$A,0)))</f>
        <v>N</v>
      </c>
      <c r="T328" s="61" t="str">
        <f t="array" ref="T328">index(fish_lab_data!O:O,match(A328,fish_lab_data!C:C,0))</f>
        <v>KB</v>
      </c>
      <c r="U328" s="61">
        <f t="array" ref="U328">if(A328="","",index(fish_lab_data!X:X,match(A328,fish_lab_data!C:C,0)))</f>
        <v>327</v>
      </c>
    </row>
    <row r="329">
      <c r="A329" t="str">
        <f>fish_lab_data!C329</f>
        <v>U5448</v>
      </c>
      <c r="B329" t="str">
        <f t="array" ref="B329">iferror(index('rna-muscle'!$I:$I,match($A329,'rna-muscle'!$A:$A,0)))</f>
        <v>BRN64M-H9</v>
      </c>
      <c r="C329" t="str">
        <f t="array" ref="C329">iferror(index('rna-muscle'!$L:$L,match($A329,'rna-muscle'!$A:$A,0)))</f>
        <v>N</v>
      </c>
      <c r="D329" t="str">
        <f t="array" ref="D329">iferror(index('rna-gill'!$I:$I,match($A329,'rna-gill'!$A:$A,0)))</f>
        <v>BRN64G-H9</v>
      </c>
      <c r="E329" t="str">
        <f t="array" ref="E329">iferror(index('rna-gill'!$L:$L,match($A329,'rna-gill'!$A:$A,0)))</f>
        <v>N</v>
      </c>
      <c r="F329" t="str">
        <f t="array" ref="F329">iferror(index(fatty_acid!$G:$G,match($A329,fatty_acid!$A:$A,0)))</f>
        <v>BFA25-26</v>
      </c>
      <c r="G329" t="str">
        <f t="array" ref="G329">iferror(index(fatty_acid!$J:$J,match($A329,fatty_acid!$A:$A,0)))</f>
        <v>N</v>
      </c>
      <c r="H329" t="str">
        <f t="array" ref="H329">iferror(index(isotopes!$G:$G,match($A329,isotopes!$A:$A,0)))</f>
        <v>BIS27-26</v>
      </c>
      <c r="I329" t="str">
        <f t="array" ref="I329">iferror(index(isotopes!$J:$J,match($A329,isotopes!$A:$A,0)))</f>
        <v>N</v>
      </c>
      <c r="J329" t="str">
        <f t="array" ref="J329">iferror(index(extra_muscle!$G:$G,match($A329,extra_muscle!$A:$A,0)))</f>
        <v>BXM25-26</v>
      </c>
      <c r="K329" t="str">
        <f t="array" ref="K329">iferror(index(extra_muscle!$J:$J,match($A329,extra_muscle!$A:$A,0)))</f>
        <v>N</v>
      </c>
      <c r="L329" s="59" t="str">
        <f t="array" ref="L329">iferror(index(dna!$G:$G,match($A329,dna!$A:$A,0)))</f>
        <v/>
      </c>
      <c r="M329" s="60" t="str">
        <f t="array" ref="M329">iferror(index(dna!$J:$J,match($A329,dna!$A:$A,0)))</f>
        <v/>
      </c>
      <c r="N329" t="str">
        <f t="array" ref="N329">iferror(index(stomachs!$G:$G,match($A329,stomachs!$A:$A,0)))</f>
        <v>BST244-12</v>
      </c>
      <c r="O329" t="str">
        <f t="array" ref="O329">iferror(index(stomachs!$J:$J,match($A329,stomachs!$A:$A,0)))</f>
        <v>N</v>
      </c>
      <c r="P329" t="str">
        <f t="array" ref="P329">iferror(index(sea_lice!$G:$G,match($A329,sea_lice!$A:$A,0)))</f>
        <v/>
      </c>
      <c r="Q329" t="str">
        <f t="array" ref="Q329">iferror(index(sea_lice!$J:$J,match($A329,sea_lice!$A:$A,0)))</f>
        <v/>
      </c>
      <c r="R329" s="40" t="str">
        <f t="array" ref="R329">iferror(index(dissected_fish!$F:$F,match($A329,dissected_fish!$A:$A,0)))</f>
        <v>BCA102</v>
      </c>
      <c r="S329" s="40" t="str">
        <f t="array" ref="S329">iferror(index(dissected_fish!$K:$K,match($A329,dissected_fish!$A:$A,0)))</f>
        <v>N</v>
      </c>
      <c r="T329" s="61" t="str">
        <f t="array" ref="T329">index(fish_lab_data!O:O,match(A329,fish_lab_data!C:C,0))</f>
        <v>KB</v>
      </c>
      <c r="U329" s="61">
        <f t="array" ref="U329">if(A329="","",index(fish_lab_data!X:X,match(A329,fish_lab_data!C:C,0)))</f>
        <v>328</v>
      </c>
    </row>
    <row r="330">
      <c r="A330" t="str">
        <f>fish_lab_data!C330</f>
        <v>U5449</v>
      </c>
      <c r="B330" t="str">
        <f t="array" ref="B330">iferror(index('rna-muscle'!$I:$I,match($A330,'rna-muscle'!$A:$A,0)))</f>
        <v>BRN64M-G9</v>
      </c>
      <c r="C330" t="str">
        <f t="array" ref="C330">iferror(index('rna-muscle'!$L:$L,match($A330,'rna-muscle'!$A:$A,0)))</f>
        <v>N</v>
      </c>
      <c r="D330" t="str">
        <f t="array" ref="D330">iferror(index('rna-gill'!$I:$I,match($A330,'rna-gill'!$A:$A,0)))</f>
        <v>BRN64G-G9</v>
      </c>
      <c r="E330" t="str">
        <f t="array" ref="E330">iferror(index('rna-gill'!$L:$L,match($A330,'rna-gill'!$A:$A,0)))</f>
        <v>N</v>
      </c>
      <c r="F330" t="str">
        <f t="array" ref="F330">iferror(index(fatty_acid!$G:$G,match($A330,fatty_acid!$A:$A,0)))</f>
        <v>BFA25-27</v>
      </c>
      <c r="G330" t="str">
        <f t="array" ref="G330">iferror(index(fatty_acid!$J:$J,match($A330,fatty_acid!$A:$A,0)))</f>
        <v>N</v>
      </c>
      <c r="H330" t="str">
        <f t="array" ref="H330">iferror(index(isotopes!$G:$G,match($A330,isotopes!$A:$A,0)))</f>
        <v>BIS27-27</v>
      </c>
      <c r="I330" t="str">
        <f t="array" ref="I330">iferror(index(isotopes!$J:$J,match($A330,isotopes!$A:$A,0)))</f>
        <v>N</v>
      </c>
      <c r="J330" t="str">
        <f t="array" ref="J330">iferror(index(extra_muscle!$G:$G,match($A330,extra_muscle!$A:$A,0)))</f>
        <v>BXM25-27</v>
      </c>
      <c r="K330" t="str">
        <f t="array" ref="K330">iferror(index(extra_muscle!$J:$J,match($A330,extra_muscle!$A:$A,0)))</f>
        <v>N</v>
      </c>
      <c r="L330" s="59" t="str">
        <f t="array" ref="L330">iferror(index(dna!$G:$G,match($A330,dna!$A:$A,0)))</f>
        <v/>
      </c>
      <c r="M330" s="60" t="str">
        <f t="array" ref="M330">iferror(index(dna!$J:$J,match($A330,dna!$A:$A,0)))</f>
        <v/>
      </c>
      <c r="N330" t="str">
        <f t="array" ref="N330">iferror(index(stomachs!$G:$G,match($A330,stomachs!$A:$A,0)))</f>
        <v>BST244-13</v>
      </c>
      <c r="O330" t="str">
        <f t="array" ref="O330">iferror(index(stomachs!$J:$J,match($A330,stomachs!$A:$A,0)))</f>
        <v>N</v>
      </c>
      <c r="P330" t="str">
        <f t="array" ref="P330">iferror(index(sea_lice!$G:$G,match($A330,sea_lice!$A:$A,0)))</f>
        <v/>
      </c>
      <c r="Q330" t="str">
        <f t="array" ref="Q330">iferror(index(sea_lice!$J:$J,match($A330,sea_lice!$A:$A,0)))</f>
        <v/>
      </c>
      <c r="R330" s="40" t="str">
        <f t="array" ref="R330">iferror(index(dissected_fish!$F:$F,match($A330,dissected_fish!$A:$A,0)))</f>
        <v>BCA102</v>
      </c>
      <c r="S330" s="40" t="str">
        <f t="array" ref="S330">iferror(index(dissected_fish!$K:$K,match($A330,dissected_fish!$A:$A,0)))</f>
        <v>N</v>
      </c>
      <c r="T330" s="61" t="str">
        <f t="array" ref="T330">index(fish_lab_data!O:O,match(A330,fish_lab_data!C:C,0))</f>
        <v>KB</v>
      </c>
      <c r="U330" s="61">
        <f t="array" ref="U330">if(A330="","",index(fish_lab_data!X:X,match(A330,fish_lab_data!C:C,0)))</f>
        <v>329</v>
      </c>
    </row>
    <row r="331">
      <c r="A331" t="str">
        <f>fish_lab_data!C331</f>
        <v>U16798</v>
      </c>
      <c r="B331" t="str">
        <f t="array" ref="B331">iferror(index('rna-muscle'!$I:$I,match($A331,'rna-muscle'!$A:$A,0)))</f>
        <v>BRN62M-H2</v>
      </c>
      <c r="C331" t="str">
        <f t="array" ref="C331">iferror(index('rna-muscle'!$L:$L,match($A331,'rna-muscle'!$A:$A,0)))</f>
        <v>N</v>
      </c>
      <c r="D331" t="str">
        <f t="array" ref="D331">iferror(index('rna-gill'!$I:$I,match($A331,'rna-gill'!$A:$A,0)))</f>
        <v>BRN62G-H2</v>
      </c>
      <c r="E331" t="str">
        <f t="array" ref="E331">iferror(index('rna-gill'!$L:$L,match($A331,'rna-gill'!$A:$A,0)))</f>
        <v>N</v>
      </c>
      <c r="F331" t="str">
        <f t="array" ref="F331">iferror(index(fatty_acid!$G:$G,match($A331,fatty_acid!$A:$A,0)))</f>
        <v>BFA25-28</v>
      </c>
      <c r="G331" t="str">
        <f t="array" ref="G331">iferror(index(fatty_acid!$J:$J,match($A331,fatty_acid!$A:$A,0)))</f>
        <v>N</v>
      </c>
      <c r="H331" t="str">
        <f t="array" ref="H331">iferror(index(isotopes!$G:$G,match($A331,isotopes!$A:$A,0)))</f>
        <v>BIS27-28</v>
      </c>
      <c r="I331" t="str">
        <f t="array" ref="I331">iferror(index(isotopes!$J:$J,match($A331,isotopes!$A:$A,0)))</f>
        <v>N</v>
      </c>
      <c r="J331" t="str">
        <f t="array" ref="J331">iferror(index(extra_muscle!$G:$G,match($A331,extra_muscle!$A:$A,0)))</f>
        <v>BXM25-28</v>
      </c>
      <c r="K331" t="str">
        <f t="array" ref="K331">iferror(index(extra_muscle!$J:$J,match($A331,extra_muscle!$A:$A,0)))</f>
        <v>N</v>
      </c>
      <c r="L331" s="59" t="str">
        <f t="array" ref="L331">iferror(index(dna!$G:$G,match($A331,dna!$A:$A,0)))</f>
        <v/>
      </c>
      <c r="M331" s="60" t="str">
        <f t="array" ref="M331">iferror(index(dna!$J:$J,match($A331,dna!$A:$A,0)))</f>
        <v/>
      </c>
      <c r="N331" t="str">
        <f t="array" ref="N331">iferror(index(stomachs!$G:$G,match($A331,stomachs!$A:$A,0)))</f>
        <v/>
      </c>
      <c r="O331" t="str">
        <f t="array" ref="O331">iferror(index(stomachs!$J:$J,match($A331,stomachs!$A:$A,0)))</f>
        <v/>
      </c>
      <c r="P331" t="str">
        <f t="array" ref="P331">iferror(index(sea_lice!$G:$G,match($A331,sea_lice!$A:$A,0)))</f>
        <v/>
      </c>
      <c r="Q331" t="str">
        <f t="array" ref="Q331">iferror(index(sea_lice!$J:$J,match($A331,sea_lice!$A:$A,0)))</f>
        <v/>
      </c>
      <c r="R331" s="40" t="str">
        <f t="array" ref="R331">iferror(index(dissected_fish!$F:$F,match($A331,dissected_fish!$A:$A,0)))</f>
        <v>BCA102</v>
      </c>
      <c r="S331" s="40" t="str">
        <f t="array" ref="S331">iferror(index(dissected_fish!$K:$K,match($A331,dissected_fish!$A:$A,0)))</f>
        <v>N</v>
      </c>
      <c r="T331" s="61" t="str">
        <f t="array" ref="T331">index(fish_lab_data!O:O,match(A331,fish_lab_data!C:C,0))</f>
        <v>KB</v>
      </c>
      <c r="U331" s="61">
        <f t="array" ref="U331">if(A331="","",index(fish_lab_data!X:X,match(A331,fish_lab_data!C:C,0)))</f>
        <v>330</v>
      </c>
    </row>
    <row r="332">
      <c r="A332" t="str">
        <f>fish_lab_data!C332</f>
        <v>U16797</v>
      </c>
      <c r="B332" t="str">
        <f t="array" ref="B332">iferror(index('rna-muscle'!$I:$I,match($A332,'rna-muscle'!$A:$A,0)))</f>
        <v>BRN62M-G2</v>
      </c>
      <c r="C332" t="str">
        <f t="array" ref="C332">iferror(index('rna-muscle'!$L:$L,match($A332,'rna-muscle'!$A:$A,0)))</f>
        <v>N</v>
      </c>
      <c r="D332" t="str">
        <f t="array" ref="D332">iferror(index('rna-gill'!$I:$I,match($A332,'rna-gill'!$A:$A,0)))</f>
        <v>BRN62G-G2</v>
      </c>
      <c r="E332" t="str">
        <f t="array" ref="E332">iferror(index('rna-gill'!$L:$L,match($A332,'rna-gill'!$A:$A,0)))</f>
        <v>N</v>
      </c>
      <c r="F332" t="str">
        <f t="array" ref="F332">iferror(index(fatty_acid!$G:$G,match($A332,fatty_acid!$A:$A,0)))</f>
        <v>BFA25-29</v>
      </c>
      <c r="G332" t="str">
        <f t="array" ref="G332">iferror(index(fatty_acid!$J:$J,match($A332,fatty_acid!$A:$A,0)))</f>
        <v>N</v>
      </c>
      <c r="H332" t="str">
        <f t="array" ref="H332">iferror(index(isotopes!$G:$G,match($A332,isotopes!$A:$A,0)))</f>
        <v>BIS27-29</v>
      </c>
      <c r="I332" t="str">
        <f t="array" ref="I332">iferror(index(isotopes!$J:$J,match($A332,isotopes!$A:$A,0)))</f>
        <v>N</v>
      </c>
      <c r="J332" t="str">
        <f t="array" ref="J332">iferror(index(extra_muscle!$G:$G,match($A332,extra_muscle!$A:$A,0)))</f>
        <v>BXM25-29</v>
      </c>
      <c r="K332" t="str">
        <f t="array" ref="K332">iferror(index(extra_muscle!$J:$J,match($A332,extra_muscle!$A:$A,0)))</f>
        <v>N</v>
      </c>
      <c r="L332" s="59" t="str">
        <f t="array" ref="L332">iferror(index(dna!$G:$G,match($A332,dna!$A:$A,0)))</f>
        <v/>
      </c>
      <c r="M332" s="60" t="str">
        <f t="array" ref="M332">iferror(index(dna!$J:$J,match($A332,dna!$A:$A,0)))</f>
        <v/>
      </c>
      <c r="N332" t="str">
        <f t="array" ref="N332">iferror(index(stomachs!$G:$G,match($A332,stomachs!$A:$A,0)))</f>
        <v/>
      </c>
      <c r="O332" t="str">
        <f t="array" ref="O332">iferror(index(stomachs!$J:$J,match($A332,stomachs!$A:$A,0)))</f>
        <v/>
      </c>
      <c r="P332" t="str">
        <f t="array" ref="P332">iferror(index(sea_lice!$G:$G,match($A332,sea_lice!$A:$A,0)))</f>
        <v>BSL6-6</v>
      </c>
      <c r="Q332" t="str">
        <f t="array" ref="Q332">iferror(index(sea_lice!$J:$J,match($A332,sea_lice!$A:$A,0)))</f>
        <v>N</v>
      </c>
      <c r="R332" s="40" t="str">
        <f t="array" ref="R332">iferror(index(dissected_fish!$F:$F,match($A332,dissected_fish!$A:$A,0)))</f>
        <v>BCA102</v>
      </c>
      <c r="S332" s="40" t="str">
        <f t="array" ref="S332">iferror(index(dissected_fish!$K:$K,match($A332,dissected_fish!$A:$A,0)))</f>
        <v>N</v>
      </c>
      <c r="T332" s="61" t="str">
        <f t="array" ref="T332">index(fish_lab_data!O:O,match(A332,fish_lab_data!C:C,0))</f>
        <v>KB</v>
      </c>
      <c r="U332" s="61">
        <f t="array" ref="U332">if(A332="","",index(fish_lab_data!X:X,match(A332,fish_lab_data!C:C,0)))</f>
        <v>331</v>
      </c>
    </row>
    <row r="333">
      <c r="A333" t="str">
        <f>fish_lab_data!C333</f>
        <v>U16800</v>
      </c>
      <c r="B333" t="str">
        <f t="array" ref="B333">iferror(index('rna-muscle'!$I:$I,match($A333,'rna-muscle'!$A:$A,0)))</f>
        <v>BRN62M-F2</v>
      </c>
      <c r="C333" t="str">
        <f t="array" ref="C333">iferror(index('rna-muscle'!$L:$L,match($A333,'rna-muscle'!$A:$A,0)))</f>
        <v>N</v>
      </c>
      <c r="D333" t="str">
        <f t="array" ref="D333">iferror(index('rna-gill'!$I:$I,match($A333,'rna-gill'!$A:$A,0)))</f>
        <v>BRN62G-F2</v>
      </c>
      <c r="E333" t="str">
        <f t="array" ref="E333">iferror(index('rna-gill'!$L:$L,match($A333,'rna-gill'!$A:$A,0)))</f>
        <v>N</v>
      </c>
      <c r="F333" t="str">
        <f t="array" ref="F333">iferror(index(fatty_acid!$G:$G,match($A333,fatty_acid!$A:$A,0)))</f>
        <v>BFA25-30</v>
      </c>
      <c r="G333" t="str">
        <f t="array" ref="G333">iferror(index(fatty_acid!$J:$J,match($A333,fatty_acid!$A:$A,0)))</f>
        <v>N</v>
      </c>
      <c r="H333" t="str">
        <f t="array" ref="H333">iferror(index(isotopes!$G:$G,match($A333,isotopes!$A:$A,0)))</f>
        <v>BIS27-30</v>
      </c>
      <c r="I333" t="str">
        <f t="array" ref="I333">iferror(index(isotopes!$J:$J,match($A333,isotopes!$A:$A,0)))</f>
        <v>N</v>
      </c>
      <c r="J333" t="str">
        <f t="array" ref="J333">iferror(index(extra_muscle!$G:$G,match($A333,extra_muscle!$A:$A,0)))</f>
        <v>BXM25-30</v>
      </c>
      <c r="K333" t="str">
        <f t="array" ref="K333">iferror(index(extra_muscle!$J:$J,match($A333,extra_muscle!$A:$A,0)))</f>
        <v>N</v>
      </c>
      <c r="L333" s="59" t="str">
        <f t="array" ref="L333">iferror(index(dna!$G:$G,match($A333,dna!$A:$A,0)))</f>
        <v/>
      </c>
      <c r="M333" s="60" t="str">
        <f t="array" ref="M333">iferror(index(dna!$J:$J,match($A333,dna!$A:$A,0)))</f>
        <v/>
      </c>
      <c r="N333" t="str">
        <f t="array" ref="N333">iferror(index(stomachs!$G:$G,match($A333,stomachs!$A:$A,0)))</f>
        <v/>
      </c>
      <c r="O333" t="str">
        <f t="array" ref="O333">iferror(index(stomachs!$J:$J,match($A333,stomachs!$A:$A,0)))</f>
        <v/>
      </c>
      <c r="P333" t="str">
        <f t="array" ref="P333">iferror(index(sea_lice!$G:$G,match($A333,sea_lice!$A:$A,0)))</f>
        <v>BSL6-7</v>
      </c>
      <c r="Q333" t="str">
        <f t="array" ref="Q333">iferror(index(sea_lice!$J:$J,match($A333,sea_lice!$A:$A,0)))</f>
        <v>N</v>
      </c>
      <c r="R333" s="40" t="str">
        <f t="array" ref="R333">iferror(index(dissected_fish!$F:$F,match($A333,dissected_fish!$A:$A,0)))</f>
        <v>BCA102</v>
      </c>
      <c r="S333" s="40" t="str">
        <f t="array" ref="S333">iferror(index(dissected_fish!$K:$K,match($A333,dissected_fish!$A:$A,0)))</f>
        <v>N</v>
      </c>
      <c r="T333" s="61" t="str">
        <f t="array" ref="T333">index(fish_lab_data!O:O,match(A333,fish_lab_data!C:C,0))</f>
        <v>KB</v>
      </c>
      <c r="U333" s="61">
        <f t="array" ref="U333">if(A333="","",index(fish_lab_data!X:X,match(A333,fish_lab_data!C:C,0)))</f>
        <v>332</v>
      </c>
    </row>
    <row r="334">
      <c r="A334" t="str">
        <f>fish_lab_data!C334</f>
        <v>U16795</v>
      </c>
      <c r="B334" t="str">
        <f t="array" ref="B334">iferror(index('rna-muscle'!$I:$I,match($A334,'rna-muscle'!$A:$A,0)))</f>
        <v>BRN62M-E2</v>
      </c>
      <c r="C334" t="str">
        <f t="array" ref="C334">iferror(index('rna-muscle'!$L:$L,match($A334,'rna-muscle'!$A:$A,0)))</f>
        <v>N</v>
      </c>
      <c r="D334" t="str">
        <f t="array" ref="D334">iferror(index('rna-gill'!$I:$I,match($A334,'rna-gill'!$A:$A,0)))</f>
        <v>BRN62G-E2</v>
      </c>
      <c r="E334" t="str">
        <f t="array" ref="E334">iferror(index('rna-gill'!$L:$L,match($A334,'rna-gill'!$A:$A,0)))</f>
        <v>N</v>
      </c>
      <c r="F334" t="str">
        <f t="array" ref="F334">iferror(index(fatty_acid!$G:$G,match($A334,fatty_acid!$A:$A,0)))</f>
        <v>BFA25-31</v>
      </c>
      <c r="G334" t="str">
        <f t="array" ref="G334">iferror(index(fatty_acid!$J:$J,match($A334,fatty_acid!$A:$A,0)))</f>
        <v>N</v>
      </c>
      <c r="H334" t="str">
        <f t="array" ref="H334">iferror(index(isotopes!$G:$G,match($A334,isotopes!$A:$A,0)))</f>
        <v>BIS27-31</v>
      </c>
      <c r="I334" t="str">
        <f t="array" ref="I334">iferror(index(isotopes!$J:$J,match($A334,isotopes!$A:$A,0)))</f>
        <v>N</v>
      </c>
      <c r="J334" t="str">
        <f t="array" ref="J334">iferror(index(extra_muscle!$G:$G,match($A334,extra_muscle!$A:$A,0)))</f>
        <v>BXM25-31</v>
      </c>
      <c r="K334" t="str">
        <f t="array" ref="K334">iferror(index(extra_muscle!$J:$J,match($A334,extra_muscle!$A:$A,0)))</f>
        <v>N</v>
      </c>
      <c r="L334" s="59" t="str">
        <f t="array" ref="L334">iferror(index(dna!$G:$G,match($A334,dna!$A:$A,0)))</f>
        <v/>
      </c>
      <c r="M334" s="60" t="str">
        <f t="array" ref="M334">iferror(index(dna!$J:$J,match($A334,dna!$A:$A,0)))</f>
        <v/>
      </c>
      <c r="N334" t="str">
        <f t="array" ref="N334">iferror(index(stomachs!$G:$G,match($A334,stomachs!$A:$A,0)))</f>
        <v/>
      </c>
      <c r="O334" t="str">
        <f t="array" ref="O334">iferror(index(stomachs!$J:$J,match($A334,stomachs!$A:$A,0)))</f>
        <v/>
      </c>
      <c r="P334" t="str">
        <f t="array" ref="P334">iferror(index(sea_lice!$G:$G,match($A334,sea_lice!$A:$A,0)))</f>
        <v/>
      </c>
      <c r="Q334" t="str">
        <f t="array" ref="Q334">iferror(index(sea_lice!$J:$J,match($A334,sea_lice!$A:$A,0)))</f>
        <v/>
      </c>
      <c r="R334" s="40" t="str">
        <f t="array" ref="R334">iferror(index(dissected_fish!$F:$F,match($A334,dissected_fish!$A:$A,0)))</f>
        <v>BCA102</v>
      </c>
      <c r="S334" s="40" t="str">
        <f t="array" ref="S334">iferror(index(dissected_fish!$K:$K,match($A334,dissected_fish!$A:$A,0)))</f>
        <v>N</v>
      </c>
      <c r="T334" s="61" t="str">
        <f t="array" ref="T334">index(fish_lab_data!O:O,match(A334,fish_lab_data!C:C,0))</f>
        <v>KB</v>
      </c>
      <c r="U334" s="61">
        <f t="array" ref="U334">if(A334="","",index(fish_lab_data!X:X,match(A334,fish_lab_data!C:C,0)))</f>
        <v>333</v>
      </c>
    </row>
    <row r="335">
      <c r="A335" t="str">
        <f>fish_lab_data!C335</f>
        <v>U16793</v>
      </c>
      <c r="B335" t="str">
        <f t="array" ref="B335">iferror(index('rna-muscle'!$I:$I,match($A335,'rna-muscle'!$A:$A,0)))</f>
        <v>BRN62M-D2</v>
      </c>
      <c r="C335" t="str">
        <f t="array" ref="C335">iferror(index('rna-muscle'!$L:$L,match($A335,'rna-muscle'!$A:$A,0)))</f>
        <v>N</v>
      </c>
      <c r="D335" t="str">
        <f t="array" ref="D335">iferror(index('rna-gill'!$I:$I,match($A335,'rna-gill'!$A:$A,0)))</f>
        <v>BRN62G-D2</v>
      </c>
      <c r="E335" t="str">
        <f t="array" ref="E335">iferror(index('rna-gill'!$L:$L,match($A335,'rna-gill'!$A:$A,0)))</f>
        <v>N</v>
      </c>
      <c r="F335" t="str">
        <f t="array" ref="F335">iferror(index(fatty_acid!$G:$G,match($A335,fatty_acid!$A:$A,0)))</f>
        <v>BFA25-32</v>
      </c>
      <c r="G335" t="str">
        <f t="array" ref="G335">iferror(index(fatty_acid!$J:$J,match($A335,fatty_acid!$A:$A,0)))</f>
        <v>N</v>
      </c>
      <c r="H335" t="str">
        <f t="array" ref="H335">iferror(index(isotopes!$G:$G,match($A335,isotopes!$A:$A,0)))</f>
        <v>BIS27-32</v>
      </c>
      <c r="I335" t="str">
        <f t="array" ref="I335">iferror(index(isotopes!$J:$J,match($A335,isotopes!$A:$A,0)))</f>
        <v>N</v>
      </c>
      <c r="J335" t="str">
        <f t="array" ref="J335">iferror(index(extra_muscle!$G:$G,match($A335,extra_muscle!$A:$A,0)))</f>
        <v>BXM25-32</v>
      </c>
      <c r="K335" t="str">
        <f t="array" ref="K335">iferror(index(extra_muscle!$J:$J,match($A335,extra_muscle!$A:$A,0)))</f>
        <v>N</v>
      </c>
      <c r="L335" s="59" t="str">
        <f t="array" ref="L335">iferror(index(dna!$G:$G,match($A335,dna!$A:$A,0)))</f>
        <v/>
      </c>
      <c r="M335" s="60" t="str">
        <f t="array" ref="M335">iferror(index(dna!$J:$J,match($A335,dna!$A:$A,0)))</f>
        <v/>
      </c>
      <c r="N335" t="str">
        <f t="array" ref="N335">iferror(index(stomachs!$G:$G,match($A335,stomachs!$A:$A,0)))</f>
        <v/>
      </c>
      <c r="O335" t="str">
        <f t="array" ref="O335">iferror(index(stomachs!$J:$J,match($A335,stomachs!$A:$A,0)))</f>
        <v/>
      </c>
      <c r="P335" t="str">
        <f t="array" ref="P335">iferror(index(sea_lice!$G:$G,match($A335,sea_lice!$A:$A,0)))</f>
        <v/>
      </c>
      <c r="Q335" t="str">
        <f t="array" ref="Q335">iferror(index(sea_lice!$J:$J,match($A335,sea_lice!$A:$A,0)))</f>
        <v/>
      </c>
      <c r="R335" s="40" t="str">
        <f t="array" ref="R335">iferror(index(dissected_fish!$F:$F,match($A335,dissected_fish!$A:$A,0)))</f>
        <v>BCA102</v>
      </c>
      <c r="S335" s="40" t="str">
        <f t="array" ref="S335">iferror(index(dissected_fish!$K:$K,match($A335,dissected_fish!$A:$A,0)))</f>
        <v>N</v>
      </c>
      <c r="T335" s="61" t="str">
        <f t="array" ref="T335">index(fish_lab_data!O:O,match(A335,fish_lab_data!C:C,0))</f>
        <v>KB</v>
      </c>
      <c r="U335" s="61">
        <f t="array" ref="U335">if(A335="","",index(fish_lab_data!X:X,match(A335,fish_lab_data!C:C,0)))</f>
        <v>334</v>
      </c>
    </row>
    <row r="336">
      <c r="A336" t="str">
        <f>fish_lab_data!C336</f>
        <v>U16796</v>
      </c>
      <c r="B336" t="str">
        <f t="array" ref="B336">iferror(index('rna-muscle'!$I:$I,match($A336,'rna-muscle'!$A:$A,0)))</f>
        <v>BRN62M-C2</v>
      </c>
      <c r="C336" t="str">
        <f t="array" ref="C336">iferror(index('rna-muscle'!$L:$L,match($A336,'rna-muscle'!$A:$A,0)))</f>
        <v>N</v>
      </c>
      <c r="D336" t="str">
        <f t="array" ref="D336">iferror(index('rna-gill'!$I:$I,match($A336,'rna-gill'!$A:$A,0)))</f>
        <v>BRN62G-C2</v>
      </c>
      <c r="E336" t="str">
        <f t="array" ref="E336">iferror(index('rna-gill'!$L:$L,match($A336,'rna-gill'!$A:$A,0)))</f>
        <v>N</v>
      </c>
      <c r="F336" t="str">
        <f t="array" ref="F336">iferror(index(fatty_acid!$G:$G,match($A336,fatty_acid!$A:$A,0)))</f>
        <v>BFA25-33</v>
      </c>
      <c r="G336" t="str">
        <f t="array" ref="G336">iferror(index(fatty_acid!$J:$J,match($A336,fatty_acid!$A:$A,0)))</f>
        <v>N</v>
      </c>
      <c r="H336" t="str">
        <f t="array" ref="H336">iferror(index(isotopes!$G:$G,match($A336,isotopes!$A:$A,0)))</f>
        <v>BIS27-33</v>
      </c>
      <c r="I336" t="str">
        <f t="array" ref="I336">iferror(index(isotopes!$J:$J,match($A336,isotopes!$A:$A,0)))</f>
        <v>N</v>
      </c>
      <c r="J336" t="str">
        <f t="array" ref="J336">iferror(index(extra_muscle!$G:$G,match($A336,extra_muscle!$A:$A,0)))</f>
        <v>BXM25-33</v>
      </c>
      <c r="K336" t="str">
        <f t="array" ref="K336">iferror(index(extra_muscle!$J:$J,match($A336,extra_muscle!$A:$A,0)))</f>
        <v>N</v>
      </c>
      <c r="L336" s="59" t="str">
        <f t="array" ref="L336">iferror(index(dna!$G:$G,match($A336,dna!$A:$A,0)))</f>
        <v/>
      </c>
      <c r="M336" s="60" t="str">
        <f t="array" ref="M336">iferror(index(dna!$J:$J,match($A336,dna!$A:$A,0)))</f>
        <v/>
      </c>
      <c r="N336" t="str">
        <f t="array" ref="N336">iferror(index(stomachs!$G:$G,match($A336,stomachs!$A:$A,0)))</f>
        <v/>
      </c>
      <c r="O336" t="str">
        <f t="array" ref="O336">iferror(index(stomachs!$J:$J,match($A336,stomachs!$A:$A,0)))</f>
        <v/>
      </c>
      <c r="P336" t="str">
        <f t="array" ref="P336">iferror(index(sea_lice!$G:$G,match($A336,sea_lice!$A:$A,0)))</f>
        <v/>
      </c>
      <c r="Q336" t="str">
        <f t="array" ref="Q336">iferror(index(sea_lice!$J:$J,match($A336,sea_lice!$A:$A,0)))</f>
        <v/>
      </c>
      <c r="R336" s="40" t="str">
        <f t="array" ref="R336">iferror(index(dissected_fish!$F:$F,match($A336,dissected_fish!$A:$A,0)))</f>
        <v>BCA102</v>
      </c>
      <c r="S336" s="40" t="str">
        <f t="array" ref="S336">iferror(index(dissected_fish!$K:$K,match($A336,dissected_fish!$A:$A,0)))</f>
        <v>N</v>
      </c>
      <c r="T336" s="61" t="str">
        <f t="array" ref="T336">index(fish_lab_data!O:O,match(A336,fish_lab_data!C:C,0))</f>
        <v>KB</v>
      </c>
      <c r="U336" s="61">
        <f t="array" ref="U336">if(A336="","",index(fish_lab_data!X:X,match(A336,fish_lab_data!C:C,0)))</f>
        <v>335</v>
      </c>
    </row>
    <row r="337">
      <c r="A337" t="str">
        <f>fish_lab_data!C337</f>
        <v>U16799</v>
      </c>
      <c r="B337" t="str">
        <f t="array" ref="B337">iferror(index('rna-muscle'!$I:$I,match($A337,'rna-muscle'!$A:$A,0)))</f>
        <v>BRN62M-B2</v>
      </c>
      <c r="C337" t="str">
        <f t="array" ref="C337">iferror(index('rna-muscle'!$L:$L,match($A337,'rna-muscle'!$A:$A,0)))</f>
        <v>N</v>
      </c>
      <c r="D337" t="str">
        <f t="array" ref="D337">iferror(index('rna-gill'!$I:$I,match($A337,'rna-gill'!$A:$A,0)))</f>
        <v>BRN62G-B2</v>
      </c>
      <c r="E337" t="str">
        <f t="array" ref="E337">iferror(index('rna-gill'!$L:$L,match($A337,'rna-gill'!$A:$A,0)))</f>
        <v>N</v>
      </c>
      <c r="F337" t="str">
        <f t="array" ref="F337">iferror(index(fatty_acid!$G:$G,match($A337,fatty_acid!$A:$A,0)))</f>
        <v>BFA25-34</v>
      </c>
      <c r="G337" t="str">
        <f t="array" ref="G337">iferror(index(fatty_acid!$J:$J,match($A337,fatty_acid!$A:$A,0)))</f>
        <v>N</v>
      </c>
      <c r="H337" t="str">
        <f t="array" ref="H337">iferror(index(isotopes!$G:$G,match($A337,isotopes!$A:$A,0)))</f>
        <v>BIS27-34</v>
      </c>
      <c r="I337" t="str">
        <f t="array" ref="I337">iferror(index(isotopes!$J:$J,match($A337,isotopes!$A:$A,0)))</f>
        <v>N</v>
      </c>
      <c r="J337" t="str">
        <f t="array" ref="J337">iferror(index(extra_muscle!$G:$G,match($A337,extra_muscle!$A:$A,0)))</f>
        <v>BXM25-34</v>
      </c>
      <c r="K337" t="str">
        <f t="array" ref="K337">iferror(index(extra_muscle!$J:$J,match($A337,extra_muscle!$A:$A,0)))</f>
        <v>N</v>
      </c>
      <c r="L337" s="59" t="str">
        <f t="array" ref="L337">iferror(index(dna!$G:$G,match($A337,dna!$A:$A,0)))</f>
        <v/>
      </c>
      <c r="M337" s="60" t="str">
        <f t="array" ref="M337">iferror(index(dna!$J:$J,match($A337,dna!$A:$A,0)))</f>
        <v/>
      </c>
      <c r="N337" t="str">
        <f t="array" ref="N337">iferror(index(stomachs!$G:$G,match($A337,stomachs!$A:$A,0)))</f>
        <v/>
      </c>
      <c r="O337" t="str">
        <f t="array" ref="O337">iferror(index(stomachs!$J:$J,match($A337,stomachs!$A:$A,0)))</f>
        <v/>
      </c>
      <c r="P337" t="str">
        <f t="array" ref="P337">iferror(index(sea_lice!$G:$G,match($A337,sea_lice!$A:$A,0)))</f>
        <v/>
      </c>
      <c r="Q337" t="str">
        <f t="array" ref="Q337">iferror(index(sea_lice!$J:$J,match($A337,sea_lice!$A:$A,0)))</f>
        <v/>
      </c>
      <c r="R337" s="40" t="str">
        <f t="array" ref="R337">iferror(index(dissected_fish!$F:$F,match($A337,dissected_fish!$A:$A,0)))</f>
        <v>BCA102</v>
      </c>
      <c r="S337" s="40" t="str">
        <f t="array" ref="S337">iferror(index(dissected_fish!$K:$K,match($A337,dissected_fish!$A:$A,0)))</f>
        <v>N</v>
      </c>
      <c r="T337" s="61" t="str">
        <f t="array" ref="T337">index(fish_lab_data!O:O,match(A337,fish_lab_data!C:C,0))</f>
        <v>KB</v>
      </c>
      <c r="U337" s="61">
        <f t="array" ref="U337">if(A337="","",index(fish_lab_data!X:X,match(A337,fish_lab_data!C:C,0)))</f>
        <v>336</v>
      </c>
    </row>
    <row r="338">
      <c r="A338" t="str">
        <f>fish_lab_data!C338</f>
        <v>U16794</v>
      </c>
      <c r="B338" t="str">
        <f t="array" ref="B338">iferror(index('rna-muscle'!$I:$I,match($A338,'rna-muscle'!$A:$A,0)))</f>
        <v>BRN62M-A2</v>
      </c>
      <c r="C338" t="str">
        <f t="array" ref="C338">iferror(index('rna-muscle'!$L:$L,match($A338,'rna-muscle'!$A:$A,0)))</f>
        <v>N</v>
      </c>
      <c r="D338" t="str">
        <f t="array" ref="D338">iferror(index('rna-gill'!$I:$I,match($A338,'rna-gill'!$A:$A,0)))</f>
        <v>BRN62G-A2</v>
      </c>
      <c r="E338" t="str">
        <f t="array" ref="E338">iferror(index('rna-gill'!$L:$L,match($A338,'rna-gill'!$A:$A,0)))</f>
        <v>N</v>
      </c>
      <c r="F338" t="str">
        <f t="array" ref="F338">iferror(index(fatty_acid!$G:$G,match($A338,fatty_acid!$A:$A,0)))</f>
        <v>BFA25-35</v>
      </c>
      <c r="G338" t="str">
        <f t="array" ref="G338">iferror(index(fatty_acid!$J:$J,match($A338,fatty_acid!$A:$A,0)))</f>
        <v>N</v>
      </c>
      <c r="H338" t="str">
        <f t="array" ref="H338">iferror(index(isotopes!$G:$G,match($A338,isotopes!$A:$A,0)))</f>
        <v>BIS27-35</v>
      </c>
      <c r="I338" t="str">
        <f t="array" ref="I338">iferror(index(isotopes!$J:$J,match($A338,isotopes!$A:$A,0)))</f>
        <v>N</v>
      </c>
      <c r="J338" t="str">
        <f t="array" ref="J338">iferror(index(extra_muscle!$G:$G,match($A338,extra_muscle!$A:$A,0)))</f>
        <v>BXM25-35</v>
      </c>
      <c r="K338" t="str">
        <f t="array" ref="K338">iferror(index(extra_muscle!$J:$J,match($A338,extra_muscle!$A:$A,0)))</f>
        <v>N</v>
      </c>
      <c r="L338" s="59" t="str">
        <f t="array" ref="L338">iferror(index(dna!$G:$G,match($A338,dna!$A:$A,0)))</f>
        <v/>
      </c>
      <c r="M338" s="60" t="str">
        <f t="array" ref="M338">iferror(index(dna!$J:$J,match($A338,dna!$A:$A,0)))</f>
        <v/>
      </c>
      <c r="N338" t="str">
        <f t="array" ref="N338">iferror(index(stomachs!$G:$G,match($A338,stomachs!$A:$A,0)))</f>
        <v/>
      </c>
      <c r="O338" t="str">
        <f t="array" ref="O338">iferror(index(stomachs!$J:$J,match($A338,stomachs!$A:$A,0)))</f>
        <v/>
      </c>
      <c r="P338" t="str">
        <f t="array" ref="P338">iferror(index(sea_lice!$G:$G,match($A338,sea_lice!$A:$A,0)))</f>
        <v/>
      </c>
      <c r="Q338" t="str">
        <f t="array" ref="Q338">iferror(index(sea_lice!$J:$J,match($A338,sea_lice!$A:$A,0)))</f>
        <v/>
      </c>
      <c r="R338" s="40" t="str">
        <f t="array" ref="R338">iferror(index(dissected_fish!$F:$F,match($A338,dissected_fish!$A:$A,0)))</f>
        <v>BCA102</v>
      </c>
      <c r="S338" s="40" t="str">
        <f t="array" ref="S338">iferror(index(dissected_fish!$K:$K,match($A338,dissected_fish!$A:$A,0)))</f>
        <v>N</v>
      </c>
      <c r="T338" s="61" t="str">
        <f t="array" ref="T338">index(fish_lab_data!O:O,match(A338,fish_lab_data!C:C,0))</f>
        <v>KB</v>
      </c>
      <c r="U338" s="61">
        <f t="array" ref="U338">if(A338="","",index(fish_lab_data!X:X,match(A338,fish_lab_data!C:C,0)))</f>
        <v>337</v>
      </c>
    </row>
    <row r="339">
      <c r="A339" t="str">
        <f>fish_lab_data!C339</f>
        <v>U16792</v>
      </c>
      <c r="B339" t="str">
        <f t="array" ref="B339">iferror(index('rna-muscle'!$I:$I,match($A339,'rna-muscle'!$A:$A,0)))</f>
        <v>BRN62M-H3</v>
      </c>
      <c r="C339" t="str">
        <f t="array" ref="C339">iferror(index('rna-muscle'!$L:$L,match($A339,'rna-muscle'!$A:$A,0)))</f>
        <v>N</v>
      </c>
      <c r="D339" t="str">
        <f t="array" ref="D339">iferror(index('rna-gill'!$I:$I,match($A339,'rna-gill'!$A:$A,0)))</f>
        <v>BRN62G-H3</v>
      </c>
      <c r="E339" t="str">
        <f t="array" ref="E339">iferror(index('rna-gill'!$L:$L,match($A339,'rna-gill'!$A:$A,0)))</f>
        <v>N</v>
      </c>
      <c r="F339" t="str">
        <f t="array" ref="F339">iferror(index(fatty_acid!$G:$G,match($A339,fatty_acid!$A:$A,0)))</f>
        <v>BFA25-36</v>
      </c>
      <c r="G339" t="str">
        <f t="array" ref="G339">iferror(index(fatty_acid!$J:$J,match($A339,fatty_acid!$A:$A,0)))</f>
        <v>N</v>
      </c>
      <c r="H339" t="str">
        <f t="array" ref="H339">iferror(index(isotopes!$G:$G,match($A339,isotopes!$A:$A,0)))</f>
        <v>BIS27-36</v>
      </c>
      <c r="I339" t="str">
        <f t="array" ref="I339">iferror(index(isotopes!$J:$J,match($A339,isotopes!$A:$A,0)))</f>
        <v>N</v>
      </c>
      <c r="J339" t="str">
        <f t="array" ref="J339">iferror(index(extra_muscle!$G:$G,match($A339,extra_muscle!$A:$A,0)))</f>
        <v>BXM25-36</v>
      </c>
      <c r="K339" t="str">
        <f t="array" ref="K339">iferror(index(extra_muscle!$J:$J,match($A339,extra_muscle!$A:$A,0)))</f>
        <v>N</v>
      </c>
      <c r="L339" s="59" t="str">
        <f t="array" ref="L339">iferror(index(dna!$G:$G,match($A339,dna!$A:$A,0)))</f>
        <v/>
      </c>
      <c r="M339" s="60" t="str">
        <f t="array" ref="M339">iferror(index(dna!$J:$J,match($A339,dna!$A:$A,0)))</f>
        <v/>
      </c>
      <c r="N339" t="str">
        <f t="array" ref="N339">iferror(index(stomachs!$G:$G,match($A339,stomachs!$A:$A,0)))</f>
        <v/>
      </c>
      <c r="O339" t="str">
        <f t="array" ref="O339">iferror(index(stomachs!$J:$J,match($A339,stomachs!$A:$A,0)))</f>
        <v/>
      </c>
      <c r="P339" t="str">
        <f t="array" ref="P339">iferror(index(sea_lice!$G:$G,match($A339,sea_lice!$A:$A,0)))</f>
        <v/>
      </c>
      <c r="Q339" t="str">
        <f t="array" ref="Q339">iferror(index(sea_lice!$J:$J,match($A339,sea_lice!$A:$A,0)))</f>
        <v/>
      </c>
      <c r="R339" s="40" t="str">
        <f t="array" ref="R339">iferror(index(dissected_fish!$F:$F,match($A339,dissected_fish!$A:$A,0)))</f>
        <v>BCA102</v>
      </c>
      <c r="S339" s="40" t="str">
        <f t="array" ref="S339">iferror(index(dissected_fish!$K:$K,match($A339,dissected_fish!$A:$A,0)))</f>
        <v>N</v>
      </c>
      <c r="T339" s="61" t="str">
        <f t="array" ref="T339">index(fish_lab_data!O:O,match(A339,fish_lab_data!C:C,0))</f>
        <v>KB</v>
      </c>
      <c r="U339" s="61">
        <f t="array" ref="U339">if(A339="","",index(fish_lab_data!X:X,match(A339,fish_lab_data!C:C,0)))</f>
        <v>338</v>
      </c>
    </row>
    <row r="340">
      <c r="A340" t="str">
        <f>fish_lab_data!C340</f>
        <v>U16791</v>
      </c>
      <c r="B340" t="str">
        <f t="array" ref="B340">iferror(index('rna-muscle'!$I:$I,match($A340,'rna-muscle'!$A:$A,0)))</f>
        <v>BRN62M-G3</v>
      </c>
      <c r="C340" t="str">
        <f t="array" ref="C340">iferror(index('rna-muscle'!$L:$L,match($A340,'rna-muscle'!$A:$A,0)))</f>
        <v>N</v>
      </c>
      <c r="D340" t="str">
        <f t="array" ref="D340">iferror(index('rna-gill'!$I:$I,match($A340,'rna-gill'!$A:$A,0)))</f>
        <v>BRN62G-G3</v>
      </c>
      <c r="E340" t="str">
        <f t="array" ref="E340">iferror(index('rna-gill'!$L:$L,match($A340,'rna-gill'!$A:$A,0)))</f>
        <v>N</v>
      </c>
      <c r="F340" t="str">
        <f t="array" ref="F340">iferror(index(fatty_acid!$G:$G,match($A340,fatty_acid!$A:$A,0)))</f>
        <v>BFA25-37</v>
      </c>
      <c r="G340" t="str">
        <f t="array" ref="G340">iferror(index(fatty_acid!$J:$J,match($A340,fatty_acid!$A:$A,0)))</f>
        <v>N</v>
      </c>
      <c r="H340" t="str">
        <f t="array" ref="H340">iferror(index(isotopes!$G:$G,match($A340,isotopes!$A:$A,0)))</f>
        <v>BIS27-37</v>
      </c>
      <c r="I340" t="str">
        <f t="array" ref="I340">iferror(index(isotopes!$J:$J,match($A340,isotopes!$A:$A,0)))</f>
        <v>N</v>
      </c>
      <c r="J340" t="str">
        <f t="array" ref="J340">iferror(index(extra_muscle!$G:$G,match($A340,extra_muscle!$A:$A,0)))</f>
        <v>BXM25-37</v>
      </c>
      <c r="K340" t="str">
        <f t="array" ref="K340">iferror(index(extra_muscle!$J:$J,match($A340,extra_muscle!$A:$A,0)))</f>
        <v>N</v>
      </c>
      <c r="L340" s="59" t="str">
        <f t="array" ref="L340">iferror(index(dna!$G:$G,match($A340,dna!$A:$A,0)))</f>
        <v/>
      </c>
      <c r="M340" s="60" t="str">
        <f t="array" ref="M340">iferror(index(dna!$J:$J,match($A340,dna!$A:$A,0)))</f>
        <v/>
      </c>
      <c r="N340" t="str">
        <f t="array" ref="N340">iferror(index(stomachs!$G:$G,match($A340,stomachs!$A:$A,0)))</f>
        <v/>
      </c>
      <c r="O340" t="str">
        <f t="array" ref="O340">iferror(index(stomachs!$J:$J,match($A340,stomachs!$A:$A,0)))</f>
        <v/>
      </c>
      <c r="P340" t="str">
        <f t="array" ref="P340">iferror(index(sea_lice!$G:$G,match($A340,sea_lice!$A:$A,0)))</f>
        <v/>
      </c>
      <c r="Q340" t="str">
        <f t="array" ref="Q340">iferror(index(sea_lice!$J:$J,match($A340,sea_lice!$A:$A,0)))</f>
        <v/>
      </c>
      <c r="R340" s="40" t="str">
        <f t="array" ref="R340">iferror(index(dissected_fish!$F:$F,match($A340,dissected_fish!$A:$A,0)))</f>
        <v>BCA102</v>
      </c>
      <c r="S340" s="40" t="str">
        <f t="array" ref="S340">iferror(index(dissected_fish!$K:$K,match($A340,dissected_fish!$A:$A,0)))</f>
        <v>N</v>
      </c>
      <c r="T340" s="61" t="str">
        <f t="array" ref="T340">index(fish_lab_data!O:O,match(A340,fish_lab_data!C:C,0))</f>
        <v>KB</v>
      </c>
      <c r="U340" s="61">
        <f t="array" ref="U340">if(A340="","",index(fish_lab_data!X:X,match(A340,fish_lab_data!C:C,0)))</f>
        <v>339</v>
      </c>
    </row>
    <row r="341">
      <c r="A341" t="str">
        <f>fish_lab_data!C341</f>
        <v>U5422</v>
      </c>
      <c r="B341" t="str">
        <f t="array" ref="B341">iferror(index('rna-muscle'!$I:$I,match($A341,'rna-muscle'!$A:$A,0)))</f>
        <v>BRN65M-C4</v>
      </c>
      <c r="C341" t="str">
        <f t="array" ref="C341">iferror(index('rna-muscle'!$L:$L,match($A341,'rna-muscle'!$A:$A,0)))</f>
        <v>N</v>
      </c>
      <c r="D341" t="str">
        <f t="array" ref="D341">iferror(index('rna-gill'!$I:$I,match($A341,'rna-gill'!$A:$A,0)))</f>
        <v>BRN65G-C4</v>
      </c>
      <c r="E341" t="str">
        <f t="array" ref="E341">iferror(index('rna-gill'!$L:$L,match($A341,'rna-gill'!$A:$A,0)))</f>
        <v>N</v>
      </c>
      <c r="F341" t="str">
        <f t="array" ref="F341">iferror(index(fatty_acid!$G:$G,match($A341,fatty_acid!$A:$A,0)))</f>
        <v>BFA24-15</v>
      </c>
      <c r="G341" t="str">
        <f t="array" ref="G341">iferror(index(fatty_acid!$J:$J,match($A341,fatty_acid!$A:$A,0)))</f>
        <v>N</v>
      </c>
      <c r="H341" t="str">
        <f t="array" ref="H341">iferror(index(isotopes!$G:$G,match($A341,isotopes!$A:$A,0)))</f>
        <v>BIS26-34</v>
      </c>
      <c r="I341" t="str">
        <f t="array" ref="I341">iferror(index(isotopes!$J:$J,match($A341,isotopes!$A:$A,0)))</f>
        <v>N</v>
      </c>
      <c r="J341" t="str">
        <f t="array" ref="J341">iferror(index(extra_muscle!$G:$G,match($A341,extra_muscle!$A:$A,0)))</f>
        <v>BXM26-1</v>
      </c>
      <c r="K341" t="str">
        <f t="array" ref="K341">iferror(index(extra_muscle!$J:$J,match($A341,extra_muscle!$A:$A,0)))</f>
        <v>N</v>
      </c>
      <c r="L341" s="59" t="str">
        <f t="array" ref="L341">iferror(index(dna!$G:$G,match($A341,dna!$A:$A,0)))</f>
        <v/>
      </c>
      <c r="M341" s="60" t="str">
        <f t="array" ref="M341">iferror(index(dna!$J:$J,match($A341,dna!$A:$A,0)))</f>
        <v/>
      </c>
      <c r="N341" t="str">
        <f t="array" ref="N341">iferror(index(stomachs!$G:$G,match($A341,stomachs!$A:$A,0)))</f>
        <v>BST243-11</v>
      </c>
      <c r="O341" t="str">
        <f t="array" ref="O341">iferror(index(stomachs!$J:$J,match($A341,stomachs!$A:$A,0)))</f>
        <v>N</v>
      </c>
      <c r="P341" t="str">
        <f t="array" ref="P341">iferror(index(sea_lice!$G:$G,match($A341,sea_lice!$A:$A,0)))</f>
        <v/>
      </c>
      <c r="Q341" t="str">
        <f t="array" ref="Q341">iferror(index(sea_lice!$J:$J,match($A341,sea_lice!$A:$A,0)))</f>
        <v/>
      </c>
      <c r="R341" s="40" t="str">
        <f t="array" ref="R341">iferror(index(dissected_fish!$F:$F,match($A341,dissected_fish!$A:$A,0)))</f>
        <v>BCA102</v>
      </c>
      <c r="S341" s="40" t="str">
        <f t="array" ref="S341">iferror(index(dissected_fish!$K:$K,match($A341,dissected_fish!$A:$A,0)))</f>
        <v>N</v>
      </c>
      <c r="T341" s="61" t="str">
        <f t="array" ref="T341">index(fish_lab_data!O:O,match(A341,fish_lab_data!C:C,0))</f>
        <v>EJ</v>
      </c>
      <c r="U341" s="61">
        <f t="array" ref="U341">if(A341="","",index(fish_lab_data!X:X,match(A341,fish_lab_data!C:C,0)))</f>
        <v>340</v>
      </c>
    </row>
    <row r="342">
      <c r="A342" t="str">
        <f>fish_lab_data!C342</f>
        <v>U5423</v>
      </c>
      <c r="B342" t="str">
        <f t="array" ref="B342">iferror(index('rna-muscle'!$I:$I,match($A342,'rna-muscle'!$A:$A,0)))</f>
        <v>BRN65M-B4</v>
      </c>
      <c r="C342" t="str">
        <f t="array" ref="C342">iferror(index('rna-muscle'!$L:$L,match($A342,'rna-muscle'!$A:$A,0)))</f>
        <v>N</v>
      </c>
      <c r="D342" t="str">
        <f t="array" ref="D342">iferror(index('rna-gill'!$I:$I,match($A342,'rna-gill'!$A:$A,0)))</f>
        <v>BRN65G-B4</v>
      </c>
      <c r="E342" t="str">
        <f t="array" ref="E342">iferror(index('rna-gill'!$L:$L,match($A342,'rna-gill'!$A:$A,0)))</f>
        <v>N</v>
      </c>
      <c r="F342" t="str">
        <f t="array" ref="F342">iferror(index(fatty_acid!$G:$G,match($A342,fatty_acid!$A:$A,0)))</f>
        <v>BFA24-16</v>
      </c>
      <c r="G342" t="str">
        <f t="array" ref="G342">iferror(index(fatty_acid!$J:$J,match($A342,fatty_acid!$A:$A,0)))</f>
        <v>N</v>
      </c>
      <c r="H342" t="str">
        <f t="array" ref="H342">iferror(index(isotopes!$G:$G,match($A342,isotopes!$A:$A,0)))</f>
        <v>BIS26-35</v>
      </c>
      <c r="I342" t="str">
        <f t="array" ref="I342">iferror(index(isotopes!$J:$J,match($A342,isotopes!$A:$A,0)))</f>
        <v>N</v>
      </c>
      <c r="J342" t="str">
        <f t="array" ref="J342">iferror(index(extra_muscle!$G:$G,match($A342,extra_muscle!$A:$A,0)))</f>
        <v>BXM26-2</v>
      </c>
      <c r="K342" t="str">
        <f t="array" ref="K342">iferror(index(extra_muscle!$J:$J,match($A342,extra_muscle!$A:$A,0)))</f>
        <v>N</v>
      </c>
      <c r="L342" s="59" t="str">
        <f t="array" ref="L342">iferror(index(dna!$G:$G,match($A342,dna!$A:$A,0)))</f>
        <v/>
      </c>
      <c r="M342" s="60" t="str">
        <f t="array" ref="M342">iferror(index(dna!$J:$J,match($A342,dna!$A:$A,0)))</f>
        <v/>
      </c>
      <c r="N342" t="str">
        <f t="array" ref="N342">iferror(index(stomachs!$G:$G,match($A342,stomachs!$A:$A,0)))</f>
        <v>BST243-12</v>
      </c>
      <c r="O342" t="str">
        <f t="array" ref="O342">iferror(index(stomachs!$J:$J,match($A342,stomachs!$A:$A,0)))</f>
        <v>N</v>
      </c>
      <c r="P342" t="str">
        <f t="array" ref="P342">iferror(index(sea_lice!$G:$G,match($A342,sea_lice!$A:$A,0)))</f>
        <v/>
      </c>
      <c r="Q342" t="str">
        <f t="array" ref="Q342">iferror(index(sea_lice!$J:$J,match($A342,sea_lice!$A:$A,0)))</f>
        <v/>
      </c>
      <c r="R342" s="40" t="str">
        <f t="array" ref="R342">iferror(index(dissected_fish!$F:$F,match($A342,dissected_fish!$A:$A,0)))</f>
        <v>BCA102</v>
      </c>
      <c r="S342" s="40" t="str">
        <f t="array" ref="S342">iferror(index(dissected_fish!$K:$K,match($A342,dissected_fish!$A:$A,0)))</f>
        <v>N</v>
      </c>
      <c r="T342" s="61" t="str">
        <f t="array" ref="T342">index(fish_lab_data!O:O,match(A342,fish_lab_data!C:C,0))</f>
        <v>EJ</v>
      </c>
      <c r="U342" s="61">
        <f t="array" ref="U342">if(A342="","",index(fish_lab_data!X:X,match(A342,fish_lab_data!C:C,0)))</f>
        <v>341</v>
      </c>
    </row>
    <row r="343">
      <c r="A343" t="str">
        <f>fish_lab_data!C343</f>
        <v>U5424</v>
      </c>
      <c r="B343" t="str">
        <f t="array" ref="B343">iferror(index('rna-muscle'!$I:$I,match($A343,'rna-muscle'!$A:$A,0)))</f>
        <v>BRN65M-A4</v>
      </c>
      <c r="C343" t="str">
        <f t="array" ref="C343">iferror(index('rna-muscle'!$L:$L,match($A343,'rna-muscle'!$A:$A,0)))</f>
        <v>N</v>
      </c>
      <c r="D343" t="str">
        <f t="array" ref="D343">iferror(index('rna-gill'!$I:$I,match($A343,'rna-gill'!$A:$A,0)))</f>
        <v>BRN65G-A4</v>
      </c>
      <c r="E343" t="str">
        <f t="array" ref="E343">iferror(index('rna-gill'!$L:$L,match($A343,'rna-gill'!$A:$A,0)))</f>
        <v>N</v>
      </c>
      <c r="F343" t="str">
        <f t="array" ref="F343">iferror(index(fatty_acid!$G:$G,match($A343,fatty_acid!$A:$A,0)))</f>
        <v>BFA24-17</v>
      </c>
      <c r="G343" t="str">
        <f t="array" ref="G343">iferror(index(fatty_acid!$J:$J,match($A343,fatty_acid!$A:$A,0)))</f>
        <v>N</v>
      </c>
      <c r="H343" t="str">
        <f t="array" ref="H343">iferror(index(isotopes!$G:$G,match($A343,isotopes!$A:$A,0)))</f>
        <v>BIS26-36</v>
      </c>
      <c r="I343" t="str">
        <f t="array" ref="I343">iferror(index(isotopes!$J:$J,match($A343,isotopes!$A:$A,0)))</f>
        <v>N</v>
      </c>
      <c r="J343" t="str">
        <f t="array" ref="J343">iferror(index(extra_muscle!$G:$G,match($A343,extra_muscle!$A:$A,0)))</f>
        <v>BXM26-3</v>
      </c>
      <c r="K343" t="str">
        <f t="array" ref="K343">iferror(index(extra_muscle!$J:$J,match($A343,extra_muscle!$A:$A,0)))</f>
        <v>N</v>
      </c>
      <c r="L343" s="59" t="str">
        <f t="array" ref="L343">iferror(index(dna!$G:$G,match($A343,dna!$A:$A,0)))</f>
        <v/>
      </c>
      <c r="M343" s="60" t="str">
        <f t="array" ref="M343">iferror(index(dna!$J:$J,match($A343,dna!$A:$A,0)))</f>
        <v/>
      </c>
      <c r="N343" t="str">
        <f t="array" ref="N343">iferror(index(stomachs!$G:$G,match($A343,stomachs!$A:$A,0)))</f>
        <v>BST243-13</v>
      </c>
      <c r="O343" t="str">
        <f t="array" ref="O343">iferror(index(stomachs!$J:$J,match($A343,stomachs!$A:$A,0)))</f>
        <v>N</v>
      </c>
      <c r="P343" t="str">
        <f t="array" ref="P343">iferror(index(sea_lice!$G:$G,match($A343,sea_lice!$A:$A,0)))</f>
        <v/>
      </c>
      <c r="Q343" t="str">
        <f t="array" ref="Q343">iferror(index(sea_lice!$J:$J,match($A343,sea_lice!$A:$A,0)))</f>
        <v/>
      </c>
      <c r="R343" s="40" t="str">
        <f t="array" ref="R343">iferror(index(dissected_fish!$F:$F,match($A343,dissected_fish!$A:$A,0)))</f>
        <v>BCA102</v>
      </c>
      <c r="S343" s="40" t="str">
        <f t="array" ref="S343">iferror(index(dissected_fish!$K:$K,match($A343,dissected_fish!$A:$A,0)))</f>
        <v>N</v>
      </c>
      <c r="T343" s="61" t="str">
        <f t="array" ref="T343">index(fish_lab_data!O:O,match(A343,fish_lab_data!C:C,0))</f>
        <v>EJ</v>
      </c>
      <c r="U343" s="61">
        <f t="array" ref="U343">if(A343="","",index(fish_lab_data!X:X,match(A343,fish_lab_data!C:C,0)))</f>
        <v>342</v>
      </c>
    </row>
    <row r="344">
      <c r="A344" t="str">
        <f>fish_lab_data!C344</f>
        <v>U5425</v>
      </c>
      <c r="B344" t="str">
        <f t="array" ref="B344">iferror(index('rna-muscle'!$I:$I,match($A344,'rna-muscle'!$A:$A,0)))</f>
        <v>BRN65M-G6</v>
      </c>
      <c r="C344" t="str">
        <f t="array" ref="C344">iferror(index('rna-muscle'!$L:$L,match($A344,'rna-muscle'!$A:$A,0)))</f>
        <v>N</v>
      </c>
      <c r="D344" t="str">
        <f t="array" ref="D344">iferror(index('rna-gill'!$I:$I,match($A344,'rna-gill'!$A:$A,0)))</f>
        <v>BRN65G-G6</v>
      </c>
      <c r="E344" t="str">
        <f t="array" ref="E344">iferror(index('rna-gill'!$L:$L,match($A344,'rna-gill'!$A:$A,0)))</f>
        <v>N</v>
      </c>
      <c r="F344" t="str">
        <f t="array" ref="F344">iferror(index(fatty_acid!$G:$G,match($A344,fatty_acid!$A:$A,0)))</f>
        <v>BFA24-18</v>
      </c>
      <c r="G344" t="str">
        <f t="array" ref="G344">iferror(index(fatty_acid!$J:$J,match($A344,fatty_acid!$A:$A,0)))</f>
        <v>N</v>
      </c>
      <c r="H344" t="str">
        <f t="array" ref="H344">iferror(index(isotopes!$G:$G,match($A344,isotopes!$A:$A,0)))</f>
        <v>BIS26-37</v>
      </c>
      <c r="I344" t="str">
        <f t="array" ref="I344">iferror(index(isotopes!$J:$J,match($A344,isotopes!$A:$A,0)))</f>
        <v>N</v>
      </c>
      <c r="J344" t="str">
        <f t="array" ref="J344">iferror(index(extra_muscle!$G:$G,match($A344,extra_muscle!$A:$A,0)))</f>
        <v>BXM26-4</v>
      </c>
      <c r="K344" t="str">
        <f t="array" ref="K344">iferror(index(extra_muscle!$J:$J,match($A344,extra_muscle!$A:$A,0)))</f>
        <v>N</v>
      </c>
      <c r="L344" s="59" t="str">
        <f t="array" ref="L344">iferror(index(dna!$G:$G,match($A344,dna!$A:$A,0)))</f>
        <v/>
      </c>
      <c r="M344" s="60" t="str">
        <f t="array" ref="M344">iferror(index(dna!$J:$J,match($A344,dna!$A:$A,0)))</f>
        <v/>
      </c>
      <c r="N344" t="str">
        <f t="array" ref="N344">iferror(index(stomachs!$G:$G,match($A344,stomachs!$A:$A,0)))</f>
        <v>BST243-14</v>
      </c>
      <c r="O344" t="str">
        <f t="array" ref="O344">iferror(index(stomachs!$J:$J,match($A344,stomachs!$A:$A,0)))</f>
        <v>N</v>
      </c>
      <c r="P344" t="str">
        <f t="array" ref="P344">iferror(index(sea_lice!$G:$G,match($A344,sea_lice!$A:$A,0)))</f>
        <v/>
      </c>
      <c r="Q344" t="str">
        <f t="array" ref="Q344">iferror(index(sea_lice!$J:$J,match($A344,sea_lice!$A:$A,0)))</f>
        <v/>
      </c>
      <c r="R344" s="40" t="str">
        <f t="array" ref="R344">iferror(index(dissected_fish!$F:$F,match($A344,dissected_fish!$A:$A,0)))</f>
        <v>BCA102</v>
      </c>
      <c r="S344" s="40" t="str">
        <f t="array" ref="S344">iferror(index(dissected_fish!$K:$K,match($A344,dissected_fish!$A:$A,0)))</f>
        <v>N</v>
      </c>
      <c r="T344" s="61" t="str">
        <f t="array" ref="T344">index(fish_lab_data!O:O,match(A344,fish_lab_data!C:C,0))</f>
        <v>EJ</v>
      </c>
      <c r="U344" s="61">
        <f t="array" ref="U344">if(A344="","",index(fish_lab_data!X:X,match(A344,fish_lab_data!C:C,0)))</f>
        <v>343</v>
      </c>
    </row>
    <row r="345">
      <c r="A345" t="str">
        <f>fish_lab_data!C345</f>
        <v>U5426</v>
      </c>
      <c r="B345" t="str">
        <f t="array" ref="B345">iferror(index('rna-muscle'!$I:$I,match($A345,'rna-muscle'!$A:$A,0)))</f>
        <v>BRN65M-F6</v>
      </c>
      <c r="C345" t="str">
        <f t="array" ref="C345">iferror(index('rna-muscle'!$L:$L,match($A345,'rna-muscle'!$A:$A,0)))</f>
        <v>N</v>
      </c>
      <c r="D345" t="str">
        <f t="array" ref="D345">iferror(index('rna-gill'!$I:$I,match($A345,'rna-gill'!$A:$A,0)))</f>
        <v>BRN65G-F6</v>
      </c>
      <c r="E345" t="str">
        <f t="array" ref="E345">iferror(index('rna-gill'!$L:$L,match($A345,'rna-gill'!$A:$A,0)))</f>
        <v>N</v>
      </c>
      <c r="F345" t="str">
        <f t="array" ref="F345">iferror(index(fatty_acid!$G:$G,match($A345,fatty_acid!$A:$A,0)))</f>
        <v>BFA24-19</v>
      </c>
      <c r="G345" t="str">
        <f t="array" ref="G345">iferror(index(fatty_acid!$J:$J,match($A345,fatty_acid!$A:$A,0)))</f>
        <v>N</v>
      </c>
      <c r="H345" t="str">
        <f t="array" ref="H345">iferror(index(isotopes!$G:$G,match($A345,isotopes!$A:$A,0)))</f>
        <v>BIS26-38</v>
      </c>
      <c r="I345" t="str">
        <f t="array" ref="I345">iferror(index(isotopes!$J:$J,match($A345,isotopes!$A:$A,0)))</f>
        <v>N</v>
      </c>
      <c r="J345" t="str">
        <f t="array" ref="J345">iferror(index(extra_muscle!$G:$G,match($A345,extra_muscle!$A:$A,0)))</f>
        <v>BXM26-5</v>
      </c>
      <c r="K345" t="str">
        <f t="array" ref="K345">iferror(index(extra_muscle!$J:$J,match($A345,extra_muscle!$A:$A,0)))</f>
        <v>N</v>
      </c>
      <c r="L345" s="59" t="str">
        <f t="array" ref="L345">iferror(index(dna!$G:$G,match($A345,dna!$A:$A,0)))</f>
        <v/>
      </c>
      <c r="M345" s="60" t="str">
        <f t="array" ref="M345">iferror(index(dna!$J:$J,match($A345,dna!$A:$A,0)))</f>
        <v/>
      </c>
      <c r="N345" t="str">
        <f t="array" ref="N345">iferror(index(stomachs!$G:$G,match($A345,stomachs!$A:$A,0)))</f>
        <v>BST243-15</v>
      </c>
      <c r="O345" t="str">
        <f t="array" ref="O345">iferror(index(stomachs!$J:$J,match($A345,stomachs!$A:$A,0)))</f>
        <v>N</v>
      </c>
      <c r="P345" t="str">
        <f t="array" ref="P345">iferror(index(sea_lice!$G:$G,match($A345,sea_lice!$A:$A,0)))</f>
        <v/>
      </c>
      <c r="Q345" t="str">
        <f t="array" ref="Q345">iferror(index(sea_lice!$J:$J,match($A345,sea_lice!$A:$A,0)))</f>
        <v/>
      </c>
      <c r="R345" s="40" t="str">
        <f t="array" ref="R345">iferror(index(dissected_fish!$F:$F,match($A345,dissected_fish!$A:$A,0)))</f>
        <v>BCA102</v>
      </c>
      <c r="S345" s="40" t="str">
        <f t="array" ref="S345">iferror(index(dissected_fish!$K:$K,match($A345,dissected_fish!$A:$A,0)))</f>
        <v>N</v>
      </c>
      <c r="T345" s="61" t="str">
        <f t="array" ref="T345">index(fish_lab_data!O:O,match(A345,fish_lab_data!C:C,0))</f>
        <v>EJ</v>
      </c>
      <c r="U345" s="61">
        <f t="array" ref="U345">if(A345="","",index(fish_lab_data!X:X,match(A345,fish_lab_data!C:C,0)))</f>
        <v>344</v>
      </c>
    </row>
    <row r="346">
      <c r="A346" t="str">
        <f>fish_lab_data!C346</f>
        <v>U5427</v>
      </c>
      <c r="B346" t="str">
        <f t="array" ref="B346">iferror(index('rna-muscle'!$I:$I,match($A346,'rna-muscle'!$A:$A,0)))</f>
        <v>BRN65M-E6</v>
      </c>
      <c r="C346" t="str">
        <f t="array" ref="C346">iferror(index('rna-muscle'!$L:$L,match($A346,'rna-muscle'!$A:$A,0)))</f>
        <v>N</v>
      </c>
      <c r="D346" t="str">
        <f t="array" ref="D346">iferror(index('rna-gill'!$I:$I,match($A346,'rna-gill'!$A:$A,0)))</f>
        <v>BRN65G-E6</v>
      </c>
      <c r="E346" t="str">
        <f t="array" ref="E346">iferror(index('rna-gill'!$L:$L,match($A346,'rna-gill'!$A:$A,0)))</f>
        <v>N</v>
      </c>
      <c r="F346" t="str">
        <f t="array" ref="F346">iferror(index(fatty_acid!$G:$G,match($A346,fatty_acid!$A:$A,0)))</f>
        <v>BFA24-20</v>
      </c>
      <c r="G346" t="str">
        <f t="array" ref="G346">iferror(index(fatty_acid!$J:$J,match($A346,fatty_acid!$A:$A,0)))</f>
        <v>N</v>
      </c>
      <c r="H346" t="str">
        <f t="array" ref="H346">iferror(index(isotopes!$G:$G,match($A346,isotopes!$A:$A,0)))</f>
        <v>BIS26-39</v>
      </c>
      <c r="I346" t="str">
        <f t="array" ref="I346">iferror(index(isotopes!$J:$J,match($A346,isotopes!$A:$A,0)))</f>
        <v>N</v>
      </c>
      <c r="J346" t="str">
        <f t="array" ref="J346">iferror(index(extra_muscle!$G:$G,match($A346,extra_muscle!$A:$A,0)))</f>
        <v>BXM26-6</v>
      </c>
      <c r="K346" t="str">
        <f t="array" ref="K346">iferror(index(extra_muscle!$J:$J,match($A346,extra_muscle!$A:$A,0)))</f>
        <v>N</v>
      </c>
      <c r="L346" s="59" t="str">
        <f t="array" ref="L346">iferror(index(dna!$G:$G,match($A346,dna!$A:$A,0)))</f>
        <v/>
      </c>
      <c r="M346" s="60" t="str">
        <f t="array" ref="M346">iferror(index(dna!$J:$J,match($A346,dna!$A:$A,0)))</f>
        <v/>
      </c>
      <c r="N346" t="str">
        <f t="array" ref="N346">iferror(index(stomachs!$G:$G,match($A346,stomachs!$A:$A,0)))</f>
        <v>BST243-16</v>
      </c>
      <c r="O346" t="str">
        <f t="array" ref="O346">iferror(index(stomachs!$J:$J,match($A346,stomachs!$A:$A,0)))</f>
        <v>N</v>
      </c>
      <c r="P346" t="str">
        <f t="array" ref="P346">iferror(index(sea_lice!$G:$G,match($A346,sea_lice!$A:$A,0)))</f>
        <v/>
      </c>
      <c r="Q346" t="str">
        <f t="array" ref="Q346">iferror(index(sea_lice!$J:$J,match($A346,sea_lice!$A:$A,0)))</f>
        <v/>
      </c>
      <c r="R346" s="40" t="str">
        <f t="array" ref="R346">iferror(index(dissected_fish!$F:$F,match($A346,dissected_fish!$A:$A,0)))</f>
        <v>BCA102</v>
      </c>
      <c r="S346" s="40" t="str">
        <f t="array" ref="S346">iferror(index(dissected_fish!$K:$K,match($A346,dissected_fish!$A:$A,0)))</f>
        <v>N</v>
      </c>
      <c r="T346" s="61" t="str">
        <f t="array" ref="T346">index(fish_lab_data!O:O,match(A346,fish_lab_data!C:C,0))</f>
        <v>EJ</v>
      </c>
      <c r="U346" s="61">
        <f t="array" ref="U346">if(A346="","",index(fish_lab_data!X:X,match(A346,fish_lab_data!C:C,0)))</f>
        <v>345</v>
      </c>
    </row>
    <row r="347">
      <c r="A347" t="str">
        <f>fish_lab_data!C347</f>
        <v>U5428</v>
      </c>
      <c r="B347" t="str">
        <f t="array" ref="B347">iferror(index('rna-muscle'!$I:$I,match($A347,'rna-muscle'!$A:$A,0)))</f>
        <v>BRN65M-D6</v>
      </c>
      <c r="C347" t="str">
        <f t="array" ref="C347">iferror(index('rna-muscle'!$L:$L,match($A347,'rna-muscle'!$A:$A,0)))</f>
        <v>N</v>
      </c>
      <c r="D347" t="str">
        <f t="array" ref="D347">iferror(index('rna-gill'!$I:$I,match($A347,'rna-gill'!$A:$A,0)))</f>
        <v>BRN65G-D6</v>
      </c>
      <c r="E347" t="str">
        <f t="array" ref="E347">iferror(index('rna-gill'!$L:$L,match($A347,'rna-gill'!$A:$A,0)))</f>
        <v>N</v>
      </c>
      <c r="F347" t="str">
        <f t="array" ref="F347">iferror(index(fatty_acid!$G:$G,match($A347,fatty_acid!$A:$A,0)))</f>
        <v>BFA24-21</v>
      </c>
      <c r="G347" t="str">
        <f t="array" ref="G347">iferror(index(fatty_acid!$J:$J,match($A347,fatty_acid!$A:$A,0)))</f>
        <v>N</v>
      </c>
      <c r="H347" t="str">
        <f t="array" ref="H347">iferror(index(isotopes!$G:$G,match($A347,isotopes!$A:$A,0)))</f>
        <v>BIS26-40</v>
      </c>
      <c r="I347" t="str">
        <f t="array" ref="I347">iferror(index(isotopes!$J:$J,match($A347,isotopes!$A:$A,0)))</f>
        <v>N</v>
      </c>
      <c r="J347" t="str">
        <f t="array" ref="J347">iferror(index(extra_muscle!$G:$G,match($A347,extra_muscle!$A:$A,0)))</f>
        <v>BXM26-7</v>
      </c>
      <c r="K347" t="str">
        <f t="array" ref="K347">iferror(index(extra_muscle!$J:$J,match($A347,extra_muscle!$A:$A,0)))</f>
        <v>N</v>
      </c>
      <c r="L347" s="59" t="str">
        <f t="array" ref="L347">iferror(index(dna!$G:$G,match($A347,dna!$A:$A,0)))</f>
        <v/>
      </c>
      <c r="M347" s="60" t="str">
        <f t="array" ref="M347">iferror(index(dna!$J:$J,match($A347,dna!$A:$A,0)))</f>
        <v/>
      </c>
      <c r="N347" t="str">
        <f t="array" ref="N347">iferror(index(stomachs!$G:$G,match($A347,stomachs!$A:$A,0)))</f>
        <v>BST243-17</v>
      </c>
      <c r="O347" t="str">
        <f t="array" ref="O347">iferror(index(stomachs!$J:$J,match($A347,stomachs!$A:$A,0)))</f>
        <v>N</v>
      </c>
      <c r="P347" t="str">
        <f t="array" ref="P347">iferror(index(sea_lice!$G:$G,match($A347,sea_lice!$A:$A,0)))</f>
        <v/>
      </c>
      <c r="Q347" t="str">
        <f t="array" ref="Q347">iferror(index(sea_lice!$J:$J,match($A347,sea_lice!$A:$A,0)))</f>
        <v/>
      </c>
      <c r="R347" s="40" t="str">
        <f t="array" ref="R347">iferror(index(dissected_fish!$F:$F,match($A347,dissected_fish!$A:$A,0)))</f>
        <v>BCA102</v>
      </c>
      <c r="S347" s="40" t="str">
        <f t="array" ref="S347">iferror(index(dissected_fish!$K:$K,match($A347,dissected_fish!$A:$A,0)))</f>
        <v>N</v>
      </c>
      <c r="T347" s="61" t="str">
        <f t="array" ref="T347">index(fish_lab_data!O:O,match(A347,fish_lab_data!C:C,0))</f>
        <v>EJ</v>
      </c>
      <c r="U347" s="61">
        <f t="array" ref="U347">if(A347="","",index(fish_lab_data!X:X,match(A347,fish_lab_data!C:C,0)))</f>
        <v>346</v>
      </c>
    </row>
    <row r="348">
      <c r="A348" t="str">
        <f>fish_lab_data!C348</f>
        <v>U5429</v>
      </c>
      <c r="B348" t="str">
        <f t="array" ref="B348">iferror(index('rna-muscle'!$I:$I,match($A348,'rna-muscle'!$A:$A,0)))</f>
        <v>BRN65M-C6</v>
      </c>
      <c r="C348" t="str">
        <f t="array" ref="C348">iferror(index('rna-muscle'!$L:$L,match($A348,'rna-muscle'!$A:$A,0)))</f>
        <v>N</v>
      </c>
      <c r="D348" t="str">
        <f t="array" ref="D348">iferror(index('rna-gill'!$I:$I,match($A348,'rna-gill'!$A:$A,0)))</f>
        <v>BRN65G-C6</v>
      </c>
      <c r="E348" t="str">
        <f t="array" ref="E348">iferror(index('rna-gill'!$L:$L,match($A348,'rna-gill'!$A:$A,0)))</f>
        <v>N</v>
      </c>
      <c r="F348" t="str">
        <f t="array" ref="F348">iferror(index(fatty_acid!$G:$G,match($A348,fatty_acid!$A:$A,0)))</f>
        <v>BFA24-22</v>
      </c>
      <c r="G348" t="str">
        <f t="array" ref="G348">iferror(index(fatty_acid!$J:$J,match($A348,fatty_acid!$A:$A,0)))</f>
        <v>N</v>
      </c>
      <c r="H348" t="str">
        <f t="array" ref="H348">iferror(index(isotopes!$G:$G,match($A348,isotopes!$A:$A,0)))</f>
        <v>BIS26-41</v>
      </c>
      <c r="I348" t="str">
        <f t="array" ref="I348">iferror(index(isotopes!$J:$J,match($A348,isotopes!$A:$A,0)))</f>
        <v>N</v>
      </c>
      <c r="J348" t="str">
        <f t="array" ref="J348">iferror(index(extra_muscle!$G:$G,match($A348,extra_muscle!$A:$A,0)))</f>
        <v>BXM26-8</v>
      </c>
      <c r="K348" t="str">
        <f t="array" ref="K348">iferror(index(extra_muscle!$J:$J,match($A348,extra_muscle!$A:$A,0)))</f>
        <v>N</v>
      </c>
      <c r="L348" s="59" t="str">
        <f t="array" ref="L348">iferror(index(dna!$G:$G,match($A348,dna!$A:$A,0)))</f>
        <v/>
      </c>
      <c r="M348" s="60" t="str">
        <f t="array" ref="M348">iferror(index(dna!$J:$J,match($A348,dna!$A:$A,0)))</f>
        <v/>
      </c>
      <c r="N348" t="str">
        <f t="array" ref="N348">iferror(index(stomachs!$G:$G,match($A348,stomachs!$A:$A,0)))</f>
        <v>BST243-18</v>
      </c>
      <c r="O348" t="str">
        <f t="array" ref="O348">iferror(index(stomachs!$J:$J,match($A348,stomachs!$A:$A,0)))</f>
        <v>N</v>
      </c>
      <c r="P348" t="str">
        <f t="array" ref="P348">iferror(index(sea_lice!$G:$G,match($A348,sea_lice!$A:$A,0)))</f>
        <v/>
      </c>
      <c r="Q348" t="str">
        <f t="array" ref="Q348">iferror(index(sea_lice!$J:$J,match($A348,sea_lice!$A:$A,0)))</f>
        <v/>
      </c>
      <c r="R348" s="40" t="str">
        <f t="array" ref="R348">iferror(index(dissected_fish!$F:$F,match($A348,dissected_fish!$A:$A,0)))</f>
        <v>BCA102</v>
      </c>
      <c r="S348" s="40" t="str">
        <f t="array" ref="S348">iferror(index(dissected_fish!$K:$K,match($A348,dissected_fish!$A:$A,0)))</f>
        <v>N</v>
      </c>
      <c r="T348" s="61" t="str">
        <f t="array" ref="T348">index(fish_lab_data!O:O,match(A348,fish_lab_data!C:C,0))</f>
        <v>EJ</v>
      </c>
      <c r="U348" s="61">
        <f t="array" ref="U348">if(A348="","",index(fish_lab_data!X:X,match(A348,fish_lab_data!C:C,0)))</f>
        <v>347</v>
      </c>
    </row>
    <row r="349">
      <c r="A349" t="str">
        <f>fish_lab_data!C349</f>
        <v>U5430</v>
      </c>
      <c r="B349" t="str">
        <f t="array" ref="B349">iferror(index('rna-muscle'!$I:$I,match($A349,'rna-muscle'!$A:$A,0)))</f>
        <v>BRN65M-B6</v>
      </c>
      <c r="C349" t="str">
        <f t="array" ref="C349">iferror(index('rna-muscle'!$L:$L,match($A349,'rna-muscle'!$A:$A,0)))</f>
        <v>N</v>
      </c>
      <c r="D349" t="str">
        <f t="array" ref="D349">iferror(index('rna-gill'!$I:$I,match($A349,'rna-gill'!$A:$A,0)))</f>
        <v>BRN65G-B6</v>
      </c>
      <c r="E349" t="str">
        <f t="array" ref="E349">iferror(index('rna-gill'!$L:$L,match($A349,'rna-gill'!$A:$A,0)))</f>
        <v>N</v>
      </c>
      <c r="F349" t="str">
        <f t="array" ref="F349">iferror(index(fatty_acid!$G:$G,match($A349,fatty_acid!$A:$A,0)))</f>
        <v>BFA24-23</v>
      </c>
      <c r="G349" t="str">
        <f t="array" ref="G349">iferror(index(fatty_acid!$J:$J,match($A349,fatty_acid!$A:$A,0)))</f>
        <v>N</v>
      </c>
      <c r="H349" t="str">
        <f t="array" ref="H349">iferror(index(isotopes!$G:$G,match($A349,isotopes!$A:$A,0)))</f>
        <v>BIS26-42</v>
      </c>
      <c r="I349" t="str">
        <f t="array" ref="I349">iferror(index(isotopes!$J:$J,match($A349,isotopes!$A:$A,0)))</f>
        <v>N</v>
      </c>
      <c r="J349" t="str">
        <f t="array" ref="J349">iferror(index(extra_muscle!$G:$G,match($A349,extra_muscle!$A:$A,0)))</f>
        <v>BXM26-9</v>
      </c>
      <c r="K349" t="str">
        <f t="array" ref="K349">iferror(index(extra_muscle!$J:$J,match($A349,extra_muscle!$A:$A,0)))</f>
        <v>N</v>
      </c>
      <c r="L349" s="59" t="str">
        <f t="array" ref="L349">iferror(index(dna!$G:$G,match($A349,dna!$A:$A,0)))</f>
        <v/>
      </c>
      <c r="M349" s="60" t="str">
        <f t="array" ref="M349">iferror(index(dna!$J:$J,match($A349,dna!$A:$A,0)))</f>
        <v/>
      </c>
      <c r="N349" t="str">
        <f t="array" ref="N349">iferror(index(stomachs!$G:$G,match($A349,stomachs!$A:$A,0)))</f>
        <v>BST243-19</v>
      </c>
      <c r="O349" t="str">
        <f t="array" ref="O349">iferror(index(stomachs!$J:$J,match($A349,stomachs!$A:$A,0)))</f>
        <v>N</v>
      </c>
      <c r="P349" t="str">
        <f t="array" ref="P349">iferror(index(sea_lice!$G:$G,match($A349,sea_lice!$A:$A,0)))</f>
        <v/>
      </c>
      <c r="Q349" t="str">
        <f t="array" ref="Q349">iferror(index(sea_lice!$J:$J,match($A349,sea_lice!$A:$A,0)))</f>
        <v/>
      </c>
      <c r="R349" s="40" t="str">
        <f t="array" ref="R349">iferror(index(dissected_fish!$F:$F,match($A349,dissected_fish!$A:$A,0)))</f>
        <v>BCA102</v>
      </c>
      <c r="S349" s="40" t="str">
        <f t="array" ref="S349">iferror(index(dissected_fish!$K:$K,match($A349,dissected_fish!$A:$A,0)))</f>
        <v>N</v>
      </c>
      <c r="T349" s="61" t="str">
        <f t="array" ref="T349">index(fish_lab_data!O:O,match(A349,fish_lab_data!C:C,0))</f>
        <v>EJ</v>
      </c>
      <c r="U349" s="61">
        <f t="array" ref="U349">if(A349="","",index(fish_lab_data!X:X,match(A349,fish_lab_data!C:C,0)))</f>
        <v>348</v>
      </c>
    </row>
    <row r="350">
      <c r="A350" t="str">
        <f>fish_lab_data!C350</f>
        <v>U5431</v>
      </c>
      <c r="B350" t="str">
        <f t="array" ref="B350">iferror(index('rna-muscle'!$I:$I,match($A350,'rna-muscle'!$A:$A,0)))</f>
        <v>BRN65M-A6</v>
      </c>
      <c r="C350" t="str">
        <f t="array" ref="C350">iferror(index('rna-muscle'!$L:$L,match($A350,'rna-muscle'!$A:$A,0)))</f>
        <v>N</v>
      </c>
      <c r="D350" t="str">
        <f t="array" ref="D350">iferror(index('rna-gill'!$I:$I,match($A350,'rna-gill'!$A:$A,0)))</f>
        <v>BRN65G-A6</v>
      </c>
      <c r="E350" t="str">
        <f t="array" ref="E350">iferror(index('rna-gill'!$L:$L,match($A350,'rna-gill'!$A:$A,0)))</f>
        <v>N</v>
      </c>
      <c r="F350" t="str">
        <f t="array" ref="F350">iferror(index(fatty_acid!$G:$G,match($A350,fatty_acid!$A:$A,0)))</f>
        <v>BFA24-24</v>
      </c>
      <c r="G350" t="str">
        <f t="array" ref="G350">iferror(index(fatty_acid!$J:$J,match($A350,fatty_acid!$A:$A,0)))</f>
        <v>N</v>
      </c>
      <c r="H350" t="str">
        <f t="array" ref="H350">iferror(index(isotopes!$G:$G,match($A350,isotopes!$A:$A,0)))</f>
        <v>BIS26-43</v>
      </c>
      <c r="I350" t="str">
        <f t="array" ref="I350">iferror(index(isotopes!$J:$J,match($A350,isotopes!$A:$A,0)))</f>
        <v>N</v>
      </c>
      <c r="J350" t="str">
        <f t="array" ref="J350">iferror(index(extra_muscle!$G:$G,match($A350,extra_muscle!$A:$A,0)))</f>
        <v>BXM26-10</v>
      </c>
      <c r="K350" t="str">
        <f t="array" ref="K350">iferror(index(extra_muscle!$J:$J,match($A350,extra_muscle!$A:$A,0)))</f>
        <v>N</v>
      </c>
      <c r="L350" s="59" t="str">
        <f t="array" ref="L350">iferror(index(dna!$G:$G,match($A350,dna!$A:$A,0)))</f>
        <v/>
      </c>
      <c r="M350" s="60" t="str">
        <f t="array" ref="M350">iferror(index(dna!$J:$J,match($A350,dna!$A:$A,0)))</f>
        <v/>
      </c>
      <c r="N350" t="str">
        <f t="array" ref="N350">iferror(index(stomachs!$G:$G,match($A350,stomachs!$A:$A,0)))</f>
        <v>BST243-20</v>
      </c>
      <c r="O350" t="str">
        <f t="array" ref="O350">iferror(index(stomachs!$J:$J,match($A350,stomachs!$A:$A,0)))</f>
        <v>N</v>
      </c>
      <c r="P350" t="str">
        <f t="array" ref="P350">iferror(index(sea_lice!$G:$G,match($A350,sea_lice!$A:$A,0)))</f>
        <v/>
      </c>
      <c r="Q350" t="str">
        <f t="array" ref="Q350">iferror(index(sea_lice!$J:$J,match($A350,sea_lice!$A:$A,0)))</f>
        <v/>
      </c>
      <c r="R350" s="40" t="str">
        <f t="array" ref="R350">iferror(index(dissected_fish!$F:$F,match($A350,dissected_fish!$A:$A,0)))</f>
        <v>BCA102</v>
      </c>
      <c r="S350" s="40" t="str">
        <f t="array" ref="S350">iferror(index(dissected_fish!$K:$K,match($A350,dissected_fish!$A:$A,0)))</f>
        <v>N</v>
      </c>
      <c r="T350" s="61" t="str">
        <f t="array" ref="T350">index(fish_lab_data!O:O,match(A350,fish_lab_data!C:C,0))</f>
        <v>EJ</v>
      </c>
      <c r="U350" s="61">
        <f t="array" ref="U350">if(A350="","",index(fish_lab_data!X:X,match(A350,fish_lab_data!C:C,0)))</f>
        <v>349</v>
      </c>
    </row>
    <row r="351">
      <c r="A351" t="str">
        <f>fish_lab_data!C351</f>
        <v>U5432</v>
      </c>
      <c r="B351" t="str">
        <f t="array" ref="B351">iferror(index('rna-muscle'!$I:$I,match($A351,'rna-muscle'!$A:$A,0)))</f>
        <v>BRN64M-H8</v>
      </c>
      <c r="C351" t="str">
        <f t="array" ref="C351">iferror(index('rna-muscle'!$L:$L,match($A351,'rna-muscle'!$A:$A,0)))</f>
        <v>N</v>
      </c>
      <c r="D351" t="str">
        <f t="array" ref="D351">iferror(index('rna-gill'!$I:$I,match($A351,'rna-gill'!$A:$A,0)))</f>
        <v>BRN64G-H8</v>
      </c>
      <c r="E351" t="str">
        <f t="array" ref="E351">iferror(index('rna-gill'!$L:$L,match($A351,'rna-gill'!$A:$A,0)))</f>
        <v>N</v>
      </c>
      <c r="F351" t="str">
        <f t="array" ref="F351">iferror(index(fatty_acid!$G:$G,match($A351,fatty_acid!$A:$A,0)))</f>
        <v>BFA24-25</v>
      </c>
      <c r="G351" t="str">
        <f t="array" ref="G351">iferror(index(fatty_acid!$J:$J,match($A351,fatty_acid!$A:$A,0)))</f>
        <v>N</v>
      </c>
      <c r="H351" t="str">
        <f t="array" ref="H351">iferror(index(isotopes!$G:$G,match($A351,isotopes!$A:$A,0)))</f>
        <v>BIS26-44</v>
      </c>
      <c r="I351" t="str">
        <f t="array" ref="I351">iferror(index(isotopes!$J:$J,match($A351,isotopes!$A:$A,0)))</f>
        <v>N</v>
      </c>
      <c r="J351" t="str">
        <f t="array" ref="J351">iferror(index(extra_muscle!$G:$G,match($A351,extra_muscle!$A:$A,0)))</f>
        <v>BXM26-11</v>
      </c>
      <c r="K351" t="str">
        <f t="array" ref="K351">iferror(index(extra_muscle!$J:$J,match($A351,extra_muscle!$A:$A,0)))</f>
        <v>N</v>
      </c>
      <c r="L351" s="59" t="str">
        <f t="array" ref="L351">iferror(index(dna!$G:$G,match($A351,dna!$A:$A,0)))</f>
        <v/>
      </c>
      <c r="M351" s="60" t="str">
        <f t="array" ref="M351">iferror(index(dna!$J:$J,match($A351,dna!$A:$A,0)))</f>
        <v/>
      </c>
      <c r="N351" t="str">
        <f t="array" ref="N351">iferror(index(stomachs!$G:$G,match($A351,stomachs!$A:$A,0)))</f>
        <v>BST243-21</v>
      </c>
      <c r="O351" t="str">
        <f t="array" ref="O351">iferror(index(stomachs!$J:$J,match($A351,stomachs!$A:$A,0)))</f>
        <v>N</v>
      </c>
      <c r="P351" t="str">
        <f t="array" ref="P351">iferror(index(sea_lice!$G:$G,match($A351,sea_lice!$A:$A,0)))</f>
        <v/>
      </c>
      <c r="Q351" t="str">
        <f t="array" ref="Q351">iferror(index(sea_lice!$J:$J,match($A351,sea_lice!$A:$A,0)))</f>
        <v/>
      </c>
      <c r="R351" s="40" t="str">
        <f t="array" ref="R351">iferror(index(dissected_fish!$F:$F,match($A351,dissected_fish!$A:$A,0)))</f>
        <v>BCA102</v>
      </c>
      <c r="S351" s="40" t="str">
        <f t="array" ref="S351">iferror(index(dissected_fish!$K:$K,match($A351,dissected_fish!$A:$A,0)))</f>
        <v>N</v>
      </c>
      <c r="T351" s="61" t="str">
        <f t="array" ref="T351">index(fish_lab_data!O:O,match(A351,fish_lab_data!C:C,0))</f>
        <v>EJ</v>
      </c>
      <c r="U351" s="61">
        <f t="array" ref="U351">if(A351="","",index(fish_lab_data!X:X,match(A351,fish_lab_data!C:C,0)))</f>
        <v>350</v>
      </c>
    </row>
    <row r="352">
      <c r="A352" t="str">
        <f>fish_lab_data!C352</f>
        <v>U5433</v>
      </c>
      <c r="B352" t="str">
        <f t="array" ref="B352">iferror(index('rna-muscle'!$I:$I,match($A352,'rna-muscle'!$A:$A,0)))</f>
        <v>BRN64M-G8</v>
      </c>
      <c r="C352" t="str">
        <f t="array" ref="C352">iferror(index('rna-muscle'!$L:$L,match($A352,'rna-muscle'!$A:$A,0)))</f>
        <v>N</v>
      </c>
      <c r="D352" t="str">
        <f t="array" ref="D352">iferror(index('rna-gill'!$I:$I,match($A352,'rna-gill'!$A:$A,0)))</f>
        <v>BRN64G-G8</v>
      </c>
      <c r="E352" t="str">
        <f t="array" ref="E352">iferror(index('rna-gill'!$L:$L,match($A352,'rna-gill'!$A:$A,0)))</f>
        <v>N</v>
      </c>
      <c r="F352" t="str">
        <f t="array" ref="F352">iferror(index(fatty_acid!$G:$G,match($A352,fatty_acid!$A:$A,0)))</f>
        <v>BFA24-26</v>
      </c>
      <c r="G352" t="str">
        <f t="array" ref="G352">iferror(index(fatty_acid!$J:$J,match($A352,fatty_acid!$A:$A,0)))</f>
        <v>N</v>
      </c>
      <c r="H352" t="str">
        <f t="array" ref="H352">iferror(index(isotopes!$G:$G,match($A352,isotopes!$A:$A,0)))</f>
        <v>BIS26-45</v>
      </c>
      <c r="I352" t="str">
        <f t="array" ref="I352">iferror(index(isotopes!$J:$J,match($A352,isotopes!$A:$A,0)))</f>
        <v>N</v>
      </c>
      <c r="J352" t="str">
        <f t="array" ref="J352">iferror(index(extra_muscle!$G:$G,match($A352,extra_muscle!$A:$A,0)))</f>
        <v>BXM26-12</v>
      </c>
      <c r="K352" t="str">
        <f t="array" ref="K352">iferror(index(extra_muscle!$J:$J,match($A352,extra_muscle!$A:$A,0)))</f>
        <v>N</v>
      </c>
      <c r="L352" s="59" t="str">
        <f t="array" ref="L352">iferror(index(dna!$G:$G,match($A352,dna!$A:$A,0)))</f>
        <v/>
      </c>
      <c r="M352" s="60" t="str">
        <f t="array" ref="M352">iferror(index(dna!$J:$J,match($A352,dna!$A:$A,0)))</f>
        <v/>
      </c>
      <c r="N352" t="str">
        <f t="array" ref="N352">iferror(index(stomachs!$G:$G,match($A352,stomachs!$A:$A,0)))</f>
        <v>BST243-22</v>
      </c>
      <c r="O352" t="str">
        <f t="array" ref="O352">iferror(index(stomachs!$J:$J,match($A352,stomachs!$A:$A,0)))</f>
        <v>N</v>
      </c>
      <c r="P352" t="str">
        <f t="array" ref="P352">iferror(index(sea_lice!$G:$G,match($A352,sea_lice!$A:$A,0)))</f>
        <v/>
      </c>
      <c r="Q352" t="str">
        <f t="array" ref="Q352">iferror(index(sea_lice!$J:$J,match($A352,sea_lice!$A:$A,0)))</f>
        <v/>
      </c>
      <c r="R352" s="40" t="str">
        <f t="array" ref="R352">iferror(index(dissected_fish!$F:$F,match($A352,dissected_fish!$A:$A,0)))</f>
        <v>BCA102</v>
      </c>
      <c r="S352" s="40" t="str">
        <f t="array" ref="S352">iferror(index(dissected_fish!$K:$K,match($A352,dissected_fish!$A:$A,0)))</f>
        <v>N</v>
      </c>
      <c r="T352" s="61" t="str">
        <f t="array" ref="T352">index(fish_lab_data!O:O,match(A352,fish_lab_data!C:C,0))</f>
        <v>EJ</v>
      </c>
      <c r="U352" s="61">
        <f t="array" ref="U352">if(A352="","",index(fish_lab_data!X:X,match(A352,fish_lab_data!C:C,0)))</f>
        <v>351</v>
      </c>
    </row>
    <row r="353">
      <c r="A353" t="str">
        <f>fish_lab_data!C353</f>
        <v>U5434</v>
      </c>
      <c r="B353" t="str">
        <f t="array" ref="B353">iferror(index('rna-muscle'!$I:$I,match($A353,'rna-muscle'!$A:$A,0)))</f>
        <v>BRN64M-F8</v>
      </c>
      <c r="C353" t="str">
        <f t="array" ref="C353">iferror(index('rna-muscle'!$L:$L,match($A353,'rna-muscle'!$A:$A,0)))</f>
        <v>N</v>
      </c>
      <c r="D353" t="str">
        <f t="array" ref="D353">iferror(index('rna-gill'!$I:$I,match($A353,'rna-gill'!$A:$A,0)))</f>
        <v>BRN64G-F8</v>
      </c>
      <c r="E353" t="str">
        <f t="array" ref="E353">iferror(index('rna-gill'!$L:$L,match($A353,'rna-gill'!$A:$A,0)))</f>
        <v>N</v>
      </c>
      <c r="F353" t="str">
        <f t="array" ref="F353">iferror(index(fatty_acid!$G:$G,match($A353,fatty_acid!$A:$A,0)))</f>
        <v>BFA24-27</v>
      </c>
      <c r="G353" t="str">
        <f t="array" ref="G353">iferror(index(fatty_acid!$J:$J,match($A353,fatty_acid!$A:$A,0)))</f>
        <v>N</v>
      </c>
      <c r="H353" t="str">
        <f t="array" ref="H353">iferror(index(isotopes!$G:$G,match($A353,isotopes!$A:$A,0)))</f>
        <v>BIS26-46</v>
      </c>
      <c r="I353" t="str">
        <f t="array" ref="I353">iferror(index(isotopes!$J:$J,match($A353,isotopes!$A:$A,0)))</f>
        <v>N</v>
      </c>
      <c r="J353" t="str">
        <f t="array" ref="J353">iferror(index(extra_muscle!$G:$G,match($A353,extra_muscle!$A:$A,0)))</f>
        <v>BXM26-13</v>
      </c>
      <c r="K353" t="str">
        <f t="array" ref="K353">iferror(index(extra_muscle!$J:$J,match($A353,extra_muscle!$A:$A,0)))</f>
        <v>N</v>
      </c>
      <c r="L353" s="59" t="str">
        <f t="array" ref="L353">iferror(index(dna!$G:$G,match($A353,dna!$A:$A,0)))</f>
        <v/>
      </c>
      <c r="M353" s="60" t="str">
        <f t="array" ref="M353">iferror(index(dna!$J:$J,match($A353,dna!$A:$A,0)))</f>
        <v/>
      </c>
      <c r="N353" t="str">
        <f t="array" ref="N353">iferror(index(stomachs!$G:$G,match($A353,stomachs!$A:$A,0)))</f>
        <v>BST243-23</v>
      </c>
      <c r="O353" t="str">
        <f t="array" ref="O353">iferror(index(stomachs!$J:$J,match($A353,stomachs!$A:$A,0)))</f>
        <v>N</v>
      </c>
      <c r="P353" t="str">
        <f t="array" ref="P353">iferror(index(sea_lice!$G:$G,match($A353,sea_lice!$A:$A,0)))</f>
        <v/>
      </c>
      <c r="Q353" t="str">
        <f t="array" ref="Q353">iferror(index(sea_lice!$J:$J,match($A353,sea_lice!$A:$A,0)))</f>
        <v/>
      </c>
      <c r="R353" s="40" t="str">
        <f t="array" ref="R353">iferror(index(dissected_fish!$F:$F,match($A353,dissected_fish!$A:$A,0)))</f>
        <v>BCA102</v>
      </c>
      <c r="S353" s="40" t="str">
        <f t="array" ref="S353">iferror(index(dissected_fish!$K:$K,match($A353,dissected_fish!$A:$A,0)))</f>
        <v>N</v>
      </c>
      <c r="T353" s="61" t="str">
        <f t="array" ref="T353">index(fish_lab_data!O:O,match(A353,fish_lab_data!C:C,0))</f>
        <v>EJ</v>
      </c>
      <c r="U353" s="61">
        <f t="array" ref="U353">if(A353="","",index(fish_lab_data!X:X,match(A353,fish_lab_data!C:C,0)))</f>
        <v>352</v>
      </c>
    </row>
    <row r="354">
      <c r="A354" t="str">
        <f>fish_lab_data!C354</f>
        <v>U5435</v>
      </c>
      <c r="B354" t="str">
        <f t="array" ref="B354">iferror(index('rna-muscle'!$I:$I,match($A354,'rna-muscle'!$A:$A,0)))</f>
        <v>BRN64M-E8</v>
      </c>
      <c r="C354" t="str">
        <f t="array" ref="C354">iferror(index('rna-muscle'!$L:$L,match($A354,'rna-muscle'!$A:$A,0)))</f>
        <v>N</v>
      </c>
      <c r="D354" t="str">
        <f t="array" ref="D354">iferror(index('rna-gill'!$I:$I,match($A354,'rna-gill'!$A:$A,0)))</f>
        <v>BRN64G-E8</v>
      </c>
      <c r="E354" t="str">
        <f t="array" ref="E354">iferror(index('rna-gill'!$L:$L,match($A354,'rna-gill'!$A:$A,0)))</f>
        <v>N</v>
      </c>
      <c r="F354" t="str">
        <f t="array" ref="F354">iferror(index(fatty_acid!$G:$G,match($A354,fatty_acid!$A:$A,0)))</f>
        <v>BFA24-28</v>
      </c>
      <c r="G354" t="str">
        <f t="array" ref="G354">iferror(index(fatty_acid!$J:$J,match($A354,fatty_acid!$A:$A,0)))</f>
        <v>N</v>
      </c>
      <c r="H354" t="str">
        <f t="array" ref="H354">iferror(index(isotopes!$G:$G,match($A354,isotopes!$A:$A,0)))</f>
        <v>BIS26-47</v>
      </c>
      <c r="I354" t="str">
        <f t="array" ref="I354">iferror(index(isotopes!$J:$J,match($A354,isotopes!$A:$A,0)))</f>
        <v>N</v>
      </c>
      <c r="J354" t="str">
        <f t="array" ref="J354">iferror(index(extra_muscle!$G:$G,match($A354,extra_muscle!$A:$A,0)))</f>
        <v>BXM26-14</v>
      </c>
      <c r="K354" t="str">
        <f t="array" ref="K354">iferror(index(extra_muscle!$J:$J,match($A354,extra_muscle!$A:$A,0)))</f>
        <v>N</v>
      </c>
      <c r="L354" s="59" t="str">
        <f t="array" ref="L354">iferror(index(dna!$G:$G,match($A354,dna!$A:$A,0)))</f>
        <v/>
      </c>
      <c r="M354" s="60" t="str">
        <f t="array" ref="M354">iferror(index(dna!$J:$J,match($A354,dna!$A:$A,0)))</f>
        <v/>
      </c>
      <c r="N354" t="str">
        <f t="array" ref="N354">iferror(index(stomachs!$G:$G,match($A354,stomachs!$A:$A,0)))</f>
        <v>BST243-24</v>
      </c>
      <c r="O354" t="str">
        <f t="array" ref="O354">iferror(index(stomachs!$J:$J,match($A354,stomachs!$A:$A,0)))</f>
        <v>N</v>
      </c>
      <c r="P354" t="str">
        <f t="array" ref="P354">iferror(index(sea_lice!$G:$G,match($A354,sea_lice!$A:$A,0)))</f>
        <v/>
      </c>
      <c r="Q354" t="str">
        <f t="array" ref="Q354">iferror(index(sea_lice!$J:$J,match($A354,sea_lice!$A:$A,0)))</f>
        <v/>
      </c>
      <c r="R354" s="40" t="str">
        <f t="array" ref="R354">iferror(index(dissected_fish!$F:$F,match($A354,dissected_fish!$A:$A,0)))</f>
        <v>BCA102</v>
      </c>
      <c r="S354" s="40" t="str">
        <f t="array" ref="S354">iferror(index(dissected_fish!$K:$K,match($A354,dissected_fish!$A:$A,0)))</f>
        <v>N</v>
      </c>
      <c r="T354" s="61" t="str">
        <f t="array" ref="T354">index(fish_lab_data!O:O,match(A354,fish_lab_data!C:C,0))</f>
        <v>EJ</v>
      </c>
      <c r="U354" s="61">
        <f t="array" ref="U354">if(A354="","",index(fish_lab_data!X:X,match(A354,fish_lab_data!C:C,0)))</f>
        <v>353</v>
      </c>
    </row>
    <row r="355">
      <c r="A355" t="str">
        <f>fish_lab_data!C355</f>
        <v>U5436</v>
      </c>
      <c r="B355" t="str">
        <f t="array" ref="B355">iferror(index('rna-muscle'!$I:$I,match($A355,'rna-muscle'!$A:$A,0)))</f>
        <v>BRN64M-D8</v>
      </c>
      <c r="C355" t="str">
        <f t="array" ref="C355">iferror(index('rna-muscle'!$L:$L,match($A355,'rna-muscle'!$A:$A,0)))</f>
        <v>N</v>
      </c>
      <c r="D355" t="str">
        <f t="array" ref="D355">iferror(index('rna-gill'!$I:$I,match($A355,'rna-gill'!$A:$A,0)))</f>
        <v>BRN64G-D8</v>
      </c>
      <c r="E355" t="str">
        <f t="array" ref="E355">iferror(index('rna-gill'!$L:$L,match($A355,'rna-gill'!$A:$A,0)))</f>
        <v>N</v>
      </c>
      <c r="F355" t="str">
        <f t="array" ref="F355">iferror(index(fatty_acid!$G:$G,match($A355,fatty_acid!$A:$A,0)))</f>
        <v>BFA24-29</v>
      </c>
      <c r="G355" t="str">
        <f t="array" ref="G355">iferror(index(fatty_acid!$J:$J,match($A355,fatty_acid!$A:$A,0)))</f>
        <v>N</v>
      </c>
      <c r="H355" t="str">
        <f t="array" ref="H355">iferror(index(isotopes!$G:$G,match($A355,isotopes!$A:$A,0)))</f>
        <v>BIS26-48</v>
      </c>
      <c r="I355" t="str">
        <f t="array" ref="I355">iferror(index(isotopes!$J:$J,match($A355,isotopes!$A:$A,0)))</f>
        <v>N</v>
      </c>
      <c r="J355" t="str">
        <f t="array" ref="J355">iferror(index(extra_muscle!$G:$G,match($A355,extra_muscle!$A:$A,0)))</f>
        <v>BXM26-15</v>
      </c>
      <c r="K355" t="str">
        <f t="array" ref="K355">iferror(index(extra_muscle!$J:$J,match($A355,extra_muscle!$A:$A,0)))</f>
        <v>N</v>
      </c>
      <c r="L355" s="59" t="str">
        <f t="array" ref="L355">iferror(index(dna!$G:$G,match($A355,dna!$A:$A,0)))</f>
        <v/>
      </c>
      <c r="M355" s="60" t="str">
        <f t="array" ref="M355">iferror(index(dna!$J:$J,match($A355,dna!$A:$A,0)))</f>
        <v/>
      </c>
      <c r="N355" t="str">
        <f t="array" ref="N355">iferror(index(stomachs!$G:$G,match($A355,stomachs!$A:$A,0)))</f>
        <v>BST243-25</v>
      </c>
      <c r="O355" t="str">
        <f t="array" ref="O355">iferror(index(stomachs!$J:$J,match($A355,stomachs!$A:$A,0)))</f>
        <v>N</v>
      </c>
      <c r="P355" t="str">
        <f t="array" ref="P355">iferror(index(sea_lice!$G:$G,match($A355,sea_lice!$A:$A,0)))</f>
        <v/>
      </c>
      <c r="Q355" t="str">
        <f t="array" ref="Q355">iferror(index(sea_lice!$J:$J,match($A355,sea_lice!$A:$A,0)))</f>
        <v/>
      </c>
      <c r="R355" s="40" t="str">
        <f t="array" ref="R355">iferror(index(dissected_fish!$F:$F,match($A355,dissected_fish!$A:$A,0)))</f>
        <v>BCA102</v>
      </c>
      <c r="S355" s="40" t="str">
        <f t="array" ref="S355">iferror(index(dissected_fish!$K:$K,match($A355,dissected_fish!$A:$A,0)))</f>
        <v>N</v>
      </c>
      <c r="T355" s="61" t="str">
        <f t="array" ref="T355">index(fish_lab_data!O:O,match(A355,fish_lab_data!C:C,0))</f>
        <v>EJ</v>
      </c>
      <c r="U355" s="61">
        <f t="array" ref="U355">if(A355="","",index(fish_lab_data!X:X,match(A355,fish_lab_data!C:C,0)))</f>
        <v>354</v>
      </c>
    </row>
    <row r="356">
      <c r="A356" t="str">
        <f>fish_lab_data!C356</f>
        <v>U5462</v>
      </c>
      <c r="B356" t="str">
        <f t="array" ref="B356">iferror(index('rna-muscle'!$I:$I,match($A356,'rna-muscle'!$A:$A,0)))</f>
        <v>BRN64M-C8</v>
      </c>
      <c r="C356" t="str">
        <f t="array" ref="C356">iferror(index('rna-muscle'!$L:$L,match($A356,'rna-muscle'!$A:$A,0)))</f>
        <v>N</v>
      </c>
      <c r="D356" t="str">
        <f t="array" ref="D356">iferror(index('rna-gill'!$I:$I,match($A356,'rna-gill'!$A:$A,0)))</f>
        <v>BRN64G-C8</v>
      </c>
      <c r="E356" t="str">
        <f t="array" ref="E356">iferror(index('rna-gill'!$L:$L,match($A356,'rna-gill'!$A:$A,0)))</f>
        <v>N</v>
      </c>
      <c r="F356" t="str">
        <f t="array" ref="F356">iferror(index(fatty_acid!$G:$G,match($A356,fatty_acid!$A:$A,0)))</f>
        <v>BFA24-30</v>
      </c>
      <c r="G356" t="str">
        <f t="array" ref="G356">iferror(index(fatty_acid!$J:$J,match($A356,fatty_acid!$A:$A,0)))</f>
        <v>N</v>
      </c>
      <c r="H356" t="str">
        <f t="array" ref="H356">iferror(index(isotopes!$G:$G,match($A356,isotopes!$A:$A,0)))</f>
        <v>BIS26-49</v>
      </c>
      <c r="I356" t="str">
        <f t="array" ref="I356">iferror(index(isotopes!$J:$J,match($A356,isotopes!$A:$A,0)))</f>
        <v>N</v>
      </c>
      <c r="J356" t="str">
        <f t="array" ref="J356">iferror(index(extra_muscle!$G:$G,match($A356,extra_muscle!$A:$A,0)))</f>
        <v>BXM26-16</v>
      </c>
      <c r="K356" t="str">
        <f t="array" ref="K356">iferror(index(extra_muscle!$J:$J,match($A356,extra_muscle!$A:$A,0)))</f>
        <v>N</v>
      </c>
      <c r="L356" s="59" t="str">
        <f t="array" ref="L356">iferror(index(dna!$G:$G,match($A356,dna!$A:$A,0)))</f>
        <v/>
      </c>
      <c r="M356" s="60" t="str">
        <f t="array" ref="M356">iferror(index(dna!$J:$J,match($A356,dna!$A:$A,0)))</f>
        <v/>
      </c>
      <c r="N356" t="str">
        <f t="array" ref="N356">iferror(index(stomachs!$G:$G,match($A356,stomachs!$A:$A,0)))</f>
        <v>BST244-14</v>
      </c>
      <c r="O356" t="str">
        <f t="array" ref="O356">iferror(index(stomachs!$J:$J,match($A356,stomachs!$A:$A,0)))</f>
        <v>N</v>
      </c>
      <c r="P356" t="str">
        <f t="array" ref="P356">iferror(index(sea_lice!$G:$G,match($A356,sea_lice!$A:$A,0)))</f>
        <v/>
      </c>
      <c r="Q356" t="str">
        <f t="array" ref="Q356">iferror(index(sea_lice!$J:$J,match($A356,sea_lice!$A:$A,0)))</f>
        <v/>
      </c>
      <c r="R356" s="40" t="str">
        <f t="array" ref="R356">iferror(index(dissected_fish!$F:$F,match($A356,dissected_fish!$A:$A,0)))</f>
        <v>BCA102</v>
      </c>
      <c r="S356" s="40" t="str">
        <f t="array" ref="S356">iferror(index(dissected_fish!$K:$K,match($A356,dissected_fish!$A:$A,0)))</f>
        <v>N</v>
      </c>
      <c r="T356" s="61" t="str">
        <f t="array" ref="T356">index(fish_lab_data!O:O,match(A356,fish_lab_data!C:C,0))</f>
        <v>EJ</v>
      </c>
      <c r="U356" s="61">
        <f t="array" ref="U356">if(A356="","",index(fish_lab_data!X:X,match(A356,fish_lab_data!C:C,0)))</f>
        <v>355</v>
      </c>
    </row>
    <row r="357">
      <c r="A357" t="str">
        <f>fish_lab_data!C357</f>
        <v>U5463</v>
      </c>
      <c r="B357" t="str">
        <f t="array" ref="B357">iferror(index('rna-muscle'!$I:$I,match($A357,'rna-muscle'!$A:$A,0)))</f>
        <v>BRN64M-B8</v>
      </c>
      <c r="C357" t="str">
        <f t="array" ref="C357">iferror(index('rna-muscle'!$L:$L,match($A357,'rna-muscle'!$A:$A,0)))</f>
        <v>N</v>
      </c>
      <c r="D357" t="str">
        <f t="array" ref="D357">iferror(index('rna-gill'!$I:$I,match($A357,'rna-gill'!$A:$A,0)))</f>
        <v>BRN64G-B8</v>
      </c>
      <c r="E357" t="str">
        <f t="array" ref="E357">iferror(index('rna-gill'!$L:$L,match($A357,'rna-gill'!$A:$A,0)))</f>
        <v>N</v>
      </c>
      <c r="F357" t="str">
        <f t="array" ref="F357">iferror(index(fatty_acid!$G:$G,match($A357,fatty_acid!$A:$A,0)))</f>
        <v>BFA24-31</v>
      </c>
      <c r="G357" t="str">
        <f t="array" ref="G357">iferror(index(fatty_acid!$J:$J,match($A357,fatty_acid!$A:$A,0)))</f>
        <v>N</v>
      </c>
      <c r="H357" t="str">
        <f t="array" ref="H357">iferror(index(isotopes!$G:$G,match($A357,isotopes!$A:$A,0)))</f>
        <v>BIS26-50</v>
      </c>
      <c r="I357" t="str">
        <f t="array" ref="I357">iferror(index(isotopes!$J:$J,match($A357,isotopes!$A:$A,0)))</f>
        <v>N</v>
      </c>
      <c r="J357" t="str">
        <f t="array" ref="J357">iferror(index(extra_muscle!$G:$G,match($A357,extra_muscle!$A:$A,0)))</f>
        <v>BXM26-17</v>
      </c>
      <c r="K357" t="str">
        <f t="array" ref="K357">iferror(index(extra_muscle!$J:$J,match($A357,extra_muscle!$A:$A,0)))</f>
        <v>N</v>
      </c>
      <c r="L357" s="59" t="str">
        <f t="array" ref="L357">iferror(index(dna!$G:$G,match($A357,dna!$A:$A,0)))</f>
        <v/>
      </c>
      <c r="M357" s="60" t="str">
        <f t="array" ref="M357">iferror(index(dna!$J:$J,match($A357,dna!$A:$A,0)))</f>
        <v/>
      </c>
      <c r="N357" t="str">
        <f t="array" ref="N357">iferror(index(stomachs!$G:$G,match($A357,stomachs!$A:$A,0)))</f>
        <v>BST244-15</v>
      </c>
      <c r="O357" t="str">
        <f t="array" ref="O357">iferror(index(stomachs!$J:$J,match($A357,stomachs!$A:$A,0)))</f>
        <v>N</v>
      </c>
      <c r="P357" t="str">
        <f t="array" ref="P357">iferror(index(sea_lice!$G:$G,match($A357,sea_lice!$A:$A,0)))</f>
        <v/>
      </c>
      <c r="Q357" t="str">
        <f t="array" ref="Q357">iferror(index(sea_lice!$J:$J,match($A357,sea_lice!$A:$A,0)))</f>
        <v/>
      </c>
      <c r="R357" s="40" t="str">
        <f t="array" ref="R357">iferror(index(dissected_fish!$F:$F,match($A357,dissected_fish!$A:$A,0)))</f>
        <v>BCA102</v>
      </c>
      <c r="S357" s="40" t="str">
        <f t="array" ref="S357">iferror(index(dissected_fish!$K:$K,match($A357,dissected_fish!$A:$A,0)))</f>
        <v>N</v>
      </c>
      <c r="T357" s="61" t="str">
        <f t="array" ref="T357">index(fish_lab_data!O:O,match(A357,fish_lab_data!C:C,0))</f>
        <v>EJ</v>
      </c>
      <c r="U357" s="61">
        <f t="array" ref="U357">if(A357="","",index(fish_lab_data!X:X,match(A357,fish_lab_data!C:C,0)))</f>
        <v>356</v>
      </c>
    </row>
    <row r="358">
      <c r="A358" t="str">
        <f>fish_lab_data!C358</f>
        <v>U5464</v>
      </c>
      <c r="B358" t="str">
        <f t="array" ref="B358">iferror(index('rna-muscle'!$I:$I,match($A358,'rna-muscle'!$A:$A,0)))</f>
        <v>BRN64M-A8</v>
      </c>
      <c r="C358" t="str">
        <f t="array" ref="C358">iferror(index('rna-muscle'!$L:$L,match($A358,'rna-muscle'!$A:$A,0)))</f>
        <v>N</v>
      </c>
      <c r="D358" t="str">
        <f t="array" ref="D358">iferror(index('rna-gill'!$I:$I,match($A358,'rna-gill'!$A:$A,0)))</f>
        <v>BRN64G-A8</v>
      </c>
      <c r="E358" t="str">
        <f t="array" ref="E358">iferror(index('rna-gill'!$L:$L,match($A358,'rna-gill'!$A:$A,0)))</f>
        <v>N</v>
      </c>
      <c r="F358" t="str">
        <f t="array" ref="F358">iferror(index(fatty_acid!$G:$G,match($A358,fatty_acid!$A:$A,0)))</f>
        <v>BFA24-32</v>
      </c>
      <c r="G358" t="str">
        <f t="array" ref="G358">iferror(index(fatty_acid!$J:$J,match($A358,fatty_acid!$A:$A,0)))</f>
        <v>N</v>
      </c>
      <c r="H358" t="str">
        <f t="array" ref="H358">iferror(index(isotopes!$G:$G,match($A358,isotopes!$A:$A,0)))</f>
        <v>BIS26-51</v>
      </c>
      <c r="I358" t="str">
        <f t="array" ref="I358">iferror(index(isotopes!$J:$J,match($A358,isotopes!$A:$A,0)))</f>
        <v>N</v>
      </c>
      <c r="J358" t="str">
        <f t="array" ref="J358">iferror(index(extra_muscle!$G:$G,match($A358,extra_muscle!$A:$A,0)))</f>
        <v>BXM26-18</v>
      </c>
      <c r="K358" t="str">
        <f t="array" ref="K358">iferror(index(extra_muscle!$J:$J,match($A358,extra_muscle!$A:$A,0)))</f>
        <v>N</v>
      </c>
      <c r="L358" s="59" t="str">
        <f t="array" ref="L358">iferror(index(dna!$G:$G,match($A358,dna!$A:$A,0)))</f>
        <v/>
      </c>
      <c r="M358" s="60" t="str">
        <f t="array" ref="M358">iferror(index(dna!$J:$J,match($A358,dna!$A:$A,0)))</f>
        <v/>
      </c>
      <c r="N358" t="str">
        <f t="array" ref="N358">iferror(index(stomachs!$G:$G,match($A358,stomachs!$A:$A,0)))</f>
        <v>BST244-16</v>
      </c>
      <c r="O358" t="str">
        <f t="array" ref="O358">iferror(index(stomachs!$J:$J,match($A358,stomachs!$A:$A,0)))</f>
        <v>N</v>
      </c>
      <c r="P358" t="str">
        <f t="array" ref="P358">iferror(index(sea_lice!$G:$G,match($A358,sea_lice!$A:$A,0)))</f>
        <v/>
      </c>
      <c r="Q358" t="str">
        <f t="array" ref="Q358">iferror(index(sea_lice!$J:$J,match($A358,sea_lice!$A:$A,0)))</f>
        <v/>
      </c>
      <c r="R358" s="40" t="str">
        <f t="array" ref="R358">iferror(index(dissected_fish!$F:$F,match($A358,dissected_fish!$A:$A,0)))</f>
        <v>BCA102</v>
      </c>
      <c r="S358" s="40" t="str">
        <f t="array" ref="S358">iferror(index(dissected_fish!$K:$K,match($A358,dissected_fish!$A:$A,0)))</f>
        <v>N</v>
      </c>
      <c r="T358" s="61" t="str">
        <f t="array" ref="T358">index(fish_lab_data!O:O,match(A358,fish_lab_data!C:C,0))</f>
        <v>EJ</v>
      </c>
      <c r="U358" s="61">
        <f t="array" ref="U358">if(A358="","",index(fish_lab_data!X:X,match(A358,fish_lab_data!C:C,0)))</f>
        <v>357</v>
      </c>
    </row>
    <row r="359">
      <c r="A359" t="str">
        <f>fish_lab_data!C359</f>
        <v>U5465</v>
      </c>
      <c r="B359" t="str">
        <f t="array" ref="B359">iferror(index('rna-muscle'!$I:$I,match($A359,'rna-muscle'!$A:$A,0)))</f>
        <v>BRN64M-B6</v>
      </c>
      <c r="C359" t="str">
        <f t="array" ref="C359">iferror(index('rna-muscle'!$L:$L,match($A359,'rna-muscle'!$A:$A,0)))</f>
        <v>N</v>
      </c>
      <c r="D359" t="str">
        <f t="array" ref="D359">iferror(index('rna-gill'!$I:$I,match($A359,'rna-gill'!$A:$A,0)))</f>
        <v>BRN64G-B6</v>
      </c>
      <c r="E359" t="str">
        <f t="array" ref="E359">iferror(index('rna-gill'!$L:$L,match($A359,'rna-gill'!$A:$A,0)))</f>
        <v>N</v>
      </c>
      <c r="F359" t="str">
        <f t="array" ref="F359">iferror(index(fatty_acid!$G:$G,match($A359,fatty_acid!$A:$A,0)))</f>
        <v>BFA24-33</v>
      </c>
      <c r="G359" t="str">
        <f t="array" ref="G359">iferror(index(fatty_acid!$J:$J,match($A359,fatty_acid!$A:$A,0)))</f>
        <v>N</v>
      </c>
      <c r="H359" t="str">
        <f t="array" ref="H359">iferror(index(isotopes!$G:$G,match($A359,isotopes!$A:$A,0)))</f>
        <v>BIS26-52</v>
      </c>
      <c r="I359" t="str">
        <f t="array" ref="I359">iferror(index(isotopes!$J:$J,match($A359,isotopes!$A:$A,0)))</f>
        <v>N</v>
      </c>
      <c r="J359" t="str">
        <f t="array" ref="J359">iferror(index(extra_muscle!$G:$G,match($A359,extra_muscle!$A:$A,0)))</f>
        <v>BXM26-19</v>
      </c>
      <c r="K359" t="str">
        <f t="array" ref="K359">iferror(index(extra_muscle!$J:$J,match($A359,extra_muscle!$A:$A,0)))</f>
        <v>N</v>
      </c>
      <c r="L359" s="59" t="str">
        <f t="array" ref="L359">iferror(index(dna!$G:$G,match($A359,dna!$A:$A,0)))</f>
        <v/>
      </c>
      <c r="M359" s="60" t="str">
        <f t="array" ref="M359">iferror(index(dna!$J:$J,match($A359,dna!$A:$A,0)))</f>
        <v/>
      </c>
      <c r="N359" t="str">
        <f t="array" ref="N359">iferror(index(stomachs!$G:$G,match($A359,stomachs!$A:$A,0)))</f>
        <v>BST244-17</v>
      </c>
      <c r="O359" t="str">
        <f t="array" ref="O359">iferror(index(stomachs!$J:$J,match($A359,stomachs!$A:$A,0)))</f>
        <v>N</v>
      </c>
      <c r="P359" t="str">
        <f t="array" ref="P359">iferror(index(sea_lice!$G:$G,match($A359,sea_lice!$A:$A,0)))</f>
        <v/>
      </c>
      <c r="Q359" t="str">
        <f t="array" ref="Q359">iferror(index(sea_lice!$J:$J,match($A359,sea_lice!$A:$A,0)))</f>
        <v/>
      </c>
      <c r="R359" s="40" t="str">
        <f t="array" ref="R359">iferror(index(dissected_fish!$F:$F,match($A359,dissected_fish!$A:$A,0)))</f>
        <v>BCA102</v>
      </c>
      <c r="S359" s="40" t="str">
        <f t="array" ref="S359">iferror(index(dissected_fish!$K:$K,match($A359,dissected_fish!$A:$A,0)))</f>
        <v>N</v>
      </c>
      <c r="T359" s="61" t="str">
        <f t="array" ref="T359">index(fish_lab_data!O:O,match(A359,fish_lab_data!C:C,0))</f>
        <v>EJ</v>
      </c>
      <c r="U359" s="61">
        <f t="array" ref="U359">if(A359="","",index(fish_lab_data!X:X,match(A359,fish_lab_data!C:C,0)))</f>
        <v>358</v>
      </c>
    </row>
    <row r="360">
      <c r="A360" t="str">
        <f>fish_lab_data!C360</f>
        <v>U5466</v>
      </c>
      <c r="B360" t="str">
        <f t="array" ref="B360">iferror(index('rna-muscle'!$I:$I,match($A360,'rna-muscle'!$A:$A,0)))</f>
        <v>BRN64M-A6</v>
      </c>
      <c r="C360" t="str">
        <f t="array" ref="C360">iferror(index('rna-muscle'!$L:$L,match($A360,'rna-muscle'!$A:$A,0)))</f>
        <v>N</v>
      </c>
      <c r="D360" t="str">
        <f t="array" ref="D360">iferror(index('rna-gill'!$I:$I,match($A360,'rna-gill'!$A:$A,0)))</f>
        <v>BRN64G-A6</v>
      </c>
      <c r="E360" t="str">
        <f t="array" ref="E360">iferror(index('rna-gill'!$L:$L,match($A360,'rna-gill'!$A:$A,0)))</f>
        <v>N</v>
      </c>
      <c r="F360" t="str">
        <f t="array" ref="F360">iferror(index(fatty_acid!$G:$G,match($A360,fatty_acid!$A:$A,0)))</f>
        <v>BFA24-34</v>
      </c>
      <c r="G360" t="str">
        <f t="array" ref="G360">iferror(index(fatty_acid!$J:$J,match($A360,fatty_acid!$A:$A,0)))</f>
        <v>N</v>
      </c>
      <c r="H360" t="str">
        <f t="array" ref="H360">iferror(index(isotopes!$G:$G,match($A360,isotopes!$A:$A,0)))</f>
        <v>BIS26-53</v>
      </c>
      <c r="I360" t="str">
        <f t="array" ref="I360">iferror(index(isotopes!$J:$J,match($A360,isotopes!$A:$A,0)))</f>
        <v>N</v>
      </c>
      <c r="J360" t="str">
        <f t="array" ref="J360">iferror(index(extra_muscle!$G:$G,match($A360,extra_muscle!$A:$A,0)))</f>
        <v>BXM26-20</v>
      </c>
      <c r="K360" t="str">
        <f t="array" ref="K360">iferror(index(extra_muscle!$J:$J,match($A360,extra_muscle!$A:$A,0)))</f>
        <v>N</v>
      </c>
      <c r="L360" s="59" t="str">
        <f t="array" ref="L360">iferror(index(dna!$G:$G,match($A360,dna!$A:$A,0)))</f>
        <v/>
      </c>
      <c r="M360" s="60" t="str">
        <f t="array" ref="M360">iferror(index(dna!$J:$J,match($A360,dna!$A:$A,0)))</f>
        <v/>
      </c>
      <c r="N360" t="str">
        <f t="array" ref="N360">iferror(index(stomachs!$G:$G,match($A360,stomachs!$A:$A,0)))</f>
        <v>BST244-18</v>
      </c>
      <c r="O360" t="str">
        <f t="array" ref="O360">iferror(index(stomachs!$J:$J,match($A360,stomachs!$A:$A,0)))</f>
        <v>N</v>
      </c>
      <c r="P360" t="str">
        <f t="array" ref="P360">iferror(index(sea_lice!$G:$G,match($A360,sea_lice!$A:$A,0)))</f>
        <v/>
      </c>
      <c r="Q360" t="str">
        <f t="array" ref="Q360">iferror(index(sea_lice!$J:$J,match($A360,sea_lice!$A:$A,0)))</f>
        <v/>
      </c>
      <c r="R360" s="40" t="str">
        <f t="array" ref="R360">iferror(index(dissected_fish!$F:$F,match($A360,dissected_fish!$A:$A,0)))</f>
        <v>BCA102</v>
      </c>
      <c r="S360" s="40" t="str">
        <f t="array" ref="S360">iferror(index(dissected_fish!$K:$K,match($A360,dissected_fish!$A:$A,0)))</f>
        <v>N</v>
      </c>
      <c r="T360" s="61" t="str">
        <f t="array" ref="T360">index(fish_lab_data!O:O,match(A360,fish_lab_data!C:C,0))</f>
        <v>EJ</v>
      </c>
      <c r="U360" s="61">
        <f t="array" ref="U360">if(A360="","",index(fish_lab_data!X:X,match(A360,fish_lab_data!C:C,0)))</f>
        <v>359</v>
      </c>
    </row>
    <row r="361">
      <c r="A361" t="str">
        <f>fish_lab_data!C361</f>
        <v>U16753</v>
      </c>
      <c r="B361" t="str">
        <f t="array" ref="B361">iferror(index('rna-muscle'!$I:$I,match($A361,'rna-muscle'!$A:$A,0)))</f>
        <v>BRN62M-H4</v>
      </c>
      <c r="C361" t="str">
        <f t="array" ref="C361">iferror(index('rna-muscle'!$L:$L,match($A361,'rna-muscle'!$A:$A,0)))</f>
        <v>N</v>
      </c>
      <c r="D361" t="str">
        <f t="array" ref="D361">iferror(index('rna-gill'!$I:$I,match($A361,'rna-gill'!$A:$A,0)))</f>
        <v>BRN62G-H4</v>
      </c>
      <c r="E361" t="str">
        <f t="array" ref="E361">iferror(index('rna-gill'!$L:$L,match($A361,'rna-gill'!$A:$A,0)))</f>
        <v>N</v>
      </c>
      <c r="F361" t="str">
        <f t="array" ref="F361">iferror(index(fatty_acid!$G:$G,match($A361,fatty_acid!$A:$A,0)))</f>
        <v>BFA24-35</v>
      </c>
      <c r="G361" t="str">
        <f t="array" ref="G361">iferror(index(fatty_acid!$J:$J,match($A361,fatty_acid!$A:$A,0)))</f>
        <v>N</v>
      </c>
      <c r="H361" t="str">
        <f t="array" ref="H361">iferror(index(isotopes!$G:$G,match($A361,isotopes!$A:$A,0)))</f>
        <v>BIS26-54</v>
      </c>
      <c r="I361" t="str">
        <f t="array" ref="I361">iferror(index(isotopes!$J:$J,match($A361,isotopes!$A:$A,0)))</f>
        <v>N</v>
      </c>
      <c r="J361" t="str">
        <f t="array" ref="J361">iferror(index(extra_muscle!$G:$G,match($A361,extra_muscle!$A:$A,0)))</f>
        <v>BXM26-21</v>
      </c>
      <c r="K361" t="str">
        <f t="array" ref="K361">iferror(index(extra_muscle!$J:$J,match($A361,extra_muscle!$A:$A,0)))</f>
        <v>N</v>
      </c>
      <c r="L361" s="59" t="str">
        <f t="array" ref="L361">iferror(index(dna!$G:$G,match($A361,dna!$A:$A,0)))</f>
        <v/>
      </c>
      <c r="M361" s="60" t="str">
        <f t="array" ref="M361">iferror(index(dna!$J:$J,match($A361,dna!$A:$A,0)))</f>
        <v/>
      </c>
      <c r="N361" t="str">
        <f t="array" ref="N361">iferror(index(stomachs!$G:$G,match($A361,stomachs!$A:$A,0)))</f>
        <v/>
      </c>
      <c r="O361" t="str">
        <f t="array" ref="O361">iferror(index(stomachs!$J:$J,match($A361,stomachs!$A:$A,0)))</f>
        <v/>
      </c>
      <c r="P361" t="str">
        <f t="array" ref="P361">iferror(index(sea_lice!$G:$G,match($A361,sea_lice!$A:$A,0)))</f>
        <v>BSL6-10</v>
      </c>
      <c r="Q361" t="str">
        <f t="array" ref="Q361">iferror(index(sea_lice!$J:$J,match($A361,sea_lice!$A:$A,0)))</f>
        <v>N</v>
      </c>
      <c r="R361" s="40" t="str">
        <f t="array" ref="R361">iferror(index(dissected_fish!$F:$F,match($A361,dissected_fish!$A:$A,0)))</f>
        <v>BCA102</v>
      </c>
      <c r="S361" s="40" t="str">
        <f t="array" ref="S361">iferror(index(dissected_fish!$K:$K,match($A361,dissected_fish!$A:$A,0)))</f>
        <v>N</v>
      </c>
      <c r="T361" s="61" t="str">
        <f t="array" ref="T361">index(fish_lab_data!O:O,match(A361,fish_lab_data!C:C,0))</f>
        <v>EJ</v>
      </c>
      <c r="U361" s="61">
        <f t="array" ref="U361">if(A361="","",index(fish_lab_data!X:X,match(A361,fish_lab_data!C:C,0)))</f>
        <v>360</v>
      </c>
    </row>
    <row r="362">
      <c r="A362" t="str">
        <f>fish_lab_data!C362</f>
        <v>U16751</v>
      </c>
      <c r="B362" t="str">
        <f t="array" ref="B362">iferror(index('rna-muscle'!$I:$I,match($A362,'rna-muscle'!$A:$A,0)))</f>
        <v>BRN62M-G4</v>
      </c>
      <c r="C362" t="str">
        <f t="array" ref="C362">iferror(index('rna-muscle'!$L:$L,match($A362,'rna-muscle'!$A:$A,0)))</f>
        <v>N</v>
      </c>
      <c r="D362" t="str">
        <f t="array" ref="D362">iferror(index('rna-gill'!$I:$I,match($A362,'rna-gill'!$A:$A,0)))</f>
        <v>BRN62G-G4</v>
      </c>
      <c r="E362" t="str">
        <f t="array" ref="E362">iferror(index('rna-gill'!$L:$L,match($A362,'rna-gill'!$A:$A,0)))</f>
        <v>N</v>
      </c>
      <c r="F362" t="str">
        <f t="array" ref="F362">iferror(index(fatty_acid!$G:$G,match($A362,fatty_acid!$A:$A,0)))</f>
        <v>BFA24-36</v>
      </c>
      <c r="G362" t="str">
        <f t="array" ref="G362">iferror(index(fatty_acid!$J:$J,match($A362,fatty_acid!$A:$A,0)))</f>
        <v>N</v>
      </c>
      <c r="H362" t="str">
        <f t="array" ref="H362">iferror(index(isotopes!$G:$G,match($A362,isotopes!$A:$A,0)))</f>
        <v>BIS26-55</v>
      </c>
      <c r="I362" t="str">
        <f t="array" ref="I362">iferror(index(isotopes!$J:$J,match($A362,isotopes!$A:$A,0)))</f>
        <v>N</v>
      </c>
      <c r="J362" t="str">
        <f t="array" ref="J362">iferror(index(extra_muscle!$G:$G,match($A362,extra_muscle!$A:$A,0)))</f>
        <v>BXM26-22</v>
      </c>
      <c r="K362" t="str">
        <f t="array" ref="K362">iferror(index(extra_muscle!$J:$J,match($A362,extra_muscle!$A:$A,0)))</f>
        <v>N</v>
      </c>
      <c r="L362" s="59" t="str">
        <f t="array" ref="L362">iferror(index(dna!$G:$G,match($A362,dna!$A:$A,0)))</f>
        <v/>
      </c>
      <c r="M362" s="60" t="str">
        <f t="array" ref="M362">iferror(index(dna!$J:$J,match($A362,dna!$A:$A,0)))</f>
        <v/>
      </c>
      <c r="N362" t="str">
        <f t="array" ref="N362">iferror(index(stomachs!$G:$G,match($A362,stomachs!$A:$A,0)))</f>
        <v/>
      </c>
      <c r="O362" t="str">
        <f t="array" ref="O362">iferror(index(stomachs!$J:$J,match($A362,stomachs!$A:$A,0)))</f>
        <v/>
      </c>
      <c r="P362" t="str">
        <f t="array" ref="P362">iferror(index(sea_lice!$G:$G,match($A362,sea_lice!$A:$A,0)))</f>
        <v>BSL6-12</v>
      </c>
      <c r="Q362" t="str">
        <f t="array" ref="Q362">iferror(index(sea_lice!$J:$J,match($A362,sea_lice!$A:$A,0)))</f>
        <v>N</v>
      </c>
      <c r="R362" s="40" t="str">
        <f t="array" ref="R362">iferror(index(dissected_fish!$F:$F,match($A362,dissected_fish!$A:$A,0)))</f>
        <v>BCA102</v>
      </c>
      <c r="S362" s="40" t="str">
        <f t="array" ref="S362">iferror(index(dissected_fish!$K:$K,match($A362,dissected_fish!$A:$A,0)))</f>
        <v>N</v>
      </c>
      <c r="T362" s="61" t="str">
        <f t="array" ref="T362">index(fish_lab_data!O:O,match(A362,fish_lab_data!C:C,0))</f>
        <v>EJ</v>
      </c>
      <c r="U362" s="61">
        <f t="array" ref="U362">if(A362="","",index(fish_lab_data!X:X,match(A362,fish_lab_data!C:C,0)))</f>
        <v>361</v>
      </c>
    </row>
    <row r="363">
      <c r="A363" t="str">
        <f>fish_lab_data!C363</f>
        <v>U16752</v>
      </c>
      <c r="B363" t="str">
        <f t="array" ref="B363">iferror(index('rna-muscle'!$I:$I,match($A363,'rna-muscle'!$A:$A,0)))</f>
        <v>BRN62M-F4</v>
      </c>
      <c r="C363" t="str">
        <f t="array" ref="C363">iferror(index('rna-muscle'!$L:$L,match($A363,'rna-muscle'!$A:$A,0)))</f>
        <v>N</v>
      </c>
      <c r="D363" t="str">
        <f t="array" ref="D363">iferror(index('rna-gill'!$I:$I,match($A363,'rna-gill'!$A:$A,0)))</f>
        <v>BRN62G-F4</v>
      </c>
      <c r="E363" t="str">
        <f t="array" ref="E363">iferror(index('rna-gill'!$L:$L,match($A363,'rna-gill'!$A:$A,0)))</f>
        <v>N</v>
      </c>
      <c r="F363" t="str">
        <f t="array" ref="F363">iferror(index(fatty_acid!$G:$G,match($A363,fatty_acid!$A:$A,0)))</f>
        <v>BFA24-37</v>
      </c>
      <c r="G363" t="str">
        <f t="array" ref="G363">iferror(index(fatty_acid!$J:$J,match($A363,fatty_acid!$A:$A,0)))</f>
        <v>N</v>
      </c>
      <c r="H363" t="str">
        <f t="array" ref="H363">iferror(index(isotopes!$G:$G,match($A363,isotopes!$A:$A,0)))</f>
        <v>BIS26-56</v>
      </c>
      <c r="I363" t="str">
        <f t="array" ref="I363">iferror(index(isotopes!$J:$J,match($A363,isotopes!$A:$A,0)))</f>
        <v>N</v>
      </c>
      <c r="J363" t="str">
        <f t="array" ref="J363">iferror(index(extra_muscle!$G:$G,match($A363,extra_muscle!$A:$A,0)))</f>
        <v>BXM26-23</v>
      </c>
      <c r="K363" t="str">
        <f t="array" ref="K363">iferror(index(extra_muscle!$J:$J,match($A363,extra_muscle!$A:$A,0)))</f>
        <v>N</v>
      </c>
      <c r="L363" s="59" t="str">
        <f t="array" ref="L363">iferror(index(dna!$G:$G,match($A363,dna!$A:$A,0)))</f>
        <v/>
      </c>
      <c r="M363" s="60" t="str">
        <f t="array" ref="M363">iferror(index(dna!$J:$J,match($A363,dna!$A:$A,0)))</f>
        <v/>
      </c>
      <c r="N363" t="str">
        <f t="array" ref="N363">iferror(index(stomachs!$G:$G,match($A363,stomachs!$A:$A,0)))</f>
        <v/>
      </c>
      <c r="O363" t="str">
        <f t="array" ref="O363">iferror(index(stomachs!$J:$J,match($A363,stomachs!$A:$A,0)))</f>
        <v/>
      </c>
      <c r="P363" t="str">
        <f t="array" ref="P363">iferror(index(sea_lice!$G:$G,match($A363,sea_lice!$A:$A,0)))</f>
        <v>BSL6-13</v>
      </c>
      <c r="Q363" t="str">
        <f t="array" ref="Q363">iferror(index(sea_lice!$J:$J,match($A363,sea_lice!$A:$A,0)))</f>
        <v>N</v>
      </c>
      <c r="R363" s="40" t="str">
        <f t="array" ref="R363">iferror(index(dissected_fish!$F:$F,match($A363,dissected_fish!$A:$A,0)))</f>
        <v>BCA102</v>
      </c>
      <c r="S363" s="40" t="str">
        <f t="array" ref="S363">iferror(index(dissected_fish!$K:$K,match($A363,dissected_fish!$A:$A,0)))</f>
        <v>N</v>
      </c>
      <c r="T363" s="61" t="str">
        <f t="array" ref="T363">index(fish_lab_data!O:O,match(A363,fish_lab_data!C:C,0))</f>
        <v>EJ</v>
      </c>
      <c r="U363" s="61">
        <f t="array" ref="U363">if(A363="","",index(fish_lab_data!X:X,match(A363,fish_lab_data!C:C,0)))</f>
        <v>362</v>
      </c>
    </row>
    <row r="364">
      <c r="A364" t="str">
        <f>fish_lab_data!C364</f>
        <v>U16756</v>
      </c>
      <c r="B364" t="str">
        <f t="array" ref="B364">iferror(index('rna-muscle'!$I:$I,match($A364,'rna-muscle'!$A:$A,0)))</f>
        <v>BRN62M-E4</v>
      </c>
      <c r="C364" t="str">
        <f t="array" ref="C364">iferror(index('rna-muscle'!$L:$L,match($A364,'rna-muscle'!$A:$A,0)))</f>
        <v>N</v>
      </c>
      <c r="D364" t="str">
        <f t="array" ref="D364">iferror(index('rna-gill'!$I:$I,match($A364,'rna-gill'!$A:$A,0)))</f>
        <v>BRN62G-E4</v>
      </c>
      <c r="E364" t="str">
        <f t="array" ref="E364">iferror(index('rna-gill'!$L:$L,match($A364,'rna-gill'!$A:$A,0)))</f>
        <v>N</v>
      </c>
      <c r="F364" t="str">
        <f t="array" ref="F364">iferror(index(fatty_acid!$G:$G,match($A364,fatty_acid!$A:$A,0)))</f>
        <v>BFA24-38</v>
      </c>
      <c r="G364" t="str">
        <f t="array" ref="G364">iferror(index(fatty_acid!$J:$J,match($A364,fatty_acid!$A:$A,0)))</f>
        <v>N</v>
      </c>
      <c r="H364" t="str">
        <f t="array" ref="H364">iferror(index(isotopes!$G:$G,match($A364,isotopes!$A:$A,0)))</f>
        <v>BIS26-57</v>
      </c>
      <c r="I364" t="str">
        <f t="array" ref="I364">iferror(index(isotopes!$J:$J,match($A364,isotopes!$A:$A,0)))</f>
        <v>N</v>
      </c>
      <c r="J364" t="str">
        <f t="array" ref="J364">iferror(index(extra_muscle!$G:$G,match($A364,extra_muscle!$A:$A,0)))</f>
        <v>BXM26-24</v>
      </c>
      <c r="K364" t="str">
        <f t="array" ref="K364">iferror(index(extra_muscle!$J:$J,match($A364,extra_muscle!$A:$A,0)))</f>
        <v>N</v>
      </c>
      <c r="L364" s="59" t="str">
        <f t="array" ref="L364">iferror(index(dna!$G:$G,match($A364,dna!$A:$A,0)))</f>
        <v/>
      </c>
      <c r="M364" s="60" t="str">
        <f t="array" ref="M364">iferror(index(dna!$J:$J,match($A364,dna!$A:$A,0)))</f>
        <v/>
      </c>
      <c r="N364" t="str">
        <f t="array" ref="N364">iferror(index(stomachs!$G:$G,match($A364,stomachs!$A:$A,0)))</f>
        <v/>
      </c>
      <c r="O364" t="str">
        <f t="array" ref="O364">iferror(index(stomachs!$J:$J,match($A364,stomachs!$A:$A,0)))</f>
        <v/>
      </c>
      <c r="P364" t="str">
        <f t="array" ref="P364">iferror(index(sea_lice!$G:$G,match($A364,sea_lice!$A:$A,0)))</f>
        <v/>
      </c>
      <c r="Q364" t="str">
        <f t="array" ref="Q364">iferror(index(sea_lice!$J:$J,match($A364,sea_lice!$A:$A,0)))</f>
        <v/>
      </c>
      <c r="R364" s="40" t="str">
        <f t="array" ref="R364">iferror(index(dissected_fish!$F:$F,match($A364,dissected_fish!$A:$A,0)))</f>
        <v>BCA102</v>
      </c>
      <c r="S364" s="40" t="str">
        <f t="array" ref="S364">iferror(index(dissected_fish!$K:$K,match($A364,dissected_fish!$A:$A,0)))</f>
        <v>N</v>
      </c>
      <c r="T364" s="61" t="str">
        <f t="array" ref="T364">index(fish_lab_data!O:O,match(A364,fish_lab_data!C:C,0))</f>
        <v>EJ</v>
      </c>
      <c r="U364" s="61">
        <f t="array" ref="U364">if(A364="","",index(fish_lab_data!X:X,match(A364,fish_lab_data!C:C,0)))</f>
        <v>363</v>
      </c>
    </row>
    <row r="365">
      <c r="A365" t="str">
        <f>fish_lab_data!C365</f>
        <v>U16754</v>
      </c>
      <c r="B365" t="str">
        <f t="array" ref="B365">iferror(index('rna-muscle'!$I:$I,match($A365,'rna-muscle'!$A:$A,0)))</f>
        <v>BRN62M-D4</v>
      </c>
      <c r="C365" t="str">
        <f t="array" ref="C365">iferror(index('rna-muscle'!$L:$L,match($A365,'rna-muscle'!$A:$A,0)))</f>
        <v>N</v>
      </c>
      <c r="D365" t="str">
        <f t="array" ref="D365">iferror(index('rna-gill'!$I:$I,match($A365,'rna-gill'!$A:$A,0)))</f>
        <v>BRN62G-D4</v>
      </c>
      <c r="E365" t="str">
        <f t="array" ref="E365">iferror(index('rna-gill'!$L:$L,match($A365,'rna-gill'!$A:$A,0)))</f>
        <v>N</v>
      </c>
      <c r="F365" t="str">
        <f t="array" ref="F365">iferror(index(fatty_acid!$G:$G,match($A365,fatty_acid!$A:$A,0)))</f>
        <v>BFA24-39</v>
      </c>
      <c r="G365" t="str">
        <f t="array" ref="G365">iferror(index(fatty_acid!$J:$J,match($A365,fatty_acid!$A:$A,0)))</f>
        <v>N</v>
      </c>
      <c r="H365" t="str">
        <f t="array" ref="H365">iferror(index(isotopes!$G:$G,match($A365,isotopes!$A:$A,0)))</f>
        <v>BIS26-58</v>
      </c>
      <c r="I365" t="str">
        <f t="array" ref="I365">iferror(index(isotopes!$J:$J,match($A365,isotopes!$A:$A,0)))</f>
        <v>N</v>
      </c>
      <c r="J365" t="str">
        <f t="array" ref="J365">iferror(index(extra_muscle!$G:$G,match($A365,extra_muscle!$A:$A,0)))</f>
        <v>BXM26-25</v>
      </c>
      <c r="K365" t="str">
        <f t="array" ref="K365">iferror(index(extra_muscle!$J:$J,match($A365,extra_muscle!$A:$A,0)))</f>
        <v>N</v>
      </c>
      <c r="L365" s="59" t="str">
        <f t="array" ref="L365">iferror(index(dna!$G:$G,match($A365,dna!$A:$A,0)))</f>
        <v/>
      </c>
      <c r="M365" s="60" t="str">
        <f t="array" ref="M365">iferror(index(dna!$J:$J,match($A365,dna!$A:$A,0)))</f>
        <v/>
      </c>
      <c r="N365" t="str">
        <f t="array" ref="N365">iferror(index(stomachs!$G:$G,match($A365,stomachs!$A:$A,0)))</f>
        <v/>
      </c>
      <c r="O365" t="str">
        <f t="array" ref="O365">iferror(index(stomachs!$J:$J,match($A365,stomachs!$A:$A,0)))</f>
        <v/>
      </c>
      <c r="P365" t="str">
        <f t="array" ref="P365">iferror(index(sea_lice!$G:$G,match($A365,sea_lice!$A:$A,0)))</f>
        <v/>
      </c>
      <c r="Q365" t="str">
        <f t="array" ref="Q365">iferror(index(sea_lice!$J:$J,match($A365,sea_lice!$A:$A,0)))</f>
        <v/>
      </c>
      <c r="R365" s="40" t="str">
        <f t="array" ref="R365">iferror(index(dissected_fish!$F:$F,match($A365,dissected_fish!$A:$A,0)))</f>
        <v>BCA102</v>
      </c>
      <c r="S365" s="40" t="str">
        <f t="array" ref="S365">iferror(index(dissected_fish!$K:$K,match($A365,dissected_fish!$A:$A,0)))</f>
        <v>N</v>
      </c>
      <c r="T365" s="61" t="str">
        <f t="array" ref="T365">index(fish_lab_data!O:O,match(A365,fish_lab_data!C:C,0))</f>
        <v>EJ</v>
      </c>
      <c r="U365" s="61">
        <f t="array" ref="U365">if(A365="","",index(fish_lab_data!X:X,match(A365,fish_lab_data!C:C,0)))</f>
        <v>364</v>
      </c>
    </row>
    <row r="366">
      <c r="A366" t="str">
        <f>fish_lab_data!C366</f>
        <v>U16755</v>
      </c>
      <c r="B366" t="str">
        <f t="array" ref="B366">iferror(index('rna-muscle'!$I:$I,match($A366,'rna-muscle'!$A:$A,0)))</f>
        <v>BRN62M-C4</v>
      </c>
      <c r="C366" t="str">
        <f t="array" ref="C366">iferror(index('rna-muscle'!$L:$L,match($A366,'rna-muscle'!$A:$A,0)))</f>
        <v>N</v>
      </c>
      <c r="D366" t="str">
        <f t="array" ref="D366">iferror(index('rna-gill'!$I:$I,match($A366,'rna-gill'!$A:$A,0)))</f>
        <v>BRN62G-C4</v>
      </c>
      <c r="E366" t="str">
        <f t="array" ref="E366">iferror(index('rna-gill'!$L:$L,match($A366,'rna-gill'!$A:$A,0)))</f>
        <v>N</v>
      </c>
      <c r="F366" t="str">
        <f t="array" ref="F366">iferror(index(fatty_acid!$G:$G,match($A366,fatty_acid!$A:$A,0)))</f>
        <v>BFA24-40</v>
      </c>
      <c r="G366" t="str">
        <f t="array" ref="G366">iferror(index(fatty_acid!$J:$J,match($A366,fatty_acid!$A:$A,0)))</f>
        <v>N</v>
      </c>
      <c r="H366" t="str">
        <f t="array" ref="H366">iferror(index(isotopes!$G:$G,match($A366,isotopes!$A:$A,0)))</f>
        <v>BIS26-59</v>
      </c>
      <c r="I366" t="str">
        <f t="array" ref="I366">iferror(index(isotopes!$J:$J,match($A366,isotopes!$A:$A,0)))</f>
        <v>N</v>
      </c>
      <c r="J366" t="str">
        <f t="array" ref="J366">iferror(index(extra_muscle!$G:$G,match($A366,extra_muscle!$A:$A,0)))</f>
        <v>BXM26-26</v>
      </c>
      <c r="K366" t="str">
        <f t="array" ref="K366">iferror(index(extra_muscle!$J:$J,match($A366,extra_muscle!$A:$A,0)))</f>
        <v>N</v>
      </c>
      <c r="L366" s="59" t="str">
        <f t="array" ref="L366">iferror(index(dna!$G:$G,match($A366,dna!$A:$A,0)))</f>
        <v/>
      </c>
      <c r="M366" s="60" t="str">
        <f t="array" ref="M366">iferror(index(dna!$J:$J,match($A366,dna!$A:$A,0)))</f>
        <v/>
      </c>
      <c r="N366" t="str">
        <f t="array" ref="N366">iferror(index(stomachs!$G:$G,match($A366,stomachs!$A:$A,0)))</f>
        <v/>
      </c>
      <c r="O366" t="str">
        <f t="array" ref="O366">iferror(index(stomachs!$J:$J,match($A366,stomachs!$A:$A,0)))</f>
        <v/>
      </c>
      <c r="P366" t="str">
        <f t="array" ref="P366">iferror(index(sea_lice!$G:$G,match($A366,sea_lice!$A:$A,0)))</f>
        <v/>
      </c>
      <c r="Q366" t="str">
        <f t="array" ref="Q366">iferror(index(sea_lice!$J:$J,match($A366,sea_lice!$A:$A,0)))</f>
        <v/>
      </c>
      <c r="R366" s="40" t="str">
        <f t="array" ref="R366">iferror(index(dissected_fish!$F:$F,match($A366,dissected_fish!$A:$A,0)))</f>
        <v>BCA102</v>
      </c>
      <c r="S366" s="40" t="str">
        <f t="array" ref="S366">iferror(index(dissected_fish!$K:$K,match($A366,dissected_fish!$A:$A,0)))</f>
        <v>N</v>
      </c>
      <c r="T366" s="61" t="str">
        <f t="array" ref="T366">index(fish_lab_data!O:O,match(A366,fish_lab_data!C:C,0))</f>
        <v>EJ</v>
      </c>
      <c r="U366" s="61">
        <f t="array" ref="U366">if(A366="","",index(fish_lab_data!X:X,match(A366,fish_lab_data!C:C,0)))</f>
        <v>365</v>
      </c>
    </row>
    <row r="367">
      <c r="A367" t="str">
        <f>fish_lab_data!C367</f>
        <v>U16757</v>
      </c>
      <c r="B367" t="str">
        <f t="array" ref="B367">iferror(index('rna-muscle'!$I:$I,match($A367,'rna-muscle'!$A:$A,0)))</f>
        <v>BRN62M-B4</v>
      </c>
      <c r="C367" t="str">
        <f t="array" ref="C367">iferror(index('rna-muscle'!$L:$L,match($A367,'rna-muscle'!$A:$A,0)))</f>
        <v>N</v>
      </c>
      <c r="D367" t="str">
        <f t="array" ref="D367">iferror(index('rna-gill'!$I:$I,match($A367,'rna-gill'!$A:$A,0)))</f>
        <v>BRN62G-B4</v>
      </c>
      <c r="E367" t="str">
        <f t="array" ref="E367">iferror(index('rna-gill'!$L:$L,match($A367,'rna-gill'!$A:$A,0)))</f>
        <v>N</v>
      </c>
      <c r="F367" t="str">
        <f t="array" ref="F367">iferror(index(fatty_acid!$G:$G,match($A367,fatty_acid!$A:$A,0)))</f>
        <v>BFA24-41</v>
      </c>
      <c r="G367" t="str">
        <f t="array" ref="G367">iferror(index(fatty_acid!$J:$J,match($A367,fatty_acid!$A:$A,0)))</f>
        <v>N</v>
      </c>
      <c r="H367" t="str">
        <f t="array" ref="H367">iferror(index(isotopes!$G:$G,match($A367,isotopes!$A:$A,0)))</f>
        <v>BIS26-60</v>
      </c>
      <c r="I367" t="str">
        <f t="array" ref="I367">iferror(index(isotopes!$J:$J,match($A367,isotopes!$A:$A,0)))</f>
        <v>N</v>
      </c>
      <c r="J367" t="str">
        <f t="array" ref="J367">iferror(index(extra_muscle!$G:$G,match($A367,extra_muscle!$A:$A,0)))</f>
        <v>BXM26-27</v>
      </c>
      <c r="K367" t="str">
        <f t="array" ref="K367">iferror(index(extra_muscle!$J:$J,match($A367,extra_muscle!$A:$A,0)))</f>
        <v>N</v>
      </c>
      <c r="L367" s="59" t="str">
        <f t="array" ref="L367">iferror(index(dna!$G:$G,match($A367,dna!$A:$A,0)))</f>
        <v/>
      </c>
      <c r="M367" s="60" t="str">
        <f t="array" ref="M367">iferror(index(dna!$J:$J,match($A367,dna!$A:$A,0)))</f>
        <v/>
      </c>
      <c r="N367" t="str">
        <f t="array" ref="N367">iferror(index(stomachs!$G:$G,match($A367,stomachs!$A:$A,0)))</f>
        <v/>
      </c>
      <c r="O367" t="str">
        <f t="array" ref="O367">iferror(index(stomachs!$J:$J,match($A367,stomachs!$A:$A,0)))</f>
        <v/>
      </c>
      <c r="P367" t="str">
        <f t="array" ref="P367">iferror(index(sea_lice!$G:$G,match($A367,sea_lice!$A:$A,0)))</f>
        <v/>
      </c>
      <c r="Q367" t="str">
        <f t="array" ref="Q367">iferror(index(sea_lice!$J:$J,match($A367,sea_lice!$A:$A,0)))</f>
        <v/>
      </c>
      <c r="R367" s="40" t="str">
        <f t="array" ref="R367">iferror(index(dissected_fish!$F:$F,match($A367,dissected_fish!$A:$A,0)))</f>
        <v>BCA102</v>
      </c>
      <c r="S367" s="40" t="str">
        <f t="array" ref="S367">iferror(index(dissected_fish!$K:$K,match($A367,dissected_fish!$A:$A,0)))</f>
        <v>N</v>
      </c>
      <c r="T367" s="61" t="str">
        <f t="array" ref="T367">index(fish_lab_data!O:O,match(A367,fish_lab_data!C:C,0))</f>
        <v>EJ</v>
      </c>
      <c r="U367" s="61">
        <f t="array" ref="U367">if(A367="","",index(fish_lab_data!X:X,match(A367,fish_lab_data!C:C,0)))</f>
        <v>366</v>
      </c>
    </row>
    <row r="368">
      <c r="A368" t="str">
        <f>fish_lab_data!C368</f>
        <v>U16758</v>
      </c>
      <c r="B368" t="str">
        <f t="array" ref="B368">iferror(index('rna-muscle'!$I:$I,match($A368,'rna-muscle'!$A:$A,0)))</f>
        <v>BRN62M-A4</v>
      </c>
      <c r="C368" t="str">
        <f t="array" ref="C368">iferror(index('rna-muscle'!$L:$L,match($A368,'rna-muscle'!$A:$A,0)))</f>
        <v>N</v>
      </c>
      <c r="D368" t="str">
        <f t="array" ref="D368">iferror(index('rna-gill'!$I:$I,match($A368,'rna-gill'!$A:$A,0)))</f>
        <v>BRN62G-A4</v>
      </c>
      <c r="E368" t="str">
        <f t="array" ref="E368">iferror(index('rna-gill'!$L:$L,match($A368,'rna-gill'!$A:$A,0)))</f>
        <v>N</v>
      </c>
      <c r="F368" t="str">
        <f t="array" ref="F368">iferror(index(fatty_acid!$G:$G,match($A368,fatty_acid!$A:$A,0)))</f>
        <v>BFA24-42</v>
      </c>
      <c r="G368" t="str">
        <f t="array" ref="G368">iferror(index(fatty_acid!$J:$J,match($A368,fatty_acid!$A:$A,0)))</f>
        <v>N</v>
      </c>
      <c r="H368" t="str">
        <f t="array" ref="H368">iferror(index(isotopes!$G:$G,match($A368,isotopes!$A:$A,0)))</f>
        <v>BIS26-61</v>
      </c>
      <c r="I368" t="str">
        <f t="array" ref="I368">iferror(index(isotopes!$J:$J,match($A368,isotopes!$A:$A,0)))</f>
        <v>N</v>
      </c>
      <c r="J368" t="str">
        <f t="array" ref="J368">iferror(index(extra_muscle!$G:$G,match($A368,extra_muscle!$A:$A,0)))</f>
        <v>BXM26-28</v>
      </c>
      <c r="K368" t="str">
        <f t="array" ref="K368">iferror(index(extra_muscle!$J:$J,match($A368,extra_muscle!$A:$A,0)))</f>
        <v>N</v>
      </c>
      <c r="L368" s="59" t="str">
        <f t="array" ref="L368">iferror(index(dna!$G:$G,match($A368,dna!$A:$A,0)))</f>
        <v/>
      </c>
      <c r="M368" s="60" t="str">
        <f t="array" ref="M368">iferror(index(dna!$J:$J,match($A368,dna!$A:$A,0)))</f>
        <v/>
      </c>
      <c r="N368" t="str">
        <f t="array" ref="N368">iferror(index(stomachs!$G:$G,match($A368,stomachs!$A:$A,0)))</f>
        <v/>
      </c>
      <c r="O368" t="str">
        <f t="array" ref="O368">iferror(index(stomachs!$J:$J,match($A368,stomachs!$A:$A,0)))</f>
        <v/>
      </c>
      <c r="P368" t="str">
        <f t="array" ref="P368">iferror(index(sea_lice!$G:$G,match($A368,sea_lice!$A:$A,0)))</f>
        <v/>
      </c>
      <c r="Q368" t="str">
        <f t="array" ref="Q368">iferror(index(sea_lice!$J:$J,match($A368,sea_lice!$A:$A,0)))</f>
        <v/>
      </c>
      <c r="R368" s="40" t="str">
        <f t="array" ref="R368">iferror(index(dissected_fish!$F:$F,match($A368,dissected_fish!$A:$A,0)))</f>
        <v>BCA102</v>
      </c>
      <c r="S368" s="40" t="str">
        <f t="array" ref="S368">iferror(index(dissected_fish!$K:$K,match($A368,dissected_fish!$A:$A,0)))</f>
        <v>N</v>
      </c>
      <c r="T368" s="61" t="str">
        <f t="array" ref="T368">index(fish_lab_data!O:O,match(A368,fish_lab_data!C:C,0))</f>
        <v>EJ</v>
      </c>
      <c r="U368" s="61">
        <f t="array" ref="U368">if(A368="","",index(fish_lab_data!X:X,match(A368,fish_lab_data!C:C,0)))</f>
        <v>367</v>
      </c>
    </row>
    <row r="369">
      <c r="A369" t="str">
        <f>fish_lab_data!C369</f>
        <v>U16701</v>
      </c>
      <c r="B369" t="str">
        <f t="array" ref="B369">iferror(index('rna-muscle'!$I:$I,match($A369,'rna-muscle'!$A:$A,0)))</f>
        <v>BRN62M-G6</v>
      </c>
      <c r="C369" t="str">
        <f t="array" ref="C369">iferror(index('rna-muscle'!$L:$L,match($A369,'rna-muscle'!$A:$A,0)))</f>
        <v>N</v>
      </c>
      <c r="D369" t="str">
        <f t="array" ref="D369">iferror(index('rna-gill'!$I:$I,match($A369,'rna-gill'!$A:$A,0)))</f>
        <v>BRN62G-G6</v>
      </c>
      <c r="E369" t="str">
        <f t="array" ref="E369">iferror(index('rna-gill'!$L:$L,match($A369,'rna-gill'!$A:$A,0)))</f>
        <v>N</v>
      </c>
      <c r="F369" t="str">
        <f t="array" ref="F369">iferror(index(fatty_acid!$G:$G,match($A369,fatty_acid!$A:$A,0)))</f>
        <v>BFA24-43</v>
      </c>
      <c r="G369" t="str">
        <f t="array" ref="G369">iferror(index(fatty_acid!$J:$J,match($A369,fatty_acid!$A:$A,0)))</f>
        <v>N</v>
      </c>
      <c r="H369" t="str">
        <f t="array" ref="H369">iferror(index(isotopes!$G:$G,match($A369,isotopes!$A:$A,0)))</f>
        <v>BIS26-62</v>
      </c>
      <c r="I369" t="str">
        <f t="array" ref="I369">iferror(index(isotopes!$J:$J,match($A369,isotopes!$A:$A,0)))</f>
        <v>N</v>
      </c>
      <c r="J369" t="str">
        <f t="array" ref="J369">iferror(index(extra_muscle!$G:$G,match($A369,extra_muscle!$A:$A,0)))</f>
        <v>BXM26-29</v>
      </c>
      <c r="K369" t="str">
        <f t="array" ref="K369">iferror(index(extra_muscle!$J:$J,match($A369,extra_muscle!$A:$A,0)))</f>
        <v>N</v>
      </c>
      <c r="L369" s="59" t="str">
        <f t="array" ref="L369">iferror(index(dna!$G:$G,match($A369,dna!$A:$A,0)))</f>
        <v/>
      </c>
      <c r="M369" s="60" t="str">
        <f t="array" ref="M369">iferror(index(dna!$J:$J,match($A369,dna!$A:$A,0)))</f>
        <v/>
      </c>
      <c r="N369" t="str">
        <f t="array" ref="N369">iferror(index(stomachs!$G:$G,match($A369,stomachs!$A:$A,0)))</f>
        <v/>
      </c>
      <c r="O369" t="str">
        <f t="array" ref="O369">iferror(index(stomachs!$J:$J,match($A369,stomachs!$A:$A,0)))</f>
        <v/>
      </c>
      <c r="P369" t="str">
        <f t="array" ref="P369">iferror(index(sea_lice!$G:$G,match($A369,sea_lice!$A:$A,0)))</f>
        <v/>
      </c>
      <c r="Q369" t="str">
        <f t="array" ref="Q369">iferror(index(sea_lice!$J:$J,match($A369,sea_lice!$A:$A,0)))</f>
        <v/>
      </c>
      <c r="R369" s="40" t="str">
        <f t="array" ref="R369">iferror(index(dissected_fish!$F:$F,match($A369,dissected_fish!$A:$A,0)))</f>
        <v>BCA103</v>
      </c>
      <c r="S369" s="40" t="str">
        <f t="array" ref="S369">iferror(index(dissected_fish!$K:$K,match($A369,dissected_fish!$A:$A,0)))</f>
        <v>N</v>
      </c>
      <c r="T369" s="61" t="str">
        <f t="array" ref="T369">index(fish_lab_data!O:O,match(A369,fish_lab_data!C:C,0))</f>
        <v>EJ</v>
      </c>
      <c r="U369" s="61">
        <f t="array" ref="U369">if(A369="","",index(fish_lab_data!X:X,match(A369,fish_lab_data!C:C,0)))</f>
        <v>368</v>
      </c>
    </row>
    <row r="370">
      <c r="A370" t="str">
        <f>fish_lab_data!C370</f>
        <v>U16702</v>
      </c>
      <c r="B370" t="str">
        <f t="array" ref="B370">iferror(index('rna-muscle'!$I:$I,match($A370,'rna-muscle'!$A:$A,0)))</f>
        <v>BRN62M-F6</v>
      </c>
      <c r="C370" t="str">
        <f t="array" ref="C370">iferror(index('rna-muscle'!$L:$L,match($A370,'rna-muscle'!$A:$A,0)))</f>
        <v>N</v>
      </c>
      <c r="D370" t="str">
        <f t="array" ref="D370">iferror(index('rna-gill'!$I:$I,match($A370,'rna-gill'!$A:$A,0)))</f>
        <v>BRN62G-F6</v>
      </c>
      <c r="E370" t="str">
        <f t="array" ref="E370">iferror(index('rna-gill'!$L:$L,match($A370,'rna-gill'!$A:$A,0)))</f>
        <v>N</v>
      </c>
      <c r="F370" t="str">
        <f t="array" ref="F370">iferror(index(fatty_acid!$G:$G,match($A370,fatty_acid!$A:$A,0)))</f>
        <v>BFA24-44</v>
      </c>
      <c r="G370" t="str">
        <f t="array" ref="G370">iferror(index(fatty_acid!$J:$J,match($A370,fatty_acid!$A:$A,0)))</f>
        <v>N</v>
      </c>
      <c r="H370" t="str">
        <f t="array" ref="H370">iferror(index(isotopes!$G:$G,match($A370,isotopes!$A:$A,0)))</f>
        <v>BIS26-63</v>
      </c>
      <c r="I370" t="str">
        <f t="array" ref="I370">iferror(index(isotopes!$J:$J,match($A370,isotopes!$A:$A,0)))</f>
        <v>N</v>
      </c>
      <c r="J370" t="str">
        <f t="array" ref="J370">iferror(index(extra_muscle!$G:$G,match($A370,extra_muscle!$A:$A,0)))</f>
        <v>BXM26-30</v>
      </c>
      <c r="K370" t="str">
        <f t="array" ref="K370">iferror(index(extra_muscle!$J:$J,match($A370,extra_muscle!$A:$A,0)))</f>
        <v>N</v>
      </c>
      <c r="L370" s="59" t="str">
        <f t="array" ref="L370">iferror(index(dna!$G:$G,match($A370,dna!$A:$A,0)))</f>
        <v/>
      </c>
      <c r="M370" s="60" t="str">
        <f t="array" ref="M370">iferror(index(dna!$J:$J,match($A370,dna!$A:$A,0)))</f>
        <v/>
      </c>
      <c r="N370" t="str">
        <f t="array" ref="N370">iferror(index(stomachs!$G:$G,match($A370,stomachs!$A:$A,0)))</f>
        <v/>
      </c>
      <c r="O370" t="str">
        <f t="array" ref="O370">iferror(index(stomachs!$J:$J,match($A370,stomachs!$A:$A,0)))</f>
        <v/>
      </c>
      <c r="P370" t="str">
        <f t="array" ref="P370">iferror(index(sea_lice!$G:$G,match($A370,sea_lice!$A:$A,0)))</f>
        <v/>
      </c>
      <c r="Q370" t="str">
        <f t="array" ref="Q370">iferror(index(sea_lice!$J:$J,match($A370,sea_lice!$A:$A,0)))</f>
        <v/>
      </c>
      <c r="R370" s="40" t="str">
        <f t="array" ref="R370">iferror(index(dissected_fish!$F:$F,match($A370,dissected_fish!$A:$A,0)))</f>
        <v>BCA103</v>
      </c>
      <c r="S370" s="40" t="str">
        <f t="array" ref="S370">iferror(index(dissected_fish!$K:$K,match($A370,dissected_fish!$A:$A,0)))</f>
        <v>N</v>
      </c>
      <c r="T370" s="61" t="str">
        <f t="array" ref="T370">index(fish_lab_data!O:O,match(A370,fish_lab_data!C:C,0))</f>
        <v>EJ</v>
      </c>
      <c r="U370" s="61">
        <f t="array" ref="U370">if(A370="","",index(fish_lab_data!X:X,match(A370,fish_lab_data!C:C,0)))</f>
        <v>369</v>
      </c>
    </row>
    <row r="371">
      <c r="A371" t="str">
        <f>fish_lab_data!C371</f>
        <v>U16703</v>
      </c>
      <c r="B371" t="str">
        <f t="array" ref="B371">iferror(index('rna-muscle'!$I:$I,match($A371,'rna-muscle'!$A:$A,0)))</f>
        <v>BRN62M-E6</v>
      </c>
      <c r="C371" t="str">
        <f t="array" ref="C371">iferror(index('rna-muscle'!$L:$L,match($A371,'rna-muscle'!$A:$A,0)))</f>
        <v>N</v>
      </c>
      <c r="D371" t="str">
        <f t="array" ref="D371">iferror(index('rna-gill'!$I:$I,match($A371,'rna-gill'!$A:$A,0)))</f>
        <v>BRN62G-E6</v>
      </c>
      <c r="E371" t="str">
        <f t="array" ref="E371">iferror(index('rna-gill'!$L:$L,match($A371,'rna-gill'!$A:$A,0)))</f>
        <v>N</v>
      </c>
      <c r="F371" t="str">
        <f t="array" ref="F371">iferror(index(fatty_acid!$G:$G,match($A371,fatty_acid!$A:$A,0)))</f>
        <v>BFA24-45</v>
      </c>
      <c r="G371" t="str">
        <f t="array" ref="G371">iferror(index(fatty_acid!$J:$J,match($A371,fatty_acid!$A:$A,0)))</f>
        <v>N</v>
      </c>
      <c r="H371" t="str">
        <f t="array" ref="H371">iferror(index(isotopes!$G:$G,match($A371,isotopes!$A:$A,0)))</f>
        <v>BIS26-64</v>
      </c>
      <c r="I371" t="str">
        <f t="array" ref="I371">iferror(index(isotopes!$J:$J,match($A371,isotopes!$A:$A,0)))</f>
        <v>N</v>
      </c>
      <c r="J371" t="str">
        <f t="array" ref="J371">iferror(index(extra_muscle!$G:$G,match($A371,extra_muscle!$A:$A,0)))</f>
        <v>BXM26-31</v>
      </c>
      <c r="K371" t="str">
        <f t="array" ref="K371">iferror(index(extra_muscle!$J:$J,match($A371,extra_muscle!$A:$A,0)))</f>
        <v>N</v>
      </c>
      <c r="L371" s="59" t="str">
        <f t="array" ref="L371">iferror(index(dna!$G:$G,match($A371,dna!$A:$A,0)))</f>
        <v/>
      </c>
      <c r="M371" s="60" t="str">
        <f t="array" ref="M371">iferror(index(dna!$J:$J,match($A371,dna!$A:$A,0)))</f>
        <v/>
      </c>
      <c r="N371" t="str">
        <f t="array" ref="N371">iferror(index(stomachs!$G:$G,match($A371,stomachs!$A:$A,0)))</f>
        <v/>
      </c>
      <c r="O371" t="str">
        <f t="array" ref="O371">iferror(index(stomachs!$J:$J,match($A371,stomachs!$A:$A,0)))</f>
        <v/>
      </c>
      <c r="P371" t="str">
        <f t="array" ref="P371">iferror(index(sea_lice!$G:$G,match($A371,sea_lice!$A:$A,0)))</f>
        <v/>
      </c>
      <c r="Q371" t="str">
        <f t="array" ref="Q371">iferror(index(sea_lice!$J:$J,match($A371,sea_lice!$A:$A,0)))</f>
        <v/>
      </c>
      <c r="R371" s="40" t="str">
        <f t="array" ref="R371">iferror(index(dissected_fish!$F:$F,match($A371,dissected_fish!$A:$A,0)))</f>
        <v>BCA103</v>
      </c>
      <c r="S371" s="40" t="str">
        <f t="array" ref="S371">iferror(index(dissected_fish!$K:$K,match($A371,dissected_fish!$A:$A,0)))</f>
        <v>N</v>
      </c>
      <c r="T371" s="61" t="str">
        <f t="array" ref="T371">index(fish_lab_data!O:O,match(A371,fish_lab_data!C:C,0))</f>
        <v>EJ</v>
      </c>
      <c r="U371" s="61">
        <f t="array" ref="U371">if(A371="","",index(fish_lab_data!X:X,match(A371,fish_lab_data!C:C,0)))</f>
        <v>370</v>
      </c>
    </row>
    <row r="372">
      <c r="A372" t="str">
        <f>fish_lab_data!C372</f>
        <v>U16705</v>
      </c>
      <c r="B372" t="str">
        <f t="array" ref="B372">iferror(index('rna-muscle'!$I:$I,match($A372,'rna-muscle'!$A:$A,0)))</f>
        <v>BRN62M-D6</v>
      </c>
      <c r="C372" t="str">
        <f t="array" ref="C372">iferror(index('rna-muscle'!$L:$L,match($A372,'rna-muscle'!$A:$A,0)))</f>
        <v>N</v>
      </c>
      <c r="D372" t="str">
        <f t="array" ref="D372">iferror(index('rna-gill'!$I:$I,match($A372,'rna-gill'!$A:$A,0)))</f>
        <v>BRN62G-D6</v>
      </c>
      <c r="E372" t="str">
        <f t="array" ref="E372">iferror(index('rna-gill'!$L:$L,match($A372,'rna-gill'!$A:$A,0)))</f>
        <v>N</v>
      </c>
      <c r="F372" t="str">
        <f t="array" ref="F372">iferror(index(fatty_acid!$G:$G,match($A372,fatty_acid!$A:$A,0)))</f>
        <v>BFA24-46</v>
      </c>
      <c r="G372" t="str">
        <f t="array" ref="G372">iferror(index(fatty_acid!$J:$J,match($A372,fatty_acid!$A:$A,0)))</f>
        <v>N</v>
      </c>
      <c r="H372" t="str">
        <f t="array" ref="H372">iferror(index(isotopes!$G:$G,match($A372,isotopes!$A:$A,0)))</f>
        <v>BIS26-65</v>
      </c>
      <c r="I372" t="str">
        <f t="array" ref="I372">iferror(index(isotopes!$J:$J,match($A372,isotopes!$A:$A,0)))</f>
        <v>N</v>
      </c>
      <c r="J372" t="str">
        <f t="array" ref="J372">iferror(index(extra_muscle!$G:$G,match($A372,extra_muscle!$A:$A,0)))</f>
        <v>BXM26-32</v>
      </c>
      <c r="K372" t="str">
        <f t="array" ref="K372">iferror(index(extra_muscle!$J:$J,match($A372,extra_muscle!$A:$A,0)))</f>
        <v>N</v>
      </c>
      <c r="L372" s="59" t="str">
        <f t="array" ref="L372">iferror(index(dna!$G:$G,match($A372,dna!$A:$A,0)))</f>
        <v/>
      </c>
      <c r="M372" s="60" t="str">
        <f t="array" ref="M372">iferror(index(dna!$J:$J,match($A372,dna!$A:$A,0)))</f>
        <v/>
      </c>
      <c r="N372" t="str">
        <f t="array" ref="N372">iferror(index(stomachs!$G:$G,match($A372,stomachs!$A:$A,0)))</f>
        <v/>
      </c>
      <c r="O372" t="str">
        <f t="array" ref="O372">iferror(index(stomachs!$J:$J,match($A372,stomachs!$A:$A,0)))</f>
        <v/>
      </c>
      <c r="P372" t="str">
        <f t="array" ref="P372">iferror(index(sea_lice!$G:$G,match($A372,sea_lice!$A:$A,0)))</f>
        <v>BSL6-16</v>
      </c>
      <c r="Q372" t="str">
        <f t="array" ref="Q372">iferror(index(sea_lice!$J:$J,match($A372,sea_lice!$A:$A,0)))</f>
        <v>N</v>
      </c>
      <c r="R372" s="40" t="str">
        <f t="array" ref="R372">iferror(index(dissected_fish!$F:$F,match($A372,dissected_fish!$A:$A,0)))</f>
        <v>BCA103</v>
      </c>
      <c r="S372" s="40" t="str">
        <f t="array" ref="S372">iferror(index(dissected_fish!$K:$K,match($A372,dissected_fish!$A:$A,0)))</f>
        <v>N</v>
      </c>
      <c r="T372" s="61" t="str">
        <f t="array" ref="T372">index(fish_lab_data!O:O,match(A372,fish_lab_data!C:C,0))</f>
        <v>EJ</v>
      </c>
      <c r="U372" s="61">
        <f t="array" ref="U372">if(A372="","",index(fish_lab_data!X:X,match(A372,fish_lab_data!C:C,0)))</f>
        <v>371</v>
      </c>
    </row>
    <row r="373">
      <c r="A373" t="str">
        <f>fish_lab_data!C373</f>
        <v>U16704</v>
      </c>
      <c r="B373" t="str">
        <f t="array" ref="B373">iferror(index('rna-muscle'!$I:$I,match($A373,'rna-muscle'!$A:$A,0)))</f>
        <v>BRN62M-C6</v>
      </c>
      <c r="C373" t="str">
        <f t="array" ref="C373">iferror(index('rna-muscle'!$L:$L,match($A373,'rna-muscle'!$A:$A,0)))</f>
        <v>N</v>
      </c>
      <c r="D373" t="str">
        <f t="array" ref="D373">iferror(index('rna-gill'!$I:$I,match($A373,'rna-gill'!$A:$A,0)))</f>
        <v>BRN62G-C6</v>
      </c>
      <c r="E373" t="str">
        <f t="array" ref="E373">iferror(index('rna-gill'!$L:$L,match($A373,'rna-gill'!$A:$A,0)))</f>
        <v>N</v>
      </c>
      <c r="F373" t="str">
        <f t="array" ref="F373">iferror(index(fatty_acid!$G:$G,match($A373,fatty_acid!$A:$A,0)))</f>
        <v>BFA24-47</v>
      </c>
      <c r="G373" t="str">
        <f t="array" ref="G373">iferror(index(fatty_acid!$J:$J,match($A373,fatty_acid!$A:$A,0)))</f>
        <v>N</v>
      </c>
      <c r="H373" t="str">
        <f t="array" ref="H373">iferror(index(isotopes!$G:$G,match($A373,isotopes!$A:$A,0)))</f>
        <v>BIS26-66</v>
      </c>
      <c r="I373" t="str">
        <f t="array" ref="I373">iferror(index(isotopes!$J:$J,match($A373,isotopes!$A:$A,0)))</f>
        <v>N</v>
      </c>
      <c r="J373" t="str">
        <f t="array" ref="J373">iferror(index(extra_muscle!$G:$G,match($A373,extra_muscle!$A:$A,0)))</f>
        <v>BXM26-33</v>
      </c>
      <c r="K373" t="str">
        <f t="array" ref="K373">iferror(index(extra_muscle!$J:$J,match($A373,extra_muscle!$A:$A,0)))</f>
        <v>N</v>
      </c>
      <c r="L373" s="59" t="str">
        <f t="array" ref="L373">iferror(index(dna!$G:$G,match($A373,dna!$A:$A,0)))</f>
        <v/>
      </c>
      <c r="M373" s="60" t="str">
        <f t="array" ref="M373">iferror(index(dna!$J:$J,match($A373,dna!$A:$A,0)))</f>
        <v/>
      </c>
      <c r="N373" t="str">
        <f t="array" ref="N373">iferror(index(stomachs!$G:$G,match($A373,stomachs!$A:$A,0)))</f>
        <v/>
      </c>
      <c r="O373" t="str">
        <f t="array" ref="O373">iferror(index(stomachs!$J:$J,match($A373,stomachs!$A:$A,0)))</f>
        <v/>
      </c>
      <c r="P373" t="str">
        <f t="array" ref="P373">iferror(index(sea_lice!$G:$G,match($A373,sea_lice!$A:$A,0)))</f>
        <v/>
      </c>
      <c r="Q373" t="str">
        <f t="array" ref="Q373">iferror(index(sea_lice!$J:$J,match($A373,sea_lice!$A:$A,0)))</f>
        <v/>
      </c>
      <c r="R373" s="40" t="str">
        <f t="array" ref="R373">iferror(index(dissected_fish!$F:$F,match($A373,dissected_fish!$A:$A,0)))</f>
        <v>BCA103</v>
      </c>
      <c r="S373" s="40" t="str">
        <f t="array" ref="S373">iferror(index(dissected_fish!$K:$K,match($A373,dissected_fish!$A:$A,0)))</f>
        <v>N</v>
      </c>
      <c r="T373" s="61" t="str">
        <f t="array" ref="T373">index(fish_lab_data!O:O,match(A373,fish_lab_data!C:C,0))</f>
        <v>EJ</v>
      </c>
      <c r="U373" s="61">
        <f t="array" ref="U373">if(A373="","",index(fish_lab_data!X:X,match(A373,fish_lab_data!C:C,0)))</f>
        <v>372</v>
      </c>
    </row>
    <row r="374">
      <c r="A374" t="str">
        <f>fish_lab_data!C374</f>
        <v>U16706</v>
      </c>
      <c r="B374" t="str">
        <f t="array" ref="B374">iferror(index('rna-muscle'!$I:$I,match($A374,'rna-muscle'!$A:$A,0)))</f>
        <v>BRN62M-B6</v>
      </c>
      <c r="C374" t="str">
        <f t="array" ref="C374">iferror(index('rna-muscle'!$L:$L,match($A374,'rna-muscle'!$A:$A,0)))</f>
        <v>N</v>
      </c>
      <c r="D374" t="str">
        <f t="array" ref="D374">iferror(index('rna-gill'!$I:$I,match($A374,'rna-gill'!$A:$A,0)))</f>
        <v>BRN62G-B6</v>
      </c>
      <c r="E374" t="str">
        <f t="array" ref="E374">iferror(index('rna-gill'!$L:$L,match($A374,'rna-gill'!$A:$A,0)))</f>
        <v>N</v>
      </c>
      <c r="F374" t="str">
        <f t="array" ref="F374">iferror(index(fatty_acid!$G:$G,match($A374,fatty_acid!$A:$A,0)))</f>
        <v>BFA24-48</v>
      </c>
      <c r="G374" t="str">
        <f t="array" ref="G374">iferror(index(fatty_acid!$J:$J,match($A374,fatty_acid!$A:$A,0)))</f>
        <v>N</v>
      </c>
      <c r="H374" t="str">
        <f t="array" ref="H374">iferror(index(isotopes!$G:$G,match($A374,isotopes!$A:$A,0)))</f>
        <v>BIS26-67</v>
      </c>
      <c r="I374" t="str">
        <f t="array" ref="I374">iferror(index(isotopes!$J:$J,match($A374,isotopes!$A:$A,0)))</f>
        <v>N</v>
      </c>
      <c r="J374" t="str">
        <f t="array" ref="J374">iferror(index(extra_muscle!$G:$G,match($A374,extra_muscle!$A:$A,0)))</f>
        <v>BXM26-34</v>
      </c>
      <c r="K374" t="str">
        <f t="array" ref="K374">iferror(index(extra_muscle!$J:$J,match($A374,extra_muscle!$A:$A,0)))</f>
        <v>N</v>
      </c>
      <c r="L374" s="59" t="str">
        <f t="array" ref="L374">iferror(index(dna!$G:$G,match($A374,dna!$A:$A,0)))</f>
        <v/>
      </c>
      <c r="M374" s="60" t="str">
        <f t="array" ref="M374">iferror(index(dna!$J:$J,match($A374,dna!$A:$A,0)))</f>
        <v/>
      </c>
      <c r="N374" t="str">
        <f t="array" ref="N374">iferror(index(stomachs!$G:$G,match($A374,stomachs!$A:$A,0)))</f>
        <v/>
      </c>
      <c r="O374" t="str">
        <f t="array" ref="O374">iferror(index(stomachs!$J:$J,match($A374,stomachs!$A:$A,0)))</f>
        <v/>
      </c>
      <c r="P374" t="str">
        <f t="array" ref="P374">iferror(index(sea_lice!$G:$G,match($A374,sea_lice!$A:$A,0)))</f>
        <v>BSL6-18</v>
      </c>
      <c r="Q374" t="str">
        <f t="array" ref="Q374">iferror(index(sea_lice!$J:$J,match($A374,sea_lice!$A:$A,0)))</f>
        <v>N</v>
      </c>
      <c r="R374" s="40" t="str">
        <f t="array" ref="R374">iferror(index(dissected_fish!$F:$F,match($A374,dissected_fish!$A:$A,0)))</f>
        <v>BCA103</v>
      </c>
      <c r="S374" s="40" t="str">
        <f t="array" ref="S374">iferror(index(dissected_fish!$K:$K,match($A374,dissected_fish!$A:$A,0)))</f>
        <v>N</v>
      </c>
      <c r="T374" s="61" t="str">
        <f t="array" ref="T374">index(fish_lab_data!O:O,match(A374,fish_lab_data!C:C,0))</f>
        <v>EJ</v>
      </c>
      <c r="U374" s="61">
        <f t="array" ref="U374">if(A374="","",index(fish_lab_data!X:X,match(A374,fish_lab_data!C:C,0)))</f>
        <v>373</v>
      </c>
    </row>
    <row r="375">
      <c r="A375" t="str">
        <f>fish_lab_data!C375</f>
        <v>U16893</v>
      </c>
      <c r="B375" t="str">
        <f t="array" ref="B375">iferror(index('rna-muscle'!$I:$I,match($A375,'rna-muscle'!$A:$A,0)))</f>
        <v>BRN62M-F3</v>
      </c>
      <c r="C375" t="str">
        <f t="array" ref="C375">iferror(index('rna-muscle'!$L:$L,match($A375,'rna-muscle'!$A:$A,0)))</f>
        <v>N</v>
      </c>
      <c r="D375" t="str">
        <f t="array" ref="D375">iferror(index('rna-gill'!$I:$I,match($A375,'rna-gill'!$A:$A,0)))</f>
        <v>BRN62G-F3</v>
      </c>
      <c r="E375" t="str">
        <f t="array" ref="E375">iferror(index('rna-gill'!$L:$L,match($A375,'rna-gill'!$A:$A,0)))</f>
        <v>N</v>
      </c>
      <c r="F375" t="str">
        <f t="array" ref="F375">iferror(index(fatty_acid!$G:$G,match($A375,fatty_acid!$A:$A,0)))</f>
        <v>BFA25-38</v>
      </c>
      <c r="G375" t="str">
        <f t="array" ref="G375">iferror(index(fatty_acid!$J:$J,match($A375,fatty_acid!$A:$A,0)))</f>
        <v>N</v>
      </c>
      <c r="H375" t="str">
        <f t="array" ref="H375">iferror(index(isotopes!$G:$G,match($A375,isotopes!$A:$A,0)))</f>
        <v>BIS27-38</v>
      </c>
      <c r="I375" t="str">
        <f t="array" ref="I375">iferror(index(isotopes!$J:$J,match($A375,isotopes!$A:$A,0)))</f>
        <v>N</v>
      </c>
      <c r="J375" t="str">
        <f t="array" ref="J375">iferror(index(extra_muscle!$G:$G,match($A375,extra_muscle!$A:$A,0)))</f>
        <v>BXM25-38</v>
      </c>
      <c r="K375" t="str">
        <f t="array" ref="K375">iferror(index(extra_muscle!$J:$J,match($A375,extra_muscle!$A:$A,0)))</f>
        <v>N</v>
      </c>
      <c r="L375" s="59" t="str">
        <f t="array" ref="L375">iferror(index(dna!$G:$G,match($A375,dna!$A:$A,0)))</f>
        <v/>
      </c>
      <c r="M375" s="60" t="str">
        <f t="array" ref="M375">iferror(index(dna!$J:$J,match($A375,dna!$A:$A,0)))</f>
        <v/>
      </c>
      <c r="N375" t="str">
        <f t="array" ref="N375">iferror(index(stomachs!$G:$G,match($A375,stomachs!$A:$A,0)))</f>
        <v/>
      </c>
      <c r="O375" t="str">
        <f t="array" ref="O375">iferror(index(stomachs!$J:$J,match($A375,stomachs!$A:$A,0)))</f>
        <v/>
      </c>
      <c r="P375" t="str">
        <f t="array" ref="P375">iferror(index(sea_lice!$G:$G,match($A375,sea_lice!$A:$A,0)))</f>
        <v/>
      </c>
      <c r="Q375" t="str">
        <f t="array" ref="Q375">iferror(index(sea_lice!$J:$J,match($A375,sea_lice!$A:$A,0)))</f>
        <v/>
      </c>
      <c r="R375" s="40" t="str">
        <f t="array" ref="R375">iferror(index(dissected_fish!$F:$F,match($A375,dissected_fish!$A:$A,0)))</f>
        <v>BCA102</v>
      </c>
      <c r="S375" s="40" t="str">
        <f t="array" ref="S375">iferror(index(dissected_fish!$K:$K,match($A375,dissected_fish!$A:$A,0)))</f>
        <v>N</v>
      </c>
      <c r="T375" s="61" t="str">
        <f t="array" ref="T375">index(fish_lab_data!O:O,match(A375,fish_lab_data!C:C,0))</f>
        <v>KB</v>
      </c>
      <c r="U375" s="61">
        <f t="array" ref="U375">if(A375="","",index(fish_lab_data!X:X,match(A375,fish_lab_data!C:C,0)))</f>
        <v>374</v>
      </c>
    </row>
    <row r="376">
      <c r="A376" t="str">
        <f>fish_lab_data!C376</f>
        <v>U16897</v>
      </c>
      <c r="B376" t="str">
        <f t="array" ref="B376">iferror(index('rna-muscle'!$I:$I,match($A376,'rna-muscle'!$A:$A,0)))</f>
        <v>BRN62M-E3</v>
      </c>
      <c r="C376" t="str">
        <f t="array" ref="C376">iferror(index('rna-muscle'!$L:$L,match($A376,'rna-muscle'!$A:$A,0)))</f>
        <v>N</v>
      </c>
      <c r="D376" t="str">
        <f t="array" ref="D376">iferror(index('rna-gill'!$I:$I,match($A376,'rna-gill'!$A:$A,0)))</f>
        <v>BRN62G-E3</v>
      </c>
      <c r="E376" t="str">
        <f t="array" ref="E376">iferror(index('rna-gill'!$L:$L,match($A376,'rna-gill'!$A:$A,0)))</f>
        <v>N</v>
      </c>
      <c r="F376" t="str">
        <f t="array" ref="F376">iferror(index(fatty_acid!$G:$G,match($A376,fatty_acid!$A:$A,0)))</f>
        <v>BFA25-39</v>
      </c>
      <c r="G376" t="str">
        <f t="array" ref="G376">iferror(index(fatty_acid!$J:$J,match($A376,fatty_acid!$A:$A,0)))</f>
        <v>N</v>
      </c>
      <c r="H376" t="str">
        <f t="array" ref="H376">iferror(index(isotopes!$G:$G,match($A376,isotopes!$A:$A,0)))</f>
        <v>BIS27-39</v>
      </c>
      <c r="I376" t="str">
        <f t="array" ref="I376">iferror(index(isotopes!$J:$J,match($A376,isotopes!$A:$A,0)))</f>
        <v>N</v>
      </c>
      <c r="J376" t="str">
        <f t="array" ref="J376">iferror(index(extra_muscle!$G:$G,match($A376,extra_muscle!$A:$A,0)))</f>
        <v>BXM25-39</v>
      </c>
      <c r="K376" t="str">
        <f t="array" ref="K376">iferror(index(extra_muscle!$J:$J,match($A376,extra_muscle!$A:$A,0)))</f>
        <v>N</v>
      </c>
      <c r="L376" s="59" t="str">
        <f t="array" ref="L376">iferror(index(dna!$G:$G,match($A376,dna!$A:$A,0)))</f>
        <v/>
      </c>
      <c r="M376" s="60" t="str">
        <f t="array" ref="M376">iferror(index(dna!$J:$J,match($A376,dna!$A:$A,0)))</f>
        <v/>
      </c>
      <c r="N376" t="str">
        <f t="array" ref="N376">iferror(index(stomachs!$G:$G,match($A376,stomachs!$A:$A,0)))</f>
        <v/>
      </c>
      <c r="O376" t="str">
        <f t="array" ref="O376">iferror(index(stomachs!$J:$J,match($A376,stomachs!$A:$A,0)))</f>
        <v/>
      </c>
      <c r="P376" t="str">
        <f t="array" ref="P376">iferror(index(sea_lice!$G:$G,match($A376,sea_lice!$A:$A,0)))</f>
        <v>BSL6-8</v>
      </c>
      <c r="Q376" t="str">
        <f t="array" ref="Q376">iferror(index(sea_lice!$J:$J,match($A376,sea_lice!$A:$A,0)))</f>
        <v>N</v>
      </c>
      <c r="R376" s="40" t="str">
        <f t="array" ref="R376">iferror(index(dissected_fish!$F:$F,match($A376,dissected_fish!$A:$A,0)))</f>
        <v>BCA102</v>
      </c>
      <c r="S376" s="40" t="str">
        <f t="array" ref="S376">iferror(index(dissected_fish!$K:$K,match($A376,dissected_fish!$A:$A,0)))</f>
        <v>N</v>
      </c>
      <c r="T376" s="61" t="str">
        <f t="array" ref="T376">index(fish_lab_data!O:O,match(A376,fish_lab_data!C:C,0))</f>
        <v>KB</v>
      </c>
      <c r="U376" s="61">
        <f t="array" ref="U376">if(A376="","",index(fish_lab_data!X:X,match(A376,fish_lab_data!C:C,0)))</f>
        <v>375</v>
      </c>
    </row>
    <row r="377">
      <c r="A377" t="str">
        <f>fish_lab_data!C377</f>
        <v>U16891</v>
      </c>
      <c r="B377" t="str">
        <f t="array" ref="B377">iferror(index('rna-muscle'!$I:$I,match($A377,'rna-muscle'!$A:$A,0)))</f>
        <v>BRN62M-D3</v>
      </c>
      <c r="C377" t="str">
        <f t="array" ref="C377">iferror(index('rna-muscle'!$L:$L,match($A377,'rna-muscle'!$A:$A,0)))</f>
        <v>N</v>
      </c>
      <c r="D377" t="str">
        <f t="array" ref="D377">iferror(index('rna-gill'!$I:$I,match($A377,'rna-gill'!$A:$A,0)))</f>
        <v>BRN62G-D3</v>
      </c>
      <c r="E377" t="str">
        <f t="array" ref="E377">iferror(index('rna-gill'!$L:$L,match($A377,'rna-gill'!$A:$A,0)))</f>
        <v>N</v>
      </c>
      <c r="F377" t="str">
        <f t="array" ref="F377">iferror(index(fatty_acid!$G:$G,match($A377,fatty_acid!$A:$A,0)))</f>
        <v>BFA25-40</v>
      </c>
      <c r="G377" t="str">
        <f t="array" ref="G377">iferror(index(fatty_acid!$J:$J,match($A377,fatty_acid!$A:$A,0)))</f>
        <v>N</v>
      </c>
      <c r="H377" t="str">
        <f t="array" ref="H377">iferror(index(isotopes!$G:$G,match($A377,isotopes!$A:$A,0)))</f>
        <v>BIS27-40</v>
      </c>
      <c r="I377" t="str">
        <f t="array" ref="I377">iferror(index(isotopes!$J:$J,match($A377,isotopes!$A:$A,0)))</f>
        <v>N</v>
      </c>
      <c r="J377" t="str">
        <f t="array" ref="J377">iferror(index(extra_muscle!$G:$G,match($A377,extra_muscle!$A:$A,0)))</f>
        <v>BXM25-40</v>
      </c>
      <c r="K377" t="str">
        <f t="array" ref="K377">iferror(index(extra_muscle!$J:$J,match($A377,extra_muscle!$A:$A,0)))</f>
        <v>N</v>
      </c>
      <c r="L377" s="59" t="str">
        <f t="array" ref="L377">iferror(index(dna!$G:$G,match($A377,dna!$A:$A,0)))</f>
        <v/>
      </c>
      <c r="M377" s="60" t="str">
        <f t="array" ref="M377">iferror(index(dna!$J:$J,match($A377,dna!$A:$A,0)))</f>
        <v/>
      </c>
      <c r="N377" t="str">
        <f t="array" ref="N377">iferror(index(stomachs!$G:$G,match($A377,stomachs!$A:$A,0)))</f>
        <v/>
      </c>
      <c r="O377" t="str">
        <f t="array" ref="O377">iferror(index(stomachs!$J:$J,match($A377,stomachs!$A:$A,0)))</f>
        <v/>
      </c>
      <c r="P377" t="str">
        <f t="array" ref="P377">iferror(index(sea_lice!$G:$G,match($A377,sea_lice!$A:$A,0)))</f>
        <v/>
      </c>
      <c r="Q377" t="str">
        <f t="array" ref="Q377">iferror(index(sea_lice!$J:$J,match($A377,sea_lice!$A:$A,0)))</f>
        <v/>
      </c>
      <c r="R377" s="40" t="str">
        <f t="array" ref="R377">iferror(index(dissected_fish!$F:$F,match($A377,dissected_fish!$A:$A,0)))</f>
        <v>BCA102</v>
      </c>
      <c r="S377" s="40" t="str">
        <f t="array" ref="S377">iferror(index(dissected_fish!$K:$K,match($A377,dissected_fish!$A:$A,0)))</f>
        <v>N</v>
      </c>
      <c r="T377" s="61" t="str">
        <f t="array" ref="T377">index(fish_lab_data!O:O,match(A377,fish_lab_data!C:C,0))</f>
        <v>KB</v>
      </c>
      <c r="U377" s="61">
        <f t="array" ref="U377">if(A377="","",index(fish_lab_data!X:X,match(A377,fish_lab_data!C:C,0)))</f>
        <v>376</v>
      </c>
    </row>
    <row r="378">
      <c r="A378" t="str">
        <f>fish_lab_data!C378</f>
        <v>U16892</v>
      </c>
      <c r="B378" t="str">
        <f t="array" ref="B378">iferror(index('rna-muscle'!$I:$I,match($A378,'rna-muscle'!$A:$A,0)))</f>
        <v>BRN62M-C3</v>
      </c>
      <c r="C378" t="str">
        <f t="array" ref="C378">iferror(index('rna-muscle'!$L:$L,match($A378,'rna-muscle'!$A:$A,0)))</f>
        <v>N</v>
      </c>
      <c r="D378" t="str">
        <f t="array" ref="D378">iferror(index('rna-gill'!$I:$I,match($A378,'rna-gill'!$A:$A,0)))</f>
        <v>BRN62G-C3</v>
      </c>
      <c r="E378" t="str">
        <f t="array" ref="E378">iferror(index('rna-gill'!$L:$L,match($A378,'rna-gill'!$A:$A,0)))</f>
        <v>N</v>
      </c>
      <c r="F378" t="str">
        <f t="array" ref="F378">iferror(index(fatty_acid!$G:$G,match($A378,fatty_acid!$A:$A,0)))</f>
        <v>BFA25-41</v>
      </c>
      <c r="G378" t="str">
        <f t="array" ref="G378">iferror(index(fatty_acid!$J:$J,match($A378,fatty_acid!$A:$A,0)))</f>
        <v>N</v>
      </c>
      <c r="H378" t="str">
        <f t="array" ref="H378">iferror(index(isotopes!$G:$G,match($A378,isotopes!$A:$A,0)))</f>
        <v>BIS27-41</v>
      </c>
      <c r="I378" t="str">
        <f t="array" ref="I378">iferror(index(isotopes!$J:$J,match($A378,isotopes!$A:$A,0)))</f>
        <v>N</v>
      </c>
      <c r="J378" t="str">
        <f t="array" ref="J378">iferror(index(extra_muscle!$G:$G,match($A378,extra_muscle!$A:$A,0)))</f>
        <v>BXM25-41</v>
      </c>
      <c r="K378" t="str">
        <f t="array" ref="K378">iferror(index(extra_muscle!$J:$J,match($A378,extra_muscle!$A:$A,0)))</f>
        <v>N</v>
      </c>
      <c r="L378" s="59" t="str">
        <f t="array" ref="L378">iferror(index(dna!$G:$G,match($A378,dna!$A:$A,0)))</f>
        <v/>
      </c>
      <c r="M378" s="60" t="str">
        <f t="array" ref="M378">iferror(index(dna!$J:$J,match($A378,dna!$A:$A,0)))</f>
        <v/>
      </c>
      <c r="N378" t="str">
        <f t="array" ref="N378">iferror(index(stomachs!$G:$G,match($A378,stomachs!$A:$A,0)))</f>
        <v/>
      </c>
      <c r="O378" t="str">
        <f t="array" ref="O378">iferror(index(stomachs!$J:$J,match($A378,stomachs!$A:$A,0)))</f>
        <v/>
      </c>
      <c r="P378" t="str">
        <f t="array" ref="P378">iferror(index(sea_lice!$G:$G,match($A378,sea_lice!$A:$A,0)))</f>
        <v/>
      </c>
      <c r="Q378" t="str">
        <f t="array" ref="Q378">iferror(index(sea_lice!$J:$J,match($A378,sea_lice!$A:$A,0)))</f>
        <v/>
      </c>
      <c r="R378" s="40" t="str">
        <f t="array" ref="R378">iferror(index(dissected_fish!$F:$F,match($A378,dissected_fish!$A:$A,0)))</f>
        <v>BCA102</v>
      </c>
      <c r="S378" s="40" t="str">
        <f t="array" ref="S378">iferror(index(dissected_fish!$K:$K,match($A378,dissected_fish!$A:$A,0)))</f>
        <v>N</v>
      </c>
      <c r="T378" s="61" t="str">
        <f t="array" ref="T378">index(fish_lab_data!O:O,match(A378,fish_lab_data!C:C,0))</f>
        <v>KB</v>
      </c>
      <c r="U378" s="61">
        <f t="array" ref="U378">if(A378="","",index(fish_lab_data!X:X,match(A378,fish_lab_data!C:C,0)))</f>
        <v>377</v>
      </c>
    </row>
    <row r="379">
      <c r="A379" t="str">
        <f>fish_lab_data!C379</f>
        <v>U16899</v>
      </c>
      <c r="B379" t="str">
        <f t="array" ref="B379">iferror(index('rna-muscle'!$I:$I,match($A379,'rna-muscle'!$A:$A,0)))</f>
        <v>BRN62M-B3</v>
      </c>
      <c r="C379" t="str">
        <f t="array" ref="C379">iferror(index('rna-muscle'!$L:$L,match($A379,'rna-muscle'!$A:$A,0)))</f>
        <v>N</v>
      </c>
      <c r="D379" t="str">
        <f t="array" ref="D379">iferror(index('rna-gill'!$I:$I,match($A379,'rna-gill'!$A:$A,0)))</f>
        <v>BRN62G-B3</v>
      </c>
      <c r="E379" t="str">
        <f t="array" ref="E379">iferror(index('rna-gill'!$L:$L,match($A379,'rna-gill'!$A:$A,0)))</f>
        <v>N</v>
      </c>
      <c r="F379" t="str">
        <f t="array" ref="F379">iferror(index(fatty_acid!$G:$G,match($A379,fatty_acid!$A:$A,0)))</f>
        <v>BFA25-42</v>
      </c>
      <c r="G379" t="str">
        <f t="array" ref="G379">iferror(index(fatty_acid!$J:$J,match($A379,fatty_acid!$A:$A,0)))</f>
        <v>N</v>
      </c>
      <c r="H379" t="str">
        <f t="array" ref="H379">iferror(index(isotopes!$G:$G,match($A379,isotopes!$A:$A,0)))</f>
        <v>BIS27-42</v>
      </c>
      <c r="I379" t="str">
        <f t="array" ref="I379">iferror(index(isotopes!$J:$J,match($A379,isotopes!$A:$A,0)))</f>
        <v>N</v>
      </c>
      <c r="J379" t="str">
        <f t="array" ref="J379">iferror(index(extra_muscle!$G:$G,match($A379,extra_muscle!$A:$A,0)))</f>
        <v>BXM25-42</v>
      </c>
      <c r="K379" t="str">
        <f t="array" ref="K379">iferror(index(extra_muscle!$J:$J,match($A379,extra_muscle!$A:$A,0)))</f>
        <v>N</v>
      </c>
      <c r="L379" s="59" t="str">
        <f t="array" ref="L379">iferror(index(dna!$G:$G,match($A379,dna!$A:$A,0)))</f>
        <v/>
      </c>
      <c r="M379" s="60" t="str">
        <f t="array" ref="M379">iferror(index(dna!$J:$J,match($A379,dna!$A:$A,0)))</f>
        <v/>
      </c>
      <c r="N379" t="str">
        <f t="array" ref="N379">iferror(index(stomachs!$G:$G,match($A379,stomachs!$A:$A,0)))</f>
        <v/>
      </c>
      <c r="O379" t="str">
        <f t="array" ref="O379">iferror(index(stomachs!$J:$J,match($A379,stomachs!$A:$A,0)))</f>
        <v/>
      </c>
      <c r="P379" t="str">
        <f t="array" ref="P379">iferror(index(sea_lice!$G:$G,match($A379,sea_lice!$A:$A,0)))</f>
        <v>BSL6-9</v>
      </c>
      <c r="Q379" t="str">
        <f t="array" ref="Q379">iferror(index(sea_lice!$J:$J,match($A379,sea_lice!$A:$A,0)))</f>
        <v>N</v>
      </c>
      <c r="R379" s="40" t="str">
        <f t="array" ref="R379">iferror(index(dissected_fish!$F:$F,match($A379,dissected_fish!$A:$A,0)))</f>
        <v>BCA102</v>
      </c>
      <c r="S379" s="40" t="str">
        <f t="array" ref="S379">iferror(index(dissected_fish!$K:$K,match($A379,dissected_fish!$A:$A,0)))</f>
        <v>N</v>
      </c>
      <c r="T379" s="61" t="str">
        <f t="array" ref="T379">index(fish_lab_data!O:O,match(A379,fish_lab_data!C:C,0))</f>
        <v>KB</v>
      </c>
      <c r="U379" s="61">
        <f t="array" ref="U379">if(A379="","",index(fish_lab_data!X:X,match(A379,fish_lab_data!C:C,0)))</f>
        <v>378</v>
      </c>
    </row>
    <row r="380">
      <c r="A380" t="str">
        <f>fish_lab_data!C380</f>
        <v>U16900</v>
      </c>
      <c r="B380" t="str">
        <f t="array" ref="B380">iferror(index('rna-muscle'!$I:$I,match($A380,'rna-muscle'!$A:$A,0)))</f>
        <v>BRN62M-A3</v>
      </c>
      <c r="C380" t="str">
        <f t="array" ref="C380">iferror(index('rna-muscle'!$L:$L,match($A380,'rna-muscle'!$A:$A,0)))</f>
        <v>N</v>
      </c>
      <c r="D380" t="str">
        <f t="array" ref="D380">iferror(index('rna-gill'!$I:$I,match($A380,'rna-gill'!$A:$A,0)))</f>
        <v>BRN62G-A3</v>
      </c>
      <c r="E380" t="str">
        <f t="array" ref="E380">iferror(index('rna-gill'!$L:$L,match($A380,'rna-gill'!$A:$A,0)))</f>
        <v>N</v>
      </c>
      <c r="F380" t="str">
        <f t="array" ref="F380">iferror(index(fatty_acid!$G:$G,match($A380,fatty_acid!$A:$A,0)))</f>
        <v>BFA25-43</v>
      </c>
      <c r="G380" t="str">
        <f t="array" ref="G380">iferror(index(fatty_acid!$J:$J,match($A380,fatty_acid!$A:$A,0)))</f>
        <v>N</v>
      </c>
      <c r="H380" t="str">
        <f t="array" ref="H380">iferror(index(isotopes!$G:$G,match($A380,isotopes!$A:$A,0)))</f>
        <v>BIS27-43</v>
      </c>
      <c r="I380" t="str">
        <f t="array" ref="I380">iferror(index(isotopes!$J:$J,match($A380,isotopes!$A:$A,0)))</f>
        <v>N</v>
      </c>
      <c r="J380" t="str">
        <f t="array" ref="J380">iferror(index(extra_muscle!$G:$G,match($A380,extra_muscle!$A:$A,0)))</f>
        <v>BXM25-43</v>
      </c>
      <c r="K380" t="str">
        <f t="array" ref="K380">iferror(index(extra_muscle!$J:$J,match($A380,extra_muscle!$A:$A,0)))</f>
        <v>N</v>
      </c>
      <c r="L380" s="59" t="str">
        <f t="array" ref="L380">iferror(index(dna!$G:$G,match($A380,dna!$A:$A,0)))</f>
        <v/>
      </c>
      <c r="M380" s="60" t="str">
        <f t="array" ref="M380">iferror(index(dna!$J:$J,match($A380,dna!$A:$A,0)))</f>
        <v/>
      </c>
      <c r="N380" t="str">
        <f t="array" ref="N380">iferror(index(stomachs!$G:$G,match($A380,stomachs!$A:$A,0)))</f>
        <v/>
      </c>
      <c r="O380" t="str">
        <f t="array" ref="O380">iferror(index(stomachs!$J:$J,match($A380,stomachs!$A:$A,0)))</f>
        <v/>
      </c>
      <c r="P380" t="str">
        <f t="array" ref="P380">iferror(index(sea_lice!$G:$G,match($A380,sea_lice!$A:$A,0)))</f>
        <v>BSL6-11</v>
      </c>
      <c r="Q380" t="str">
        <f t="array" ref="Q380">iferror(index(sea_lice!$J:$J,match($A380,sea_lice!$A:$A,0)))</f>
        <v>N</v>
      </c>
      <c r="R380" s="40" t="str">
        <f t="array" ref="R380">iferror(index(dissected_fish!$F:$F,match($A380,dissected_fish!$A:$A,0)))</f>
        <v>BCA102</v>
      </c>
      <c r="S380" s="40" t="str">
        <f t="array" ref="S380">iferror(index(dissected_fish!$K:$K,match($A380,dissected_fish!$A:$A,0)))</f>
        <v>N</v>
      </c>
      <c r="T380" s="61" t="str">
        <f t="array" ref="T380">index(fish_lab_data!O:O,match(A380,fish_lab_data!C:C,0))</f>
        <v>KB</v>
      </c>
      <c r="U380" s="61">
        <f t="array" ref="U380">if(A380="","",index(fish_lab_data!X:X,match(A380,fish_lab_data!C:C,0)))</f>
        <v>379</v>
      </c>
    </row>
    <row r="381">
      <c r="A381" t="str">
        <f>fish_lab_data!C381</f>
        <v>U16896</v>
      </c>
      <c r="B381" t="str">
        <f t="array" ref="B381">iferror(index('rna-muscle'!$I:$I,match($A381,'rna-muscle'!$A:$A,0)))</f>
        <v>BRN62M-H5</v>
      </c>
      <c r="C381" t="str">
        <f t="array" ref="C381">iferror(index('rna-muscle'!$L:$L,match($A381,'rna-muscle'!$A:$A,0)))</f>
        <v>N</v>
      </c>
      <c r="D381" t="str">
        <f t="array" ref="D381">iferror(index('rna-gill'!$I:$I,match($A381,'rna-gill'!$A:$A,0)))</f>
        <v>BRN62G-H5</v>
      </c>
      <c r="E381" t="str">
        <f t="array" ref="E381">iferror(index('rna-gill'!$L:$L,match($A381,'rna-gill'!$A:$A,0)))</f>
        <v>N</v>
      </c>
      <c r="F381" t="str">
        <f t="array" ref="F381">iferror(index(fatty_acid!$G:$G,match($A381,fatty_acid!$A:$A,0)))</f>
        <v>BFA25-44</v>
      </c>
      <c r="G381" t="str">
        <f t="array" ref="G381">iferror(index(fatty_acid!$J:$J,match($A381,fatty_acid!$A:$A,0)))</f>
        <v>N</v>
      </c>
      <c r="H381" t="str">
        <f t="array" ref="H381">iferror(index(isotopes!$G:$G,match($A381,isotopes!$A:$A,0)))</f>
        <v>BIS27-44</v>
      </c>
      <c r="I381" t="str">
        <f t="array" ref="I381">iferror(index(isotopes!$J:$J,match($A381,isotopes!$A:$A,0)))</f>
        <v>N</v>
      </c>
      <c r="J381" t="str">
        <f t="array" ref="J381">iferror(index(extra_muscle!$G:$G,match($A381,extra_muscle!$A:$A,0)))</f>
        <v>BXM25-44</v>
      </c>
      <c r="K381" t="str">
        <f t="array" ref="K381">iferror(index(extra_muscle!$J:$J,match($A381,extra_muscle!$A:$A,0)))</f>
        <v>N</v>
      </c>
      <c r="L381" s="59" t="str">
        <f t="array" ref="L381">iferror(index(dna!$G:$G,match($A381,dna!$A:$A,0)))</f>
        <v/>
      </c>
      <c r="M381" s="60" t="str">
        <f t="array" ref="M381">iferror(index(dna!$J:$J,match($A381,dna!$A:$A,0)))</f>
        <v/>
      </c>
      <c r="N381" t="str">
        <f t="array" ref="N381">iferror(index(stomachs!$G:$G,match($A381,stomachs!$A:$A,0)))</f>
        <v/>
      </c>
      <c r="O381" t="str">
        <f t="array" ref="O381">iferror(index(stomachs!$J:$J,match($A381,stomachs!$A:$A,0)))</f>
        <v/>
      </c>
      <c r="P381" t="str">
        <f t="array" ref="P381">iferror(index(sea_lice!$G:$G,match($A381,sea_lice!$A:$A,0)))</f>
        <v/>
      </c>
      <c r="Q381" t="str">
        <f t="array" ref="Q381">iferror(index(sea_lice!$J:$J,match($A381,sea_lice!$A:$A,0)))</f>
        <v/>
      </c>
      <c r="R381" s="40" t="str">
        <f t="array" ref="R381">iferror(index(dissected_fish!$F:$F,match($A381,dissected_fish!$A:$A,0)))</f>
        <v>BCA102</v>
      </c>
      <c r="S381" s="40" t="str">
        <f t="array" ref="S381">iferror(index(dissected_fish!$K:$K,match($A381,dissected_fish!$A:$A,0)))</f>
        <v>N</v>
      </c>
      <c r="T381" s="61" t="str">
        <f t="array" ref="T381">index(fish_lab_data!O:O,match(A381,fish_lab_data!C:C,0))</f>
        <v>KB</v>
      </c>
      <c r="U381" s="61">
        <f t="array" ref="U381">if(A381="","",index(fish_lab_data!X:X,match(A381,fish_lab_data!C:C,0)))</f>
        <v>380</v>
      </c>
    </row>
    <row r="382">
      <c r="A382" t="str">
        <f>fish_lab_data!C382</f>
        <v>U16894</v>
      </c>
      <c r="B382" t="str">
        <f t="array" ref="B382">iferror(index('rna-muscle'!$I:$I,match($A382,'rna-muscle'!$A:$A,0)))</f>
        <v>BRN62M-G5</v>
      </c>
      <c r="C382" t="str">
        <f t="array" ref="C382">iferror(index('rna-muscle'!$L:$L,match($A382,'rna-muscle'!$A:$A,0)))</f>
        <v>N</v>
      </c>
      <c r="D382" t="str">
        <f t="array" ref="D382">iferror(index('rna-gill'!$I:$I,match($A382,'rna-gill'!$A:$A,0)))</f>
        <v>BRN62G-G5</v>
      </c>
      <c r="E382" t="str">
        <f t="array" ref="E382">iferror(index('rna-gill'!$L:$L,match($A382,'rna-gill'!$A:$A,0)))</f>
        <v>N</v>
      </c>
      <c r="F382" t="str">
        <f t="array" ref="F382">iferror(index(fatty_acid!$G:$G,match($A382,fatty_acid!$A:$A,0)))</f>
        <v>BFA25-45</v>
      </c>
      <c r="G382" t="str">
        <f t="array" ref="G382">iferror(index(fatty_acid!$J:$J,match($A382,fatty_acid!$A:$A,0)))</f>
        <v>N</v>
      </c>
      <c r="H382" t="str">
        <f t="array" ref="H382">iferror(index(isotopes!$G:$G,match($A382,isotopes!$A:$A,0)))</f>
        <v>BIS27-45</v>
      </c>
      <c r="I382" t="str">
        <f t="array" ref="I382">iferror(index(isotopes!$J:$J,match($A382,isotopes!$A:$A,0)))</f>
        <v>N</v>
      </c>
      <c r="J382" t="str">
        <f t="array" ref="J382">iferror(index(extra_muscle!$G:$G,match($A382,extra_muscle!$A:$A,0)))</f>
        <v>BXM25-45</v>
      </c>
      <c r="K382" t="str">
        <f t="array" ref="K382">iferror(index(extra_muscle!$J:$J,match($A382,extra_muscle!$A:$A,0)))</f>
        <v>N</v>
      </c>
      <c r="L382" s="59" t="str">
        <f t="array" ref="L382">iferror(index(dna!$G:$G,match($A382,dna!$A:$A,0)))</f>
        <v/>
      </c>
      <c r="M382" s="60" t="str">
        <f t="array" ref="M382">iferror(index(dna!$J:$J,match($A382,dna!$A:$A,0)))</f>
        <v/>
      </c>
      <c r="N382" t="str">
        <f t="array" ref="N382">iferror(index(stomachs!$G:$G,match($A382,stomachs!$A:$A,0)))</f>
        <v/>
      </c>
      <c r="O382" t="str">
        <f t="array" ref="O382">iferror(index(stomachs!$J:$J,match($A382,stomachs!$A:$A,0)))</f>
        <v/>
      </c>
      <c r="P382" t="str">
        <f t="array" ref="P382">iferror(index(sea_lice!$G:$G,match($A382,sea_lice!$A:$A,0)))</f>
        <v/>
      </c>
      <c r="Q382" t="str">
        <f t="array" ref="Q382">iferror(index(sea_lice!$J:$J,match($A382,sea_lice!$A:$A,0)))</f>
        <v/>
      </c>
      <c r="R382" s="40" t="str">
        <f t="array" ref="R382">iferror(index(dissected_fish!$F:$F,match($A382,dissected_fish!$A:$A,0)))</f>
        <v>BCA102</v>
      </c>
      <c r="S382" s="40" t="str">
        <f t="array" ref="S382">iferror(index(dissected_fish!$K:$K,match($A382,dissected_fish!$A:$A,0)))</f>
        <v>N</v>
      </c>
      <c r="T382" s="61" t="str">
        <f t="array" ref="T382">index(fish_lab_data!O:O,match(A382,fish_lab_data!C:C,0))</f>
        <v>KB</v>
      </c>
      <c r="U382" s="61">
        <f t="array" ref="U382">if(A382="","",index(fish_lab_data!X:X,match(A382,fish_lab_data!C:C,0)))</f>
        <v>381</v>
      </c>
    </row>
    <row r="383">
      <c r="A383" t="str">
        <f>fish_lab_data!C383</f>
        <v>U16895</v>
      </c>
      <c r="B383" t="str">
        <f t="array" ref="B383">iferror(index('rna-muscle'!$I:$I,match($A383,'rna-muscle'!$A:$A,0)))</f>
        <v>BRN62M-F5</v>
      </c>
      <c r="C383" t="str">
        <f t="array" ref="C383">iferror(index('rna-muscle'!$L:$L,match($A383,'rna-muscle'!$A:$A,0)))</f>
        <v>N</v>
      </c>
      <c r="D383" t="str">
        <f t="array" ref="D383">iferror(index('rna-gill'!$I:$I,match($A383,'rna-gill'!$A:$A,0)))</f>
        <v>BRN62G-F5</v>
      </c>
      <c r="E383" t="str">
        <f t="array" ref="E383">iferror(index('rna-gill'!$L:$L,match($A383,'rna-gill'!$A:$A,0)))</f>
        <v>N</v>
      </c>
      <c r="F383" t="str">
        <f t="array" ref="F383">iferror(index(fatty_acid!$G:$G,match($A383,fatty_acid!$A:$A,0)))</f>
        <v>BFA25-46</v>
      </c>
      <c r="G383" t="str">
        <f t="array" ref="G383">iferror(index(fatty_acid!$J:$J,match($A383,fatty_acid!$A:$A,0)))</f>
        <v>N</v>
      </c>
      <c r="H383" t="str">
        <f t="array" ref="H383">iferror(index(isotopes!$G:$G,match($A383,isotopes!$A:$A,0)))</f>
        <v>BIS27-46</v>
      </c>
      <c r="I383" t="str">
        <f t="array" ref="I383">iferror(index(isotopes!$J:$J,match($A383,isotopes!$A:$A,0)))</f>
        <v>N</v>
      </c>
      <c r="J383" t="str">
        <f t="array" ref="J383">iferror(index(extra_muscle!$G:$G,match($A383,extra_muscle!$A:$A,0)))</f>
        <v>BXM25-46</v>
      </c>
      <c r="K383" t="str">
        <f t="array" ref="K383">iferror(index(extra_muscle!$J:$J,match($A383,extra_muscle!$A:$A,0)))</f>
        <v>N</v>
      </c>
      <c r="L383" s="59" t="str">
        <f t="array" ref="L383">iferror(index(dna!$G:$G,match($A383,dna!$A:$A,0)))</f>
        <v/>
      </c>
      <c r="M383" s="60" t="str">
        <f t="array" ref="M383">iferror(index(dna!$J:$J,match($A383,dna!$A:$A,0)))</f>
        <v/>
      </c>
      <c r="N383" t="str">
        <f t="array" ref="N383">iferror(index(stomachs!$G:$G,match($A383,stomachs!$A:$A,0)))</f>
        <v/>
      </c>
      <c r="O383" t="str">
        <f t="array" ref="O383">iferror(index(stomachs!$J:$J,match($A383,stomachs!$A:$A,0)))</f>
        <v/>
      </c>
      <c r="P383" t="str">
        <f t="array" ref="P383">iferror(index(sea_lice!$G:$G,match($A383,sea_lice!$A:$A,0)))</f>
        <v/>
      </c>
      <c r="Q383" t="str">
        <f t="array" ref="Q383">iferror(index(sea_lice!$J:$J,match($A383,sea_lice!$A:$A,0)))</f>
        <v/>
      </c>
      <c r="R383" s="40" t="str">
        <f t="array" ref="R383">iferror(index(dissected_fish!$F:$F,match($A383,dissected_fish!$A:$A,0)))</f>
        <v>BCA102</v>
      </c>
      <c r="S383" s="40" t="str">
        <f t="array" ref="S383">iferror(index(dissected_fish!$K:$K,match($A383,dissected_fish!$A:$A,0)))</f>
        <v>N</v>
      </c>
      <c r="T383" s="61" t="str">
        <f t="array" ref="T383">index(fish_lab_data!O:O,match(A383,fish_lab_data!C:C,0))</f>
        <v>KB</v>
      </c>
      <c r="U383" s="61">
        <f t="array" ref="U383">if(A383="","",index(fish_lab_data!X:X,match(A383,fish_lab_data!C:C,0)))</f>
        <v>382</v>
      </c>
    </row>
    <row r="384">
      <c r="A384" t="str">
        <f>fish_lab_data!C384</f>
        <v>U16898</v>
      </c>
      <c r="B384" t="str">
        <f t="array" ref="B384">iferror(index('rna-muscle'!$I:$I,match($A384,'rna-muscle'!$A:$A,0)))</f>
        <v>BRN62M-E5</v>
      </c>
      <c r="C384" t="str">
        <f t="array" ref="C384">iferror(index('rna-muscle'!$L:$L,match($A384,'rna-muscle'!$A:$A,0)))</f>
        <v>N</v>
      </c>
      <c r="D384" t="str">
        <f t="array" ref="D384">iferror(index('rna-gill'!$I:$I,match($A384,'rna-gill'!$A:$A,0)))</f>
        <v>BRN62G-E5</v>
      </c>
      <c r="E384" t="str">
        <f t="array" ref="E384">iferror(index('rna-gill'!$L:$L,match($A384,'rna-gill'!$A:$A,0)))</f>
        <v>N</v>
      </c>
      <c r="F384" t="str">
        <f t="array" ref="F384">iferror(index(fatty_acid!$G:$G,match($A384,fatty_acid!$A:$A,0)))</f>
        <v>BFA25-47</v>
      </c>
      <c r="G384" t="str">
        <f t="array" ref="G384">iferror(index(fatty_acid!$J:$J,match($A384,fatty_acid!$A:$A,0)))</f>
        <v>N</v>
      </c>
      <c r="H384" t="str">
        <f t="array" ref="H384">iferror(index(isotopes!$G:$G,match($A384,isotopes!$A:$A,0)))</f>
        <v>BIS27-47</v>
      </c>
      <c r="I384" t="str">
        <f t="array" ref="I384">iferror(index(isotopes!$J:$J,match($A384,isotopes!$A:$A,0)))</f>
        <v>N</v>
      </c>
      <c r="J384" t="str">
        <f t="array" ref="J384">iferror(index(extra_muscle!$G:$G,match($A384,extra_muscle!$A:$A,0)))</f>
        <v>BXM25-47</v>
      </c>
      <c r="K384" t="str">
        <f t="array" ref="K384">iferror(index(extra_muscle!$J:$J,match($A384,extra_muscle!$A:$A,0)))</f>
        <v>N</v>
      </c>
      <c r="L384" s="59" t="str">
        <f t="array" ref="L384">iferror(index(dna!$G:$G,match($A384,dna!$A:$A,0)))</f>
        <v/>
      </c>
      <c r="M384" s="60" t="str">
        <f t="array" ref="M384">iferror(index(dna!$J:$J,match($A384,dna!$A:$A,0)))</f>
        <v/>
      </c>
      <c r="N384" t="str">
        <f t="array" ref="N384">iferror(index(stomachs!$G:$G,match($A384,stomachs!$A:$A,0)))</f>
        <v/>
      </c>
      <c r="O384" t="str">
        <f t="array" ref="O384">iferror(index(stomachs!$J:$J,match($A384,stomachs!$A:$A,0)))</f>
        <v/>
      </c>
      <c r="P384" t="str">
        <f t="array" ref="P384">iferror(index(sea_lice!$G:$G,match($A384,sea_lice!$A:$A,0)))</f>
        <v/>
      </c>
      <c r="Q384" t="str">
        <f t="array" ref="Q384">iferror(index(sea_lice!$J:$J,match($A384,sea_lice!$A:$A,0)))</f>
        <v/>
      </c>
      <c r="R384" s="40" t="str">
        <f t="array" ref="R384">iferror(index(dissected_fish!$F:$F,match($A384,dissected_fish!$A:$A,0)))</f>
        <v>BCA102</v>
      </c>
      <c r="S384" s="40" t="str">
        <f t="array" ref="S384">iferror(index(dissected_fish!$K:$K,match($A384,dissected_fish!$A:$A,0)))</f>
        <v>N</v>
      </c>
      <c r="T384" s="61" t="str">
        <f t="array" ref="T384">index(fish_lab_data!O:O,match(A384,fish_lab_data!C:C,0))</f>
        <v>KB</v>
      </c>
      <c r="U384" s="61">
        <f t="array" ref="U384">if(A384="","",index(fish_lab_data!X:X,match(A384,fish_lab_data!C:C,0)))</f>
        <v>383</v>
      </c>
    </row>
    <row r="385">
      <c r="A385" t="str">
        <f>fish_lab_data!C385</f>
        <v>U16761</v>
      </c>
      <c r="B385" t="str">
        <f t="array" ref="B385">iferror(index('rna-muscle'!$I:$I,match($A385,'rna-muscle'!$A:$A,0)))</f>
        <v>BRN62M-D5</v>
      </c>
      <c r="C385" t="str">
        <f t="array" ref="C385">iferror(index('rna-muscle'!$L:$L,match($A385,'rna-muscle'!$A:$A,0)))</f>
        <v>N</v>
      </c>
      <c r="D385" t="str">
        <f t="array" ref="D385">iferror(index('rna-gill'!$I:$I,match($A385,'rna-gill'!$A:$A,0)))</f>
        <v>BRN62G-D5</v>
      </c>
      <c r="E385" t="str">
        <f t="array" ref="E385">iferror(index('rna-gill'!$L:$L,match($A385,'rna-gill'!$A:$A,0)))</f>
        <v>N</v>
      </c>
      <c r="F385" t="str">
        <f t="array" ref="F385">iferror(index(fatty_acid!$G:$G,match($A385,fatty_acid!$A:$A,0)))</f>
        <v>BFA25-48</v>
      </c>
      <c r="G385" t="str">
        <f t="array" ref="G385">iferror(index(fatty_acid!$J:$J,match($A385,fatty_acid!$A:$A,0)))</f>
        <v>N</v>
      </c>
      <c r="H385" t="str">
        <f t="array" ref="H385">iferror(index(isotopes!$G:$G,match($A385,isotopes!$A:$A,0)))</f>
        <v>BIS27-48</v>
      </c>
      <c r="I385" t="str">
        <f t="array" ref="I385">iferror(index(isotopes!$J:$J,match($A385,isotopes!$A:$A,0)))</f>
        <v>N</v>
      </c>
      <c r="J385" t="str">
        <f t="array" ref="J385">iferror(index(extra_muscle!$G:$G,match($A385,extra_muscle!$A:$A,0)))</f>
        <v>BXM25-48</v>
      </c>
      <c r="K385" t="str">
        <f t="array" ref="K385">iferror(index(extra_muscle!$J:$J,match($A385,extra_muscle!$A:$A,0)))</f>
        <v>N</v>
      </c>
      <c r="L385" s="59" t="str">
        <f t="array" ref="L385">iferror(index(dna!$G:$G,match($A385,dna!$A:$A,0)))</f>
        <v/>
      </c>
      <c r="M385" s="60" t="str">
        <f t="array" ref="M385">iferror(index(dna!$J:$J,match($A385,dna!$A:$A,0)))</f>
        <v/>
      </c>
      <c r="N385" t="str">
        <f t="array" ref="N385">iferror(index(stomachs!$G:$G,match($A385,stomachs!$A:$A,0)))</f>
        <v/>
      </c>
      <c r="O385" t="str">
        <f t="array" ref="O385">iferror(index(stomachs!$J:$J,match($A385,stomachs!$A:$A,0)))</f>
        <v/>
      </c>
      <c r="P385" t="str">
        <f t="array" ref="P385">iferror(index(sea_lice!$G:$G,match($A385,sea_lice!$A:$A,0)))</f>
        <v>BSL6-14</v>
      </c>
      <c r="Q385" t="str">
        <f t="array" ref="Q385">iferror(index(sea_lice!$J:$J,match($A385,sea_lice!$A:$A,0)))</f>
        <v>N</v>
      </c>
      <c r="R385" s="40" t="str">
        <f t="array" ref="R385">iferror(index(dissected_fish!$F:$F,match($A385,dissected_fish!$A:$A,0)))</f>
        <v>BCA103</v>
      </c>
      <c r="S385" s="40" t="str">
        <f t="array" ref="S385">iferror(index(dissected_fish!$K:$K,match($A385,dissected_fish!$A:$A,0)))</f>
        <v>N</v>
      </c>
      <c r="T385" s="61" t="str">
        <f t="array" ref="T385">index(fish_lab_data!O:O,match(A385,fish_lab_data!C:C,0))</f>
        <v>KB</v>
      </c>
      <c r="U385" s="61">
        <f t="array" ref="U385">if(A385="","",index(fish_lab_data!X:X,match(A385,fish_lab_data!C:C,0)))</f>
        <v>384</v>
      </c>
    </row>
    <row r="386">
      <c r="A386" t="str">
        <f>fish_lab_data!C386</f>
        <v>U16766</v>
      </c>
      <c r="B386" t="str">
        <f t="array" ref="B386">iferror(index('rna-muscle'!$I:$I,match($A386,'rna-muscle'!$A:$A,0)))</f>
        <v>BRN62M-C5</v>
      </c>
      <c r="C386" t="str">
        <f t="array" ref="C386">iferror(index('rna-muscle'!$L:$L,match($A386,'rna-muscle'!$A:$A,0)))</f>
        <v>N</v>
      </c>
      <c r="D386" t="str">
        <f t="array" ref="D386">iferror(index('rna-gill'!$I:$I,match($A386,'rna-gill'!$A:$A,0)))</f>
        <v>BRN62G-C5</v>
      </c>
      <c r="E386" t="str">
        <f t="array" ref="E386">iferror(index('rna-gill'!$L:$L,match($A386,'rna-gill'!$A:$A,0)))</f>
        <v>N</v>
      </c>
      <c r="F386" t="str">
        <f t="array" ref="F386">iferror(index(fatty_acid!$G:$G,match($A386,fatty_acid!$A:$A,0)))</f>
        <v>BFA25-49</v>
      </c>
      <c r="G386" t="str">
        <f t="array" ref="G386">iferror(index(fatty_acid!$J:$J,match($A386,fatty_acid!$A:$A,0)))</f>
        <v>N</v>
      </c>
      <c r="H386" t="str">
        <f t="array" ref="H386">iferror(index(isotopes!$G:$G,match($A386,isotopes!$A:$A,0)))</f>
        <v>BIS27-49</v>
      </c>
      <c r="I386" t="str">
        <f t="array" ref="I386">iferror(index(isotopes!$J:$J,match($A386,isotopes!$A:$A,0)))</f>
        <v>N</v>
      </c>
      <c r="J386" t="str">
        <f t="array" ref="J386">iferror(index(extra_muscle!$G:$G,match($A386,extra_muscle!$A:$A,0)))</f>
        <v>BXM25-49</v>
      </c>
      <c r="K386" t="str">
        <f t="array" ref="K386">iferror(index(extra_muscle!$J:$J,match($A386,extra_muscle!$A:$A,0)))</f>
        <v>N</v>
      </c>
      <c r="L386" s="59" t="str">
        <f t="array" ref="L386">iferror(index(dna!$G:$G,match($A386,dna!$A:$A,0)))</f>
        <v/>
      </c>
      <c r="M386" s="60" t="str">
        <f t="array" ref="M386">iferror(index(dna!$J:$J,match($A386,dna!$A:$A,0)))</f>
        <v/>
      </c>
      <c r="N386" t="str">
        <f t="array" ref="N386">iferror(index(stomachs!$G:$G,match($A386,stomachs!$A:$A,0)))</f>
        <v/>
      </c>
      <c r="O386" t="str">
        <f t="array" ref="O386">iferror(index(stomachs!$J:$J,match($A386,stomachs!$A:$A,0)))</f>
        <v/>
      </c>
      <c r="P386" t="str">
        <f t="array" ref="P386">iferror(index(sea_lice!$G:$G,match($A386,sea_lice!$A:$A,0)))</f>
        <v/>
      </c>
      <c r="Q386" t="str">
        <f t="array" ref="Q386">iferror(index(sea_lice!$J:$J,match($A386,sea_lice!$A:$A,0)))</f>
        <v/>
      </c>
      <c r="R386" s="40" t="str">
        <f t="array" ref="R386">iferror(index(dissected_fish!$F:$F,match($A386,dissected_fish!$A:$A,0)))</f>
        <v>BCA103</v>
      </c>
      <c r="S386" s="40" t="str">
        <f t="array" ref="S386">iferror(index(dissected_fish!$K:$K,match($A386,dissected_fish!$A:$A,0)))</f>
        <v>N</v>
      </c>
      <c r="T386" s="61" t="str">
        <f t="array" ref="T386">index(fish_lab_data!O:O,match(A386,fish_lab_data!C:C,0))</f>
        <v>KB</v>
      </c>
      <c r="U386" s="61">
        <f t="array" ref="U386">if(A386="","",index(fish_lab_data!X:X,match(A386,fish_lab_data!C:C,0)))</f>
        <v>385</v>
      </c>
    </row>
    <row r="387">
      <c r="A387" t="str">
        <f>fish_lab_data!C387</f>
        <v>U16763</v>
      </c>
      <c r="B387" t="str">
        <f t="array" ref="B387">iferror(index('rna-muscle'!$I:$I,match($A387,'rna-muscle'!$A:$A,0)))</f>
        <v>BRN62M-B5</v>
      </c>
      <c r="C387" t="str">
        <f t="array" ref="C387">iferror(index('rna-muscle'!$L:$L,match($A387,'rna-muscle'!$A:$A,0)))</f>
        <v>N</v>
      </c>
      <c r="D387" t="str">
        <f t="array" ref="D387">iferror(index('rna-gill'!$I:$I,match($A387,'rna-gill'!$A:$A,0)))</f>
        <v>BRN62G-B5</v>
      </c>
      <c r="E387" t="str">
        <f t="array" ref="E387">iferror(index('rna-gill'!$L:$L,match($A387,'rna-gill'!$A:$A,0)))</f>
        <v>N</v>
      </c>
      <c r="F387" t="str">
        <f t="array" ref="F387">iferror(index(fatty_acid!$G:$G,match($A387,fatty_acid!$A:$A,0)))</f>
        <v>BFA25-50</v>
      </c>
      <c r="G387" t="str">
        <f t="array" ref="G387">iferror(index(fatty_acid!$J:$J,match($A387,fatty_acid!$A:$A,0)))</f>
        <v>N</v>
      </c>
      <c r="H387" t="str">
        <f t="array" ref="H387">iferror(index(isotopes!$G:$G,match($A387,isotopes!$A:$A,0)))</f>
        <v>BIS27-50</v>
      </c>
      <c r="I387" t="str">
        <f t="array" ref="I387">iferror(index(isotopes!$J:$J,match($A387,isotopes!$A:$A,0)))</f>
        <v>N</v>
      </c>
      <c r="J387" t="str">
        <f t="array" ref="J387">iferror(index(extra_muscle!$G:$G,match($A387,extra_muscle!$A:$A,0)))</f>
        <v>BXM25-50</v>
      </c>
      <c r="K387" t="str">
        <f t="array" ref="K387">iferror(index(extra_muscle!$J:$J,match($A387,extra_muscle!$A:$A,0)))</f>
        <v>N</v>
      </c>
      <c r="L387" s="59" t="str">
        <f t="array" ref="L387">iferror(index(dna!$G:$G,match($A387,dna!$A:$A,0)))</f>
        <v/>
      </c>
      <c r="M387" s="60" t="str">
        <f t="array" ref="M387">iferror(index(dna!$J:$J,match($A387,dna!$A:$A,0)))</f>
        <v/>
      </c>
      <c r="N387" t="str">
        <f t="array" ref="N387">iferror(index(stomachs!$G:$G,match($A387,stomachs!$A:$A,0)))</f>
        <v/>
      </c>
      <c r="O387" t="str">
        <f t="array" ref="O387">iferror(index(stomachs!$J:$J,match($A387,stomachs!$A:$A,0)))</f>
        <v/>
      </c>
      <c r="P387" t="str">
        <f t="array" ref="P387">iferror(index(sea_lice!$G:$G,match($A387,sea_lice!$A:$A,0)))</f>
        <v>BSL6-15</v>
      </c>
      <c r="Q387" t="str">
        <f t="array" ref="Q387">iferror(index(sea_lice!$J:$J,match($A387,sea_lice!$A:$A,0)))</f>
        <v>N</v>
      </c>
      <c r="R387" s="40" t="str">
        <f t="array" ref="R387">iferror(index(dissected_fish!$F:$F,match($A387,dissected_fish!$A:$A,0)))</f>
        <v>BCA103</v>
      </c>
      <c r="S387" s="40" t="str">
        <f t="array" ref="S387">iferror(index(dissected_fish!$K:$K,match($A387,dissected_fish!$A:$A,0)))</f>
        <v>N</v>
      </c>
      <c r="T387" s="61" t="str">
        <f t="array" ref="T387">index(fish_lab_data!O:O,match(A387,fish_lab_data!C:C,0))</f>
        <v>KB</v>
      </c>
      <c r="U387" s="61">
        <f t="array" ref="U387">if(A387="","",index(fish_lab_data!X:X,match(A387,fish_lab_data!C:C,0)))</f>
        <v>386</v>
      </c>
    </row>
    <row r="388">
      <c r="A388" t="str">
        <f>fish_lab_data!C388</f>
        <v>U16765</v>
      </c>
      <c r="B388" t="str">
        <f t="array" ref="B388">iferror(index('rna-muscle'!$I:$I,match($A388,'rna-muscle'!$A:$A,0)))</f>
        <v>BRN62M-A5</v>
      </c>
      <c r="C388" t="str">
        <f t="array" ref="C388">iferror(index('rna-muscle'!$L:$L,match($A388,'rna-muscle'!$A:$A,0)))</f>
        <v>N</v>
      </c>
      <c r="D388" t="str">
        <f t="array" ref="D388">iferror(index('rna-gill'!$I:$I,match($A388,'rna-gill'!$A:$A,0)))</f>
        <v>BRN62G-A5</v>
      </c>
      <c r="E388" t="str">
        <f t="array" ref="E388">iferror(index('rna-gill'!$L:$L,match($A388,'rna-gill'!$A:$A,0)))</f>
        <v>N</v>
      </c>
      <c r="F388" t="str">
        <f t="array" ref="F388">iferror(index(fatty_acid!$G:$G,match($A388,fatty_acid!$A:$A,0)))</f>
        <v>BFA25-51</v>
      </c>
      <c r="G388" t="str">
        <f t="array" ref="G388">iferror(index(fatty_acid!$J:$J,match($A388,fatty_acid!$A:$A,0)))</f>
        <v>N</v>
      </c>
      <c r="H388" t="str">
        <f t="array" ref="H388">iferror(index(isotopes!$G:$G,match($A388,isotopes!$A:$A,0)))</f>
        <v>BIS27-51</v>
      </c>
      <c r="I388" t="str">
        <f t="array" ref="I388">iferror(index(isotopes!$J:$J,match($A388,isotopes!$A:$A,0)))</f>
        <v>N</v>
      </c>
      <c r="J388" t="str">
        <f t="array" ref="J388">iferror(index(extra_muscle!$G:$G,match($A388,extra_muscle!$A:$A,0)))</f>
        <v>BXM25-51</v>
      </c>
      <c r="K388" t="str">
        <f t="array" ref="K388">iferror(index(extra_muscle!$J:$J,match($A388,extra_muscle!$A:$A,0)))</f>
        <v>N</v>
      </c>
      <c r="L388" s="59" t="str">
        <f t="array" ref="L388">iferror(index(dna!$G:$G,match($A388,dna!$A:$A,0)))</f>
        <v/>
      </c>
      <c r="M388" s="60" t="str">
        <f t="array" ref="M388">iferror(index(dna!$J:$J,match($A388,dna!$A:$A,0)))</f>
        <v/>
      </c>
      <c r="N388" t="str">
        <f t="array" ref="N388">iferror(index(stomachs!$G:$G,match($A388,stomachs!$A:$A,0)))</f>
        <v/>
      </c>
      <c r="O388" t="str">
        <f t="array" ref="O388">iferror(index(stomachs!$J:$J,match($A388,stomachs!$A:$A,0)))</f>
        <v/>
      </c>
      <c r="P388" t="str">
        <f t="array" ref="P388">iferror(index(sea_lice!$G:$G,match($A388,sea_lice!$A:$A,0)))</f>
        <v>BSL6-17</v>
      </c>
      <c r="Q388" t="str">
        <f t="array" ref="Q388">iferror(index(sea_lice!$J:$J,match($A388,sea_lice!$A:$A,0)))</f>
        <v>N</v>
      </c>
      <c r="R388" s="40" t="str">
        <f t="array" ref="R388">iferror(index(dissected_fish!$F:$F,match($A388,dissected_fish!$A:$A,0)))</f>
        <v>BCA103</v>
      </c>
      <c r="S388" s="40" t="str">
        <f t="array" ref="S388">iferror(index(dissected_fish!$K:$K,match($A388,dissected_fish!$A:$A,0)))</f>
        <v>N</v>
      </c>
      <c r="T388" s="61" t="str">
        <f t="array" ref="T388">index(fish_lab_data!O:O,match(A388,fish_lab_data!C:C,0))</f>
        <v>KB</v>
      </c>
      <c r="U388" s="61">
        <f t="array" ref="U388">if(A388="","",index(fish_lab_data!X:X,match(A388,fish_lab_data!C:C,0)))</f>
        <v>387</v>
      </c>
    </row>
    <row r="389">
      <c r="A389" t="str">
        <f>fish_lab_data!C389</f>
        <v>U16767</v>
      </c>
      <c r="B389" t="str">
        <f t="array" ref="B389">iferror(index('rna-muscle'!$I:$I,match($A389,'rna-muscle'!$A:$A,0)))</f>
        <v>BRN62M-H7</v>
      </c>
      <c r="C389" t="str">
        <f t="array" ref="C389">iferror(index('rna-muscle'!$L:$L,match($A389,'rna-muscle'!$A:$A,0)))</f>
        <v>N</v>
      </c>
      <c r="D389" t="str">
        <f t="array" ref="D389">iferror(index('rna-gill'!$I:$I,match($A389,'rna-gill'!$A:$A,0)))</f>
        <v>BRN62G-H7</v>
      </c>
      <c r="E389" t="str">
        <f t="array" ref="E389">iferror(index('rna-gill'!$L:$L,match($A389,'rna-gill'!$A:$A,0)))</f>
        <v>N</v>
      </c>
      <c r="F389" t="str">
        <f t="array" ref="F389">iferror(index(fatty_acid!$G:$G,match($A389,fatty_acid!$A:$A,0)))</f>
        <v>BFA25-52</v>
      </c>
      <c r="G389" t="str">
        <f t="array" ref="G389">iferror(index(fatty_acid!$J:$J,match($A389,fatty_acid!$A:$A,0)))</f>
        <v>N</v>
      </c>
      <c r="H389" t="str">
        <f t="array" ref="H389">iferror(index(isotopes!$G:$G,match($A389,isotopes!$A:$A,0)))</f>
        <v>BIS27-52</v>
      </c>
      <c r="I389" t="str">
        <f t="array" ref="I389">iferror(index(isotopes!$J:$J,match($A389,isotopes!$A:$A,0)))</f>
        <v>N</v>
      </c>
      <c r="J389" t="str">
        <f t="array" ref="J389">iferror(index(extra_muscle!$G:$G,match($A389,extra_muscle!$A:$A,0)))</f>
        <v>BXM25-52</v>
      </c>
      <c r="K389" t="str">
        <f t="array" ref="K389">iferror(index(extra_muscle!$J:$J,match($A389,extra_muscle!$A:$A,0)))</f>
        <v>N</v>
      </c>
      <c r="L389" s="59" t="str">
        <f t="array" ref="L389">iferror(index(dna!$G:$G,match($A389,dna!$A:$A,0)))</f>
        <v/>
      </c>
      <c r="M389" s="60" t="str">
        <f t="array" ref="M389">iferror(index(dna!$J:$J,match($A389,dna!$A:$A,0)))</f>
        <v/>
      </c>
      <c r="N389" t="str">
        <f t="array" ref="N389">iferror(index(stomachs!$G:$G,match($A389,stomachs!$A:$A,0)))</f>
        <v/>
      </c>
      <c r="O389" t="str">
        <f t="array" ref="O389">iferror(index(stomachs!$J:$J,match($A389,stomachs!$A:$A,0)))</f>
        <v/>
      </c>
      <c r="P389" t="str">
        <f t="array" ref="P389">iferror(index(sea_lice!$G:$G,match($A389,sea_lice!$A:$A,0)))</f>
        <v/>
      </c>
      <c r="Q389" t="str">
        <f t="array" ref="Q389">iferror(index(sea_lice!$J:$J,match($A389,sea_lice!$A:$A,0)))</f>
        <v/>
      </c>
      <c r="R389" s="40" t="str">
        <f t="array" ref="R389">iferror(index(dissected_fish!$F:$F,match($A389,dissected_fish!$A:$A,0)))</f>
        <v>BCA103</v>
      </c>
      <c r="S389" s="40" t="str">
        <f t="array" ref="S389">iferror(index(dissected_fish!$K:$K,match($A389,dissected_fish!$A:$A,0)))</f>
        <v>N</v>
      </c>
      <c r="T389" s="61" t="str">
        <f t="array" ref="T389">index(fish_lab_data!O:O,match(A389,fish_lab_data!C:C,0))</f>
        <v>KB</v>
      </c>
      <c r="U389" s="61">
        <f t="array" ref="U389">if(A389="","",index(fish_lab_data!X:X,match(A389,fish_lab_data!C:C,0)))</f>
        <v>388</v>
      </c>
    </row>
    <row r="390">
      <c r="A390" t="str">
        <f>fish_lab_data!C390</f>
        <v>U16762</v>
      </c>
      <c r="B390" t="str">
        <f t="array" ref="B390">iferror(index('rna-muscle'!$I:$I,match($A390,'rna-muscle'!$A:$A,0)))</f>
        <v>BRN62M-G7</v>
      </c>
      <c r="C390" t="str">
        <f t="array" ref="C390">iferror(index('rna-muscle'!$L:$L,match($A390,'rna-muscle'!$A:$A,0)))</f>
        <v>N</v>
      </c>
      <c r="D390" t="str">
        <f t="array" ref="D390">iferror(index('rna-gill'!$I:$I,match($A390,'rna-gill'!$A:$A,0)))</f>
        <v>BRN62G-G7</v>
      </c>
      <c r="E390" t="str">
        <f t="array" ref="E390">iferror(index('rna-gill'!$L:$L,match($A390,'rna-gill'!$A:$A,0)))</f>
        <v>N</v>
      </c>
      <c r="F390" t="str">
        <f t="array" ref="F390">iferror(index(fatty_acid!$G:$G,match($A390,fatty_acid!$A:$A,0)))</f>
        <v>BFA25-53</v>
      </c>
      <c r="G390" t="str">
        <f t="array" ref="G390">iferror(index(fatty_acid!$J:$J,match($A390,fatty_acid!$A:$A,0)))</f>
        <v>N</v>
      </c>
      <c r="H390" t="str">
        <f t="array" ref="H390">iferror(index(isotopes!$G:$G,match($A390,isotopes!$A:$A,0)))</f>
        <v>BIS27-53</v>
      </c>
      <c r="I390" t="str">
        <f t="array" ref="I390">iferror(index(isotopes!$J:$J,match($A390,isotopes!$A:$A,0)))</f>
        <v>N</v>
      </c>
      <c r="J390" t="str">
        <f t="array" ref="J390">iferror(index(extra_muscle!$G:$G,match($A390,extra_muscle!$A:$A,0)))</f>
        <v>BXM25-53</v>
      </c>
      <c r="K390" t="str">
        <f t="array" ref="K390">iferror(index(extra_muscle!$J:$J,match($A390,extra_muscle!$A:$A,0)))</f>
        <v>N</v>
      </c>
      <c r="L390" s="59" t="str">
        <f t="array" ref="L390">iferror(index(dna!$G:$G,match($A390,dna!$A:$A,0)))</f>
        <v/>
      </c>
      <c r="M390" s="60" t="str">
        <f t="array" ref="M390">iferror(index(dna!$J:$J,match($A390,dna!$A:$A,0)))</f>
        <v/>
      </c>
      <c r="N390" t="str">
        <f t="array" ref="N390">iferror(index(stomachs!$G:$G,match($A390,stomachs!$A:$A,0)))</f>
        <v/>
      </c>
      <c r="O390" t="str">
        <f t="array" ref="O390">iferror(index(stomachs!$J:$J,match($A390,stomachs!$A:$A,0)))</f>
        <v/>
      </c>
      <c r="P390" t="str">
        <f t="array" ref="P390">iferror(index(sea_lice!$G:$G,match($A390,sea_lice!$A:$A,0)))</f>
        <v/>
      </c>
      <c r="Q390" t="str">
        <f t="array" ref="Q390">iferror(index(sea_lice!$J:$J,match($A390,sea_lice!$A:$A,0)))</f>
        <v/>
      </c>
      <c r="R390" s="40" t="str">
        <f t="array" ref="R390">iferror(index(dissected_fish!$F:$F,match($A390,dissected_fish!$A:$A,0)))</f>
        <v>BCA103</v>
      </c>
      <c r="S390" s="40" t="str">
        <f t="array" ref="S390">iferror(index(dissected_fish!$K:$K,match($A390,dissected_fish!$A:$A,0)))</f>
        <v>N</v>
      </c>
      <c r="T390" s="61" t="str">
        <f t="array" ref="T390">index(fish_lab_data!O:O,match(A390,fish_lab_data!C:C,0))</f>
        <v>KB</v>
      </c>
      <c r="U390" s="61">
        <f t="array" ref="U390">if(A390="","",index(fish_lab_data!X:X,match(A390,fish_lab_data!C:C,0)))</f>
        <v>389</v>
      </c>
    </row>
    <row r="391">
      <c r="A391" t="str">
        <f>fish_lab_data!C391</f>
        <v>U16764</v>
      </c>
      <c r="B391" t="str">
        <f t="array" ref="B391">iferror(index('rna-muscle'!$I:$I,match($A391,'rna-muscle'!$A:$A,0)))</f>
        <v>BRN62M-F7</v>
      </c>
      <c r="C391" t="str">
        <f t="array" ref="C391">iferror(index('rna-muscle'!$L:$L,match($A391,'rna-muscle'!$A:$A,0)))</f>
        <v>N</v>
      </c>
      <c r="D391" t="str">
        <f t="array" ref="D391">iferror(index('rna-gill'!$I:$I,match($A391,'rna-gill'!$A:$A,0)))</f>
        <v>BRN62G-F7</v>
      </c>
      <c r="E391" t="str">
        <f t="array" ref="E391">iferror(index('rna-gill'!$L:$L,match($A391,'rna-gill'!$A:$A,0)))</f>
        <v>N</v>
      </c>
      <c r="F391" t="str">
        <f t="array" ref="F391">iferror(index(fatty_acid!$G:$G,match($A391,fatty_acid!$A:$A,0)))</f>
        <v>BFA25-54</v>
      </c>
      <c r="G391" t="str">
        <f t="array" ref="G391">iferror(index(fatty_acid!$J:$J,match($A391,fatty_acid!$A:$A,0)))</f>
        <v>N</v>
      </c>
      <c r="H391" t="str">
        <f t="array" ref="H391">iferror(index(isotopes!$G:$G,match($A391,isotopes!$A:$A,0)))</f>
        <v>BIS27-54</v>
      </c>
      <c r="I391" t="str">
        <f t="array" ref="I391">iferror(index(isotopes!$J:$J,match($A391,isotopes!$A:$A,0)))</f>
        <v>N</v>
      </c>
      <c r="J391" t="str">
        <f t="array" ref="J391">iferror(index(extra_muscle!$G:$G,match($A391,extra_muscle!$A:$A,0)))</f>
        <v>BXM25-54</v>
      </c>
      <c r="K391" t="str">
        <f t="array" ref="K391">iferror(index(extra_muscle!$J:$J,match($A391,extra_muscle!$A:$A,0)))</f>
        <v>N</v>
      </c>
      <c r="L391" s="59" t="str">
        <f t="array" ref="L391">iferror(index(dna!$G:$G,match($A391,dna!$A:$A,0)))</f>
        <v/>
      </c>
      <c r="M391" s="60" t="str">
        <f t="array" ref="M391">iferror(index(dna!$J:$J,match($A391,dna!$A:$A,0)))</f>
        <v/>
      </c>
      <c r="N391" t="str">
        <f t="array" ref="N391">iferror(index(stomachs!$G:$G,match($A391,stomachs!$A:$A,0)))</f>
        <v/>
      </c>
      <c r="O391" t="str">
        <f t="array" ref="O391">iferror(index(stomachs!$J:$J,match($A391,stomachs!$A:$A,0)))</f>
        <v/>
      </c>
      <c r="P391" t="str">
        <f t="array" ref="P391">iferror(index(sea_lice!$G:$G,match($A391,sea_lice!$A:$A,0)))</f>
        <v/>
      </c>
      <c r="Q391" t="str">
        <f t="array" ref="Q391">iferror(index(sea_lice!$J:$J,match($A391,sea_lice!$A:$A,0)))</f>
        <v/>
      </c>
      <c r="R391" s="40" t="str">
        <f t="array" ref="R391">iferror(index(dissected_fish!$F:$F,match($A391,dissected_fish!$A:$A,0)))</f>
        <v>BCA103</v>
      </c>
      <c r="S391" s="40" t="str">
        <f t="array" ref="S391">iferror(index(dissected_fish!$K:$K,match($A391,dissected_fish!$A:$A,0)))</f>
        <v>N</v>
      </c>
      <c r="T391" s="61" t="str">
        <f t="array" ref="T391">index(fish_lab_data!O:O,match(A391,fish_lab_data!C:C,0))</f>
        <v>KB</v>
      </c>
      <c r="U391" s="61">
        <f t="array" ref="U391">if(A391="","",index(fish_lab_data!X:X,match(A391,fish_lab_data!C:C,0)))</f>
        <v>390</v>
      </c>
    </row>
    <row r="392">
      <c r="A392" t="str">
        <f>fish_lab_data!C392</f>
        <v>U16707</v>
      </c>
      <c r="B392" t="str">
        <f t="array" ref="B392">iferror(index('rna-muscle'!$I:$I,match($A392,'rna-muscle'!$A:$A,0)))</f>
        <v>BRN62M-A6</v>
      </c>
      <c r="C392" t="str">
        <f t="array" ref="C392">iferror(index('rna-muscle'!$L:$L,match($A392,'rna-muscle'!$A:$A,0)))</f>
        <v>N</v>
      </c>
      <c r="D392" t="str">
        <f t="array" ref="D392">iferror(index('rna-gill'!$I:$I,match($A392,'rna-gill'!$A:$A,0)))</f>
        <v>BRN62G-A6</v>
      </c>
      <c r="E392" t="str">
        <f t="array" ref="E392">iferror(index('rna-gill'!$L:$L,match($A392,'rna-gill'!$A:$A,0)))</f>
        <v>N</v>
      </c>
      <c r="F392" t="str">
        <f t="array" ref="F392">iferror(index(fatty_acid!$G:$G,match($A392,fatty_acid!$A:$A,0)))</f>
        <v>BFA24-49</v>
      </c>
      <c r="G392" t="str">
        <f t="array" ref="G392">iferror(index(fatty_acid!$J:$J,match($A392,fatty_acid!$A:$A,0)))</f>
        <v>N</v>
      </c>
      <c r="H392" t="str">
        <f t="array" ref="H392">iferror(index(isotopes!$G:$G,match($A392,isotopes!$A:$A,0)))</f>
        <v>BIS26-68</v>
      </c>
      <c r="I392" t="str">
        <f t="array" ref="I392">iferror(index(isotopes!$J:$J,match($A392,isotopes!$A:$A,0)))</f>
        <v>N</v>
      </c>
      <c r="J392" t="str">
        <f t="array" ref="J392">iferror(index(extra_muscle!$G:$G,match($A392,extra_muscle!$A:$A,0)))</f>
        <v>BXM26-35</v>
      </c>
      <c r="K392" t="str">
        <f t="array" ref="K392">iferror(index(extra_muscle!$J:$J,match($A392,extra_muscle!$A:$A,0)))</f>
        <v>N</v>
      </c>
      <c r="L392" s="59" t="str">
        <f t="array" ref="L392">iferror(index(dna!$G:$G,match($A392,dna!$A:$A,0)))</f>
        <v/>
      </c>
      <c r="M392" s="60" t="str">
        <f t="array" ref="M392">iferror(index(dna!$J:$J,match($A392,dna!$A:$A,0)))</f>
        <v/>
      </c>
      <c r="N392" t="str">
        <f t="array" ref="N392">iferror(index(stomachs!$G:$G,match($A392,stomachs!$A:$A,0)))</f>
        <v/>
      </c>
      <c r="O392" t="str">
        <f t="array" ref="O392">iferror(index(stomachs!$J:$J,match($A392,stomachs!$A:$A,0)))</f>
        <v/>
      </c>
      <c r="P392" t="str">
        <f t="array" ref="P392">iferror(index(sea_lice!$G:$G,match($A392,sea_lice!$A:$A,0)))</f>
        <v>BSL6-19</v>
      </c>
      <c r="Q392" t="str">
        <f t="array" ref="Q392">iferror(index(sea_lice!$J:$J,match($A392,sea_lice!$A:$A,0)))</f>
        <v>N</v>
      </c>
      <c r="R392" s="40" t="str">
        <f t="array" ref="R392">iferror(index(dissected_fish!$F:$F,match($A392,dissected_fish!$A:$A,0)))</f>
        <v>BCA103</v>
      </c>
      <c r="S392" s="40" t="str">
        <f t="array" ref="S392">iferror(index(dissected_fish!$K:$K,match($A392,dissected_fish!$A:$A,0)))</f>
        <v>N</v>
      </c>
      <c r="T392" s="61" t="str">
        <f t="array" ref="T392">index(fish_lab_data!O:O,match(A392,fish_lab_data!C:C,0))</f>
        <v>EJ</v>
      </c>
      <c r="U392" s="61">
        <f t="array" ref="U392">if(A392="","",index(fish_lab_data!X:X,match(A392,fish_lab_data!C:C,0)))</f>
        <v>391</v>
      </c>
    </row>
    <row r="393">
      <c r="A393" t="str">
        <f>fish_lab_data!C393</f>
        <v>U16708</v>
      </c>
      <c r="B393" t="str">
        <f t="array" ref="B393">iferror(index('rna-muscle'!$I:$I,match($A393,'rna-muscle'!$A:$A,0)))</f>
        <v>BRN62M-H8</v>
      </c>
      <c r="C393" t="str">
        <f t="array" ref="C393">iferror(index('rna-muscle'!$L:$L,match($A393,'rna-muscle'!$A:$A,0)))</f>
        <v>N</v>
      </c>
      <c r="D393" t="str">
        <f t="array" ref="D393">iferror(index('rna-gill'!$I:$I,match($A393,'rna-gill'!$A:$A,0)))</f>
        <v>BRN62G-H8</v>
      </c>
      <c r="E393" t="str">
        <f t="array" ref="E393">iferror(index('rna-gill'!$L:$L,match($A393,'rna-gill'!$A:$A,0)))</f>
        <v>N</v>
      </c>
      <c r="F393" t="str">
        <f t="array" ref="F393">iferror(index(fatty_acid!$G:$G,match($A393,fatty_acid!$A:$A,0)))</f>
        <v>BFA24-50</v>
      </c>
      <c r="G393" t="str">
        <f t="array" ref="G393">iferror(index(fatty_acid!$J:$J,match($A393,fatty_acid!$A:$A,0)))</f>
        <v>N</v>
      </c>
      <c r="H393" t="str">
        <f t="array" ref="H393">iferror(index(isotopes!$G:$G,match($A393,isotopes!$A:$A,0)))</f>
        <v>BIS26-69</v>
      </c>
      <c r="I393" t="str">
        <f t="array" ref="I393">iferror(index(isotopes!$J:$J,match($A393,isotopes!$A:$A,0)))</f>
        <v>N</v>
      </c>
      <c r="J393" t="str">
        <f t="array" ref="J393">iferror(index(extra_muscle!$G:$G,match($A393,extra_muscle!$A:$A,0)))</f>
        <v>BXM26-36</v>
      </c>
      <c r="K393" t="str">
        <f t="array" ref="K393">iferror(index(extra_muscle!$J:$J,match($A393,extra_muscle!$A:$A,0)))</f>
        <v>N</v>
      </c>
      <c r="L393" s="59" t="str">
        <f t="array" ref="L393">iferror(index(dna!$G:$G,match($A393,dna!$A:$A,0)))</f>
        <v/>
      </c>
      <c r="M393" s="60" t="str">
        <f t="array" ref="M393">iferror(index(dna!$J:$J,match($A393,dna!$A:$A,0)))</f>
        <v/>
      </c>
      <c r="N393" t="str">
        <f t="array" ref="N393">iferror(index(stomachs!$G:$G,match($A393,stomachs!$A:$A,0)))</f>
        <v/>
      </c>
      <c r="O393" t="str">
        <f t="array" ref="O393">iferror(index(stomachs!$J:$J,match($A393,stomachs!$A:$A,0)))</f>
        <v/>
      </c>
      <c r="P393" t="str">
        <f t="array" ref="P393">iferror(index(sea_lice!$G:$G,match($A393,sea_lice!$A:$A,0)))</f>
        <v/>
      </c>
      <c r="Q393" t="str">
        <f t="array" ref="Q393">iferror(index(sea_lice!$J:$J,match($A393,sea_lice!$A:$A,0)))</f>
        <v/>
      </c>
      <c r="R393" s="40" t="str">
        <f t="array" ref="R393">iferror(index(dissected_fish!$F:$F,match($A393,dissected_fish!$A:$A,0)))</f>
        <v>BCA103</v>
      </c>
      <c r="S393" s="40" t="str">
        <f t="array" ref="S393">iferror(index(dissected_fish!$K:$K,match($A393,dissected_fish!$A:$A,0)))</f>
        <v>N</v>
      </c>
      <c r="T393" s="61" t="str">
        <f t="array" ref="T393">index(fish_lab_data!O:O,match(A393,fish_lab_data!C:C,0))</f>
        <v>EJ</v>
      </c>
      <c r="U393" s="61">
        <f t="array" ref="U393">if(A393="","",index(fish_lab_data!X:X,match(A393,fish_lab_data!C:C,0)))</f>
        <v>392</v>
      </c>
    </row>
    <row r="394">
      <c r="A394" t="str">
        <f>fish_lab_data!C394</f>
        <v>U16709</v>
      </c>
      <c r="B394" t="str">
        <f t="array" ref="B394">iferror(index('rna-muscle'!$I:$I,match($A394,'rna-muscle'!$A:$A,0)))</f>
        <v>BRN62M-G8</v>
      </c>
      <c r="C394" t="str">
        <f t="array" ref="C394">iferror(index('rna-muscle'!$L:$L,match($A394,'rna-muscle'!$A:$A,0)))</f>
        <v>N</v>
      </c>
      <c r="D394" t="str">
        <f t="array" ref="D394">iferror(index('rna-gill'!$I:$I,match($A394,'rna-gill'!$A:$A,0)))</f>
        <v>BRN62G-G8</v>
      </c>
      <c r="E394" t="str">
        <f t="array" ref="E394">iferror(index('rna-gill'!$L:$L,match($A394,'rna-gill'!$A:$A,0)))</f>
        <v>N</v>
      </c>
      <c r="F394" t="str">
        <f t="array" ref="F394">iferror(index(fatty_acid!$G:$G,match($A394,fatty_acid!$A:$A,0)))</f>
        <v>BFA24-51</v>
      </c>
      <c r="G394" t="str">
        <f t="array" ref="G394">iferror(index(fatty_acid!$J:$J,match($A394,fatty_acid!$A:$A,0)))</f>
        <v>N</v>
      </c>
      <c r="H394" t="str">
        <f t="array" ref="H394">iferror(index(isotopes!$G:$G,match($A394,isotopes!$A:$A,0)))</f>
        <v>BIS26-70</v>
      </c>
      <c r="I394" t="str">
        <f t="array" ref="I394">iferror(index(isotopes!$J:$J,match($A394,isotopes!$A:$A,0)))</f>
        <v>N</v>
      </c>
      <c r="J394" t="str">
        <f t="array" ref="J394">iferror(index(extra_muscle!$G:$G,match($A394,extra_muscle!$A:$A,0)))</f>
        <v>BXM26-37</v>
      </c>
      <c r="K394" t="str">
        <f t="array" ref="K394">iferror(index(extra_muscle!$J:$J,match($A394,extra_muscle!$A:$A,0)))</f>
        <v>N</v>
      </c>
      <c r="L394" s="59" t="str">
        <f t="array" ref="L394">iferror(index(dna!$G:$G,match($A394,dna!$A:$A,0)))</f>
        <v/>
      </c>
      <c r="M394" s="60" t="str">
        <f t="array" ref="M394">iferror(index(dna!$J:$J,match($A394,dna!$A:$A,0)))</f>
        <v/>
      </c>
      <c r="N394" t="str">
        <f t="array" ref="N394">iferror(index(stomachs!$G:$G,match($A394,stomachs!$A:$A,0)))</f>
        <v/>
      </c>
      <c r="O394" t="str">
        <f t="array" ref="O394">iferror(index(stomachs!$J:$J,match($A394,stomachs!$A:$A,0)))</f>
        <v/>
      </c>
      <c r="P394" t="str">
        <f t="array" ref="P394">iferror(index(sea_lice!$G:$G,match($A394,sea_lice!$A:$A,0)))</f>
        <v/>
      </c>
      <c r="Q394" t="str">
        <f t="array" ref="Q394">iferror(index(sea_lice!$J:$J,match($A394,sea_lice!$A:$A,0)))</f>
        <v/>
      </c>
      <c r="R394" s="40" t="str">
        <f t="array" ref="R394">iferror(index(dissected_fish!$F:$F,match($A394,dissected_fish!$A:$A,0)))</f>
        <v>BCA103</v>
      </c>
      <c r="S394" s="40" t="str">
        <f t="array" ref="S394">iferror(index(dissected_fish!$K:$K,match($A394,dissected_fish!$A:$A,0)))</f>
        <v>N</v>
      </c>
      <c r="T394" s="61" t="str">
        <f t="array" ref="T394">index(fish_lab_data!O:O,match(A394,fish_lab_data!C:C,0))</f>
        <v>EJ</v>
      </c>
      <c r="U394" s="61">
        <f t="array" ref="U394">if(A394="","",index(fish_lab_data!X:X,match(A394,fish_lab_data!C:C,0)))</f>
        <v>393</v>
      </c>
    </row>
    <row r="395">
      <c r="A395" t="str">
        <f>fish_lab_data!C395</f>
        <v>U16710</v>
      </c>
      <c r="B395" t="str">
        <f t="array" ref="B395">iferror(index('rna-muscle'!$I:$I,match($A395,'rna-muscle'!$A:$A,0)))</f>
        <v>BRN62M-F8</v>
      </c>
      <c r="C395" t="str">
        <f t="array" ref="C395">iferror(index('rna-muscle'!$L:$L,match($A395,'rna-muscle'!$A:$A,0)))</f>
        <v>N</v>
      </c>
      <c r="D395" t="str">
        <f t="array" ref="D395">iferror(index('rna-gill'!$I:$I,match($A395,'rna-gill'!$A:$A,0)))</f>
        <v>BRN62G-F8</v>
      </c>
      <c r="E395" t="str">
        <f t="array" ref="E395">iferror(index('rna-gill'!$L:$L,match($A395,'rna-gill'!$A:$A,0)))</f>
        <v>N</v>
      </c>
      <c r="F395" t="str">
        <f t="array" ref="F395">iferror(index(fatty_acid!$G:$G,match($A395,fatty_acid!$A:$A,0)))</f>
        <v>BFA24-52</v>
      </c>
      <c r="G395" t="str">
        <f t="array" ref="G395">iferror(index(fatty_acid!$J:$J,match($A395,fatty_acid!$A:$A,0)))</f>
        <v>N</v>
      </c>
      <c r="H395" t="str">
        <f t="array" ref="H395">iferror(index(isotopes!$G:$G,match($A395,isotopes!$A:$A,0)))</f>
        <v>BIS26-71</v>
      </c>
      <c r="I395" t="str">
        <f t="array" ref="I395">iferror(index(isotopes!$J:$J,match($A395,isotopes!$A:$A,0)))</f>
        <v>N</v>
      </c>
      <c r="J395" t="str">
        <f t="array" ref="J395">iferror(index(extra_muscle!$G:$G,match($A395,extra_muscle!$A:$A,0)))</f>
        <v>BXM26-38</v>
      </c>
      <c r="K395" t="str">
        <f t="array" ref="K395">iferror(index(extra_muscle!$J:$J,match($A395,extra_muscle!$A:$A,0)))</f>
        <v>N</v>
      </c>
      <c r="L395" s="59" t="str">
        <f t="array" ref="L395">iferror(index(dna!$G:$G,match($A395,dna!$A:$A,0)))</f>
        <v/>
      </c>
      <c r="M395" s="60" t="str">
        <f t="array" ref="M395">iferror(index(dna!$J:$J,match($A395,dna!$A:$A,0)))</f>
        <v/>
      </c>
      <c r="N395" t="str">
        <f t="array" ref="N395">iferror(index(stomachs!$G:$G,match($A395,stomachs!$A:$A,0)))</f>
        <v/>
      </c>
      <c r="O395" t="str">
        <f t="array" ref="O395">iferror(index(stomachs!$J:$J,match($A395,stomachs!$A:$A,0)))</f>
        <v/>
      </c>
      <c r="P395" t="str">
        <f t="array" ref="P395">iferror(index(sea_lice!$G:$G,match($A395,sea_lice!$A:$A,0)))</f>
        <v/>
      </c>
      <c r="Q395" t="str">
        <f t="array" ref="Q395">iferror(index(sea_lice!$J:$J,match($A395,sea_lice!$A:$A,0)))</f>
        <v/>
      </c>
      <c r="R395" s="40" t="str">
        <f t="array" ref="R395">iferror(index(dissected_fish!$F:$F,match($A395,dissected_fish!$A:$A,0)))</f>
        <v>BCA103</v>
      </c>
      <c r="S395" s="40" t="str">
        <f t="array" ref="S395">iferror(index(dissected_fish!$K:$K,match($A395,dissected_fish!$A:$A,0)))</f>
        <v>N</v>
      </c>
      <c r="T395" s="61" t="str">
        <f t="array" ref="T395">index(fish_lab_data!O:O,match(A395,fish_lab_data!C:C,0))</f>
        <v>EJ</v>
      </c>
      <c r="U395" s="61">
        <f t="array" ref="U395">if(A395="","",index(fish_lab_data!X:X,match(A395,fish_lab_data!C:C,0)))</f>
        <v>394</v>
      </c>
    </row>
    <row r="396">
      <c r="A396" t="str">
        <f>fish_lab_data!C396</f>
        <v>U16921</v>
      </c>
      <c r="B396" t="str">
        <f t="array" ref="B396">iferror(index('rna-muscle'!$I:$I,match($A396,'rna-muscle'!$A:$A,0)))</f>
        <v>BRN62M-E8</v>
      </c>
      <c r="C396" t="str">
        <f t="array" ref="C396">iferror(index('rna-muscle'!$L:$L,match($A396,'rna-muscle'!$A:$A,0)))</f>
        <v>N</v>
      </c>
      <c r="D396" t="str">
        <f t="array" ref="D396">iferror(index('rna-gill'!$I:$I,match($A396,'rna-gill'!$A:$A,0)))</f>
        <v>BRN62G-E8</v>
      </c>
      <c r="E396" t="str">
        <f t="array" ref="E396">iferror(index('rna-gill'!$L:$L,match($A396,'rna-gill'!$A:$A,0)))</f>
        <v>N</v>
      </c>
      <c r="F396" t="str">
        <f t="array" ref="F396">iferror(index(fatty_acid!$G:$G,match($A396,fatty_acid!$A:$A,0)))</f>
        <v>BFA24-53</v>
      </c>
      <c r="G396" t="str">
        <f t="array" ref="G396">iferror(index(fatty_acid!$J:$J,match($A396,fatty_acid!$A:$A,0)))</f>
        <v>N</v>
      </c>
      <c r="H396" t="str">
        <f t="array" ref="H396">iferror(index(isotopes!$G:$G,match($A396,isotopes!$A:$A,0)))</f>
        <v>BIS26-72</v>
      </c>
      <c r="I396" t="str">
        <f t="array" ref="I396">iferror(index(isotopes!$J:$J,match($A396,isotopes!$A:$A,0)))</f>
        <v>N</v>
      </c>
      <c r="J396" t="str">
        <f t="array" ref="J396">iferror(index(extra_muscle!$G:$G,match($A396,extra_muscle!$A:$A,0)))</f>
        <v>BXM26-39</v>
      </c>
      <c r="K396" t="str">
        <f t="array" ref="K396">iferror(index(extra_muscle!$J:$J,match($A396,extra_muscle!$A:$A,0)))</f>
        <v>N</v>
      </c>
      <c r="L396" s="59" t="str">
        <f t="array" ref="L396">iferror(index(dna!$G:$G,match($A396,dna!$A:$A,0)))</f>
        <v/>
      </c>
      <c r="M396" s="60" t="str">
        <f t="array" ref="M396">iferror(index(dna!$J:$J,match($A396,dna!$A:$A,0)))</f>
        <v/>
      </c>
      <c r="N396" t="str">
        <f t="array" ref="N396">iferror(index(stomachs!$G:$G,match($A396,stomachs!$A:$A,0)))</f>
        <v/>
      </c>
      <c r="O396" t="str">
        <f t="array" ref="O396">iferror(index(stomachs!$J:$J,match($A396,stomachs!$A:$A,0)))</f>
        <v/>
      </c>
      <c r="P396" t="str">
        <f t="array" ref="P396">iferror(index(sea_lice!$G:$G,match($A396,sea_lice!$A:$A,0)))</f>
        <v/>
      </c>
      <c r="Q396" t="str">
        <f t="array" ref="Q396">iferror(index(sea_lice!$J:$J,match($A396,sea_lice!$A:$A,0)))</f>
        <v/>
      </c>
      <c r="R396" s="40" t="str">
        <f t="array" ref="R396">iferror(index(dissected_fish!$F:$F,match($A396,dissected_fish!$A:$A,0)))</f>
        <v>BCA103</v>
      </c>
      <c r="S396" s="40" t="str">
        <f t="array" ref="S396">iferror(index(dissected_fish!$K:$K,match($A396,dissected_fish!$A:$A,0)))</f>
        <v>N</v>
      </c>
      <c r="T396" s="61" t="str">
        <f t="array" ref="T396">index(fish_lab_data!O:O,match(A396,fish_lab_data!C:C,0))</f>
        <v>EJ</v>
      </c>
      <c r="U396" s="61">
        <f t="array" ref="U396">if(A396="","",index(fish_lab_data!X:X,match(A396,fish_lab_data!C:C,0)))</f>
        <v>395</v>
      </c>
    </row>
    <row r="397">
      <c r="A397" t="str">
        <f>fish_lab_data!C397</f>
        <v>U16922</v>
      </c>
      <c r="B397" t="str">
        <f t="array" ref="B397">iferror(index('rna-muscle'!$I:$I,match($A397,'rna-muscle'!$A:$A,0)))</f>
        <v>BRN62M-D8</v>
      </c>
      <c r="C397" t="str">
        <f t="array" ref="C397">iferror(index('rna-muscle'!$L:$L,match($A397,'rna-muscle'!$A:$A,0)))</f>
        <v>N</v>
      </c>
      <c r="D397" t="str">
        <f t="array" ref="D397">iferror(index('rna-gill'!$I:$I,match($A397,'rna-gill'!$A:$A,0)))</f>
        <v>BRN62G-D8</v>
      </c>
      <c r="E397" t="str">
        <f t="array" ref="E397">iferror(index('rna-gill'!$L:$L,match($A397,'rna-gill'!$A:$A,0)))</f>
        <v>N</v>
      </c>
      <c r="F397" t="str">
        <f t="array" ref="F397">iferror(index(fatty_acid!$G:$G,match($A397,fatty_acid!$A:$A,0)))</f>
        <v>BFA24-54</v>
      </c>
      <c r="G397" t="str">
        <f t="array" ref="G397">iferror(index(fatty_acid!$J:$J,match($A397,fatty_acid!$A:$A,0)))</f>
        <v>N</v>
      </c>
      <c r="H397" t="str">
        <f t="array" ref="H397">iferror(index(isotopes!$G:$G,match($A397,isotopes!$A:$A,0)))</f>
        <v>BIS26-73</v>
      </c>
      <c r="I397" t="str">
        <f t="array" ref="I397">iferror(index(isotopes!$J:$J,match($A397,isotopes!$A:$A,0)))</f>
        <v>N</v>
      </c>
      <c r="J397" t="str">
        <f t="array" ref="J397">iferror(index(extra_muscle!$G:$G,match($A397,extra_muscle!$A:$A,0)))</f>
        <v>BXM26-40</v>
      </c>
      <c r="K397" t="str">
        <f t="array" ref="K397">iferror(index(extra_muscle!$J:$J,match($A397,extra_muscle!$A:$A,0)))</f>
        <v>N</v>
      </c>
      <c r="L397" s="59" t="str">
        <f t="array" ref="L397">iferror(index(dna!$G:$G,match($A397,dna!$A:$A,0)))</f>
        <v/>
      </c>
      <c r="M397" s="60" t="str">
        <f t="array" ref="M397">iferror(index(dna!$J:$J,match($A397,dna!$A:$A,0)))</f>
        <v/>
      </c>
      <c r="N397" t="str">
        <f t="array" ref="N397">iferror(index(stomachs!$G:$G,match($A397,stomachs!$A:$A,0)))</f>
        <v/>
      </c>
      <c r="O397" t="str">
        <f t="array" ref="O397">iferror(index(stomachs!$J:$J,match($A397,stomachs!$A:$A,0)))</f>
        <v/>
      </c>
      <c r="P397" t="str">
        <f t="array" ref="P397">iferror(index(sea_lice!$G:$G,match($A397,sea_lice!$A:$A,0)))</f>
        <v/>
      </c>
      <c r="Q397" t="str">
        <f t="array" ref="Q397">iferror(index(sea_lice!$J:$J,match($A397,sea_lice!$A:$A,0)))</f>
        <v/>
      </c>
      <c r="R397" s="40" t="str">
        <f t="array" ref="R397">iferror(index(dissected_fish!$F:$F,match($A397,dissected_fish!$A:$A,0)))</f>
        <v>BCA103</v>
      </c>
      <c r="S397" s="40" t="str">
        <f t="array" ref="S397">iferror(index(dissected_fish!$K:$K,match($A397,dissected_fish!$A:$A,0)))</f>
        <v>N</v>
      </c>
      <c r="T397" s="61" t="str">
        <f t="array" ref="T397">index(fish_lab_data!O:O,match(A397,fish_lab_data!C:C,0))</f>
        <v>EJ</v>
      </c>
      <c r="U397" s="61">
        <f t="array" ref="U397">if(A397="","",index(fish_lab_data!X:X,match(A397,fish_lab_data!C:C,0)))</f>
        <v>396</v>
      </c>
    </row>
    <row r="398">
      <c r="A398" t="str">
        <f>fish_lab_data!C398</f>
        <v>U16923</v>
      </c>
      <c r="B398" t="str">
        <f t="array" ref="B398">iferror(index('rna-muscle'!$I:$I,match($A398,'rna-muscle'!$A:$A,0)))</f>
        <v>BRN62M-C8</v>
      </c>
      <c r="C398" t="str">
        <f t="array" ref="C398">iferror(index('rna-muscle'!$L:$L,match($A398,'rna-muscle'!$A:$A,0)))</f>
        <v>N</v>
      </c>
      <c r="D398" t="str">
        <f t="array" ref="D398">iferror(index('rna-gill'!$I:$I,match($A398,'rna-gill'!$A:$A,0)))</f>
        <v>BRN62G-C8</v>
      </c>
      <c r="E398" t="str">
        <f t="array" ref="E398">iferror(index('rna-gill'!$L:$L,match($A398,'rna-gill'!$A:$A,0)))</f>
        <v>N</v>
      </c>
      <c r="F398" t="str">
        <f t="array" ref="F398">iferror(index(fatty_acid!$G:$G,match($A398,fatty_acid!$A:$A,0)))</f>
        <v>BFA24-55</v>
      </c>
      <c r="G398" t="str">
        <f t="array" ref="G398">iferror(index(fatty_acid!$J:$J,match($A398,fatty_acid!$A:$A,0)))</f>
        <v>N</v>
      </c>
      <c r="H398" t="str">
        <f t="array" ref="H398">iferror(index(isotopes!$G:$G,match($A398,isotopes!$A:$A,0)))</f>
        <v>BIS26-74</v>
      </c>
      <c r="I398" t="str">
        <f t="array" ref="I398">iferror(index(isotopes!$J:$J,match($A398,isotopes!$A:$A,0)))</f>
        <v>N</v>
      </c>
      <c r="J398" t="str">
        <f t="array" ref="J398">iferror(index(extra_muscle!$G:$G,match($A398,extra_muscle!$A:$A,0)))</f>
        <v>BXM26-41</v>
      </c>
      <c r="K398" t="str">
        <f t="array" ref="K398">iferror(index(extra_muscle!$J:$J,match($A398,extra_muscle!$A:$A,0)))</f>
        <v>N</v>
      </c>
      <c r="L398" s="59" t="str">
        <f t="array" ref="L398">iferror(index(dna!$G:$G,match($A398,dna!$A:$A,0)))</f>
        <v/>
      </c>
      <c r="M398" s="60" t="str">
        <f t="array" ref="M398">iferror(index(dna!$J:$J,match($A398,dna!$A:$A,0)))</f>
        <v/>
      </c>
      <c r="N398" t="str">
        <f t="array" ref="N398">iferror(index(stomachs!$G:$G,match($A398,stomachs!$A:$A,0)))</f>
        <v/>
      </c>
      <c r="O398" t="str">
        <f t="array" ref="O398">iferror(index(stomachs!$J:$J,match($A398,stomachs!$A:$A,0)))</f>
        <v/>
      </c>
      <c r="P398" t="str">
        <f t="array" ref="P398">iferror(index(sea_lice!$G:$G,match($A398,sea_lice!$A:$A,0)))</f>
        <v>BSL6-22</v>
      </c>
      <c r="Q398" t="str">
        <f t="array" ref="Q398">iferror(index(sea_lice!$J:$J,match($A398,sea_lice!$A:$A,0)))</f>
        <v>N</v>
      </c>
      <c r="R398" s="40" t="str">
        <f t="array" ref="R398">iferror(index(dissected_fish!$F:$F,match($A398,dissected_fish!$A:$A,0)))</f>
        <v>BCA103</v>
      </c>
      <c r="S398" s="40" t="str">
        <f t="array" ref="S398">iferror(index(dissected_fish!$K:$K,match($A398,dissected_fish!$A:$A,0)))</f>
        <v>N</v>
      </c>
      <c r="T398" s="61" t="str">
        <f t="array" ref="T398">index(fish_lab_data!O:O,match(A398,fish_lab_data!C:C,0))</f>
        <v>EJ</v>
      </c>
      <c r="U398" s="61">
        <f t="array" ref="U398">if(A398="","",index(fish_lab_data!X:X,match(A398,fish_lab_data!C:C,0)))</f>
        <v>397</v>
      </c>
    </row>
    <row r="399">
      <c r="A399" t="str">
        <f>fish_lab_data!C399</f>
        <v>U17351</v>
      </c>
      <c r="B399" t="str">
        <f t="array" ref="B399">iferror(index('rna-muscle'!$I:$I,match($A399,'rna-muscle'!$A:$A,0)))</f>
        <v>BRN62M-B8</v>
      </c>
      <c r="C399" t="str">
        <f t="array" ref="C399">iferror(index('rna-muscle'!$L:$L,match($A399,'rna-muscle'!$A:$A,0)))</f>
        <v>N</v>
      </c>
      <c r="D399" t="str">
        <f t="array" ref="D399">iferror(index('rna-gill'!$I:$I,match($A399,'rna-gill'!$A:$A,0)))</f>
        <v>BRN62G-B8</v>
      </c>
      <c r="E399" t="str">
        <f t="array" ref="E399">iferror(index('rna-gill'!$L:$L,match($A399,'rna-gill'!$A:$A,0)))</f>
        <v>N</v>
      </c>
      <c r="F399" t="str">
        <f t="array" ref="F399">iferror(index(fatty_acid!$G:$G,match($A399,fatty_acid!$A:$A,0)))</f>
        <v>BFA24-56</v>
      </c>
      <c r="G399" t="str">
        <f t="array" ref="G399">iferror(index(fatty_acid!$J:$J,match($A399,fatty_acid!$A:$A,0)))</f>
        <v>N</v>
      </c>
      <c r="H399" t="str">
        <f t="array" ref="H399">iferror(index(isotopes!$G:$G,match($A399,isotopes!$A:$A,0)))</f>
        <v>BIS26-75</v>
      </c>
      <c r="I399" t="str">
        <f t="array" ref="I399">iferror(index(isotopes!$J:$J,match($A399,isotopes!$A:$A,0)))</f>
        <v>N</v>
      </c>
      <c r="J399" t="str">
        <f t="array" ref="J399">iferror(index(extra_muscle!$G:$G,match($A399,extra_muscle!$A:$A,0)))</f>
        <v>BXM26-42</v>
      </c>
      <c r="K399" t="str">
        <f t="array" ref="K399">iferror(index(extra_muscle!$J:$J,match($A399,extra_muscle!$A:$A,0)))</f>
        <v>N</v>
      </c>
      <c r="L399" s="59" t="str">
        <f t="array" ref="L399">iferror(index(dna!$G:$G,match($A399,dna!$A:$A,0)))</f>
        <v/>
      </c>
      <c r="M399" s="60" t="str">
        <f t="array" ref="M399">iferror(index(dna!$J:$J,match($A399,dna!$A:$A,0)))</f>
        <v/>
      </c>
      <c r="N399" t="str">
        <f t="array" ref="N399">iferror(index(stomachs!$G:$G,match($A399,stomachs!$A:$A,0)))</f>
        <v/>
      </c>
      <c r="O399" t="str">
        <f t="array" ref="O399">iferror(index(stomachs!$J:$J,match($A399,stomachs!$A:$A,0)))</f>
        <v/>
      </c>
      <c r="P399" t="str">
        <f t="array" ref="P399">iferror(index(sea_lice!$G:$G,match($A399,sea_lice!$A:$A,0)))</f>
        <v>BSL6-24</v>
      </c>
      <c r="Q399" t="str">
        <f t="array" ref="Q399">iferror(index(sea_lice!$J:$J,match($A399,sea_lice!$A:$A,0)))</f>
        <v>N</v>
      </c>
      <c r="R399" s="40" t="str">
        <f t="array" ref="R399">iferror(index(dissected_fish!$F:$F,match($A399,dissected_fish!$A:$A,0)))</f>
        <v>BCA103</v>
      </c>
      <c r="S399" s="40" t="str">
        <f t="array" ref="S399">iferror(index(dissected_fish!$K:$K,match($A399,dissected_fish!$A:$A,0)))</f>
        <v>N</v>
      </c>
      <c r="T399" s="61" t="str">
        <f t="array" ref="T399">index(fish_lab_data!O:O,match(A399,fish_lab_data!C:C,0))</f>
        <v>EJ</v>
      </c>
      <c r="U399" s="61">
        <f t="array" ref="U399">if(A399="","",index(fish_lab_data!X:X,match(A399,fish_lab_data!C:C,0)))</f>
        <v>398</v>
      </c>
    </row>
    <row r="400">
      <c r="A400" t="str">
        <f>fish_lab_data!C400</f>
        <v>U17352</v>
      </c>
      <c r="B400" t="str">
        <f t="array" ref="B400">iferror(index('rna-muscle'!$I:$I,match($A400,'rna-muscle'!$A:$A,0)))</f>
        <v>BRN62M-A8</v>
      </c>
      <c r="C400" t="str">
        <f t="array" ref="C400">iferror(index('rna-muscle'!$L:$L,match($A400,'rna-muscle'!$A:$A,0)))</f>
        <v>N</v>
      </c>
      <c r="D400" t="str">
        <f t="array" ref="D400">iferror(index('rna-gill'!$I:$I,match($A400,'rna-gill'!$A:$A,0)))</f>
        <v>BRN62G-A8</v>
      </c>
      <c r="E400" t="str">
        <f t="array" ref="E400">iferror(index('rna-gill'!$L:$L,match($A400,'rna-gill'!$A:$A,0)))</f>
        <v>N</v>
      </c>
      <c r="F400" t="str">
        <f t="array" ref="F400">iferror(index(fatty_acid!$G:$G,match($A400,fatty_acid!$A:$A,0)))</f>
        <v>BFA24-57</v>
      </c>
      <c r="G400" t="str">
        <f t="array" ref="G400">iferror(index(fatty_acid!$J:$J,match($A400,fatty_acid!$A:$A,0)))</f>
        <v>N</v>
      </c>
      <c r="H400" t="str">
        <f t="array" ref="H400">iferror(index(isotopes!$G:$G,match($A400,isotopes!$A:$A,0)))</f>
        <v>BIS26-76</v>
      </c>
      <c r="I400" t="str">
        <f t="array" ref="I400">iferror(index(isotopes!$J:$J,match($A400,isotopes!$A:$A,0)))</f>
        <v>N</v>
      </c>
      <c r="J400" t="str">
        <f t="array" ref="J400">iferror(index(extra_muscle!$G:$G,match($A400,extra_muscle!$A:$A,0)))</f>
        <v>BXM26-43</v>
      </c>
      <c r="K400" t="str">
        <f t="array" ref="K400">iferror(index(extra_muscle!$J:$J,match($A400,extra_muscle!$A:$A,0)))</f>
        <v>N</v>
      </c>
      <c r="L400" s="59" t="str">
        <f t="array" ref="L400">iferror(index(dna!$G:$G,match($A400,dna!$A:$A,0)))</f>
        <v/>
      </c>
      <c r="M400" s="60" t="str">
        <f t="array" ref="M400">iferror(index(dna!$J:$J,match($A400,dna!$A:$A,0)))</f>
        <v/>
      </c>
      <c r="N400" t="str">
        <f t="array" ref="N400">iferror(index(stomachs!$G:$G,match($A400,stomachs!$A:$A,0)))</f>
        <v/>
      </c>
      <c r="O400" t="str">
        <f t="array" ref="O400">iferror(index(stomachs!$J:$J,match($A400,stomachs!$A:$A,0)))</f>
        <v/>
      </c>
      <c r="P400" t="str">
        <f t="array" ref="P400">iferror(index(sea_lice!$G:$G,match($A400,sea_lice!$A:$A,0)))</f>
        <v/>
      </c>
      <c r="Q400" t="str">
        <f t="array" ref="Q400">iferror(index(sea_lice!$J:$J,match($A400,sea_lice!$A:$A,0)))</f>
        <v/>
      </c>
      <c r="R400" s="40" t="str">
        <f t="array" ref="R400">iferror(index(dissected_fish!$F:$F,match($A400,dissected_fish!$A:$A,0)))</f>
        <v>BCA103</v>
      </c>
      <c r="S400" s="40" t="str">
        <f t="array" ref="S400">iferror(index(dissected_fish!$K:$K,match($A400,dissected_fish!$A:$A,0)))</f>
        <v>N</v>
      </c>
      <c r="T400" s="61" t="str">
        <f t="array" ref="T400">index(fish_lab_data!O:O,match(A400,fish_lab_data!C:C,0))</f>
        <v>EJ</v>
      </c>
      <c r="U400" s="61">
        <f t="array" ref="U400">if(A400="","",index(fish_lab_data!X:X,match(A400,fish_lab_data!C:C,0)))</f>
        <v>399</v>
      </c>
    </row>
    <row r="401">
      <c r="A401" t="str">
        <f>fish_lab_data!C401</f>
        <v>U17353</v>
      </c>
      <c r="B401" t="str">
        <f t="array" ref="B401">iferror(index('rna-muscle'!$I:$I,match($A401,'rna-muscle'!$A:$A,0)))</f>
        <v>BRN62M-H10</v>
      </c>
      <c r="C401" t="str">
        <f t="array" ref="C401">iferror(index('rna-muscle'!$L:$L,match($A401,'rna-muscle'!$A:$A,0)))</f>
        <v>N</v>
      </c>
      <c r="D401" t="str">
        <f t="array" ref="D401">iferror(index('rna-gill'!$I:$I,match($A401,'rna-gill'!$A:$A,0)))</f>
        <v>BRN62G-H10</v>
      </c>
      <c r="E401" t="str">
        <f t="array" ref="E401">iferror(index('rna-gill'!$L:$L,match($A401,'rna-gill'!$A:$A,0)))</f>
        <v>N</v>
      </c>
      <c r="F401" t="str">
        <f t="array" ref="F401">iferror(index(fatty_acid!$G:$G,match($A401,fatty_acid!$A:$A,0)))</f>
        <v>BFA24-58</v>
      </c>
      <c r="G401" t="str">
        <f t="array" ref="G401">iferror(index(fatty_acid!$J:$J,match($A401,fatty_acid!$A:$A,0)))</f>
        <v>N</v>
      </c>
      <c r="H401" t="str">
        <f t="array" ref="H401">iferror(index(isotopes!$G:$G,match($A401,isotopes!$A:$A,0)))</f>
        <v>BIS26-77</v>
      </c>
      <c r="I401" t="str">
        <f t="array" ref="I401">iferror(index(isotopes!$J:$J,match($A401,isotopes!$A:$A,0)))</f>
        <v>N</v>
      </c>
      <c r="J401" t="str">
        <f t="array" ref="J401">iferror(index(extra_muscle!$G:$G,match($A401,extra_muscle!$A:$A,0)))</f>
        <v>BXM26-44</v>
      </c>
      <c r="K401" t="str">
        <f t="array" ref="K401">iferror(index(extra_muscle!$J:$J,match($A401,extra_muscle!$A:$A,0)))</f>
        <v>N</v>
      </c>
      <c r="L401" s="59" t="str">
        <f t="array" ref="L401">iferror(index(dna!$G:$G,match($A401,dna!$A:$A,0)))</f>
        <v/>
      </c>
      <c r="M401" s="60" t="str">
        <f t="array" ref="M401">iferror(index(dna!$J:$J,match($A401,dna!$A:$A,0)))</f>
        <v/>
      </c>
      <c r="N401" t="str">
        <f t="array" ref="N401">iferror(index(stomachs!$G:$G,match($A401,stomachs!$A:$A,0)))</f>
        <v/>
      </c>
      <c r="O401" t="str">
        <f t="array" ref="O401">iferror(index(stomachs!$J:$J,match($A401,stomachs!$A:$A,0)))</f>
        <v/>
      </c>
      <c r="P401" t="str">
        <f t="array" ref="P401">iferror(index(sea_lice!$G:$G,match($A401,sea_lice!$A:$A,0)))</f>
        <v/>
      </c>
      <c r="Q401" t="str">
        <f t="array" ref="Q401">iferror(index(sea_lice!$J:$J,match($A401,sea_lice!$A:$A,0)))</f>
        <v/>
      </c>
      <c r="R401" s="40" t="str">
        <f t="array" ref="R401">iferror(index(dissected_fish!$F:$F,match($A401,dissected_fish!$A:$A,0)))</f>
        <v>BCA103</v>
      </c>
      <c r="S401" s="40" t="str">
        <f t="array" ref="S401">iferror(index(dissected_fish!$K:$K,match($A401,dissected_fish!$A:$A,0)))</f>
        <v>N</v>
      </c>
      <c r="T401" s="61" t="str">
        <f t="array" ref="T401">index(fish_lab_data!O:O,match(A401,fish_lab_data!C:C,0))</f>
        <v>EJ</v>
      </c>
      <c r="U401" s="61">
        <f t="array" ref="U401">if(A401="","",index(fish_lab_data!X:X,match(A401,fish_lab_data!C:C,0)))</f>
        <v>400</v>
      </c>
    </row>
    <row r="402">
      <c r="A402" t="str">
        <f>fish_lab_data!C402</f>
        <v>U17354</v>
      </c>
      <c r="B402" t="str">
        <f t="array" ref="B402">iferror(index('rna-muscle'!$I:$I,match($A402,'rna-muscle'!$A:$A,0)))</f>
        <v>BRN62M-G10</v>
      </c>
      <c r="C402" t="str">
        <f t="array" ref="C402">iferror(index('rna-muscle'!$L:$L,match($A402,'rna-muscle'!$A:$A,0)))</f>
        <v>N</v>
      </c>
      <c r="D402" t="str">
        <f t="array" ref="D402">iferror(index('rna-gill'!$I:$I,match($A402,'rna-gill'!$A:$A,0)))</f>
        <v>BRN62G-G10</v>
      </c>
      <c r="E402" t="str">
        <f t="array" ref="E402">iferror(index('rna-gill'!$L:$L,match($A402,'rna-gill'!$A:$A,0)))</f>
        <v>N</v>
      </c>
      <c r="F402" t="str">
        <f t="array" ref="F402">iferror(index(fatty_acid!$G:$G,match($A402,fatty_acid!$A:$A,0)))</f>
        <v>BFA24-59</v>
      </c>
      <c r="G402" t="str">
        <f t="array" ref="G402">iferror(index(fatty_acid!$J:$J,match($A402,fatty_acid!$A:$A,0)))</f>
        <v>N</v>
      </c>
      <c r="H402" t="str">
        <f t="array" ref="H402">iferror(index(isotopes!$G:$G,match($A402,isotopes!$A:$A,0)))</f>
        <v>BIS26-78</v>
      </c>
      <c r="I402" t="str">
        <f t="array" ref="I402">iferror(index(isotopes!$J:$J,match($A402,isotopes!$A:$A,0)))</f>
        <v>N</v>
      </c>
      <c r="J402" t="str">
        <f t="array" ref="J402">iferror(index(extra_muscle!$G:$G,match($A402,extra_muscle!$A:$A,0)))</f>
        <v>BXM26-45</v>
      </c>
      <c r="K402" t="str">
        <f t="array" ref="K402">iferror(index(extra_muscle!$J:$J,match($A402,extra_muscle!$A:$A,0)))</f>
        <v>N</v>
      </c>
      <c r="L402" s="59" t="str">
        <f t="array" ref="L402">iferror(index(dna!$G:$G,match($A402,dna!$A:$A,0)))</f>
        <v/>
      </c>
      <c r="M402" s="60" t="str">
        <f t="array" ref="M402">iferror(index(dna!$J:$J,match($A402,dna!$A:$A,0)))</f>
        <v/>
      </c>
      <c r="N402" t="str">
        <f t="array" ref="N402">iferror(index(stomachs!$G:$G,match($A402,stomachs!$A:$A,0)))</f>
        <v/>
      </c>
      <c r="O402" t="str">
        <f t="array" ref="O402">iferror(index(stomachs!$J:$J,match($A402,stomachs!$A:$A,0)))</f>
        <v/>
      </c>
      <c r="P402" t="str">
        <f t="array" ref="P402">iferror(index(sea_lice!$G:$G,match($A402,sea_lice!$A:$A,0)))</f>
        <v/>
      </c>
      <c r="Q402" t="str">
        <f t="array" ref="Q402">iferror(index(sea_lice!$J:$J,match($A402,sea_lice!$A:$A,0)))</f>
        <v/>
      </c>
      <c r="R402" s="40" t="str">
        <f t="array" ref="R402">iferror(index(dissected_fish!$F:$F,match($A402,dissected_fish!$A:$A,0)))</f>
        <v>BCA103</v>
      </c>
      <c r="S402" s="40" t="str">
        <f t="array" ref="S402">iferror(index(dissected_fish!$K:$K,match($A402,dissected_fish!$A:$A,0)))</f>
        <v>N</v>
      </c>
      <c r="T402" s="61" t="str">
        <f t="array" ref="T402">index(fish_lab_data!O:O,match(A402,fish_lab_data!C:C,0))</f>
        <v>EJ</v>
      </c>
      <c r="U402" s="61">
        <f t="array" ref="U402">if(A402="","",index(fish_lab_data!X:X,match(A402,fish_lab_data!C:C,0)))</f>
        <v>401</v>
      </c>
    </row>
    <row r="403">
      <c r="A403" t="str">
        <f>fish_lab_data!C403</f>
        <v>U17355</v>
      </c>
      <c r="B403" t="str">
        <f t="array" ref="B403">iferror(index('rna-muscle'!$I:$I,match($A403,'rna-muscle'!$A:$A,0)))</f>
        <v>BRN62M-F10</v>
      </c>
      <c r="C403" t="str">
        <f t="array" ref="C403">iferror(index('rna-muscle'!$L:$L,match($A403,'rna-muscle'!$A:$A,0)))</f>
        <v>N</v>
      </c>
      <c r="D403" t="str">
        <f t="array" ref="D403">iferror(index('rna-gill'!$I:$I,match($A403,'rna-gill'!$A:$A,0)))</f>
        <v>BRN62G-F10</v>
      </c>
      <c r="E403" t="str">
        <f t="array" ref="E403">iferror(index('rna-gill'!$L:$L,match($A403,'rna-gill'!$A:$A,0)))</f>
        <v>N</v>
      </c>
      <c r="F403" t="str">
        <f t="array" ref="F403">iferror(index(fatty_acid!$G:$G,match($A403,fatty_acid!$A:$A,0)))</f>
        <v>BFA24-60</v>
      </c>
      <c r="G403" t="str">
        <f t="array" ref="G403">iferror(index(fatty_acid!$J:$J,match($A403,fatty_acid!$A:$A,0)))</f>
        <v>N</v>
      </c>
      <c r="H403" t="str">
        <f t="array" ref="H403">iferror(index(isotopes!$G:$G,match($A403,isotopes!$A:$A,0)))</f>
        <v>BIS26-79</v>
      </c>
      <c r="I403" t="str">
        <f t="array" ref="I403">iferror(index(isotopes!$J:$J,match($A403,isotopes!$A:$A,0)))</f>
        <v>N</v>
      </c>
      <c r="J403" t="str">
        <f t="array" ref="J403">iferror(index(extra_muscle!$G:$G,match($A403,extra_muscle!$A:$A,0)))</f>
        <v>BXM26-46</v>
      </c>
      <c r="K403" t="str">
        <f t="array" ref="K403">iferror(index(extra_muscle!$J:$J,match($A403,extra_muscle!$A:$A,0)))</f>
        <v>N</v>
      </c>
      <c r="L403" s="59" t="str">
        <f t="array" ref="L403">iferror(index(dna!$G:$G,match($A403,dna!$A:$A,0)))</f>
        <v/>
      </c>
      <c r="M403" s="60" t="str">
        <f t="array" ref="M403">iferror(index(dna!$J:$J,match($A403,dna!$A:$A,0)))</f>
        <v/>
      </c>
      <c r="N403" t="str">
        <f t="array" ref="N403">iferror(index(stomachs!$G:$G,match($A403,stomachs!$A:$A,0)))</f>
        <v/>
      </c>
      <c r="O403" t="str">
        <f t="array" ref="O403">iferror(index(stomachs!$J:$J,match($A403,stomachs!$A:$A,0)))</f>
        <v/>
      </c>
      <c r="P403" t="str">
        <f t="array" ref="P403">iferror(index(sea_lice!$G:$G,match($A403,sea_lice!$A:$A,0)))</f>
        <v/>
      </c>
      <c r="Q403" t="str">
        <f t="array" ref="Q403">iferror(index(sea_lice!$J:$J,match($A403,sea_lice!$A:$A,0)))</f>
        <v/>
      </c>
      <c r="R403" s="40" t="str">
        <f t="array" ref="R403">iferror(index(dissected_fish!$F:$F,match($A403,dissected_fish!$A:$A,0)))</f>
        <v>BCA103</v>
      </c>
      <c r="S403" s="40" t="str">
        <f t="array" ref="S403">iferror(index(dissected_fish!$K:$K,match($A403,dissected_fish!$A:$A,0)))</f>
        <v>N</v>
      </c>
      <c r="T403" s="61" t="str">
        <f t="array" ref="T403">index(fish_lab_data!O:O,match(A403,fish_lab_data!C:C,0))</f>
        <v>EJ</v>
      </c>
      <c r="U403" s="61">
        <f t="array" ref="U403">if(A403="","",index(fish_lab_data!X:X,match(A403,fish_lab_data!C:C,0)))</f>
        <v>402</v>
      </c>
    </row>
    <row r="404">
      <c r="A404" t="str">
        <f>fish_lab_data!C404</f>
        <v>U17356</v>
      </c>
      <c r="B404" t="str">
        <f t="array" ref="B404">iferror(index('rna-muscle'!$I:$I,match($A404,'rna-muscle'!$A:$A,0)))</f>
        <v>BRN62M-E10</v>
      </c>
      <c r="C404" t="str">
        <f t="array" ref="C404">iferror(index('rna-muscle'!$L:$L,match($A404,'rna-muscle'!$A:$A,0)))</f>
        <v>N</v>
      </c>
      <c r="D404" t="str">
        <f t="array" ref="D404">iferror(index('rna-gill'!$I:$I,match($A404,'rna-gill'!$A:$A,0)))</f>
        <v>BRN62G-E10</v>
      </c>
      <c r="E404" t="str">
        <f t="array" ref="E404">iferror(index('rna-gill'!$L:$L,match($A404,'rna-gill'!$A:$A,0)))</f>
        <v>N</v>
      </c>
      <c r="F404" t="str">
        <f t="array" ref="F404">iferror(index(fatty_acid!$G:$G,match($A404,fatty_acid!$A:$A,0)))</f>
        <v>BFA24-61</v>
      </c>
      <c r="G404" t="str">
        <f t="array" ref="G404">iferror(index(fatty_acid!$J:$J,match($A404,fatty_acid!$A:$A,0)))</f>
        <v>N</v>
      </c>
      <c r="H404" t="str">
        <f t="array" ref="H404">iferror(index(isotopes!$G:$G,match($A404,isotopes!$A:$A,0)))</f>
        <v>BIS26-80</v>
      </c>
      <c r="I404" t="str">
        <f t="array" ref="I404">iferror(index(isotopes!$J:$J,match($A404,isotopes!$A:$A,0)))</f>
        <v>N</v>
      </c>
      <c r="J404" t="str">
        <f t="array" ref="J404">iferror(index(extra_muscle!$G:$G,match($A404,extra_muscle!$A:$A,0)))</f>
        <v>BXM26-47</v>
      </c>
      <c r="K404" t="str">
        <f t="array" ref="K404">iferror(index(extra_muscle!$J:$J,match($A404,extra_muscle!$A:$A,0)))</f>
        <v>N</v>
      </c>
      <c r="L404" s="59" t="str">
        <f t="array" ref="L404">iferror(index(dna!$G:$G,match($A404,dna!$A:$A,0)))</f>
        <v/>
      </c>
      <c r="M404" s="60" t="str">
        <f t="array" ref="M404">iferror(index(dna!$J:$J,match($A404,dna!$A:$A,0)))</f>
        <v/>
      </c>
      <c r="N404" t="str">
        <f t="array" ref="N404">iferror(index(stomachs!$G:$G,match($A404,stomachs!$A:$A,0)))</f>
        <v/>
      </c>
      <c r="O404" t="str">
        <f t="array" ref="O404">iferror(index(stomachs!$J:$J,match($A404,stomachs!$A:$A,0)))</f>
        <v/>
      </c>
      <c r="P404" t="str">
        <f t="array" ref="P404">iferror(index(sea_lice!$G:$G,match($A404,sea_lice!$A:$A,0)))</f>
        <v/>
      </c>
      <c r="Q404" t="str">
        <f t="array" ref="Q404">iferror(index(sea_lice!$J:$J,match($A404,sea_lice!$A:$A,0)))</f>
        <v/>
      </c>
      <c r="R404" s="40" t="str">
        <f t="array" ref="R404">iferror(index(dissected_fish!$F:$F,match($A404,dissected_fish!$A:$A,0)))</f>
        <v>BCA103</v>
      </c>
      <c r="S404" s="40" t="str">
        <f t="array" ref="S404">iferror(index(dissected_fish!$K:$K,match($A404,dissected_fish!$A:$A,0)))</f>
        <v>N</v>
      </c>
      <c r="T404" s="61" t="str">
        <f t="array" ref="T404">index(fish_lab_data!O:O,match(A404,fish_lab_data!C:C,0))</f>
        <v>EJ</v>
      </c>
      <c r="U404" s="61">
        <f t="array" ref="U404">if(A404="","",index(fish_lab_data!X:X,match(A404,fish_lab_data!C:C,0)))</f>
        <v>403</v>
      </c>
    </row>
    <row r="405">
      <c r="A405" t="str">
        <f>fish_lab_data!C405</f>
        <v>U17357</v>
      </c>
      <c r="B405" t="str">
        <f t="array" ref="B405">iferror(index('rna-muscle'!$I:$I,match($A405,'rna-muscle'!$A:$A,0)))</f>
        <v>BRN62M-D10</v>
      </c>
      <c r="C405" t="str">
        <f t="array" ref="C405">iferror(index('rna-muscle'!$L:$L,match($A405,'rna-muscle'!$A:$A,0)))</f>
        <v>N</v>
      </c>
      <c r="D405" t="str">
        <f t="array" ref="D405">iferror(index('rna-gill'!$I:$I,match($A405,'rna-gill'!$A:$A,0)))</f>
        <v>BRN62G-D10</v>
      </c>
      <c r="E405" t="str">
        <f t="array" ref="E405">iferror(index('rna-gill'!$L:$L,match($A405,'rna-gill'!$A:$A,0)))</f>
        <v>N</v>
      </c>
      <c r="F405" t="str">
        <f t="array" ref="F405">iferror(index(fatty_acid!$G:$G,match($A405,fatty_acid!$A:$A,0)))</f>
        <v>BFA24-62</v>
      </c>
      <c r="G405" t="str">
        <f t="array" ref="G405">iferror(index(fatty_acid!$J:$J,match($A405,fatty_acid!$A:$A,0)))</f>
        <v>N</v>
      </c>
      <c r="H405" t="str">
        <f t="array" ref="H405">iferror(index(isotopes!$G:$G,match($A405,isotopes!$A:$A,0)))</f>
        <v>BIS28-1</v>
      </c>
      <c r="I405" t="str">
        <f t="array" ref="I405">iferror(index(isotopes!$J:$J,match($A405,isotopes!$A:$A,0)))</f>
        <v>N</v>
      </c>
      <c r="J405" t="str">
        <f t="array" ref="J405">iferror(index(extra_muscle!$G:$G,match($A405,extra_muscle!$A:$A,0)))</f>
        <v>BXM26-48</v>
      </c>
      <c r="K405" t="str">
        <f t="array" ref="K405">iferror(index(extra_muscle!$J:$J,match($A405,extra_muscle!$A:$A,0)))</f>
        <v>N</v>
      </c>
      <c r="L405" s="59" t="str">
        <f t="array" ref="L405">iferror(index(dna!$G:$G,match($A405,dna!$A:$A,0)))</f>
        <v/>
      </c>
      <c r="M405" s="60" t="str">
        <f t="array" ref="M405">iferror(index(dna!$J:$J,match($A405,dna!$A:$A,0)))</f>
        <v/>
      </c>
      <c r="N405" t="str">
        <f t="array" ref="N405">iferror(index(stomachs!$G:$G,match($A405,stomachs!$A:$A,0)))</f>
        <v/>
      </c>
      <c r="O405" t="str">
        <f t="array" ref="O405">iferror(index(stomachs!$J:$J,match($A405,stomachs!$A:$A,0)))</f>
        <v/>
      </c>
      <c r="P405" t="str">
        <f t="array" ref="P405">iferror(index(sea_lice!$G:$G,match($A405,sea_lice!$A:$A,0)))</f>
        <v/>
      </c>
      <c r="Q405" t="str">
        <f t="array" ref="Q405">iferror(index(sea_lice!$J:$J,match($A405,sea_lice!$A:$A,0)))</f>
        <v/>
      </c>
      <c r="R405" s="40" t="str">
        <f t="array" ref="R405">iferror(index(dissected_fish!$F:$F,match($A405,dissected_fish!$A:$A,0)))</f>
        <v>BCA103</v>
      </c>
      <c r="S405" s="40" t="str">
        <f t="array" ref="S405">iferror(index(dissected_fish!$K:$K,match($A405,dissected_fish!$A:$A,0)))</f>
        <v>N</v>
      </c>
      <c r="T405" s="61" t="str">
        <f t="array" ref="T405">index(fish_lab_data!O:O,match(A405,fish_lab_data!C:C,0))</f>
        <v>EJ</v>
      </c>
      <c r="U405" s="61">
        <f t="array" ref="U405">if(A405="","",index(fish_lab_data!X:X,match(A405,fish_lab_data!C:C,0)))</f>
        <v>404</v>
      </c>
    </row>
    <row r="406">
      <c r="A406" t="str">
        <f>fish_lab_data!C406</f>
        <v>U17358</v>
      </c>
      <c r="B406" t="str">
        <f t="array" ref="B406">iferror(index('rna-muscle'!$I:$I,match($A406,'rna-muscle'!$A:$A,0)))</f>
        <v>BRN62M-C10</v>
      </c>
      <c r="C406" t="str">
        <f t="array" ref="C406">iferror(index('rna-muscle'!$L:$L,match($A406,'rna-muscle'!$A:$A,0)))</f>
        <v>N</v>
      </c>
      <c r="D406" t="str">
        <f t="array" ref="D406">iferror(index('rna-gill'!$I:$I,match($A406,'rna-gill'!$A:$A,0)))</f>
        <v>BRN62G-C10</v>
      </c>
      <c r="E406" t="str">
        <f t="array" ref="E406">iferror(index('rna-gill'!$L:$L,match($A406,'rna-gill'!$A:$A,0)))</f>
        <v>N</v>
      </c>
      <c r="F406" t="str">
        <f t="array" ref="F406">iferror(index(fatty_acid!$G:$G,match($A406,fatty_acid!$A:$A,0)))</f>
        <v>BFA24-63</v>
      </c>
      <c r="G406" t="str">
        <f t="array" ref="G406">iferror(index(fatty_acid!$J:$J,match($A406,fatty_acid!$A:$A,0)))</f>
        <v>N</v>
      </c>
      <c r="H406" t="str">
        <f t="array" ref="H406">iferror(index(isotopes!$G:$G,match($A406,isotopes!$A:$A,0)))</f>
        <v>BIS28-2</v>
      </c>
      <c r="I406" t="str">
        <f t="array" ref="I406">iferror(index(isotopes!$J:$J,match($A406,isotopes!$A:$A,0)))</f>
        <v>N</v>
      </c>
      <c r="J406" t="str">
        <f t="array" ref="J406">iferror(index(extra_muscle!$G:$G,match($A406,extra_muscle!$A:$A,0)))</f>
        <v>BXM26-49</v>
      </c>
      <c r="K406" t="str">
        <f t="array" ref="K406">iferror(index(extra_muscle!$J:$J,match($A406,extra_muscle!$A:$A,0)))</f>
        <v>N</v>
      </c>
      <c r="L406" s="59" t="str">
        <f t="array" ref="L406">iferror(index(dna!$G:$G,match($A406,dna!$A:$A,0)))</f>
        <v/>
      </c>
      <c r="M406" s="60" t="str">
        <f t="array" ref="M406">iferror(index(dna!$J:$J,match($A406,dna!$A:$A,0)))</f>
        <v/>
      </c>
      <c r="N406" t="str">
        <f t="array" ref="N406">iferror(index(stomachs!$G:$G,match($A406,stomachs!$A:$A,0)))</f>
        <v/>
      </c>
      <c r="O406" t="str">
        <f t="array" ref="O406">iferror(index(stomachs!$J:$J,match($A406,stomachs!$A:$A,0)))</f>
        <v/>
      </c>
      <c r="P406" t="str">
        <f t="array" ref="P406">iferror(index(sea_lice!$G:$G,match($A406,sea_lice!$A:$A,0)))</f>
        <v/>
      </c>
      <c r="Q406" t="str">
        <f t="array" ref="Q406">iferror(index(sea_lice!$J:$J,match($A406,sea_lice!$A:$A,0)))</f>
        <v/>
      </c>
      <c r="R406" s="40" t="str">
        <f t="array" ref="R406">iferror(index(dissected_fish!$F:$F,match($A406,dissected_fish!$A:$A,0)))</f>
        <v>BCA103</v>
      </c>
      <c r="S406" s="40" t="str">
        <f t="array" ref="S406">iferror(index(dissected_fish!$K:$K,match($A406,dissected_fish!$A:$A,0)))</f>
        <v>N</v>
      </c>
      <c r="T406" s="61" t="str">
        <f t="array" ref="T406">index(fish_lab_data!O:O,match(A406,fish_lab_data!C:C,0))</f>
        <v>EJ</v>
      </c>
      <c r="U406" s="61">
        <f t="array" ref="U406">if(A406="","",index(fish_lab_data!X:X,match(A406,fish_lab_data!C:C,0)))</f>
        <v>405</v>
      </c>
    </row>
    <row r="407">
      <c r="A407" t="str">
        <f>fish_lab_data!C407</f>
        <v>U17359</v>
      </c>
      <c r="B407" t="str">
        <f t="array" ref="B407">iferror(index('rna-muscle'!$I:$I,match($A407,'rna-muscle'!$A:$A,0)))</f>
        <v>BRN62M-B10</v>
      </c>
      <c r="C407" t="str">
        <f t="array" ref="C407">iferror(index('rna-muscle'!$L:$L,match($A407,'rna-muscle'!$A:$A,0)))</f>
        <v>N</v>
      </c>
      <c r="D407" t="str">
        <f t="array" ref="D407">iferror(index('rna-gill'!$I:$I,match($A407,'rna-gill'!$A:$A,0)))</f>
        <v>BRN62G-B10</v>
      </c>
      <c r="E407" t="str">
        <f t="array" ref="E407">iferror(index('rna-gill'!$L:$L,match($A407,'rna-gill'!$A:$A,0)))</f>
        <v>N</v>
      </c>
      <c r="F407" t="str">
        <f t="array" ref="F407">iferror(index(fatty_acid!$G:$G,match($A407,fatty_acid!$A:$A,0)))</f>
        <v>BFA24-64</v>
      </c>
      <c r="G407" t="str">
        <f t="array" ref="G407">iferror(index(fatty_acid!$J:$J,match($A407,fatty_acid!$A:$A,0)))</f>
        <v>N</v>
      </c>
      <c r="H407" t="str">
        <f t="array" ref="H407">iferror(index(isotopes!$G:$G,match($A407,isotopes!$A:$A,0)))</f>
        <v>BIS28-3</v>
      </c>
      <c r="I407" t="str">
        <f t="array" ref="I407">iferror(index(isotopes!$J:$J,match($A407,isotopes!$A:$A,0)))</f>
        <v>N</v>
      </c>
      <c r="J407" t="str">
        <f t="array" ref="J407">iferror(index(extra_muscle!$G:$G,match($A407,extra_muscle!$A:$A,0)))</f>
        <v>BXM26-50</v>
      </c>
      <c r="K407" t="str">
        <f t="array" ref="K407">iferror(index(extra_muscle!$J:$J,match($A407,extra_muscle!$A:$A,0)))</f>
        <v>N</v>
      </c>
      <c r="L407" s="59" t="str">
        <f t="array" ref="L407">iferror(index(dna!$G:$G,match($A407,dna!$A:$A,0)))</f>
        <v/>
      </c>
      <c r="M407" s="60" t="str">
        <f t="array" ref="M407">iferror(index(dna!$J:$J,match($A407,dna!$A:$A,0)))</f>
        <v/>
      </c>
      <c r="N407" t="str">
        <f t="array" ref="N407">iferror(index(stomachs!$G:$G,match($A407,stomachs!$A:$A,0)))</f>
        <v/>
      </c>
      <c r="O407" t="str">
        <f t="array" ref="O407">iferror(index(stomachs!$J:$J,match($A407,stomachs!$A:$A,0)))</f>
        <v/>
      </c>
      <c r="P407" t="str">
        <f t="array" ref="P407">iferror(index(sea_lice!$G:$G,match($A407,sea_lice!$A:$A,0)))</f>
        <v/>
      </c>
      <c r="Q407" t="str">
        <f t="array" ref="Q407">iferror(index(sea_lice!$J:$J,match($A407,sea_lice!$A:$A,0)))</f>
        <v/>
      </c>
      <c r="R407" s="40" t="str">
        <f t="array" ref="R407">iferror(index(dissected_fish!$F:$F,match($A407,dissected_fish!$A:$A,0)))</f>
        <v>BCA103</v>
      </c>
      <c r="S407" s="40" t="str">
        <f t="array" ref="S407">iferror(index(dissected_fish!$K:$K,match($A407,dissected_fish!$A:$A,0)))</f>
        <v>N</v>
      </c>
      <c r="T407" s="61" t="str">
        <f t="array" ref="T407">index(fish_lab_data!O:O,match(A407,fish_lab_data!C:C,0))</f>
        <v>EJ</v>
      </c>
      <c r="U407" s="61">
        <f t="array" ref="U407">if(A407="","",index(fish_lab_data!X:X,match(A407,fish_lab_data!C:C,0)))</f>
        <v>406</v>
      </c>
    </row>
    <row r="408">
      <c r="A408" t="str">
        <f>fish_lab_data!C408</f>
        <v>U17360</v>
      </c>
      <c r="B408" t="str">
        <f t="array" ref="B408">iferror(index('rna-muscle'!$I:$I,match($A408,'rna-muscle'!$A:$A,0)))</f>
        <v>BRN62M-A10</v>
      </c>
      <c r="C408" t="str">
        <f t="array" ref="C408">iferror(index('rna-muscle'!$L:$L,match($A408,'rna-muscle'!$A:$A,0)))</f>
        <v>N</v>
      </c>
      <c r="D408" t="str">
        <f t="array" ref="D408">iferror(index('rna-gill'!$I:$I,match($A408,'rna-gill'!$A:$A,0)))</f>
        <v>BRN62G-A10</v>
      </c>
      <c r="E408" t="str">
        <f t="array" ref="E408">iferror(index('rna-gill'!$L:$L,match($A408,'rna-gill'!$A:$A,0)))</f>
        <v>N</v>
      </c>
      <c r="F408" t="str">
        <f t="array" ref="F408">iferror(index(fatty_acid!$G:$G,match($A408,fatty_acid!$A:$A,0)))</f>
        <v>BFA24-65</v>
      </c>
      <c r="G408" t="str">
        <f t="array" ref="G408">iferror(index(fatty_acid!$J:$J,match($A408,fatty_acid!$A:$A,0)))</f>
        <v>N</v>
      </c>
      <c r="H408" t="str">
        <f t="array" ref="H408">iferror(index(isotopes!$G:$G,match($A408,isotopes!$A:$A,0)))</f>
        <v>BIS28-4</v>
      </c>
      <c r="I408" t="str">
        <f t="array" ref="I408">iferror(index(isotopes!$J:$J,match($A408,isotopes!$A:$A,0)))</f>
        <v>N</v>
      </c>
      <c r="J408" t="str">
        <f t="array" ref="J408">iferror(index(extra_muscle!$G:$G,match($A408,extra_muscle!$A:$A,0)))</f>
        <v>BXM26-51</v>
      </c>
      <c r="K408" t="str">
        <f t="array" ref="K408">iferror(index(extra_muscle!$J:$J,match($A408,extra_muscle!$A:$A,0)))</f>
        <v>N</v>
      </c>
      <c r="L408" s="59" t="str">
        <f t="array" ref="L408">iferror(index(dna!$G:$G,match($A408,dna!$A:$A,0)))</f>
        <v/>
      </c>
      <c r="M408" s="60" t="str">
        <f t="array" ref="M408">iferror(index(dna!$J:$J,match($A408,dna!$A:$A,0)))</f>
        <v/>
      </c>
      <c r="N408" t="str">
        <f t="array" ref="N408">iferror(index(stomachs!$G:$G,match($A408,stomachs!$A:$A,0)))</f>
        <v/>
      </c>
      <c r="O408" t="str">
        <f t="array" ref="O408">iferror(index(stomachs!$J:$J,match($A408,stomachs!$A:$A,0)))</f>
        <v/>
      </c>
      <c r="P408" t="str">
        <f t="array" ref="P408">iferror(index(sea_lice!$G:$G,match($A408,sea_lice!$A:$A,0)))</f>
        <v/>
      </c>
      <c r="Q408" t="str">
        <f t="array" ref="Q408">iferror(index(sea_lice!$J:$J,match($A408,sea_lice!$A:$A,0)))</f>
        <v/>
      </c>
      <c r="R408" s="40" t="str">
        <f t="array" ref="R408">iferror(index(dissected_fish!$F:$F,match($A408,dissected_fish!$A:$A,0)))</f>
        <v>BCA103</v>
      </c>
      <c r="S408" s="40" t="str">
        <f t="array" ref="S408">iferror(index(dissected_fish!$K:$K,match($A408,dissected_fish!$A:$A,0)))</f>
        <v>N</v>
      </c>
      <c r="T408" s="61" t="str">
        <f t="array" ref="T408">index(fish_lab_data!O:O,match(A408,fish_lab_data!C:C,0))</f>
        <v>EJ</v>
      </c>
      <c r="U408" s="61">
        <f t="array" ref="U408">if(A408="","",index(fish_lab_data!X:X,match(A408,fish_lab_data!C:C,0)))</f>
        <v>407</v>
      </c>
    </row>
    <row r="409">
      <c r="A409" t="str">
        <f>fish_lab_data!C409</f>
        <v>U16954</v>
      </c>
      <c r="B409" t="str">
        <f t="array" ref="B409">iferror(index('rna-muscle'!$I:$I,match($A409,'rna-muscle'!$A:$A,0)))</f>
        <v>BRN62M-E7</v>
      </c>
      <c r="C409" t="str">
        <f t="array" ref="C409">iferror(index('rna-muscle'!$L:$L,match($A409,'rna-muscle'!$A:$A,0)))</f>
        <v>N</v>
      </c>
      <c r="D409" t="str">
        <f t="array" ref="D409">iferror(index('rna-gill'!$I:$I,match($A409,'rna-gill'!$A:$A,0)))</f>
        <v>BRN62G-E7</v>
      </c>
      <c r="E409" t="str">
        <f t="array" ref="E409">iferror(index('rna-gill'!$L:$L,match($A409,'rna-gill'!$A:$A,0)))</f>
        <v>N</v>
      </c>
      <c r="F409" t="str">
        <f t="array" ref="F409">iferror(index(fatty_acid!$G:$G,match($A409,fatty_acid!$A:$A,0)))</f>
        <v>BFA25-55</v>
      </c>
      <c r="G409" t="str">
        <f t="array" ref="G409">iferror(index(fatty_acid!$J:$J,match($A409,fatty_acid!$A:$A,0)))</f>
        <v>N</v>
      </c>
      <c r="H409" t="str">
        <f t="array" ref="H409">iferror(index(isotopes!$G:$G,match($A409,isotopes!$A:$A,0)))</f>
        <v>BIS27-55</v>
      </c>
      <c r="I409" t="str">
        <f t="array" ref="I409">iferror(index(isotopes!$J:$J,match($A409,isotopes!$A:$A,0)))</f>
        <v>N</v>
      </c>
      <c r="J409" t="str">
        <f t="array" ref="J409">iferror(index(extra_muscle!$G:$G,match($A409,extra_muscle!$A:$A,0)))</f>
        <v>BXM25-55</v>
      </c>
      <c r="K409" t="str">
        <f t="array" ref="K409">iferror(index(extra_muscle!$J:$J,match($A409,extra_muscle!$A:$A,0)))</f>
        <v>N</v>
      </c>
      <c r="L409" s="59" t="str">
        <f t="array" ref="L409">iferror(index(dna!$G:$G,match($A409,dna!$A:$A,0)))</f>
        <v/>
      </c>
      <c r="M409" s="60" t="str">
        <f t="array" ref="M409">iferror(index(dna!$J:$J,match($A409,dna!$A:$A,0)))</f>
        <v/>
      </c>
      <c r="N409" t="str">
        <f t="array" ref="N409">iferror(index(stomachs!$G:$G,match($A409,stomachs!$A:$A,0)))</f>
        <v/>
      </c>
      <c r="O409" t="str">
        <f t="array" ref="O409">iferror(index(stomachs!$J:$J,match($A409,stomachs!$A:$A,0)))</f>
        <v/>
      </c>
      <c r="P409" t="str">
        <f t="array" ref="P409">iferror(index(sea_lice!$G:$G,match($A409,sea_lice!$A:$A,0)))</f>
        <v/>
      </c>
      <c r="Q409" t="str">
        <f t="array" ref="Q409">iferror(index(sea_lice!$J:$J,match($A409,sea_lice!$A:$A,0)))</f>
        <v/>
      </c>
      <c r="R409" s="40" t="str">
        <f t="array" ref="R409">iferror(index(dissected_fish!$F:$F,match($A409,dissected_fish!$A:$A,0)))</f>
        <v>BCA103</v>
      </c>
      <c r="S409" s="40" t="str">
        <f t="array" ref="S409">iferror(index(dissected_fish!$K:$K,match($A409,dissected_fish!$A:$A,0)))</f>
        <v>N</v>
      </c>
      <c r="T409" s="61" t="str">
        <f t="array" ref="T409">index(fish_lab_data!O:O,match(A409,fish_lab_data!C:C,0))</f>
        <v>KB</v>
      </c>
      <c r="U409" s="61">
        <f t="array" ref="U409">if(A409="","",index(fish_lab_data!X:X,match(A409,fish_lab_data!C:C,0)))</f>
        <v>408</v>
      </c>
    </row>
    <row r="410">
      <c r="A410" t="str">
        <f>fish_lab_data!C410</f>
        <v>U16953</v>
      </c>
      <c r="B410" t="str">
        <f t="array" ref="B410">iferror(index('rna-muscle'!$I:$I,match($A410,'rna-muscle'!$A:$A,0)))</f>
        <v>BRN62M-D7</v>
      </c>
      <c r="C410" t="str">
        <f t="array" ref="C410">iferror(index('rna-muscle'!$L:$L,match($A410,'rna-muscle'!$A:$A,0)))</f>
        <v>N</v>
      </c>
      <c r="D410" t="str">
        <f t="array" ref="D410">iferror(index('rna-gill'!$I:$I,match($A410,'rna-gill'!$A:$A,0)))</f>
        <v>BRN62G-D7</v>
      </c>
      <c r="E410" t="str">
        <f t="array" ref="E410">iferror(index('rna-gill'!$L:$L,match($A410,'rna-gill'!$A:$A,0)))</f>
        <v>N</v>
      </c>
      <c r="F410" t="str">
        <f t="array" ref="F410">iferror(index(fatty_acid!$G:$G,match($A410,fatty_acid!$A:$A,0)))</f>
        <v>BFA25-56</v>
      </c>
      <c r="G410" t="str">
        <f t="array" ref="G410">iferror(index(fatty_acid!$J:$J,match($A410,fatty_acid!$A:$A,0)))</f>
        <v>N</v>
      </c>
      <c r="H410" t="str">
        <f t="array" ref="H410">iferror(index(isotopes!$G:$G,match($A410,isotopes!$A:$A,0)))</f>
        <v>BIS27-56</v>
      </c>
      <c r="I410" t="str">
        <f t="array" ref="I410">iferror(index(isotopes!$J:$J,match($A410,isotopes!$A:$A,0)))</f>
        <v>N</v>
      </c>
      <c r="J410" t="str">
        <f t="array" ref="J410">iferror(index(extra_muscle!$G:$G,match($A410,extra_muscle!$A:$A,0)))</f>
        <v>BXM25-56</v>
      </c>
      <c r="K410" t="str">
        <f t="array" ref="K410">iferror(index(extra_muscle!$J:$J,match($A410,extra_muscle!$A:$A,0)))</f>
        <v>N</v>
      </c>
      <c r="L410" s="59" t="str">
        <f t="array" ref="L410">iferror(index(dna!$G:$G,match($A410,dna!$A:$A,0)))</f>
        <v/>
      </c>
      <c r="M410" s="60" t="str">
        <f t="array" ref="M410">iferror(index(dna!$J:$J,match($A410,dna!$A:$A,0)))</f>
        <v/>
      </c>
      <c r="N410" t="str">
        <f t="array" ref="N410">iferror(index(stomachs!$G:$G,match($A410,stomachs!$A:$A,0)))</f>
        <v/>
      </c>
      <c r="O410" t="str">
        <f t="array" ref="O410">iferror(index(stomachs!$J:$J,match($A410,stomachs!$A:$A,0)))</f>
        <v/>
      </c>
      <c r="P410" t="str">
        <f t="array" ref="P410">iferror(index(sea_lice!$G:$G,match($A410,sea_lice!$A:$A,0)))</f>
        <v>BSL6-20</v>
      </c>
      <c r="Q410" t="str">
        <f t="array" ref="Q410">iferror(index(sea_lice!$J:$J,match($A410,sea_lice!$A:$A,0)))</f>
        <v>N</v>
      </c>
      <c r="R410" s="40" t="str">
        <f t="array" ref="R410">iferror(index(dissected_fish!$F:$F,match($A410,dissected_fish!$A:$A,0)))</f>
        <v>BCA103</v>
      </c>
      <c r="S410" s="40" t="str">
        <f t="array" ref="S410">iferror(index(dissected_fish!$K:$K,match($A410,dissected_fish!$A:$A,0)))</f>
        <v>N</v>
      </c>
      <c r="T410" s="61" t="str">
        <f t="array" ref="T410">index(fish_lab_data!O:O,match(A410,fish_lab_data!C:C,0))</f>
        <v>KB</v>
      </c>
      <c r="U410" s="61">
        <f t="array" ref="U410">if(A410="","",index(fish_lab_data!X:X,match(A410,fish_lab_data!C:C,0)))</f>
        <v>409</v>
      </c>
    </row>
    <row r="411">
      <c r="A411" t="str">
        <f>fish_lab_data!C411</f>
        <v>U16952</v>
      </c>
      <c r="B411" t="str">
        <f t="array" ref="B411">iferror(index('rna-muscle'!$I:$I,match($A411,'rna-muscle'!$A:$A,0)))</f>
        <v>BRN62M-C7</v>
      </c>
      <c r="C411" t="str">
        <f t="array" ref="C411">iferror(index('rna-muscle'!$L:$L,match($A411,'rna-muscle'!$A:$A,0)))</f>
        <v>N</v>
      </c>
      <c r="D411" t="str">
        <f t="array" ref="D411">iferror(index('rna-gill'!$I:$I,match($A411,'rna-gill'!$A:$A,0)))</f>
        <v>BRN62G-C7</v>
      </c>
      <c r="E411" t="str">
        <f t="array" ref="E411">iferror(index('rna-gill'!$L:$L,match($A411,'rna-gill'!$A:$A,0)))</f>
        <v>N</v>
      </c>
      <c r="F411" t="str">
        <f t="array" ref="F411">iferror(index(fatty_acid!$G:$G,match($A411,fatty_acid!$A:$A,0)))</f>
        <v>BFA25-57</v>
      </c>
      <c r="G411" t="str">
        <f t="array" ref="G411">iferror(index(fatty_acid!$J:$J,match($A411,fatty_acid!$A:$A,0)))</f>
        <v>N</v>
      </c>
      <c r="H411" t="str">
        <f t="array" ref="H411">iferror(index(isotopes!$G:$G,match($A411,isotopes!$A:$A,0)))</f>
        <v>BIS27-57</v>
      </c>
      <c r="I411" t="str">
        <f t="array" ref="I411">iferror(index(isotopes!$J:$J,match($A411,isotopes!$A:$A,0)))</f>
        <v>N</v>
      </c>
      <c r="J411" t="str">
        <f t="array" ref="J411">iferror(index(extra_muscle!$G:$G,match($A411,extra_muscle!$A:$A,0)))</f>
        <v>BXM25-57</v>
      </c>
      <c r="K411" t="str">
        <f t="array" ref="K411">iferror(index(extra_muscle!$J:$J,match($A411,extra_muscle!$A:$A,0)))</f>
        <v>N</v>
      </c>
      <c r="L411" s="59" t="str">
        <f t="array" ref="L411">iferror(index(dna!$G:$G,match($A411,dna!$A:$A,0)))</f>
        <v/>
      </c>
      <c r="M411" s="60" t="str">
        <f t="array" ref="M411">iferror(index(dna!$J:$J,match($A411,dna!$A:$A,0)))</f>
        <v/>
      </c>
      <c r="N411" t="str">
        <f t="array" ref="N411">iferror(index(stomachs!$G:$G,match($A411,stomachs!$A:$A,0)))</f>
        <v/>
      </c>
      <c r="O411" t="str">
        <f t="array" ref="O411">iferror(index(stomachs!$J:$J,match($A411,stomachs!$A:$A,0)))</f>
        <v/>
      </c>
      <c r="P411" t="str">
        <f t="array" ref="P411">iferror(index(sea_lice!$G:$G,match($A411,sea_lice!$A:$A,0)))</f>
        <v/>
      </c>
      <c r="Q411" t="str">
        <f t="array" ref="Q411">iferror(index(sea_lice!$J:$J,match($A411,sea_lice!$A:$A,0)))</f>
        <v/>
      </c>
      <c r="R411" s="40" t="str">
        <f t="array" ref="R411">iferror(index(dissected_fish!$F:$F,match($A411,dissected_fish!$A:$A,0)))</f>
        <v>BCA103</v>
      </c>
      <c r="S411" s="40" t="str">
        <f t="array" ref="S411">iferror(index(dissected_fish!$K:$K,match($A411,dissected_fish!$A:$A,0)))</f>
        <v>N</v>
      </c>
      <c r="T411" s="61" t="str">
        <f t="array" ref="T411">index(fish_lab_data!O:O,match(A411,fish_lab_data!C:C,0))</f>
        <v>KB</v>
      </c>
      <c r="U411" s="61">
        <f t="array" ref="U411">if(A411="","",index(fish_lab_data!X:X,match(A411,fish_lab_data!C:C,0)))</f>
        <v>410</v>
      </c>
    </row>
    <row r="412">
      <c r="A412" t="str">
        <f>fish_lab_data!C412</f>
        <v>U16951</v>
      </c>
      <c r="B412" t="str">
        <f t="array" ref="B412">iferror(index('rna-muscle'!$I:$I,match($A412,'rna-muscle'!$A:$A,0)))</f>
        <v>BRN62M-B7</v>
      </c>
      <c r="C412" t="str">
        <f t="array" ref="C412">iferror(index('rna-muscle'!$L:$L,match($A412,'rna-muscle'!$A:$A,0)))</f>
        <v>N</v>
      </c>
      <c r="D412" t="str">
        <f t="array" ref="D412">iferror(index('rna-gill'!$I:$I,match($A412,'rna-gill'!$A:$A,0)))</f>
        <v>BRN62G-B7</v>
      </c>
      <c r="E412" t="str">
        <f t="array" ref="E412">iferror(index('rna-gill'!$L:$L,match($A412,'rna-gill'!$A:$A,0)))</f>
        <v>N</v>
      </c>
      <c r="F412" t="str">
        <f t="array" ref="F412">iferror(index(fatty_acid!$G:$G,match($A412,fatty_acid!$A:$A,0)))</f>
        <v>BFA25-58</v>
      </c>
      <c r="G412" t="str">
        <f t="array" ref="G412">iferror(index(fatty_acid!$J:$J,match($A412,fatty_acid!$A:$A,0)))</f>
        <v>N</v>
      </c>
      <c r="H412" t="str">
        <f t="array" ref="H412">iferror(index(isotopes!$G:$G,match($A412,isotopes!$A:$A,0)))</f>
        <v>BIS27-58</v>
      </c>
      <c r="I412" t="str">
        <f t="array" ref="I412">iferror(index(isotopes!$J:$J,match($A412,isotopes!$A:$A,0)))</f>
        <v>N</v>
      </c>
      <c r="J412" t="str">
        <f t="array" ref="J412">iferror(index(extra_muscle!$G:$G,match($A412,extra_muscle!$A:$A,0)))</f>
        <v>BXM25-58</v>
      </c>
      <c r="K412" t="str">
        <f t="array" ref="K412">iferror(index(extra_muscle!$J:$J,match($A412,extra_muscle!$A:$A,0)))</f>
        <v>N</v>
      </c>
      <c r="L412" s="59" t="str">
        <f t="array" ref="L412">iferror(index(dna!$G:$G,match($A412,dna!$A:$A,0)))</f>
        <v/>
      </c>
      <c r="M412" s="60" t="str">
        <f t="array" ref="M412">iferror(index(dna!$J:$J,match($A412,dna!$A:$A,0)))</f>
        <v/>
      </c>
      <c r="N412" t="str">
        <f t="array" ref="N412">iferror(index(stomachs!$G:$G,match($A412,stomachs!$A:$A,0)))</f>
        <v/>
      </c>
      <c r="O412" t="str">
        <f t="array" ref="O412">iferror(index(stomachs!$J:$J,match($A412,stomachs!$A:$A,0)))</f>
        <v/>
      </c>
      <c r="P412" t="str">
        <f t="array" ref="P412">iferror(index(sea_lice!$G:$G,match($A412,sea_lice!$A:$A,0)))</f>
        <v>BSL6-21</v>
      </c>
      <c r="Q412" t="str">
        <f t="array" ref="Q412">iferror(index(sea_lice!$J:$J,match($A412,sea_lice!$A:$A,0)))</f>
        <v>N</v>
      </c>
      <c r="R412" s="40" t="str">
        <f t="array" ref="R412">iferror(index(dissected_fish!$F:$F,match($A412,dissected_fish!$A:$A,0)))</f>
        <v>BCA103</v>
      </c>
      <c r="S412" s="40" t="str">
        <f t="array" ref="S412">iferror(index(dissected_fish!$K:$K,match($A412,dissected_fish!$A:$A,0)))</f>
        <v>N</v>
      </c>
      <c r="T412" s="61" t="str">
        <f t="array" ref="T412">index(fish_lab_data!O:O,match(A412,fish_lab_data!C:C,0))</f>
        <v>KB</v>
      </c>
      <c r="U412" s="61">
        <f t="array" ref="U412">if(A412="","",index(fish_lab_data!X:X,match(A412,fish_lab_data!C:C,0)))</f>
        <v>411</v>
      </c>
    </row>
    <row r="413">
      <c r="A413" t="str">
        <f>fish_lab_data!C413</f>
        <v>U16955</v>
      </c>
      <c r="B413" t="str">
        <f t="array" ref="B413">iferror(index('rna-muscle'!$I:$I,match($A413,'rna-muscle'!$A:$A,0)))</f>
        <v>BRN62M-A7</v>
      </c>
      <c r="C413" t="str">
        <f t="array" ref="C413">iferror(index('rna-muscle'!$L:$L,match($A413,'rna-muscle'!$A:$A,0)))</f>
        <v>N</v>
      </c>
      <c r="D413" t="str">
        <f t="array" ref="D413">iferror(index('rna-gill'!$I:$I,match($A413,'rna-gill'!$A:$A,0)))</f>
        <v>BRN62G-A7</v>
      </c>
      <c r="E413" t="str">
        <f t="array" ref="E413">iferror(index('rna-gill'!$L:$L,match($A413,'rna-gill'!$A:$A,0)))</f>
        <v>N</v>
      </c>
      <c r="F413" t="str">
        <f t="array" ref="F413">iferror(index(fatty_acid!$G:$G,match($A413,fatty_acid!$A:$A,0)))</f>
        <v>BFA25-59</v>
      </c>
      <c r="G413" t="str">
        <f t="array" ref="G413">iferror(index(fatty_acid!$J:$J,match($A413,fatty_acid!$A:$A,0)))</f>
        <v>N</v>
      </c>
      <c r="H413" t="str">
        <f t="array" ref="H413">iferror(index(isotopes!$G:$G,match($A413,isotopes!$A:$A,0)))</f>
        <v>BIS27-59</v>
      </c>
      <c r="I413" t="str">
        <f t="array" ref="I413">iferror(index(isotopes!$J:$J,match($A413,isotopes!$A:$A,0)))</f>
        <v>N</v>
      </c>
      <c r="J413" t="str">
        <f t="array" ref="J413">iferror(index(extra_muscle!$G:$G,match($A413,extra_muscle!$A:$A,0)))</f>
        <v>BXM25-59</v>
      </c>
      <c r="K413" t="str">
        <f t="array" ref="K413">iferror(index(extra_muscle!$J:$J,match($A413,extra_muscle!$A:$A,0)))</f>
        <v>N</v>
      </c>
      <c r="L413" s="59" t="str">
        <f t="array" ref="L413">iferror(index(dna!$G:$G,match($A413,dna!$A:$A,0)))</f>
        <v/>
      </c>
      <c r="M413" s="60" t="str">
        <f t="array" ref="M413">iferror(index(dna!$J:$J,match($A413,dna!$A:$A,0)))</f>
        <v/>
      </c>
      <c r="N413" t="str">
        <f t="array" ref="N413">iferror(index(stomachs!$G:$G,match($A413,stomachs!$A:$A,0)))</f>
        <v/>
      </c>
      <c r="O413" t="str">
        <f t="array" ref="O413">iferror(index(stomachs!$J:$J,match($A413,stomachs!$A:$A,0)))</f>
        <v/>
      </c>
      <c r="P413" t="str">
        <f t="array" ref="P413">iferror(index(sea_lice!$G:$G,match($A413,sea_lice!$A:$A,0)))</f>
        <v/>
      </c>
      <c r="Q413" t="str">
        <f t="array" ref="Q413">iferror(index(sea_lice!$J:$J,match($A413,sea_lice!$A:$A,0)))</f>
        <v/>
      </c>
      <c r="R413" s="40" t="str">
        <f t="array" ref="R413">iferror(index(dissected_fish!$F:$F,match($A413,dissected_fish!$A:$A,0)))</f>
        <v>BCA103</v>
      </c>
      <c r="S413" s="40" t="str">
        <f t="array" ref="S413">iferror(index(dissected_fish!$K:$K,match($A413,dissected_fish!$A:$A,0)))</f>
        <v>N</v>
      </c>
      <c r="T413" s="61" t="str">
        <f t="array" ref="T413">index(fish_lab_data!O:O,match(A413,fish_lab_data!C:C,0))</f>
        <v>KB</v>
      </c>
      <c r="U413" s="61">
        <f t="array" ref="U413">if(A413="","",index(fish_lab_data!X:X,match(A413,fish_lab_data!C:C,0)))</f>
        <v>412</v>
      </c>
    </row>
    <row r="414">
      <c r="A414" t="str">
        <f>fish_lab_data!C414</f>
        <v>U17429</v>
      </c>
      <c r="B414" t="str">
        <f t="array" ref="B414">iferror(index('rna-muscle'!$I:$I,match($A414,'rna-muscle'!$A:$A,0)))</f>
        <v>BRN62M-H9</v>
      </c>
      <c r="C414" t="str">
        <f t="array" ref="C414">iferror(index('rna-muscle'!$L:$L,match($A414,'rna-muscle'!$A:$A,0)))</f>
        <v>N</v>
      </c>
      <c r="D414" t="str">
        <f t="array" ref="D414">iferror(index('rna-gill'!$I:$I,match($A414,'rna-gill'!$A:$A,0)))</f>
        <v>BRN62G-H9</v>
      </c>
      <c r="E414" t="str">
        <f t="array" ref="E414">iferror(index('rna-gill'!$L:$L,match($A414,'rna-gill'!$A:$A,0)))</f>
        <v>N</v>
      </c>
      <c r="F414" t="str">
        <f t="array" ref="F414">iferror(index(fatty_acid!$G:$G,match($A414,fatty_acid!$A:$A,0)))</f>
        <v>BFA25-60</v>
      </c>
      <c r="G414" t="str">
        <f t="array" ref="G414">iferror(index(fatty_acid!$J:$J,match($A414,fatty_acid!$A:$A,0)))</f>
        <v>N</v>
      </c>
      <c r="H414" t="str">
        <f t="array" ref="H414">iferror(index(isotopes!$G:$G,match($A414,isotopes!$A:$A,0)))</f>
        <v>BIS27-60</v>
      </c>
      <c r="I414" t="str">
        <f t="array" ref="I414">iferror(index(isotopes!$J:$J,match($A414,isotopes!$A:$A,0)))</f>
        <v>N</v>
      </c>
      <c r="J414" t="str">
        <f t="array" ref="J414">iferror(index(extra_muscle!$G:$G,match($A414,extra_muscle!$A:$A,0)))</f>
        <v>BXM25-60</v>
      </c>
      <c r="K414" t="str">
        <f t="array" ref="K414">iferror(index(extra_muscle!$J:$J,match($A414,extra_muscle!$A:$A,0)))</f>
        <v>N</v>
      </c>
      <c r="L414" s="59" t="str">
        <f t="array" ref="L414">iferror(index(dna!$G:$G,match($A414,dna!$A:$A,0)))</f>
        <v/>
      </c>
      <c r="M414" s="60" t="str">
        <f t="array" ref="M414">iferror(index(dna!$J:$J,match($A414,dna!$A:$A,0)))</f>
        <v/>
      </c>
      <c r="N414" t="str">
        <f t="array" ref="N414">iferror(index(stomachs!$G:$G,match($A414,stomachs!$A:$A,0)))</f>
        <v/>
      </c>
      <c r="O414" t="str">
        <f t="array" ref="O414">iferror(index(stomachs!$J:$J,match($A414,stomachs!$A:$A,0)))</f>
        <v/>
      </c>
      <c r="P414" t="str">
        <f t="array" ref="P414">iferror(index(sea_lice!$G:$G,match($A414,sea_lice!$A:$A,0)))</f>
        <v>BSL6-23</v>
      </c>
      <c r="Q414" t="str">
        <f t="array" ref="Q414">iferror(index(sea_lice!$J:$J,match($A414,sea_lice!$A:$A,0)))</f>
        <v>N</v>
      </c>
      <c r="R414" s="40" t="str">
        <f t="array" ref="R414">iferror(index(dissected_fish!$F:$F,match($A414,dissected_fish!$A:$A,0)))</f>
        <v>BCA103</v>
      </c>
      <c r="S414" s="40" t="str">
        <f t="array" ref="S414">iferror(index(dissected_fish!$K:$K,match($A414,dissected_fish!$A:$A,0)))</f>
        <v>N</v>
      </c>
      <c r="T414" s="61" t="str">
        <f t="array" ref="T414">index(fish_lab_data!O:O,match(A414,fish_lab_data!C:C,0))</f>
        <v>KB</v>
      </c>
      <c r="U414" s="61">
        <f t="array" ref="U414">if(A414="","",index(fish_lab_data!X:X,match(A414,fish_lab_data!C:C,0)))</f>
        <v>413</v>
      </c>
    </row>
    <row r="415">
      <c r="A415" t="str">
        <f>fish_lab_data!C415</f>
        <v>U17425</v>
      </c>
      <c r="B415" t="str">
        <f t="array" ref="B415">iferror(index('rna-muscle'!$I:$I,match($A415,'rna-muscle'!$A:$A,0)))</f>
        <v>BRN62M-G9</v>
      </c>
      <c r="C415" t="str">
        <f t="array" ref="C415">iferror(index('rna-muscle'!$L:$L,match($A415,'rna-muscle'!$A:$A,0)))</f>
        <v>N</v>
      </c>
      <c r="D415" t="str">
        <f t="array" ref="D415">iferror(index('rna-gill'!$I:$I,match($A415,'rna-gill'!$A:$A,0)))</f>
        <v>BRN62G-G9</v>
      </c>
      <c r="E415" t="str">
        <f t="array" ref="E415">iferror(index('rna-gill'!$L:$L,match($A415,'rna-gill'!$A:$A,0)))</f>
        <v>N</v>
      </c>
      <c r="F415" t="str">
        <f t="array" ref="F415">iferror(index(fatty_acid!$G:$G,match($A415,fatty_acid!$A:$A,0)))</f>
        <v>BFA25-61</v>
      </c>
      <c r="G415" t="str">
        <f t="array" ref="G415">iferror(index(fatty_acid!$J:$J,match($A415,fatty_acid!$A:$A,0)))</f>
        <v>N</v>
      </c>
      <c r="H415" t="str">
        <f t="array" ref="H415">iferror(index(isotopes!$G:$G,match($A415,isotopes!$A:$A,0)))</f>
        <v>BIS27-61</v>
      </c>
      <c r="I415" t="str">
        <f t="array" ref="I415">iferror(index(isotopes!$J:$J,match($A415,isotopes!$A:$A,0)))</f>
        <v>N</v>
      </c>
      <c r="J415" t="str">
        <f t="array" ref="J415">iferror(index(extra_muscle!$G:$G,match($A415,extra_muscle!$A:$A,0)))</f>
        <v>BXM25-61</v>
      </c>
      <c r="K415" t="str">
        <f t="array" ref="K415">iferror(index(extra_muscle!$J:$J,match($A415,extra_muscle!$A:$A,0)))</f>
        <v>N</v>
      </c>
      <c r="L415" s="59" t="str">
        <f t="array" ref="L415">iferror(index(dna!$G:$G,match($A415,dna!$A:$A,0)))</f>
        <v/>
      </c>
      <c r="M415" s="60" t="str">
        <f t="array" ref="M415">iferror(index(dna!$J:$J,match($A415,dna!$A:$A,0)))</f>
        <v/>
      </c>
      <c r="N415" t="str">
        <f t="array" ref="N415">iferror(index(stomachs!$G:$G,match($A415,stomachs!$A:$A,0)))</f>
        <v/>
      </c>
      <c r="O415" t="str">
        <f t="array" ref="O415">iferror(index(stomachs!$J:$J,match($A415,stomachs!$A:$A,0)))</f>
        <v/>
      </c>
      <c r="P415" t="str">
        <f t="array" ref="P415">iferror(index(sea_lice!$G:$G,match($A415,sea_lice!$A:$A,0)))</f>
        <v/>
      </c>
      <c r="Q415" t="str">
        <f t="array" ref="Q415">iferror(index(sea_lice!$J:$J,match($A415,sea_lice!$A:$A,0)))</f>
        <v/>
      </c>
      <c r="R415" s="40" t="str">
        <f t="array" ref="R415">iferror(index(dissected_fish!$F:$F,match($A415,dissected_fish!$A:$A,0)))</f>
        <v>BCA103</v>
      </c>
      <c r="S415" s="40" t="str">
        <f t="array" ref="S415">iferror(index(dissected_fish!$K:$K,match($A415,dissected_fish!$A:$A,0)))</f>
        <v>N</v>
      </c>
      <c r="T415" s="61" t="str">
        <f t="array" ref="T415">index(fish_lab_data!O:O,match(A415,fish_lab_data!C:C,0))</f>
        <v>KB</v>
      </c>
      <c r="U415" s="61">
        <f t="array" ref="U415">if(A415="","",index(fish_lab_data!X:X,match(A415,fish_lab_data!C:C,0)))</f>
        <v>414</v>
      </c>
    </row>
    <row r="416">
      <c r="A416" t="str">
        <f>fish_lab_data!C416</f>
        <v>U17422</v>
      </c>
      <c r="B416" t="str">
        <f t="array" ref="B416">iferror(index('rna-muscle'!$I:$I,match($A416,'rna-muscle'!$A:$A,0)))</f>
        <v>BRN62M-F9</v>
      </c>
      <c r="C416" t="str">
        <f t="array" ref="C416">iferror(index('rna-muscle'!$L:$L,match($A416,'rna-muscle'!$A:$A,0)))</f>
        <v>N</v>
      </c>
      <c r="D416" t="str">
        <f t="array" ref="D416">iferror(index('rna-gill'!$I:$I,match($A416,'rna-gill'!$A:$A,0)))</f>
        <v>BRN62G-F9</v>
      </c>
      <c r="E416" t="str">
        <f t="array" ref="E416">iferror(index('rna-gill'!$L:$L,match($A416,'rna-gill'!$A:$A,0)))</f>
        <v>N</v>
      </c>
      <c r="F416" t="str">
        <f t="array" ref="F416">iferror(index(fatty_acid!$G:$G,match($A416,fatty_acid!$A:$A,0)))</f>
        <v>BFA25-62</v>
      </c>
      <c r="G416" t="str">
        <f t="array" ref="G416">iferror(index(fatty_acid!$J:$J,match($A416,fatty_acid!$A:$A,0)))</f>
        <v>N</v>
      </c>
      <c r="H416" t="str">
        <f t="array" ref="H416">iferror(index(isotopes!$G:$G,match($A416,isotopes!$A:$A,0)))</f>
        <v>BIS27-62</v>
      </c>
      <c r="I416" t="str">
        <f t="array" ref="I416">iferror(index(isotopes!$J:$J,match($A416,isotopes!$A:$A,0)))</f>
        <v>N</v>
      </c>
      <c r="J416" t="str">
        <f t="array" ref="J416">iferror(index(extra_muscle!$G:$G,match($A416,extra_muscle!$A:$A,0)))</f>
        <v>BXM25-62</v>
      </c>
      <c r="K416" t="str">
        <f t="array" ref="K416">iferror(index(extra_muscle!$J:$J,match($A416,extra_muscle!$A:$A,0)))</f>
        <v>N</v>
      </c>
      <c r="L416" s="59" t="str">
        <f t="array" ref="L416">iferror(index(dna!$G:$G,match($A416,dna!$A:$A,0)))</f>
        <v/>
      </c>
      <c r="M416" s="60" t="str">
        <f t="array" ref="M416">iferror(index(dna!$J:$J,match($A416,dna!$A:$A,0)))</f>
        <v/>
      </c>
      <c r="N416" t="str">
        <f t="array" ref="N416">iferror(index(stomachs!$G:$G,match($A416,stomachs!$A:$A,0)))</f>
        <v/>
      </c>
      <c r="O416" t="str">
        <f t="array" ref="O416">iferror(index(stomachs!$J:$J,match($A416,stomachs!$A:$A,0)))</f>
        <v/>
      </c>
      <c r="P416" t="str">
        <f t="array" ref="P416">iferror(index(sea_lice!$G:$G,match($A416,sea_lice!$A:$A,0)))</f>
        <v/>
      </c>
      <c r="Q416" t="str">
        <f t="array" ref="Q416">iferror(index(sea_lice!$J:$J,match($A416,sea_lice!$A:$A,0)))</f>
        <v/>
      </c>
      <c r="R416" s="40" t="str">
        <f t="array" ref="R416">iferror(index(dissected_fish!$F:$F,match($A416,dissected_fish!$A:$A,0)))</f>
        <v>BCA103</v>
      </c>
      <c r="S416" s="40" t="str">
        <f t="array" ref="S416">iferror(index(dissected_fish!$K:$K,match($A416,dissected_fish!$A:$A,0)))</f>
        <v>N</v>
      </c>
      <c r="T416" s="61" t="str">
        <f t="array" ref="T416">index(fish_lab_data!O:O,match(A416,fish_lab_data!C:C,0))</f>
        <v>KB</v>
      </c>
      <c r="U416" s="61">
        <f t="array" ref="U416">if(A416="","",index(fish_lab_data!X:X,match(A416,fish_lab_data!C:C,0)))</f>
        <v>415</v>
      </c>
    </row>
    <row r="417">
      <c r="A417" t="str">
        <f>fish_lab_data!C417</f>
        <v>U17423</v>
      </c>
      <c r="B417" t="str">
        <f t="array" ref="B417">iferror(index('rna-muscle'!$I:$I,match($A417,'rna-muscle'!$A:$A,0)))</f>
        <v>BRN62M-E9</v>
      </c>
      <c r="C417" t="str">
        <f t="array" ref="C417">iferror(index('rna-muscle'!$L:$L,match($A417,'rna-muscle'!$A:$A,0)))</f>
        <v>N</v>
      </c>
      <c r="D417" t="str">
        <f t="array" ref="D417">iferror(index('rna-gill'!$I:$I,match($A417,'rna-gill'!$A:$A,0)))</f>
        <v>BRN62G-E9</v>
      </c>
      <c r="E417" t="str">
        <f t="array" ref="E417">iferror(index('rna-gill'!$L:$L,match($A417,'rna-gill'!$A:$A,0)))</f>
        <v>N</v>
      </c>
      <c r="F417" t="str">
        <f t="array" ref="F417">iferror(index(fatty_acid!$G:$G,match($A417,fatty_acid!$A:$A,0)))</f>
        <v>BFA25-63</v>
      </c>
      <c r="G417" t="str">
        <f t="array" ref="G417">iferror(index(fatty_acid!$J:$J,match($A417,fatty_acid!$A:$A,0)))</f>
        <v>N</v>
      </c>
      <c r="H417" t="str">
        <f t="array" ref="H417">iferror(index(isotopes!$G:$G,match($A417,isotopes!$A:$A,0)))</f>
        <v>BIS27-63</v>
      </c>
      <c r="I417" t="str">
        <f t="array" ref="I417">iferror(index(isotopes!$J:$J,match($A417,isotopes!$A:$A,0)))</f>
        <v>N</v>
      </c>
      <c r="J417" t="str">
        <f t="array" ref="J417">iferror(index(extra_muscle!$G:$G,match($A417,extra_muscle!$A:$A,0)))</f>
        <v>BXM25-63</v>
      </c>
      <c r="K417" t="str">
        <f t="array" ref="K417">iferror(index(extra_muscle!$J:$J,match($A417,extra_muscle!$A:$A,0)))</f>
        <v>N</v>
      </c>
      <c r="L417" s="59" t="str">
        <f t="array" ref="L417">iferror(index(dna!$G:$G,match($A417,dna!$A:$A,0)))</f>
        <v/>
      </c>
      <c r="M417" s="60" t="str">
        <f t="array" ref="M417">iferror(index(dna!$J:$J,match($A417,dna!$A:$A,0)))</f>
        <v/>
      </c>
      <c r="N417" t="str">
        <f t="array" ref="N417">iferror(index(stomachs!$G:$G,match($A417,stomachs!$A:$A,0)))</f>
        <v/>
      </c>
      <c r="O417" t="str">
        <f t="array" ref="O417">iferror(index(stomachs!$J:$J,match($A417,stomachs!$A:$A,0)))</f>
        <v/>
      </c>
      <c r="P417" t="str">
        <f t="array" ref="P417">iferror(index(sea_lice!$G:$G,match($A417,sea_lice!$A:$A,0)))</f>
        <v/>
      </c>
      <c r="Q417" t="str">
        <f t="array" ref="Q417">iferror(index(sea_lice!$J:$J,match($A417,sea_lice!$A:$A,0)))</f>
        <v/>
      </c>
      <c r="R417" s="40" t="str">
        <f t="array" ref="R417">iferror(index(dissected_fish!$F:$F,match($A417,dissected_fish!$A:$A,0)))</f>
        <v>BCA103</v>
      </c>
      <c r="S417" s="40" t="str">
        <f t="array" ref="S417">iferror(index(dissected_fish!$K:$K,match($A417,dissected_fish!$A:$A,0)))</f>
        <v>N</v>
      </c>
      <c r="T417" s="61" t="str">
        <f t="array" ref="T417">index(fish_lab_data!O:O,match(A417,fish_lab_data!C:C,0))</f>
        <v>KB</v>
      </c>
      <c r="U417" s="61">
        <f t="array" ref="U417">if(A417="","",index(fish_lab_data!X:X,match(A417,fish_lab_data!C:C,0)))</f>
        <v>416</v>
      </c>
    </row>
    <row r="418">
      <c r="A418" t="str">
        <f>fish_lab_data!C418</f>
        <v>U17426</v>
      </c>
      <c r="B418" t="str">
        <f t="array" ref="B418">iferror(index('rna-muscle'!$I:$I,match($A418,'rna-muscle'!$A:$A,0)))</f>
        <v>BRN62M-D9</v>
      </c>
      <c r="C418" t="str">
        <f t="array" ref="C418">iferror(index('rna-muscle'!$L:$L,match($A418,'rna-muscle'!$A:$A,0)))</f>
        <v>N</v>
      </c>
      <c r="D418" t="str">
        <f t="array" ref="D418">iferror(index('rna-gill'!$I:$I,match($A418,'rna-gill'!$A:$A,0)))</f>
        <v>BRN62G-D9</v>
      </c>
      <c r="E418" t="str">
        <f t="array" ref="E418">iferror(index('rna-gill'!$L:$L,match($A418,'rna-gill'!$A:$A,0)))</f>
        <v>N</v>
      </c>
      <c r="F418" t="str">
        <f t="array" ref="F418">iferror(index(fatty_acid!$G:$G,match($A418,fatty_acid!$A:$A,0)))</f>
        <v>BFA25-64</v>
      </c>
      <c r="G418" t="str">
        <f t="array" ref="G418">iferror(index(fatty_acid!$J:$J,match($A418,fatty_acid!$A:$A,0)))</f>
        <v>N</v>
      </c>
      <c r="H418" t="str">
        <f t="array" ref="H418">iferror(index(isotopes!$G:$G,match($A418,isotopes!$A:$A,0)))</f>
        <v>BIS27-64</v>
      </c>
      <c r="I418" t="str">
        <f t="array" ref="I418">iferror(index(isotopes!$J:$J,match($A418,isotopes!$A:$A,0)))</f>
        <v>N</v>
      </c>
      <c r="J418" t="str">
        <f t="array" ref="J418">iferror(index(extra_muscle!$G:$G,match($A418,extra_muscle!$A:$A,0)))</f>
        <v>BXM25-64</v>
      </c>
      <c r="K418" t="str">
        <f t="array" ref="K418">iferror(index(extra_muscle!$J:$J,match($A418,extra_muscle!$A:$A,0)))</f>
        <v>N</v>
      </c>
      <c r="L418" s="59" t="str">
        <f t="array" ref="L418">iferror(index(dna!$G:$G,match($A418,dna!$A:$A,0)))</f>
        <v/>
      </c>
      <c r="M418" s="60" t="str">
        <f t="array" ref="M418">iferror(index(dna!$J:$J,match($A418,dna!$A:$A,0)))</f>
        <v/>
      </c>
      <c r="N418" t="str">
        <f t="array" ref="N418">iferror(index(stomachs!$G:$G,match($A418,stomachs!$A:$A,0)))</f>
        <v/>
      </c>
      <c r="O418" t="str">
        <f t="array" ref="O418">iferror(index(stomachs!$J:$J,match($A418,stomachs!$A:$A,0)))</f>
        <v/>
      </c>
      <c r="P418" t="str">
        <f t="array" ref="P418">iferror(index(sea_lice!$G:$G,match($A418,sea_lice!$A:$A,0)))</f>
        <v/>
      </c>
      <c r="Q418" t="str">
        <f t="array" ref="Q418">iferror(index(sea_lice!$J:$J,match($A418,sea_lice!$A:$A,0)))</f>
        <v/>
      </c>
      <c r="R418" s="40" t="str">
        <f t="array" ref="R418">iferror(index(dissected_fish!$F:$F,match($A418,dissected_fish!$A:$A,0)))</f>
        <v>BCA103</v>
      </c>
      <c r="S418" s="40" t="str">
        <f t="array" ref="S418">iferror(index(dissected_fish!$K:$K,match($A418,dissected_fish!$A:$A,0)))</f>
        <v>N</v>
      </c>
      <c r="T418" s="61" t="str">
        <f t="array" ref="T418">index(fish_lab_data!O:O,match(A418,fish_lab_data!C:C,0))</f>
        <v>KB</v>
      </c>
      <c r="U418" s="61">
        <f t="array" ref="U418">if(A418="","",index(fish_lab_data!X:X,match(A418,fish_lab_data!C:C,0)))</f>
        <v>417</v>
      </c>
    </row>
    <row r="419">
      <c r="A419" t="str">
        <f>fish_lab_data!C419</f>
        <v>U17421</v>
      </c>
      <c r="B419" t="str">
        <f t="array" ref="B419">iferror(index('rna-muscle'!$I:$I,match($A419,'rna-muscle'!$A:$A,0)))</f>
        <v>BRN62M-C9</v>
      </c>
      <c r="C419" t="str">
        <f t="array" ref="C419">iferror(index('rna-muscle'!$L:$L,match($A419,'rna-muscle'!$A:$A,0)))</f>
        <v>N</v>
      </c>
      <c r="D419" t="str">
        <f t="array" ref="D419">iferror(index('rna-gill'!$I:$I,match($A419,'rna-gill'!$A:$A,0)))</f>
        <v>BRN62G-C9</v>
      </c>
      <c r="E419" t="str">
        <f t="array" ref="E419">iferror(index('rna-gill'!$L:$L,match($A419,'rna-gill'!$A:$A,0)))</f>
        <v>N</v>
      </c>
      <c r="F419" t="str">
        <f t="array" ref="F419">iferror(index(fatty_acid!$G:$G,match($A419,fatty_acid!$A:$A,0)))</f>
        <v>BFA25-65</v>
      </c>
      <c r="G419" t="str">
        <f t="array" ref="G419">iferror(index(fatty_acid!$J:$J,match($A419,fatty_acid!$A:$A,0)))</f>
        <v>N</v>
      </c>
      <c r="H419" t="str">
        <f t="array" ref="H419">iferror(index(isotopes!$G:$G,match($A419,isotopes!$A:$A,0)))</f>
        <v>BIS27-65</v>
      </c>
      <c r="I419" t="str">
        <f t="array" ref="I419">iferror(index(isotopes!$J:$J,match($A419,isotopes!$A:$A,0)))</f>
        <v>N</v>
      </c>
      <c r="J419" t="str">
        <f t="array" ref="J419">iferror(index(extra_muscle!$G:$G,match($A419,extra_muscle!$A:$A,0)))</f>
        <v>BXM25-65</v>
      </c>
      <c r="K419" t="str">
        <f t="array" ref="K419">iferror(index(extra_muscle!$J:$J,match($A419,extra_muscle!$A:$A,0)))</f>
        <v>N</v>
      </c>
      <c r="L419" s="59" t="str">
        <f t="array" ref="L419">iferror(index(dna!$G:$G,match($A419,dna!$A:$A,0)))</f>
        <v/>
      </c>
      <c r="M419" s="60" t="str">
        <f t="array" ref="M419">iferror(index(dna!$J:$J,match($A419,dna!$A:$A,0)))</f>
        <v/>
      </c>
      <c r="N419" t="str">
        <f t="array" ref="N419">iferror(index(stomachs!$G:$G,match($A419,stomachs!$A:$A,0)))</f>
        <v/>
      </c>
      <c r="O419" t="str">
        <f t="array" ref="O419">iferror(index(stomachs!$J:$J,match($A419,stomachs!$A:$A,0)))</f>
        <v/>
      </c>
      <c r="P419" t="str">
        <f t="array" ref="P419">iferror(index(sea_lice!$G:$G,match($A419,sea_lice!$A:$A,0)))</f>
        <v>BSL6-25</v>
      </c>
      <c r="Q419" t="str">
        <f t="array" ref="Q419">iferror(index(sea_lice!$J:$J,match($A419,sea_lice!$A:$A,0)))</f>
        <v>N</v>
      </c>
      <c r="R419" s="40" t="str">
        <f t="array" ref="R419">iferror(index(dissected_fish!$F:$F,match($A419,dissected_fish!$A:$A,0)))</f>
        <v>BCA103</v>
      </c>
      <c r="S419" s="40" t="str">
        <f t="array" ref="S419">iferror(index(dissected_fish!$K:$K,match($A419,dissected_fish!$A:$A,0)))</f>
        <v>N</v>
      </c>
      <c r="T419" s="61" t="str">
        <f t="array" ref="T419">index(fish_lab_data!O:O,match(A419,fish_lab_data!C:C,0))</f>
        <v>KB</v>
      </c>
      <c r="U419" s="61">
        <f t="array" ref="U419">if(A419="","",index(fish_lab_data!X:X,match(A419,fish_lab_data!C:C,0)))</f>
        <v>418</v>
      </c>
    </row>
    <row r="420">
      <c r="A420" t="str">
        <f>fish_lab_data!C420</f>
        <v>U17430</v>
      </c>
      <c r="B420" t="str">
        <f t="array" ref="B420">iferror(index('rna-muscle'!$I:$I,match($A420,'rna-muscle'!$A:$A,0)))</f>
        <v>BRN62M-B9</v>
      </c>
      <c r="C420" t="str">
        <f t="array" ref="C420">iferror(index('rna-muscle'!$L:$L,match($A420,'rna-muscle'!$A:$A,0)))</f>
        <v>N</v>
      </c>
      <c r="D420" t="str">
        <f t="array" ref="D420">iferror(index('rna-gill'!$I:$I,match($A420,'rna-gill'!$A:$A,0)))</f>
        <v>BRN62G-B9</v>
      </c>
      <c r="E420" t="str">
        <f t="array" ref="E420">iferror(index('rna-gill'!$L:$L,match($A420,'rna-gill'!$A:$A,0)))</f>
        <v>N</v>
      </c>
      <c r="F420" t="str">
        <f t="array" ref="F420">iferror(index(fatty_acid!$G:$G,match($A420,fatty_acid!$A:$A,0)))</f>
        <v>BFA25-66</v>
      </c>
      <c r="G420" t="str">
        <f t="array" ref="G420">iferror(index(fatty_acid!$J:$J,match($A420,fatty_acid!$A:$A,0)))</f>
        <v>N</v>
      </c>
      <c r="H420" t="str">
        <f t="array" ref="H420">iferror(index(isotopes!$G:$G,match($A420,isotopes!$A:$A,0)))</f>
        <v>BIS27-66</v>
      </c>
      <c r="I420" t="str">
        <f t="array" ref="I420">iferror(index(isotopes!$J:$J,match($A420,isotopes!$A:$A,0)))</f>
        <v>N</v>
      </c>
      <c r="J420" t="str">
        <f t="array" ref="J420">iferror(index(extra_muscle!$G:$G,match($A420,extra_muscle!$A:$A,0)))</f>
        <v>BXM25-66</v>
      </c>
      <c r="K420" t="str">
        <f t="array" ref="K420">iferror(index(extra_muscle!$J:$J,match($A420,extra_muscle!$A:$A,0)))</f>
        <v>N</v>
      </c>
      <c r="L420" s="59" t="str">
        <f t="array" ref="L420">iferror(index(dna!$G:$G,match($A420,dna!$A:$A,0)))</f>
        <v/>
      </c>
      <c r="M420" s="60" t="str">
        <f t="array" ref="M420">iferror(index(dna!$J:$J,match($A420,dna!$A:$A,0)))</f>
        <v/>
      </c>
      <c r="N420" t="str">
        <f t="array" ref="N420">iferror(index(stomachs!$G:$G,match($A420,stomachs!$A:$A,0)))</f>
        <v/>
      </c>
      <c r="O420" t="str">
        <f t="array" ref="O420">iferror(index(stomachs!$J:$J,match($A420,stomachs!$A:$A,0)))</f>
        <v/>
      </c>
      <c r="P420" t="str">
        <f t="array" ref="P420">iferror(index(sea_lice!$G:$G,match($A420,sea_lice!$A:$A,0)))</f>
        <v>BSL6-26</v>
      </c>
      <c r="Q420" t="str">
        <f t="array" ref="Q420">iferror(index(sea_lice!$J:$J,match($A420,sea_lice!$A:$A,0)))</f>
        <v>N</v>
      </c>
      <c r="R420" s="40" t="str">
        <f t="array" ref="R420">iferror(index(dissected_fish!$F:$F,match($A420,dissected_fish!$A:$A,0)))</f>
        <v>BCA103</v>
      </c>
      <c r="S420" s="40" t="str">
        <f t="array" ref="S420">iferror(index(dissected_fish!$K:$K,match($A420,dissected_fish!$A:$A,0)))</f>
        <v>N</v>
      </c>
      <c r="T420" s="61" t="str">
        <f t="array" ref="T420">index(fish_lab_data!O:O,match(A420,fish_lab_data!C:C,0))</f>
        <v>KB</v>
      </c>
      <c r="U420" s="61">
        <f t="array" ref="U420">if(A420="","",index(fish_lab_data!X:X,match(A420,fish_lab_data!C:C,0)))</f>
        <v>419</v>
      </c>
    </row>
    <row r="421">
      <c r="A421" t="str">
        <f>fish_lab_data!C421</f>
        <v>U17424</v>
      </c>
      <c r="B421" t="str">
        <f t="array" ref="B421">iferror(index('rna-muscle'!$I:$I,match($A421,'rna-muscle'!$A:$A,0)))</f>
        <v>BRN62M-A9</v>
      </c>
      <c r="C421" t="str">
        <f t="array" ref="C421">iferror(index('rna-muscle'!$L:$L,match($A421,'rna-muscle'!$A:$A,0)))</f>
        <v>N</v>
      </c>
      <c r="D421" t="str">
        <f t="array" ref="D421">iferror(index('rna-gill'!$I:$I,match($A421,'rna-gill'!$A:$A,0)))</f>
        <v>BRN62G-A9</v>
      </c>
      <c r="E421" t="str">
        <f t="array" ref="E421">iferror(index('rna-gill'!$L:$L,match($A421,'rna-gill'!$A:$A,0)))</f>
        <v>N</v>
      </c>
      <c r="F421" t="str">
        <f t="array" ref="F421">iferror(index(fatty_acid!$G:$G,match($A421,fatty_acid!$A:$A,0)))</f>
        <v>BFA25-67</v>
      </c>
      <c r="G421" t="str">
        <f t="array" ref="G421">iferror(index(fatty_acid!$J:$J,match($A421,fatty_acid!$A:$A,0)))</f>
        <v>N</v>
      </c>
      <c r="H421" t="str">
        <f t="array" ref="H421">iferror(index(isotopes!$G:$G,match($A421,isotopes!$A:$A,0)))</f>
        <v>BIS27-67</v>
      </c>
      <c r="I421" t="str">
        <f t="array" ref="I421">iferror(index(isotopes!$J:$J,match($A421,isotopes!$A:$A,0)))</f>
        <v>N</v>
      </c>
      <c r="J421" t="str">
        <f t="array" ref="J421">iferror(index(extra_muscle!$G:$G,match($A421,extra_muscle!$A:$A,0)))</f>
        <v>BXM25-67</v>
      </c>
      <c r="K421" t="str">
        <f t="array" ref="K421">iferror(index(extra_muscle!$J:$J,match($A421,extra_muscle!$A:$A,0)))</f>
        <v>N</v>
      </c>
      <c r="L421" s="59" t="str">
        <f t="array" ref="L421">iferror(index(dna!$G:$G,match($A421,dna!$A:$A,0)))</f>
        <v/>
      </c>
      <c r="M421" s="60" t="str">
        <f t="array" ref="M421">iferror(index(dna!$J:$J,match($A421,dna!$A:$A,0)))</f>
        <v/>
      </c>
      <c r="N421" t="str">
        <f t="array" ref="N421">iferror(index(stomachs!$G:$G,match($A421,stomachs!$A:$A,0)))</f>
        <v/>
      </c>
      <c r="O421" t="str">
        <f t="array" ref="O421">iferror(index(stomachs!$J:$J,match($A421,stomachs!$A:$A,0)))</f>
        <v/>
      </c>
      <c r="P421" t="str">
        <f t="array" ref="P421">iferror(index(sea_lice!$G:$G,match($A421,sea_lice!$A:$A,0)))</f>
        <v>BSL6-27</v>
      </c>
      <c r="Q421" t="str">
        <f t="array" ref="Q421">iferror(index(sea_lice!$J:$J,match($A421,sea_lice!$A:$A,0)))</f>
        <v>N</v>
      </c>
      <c r="R421" s="40" t="str">
        <f t="array" ref="R421">iferror(index(dissected_fish!$F:$F,match($A421,dissected_fish!$A:$A,0)))</f>
        <v>BCA103</v>
      </c>
      <c r="S421" s="40" t="str">
        <f t="array" ref="S421">iferror(index(dissected_fish!$K:$K,match($A421,dissected_fish!$A:$A,0)))</f>
        <v>N</v>
      </c>
      <c r="T421" s="61" t="str">
        <f t="array" ref="T421">index(fish_lab_data!O:O,match(A421,fish_lab_data!C:C,0))</f>
        <v>KB</v>
      </c>
      <c r="U421" s="61">
        <f t="array" ref="U421">if(A421="","",index(fish_lab_data!X:X,match(A421,fish_lab_data!C:C,0)))</f>
        <v>420</v>
      </c>
    </row>
    <row r="422">
      <c r="A422" t="str">
        <f>fish_lab_data!C422</f>
        <v>U17427</v>
      </c>
      <c r="B422" t="str">
        <f t="array" ref="B422">iferror(index('rna-muscle'!$I:$I,match($A422,'rna-muscle'!$A:$A,0)))</f>
        <v>BRN62M-H11</v>
      </c>
      <c r="C422" t="str">
        <f t="array" ref="C422">iferror(index('rna-muscle'!$L:$L,match($A422,'rna-muscle'!$A:$A,0)))</f>
        <v>N</v>
      </c>
      <c r="D422" t="str">
        <f t="array" ref="D422">iferror(index('rna-gill'!$I:$I,match($A422,'rna-gill'!$A:$A,0)))</f>
        <v>BRN62G-H11</v>
      </c>
      <c r="E422" t="str">
        <f t="array" ref="E422">iferror(index('rna-gill'!$L:$L,match($A422,'rna-gill'!$A:$A,0)))</f>
        <v>N</v>
      </c>
      <c r="F422" t="str">
        <f t="array" ref="F422">iferror(index(fatty_acid!$G:$G,match($A422,fatty_acid!$A:$A,0)))</f>
        <v>BFA25-68</v>
      </c>
      <c r="G422" t="str">
        <f t="array" ref="G422">iferror(index(fatty_acid!$J:$J,match($A422,fatty_acid!$A:$A,0)))</f>
        <v>N</v>
      </c>
      <c r="H422" t="str">
        <f t="array" ref="H422">iferror(index(isotopes!$G:$G,match($A422,isotopes!$A:$A,0)))</f>
        <v>BIS27-68</v>
      </c>
      <c r="I422" t="str">
        <f t="array" ref="I422">iferror(index(isotopes!$J:$J,match($A422,isotopes!$A:$A,0)))</f>
        <v>N</v>
      </c>
      <c r="J422" t="str">
        <f t="array" ref="J422">iferror(index(extra_muscle!$G:$G,match($A422,extra_muscle!$A:$A,0)))</f>
        <v>BXM25-68</v>
      </c>
      <c r="K422" t="str">
        <f t="array" ref="K422">iferror(index(extra_muscle!$J:$J,match($A422,extra_muscle!$A:$A,0)))</f>
        <v>N</v>
      </c>
      <c r="L422" s="59" t="str">
        <f t="array" ref="L422">iferror(index(dna!$G:$G,match($A422,dna!$A:$A,0)))</f>
        <v/>
      </c>
      <c r="M422" s="60" t="str">
        <f t="array" ref="M422">iferror(index(dna!$J:$J,match($A422,dna!$A:$A,0)))</f>
        <v/>
      </c>
      <c r="N422" t="str">
        <f t="array" ref="N422">iferror(index(stomachs!$G:$G,match($A422,stomachs!$A:$A,0)))</f>
        <v/>
      </c>
      <c r="O422" t="str">
        <f t="array" ref="O422">iferror(index(stomachs!$J:$J,match($A422,stomachs!$A:$A,0)))</f>
        <v/>
      </c>
      <c r="P422" t="str">
        <f t="array" ref="P422">iferror(index(sea_lice!$G:$G,match($A422,sea_lice!$A:$A,0)))</f>
        <v/>
      </c>
      <c r="Q422" t="str">
        <f t="array" ref="Q422">iferror(index(sea_lice!$J:$J,match($A422,sea_lice!$A:$A,0)))</f>
        <v/>
      </c>
      <c r="R422" s="40" t="str">
        <f t="array" ref="R422">iferror(index(dissected_fish!$F:$F,match($A422,dissected_fish!$A:$A,0)))</f>
        <v>BCA103</v>
      </c>
      <c r="S422" s="40" t="str">
        <f t="array" ref="S422">iferror(index(dissected_fish!$K:$K,match($A422,dissected_fish!$A:$A,0)))</f>
        <v>N</v>
      </c>
      <c r="T422" s="61" t="str">
        <f t="array" ref="T422">index(fish_lab_data!O:O,match(A422,fish_lab_data!C:C,0))</f>
        <v>KB</v>
      </c>
      <c r="U422" s="61">
        <f t="array" ref="U422">if(A422="","",index(fish_lab_data!X:X,match(A422,fish_lab_data!C:C,0)))</f>
        <v>421</v>
      </c>
    </row>
    <row r="423">
      <c r="A423" t="str">
        <f>fish_lab_data!C423</f>
        <v>U17428</v>
      </c>
      <c r="B423" t="str">
        <f t="array" ref="B423">iferror(index('rna-muscle'!$I:$I,match($A423,'rna-muscle'!$A:$A,0)))</f>
        <v>BRN62M-G11</v>
      </c>
      <c r="C423" t="str">
        <f t="array" ref="C423">iferror(index('rna-muscle'!$L:$L,match($A423,'rna-muscle'!$A:$A,0)))</f>
        <v>N</v>
      </c>
      <c r="D423" t="str">
        <f t="array" ref="D423">iferror(index('rna-gill'!$I:$I,match($A423,'rna-gill'!$A:$A,0)))</f>
        <v>BRN62G-G11</v>
      </c>
      <c r="E423" t="str">
        <f t="array" ref="E423">iferror(index('rna-gill'!$L:$L,match($A423,'rna-gill'!$A:$A,0)))</f>
        <v>N</v>
      </c>
      <c r="F423" t="str">
        <f t="array" ref="F423">iferror(index(fatty_acid!$G:$G,match($A423,fatty_acid!$A:$A,0)))</f>
        <v>BFA25-69</v>
      </c>
      <c r="G423" t="str">
        <f t="array" ref="G423">iferror(index(fatty_acid!$J:$J,match($A423,fatty_acid!$A:$A,0)))</f>
        <v>N</v>
      </c>
      <c r="H423" t="str">
        <f t="array" ref="H423">iferror(index(isotopes!$G:$G,match($A423,isotopes!$A:$A,0)))</f>
        <v>BIS27-69</v>
      </c>
      <c r="I423" t="str">
        <f t="array" ref="I423">iferror(index(isotopes!$J:$J,match($A423,isotopes!$A:$A,0)))</f>
        <v>N</v>
      </c>
      <c r="J423" t="str">
        <f t="array" ref="J423">iferror(index(extra_muscle!$G:$G,match($A423,extra_muscle!$A:$A,0)))</f>
        <v>BXM25-69</v>
      </c>
      <c r="K423" t="str">
        <f t="array" ref="K423">iferror(index(extra_muscle!$J:$J,match($A423,extra_muscle!$A:$A,0)))</f>
        <v>N</v>
      </c>
      <c r="L423" s="59" t="str">
        <f t="array" ref="L423">iferror(index(dna!$G:$G,match($A423,dna!$A:$A,0)))</f>
        <v/>
      </c>
      <c r="M423" s="60" t="str">
        <f t="array" ref="M423">iferror(index(dna!$J:$J,match($A423,dna!$A:$A,0)))</f>
        <v/>
      </c>
      <c r="N423" t="str">
        <f t="array" ref="N423">iferror(index(stomachs!$G:$G,match($A423,stomachs!$A:$A,0)))</f>
        <v/>
      </c>
      <c r="O423" t="str">
        <f t="array" ref="O423">iferror(index(stomachs!$J:$J,match($A423,stomachs!$A:$A,0)))</f>
        <v/>
      </c>
      <c r="P423" t="str">
        <f t="array" ref="P423">iferror(index(sea_lice!$G:$G,match($A423,sea_lice!$A:$A,0)))</f>
        <v/>
      </c>
      <c r="Q423" t="str">
        <f t="array" ref="Q423">iferror(index(sea_lice!$J:$J,match($A423,sea_lice!$A:$A,0)))</f>
        <v/>
      </c>
      <c r="R423" s="40" t="str">
        <f t="array" ref="R423">iferror(index(dissected_fish!$F:$F,match($A423,dissected_fish!$A:$A,0)))</f>
        <v>BCA103</v>
      </c>
      <c r="S423" s="40" t="str">
        <f t="array" ref="S423">iferror(index(dissected_fish!$K:$K,match($A423,dissected_fish!$A:$A,0)))</f>
        <v>N</v>
      </c>
      <c r="T423" s="61" t="str">
        <f t="array" ref="T423">index(fish_lab_data!O:O,match(A423,fish_lab_data!C:C,0))</f>
        <v>KB</v>
      </c>
      <c r="U423" s="61">
        <f t="array" ref="U423">if(A423="","",index(fish_lab_data!X:X,match(A423,fish_lab_data!C:C,0)))</f>
        <v>422</v>
      </c>
    </row>
    <row r="424">
      <c r="A424" t="str">
        <f>fish_lab_data!C424</f>
        <v>U17197</v>
      </c>
      <c r="B424" t="str">
        <f t="array" ref="B424">iferror(index('rna-muscle'!$I:$I,match($A424,'rna-muscle'!$A:$A,0)))</f>
        <v>BRN62M-F11</v>
      </c>
      <c r="C424" t="str">
        <f t="array" ref="C424">iferror(index('rna-muscle'!$L:$L,match($A424,'rna-muscle'!$A:$A,0)))</f>
        <v>N</v>
      </c>
      <c r="D424" t="str">
        <f t="array" ref="D424">iferror(index('rna-gill'!$I:$I,match($A424,'rna-gill'!$A:$A,0)))</f>
        <v>BRN62G-F11</v>
      </c>
      <c r="E424" t="str">
        <f t="array" ref="E424">iferror(index('rna-gill'!$L:$L,match($A424,'rna-gill'!$A:$A,0)))</f>
        <v>N</v>
      </c>
      <c r="F424" t="str">
        <f t="array" ref="F424">iferror(index(fatty_acid!$G:$G,match($A424,fatty_acid!$A:$A,0)))</f>
        <v>BFA25-70</v>
      </c>
      <c r="G424" t="str">
        <f t="array" ref="G424">iferror(index(fatty_acid!$J:$J,match($A424,fatty_acid!$A:$A,0)))</f>
        <v>N</v>
      </c>
      <c r="H424" t="str">
        <f t="array" ref="H424">iferror(index(isotopes!$G:$G,match($A424,isotopes!$A:$A,0)))</f>
        <v>BIS27-70</v>
      </c>
      <c r="I424" t="str">
        <f t="array" ref="I424">iferror(index(isotopes!$J:$J,match($A424,isotopes!$A:$A,0)))</f>
        <v>N</v>
      </c>
      <c r="J424" t="str">
        <f t="array" ref="J424">iferror(index(extra_muscle!$G:$G,match($A424,extra_muscle!$A:$A,0)))</f>
        <v>BXM25-70</v>
      </c>
      <c r="K424" t="str">
        <f t="array" ref="K424">iferror(index(extra_muscle!$J:$J,match($A424,extra_muscle!$A:$A,0)))</f>
        <v>N</v>
      </c>
      <c r="L424" s="59" t="str">
        <f t="array" ref="L424">iferror(index(dna!$G:$G,match($A424,dna!$A:$A,0)))</f>
        <v/>
      </c>
      <c r="M424" s="60" t="str">
        <f t="array" ref="M424">iferror(index(dna!$J:$J,match($A424,dna!$A:$A,0)))</f>
        <v/>
      </c>
      <c r="N424" t="str">
        <f t="array" ref="N424">iferror(index(stomachs!$G:$G,match($A424,stomachs!$A:$A,0)))</f>
        <v/>
      </c>
      <c r="O424" t="str">
        <f t="array" ref="O424">iferror(index(stomachs!$J:$J,match($A424,stomachs!$A:$A,0)))</f>
        <v/>
      </c>
      <c r="P424" t="str">
        <f t="array" ref="P424">iferror(index(sea_lice!$G:$G,match($A424,sea_lice!$A:$A,0)))</f>
        <v>BSL6-28</v>
      </c>
      <c r="Q424" t="str">
        <f t="array" ref="Q424">iferror(index(sea_lice!$J:$J,match($A424,sea_lice!$A:$A,0)))</f>
        <v>N</v>
      </c>
      <c r="R424" s="40" t="str">
        <f t="array" ref="R424">iferror(index(dissected_fish!$F:$F,match($A424,dissected_fish!$A:$A,0)))</f>
        <v>BCA103</v>
      </c>
      <c r="S424" s="40" t="str">
        <f t="array" ref="S424">iferror(index(dissected_fish!$K:$K,match($A424,dissected_fish!$A:$A,0)))</f>
        <v>N</v>
      </c>
      <c r="T424" s="61" t="str">
        <f t="array" ref="T424">index(fish_lab_data!O:O,match(A424,fish_lab_data!C:C,0))</f>
        <v>KB</v>
      </c>
      <c r="U424" s="61">
        <f t="array" ref="U424">if(A424="","",index(fish_lab_data!X:X,match(A424,fish_lab_data!C:C,0)))</f>
        <v>423</v>
      </c>
    </row>
    <row r="425">
      <c r="A425" t="str">
        <f>fish_lab_data!C425</f>
        <v>U17198</v>
      </c>
      <c r="B425" t="str">
        <f t="array" ref="B425">iferror(index('rna-muscle'!$I:$I,match($A425,'rna-muscle'!$A:$A,0)))</f>
        <v>BRN62M-E11</v>
      </c>
      <c r="C425" t="str">
        <f t="array" ref="C425">iferror(index('rna-muscle'!$L:$L,match($A425,'rna-muscle'!$A:$A,0)))</f>
        <v>N</v>
      </c>
      <c r="D425" t="str">
        <f t="array" ref="D425">iferror(index('rna-gill'!$I:$I,match($A425,'rna-gill'!$A:$A,0)))</f>
        <v>BRN62G-E11</v>
      </c>
      <c r="E425" t="str">
        <f t="array" ref="E425">iferror(index('rna-gill'!$L:$L,match($A425,'rna-gill'!$A:$A,0)))</f>
        <v>N</v>
      </c>
      <c r="F425" t="str">
        <f t="array" ref="F425">iferror(index(fatty_acid!$G:$G,match($A425,fatty_acid!$A:$A,0)))</f>
        <v>BFA25-71</v>
      </c>
      <c r="G425" t="str">
        <f t="array" ref="G425">iferror(index(fatty_acid!$J:$J,match($A425,fatty_acid!$A:$A,0)))</f>
        <v>N</v>
      </c>
      <c r="H425" t="str">
        <f t="array" ref="H425">iferror(index(isotopes!$G:$G,match($A425,isotopes!$A:$A,0)))</f>
        <v>BIS27-71</v>
      </c>
      <c r="I425" t="str">
        <f t="array" ref="I425">iferror(index(isotopes!$J:$J,match($A425,isotopes!$A:$A,0)))</f>
        <v>N</v>
      </c>
      <c r="J425" t="str">
        <f t="array" ref="J425">iferror(index(extra_muscle!$G:$G,match($A425,extra_muscle!$A:$A,0)))</f>
        <v>BXM25-71</v>
      </c>
      <c r="K425" t="str">
        <f t="array" ref="K425">iferror(index(extra_muscle!$J:$J,match($A425,extra_muscle!$A:$A,0)))</f>
        <v>N</v>
      </c>
      <c r="L425" s="59" t="str">
        <f t="array" ref="L425">iferror(index(dna!$G:$G,match($A425,dna!$A:$A,0)))</f>
        <v/>
      </c>
      <c r="M425" s="60" t="str">
        <f t="array" ref="M425">iferror(index(dna!$J:$J,match($A425,dna!$A:$A,0)))</f>
        <v/>
      </c>
      <c r="N425" t="str">
        <f t="array" ref="N425">iferror(index(stomachs!$G:$G,match($A425,stomachs!$A:$A,0)))</f>
        <v/>
      </c>
      <c r="O425" t="str">
        <f t="array" ref="O425">iferror(index(stomachs!$J:$J,match($A425,stomachs!$A:$A,0)))</f>
        <v/>
      </c>
      <c r="P425" t="str">
        <f t="array" ref="P425">iferror(index(sea_lice!$G:$G,match($A425,sea_lice!$A:$A,0)))</f>
        <v/>
      </c>
      <c r="Q425" t="str">
        <f t="array" ref="Q425">iferror(index(sea_lice!$J:$J,match($A425,sea_lice!$A:$A,0)))</f>
        <v/>
      </c>
      <c r="R425" s="40" t="str">
        <f t="array" ref="R425">iferror(index(dissected_fish!$F:$F,match($A425,dissected_fish!$A:$A,0)))</f>
        <v>BCA103</v>
      </c>
      <c r="S425" s="40" t="str">
        <f t="array" ref="S425">iferror(index(dissected_fish!$K:$K,match($A425,dissected_fish!$A:$A,0)))</f>
        <v>N</v>
      </c>
      <c r="T425" s="61" t="str">
        <f t="array" ref="T425">index(fish_lab_data!O:O,match(A425,fish_lab_data!C:C,0))</f>
        <v>KB</v>
      </c>
      <c r="U425" s="61">
        <f t="array" ref="U425">if(A425="","",index(fish_lab_data!X:X,match(A425,fish_lab_data!C:C,0)))</f>
        <v>424</v>
      </c>
    </row>
    <row r="426">
      <c r="A426" t="str">
        <f>fish_lab_data!C426</f>
        <v>U17199</v>
      </c>
      <c r="B426" t="str">
        <f t="array" ref="B426">iferror(index('rna-muscle'!$I:$I,match($A426,'rna-muscle'!$A:$A,0)))</f>
        <v>BRN62M-D11</v>
      </c>
      <c r="C426" t="str">
        <f t="array" ref="C426">iferror(index('rna-muscle'!$L:$L,match($A426,'rna-muscle'!$A:$A,0)))</f>
        <v>N</v>
      </c>
      <c r="D426" t="str">
        <f t="array" ref="D426">iferror(index('rna-gill'!$I:$I,match($A426,'rna-gill'!$A:$A,0)))</f>
        <v>BRN62G-D11</v>
      </c>
      <c r="E426" t="str">
        <f t="array" ref="E426">iferror(index('rna-gill'!$L:$L,match($A426,'rna-gill'!$A:$A,0)))</f>
        <v>N</v>
      </c>
      <c r="F426" t="str">
        <f t="array" ref="F426">iferror(index(fatty_acid!$G:$G,match($A426,fatty_acid!$A:$A,0)))</f>
        <v>BFA25-72</v>
      </c>
      <c r="G426" t="str">
        <f t="array" ref="G426">iferror(index(fatty_acid!$J:$J,match($A426,fatty_acid!$A:$A,0)))</f>
        <v>N</v>
      </c>
      <c r="H426" t="str">
        <f t="array" ref="H426">iferror(index(isotopes!$G:$G,match($A426,isotopes!$A:$A,0)))</f>
        <v>BIS27-72</v>
      </c>
      <c r="I426" t="str">
        <f t="array" ref="I426">iferror(index(isotopes!$J:$J,match($A426,isotopes!$A:$A,0)))</f>
        <v>N</v>
      </c>
      <c r="J426" t="str">
        <f t="array" ref="J426">iferror(index(extra_muscle!$G:$G,match($A426,extra_muscle!$A:$A,0)))</f>
        <v>BXM25-72</v>
      </c>
      <c r="K426" t="str">
        <f t="array" ref="K426">iferror(index(extra_muscle!$J:$J,match($A426,extra_muscle!$A:$A,0)))</f>
        <v>N</v>
      </c>
      <c r="L426" s="59" t="str">
        <f t="array" ref="L426">iferror(index(dna!$G:$G,match($A426,dna!$A:$A,0)))</f>
        <v/>
      </c>
      <c r="M426" s="60" t="str">
        <f t="array" ref="M426">iferror(index(dna!$J:$J,match($A426,dna!$A:$A,0)))</f>
        <v/>
      </c>
      <c r="N426" t="str">
        <f t="array" ref="N426">iferror(index(stomachs!$G:$G,match($A426,stomachs!$A:$A,0)))</f>
        <v/>
      </c>
      <c r="O426" t="str">
        <f t="array" ref="O426">iferror(index(stomachs!$J:$J,match($A426,stomachs!$A:$A,0)))</f>
        <v/>
      </c>
      <c r="P426" t="str">
        <f t="array" ref="P426">iferror(index(sea_lice!$G:$G,match($A426,sea_lice!$A:$A,0)))</f>
        <v/>
      </c>
      <c r="Q426" t="str">
        <f t="array" ref="Q426">iferror(index(sea_lice!$J:$J,match($A426,sea_lice!$A:$A,0)))</f>
        <v/>
      </c>
      <c r="R426" s="40" t="str">
        <f t="array" ref="R426">iferror(index(dissected_fish!$F:$F,match($A426,dissected_fish!$A:$A,0)))</f>
        <v>BCA103</v>
      </c>
      <c r="S426" s="40" t="str">
        <f t="array" ref="S426">iferror(index(dissected_fish!$K:$K,match($A426,dissected_fish!$A:$A,0)))</f>
        <v>N</v>
      </c>
      <c r="T426" s="61" t="str">
        <f t="array" ref="T426">index(fish_lab_data!O:O,match(A426,fish_lab_data!C:C,0))</f>
        <v>KB</v>
      </c>
      <c r="U426" s="61">
        <f t="array" ref="U426">if(A426="","",index(fish_lab_data!X:X,match(A426,fish_lab_data!C:C,0)))</f>
        <v>425</v>
      </c>
    </row>
    <row r="427">
      <c r="A427" t="str">
        <f>fish_lab_data!C427</f>
        <v>U17192</v>
      </c>
      <c r="B427" t="str">
        <f t="array" ref="B427">iferror(index('rna-muscle'!$I:$I,match($A427,'rna-muscle'!$A:$A,0)))</f>
        <v>BRN62M-C11</v>
      </c>
      <c r="C427" t="str">
        <f t="array" ref="C427">iferror(index('rna-muscle'!$L:$L,match($A427,'rna-muscle'!$A:$A,0)))</f>
        <v>N</v>
      </c>
      <c r="D427" t="str">
        <f t="array" ref="D427">iferror(index('rna-gill'!$I:$I,match($A427,'rna-gill'!$A:$A,0)))</f>
        <v>BRN62G-C11</v>
      </c>
      <c r="E427" t="str">
        <f t="array" ref="E427">iferror(index('rna-gill'!$L:$L,match($A427,'rna-gill'!$A:$A,0)))</f>
        <v>N</v>
      </c>
      <c r="F427" t="str">
        <f t="array" ref="F427">iferror(index(fatty_acid!$G:$G,match($A427,fatty_acid!$A:$A,0)))</f>
        <v>BFA25-73</v>
      </c>
      <c r="G427" t="str">
        <f t="array" ref="G427">iferror(index(fatty_acid!$J:$J,match($A427,fatty_acid!$A:$A,0)))</f>
        <v>N</v>
      </c>
      <c r="H427" t="str">
        <f t="array" ref="H427">iferror(index(isotopes!$G:$G,match($A427,isotopes!$A:$A,0)))</f>
        <v>BIS27-73</v>
      </c>
      <c r="I427" t="str">
        <f t="array" ref="I427">iferror(index(isotopes!$J:$J,match($A427,isotopes!$A:$A,0)))</f>
        <v>N</v>
      </c>
      <c r="J427" t="str">
        <f t="array" ref="J427">iferror(index(extra_muscle!$G:$G,match($A427,extra_muscle!$A:$A,0)))</f>
        <v>BXM25-73</v>
      </c>
      <c r="K427" t="str">
        <f t="array" ref="K427">iferror(index(extra_muscle!$J:$J,match($A427,extra_muscle!$A:$A,0)))</f>
        <v>N</v>
      </c>
      <c r="L427" s="59" t="str">
        <f t="array" ref="L427">iferror(index(dna!$G:$G,match($A427,dna!$A:$A,0)))</f>
        <v/>
      </c>
      <c r="M427" s="60" t="str">
        <f t="array" ref="M427">iferror(index(dna!$J:$J,match($A427,dna!$A:$A,0)))</f>
        <v/>
      </c>
      <c r="N427" t="str">
        <f t="array" ref="N427">iferror(index(stomachs!$G:$G,match($A427,stomachs!$A:$A,0)))</f>
        <v/>
      </c>
      <c r="O427" t="str">
        <f t="array" ref="O427">iferror(index(stomachs!$J:$J,match($A427,stomachs!$A:$A,0)))</f>
        <v/>
      </c>
      <c r="P427" t="str">
        <f t="array" ref="P427">iferror(index(sea_lice!$G:$G,match($A427,sea_lice!$A:$A,0)))</f>
        <v/>
      </c>
      <c r="Q427" t="str">
        <f t="array" ref="Q427">iferror(index(sea_lice!$J:$J,match($A427,sea_lice!$A:$A,0)))</f>
        <v/>
      </c>
      <c r="R427" s="40" t="str">
        <f t="array" ref="R427">iferror(index(dissected_fish!$F:$F,match($A427,dissected_fish!$A:$A,0)))</f>
        <v>BCA103</v>
      </c>
      <c r="S427" s="40" t="str">
        <f t="array" ref="S427">iferror(index(dissected_fish!$K:$K,match($A427,dissected_fish!$A:$A,0)))</f>
        <v>N</v>
      </c>
      <c r="T427" s="61" t="str">
        <f t="array" ref="T427">index(fish_lab_data!O:O,match(A427,fish_lab_data!C:C,0))</f>
        <v>KB</v>
      </c>
      <c r="U427" s="61">
        <f t="array" ref="U427">if(A427="","",index(fish_lab_data!X:X,match(A427,fish_lab_data!C:C,0)))</f>
        <v>426</v>
      </c>
    </row>
    <row r="428">
      <c r="A428" t="str">
        <f>fish_lab_data!C428</f>
        <v>U17191</v>
      </c>
      <c r="B428" t="str">
        <f t="array" ref="B428">iferror(index('rna-muscle'!$I:$I,match($A428,'rna-muscle'!$A:$A,0)))</f>
        <v>BRN62M-B11</v>
      </c>
      <c r="C428" t="str">
        <f t="array" ref="C428">iferror(index('rna-muscle'!$L:$L,match($A428,'rna-muscle'!$A:$A,0)))</f>
        <v>N</v>
      </c>
      <c r="D428" t="str">
        <f t="array" ref="D428">iferror(index('rna-gill'!$I:$I,match($A428,'rna-gill'!$A:$A,0)))</f>
        <v>BRN62G-B11</v>
      </c>
      <c r="E428" t="str">
        <f t="array" ref="E428">iferror(index('rna-gill'!$L:$L,match($A428,'rna-gill'!$A:$A,0)))</f>
        <v>N</v>
      </c>
      <c r="F428" t="str">
        <f t="array" ref="F428">iferror(index(fatty_acid!$G:$G,match($A428,fatty_acid!$A:$A,0)))</f>
        <v>BFA25-74</v>
      </c>
      <c r="G428" t="str">
        <f t="array" ref="G428">iferror(index(fatty_acid!$J:$J,match($A428,fatty_acid!$A:$A,0)))</f>
        <v>N</v>
      </c>
      <c r="H428" t="str">
        <f t="array" ref="H428">iferror(index(isotopes!$G:$G,match($A428,isotopes!$A:$A,0)))</f>
        <v>BIS27-74</v>
      </c>
      <c r="I428" t="str">
        <f t="array" ref="I428">iferror(index(isotopes!$J:$J,match($A428,isotopes!$A:$A,0)))</f>
        <v>N</v>
      </c>
      <c r="J428" t="str">
        <f t="array" ref="J428">iferror(index(extra_muscle!$G:$G,match($A428,extra_muscle!$A:$A,0)))</f>
        <v>BXM25-74</v>
      </c>
      <c r="K428" t="str">
        <f t="array" ref="K428">iferror(index(extra_muscle!$J:$J,match($A428,extra_muscle!$A:$A,0)))</f>
        <v>N</v>
      </c>
      <c r="L428" s="59" t="str">
        <f t="array" ref="L428">iferror(index(dna!$G:$G,match($A428,dna!$A:$A,0)))</f>
        <v/>
      </c>
      <c r="M428" s="60" t="str">
        <f t="array" ref="M428">iferror(index(dna!$J:$J,match($A428,dna!$A:$A,0)))</f>
        <v/>
      </c>
      <c r="N428" t="str">
        <f t="array" ref="N428">iferror(index(stomachs!$G:$G,match($A428,stomachs!$A:$A,0)))</f>
        <v/>
      </c>
      <c r="O428" t="str">
        <f t="array" ref="O428">iferror(index(stomachs!$J:$J,match($A428,stomachs!$A:$A,0)))</f>
        <v/>
      </c>
      <c r="P428" t="str">
        <f t="array" ref="P428">iferror(index(sea_lice!$G:$G,match($A428,sea_lice!$A:$A,0)))</f>
        <v/>
      </c>
      <c r="Q428" t="str">
        <f t="array" ref="Q428">iferror(index(sea_lice!$J:$J,match($A428,sea_lice!$A:$A,0)))</f>
        <v/>
      </c>
      <c r="R428" s="40" t="str">
        <f t="array" ref="R428">iferror(index(dissected_fish!$F:$F,match($A428,dissected_fish!$A:$A,0)))</f>
        <v>BCA103</v>
      </c>
      <c r="S428" s="40" t="str">
        <f t="array" ref="S428">iferror(index(dissected_fish!$K:$K,match($A428,dissected_fish!$A:$A,0)))</f>
        <v>N</v>
      </c>
      <c r="T428" s="61" t="str">
        <f t="array" ref="T428">index(fish_lab_data!O:O,match(A428,fish_lab_data!C:C,0))</f>
        <v>KB</v>
      </c>
      <c r="U428" s="61">
        <f t="array" ref="U428">if(A428="","",index(fish_lab_data!X:X,match(A428,fish_lab_data!C:C,0)))</f>
        <v>427</v>
      </c>
    </row>
    <row r="429">
      <c r="A429" t="str">
        <f>fish_lab_data!C429</f>
        <v>U17193</v>
      </c>
      <c r="B429" t="str">
        <f t="array" ref="B429">iferror(index('rna-muscle'!$I:$I,match($A429,'rna-muscle'!$A:$A,0)))</f>
        <v>BRN62M-A11</v>
      </c>
      <c r="C429" t="str">
        <f t="array" ref="C429">iferror(index('rna-muscle'!$L:$L,match($A429,'rna-muscle'!$A:$A,0)))</f>
        <v>N</v>
      </c>
      <c r="D429" t="str">
        <f t="array" ref="D429">iferror(index('rna-gill'!$I:$I,match($A429,'rna-gill'!$A:$A,0)))</f>
        <v>BRN62G-A11</v>
      </c>
      <c r="E429" t="str">
        <f t="array" ref="E429">iferror(index('rna-gill'!$L:$L,match($A429,'rna-gill'!$A:$A,0)))</f>
        <v>N</v>
      </c>
      <c r="F429" t="str">
        <f t="array" ref="F429">iferror(index(fatty_acid!$G:$G,match($A429,fatty_acid!$A:$A,0)))</f>
        <v>BFA25-75</v>
      </c>
      <c r="G429" t="str">
        <f t="array" ref="G429">iferror(index(fatty_acid!$J:$J,match($A429,fatty_acid!$A:$A,0)))</f>
        <v>N</v>
      </c>
      <c r="H429" t="str">
        <f t="array" ref="H429">iferror(index(isotopes!$G:$G,match($A429,isotopes!$A:$A,0)))</f>
        <v>BIS27-75</v>
      </c>
      <c r="I429" t="str">
        <f t="array" ref="I429">iferror(index(isotopes!$J:$J,match($A429,isotopes!$A:$A,0)))</f>
        <v>N</v>
      </c>
      <c r="J429" t="str">
        <f t="array" ref="J429">iferror(index(extra_muscle!$G:$G,match($A429,extra_muscle!$A:$A,0)))</f>
        <v>BXM25-75</v>
      </c>
      <c r="K429" t="str">
        <f t="array" ref="K429">iferror(index(extra_muscle!$J:$J,match($A429,extra_muscle!$A:$A,0)))</f>
        <v>N</v>
      </c>
      <c r="L429" s="59" t="str">
        <f t="array" ref="L429">iferror(index(dna!$G:$G,match($A429,dna!$A:$A,0)))</f>
        <v/>
      </c>
      <c r="M429" s="60" t="str">
        <f t="array" ref="M429">iferror(index(dna!$J:$J,match($A429,dna!$A:$A,0)))</f>
        <v/>
      </c>
      <c r="N429" t="str">
        <f t="array" ref="N429">iferror(index(stomachs!$G:$G,match($A429,stomachs!$A:$A,0)))</f>
        <v/>
      </c>
      <c r="O429" t="str">
        <f t="array" ref="O429">iferror(index(stomachs!$J:$J,match($A429,stomachs!$A:$A,0)))</f>
        <v/>
      </c>
      <c r="P429" t="str">
        <f t="array" ref="P429">iferror(index(sea_lice!$G:$G,match($A429,sea_lice!$A:$A,0)))</f>
        <v/>
      </c>
      <c r="Q429" t="str">
        <f t="array" ref="Q429">iferror(index(sea_lice!$J:$J,match($A429,sea_lice!$A:$A,0)))</f>
        <v/>
      </c>
      <c r="R429" s="40" t="str">
        <f t="array" ref="R429">iferror(index(dissected_fish!$F:$F,match($A429,dissected_fish!$A:$A,0)))</f>
        <v>BCA103</v>
      </c>
      <c r="S429" s="40" t="str">
        <f t="array" ref="S429">iferror(index(dissected_fish!$K:$K,match($A429,dissected_fish!$A:$A,0)))</f>
        <v>N</v>
      </c>
      <c r="T429" s="61" t="str">
        <f t="array" ref="T429">index(fish_lab_data!O:O,match(A429,fish_lab_data!C:C,0))</f>
        <v>KB</v>
      </c>
      <c r="U429" s="61">
        <f t="array" ref="U429">if(A429="","",index(fish_lab_data!X:X,match(A429,fish_lab_data!C:C,0)))</f>
        <v>428</v>
      </c>
    </row>
    <row r="430">
      <c r="A430" t="str">
        <f>fish_lab_data!C430</f>
        <v>U17196</v>
      </c>
      <c r="B430" t="str">
        <f t="array" ref="B430">iferror(index('rna-muscle'!$I:$I,match($A430,'rna-muscle'!$A:$A,0)))</f>
        <v>BRN67M-H1</v>
      </c>
      <c r="C430" t="str">
        <f t="array" ref="C430">iferror(index('rna-muscle'!$L:$L,match($A430,'rna-muscle'!$A:$A,0)))</f>
        <v>N</v>
      </c>
      <c r="D430" t="str">
        <f t="array" ref="D430">iferror(index('rna-gill'!$I:$I,match($A430,'rna-gill'!$A:$A,0)))</f>
        <v>BRN67G-H1</v>
      </c>
      <c r="E430" t="str">
        <f t="array" ref="E430">iferror(index('rna-gill'!$L:$L,match($A430,'rna-gill'!$A:$A,0)))</f>
        <v>N</v>
      </c>
      <c r="F430" t="str">
        <f t="array" ref="F430">iferror(index(fatty_acid!$G:$G,match($A430,fatty_acid!$A:$A,0)))</f>
        <v>BFA25-76</v>
      </c>
      <c r="G430" t="str">
        <f t="array" ref="G430">iferror(index(fatty_acid!$J:$J,match($A430,fatty_acid!$A:$A,0)))</f>
        <v>N</v>
      </c>
      <c r="H430" t="str">
        <f t="array" ref="H430">iferror(index(isotopes!$G:$G,match($A430,isotopes!$A:$A,0)))</f>
        <v>BIS27-76</v>
      </c>
      <c r="I430" t="str">
        <f t="array" ref="I430">iferror(index(isotopes!$J:$J,match($A430,isotopes!$A:$A,0)))</f>
        <v>N</v>
      </c>
      <c r="J430" t="str">
        <f t="array" ref="J430">iferror(index(extra_muscle!$G:$G,match($A430,extra_muscle!$A:$A,0)))</f>
        <v>BXM25-76</v>
      </c>
      <c r="K430" t="str">
        <f t="array" ref="K430">iferror(index(extra_muscle!$J:$J,match($A430,extra_muscle!$A:$A,0)))</f>
        <v>N</v>
      </c>
      <c r="L430" s="59" t="str">
        <f t="array" ref="L430">iferror(index(dna!$G:$G,match($A430,dna!$A:$A,0)))</f>
        <v/>
      </c>
      <c r="M430" s="60" t="str">
        <f t="array" ref="M430">iferror(index(dna!$J:$J,match($A430,dna!$A:$A,0)))</f>
        <v/>
      </c>
      <c r="N430" t="str">
        <f t="array" ref="N430">iferror(index(stomachs!$G:$G,match($A430,stomachs!$A:$A,0)))</f>
        <v/>
      </c>
      <c r="O430" t="str">
        <f t="array" ref="O430">iferror(index(stomachs!$J:$J,match($A430,stomachs!$A:$A,0)))</f>
        <v/>
      </c>
      <c r="P430" t="str">
        <f t="array" ref="P430">iferror(index(sea_lice!$G:$G,match($A430,sea_lice!$A:$A,0)))</f>
        <v/>
      </c>
      <c r="Q430" t="str">
        <f t="array" ref="Q430">iferror(index(sea_lice!$J:$J,match($A430,sea_lice!$A:$A,0)))</f>
        <v/>
      </c>
      <c r="R430" s="40" t="str">
        <f t="array" ref="R430">iferror(index(dissected_fish!$F:$F,match($A430,dissected_fish!$A:$A,0)))</f>
        <v>BCA103</v>
      </c>
      <c r="S430" s="40" t="str">
        <f t="array" ref="S430">iferror(index(dissected_fish!$K:$K,match($A430,dissected_fish!$A:$A,0)))</f>
        <v>N</v>
      </c>
      <c r="T430" s="61" t="str">
        <f t="array" ref="T430">index(fish_lab_data!O:O,match(A430,fish_lab_data!C:C,0))</f>
        <v>KB</v>
      </c>
      <c r="U430" s="61">
        <f t="array" ref="U430">if(A430="","",index(fish_lab_data!X:X,match(A430,fish_lab_data!C:C,0)))</f>
        <v>429</v>
      </c>
    </row>
    <row r="431">
      <c r="A431" t="str">
        <f>fish_lab_data!C431</f>
        <v>U17195</v>
      </c>
      <c r="B431" t="str">
        <f t="array" ref="B431">iferror(index('rna-muscle'!$I:$I,match($A431,'rna-muscle'!$A:$A,0)))</f>
        <v>BRN67M-G1</v>
      </c>
      <c r="C431" t="str">
        <f t="array" ref="C431">iferror(index('rna-muscle'!$L:$L,match($A431,'rna-muscle'!$A:$A,0)))</f>
        <v>N</v>
      </c>
      <c r="D431" t="str">
        <f t="array" ref="D431">iferror(index('rna-gill'!$I:$I,match($A431,'rna-gill'!$A:$A,0)))</f>
        <v>BRN67G-G1</v>
      </c>
      <c r="E431" t="str">
        <f t="array" ref="E431">iferror(index('rna-gill'!$L:$L,match($A431,'rna-gill'!$A:$A,0)))</f>
        <v>N</v>
      </c>
      <c r="F431" t="str">
        <f t="array" ref="F431">iferror(index(fatty_acid!$G:$G,match($A431,fatty_acid!$A:$A,0)))</f>
        <v>BFA25-77</v>
      </c>
      <c r="G431" t="str">
        <f t="array" ref="G431">iferror(index(fatty_acid!$J:$J,match($A431,fatty_acid!$A:$A,0)))</f>
        <v>N</v>
      </c>
      <c r="H431" t="str">
        <f t="array" ref="H431">iferror(index(isotopes!$G:$G,match($A431,isotopes!$A:$A,0)))</f>
        <v>BIS27-77</v>
      </c>
      <c r="I431" t="str">
        <f t="array" ref="I431">iferror(index(isotopes!$J:$J,match($A431,isotopes!$A:$A,0)))</f>
        <v>N</v>
      </c>
      <c r="J431" t="str">
        <f t="array" ref="J431">iferror(index(extra_muscle!$G:$G,match($A431,extra_muscle!$A:$A,0)))</f>
        <v>BXM25-77</v>
      </c>
      <c r="K431" t="str">
        <f t="array" ref="K431">iferror(index(extra_muscle!$J:$J,match($A431,extra_muscle!$A:$A,0)))</f>
        <v>N</v>
      </c>
      <c r="L431" s="59" t="str">
        <f t="array" ref="L431">iferror(index(dna!$G:$G,match($A431,dna!$A:$A,0)))</f>
        <v/>
      </c>
      <c r="M431" s="60" t="str">
        <f t="array" ref="M431">iferror(index(dna!$J:$J,match($A431,dna!$A:$A,0)))</f>
        <v/>
      </c>
      <c r="N431" t="str">
        <f t="array" ref="N431">iferror(index(stomachs!$G:$G,match($A431,stomachs!$A:$A,0)))</f>
        <v/>
      </c>
      <c r="O431" t="str">
        <f t="array" ref="O431">iferror(index(stomachs!$J:$J,match($A431,stomachs!$A:$A,0)))</f>
        <v/>
      </c>
      <c r="P431" t="str">
        <f t="array" ref="P431">iferror(index(sea_lice!$G:$G,match($A431,sea_lice!$A:$A,0)))</f>
        <v/>
      </c>
      <c r="Q431" t="str">
        <f t="array" ref="Q431">iferror(index(sea_lice!$J:$J,match($A431,sea_lice!$A:$A,0)))</f>
        <v/>
      </c>
      <c r="R431" s="40" t="str">
        <f t="array" ref="R431">iferror(index(dissected_fish!$F:$F,match($A431,dissected_fish!$A:$A,0)))</f>
        <v>BCA103</v>
      </c>
      <c r="S431" s="40" t="str">
        <f t="array" ref="S431">iferror(index(dissected_fish!$K:$K,match($A431,dissected_fish!$A:$A,0)))</f>
        <v>N</v>
      </c>
      <c r="T431" s="61" t="str">
        <f t="array" ref="T431">index(fish_lab_data!O:O,match(A431,fish_lab_data!C:C,0))</f>
        <v>KB</v>
      </c>
      <c r="U431" s="61">
        <f t="array" ref="U431">if(A431="","",index(fish_lab_data!X:X,match(A431,fish_lab_data!C:C,0)))</f>
        <v>430</v>
      </c>
    </row>
    <row r="432">
      <c r="A432" t="str">
        <f>fish_lab_data!C432</f>
        <v>U17194</v>
      </c>
      <c r="B432" t="str">
        <f t="array" ref="B432">iferror(index('rna-muscle'!$I:$I,match($A432,'rna-muscle'!$A:$A,0)))</f>
        <v>BRN67M-F1</v>
      </c>
      <c r="C432" t="str">
        <f t="array" ref="C432">iferror(index('rna-muscle'!$L:$L,match($A432,'rna-muscle'!$A:$A,0)))</f>
        <v>N</v>
      </c>
      <c r="D432" t="str">
        <f t="array" ref="D432">iferror(index('rna-gill'!$I:$I,match($A432,'rna-gill'!$A:$A,0)))</f>
        <v>BRN67G-F1</v>
      </c>
      <c r="E432" t="str">
        <f t="array" ref="E432">iferror(index('rna-gill'!$L:$L,match($A432,'rna-gill'!$A:$A,0)))</f>
        <v>N</v>
      </c>
      <c r="F432" t="str">
        <f t="array" ref="F432">iferror(index(fatty_acid!$G:$G,match($A432,fatty_acid!$A:$A,0)))</f>
        <v>BFA25-78</v>
      </c>
      <c r="G432" t="str">
        <f t="array" ref="G432">iferror(index(fatty_acid!$J:$J,match($A432,fatty_acid!$A:$A,0)))</f>
        <v>N</v>
      </c>
      <c r="H432" t="str">
        <f t="array" ref="H432">iferror(index(isotopes!$G:$G,match($A432,isotopes!$A:$A,0)))</f>
        <v>BIS27-78</v>
      </c>
      <c r="I432" t="str">
        <f t="array" ref="I432">iferror(index(isotopes!$J:$J,match($A432,isotopes!$A:$A,0)))</f>
        <v>N</v>
      </c>
      <c r="J432" t="str">
        <f t="array" ref="J432">iferror(index(extra_muscle!$G:$G,match($A432,extra_muscle!$A:$A,0)))</f>
        <v>BXM25-78</v>
      </c>
      <c r="K432" t="str">
        <f t="array" ref="K432">iferror(index(extra_muscle!$J:$J,match($A432,extra_muscle!$A:$A,0)))</f>
        <v>N</v>
      </c>
      <c r="L432" s="59" t="str">
        <f t="array" ref="L432">iferror(index(dna!$G:$G,match($A432,dna!$A:$A,0)))</f>
        <v/>
      </c>
      <c r="M432" s="60" t="str">
        <f t="array" ref="M432">iferror(index(dna!$J:$J,match($A432,dna!$A:$A,0)))</f>
        <v/>
      </c>
      <c r="N432" t="str">
        <f t="array" ref="N432">iferror(index(stomachs!$G:$G,match($A432,stomachs!$A:$A,0)))</f>
        <v/>
      </c>
      <c r="O432" t="str">
        <f t="array" ref="O432">iferror(index(stomachs!$J:$J,match($A432,stomachs!$A:$A,0)))</f>
        <v/>
      </c>
      <c r="P432" t="str">
        <f t="array" ref="P432">iferror(index(sea_lice!$G:$G,match($A432,sea_lice!$A:$A,0)))</f>
        <v/>
      </c>
      <c r="Q432" t="str">
        <f t="array" ref="Q432">iferror(index(sea_lice!$J:$J,match($A432,sea_lice!$A:$A,0)))</f>
        <v/>
      </c>
      <c r="R432" s="40" t="str">
        <f t="array" ref="R432">iferror(index(dissected_fish!$F:$F,match($A432,dissected_fish!$A:$A,0)))</f>
        <v>BCA103</v>
      </c>
      <c r="S432" s="40" t="str">
        <f t="array" ref="S432">iferror(index(dissected_fish!$K:$K,match($A432,dissected_fish!$A:$A,0)))</f>
        <v>N</v>
      </c>
      <c r="T432" s="61" t="str">
        <f t="array" ref="T432">index(fish_lab_data!O:O,match(A432,fish_lab_data!C:C,0))</f>
        <v>KB</v>
      </c>
      <c r="U432" s="61">
        <f t="array" ref="U432">if(A432="","",index(fish_lab_data!X:X,match(A432,fish_lab_data!C:C,0)))</f>
        <v>431</v>
      </c>
    </row>
    <row r="433">
      <c r="A433" t="str">
        <f>fish_lab_data!C433</f>
        <v>U17200</v>
      </c>
      <c r="B433" t="str">
        <f t="array" ref="B433">iferror(index('rna-muscle'!$I:$I,match($A433,'rna-muscle'!$A:$A,0)))</f>
        <v>BRN67M-E1</v>
      </c>
      <c r="C433" t="str">
        <f t="array" ref="C433">iferror(index('rna-muscle'!$L:$L,match($A433,'rna-muscle'!$A:$A,0)))</f>
        <v>N</v>
      </c>
      <c r="D433" t="str">
        <f t="array" ref="D433">iferror(index('rna-gill'!$I:$I,match($A433,'rna-gill'!$A:$A,0)))</f>
        <v>BRN67G-E1</v>
      </c>
      <c r="E433" t="str">
        <f t="array" ref="E433">iferror(index('rna-gill'!$L:$L,match($A433,'rna-gill'!$A:$A,0)))</f>
        <v>N</v>
      </c>
      <c r="F433" t="str">
        <f t="array" ref="F433">iferror(index(fatty_acid!$G:$G,match($A433,fatty_acid!$A:$A,0)))</f>
        <v>BFA25-79</v>
      </c>
      <c r="G433" t="str">
        <f t="array" ref="G433">iferror(index(fatty_acid!$J:$J,match($A433,fatty_acid!$A:$A,0)))</f>
        <v>N</v>
      </c>
      <c r="H433" t="str">
        <f t="array" ref="H433">iferror(index(isotopes!$G:$G,match($A433,isotopes!$A:$A,0)))</f>
        <v>BIS27-79</v>
      </c>
      <c r="I433" t="str">
        <f t="array" ref="I433">iferror(index(isotopes!$J:$J,match($A433,isotopes!$A:$A,0)))</f>
        <v>N</v>
      </c>
      <c r="J433" t="str">
        <f t="array" ref="J433">iferror(index(extra_muscle!$G:$G,match($A433,extra_muscle!$A:$A,0)))</f>
        <v>BXM25-79</v>
      </c>
      <c r="K433" t="str">
        <f t="array" ref="K433">iferror(index(extra_muscle!$J:$J,match($A433,extra_muscle!$A:$A,0)))</f>
        <v>N</v>
      </c>
      <c r="L433" s="59" t="str">
        <f t="array" ref="L433">iferror(index(dna!$G:$G,match($A433,dna!$A:$A,0)))</f>
        <v/>
      </c>
      <c r="M433" s="60" t="str">
        <f t="array" ref="M433">iferror(index(dna!$J:$J,match($A433,dna!$A:$A,0)))</f>
        <v/>
      </c>
      <c r="N433" t="str">
        <f t="array" ref="N433">iferror(index(stomachs!$G:$G,match($A433,stomachs!$A:$A,0)))</f>
        <v/>
      </c>
      <c r="O433" t="str">
        <f t="array" ref="O433">iferror(index(stomachs!$J:$J,match($A433,stomachs!$A:$A,0)))</f>
        <v/>
      </c>
      <c r="P433" t="str">
        <f t="array" ref="P433">iferror(index(sea_lice!$G:$G,match($A433,sea_lice!$A:$A,0)))</f>
        <v/>
      </c>
      <c r="Q433" t="str">
        <f t="array" ref="Q433">iferror(index(sea_lice!$J:$J,match($A433,sea_lice!$A:$A,0)))</f>
        <v/>
      </c>
      <c r="R433" s="40" t="str">
        <f t="array" ref="R433">iferror(index(dissected_fish!$F:$F,match($A433,dissected_fish!$A:$A,0)))</f>
        <v>BCA103</v>
      </c>
      <c r="S433" s="40" t="str">
        <f t="array" ref="S433">iferror(index(dissected_fish!$K:$K,match($A433,dissected_fish!$A:$A,0)))</f>
        <v>N</v>
      </c>
      <c r="T433" s="61" t="str">
        <f t="array" ref="T433">index(fish_lab_data!O:O,match(A433,fish_lab_data!C:C,0))</f>
        <v>KB</v>
      </c>
      <c r="U433" s="61">
        <f t="array" ref="U433">if(A433="","",index(fish_lab_data!X:X,match(A433,fish_lab_data!C:C,0)))</f>
        <v>432</v>
      </c>
    </row>
    <row r="434">
      <c r="A434" t="str">
        <f>fish_lab_data!C434</f>
        <v>U16992</v>
      </c>
      <c r="B434" t="str">
        <f t="array" ref="B434">iferror(index('rna-muscle'!$I:$I,match($A434,'rna-muscle'!$A:$A,0)))</f>
        <v>BRN67M-D1</v>
      </c>
      <c r="C434" t="str">
        <f t="array" ref="C434">iferror(index('rna-muscle'!$L:$L,match($A434,'rna-muscle'!$A:$A,0)))</f>
        <v>N</v>
      </c>
      <c r="D434" t="str">
        <f t="array" ref="D434">iferror(index('rna-gill'!$I:$I,match($A434,'rna-gill'!$A:$A,0)))</f>
        <v>BRN67G-D1</v>
      </c>
      <c r="E434" t="str">
        <f t="array" ref="E434">iferror(index('rna-gill'!$L:$L,match($A434,'rna-gill'!$A:$A,0)))</f>
        <v>N</v>
      </c>
      <c r="F434" t="str">
        <f t="array" ref="F434">iferror(index(fatty_acid!$G:$G,match($A434,fatty_acid!$A:$A,0)))</f>
        <v>BFA25-80</v>
      </c>
      <c r="G434" t="str">
        <f t="array" ref="G434">iferror(index(fatty_acid!$J:$J,match($A434,fatty_acid!$A:$A,0)))</f>
        <v>N</v>
      </c>
      <c r="H434" t="str">
        <f t="array" ref="H434">iferror(index(isotopes!$G:$G,match($A434,isotopes!$A:$A,0)))</f>
        <v>BIS27-80</v>
      </c>
      <c r="I434" t="str">
        <f t="array" ref="I434">iferror(index(isotopes!$J:$J,match($A434,isotopes!$A:$A,0)))</f>
        <v>N</v>
      </c>
      <c r="J434" t="str">
        <f t="array" ref="J434">iferror(index(extra_muscle!$G:$G,match($A434,extra_muscle!$A:$A,0)))</f>
        <v>BXM25-80</v>
      </c>
      <c r="K434" t="str">
        <f t="array" ref="K434">iferror(index(extra_muscle!$J:$J,match($A434,extra_muscle!$A:$A,0)))</f>
        <v>N</v>
      </c>
      <c r="L434" s="59" t="str">
        <f t="array" ref="L434">iferror(index(dna!$G:$G,match($A434,dna!$A:$A,0)))</f>
        <v/>
      </c>
      <c r="M434" s="60" t="str">
        <f t="array" ref="M434">iferror(index(dna!$J:$J,match($A434,dna!$A:$A,0)))</f>
        <v/>
      </c>
      <c r="N434" t="str">
        <f t="array" ref="N434">iferror(index(stomachs!$G:$G,match($A434,stomachs!$A:$A,0)))</f>
        <v/>
      </c>
      <c r="O434" t="str">
        <f t="array" ref="O434">iferror(index(stomachs!$J:$J,match($A434,stomachs!$A:$A,0)))</f>
        <v/>
      </c>
      <c r="P434" t="str">
        <f t="array" ref="P434">iferror(index(sea_lice!$G:$G,match($A434,sea_lice!$A:$A,0)))</f>
        <v/>
      </c>
      <c r="Q434" t="str">
        <f t="array" ref="Q434">iferror(index(sea_lice!$J:$J,match($A434,sea_lice!$A:$A,0)))</f>
        <v/>
      </c>
      <c r="R434" s="40" t="str">
        <f t="array" ref="R434">iferror(index(dissected_fish!$F:$F,match($A434,dissected_fish!$A:$A,0)))</f>
        <v>BCA103</v>
      </c>
      <c r="S434" s="40" t="str">
        <f t="array" ref="S434">iferror(index(dissected_fish!$K:$K,match($A434,dissected_fish!$A:$A,0)))</f>
        <v>N</v>
      </c>
      <c r="T434" s="61" t="str">
        <f t="array" ref="T434">index(fish_lab_data!O:O,match(A434,fish_lab_data!C:C,0))</f>
        <v>KB</v>
      </c>
      <c r="U434" s="61">
        <f t="array" ref="U434">if(A434="","",index(fish_lab_data!X:X,match(A434,fish_lab_data!C:C,0)))</f>
        <v>433</v>
      </c>
    </row>
    <row r="435">
      <c r="A435" t="str">
        <f>fish_lab_data!C435</f>
        <v>U16993</v>
      </c>
      <c r="B435" t="str">
        <f t="array" ref="B435">iferror(index('rna-muscle'!$I:$I,match($A435,'rna-muscle'!$A:$A,0)))</f>
        <v>BRN67M-C1</v>
      </c>
      <c r="C435" t="str">
        <f t="array" ref="C435">iferror(index('rna-muscle'!$L:$L,match($A435,'rna-muscle'!$A:$A,0)))</f>
        <v>N</v>
      </c>
      <c r="D435" t="str">
        <f t="array" ref="D435">iferror(index('rna-gill'!$I:$I,match($A435,'rna-gill'!$A:$A,0)))</f>
        <v>BRN67G-C1</v>
      </c>
      <c r="E435" t="str">
        <f t="array" ref="E435">iferror(index('rna-gill'!$L:$L,match($A435,'rna-gill'!$A:$A,0)))</f>
        <v>N</v>
      </c>
      <c r="F435" t="str">
        <f t="array" ref="F435">iferror(index(fatty_acid!$G:$G,match($A435,fatty_acid!$A:$A,0)))</f>
        <v>BFA25-81</v>
      </c>
      <c r="G435" t="str">
        <f t="array" ref="G435">iferror(index(fatty_acid!$J:$J,match($A435,fatty_acid!$A:$A,0)))</f>
        <v>N</v>
      </c>
      <c r="H435" t="str">
        <f t="array" ref="H435">iferror(index(isotopes!$G:$G,match($A435,isotopes!$A:$A,0)))</f>
        <v>BIS27-81</v>
      </c>
      <c r="I435" t="str">
        <f t="array" ref="I435">iferror(index(isotopes!$J:$J,match($A435,isotopes!$A:$A,0)))</f>
        <v>N</v>
      </c>
      <c r="J435" t="str">
        <f t="array" ref="J435">iferror(index(extra_muscle!$G:$G,match($A435,extra_muscle!$A:$A,0)))</f>
        <v>BXM25-81</v>
      </c>
      <c r="K435" t="str">
        <f t="array" ref="K435">iferror(index(extra_muscle!$J:$J,match($A435,extra_muscle!$A:$A,0)))</f>
        <v>N</v>
      </c>
      <c r="L435" s="59" t="str">
        <f t="array" ref="L435">iferror(index(dna!$G:$G,match($A435,dna!$A:$A,0)))</f>
        <v/>
      </c>
      <c r="M435" s="60" t="str">
        <f t="array" ref="M435">iferror(index(dna!$J:$J,match($A435,dna!$A:$A,0)))</f>
        <v/>
      </c>
      <c r="N435" t="str">
        <f t="array" ref="N435">iferror(index(stomachs!$G:$G,match($A435,stomachs!$A:$A,0)))</f>
        <v/>
      </c>
      <c r="O435" t="str">
        <f t="array" ref="O435">iferror(index(stomachs!$J:$J,match($A435,stomachs!$A:$A,0)))</f>
        <v/>
      </c>
      <c r="P435" t="str">
        <f t="array" ref="P435">iferror(index(sea_lice!$G:$G,match($A435,sea_lice!$A:$A,0)))</f>
        <v>BSL6-29</v>
      </c>
      <c r="Q435" t="str">
        <f t="array" ref="Q435">iferror(index(sea_lice!$J:$J,match($A435,sea_lice!$A:$A,0)))</f>
        <v>N</v>
      </c>
      <c r="R435" s="40" t="str">
        <f t="array" ref="R435">iferror(index(dissected_fish!$F:$F,match($A435,dissected_fish!$A:$A,0)))</f>
        <v>BCA103</v>
      </c>
      <c r="S435" s="40" t="str">
        <f t="array" ref="S435">iferror(index(dissected_fish!$K:$K,match($A435,dissected_fish!$A:$A,0)))</f>
        <v>N</v>
      </c>
      <c r="T435" s="61" t="str">
        <f t="array" ref="T435">index(fish_lab_data!O:O,match(A435,fish_lab_data!C:C,0))</f>
        <v>KB</v>
      </c>
      <c r="U435" s="61">
        <f t="array" ref="U435">if(A435="","",index(fish_lab_data!X:X,match(A435,fish_lab_data!C:C,0)))</f>
        <v>434</v>
      </c>
    </row>
    <row r="436">
      <c r="A436" t="str">
        <f>fish_lab_data!C436</f>
        <v>U16998</v>
      </c>
      <c r="B436" t="str">
        <f t="array" ref="B436">iferror(index('rna-muscle'!$I:$I,match($A436,'rna-muscle'!$A:$A,0)))</f>
        <v>BRN67M-B1</v>
      </c>
      <c r="C436" t="str">
        <f t="array" ref="C436">iferror(index('rna-muscle'!$L:$L,match($A436,'rna-muscle'!$A:$A,0)))</f>
        <v>N</v>
      </c>
      <c r="D436" t="str">
        <f t="array" ref="D436">iferror(index('rna-gill'!$I:$I,match($A436,'rna-gill'!$A:$A,0)))</f>
        <v>BRN67G-B1</v>
      </c>
      <c r="E436" t="str">
        <f t="array" ref="E436">iferror(index('rna-gill'!$L:$L,match($A436,'rna-gill'!$A:$A,0)))</f>
        <v>N</v>
      </c>
      <c r="F436" t="str">
        <f t="array" ref="F436">iferror(index(fatty_acid!$G:$G,match($A436,fatty_acid!$A:$A,0)))</f>
        <v>BFA26-1</v>
      </c>
      <c r="G436" t="str">
        <f t="array" ref="G436">iferror(index(fatty_acid!$J:$J,match($A436,fatty_acid!$A:$A,0)))</f>
        <v>N</v>
      </c>
      <c r="H436" t="str">
        <f t="array" ref="H436">iferror(index(isotopes!$G:$G,match($A436,isotopes!$A:$A,0)))</f>
        <v>BIS29-1</v>
      </c>
      <c r="I436" t="str">
        <f t="array" ref="I436">iferror(index(isotopes!$J:$J,match($A436,isotopes!$A:$A,0)))</f>
        <v>N</v>
      </c>
      <c r="J436" t="str">
        <f t="array" ref="J436">iferror(index(extra_muscle!$G:$G,match($A436,extra_muscle!$A:$A,0)))</f>
        <v>BXM27-1</v>
      </c>
      <c r="K436" t="str">
        <f t="array" ref="K436">iferror(index(extra_muscle!$J:$J,match($A436,extra_muscle!$A:$A,0)))</f>
        <v>N</v>
      </c>
      <c r="L436" s="59" t="str">
        <f t="array" ref="L436">iferror(index(dna!$G:$G,match($A436,dna!$A:$A,0)))</f>
        <v/>
      </c>
      <c r="M436" s="60" t="str">
        <f t="array" ref="M436">iferror(index(dna!$J:$J,match($A436,dna!$A:$A,0)))</f>
        <v/>
      </c>
      <c r="N436" t="str">
        <f t="array" ref="N436">iferror(index(stomachs!$G:$G,match($A436,stomachs!$A:$A,0)))</f>
        <v/>
      </c>
      <c r="O436" t="str">
        <f t="array" ref="O436">iferror(index(stomachs!$J:$J,match($A436,stomachs!$A:$A,0)))</f>
        <v/>
      </c>
      <c r="P436" t="str">
        <f t="array" ref="P436">iferror(index(sea_lice!$G:$G,match($A436,sea_lice!$A:$A,0)))</f>
        <v/>
      </c>
      <c r="Q436" t="str">
        <f t="array" ref="Q436">iferror(index(sea_lice!$J:$J,match($A436,sea_lice!$A:$A,0)))</f>
        <v/>
      </c>
      <c r="R436" s="40" t="str">
        <f t="array" ref="R436">iferror(index(dissected_fish!$F:$F,match($A436,dissected_fish!$A:$A,0)))</f>
        <v>BCA103</v>
      </c>
      <c r="S436" s="40" t="str">
        <f t="array" ref="S436">iferror(index(dissected_fish!$K:$K,match($A436,dissected_fish!$A:$A,0)))</f>
        <v>N</v>
      </c>
      <c r="T436" s="61" t="str">
        <f t="array" ref="T436">index(fish_lab_data!O:O,match(A436,fish_lab_data!C:C,0))</f>
        <v>KB</v>
      </c>
      <c r="U436" s="61">
        <f t="array" ref="U436">if(A436="","",index(fish_lab_data!X:X,match(A436,fish_lab_data!C:C,0)))</f>
        <v>435</v>
      </c>
    </row>
    <row r="437">
      <c r="A437" t="str">
        <f>fish_lab_data!C437</f>
        <v>U17000</v>
      </c>
      <c r="B437" t="str">
        <f t="array" ref="B437">iferror(index('rna-muscle'!$I:$I,match($A437,'rna-muscle'!$A:$A,0)))</f>
        <v>BRN67M-A1</v>
      </c>
      <c r="C437" t="str">
        <f t="array" ref="C437">iferror(index('rna-muscle'!$L:$L,match($A437,'rna-muscle'!$A:$A,0)))</f>
        <v>N</v>
      </c>
      <c r="D437" t="str">
        <f t="array" ref="D437">iferror(index('rna-gill'!$I:$I,match($A437,'rna-gill'!$A:$A,0)))</f>
        <v>BRN67G-A1</v>
      </c>
      <c r="E437" t="str">
        <f t="array" ref="E437">iferror(index('rna-gill'!$L:$L,match($A437,'rna-gill'!$A:$A,0)))</f>
        <v>N</v>
      </c>
      <c r="F437" t="str">
        <f t="array" ref="F437">iferror(index(fatty_acid!$G:$G,match($A437,fatty_acid!$A:$A,0)))</f>
        <v>BFA26-2</v>
      </c>
      <c r="G437" t="str">
        <f t="array" ref="G437">iferror(index(fatty_acid!$J:$J,match($A437,fatty_acid!$A:$A,0)))</f>
        <v>N</v>
      </c>
      <c r="H437" t="str">
        <f t="array" ref="H437">iferror(index(isotopes!$G:$G,match($A437,isotopes!$A:$A,0)))</f>
        <v>BIS29-2</v>
      </c>
      <c r="I437" t="str">
        <f t="array" ref="I437">iferror(index(isotopes!$J:$J,match($A437,isotopes!$A:$A,0)))</f>
        <v>N</v>
      </c>
      <c r="J437" t="str">
        <f t="array" ref="J437">iferror(index(extra_muscle!$G:$G,match($A437,extra_muscle!$A:$A,0)))</f>
        <v>BXM27-2</v>
      </c>
      <c r="K437" t="str">
        <f t="array" ref="K437">iferror(index(extra_muscle!$J:$J,match($A437,extra_muscle!$A:$A,0)))</f>
        <v>N</v>
      </c>
      <c r="L437" s="59" t="str">
        <f t="array" ref="L437">iferror(index(dna!$G:$G,match($A437,dna!$A:$A,0)))</f>
        <v/>
      </c>
      <c r="M437" s="60" t="str">
        <f t="array" ref="M437">iferror(index(dna!$J:$J,match($A437,dna!$A:$A,0)))</f>
        <v/>
      </c>
      <c r="N437" t="str">
        <f t="array" ref="N437">iferror(index(stomachs!$G:$G,match($A437,stomachs!$A:$A,0)))</f>
        <v/>
      </c>
      <c r="O437" t="str">
        <f t="array" ref="O437">iferror(index(stomachs!$J:$J,match($A437,stomachs!$A:$A,0)))</f>
        <v/>
      </c>
      <c r="P437" t="str">
        <f t="array" ref="P437">iferror(index(sea_lice!$G:$G,match($A437,sea_lice!$A:$A,0)))</f>
        <v/>
      </c>
      <c r="Q437" t="str">
        <f t="array" ref="Q437">iferror(index(sea_lice!$J:$J,match($A437,sea_lice!$A:$A,0)))</f>
        <v/>
      </c>
      <c r="R437" s="40" t="str">
        <f t="array" ref="R437">iferror(index(dissected_fish!$F:$F,match($A437,dissected_fish!$A:$A,0)))</f>
        <v>BCA103</v>
      </c>
      <c r="S437" s="40" t="str">
        <f t="array" ref="S437">iferror(index(dissected_fish!$K:$K,match($A437,dissected_fish!$A:$A,0)))</f>
        <v>N</v>
      </c>
      <c r="T437" s="61" t="str">
        <f t="array" ref="T437">index(fish_lab_data!O:O,match(A437,fish_lab_data!C:C,0))</f>
        <v>KB</v>
      </c>
      <c r="U437" s="61">
        <f t="array" ref="U437">if(A437="","",index(fish_lab_data!X:X,match(A437,fish_lab_data!C:C,0)))</f>
        <v>436</v>
      </c>
    </row>
    <row r="438">
      <c r="A438" t="str">
        <f>fish_lab_data!C438</f>
        <v>U16996</v>
      </c>
      <c r="B438" t="str">
        <f t="array" ref="B438">iferror(index('rna-muscle'!$I:$I,match($A438,'rna-muscle'!$A:$A,0)))</f>
        <v>BRN67M-H2</v>
      </c>
      <c r="C438" t="str">
        <f t="array" ref="C438">iferror(index('rna-muscle'!$L:$L,match($A438,'rna-muscle'!$A:$A,0)))</f>
        <v>N</v>
      </c>
      <c r="D438" t="str">
        <f t="array" ref="D438">iferror(index('rna-gill'!$I:$I,match($A438,'rna-gill'!$A:$A,0)))</f>
        <v>BRN67G-H2</v>
      </c>
      <c r="E438" t="str">
        <f t="array" ref="E438">iferror(index('rna-gill'!$L:$L,match($A438,'rna-gill'!$A:$A,0)))</f>
        <v>N</v>
      </c>
      <c r="F438" t="str">
        <f t="array" ref="F438">iferror(index(fatty_acid!$G:$G,match($A438,fatty_acid!$A:$A,0)))</f>
        <v>BFA26-3</v>
      </c>
      <c r="G438" t="str">
        <f t="array" ref="G438">iferror(index(fatty_acid!$J:$J,match($A438,fatty_acid!$A:$A,0)))</f>
        <v>N</v>
      </c>
      <c r="H438" t="str">
        <f t="array" ref="H438">iferror(index(isotopes!$G:$G,match($A438,isotopes!$A:$A,0)))</f>
        <v>BIS29-3</v>
      </c>
      <c r="I438" t="str">
        <f t="array" ref="I438">iferror(index(isotopes!$J:$J,match($A438,isotopes!$A:$A,0)))</f>
        <v>N</v>
      </c>
      <c r="J438" t="str">
        <f t="array" ref="J438">iferror(index(extra_muscle!$G:$G,match($A438,extra_muscle!$A:$A,0)))</f>
        <v>BXM27-3</v>
      </c>
      <c r="K438" t="str">
        <f t="array" ref="K438">iferror(index(extra_muscle!$J:$J,match($A438,extra_muscle!$A:$A,0)))</f>
        <v>N</v>
      </c>
      <c r="L438" s="59" t="str">
        <f t="array" ref="L438">iferror(index(dna!$G:$G,match($A438,dna!$A:$A,0)))</f>
        <v/>
      </c>
      <c r="M438" s="60" t="str">
        <f t="array" ref="M438">iferror(index(dna!$J:$J,match($A438,dna!$A:$A,0)))</f>
        <v/>
      </c>
      <c r="N438" t="str">
        <f t="array" ref="N438">iferror(index(stomachs!$G:$G,match($A438,stomachs!$A:$A,0)))</f>
        <v/>
      </c>
      <c r="O438" t="str">
        <f t="array" ref="O438">iferror(index(stomachs!$J:$J,match($A438,stomachs!$A:$A,0)))</f>
        <v/>
      </c>
      <c r="P438" t="str">
        <f t="array" ref="P438">iferror(index(sea_lice!$G:$G,match($A438,sea_lice!$A:$A,0)))</f>
        <v/>
      </c>
      <c r="Q438" t="str">
        <f t="array" ref="Q438">iferror(index(sea_lice!$J:$J,match($A438,sea_lice!$A:$A,0)))</f>
        <v/>
      </c>
      <c r="R438" s="40" t="str">
        <f t="array" ref="R438">iferror(index(dissected_fish!$F:$F,match($A438,dissected_fish!$A:$A,0)))</f>
        <v>BCA103</v>
      </c>
      <c r="S438" s="40" t="str">
        <f t="array" ref="S438">iferror(index(dissected_fish!$K:$K,match($A438,dissected_fish!$A:$A,0)))</f>
        <v>N</v>
      </c>
      <c r="T438" s="61" t="str">
        <f t="array" ref="T438">index(fish_lab_data!O:O,match(A438,fish_lab_data!C:C,0))</f>
        <v>KB</v>
      </c>
      <c r="U438" s="61">
        <f t="array" ref="U438">if(A438="","",index(fish_lab_data!X:X,match(A438,fish_lab_data!C:C,0)))</f>
        <v>437</v>
      </c>
    </row>
    <row r="439">
      <c r="A439" t="str">
        <f>fish_lab_data!C439</f>
        <v>U16994</v>
      </c>
      <c r="B439" t="str">
        <f t="array" ref="B439">iferror(index('rna-muscle'!$I:$I,match($A439,'rna-muscle'!$A:$A,0)))</f>
        <v>BRN67M-G2</v>
      </c>
      <c r="C439" t="str">
        <f t="array" ref="C439">iferror(index('rna-muscle'!$L:$L,match($A439,'rna-muscle'!$A:$A,0)))</f>
        <v>N</v>
      </c>
      <c r="D439" t="str">
        <f t="array" ref="D439">iferror(index('rna-gill'!$I:$I,match($A439,'rna-gill'!$A:$A,0)))</f>
        <v>BRN67G-G2</v>
      </c>
      <c r="E439" t="str">
        <f t="array" ref="E439">iferror(index('rna-gill'!$L:$L,match($A439,'rna-gill'!$A:$A,0)))</f>
        <v>N</v>
      </c>
      <c r="F439" t="str">
        <f t="array" ref="F439">iferror(index(fatty_acid!$G:$G,match($A439,fatty_acid!$A:$A,0)))</f>
        <v>BFA26-4</v>
      </c>
      <c r="G439" t="str">
        <f t="array" ref="G439">iferror(index(fatty_acid!$J:$J,match($A439,fatty_acid!$A:$A,0)))</f>
        <v>N</v>
      </c>
      <c r="H439" t="str">
        <f t="array" ref="H439">iferror(index(isotopes!$G:$G,match($A439,isotopes!$A:$A,0)))</f>
        <v>BIS29-4</v>
      </c>
      <c r="I439" t="str">
        <f t="array" ref="I439">iferror(index(isotopes!$J:$J,match($A439,isotopes!$A:$A,0)))</f>
        <v>N</v>
      </c>
      <c r="J439" t="str">
        <f t="array" ref="J439">iferror(index(extra_muscle!$G:$G,match($A439,extra_muscle!$A:$A,0)))</f>
        <v>BXM27-4</v>
      </c>
      <c r="K439" t="str">
        <f t="array" ref="K439">iferror(index(extra_muscle!$J:$J,match($A439,extra_muscle!$A:$A,0)))</f>
        <v>N</v>
      </c>
      <c r="L439" s="59" t="str">
        <f t="array" ref="L439">iferror(index(dna!$G:$G,match($A439,dna!$A:$A,0)))</f>
        <v/>
      </c>
      <c r="M439" s="60" t="str">
        <f t="array" ref="M439">iferror(index(dna!$J:$J,match($A439,dna!$A:$A,0)))</f>
        <v/>
      </c>
      <c r="N439" t="str">
        <f t="array" ref="N439">iferror(index(stomachs!$G:$G,match($A439,stomachs!$A:$A,0)))</f>
        <v/>
      </c>
      <c r="O439" t="str">
        <f t="array" ref="O439">iferror(index(stomachs!$J:$J,match($A439,stomachs!$A:$A,0)))</f>
        <v/>
      </c>
      <c r="P439" t="str">
        <f t="array" ref="P439">iferror(index(sea_lice!$G:$G,match($A439,sea_lice!$A:$A,0)))</f>
        <v/>
      </c>
      <c r="Q439" t="str">
        <f t="array" ref="Q439">iferror(index(sea_lice!$J:$J,match($A439,sea_lice!$A:$A,0)))</f>
        <v/>
      </c>
      <c r="R439" s="40" t="str">
        <f t="array" ref="R439">iferror(index(dissected_fish!$F:$F,match($A439,dissected_fish!$A:$A,0)))</f>
        <v>BCA103</v>
      </c>
      <c r="S439" s="40" t="str">
        <f t="array" ref="S439">iferror(index(dissected_fish!$K:$K,match($A439,dissected_fish!$A:$A,0)))</f>
        <v>N</v>
      </c>
      <c r="T439" s="61" t="str">
        <f t="array" ref="T439">index(fish_lab_data!O:O,match(A439,fish_lab_data!C:C,0))</f>
        <v>KB</v>
      </c>
      <c r="U439" s="61">
        <f t="array" ref="U439">if(A439="","",index(fish_lab_data!X:X,match(A439,fish_lab_data!C:C,0)))</f>
        <v>438</v>
      </c>
    </row>
    <row r="440">
      <c r="A440" t="str">
        <f>fish_lab_data!C440</f>
        <v>U16999</v>
      </c>
      <c r="B440" t="str">
        <f t="array" ref="B440">iferror(index('rna-muscle'!$I:$I,match($A440,'rna-muscle'!$A:$A,0)))</f>
        <v>BRN67M-F2</v>
      </c>
      <c r="C440" t="str">
        <f t="array" ref="C440">iferror(index('rna-muscle'!$L:$L,match($A440,'rna-muscle'!$A:$A,0)))</f>
        <v>N</v>
      </c>
      <c r="D440" t="str">
        <f t="array" ref="D440">iferror(index('rna-gill'!$I:$I,match($A440,'rna-gill'!$A:$A,0)))</f>
        <v>BRN67G-F2</v>
      </c>
      <c r="E440" t="str">
        <f t="array" ref="E440">iferror(index('rna-gill'!$L:$L,match($A440,'rna-gill'!$A:$A,0)))</f>
        <v>N</v>
      </c>
      <c r="F440" t="str">
        <f t="array" ref="F440">iferror(index(fatty_acid!$G:$G,match($A440,fatty_acid!$A:$A,0)))</f>
        <v>BFA26-5</v>
      </c>
      <c r="G440" t="str">
        <f t="array" ref="G440">iferror(index(fatty_acid!$J:$J,match($A440,fatty_acid!$A:$A,0)))</f>
        <v>N</v>
      </c>
      <c r="H440" t="str">
        <f t="array" ref="H440">iferror(index(isotopes!$G:$G,match($A440,isotopes!$A:$A,0)))</f>
        <v>BIS29-5</v>
      </c>
      <c r="I440" t="str">
        <f t="array" ref="I440">iferror(index(isotopes!$J:$J,match($A440,isotopes!$A:$A,0)))</f>
        <v>N</v>
      </c>
      <c r="J440" t="str">
        <f t="array" ref="J440">iferror(index(extra_muscle!$G:$G,match($A440,extra_muscle!$A:$A,0)))</f>
        <v>BXM27-5</v>
      </c>
      <c r="K440" t="str">
        <f t="array" ref="K440">iferror(index(extra_muscle!$J:$J,match($A440,extra_muscle!$A:$A,0)))</f>
        <v>N</v>
      </c>
      <c r="L440" s="59" t="str">
        <f t="array" ref="L440">iferror(index(dna!$G:$G,match($A440,dna!$A:$A,0)))</f>
        <v/>
      </c>
      <c r="M440" s="60" t="str">
        <f t="array" ref="M440">iferror(index(dna!$J:$J,match($A440,dna!$A:$A,0)))</f>
        <v/>
      </c>
      <c r="N440" t="str">
        <f t="array" ref="N440">iferror(index(stomachs!$G:$G,match($A440,stomachs!$A:$A,0)))</f>
        <v/>
      </c>
      <c r="O440" t="str">
        <f t="array" ref="O440">iferror(index(stomachs!$J:$J,match($A440,stomachs!$A:$A,0)))</f>
        <v/>
      </c>
      <c r="P440" t="str">
        <f t="array" ref="P440">iferror(index(sea_lice!$G:$G,match($A440,sea_lice!$A:$A,0)))</f>
        <v/>
      </c>
      <c r="Q440" t="str">
        <f t="array" ref="Q440">iferror(index(sea_lice!$J:$J,match($A440,sea_lice!$A:$A,0)))</f>
        <v/>
      </c>
      <c r="R440" s="40" t="str">
        <f t="array" ref="R440">iferror(index(dissected_fish!$F:$F,match($A440,dissected_fish!$A:$A,0)))</f>
        <v>BCA103</v>
      </c>
      <c r="S440" s="40" t="str">
        <f t="array" ref="S440">iferror(index(dissected_fish!$K:$K,match($A440,dissected_fish!$A:$A,0)))</f>
        <v>N</v>
      </c>
      <c r="T440" s="61" t="str">
        <f t="array" ref="T440">index(fish_lab_data!O:O,match(A440,fish_lab_data!C:C,0))</f>
        <v>KB</v>
      </c>
      <c r="U440" s="61">
        <f t="array" ref="U440">if(A440="","",index(fish_lab_data!X:X,match(A440,fish_lab_data!C:C,0)))</f>
        <v>439</v>
      </c>
    </row>
    <row r="441">
      <c r="A441" t="str">
        <f>fish_lab_data!C441</f>
        <v>U16997</v>
      </c>
      <c r="B441" t="str">
        <f t="array" ref="B441">iferror(index('rna-muscle'!$I:$I,match($A441,'rna-muscle'!$A:$A,0)))</f>
        <v>BRN67M-E2</v>
      </c>
      <c r="C441" t="str">
        <f t="array" ref="C441">iferror(index('rna-muscle'!$L:$L,match($A441,'rna-muscle'!$A:$A,0)))</f>
        <v>N</v>
      </c>
      <c r="D441" t="str">
        <f t="array" ref="D441">iferror(index('rna-gill'!$I:$I,match($A441,'rna-gill'!$A:$A,0)))</f>
        <v>BRN67G-E2</v>
      </c>
      <c r="E441" t="str">
        <f t="array" ref="E441">iferror(index('rna-gill'!$L:$L,match($A441,'rna-gill'!$A:$A,0)))</f>
        <v>N</v>
      </c>
      <c r="F441" t="str">
        <f t="array" ref="F441">iferror(index(fatty_acid!$G:$G,match($A441,fatty_acid!$A:$A,0)))</f>
        <v>BFA26-6</v>
      </c>
      <c r="G441" t="str">
        <f t="array" ref="G441">iferror(index(fatty_acid!$J:$J,match($A441,fatty_acid!$A:$A,0)))</f>
        <v>N</v>
      </c>
      <c r="H441" t="str">
        <f t="array" ref="H441">iferror(index(isotopes!$G:$G,match($A441,isotopes!$A:$A,0)))</f>
        <v>BIS29-6</v>
      </c>
      <c r="I441" t="str">
        <f t="array" ref="I441">iferror(index(isotopes!$J:$J,match($A441,isotopes!$A:$A,0)))</f>
        <v>N</v>
      </c>
      <c r="J441" t="str">
        <f t="array" ref="J441">iferror(index(extra_muscle!$G:$G,match($A441,extra_muscle!$A:$A,0)))</f>
        <v>BXM27-6</v>
      </c>
      <c r="K441" t="str">
        <f t="array" ref="K441">iferror(index(extra_muscle!$J:$J,match($A441,extra_muscle!$A:$A,0)))</f>
        <v>N</v>
      </c>
      <c r="L441" s="59" t="str">
        <f t="array" ref="L441">iferror(index(dna!$G:$G,match($A441,dna!$A:$A,0)))</f>
        <v/>
      </c>
      <c r="M441" s="60" t="str">
        <f t="array" ref="M441">iferror(index(dna!$J:$J,match($A441,dna!$A:$A,0)))</f>
        <v/>
      </c>
      <c r="N441" t="str">
        <f t="array" ref="N441">iferror(index(stomachs!$G:$G,match($A441,stomachs!$A:$A,0)))</f>
        <v/>
      </c>
      <c r="O441" t="str">
        <f t="array" ref="O441">iferror(index(stomachs!$J:$J,match($A441,stomachs!$A:$A,0)))</f>
        <v/>
      </c>
      <c r="P441" t="str">
        <f t="array" ref="P441">iferror(index(sea_lice!$G:$G,match($A441,sea_lice!$A:$A,0)))</f>
        <v/>
      </c>
      <c r="Q441" t="str">
        <f t="array" ref="Q441">iferror(index(sea_lice!$J:$J,match($A441,sea_lice!$A:$A,0)))</f>
        <v/>
      </c>
      <c r="R441" s="40" t="str">
        <f t="array" ref="R441">iferror(index(dissected_fish!$F:$F,match($A441,dissected_fish!$A:$A,0)))</f>
        <v>BCA103</v>
      </c>
      <c r="S441" s="40" t="str">
        <f t="array" ref="S441">iferror(index(dissected_fish!$K:$K,match($A441,dissected_fish!$A:$A,0)))</f>
        <v>N</v>
      </c>
      <c r="T441" s="61" t="str">
        <f t="array" ref="T441">index(fish_lab_data!O:O,match(A441,fish_lab_data!C:C,0))</f>
        <v>KB</v>
      </c>
      <c r="U441" s="61">
        <f t="array" ref="U441">if(A441="","",index(fish_lab_data!X:X,match(A441,fish_lab_data!C:C,0)))</f>
        <v>440</v>
      </c>
    </row>
    <row r="442">
      <c r="A442" t="str">
        <f>fish_lab_data!C442</f>
        <v>U16991</v>
      </c>
      <c r="B442" t="str">
        <f t="array" ref="B442">iferror(index('rna-muscle'!$I:$I,match($A442,'rna-muscle'!$A:$A,0)))</f>
        <v>BRN67M-D2</v>
      </c>
      <c r="C442" t="str">
        <f t="array" ref="C442">iferror(index('rna-muscle'!$L:$L,match($A442,'rna-muscle'!$A:$A,0)))</f>
        <v>N</v>
      </c>
      <c r="D442" t="str">
        <f t="array" ref="D442">iferror(index('rna-gill'!$I:$I,match($A442,'rna-gill'!$A:$A,0)))</f>
        <v>BRN67G-D2</v>
      </c>
      <c r="E442" t="str">
        <f t="array" ref="E442">iferror(index('rna-gill'!$L:$L,match($A442,'rna-gill'!$A:$A,0)))</f>
        <v>N</v>
      </c>
      <c r="F442" t="str">
        <f t="array" ref="F442">iferror(index(fatty_acid!$G:$G,match($A442,fatty_acid!$A:$A,0)))</f>
        <v>BFA26-7</v>
      </c>
      <c r="G442" t="str">
        <f t="array" ref="G442">iferror(index(fatty_acid!$J:$J,match($A442,fatty_acid!$A:$A,0)))</f>
        <v>N</v>
      </c>
      <c r="H442" t="str">
        <f t="array" ref="H442">iferror(index(isotopes!$G:$G,match($A442,isotopes!$A:$A,0)))</f>
        <v>BIS29-7</v>
      </c>
      <c r="I442" t="str">
        <f t="array" ref="I442">iferror(index(isotopes!$J:$J,match($A442,isotopes!$A:$A,0)))</f>
        <v>N</v>
      </c>
      <c r="J442" t="str">
        <f t="array" ref="J442">iferror(index(extra_muscle!$G:$G,match($A442,extra_muscle!$A:$A,0)))</f>
        <v>BXM27-7</v>
      </c>
      <c r="K442" t="str">
        <f t="array" ref="K442">iferror(index(extra_muscle!$J:$J,match($A442,extra_muscle!$A:$A,0)))</f>
        <v>N</v>
      </c>
      <c r="L442" s="59" t="str">
        <f t="array" ref="L442">iferror(index(dna!$G:$G,match($A442,dna!$A:$A,0)))</f>
        <v/>
      </c>
      <c r="M442" s="60" t="str">
        <f t="array" ref="M442">iferror(index(dna!$J:$J,match($A442,dna!$A:$A,0)))</f>
        <v/>
      </c>
      <c r="N442" t="str">
        <f t="array" ref="N442">iferror(index(stomachs!$G:$G,match($A442,stomachs!$A:$A,0)))</f>
        <v/>
      </c>
      <c r="O442" t="str">
        <f t="array" ref="O442">iferror(index(stomachs!$J:$J,match($A442,stomachs!$A:$A,0)))</f>
        <v/>
      </c>
      <c r="P442" t="str">
        <f t="array" ref="P442">iferror(index(sea_lice!$G:$G,match($A442,sea_lice!$A:$A,0)))</f>
        <v/>
      </c>
      <c r="Q442" t="str">
        <f t="array" ref="Q442">iferror(index(sea_lice!$J:$J,match($A442,sea_lice!$A:$A,0)))</f>
        <v/>
      </c>
      <c r="R442" s="40" t="str">
        <f t="array" ref="R442">iferror(index(dissected_fish!$F:$F,match($A442,dissected_fish!$A:$A,0)))</f>
        <v>BCA103</v>
      </c>
      <c r="S442" s="40" t="str">
        <f t="array" ref="S442">iferror(index(dissected_fish!$K:$K,match($A442,dissected_fish!$A:$A,0)))</f>
        <v>N</v>
      </c>
      <c r="T442" s="61" t="str">
        <f t="array" ref="T442">index(fish_lab_data!O:O,match(A442,fish_lab_data!C:C,0))</f>
        <v>KB</v>
      </c>
      <c r="U442" s="61">
        <f t="array" ref="U442">if(A442="","",index(fish_lab_data!X:X,match(A442,fish_lab_data!C:C,0)))</f>
        <v>441</v>
      </c>
    </row>
    <row r="443">
      <c r="A443" t="str">
        <f>fish_lab_data!C443</f>
        <v>U16995</v>
      </c>
      <c r="B443" t="str">
        <f t="array" ref="B443">iferror(index('rna-muscle'!$I:$I,match($A443,'rna-muscle'!$A:$A,0)))</f>
        <v>BRN67M-C2</v>
      </c>
      <c r="C443" t="str">
        <f t="array" ref="C443">iferror(index('rna-muscle'!$L:$L,match($A443,'rna-muscle'!$A:$A,0)))</f>
        <v>N</v>
      </c>
      <c r="D443" t="str">
        <f t="array" ref="D443">iferror(index('rna-gill'!$I:$I,match($A443,'rna-gill'!$A:$A,0)))</f>
        <v>BRN67G-C2</v>
      </c>
      <c r="E443" t="str">
        <f t="array" ref="E443">iferror(index('rna-gill'!$L:$L,match($A443,'rna-gill'!$A:$A,0)))</f>
        <v>N</v>
      </c>
      <c r="F443" t="str">
        <f t="array" ref="F443">iferror(index(fatty_acid!$G:$G,match($A443,fatty_acid!$A:$A,0)))</f>
        <v>BFA26-8</v>
      </c>
      <c r="G443" t="str">
        <f t="array" ref="G443">iferror(index(fatty_acid!$J:$J,match($A443,fatty_acid!$A:$A,0)))</f>
        <v>N</v>
      </c>
      <c r="H443" t="str">
        <f t="array" ref="H443">iferror(index(isotopes!$G:$G,match($A443,isotopes!$A:$A,0)))</f>
        <v>BIS29-8</v>
      </c>
      <c r="I443" t="str">
        <f t="array" ref="I443">iferror(index(isotopes!$J:$J,match($A443,isotopes!$A:$A,0)))</f>
        <v>N</v>
      </c>
      <c r="J443" t="str">
        <f t="array" ref="J443">iferror(index(extra_muscle!$G:$G,match($A443,extra_muscle!$A:$A,0)))</f>
        <v>BXM27-8</v>
      </c>
      <c r="K443" t="str">
        <f t="array" ref="K443">iferror(index(extra_muscle!$J:$J,match($A443,extra_muscle!$A:$A,0)))</f>
        <v>N</v>
      </c>
      <c r="L443" s="59" t="str">
        <f t="array" ref="L443">iferror(index(dna!$G:$G,match($A443,dna!$A:$A,0)))</f>
        <v/>
      </c>
      <c r="M443" s="60" t="str">
        <f t="array" ref="M443">iferror(index(dna!$J:$J,match($A443,dna!$A:$A,0)))</f>
        <v/>
      </c>
      <c r="N443" t="str">
        <f t="array" ref="N443">iferror(index(stomachs!$G:$G,match($A443,stomachs!$A:$A,0)))</f>
        <v/>
      </c>
      <c r="O443" t="str">
        <f t="array" ref="O443">iferror(index(stomachs!$J:$J,match($A443,stomachs!$A:$A,0)))</f>
        <v/>
      </c>
      <c r="P443" t="str">
        <f t="array" ref="P443">iferror(index(sea_lice!$G:$G,match($A443,sea_lice!$A:$A,0)))</f>
        <v/>
      </c>
      <c r="Q443" t="str">
        <f t="array" ref="Q443">iferror(index(sea_lice!$J:$J,match($A443,sea_lice!$A:$A,0)))</f>
        <v/>
      </c>
      <c r="R443" s="40" t="str">
        <f t="array" ref="R443">iferror(index(dissected_fish!$F:$F,match($A443,dissected_fish!$A:$A,0)))</f>
        <v>BCA103</v>
      </c>
      <c r="S443" s="40" t="str">
        <f t="array" ref="S443">iferror(index(dissected_fish!$K:$K,match($A443,dissected_fish!$A:$A,0)))</f>
        <v>N</v>
      </c>
      <c r="T443" s="61" t="str">
        <f t="array" ref="T443">index(fish_lab_data!O:O,match(A443,fish_lab_data!C:C,0))</f>
        <v>KB</v>
      </c>
      <c r="U443" s="61">
        <f t="array" ref="U443">if(A443="","",index(fish_lab_data!X:X,match(A443,fish_lab_data!C:C,0)))</f>
        <v>442</v>
      </c>
    </row>
    <row r="444">
      <c r="A444" t="str">
        <f>fish_lab_data!C444</f>
        <v>U17265</v>
      </c>
      <c r="B444" t="str">
        <f t="array" ref="B444">iferror(index('rna-muscle'!$I:$I,match($A444,'rna-muscle'!$A:$A,0)))</f>
        <v>BRN67M-B2</v>
      </c>
      <c r="C444" t="str">
        <f t="array" ref="C444">iferror(index('rna-muscle'!$L:$L,match($A444,'rna-muscle'!$A:$A,0)))</f>
        <v>N</v>
      </c>
      <c r="D444" t="str">
        <f t="array" ref="D444">iferror(index('rna-gill'!$I:$I,match($A444,'rna-gill'!$A:$A,0)))</f>
        <v>BRN67G-B2</v>
      </c>
      <c r="E444" t="str">
        <f t="array" ref="E444">iferror(index('rna-gill'!$L:$L,match($A444,'rna-gill'!$A:$A,0)))</f>
        <v>N</v>
      </c>
      <c r="F444" t="str">
        <f t="array" ref="F444">iferror(index(fatty_acid!$G:$G,match($A444,fatty_acid!$A:$A,0)))</f>
        <v>BFA26-9</v>
      </c>
      <c r="G444" t="str">
        <f t="array" ref="G444">iferror(index(fatty_acid!$J:$J,match($A444,fatty_acid!$A:$A,0)))</f>
        <v>N</v>
      </c>
      <c r="H444" t="str">
        <f t="array" ref="H444">iferror(index(isotopes!$G:$G,match($A444,isotopes!$A:$A,0)))</f>
        <v>BIS29-9</v>
      </c>
      <c r="I444" t="str">
        <f t="array" ref="I444">iferror(index(isotopes!$J:$J,match($A444,isotopes!$A:$A,0)))</f>
        <v>N</v>
      </c>
      <c r="J444" t="str">
        <f t="array" ref="J444">iferror(index(extra_muscle!$G:$G,match($A444,extra_muscle!$A:$A,0)))</f>
        <v>BXM27-9</v>
      </c>
      <c r="K444" t="str">
        <f t="array" ref="K444">iferror(index(extra_muscle!$J:$J,match($A444,extra_muscle!$A:$A,0)))</f>
        <v>N</v>
      </c>
      <c r="L444" s="59" t="str">
        <f t="array" ref="L444">iferror(index(dna!$G:$G,match($A444,dna!$A:$A,0)))</f>
        <v/>
      </c>
      <c r="M444" s="60" t="str">
        <f t="array" ref="M444">iferror(index(dna!$J:$J,match($A444,dna!$A:$A,0)))</f>
        <v/>
      </c>
      <c r="N444" t="str">
        <f t="array" ref="N444">iferror(index(stomachs!$G:$G,match($A444,stomachs!$A:$A,0)))</f>
        <v/>
      </c>
      <c r="O444" t="str">
        <f t="array" ref="O444">iferror(index(stomachs!$J:$J,match($A444,stomachs!$A:$A,0)))</f>
        <v/>
      </c>
      <c r="P444" t="str">
        <f t="array" ref="P444">iferror(index(sea_lice!$G:$G,match($A444,sea_lice!$A:$A,0)))</f>
        <v/>
      </c>
      <c r="Q444" t="str">
        <f t="array" ref="Q444">iferror(index(sea_lice!$J:$J,match($A444,sea_lice!$A:$A,0)))</f>
        <v/>
      </c>
      <c r="R444" s="40" t="str">
        <f t="array" ref="R444">iferror(index(dissected_fish!$F:$F,match($A444,dissected_fish!$A:$A,0)))</f>
        <v>BCA103</v>
      </c>
      <c r="S444" s="40" t="str">
        <f t="array" ref="S444">iferror(index(dissected_fish!$K:$K,match($A444,dissected_fish!$A:$A,0)))</f>
        <v>N</v>
      </c>
      <c r="T444" s="61" t="str">
        <f t="array" ref="T444">index(fish_lab_data!O:O,match(A444,fish_lab_data!C:C,0))</f>
        <v>KB</v>
      </c>
      <c r="U444" s="61">
        <f t="array" ref="U444">if(A444="","",index(fish_lab_data!X:X,match(A444,fish_lab_data!C:C,0)))</f>
        <v>443</v>
      </c>
    </row>
    <row r="445">
      <c r="A445" t="str">
        <f>fish_lab_data!C445</f>
        <v>U17264</v>
      </c>
      <c r="B445" t="str">
        <f t="array" ref="B445">iferror(index('rna-muscle'!$I:$I,match($A445,'rna-muscle'!$A:$A,0)))</f>
        <v>BRN67M-A2</v>
      </c>
      <c r="C445" t="str">
        <f t="array" ref="C445">iferror(index('rna-muscle'!$L:$L,match($A445,'rna-muscle'!$A:$A,0)))</f>
        <v>N</v>
      </c>
      <c r="D445" t="str">
        <f t="array" ref="D445">iferror(index('rna-gill'!$I:$I,match($A445,'rna-gill'!$A:$A,0)))</f>
        <v>BRN67G-A2</v>
      </c>
      <c r="E445" t="str">
        <f t="array" ref="E445">iferror(index('rna-gill'!$L:$L,match($A445,'rna-gill'!$A:$A,0)))</f>
        <v>N</v>
      </c>
      <c r="F445" t="str">
        <f t="array" ref="F445">iferror(index(fatty_acid!$G:$G,match($A445,fatty_acid!$A:$A,0)))</f>
        <v>BFA26-10</v>
      </c>
      <c r="G445" t="str">
        <f t="array" ref="G445">iferror(index(fatty_acid!$J:$J,match($A445,fatty_acid!$A:$A,0)))</f>
        <v>N</v>
      </c>
      <c r="H445" t="str">
        <f t="array" ref="H445">iferror(index(isotopes!$G:$G,match($A445,isotopes!$A:$A,0)))</f>
        <v>BIS29-10</v>
      </c>
      <c r="I445" t="str">
        <f t="array" ref="I445">iferror(index(isotopes!$J:$J,match($A445,isotopes!$A:$A,0)))</f>
        <v>N</v>
      </c>
      <c r="J445" t="str">
        <f t="array" ref="J445">iferror(index(extra_muscle!$G:$G,match($A445,extra_muscle!$A:$A,0)))</f>
        <v>BXM27-10</v>
      </c>
      <c r="K445" t="str">
        <f t="array" ref="K445">iferror(index(extra_muscle!$J:$J,match($A445,extra_muscle!$A:$A,0)))</f>
        <v>N</v>
      </c>
      <c r="L445" s="59" t="str">
        <f t="array" ref="L445">iferror(index(dna!$G:$G,match($A445,dna!$A:$A,0)))</f>
        <v/>
      </c>
      <c r="M445" s="60" t="str">
        <f t="array" ref="M445">iferror(index(dna!$J:$J,match($A445,dna!$A:$A,0)))</f>
        <v/>
      </c>
      <c r="N445" t="str">
        <f t="array" ref="N445">iferror(index(stomachs!$G:$G,match($A445,stomachs!$A:$A,0)))</f>
        <v/>
      </c>
      <c r="O445" t="str">
        <f t="array" ref="O445">iferror(index(stomachs!$J:$J,match($A445,stomachs!$A:$A,0)))</f>
        <v/>
      </c>
      <c r="P445" t="str">
        <f t="array" ref="P445">iferror(index(sea_lice!$G:$G,match($A445,sea_lice!$A:$A,0)))</f>
        <v/>
      </c>
      <c r="Q445" t="str">
        <f t="array" ref="Q445">iferror(index(sea_lice!$J:$J,match($A445,sea_lice!$A:$A,0)))</f>
        <v/>
      </c>
      <c r="R445" s="40" t="str">
        <f t="array" ref="R445">iferror(index(dissected_fish!$F:$F,match($A445,dissected_fish!$A:$A,0)))</f>
        <v>BCA103</v>
      </c>
      <c r="S445" s="40" t="str">
        <f t="array" ref="S445">iferror(index(dissected_fish!$K:$K,match($A445,dissected_fish!$A:$A,0)))</f>
        <v>N</v>
      </c>
      <c r="T445" s="61" t="str">
        <f t="array" ref="T445">index(fish_lab_data!O:O,match(A445,fish_lab_data!C:C,0))</f>
        <v>KB</v>
      </c>
      <c r="U445" s="61">
        <f t="array" ref="U445">if(A445="","",index(fish_lab_data!X:X,match(A445,fish_lab_data!C:C,0)))</f>
        <v>444</v>
      </c>
    </row>
    <row r="446">
      <c r="A446" t="str">
        <f>fish_lab_data!C446</f>
        <v>U17263</v>
      </c>
      <c r="B446" t="str">
        <f t="array" ref="B446">iferror(index('rna-muscle'!$I:$I,match($A446,'rna-muscle'!$A:$A,0)))</f>
        <v>BRN67M-H4</v>
      </c>
      <c r="C446" t="str">
        <f t="array" ref="C446">iferror(index('rna-muscle'!$L:$L,match($A446,'rna-muscle'!$A:$A,0)))</f>
        <v>N</v>
      </c>
      <c r="D446" t="str">
        <f t="array" ref="D446">iferror(index('rna-gill'!$I:$I,match($A446,'rna-gill'!$A:$A,0)))</f>
        <v>BRN67G-H4</v>
      </c>
      <c r="E446" t="str">
        <f t="array" ref="E446">iferror(index('rna-gill'!$L:$L,match($A446,'rna-gill'!$A:$A,0)))</f>
        <v>N</v>
      </c>
      <c r="F446" t="str">
        <f t="array" ref="F446">iferror(index(fatty_acid!$G:$G,match($A446,fatty_acid!$A:$A,0)))</f>
        <v>BFA26-11</v>
      </c>
      <c r="G446" t="str">
        <f t="array" ref="G446">iferror(index(fatty_acid!$J:$J,match($A446,fatty_acid!$A:$A,0)))</f>
        <v>N</v>
      </c>
      <c r="H446" t="str">
        <f t="array" ref="H446">iferror(index(isotopes!$G:$G,match($A446,isotopes!$A:$A,0)))</f>
        <v>BIS29-11</v>
      </c>
      <c r="I446" t="str">
        <f t="array" ref="I446">iferror(index(isotopes!$J:$J,match($A446,isotopes!$A:$A,0)))</f>
        <v>N</v>
      </c>
      <c r="J446" t="str">
        <f t="array" ref="J446">iferror(index(extra_muscle!$G:$G,match($A446,extra_muscle!$A:$A,0)))</f>
        <v>BXM27-11</v>
      </c>
      <c r="K446" t="str">
        <f t="array" ref="K446">iferror(index(extra_muscle!$J:$J,match($A446,extra_muscle!$A:$A,0)))</f>
        <v>N</v>
      </c>
      <c r="L446" s="59" t="str">
        <f t="array" ref="L446">iferror(index(dna!$G:$G,match($A446,dna!$A:$A,0)))</f>
        <v/>
      </c>
      <c r="M446" s="60" t="str">
        <f t="array" ref="M446">iferror(index(dna!$J:$J,match($A446,dna!$A:$A,0)))</f>
        <v/>
      </c>
      <c r="N446" t="str">
        <f t="array" ref="N446">iferror(index(stomachs!$G:$G,match($A446,stomachs!$A:$A,0)))</f>
        <v/>
      </c>
      <c r="O446" t="str">
        <f t="array" ref="O446">iferror(index(stomachs!$J:$J,match($A446,stomachs!$A:$A,0)))</f>
        <v/>
      </c>
      <c r="P446" t="str">
        <f t="array" ref="P446">iferror(index(sea_lice!$G:$G,match($A446,sea_lice!$A:$A,0)))</f>
        <v/>
      </c>
      <c r="Q446" t="str">
        <f t="array" ref="Q446">iferror(index(sea_lice!$J:$J,match($A446,sea_lice!$A:$A,0)))</f>
        <v/>
      </c>
      <c r="R446" s="40" t="str">
        <f t="array" ref="R446">iferror(index(dissected_fish!$F:$F,match($A446,dissected_fish!$A:$A,0)))</f>
        <v>BCA103</v>
      </c>
      <c r="S446" s="40" t="str">
        <f t="array" ref="S446">iferror(index(dissected_fish!$K:$K,match($A446,dissected_fish!$A:$A,0)))</f>
        <v>N</v>
      </c>
      <c r="T446" s="61" t="str">
        <f t="array" ref="T446">index(fish_lab_data!O:O,match(A446,fish_lab_data!C:C,0))</f>
        <v>KB</v>
      </c>
      <c r="U446" s="61">
        <f t="array" ref="U446">if(A446="","",index(fish_lab_data!X:X,match(A446,fish_lab_data!C:C,0)))</f>
        <v>445</v>
      </c>
    </row>
    <row r="447">
      <c r="A447" t="str">
        <f>fish_lab_data!C447</f>
        <v>U17270</v>
      </c>
      <c r="B447" t="str">
        <f t="array" ref="B447">iferror(index('rna-muscle'!$I:$I,match($A447,'rna-muscle'!$A:$A,0)))</f>
        <v>BRN67M-G4</v>
      </c>
      <c r="C447" t="str">
        <f t="array" ref="C447">iferror(index('rna-muscle'!$L:$L,match($A447,'rna-muscle'!$A:$A,0)))</f>
        <v>N</v>
      </c>
      <c r="D447" t="str">
        <f t="array" ref="D447">iferror(index('rna-gill'!$I:$I,match($A447,'rna-gill'!$A:$A,0)))</f>
        <v>BRN67G-G4</v>
      </c>
      <c r="E447" t="str">
        <f t="array" ref="E447">iferror(index('rna-gill'!$L:$L,match($A447,'rna-gill'!$A:$A,0)))</f>
        <v>N</v>
      </c>
      <c r="F447" t="str">
        <f t="array" ref="F447">iferror(index(fatty_acid!$G:$G,match($A447,fatty_acid!$A:$A,0)))</f>
        <v>BFA26-12</v>
      </c>
      <c r="G447" t="str">
        <f t="array" ref="G447">iferror(index(fatty_acid!$J:$J,match($A447,fatty_acid!$A:$A,0)))</f>
        <v>N</v>
      </c>
      <c r="H447" t="str">
        <f t="array" ref="H447">iferror(index(isotopes!$G:$G,match($A447,isotopes!$A:$A,0)))</f>
        <v>BIS29-12</v>
      </c>
      <c r="I447" t="str">
        <f t="array" ref="I447">iferror(index(isotopes!$J:$J,match($A447,isotopes!$A:$A,0)))</f>
        <v>N</v>
      </c>
      <c r="J447" t="str">
        <f t="array" ref="J447">iferror(index(extra_muscle!$G:$G,match($A447,extra_muscle!$A:$A,0)))</f>
        <v>BXM27-12</v>
      </c>
      <c r="K447" t="str">
        <f t="array" ref="K447">iferror(index(extra_muscle!$J:$J,match($A447,extra_muscle!$A:$A,0)))</f>
        <v>N</v>
      </c>
      <c r="L447" s="59" t="str">
        <f t="array" ref="L447">iferror(index(dna!$G:$G,match($A447,dna!$A:$A,0)))</f>
        <v/>
      </c>
      <c r="M447" s="60" t="str">
        <f t="array" ref="M447">iferror(index(dna!$J:$J,match($A447,dna!$A:$A,0)))</f>
        <v/>
      </c>
      <c r="N447" t="str">
        <f t="array" ref="N447">iferror(index(stomachs!$G:$G,match($A447,stomachs!$A:$A,0)))</f>
        <v/>
      </c>
      <c r="O447" t="str">
        <f t="array" ref="O447">iferror(index(stomachs!$J:$J,match($A447,stomachs!$A:$A,0)))</f>
        <v/>
      </c>
      <c r="P447" t="str">
        <f t="array" ref="P447">iferror(index(sea_lice!$G:$G,match($A447,sea_lice!$A:$A,0)))</f>
        <v>BSL6-34</v>
      </c>
      <c r="Q447" t="str">
        <f t="array" ref="Q447">iferror(index(sea_lice!$J:$J,match($A447,sea_lice!$A:$A,0)))</f>
        <v>N</v>
      </c>
      <c r="R447" s="40" t="str">
        <f t="array" ref="R447">iferror(index(dissected_fish!$F:$F,match($A447,dissected_fish!$A:$A,0)))</f>
        <v>BCA103</v>
      </c>
      <c r="S447" s="40" t="str">
        <f t="array" ref="S447">iferror(index(dissected_fish!$K:$K,match($A447,dissected_fish!$A:$A,0)))</f>
        <v>N</v>
      </c>
      <c r="T447" s="61" t="str">
        <f t="array" ref="T447">index(fish_lab_data!O:O,match(A447,fish_lab_data!C:C,0))</f>
        <v>KB</v>
      </c>
      <c r="U447" s="61">
        <f t="array" ref="U447">if(A447="","",index(fish_lab_data!X:X,match(A447,fish_lab_data!C:C,0)))</f>
        <v>446</v>
      </c>
    </row>
    <row r="448">
      <c r="A448" t="str">
        <f>fish_lab_data!C448</f>
        <v>U17262</v>
      </c>
      <c r="B448" t="str">
        <f t="array" ref="B448">iferror(index('rna-muscle'!$I:$I,match($A448,'rna-muscle'!$A:$A,0)))</f>
        <v>BRN67M-F4</v>
      </c>
      <c r="C448" t="str">
        <f t="array" ref="C448">iferror(index('rna-muscle'!$L:$L,match($A448,'rna-muscle'!$A:$A,0)))</f>
        <v>N</v>
      </c>
      <c r="D448" t="str">
        <f t="array" ref="D448">iferror(index('rna-gill'!$I:$I,match($A448,'rna-gill'!$A:$A,0)))</f>
        <v>BRN67G-F4</v>
      </c>
      <c r="E448" t="str">
        <f t="array" ref="E448">iferror(index('rna-gill'!$L:$L,match($A448,'rna-gill'!$A:$A,0)))</f>
        <v>N</v>
      </c>
      <c r="F448" t="str">
        <f t="array" ref="F448">iferror(index(fatty_acid!$G:$G,match($A448,fatty_acid!$A:$A,0)))</f>
        <v>BFA26-13</v>
      </c>
      <c r="G448" t="str">
        <f t="array" ref="G448">iferror(index(fatty_acid!$J:$J,match($A448,fatty_acid!$A:$A,0)))</f>
        <v>N</v>
      </c>
      <c r="H448" t="str">
        <f t="array" ref="H448">iferror(index(isotopes!$G:$G,match($A448,isotopes!$A:$A,0)))</f>
        <v>BIS29-13</v>
      </c>
      <c r="I448" t="str">
        <f t="array" ref="I448">iferror(index(isotopes!$J:$J,match($A448,isotopes!$A:$A,0)))</f>
        <v>N</v>
      </c>
      <c r="J448" t="str">
        <f t="array" ref="J448">iferror(index(extra_muscle!$G:$G,match($A448,extra_muscle!$A:$A,0)))</f>
        <v>BXM27-13</v>
      </c>
      <c r="K448" t="str">
        <f t="array" ref="K448">iferror(index(extra_muscle!$J:$J,match($A448,extra_muscle!$A:$A,0)))</f>
        <v>N</v>
      </c>
      <c r="L448" s="59" t="str">
        <f t="array" ref="L448">iferror(index(dna!$G:$G,match($A448,dna!$A:$A,0)))</f>
        <v/>
      </c>
      <c r="M448" s="60" t="str">
        <f t="array" ref="M448">iferror(index(dna!$J:$J,match($A448,dna!$A:$A,0)))</f>
        <v/>
      </c>
      <c r="N448" t="str">
        <f t="array" ref="N448">iferror(index(stomachs!$G:$G,match($A448,stomachs!$A:$A,0)))</f>
        <v/>
      </c>
      <c r="O448" t="str">
        <f t="array" ref="O448">iferror(index(stomachs!$J:$J,match($A448,stomachs!$A:$A,0)))</f>
        <v/>
      </c>
      <c r="P448" t="str">
        <f t="array" ref="P448">iferror(index(sea_lice!$G:$G,match($A448,sea_lice!$A:$A,0)))</f>
        <v/>
      </c>
      <c r="Q448" t="str">
        <f t="array" ref="Q448">iferror(index(sea_lice!$J:$J,match($A448,sea_lice!$A:$A,0)))</f>
        <v/>
      </c>
      <c r="R448" s="40" t="str">
        <f t="array" ref="R448">iferror(index(dissected_fish!$F:$F,match($A448,dissected_fish!$A:$A,0)))</f>
        <v>BCA103</v>
      </c>
      <c r="S448" s="40" t="str">
        <f t="array" ref="S448">iferror(index(dissected_fish!$K:$K,match($A448,dissected_fish!$A:$A,0)))</f>
        <v>N</v>
      </c>
      <c r="T448" s="61" t="str">
        <f t="array" ref="T448">index(fish_lab_data!O:O,match(A448,fish_lab_data!C:C,0))</f>
        <v>KB</v>
      </c>
      <c r="U448" s="61">
        <f t="array" ref="U448">if(A448="","",index(fish_lab_data!X:X,match(A448,fish_lab_data!C:C,0)))</f>
        <v>447</v>
      </c>
    </row>
    <row r="449">
      <c r="A449" t="str">
        <f>fish_lab_data!C449</f>
        <v>U17261</v>
      </c>
      <c r="B449" t="str">
        <f t="array" ref="B449">iferror(index('rna-muscle'!$I:$I,match($A449,'rna-muscle'!$A:$A,0)))</f>
        <v>BRN67M-E4</v>
      </c>
      <c r="C449" t="str">
        <f t="array" ref="C449">iferror(index('rna-muscle'!$L:$L,match($A449,'rna-muscle'!$A:$A,0)))</f>
        <v>N</v>
      </c>
      <c r="D449" t="str">
        <f t="array" ref="D449">iferror(index('rna-gill'!$I:$I,match($A449,'rna-gill'!$A:$A,0)))</f>
        <v>BRN67G-E4</v>
      </c>
      <c r="E449" t="str">
        <f t="array" ref="E449">iferror(index('rna-gill'!$L:$L,match($A449,'rna-gill'!$A:$A,0)))</f>
        <v>N</v>
      </c>
      <c r="F449" t="str">
        <f t="array" ref="F449">iferror(index(fatty_acid!$G:$G,match($A449,fatty_acid!$A:$A,0)))</f>
        <v>BFA26-14</v>
      </c>
      <c r="G449" t="str">
        <f t="array" ref="G449">iferror(index(fatty_acid!$J:$J,match($A449,fatty_acid!$A:$A,0)))</f>
        <v>N</v>
      </c>
      <c r="H449" t="str">
        <f t="array" ref="H449">iferror(index(isotopes!$G:$G,match($A449,isotopes!$A:$A,0)))</f>
        <v>BIS29-14</v>
      </c>
      <c r="I449" t="str">
        <f t="array" ref="I449">iferror(index(isotopes!$J:$J,match($A449,isotopes!$A:$A,0)))</f>
        <v>N</v>
      </c>
      <c r="J449" t="str">
        <f t="array" ref="J449">iferror(index(extra_muscle!$G:$G,match($A449,extra_muscle!$A:$A,0)))</f>
        <v>BXM27-14</v>
      </c>
      <c r="K449" t="str">
        <f t="array" ref="K449">iferror(index(extra_muscle!$J:$J,match($A449,extra_muscle!$A:$A,0)))</f>
        <v>N</v>
      </c>
      <c r="L449" s="59" t="str">
        <f t="array" ref="L449">iferror(index(dna!$G:$G,match($A449,dna!$A:$A,0)))</f>
        <v/>
      </c>
      <c r="M449" s="60" t="str">
        <f t="array" ref="M449">iferror(index(dna!$J:$J,match($A449,dna!$A:$A,0)))</f>
        <v/>
      </c>
      <c r="N449" t="str">
        <f t="array" ref="N449">iferror(index(stomachs!$G:$G,match($A449,stomachs!$A:$A,0)))</f>
        <v/>
      </c>
      <c r="O449" t="str">
        <f t="array" ref="O449">iferror(index(stomachs!$J:$J,match($A449,stomachs!$A:$A,0)))</f>
        <v/>
      </c>
      <c r="P449" t="str">
        <f t="array" ref="P449">iferror(index(sea_lice!$G:$G,match($A449,sea_lice!$A:$A,0)))</f>
        <v/>
      </c>
      <c r="Q449" t="str">
        <f t="array" ref="Q449">iferror(index(sea_lice!$J:$J,match($A449,sea_lice!$A:$A,0)))</f>
        <v/>
      </c>
      <c r="R449" s="40" t="str">
        <f t="array" ref="R449">iferror(index(dissected_fish!$F:$F,match($A449,dissected_fish!$A:$A,0)))</f>
        <v>BCA103</v>
      </c>
      <c r="S449" s="40" t="str">
        <f t="array" ref="S449">iferror(index(dissected_fish!$K:$K,match($A449,dissected_fish!$A:$A,0)))</f>
        <v>N</v>
      </c>
      <c r="T449" s="61" t="str">
        <f t="array" ref="T449">index(fish_lab_data!O:O,match(A449,fish_lab_data!C:C,0))</f>
        <v>KB</v>
      </c>
      <c r="U449" s="61">
        <f t="array" ref="U449">if(A449="","",index(fish_lab_data!X:X,match(A449,fish_lab_data!C:C,0)))</f>
        <v>448</v>
      </c>
    </row>
    <row r="450">
      <c r="A450" t="str">
        <f>fish_lab_data!C450</f>
        <v>U17266</v>
      </c>
      <c r="B450" t="str">
        <f t="array" ref="B450">iferror(index('rna-muscle'!$I:$I,match($A450,'rna-muscle'!$A:$A,0)))</f>
        <v>BRN67M-D4</v>
      </c>
      <c r="C450" t="str">
        <f t="array" ref="C450">iferror(index('rna-muscle'!$L:$L,match($A450,'rna-muscle'!$A:$A,0)))</f>
        <v>N</v>
      </c>
      <c r="D450" t="str">
        <f t="array" ref="D450">iferror(index('rna-gill'!$I:$I,match($A450,'rna-gill'!$A:$A,0)))</f>
        <v>BRN67G-D4</v>
      </c>
      <c r="E450" t="str">
        <f t="array" ref="E450">iferror(index('rna-gill'!$L:$L,match($A450,'rna-gill'!$A:$A,0)))</f>
        <v>N</v>
      </c>
      <c r="F450" t="str">
        <f t="array" ref="F450">iferror(index(fatty_acid!$G:$G,match($A450,fatty_acid!$A:$A,0)))</f>
        <v>BFA26-15</v>
      </c>
      <c r="G450" t="str">
        <f t="array" ref="G450">iferror(index(fatty_acid!$J:$J,match($A450,fatty_acid!$A:$A,0)))</f>
        <v>N</v>
      </c>
      <c r="H450" t="str">
        <f t="array" ref="H450">iferror(index(isotopes!$G:$G,match($A450,isotopes!$A:$A,0)))</f>
        <v>BIS29-15</v>
      </c>
      <c r="I450" t="str">
        <f t="array" ref="I450">iferror(index(isotopes!$J:$J,match($A450,isotopes!$A:$A,0)))</f>
        <v>N</v>
      </c>
      <c r="J450" t="str">
        <f t="array" ref="J450">iferror(index(extra_muscle!$G:$G,match($A450,extra_muscle!$A:$A,0)))</f>
        <v>BXM27-15</v>
      </c>
      <c r="K450" t="str">
        <f t="array" ref="K450">iferror(index(extra_muscle!$J:$J,match($A450,extra_muscle!$A:$A,0)))</f>
        <v>N</v>
      </c>
      <c r="L450" s="59" t="str">
        <f t="array" ref="L450">iferror(index(dna!$G:$G,match($A450,dna!$A:$A,0)))</f>
        <v/>
      </c>
      <c r="M450" s="60" t="str">
        <f t="array" ref="M450">iferror(index(dna!$J:$J,match($A450,dna!$A:$A,0)))</f>
        <v/>
      </c>
      <c r="N450" t="str">
        <f t="array" ref="N450">iferror(index(stomachs!$G:$G,match($A450,stomachs!$A:$A,0)))</f>
        <v/>
      </c>
      <c r="O450" t="str">
        <f t="array" ref="O450">iferror(index(stomachs!$J:$J,match($A450,stomachs!$A:$A,0)))</f>
        <v/>
      </c>
      <c r="P450" t="str">
        <f t="array" ref="P450">iferror(index(sea_lice!$G:$G,match($A450,sea_lice!$A:$A,0)))</f>
        <v/>
      </c>
      <c r="Q450" t="str">
        <f t="array" ref="Q450">iferror(index(sea_lice!$J:$J,match($A450,sea_lice!$A:$A,0)))</f>
        <v/>
      </c>
      <c r="R450" s="40" t="str">
        <f t="array" ref="R450">iferror(index(dissected_fish!$F:$F,match($A450,dissected_fish!$A:$A,0)))</f>
        <v>BCA103</v>
      </c>
      <c r="S450" s="40" t="str">
        <f t="array" ref="S450">iferror(index(dissected_fish!$K:$K,match($A450,dissected_fish!$A:$A,0)))</f>
        <v>N</v>
      </c>
      <c r="T450" s="61" t="str">
        <f t="array" ref="T450">index(fish_lab_data!O:O,match(A450,fish_lab_data!C:C,0))</f>
        <v>KB</v>
      </c>
      <c r="U450" s="61">
        <f t="array" ref="U450">if(A450="","",index(fish_lab_data!X:X,match(A450,fish_lab_data!C:C,0)))</f>
        <v>449</v>
      </c>
    </row>
    <row r="451">
      <c r="A451" t="str">
        <f>fish_lab_data!C451</f>
        <v>U17267</v>
      </c>
      <c r="B451" t="str">
        <f t="array" ref="B451">iferror(index('rna-muscle'!$I:$I,match($A451,'rna-muscle'!$A:$A,0)))</f>
        <v>BRN67M-C4</v>
      </c>
      <c r="C451" t="str">
        <f t="array" ref="C451">iferror(index('rna-muscle'!$L:$L,match($A451,'rna-muscle'!$A:$A,0)))</f>
        <v>N</v>
      </c>
      <c r="D451" t="str">
        <f t="array" ref="D451">iferror(index('rna-gill'!$I:$I,match($A451,'rna-gill'!$A:$A,0)))</f>
        <v>BRN67G-C4</v>
      </c>
      <c r="E451" t="str">
        <f t="array" ref="E451">iferror(index('rna-gill'!$L:$L,match($A451,'rna-gill'!$A:$A,0)))</f>
        <v>N</v>
      </c>
      <c r="F451" t="str">
        <f t="array" ref="F451">iferror(index(fatty_acid!$G:$G,match($A451,fatty_acid!$A:$A,0)))</f>
        <v>BFA26-16</v>
      </c>
      <c r="G451" t="str">
        <f t="array" ref="G451">iferror(index(fatty_acid!$J:$J,match($A451,fatty_acid!$A:$A,0)))</f>
        <v>N</v>
      </c>
      <c r="H451" t="str">
        <f t="array" ref="H451">iferror(index(isotopes!$G:$G,match($A451,isotopes!$A:$A,0)))</f>
        <v>BIS29-16</v>
      </c>
      <c r="I451" t="str">
        <f t="array" ref="I451">iferror(index(isotopes!$J:$J,match($A451,isotopes!$A:$A,0)))</f>
        <v>N</v>
      </c>
      <c r="J451" t="str">
        <f t="array" ref="J451">iferror(index(extra_muscle!$G:$G,match($A451,extra_muscle!$A:$A,0)))</f>
        <v>BXM27-16</v>
      </c>
      <c r="K451" t="str">
        <f t="array" ref="K451">iferror(index(extra_muscle!$J:$J,match($A451,extra_muscle!$A:$A,0)))</f>
        <v>N</v>
      </c>
      <c r="L451" s="59" t="str">
        <f t="array" ref="L451">iferror(index(dna!$G:$G,match($A451,dna!$A:$A,0)))</f>
        <v/>
      </c>
      <c r="M451" s="60" t="str">
        <f t="array" ref="M451">iferror(index(dna!$J:$J,match($A451,dna!$A:$A,0)))</f>
        <v/>
      </c>
      <c r="N451" t="str">
        <f t="array" ref="N451">iferror(index(stomachs!$G:$G,match($A451,stomachs!$A:$A,0)))</f>
        <v/>
      </c>
      <c r="O451" t="str">
        <f t="array" ref="O451">iferror(index(stomachs!$J:$J,match($A451,stomachs!$A:$A,0)))</f>
        <v/>
      </c>
      <c r="P451" t="str">
        <f t="array" ref="P451">iferror(index(sea_lice!$G:$G,match($A451,sea_lice!$A:$A,0)))</f>
        <v/>
      </c>
      <c r="Q451" t="str">
        <f t="array" ref="Q451">iferror(index(sea_lice!$J:$J,match($A451,sea_lice!$A:$A,0)))</f>
        <v/>
      </c>
      <c r="R451" s="40" t="str">
        <f t="array" ref="R451">iferror(index(dissected_fish!$F:$F,match($A451,dissected_fish!$A:$A,0)))</f>
        <v>BCA103</v>
      </c>
      <c r="S451" s="40" t="str">
        <f t="array" ref="S451">iferror(index(dissected_fish!$K:$K,match($A451,dissected_fish!$A:$A,0)))</f>
        <v>N</v>
      </c>
      <c r="T451" s="61" t="str">
        <f t="array" ref="T451">index(fish_lab_data!O:O,match(A451,fish_lab_data!C:C,0))</f>
        <v>KB</v>
      </c>
      <c r="U451" s="61">
        <f t="array" ref="U451">if(A451="","",index(fish_lab_data!X:X,match(A451,fish_lab_data!C:C,0)))</f>
        <v>450</v>
      </c>
    </row>
    <row r="452">
      <c r="A452" t="str">
        <f>fish_lab_data!C452</f>
        <v>U17268</v>
      </c>
      <c r="B452" t="str">
        <f t="array" ref="B452">iferror(index('rna-muscle'!$I:$I,match($A452,'rna-muscle'!$A:$A,0)))</f>
        <v>BRN67M-B4</v>
      </c>
      <c r="C452" t="str">
        <f t="array" ref="C452">iferror(index('rna-muscle'!$L:$L,match($A452,'rna-muscle'!$A:$A,0)))</f>
        <v>N</v>
      </c>
      <c r="D452" t="str">
        <f t="array" ref="D452">iferror(index('rna-gill'!$I:$I,match($A452,'rna-gill'!$A:$A,0)))</f>
        <v>BRN67G-B4</v>
      </c>
      <c r="E452" t="str">
        <f t="array" ref="E452">iferror(index('rna-gill'!$L:$L,match($A452,'rna-gill'!$A:$A,0)))</f>
        <v>N</v>
      </c>
      <c r="F452" t="str">
        <f t="array" ref="F452">iferror(index(fatty_acid!$G:$G,match($A452,fatty_acid!$A:$A,0)))</f>
        <v>BFA26-17</v>
      </c>
      <c r="G452" t="str">
        <f t="array" ref="G452">iferror(index(fatty_acid!$J:$J,match($A452,fatty_acid!$A:$A,0)))</f>
        <v>N</v>
      </c>
      <c r="H452" t="str">
        <f t="array" ref="H452">iferror(index(isotopes!$G:$G,match($A452,isotopes!$A:$A,0)))</f>
        <v>BIS29-17</v>
      </c>
      <c r="I452" t="str">
        <f t="array" ref="I452">iferror(index(isotopes!$J:$J,match($A452,isotopes!$A:$A,0)))</f>
        <v>N</v>
      </c>
      <c r="J452" t="str">
        <f t="array" ref="J452">iferror(index(extra_muscle!$G:$G,match($A452,extra_muscle!$A:$A,0)))</f>
        <v>BXM27-17</v>
      </c>
      <c r="K452" t="str">
        <f t="array" ref="K452">iferror(index(extra_muscle!$J:$J,match($A452,extra_muscle!$A:$A,0)))</f>
        <v>N</v>
      </c>
      <c r="L452" s="59" t="str">
        <f t="array" ref="L452">iferror(index(dna!$G:$G,match($A452,dna!$A:$A,0)))</f>
        <v/>
      </c>
      <c r="M452" s="60" t="str">
        <f t="array" ref="M452">iferror(index(dna!$J:$J,match($A452,dna!$A:$A,0)))</f>
        <v/>
      </c>
      <c r="N452" t="str">
        <f t="array" ref="N452">iferror(index(stomachs!$G:$G,match($A452,stomachs!$A:$A,0)))</f>
        <v/>
      </c>
      <c r="O452" t="str">
        <f t="array" ref="O452">iferror(index(stomachs!$J:$J,match($A452,stomachs!$A:$A,0)))</f>
        <v/>
      </c>
      <c r="P452" t="str">
        <f t="array" ref="P452">iferror(index(sea_lice!$G:$G,match($A452,sea_lice!$A:$A,0)))</f>
        <v/>
      </c>
      <c r="Q452" t="str">
        <f t="array" ref="Q452">iferror(index(sea_lice!$J:$J,match($A452,sea_lice!$A:$A,0)))</f>
        <v/>
      </c>
      <c r="R452" s="40" t="str">
        <f t="array" ref="R452">iferror(index(dissected_fish!$F:$F,match($A452,dissected_fish!$A:$A,0)))</f>
        <v>BCA103</v>
      </c>
      <c r="S452" s="40" t="str">
        <f t="array" ref="S452">iferror(index(dissected_fish!$K:$K,match($A452,dissected_fish!$A:$A,0)))</f>
        <v>N</v>
      </c>
      <c r="T452" s="61" t="str">
        <f t="array" ref="T452">index(fish_lab_data!O:O,match(A452,fish_lab_data!C:C,0))</f>
        <v>KB</v>
      </c>
      <c r="U452" s="61">
        <f t="array" ref="U452">if(A452="","",index(fish_lab_data!X:X,match(A452,fish_lab_data!C:C,0)))</f>
        <v>451</v>
      </c>
    </row>
    <row r="453">
      <c r="A453" t="str">
        <f>fish_lab_data!C453</f>
        <v>U17269</v>
      </c>
      <c r="B453" t="str">
        <f t="array" ref="B453">iferror(index('rna-muscle'!$I:$I,match($A453,'rna-muscle'!$A:$A,0)))</f>
        <v>BRN67M-A4</v>
      </c>
      <c r="C453" t="str">
        <f t="array" ref="C453">iferror(index('rna-muscle'!$L:$L,match($A453,'rna-muscle'!$A:$A,0)))</f>
        <v>N</v>
      </c>
      <c r="D453" t="str">
        <f t="array" ref="D453">iferror(index('rna-gill'!$I:$I,match($A453,'rna-gill'!$A:$A,0)))</f>
        <v>BRN67G-A4</v>
      </c>
      <c r="E453" t="str">
        <f t="array" ref="E453">iferror(index('rna-gill'!$L:$L,match($A453,'rna-gill'!$A:$A,0)))</f>
        <v>N</v>
      </c>
      <c r="F453" t="str">
        <f t="array" ref="F453">iferror(index(fatty_acid!$G:$G,match($A453,fatty_acid!$A:$A,0)))</f>
        <v>BFA26-18</v>
      </c>
      <c r="G453" t="str">
        <f t="array" ref="G453">iferror(index(fatty_acid!$J:$J,match($A453,fatty_acid!$A:$A,0)))</f>
        <v>N</v>
      </c>
      <c r="H453" t="str">
        <f t="array" ref="H453">iferror(index(isotopes!$G:$G,match($A453,isotopes!$A:$A,0)))</f>
        <v>BIS29-18</v>
      </c>
      <c r="I453" t="str">
        <f t="array" ref="I453">iferror(index(isotopes!$J:$J,match($A453,isotopes!$A:$A,0)))</f>
        <v>N</v>
      </c>
      <c r="J453" t="str">
        <f t="array" ref="J453">iferror(index(extra_muscle!$G:$G,match($A453,extra_muscle!$A:$A,0)))</f>
        <v>BXM27-18</v>
      </c>
      <c r="K453" t="str">
        <f t="array" ref="K453">iferror(index(extra_muscle!$J:$J,match($A453,extra_muscle!$A:$A,0)))</f>
        <v>N</v>
      </c>
      <c r="L453" s="59" t="str">
        <f t="array" ref="L453">iferror(index(dna!$G:$G,match($A453,dna!$A:$A,0)))</f>
        <v/>
      </c>
      <c r="M453" s="60" t="str">
        <f t="array" ref="M453">iferror(index(dna!$J:$J,match($A453,dna!$A:$A,0)))</f>
        <v/>
      </c>
      <c r="N453" t="str">
        <f t="array" ref="N453">iferror(index(stomachs!$G:$G,match($A453,stomachs!$A:$A,0)))</f>
        <v/>
      </c>
      <c r="O453" t="str">
        <f t="array" ref="O453">iferror(index(stomachs!$J:$J,match($A453,stomachs!$A:$A,0)))</f>
        <v/>
      </c>
      <c r="P453" t="str">
        <f t="array" ref="P453">iferror(index(sea_lice!$G:$G,match($A453,sea_lice!$A:$A,0)))</f>
        <v/>
      </c>
      <c r="Q453" t="str">
        <f t="array" ref="Q453">iferror(index(sea_lice!$J:$J,match($A453,sea_lice!$A:$A,0)))</f>
        <v/>
      </c>
      <c r="R453" s="40" t="str">
        <f t="array" ref="R453">iferror(index(dissected_fish!$F:$F,match($A453,dissected_fish!$A:$A,0)))</f>
        <v>BCA103</v>
      </c>
      <c r="S453" s="40" t="str">
        <f t="array" ref="S453">iferror(index(dissected_fish!$K:$K,match($A453,dissected_fish!$A:$A,0)))</f>
        <v>N</v>
      </c>
      <c r="T453" s="61" t="str">
        <f t="array" ref="T453">index(fish_lab_data!O:O,match(A453,fish_lab_data!C:C,0))</f>
        <v>KB</v>
      </c>
      <c r="U453" s="61">
        <f t="array" ref="U453">if(A453="","",index(fish_lab_data!X:X,match(A453,fish_lab_data!C:C,0)))</f>
        <v>452</v>
      </c>
    </row>
    <row r="454">
      <c r="A454" t="str">
        <f>fish_lab_data!C454</f>
        <v>U17233</v>
      </c>
      <c r="B454" t="str">
        <f t="array" ref="B454">iferror(index('rna-muscle'!$I:$I,match($A454,'rna-muscle'!$A:$A,0)))</f>
        <v>BRN67M-G6</v>
      </c>
      <c r="C454" t="str">
        <f t="array" ref="C454">iferror(index('rna-muscle'!$L:$L,match($A454,'rna-muscle'!$A:$A,0)))</f>
        <v>N</v>
      </c>
      <c r="D454" t="str">
        <f t="array" ref="D454">iferror(index('rna-gill'!$I:$I,match($A454,'rna-gill'!$A:$A,0)))</f>
        <v>BRN67G-G6</v>
      </c>
      <c r="E454" t="str">
        <f t="array" ref="E454">iferror(index('rna-gill'!$L:$L,match($A454,'rna-gill'!$A:$A,0)))</f>
        <v>N</v>
      </c>
      <c r="F454" t="str">
        <f t="array" ref="F454">iferror(index(fatty_acid!$G:$G,match($A454,fatty_acid!$A:$A,0)))</f>
        <v>BFA26-19</v>
      </c>
      <c r="G454" t="str">
        <f t="array" ref="G454">iferror(index(fatty_acid!$J:$J,match($A454,fatty_acid!$A:$A,0)))</f>
        <v>N</v>
      </c>
      <c r="H454" t="str">
        <f t="array" ref="H454">iferror(index(isotopes!$G:$G,match($A454,isotopes!$A:$A,0)))</f>
        <v>BIS29-19</v>
      </c>
      <c r="I454" t="str">
        <f t="array" ref="I454">iferror(index(isotopes!$J:$J,match($A454,isotopes!$A:$A,0)))</f>
        <v>N</v>
      </c>
      <c r="J454" t="str">
        <f t="array" ref="J454">iferror(index(extra_muscle!$G:$G,match($A454,extra_muscle!$A:$A,0)))</f>
        <v>BXM27-19</v>
      </c>
      <c r="K454" t="str">
        <f t="array" ref="K454">iferror(index(extra_muscle!$J:$J,match($A454,extra_muscle!$A:$A,0)))</f>
        <v>N</v>
      </c>
      <c r="L454" s="59" t="str">
        <f t="array" ref="L454">iferror(index(dna!$G:$G,match($A454,dna!$A:$A,0)))</f>
        <v/>
      </c>
      <c r="M454" s="60" t="str">
        <f t="array" ref="M454">iferror(index(dna!$J:$J,match($A454,dna!$A:$A,0)))</f>
        <v/>
      </c>
      <c r="N454" t="str">
        <f t="array" ref="N454">iferror(index(stomachs!$G:$G,match($A454,stomachs!$A:$A,0)))</f>
        <v/>
      </c>
      <c r="O454" t="str">
        <f t="array" ref="O454">iferror(index(stomachs!$J:$J,match($A454,stomachs!$A:$A,0)))</f>
        <v/>
      </c>
      <c r="P454" t="str">
        <f t="array" ref="P454">iferror(index(sea_lice!$G:$G,match($A454,sea_lice!$A:$A,0)))</f>
        <v/>
      </c>
      <c r="Q454" t="str">
        <f t="array" ref="Q454">iferror(index(sea_lice!$J:$J,match($A454,sea_lice!$A:$A,0)))</f>
        <v/>
      </c>
      <c r="R454" s="40" t="str">
        <f t="array" ref="R454">iferror(index(dissected_fish!$F:$F,match($A454,dissected_fish!$A:$A,0)))</f>
        <v>BCA104</v>
      </c>
      <c r="S454" s="40" t="str">
        <f t="array" ref="S454">iferror(index(dissected_fish!$K:$K,match($A454,dissected_fish!$A:$A,0)))</f>
        <v>N</v>
      </c>
      <c r="T454" s="61" t="str">
        <f t="array" ref="T454">index(fish_lab_data!O:O,match(A454,fish_lab_data!C:C,0))</f>
        <v>KB</v>
      </c>
      <c r="U454" s="61">
        <f t="array" ref="U454">if(A454="","",index(fish_lab_data!X:X,match(A454,fish_lab_data!C:C,0)))</f>
        <v>453</v>
      </c>
    </row>
    <row r="455">
      <c r="A455" t="str">
        <f>fish_lab_data!C455</f>
        <v>U16931</v>
      </c>
      <c r="B455" t="str">
        <f t="array" ref="B455">iferror(index('rna-muscle'!$I:$I,match($A455,'rna-muscle'!$A:$A,0)))</f>
        <v>BRN62M-G12</v>
      </c>
      <c r="C455" t="str">
        <f t="array" ref="C455">iferror(index('rna-muscle'!$L:$L,match($A455,'rna-muscle'!$A:$A,0)))</f>
        <v>N</v>
      </c>
      <c r="D455" t="str">
        <f t="array" ref="D455">iferror(index('rna-gill'!$I:$I,match($A455,'rna-gill'!$A:$A,0)))</f>
        <v>BRN62G-G12</v>
      </c>
      <c r="E455" t="str">
        <f t="array" ref="E455">iferror(index('rna-gill'!$L:$L,match($A455,'rna-gill'!$A:$A,0)))</f>
        <v>N</v>
      </c>
      <c r="F455" t="str">
        <f t="array" ref="F455">iferror(index(fatty_acid!$G:$G,match($A455,fatty_acid!$A:$A,0)))</f>
        <v>BFA24-66</v>
      </c>
      <c r="G455" t="str">
        <f t="array" ref="G455">iferror(index(fatty_acid!$J:$J,match($A455,fatty_acid!$A:$A,0)))</f>
        <v>N</v>
      </c>
      <c r="H455" t="str">
        <f t="array" ref="H455">iferror(index(isotopes!$G:$G,match($A455,isotopes!$A:$A,0)))</f>
        <v>BIS28-5</v>
      </c>
      <c r="I455" t="str">
        <f t="array" ref="I455">iferror(index(isotopes!$J:$J,match($A455,isotopes!$A:$A,0)))</f>
        <v>N</v>
      </c>
      <c r="J455" t="str">
        <f t="array" ref="J455">iferror(index(extra_muscle!$G:$G,match($A455,extra_muscle!$A:$A,0)))</f>
        <v>BXM26-52</v>
      </c>
      <c r="K455" t="str">
        <f t="array" ref="K455">iferror(index(extra_muscle!$J:$J,match($A455,extra_muscle!$A:$A,0)))</f>
        <v>N</v>
      </c>
      <c r="L455" s="59" t="str">
        <f t="array" ref="L455">iferror(index(dna!$G:$G,match($A455,dna!$A:$A,0)))</f>
        <v/>
      </c>
      <c r="M455" s="60" t="str">
        <f t="array" ref="M455">iferror(index(dna!$J:$J,match($A455,dna!$A:$A,0)))</f>
        <v/>
      </c>
      <c r="N455" t="str">
        <f t="array" ref="N455">iferror(index(stomachs!$G:$G,match($A455,stomachs!$A:$A,0)))</f>
        <v/>
      </c>
      <c r="O455" t="str">
        <f t="array" ref="O455">iferror(index(stomachs!$J:$J,match($A455,stomachs!$A:$A,0)))</f>
        <v/>
      </c>
      <c r="P455" t="str">
        <f t="array" ref="P455">iferror(index(sea_lice!$G:$G,match($A455,sea_lice!$A:$A,0)))</f>
        <v/>
      </c>
      <c r="Q455" t="str">
        <f t="array" ref="Q455">iferror(index(sea_lice!$J:$J,match($A455,sea_lice!$A:$A,0)))</f>
        <v/>
      </c>
      <c r="R455" s="40" t="str">
        <f t="array" ref="R455">iferror(index(dissected_fish!$F:$F,match($A455,dissected_fish!$A:$A,0)))</f>
        <v>BCA103</v>
      </c>
      <c r="S455" s="40" t="str">
        <f t="array" ref="S455">iferror(index(dissected_fish!$K:$K,match($A455,dissected_fish!$A:$A,0)))</f>
        <v>N</v>
      </c>
      <c r="T455" s="61" t="str">
        <f t="array" ref="T455">index(fish_lab_data!O:O,match(A455,fish_lab_data!C:C,0))</f>
        <v>EJ</v>
      </c>
      <c r="U455" s="61">
        <f t="array" ref="U455">if(A455="","",index(fish_lab_data!X:X,match(A455,fish_lab_data!C:C,0)))</f>
        <v>454</v>
      </c>
    </row>
    <row r="456">
      <c r="A456" t="str">
        <f>fish_lab_data!C456</f>
        <v>U16932</v>
      </c>
      <c r="B456" t="str">
        <f t="array" ref="B456">iferror(index('rna-muscle'!$I:$I,match($A456,'rna-muscle'!$A:$A,0)))</f>
        <v>BRN62M-F12</v>
      </c>
      <c r="C456" t="str">
        <f t="array" ref="C456">iferror(index('rna-muscle'!$L:$L,match($A456,'rna-muscle'!$A:$A,0)))</f>
        <v>N</v>
      </c>
      <c r="D456" t="str">
        <f t="array" ref="D456">iferror(index('rna-gill'!$I:$I,match($A456,'rna-gill'!$A:$A,0)))</f>
        <v>BRN62G-F12</v>
      </c>
      <c r="E456" t="str">
        <f t="array" ref="E456">iferror(index('rna-gill'!$L:$L,match($A456,'rna-gill'!$A:$A,0)))</f>
        <v>N</v>
      </c>
      <c r="F456" t="str">
        <f t="array" ref="F456">iferror(index(fatty_acid!$G:$G,match($A456,fatty_acid!$A:$A,0)))</f>
        <v>BFA24-67</v>
      </c>
      <c r="G456" t="str">
        <f t="array" ref="G456">iferror(index(fatty_acid!$J:$J,match($A456,fatty_acid!$A:$A,0)))</f>
        <v>N</v>
      </c>
      <c r="H456" t="str">
        <f t="array" ref="H456">iferror(index(isotopes!$G:$G,match($A456,isotopes!$A:$A,0)))</f>
        <v>BIS28-6</v>
      </c>
      <c r="I456" t="str">
        <f t="array" ref="I456">iferror(index(isotopes!$J:$J,match($A456,isotopes!$A:$A,0)))</f>
        <v>N</v>
      </c>
      <c r="J456" t="str">
        <f t="array" ref="J456">iferror(index(extra_muscle!$G:$G,match($A456,extra_muscle!$A:$A,0)))</f>
        <v>BXM26-53</v>
      </c>
      <c r="K456" t="str">
        <f t="array" ref="K456">iferror(index(extra_muscle!$J:$J,match($A456,extra_muscle!$A:$A,0)))</f>
        <v>N</v>
      </c>
      <c r="L456" s="59" t="str">
        <f t="array" ref="L456">iferror(index(dna!$G:$G,match($A456,dna!$A:$A,0)))</f>
        <v/>
      </c>
      <c r="M456" s="60" t="str">
        <f t="array" ref="M456">iferror(index(dna!$J:$J,match($A456,dna!$A:$A,0)))</f>
        <v/>
      </c>
      <c r="N456" t="str">
        <f t="array" ref="N456">iferror(index(stomachs!$G:$G,match($A456,stomachs!$A:$A,0)))</f>
        <v/>
      </c>
      <c r="O456" t="str">
        <f t="array" ref="O456">iferror(index(stomachs!$J:$J,match($A456,stomachs!$A:$A,0)))</f>
        <v/>
      </c>
      <c r="P456" t="str">
        <f t="array" ref="P456">iferror(index(sea_lice!$G:$G,match($A456,sea_lice!$A:$A,0)))</f>
        <v/>
      </c>
      <c r="Q456" t="str">
        <f t="array" ref="Q456">iferror(index(sea_lice!$J:$J,match($A456,sea_lice!$A:$A,0)))</f>
        <v/>
      </c>
      <c r="R456" s="40" t="str">
        <f t="array" ref="R456">iferror(index(dissected_fish!$F:$F,match($A456,dissected_fish!$A:$A,0)))</f>
        <v>BCA103</v>
      </c>
      <c r="S456" s="40" t="str">
        <f t="array" ref="S456">iferror(index(dissected_fish!$K:$K,match($A456,dissected_fish!$A:$A,0)))</f>
        <v>N</v>
      </c>
      <c r="T456" s="61" t="str">
        <f t="array" ref="T456">index(fish_lab_data!O:O,match(A456,fish_lab_data!C:C,0))</f>
        <v>EJ</v>
      </c>
      <c r="U456" s="61">
        <f t="array" ref="U456">if(A456="","",index(fish_lab_data!X:X,match(A456,fish_lab_data!C:C,0)))</f>
        <v>455</v>
      </c>
    </row>
    <row r="457">
      <c r="A457" t="str">
        <f>fish_lab_data!C457</f>
        <v>U16933</v>
      </c>
      <c r="B457" t="str">
        <f t="array" ref="B457">iferror(index('rna-muscle'!$I:$I,match($A457,'rna-muscle'!$A:$A,0)))</f>
        <v>BRN62M-E12</v>
      </c>
      <c r="C457" t="str">
        <f t="array" ref="C457">iferror(index('rna-muscle'!$L:$L,match($A457,'rna-muscle'!$A:$A,0)))</f>
        <v>N</v>
      </c>
      <c r="D457" t="str">
        <f t="array" ref="D457">iferror(index('rna-gill'!$I:$I,match($A457,'rna-gill'!$A:$A,0)))</f>
        <v>BRN62G-E12</v>
      </c>
      <c r="E457" t="str">
        <f t="array" ref="E457">iferror(index('rna-gill'!$L:$L,match($A457,'rna-gill'!$A:$A,0)))</f>
        <v>N</v>
      </c>
      <c r="F457" t="str">
        <f t="array" ref="F457">iferror(index(fatty_acid!$G:$G,match($A457,fatty_acid!$A:$A,0)))</f>
        <v>BFA24-68</v>
      </c>
      <c r="G457" t="str">
        <f t="array" ref="G457">iferror(index(fatty_acid!$J:$J,match($A457,fatty_acid!$A:$A,0)))</f>
        <v>N</v>
      </c>
      <c r="H457" t="str">
        <f t="array" ref="H457">iferror(index(isotopes!$G:$G,match($A457,isotopes!$A:$A,0)))</f>
        <v>BIS28-7</v>
      </c>
      <c r="I457" t="str">
        <f t="array" ref="I457">iferror(index(isotopes!$J:$J,match($A457,isotopes!$A:$A,0)))</f>
        <v>N</v>
      </c>
      <c r="J457" t="str">
        <f t="array" ref="J457">iferror(index(extra_muscle!$G:$G,match($A457,extra_muscle!$A:$A,0)))</f>
        <v>BXM26-54</v>
      </c>
      <c r="K457" t="str">
        <f t="array" ref="K457">iferror(index(extra_muscle!$J:$J,match($A457,extra_muscle!$A:$A,0)))</f>
        <v>N</v>
      </c>
      <c r="L457" s="59" t="str">
        <f t="array" ref="L457">iferror(index(dna!$G:$G,match($A457,dna!$A:$A,0)))</f>
        <v/>
      </c>
      <c r="M457" s="60" t="str">
        <f t="array" ref="M457">iferror(index(dna!$J:$J,match($A457,dna!$A:$A,0)))</f>
        <v/>
      </c>
      <c r="N457" t="str">
        <f t="array" ref="N457">iferror(index(stomachs!$G:$G,match($A457,stomachs!$A:$A,0)))</f>
        <v/>
      </c>
      <c r="O457" t="str">
        <f t="array" ref="O457">iferror(index(stomachs!$J:$J,match($A457,stomachs!$A:$A,0)))</f>
        <v/>
      </c>
      <c r="P457" t="str">
        <f t="array" ref="P457">iferror(index(sea_lice!$G:$G,match($A457,sea_lice!$A:$A,0)))</f>
        <v>BSL6-30</v>
      </c>
      <c r="Q457" t="str">
        <f t="array" ref="Q457">iferror(index(sea_lice!$J:$J,match($A457,sea_lice!$A:$A,0)))</f>
        <v>N</v>
      </c>
      <c r="R457" s="40" t="str">
        <f t="array" ref="R457">iferror(index(dissected_fish!$F:$F,match($A457,dissected_fish!$A:$A,0)))</f>
        <v>BCA103</v>
      </c>
      <c r="S457" s="40" t="str">
        <f t="array" ref="S457">iferror(index(dissected_fish!$K:$K,match($A457,dissected_fish!$A:$A,0)))</f>
        <v>N</v>
      </c>
      <c r="T457" s="61" t="str">
        <f t="array" ref="T457">index(fish_lab_data!O:O,match(A457,fish_lab_data!C:C,0))</f>
        <v>EJ</v>
      </c>
      <c r="U457" s="61">
        <f t="array" ref="U457">if(A457="","",index(fish_lab_data!X:X,match(A457,fish_lab_data!C:C,0)))</f>
        <v>456</v>
      </c>
    </row>
    <row r="458">
      <c r="A458" t="str">
        <f>fish_lab_data!C458</f>
        <v>U16934</v>
      </c>
      <c r="B458" t="str">
        <f t="array" ref="B458">iferror(index('rna-muscle'!$I:$I,match($A458,'rna-muscle'!$A:$A,0)))</f>
        <v>BRN62M-D12</v>
      </c>
      <c r="C458" t="str">
        <f t="array" ref="C458">iferror(index('rna-muscle'!$L:$L,match($A458,'rna-muscle'!$A:$A,0)))</f>
        <v>N</v>
      </c>
      <c r="D458" t="str">
        <f t="array" ref="D458">iferror(index('rna-gill'!$I:$I,match($A458,'rna-gill'!$A:$A,0)))</f>
        <v>BRN62G-D12</v>
      </c>
      <c r="E458" t="str">
        <f t="array" ref="E458">iferror(index('rna-gill'!$L:$L,match($A458,'rna-gill'!$A:$A,0)))</f>
        <v>N</v>
      </c>
      <c r="F458" t="str">
        <f t="array" ref="F458">iferror(index(fatty_acid!$G:$G,match($A458,fatty_acid!$A:$A,0)))</f>
        <v>BFA24-69</v>
      </c>
      <c r="G458" t="str">
        <f t="array" ref="G458">iferror(index(fatty_acid!$J:$J,match($A458,fatty_acid!$A:$A,0)))</f>
        <v>N</v>
      </c>
      <c r="H458" t="str">
        <f t="array" ref="H458">iferror(index(isotopes!$G:$G,match($A458,isotopes!$A:$A,0)))</f>
        <v>BIS28-8</v>
      </c>
      <c r="I458" t="str">
        <f t="array" ref="I458">iferror(index(isotopes!$J:$J,match($A458,isotopes!$A:$A,0)))</f>
        <v>N</v>
      </c>
      <c r="J458" t="str">
        <f t="array" ref="J458">iferror(index(extra_muscle!$G:$G,match($A458,extra_muscle!$A:$A,0)))</f>
        <v>BXM26-55</v>
      </c>
      <c r="K458" t="str">
        <f t="array" ref="K458">iferror(index(extra_muscle!$J:$J,match($A458,extra_muscle!$A:$A,0)))</f>
        <v>N</v>
      </c>
      <c r="L458" s="59" t="str">
        <f t="array" ref="L458">iferror(index(dna!$G:$G,match($A458,dna!$A:$A,0)))</f>
        <v/>
      </c>
      <c r="M458" s="60" t="str">
        <f t="array" ref="M458">iferror(index(dna!$J:$J,match($A458,dna!$A:$A,0)))</f>
        <v/>
      </c>
      <c r="N458" t="str">
        <f t="array" ref="N458">iferror(index(stomachs!$G:$G,match($A458,stomachs!$A:$A,0)))</f>
        <v/>
      </c>
      <c r="O458" t="str">
        <f t="array" ref="O458">iferror(index(stomachs!$J:$J,match($A458,stomachs!$A:$A,0)))</f>
        <v/>
      </c>
      <c r="P458" t="str">
        <f t="array" ref="P458">iferror(index(sea_lice!$G:$G,match($A458,sea_lice!$A:$A,0)))</f>
        <v/>
      </c>
      <c r="Q458" t="str">
        <f t="array" ref="Q458">iferror(index(sea_lice!$J:$J,match($A458,sea_lice!$A:$A,0)))</f>
        <v/>
      </c>
      <c r="R458" s="40" t="str">
        <f t="array" ref="R458">iferror(index(dissected_fish!$F:$F,match($A458,dissected_fish!$A:$A,0)))</f>
        <v>BCA103</v>
      </c>
      <c r="S458" s="40" t="str">
        <f t="array" ref="S458">iferror(index(dissected_fish!$K:$K,match($A458,dissected_fish!$A:$A,0)))</f>
        <v>N</v>
      </c>
      <c r="T458" s="61" t="str">
        <f t="array" ref="T458">index(fish_lab_data!O:O,match(A458,fish_lab_data!C:C,0))</f>
        <v>EJ</v>
      </c>
      <c r="U458" s="61">
        <f t="array" ref="U458">if(A458="","",index(fish_lab_data!X:X,match(A458,fish_lab_data!C:C,0)))</f>
        <v>457</v>
      </c>
    </row>
    <row r="459">
      <c r="A459" t="str">
        <f>fish_lab_data!C459</f>
        <v>U16935</v>
      </c>
      <c r="B459" t="str">
        <f t="array" ref="B459">iferror(index('rna-muscle'!$I:$I,match($A459,'rna-muscle'!$A:$A,0)))</f>
        <v>BRN62M-C12</v>
      </c>
      <c r="C459" t="str">
        <f t="array" ref="C459">iferror(index('rna-muscle'!$L:$L,match($A459,'rna-muscle'!$A:$A,0)))</f>
        <v>N</v>
      </c>
      <c r="D459" t="str">
        <f t="array" ref="D459">iferror(index('rna-gill'!$I:$I,match($A459,'rna-gill'!$A:$A,0)))</f>
        <v>BRN62G-C12</v>
      </c>
      <c r="E459" t="str">
        <f t="array" ref="E459">iferror(index('rna-gill'!$L:$L,match($A459,'rna-gill'!$A:$A,0)))</f>
        <v>N</v>
      </c>
      <c r="F459" t="str">
        <f t="array" ref="F459">iferror(index(fatty_acid!$G:$G,match($A459,fatty_acid!$A:$A,0)))</f>
        <v>BFA24-70</v>
      </c>
      <c r="G459" t="str">
        <f t="array" ref="G459">iferror(index(fatty_acid!$J:$J,match($A459,fatty_acid!$A:$A,0)))</f>
        <v>N</v>
      </c>
      <c r="H459" t="str">
        <f t="array" ref="H459">iferror(index(isotopes!$G:$G,match($A459,isotopes!$A:$A,0)))</f>
        <v>BIS28-9</v>
      </c>
      <c r="I459" t="str">
        <f t="array" ref="I459">iferror(index(isotopes!$J:$J,match($A459,isotopes!$A:$A,0)))</f>
        <v>N</v>
      </c>
      <c r="J459" t="str">
        <f t="array" ref="J459">iferror(index(extra_muscle!$G:$G,match($A459,extra_muscle!$A:$A,0)))</f>
        <v>BXM26-56</v>
      </c>
      <c r="K459" t="str">
        <f t="array" ref="K459">iferror(index(extra_muscle!$J:$J,match($A459,extra_muscle!$A:$A,0)))</f>
        <v>N</v>
      </c>
      <c r="L459" s="59" t="str">
        <f t="array" ref="L459">iferror(index(dna!$G:$G,match($A459,dna!$A:$A,0)))</f>
        <v/>
      </c>
      <c r="M459" s="60" t="str">
        <f t="array" ref="M459">iferror(index(dna!$J:$J,match($A459,dna!$A:$A,0)))</f>
        <v/>
      </c>
      <c r="N459" t="str">
        <f t="array" ref="N459">iferror(index(stomachs!$G:$G,match($A459,stomachs!$A:$A,0)))</f>
        <v/>
      </c>
      <c r="O459" t="str">
        <f t="array" ref="O459">iferror(index(stomachs!$J:$J,match($A459,stomachs!$A:$A,0)))</f>
        <v/>
      </c>
      <c r="P459" t="str">
        <f t="array" ref="P459">iferror(index(sea_lice!$G:$G,match($A459,sea_lice!$A:$A,0)))</f>
        <v/>
      </c>
      <c r="Q459" t="str">
        <f t="array" ref="Q459">iferror(index(sea_lice!$J:$J,match($A459,sea_lice!$A:$A,0)))</f>
        <v/>
      </c>
      <c r="R459" s="40" t="str">
        <f t="array" ref="R459">iferror(index(dissected_fish!$F:$F,match($A459,dissected_fish!$A:$A,0)))</f>
        <v>BCA103</v>
      </c>
      <c r="S459" s="40" t="str">
        <f t="array" ref="S459">iferror(index(dissected_fish!$K:$K,match($A459,dissected_fish!$A:$A,0)))</f>
        <v>N</v>
      </c>
      <c r="T459" s="61" t="str">
        <f t="array" ref="T459">index(fish_lab_data!O:O,match(A459,fish_lab_data!C:C,0))</f>
        <v>EJ</v>
      </c>
      <c r="U459" s="61">
        <f t="array" ref="U459">if(A459="","",index(fish_lab_data!X:X,match(A459,fish_lab_data!C:C,0)))</f>
        <v>458</v>
      </c>
    </row>
    <row r="460">
      <c r="A460" t="str">
        <f>fish_lab_data!C460</f>
        <v>U16936</v>
      </c>
      <c r="B460" t="str">
        <f t="array" ref="B460">iferror(index('rna-muscle'!$I:$I,match($A460,'rna-muscle'!$A:$A,0)))</f>
        <v>BRN62M-B12</v>
      </c>
      <c r="C460" t="str">
        <f t="array" ref="C460">iferror(index('rna-muscle'!$L:$L,match($A460,'rna-muscle'!$A:$A,0)))</f>
        <v>N</v>
      </c>
      <c r="D460" t="str">
        <f t="array" ref="D460">iferror(index('rna-gill'!$I:$I,match($A460,'rna-gill'!$A:$A,0)))</f>
        <v>BRN62G-B12</v>
      </c>
      <c r="E460" t="str">
        <f t="array" ref="E460">iferror(index('rna-gill'!$L:$L,match($A460,'rna-gill'!$A:$A,0)))</f>
        <v>N</v>
      </c>
      <c r="F460" t="str">
        <f t="array" ref="F460">iferror(index(fatty_acid!$G:$G,match($A460,fatty_acid!$A:$A,0)))</f>
        <v>BFA24-71</v>
      </c>
      <c r="G460" t="str">
        <f t="array" ref="G460">iferror(index(fatty_acid!$J:$J,match($A460,fatty_acid!$A:$A,0)))</f>
        <v>N</v>
      </c>
      <c r="H460" t="str">
        <f t="array" ref="H460">iferror(index(isotopes!$G:$G,match($A460,isotopes!$A:$A,0)))</f>
        <v>BIS28-10</v>
      </c>
      <c r="I460" t="str">
        <f t="array" ref="I460">iferror(index(isotopes!$J:$J,match($A460,isotopes!$A:$A,0)))</f>
        <v>N</v>
      </c>
      <c r="J460" t="str">
        <f t="array" ref="J460">iferror(index(extra_muscle!$G:$G,match($A460,extra_muscle!$A:$A,0)))</f>
        <v>BXM26-57</v>
      </c>
      <c r="K460" t="str">
        <f t="array" ref="K460">iferror(index(extra_muscle!$J:$J,match($A460,extra_muscle!$A:$A,0)))</f>
        <v>N</v>
      </c>
      <c r="L460" s="59" t="str">
        <f t="array" ref="L460">iferror(index(dna!$G:$G,match($A460,dna!$A:$A,0)))</f>
        <v/>
      </c>
      <c r="M460" s="60" t="str">
        <f t="array" ref="M460">iferror(index(dna!$J:$J,match($A460,dna!$A:$A,0)))</f>
        <v/>
      </c>
      <c r="N460" t="str">
        <f t="array" ref="N460">iferror(index(stomachs!$G:$G,match($A460,stomachs!$A:$A,0)))</f>
        <v/>
      </c>
      <c r="O460" t="str">
        <f t="array" ref="O460">iferror(index(stomachs!$J:$J,match($A460,stomachs!$A:$A,0)))</f>
        <v/>
      </c>
      <c r="P460" t="str">
        <f t="array" ref="P460">iferror(index(sea_lice!$G:$G,match($A460,sea_lice!$A:$A,0)))</f>
        <v>BSL6-31</v>
      </c>
      <c r="Q460" t="str">
        <f t="array" ref="Q460">iferror(index(sea_lice!$J:$J,match($A460,sea_lice!$A:$A,0)))</f>
        <v>N</v>
      </c>
      <c r="R460" s="40" t="str">
        <f t="array" ref="R460">iferror(index(dissected_fish!$F:$F,match($A460,dissected_fish!$A:$A,0)))</f>
        <v>BCA103</v>
      </c>
      <c r="S460" s="40" t="str">
        <f t="array" ref="S460">iferror(index(dissected_fish!$K:$K,match($A460,dissected_fish!$A:$A,0)))</f>
        <v>N</v>
      </c>
      <c r="T460" s="61" t="str">
        <f t="array" ref="T460">index(fish_lab_data!O:O,match(A460,fish_lab_data!C:C,0))</f>
        <v>EJ</v>
      </c>
      <c r="U460" s="61">
        <f t="array" ref="U460">if(A460="","",index(fish_lab_data!X:X,match(A460,fish_lab_data!C:C,0)))</f>
        <v>459</v>
      </c>
    </row>
    <row r="461">
      <c r="A461" t="str">
        <f>fish_lab_data!C461</f>
        <v>U16937</v>
      </c>
      <c r="B461" t="str">
        <f t="array" ref="B461">iferror(index('rna-muscle'!$I:$I,match($A461,'rna-muscle'!$A:$A,0)))</f>
        <v>BRN62M-A12</v>
      </c>
      <c r="C461" t="str">
        <f t="array" ref="C461">iferror(index('rna-muscle'!$L:$L,match($A461,'rna-muscle'!$A:$A,0)))</f>
        <v>N</v>
      </c>
      <c r="D461" t="str">
        <f t="array" ref="D461">iferror(index('rna-gill'!$I:$I,match($A461,'rna-gill'!$A:$A,0)))</f>
        <v>BRN62G-A12</v>
      </c>
      <c r="E461" t="str">
        <f t="array" ref="E461">iferror(index('rna-gill'!$L:$L,match($A461,'rna-gill'!$A:$A,0)))</f>
        <v>N</v>
      </c>
      <c r="F461" t="str">
        <f t="array" ref="F461">iferror(index(fatty_acid!$G:$G,match($A461,fatty_acid!$A:$A,0)))</f>
        <v>BFA24-72</v>
      </c>
      <c r="G461" t="str">
        <f t="array" ref="G461">iferror(index(fatty_acid!$J:$J,match($A461,fatty_acid!$A:$A,0)))</f>
        <v>N</v>
      </c>
      <c r="H461" t="str">
        <f t="array" ref="H461">iferror(index(isotopes!$G:$G,match($A461,isotopes!$A:$A,0)))</f>
        <v>BIS28-11</v>
      </c>
      <c r="I461" t="str">
        <f t="array" ref="I461">iferror(index(isotopes!$J:$J,match($A461,isotopes!$A:$A,0)))</f>
        <v>N</v>
      </c>
      <c r="J461" t="str">
        <f t="array" ref="J461">iferror(index(extra_muscle!$G:$G,match($A461,extra_muscle!$A:$A,0)))</f>
        <v>BXM26-58</v>
      </c>
      <c r="K461" t="str">
        <f t="array" ref="K461">iferror(index(extra_muscle!$J:$J,match($A461,extra_muscle!$A:$A,0)))</f>
        <v>N</v>
      </c>
      <c r="L461" s="59" t="str">
        <f t="array" ref="L461">iferror(index(dna!$G:$G,match($A461,dna!$A:$A,0)))</f>
        <v/>
      </c>
      <c r="M461" s="60" t="str">
        <f t="array" ref="M461">iferror(index(dna!$J:$J,match($A461,dna!$A:$A,0)))</f>
        <v/>
      </c>
      <c r="N461" t="str">
        <f t="array" ref="N461">iferror(index(stomachs!$G:$G,match($A461,stomachs!$A:$A,0)))</f>
        <v/>
      </c>
      <c r="O461" t="str">
        <f t="array" ref="O461">iferror(index(stomachs!$J:$J,match($A461,stomachs!$A:$A,0)))</f>
        <v/>
      </c>
      <c r="P461" t="str">
        <f t="array" ref="P461">iferror(index(sea_lice!$G:$G,match($A461,sea_lice!$A:$A,0)))</f>
        <v/>
      </c>
      <c r="Q461" t="str">
        <f t="array" ref="Q461">iferror(index(sea_lice!$J:$J,match($A461,sea_lice!$A:$A,0)))</f>
        <v/>
      </c>
      <c r="R461" s="40" t="str">
        <f t="array" ref="R461">iferror(index(dissected_fish!$F:$F,match($A461,dissected_fish!$A:$A,0)))</f>
        <v>BCA103</v>
      </c>
      <c r="S461" s="40" t="str">
        <f t="array" ref="S461">iferror(index(dissected_fish!$K:$K,match($A461,dissected_fish!$A:$A,0)))</f>
        <v>N</v>
      </c>
      <c r="T461" s="61" t="str">
        <f t="array" ref="T461">index(fish_lab_data!O:O,match(A461,fish_lab_data!C:C,0))</f>
        <v>EJ</v>
      </c>
      <c r="U461" s="61">
        <f t="array" ref="U461">if(A461="","",index(fish_lab_data!X:X,match(A461,fish_lab_data!C:C,0)))</f>
        <v>460</v>
      </c>
    </row>
    <row r="462">
      <c r="A462" t="str">
        <f>fish_lab_data!C462</f>
        <v>U17941</v>
      </c>
      <c r="B462" t="str">
        <f t="array" ref="B462">iferror(index('rna-muscle'!$I:$I,match($A462,'rna-muscle'!$A:$A,0)))</f>
        <v>BRN67M-H3</v>
      </c>
      <c r="C462" t="str">
        <f t="array" ref="C462">iferror(index('rna-muscle'!$L:$L,match($A462,'rna-muscle'!$A:$A,0)))</f>
        <v>N</v>
      </c>
      <c r="D462" t="str">
        <f t="array" ref="D462">iferror(index('rna-gill'!$I:$I,match($A462,'rna-gill'!$A:$A,0)))</f>
        <v>BRN67G-H3</v>
      </c>
      <c r="E462" t="str">
        <f t="array" ref="E462">iferror(index('rna-gill'!$L:$L,match($A462,'rna-gill'!$A:$A,0)))</f>
        <v>N</v>
      </c>
      <c r="F462" t="str">
        <f t="array" ref="F462">iferror(index(fatty_acid!$G:$G,match($A462,fatty_acid!$A:$A,0)))</f>
        <v>BFA24-73</v>
      </c>
      <c r="G462" t="str">
        <f t="array" ref="G462">iferror(index(fatty_acid!$J:$J,match($A462,fatty_acid!$A:$A,0)))</f>
        <v>N</v>
      </c>
      <c r="H462" t="str">
        <f t="array" ref="H462">iferror(index(isotopes!$G:$G,match($A462,isotopes!$A:$A,0)))</f>
        <v>BIS28-12</v>
      </c>
      <c r="I462" t="str">
        <f t="array" ref="I462">iferror(index(isotopes!$J:$J,match($A462,isotopes!$A:$A,0)))</f>
        <v>N</v>
      </c>
      <c r="J462" t="str">
        <f t="array" ref="J462">iferror(index(extra_muscle!$G:$G,match($A462,extra_muscle!$A:$A,0)))</f>
        <v>BXM26-59</v>
      </c>
      <c r="K462" t="str">
        <f t="array" ref="K462">iferror(index(extra_muscle!$J:$J,match($A462,extra_muscle!$A:$A,0)))</f>
        <v>N</v>
      </c>
      <c r="L462" s="59" t="str">
        <f t="array" ref="L462">iferror(index(dna!$G:$G,match($A462,dna!$A:$A,0)))</f>
        <v/>
      </c>
      <c r="M462" s="60" t="str">
        <f t="array" ref="M462">iferror(index(dna!$J:$J,match($A462,dna!$A:$A,0)))</f>
        <v/>
      </c>
      <c r="N462" t="str">
        <f t="array" ref="N462">iferror(index(stomachs!$G:$G,match($A462,stomachs!$A:$A,0)))</f>
        <v/>
      </c>
      <c r="O462" t="str">
        <f t="array" ref="O462">iferror(index(stomachs!$J:$J,match($A462,stomachs!$A:$A,0)))</f>
        <v/>
      </c>
      <c r="P462" t="str">
        <f t="array" ref="P462">iferror(index(sea_lice!$G:$G,match($A462,sea_lice!$A:$A,0)))</f>
        <v>BSL6-32</v>
      </c>
      <c r="Q462" t="str">
        <f t="array" ref="Q462">iferror(index(sea_lice!$J:$J,match($A462,sea_lice!$A:$A,0)))</f>
        <v>N</v>
      </c>
      <c r="R462" s="40" t="str">
        <f t="array" ref="R462">iferror(index(dissected_fish!$F:$F,match($A462,dissected_fish!$A:$A,0)))</f>
        <v>BCA103</v>
      </c>
      <c r="S462" s="40" t="str">
        <f t="array" ref="S462">iferror(index(dissected_fish!$K:$K,match($A462,dissected_fish!$A:$A,0)))</f>
        <v>N</v>
      </c>
      <c r="T462" s="61" t="str">
        <f t="array" ref="T462">index(fish_lab_data!O:O,match(A462,fish_lab_data!C:C,0))</f>
        <v>EJ</v>
      </c>
      <c r="U462" s="61">
        <f t="array" ref="U462">if(A462="","",index(fish_lab_data!X:X,match(A462,fish_lab_data!C:C,0)))</f>
        <v>461</v>
      </c>
    </row>
    <row r="463">
      <c r="A463" t="str">
        <f>fish_lab_data!C463</f>
        <v>U17942</v>
      </c>
      <c r="B463" t="str">
        <f t="array" ref="B463">iferror(index('rna-muscle'!$I:$I,match($A463,'rna-muscle'!$A:$A,0)))</f>
        <v>BRN67M-G3</v>
      </c>
      <c r="C463" t="str">
        <f t="array" ref="C463">iferror(index('rna-muscle'!$L:$L,match($A463,'rna-muscle'!$A:$A,0)))</f>
        <v>N</v>
      </c>
      <c r="D463" t="str">
        <f t="array" ref="D463">iferror(index('rna-gill'!$I:$I,match($A463,'rna-gill'!$A:$A,0)))</f>
        <v>BRN67G-G3</v>
      </c>
      <c r="E463" t="str">
        <f t="array" ref="E463">iferror(index('rna-gill'!$L:$L,match($A463,'rna-gill'!$A:$A,0)))</f>
        <v>N</v>
      </c>
      <c r="F463" t="str">
        <f t="array" ref="F463">iferror(index(fatty_acid!$G:$G,match($A463,fatty_acid!$A:$A,0)))</f>
        <v>BFA24-74</v>
      </c>
      <c r="G463" t="str">
        <f t="array" ref="G463">iferror(index(fatty_acid!$J:$J,match($A463,fatty_acid!$A:$A,0)))</f>
        <v>N</v>
      </c>
      <c r="H463" t="str">
        <f t="array" ref="H463">iferror(index(isotopes!$G:$G,match($A463,isotopes!$A:$A,0)))</f>
        <v>BIS28-13</v>
      </c>
      <c r="I463" t="str">
        <f t="array" ref="I463">iferror(index(isotopes!$J:$J,match($A463,isotopes!$A:$A,0)))</f>
        <v>N</v>
      </c>
      <c r="J463" t="str">
        <f t="array" ref="J463">iferror(index(extra_muscle!$G:$G,match($A463,extra_muscle!$A:$A,0)))</f>
        <v>BXM26-60</v>
      </c>
      <c r="K463" t="str">
        <f t="array" ref="K463">iferror(index(extra_muscle!$J:$J,match($A463,extra_muscle!$A:$A,0)))</f>
        <v>N</v>
      </c>
      <c r="L463" s="59" t="str">
        <f t="array" ref="L463">iferror(index(dna!$G:$G,match($A463,dna!$A:$A,0)))</f>
        <v/>
      </c>
      <c r="M463" s="60" t="str">
        <f t="array" ref="M463">iferror(index(dna!$J:$J,match($A463,dna!$A:$A,0)))</f>
        <v/>
      </c>
      <c r="N463" t="str">
        <f t="array" ref="N463">iferror(index(stomachs!$G:$G,match($A463,stomachs!$A:$A,0)))</f>
        <v/>
      </c>
      <c r="O463" t="str">
        <f t="array" ref="O463">iferror(index(stomachs!$J:$J,match($A463,stomachs!$A:$A,0)))</f>
        <v/>
      </c>
      <c r="P463" t="str">
        <f t="array" ref="P463">iferror(index(sea_lice!$G:$G,match($A463,sea_lice!$A:$A,0)))</f>
        <v/>
      </c>
      <c r="Q463" t="str">
        <f t="array" ref="Q463">iferror(index(sea_lice!$J:$J,match($A463,sea_lice!$A:$A,0)))</f>
        <v/>
      </c>
      <c r="R463" s="40" t="str">
        <f t="array" ref="R463">iferror(index(dissected_fish!$F:$F,match($A463,dissected_fish!$A:$A,0)))</f>
        <v>BCA103</v>
      </c>
      <c r="S463" s="40" t="str">
        <f t="array" ref="S463">iferror(index(dissected_fish!$K:$K,match($A463,dissected_fish!$A:$A,0)))</f>
        <v>N</v>
      </c>
      <c r="T463" s="61" t="str">
        <f t="array" ref="T463">index(fish_lab_data!O:O,match(A463,fish_lab_data!C:C,0))</f>
        <v>EJ</v>
      </c>
      <c r="U463" s="61">
        <f t="array" ref="U463">if(A463="","",index(fish_lab_data!X:X,match(A463,fish_lab_data!C:C,0)))</f>
        <v>462</v>
      </c>
    </row>
    <row r="464">
      <c r="A464" t="str">
        <f>fish_lab_data!C464</f>
        <v>U17943</v>
      </c>
      <c r="B464" t="str">
        <f t="array" ref="B464">iferror(index('rna-muscle'!$I:$I,match($A464,'rna-muscle'!$A:$A,0)))</f>
        <v>BRN67M-F3</v>
      </c>
      <c r="C464" t="str">
        <f t="array" ref="C464">iferror(index('rna-muscle'!$L:$L,match($A464,'rna-muscle'!$A:$A,0)))</f>
        <v>N</v>
      </c>
      <c r="D464" t="str">
        <f t="array" ref="D464">iferror(index('rna-gill'!$I:$I,match($A464,'rna-gill'!$A:$A,0)))</f>
        <v>BRN67G-F3</v>
      </c>
      <c r="E464" t="str">
        <f t="array" ref="E464">iferror(index('rna-gill'!$L:$L,match($A464,'rna-gill'!$A:$A,0)))</f>
        <v>N</v>
      </c>
      <c r="F464" t="str">
        <f t="array" ref="F464">iferror(index(fatty_acid!$G:$G,match($A464,fatty_acid!$A:$A,0)))</f>
        <v>BFA24-75</v>
      </c>
      <c r="G464" t="str">
        <f t="array" ref="G464">iferror(index(fatty_acid!$J:$J,match($A464,fatty_acid!$A:$A,0)))</f>
        <v>N</v>
      </c>
      <c r="H464" t="str">
        <f t="array" ref="H464">iferror(index(isotopes!$G:$G,match($A464,isotopes!$A:$A,0)))</f>
        <v>BIS28-14</v>
      </c>
      <c r="I464" t="str">
        <f t="array" ref="I464">iferror(index(isotopes!$J:$J,match($A464,isotopes!$A:$A,0)))</f>
        <v>N</v>
      </c>
      <c r="J464" t="str">
        <f t="array" ref="J464">iferror(index(extra_muscle!$G:$G,match($A464,extra_muscle!$A:$A,0)))</f>
        <v>BXM26-61</v>
      </c>
      <c r="K464" t="str">
        <f t="array" ref="K464">iferror(index(extra_muscle!$J:$J,match($A464,extra_muscle!$A:$A,0)))</f>
        <v>N</v>
      </c>
      <c r="L464" s="59" t="str">
        <f t="array" ref="L464">iferror(index(dna!$G:$G,match($A464,dna!$A:$A,0)))</f>
        <v/>
      </c>
      <c r="M464" s="60" t="str">
        <f t="array" ref="M464">iferror(index(dna!$J:$J,match($A464,dna!$A:$A,0)))</f>
        <v/>
      </c>
      <c r="N464" t="str">
        <f t="array" ref="N464">iferror(index(stomachs!$G:$G,match($A464,stomachs!$A:$A,0)))</f>
        <v/>
      </c>
      <c r="O464" t="str">
        <f t="array" ref="O464">iferror(index(stomachs!$J:$J,match($A464,stomachs!$A:$A,0)))</f>
        <v/>
      </c>
      <c r="P464" t="str">
        <f t="array" ref="P464">iferror(index(sea_lice!$G:$G,match($A464,sea_lice!$A:$A,0)))</f>
        <v>BSL6-33</v>
      </c>
      <c r="Q464" t="str">
        <f t="array" ref="Q464">iferror(index(sea_lice!$J:$J,match($A464,sea_lice!$A:$A,0)))</f>
        <v>N</v>
      </c>
      <c r="R464" s="40" t="str">
        <f t="array" ref="R464">iferror(index(dissected_fish!$F:$F,match($A464,dissected_fish!$A:$A,0)))</f>
        <v>BCA103</v>
      </c>
      <c r="S464" s="40" t="str">
        <f t="array" ref="S464">iferror(index(dissected_fish!$K:$K,match($A464,dissected_fish!$A:$A,0)))</f>
        <v>N</v>
      </c>
      <c r="T464" s="61" t="str">
        <f t="array" ref="T464">index(fish_lab_data!O:O,match(A464,fish_lab_data!C:C,0))</f>
        <v>EJ</v>
      </c>
      <c r="U464" s="61">
        <f t="array" ref="U464">if(A464="","",index(fish_lab_data!X:X,match(A464,fish_lab_data!C:C,0)))</f>
        <v>463</v>
      </c>
    </row>
    <row r="465">
      <c r="A465" t="str">
        <f>fish_lab_data!C465</f>
        <v>U17944</v>
      </c>
      <c r="B465" t="str">
        <f t="array" ref="B465">iferror(index('rna-muscle'!$I:$I,match($A465,'rna-muscle'!$A:$A,0)))</f>
        <v>BRN67M-E3</v>
      </c>
      <c r="C465" t="str">
        <f t="array" ref="C465">iferror(index('rna-muscle'!$L:$L,match($A465,'rna-muscle'!$A:$A,0)))</f>
        <v>N</v>
      </c>
      <c r="D465" t="str">
        <f t="array" ref="D465">iferror(index('rna-gill'!$I:$I,match($A465,'rna-gill'!$A:$A,0)))</f>
        <v>BRN67G-E3</v>
      </c>
      <c r="E465" t="str">
        <f t="array" ref="E465">iferror(index('rna-gill'!$L:$L,match($A465,'rna-gill'!$A:$A,0)))</f>
        <v>N</v>
      </c>
      <c r="F465" t="str">
        <f t="array" ref="F465">iferror(index(fatty_acid!$G:$G,match($A465,fatty_acid!$A:$A,0)))</f>
        <v>BFA24-76</v>
      </c>
      <c r="G465" t="str">
        <f t="array" ref="G465">iferror(index(fatty_acid!$J:$J,match($A465,fatty_acid!$A:$A,0)))</f>
        <v>N</v>
      </c>
      <c r="H465" t="str">
        <f t="array" ref="H465">iferror(index(isotopes!$G:$G,match($A465,isotopes!$A:$A,0)))</f>
        <v>BIS28-15</v>
      </c>
      <c r="I465" t="str">
        <f t="array" ref="I465">iferror(index(isotopes!$J:$J,match($A465,isotopes!$A:$A,0)))</f>
        <v>N</v>
      </c>
      <c r="J465" t="str">
        <f t="array" ref="J465">iferror(index(extra_muscle!$G:$G,match($A465,extra_muscle!$A:$A,0)))</f>
        <v>BXM26-62</v>
      </c>
      <c r="K465" t="str">
        <f t="array" ref="K465">iferror(index(extra_muscle!$J:$J,match($A465,extra_muscle!$A:$A,0)))</f>
        <v>N</v>
      </c>
      <c r="L465" s="59" t="str">
        <f t="array" ref="L465">iferror(index(dna!$G:$G,match($A465,dna!$A:$A,0)))</f>
        <v/>
      </c>
      <c r="M465" s="60" t="str">
        <f t="array" ref="M465">iferror(index(dna!$J:$J,match($A465,dna!$A:$A,0)))</f>
        <v/>
      </c>
      <c r="N465" t="str">
        <f t="array" ref="N465">iferror(index(stomachs!$G:$G,match($A465,stomachs!$A:$A,0)))</f>
        <v/>
      </c>
      <c r="O465" t="str">
        <f t="array" ref="O465">iferror(index(stomachs!$J:$J,match($A465,stomachs!$A:$A,0)))</f>
        <v/>
      </c>
      <c r="P465" t="str">
        <f t="array" ref="P465">iferror(index(sea_lice!$G:$G,match($A465,sea_lice!$A:$A,0)))</f>
        <v/>
      </c>
      <c r="Q465" t="str">
        <f t="array" ref="Q465">iferror(index(sea_lice!$J:$J,match($A465,sea_lice!$A:$A,0)))</f>
        <v/>
      </c>
      <c r="R465" s="40" t="str">
        <f t="array" ref="R465">iferror(index(dissected_fish!$F:$F,match($A465,dissected_fish!$A:$A,0)))</f>
        <v>BCA103</v>
      </c>
      <c r="S465" s="40" t="str">
        <f t="array" ref="S465">iferror(index(dissected_fish!$K:$K,match($A465,dissected_fish!$A:$A,0)))</f>
        <v>N</v>
      </c>
      <c r="T465" s="61" t="str">
        <f t="array" ref="T465">index(fish_lab_data!O:O,match(A465,fish_lab_data!C:C,0))</f>
        <v>EJ</v>
      </c>
      <c r="U465" s="61">
        <f t="array" ref="U465">if(A465="","",index(fish_lab_data!X:X,match(A465,fish_lab_data!C:C,0)))</f>
        <v>464</v>
      </c>
    </row>
    <row r="466">
      <c r="A466" t="str">
        <f>fish_lab_data!C466</f>
        <v>U17411</v>
      </c>
      <c r="B466" t="str">
        <f t="array" ref="B466">iferror(index('rna-muscle'!$I:$I,match($A466,'rna-muscle'!$A:$A,0)))</f>
        <v>BRN67M-D3</v>
      </c>
      <c r="C466" t="str">
        <f t="array" ref="C466">iferror(index('rna-muscle'!$L:$L,match($A466,'rna-muscle'!$A:$A,0)))</f>
        <v>N</v>
      </c>
      <c r="D466" t="str">
        <f t="array" ref="D466">iferror(index('rna-gill'!$I:$I,match($A466,'rna-gill'!$A:$A,0)))</f>
        <v>BRN67G-D3</v>
      </c>
      <c r="E466" t="str">
        <f t="array" ref="E466">iferror(index('rna-gill'!$L:$L,match($A466,'rna-gill'!$A:$A,0)))</f>
        <v>N</v>
      </c>
      <c r="F466" t="str">
        <f t="array" ref="F466">iferror(index(fatty_acid!$G:$G,match($A466,fatty_acid!$A:$A,0)))</f>
        <v>BFA24-77</v>
      </c>
      <c r="G466" t="str">
        <f t="array" ref="G466">iferror(index(fatty_acid!$J:$J,match($A466,fatty_acid!$A:$A,0)))</f>
        <v>N</v>
      </c>
      <c r="H466" t="str">
        <f t="array" ref="H466">iferror(index(isotopes!$G:$G,match($A466,isotopes!$A:$A,0)))</f>
        <v>BIS28-16</v>
      </c>
      <c r="I466" t="str">
        <f t="array" ref="I466">iferror(index(isotopes!$J:$J,match($A466,isotopes!$A:$A,0)))</f>
        <v>N</v>
      </c>
      <c r="J466" t="str">
        <f t="array" ref="J466">iferror(index(extra_muscle!$G:$G,match($A466,extra_muscle!$A:$A,0)))</f>
        <v>BXM26-63</v>
      </c>
      <c r="K466" t="str">
        <f t="array" ref="K466">iferror(index(extra_muscle!$J:$J,match($A466,extra_muscle!$A:$A,0)))</f>
        <v>N</v>
      </c>
      <c r="L466" s="59" t="str">
        <f t="array" ref="L466">iferror(index(dna!$G:$G,match($A466,dna!$A:$A,0)))</f>
        <v/>
      </c>
      <c r="M466" s="60" t="str">
        <f t="array" ref="M466">iferror(index(dna!$J:$J,match($A466,dna!$A:$A,0)))</f>
        <v/>
      </c>
      <c r="N466" t="str">
        <f t="array" ref="N466">iferror(index(stomachs!$G:$G,match($A466,stomachs!$A:$A,0)))</f>
        <v/>
      </c>
      <c r="O466" t="str">
        <f t="array" ref="O466">iferror(index(stomachs!$J:$J,match($A466,stomachs!$A:$A,0)))</f>
        <v/>
      </c>
      <c r="P466" t="str">
        <f t="array" ref="P466">iferror(index(sea_lice!$G:$G,match($A466,sea_lice!$A:$A,0)))</f>
        <v/>
      </c>
      <c r="Q466" t="str">
        <f t="array" ref="Q466">iferror(index(sea_lice!$J:$J,match($A466,sea_lice!$A:$A,0)))</f>
        <v/>
      </c>
      <c r="R466" s="40" t="str">
        <f t="array" ref="R466">iferror(index(dissected_fish!$F:$F,match($A466,dissected_fish!$A:$A,0)))</f>
        <v>BCA104</v>
      </c>
      <c r="S466" s="40" t="str">
        <f t="array" ref="S466">iferror(index(dissected_fish!$K:$K,match($A466,dissected_fish!$A:$A,0)))</f>
        <v>N</v>
      </c>
      <c r="T466" s="61" t="str">
        <f t="array" ref="T466">index(fish_lab_data!O:O,match(A466,fish_lab_data!C:C,0))</f>
        <v>EJ</v>
      </c>
      <c r="U466" s="61">
        <f t="array" ref="U466">if(A466="","",index(fish_lab_data!X:X,match(A466,fish_lab_data!C:C,0)))</f>
        <v>465</v>
      </c>
    </row>
    <row r="467">
      <c r="A467" t="str">
        <f>fish_lab_data!C467</f>
        <v>U17412</v>
      </c>
      <c r="B467" t="str">
        <f t="array" ref="B467">iferror(index('rna-muscle'!$I:$I,match($A467,'rna-muscle'!$A:$A,0)))</f>
        <v>BRN67M-C3</v>
      </c>
      <c r="C467" t="str">
        <f t="array" ref="C467">iferror(index('rna-muscle'!$L:$L,match($A467,'rna-muscle'!$A:$A,0)))</f>
        <v>N</v>
      </c>
      <c r="D467" t="str">
        <f t="array" ref="D467">iferror(index('rna-gill'!$I:$I,match($A467,'rna-gill'!$A:$A,0)))</f>
        <v>BRN67G-C3</v>
      </c>
      <c r="E467" t="str">
        <f t="array" ref="E467">iferror(index('rna-gill'!$L:$L,match($A467,'rna-gill'!$A:$A,0)))</f>
        <v>N</v>
      </c>
      <c r="F467" t="str">
        <f t="array" ref="F467">iferror(index(fatty_acid!$G:$G,match($A467,fatty_acid!$A:$A,0)))</f>
        <v>BFA24-78</v>
      </c>
      <c r="G467" t="str">
        <f t="array" ref="G467">iferror(index(fatty_acid!$J:$J,match($A467,fatty_acid!$A:$A,0)))</f>
        <v>N</v>
      </c>
      <c r="H467" t="str">
        <f t="array" ref="H467">iferror(index(isotopes!$G:$G,match($A467,isotopes!$A:$A,0)))</f>
        <v>BIS28-17</v>
      </c>
      <c r="I467" t="str">
        <f t="array" ref="I467">iferror(index(isotopes!$J:$J,match($A467,isotopes!$A:$A,0)))</f>
        <v>N</v>
      </c>
      <c r="J467" t="str">
        <f t="array" ref="J467">iferror(index(extra_muscle!$G:$G,match($A467,extra_muscle!$A:$A,0)))</f>
        <v>BXM26-64</v>
      </c>
      <c r="K467" t="str">
        <f t="array" ref="K467">iferror(index(extra_muscle!$J:$J,match($A467,extra_muscle!$A:$A,0)))</f>
        <v>N</v>
      </c>
      <c r="L467" s="59" t="str">
        <f t="array" ref="L467">iferror(index(dna!$G:$G,match($A467,dna!$A:$A,0)))</f>
        <v/>
      </c>
      <c r="M467" s="60" t="str">
        <f t="array" ref="M467">iferror(index(dna!$J:$J,match($A467,dna!$A:$A,0)))</f>
        <v/>
      </c>
      <c r="N467" t="str">
        <f t="array" ref="N467">iferror(index(stomachs!$G:$G,match($A467,stomachs!$A:$A,0)))</f>
        <v/>
      </c>
      <c r="O467" t="str">
        <f t="array" ref="O467">iferror(index(stomachs!$J:$J,match($A467,stomachs!$A:$A,0)))</f>
        <v/>
      </c>
      <c r="P467" t="str">
        <f t="array" ref="P467">iferror(index(sea_lice!$G:$G,match($A467,sea_lice!$A:$A,0)))</f>
        <v/>
      </c>
      <c r="Q467" t="str">
        <f t="array" ref="Q467">iferror(index(sea_lice!$J:$J,match($A467,sea_lice!$A:$A,0)))</f>
        <v/>
      </c>
      <c r="R467" s="40" t="str">
        <f t="array" ref="R467">iferror(index(dissected_fish!$F:$F,match($A467,dissected_fish!$A:$A,0)))</f>
        <v>BCA104</v>
      </c>
      <c r="S467" s="40" t="str">
        <f t="array" ref="S467">iferror(index(dissected_fish!$K:$K,match($A467,dissected_fish!$A:$A,0)))</f>
        <v>N</v>
      </c>
      <c r="T467" s="61" t="str">
        <f t="array" ref="T467">index(fish_lab_data!O:O,match(A467,fish_lab_data!C:C,0))</f>
        <v>EJ</v>
      </c>
      <c r="U467" s="61">
        <f t="array" ref="U467">if(A467="","",index(fish_lab_data!X:X,match(A467,fish_lab_data!C:C,0)))</f>
        <v>466</v>
      </c>
    </row>
    <row r="468">
      <c r="A468" t="str">
        <f>fish_lab_data!C468</f>
        <v>U17413</v>
      </c>
      <c r="B468" t="str">
        <f t="array" ref="B468">iferror(index('rna-muscle'!$I:$I,match($A468,'rna-muscle'!$A:$A,0)))</f>
        <v>BRN67M-B3</v>
      </c>
      <c r="C468" t="str">
        <f t="array" ref="C468">iferror(index('rna-muscle'!$L:$L,match($A468,'rna-muscle'!$A:$A,0)))</f>
        <v>N</v>
      </c>
      <c r="D468" t="str">
        <f t="array" ref="D468">iferror(index('rna-gill'!$I:$I,match($A468,'rna-gill'!$A:$A,0)))</f>
        <v>BRN67G-B3</v>
      </c>
      <c r="E468" t="str">
        <f t="array" ref="E468">iferror(index('rna-gill'!$L:$L,match($A468,'rna-gill'!$A:$A,0)))</f>
        <v>N</v>
      </c>
      <c r="F468" t="str">
        <f t="array" ref="F468">iferror(index(fatty_acid!$G:$G,match($A468,fatty_acid!$A:$A,0)))</f>
        <v>BFA24-79</v>
      </c>
      <c r="G468" t="str">
        <f t="array" ref="G468">iferror(index(fatty_acid!$J:$J,match($A468,fatty_acid!$A:$A,0)))</f>
        <v>N</v>
      </c>
      <c r="H468" t="str">
        <f t="array" ref="H468">iferror(index(isotopes!$G:$G,match($A468,isotopes!$A:$A,0)))</f>
        <v>BIS28-18</v>
      </c>
      <c r="I468" t="str">
        <f t="array" ref="I468">iferror(index(isotopes!$J:$J,match($A468,isotopes!$A:$A,0)))</f>
        <v>N</v>
      </c>
      <c r="J468" t="str">
        <f t="array" ref="J468">iferror(index(extra_muscle!$G:$G,match($A468,extra_muscle!$A:$A,0)))</f>
        <v>BXM26-65</v>
      </c>
      <c r="K468" t="str">
        <f t="array" ref="K468">iferror(index(extra_muscle!$J:$J,match($A468,extra_muscle!$A:$A,0)))</f>
        <v>N</v>
      </c>
      <c r="L468" s="59" t="str">
        <f t="array" ref="L468">iferror(index(dna!$G:$G,match($A468,dna!$A:$A,0)))</f>
        <v/>
      </c>
      <c r="M468" s="60" t="str">
        <f t="array" ref="M468">iferror(index(dna!$J:$J,match($A468,dna!$A:$A,0)))</f>
        <v/>
      </c>
      <c r="N468" t="str">
        <f t="array" ref="N468">iferror(index(stomachs!$G:$G,match($A468,stomachs!$A:$A,0)))</f>
        <v/>
      </c>
      <c r="O468" t="str">
        <f t="array" ref="O468">iferror(index(stomachs!$J:$J,match($A468,stomachs!$A:$A,0)))</f>
        <v/>
      </c>
      <c r="P468" t="str">
        <f t="array" ref="P468">iferror(index(sea_lice!$G:$G,match($A468,sea_lice!$A:$A,0)))</f>
        <v/>
      </c>
      <c r="Q468" t="str">
        <f t="array" ref="Q468">iferror(index(sea_lice!$J:$J,match($A468,sea_lice!$A:$A,0)))</f>
        <v/>
      </c>
      <c r="R468" s="40" t="str">
        <f t="array" ref="R468">iferror(index(dissected_fish!$F:$F,match($A468,dissected_fish!$A:$A,0)))</f>
        <v>BCA104</v>
      </c>
      <c r="S468" s="40" t="str">
        <f t="array" ref="S468">iferror(index(dissected_fish!$K:$K,match($A468,dissected_fish!$A:$A,0)))</f>
        <v>N</v>
      </c>
      <c r="T468" s="61" t="str">
        <f t="array" ref="T468">index(fish_lab_data!O:O,match(A468,fish_lab_data!C:C,0))</f>
        <v>EJ</v>
      </c>
      <c r="U468" s="61">
        <f t="array" ref="U468">if(A468="","",index(fish_lab_data!X:X,match(A468,fish_lab_data!C:C,0)))</f>
        <v>467</v>
      </c>
    </row>
    <row r="469">
      <c r="A469" t="str">
        <f>fish_lab_data!C469</f>
        <v>U17414</v>
      </c>
      <c r="B469" t="str">
        <f t="array" ref="B469">iferror(index('rna-muscle'!$I:$I,match($A469,'rna-muscle'!$A:$A,0)))</f>
        <v>BRN67M-A3</v>
      </c>
      <c r="C469" t="str">
        <f t="array" ref="C469">iferror(index('rna-muscle'!$L:$L,match($A469,'rna-muscle'!$A:$A,0)))</f>
        <v>N</v>
      </c>
      <c r="D469" t="str">
        <f t="array" ref="D469">iferror(index('rna-gill'!$I:$I,match($A469,'rna-gill'!$A:$A,0)))</f>
        <v>BRN67G-A3</v>
      </c>
      <c r="E469" t="str">
        <f t="array" ref="E469">iferror(index('rna-gill'!$L:$L,match($A469,'rna-gill'!$A:$A,0)))</f>
        <v>N</v>
      </c>
      <c r="F469" t="str">
        <f t="array" ref="F469">iferror(index(fatty_acid!$G:$G,match($A469,fatty_acid!$A:$A,0)))</f>
        <v>BFA24-80</v>
      </c>
      <c r="G469" t="str">
        <f t="array" ref="G469">iferror(index(fatty_acid!$J:$J,match($A469,fatty_acid!$A:$A,0)))</f>
        <v>N</v>
      </c>
      <c r="H469" t="str">
        <f t="array" ref="H469">iferror(index(isotopes!$G:$G,match($A469,isotopes!$A:$A,0)))</f>
        <v>BIS28-19</v>
      </c>
      <c r="I469" t="str">
        <f t="array" ref="I469">iferror(index(isotopes!$J:$J,match($A469,isotopes!$A:$A,0)))</f>
        <v>N</v>
      </c>
      <c r="J469" t="str">
        <f t="array" ref="J469">iferror(index(extra_muscle!$G:$G,match($A469,extra_muscle!$A:$A,0)))</f>
        <v>BXM26-66</v>
      </c>
      <c r="K469" t="str">
        <f t="array" ref="K469">iferror(index(extra_muscle!$J:$J,match($A469,extra_muscle!$A:$A,0)))</f>
        <v>N</v>
      </c>
      <c r="L469" s="59" t="str">
        <f t="array" ref="L469">iferror(index(dna!$G:$G,match($A469,dna!$A:$A,0)))</f>
        <v/>
      </c>
      <c r="M469" s="60" t="str">
        <f t="array" ref="M469">iferror(index(dna!$J:$J,match($A469,dna!$A:$A,0)))</f>
        <v/>
      </c>
      <c r="N469" t="str">
        <f t="array" ref="N469">iferror(index(stomachs!$G:$G,match($A469,stomachs!$A:$A,0)))</f>
        <v/>
      </c>
      <c r="O469" t="str">
        <f t="array" ref="O469">iferror(index(stomachs!$J:$J,match($A469,stomachs!$A:$A,0)))</f>
        <v/>
      </c>
      <c r="P469" t="str">
        <f t="array" ref="P469">iferror(index(sea_lice!$G:$G,match($A469,sea_lice!$A:$A,0)))</f>
        <v/>
      </c>
      <c r="Q469" t="str">
        <f t="array" ref="Q469">iferror(index(sea_lice!$J:$J,match($A469,sea_lice!$A:$A,0)))</f>
        <v/>
      </c>
      <c r="R469" s="40" t="str">
        <f t="array" ref="R469">iferror(index(dissected_fish!$F:$F,match($A469,dissected_fish!$A:$A,0)))</f>
        <v>BCA104</v>
      </c>
      <c r="S469" s="40" t="str">
        <f t="array" ref="S469">iferror(index(dissected_fish!$K:$K,match($A469,dissected_fish!$A:$A,0)))</f>
        <v>N</v>
      </c>
      <c r="T469" s="61" t="str">
        <f t="array" ref="T469">index(fish_lab_data!O:O,match(A469,fish_lab_data!C:C,0))</f>
        <v>EJ</v>
      </c>
      <c r="U469" s="61">
        <f t="array" ref="U469">if(A469="","",index(fish_lab_data!X:X,match(A469,fish_lab_data!C:C,0)))</f>
        <v>468</v>
      </c>
    </row>
    <row r="470">
      <c r="A470" t="str">
        <f>fish_lab_data!C470</f>
        <v>U17415</v>
      </c>
      <c r="B470" t="str">
        <f t="array" ref="B470">iferror(index('rna-muscle'!$I:$I,match($A470,'rna-muscle'!$A:$A,0)))</f>
        <v>BRN67M-H5</v>
      </c>
      <c r="C470" t="str">
        <f t="array" ref="C470">iferror(index('rna-muscle'!$L:$L,match($A470,'rna-muscle'!$A:$A,0)))</f>
        <v>N</v>
      </c>
      <c r="D470" t="str">
        <f t="array" ref="D470">iferror(index('rna-gill'!$I:$I,match($A470,'rna-gill'!$A:$A,0)))</f>
        <v>BRN67G-H5</v>
      </c>
      <c r="E470" t="str">
        <f t="array" ref="E470">iferror(index('rna-gill'!$L:$L,match($A470,'rna-gill'!$A:$A,0)))</f>
        <v>N</v>
      </c>
      <c r="F470" t="str">
        <f t="array" ref="F470">iferror(index(fatty_acid!$G:$G,match($A470,fatty_acid!$A:$A,0)))</f>
        <v>BFA24-81</v>
      </c>
      <c r="G470" t="str">
        <f t="array" ref="G470">iferror(index(fatty_acid!$J:$J,match($A470,fatty_acid!$A:$A,0)))</f>
        <v>N</v>
      </c>
      <c r="H470" t="str">
        <f t="array" ref="H470">iferror(index(isotopes!$G:$G,match($A470,isotopes!$A:$A,0)))</f>
        <v>BIS28-20</v>
      </c>
      <c r="I470" t="str">
        <f t="array" ref="I470">iferror(index(isotopes!$J:$J,match($A470,isotopes!$A:$A,0)))</f>
        <v>N</v>
      </c>
      <c r="J470" t="str">
        <f t="array" ref="J470">iferror(index(extra_muscle!$G:$G,match($A470,extra_muscle!$A:$A,0)))</f>
        <v>BXM26-67</v>
      </c>
      <c r="K470" t="str">
        <f t="array" ref="K470">iferror(index(extra_muscle!$J:$J,match($A470,extra_muscle!$A:$A,0)))</f>
        <v>N</v>
      </c>
      <c r="L470" s="59" t="str">
        <f t="array" ref="L470">iferror(index(dna!$G:$G,match($A470,dna!$A:$A,0)))</f>
        <v/>
      </c>
      <c r="M470" s="60" t="str">
        <f t="array" ref="M470">iferror(index(dna!$J:$J,match($A470,dna!$A:$A,0)))</f>
        <v/>
      </c>
      <c r="N470" t="str">
        <f t="array" ref="N470">iferror(index(stomachs!$G:$G,match($A470,stomachs!$A:$A,0)))</f>
        <v/>
      </c>
      <c r="O470" t="str">
        <f t="array" ref="O470">iferror(index(stomachs!$J:$J,match($A470,stomachs!$A:$A,0)))</f>
        <v/>
      </c>
      <c r="P470" t="str">
        <f t="array" ref="P470">iferror(index(sea_lice!$G:$G,match($A470,sea_lice!$A:$A,0)))</f>
        <v/>
      </c>
      <c r="Q470" t="str">
        <f t="array" ref="Q470">iferror(index(sea_lice!$J:$J,match($A470,sea_lice!$A:$A,0)))</f>
        <v/>
      </c>
      <c r="R470" s="40" t="str">
        <f t="array" ref="R470">iferror(index(dissected_fish!$F:$F,match($A470,dissected_fish!$A:$A,0)))</f>
        <v>BCA104</v>
      </c>
      <c r="S470" s="40" t="str">
        <f t="array" ref="S470">iferror(index(dissected_fish!$K:$K,match($A470,dissected_fish!$A:$A,0)))</f>
        <v>N</v>
      </c>
      <c r="T470" s="61" t="str">
        <f t="array" ref="T470">index(fish_lab_data!O:O,match(A470,fish_lab_data!C:C,0))</f>
        <v>EJ</v>
      </c>
      <c r="U470" s="61">
        <f t="array" ref="U470">if(A470="","",index(fish_lab_data!X:X,match(A470,fish_lab_data!C:C,0)))</f>
        <v>469</v>
      </c>
    </row>
    <row r="471">
      <c r="A471" t="str">
        <f>fish_lab_data!C471</f>
        <v>U17416</v>
      </c>
      <c r="B471" t="str">
        <f t="array" ref="B471">iferror(index('rna-muscle'!$I:$I,match($A471,'rna-muscle'!$A:$A,0)))</f>
        <v>BRN67M-G5</v>
      </c>
      <c r="C471" t="str">
        <f t="array" ref="C471">iferror(index('rna-muscle'!$L:$L,match($A471,'rna-muscle'!$A:$A,0)))</f>
        <v>N</v>
      </c>
      <c r="D471" t="str">
        <f t="array" ref="D471">iferror(index('rna-gill'!$I:$I,match($A471,'rna-gill'!$A:$A,0)))</f>
        <v>BRN67G-G5</v>
      </c>
      <c r="E471" t="str">
        <f t="array" ref="E471">iferror(index('rna-gill'!$L:$L,match($A471,'rna-gill'!$A:$A,0)))</f>
        <v>N</v>
      </c>
      <c r="F471" t="str">
        <f t="array" ref="F471">iferror(index(fatty_acid!$G:$G,match($A471,fatty_acid!$A:$A,0)))</f>
        <v>BFA27-1</v>
      </c>
      <c r="G471" t="str">
        <f t="array" ref="G471">iferror(index(fatty_acid!$J:$J,match($A471,fatty_acid!$A:$A,0)))</f>
        <v>N</v>
      </c>
      <c r="H471" t="str">
        <f t="array" ref="H471">iferror(index(isotopes!$G:$G,match($A471,isotopes!$A:$A,0)))</f>
        <v>BIS28-21</v>
      </c>
      <c r="I471" t="str">
        <f t="array" ref="I471">iferror(index(isotopes!$J:$J,match($A471,isotopes!$A:$A,0)))</f>
        <v>N</v>
      </c>
      <c r="J471" t="str">
        <f t="array" ref="J471">iferror(index(extra_muscle!$G:$G,match($A471,extra_muscle!$A:$A,0)))</f>
        <v>BXM26-68</v>
      </c>
      <c r="K471" t="str">
        <f t="array" ref="K471">iferror(index(extra_muscle!$J:$J,match($A471,extra_muscle!$A:$A,0)))</f>
        <v>N</v>
      </c>
      <c r="L471" s="59" t="str">
        <f t="array" ref="L471">iferror(index(dna!$G:$G,match($A471,dna!$A:$A,0)))</f>
        <v/>
      </c>
      <c r="M471" s="60" t="str">
        <f t="array" ref="M471">iferror(index(dna!$J:$J,match($A471,dna!$A:$A,0)))</f>
        <v/>
      </c>
      <c r="N471" t="str">
        <f t="array" ref="N471">iferror(index(stomachs!$G:$G,match($A471,stomachs!$A:$A,0)))</f>
        <v/>
      </c>
      <c r="O471" t="str">
        <f t="array" ref="O471">iferror(index(stomachs!$J:$J,match($A471,stomachs!$A:$A,0)))</f>
        <v/>
      </c>
      <c r="P471" t="str">
        <f t="array" ref="P471">iferror(index(sea_lice!$G:$G,match($A471,sea_lice!$A:$A,0)))</f>
        <v/>
      </c>
      <c r="Q471" t="str">
        <f t="array" ref="Q471">iferror(index(sea_lice!$J:$J,match($A471,sea_lice!$A:$A,0)))</f>
        <v/>
      </c>
      <c r="R471" s="40" t="str">
        <f t="array" ref="R471">iferror(index(dissected_fish!$F:$F,match($A471,dissected_fish!$A:$A,0)))</f>
        <v>BCA104</v>
      </c>
      <c r="S471" s="40" t="str">
        <f t="array" ref="S471">iferror(index(dissected_fish!$K:$K,match($A471,dissected_fish!$A:$A,0)))</f>
        <v>N</v>
      </c>
      <c r="T471" s="61" t="str">
        <f t="array" ref="T471">index(fish_lab_data!O:O,match(A471,fish_lab_data!C:C,0))</f>
        <v>EJ</v>
      </c>
      <c r="U471" s="61">
        <f t="array" ref="U471">if(A471="","",index(fish_lab_data!X:X,match(A471,fish_lab_data!C:C,0)))</f>
        <v>470</v>
      </c>
    </row>
    <row r="472">
      <c r="A472" t="str">
        <f>fish_lab_data!C472</f>
        <v>U16881</v>
      </c>
      <c r="B472" t="str">
        <f t="array" ref="B472">iferror(index('rna-muscle'!$I:$I,match($A472,'rna-muscle'!$A:$A,0)))</f>
        <v>BRN67M-F5</v>
      </c>
      <c r="C472" t="str">
        <f t="array" ref="C472">iferror(index('rna-muscle'!$L:$L,match($A472,'rna-muscle'!$A:$A,0)))</f>
        <v>N</v>
      </c>
      <c r="D472" t="str">
        <f t="array" ref="D472">iferror(index('rna-gill'!$I:$I,match($A472,'rna-gill'!$A:$A,0)))</f>
        <v>BRN67G-F5</v>
      </c>
      <c r="E472" t="str">
        <f t="array" ref="E472">iferror(index('rna-gill'!$L:$L,match($A472,'rna-gill'!$A:$A,0)))</f>
        <v>N</v>
      </c>
      <c r="F472" t="str">
        <f t="array" ref="F472">iferror(index(fatty_acid!$G:$G,match($A472,fatty_acid!$A:$A,0)))</f>
        <v>BFA27-2</v>
      </c>
      <c r="G472" t="str">
        <f t="array" ref="G472">iferror(index(fatty_acid!$J:$J,match($A472,fatty_acid!$A:$A,0)))</f>
        <v>N</v>
      </c>
      <c r="H472" t="str">
        <f t="array" ref="H472">iferror(index(isotopes!$G:$G,match($A472,isotopes!$A:$A,0)))</f>
        <v>BIS28-22</v>
      </c>
      <c r="I472" t="str">
        <f t="array" ref="I472">iferror(index(isotopes!$J:$J,match($A472,isotopes!$A:$A,0)))</f>
        <v>N</v>
      </c>
      <c r="J472" t="str">
        <f t="array" ref="J472">iferror(index(extra_muscle!$G:$G,match($A472,extra_muscle!$A:$A,0)))</f>
        <v>BXM26-69</v>
      </c>
      <c r="K472" t="str">
        <f t="array" ref="K472">iferror(index(extra_muscle!$J:$J,match($A472,extra_muscle!$A:$A,0)))</f>
        <v>N</v>
      </c>
      <c r="L472" s="59" t="str">
        <f t="array" ref="L472">iferror(index(dna!$G:$G,match($A472,dna!$A:$A,0)))</f>
        <v/>
      </c>
      <c r="M472" s="60" t="str">
        <f t="array" ref="M472">iferror(index(dna!$J:$J,match($A472,dna!$A:$A,0)))</f>
        <v/>
      </c>
      <c r="N472" t="str">
        <f t="array" ref="N472">iferror(index(stomachs!$G:$G,match($A472,stomachs!$A:$A,0)))</f>
        <v/>
      </c>
      <c r="O472" t="str">
        <f t="array" ref="O472">iferror(index(stomachs!$J:$J,match($A472,stomachs!$A:$A,0)))</f>
        <v/>
      </c>
      <c r="P472" t="str">
        <f t="array" ref="P472">iferror(index(sea_lice!$G:$G,match($A472,sea_lice!$A:$A,0)))</f>
        <v/>
      </c>
      <c r="Q472" t="str">
        <f t="array" ref="Q472">iferror(index(sea_lice!$J:$J,match($A472,sea_lice!$A:$A,0)))</f>
        <v/>
      </c>
      <c r="R472" s="40" t="str">
        <f t="array" ref="R472">iferror(index(dissected_fish!$F:$F,match($A472,dissected_fish!$A:$A,0)))</f>
        <v>BCA104</v>
      </c>
      <c r="S472" s="40" t="str">
        <f t="array" ref="S472">iferror(index(dissected_fish!$K:$K,match($A472,dissected_fish!$A:$A,0)))</f>
        <v>N</v>
      </c>
      <c r="T472" s="61" t="str">
        <f t="array" ref="T472">index(fish_lab_data!O:O,match(A472,fish_lab_data!C:C,0))</f>
        <v>EJ</v>
      </c>
      <c r="U472" s="61">
        <f t="array" ref="U472">if(A472="","",index(fish_lab_data!X:X,match(A472,fish_lab_data!C:C,0)))</f>
        <v>471</v>
      </c>
    </row>
    <row r="473">
      <c r="A473" t="str">
        <f>fish_lab_data!C473</f>
        <v>U16882</v>
      </c>
      <c r="B473" t="str">
        <f t="array" ref="B473">iferror(index('rna-muscle'!$I:$I,match($A473,'rna-muscle'!$A:$A,0)))</f>
        <v>BRN67M-E5</v>
      </c>
      <c r="C473" t="str">
        <f t="array" ref="C473">iferror(index('rna-muscle'!$L:$L,match($A473,'rna-muscle'!$A:$A,0)))</f>
        <v>N</v>
      </c>
      <c r="D473" t="str">
        <f t="array" ref="D473">iferror(index('rna-gill'!$I:$I,match($A473,'rna-gill'!$A:$A,0)))</f>
        <v>BRN67G-E5</v>
      </c>
      <c r="E473" t="str">
        <f t="array" ref="E473">iferror(index('rna-gill'!$L:$L,match($A473,'rna-gill'!$A:$A,0)))</f>
        <v>N</v>
      </c>
      <c r="F473" t="str">
        <f t="array" ref="F473">iferror(index(fatty_acid!$G:$G,match($A473,fatty_acid!$A:$A,0)))</f>
        <v>BFA27-3</v>
      </c>
      <c r="G473" t="str">
        <f t="array" ref="G473">iferror(index(fatty_acid!$J:$J,match($A473,fatty_acid!$A:$A,0)))</f>
        <v>N</v>
      </c>
      <c r="H473" t="str">
        <f t="array" ref="H473">iferror(index(isotopes!$G:$G,match($A473,isotopes!$A:$A,0)))</f>
        <v>BIS28-23</v>
      </c>
      <c r="I473" t="str">
        <f t="array" ref="I473">iferror(index(isotopes!$J:$J,match($A473,isotopes!$A:$A,0)))</f>
        <v>N</v>
      </c>
      <c r="J473" t="str">
        <f t="array" ref="J473">iferror(index(extra_muscle!$G:$G,match($A473,extra_muscle!$A:$A,0)))</f>
        <v>BXM26-70</v>
      </c>
      <c r="K473" t="str">
        <f t="array" ref="K473">iferror(index(extra_muscle!$J:$J,match($A473,extra_muscle!$A:$A,0)))</f>
        <v>N</v>
      </c>
      <c r="L473" s="59" t="str">
        <f t="array" ref="L473">iferror(index(dna!$G:$G,match($A473,dna!$A:$A,0)))</f>
        <v/>
      </c>
      <c r="M473" s="60" t="str">
        <f t="array" ref="M473">iferror(index(dna!$J:$J,match($A473,dna!$A:$A,0)))</f>
        <v/>
      </c>
      <c r="N473" t="str">
        <f t="array" ref="N473">iferror(index(stomachs!$G:$G,match($A473,stomachs!$A:$A,0)))</f>
        <v/>
      </c>
      <c r="O473" t="str">
        <f t="array" ref="O473">iferror(index(stomachs!$J:$J,match($A473,stomachs!$A:$A,0)))</f>
        <v/>
      </c>
      <c r="P473" t="str">
        <f t="array" ref="P473">iferror(index(sea_lice!$G:$G,match($A473,sea_lice!$A:$A,0)))</f>
        <v>BSL6-35</v>
      </c>
      <c r="Q473" t="str">
        <f t="array" ref="Q473">iferror(index(sea_lice!$J:$J,match($A473,sea_lice!$A:$A,0)))</f>
        <v>N</v>
      </c>
      <c r="R473" s="40" t="str">
        <f t="array" ref="R473">iferror(index(dissected_fish!$F:$F,match($A473,dissected_fish!$A:$A,0)))</f>
        <v>BCA104</v>
      </c>
      <c r="S473" s="40" t="str">
        <f t="array" ref="S473">iferror(index(dissected_fish!$K:$K,match($A473,dissected_fish!$A:$A,0)))</f>
        <v>N</v>
      </c>
      <c r="T473" s="61" t="str">
        <f t="array" ref="T473">index(fish_lab_data!O:O,match(A473,fish_lab_data!C:C,0))</f>
        <v>EJ</v>
      </c>
      <c r="U473" s="61">
        <f t="array" ref="U473">if(A473="","",index(fish_lab_data!X:X,match(A473,fish_lab_data!C:C,0)))</f>
        <v>472</v>
      </c>
    </row>
    <row r="474">
      <c r="A474" t="str">
        <f>fish_lab_data!C474</f>
        <v>U16883</v>
      </c>
      <c r="B474" t="str">
        <f t="array" ref="B474">iferror(index('rna-muscle'!$I:$I,match($A474,'rna-muscle'!$A:$A,0)))</f>
        <v>BRN67M-D5</v>
      </c>
      <c r="C474" t="str">
        <f t="array" ref="C474">iferror(index('rna-muscle'!$L:$L,match($A474,'rna-muscle'!$A:$A,0)))</f>
        <v>N</v>
      </c>
      <c r="D474" t="str">
        <f t="array" ref="D474">iferror(index('rna-gill'!$I:$I,match($A474,'rna-gill'!$A:$A,0)))</f>
        <v>BRN67G-D5</v>
      </c>
      <c r="E474" t="str">
        <f t="array" ref="E474">iferror(index('rna-gill'!$L:$L,match($A474,'rna-gill'!$A:$A,0)))</f>
        <v>N</v>
      </c>
      <c r="F474" t="str">
        <f t="array" ref="F474">iferror(index(fatty_acid!$G:$G,match($A474,fatty_acid!$A:$A,0)))</f>
        <v>BFA27-4</v>
      </c>
      <c r="G474" t="str">
        <f t="array" ref="G474">iferror(index(fatty_acid!$J:$J,match($A474,fatty_acid!$A:$A,0)))</f>
        <v>N</v>
      </c>
      <c r="H474" t="str">
        <f t="array" ref="H474">iferror(index(isotopes!$G:$G,match($A474,isotopes!$A:$A,0)))</f>
        <v>BIS28-24</v>
      </c>
      <c r="I474" t="str">
        <f t="array" ref="I474">iferror(index(isotopes!$J:$J,match($A474,isotopes!$A:$A,0)))</f>
        <v>N</v>
      </c>
      <c r="J474" t="str">
        <f t="array" ref="J474">iferror(index(extra_muscle!$G:$G,match($A474,extra_muscle!$A:$A,0)))</f>
        <v>BXM26-71</v>
      </c>
      <c r="K474" t="str">
        <f t="array" ref="K474">iferror(index(extra_muscle!$J:$J,match($A474,extra_muscle!$A:$A,0)))</f>
        <v>N</v>
      </c>
      <c r="L474" s="59" t="str">
        <f t="array" ref="L474">iferror(index(dna!$G:$G,match($A474,dna!$A:$A,0)))</f>
        <v/>
      </c>
      <c r="M474" s="60" t="str">
        <f t="array" ref="M474">iferror(index(dna!$J:$J,match($A474,dna!$A:$A,0)))</f>
        <v/>
      </c>
      <c r="N474" t="str">
        <f t="array" ref="N474">iferror(index(stomachs!$G:$G,match($A474,stomachs!$A:$A,0)))</f>
        <v/>
      </c>
      <c r="O474" t="str">
        <f t="array" ref="O474">iferror(index(stomachs!$J:$J,match($A474,stomachs!$A:$A,0)))</f>
        <v/>
      </c>
      <c r="P474" t="str">
        <f t="array" ref="P474">iferror(index(sea_lice!$G:$G,match($A474,sea_lice!$A:$A,0)))</f>
        <v/>
      </c>
      <c r="Q474" t="str">
        <f t="array" ref="Q474">iferror(index(sea_lice!$J:$J,match($A474,sea_lice!$A:$A,0)))</f>
        <v/>
      </c>
      <c r="R474" s="40" t="str">
        <f t="array" ref="R474">iferror(index(dissected_fish!$F:$F,match($A474,dissected_fish!$A:$A,0)))</f>
        <v>BCA104</v>
      </c>
      <c r="S474" s="40" t="str">
        <f t="array" ref="S474">iferror(index(dissected_fish!$K:$K,match($A474,dissected_fish!$A:$A,0)))</f>
        <v>N</v>
      </c>
      <c r="T474" s="61" t="str">
        <f t="array" ref="T474">index(fish_lab_data!O:O,match(A474,fish_lab_data!C:C,0))</f>
        <v>EJ</v>
      </c>
      <c r="U474" s="61">
        <f t="array" ref="U474">if(A474="","",index(fish_lab_data!X:X,match(A474,fish_lab_data!C:C,0)))</f>
        <v>473</v>
      </c>
    </row>
    <row r="475">
      <c r="A475" t="str">
        <f>fish_lab_data!C475</f>
        <v>U16884</v>
      </c>
      <c r="B475" t="str">
        <f t="array" ref="B475">iferror(index('rna-muscle'!$I:$I,match($A475,'rna-muscle'!$A:$A,0)))</f>
        <v>BRN67M-C5</v>
      </c>
      <c r="C475" t="str">
        <f t="array" ref="C475">iferror(index('rna-muscle'!$L:$L,match($A475,'rna-muscle'!$A:$A,0)))</f>
        <v>N</v>
      </c>
      <c r="D475" t="str">
        <f t="array" ref="D475">iferror(index('rna-gill'!$I:$I,match($A475,'rna-gill'!$A:$A,0)))</f>
        <v>BRN67G-C5</v>
      </c>
      <c r="E475" t="str">
        <f t="array" ref="E475">iferror(index('rna-gill'!$L:$L,match($A475,'rna-gill'!$A:$A,0)))</f>
        <v>N</v>
      </c>
      <c r="F475" t="str">
        <f t="array" ref="F475">iferror(index(fatty_acid!$G:$G,match($A475,fatty_acid!$A:$A,0)))</f>
        <v>BFA27-5</v>
      </c>
      <c r="G475" t="str">
        <f t="array" ref="G475">iferror(index(fatty_acid!$J:$J,match($A475,fatty_acid!$A:$A,0)))</f>
        <v>N</v>
      </c>
      <c r="H475" t="str">
        <f t="array" ref="H475">iferror(index(isotopes!$G:$G,match($A475,isotopes!$A:$A,0)))</f>
        <v>BIS28-25</v>
      </c>
      <c r="I475" t="str">
        <f t="array" ref="I475">iferror(index(isotopes!$J:$J,match($A475,isotopes!$A:$A,0)))</f>
        <v>N</v>
      </c>
      <c r="J475" t="str">
        <f t="array" ref="J475">iferror(index(extra_muscle!$G:$G,match($A475,extra_muscle!$A:$A,0)))</f>
        <v>BXM26-72</v>
      </c>
      <c r="K475" t="str">
        <f t="array" ref="K475">iferror(index(extra_muscle!$J:$J,match($A475,extra_muscle!$A:$A,0)))</f>
        <v>N</v>
      </c>
      <c r="L475" s="59" t="str">
        <f t="array" ref="L475">iferror(index(dna!$G:$G,match($A475,dna!$A:$A,0)))</f>
        <v/>
      </c>
      <c r="M475" s="60" t="str">
        <f t="array" ref="M475">iferror(index(dna!$J:$J,match($A475,dna!$A:$A,0)))</f>
        <v/>
      </c>
      <c r="N475" t="str">
        <f t="array" ref="N475">iferror(index(stomachs!$G:$G,match($A475,stomachs!$A:$A,0)))</f>
        <v/>
      </c>
      <c r="O475" t="str">
        <f t="array" ref="O475">iferror(index(stomachs!$J:$J,match($A475,stomachs!$A:$A,0)))</f>
        <v/>
      </c>
      <c r="P475" t="str">
        <f t="array" ref="P475">iferror(index(sea_lice!$G:$G,match($A475,sea_lice!$A:$A,0)))</f>
        <v/>
      </c>
      <c r="Q475" t="str">
        <f t="array" ref="Q475">iferror(index(sea_lice!$J:$J,match($A475,sea_lice!$A:$A,0)))</f>
        <v/>
      </c>
      <c r="R475" s="40" t="str">
        <f t="array" ref="R475">iferror(index(dissected_fish!$F:$F,match($A475,dissected_fish!$A:$A,0)))</f>
        <v>BCA104</v>
      </c>
      <c r="S475" s="40" t="str">
        <f t="array" ref="S475">iferror(index(dissected_fish!$K:$K,match($A475,dissected_fish!$A:$A,0)))</f>
        <v>N</v>
      </c>
      <c r="T475" s="61" t="str">
        <f t="array" ref="T475">index(fish_lab_data!O:O,match(A475,fish_lab_data!C:C,0))</f>
        <v>EJ</v>
      </c>
      <c r="U475" s="61">
        <f t="array" ref="U475">if(A475="","",index(fish_lab_data!X:X,match(A475,fish_lab_data!C:C,0)))</f>
        <v>474</v>
      </c>
    </row>
    <row r="476">
      <c r="A476" t="str">
        <f>fish_lab_data!C476</f>
        <v>U16885</v>
      </c>
      <c r="B476" t="str">
        <f t="array" ref="B476">iferror(index('rna-muscle'!$I:$I,match($A476,'rna-muscle'!$A:$A,0)))</f>
        <v>BRN67M-B5</v>
      </c>
      <c r="C476" t="str">
        <f t="array" ref="C476">iferror(index('rna-muscle'!$L:$L,match($A476,'rna-muscle'!$A:$A,0)))</f>
        <v>N</v>
      </c>
      <c r="D476" t="str">
        <f t="array" ref="D476">iferror(index('rna-gill'!$I:$I,match($A476,'rna-gill'!$A:$A,0)))</f>
        <v>BRN67G-B5</v>
      </c>
      <c r="E476" t="str">
        <f t="array" ref="E476">iferror(index('rna-gill'!$L:$L,match($A476,'rna-gill'!$A:$A,0)))</f>
        <v>N</v>
      </c>
      <c r="F476" t="str">
        <f t="array" ref="F476">iferror(index(fatty_acid!$G:$G,match($A476,fatty_acid!$A:$A,0)))</f>
        <v>BFA27-7</v>
      </c>
      <c r="G476" t="str">
        <f t="array" ref="G476">iferror(index(fatty_acid!$J:$J,match($A476,fatty_acid!$A:$A,0)))</f>
        <v>N</v>
      </c>
      <c r="H476" t="str">
        <f t="array" ref="H476">iferror(index(isotopes!$G:$G,match($A476,isotopes!$A:$A,0)))</f>
        <v>BIS28-26</v>
      </c>
      <c r="I476" t="str">
        <f t="array" ref="I476">iferror(index(isotopes!$J:$J,match($A476,isotopes!$A:$A,0)))</f>
        <v>N</v>
      </c>
      <c r="J476" t="str">
        <f t="array" ref="J476">iferror(index(extra_muscle!$G:$G,match($A476,extra_muscle!$A:$A,0)))</f>
        <v>BXM26-73</v>
      </c>
      <c r="K476" t="str">
        <f t="array" ref="K476">iferror(index(extra_muscle!$J:$J,match($A476,extra_muscle!$A:$A,0)))</f>
        <v>N</v>
      </c>
      <c r="L476" s="59" t="str">
        <f t="array" ref="L476">iferror(index(dna!$G:$G,match($A476,dna!$A:$A,0)))</f>
        <v/>
      </c>
      <c r="M476" s="60" t="str">
        <f t="array" ref="M476">iferror(index(dna!$J:$J,match($A476,dna!$A:$A,0)))</f>
        <v/>
      </c>
      <c r="N476" t="str">
        <f t="array" ref="N476">iferror(index(stomachs!$G:$G,match($A476,stomachs!$A:$A,0)))</f>
        <v/>
      </c>
      <c r="O476" t="str">
        <f t="array" ref="O476">iferror(index(stomachs!$J:$J,match($A476,stomachs!$A:$A,0)))</f>
        <v/>
      </c>
      <c r="P476" t="str">
        <f t="array" ref="P476">iferror(index(sea_lice!$G:$G,match($A476,sea_lice!$A:$A,0)))</f>
        <v>BSL6-36</v>
      </c>
      <c r="Q476" t="str">
        <f t="array" ref="Q476">iferror(index(sea_lice!$J:$J,match($A476,sea_lice!$A:$A,0)))</f>
        <v>N</v>
      </c>
      <c r="R476" s="40" t="str">
        <f t="array" ref="R476">iferror(index(dissected_fish!$F:$F,match($A476,dissected_fish!$A:$A,0)))</f>
        <v>BCA104</v>
      </c>
      <c r="S476" s="40" t="str">
        <f t="array" ref="S476">iferror(index(dissected_fish!$K:$K,match($A476,dissected_fish!$A:$A,0)))</f>
        <v>N</v>
      </c>
      <c r="T476" s="61" t="str">
        <f t="array" ref="T476">index(fish_lab_data!O:O,match(A476,fish_lab_data!C:C,0))</f>
        <v>EJ</v>
      </c>
      <c r="U476" s="61">
        <f t="array" ref="U476">if(A476="","",index(fish_lab_data!X:X,match(A476,fish_lab_data!C:C,0)))</f>
        <v>475</v>
      </c>
    </row>
    <row r="477">
      <c r="A477" t="str">
        <f>fish_lab_data!C477</f>
        <v>U16889</v>
      </c>
      <c r="B477" t="str">
        <f t="array" ref="B477">iferror(index('rna-muscle'!$I:$I,match($A477,'rna-muscle'!$A:$A,0)))</f>
        <v>BRN67M-A5</v>
      </c>
      <c r="C477" t="str">
        <f t="array" ref="C477">iferror(index('rna-muscle'!$L:$L,match($A477,'rna-muscle'!$A:$A,0)))</f>
        <v>N</v>
      </c>
      <c r="D477" t="str">
        <f t="array" ref="D477">iferror(index('rna-gill'!$I:$I,match($A477,'rna-gill'!$A:$A,0)))</f>
        <v>BRN67G-A5</v>
      </c>
      <c r="E477" t="str">
        <f t="array" ref="E477">iferror(index('rna-gill'!$L:$L,match($A477,'rna-gill'!$A:$A,0)))</f>
        <v>N</v>
      </c>
      <c r="F477" t="str">
        <f t="array" ref="F477">iferror(index(fatty_acid!$G:$G,match($A477,fatty_acid!$A:$A,0)))</f>
        <v>BFA27-8</v>
      </c>
      <c r="G477" t="str">
        <f t="array" ref="G477">iferror(index(fatty_acid!$J:$J,match($A477,fatty_acid!$A:$A,0)))</f>
        <v>N</v>
      </c>
      <c r="H477" t="str">
        <f t="array" ref="H477">iferror(index(isotopes!$G:$G,match($A477,isotopes!$A:$A,0)))</f>
        <v>BIS28-27</v>
      </c>
      <c r="I477" t="str">
        <f t="array" ref="I477">iferror(index(isotopes!$J:$J,match($A477,isotopes!$A:$A,0)))</f>
        <v>N</v>
      </c>
      <c r="J477" t="str">
        <f t="array" ref="J477">iferror(index(extra_muscle!$G:$G,match($A477,extra_muscle!$A:$A,0)))</f>
        <v>BXM26-74</v>
      </c>
      <c r="K477" t="str">
        <f t="array" ref="K477">iferror(index(extra_muscle!$J:$J,match($A477,extra_muscle!$A:$A,0)))</f>
        <v>N</v>
      </c>
      <c r="L477" s="59" t="str">
        <f t="array" ref="L477">iferror(index(dna!$G:$G,match($A477,dna!$A:$A,0)))</f>
        <v/>
      </c>
      <c r="M477" s="60" t="str">
        <f t="array" ref="M477">iferror(index(dna!$J:$J,match($A477,dna!$A:$A,0)))</f>
        <v/>
      </c>
      <c r="N477" t="str">
        <f t="array" ref="N477">iferror(index(stomachs!$G:$G,match($A477,stomachs!$A:$A,0)))</f>
        <v/>
      </c>
      <c r="O477" t="str">
        <f t="array" ref="O477">iferror(index(stomachs!$J:$J,match($A477,stomachs!$A:$A,0)))</f>
        <v/>
      </c>
      <c r="P477" t="str">
        <f t="array" ref="P477">iferror(index(sea_lice!$G:$G,match($A477,sea_lice!$A:$A,0)))</f>
        <v/>
      </c>
      <c r="Q477" t="str">
        <f t="array" ref="Q477">iferror(index(sea_lice!$J:$J,match($A477,sea_lice!$A:$A,0)))</f>
        <v/>
      </c>
      <c r="R477" s="40" t="str">
        <f t="array" ref="R477">iferror(index(dissected_fish!$F:$F,match($A477,dissected_fish!$A:$A,0)))</f>
        <v>BCA104</v>
      </c>
      <c r="S477" s="40" t="str">
        <f t="array" ref="S477">iferror(index(dissected_fish!$K:$K,match($A477,dissected_fish!$A:$A,0)))</f>
        <v>N</v>
      </c>
      <c r="T477" s="61" t="str">
        <f t="array" ref="T477">index(fish_lab_data!O:O,match(A477,fish_lab_data!C:C,0))</f>
        <v>EJ</v>
      </c>
      <c r="U477" s="61">
        <f t="array" ref="U477">if(A477="","",index(fish_lab_data!X:X,match(A477,fish_lab_data!C:C,0)))</f>
        <v>476</v>
      </c>
    </row>
    <row r="478">
      <c r="A478" t="str">
        <f>fish_lab_data!C478</f>
        <v>U16886</v>
      </c>
      <c r="B478" t="str">
        <f t="array" ref="B478">iferror(index('rna-muscle'!$I:$I,match($A478,'rna-muscle'!$A:$A,0)))</f>
        <v>BRN67M-H7</v>
      </c>
      <c r="C478" t="str">
        <f t="array" ref="C478">iferror(index('rna-muscle'!$L:$L,match($A478,'rna-muscle'!$A:$A,0)))</f>
        <v>N</v>
      </c>
      <c r="D478" t="str">
        <f t="array" ref="D478">iferror(index('rna-gill'!$I:$I,match($A478,'rna-gill'!$A:$A,0)))</f>
        <v>BRN67G-H7</v>
      </c>
      <c r="E478" t="str">
        <f t="array" ref="E478">iferror(index('rna-gill'!$L:$L,match($A478,'rna-gill'!$A:$A,0)))</f>
        <v>N</v>
      </c>
      <c r="F478" t="str">
        <f t="array" ref="F478">iferror(index(fatty_acid!$G:$G,match($A478,fatty_acid!$A:$A,0)))</f>
        <v>BFA27-9</v>
      </c>
      <c r="G478" t="str">
        <f t="array" ref="G478">iferror(index(fatty_acid!$J:$J,match($A478,fatty_acid!$A:$A,0)))</f>
        <v>N</v>
      </c>
      <c r="H478" t="str">
        <f t="array" ref="H478">iferror(index(isotopes!$G:$G,match($A478,isotopes!$A:$A,0)))</f>
        <v>BIS28-28</v>
      </c>
      <c r="I478" t="str">
        <f t="array" ref="I478">iferror(index(isotopes!$J:$J,match($A478,isotopes!$A:$A,0)))</f>
        <v>N</v>
      </c>
      <c r="J478" t="str">
        <f t="array" ref="J478">iferror(index(extra_muscle!$G:$G,match($A478,extra_muscle!$A:$A,0)))</f>
        <v>BXM26-75</v>
      </c>
      <c r="K478" t="str">
        <f t="array" ref="K478">iferror(index(extra_muscle!$J:$J,match($A478,extra_muscle!$A:$A,0)))</f>
        <v>N</v>
      </c>
      <c r="L478" s="59" t="str">
        <f t="array" ref="L478">iferror(index(dna!$G:$G,match($A478,dna!$A:$A,0)))</f>
        <v/>
      </c>
      <c r="M478" s="60" t="str">
        <f t="array" ref="M478">iferror(index(dna!$J:$J,match($A478,dna!$A:$A,0)))</f>
        <v/>
      </c>
      <c r="N478" t="str">
        <f t="array" ref="N478">iferror(index(stomachs!$G:$G,match($A478,stomachs!$A:$A,0)))</f>
        <v/>
      </c>
      <c r="O478" t="str">
        <f t="array" ref="O478">iferror(index(stomachs!$J:$J,match($A478,stomachs!$A:$A,0)))</f>
        <v/>
      </c>
      <c r="P478" t="str">
        <f t="array" ref="P478">iferror(index(sea_lice!$G:$G,match($A478,sea_lice!$A:$A,0)))</f>
        <v/>
      </c>
      <c r="Q478" t="str">
        <f t="array" ref="Q478">iferror(index(sea_lice!$J:$J,match($A478,sea_lice!$A:$A,0)))</f>
        <v/>
      </c>
      <c r="R478" s="40" t="str">
        <f t="array" ref="R478">iferror(index(dissected_fish!$F:$F,match($A478,dissected_fish!$A:$A,0)))</f>
        <v>BCA104</v>
      </c>
      <c r="S478" s="40" t="str">
        <f t="array" ref="S478">iferror(index(dissected_fish!$K:$K,match($A478,dissected_fish!$A:$A,0)))</f>
        <v>N</v>
      </c>
      <c r="T478" s="61" t="str">
        <f t="array" ref="T478">index(fish_lab_data!O:O,match(A478,fish_lab_data!C:C,0))</f>
        <v>EJ</v>
      </c>
      <c r="U478" s="61">
        <f t="array" ref="U478">if(A478="","",index(fish_lab_data!X:X,match(A478,fish_lab_data!C:C,0)))</f>
        <v>477</v>
      </c>
    </row>
    <row r="479">
      <c r="A479" t="str">
        <f>fish_lab_data!C479</f>
        <v>U16887</v>
      </c>
      <c r="B479" t="str">
        <f t="array" ref="B479">iferror(index('rna-muscle'!$I:$I,match($A479,'rna-muscle'!$A:$A,0)))</f>
        <v>BRN67M-G7</v>
      </c>
      <c r="C479" t="str">
        <f t="array" ref="C479">iferror(index('rna-muscle'!$L:$L,match($A479,'rna-muscle'!$A:$A,0)))</f>
        <v>N</v>
      </c>
      <c r="D479" t="str">
        <f t="array" ref="D479">iferror(index('rna-gill'!$I:$I,match($A479,'rna-gill'!$A:$A,0)))</f>
        <v>BRN67G-G7</v>
      </c>
      <c r="E479" t="str">
        <f t="array" ref="E479">iferror(index('rna-gill'!$L:$L,match($A479,'rna-gill'!$A:$A,0)))</f>
        <v>N</v>
      </c>
      <c r="F479" t="str">
        <f t="array" ref="F479">iferror(index(fatty_acid!$G:$G,match($A479,fatty_acid!$A:$A,0)))</f>
        <v>BFA27-10</v>
      </c>
      <c r="G479" t="str">
        <f t="array" ref="G479">iferror(index(fatty_acid!$J:$J,match($A479,fatty_acid!$A:$A,0)))</f>
        <v>N</v>
      </c>
      <c r="H479" t="str">
        <f t="array" ref="H479">iferror(index(isotopes!$G:$G,match($A479,isotopes!$A:$A,0)))</f>
        <v>BIS28-29</v>
      </c>
      <c r="I479" t="str">
        <f t="array" ref="I479">iferror(index(isotopes!$J:$J,match($A479,isotopes!$A:$A,0)))</f>
        <v>N</v>
      </c>
      <c r="J479" t="str">
        <f t="array" ref="J479">iferror(index(extra_muscle!$G:$G,match($A479,extra_muscle!$A:$A,0)))</f>
        <v>BXM26-76</v>
      </c>
      <c r="K479" t="str">
        <f t="array" ref="K479">iferror(index(extra_muscle!$J:$J,match($A479,extra_muscle!$A:$A,0)))</f>
        <v>N</v>
      </c>
      <c r="L479" s="59" t="str">
        <f t="array" ref="L479">iferror(index(dna!$G:$G,match($A479,dna!$A:$A,0)))</f>
        <v/>
      </c>
      <c r="M479" s="60" t="str">
        <f t="array" ref="M479">iferror(index(dna!$J:$J,match($A479,dna!$A:$A,0)))</f>
        <v/>
      </c>
      <c r="N479" t="str">
        <f t="array" ref="N479">iferror(index(stomachs!$G:$G,match($A479,stomachs!$A:$A,0)))</f>
        <v/>
      </c>
      <c r="O479" t="str">
        <f t="array" ref="O479">iferror(index(stomachs!$J:$J,match($A479,stomachs!$A:$A,0)))</f>
        <v/>
      </c>
      <c r="P479" t="str">
        <f t="array" ref="P479">iferror(index(sea_lice!$G:$G,match($A479,sea_lice!$A:$A,0)))</f>
        <v/>
      </c>
      <c r="Q479" t="str">
        <f t="array" ref="Q479">iferror(index(sea_lice!$J:$J,match($A479,sea_lice!$A:$A,0)))</f>
        <v/>
      </c>
      <c r="R479" s="40" t="str">
        <f t="array" ref="R479">iferror(index(dissected_fish!$F:$F,match($A479,dissected_fish!$A:$A,0)))</f>
        <v>BCA104</v>
      </c>
      <c r="S479" s="40" t="str">
        <f t="array" ref="S479">iferror(index(dissected_fish!$K:$K,match($A479,dissected_fish!$A:$A,0)))</f>
        <v>N</v>
      </c>
      <c r="T479" s="61" t="str">
        <f t="array" ref="T479">index(fish_lab_data!O:O,match(A479,fish_lab_data!C:C,0))</f>
        <v>EJ</v>
      </c>
      <c r="U479" s="61">
        <f t="array" ref="U479">if(A479="","",index(fish_lab_data!X:X,match(A479,fish_lab_data!C:C,0)))</f>
        <v>478</v>
      </c>
    </row>
    <row r="480">
      <c r="A480" t="str">
        <f>fish_lab_data!C480</f>
        <v>U16888</v>
      </c>
      <c r="B480" t="str">
        <f t="array" ref="B480">iferror(index('rna-muscle'!$I:$I,match($A480,'rna-muscle'!$A:$A,0)))</f>
        <v>BRN67M-F7</v>
      </c>
      <c r="C480" t="str">
        <f t="array" ref="C480">iferror(index('rna-muscle'!$L:$L,match($A480,'rna-muscle'!$A:$A,0)))</f>
        <v>N</v>
      </c>
      <c r="D480" t="str">
        <f t="array" ref="D480">iferror(index('rna-gill'!$I:$I,match($A480,'rna-gill'!$A:$A,0)))</f>
        <v>BRN67G-F7</v>
      </c>
      <c r="E480" t="str">
        <f t="array" ref="E480">iferror(index('rna-gill'!$L:$L,match($A480,'rna-gill'!$A:$A,0)))</f>
        <v>N</v>
      </c>
      <c r="F480" t="str">
        <f t="array" ref="F480">iferror(index(fatty_acid!$G:$G,match($A480,fatty_acid!$A:$A,0)))</f>
        <v>BFA27-11</v>
      </c>
      <c r="G480" t="str">
        <f t="array" ref="G480">iferror(index(fatty_acid!$J:$J,match($A480,fatty_acid!$A:$A,0)))</f>
        <v>N</v>
      </c>
      <c r="H480" t="str">
        <f t="array" ref="H480">iferror(index(isotopes!$G:$G,match($A480,isotopes!$A:$A,0)))</f>
        <v>BIS28-30</v>
      </c>
      <c r="I480" t="str">
        <f t="array" ref="I480">iferror(index(isotopes!$J:$J,match($A480,isotopes!$A:$A,0)))</f>
        <v>N</v>
      </c>
      <c r="J480" t="str">
        <f t="array" ref="J480">iferror(index(extra_muscle!$G:$G,match($A480,extra_muscle!$A:$A,0)))</f>
        <v>BXM26-77</v>
      </c>
      <c r="K480" t="str">
        <f t="array" ref="K480">iferror(index(extra_muscle!$J:$J,match($A480,extra_muscle!$A:$A,0)))</f>
        <v>N</v>
      </c>
      <c r="L480" s="59" t="str">
        <f t="array" ref="L480">iferror(index(dna!$G:$G,match($A480,dna!$A:$A,0)))</f>
        <v/>
      </c>
      <c r="M480" s="60" t="str">
        <f t="array" ref="M480">iferror(index(dna!$J:$J,match($A480,dna!$A:$A,0)))</f>
        <v/>
      </c>
      <c r="N480" t="str">
        <f t="array" ref="N480">iferror(index(stomachs!$G:$G,match($A480,stomachs!$A:$A,0)))</f>
        <v/>
      </c>
      <c r="O480" t="str">
        <f t="array" ref="O480">iferror(index(stomachs!$J:$J,match($A480,stomachs!$A:$A,0)))</f>
        <v/>
      </c>
      <c r="P480" t="str">
        <f t="array" ref="P480">iferror(index(sea_lice!$G:$G,match($A480,sea_lice!$A:$A,0)))</f>
        <v/>
      </c>
      <c r="Q480" t="str">
        <f t="array" ref="Q480">iferror(index(sea_lice!$J:$J,match($A480,sea_lice!$A:$A,0)))</f>
        <v/>
      </c>
      <c r="R480" s="40" t="str">
        <f t="array" ref="R480">iferror(index(dissected_fish!$F:$F,match($A480,dissected_fish!$A:$A,0)))</f>
        <v>BCA104</v>
      </c>
      <c r="S480" s="40" t="str">
        <f t="array" ref="S480">iferror(index(dissected_fish!$K:$K,match($A480,dissected_fish!$A:$A,0)))</f>
        <v>N</v>
      </c>
      <c r="T480" s="61" t="str">
        <f t="array" ref="T480">index(fish_lab_data!O:O,match(A480,fish_lab_data!C:C,0))</f>
        <v>EJ</v>
      </c>
      <c r="U480" s="61">
        <f t="array" ref="U480">if(A480="","",index(fish_lab_data!X:X,match(A480,fish_lab_data!C:C,0)))</f>
        <v>479</v>
      </c>
    </row>
    <row r="481">
      <c r="A481" t="str">
        <f>fish_lab_data!C481</f>
        <v>U16890</v>
      </c>
      <c r="B481" t="str">
        <f t="array" ref="B481">iferror(index('rna-muscle'!$I:$I,match($A481,'rna-muscle'!$A:$A,0)))</f>
        <v>BRN67M-E7</v>
      </c>
      <c r="C481" t="str">
        <f t="array" ref="C481">iferror(index('rna-muscle'!$L:$L,match($A481,'rna-muscle'!$A:$A,0)))</f>
        <v>N</v>
      </c>
      <c r="D481" t="str">
        <f t="array" ref="D481">iferror(index('rna-gill'!$I:$I,match($A481,'rna-gill'!$A:$A,0)))</f>
        <v>BRN67G-E7</v>
      </c>
      <c r="E481" t="str">
        <f t="array" ref="E481">iferror(index('rna-gill'!$L:$L,match($A481,'rna-gill'!$A:$A,0)))</f>
        <v>N</v>
      </c>
      <c r="F481" t="str">
        <f t="array" ref="F481">iferror(index(fatty_acid!$G:$G,match($A481,fatty_acid!$A:$A,0)))</f>
        <v>BFA27-12</v>
      </c>
      <c r="G481" t="str">
        <f t="array" ref="G481">iferror(index(fatty_acid!$J:$J,match($A481,fatty_acid!$A:$A,0)))</f>
        <v>N</v>
      </c>
      <c r="H481" t="str">
        <f t="array" ref="H481">iferror(index(isotopes!$G:$G,match($A481,isotopes!$A:$A,0)))</f>
        <v>BIS28-31</v>
      </c>
      <c r="I481" t="str">
        <f t="array" ref="I481">iferror(index(isotopes!$J:$J,match($A481,isotopes!$A:$A,0)))</f>
        <v>N</v>
      </c>
      <c r="J481" t="str">
        <f t="array" ref="J481">iferror(index(extra_muscle!$G:$G,match($A481,extra_muscle!$A:$A,0)))</f>
        <v>BXM26-78</v>
      </c>
      <c r="K481" t="str">
        <f t="array" ref="K481">iferror(index(extra_muscle!$J:$J,match($A481,extra_muscle!$A:$A,0)))</f>
        <v>N</v>
      </c>
      <c r="L481" s="59" t="str">
        <f t="array" ref="L481">iferror(index(dna!$G:$G,match($A481,dna!$A:$A,0)))</f>
        <v/>
      </c>
      <c r="M481" s="60" t="str">
        <f t="array" ref="M481">iferror(index(dna!$J:$J,match($A481,dna!$A:$A,0)))</f>
        <v/>
      </c>
      <c r="N481" t="str">
        <f t="array" ref="N481">iferror(index(stomachs!$G:$G,match($A481,stomachs!$A:$A,0)))</f>
        <v/>
      </c>
      <c r="O481" t="str">
        <f t="array" ref="O481">iferror(index(stomachs!$J:$J,match($A481,stomachs!$A:$A,0)))</f>
        <v/>
      </c>
      <c r="P481" t="str">
        <f t="array" ref="P481">iferror(index(sea_lice!$G:$G,match($A481,sea_lice!$A:$A,0)))</f>
        <v>BSL6-37</v>
      </c>
      <c r="Q481" t="str">
        <f t="array" ref="Q481">iferror(index(sea_lice!$J:$J,match($A481,sea_lice!$A:$A,0)))</f>
        <v>N</v>
      </c>
      <c r="R481" s="40" t="str">
        <f t="array" ref="R481">iferror(index(dissected_fish!$F:$F,match($A481,dissected_fish!$A:$A,0)))</f>
        <v>BCA104</v>
      </c>
      <c r="S481" s="40" t="str">
        <f t="array" ref="S481">iferror(index(dissected_fish!$K:$K,match($A481,dissected_fish!$A:$A,0)))</f>
        <v>N</v>
      </c>
      <c r="T481" s="61" t="str">
        <f t="array" ref="T481">index(fish_lab_data!O:O,match(A481,fish_lab_data!C:C,0))</f>
        <v>EJ</v>
      </c>
      <c r="U481" s="61">
        <f t="array" ref="U481">if(A481="","",index(fish_lab_data!X:X,match(A481,fish_lab_data!C:C,0)))</f>
        <v>480</v>
      </c>
    </row>
    <row r="482">
      <c r="A482" t="str">
        <f>fish_lab_data!C482</f>
        <v>U16291</v>
      </c>
      <c r="B482" t="str">
        <f t="array" ref="B482">iferror(index('rna-muscle'!$I:$I,match($A482,'rna-muscle'!$A:$A,0)))</f>
        <v>BRN67M-D7</v>
      </c>
      <c r="C482" t="str">
        <f t="array" ref="C482">iferror(index('rna-muscle'!$L:$L,match($A482,'rna-muscle'!$A:$A,0)))</f>
        <v>N</v>
      </c>
      <c r="D482" t="str">
        <f t="array" ref="D482">iferror(index('rna-gill'!$I:$I,match($A482,'rna-gill'!$A:$A,0)))</f>
        <v>BRN67G-D7</v>
      </c>
      <c r="E482" t="str">
        <f t="array" ref="E482">iferror(index('rna-gill'!$L:$L,match($A482,'rna-gill'!$A:$A,0)))</f>
        <v>N</v>
      </c>
      <c r="F482" t="str">
        <f t="array" ref="F482">iferror(index(fatty_acid!$G:$G,match($A482,fatty_acid!$A:$A,0)))</f>
        <v>BFA27-13</v>
      </c>
      <c r="G482" t="str">
        <f t="array" ref="G482">iferror(index(fatty_acid!$J:$J,match($A482,fatty_acid!$A:$A,0)))</f>
        <v>N</v>
      </c>
      <c r="H482" t="str">
        <f t="array" ref="H482">iferror(index(isotopes!$G:$G,match($A482,isotopes!$A:$A,0)))</f>
        <v>BIS28-32</v>
      </c>
      <c r="I482" t="str">
        <f t="array" ref="I482">iferror(index(isotopes!$J:$J,match($A482,isotopes!$A:$A,0)))</f>
        <v>N</v>
      </c>
      <c r="J482" t="str">
        <f t="array" ref="J482">iferror(index(extra_muscle!$G:$G,match($A482,extra_muscle!$A:$A,0)))</f>
        <v>BXM26-79</v>
      </c>
      <c r="K482" t="str">
        <f t="array" ref="K482">iferror(index(extra_muscle!$J:$J,match($A482,extra_muscle!$A:$A,0)))</f>
        <v>N</v>
      </c>
      <c r="L482" s="59" t="str">
        <f t="array" ref="L482">iferror(index(dna!$G:$G,match($A482,dna!$A:$A,0)))</f>
        <v/>
      </c>
      <c r="M482" s="60" t="str">
        <f t="array" ref="M482">iferror(index(dna!$J:$J,match($A482,dna!$A:$A,0)))</f>
        <v/>
      </c>
      <c r="N482" t="str">
        <f t="array" ref="N482">iferror(index(stomachs!$G:$G,match($A482,stomachs!$A:$A,0)))</f>
        <v/>
      </c>
      <c r="O482" t="str">
        <f t="array" ref="O482">iferror(index(stomachs!$J:$J,match($A482,stomachs!$A:$A,0)))</f>
        <v/>
      </c>
      <c r="P482" t="str">
        <f t="array" ref="P482">iferror(index(sea_lice!$G:$G,match($A482,sea_lice!$A:$A,0)))</f>
        <v/>
      </c>
      <c r="Q482" t="str">
        <f t="array" ref="Q482">iferror(index(sea_lice!$J:$J,match($A482,sea_lice!$A:$A,0)))</f>
        <v/>
      </c>
      <c r="R482" s="40" t="str">
        <f t="array" ref="R482">iferror(index(dissected_fish!$F:$F,match($A482,dissected_fish!$A:$A,0)))</f>
        <v>BCA104</v>
      </c>
      <c r="S482" s="40" t="str">
        <f t="array" ref="S482">iferror(index(dissected_fish!$K:$K,match($A482,dissected_fish!$A:$A,0)))</f>
        <v>N</v>
      </c>
      <c r="T482" s="61" t="str">
        <f t="array" ref="T482">index(fish_lab_data!O:O,match(A482,fish_lab_data!C:C,0))</f>
        <v>EJ</v>
      </c>
      <c r="U482" s="61">
        <f t="array" ref="U482">if(A482="","",index(fish_lab_data!X:X,match(A482,fish_lab_data!C:C,0)))</f>
        <v>481</v>
      </c>
    </row>
    <row r="483">
      <c r="A483" t="str">
        <f>fish_lab_data!C483</f>
        <v>U16292</v>
      </c>
      <c r="B483" t="str">
        <f t="array" ref="B483">iferror(index('rna-muscle'!$I:$I,match($A483,'rna-muscle'!$A:$A,0)))</f>
        <v>BRN67M-C7</v>
      </c>
      <c r="C483" t="str">
        <f t="array" ref="C483">iferror(index('rna-muscle'!$L:$L,match($A483,'rna-muscle'!$A:$A,0)))</f>
        <v>N</v>
      </c>
      <c r="D483" t="str">
        <f t="array" ref="D483">iferror(index('rna-gill'!$I:$I,match($A483,'rna-gill'!$A:$A,0)))</f>
        <v>BRN67G-C7</v>
      </c>
      <c r="E483" t="str">
        <f t="array" ref="E483">iferror(index('rna-gill'!$L:$L,match($A483,'rna-gill'!$A:$A,0)))</f>
        <v>N</v>
      </c>
      <c r="F483" t="str">
        <f t="array" ref="F483">iferror(index(fatty_acid!$G:$G,match($A483,fatty_acid!$A:$A,0)))</f>
        <v>BFA27-14</v>
      </c>
      <c r="G483" t="str">
        <f t="array" ref="G483">iferror(index(fatty_acid!$J:$J,match($A483,fatty_acid!$A:$A,0)))</f>
        <v>N</v>
      </c>
      <c r="H483" t="str">
        <f t="array" ref="H483">iferror(index(isotopes!$G:$G,match($A483,isotopes!$A:$A,0)))</f>
        <v>BIS28-33</v>
      </c>
      <c r="I483" t="str">
        <f t="array" ref="I483">iferror(index(isotopes!$J:$J,match($A483,isotopes!$A:$A,0)))</f>
        <v>N</v>
      </c>
      <c r="J483" t="str">
        <f t="array" ref="J483">iferror(index(extra_muscle!$G:$G,match($A483,extra_muscle!$A:$A,0)))</f>
        <v>BXM26-80</v>
      </c>
      <c r="K483" t="str">
        <f t="array" ref="K483">iferror(index(extra_muscle!$J:$J,match($A483,extra_muscle!$A:$A,0)))</f>
        <v>N</v>
      </c>
      <c r="L483" s="59" t="str">
        <f t="array" ref="L483">iferror(index(dna!$G:$G,match($A483,dna!$A:$A,0)))</f>
        <v/>
      </c>
      <c r="M483" s="60" t="str">
        <f t="array" ref="M483">iferror(index(dna!$J:$J,match($A483,dna!$A:$A,0)))</f>
        <v/>
      </c>
      <c r="N483" t="str">
        <f t="array" ref="N483">iferror(index(stomachs!$G:$G,match($A483,stomachs!$A:$A,0)))</f>
        <v/>
      </c>
      <c r="O483" t="str">
        <f t="array" ref="O483">iferror(index(stomachs!$J:$J,match($A483,stomachs!$A:$A,0)))</f>
        <v/>
      </c>
      <c r="P483" t="str">
        <f t="array" ref="P483">iferror(index(sea_lice!$G:$G,match($A483,sea_lice!$A:$A,0)))</f>
        <v/>
      </c>
      <c r="Q483" t="str">
        <f t="array" ref="Q483">iferror(index(sea_lice!$J:$J,match($A483,sea_lice!$A:$A,0)))</f>
        <v/>
      </c>
      <c r="R483" s="40" t="str">
        <f t="array" ref="R483">iferror(index(dissected_fish!$F:$F,match($A483,dissected_fish!$A:$A,0)))</f>
        <v>BCA104</v>
      </c>
      <c r="S483" s="40" t="str">
        <f t="array" ref="S483">iferror(index(dissected_fish!$K:$K,match($A483,dissected_fish!$A:$A,0)))</f>
        <v>N</v>
      </c>
      <c r="T483" s="61" t="str">
        <f t="array" ref="T483">index(fish_lab_data!O:O,match(A483,fish_lab_data!C:C,0))</f>
        <v>EJ</v>
      </c>
      <c r="U483" s="61">
        <f t="array" ref="U483">if(A483="","",index(fish_lab_data!X:X,match(A483,fish_lab_data!C:C,0)))</f>
        <v>482</v>
      </c>
    </row>
    <row r="484">
      <c r="A484" t="str">
        <f>fish_lab_data!C484</f>
        <v>U16293</v>
      </c>
      <c r="B484" t="str">
        <f t="array" ref="B484">iferror(index('rna-muscle'!$I:$I,match($A484,'rna-muscle'!$A:$A,0)))</f>
        <v>BRN67M-B7</v>
      </c>
      <c r="C484" t="str">
        <f t="array" ref="C484">iferror(index('rna-muscle'!$L:$L,match($A484,'rna-muscle'!$A:$A,0)))</f>
        <v>N</v>
      </c>
      <c r="D484" t="str">
        <f t="array" ref="D484">iferror(index('rna-gill'!$I:$I,match($A484,'rna-gill'!$A:$A,0)))</f>
        <v>BRN67G-B7</v>
      </c>
      <c r="E484" t="str">
        <f t="array" ref="E484">iferror(index('rna-gill'!$L:$L,match($A484,'rna-gill'!$A:$A,0)))</f>
        <v>N</v>
      </c>
      <c r="F484" t="str">
        <f t="array" ref="F484">iferror(index(fatty_acid!$G:$G,match($A484,fatty_acid!$A:$A,0)))</f>
        <v>BFA27-15</v>
      </c>
      <c r="G484" t="str">
        <f t="array" ref="G484">iferror(index(fatty_acid!$J:$J,match($A484,fatty_acid!$A:$A,0)))</f>
        <v>N</v>
      </c>
      <c r="H484" t="str">
        <f t="array" ref="H484">iferror(index(isotopes!$G:$G,match($A484,isotopes!$A:$A,0)))</f>
        <v>BIS28-34</v>
      </c>
      <c r="I484" t="str">
        <f t="array" ref="I484">iferror(index(isotopes!$J:$J,match($A484,isotopes!$A:$A,0)))</f>
        <v>N</v>
      </c>
      <c r="J484" t="str">
        <f t="array" ref="J484">iferror(index(extra_muscle!$G:$G,match($A484,extra_muscle!$A:$A,0)))</f>
        <v>BXM26-81</v>
      </c>
      <c r="K484" t="str">
        <f t="array" ref="K484">iferror(index(extra_muscle!$J:$J,match($A484,extra_muscle!$A:$A,0)))</f>
        <v>N</v>
      </c>
      <c r="L484" s="59" t="str">
        <f t="array" ref="L484">iferror(index(dna!$G:$G,match($A484,dna!$A:$A,0)))</f>
        <v/>
      </c>
      <c r="M484" s="60" t="str">
        <f t="array" ref="M484">iferror(index(dna!$J:$J,match($A484,dna!$A:$A,0)))</f>
        <v/>
      </c>
      <c r="N484" t="str">
        <f t="array" ref="N484">iferror(index(stomachs!$G:$G,match($A484,stomachs!$A:$A,0)))</f>
        <v/>
      </c>
      <c r="O484" t="str">
        <f t="array" ref="O484">iferror(index(stomachs!$J:$J,match($A484,stomachs!$A:$A,0)))</f>
        <v/>
      </c>
      <c r="P484" t="str">
        <f t="array" ref="P484">iferror(index(sea_lice!$G:$G,match($A484,sea_lice!$A:$A,0)))</f>
        <v/>
      </c>
      <c r="Q484" t="str">
        <f t="array" ref="Q484">iferror(index(sea_lice!$J:$J,match($A484,sea_lice!$A:$A,0)))</f>
        <v/>
      </c>
      <c r="R484" s="40" t="str">
        <f t="array" ref="R484">iferror(index(dissected_fish!$F:$F,match($A484,dissected_fish!$A:$A,0)))</f>
        <v>BCA104</v>
      </c>
      <c r="S484" s="40" t="str">
        <f t="array" ref="S484">iferror(index(dissected_fish!$K:$K,match($A484,dissected_fish!$A:$A,0)))</f>
        <v>N</v>
      </c>
      <c r="T484" s="61" t="str">
        <f t="array" ref="T484">index(fish_lab_data!O:O,match(A484,fish_lab_data!C:C,0))</f>
        <v>EJ</v>
      </c>
      <c r="U484" s="61">
        <f t="array" ref="U484">if(A484="","",index(fish_lab_data!X:X,match(A484,fish_lab_data!C:C,0)))</f>
        <v>483</v>
      </c>
    </row>
    <row r="485">
      <c r="A485" t="str">
        <f>fish_lab_data!C485</f>
        <v>U16294</v>
      </c>
      <c r="B485" t="str">
        <f t="array" ref="B485">iferror(index('rna-muscle'!$I:$I,match($A485,'rna-muscle'!$A:$A,0)))</f>
        <v>BRN67M-A7</v>
      </c>
      <c r="C485" t="str">
        <f t="array" ref="C485">iferror(index('rna-muscle'!$L:$L,match($A485,'rna-muscle'!$A:$A,0)))</f>
        <v>N</v>
      </c>
      <c r="D485" t="str">
        <f t="array" ref="D485">iferror(index('rna-gill'!$I:$I,match($A485,'rna-gill'!$A:$A,0)))</f>
        <v>BRN67G-A7</v>
      </c>
      <c r="E485" t="str">
        <f t="array" ref="E485">iferror(index('rna-gill'!$L:$L,match($A485,'rna-gill'!$A:$A,0)))</f>
        <v>N</v>
      </c>
      <c r="F485" t="str">
        <f t="array" ref="F485">iferror(index(fatty_acid!$G:$G,match($A485,fatty_acid!$A:$A,0)))</f>
        <v>BFA27-17</v>
      </c>
      <c r="G485" t="str">
        <f t="array" ref="G485">iferror(index(fatty_acid!$J:$J,match($A485,fatty_acid!$A:$A,0)))</f>
        <v>N</v>
      </c>
      <c r="H485" t="str">
        <f t="array" ref="H485">iferror(index(isotopes!$G:$G,match($A485,isotopes!$A:$A,0)))</f>
        <v>BIS28-35</v>
      </c>
      <c r="I485" t="str">
        <f t="array" ref="I485">iferror(index(isotopes!$J:$J,match($A485,isotopes!$A:$A,0)))</f>
        <v>N</v>
      </c>
      <c r="J485" t="str">
        <f t="array" ref="J485">iferror(index(extra_muscle!$G:$G,match($A485,extra_muscle!$A:$A,0)))</f>
        <v>BXM28-1</v>
      </c>
      <c r="K485" t="str">
        <f t="array" ref="K485">iferror(index(extra_muscle!$J:$J,match($A485,extra_muscle!$A:$A,0)))</f>
        <v>N</v>
      </c>
      <c r="L485" s="59" t="str">
        <f t="array" ref="L485">iferror(index(dna!$G:$G,match($A485,dna!$A:$A,0)))</f>
        <v/>
      </c>
      <c r="M485" s="60" t="str">
        <f t="array" ref="M485">iferror(index(dna!$J:$J,match($A485,dna!$A:$A,0)))</f>
        <v/>
      </c>
      <c r="N485" t="str">
        <f t="array" ref="N485">iferror(index(stomachs!$G:$G,match($A485,stomachs!$A:$A,0)))</f>
        <v/>
      </c>
      <c r="O485" t="str">
        <f t="array" ref="O485">iferror(index(stomachs!$J:$J,match($A485,stomachs!$A:$A,0)))</f>
        <v/>
      </c>
      <c r="P485" t="str">
        <f t="array" ref="P485">iferror(index(sea_lice!$G:$G,match($A485,sea_lice!$A:$A,0)))</f>
        <v/>
      </c>
      <c r="Q485" t="str">
        <f t="array" ref="Q485">iferror(index(sea_lice!$J:$J,match($A485,sea_lice!$A:$A,0)))</f>
        <v/>
      </c>
      <c r="R485" s="40" t="str">
        <f t="array" ref="R485">iferror(index(dissected_fish!$F:$F,match($A485,dissected_fish!$A:$A,0)))</f>
        <v>BCA104</v>
      </c>
      <c r="S485" s="40" t="str">
        <f t="array" ref="S485">iferror(index(dissected_fish!$K:$K,match($A485,dissected_fish!$A:$A,0)))</f>
        <v>N</v>
      </c>
      <c r="T485" s="61" t="str">
        <f t="array" ref="T485">index(fish_lab_data!O:O,match(A485,fish_lab_data!C:C,0))</f>
        <v>EJ</v>
      </c>
      <c r="U485" s="61">
        <f t="array" ref="U485">if(A485="","",index(fish_lab_data!X:X,match(A485,fish_lab_data!C:C,0)))</f>
        <v>484</v>
      </c>
    </row>
    <row r="486">
      <c r="A486" t="str">
        <f>fish_lab_data!C486</f>
        <v>U16295</v>
      </c>
      <c r="B486" t="str">
        <f t="array" ref="B486">iferror(index('rna-muscle'!$I:$I,match($A486,'rna-muscle'!$A:$A,0)))</f>
        <v>BRN67M-H9</v>
      </c>
      <c r="C486" t="str">
        <f t="array" ref="C486">iferror(index('rna-muscle'!$L:$L,match($A486,'rna-muscle'!$A:$A,0)))</f>
        <v>N</v>
      </c>
      <c r="D486" t="str">
        <f t="array" ref="D486">iferror(index('rna-gill'!$I:$I,match($A486,'rna-gill'!$A:$A,0)))</f>
        <v>BRN67G-H9</v>
      </c>
      <c r="E486" t="str">
        <f t="array" ref="E486">iferror(index('rna-gill'!$L:$L,match($A486,'rna-gill'!$A:$A,0)))</f>
        <v>N</v>
      </c>
      <c r="F486" t="str">
        <f t="array" ref="F486">iferror(index(fatty_acid!$G:$G,match($A486,fatty_acid!$A:$A,0)))</f>
        <v>BFA27-18</v>
      </c>
      <c r="G486" t="str">
        <f t="array" ref="G486">iferror(index(fatty_acid!$J:$J,match($A486,fatty_acid!$A:$A,0)))</f>
        <v>N</v>
      </c>
      <c r="H486" t="str">
        <f t="array" ref="H486">iferror(index(isotopes!$G:$G,match($A486,isotopes!$A:$A,0)))</f>
        <v>BIS28-36</v>
      </c>
      <c r="I486" t="str">
        <f t="array" ref="I486">iferror(index(isotopes!$J:$J,match($A486,isotopes!$A:$A,0)))</f>
        <v>N</v>
      </c>
      <c r="J486" t="str">
        <f t="array" ref="J486">iferror(index(extra_muscle!$G:$G,match($A486,extra_muscle!$A:$A,0)))</f>
        <v>BXM28-2</v>
      </c>
      <c r="K486" t="str">
        <f t="array" ref="K486">iferror(index(extra_muscle!$J:$J,match($A486,extra_muscle!$A:$A,0)))</f>
        <v>N</v>
      </c>
      <c r="L486" s="59" t="str">
        <f t="array" ref="L486">iferror(index(dna!$G:$G,match($A486,dna!$A:$A,0)))</f>
        <v/>
      </c>
      <c r="M486" s="60" t="str">
        <f t="array" ref="M486">iferror(index(dna!$J:$J,match($A486,dna!$A:$A,0)))</f>
        <v/>
      </c>
      <c r="N486" t="str">
        <f t="array" ref="N486">iferror(index(stomachs!$G:$G,match($A486,stomachs!$A:$A,0)))</f>
        <v/>
      </c>
      <c r="O486" t="str">
        <f t="array" ref="O486">iferror(index(stomachs!$J:$J,match($A486,stomachs!$A:$A,0)))</f>
        <v/>
      </c>
      <c r="P486" t="str">
        <f t="array" ref="P486">iferror(index(sea_lice!$G:$G,match($A486,sea_lice!$A:$A,0)))</f>
        <v/>
      </c>
      <c r="Q486" t="str">
        <f t="array" ref="Q486">iferror(index(sea_lice!$J:$J,match($A486,sea_lice!$A:$A,0)))</f>
        <v/>
      </c>
      <c r="R486" s="40" t="str">
        <f t="array" ref="R486">iferror(index(dissected_fish!$F:$F,match($A486,dissected_fish!$A:$A,0)))</f>
        <v>BCA104</v>
      </c>
      <c r="S486" s="40" t="str">
        <f t="array" ref="S486">iferror(index(dissected_fish!$K:$K,match($A486,dissected_fish!$A:$A,0)))</f>
        <v>N</v>
      </c>
      <c r="T486" s="61" t="str">
        <f t="array" ref="T486">index(fish_lab_data!O:O,match(A486,fish_lab_data!C:C,0))</f>
        <v>EJ</v>
      </c>
      <c r="U486" s="61">
        <f t="array" ref="U486">if(A486="","",index(fish_lab_data!X:X,match(A486,fish_lab_data!C:C,0)))</f>
        <v>485</v>
      </c>
    </row>
    <row r="487">
      <c r="A487" t="str">
        <f>fish_lab_data!C487</f>
        <v>U16296</v>
      </c>
      <c r="B487" t="str">
        <f t="array" ref="B487">iferror(index('rna-muscle'!$I:$I,match($A487,'rna-muscle'!$A:$A,0)))</f>
        <v>BRN67M-G9</v>
      </c>
      <c r="C487" t="str">
        <f t="array" ref="C487">iferror(index('rna-muscle'!$L:$L,match($A487,'rna-muscle'!$A:$A,0)))</f>
        <v>N</v>
      </c>
      <c r="D487" t="str">
        <f t="array" ref="D487">iferror(index('rna-gill'!$I:$I,match($A487,'rna-gill'!$A:$A,0)))</f>
        <v>BRN67G-G9</v>
      </c>
      <c r="E487" t="str">
        <f t="array" ref="E487">iferror(index('rna-gill'!$L:$L,match($A487,'rna-gill'!$A:$A,0)))</f>
        <v>N</v>
      </c>
      <c r="F487" t="str">
        <f t="array" ref="F487">iferror(index(fatty_acid!$G:$G,match($A487,fatty_acid!$A:$A,0)))</f>
        <v>BFA27-19</v>
      </c>
      <c r="G487" t="str">
        <f t="array" ref="G487">iferror(index(fatty_acid!$J:$J,match($A487,fatty_acid!$A:$A,0)))</f>
        <v>N</v>
      </c>
      <c r="H487" t="str">
        <f t="array" ref="H487">iferror(index(isotopes!$G:$G,match($A487,isotopes!$A:$A,0)))</f>
        <v>BIS28-37</v>
      </c>
      <c r="I487" t="str">
        <f t="array" ref="I487">iferror(index(isotopes!$J:$J,match($A487,isotopes!$A:$A,0)))</f>
        <v>N</v>
      </c>
      <c r="J487" t="str">
        <f t="array" ref="J487">iferror(index(extra_muscle!$G:$G,match($A487,extra_muscle!$A:$A,0)))</f>
        <v>BXM28-3</v>
      </c>
      <c r="K487" t="str">
        <f t="array" ref="K487">iferror(index(extra_muscle!$J:$J,match($A487,extra_muscle!$A:$A,0)))</f>
        <v>N</v>
      </c>
      <c r="L487" s="59" t="str">
        <f t="array" ref="L487">iferror(index(dna!$G:$G,match($A487,dna!$A:$A,0)))</f>
        <v/>
      </c>
      <c r="M487" s="60" t="str">
        <f t="array" ref="M487">iferror(index(dna!$J:$J,match($A487,dna!$A:$A,0)))</f>
        <v/>
      </c>
      <c r="N487" t="str">
        <f t="array" ref="N487">iferror(index(stomachs!$G:$G,match($A487,stomachs!$A:$A,0)))</f>
        <v/>
      </c>
      <c r="O487" t="str">
        <f t="array" ref="O487">iferror(index(stomachs!$J:$J,match($A487,stomachs!$A:$A,0)))</f>
        <v/>
      </c>
      <c r="P487" t="str">
        <f t="array" ref="P487">iferror(index(sea_lice!$G:$G,match($A487,sea_lice!$A:$A,0)))</f>
        <v/>
      </c>
      <c r="Q487" t="str">
        <f t="array" ref="Q487">iferror(index(sea_lice!$J:$J,match($A487,sea_lice!$A:$A,0)))</f>
        <v/>
      </c>
      <c r="R487" s="40" t="str">
        <f t="array" ref="R487">iferror(index(dissected_fish!$F:$F,match($A487,dissected_fish!$A:$A,0)))</f>
        <v>BCA104</v>
      </c>
      <c r="S487" s="40" t="str">
        <f t="array" ref="S487">iferror(index(dissected_fish!$K:$K,match($A487,dissected_fish!$A:$A,0)))</f>
        <v>N</v>
      </c>
      <c r="T487" s="61" t="str">
        <f t="array" ref="T487">index(fish_lab_data!O:O,match(A487,fish_lab_data!C:C,0))</f>
        <v>EJ</v>
      </c>
      <c r="U487" s="61">
        <f t="array" ref="U487">if(A487="","",index(fish_lab_data!X:X,match(A487,fish_lab_data!C:C,0)))</f>
        <v>486</v>
      </c>
    </row>
    <row r="488">
      <c r="A488" t="str">
        <f>fish_lab_data!C488</f>
        <v>U16297</v>
      </c>
      <c r="B488" t="str">
        <f t="array" ref="B488">iferror(index('rna-muscle'!$I:$I,match($A488,'rna-muscle'!$A:$A,0)))</f>
        <v>BRN67M-F9</v>
      </c>
      <c r="C488" t="str">
        <f t="array" ref="C488">iferror(index('rna-muscle'!$L:$L,match($A488,'rna-muscle'!$A:$A,0)))</f>
        <v>N</v>
      </c>
      <c r="D488" t="str">
        <f t="array" ref="D488">iferror(index('rna-gill'!$I:$I,match($A488,'rna-gill'!$A:$A,0)))</f>
        <v>BRN67G-F9</v>
      </c>
      <c r="E488" t="str">
        <f t="array" ref="E488">iferror(index('rna-gill'!$L:$L,match($A488,'rna-gill'!$A:$A,0)))</f>
        <v>N</v>
      </c>
      <c r="F488" t="str">
        <f t="array" ref="F488">iferror(index(fatty_acid!$G:$G,match($A488,fatty_acid!$A:$A,0)))</f>
        <v>BFA27-20</v>
      </c>
      <c r="G488" t="str">
        <f t="array" ref="G488">iferror(index(fatty_acid!$J:$J,match($A488,fatty_acid!$A:$A,0)))</f>
        <v>N</v>
      </c>
      <c r="H488" t="str">
        <f t="array" ref="H488">iferror(index(isotopes!$G:$G,match($A488,isotopes!$A:$A,0)))</f>
        <v>BIS28-38</v>
      </c>
      <c r="I488" t="str">
        <f t="array" ref="I488">iferror(index(isotopes!$J:$J,match($A488,isotopes!$A:$A,0)))</f>
        <v>N</v>
      </c>
      <c r="J488" t="str">
        <f t="array" ref="J488">iferror(index(extra_muscle!$G:$G,match($A488,extra_muscle!$A:$A,0)))</f>
        <v>BXM28-4</v>
      </c>
      <c r="K488" t="str">
        <f t="array" ref="K488">iferror(index(extra_muscle!$J:$J,match($A488,extra_muscle!$A:$A,0)))</f>
        <v>N</v>
      </c>
      <c r="L488" s="59" t="str">
        <f t="array" ref="L488">iferror(index(dna!$G:$G,match($A488,dna!$A:$A,0)))</f>
        <v/>
      </c>
      <c r="M488" s="60" t="str">
        <f t="array" ref="M488">iferror(index(dna!$J:$J,match($A488,dna!$A:$A,0)))</f>
        <v/>
      </c>
      <c r="N488" t="str">
        <f t="array" ref="N488">iferror(index(stomachs!$G:$G,match($A488,stomachs!$A:$A,0)))</f>
        <v/>
      </c>
      <c r="O488" t="str">
        <f t="array" ref="O488">iferror(index(stomachs!$J:$J,match($A488,stomachs!$A:$A,0)))</f>
        <v/>
      </c>
      <c r="P488" t="str">
        <f t="array" ref="P488">iferror(index(sea_lice!$G:$G,match($A488,sea_lice!$A:$A,0)))</f>
        <v/>
      </c>
      <c r="Q488" t="str">
        <f t="array" ref="Q488">iferror(index(sea_lice!$J:$J,match($A488,sea_lice!$A:$A,0)))</f>
        <v/>
      </c>
      <c r="R488" s="40" t="str">
        <f t="array" ref="R488">iferror(index(dissected_fish!$F:$F,match($A488,dissected_fish!$A:$A,0)))</f>
        <v>BCA104</v>
      </c>
      <c r="S488" s="40" t="str">
        <f t="array" ref="S488">iferror(index(dissected_fish!$K:$K,match($A488,dissected_fish!$A:$A,0)))</f>
        <v>N</v>
      </c>
      <c r="T488" s="61" t="str">
        <f t="array" ref="T488">index(fish_lab_data!O:O,match(A488,fish_lab_data!C:C,0))</f>
        <v>EJ</v>
      </c>
      <c r="U488" s="61">
        <f t="array" ref="U488">if(A488="","",index(fish_lab_data!X:X,match(A488,fish_lab_data!C:C,0)))</f>
        <v>487</v>
      </c>
    </row>
    <row r="489">
      <c r="A489" t="str">
        <f>fish_lab_data!C489</f>
        <v>U16298</v>
      </c>
      <c r="B489" t="str">
        <f t="array" ref="B489">iferror(index('rna-muscle'!$I:$I,match($A489,'rna-muscle'!$A:$A,0)))</f>
        <v>BRN67M-E9</v>
      </c>
      <c r="C489" t="str">
        <f t="array" ref="C489">iferror(index('rna-muscle'!$L:$L,match($A489,'rna-muscle'!$A:$A,0)))</f>
        <v>N</v>
      </c>
      <c r="D489" t="str">
        <f t="array" ref="D489">iferror(index('rna-gill'!$I:$I,match($A489,'rna-gill'!$A:$A,0)))</f>
        <v>BRN67G-E9</v>
      </c>
      <c r="E489" t="str">
        <f t="array" ref="E489">iferror(index('rna-gill'!$L:$L,match($A489,'rna-gill'!$A:$A,0)))</f>
        <v>N</v>
      </c>
      <c r="F489" t="str">
        <f t="array" ref="F489">iferror(index(fatty_acid!$G:$G,match($A489,fatty_acid!$A:$A,0)))</f>
        <v>BFA27-21</v>
      </c>
      <c r="G489" t="str">
        <f t="array" ref="G489">iferror(index(fatty_acid!$J:$J,match($A489,fatty_acid!$A:$A,0)))</f>
        <v>N</v>
      </c>
      <c r="H489" t="str">
        <f t="array" ref="H489">iferror(index(isotopes!$G:$G,match($A489,isotopes!$A:$A,0)))</f>
        <v>BIS28-39</v>
      </c>
      <c r="I489" t="str">
        <f t="array" ref="I489">iferror(index(isotopes!$J:$J,match($A489,isotopes!$A:$A,0)))</f>
        <v>N</v>
      </c>
      <c r="J489" t="str">
        <f t="array" ref="J489">iferror(index(extra_muscle!$G:$G,match($A489,extra_muscle!$A:$A,0)))</f>
        <v>BXM28-5</v>
      </c>
      <c r="K489" t="str">
        <f t="array" ref="K489">iferror(index(extra_muscle!$J:$J,match($A489,extra_muscle!$A:$A,0)))</f>
        <v>N</v>
      </c>
      <c r="L489" s="59" t="str">
        <f t="array" ref="L489">iferror(index(dna!$G:$G,match($A489,dna!$A:$A,0)))</f>
        <v/>
      </c>
      <c r="M489" s="60" t="str">
        <f t="array" ref="M489">iferror(index(dna!$J:$J,match($A489,dna!$A:$A,0)))</f>
        <v/>
      </c>
      <c r="N489" t="str">
        <f t="array" ref="N489">iferror(index(stomachs!$G:$G,match($A489,stomachs!$A:$A,0)))</f>
        <v/>
      </c>
      <c r="O489" t="str">
        <f t="array" ref="O489">iferror(index(stomachs!$J:$J,match($A489,stomachs!$A:$A,0)))</f>
        <v/>
      </c>
      <c r="P489" t="str">
        <f t="array" ref="P489">iferror(index(sea_lice!$G:$G,match($A489,sea_lice!$A:$A,0)))</f>
        <v>BSL6-39</v>
      </c>
      <c r="Q489" t="str">
        <f t="array" ref="Q489">iferror(index(sea_lice!$J:$J,match($A489,sea_lice!$A:$A,0)))</f>
        <v>N</v>
      </c>
      <c r="R489" s="40" t="str">
        <f t="array" ref="R489">iferror(index(dissected_fish!$F:$F,match($A489,dissected_fish!$A:$A,0)))</f>
        <v>BCA104</v>
      </c>
      <c r="S489" s="40" t="str">
        <f t="array" ref="S489">iferror(index(dissected_fish!$K:$K,match($A489,dissected_fish!$A:$A,0)))</f>
        <v>N</v>
      </c>
      <c r="T489" s="61" t="str">
        <f t="array" ref="T489">index(fish_lab_data!O:O,match(A489,fish_lab_data!C:C,0))</f>
        <v>EJ</v>
      </c>
      <c r="U489" s="61">
        <f t="array" ref="U489">if(A489="","",index(fish_lab_data!X:X,match(A489,fish_lab_data!C:C,0)))</f>
        <v>488</v>
      </c>
    </row>
    <row r="490">
      <c r="A490" t="str">
        <f>fish_lab_data!C490</f>
        <v>U16511</v>
      </c>
      <c r="B490" t="str">
        <f t="array" ref="B490">iferror(index('rna-muscle'!$I:$I,match($A490,'rna-muscle'!$A:$A,0)))</f>
        <v>BRN67M-D9</v>
      </c>
      <c r="C490" t="str">
        <f t="array" ref="C490">iferror(index('rna-muscle'!$L:$L,match($A490,'rna-muscle'!$A:$A,0)))</f>
        <v>N</v>
      </c>
      <c r="D490" t="str">
        <f t="array" ref="D490">iferror(index('rna-gill'!$I:$I,match($A490,'rna-gill'!$A:$A,0)))</f>
        <v>BRN67G-D9</v>
      </c>
      <c r="E490" t="str">
        <f t="array" ref="E490">iferror(index('rna-gill'!$L:$L,match($A490,'rna-gill'!$A:$A,0)))</f>
        <v>N</v>
      </c>
      <c r="F490" t="str">
        <f t="array" ref="F490">iferror(index(fatty_acid!$G:$G,match($A490,fatty_acid!$A:$A,0)))</f>
        <v>BFA27-22</v>
      </c>
      <c r="G490" t="str">
        <f t="array" ref="G490">iferror(index(fatty_acid!$J:$J,match($A490,fatty_acid!$A:$A,0)))</f>
        <v>N</v>
      </c>
      <c r="H490" t="str">
        <f t="array" ref="H490">iferror(index(isotopes!$G:$G,match($A490,isotopes!$A:$A,0)))</f>
        <v>BIS28-40</v>
      </c>
      <c r="I490" t="str">
        <f t="array" ref="I490">iferror(index(isotopes!$J:$J,match($A490,isotopes!$A:$A,0)))</f>
        <v>N</v>
      </c>
      <c r="J490" t="str">
        <f t="array" ref="J490">iferror(index(extra_muscle!$G:$G,match($A490,extra_muscle!$A:$A,0)))</f>
        <v>BXM28-7</v>
      </c>
      <c r="K490" t="str">
        <f t="array" ref="K490">iferror(index(extra_muscle!$J:$J,match($A490,extra_muscle!$A:$A,0)))</f>
        <v>N</v>
      </c>
      <c r="L490" s="59" t="str">
        <f t="array" ref="L490">iferror(index(dna!$G:$G,match($A490,dna!$A:$A,0)))</f>
        <v/>
      </c>
      <c r="M490" s="60" t="str">
        <f t="array" ref="M490">iferror(index(dna!$J:$J,match($A490,dna!$A:$A,0)))</f>
        <v/>
      </c>
      <c r="N490" t="str">
        <f t="array" ref="N490">iferror(index(stomachs!$G:$G,match($A490,stomachs!$A:$A,0)))</f>
        <v/>
      </c>
      <c r="O490" t="str">
        <f t="array" ref="O490">iferror(index(stomachs!$J:$J,match($A490,stomachs!$A:$A,0)))</f>
        <v/>
      </c>
      <c r="P490" t="str">
        <f t="array" ref="P490">iferror(index(sea_lice!$G:$G,match($A490,sea_lice!$A:$A,0)))</f>
        <v/>
      </c>
      <c r="Q490" t="str">
        <f t="array" ref="Q490">iferror(index(sea_lice!$J:$J,match($A490,sea_lice!$A:$A,0)))</f>
        <v/>
      </c>
      <c r="R490" s="40" t="str">
        <f t="array" ref="R490">iferror(index(dissected_fish!$F:$F,match($A490,dissected_fish!$A:$A,0)))</f>
        <v>BCA104</v>
      </c>
      <c r="S490" s="40" t="str">
        <f t="array" ref="S490">iferror(index(dissected_fish!$K:$K,match($A490,dissected_fish!$A:$A,0)))</f>
        <v>N</v>
      </c>
      <c r="T490" s="61" t="str">
        <f t="array" ref="T490">index(fish_lab_data!O:O,match(A490,fish_lab_data!C:C,0))</f>
        <v>EJ</v>
      </c>
      <c r="U490" s="61">
        <f t="array" ref="U490">if(A490="","",index(fish_lab_data!X:X,match(A490,fish_lab_data!C:C,0)))</f>
        <v>489</v>
      </c>
    </row>
    <row r="491">
      <c r="A491" t="str">
        <f>fish_lab_data!C491</f>
        <v>U16512</v>
      </c>
      <c r="B491" t="str">
        <f t="array" ref="B491">iferror(index('rna-muscle'!$I:$I,match($A491,'rna-muscle'!$A:$A,0)))</f>
        <v>BRN67M-C9</v>
      </c>
      <c r="C491" t="str">
        <f t="array" ref="C491">iferror(index('rna-muscle'!$L:$L,match($A491,'rna-muscle'!$A:$A,0)))</f>
        <v>N</v>
      </c>
      <c r="D491" t="str">
        <f t="array" ref="D491">iferror(index('rna-gill'!$I:$I,match($A491,'rna-gill'!$A:$A,0)))</f>
        <v>BRN67G-C9</v>
      </c>
      <c r="E491" t="str">
        <f t="array" ref="E491">iferror(index('rna-gill'!$L:$L,match($A491,'rna-gill'!$A:$A,0)))</f>
        <v>N</v>
      </c>
      <c r="F491" t="str">
        <f t="array" ref="F491">iferror(index(fatty_acid!$G:$G,match($A491,fatty_acid!$A:$A,0)))</f>
        <v>BFA27-23</v>
      </c>
      <c r="G491" t="str">
        <f t="array" ref="G491">iferror(index(fatty_acid!$J:$J,match($A491,fatty_acid!$A:$A,0)))</f>
        <v>N</v>
      </c>
      <c r="H491" t="str">
        <f t="array" ref="H491">iferror(index(isotopes!$G:$G,match($A491,isotopes!$A:$A,0)))</f>
        <v>BIS28-41</v>
      </c>
      <c r="I491" t="str">
        <f t="array" ref="I491">iferror(index(isotopes!$J:$J,match($A491,isotopes!$A:$A,0)))</f>
        <v>N</v>
      </c>
      <c r="J491" t="str">
        <f t="array" ref="J491">iferror(index(extra_muscle!$G:$G,match($A491,extra_muscle!$A:$A,0)))</f>
        <v>BXM28-8</v>
      </c>
      <c r="K491" t="str">
        <f t="array" ref="K491">iferror(index(extra_muscle!$J:$J,match($A491,extra_muscle!$A:$A,0)))</f>
        <v>N</v>
      </c>
      <c r="L491" s="59" t="str">
        <f t="array" ref="L491">iferror(index(dna!$G:$G,match($A491,dna!$A:$A,0)))</f>
        <v/>
      </c>
      <c r="M491" s="60" t="str">
        <f t="array" ref="M491">iferror(index(dna!$J:$J,match($A491,dna!$A:$A,0)))</f>
        <v/>
      </c>
      <c r="N491" t="str">
        <f t="array" ref="N491">iferror(index(stomachs!$G:$G,match($A491,stomachs!$A:$A,0)))</f>
        <v/>
      </c>
      <c r="O491" t="str">
        <f t="array" ref="O491">iferror(index(stomachs!$J:$J,match($A491,stomachs!$A:$A,0)))</f>
        <v/>
      </c>
      <c r="P491" t="str">
        <f t="array" ref="P491">iferror(index(sea_lice!$G:$G,match($A491,sea_lice!$A:$A,0)))</f>
        <v/>
      </c>
      <c r="Q491" t="str">
        <f t="array" ref="Q491">iferror(index(sea_lice!$J:$J,match($A491,sea_lice!$A:$A,0)))</f>
        <v/>
      </c>
      <c r="R491" s="40" t="str">
        <f t="array" ref="R491">iferror(index(dissected_fish!$F:$F,match($A491,dissected_fish!$A:$A,0)))</f>
        <v>BCA104</v>
      </c>
      <c r="S491" s="40" t="str">
        <f t="array" ref="S491">iferror(index(dissected_fish!$K:$K,match($A491,dissected_fish!$A:$A,0)))</f>
        <v>N</v>
      </c>
      <c r="T491" s="61" t="str">
        <f t="array" ref="T491">index(fish_lab_data!O:O,match(A491,fish_lab_data!C:C,0))</f>
        <v>EJ</v>
      </c>
      <c r="U491" s="61">
        <f t="array" ref="U491">if(A491="","",index(fish_lab_data!X:X,match(A491,fish_lab_data!C:C,0)))</f>
        <v>490</v>
      </c>
    </row>
    <row r="492">
      <c r="A492" t="str">
        <f>fish_lab_data!C492</f>
        <v>U17231</v>
      </c>
      <c r="B492" t="str">
        <f t="array" ref="B492">iferror(index('rna-muscle'!$I:$I,match($A492,'rna-muscle'!$A:$A,0)))</f>
        <v>BRN67M-F6</v>
      </c>
      <c r="C492" t="str">
        <f t="array" ref="C492">iferror(index('rna-muscle'!$L:$L,match($A492,'rna-muscle'!$A:$A,0)))</f>
        <v>N</v>
      </c>
      <c r="D492" t="str">
        <f t="array" ref="D492">iferror(index('rna-gill'!$I:$I,match($A492,'rna-gill'!$A:$A,0)))</f>
        <v>BRN67G-F6</v>
      </c>
      <c r="E492" t="str">
        <f t="array" ref="E492">iferror(index('rna-gill'!$L:$L,match($A492,'rna-gill'!$A:$A,0)))</f>
        <v>N</v>
      </c>
      <c r="F492" t="str">
        <f t="array" ref="F492">iferror(index(fatty_acid!$G:$G,match($A492,fatty_acid!$A:$A,0)))</f>
        <v>BFA26-20</v>
      </c>
      <c r="G492" t="str">
        <f t="array" ref="G492">iferror(index(fatty_acid!$J:$J,match($A492,fatty_acid!$A:$A,0)))</f>
        <v>N</v>
      </c>
      <c r="H492" t="str">
        <f t="array" ref="H492">iferror(index(isotopes!$G:$G,match($A492,isotopes!$A:$A,0)))</f>
        <v>BIS29-20</v>
      </c>
      <c r="I492" t="str">
        <f t="array" ref="I492">iferror(index(isotopes!$J:$J,match($A492,isotopes!$A:$A,0)))</f>
        <v>N</v>
      </c>
      <c r="J492" t="str">
        <f t="array" ref="J492">iferror(index(extra_muscle!$G:$G,match($A492,extra_muscle!$A:$A,0)))</f>
        <v>BXM27-20</v>
      </c>
      <c r="K492" t="str">
        <f t="array" ref="K492">iferror(index(extra_muscle!$J:$J,match($A492,extra_muscle!$A:$A,0)))</f>
        <v>N</v>
      </c>
      <c r="L492" s="59" t="str">
        <f t="array" ref="L492">iferror(index(dna!$G:$G,match($A492,dna!$A:$A,0)))</f>
        <v/>
      </c>
      <c r="M492" s="60" t="str">
        <f t="array" ref="M492">iferror(index(dna!$J:$J,match($A492,dna!$A:$A,0)))</f>
        <v/>
      </c>
      <c r="N492" t="str">
        <f t="array" ref="N492">iferror(index(stomachs!$G:$G,match($A492,stomachs!$A:$A,0)))</f>
        <v/>
      </c>
      <c r="O492" t="str">
        <f t="array" ref="O492">iferror(index(stomachs!$J:$J,match($A492,stomachs!$A:$A,0)))</f>
        <v/>
      </c>
      <c r="P492" t="str">
        <f t="array" ref="P492">iferror(index(sea_lice!$G:$G,match($A492,sea_lice!$A:$A,0)))</f>
        <v/>
      </c>
      <c r="Q492" t="str">
        <f t="array" ref="Q492">iferror(index(sea_lice!$J:$J,match($A492,sea_lice!$A:$A,0)))</f>
        <v/>
      </c>
      <c r="R492" s="40" t="str">
        <f t="array" ref="R492">iferror(index(dissected_fish!$F:$F,match($A492,dissected_fish!$A:$A,0)))</f>
        <v>BCA104</v>
      </c>
      <c r="S492" s="40" t="str">
        <f t="array" ref="S492">iferror(index(dissected_fish!$K:$K,match($A492,dissected_fish!$A:$A,0)))</f>
        <v>N</v>
      </c>
      <c r="T492" s="61" t="str">
        <f t="array" ref="T492">index(fish_lab_data!O:O,match(A492,fish_lab_data!C:C,0))</f>
        <v>KB</v>
      </c>
      <c r="U492" s="61">
        <f t="array" ref="U492">if(A492="","",index(fish_lab_data!X:X,match(A492,fish_lab_data!C:C,0)))</f>
        <v>491</v>
      </c>
    </row>
    <row r="493">
      <c r="A493" t="str">
        <f>fish_lab_data!C493</f>
        <v>U17235</v>
      </c>
      <c r="B493" t="str">
        <f t="array" ref="B493">iferror(index('rna-muscle'!$I:$I,match($A493,'rna-muscle'!$A:$A,0)))</f>
        <v>BRN67M-E6</v>
      </c>
      <c r="C493" t="str">
        <f t="array" ref="C493">iferror(index('rna-muscle'!$L:$L,match($A493,'rna-muscle'!$A:$A,0)))</f>
        <v>N</v>
      </c>
      <c r="D493" t="str">
        <f t="array" ref="D493">iferror(index('rna-gill'!$I:$I,match($A493,'rna-gill'!$A:$A,0)))</f>
        <v>BRN67G-E6</v>
      </c>
      <c r="E493" t="str">
        <f t="array" ref="E493">iferror(index('rna-gill'!$L:$L,match($A493,'rna-gill'!$A:$A,0)))</f>
        <v>N</v>
      </c>
      <c r="F493" t="str">
        <f t="array" ref="F493">iferror(index(fatty_acid!$G:$G,match($A493,fatty_acid!$A:$A,0)))</f>
        <v>BFA26-21</v>
      </c>
      <c r="G493" t="str">
        <f t="array" ref="G493">iferror(index(fatty_acid!$J:$J,match($A493,fatty_acid!$A:$A,0)))</f>
        <v>N</v>
      </c>
      <c r="H493" t="str">
        <f t="array" ref="H493">iferror(index(isotopes!$G:$G,match($A493,isotopes!$A:$A,0)))</f>
        <v>BIS29-21</v>
      </c>
      <c r="I493" t="str">
        <f t="array" ref="I493">iferror(index(isotopes!$J:$J,match($A493,isotopes!$A:$A,0)))</f>
        <v>N</v>
      </c>
      <c r="J493" t="str">
        <f t="array" ref="J493">iferror(index(extra_muscle!$G:$G,match($A493,extra_muscle!$A:$A,0)))</f>
        <v>BXM27-21</v>
      </c>
      <c r="K493" t="str">
        <f t="array" ref="K493">iferror(index(extra_muscle!$J:$J,match($A493,extra_muscle!$A:$A,0)))</f>
        <v>N</v>
      </c>
      <c r="L493" s="59" t="str">
        <f t="array" ref="L493">iferror(index(dna!$G:$G,match($A493,dna!$A:$A,0)))</f>
        <v/>
      </c>
      <c r="M493" s="60" t="str">
        <f t="array" ref="M493">iferror(index(dna!$J:$J,match($A493,dna!$A:$A,0)))</f>
        <v/>
      </c>
      <c r="N493" t="str">
        <f t="array" ref="N493">iferror(index(stomachs!$G:$G,match($A493,stomachs!$A:$A,0)))</f>
        <v/>
      </c>
      <c r="O493" t="str">
        <f t="array" ref="O493">iferror(index(stomachs!$J:$J,match($A493,stomachs!$A:$A,0)))</f>
        <v/>
      </c>
      <c r="P493" t="str">
        <f t="array" ref="P493">iferror(index(sea_lice!$G:$G,match($A493,sea_lice!$A:$A,0)))</f>
        <v/>
      </c>
      <c r="Q493" t="str">
        <f t="array" ref="Q493">iferror(index(sea_lice!$J:$J,match($A493,sea_lice!$A:$A,0)))</f>
        <v/>
      </c>
      <c r="R493" s="40" t="str">
        <f t="array" ref="R493">iferror(index(dissected_fish!$F:$F,match($A493,dissected_fish!$A:$A,0)))</f>
        <v>BCA104</v>
      </c>
      <c r="S493" s="40" t="str">
        <f t="array" ref="S493">iferror(index(dissected_fish!$K:$K,match($A493,dissected_fish!$A:$A,0)))</f>
        <v>N</v>
      </c>
      <c r="T493" s="61" t="str">
        <f t="array" ref="T493">index(fish_lab_data!O:O,match(A493,fish_lab_data!C:C,0))</f>
        <v>KB</v>
      </c>
      <c r="U493" s="61">
        <f t="array" ref="U493">if(A493="","",index(fish_lab_data!X:X,match(A493,fish_lab_data!C:C,0)))</f>
        <v>492</v>
      </c>
    </row>
    <row r="494">
      <c r="A494" t="str">
        <f>fish_lab_data!C494</f>
        <v>U17237</v>
      </c>
      <c r="B494" t="str">
        <f t="array" ref="B494">iferror(index('rna-muscle'!$I:$I,match($A494,'rna-muscle'!$A:$A,0)))</f>
        <v>BRN67M-D6</v>
      </c>
      <c r="C494" t="str">
        <f t="array" ref="C494">iferror(index('rna-muscle'!$L:$L,match($A494,'rna-muscle'!$A:$A,0)))</f>
        <v>N</v>
      </c>
      <c r="D494" t="str">
        <f t="array" ref="D494">iferror(index('rna-gill'!$I:$I,match($A494,'rna-gill'!$A:$A,0)))</f>
        <v>BRN67G-D6</v>
      </c>
      <c r="E494" t="str">
        <f t="array" ref="E494">iferror(index('rna-gill'!$L:$L,match($A494,'rna-gill'!$A:$A,0)))</f>
        <v>N</v>
      </c>
      <c r="F494" t="str">
        <f t="array" ref="F494">iferror(index(fatty_acid!$G:$G,match($A494,fatty_acid!$A:$A,0)))</f>
        <v>BFA26-22</v>
      </c>
      <c r="G494" t="str">
        <f t="array" ref="G494">iferror(index(fatty_acid!$J:$J,match($A494,fatty_acid!$A:$A,0)))</f>
        <v>N</v>
      </c>
      <c r="H494" t="str">
        <f t="array" ref="H494">iferror(index(isotopes!$G:$G,match($A494,isotopes!$A:$A,0)))</f>
        <v>BIS29-22</v>
      </c>
      <c r="I494" t="str">
        <f t="array" ref="I494">iferror(index(isotopes!$J:$J,match($A494,isotopes!$A:$A,0)))</f>
        <v>N</v>
      </c>
      <c r="J494" t="str">
        <f t="array" ref="J494">iferror(index(extra_muscle!$G:$G,match($A494,extra_muscle!$A:$A,0)))</f>
        <v>BXM27-22</v>
      </c>
      <c r="K494" t="str">
        <f t="array" ref="K494">iferror(index(extra_muscle!$J:$J,match($A494,extra_muscle!$A:$A,0)))</f>
        <v>N</v>
      </c>
      <c r="L494" s="59" t="str">
        <f t="array" ref="L494">iferror(index(dna!$G:$G,match($A494,dna!$A:$A,0)))</f>
        <v/>
      </c>
      <c r="M494" s="60" t="str">
        <f t="array" ref="M494">iferror(index(dna!$J:$J,match($A494,dna!$A:$A,0)))</f>
        <v/>
      </c>
      <c r="N494" t="str">
        <f t="array" ref="N494">iferror(index(stomachs!$G:$G,match($A494,stomachs!$A:$A,0)))</f>
        <v/>
      </c>
      <c r="O494" t="str">
        <f t="array" ref="O494">iferror(index(stomachs!$J:$J,match($A494,stomachs!$A:$A,0)))</f>
        <v/>
      </c>
      <c r="P494" t="str">
        <f t="array" ref="P494">iferror(index(sea_lice!$G:$G,match($A494,sea_lice!$A:$A,0)))</f>
        <v/>
      </c>
      <c r="Q494" t="str">
        <f t="array" ref="Q494">iferror(index(sea_lice!$J:$J,match($A494,sea_lice!$A:$A,0)))</f>
        <v/>
      </c>
      <c r="R494" s="40" t="str">
        <f t="array" ref="R494">iferror(index(dissected_fish!$F:$F,match($A494,dissected_fish!$A:$A,0)))</f>
        <v>BCA104</v>
      </c>
      <c r="S494" s="40" t="str">
        <f t="array" ref="S494">iferror(index(dissected_fish!$K:$K,match($A494,dissected_fish!$A:$A,0)))</f>
        <v>N</v>
      </c>
      <c r="T494" s="61" t="str">
        <f t="array" ref="T494">index(fish_lab_data!O:O,match(A494,fish_lab_data!C:C,0))</f>
        <v>KB</v>
      </c>
      <c r="U494" s="61">
        <f t="array" ref="U494">if(A494="","",index(fish_lab_data!X:X,match(A494,fish_lab_data!C:C,0)))</f>
        <v>493</v>
      </c>
    </row>
    <row r="495">
      <c r="A495" t="str">
        <f>fish_lab_data!C495</f>
        <v>U17238</v>
      </c>
      <c r="B495" t="str">
        <f t="array" ref="B495">iferror(index('rna-muscle'!$I:$I,match($A495,'rna-muscle'!$A:$A,0)))</f>
        <v>BRN67M-C6</v>
      </c>
      <c r="C495" t="str">
        <f t="array" ref="C495">iferror(index('rna-muscle'!$L:$L,match($A495,'rna-muscle'!$A:$A,0)))</f>
        <v>N</v>
      </c>
      <c r="D495" t="str">
        <f t="array" ref="D495">iferror(index('rna-gill'!$I:$I,match($A495,'rna-gill'!$A:$A,0)))</f>
        <v>BRN67G-C6</v>
      </c>
      <c r="E495" t="str">
        <f t="array" ref="E495">iferror(index('rna-gill'!$L:$L,match($A495,'rna-gill'!$A:$A,0)))</f>
        <v>N</v>
      </c>
      <c r="F495" t="str">
        <f t="array" ref="F495">iferror(index(fatty_acid!$G:$G,match($A495,fatty_acid!$A:$A,0)))</f>
        <v>BFA26-23</v>
      </c>
      <c r="G495" t="str">
        <f t="array" ref="G495">iferror(index(fatty_acid!$J:$J,match($A495,fatty_acid!$A:$A,0)))</f>
        <v>N</v>
      </c>
      <c r="H495" t="str">
        <f t="array" ref="H495">iferror(index(isotopes!$G:$G,match($A495,isotopes!$A:$A,0)))</f>
        <v>BIS29-23</v>
      </c>
      <c r="I495" t="str">
        <f t="array" ref="I495">iferror(index(isotopes!$J:$J,match($A495,isotopes!$A:$A,0)))</f>
        <v>N</v>
      </c>
      <c r="J495" t="str">
        <f t="array" ref="J495">iferror(index(extra_muscle!$G:$G,match($A495,extra_muscle!$A:$A,0)))</f>
        <v>BXM27-23</v>
      </c>
      <c r="K495" t="str">
        <f t="array" ref="K495">iferror(index(extra_muscle!$J:$J,match($A495,extra_muscle!$A:$A,0)))</f>
        <v>N</v>
      </c>
      <c r="L495" s="59" t="str">
        <f t="array" ref="L495">iferror(index(dna!$G:$G,match($A495,dna!$A:$A,0)))</f>
        <v/>
      </c>
      <c r="M495" s="60" t="str">
        <f t="array" ref="M495">iferror(index(dna!$J:$J,match($A495,dna!$A:$A,0)))</f>
        <v/>
      </c>
      <c r="N495" t="str">
        <f t="array" ref="N495">iferror(index(stomachs!$G:$G,match($A495,stomachs!$A:$A,0)))</f>
        <v/>
      </c>
      <c r="O495" t="str">
        <f t="array" ref="O495">iferror(index(stomachs!$J:$J,match($A495,stomachs!$A:$A,0)))</f>
        <v/>
      </c>
      <c r="P495" t="str">
        <f t="array" ref="P495">iferror(index(sea_lice!$G:$G,match($A495,sea_lice!$A:$A,0)))</f>
        <v/>
      </c>
      <c r="Q495" t="str">
        <f t="array" ref="Q495">iferror(index(sea_lice!$J:$J,match($A495,sea_lice!$A:$A,0)))</f>
        <v/>
      </c>
      <c r="R495" s="40" t="str">
        <f t="array" ref="R495">iferror(index(dissected_fish!$F:$F,match($A495,dissected_fish!$A:$A,0)))</f>
        <v>BCA104</v>
      </c>
      <c r="S495" s="40" t="str">
        <f t="array" ref="S495">iferror(index(dissected_fish!$K:$K,match($A495,dissected_fish!$A:$A,0)))</f>
        <v>N</v>
      </c>
      <c r="T495" s="61" t="str">
        <f t="array" ref="T495">index(fish_lab_data!O:O,match(A495,fish_lab_data!C:C,0))</f>
        <v>KB</v>
      </c>
      <c r="U495" s="61">
        <f t="array" ref="U495">if(A495="","",index(fish_lab_data!X:X,match(A495,fish_lab_data!C:C,0)))</f>
        <v>494</v>
      </c>
    </row>
    <row r="496">
      <c r="A496" t="str">
        <f>fish_lab_data!C496</f>
        <v>U17234</v>
      </c>
      <c r="B496" t="str">
        <f t="array" ref="B496">iferror(index('rna-muscle'!$I:$I,match($A496,'rna-muscle'!$A:$A,0)))</f>
        <v>BRN67M-B6</v>
      </c>
      <c r="C496" t="str">
        <f t="array" ref="C496">iferror(index('rna-muscle'!$L:$L,match($A496,'rna-muscle'!$A:$A,0)))</f>
        <v>N</v>
      </c>
      <c r="D496" t="str">
        <f t="array" ref="D496">iferror(index('rna-gill'!$I:$I,match($A496,'rna-gill'!$A:$A,0)))</f>
        <v>BRN67G-B6</v>
      </c>
      <c r="E496" t="str">
        <f t="array" ref="E496">iferror(index('rna-gill'!$L:$L,match($A496,'rna-gill'!$A:$A,0)))</f>
        <v>N</v>
      </c>
      <c r="F496" t="str">
        <f t="array" ref="F496">iferror(index(fatty_acid!$G:$G,match($A496,fatty_acid!$A:$A,0)))</f>
        <v>BFA26-24</v>
      </c>
      <c r="G496" t="str">
        <f t="array" ref="G496">iferror(index(fatty_acid!$J:$J,match($A496,fatty_acid!$A:$A,0)))</f>
        <v>N</v>
      </c>
      <c r="H496" t="str">
        <f t="array" ref="H496">iferror(index(isotopes!$G:$G,match($A496,isotopes!$A:$A,0)))</f>
        <v>BIS29-24</v>
      </c>
      <c r="I496" t="str">
        <f t="array" ref="I496">iferror(index(isotopes!$J:$J,match($A496,isotopes!$A:$A,0)))</f>
        <v>N</v>
      </c>
      <c r="J496" t="str">
        <f t="array" ref="J496">iferror(index(extra_muscle!$G:$G,match($A496,extra_muscle!$A:$A,0)))</f>
        <v>BXM27-24</v>
      </c>
      <c r="K496" t="str">
        <f t="array" ref="K496">iferror(index(extra_muscle!$J:$J,match($A496,extra_muscle!$A:$A,0)))</f>
        <v>N</v>
      </c>
      <c r="L496" s="59" t="str">
        <f t="array" ref="L496">iferror(index(dna!$G:$G,match($A496,dna!$A:$A,0)))</f>
        <v/>
      </c>
      <c r="M496" s="60" t="str">
        <f t="array" ref="M496">iferror(index(dna!$J:$J,match($A496,dna!$A:$A,0)))</f>
        <v/>
      </c>
      <c r="N496" t="str">
        <f t="array" ref="N496">iferror(index(stomachs!$G:$G,match($A496,stomachs!$A:$A,0)))</f>
        <v/>
      </c>
      <c r="O496" t="str">
        <f t="array" ref="O496">iferror(index(stomachs!$J:$J,match($A496,stomachs!$A:$A,0)))</f>
        <v/>
      </c>
      <c r="P496" t="str">
        <f t="array" ref="P496">iferror(index(sea_lice!$G:$G,match($A496,sea_lice!$A:$A,0)))</f>
        <v/>
      </c>
      <c r="Q496" t="str">
        <f t="array" ref="Q496">iferror(index(sea_lice!$J:$J,match($A496,sea_lice!$A:$A,0)))</f>
        <v/>
      </c>
      <c r="R496" s="40" t="str">
        <f t="array" ref="R496">iferror(index(dissected_fish!$F:$F,match($A496,dissected_fish!$A:$A,0)))</f>
        <v>BCA104</v>
      </c>
      <c r="S496" s="40" t="str">
        <f t="array" ref="S496">iferror(index(dissected_fish!$K:$K,match($A496,dissected_fish!$A:$A,0)))</f>
        <v>N</v>
      </c>
      <c r="T496" s="61" t="str">
        <f t="array" ref="T496">index(fish_lab_data!O:O,match(A496,fish_lab_data!C:C,0))</f>
        <v>KB</v>
      </c>
      <c r="U496" s="61">
        <f t="array" ref="U496">if(A496="","",index(fish_lab_data!X:X,match(A496,fish_lab_data!C:C,0)))</f>
        <v>495</v>
      </c>
    </row>
    <row r="497">
      <c r="A497" t="str">
        <f>fish_lab_data!C497</f>
        <v>U17232</v>
      </c>
      <c r="B497" t="str">
        <f t="array" ref="B497">iferror(index('rna-muscle'!$I:$I,match($A497,'rna-muscle'!$A:$A,0)))</f>
        <v>BRN67M-H8</v>
      </c>
      <c r="C497" t="str">
        <f t="array" ref="C497">iferror(index('rna-muscle'!$L:$L,match($A497,'rna-muscle'!$A:$A,0)))</f>
        <v>N</v>
      </c>
      <c r="D497" t="str">
        <f t="array" ref="D497">iferror(index('rna-gill'!$I:$I,match($A497,'rna-gill'!$A:$A,0)))</f>
        <v>BRN67G-H8</v>
      </c>
      <c r="E497" t="str">
        <f t="array" ref="E497">iferror(index('rna-gill'!$L:$L,match($A497,'rna-gill'!$A:$A,0)))</f>
        <v>N</v>
      </c>
      <c r="F497" t="str">
        <f t="array" ref="F497">iferror(index(fatty_acid!$G:$G,match($A497,fatty_acid!$A:$A,0)))</f>
        <v>BFA26-25</v>
      </c>
      <c r="G497" t="str">
        <f t="array" ref="G497">iferror(index(fatty_acid!$J:$J,match($A497,fatty_acid!$A:$A,0)))</f>
        <v>N</v>
      </c>
      <c r="H497" t="str">
        <f t="array" ref="H497">iferror(index(isotopes!$G:$G,match($A497,isotopes!$A:$A,0)))</f>
        <v>BIS29-25</v>
      </c>
      <c r="I497" t="str">
        <f t="array" ref="I497">iferror(index(isotopes!$J:$J,match($A497,isotopes!$A:$A,0)))</f>
        <v>N</v>
      </c>
      <c r="J497" t="str">
        <f t="array" ref="J497">iferror(index(extra_muscle!$G:$G,match($A497,extra_muscle!$A:$A,0)))</f>
        <v>BXM27-25</v>
      </c>
      <c r="K497" t="str">
        <f t="array" ref="K497">iferror(index(extra_muscle!$J:$J,match($A497,extra_muscle!$A:$A,0)))</f>
        <v>N</v>
      </c>
      <c r="L497" s="59" t="str">
        <f t="array" ref="L497">iferror(index(dna!$G:$G,match($A497,dna!$A:$A,0)))</f>
        <v/>
      </c>
      <c r="M497" s="60" t="str">
        <f t="array" ref="M497">iferror(index(dna!$J:$J,match($A497,dna!$A:$A,0)))</f>
        <v/>
      </c>
      <c r="N497" t="str">
        <f t="array" ref="N497">iferror(index(stomachs!$G:$G,match($A497,stomachs!$A:$A,0)))</f>
        <v/>
      </c>
      <c r="O497" t="str">
        <f t="array" ref="O497">iferror(index(stomachs!$J:$J,match($A497,stomachs!$A:$A,0)))</f>
        <v/>
      </c>
      <c r="P497" t="str">
        <f t="array" ref="P497">iferror(index(sea_lice!$G:$G,match($A497,sea_lice!$A:$A,0)))</f>
        <v/>
      </c>
      <c r="Q497" t="str">
        <f t="array" ref="Q497">iferror(index(sea_lice!$J:$J,match($A497,sea_lice!$A:$A,0)))</f>
        <v/>
      </c>
      <c r="R497" s="40" t="str">
        <f t="array" ref="R497">iferror(index(dissected_fish!$F:$F,match($A497,dissected_fish!$A:$A,0)))</f>
        <v>BCA104</v>
      </c>
      <c r="S497" s="40" t="str">
        <f t="array" ref="S497">iferror(index(dissected_fish!$K:$K,match($A497,dissected_fish!$A:$A,0)))</f>
        <v>N</v>
      </c>
      <c r="T497" s="61" t="str">
        <f t="array" ref="T497">index(fish_lab_data!O:O,match(A497,fish_lab_data!C:C,0))</f>
        <v>KB</v>
      </c>
      <c r="U497" s="61">
        <f t="array" ref="U497">if(A497="","",index(fish_lab_data!X:X,match(A497,fish_lab_data!C:C,0)))</f>
        <v>496</v>
      </c>
    </row>
    <row r="498">
      <c r="A498" t="str">
        <f>fish_lab_data!C498</f>
        <v>U17240</v>
      </c>
      <c r="B498" t="str">
        <f t="array" ref="B498">iferror(index('rna-muscle'!$I:$I,match($A498,'rna-muscle'!$A:$A,0)))</f>
        <v>BRN67M-G8</v>
      </c>
      <c r="C498" t="str">
        <f t="array" ref="C498">iferror(index('rna-muscle'!$L:$L,match($A498,'rna-muscle'!$A:$A,0)))</f>
        <v>N</v>
      </c>
      <c r="D498" t="str">
        <f t="array" ref="D498">iferror(index('rna-gill'!$I:$I,match($A498,'rna-gill'!$A:$A,0)))</f>
        <v>BRN67G-G8</v>
      </c>
      <c r="E498" t="str">
        <f t="array" ref="E498">iferror(index('rna-gill'!$L:$L,match($A498,'rna-gill'!$A:$A,0)))</f>
        <v>N</v>
      </c>
      <c r="F498" t="str">
        <f t="array" ref="F498">iferror(index(fatty_acid!$G:$G,match($A498,fatty_acid!$A:$A,0)))</f>
        <v>BFA26-26</v>
      </c>
      <c r="G498" t="str">
        <f t="array" ref="G498">iferror(index(fatty_acid!$J:$J,match($A498,fatty_acid!$A:$A,0)))</f>
        <v>N</v>
      </c>
      <c r="H498" t="str">
        <f t="array" ref="H498">iferror(index(isotopes!$G:$G,match($A498,isotopes!$A:$A,0)))</f>
        <v>BIS29-26</v>
      </c>
      <c r="I498" t="str">
        <f t="array" ref="I498">iferror(index(isotopes!$J:$J,match($A498,isotopes!$A:$A,0)))</f>
        <v>N</v>
      </c>
      <c r="J498" t="str">
        <f t="array" ref="J498">iferror(index(extra_muscle!$G:$G,match($A498,extra_muscle!$A:$A,0)))</f>
        <v>BXM27-26</v>
      </c>
      <c r="K498" t="str">
        <f t="array" ref="K498">iferror(index(extra_muscle!$J:$J,match($A498,extra_muscle!$A:$A,0)))</f>
        <v>N</v>
      </c>
      <c r="L498" s="59" t="str">
        <f t="array" ref="L498">iferror(index(dna!$G:$G,match($A498,dna!$A:$A,0)))</f>
        <v/>
      </c>
      <c r="M498" s="60" t="str">
        <f t="array" ref="M498">iferror(index(dna!$J:$J,match($A498,dna!$A:$A,0)))</f>
        <v/>
      </c>
      <c r="N498" t="str">
        <f t="array" ref="N498">iferror(index(stomachs!$G:$G,match($A498,stomachs!$A:$A,0)))</f>
        <v/>
      </c>
      <c r="O498" t="str">
        <f t="array" ref="O498">iferror(index(stomachs!$J:$J,match($A498,stomachs!$A:$A,0)))</f>
        <v/>
      </c>
      <c r="P498" t="str">
        <f t="array" ref="P498">iferror(index(sea_lice!$G:$G,match($A498,sea_lice!$A:$A,0)))</f>
        <v>BSL6-38</v>
      </c>
      <c r="Q498" t="str">
        <f t="array" ref="Q498">iferror(index(sea_lice!$J:$J,match($A498,sea_lice!$A:$A,0)))</f>
        <v>N</v>
      </c>
      <c r="R498" s="40" t="str">
        <f t="array" ref="R498">iferror(index(dissected_fish!$F:$F,match($A498,dissected_fish!$A:$A,0)))</f>
        <v>BCA104</v>
      </c>
      <c r="S498" s="40" t="str">
        <f t="array" ref="S498">iferror(index(dissected_fish!$K:$K,match($A498,dissected_fish!$A:$A,0)))</f>
        <v>N</v>
      </c>
      <c r="T498" s="61" t="str">
        <f t="array" ref="T498">index(fish_lab_data!O:O,match(A498,fish_lab_data!C:C,0))</f>
        <v>KB</v>
      </c>
      <c r="U498" s="61">
        <f t="array" ref="U498">if(A498="","",index(fish_lab_data!X:X,match(A498,fish_lab_data!C:C,0)))</f>
        <v>497</v>
      </c>
    </row>
    <row r="499">
      <c r="A499" t="str">
        <f>fish_lab_data!C499</f>
        <v>U17239</v>
      </c>
      <c r="B499" t="str">
        <f t="array" ref="B499">iferror(index('rna-muscle'!$I:$I,match($A499,'rna-muscle'!$A:$A,0)))</f>
        <v>BRN67M-F8</v>
      </c>
      <c r="C499" t="str">
        <f t="array" ref="C499">iferror(index('rna-muscle'!$L:$L,match($A499,'rna-muscle'!$A:$A,0)))</f>
        <v>N</v>
      </c>
      <c r="D499" t="str">
        <f t="array" ref="D499">iferror(index('rna-gill'!$I:$I,match($A499,'rna-gill'!$A:$A,0)))</f>
        <v>BRN67G-F8</v>
      </c>
      <c r="E499" t="str">
        <f t="array" ref="E499">iferror(index('rna-gill'!$L:$L,match($A499,'rna-gill'!$A:$A,0)))</f>
        <v>N</v>
      </c>
      <c r="F499" t="str">
        <f t="array" ref="F499">iferror(index(fatty_acid!$G:$G,match($A499,fatty_acid!$A:$A,0)))</f>
        <v>BFA26-27</v>
      </c>
      <c r="G499" t="str">
        <f t="array" ref="G499">iferror(index(fatty_acid!$J:$J,match($A499,fatty_acid!$A:$A,0)))</f>
        <v>N</v>
      </c>
      <c r="H499" t="str">
        <f t="array" ref="H499">iferror(index(isotopes!$G:$G,match($A499,isotopes!$A:$A,0)))</f>
        <v>BIS29-27</v>
      </c>
      <c r="I499" t="str">
        <f t="array" ref="I499">iferror(index(isotopes!$J:$J,match($A499,isotopes!$A:$A,0)))</f>
        <v>N</v>
      </c>
      <c r="J499" t="str">
        <f t="array" ref="J499">iferror(index(extra_muscle!$G:$G,match($A499,extra_muscle!$A:$A,0)))</f>
        <v>BXM27-27</v>
      </c>
      <c r="K499" t="str">
        <f t="array" ref="K499">iferror(index(extra_muscle!$J:$J,match($A499,extra_muscle!$A:$A,0)))</f>
        <v>N</v>
      </c>
      <c r="L499" s="59" t="str">
        <f t="array" ref="L499">iferror(index(dna!$G:$G,match($A499,dna!$A:$A,0)))</f>
        <v/>
      </c>
      <c r="M499" s="60" t="str">
        <f t="array" ref="M499">iferror(index(dna!$J:$J,match($A499,dna!$A:$A,0)))</f>
        <v/>
      </c>
      <c r="N499" t="str">
        <f t="array" ref="N499">iferror(index(stomachs!$G:$G,match($A499,stomachs!$A:$A,0)))</f>
        <v/>
      </c>
      <c r="O499" t="str">
        <f t="array" ref="O499">iferror(index(stomachs!$J:$J,match($A499,stomachs!$A:$A,0)))</f>
        <v/>
      </c>
      <c r="P499" t="str">
        <f t="array" ref="P499">iferror(index(sea_lice!$G:$G,match($A499,sea_lice!$A:$A,0)))</f>
        <v/>
      </c>
      <c r="Q499" t="str">
        <f t="array" ref="Q499">iferror(index(sea_lice!$J:$J,match($A499,sea_lice!$A:$A,0)))</f>
        <v/>
      </c>
      <c r="R499" s="40" t="str">
        <f t="array" ref="R499">iferror(index(dissected_fish!$F:$F,match($A499,dissected_fish!$A:$A,0)))</f>
        <v>BCA104</v>
      </c>
      <c r="S499" s="40" t="str">
        <f t="array" ref="S499">iferror(index(dissected_fish!$K:$K,match($A499,dissected_fish!$A:$A,0)))</f>
        <v>N</v>
      </c>
      <c r="T499" s="61" t="str">
        <f t="array" ref="T499">index(fish_lab_data!O:O,match(A499,fish_lab_data!C:C,0))</f>
        <v>KB</v>
      </c>
      <c r="U499" s="61">
        <f t="array" ref="U499">if(A499="","",index(fish_lab_data!X:X,match(A499,fish_lab_data!C:C,0)))</f>
        <v>498</v>
      </c>
    </row>
    <row r="500">
      <c r="A500" t="str">
        <f>fish_lab_data!C500</f>
        <v>U17236</v>
      </c>
      <c r="B500" t="str">
        <f t="array" ref="B500">iferror(index('rna-muscle'!$I:$I,match($A500,'rna-muscle'!$A:$A,0)))</f>
        <v>BRN67M-E8</v>
      </c>
      <c r="C500" t="str">
        <f t="array" ref="C500">iferror(index('rna-muscle'!$L:$L,match($A500,'rna-muscle'!$A:$A,0)))</f>
        <v>N</v>
      </c>
      <c r="D500" t="str">
        <f t="array" ref="D500">iferror(index('rna-gill'!$I:$I,match($A500,'rna-gill'!$A:$A,0)))</f>
        <v>BRN67G-E8</v>
      </c>
      <c r="E500" t="str">
        <f t="array" ref="E500">iferror(index('rna-gill'!$L:$L,match($A500,'rna-gill'!$A:$A,0)))</f>
        <v>N</v>
      </c>
      <c r="F500" t="str">
        <f t="array" ref="F500">iferror(index(fatty_acid!$G:$G,match($A500,fatty_acid!$A:$A,0)))</f>
        <v>BFA26-28</v>
      </c>
      <c r="G500" t="str">
        <f t="array" ref="G500">iferror(index(fatty_acid!$J:$J,match($A500,fatty_acid!$A:$A,0)))</f>
        <v>N</v>
      </c>
      <c r="H500" t="str">
        <f t="array" ref="H500">iferror(index(isotopes!$G:$G,match($A500,isotopes!$A:$A,0)))</f>
        <v>BIS29-28</v>
      </c>
      <c r="I500" t="str">
        <f t="array" ref="I500">iferror(index(isotopes!$J:$J,match($A500,isotopes!$A:$A,0)))</f>
        <v>N</v>
      </c>
      <c r="J500" t="str">
        <f t="array" ref="J500">iferror(index(extra_muscle!$G:$G,match($A500,extra_muscle!$A:$A,0)))</f>
        <v>BXM27-28</v>
      </c>
      <c r="K500" t="str">
        <f t="array" ref="K500">iferror(index(extra_muscle!$J:$J,match($A500,extra_muscle!$A:$A,0)))</f>
        <v>N</v>
      </c>
      <c r="L500" s="59" t="str">
        <f t="array" ref="L500">iferror(index(dna!$G:$G,match($A500,dna!$A:$A,0)))</f>
        <v/>
      </c>
      <c r="M500" s="60" t="str">
        <f t="array" ref="M500">iferror(index(dna!$J:$J,match($A500,dna!$A:$A,0)))</f>
        <v/>
      </c>
      <c r="N500" t="str">
        <f t="array" ref="N500">iferror(index(stomachs!$G:$G,match($A500,stomachs!$A:$A,0)))</f>
        <v/>
      </c>
      <c r="O500" t="str">
        <f t="array" ref="O500">iferror(index(stomachs!$J:$J,match($A500,stomachs!$A:$A,0)))</f>
        <v/>
      </c>
      <c r="P500" t="str">
        <f t="array" ref="P500">iferror(index(sea_lice!$G:$G,match($A500,sea_lice!$A:$A,0)))</f>
        <v/>
      </c>
      <c r="Q500" t="str">
        <f t="array" ref="Q500">iferror(index(sea_lice!$J:$J,match($A500,sea_lice!$A:$A,0)))</f>
        <v/>
      </c>
      <c r="R500" s="40" t="str">
        <f t="array" ref="R500">iferror(index(dissected_fish!$F:$F,match($A500,dissected_fish!$A:$A,0)))</f>
        <v>BCA104</v>
      </c>
      <c r="S500" s="40" t="str">
        <f t="array" ref="S500">iferror(index(dissected_fish!$K:$K,match($A500,dissected_fish!$A:$A,0)))</f>
        <v>N</v>
      </c>
      <c r="T500" s="61" t="str">
        <f t="array" ref="T500">index(fish_lab_data!O:O,match(A500,fish_lab_data!C:C,0))</f>
        <v>KB</v>
      </c>
      <c r="U500" s="61">
        <f t="array" ref="U500">if(A500="","",index(fish_lab_data!X:X,match(A500,fish_lab_data!C:C,0)))</f>
        <v>499</v>
      </c>
    </row>
    <row r="501">
      <c r="A501" t="str">
        <f>fish_lab_data!C501</f>
        <v>U17092</v>
      </c>
      <c r="B501" t="str">
        <f t="array" ref="B501">iferror(index('rna-muscle'!$I:$I,match($A501,'rna-muscle'!$A:$A,0)))</f>
        <v>BRN67M-D8</v>
      </c>
      <c r="C501" t="str">
        <f t="array" ref="C501">iferror(index('rna-muscle'!$L:$L,match($A501,'rna-muscle'!$A:$A,0)))</f>
        <v>N</v>
      </c>
      <c r="D501" t="str">
        <f t="array" ref="D501">iferror(index('rna-gill'!$I:$I,match($A501,'rna-gill'!$A:$A,0)))</f>
        <v>BRN67G-D8</v>
      </c>
      <c r="E501" t="str">
        <f t="array" ref="E501">iferror(index('rna-gill'!$L:$L,match($A501,'rna-gill'!$A:$A,0)))</f>
        <v>N</v>
      </c>
      <c r="F501" t="str">
        <f t="array" ref="F501">iferror(index(fatty_acid!$G:$G,match($A501,fatty_acid!$A:$A,0)))</f>
        <v>BFA26-29</v>
      </c>
      <c r="G501" t="str">
        <f t="array" ref="G501">iferror(index(fatty_acid!$J:$J,match($A501,fatty_acid!$A:$A,0)))</f>
        <v>N</v>
      </c>
      <c r="H501" t="str">
        <f t="array" ref="H501">iferror(index(isotopes!$G:$G,match($A501,isotopes!$A:$A,0)))</f>
        <v>BIS29-29</v>
      </c>
      <c r="I501" t="str">
        <f t="array" ref="I501">iferror(index(isotopes!$J:$J,match($A501,isotopes!$A:$A,0)))</f>
        <v>N</v>
      </c>
      <c r="J501" t="str">
        <f t="array" ref="J501">iferror(index(extra_muscle!$G:$G,match($A501,extra_muscle!$A:$A,0)))</f>
        <v>BXM27-29</v>
      </c>
      <c r="K501" t="str">
        <f t="array" ref="K501">iferror(index(extra_muscle!$J:$J,match($A501,extra_muscle!$A:$A,0)))</f>
        <v>N</v>
      </c>
      <c r="L501" s="59" t="str">
        <f t="array" ref="L501">iferror(index(dna!$G:$G,match($A501,dna!$A:$A,0)))</f>
        <v/>
      </c>
      <c r="M501" s="60" t="str">
        <f t="array" ref="M501">iferror(index(dna!$J:$J,match($A501,dna!$A:$A,0)))</f>
        <v/>
      </c>
      <c r="N501" t="str">
        <f t="array" ref="N501">iferror(index(stomachs!$G:$G,match($A501,stomachs!$A:$A,0)))</f>
        <v/>
      </c>
      <c r="O501" t="str">
        <f t="array" ref="O501">iferror(index(stomachs!$J:$J,match($A501,stomachs!$A:$A,0)))</f>
        <v/>
      </c>
      <c r="P501" t="str">
        <f t="array" ref="P501">iferror(index(sea_lice!$G:$G,match($A501,sea_lice!$A:$A,0)))</f>
        <v>BSL2-47</v>
      </c>
      <c r="Q501" t="str">
        <f t="array" ref="Q501">iferror(index(sea_lice!$J:$J,match($A501,sea_lice!$A:$A,0)))</f>
        <v>N</v>
      </c>
      <c r="R501" s="40" t="str">
        <f t="array" ref="R501">iferror(index(dissected_fish!$F:$F,match($A501,dissected_fish!$A:$A,0)))</f>
        <v>BCA104</v>
      </c>
      <c r="S501" s="40" t="str">
        <f t="array" ref="S501">iferror(index(dissected_fish!$K:$K,match($A501,dissected_fish!$A:$A,0)))</f>
        <v>N</v>
      </c>
      <c r="T501" s="61" t="str">
        <f t="array" ref="T501">index(fish_lab_data!O:O,match(A501,fish_lab_data!C:C,0))</f>
        <v>KB</v>
      </c>
      <c r="U501" s="61">
        <f t="array" ref="U501">if(A501="","",index(fish_lab_data!X:X,match(A501,fish_lab_data!C:C,0)))</f>
        <v>500</v>
      </c>
    </row>
    <row r="502">
      <c r="A502" t="str">
        <f>fish_lab_data!C502</f>
        <v>U17099</v>
      </c>
      <c r="B502" t="str">
        <f t="array" ref="B502">iferror(index('rna-muscle'!$I:$I,match($A502,'rna-muscle'!$A:$A,0)))</f>
        <v>BRN67M-C8</v>
      </c>
      <c r="C502" t="str">
        <f t="array" ref="C502">iferror(index('rna-muscle'!$L:$L,match($A502,'rna-muscle'!$A:$A,0)))</f>
        <v>N</v>
      </c>
      <c r="D502" t="str">
        <f t="array" ref="D502">iferror(index('rna-gill'!$I:$I,match($A502,'rna-gill'!$A:$A,0)))</f>
        <v>BRN67G-C8</v>
      </c>
      <c r="E502" t="str">
        <f t="array" ref="E502">iferror(index('rna-gill'!$L:$L,match($A502,'rna-gill'!$A:$A,0)))</f>
        <v>N</v>
      </c>
      <c r="F502" t="str">
        <f t="array" ref="F502">iferror(index(fatty_acid!$G:$G,match($A502,fatty_acid!$A:$A,0)))</f>
        <v>BFA26-30</v>
      </c>
      <c r="G502" t="str">
        <f t="array" ref="G502">iferror(index(fatty_acid!$J:$J,match($A502,fatty_acid!$A:$A,0)))</f>
        <v>N</v>
      </c>
      <c r="H502" t="str">
        <f t="array" ref="H502">iferror(index(isotopes!$G:$G,match($A502,isotopes!$A:$A,0)))</f>
        <v>BIS29-30</v>
      </c>
      <c r="I502" t="str">
        <f t="array" ref="I502">iferror(index(isotopes!$J:$J,match($A502,isotopes!$A:$A,0)))</f>
        <v>N</v>
      </c>
      <c r="J502" t="str">
        <f t="array" ref="J502">iferror(index(extra_muscle!$G:$G,match($A502,extra_muscle!$A:$A,0)))</f>
        <v>BXM27-30</v>
      </c>
      <c r="K502" t="str">
        <f t="array" ref="K502">iferror(index(extra_muscle!$J:$J,match($A502,extra_muscle!$A:$A,0)))</f>
        <v>N</v>
      </c>
      <c r="L502" s="59" t="str">
        <f t="array" ref="L502">iferror(index(dna!$G:$G,match($A502,dna!$A:$A,0)))</f>
        <v/>
      </c>
      <c r="M502" s="60" t="str">
        <f t="array" ref="M502">iferror(index(dna!$J:$J,match($A502,dna!$A:$A,0)))</f>
        <v/>
      </c>
      <c r="N502" t="str">
        <f t="array" ref="N502">iferror(index(stomachs!$G:$G,match($A502,stomachs!$A:$A,0)))</f>
        <v/>
      </c>
      <c r="O502" t="str">
        <f t="array" ref="O502">iferror(index(stomachs!$J:$J,match($A502,stomachs!$A:$A,0)))</f>
        <v/>
      </c>
      <c r="P502" t="str">
        <f t="array" ref="P502">iferror(index(sea_lice!$G:$G,match($A502,sea_lice!$A:$A,0)))</f>
        <v/>
      </c>
      <c r="Q502" t="str">
        <f t="array" ref="Q502">iferror(index(sea_lice!$J:$J,match($A502,sea_lice!$A:$A,0)))</f>
        <v/>
      </c>
      <c r="R502" s="40" t="str">
        <f t="array" ref="R502">iferror(index(dissected_fish!$F:$F,match($A502,dissected_fish!$A:$A,0)))</f>
        <v>BCA104</v>
      </c>
      <c r="S502" s="40" t="str">
        <f t="array" ref="S502">iferror(index(dissected_fish!$K:$K,match($A502,dissected_fish!$A:$A,0)))</f>
        <v>N</v>
      </c>
      <c r="T502" s="61" t="str">
        <f t="array" ref="T502">index(fish_lab_data!O:O,match(A502,fish_lab_data!C:C,0))</f>
        <v>KB</v>
      </c>
      <c r="U502" s="61">
        <f t="array" ref="U502">if(A502="","",index(fish_lab_data!X:X,match(A502,fish_lab_data!C:C,0)))</f>
        <v>501</v>
      </c>
    </row>
    <row r="503">
      <c r="A503" t="str">
        <f>fish_lab_data!C503</f>
        <v>U17100</v>
      </c>
      <c r="B503" t="str">
        <f t="array" ref="B503">iferror(index('rna-muscle'!$I:$I,match($A503,'rna-muscle'!$A:$A,0)))</f>
        <v>BRN67M-B8</v>
      </c>
      <c r="C503" t="str">
        <f t="array" ref="C503">iferror(index('rna-muscle'!$L:$L,match($A503,'rna-muscle'!$A:$A,0)))</f>
        <v>N</v>
      </c>
      <c r="D503" t="str">
        <f t="array" ref="D503">iferror(index('rna-gill'!$I:$I,match($A503,'rna-gill'!$A:$A,0)))</f>
        <v>BRN67G-B8</v>
      </c>
      <c r="E503" t="str">
        <f t="array" ref="E503">iferror(index('rna-gill'!$L:$L,match($A503,'rna-gill'!$A:$A,0)))</f>
        <v>N</v>
      </c>
      <c r="F503" t="str">
        <f t="array" ref="F503">iferror(index(fatty_acid!$G:$G,match($A503,fatty_acid!$A:$A,0)))</f>
        <v>BFA26-31</v>
      </c>
      <c r="G503" t="str">
        <f t="array" ref="G503">iferror(index(fatty_acid!$J:$J,match($A503,fatty_acid!$A:$A,0)))</f>
        <v>N</v>
      </c>
      <c r="H503" t="str">
        <f t="array" ref="H503">iferror(index(isotopes!$G:$G,match($A503,isotopes!$A:$A,0)))</f>
        <v>BIS29-31</v>
      </c>
      <c r="I503" t="str">
        <f t="array" ref="I503">iferror(index(isotopes!$J:$J,match($A503,isotopes!$A:$A,0)))</f>
        <v>N</v>
      </c>
      <c r="J503" t="str">
        <f t="array" ref="J503">iferror(index(extra_muscle!$G:$G,match($A503,extra_muscle!$A:$A,0)))</f>
        <v>BXM27-31</v>
      </c>
      <c r="K503" t="str">
        <f t="array" ref="K503">iferror(index(extra_muscle!$J:$J,match($A503,extra_muscle!$A:$A,0)))</f>
        <v>N</v>
      </c>
      <c r="L503" s="59" t="str">
        <f t="array" ref="L503">iferror(index(dna!$G:$G,match($A503,dna!$A:$A,0)))</f>
        <v/>
      </c>
      <c r="M503" s="60" t="str">
        <f t="array" ref="M503">iferror(index(dna!$J:$J,match($A503,dna!$A:$A,0)))</f>
        <v/>
      </c>
      <c r="N503" t="str">
        <f t="array" ref="N503">iferror(index(stomachs!$G:$G,match($A503,stomachs!$A:$A,0)))</f>
        <v/>
      </c>
      <c r="O503" t="str">
        <f t="array" ref="O503">iferror(index(stomachs!$J:$J,match($A503,stomachs!$A:$A,0)))</f>
        <v/>
      </c>
      <c r="P503" t="str">
        <f t="array" ref="P503">iferror(index(sea_lice!$G:$G,match($A503,sea_lice!$A:$A,0)))</f>
        <v/>
      </c>
      <c r="Q503" t="str">
        <f t="array" ref="Q503">iferror(index(sea_lice!$J:$J,match($A503,sea_lice!$A:$A,0)))</f>
        <v/>
      </c>
      <c r="R503" s="40" t="str">
        <f t="array" ref="R503">iferror(index(dissected_fish!$F:$F,match($A503,dissected_fish!$A:$A,0)))</f>
        <v>BCA104</v>
      </c>
      <c r="S503" s="40" t="str">
        <f t="array" ref="S503">iferror(index(dissected_fish!$K:$K,match($A503,dissected_fish!$A:$A,0)))</f>
        <v>N</v>
      </c>
      <c r="T503" s="61" t="str">
        <f t="array" ref="T503">index(fish_lab_data!O:O,match(A503,fish_lab_data!C:C,0))</f>
        <v>KB</v>
      </c>
      <c r="U503" s="61">
        <f t="array" ref="U503">if(A503="","",index(fish_lab_data!X:X,match(A503,fish_lab_data!C:C,0)))</f>
        <v>502</v>
      </c>
    </row>
    <row r="504">
      <c r="A504" t="str">
        <f>fish_lab_data!C504</f>
        <v>U17097</v>
      </c>
      <c r="B504" t="str">
        <f t="array" ref="B504">iferror(index('rna-muscle'!$I:$I,match($A504,'rna-muscle'!$A:$A,0)))</f>
        <v>BRN67M-A8</v>
      </c>
      <c r="C504" t="str">
        <f t="array" ref="C504">iferror(index('rna-muscle'!$L:$L,match($A504,'rna-muscle'!$A:$A,0)))</f>
        <v>N</v>
      </c>
      <c r="D504" t="str">
        <f t="array" ref="D504">iferror(index('rna-gill'!$I:$I,match($A504,'rna-gill'!$A:$A,0)))</f>
        <v>BRN67G-A8</v>
      </c>
      <c r="E504" t="str">
        <f t="array" ref="E504">iferror(index('rna-gill'!$L:$L,match($A504,'rna-gill'!$A:$A,0)))</f>
        <v>N</v>
      </c>
      <c r="F504" t="str">
        <f t="array" ref="F504">iferror(index(fatty_acid!$G:$G,match($A504,fatty_acid!$A:$A,0)))</f>
        <v>BFA26-32</v>
      </c>
      <c r="G504" t="str">
        <f t="array" ref="G504">iferror(index(fatty_acid!$J:$J,match($A504,fatty_acid!$A:$A,0)))</f>
        <v>N</v>
      </c>
      <c r="H504" t="str">
        <f t="array" ref="H504">iferror(index(isotopes!$G:$G,match($A504,isotopes!$A:$A,0)))</f>
        <v>BIS29-32</v>
      </c>
      <c r="I504" t="str">
        <f t="array" ref="I504">iferror(index(isotopes!$J:$J,match($A504,isotopes!$A:$A,0)))</f>
        <v>N</v>
      </c>
      <c r="J504" t="str">
        <f t="array" ref="J504">iferror(index(extra_muscle!$G:$G,match($A504,extra_muscle!$A:$A,0)))</f>
        <v>BXM27-32</v>
      </c>
      <c r="K504" t="str">
        <f t="array" ref="K504">iferror(index(extra_muscle!$J:$J,match($A504,extra_muscle!$A:$A,0)))</f>
        <v>N</v>
      </c>
      <c r="L504" s="59" t="str">
        <f t="array" ref="L504">iferror(index(dna!$G:$G,match($A504,dna!$A:$A,0)))</f>
        <v/>
      </c>
      <c r="M504" s="60" t="str">
        <f t="array" ref="M504">iferror(index(dna!$J:$J,match($A504,dna!$A:$A,0)))</f>
        <v/>
      </c>
      <c r="N504" t="str">
        <f t="array" ref="N504">iferror(index(stomachs!$G:$G,match($A504,stomachs!$A:$A,0)))</f>
        <v/>
      </c>
      <c r="O504" t="str">
        <f t="array" ref="O504">iferror(index(stomachs!$J:$J,match($A504,stomachs!$A:$A,0)))</f>
        <v/>
      </c>
      <c r="P504" t="str">
        <f t="array" ref="P504">iferror(index(sea_lice!$G:$G,match($A504,sea_lice!$A:$A,0)))</f>
        <v/>
      </c>
      <c r="Q504" t="str">
        <f t="array" ref="Q504">iferror(index(sea_lice!$J:$J,match($A504,sea_lice!$A:$A,0)))</f>
        <v/>
      </c>
      <c r="R504" s="40" t="str">
        <f t="array" ref="R504">iferror(index(dissected_fish!$F:$F,match($A504,dissected_fish!$A:$A,0)))</f>
        <v>BCA104</v>
      </c>
      <c r="S504" s="40" t="str">
        <f t="array" ref="S504">iferror(index(dissected_fish!$K:$K,match($A504,dissected_fish!$A:$A,0)))</f>
        <v>N</v>
      </c>
      <c r="T504" s="61" t="str">
        <f t="array" ref="T504">index(fish_lab_data!O:O,match(A504,fish_lab_data!C:C,0))</f>
        <v>KB</v>
      </c>
      <c r="U504" s="61">
        <f t="array" ref="U504">if(A504="","",index(fish_lab_data!X:X,match(A504,fish_lab_data!C:C,0)))</f>
        <v>503</v>
      </c>
    </row>
    <row r="505">
      <c r="A505" t="str">
        <f>fish_lab_data!C505</f>
        <v>U17098</v>
      </c>
      <c r="B505" t="str">
        <f t="array" ref="B505">iferror(index('rna-muscle'!$I:$I,match($A505,'rna-muscle'!$A:$A,0)))</f>
        <v>BRN67M-H10</v>
      </c>
      <c r="C505" t="str">
        <f t="array" ref="C505">iferror(index('rna-muscle'!$L:$L,match($A505,'rna-muscle'!$A:$A,0)))</f>
        <v>N</v>
      </c>
      <c r="D505" t="str">
        <f t="array" ref="D505">iferror(index('rna-gill'!$I:$I,match($A505,'rna-gill'!$A:$A,0)))</f>
        <v>BRN67G-H10</v>
      </c>
      <c r="E505" t="str">
        <f t="array" ref="E505">iferror(index('rna-gill'!$L:$L,match($A505,'rna-gill'!$A:$A,0)))</f>
        <v>N</v>
      </c>
      <c r="F505" t="str">
        <f t="array" ref="F505">iferror(index(fatty_acid!$G:$G,match($A505,fatty_acid!$A:$A,0)))</f>
        <v>BFA26-33</v>
      </c>
      <c r="G505" t="str">
        <f t="array" ref="G505">iferror(index(fatty_acid!$J:$J,match($A505,fatty_acid!$A:$A,0)))</f>
        <v>N</v>
      </c>
      <c r="H505" t="str">
        <f t="array" ref="H505">iferror(index(isotopes!$G:$G,match($A505,isotopes!$A:$A,0)))</f>
        <v>BIS29-33</v>
      </c>
      <c r="I505" t="str">
        <f t="array" ref="I505">iferror(index(isotopes!$J:$J,match($A505,isotopes!$A:$A,0)))</f>
        <v>N</v>
      </c>
      <c r="J505" t="str">
        <f t="array" ref="J505">iferror(index(extra_muscle!$G:$G,match($A505,extra_muscle!$A:$A,0)))</f>
        <v>BXM27-33</v>
      </c>
      <c r="K505" t="str">
        <f t="array" ref="K505">iferror(index(extra_muscle!$J:$J,match($A505,extra_muscle!$A:$A,0)))</f>
        <v>N</v>
      </c>
      <c r="L505" s="59" t="str">
        <f t="array" ref="L505">iferror(index(dna!$G:$G,match($A505,dna!$A:$A,0)))</f>
        <v/>
      </c>
      <c r="M505" s="60" t="str">
        <f t="array" ref="M505">iferror(index(dna!$J:$J,match($A505,dna!$A:$A,0)))</f>
        <v/>
      </c>
      <c r="N505" t="str">
        <f t="array" ref="N505">iferror(index(stomachs!$G:$G,match($A505,stomachs!$A:$A,0)))</f>
        <v/>
      </c>
      <c r="O505" t="str">
        <f t="array" ref="O505">iferror(index(stomachs!$J:$J,match($A505,stomachs!$A:$A,0)))</f>
        <v/>
      </c>
      <c r="P505" t="str">
        <f t="array" ref="P505">iferror(index(sea_lice!$G:$G,match($A505,sea_lice!$A:$A,0)))</f>
        <v/>
      </c>
      <c r="Q505" t="str">
        <f t="array" ref="Q505">iferror(index(sea_lice!$J:$J,match($A505,sea_lice!$A:$A,0)))</f>
        <v/>
      </c>
      <c r="R505" s="40" t="str">
        <f t="array" ref="R505">iferror(index(dissected_fish!$F:$F,match($A505,dissected_fish!$A:$A,0)))</f>
        <v>BCA104</v>
      </c>
      <c r="S505" s="40" t="str">
        <f t="array" ref="S505">iferror(index(dissected_fish!$K:$K,match($A505,dissected_fish!$A:$A,0)))</f>
        <v>N</v>
      </c>
      <c r="T505" s="61" t="str">
        <f t="array" ref="T505">index(fish_lab_data!O:O,match(A505,fish_lab_data!C:C,0))</f>
        <v>KB</v>
      </c>
      <c r="U505" s="61">
        <f t="array" ref="U505">if(A505="","",index(fish_lab_data!X:X,match(A505,fish_lab_data!C:C,0)))</f>
        <v>504</v>
      </c>
    </row>
    <row r="506">
      <c r="A506" t="str">
        <f>fish_lab_data!C506</f>
        <v>U17091</v>
      </c>
      <c r="B506" t="str">
        <f t="array" ref="B506">iferror(index('rna-muscle'!$I:$I,match($A506,'rna-muscle'!$A:$A,0)))</f>
        <v>BRN67M-G10</v>
      </c>
      <c r="C506" t="str">
        <f t="array" ref="C506">iferror(index('rna-muscle'!$L:$L,match($A506,'rna-muscle'!$A:$A,0)))</f>
        <v>N</v>
      </c>
      <c r="D506" t="str">
        <f t="array" ref="D506">iferror(index('rna-gill'!$I:$I,match($A506,'rna-gill'!$A:$A,0)))</f>
        <v>BRN67G-G10</v>
      </c>
      <c r="E506" t="str">
        <f t="array" ref="E506">iferror(index('rna-gill'!$L:$L,match($A506,'rna-gill'!$A:$A,0)))</f>
        <v>N</v>
      </c>
      <c r="F506" t="str">
        <f t="array" ref="F506">iferror(index(fatty_acid!$G:$G,match($A506,fatty_acid!$A:$A,0)))</f>
        <v>BFA26-34</v>
      </c>
      <c r="G506" t="str">
        <f t="array" ref="G506">iferror(index(fatty_acid!$J:$J,match($A506,fatty_acid!$A:$A,0)))</f>
        <v>N</v>
      </c>
      <c r="H506" t="str">
        <f t="array" ref="H506">iferror(index(isotopes!$G:$G,match($A506,isotopes!$A:$A,0)))</f>
        <v>BIS29-34</v>
      </c>
      <c r="I506" t="str">
        <f t="array" ref="I506">iferror(index(isotopes!$J:$J,match($A506,isotopes!$A:$A,0)))</f>
        <v>N</v>
      </c>
      <c r="J506" t="str">
        <f t="array" ref="J506">iferror(index(extra_muscle!$G:$G,match($A506,extra_muscle!$A:$A,0)))</f>
        <v>BXM27-34</v>
      </c>
      <c r="K506" t="str">
        <f t="array" ref="K506">iferror(index(extra_muscle!$J:$J,match($A506,extra_muscle!$A:$A,0)))</f>
        <v>N</v>
      </c>
      <c r="L506" s="59" t="str">
        <f t="array" ref="L506">iferror(index(dna!$G:$G,match($A506,dna!$A:$A,0)))</f>
        <v/>
      </c>
      <c r="M506" s="60" t="str">
        <f t="array" ref="M506">iferror(index(dna!$J:$J,match($A506,dna!$A:$A,0)))</f>
        <v/>
      </c>
      <c r="N506" t="str">
        <f t="array" ref="N506">iferror(index(stomachs!$G:$G,match($A506,stomachs!$A:$A,0)))</f>
        <v/>
      </c>
      <c r="O506" t="str">
        <f t="array" ref="O506">iferror(index(stomachs!$J:$J,match($A506,stomachs!$A:$A,0)))</f>
        <v/>
      </c>
      <c r="P506" t="str">
        <f t="array" ref="P506">iferror(index(sea_lice!$G:$G,match($A506,sea_lice!$A:$A,0)))</f>
        <v/>
      </c>
      <c r="Q506" t="str">
        <f t="array" ref="Q506">iferror(index(sea_lice!$J:$J,match($A506,sea_lice!$A:$A,0)))</f>
        <v/>
      </c>
      <c r="R506" s="40" t="str">
        <f t="array" ref="R506">iferror(index(dissected_fish!$F:$F,match($A506,dissected_fish!$A:$A,0)))</f>
        <v>BCA104</v>
      </c>
      <c r="S506" s="40" t="str">
        <f t="array" ref="S506">iferror(index(dissected_fish!$K:$K,match($A506,dissected_fish!$A:$A,0)))</f>
        <v>N</v>
      </c>
      <c r="T506" s="61" t="str">
        <f t="array" ref="T506">index(fish_lab_data!O:O,match(A506,fish_lab_data!C:C,0))</f>
        <v>KB</v>
      </c>
      <c r="U506" s="61">
        <f t="array" ref="U506">if(A506="","",index(fish_lab_data!X:X,match(A506,fish_lab_data!C:C,0)))</f>
        <v>505</v>
      </c>
    </row>
    <row r="507">
      <c r="A507" t="str">
        <f>fish_lab_data!C507</f>
        <v>U16513</v>
      </c>
      <c r="B507" t="str">
        <f t="array" ref="B507">iferror(index('rna-muscle'!$I:$I,match($A507,'rna-muscle'!$A:$A,0)))</f>
        <v>BRN67M-B9</v>
      </c>
      <c r="C507" t="str">
        <f t="array" ref="C507">iferror(index('rna-muscle'!$L:$L,match($A507,'rna-muscle'!$A:$A,0)))</f>
        <v>N</v>
      </c>
      <c r="D507" t="str">
        <f t="array" ref="D507">iferror(index('rna-gill'!$I:$I,match($A507,'rna-gill'!$A:$A,0)))</f>
        <v>BRN67G-B9</v>
      </c>
      <c r="E507" t="str">
        <f t="array" ref="E507">iferror(index('rna-gill'!$L:$L,match($A507,'rna-gill'!$A:$A,0)))</f>
        <v>N</v>
      </c>
      <c r="F507" t="str">
        <f t="array" ref="F507">iferror(index(fatty_acid!$G:$G,match($A507,fatty_acid!$A:$A,0)))</f>
        <v>BFA27-24</v>
      </c>
      <c r="G507" t="str">
        <f t="array" ref="G507">iferror(index(fatty_acid!$J:$J,match($A507,fatty_acid!$A:$A,0)))</f>
        <v>N</v>
      </c>
      <c r="H507" t="str">
        <f t="array" ref="H507">iferror(index(isotopes!$G:$G,match($A507,isotopes!$A:$A,0)))</f>
        <v>BIS28-42</v>
      </c>
      <c r="I507" t="str">
        <f t="array" ref="I507">iferror(index(isotopes!$J:$J,match($A507,isotopes!$A:$A,0)))</f>
        <v>N</v>
      </c>
      <c r="J507" t="str">
        <f t="array" ref="J507">iferror(index(extra_muscle!$G:$G,match($A507,extra_muscle!$A:$A,0)))</f>
        <v>BXM28-9</v>
      </c>
      <c r="K507" t="str">
        <f t="array" ref="K507">iferror(index(extra_muscle!$J:$J,match($A507,extra_muscle!$A:$A,0)))</f>
        <v>N</v>
      </c>
      <c r="L507" s="59" t="str">
        <f t="array" ref="L507">iferror(index(dna!$G:$G,match($A507,dna!$A:$A,0)))</f>
        <v/>
      </c>
      <c r="M507" s="60" t="str">
        <f t="array" ref="M507">iferror(index(dna!$J:$J,match($A507,dna!$A:$A,0)))</f>
        <v/>
      </c>
      <c r="N507" t="str">
        <f t="array" ref="N507">iferror(index(stomachs!$G:$G,match($A507,stomachs!$A:$A,0)))</f>
        <v/>
      </c>
      <c r="O507" t="str">
        <f t="array" ref="O507">iferror(index(stomachs!$J:$J,match($A507,stomachs!$A:$A,0)))</f>
        <v/>
      </c>
      <c r="P507" t="str">
        <f t="array" ref="P507">iferror(index(sea_lice!$G:$G,match($A507,sea_lice!$A:$A,0)))</f>
        <v/>
      </c>
      <c r="Q507" t="str">
        <f t="array" ref="Q507">iferror(index(sea_lice!$J:$J,match($A507,sea_lice!$A:$A,0)))</f>
        <v/>
      </c>
      <c r="R507" s="40" t="str">
        <f t="array" ref="R507">iferror(index(dissected_fish!$F:$F,match($A507,dissected_fish!$A:$A,0)))</f>
        <v>BCA104</v>
      </c>
      <c r="S507" s="40" t="str">
        <f t="array" ref="S507">iferror(index(dissected_fish!$K:$K,match($A507,dissected_fish!$A:$A,0)))</f>
        <v>N</v>
      </c>
      <c r="T507" s="61" t="str">
        <f t="array" ref="T507">index(fish_lab_data!O:O,match(A507,fish_lab_data!C:C,0))</f>
        <v>EJ</v>
      </c>
      <c r="U507" s="61">
        <f t="array" ref="U507">if(A507="","",index(fish_lab_data!X:X,match(A507,fish_lab_data!C:C,0)))</f>
        <v>506</v>
      </c>
    </row>
    <row r="508">
      <c r="A508" t="str">
        <f>fish_lab_data!C508</f>
        <v>U16514</v>
      </c>
      <c r="B508" t="str">
        <f t="array" ref="B508">iferror(index('rna-muscle'!$I:$I,match($A508,'rna-muscle'!$A:$A,0)))</f>
        <v>BRN67M-A9</v>
      </c>
      <c r="C508" t="str">
        <f t="array" ref="C508">iferror(index('rna-muscle'!$L:$L,match($A508,'rna-muscle'!$A:$A,0)))</f>
        <v>N</v>
      </c>
      <c r="D508" t="str">
        <f t="array" ref="D508">iferror(index('rna-gill'!$I:$I,match($A508,'rna-gill'!$A:$A,0)))</f>
        <v>BRN67G-A9</v>
      </c>
      <c r="E508" t="str">
        <f t="array" ref="E508">iferror(index('rna-gill'!$L:$L,match($A508,'rna-gill'!$A:$A,0)))</f>
        <v>N</v>
      </c>
      <c r="F508" t="str">
        <f t="array" ref="F508">iferror(index(fatty_acid!$G:$G,match($A508,fatty_acid!$A:$A,0)))</f>
        <v>BFA27-25</v>
      </c>
      <c r="G508" t="str">
        <f t="array" ref="G508">iferror(index(fatty_acid!$J:$J,match($A508,fatty_acid!$A:$A,0)))</f>
        <v>N</v>
      </c>
      <c r="H508" t="str">
        <f t="array" ref="H508">iferror(index(isotopes!$G:$G,match($A508,isotopes!$A:$A,0)))</f>
        <v>BIS28-43</v>
      </c>
      <c r="I508" t="str">
        <f t="array" ref="I508">iferror(index(isotopes!$J:$J,match($A508,isotopes!$A:$A,0)))</f>
        <v>N</v>
      </c>
      <c r="J508" t="str">
        <f t="array" ref="J508">iferror(index(extra_muscle!$G:$G,match($A508,extra_muscle!$A:$A,0)))</f>
        <v>BXM28-10</v>
      </c>
      <c r="K508" t="str">
        <f t="array" ref="K508">iferror(index(extra_muscle!$J:$J,match($A508,extra_muscle!$A:$A,0)))</f>
        <v>N</v>
      </c>
      <c r="L508" s="59" t="str">
        <f t="array" ref="L508">iferror(index(dna!$G:$G,match($A508,dna!$A:$A,0)))</f>
        <v/>
      </c>
      <c r="M508" s="60" t="str">
        <f t="array" ref="M508">iferror(index(dna!$J:$J,match($A508,dna!$A:$A,0)))</f>
        <v/>
      </c>
      <c r="N508" t="str">
        <f t="array" ref="N508">iferror(index(stomachs!$G:$G,match($A508,stomachs!$A:$A,0)))</f>
        <v/>
      </c>
      <c r="O508" t="str">
        <f t="array" ref="O508">iferror(index(stomachs!$J:$J,match($A508,stomachs!$A:$A,0)))</f>
        <v/>
      </c>
      <c r="P508" t="str">
        <f t="array" ref="P508">iferror(index(sea_lice!$G:$G,match($A508,sea_lice!$A:$A,0)))</f>
        <v/>
      </c>
      <c r="Q508" t="str">
        <f t="array" ref="Q508">iferror(index(sea_lice!$J:$J,match($A508,sea_lice!$A:$A,0)))</f>
        <v/>
      </c>
      <c r="R508" s="40" t="str">
        <f t="array" ref="R508">iferror(index(dissected_fish!$F:$F,match($A508,dissected_fish!$A:$A,0)))</f>
        <v>BCA104</v>
      </c>
      <c r="S508" s="40" t="str">
        <f t="array" ref="S508">iferror(index(dissected_fish!$K:$K,match($A508,dissected_fish!$A:$A,0)))</f>
        <v>N</v>
      </c>
      <c r="T508" s="61" t="str">
        <f t="array" ref="T508">index(fish_lab_data!O:O,match(A508,fish_lab_data!C:C,0))</f>
        <v>EJ</v>
      </c>
      <c r="U508" s="61">
        <f t="array" ref="U508">if(A508="","",index(fish_lab_data!X:X,match(A508,fish_lab_data!C:C,0)))</f>
        <v>507</v>
      </c>
    </row>
    <row r="509">
      <c r="A509" t="str">
        <f>fish_lab_data!C509</f>
        <v>U16515</v>
      </c>
      <c r="B509" t="str">
        <f t="array" ref="B509">iferror(index('rna-muscle'!$I:$I,match($A509,'rna-muscle'!$A:$A,0)))</f>
        <v>BRN67M-H11</v>
      </c>
      <c r="C509" t="str">
        <f t="array" ref="C509">iferror(index('rna-muscle'!$L:$L,match($A509,'rna-muscle'!$A:$A,0)))</f>
        <v>N</v>
      </c>
      <c r="D509" t="str">
        <f t="array" ref="D509">iferror(index('rna-gill'!$I:$I,match($A509,'rna-gill'!$A:$A,0)))</f>
        <v>BRN67G-H11</v>
      </c>
      <c r="E509" t="str">
        <f t="array" ref="E509">iferror(index('rna-gill'!$L:$L,match($A509,'rna-gill'!$A:$A,0)))</f>
        <v>N</v>
      </c>
      <c r="F509" t="str">
        <f t="array" ref="F509">iferror(index(fatty_acid!$G:$G,match($A509,fatty_acid!$A:$A,0)))</f>
        <v>BFA27-27</v>
      </c>
      <c r="G509" t="str">
        <f t="array" ref="G509">iferror(index(fatty_acid!$J:$J,match($A509,fatty_acid!$A:$A,0)))</f>
        <v>N</v>
      </c>
      <c r="H509" t="str">
        <f t="array" ref="H509">iferror(index(isotopes!$G:$G,match($A509,isotopes!$A:$A,0)))</f>
        <v>BIS28-44</v>
      </c>
      <c r="I509" t="str">
        <f t="array" ref="I509">iferror(index(isotopes!$J:$J,match($A509,isotopes!$A:$A,0)))</f>
        <v>N</v>
      </c>
      <c r="J509" t="str">
        <f t="array" ref="J509">iferror(index(extra_muscle!$G:$G,match($A509,extra_muscle!$A:$A,0)))</f>
        <v>BXM28-11</v>
      </c>
      <c r="K509" t="str">
        <f t="array" ref="K509">iferror(index(extra_muscle!$J:$J,match($A509,extra_muscle!$A:$A,0)))</f>
        <v>N</v>
      </c>
      <c r="L509" s="59" t="str">
        <f t="array" ref="L509">iferror(index(dna!$G:$G,match($A509,dna!$A:$A,0)))</f>
        <v/>
      </c>
      <c r="M509" s="60" t="str">
        <f t="array" ref="M509">iferror(index(dna!$J:$J,match($A509,dna!$A:$A,0)))</f>
        <v/>
      </c>
      <c r="N509" t="str">
        <f t="array" ref="N509">iferror(index(stomachs!$G:$G,match($A509,stomachs!$A:$A,0)))</f>
        <v/>
      </c>
      <c r="O509" t="str">
        <f t="array" ref="O509">iferror(index(stomachs!$J:$J,match($A509,stomachs!$A:$A,0)))</f>
        <v/>
      </c>
      <c r="P509" t="str">
        <f t="array" ref="P509">iferror(index(sea_lice!$G:$G,match($A509,sea_lice!$A:$A,0)))</f>
        <v/>
      </c>
      <c r="Q509" t="str">
        <f t="array" ref="Q509">iferror(index(sea_lice!$J:$J,match($A509,sea_lice!$A:$A,0)))</f>
        <v/>
      </c>
      <c r="R509" s="40" t="str">
        <f t="array" ref="R509">iferror(index(dissected_fish!$F:$F,match($A509,dissected_fish!$A:$A,0)))</f>
        <v>BCA104</v>
      </c>
      <c r="S509" s="40" t="str">
        <f t="array" ref="S509">iferror(index(dissected_fish!$K:$K,match($A509,dissected_fish!$A:$A,0)))</f>
        <v>N</v>
      </c>
      <c r="T509" s="61" t="str">
        <f t="array" ref="T509">index(fish_lab_data!O:O,match(A509,fish_lab_data!C:C,0))</f>
        <v>EJ</v>
      </c>
      <c r="U509" s="61">
        <f t="array" ref="U509">if(A509="","",index(fish_lab_data!X:X,match(A509,fish_lab_data!C:C,0)))</f>
        <v>508</v>
      </c>
    </row>
    <row r="510">
      <c r="A510" t="str">
        <f>fish_lab_data!C510</f>
        <v>U16516</v>
      </c>
      <c r="B510" t="str">
        <f t="array" ref="B510">iferror(index('rna-muscle'!$I:$I,match($A510,'rna-muscle'!$A:$A,0)))</f>
        <v>BRN67M-G11</v>
      </c>
      <c r="C510" t="str">
        <f t="array" ref="C510">iferror(index('rna-muscle'!$L:$L,match($A510,'rna-muscle'!$A:$A,0)))</f>
        <v>N</v>
      </c>
      <c r="D510" t="str">
        <f t="array" ref="D510">iferror(index('rna-gill'!$I:$I,match($A510,'rna-gill'!$A:$A,0)))</f>
        <v>BRN67G-G11</v>
      </c>
      <c r="E510" t="str">
        <f t="array" ref="E510">iferror(index('rna-gill'!$L:$L,match($A510,'rna-gill'!$A:$A,0)))</f>
        <v>N</v>
      </c>
      <c r="F510" t="str">
        <f t="array" ref="F510">iferror(index(fatty_acid!$G:$G,match($A510,fatty_acid!$A:$A,0)))</f>
        <v>BFA27-28</v>
      </c>
      <c r="G510" t="str">
        <f t="array" ref="G510">iferror(index(fatty_acid!$J:$J,match($A510,fatty_acid!$A:$A,0)))</f>
        <v>N</v>
      </c>
      <c r="H510" t="str">
        <f t="array" ref="H510">iferror(index(isotopes!$G:$G,match($A510,isotopes!$A:$A,0)))</f>
        <v>BIS28-45</v>
      </c>
      <c r="I510" t="str">
        <f t="array" ref="I510">iferror(index(isotopes!$J:$J,match($A510,isotopes!$A:$A,0)))</f>
        <v>N</v>
      </c>
      <c r="J510" t="str">
        <f t="array" ref="J510">iferror(index(extra_muscle!$G:$G,match($A510,extra_muscle!$A:$A,0)))</f>
        <v>BXM28-12</v>
      </c>
      <c r="K510" t="str">
        <f t="array" ref="K510">iferror(index(extra_muscle!$J:$J,match($A510,extra_muscle!$A:$A,0)))</f>
        <v>N</v>
      </c>
      <c r="L510" s="59" t="str">
        <f t="array" ref="L510">iferror(index(dna!$G:$G,match($A510,dna!$A:$A,0)))</f>
        <v/>
      </c>
      <c r="M510" s="60" t="str">
        <f t="array" ref="M510">iferror(index(dna!$J:$J,match($A510,dna!$A:$A,0)))</f>
        <v/>
      </c>
      <c r="N510" t="str">
        <f t="array" ref="N510">iferror(index(stomachs!$G:$G,match($A510,stomachs!$A:$A,0)))</f>
        <v/>
      </c>
      <c r="O510" t="str">
        <f t="array" ref="O510">iferror(index(stomachs!$J:$J,match($A510,stomachs!$A:$A,0)))</f>
        <v/>
      </c>
      <c r="P510" t="str">
        <f t="array" ref="P510">iferror(index(sea_lice!$G:$G,match($A510,sea_lice!$A:$A,0)))</f>
        <v/>
      </c>
      <c r="Q510" t="str">
        <f t="array" ref="Q510">iferror(index(sea_lice!$J:$J,match($A510,sea_lice!$A:$A,0)))</f>
        <v/>
      </c>
      <c r="R510" s="40" t="str">
        <f t="array" ref="R510">iferror(index(dissected_fish!$F:$F,match($A510,dissected_fish!$A:$A,0)))</f>
        <v>BCA104</v>
      </c>
      <c r="S510" s="40" t="str">
        <f t="array" ref="S510">iferror(index(dissected_fish!$K:$K,match($A510,dissected_fish!$A:$A,0)))</f>
        <v>N</v>
      </c>
      <c r="T510" s="61" t="str">
        <f t="array" ref="T510">index(fish_lab_data!O:O,match(A510,fish_lab_data!C:C,0))</f>
        <v>EJ</v>
      </c>
      <c r="U510" s="61">
        <f t="array" ref="U510">if(A510="","",index(fish_lab_data!X:X,match(A510,fish_lab_data!C:C,0)))</f>
        <v>509</v>
      </c>
    </row>
    <row r="511">
      <c r="A511" t="str">
        <f>fish_lab_data!C511</f>
        <v>U16517</v>
      </c>
      <c r="B511" t="str">
        <f t="array" ref="B511">iferror(index('rna-muscle'!$I:$I,match($A511,'rna-muscle'!$A:$A,0)))</f>
        <v>BRN67M-F11</v>
      </c>
      <c r="C511" t="str">
        <f t="array" ref="C511">iferror(index('rna-muscle'!$L:$L,match($A511,'rna-muscle'!$A:$A,0)))</f>
        <v>N</v>
      </c>
      <c r="D511" t="str">
        <f t="array" ref="D511">iferror(index('rna-gill'!$I:$I,match($A511,'rna-gill'!$A:$A,0)))</f>
        <v>BRN67G-F11</v>
      </c>
      <c r="E511" t="str">
        <f t="array" ref="E511">iferror(index('rna-gill'!$L:$L,match($A511,'rna-gill'!$A:$A,0)))</f>
        <v>N</v>
      </c>
      <c r="F511" t="str">
        <f t="array" ref="F511">iferror(index(fatty_acid!$G:$G,match($A511,fatty_acid!$A:$A,0)))</f>
        <v>BFA27-29</v>
      </c>
      <c r="G511" t="str">
        <f t="array" ref="G511">iferror(index(fatty_acid!$J:$J,match($A511,fatty_acid!$A:$A,0)))</f>
        <v>N</v>
      </c>
      <c r="H511" t="str">
        <f t="array" ref="H511">iferror(index(isotopes!$G:$G,match($A511,isotopes!$A:$A,0)))</f>
        <v>BIS28-46</v>
      </c>
      <c r="I511" t="str">
        <f t="array" ref="I511">iferror(index(isotopes!$J:$J,match($A511,isotopes!$A:$A,0)))</f>
        <v>N</v>
      </c>
      <c r="J511" t="str">
        <f t="array" ref="J511">iferror(index(extra_muscle!$G:$G,match($A511,extra_muscle!$A:$A,0)))</f>
        <v>BXM28-13</v>
      </c>
      <c r="K511" t="str">
        <f t="array" ref="K511">iferror(index(extra_muscle!$J:$J,match($A511,extra_muscle!$A:$A,0)))</f>
        <v>N</v>
      </c>
      <c r="L511" s="59" t="str">
        <f t="array" ref="L511">iferror(index(dna!$G:$G,match($A511,dna!$A:$A,0)))</f>
        <v/>
      </c>
      <c r="M511" s="60" t="str">
        <f t="array" ref="M511">iferror(index(dna!$J:$J,match($A511,dna!$A:$A,0)))</f>
        <v/>
      </c>
      <c r="N511" t="str">
        <f t="array" ref="N511">iferror(index(stomachs!$G:$G,match($A511,stomachs!$A:$A,0)))</f>
        <v/>
      </c>
      <c r="O511" t="str">
        <f t="array" ref="O511">iferror(index(stomachs!$J:$J,match($A511,stomachs!$A:$A,0)))</f>
        <v/>
      </c>
      <c r="P511" t="str">
        <f t="array" ref="P511">iferror(index(sea_lice!$G:$G,match($A511,sea_lice!$A:$A,0)))</f>
        <v/>
      </c>
      <c r="Q511" t="str">
        <f t="array" ref="Q511">iferror(index(sea_lice!$J:$J,match($A511,sea_lice!$A:$A,0)))</f>
        <v/>
      </c>
      <c r="R511" s="40" t="str">
        <f t="array" ref="R511">iferror(index(dissected_fish!$F:$F,match($A511,dissected_fish!$A:$A,0)))</f>
        <v>BCA104</v>
      </c>
      <c r="S511" s="40" t="str">
        <f t="array" ref="S511">iferror(index(dissected_fish!$K:$K,match($A511,dissected_fish!$A:$A,0)))</f>
        <v>N</v>
      </c>
      <c r="T511" s="61" t="str">
        <f t="array" ref="T511">index(fish_lab_data!O:O,match(A511,fish_lab_data!C:C,0))</f>
        <v>EJ</v>
      </c>
      <c r="U511" s="61">
        <f t="array" ref="U511">if(A511="","",index(fish_lab_data!X:X,match(A511,fish_lab_data!C:C,0)))</f>
        <v>510</v>
      </c>
    </row>
    <row r="512">
      <c r="A512" t="str">
        <f>fish_lab_data!C512</f>
        <v>U16518</v>
      </c>
      <c r="B512" t="str">
        <f t="array" ref="B512">iferror(index('rna-muscle'!$I:$I,match($A512,'rna-muscle'!$A:$A,0)))</f>
        <v>BRN67M-E11</v>
      </c>
      <c r="C512" t="str">
        <f t="array" ref="C512">iferror(index('rna-muscle'!$L:$L,match($A512,'rna-muscle'!$A:$A,0)))</f>
        <v>N</v>
      </c>
      <c r="D512" t="str">
        <f t="array" ref="D512">iferror(index('rna-gill'!$I:$I,match($A512,'rna-gill'!$A:$A,0)))</f>
        <v>BRN67G-E11</v>
      </c>
      <c r="E512" t="str">
        <f t="array" ref="E512">iferror(index('rna-gill'!$L:$L,match($A512,'rna-gill'!$A:$A,0)))</f>
        <v>N</v>
      </c>
      <c r="F512" t="str">
        <f t="array" ref="F512">iferror(index(fatty_acid!$G:$G,match($A512,fatty_acid!$A:$A,0)))</f>
        <v>BFA27-30</v>
      </c>
      <c r="G512" t="str">
        <f t="array" ref="G512">iferror(index(fatty_acid!$J:$J,match($A512,fatty_acid!$A:$A,0)))</f>
        <v>N</v>
      </c>
      <c r="H512" t="str">
        <f t="array" ref="H512">iferror(index(isotopes!$G:$G,match($A512,isotopes!$A:$A,0)))</f>
        <v>BIS28-47</v>
      </c>
      <c r="I512" t="str">
        <f t="array" ref="I512">iferror(index(isotopes!$J:$J,match($A512,isotopes!$A:$A,0)))</f>
        <v>N</v>
      </c>
      <c r="J512" t="str">
        <f t="array" ref="J512">iferror(index(extra_muscle!$G:$G,match($A512,extra_muscle!$A:$A,0)))</f>
        <v>BXM28-14</v>
      </c>
      <c r="K512" t="str">
        <f t="array" ref="K512">iferror(index(extra_muscle!$J:$J,match($A512,extra_muscle!$A:$A,0)))</f>
        <v>N</v>
      </c>
      <c r="L512" s="59" t="str">
        <f t="array" ref="L512">iferror(index(dna!$G:$G,match($A512,dna!$A:$A,0)))</f>
        <v/>
      </c>
      <c r="M512" s="60" t="str">
        <f t="array" ref="M512">iferror(index(dna!$J:$J,match($A512,dna!$A:$A,0)))</f>
        <v/>
      </c>
      <c r="N512" t="str">
        <f t="array" ref="N512">iferror(index(stomachs!$G:$G,match($A512,stomachs!$A:$A,0)))</f>
        <v/>
      </c>
      <c r="O512" t="str">
        <f t="array" ref="O512">iferror(index(stomachs!$J:$J,match($A512,stomachs!$A:$A,0)))</f>
        <v/>
      </c>
      <c r="P512" t="str">
        <f t="array" ref="P512">iferror(index(sea_lice!$G:$G,match($A512,sea_lice!$A:$A,0)))</f>
        <v/>
      </c>
      <c r="Q512" t="str">
        <f t="array" ref="Q512">iferror(index(sea_lice!$J:$J,match($A512,sea_lice!$A:$A,0)))</f>
        <v/>
      </c>
      <c r="R512" s="40" t="str">
        <f t="array" ref="R512">iferror(index(dissected_fish!$F:$F,match($A512,dissected_fish!$A:$A,0)))</f>
        <v>BCA104</v>
      </c>
      <c r="S512" s="40" t="str">
        <f t="array" ref="S512">iferror(index(dissected_fish!$K:$K,match($A512,dissected_fish!$A:$A,0)))</f>
        <v>N</v>
      </c>
      <c r="T512" s="61" t="str">
        <f t="array" ref="T512">index(fish_lab_data!O:O,match(A512,fish_lab_data!C:C,0))</f>
        <v>EJ</v>
      </c>
      <c r="U512" s="61">
        <f t="array" ref="U512">if(A512="","",index(fish_lab_data!X:X,match(A512,fish_lab_data!C:C,0)))</f>
        <v>511</v>
      </c>
    </row>
    <row r="513">
      <c r="A513" t="str">
        <f>fish_lab_data!C513</f>
        <v>U16519</v>
      </c>
      <c r="B513" t="str">
        <f t="array" ref="B513">iferror(index('rna-muscle'!$I:$I,match($A513,'rna-muscle'!$A:$A,0)))</f>
        <v>BRN67M-D11</v>
      </c>
      <c r="C513" t="str">
        <f t="array" ref="C513">iferror(index('rna-muscle'!$L:$L,match($A513,'rna-muscle'!$A:$A,0)))</f>
        <v>N</v>
      </c>
      <c r="D513" t="str">
        <f t="array" ref="D513">iferror(index('rna-gill'!$I:$I,match($A513,'rna-gill'!$A:$A,0)))</f>
        <v>BRN67G-D11</v>
      </c>
      <c r="E513" t="str">
        <f t="array" ref="E513">iferror(index('rna-gill'!$L:$L,match($A513,'rna-gill'!$A:$A,0)))</f>
        <v>N</v>
      </c>
      <c r="F513" t="str">
        <f t="array" ref="F513">iferror(index(fatty_acid!$G:$G,match($A513,fatty_acid!$A:$A,0)))</f>
        <v>BFA27-31</v>
      </c>
      <c r="G513" t="str">
        <f t="array" ref="G513">iferror(index(fatty_acid!$J:$J,match($A513,fatty_acid!$A:$A,0)))</f>
        <v>N</v>
      </c>
      <c r="H513" t="str">
        <f t="array" ref="H513">iferror(index(isotopes!$G:$G,match($A513,isotopes!$A:$A,0)))</f>
        <v>BIS28-48</v>
      </c>
      <c r="I513" t="str">
        <f t="array" ref="I513">iferror(index(isotopes!$J:$J,match($A513,isotopes!$A:$A,0)))</f>
        <v>N</v>
      </c>
      <c r="J513" t="str">
        <f t="array" ref="J513">iferror(index(extra_muscle!$G:$G,match($A513,extra_muscle!$A:$A,0)))</f>
        <v>BXM28-15</v>
      </c>
      <c r="K513" t="str">
        <f t="array" ref="K513">iferror(index(extra_muscle!$J:$J,match($A513,extra_muscle!$A:$A,0)))</f>
        <v>N</v>
      </c>
      <c r="L513" s="59" t="str">
        <f t="array" ref="L513">iferror(index(dna!$G:$G,match($A513,dna!$A:$A,0)))</f>
        <v/>
      </c>
      <c r="M513" s="60" t="str">
        <f t="array" ref="M513">iferror(index(dna!$J:$J,match($A513,dna!$A:$A,0)))</f>
        <v/>
      </c>
      <c r="N513" t="str">
        <f t="array" ref="N513">iferror(index(stomachs!$G:$G,match($A513,stomachs!$A:$A,0)))</f>
        <v/>
      </c>
      <c r="O513" t="str">
        <f t="array" ref="O513">iferror(index(stomachs!$J:$J,match($A513,stomachs!$A:$A,0)))</f>
        <v/>
      </c>
      <c r="P513" t="str">
        <f t="array" ref="P513">iferror(index(sea_lice!$G:$G,match($A513,sea_lice!$A:$A,0)))</f>
        <v/>
      </c>
      <c r="Q513" t="str">
        <f t="array" ref="Q513">iferror(index(sea_lice!$J:$J,match($A513,sea_lice!$A:$A,0)))</f>
        <v/>
      </c>
      <c r="R513" s="40" t="str">
        <f t="array" ref="R513">iferror(index(dissected_fish!$F:$F,match($A513,dissected_fish!$A:$A,0)))</f>
        <v>BCA104</v>
      </c>
      <c r="S513" s="40" t="str">
        <f t="array" ref="S513">iferror(index(dissected_fish!$K:$K,match($A513,dissected_fish!$A:$A,0)))</f>
        <v>N</v>
      </c>
      <c r="T513" s="61" t="str">
        <f t="array" ref="T513">index(fish_lab_data!O:O,match(A513,fish_lab_data!C:C,0))</f>
        <v>EJ</v>
      </c>
      <c r="U513" s="61">
        <f t="array" ref="U513">if(A513="","",index(fish_lab_data!X:X,match(A513,fish_lab_data!C:C,0)))</f>
        <v>512</v>
      </c>
    </row>
    <row r="514">
      <c r="A514" t="str">
        <f>fish_lab_data!C514</f>
        <v>U16520</v>
      </c>
      <c r="B514" t="str">
        <f t="array" ref="B514">iferror(index('rna-muscle'!$I:$I,match($A514,'rna-muscle'!$A:$A,0)))</f>
        <v>BRN67M-C11</v>
      </c>
      <c r="C514" t="str">
        <f t="array" ref="C514">iferror(index('rna-muscle'!$L:$L,match($A514,'rna-muscle'!$A:$A,0)))</f>
        <v>N</v>
      </c>
      <c r="D514" t="str">
        <f t="array" ref="D514">iferror(index('rna-gill'!$I:$I,match($A514,'rna-gill'!$A:$A,0)))</f>
        <v>BRN67G-C11</v>
      </c>
      <c r="E514" t="str">
        <f t="array" ref="E514">iferror(index('rna-gill'!$L:$L,match($A514,'rna-gill'!$A:$A,0)))</f>
        <v>N</v>
      </c>
      <c r="F514" t="str">
        <f t="array" ref="F514">iferror(index(fatty_acid!$G:$G,match($A514,fatty_acid!$A:$A,0)))</f>
        <v>BFA27-32</v>
      </c>
      <c r="G514" t="str">
        <f t="array" ref="G514">iferror(index(fatty_acid!$J:$J,match($A514,fatty_acid!$A:$A,0)))</f>
        <v>N</v>
      </c>
      <c r="H514" t="str">
        <f t="array" ref="H514">iferror(index(isotopes!$G:$G,match($A514,isotopes!$A:$A,0)))</f>
        <v>BIS28-49</v>
      </c>
      <c r="I514" t="str">
        <f t="array" ref="I514">iferror(index(isotopes!$J:$J,match($A514,isotopes!$A:$A,0)))</f>
        <v>N</v>
      </c>
      <c r="J514" t="str">
        <f t="array" ref="J514">iferror(index(extra_muscle!$G:$G,match($A514,extra_muscle!$A:$A,0)))</f>
        <v>BXM28-17</v>
      </c>
      <c r="K514" t="str">
        <f t="array" ref="K514">iferror(index(extra_muscle!$J:$J,match($A514,extra_muscle!$A:$A,0)))</f>
        <v>N</v>
      </c>
      <c r="L514" s="59" t="str">
        <f t="array" ref="L514">iferror(index(dna!$G:$G,match($A514,dna!$A:$A,0)))</f>
        <v/>
      </c>
      <c r="M514" s="60" t="str">
        <f t="array" ref="M514">iferror(index(dna!$J:$J,match($A514,dna!$A:$A,0)))</f>
        <v/>
      </c>
      <c r="N514" t="str">
        <f t="array" ref="N514">iferror(index(stomachs!$G:$G,match($A514,stomachs!$A:$A,0)))</f>
        <v/>
      </c>
      <c r="O514" t="str">
        <f t="array" ref="O514">iferror(index(stomachs!$J:$J,match($A514,stomachs!$A:$A,0)))</f>
        <v/>
      </c>
      <c r="P514" t="str">
        <f t="array" ref="P514">iferror(index(sea_lice!$G:$G,match($A514,sea_lice!$A:$A,0)))</f>
        <v/>
      </c>
      <c r="Q514" t="str">
        <f t="array" ref="Q514">iferror(index(sea_lice!$J:$J,match($A514,sea_lice!$A:$A,0)))</f>
        <v/>
      </c>
      <c r="R514" s="40" t="str">
        <f t="array" ref="R514">iferror(index(dissected_fish!$F:$F,match($A514,dissected_fish!$A:$A,0)))</f>
        <v>BCA104</v>
      </c>
      <c r="S514" s="40" t="str">
        <f t="array" ref="S514">iferror(index(dissected_fish!$K:$K,match($A514,dissected_fish!$A:$A,0)))</f>
        <v>N</v>
      </c>
      <c r="T514" s="61" t="str">
        <f t="array" ref="T514">index(fish_lab_data!O:O,match(A514,fish_lab_data!C:C,0))</f>
        <v>EJ</v>
      </c>
      <c r="U514" s="61">
        <f t="array" ref="U514">if(A514="","",index(fish_lab_data!X:X,match(A514,fish_lab_data!C:C,0)))</f>
        <v>513</v>
      </c>
    </row>
    <row r="515">
      <c r="A515" t="str">
        <f>fish_lab_data!C515</f>
        <v>U16011</v>
      </c>
      <c r="B515" t="str">
        <f t="array" ref="B515">iferror(index('rna-muscle'!$I:$I,match($A515,'rna-muscle'!$A:$A,0)))</f>
        <v>BRN67M-B11</v>
      </c>
      <c r="C515" t="str">
        <f t="array" ref="C515">iferror(index('rna-muscle'!$L:$L,match($A515,'rna-muscle'!$A:$A,0)))</f>
        <v>N</v>
      </c>
      <c r="D515" t="str">
        <f t="array" ref="D515">iferror(index('rna-gill'!$I:$I,match($A515,'rna-gill'!$A:$A,0)))</f>
        <v>BRN67G-B11</v>
      </c>
      <c r="E515" t="str">
        <f t="array" ref="E515">iferror(index('rna-gill'!$L:$L,match($A515,'rna-gill'!$A:$A,0)))</f>
        <v>N</v>
      </c>
      <c r="F515" t="str">
        <f t="array" ref="F515">iferror(index(fatty_acid!$G:$G,match($A515,fatty_acid!$A:$A,0)))</f>
        <v>BFA27-33</v>
      </c>
      <c r="G515" t="str">
        <f t="array" ref="G515">iferror(index(fatty_acid!$J:$J,match($A515,fatty_acid!$A:$A,0)))</f>
        <v>N</v>
      </c>
      <c r="H515" t="str">
        <f t="array" ref="H515">iferror(index(isotopes!$G:$G,match($A515,isotopes!$A:$A,0)))</f>
        <v>BIS28-50</v>
      </c>
      <c r="I515" t="str">
        <f t="array" ref="I515">iferror(index(isotopes!$J:$J,match($A515,isotopes!$A:$A,0)))</f>
        <v>N</v>
      </c>
      <c r="J515" t="str">
        <f t="array" ref="J515">iferror(index(extra_muscle!$G:$G,match($A515,extra_muscle!$A:$A,0)))</f>
        <v>BXM28-18</v>
      </c>
      <c r="K515" t="str">
        <f t="array" ref="K515">iferror(index(extra_muscle!$J:$J,match($A515,extra_muscle!$A:$A,0)))</f>
        <v>N</v>
      </c>
      <c r="L515" s="59" t="str">
        <f t="array" ref="L515">iferror(index(dna!$G:$G,match($A515,dna!$A:$A,0)))</f>
        <v/>
      </c>
      <c r="M515" s="60" t="str">
        <f t="array" ref="M515">iferror(index(dna!$J:$J,match($A515,dna!$A:$A,0)))</f>
        <v/>
      </c>
      <c r="N515" t="str">
        <f t="array" ref="N515">iferror(index(stomachs!$G:$G,match($A515,stomachs!$A:$A,0)))</f>
        <v/>
      </c>
      <c r="O515" t="str">
        <f t="array" ref="O515">iferror(index(stomachs!$J:$J,match($A515,stomachs!$A:$A,0)))</f>
        <v/>
      </c>
      <c r="P515" t="str">
        <f t="array" ref="P515">iferror(index(sea_lice!$G:$G,match($A515,sea_lice!$A:$A,0)))</f>
        <v/>
      </c>
      <c r="Q515" t="str">
        <f t="array" ref="Q515">iferror(index(sea_lice!$J:$J,match($A515,sea_lice!$A:$A,0)))</f>
        <v/>
      </c>
      <c r="R515" s="40" t="str">
        <f t="array" ref="R515">iferror(index(dissected_fish!$F:$F,match($A515,dissected_fish!$A:$A,0)))</f>
        <v>BCA104</v>
      </c>
      <c r="S515" s="40" t="str">
        <f t="array" ref="S515">iferror(index(dissected_fish!$K:$K,match($A515,dissected_fish!$A:$A,0)))</f>
        <v>N</v>
      </c>
      <c r="T515" s="61" t="str">
        <f t="array" ref="T515">index(fish_lab_data!O:O,match(A515,fish_lab_data!C:C,0))</f>
        <v>EJ</v>
      </c>
      <c r="U515" s="61">
        <f t="array" ref="U515">if(A515="","",index(fish_lab_data!X:X,match(A515,fish_lab_data!C:C,0)))</f>
        <v>514</v>
      </c>
    </row>
    <row r="516">
      <c r="A516" t="str">
        <f>fish_lab_data!C516</f>
        <v>U16012</v>
      </c>
      <c r="B516" t="str">
        <f t="array" ref="B516">iferror(index('rna-muscle'!$I:$I,match($A516,'rna-muscle'!$A:$A,0)))</f>
        <v>BRN67M-A11</v>
      </c>
      <c r="C516" t="str">
        <f t="array" ref="C516">iferror(index('rna-muscle'!$L:$L,match($A516,'rna-muscle'!$A:$A,0)))</f>
        <v>N</v>
      </c>
      <c r="D516" t="str">
        <f t="array" ref="D516">iferror(index('rna-gill'!$I:$I,match($A516,'rna-gill'!$A:$A,0)))</f>
        <v>BRN67G-A11</v>
      </c>
      <c r="E516" t="str">
        <f t="array" ref="E516">iferror(index('rna-gill'!$L:$L,match($A516,'rna-gill'!$A:$A,0)))</f>
        <v>N</v>
      </c>
      <c r="F516" t="str">
        <f t="array" ref="F516">iferror(index(fatty_acid!$G:$G,match($A516,fatty_acid!$A:$A,0)))</f>
        <v>BFA27-34</v>
      </c>
      <c r="G516" t="str">
        <f t="array" ref="G516">iferror(index(fatty_acid!$J:$J,match($A516,fatty_acid!$A:$A,0)))</f>
        <v>N</v>
      </c>
      <c r="H516" t="str">
        <f t="array" ref="H516">iferror(index(isotopes!$G:$G,match($A516,isotopes!$A:$A,0)))</f>
        <v>BIS28-51</v>
      </c>
      <c r="I516" t="str">
        <f t="array" ref="I516">iferror(index(isotopes!$J:$J,match($A516,isotopes!$A:$A,0)))</f>
        <v>N</v>
      </c>
      <c r="J516" t="str">
        <f t="array" ref="J516">iferror(index(extra_muscle!$G:$G,match($A516,extra_muscle!$A:$A,0)))</f>
        <v>BXM28-19</v>
      </c>
      <c r="K516" t="str">
        <f t="array" ref="K516">iferror(index(extra_muscle!$J:$J,match($A516,extra_muscle!$A:$A,0)))</f>
        <v>N</v>
      </c>
      <c r="L516" s="59" t="str">
        <f t="array" ref="L516">iferror(index(dna!$G:$G,match($A516,dna!$A:$A,0)))</f>
        <v/>
      </c>
      <c r="M516" s="60" t="str">
        <f t="array" ref="M516">iferror(index(dna!$J:$J,match($A516,dna!$A:$A,0)))</f>
        <v/>
      </c>
      <c r="N516" t="str">
        <f t="array" ref="N516">iferror(index(stomachs!$G:$G,match($A516,stomachs!$A:$A,0)))</f>
        <v/>
      </c>
      <c r="O516" t="str">
        <f t="array" ref="O516">iferror(index(stomachs!$J:$J,match($A516,stomachs!$A:$A,0)))</f>
        <v/>
      </c>
      <c r="P516" t="str">
        <f t="array" ref="P516">iferror(index(sea_lice!$G:$G,match($A516,sea_lice!$A:$A,0)))</f>
        <v/>
      </c>
      <c r="Q516" t="str">
        <f t="array" ref="Q516">iferror(index(sea_lice!$J:$J,match($A516,sea_lice!$A:$A,0)))</f>
        <v/>
      </c>
      <c r="R516" s="40" t="str">
        <f t="array" ref="R516">iferror(index(dissected_fish!$F:$F,match($A516,dissected_fish!$A:$A,0)))</f>
        <v>BCA104</v>
      </c>
      <c r="S516" s="40" t="str">
        <f t="array" ref="S516">iferror(index(dissected_fish!$K:$K,match($A516,dissected_fish!$A:$A,0)))</f>
        <v>N</v>
      </c>
      <c r="T516" s="61" t="str">
        <f t="array" ref="T516">index(fish_lab_data!O:O,match(A516,fish_lab_data!C:C,0))</f>
        <v>EJ</v>
      </c>
      <c r="U516" s="61">
        <f t="array" ref="U516">if(A516="","",index(fish_lab_data!X:X,match(A516,fish_lab_data!C:C,0)))</f>
        <v>515</v>
      </c>
    </row>
    <row r="517">
      <c r="A517" t="str">
        <f>fish_lab_data!C517</f>
        <v>U16013</v>
      </c>
      <c r="B517" t="str">
        <f t="array" ref="B517">iferror(index('rna-muscle'!$I:$I,match($A517,'rna-muscle'!$A:$A,0)))</f>
        <v>BRN68M-H2</v>
      </c>
      <c r="C517" t="str">
        <f t="array" ref="C517">iferror(index('rna-muscle'!$L:$L,match($A517,'rna-muscle'!$A:$A,0)))</f>
        <v>N</v>
      </c>
      <c r="D517" t="str">
        <f t="array" ref="D517">iferror(index('rna-gill'!$I:$I,match($A517,'rna-gill'!$A:$A,0)))</f>
        <v>BRN68G-H2</v>
      </c>
      <c r="E517" t="str">
        <f t="array" ref="E517">iferror(index('rna-gill'!$L:$L,match($A517,'rna-gill'!$A:$A,0)))</f>
        <v>N</v>
      </c>
      <c r="F517" t="str">
        <f t="array" ref="F517">iferror(index(fatty_acid!$G:$G,match($A517,fatty_acid!$A:$A,0)))</f>
        <v>BFA27-35</v>
      </c>
      <c r="G517" t="str">
        <f t="array" ref="G517">iferror(index(fatty_acid!$J:$J,match($A517,fatty_acid!$A:$A,0)))</f>
        <v>N</v>
      </c>
      <c r="H517" t="str">
        <f t="array" ref="H517">iferror(index(isotopes!$G:$G,match($A517,isotopes!$A:$A,0)))</f>
        <v>BIS28-52</v>
      </c>
      <c r="I517" t="str">
        <f t="array" ref="I517">iferror(index(isotopes!$J:$J,match($A517,isotopes!$A:$A,0)))</f>
        <v>N</v>
      </c>
      <c r="J517" t="str">
        <f t="array" ref="J517">iferror(index(extra_muscle!$G:$G,match($A517,extra_muscle!$A:$A,0)))</f>
        <v>BXM28-20</v>
      </c>
      <c r="K517" t="str">
        <f t="array" ref="K517">iferror(index(extra_muscle!$J:$J,match($A517,extra_muscle!$A:$A,0)))</f>
        <v>N</v>
      </c>
      <c r="L517" s="59" t="str">
        <f t="array" ref="L517">iferror(index(dna!$G:$G,match($A517,dna!$A:$A,0)))</f>
        <v/>
      </c>
      <c r="M517" s="60" t="str">
        <f t="array" ref="M517">iferror(index(dna!$J:$J,match($A517,dna!$A:$A,0)))</f>
        <v/>
      </c>
      <c r="N517" t="str">
        <f t="array" ref="N517">iferror(index(stomachs!$G:$G,match($A517,stomachs!$A:$A,0)))</f>
        <v/>
      </c>
      <c r="O517" t="str">
        <f t="array" ref="O517">iferror(index(stomachs!$J:$J,match($A517,stomachs!$A:$A,0)))</f>
        <v/>
      </c>
      <c r="P517" t="str">
        <f t="array" ref="P517">iferror(index(sea_lice!$G:$G,match($A517,sea_lice!$A:$A,0)))</f>
        <v/>
      </c>
      <c r="Q517" t="str">
        <f t="array" ref="Q517">iferror(index(sea_lice!$J:$J,match($A517,sea_lice!$A:$A,0)))</f>
        <v/>
      </c>
      <c r="R517" s="40" t="str">
        <f t="array" ref="R517">iferror(index(dissected_fish!$F:$F,match($A517,dissected_fish!$A:$A,0)))</f>
        <v>BCA104</v>
      </c>
      <c r="S517" s="40" t="str">
        <f t="array" ref="S517">iferror(index(dissected_fish!$K:$K,match($A517,dissected_fish!$A:$A,0)))</f>
        <v>N</v>
      </c>
      <c r="T517" s="61" t="str">
        <f t="array" ref="T517">index(fish_lab_data!O:O,match(A517,fish_lab_data!C:C,0))</f>
        <v>EJ</v>
      </c>
      <c r="U517" s="61">
        <f t="array" ref="U517">if(A517="","",index(fish_lab_data!X:X,match(A517,fish_lab_data!C:C,0)))</f>
        <v>516</v>
      </c>
    </row>
    <row r="518">
      <c r="A518" t="str">
        <f>fish_lab_data!C518</f>
        <v>U16014</v>
      </c>
      <c r="B518" t="str">
        <f t="array" ref="B518">iferror(index('rna-muscle'!$I:$I,match($A518,'rna-muscle'!$A:$A,0)))</f>
        <v>BRN68M-G2</v>
      </c>
      <c r="C518" t="str">
        <f t="array" ref="C518">iferror(index('rna-muscle'!$L:$L,match($A518,'rna-muscle'!$A:$A,0)))</f>
        <v>N</v>
      </c>
      <c r="D518" t="str">
        <f t="array" ref="D518">iferror(index('rna-gill'!$I:$I,match($A518,'rna-gill'!$A:$A,0)))</f>
        <v>BRN68G-G2</v>
      </c>
      <c r="E518" t="str">
        <f t="array" ref="E518">iferror(index('rna-gill'!$L:$L,match($A518,'rna-gill'!$A:$A,0)))</f>
        <v>N</v>
      </c>
      <c r="F518" t="str">
        <f t="array" ref="F518">iferror(index(fatty_acid!$G:$G,match($A518,fatty_acid!$A:$A,0)))</f>
        <v>BFA27-37</v>
      </c>
      <c r="G518" t="str">
        <f t="array" ref="G518">iferror(index(fatty_acid!$J:$J,match($A518,fatty_acid!$A:$A,0)))</f>
        <v>N</v>
      </c>
      <c r="H518" t="str">
        <f t="array" ref="H518">iferror(index(isotopes!$G:$G,match($A518,isotopes!$A:$A,0)))</f>
        <v>BIS28-53</v>
      </c>
      <c r="I518" t="str">
        <f t="array" ref="I518">iferror(index(isotopes!$J:$J,match($A518,isotopes!$A:$A,0)))</f>
        <v>N</v>
      </c>
      <c r="J518" t="str">
        <f t="array" ref="J518">iferror(index(extra_muscle!$G:$G,match($A518,extra_muscle!$A:$A,0)))</f>
        <v>BXM28-21</v>
      </c>
      <c r="K518" t="str">
        <f t="array" ref="K518">iferror(index(extra_muscle!$J:$J,match($A518,extra_muscle!$A:$A,0)))</f>
        <v>N</v>
      </c>
      <c r="L518" s="59" t="str">
        <f t="array" ref="L518">iferror(index(dna!$G:$G,match($A518,dna!$A:$A,0)))</f>
        <v/>
      </c>
      <c r="M518" s="60" t="str">
        <f t="array" ref="M518">iferror(index(dna!$J:$J,match($A518,dna!$A:$A,0)))</f>
        <v/>
      </c>
      <c r="N518" t="str">
        <f t="array" ref="N518">iferror(index(stomachs!$G:$G,match($A518,stomachs!$A:$A,0)))</f>
        <v/>
      </c>
      <c r="O518" t="str">
        <f t="array" ref="O518">iferror(index(stomachs!$J:$J,match($A518,stomachs!$A:$A,0)))</f>
        <v/>
      </c>
      <c r="P518" t="str">
        <f t="array" ref="P518">iferror(index(sea_lice!$G:$G,match($A518,sea_lice!$A:$A,0)))</f>
        <v>BSL2-54</v>
      </c>
      <c r="Q518" t="str">
        <f t="array" ref="Q518">iferror(index(sea_lice!$J:$J,match($A518,sea_lice!$A:$A,0)))</f>
        <v>N</v>
      </c>
      <c r="R518" s="40" t="str">
        <f t="array" ref="R518">iferror(index(dissected_fish!$F:$F,match($A518,dissected_fish!$A:$A,0)))</f>
        <v>BCA104</v>
      </c>
      <c r="S518" s="40" t="str">
        <f t="array" ref="S518">iferror(index(dissected_fish!$K:$K,match($A518,dissected_fish!$A:$A,0)))</f>
        <v>N</v>
      </c>
      <c r="T518" s="61" t="str">
        <f t="array" ref="T518">index(fish_lab_data!O:O,match(A518,fish_lab_data!C:C,0))</f>
        <v>EJ</v>
      </c>
      <c r="U518" s="61">
        <f t="array" ref="U518">if(A518="","",index(fish_lab_data!X:X,match(A518,fish_lab_data!C:C,0)))</f>
        <v>517</v>
      </c>
    </row>
    <row r="519">
      <c r="A519" t="str">
        <f>fish_lab_data!C519</f>
        <v>U16015</v>
      </c>
      <c r="B519" t="str">
        <f t="array" ref="B519">iferror(index('rna-muscle'!$I:$I,match($A519,'rna-muscle'!$A:$A,0)))</f>
        <v>BRN68M-F2</v>
      </c>
      <c r="C519" t="str">
        <f t="array" ref="C519">iferror(index('rna-muscle'!$L:$L,match($A519,'rna-muscle'!$A:$A,0)))</f>
        <v>N</v>
      </c>
      <c r="D519" t="str">
        <f t="array" ref="D519">iferror(index('rna-gill'!$I:$I,match($A519,'rna-gill'!$A:$A,0)))</f>
        <v>BRN68G-F2</v>
      </c>
      <c r="E519" t="str">
        <f t="array" ref="E519">iferror(index('rna-gill'!$L:$L,match($A519,'rna-gill'!$A:$A,0)))</f>
        <v>N</v>
      </c>
      <c r="F519" t="str">
        <f t="array" ref="F519">iferror(index(fatty_acid!$G:$G,match($A519,fatty_acid!$A:$A,0)))</f>
        <v>BFA27-38</v>
      </c>
      <c r="G519" t="str">
        <f t="array" ref="G519">iferror(index(fatty_acid!$J:$J,match($A519,fatty_acid!$A:$A,0)))</f>
        <v>N</v>
      </c>
      <c r="H519" t="str">
        <f t="array" ref="H519">iferror(index(isotopes!$G:$G,match($A519,isotopes!$A:$A,0)))</f>
        <v>BIS28-54</v>
      </c>
      <c r="I519" t="str">
        <f t="array" ref="I519">iferror(index(isotopes!$J:$J,match($A519,isotopes!$A:$A,0)))</f>
        <v>N</v>
      </c>
      <c r="J519" t="str">
        <f t="array" ref="J519">iferror(index(extra_muscle!$G:$G,match($A519,extra_muscle!$A:$A,0)))</f>
        <v>BXM28-22</v>
      </c>
      <c r="K519" t="str">
        <f t="array" ref="K519">iferror(index(extra_muscle!$J:$J,match($A519,extra_muscle!$A:$A,0)))</f>
        <v>N</v>
      </c>
      <c r="L519" s="59" t="str">
        <f t="array" ref="L519">iferror(index(dna!$G:$G,match($A519,dna!$A:$A,0)))</f>
        <v/>
      </c>
      <c r="M519" s="60" t="str">
        <f t="array" ref="M519">iferror(index(dna!$J:$J,match($A519,dna!$A:$A,0)))</f>
        <v/>
      </c>
      <c r="N519" t="str">
        <f t="array" ref="N519">iferror(index(stomachs!$G:$G,match($A519,stomachs!$A:$A,0)))</f>
        <v/>
      </c>
      <c r="O519" t="str">
        <f t="array" ref="O519">iferror(index(stomachs!$J:$J,match($A519,stomachs!$A:$A,0)))</f>
        <v/>
      </c>
      <c r="P519" t="str">
        <f t="array" ref="P519">iferror(index(sea_lice!$G:$G,match($A519,sea_lice!$A:$A,0)))</f>
        <v/>
      </c>
      <c r="Q519" t="str">
        <f t="array" ref="Q519">iferror(index(sea_lice!$J:$J,match($A519,sea_lice!$A:$A,0)))</f>
        <v/>
      </c>
      <c r="R519" s="40" t="str">
        <f t="array" ref="R519">iferror(index(dissected_fish!$F:$F,match($A519,dissected_fish!$A:$A,0)))</f>
        <v>BCA104</v>
      </c>
      <c r="S519" s="40" t="str">
        <f t="array" ref="S519">iferror(index(dissected_fish!$K:$K,match($A519,dissected_fish!$A:$A,0)))</f>
        <v>N</v>
      </c>
      <c r="T519" s="61" t="str">
        <f t="array" ref="T519">index(fish_lab_data!O:O,match(A519,fish_lab_data!C:C,0))</f>
        <v>EJ</v>
      </c>
      <c r="U519" s="61">
        <f t="array" ref="U519">if(A519="","",index(fish_lab_data!X:X,match(A519,fish_lab_data!C:C,0)))</f>
        <v>518</v>
      </c>
    </row>
    <row r="520">
      <c r="A520" t="str">
        <f>fish_lab_data!C520</f>
        <v>U16016</v>
      </c>
      <c r="B520" t="str">
        <f t="array" ref="B520">iferror(index('rna-muscle'!$I:$I,match($A520,'rna-muscle'!$A:$A,0)))</f>
        <v>BRN68M-E2</v>
      </c>
      <c r="C520" t="str">
        <f t="array" ref="C520">iferror(index('rna-muscle'!$L:$L,match($A520,'rna-muscle'!$A:$A,0)))</f>
        <v>N</v>
      </c>
      <c r="D520" t="str">
        <f t="array" ref="D520">iferror(index('rna-gill'!$I:$I,match($A520,'rna-gill'!$A:$A,0)))</f>
        <v>BRN68G-E2</v>
      </c>
      <c r="E520" t="str">
        <f t="array" ref="E520">iferror(index('rna-gill'!$L:$L,match($A520,'rna-gill'!$A:$A,0)))</f>
        <v>N</v>
      </c>
      <c r="F520" t="str">
        <f t="array" ref="F520">iferror(index(fatty_acid!$G:$G,match($A520,fatty_acid!$A:$A,0)))</f>
        <v>BFA27-39</v>
      </c>
      <c r="G520" t="str">
        <f t="array" ref="G520">iferror(index(fatty_acid!$J:$J,match($A520,fatty_acid!$A:$A,0)))</f>
        <v>N</v>
      </c>
      <c r="H520" t="str">
        <f t="array" ref="H520">iferror(index(isotopes!$G:$G,match($A520,isotopes!$A:$A,0)))</f>
        <v>BIS28-55</v>
      </c>
      <c r="I520" t="str">
        <f t="array" ref="I520">iferror(index(isotopes!$J:$J,match($A520,isotopes!$A:$A,0)))</f>
        <v>N</v>
      </c>
      <c r="J520" t="str">
        <f t="array" ref="J520">iferror(index(extra_muscle!$G:$G,match($A520,extra_muscle!$A:$A,0)))</f>
        <v>BXM28-23</v>
      </c>
      <c r="K520" t="str">
        <f t="array" ref="K520">iferror(index(extra_muscle!$J:$J,match($A520,extra_muscle!$A:$A,0)))</f>
        <v>N</v>
      </c>
      <c r="L520" s="59" t="str">
        <f t="array" ref="L520">iferror(index(dna!$G:$G,match($A520,dna!$A:$A,0)))</f>
        <v/>
      </c>
      <c r="M520" s="60" t="str">
        <f t="array" ref="M520">iferror(index(dna!$J:$J,match($A520,dna!$A:$A,0)))</f>
        <v/>
      </c>
      <c r="N520" t="str">
        <f t="array" ref="N520">iferror(index(stomachs!$G:$G,match($A520,stomachs!$A:$A,0)))</f>
        <v/>
      </c>
      <c r="O520" t="str">
        <f t="array" ref="O520">iferror(index(stomachs!$J:$J,match($A520,stomachs!$A:$A,0)))</f>
        <v/>
      </c>
      <c r="P520" t="str">
        <f t="array" ref="P520">iferror(index(sea_lice!$G:$G,match($A520,sea_lice!$A:$A,0)))</f>
        <v/>
      </c>
      <c r="Q520" t="str">
        <f t="array" ref="Q520">iferror(index(sea_lice!$J:$J,match($A520,sea_lice!$A:$A,0)))</f>
        <v/>
      </c>
      <c r="R520" s="40" t="str">
        <f t="array" ref="R520">iferror(index(dissected_fish!$F:$F,match($A520,dissected_fish!$A:$A,0)))</f>
        <v>BCA104</v>
      </c>
      <c r="S520" s="40" t="str">
        <f t="array" ref="S520">iferror(index(dissected_fish!$K:$K,match($A520,dissected_fish!$A:$A,0)))</f>
        <v>N</v>
      </c>
      <c r="T520" s="61" t="str">
        <f t="array" ref="T520">index(fish_lab_data!O:O,match(A520,fish_lab_data!C:C,0))</f>
        <v>EJ</v>
      </c>
      <c r="U520" s="61">
        <f t="array" ref="U520">if(A520="","",index(fish_lab_data!X:X,match(A520,fish_lab_data!C:C,0)))</f>
        <v>519</v>
      </c>
    </row>
    <row r="521">
      <c r="A521" t="str">
        <f>fish_lab_data!C521</f>
        <v>U16017</v>
      </c>
      <c r="B521" t="str">
        <f t="array" ref="B521">iferror(index('rna-muscle'!$I:$I,match($A521,'rna-muscle'!$A:$A,0)))</f>
        <v>BRN68M-D2</v>
      </c>
      <c r="C521" t="str">
        <f t="array" ref="C521">iferror(index('rna-muscle'!$L:$L,match($A521,'rna-muscle'!$A:$A,0)))</f>
        <v>N</v>
      </c>
      <c r="D521" t="str">
        <f t="array" ref="D521">iferror(index('rna-gill'!$I:$I,match($A521,'rna-gill'!$A:$A,0)))</f>
        <v>BRN68G-D2</v>
      </c>
      <c r="E521" t="str">
        <f t="array" ref="E521">iferror(index('rna-gill'!$L:$L,match($A521,'rna-gill'!$A:$A,0)))</f>
        <v>N</v>
      </c>
      <c r="F521" t="str">
        <f t="array" ref="F521">iferror(index(fatty_acid!$G:$G,match($A521,fatty_acid!$A:$A,0)))</f>
        <v>BFA27-40</v>
      </c>
      <c r="G521" t="str">
        <f t="array" ref="G521">iferror(index(fatty_acid!$J:$J,match($A521,fatty_acid!$A:$A,0)))</f>
        <v>N</v>
      </c>
      <c r="H521" t="str">
        <f t="array" ref="H521">iferror(index(isotopes!$G:$G,match($A521,isotopes!$A:$A,0)))</f>
        <v>BIS28-56</v>
      </c>
      <c r="I521" t="str">
        <f t="array" ref="I521">iferror(index(isotopes!$J:$J,match($A521,isotopes!$A:$A,0)))</f>
        <v>N</v>
      </c>
      <c r="J521" t="str">
        <f t="array" ref="J521">iferror(index(extra_muscle!$G:$G,match($A521,extra_muscle!$A:$A,0)))</f>
        <v>BXM28-24</v>
      </c>
      <c r="K521" t="str">
        <f t="array" ref="K521">iferror(index(extra_muscle!$J:$J,match($A521,extra_muscle!$A:$A,0)))</f>
        <v>N</v>
      </c>
      <c r="L521" s="59" t="str">
        <f t="array" ref="L521">iferror(index(dna!$G:$G,match($A521,dna!$A:$A,0)))</f>
        <v/>
      </c>
      <c r="M521" s="60" t="str">
        <f t="array" ref="M521">iferror(index(dna!$J:$J,match($A521,dna!$A:$A,0)))</f>
        <v/>
      </c>
      <c r="N521" t="str">
        <f t="array" ref="N521">iferror(index(stomachs!$G:$G,match($A521,stomachs!$A:$A,0)))</f>
        <v/>
      </c>
      <c r="O521" t="str">
        <f t="array" ref="O521">iferror(index(stomachs!$J:$J,match($A521,stomachs!$A:$A,0)))</f>
        <v/>
      </c>
      <c r="P521" t="str">
        <f t="array" ref="P521">iferror(index(sea_lice!$G:$G,match($A521,sea_lice!$A:$A,0)))</f>
        <v>BSL2-56</v>
      </c>
      <c r="Q521" t="str">
        <f t="array" ref="Q521">iferror(index(sea_lice!$J:$J,match($A521,sea_lice!$A:$A,0)))</f>
        <v>N</v>
      </c>
      <c r="R521" s="40" t="str">
        <f t="array" ref="R521">iferror(index(dissected_fish!$F:$F,match($A521,dissected_fish!$A:$A,0)))</f>
        <v>BCA104</v>
      </c>
      <c r="S521" s="40" t="str">
        <f t="array" ref="S521">iferror(index(dissected_fish!$K:$K,match($A521,dissected_fish!$A:$A,0)))</f>
        <v>N</v>
      </c>
      <c r="T521" s="61" t="str">
        <f t="array" ref="T521">index(fish_lab_data!O:O,match(A521,fish_lab_data!C:C,0))</f>
        <v>EJ</v>
      </c>
      <c r="U521" s="61">
        <f t="array" ref="U521">if(A521="","",index(fish_lab_data!X:X,match(A521,fish_lab_data!C:C,0)))</f>
        <v>520</v>
      </c>
    </row>
    <row r="522">
      <c r="A522" t="str">
        <f>fish_lab_data!C522</f>
        <v>U16018</v>
      </c>
      <c r="B522" t="str">
        <f t="array" ref="B522">iferror(index('rna-muscle'!$I:$I,match($A522,'rna-muscle'!$A:$A,0)))</f>
        <v>BRN68M-C2</v>
      </c>
      <c r="C522" t="str">
        <f t="array" ref="C522">iferror(index('rna-muscle'!$L:$L,match($A522,'rna-muscle'!$A:$A,0)))</f>
        <v>N</v>
      </c>
      <c r="D522" t="str">
        <f t="array" ref="D522">iferror(index('rna-gill'!$I:$I,match($A522,'rna-gill'!$A:$A,0)))</f>
        <v>BRN68G-C2</v>
      </c>
      <c r="E522" t="str">
        <f t="array" ref="E522">iferror(index('rna-gill'!$L:$L,match($A522,'rna-gill'!$A:$A,0)))</f>
        <v>N</v>
      </c>
      <c r="F522" t="str">
        <f t="array" ref="F522">iferror(index(fatty_acid!$G:$G,match($A522,fatty_acid!$A:$A,0)))</f>
        <v>BFA27-41</v>
      </c>
      <c r="G522" t="str">
        <f t="array" ref="G522">iferror(index(fatty_acid!$J:$J,match($A522,fatty_acid!$A:$A,0)))</f>
        <v>N</v>
      </c>
      <c r="H522" t="str">
        <f t="array" ref="H522">iferror(index(isotopes!$G:$G,match($A522,isotopes!$A:$A,0)))</f>
        <v>BIS28-57</v>
      </c>
      <c r="I522" t="str">
        <f t="array" ref="I522">iferror(index(isotopes!$J:$J,match($A522,isotopes!$A:$A,0)))</f>
        <v>N</v>
      </c>
      <c r="J522" t="str">
        <f t="array" ref="J522">iferror(index(extra_muscle!$G:$G,match($A522,extra_muscle!$A:$A,0)))</f>
        <v>BXM28-25</v>
      </c>
      <c r="K522" t="str">
        <f t="array" ref="K522">iferror(index(extra_muscle!$J:$J,match($A522,extra_muscle!$A:$A,0)))</f>
        <v>N</v>
      </c>
      <c r="L522" s="59" t="str">
        <f t="array" ref="L522">iferror(index(dna!$G:$G,match($A522,dna!$A:$A,0)))</f>
        <v/>
      </c>
      <c r="M522" s="60" t="str">
        <f t="array" ref="M522">iferror(index(dna!$J:$J,match($A522,dna!$A:$A,0)))</f>
        <v/>
      </c>
      <c r="N522" t="str">
        <f t="array" ref="N522">iferror(index(stomachs!$G:$G,match($A522,stomachs!$A:$A,0)))</f>
        <v/>
      </c>
      <c r="O522" t="str">
        <f t="array" ref="O522">iferror(index(stomachs!$J:$J,match($A522,stomachs!$A:$A,0)))</f>
        <v/>
      </c>
      <c r="P522" t="str">
        <f t="array" ref="P522">iferror(index(sea_lice!$G:$G,match($A522,sea_lice!$A:$A,0)))</f>
        <v/>
      </c>
      <c r="Q522" t="str">
        <f t="array" ref="Q522">iferror(index(sea_lice!$J:$J,match($A522,sea_lice!$A:$A,0)))</f>
        <v/>
      </c>
      <c r="R522" s="40" t="str">
        <f t="array" ref="R522">iferror(index(dissected_fish!$F:$F,match($A522,dissected_fish!$A:$A,0)))</f>
        <v>BCA104</v>
      </c>
      <c r="S522" s="40" t="str">
        <f t="array" ref="S522">iferror(index(dissected_fish!$K:$K,match($A522,dissected_fish!$A:$A,0)))</f>
        <v>N</v>
      </c>
      <c r="T522" s="61" t="str">
        <f t="array" ref="T522">index(fish_lab_data!O:O,match(A522,fish_lab_data!C:C,0))</f>
        <v>EJ</v>
      </c>
      <c r="U522" s="61">
        <f t="array" ref="U522">if(A522="","",index(fish_lab_data!X:X,match(A522,fish_lab_data!C:C,0)))</f>
        <v>521</v>
      </c>
    </row>
    <row r="523">
      <c r="A523" t="str">
        <f>fish_lab_data!C523</f>
        <v>U16019</v>
      </c>
      <c r="B523" t="str">
        <f t="array" ref="B523">iferror(index('rna-muscle'!$I:$I,match($A523,'rna-muscle'!$A:$A,0)))</f>
        <v>BRN68M-B2</v>
      </c>
      <c r="C523" t="str">
        <f t="array" ref="C523">iferror(index('rna-muscle'!$L:$L,match($A523,'rna-muscle'!$A:$A,0)))</f>
        <v>N</v>
      </c>
      <c r="D523" t="str">
        <f t="array" ref="D523">iferror(index('rna-gill'!$I:$I,match($A523,'rna-gill'!$A:$A,0)))</f>
        <v>BRN68G-B2</v>
      </c>
      <c r="E523" t="str">
        <f t="array" ref="E523">iferror(index('rna-gill'!$L:$L,match($A523,'rna-gill'!$A:$A,0)))</f>
        <v>N</v>
      </c>
      <c r="F523" t="str">
        <f t="array" ref="F523">iferror(index(fatty_acid!$G:$G,match($A523,fatty_acid!$A:$A,0)))</f>
        <v>BFA27-42</v>
      </c>
      <c r="G523" t="str">
        <f t="array" ref="G523">iferror(index(fatty_acid!$J:$J,match($A523,fatty_acid!$A:$A,0)))</f>
        <v>N</v>
      </c>
      <c r="H523" t="str">
        <f t="array" ref="H523">iferror(index(isotopes!$G:$G,match($A523,isotopes!$A:$A,0)))</f>
        <v>BIS28-58</v>
      </c>
      <c r="I523" t="str">
        <f t="array" ref="I523">iferror(index(isotopes!$J:$J,match($A523,isotopes!$A:$A,0)))</f>
        <v>N</v>
      </c>
      <c r="J523" t="str">
        <f t="array" ref="J523">iferror(index(extra_muscle!$G:$G,match($A523,extra_muscle!$A:$A,0)))</f>
        <v>BXM28-27</v>
      </c>
      <c r="K523" t="str">
        <f t="array" ref="K523">iferror(index(extra_muscle!$J:$J,match($A523,extra_muscle!$A:$A,0)))</f>
        <v>N</v>
      </c>
      <c r="L523" s="59" t="str">
        <f t="array" ref="L523">iferror(index(dna!$G:$G,match($A523,dna!$A:$A,0)))</f>
        <v/>
      </c>
      <c r="M523" s="60" t="str">
        <f t="array" ref="M523">iferror(index(dna!$J:$J,match($A523,dna!$A:$A,0)))</f>
        <v/>
      </c>
      <c r="N523" t="str">
        <f t="array" ref="N523">iferror(index(stomachs!$G:$G,match($A523,stomachs!$A:$A,0)))</f>
        <v/>
      </c>
      <c r="O523" t="str">
        <f t="array" ref="O523">iferror(index(stomachs!$J:$J,match($A523,stomachs!$A:$A,0)))</f>
        <v/>
      </c>
      <c r="P523" t="str">
        <f t="array" ref="P523">iferror(index(sea_lice!$G:$G,match($A523,sea_lice!$A:$A,0)))</f>
        <v/>
      </c>
      <c r="Q523" t="str">
        <f t="array" ref="Q523">iferror(index(sea_lice!$J:$J,match($A523,sea_lice!$A:$A,0)))</f>
        <v/>
      </c>
      <c r="R523" s="40" t="str">
        <f t="array" ref="R523">iferror(index(dissected_fish!$F:$F,match($A523,dissected_fish!$A:$A,0)))</f>
        <v>BCA104</v>
      </c>
      <c r="S523" s="40" t="str">
        <f t="array" ref="S523">iferror(index(dissected_fish!$K:$K,match($A523,dissected_fish!$A:$A,0)))</f>
        <v>N</v>
      </c>
      <c r="T523" s="61" t="str">
        <f t="array" ref="T523">index(fish_lab_data!O:O,match(A523,fish_lab_data!C:C,0))</f>
        <v>EJ</v>
      </c>
      <c r="U523" s="61">
        <f t="array" ref="U523">if(A523="","",index(fish_lab_data!X:X,match(A523,fish_lab_data!C:C,0)))</f>
        <v>522</v>
      </c>
    </row>
    <row r="524">
      <c r="A524" t="str">
        <f>fish_lab_data!C524</f>
        <v>U16020</v>
      </c>
      <c r="B524" t="str">
        <f t="array" ref="B524">iferror(index('rna-muscle'!$I:$I,match($A524,'rna-muscle'!$A:$A,0)))</f>
        <v>BRN68M-A2</v>
      </c>
      <c r="C524" t="str">
        <f t="array" ref="C524">iferror(index('rna-muscle'!$L:$L,match($A524,'rna-muscle'!$A:$A,0)))</f>
        <v>N</v>
      </c>
      <c r="D524" t="str">
        <f t="array" ref="D524">iferror(index('rna-gill'!$I:$I,match($A524,'rna-gill'!$A:$A,0)))</f>
        <v>BRN68G-A2</v>
      </c>
      <c r="E524" t="str">
        <f t="array" ref="E524">iferror(index('rna-gill'!$L:$L,match($A524,'rna-gill'!$A:$A,0)))</f>
        <v>N</v>
      </c>
      <c r="F524" t="str">
        <f t="array" ref="F524">iferror(index(fatty_acid!$G:$G,match($A524,fatty_acid!$A:$A,0)))</f>
        <v>BFA27-43</v>
      </c>
      <c r="G524" t="str">
        <f t="array" ref="G524">iferror(index(fatty_acid!$J:$J,match($A524,fatty_acid!$A:$A,0)))</f>
        <v>N</v>
      </c>
      <c r="H524" t="str">
        <f t="array" ref="H524">iferror(index(isotopes!$G:$G,match($A524,isotopes!$A:$A,0)))</f>
        <v>BIS28-59</v>
      </c>
      <c r="I524" t="str">
        <f t="array" ref="I524">iferror(index(isotopes!$J:$J,match($A524,isotopes!$A:$A,0)))</f>
        <v>N</v>
      </c>
      <c r="J524" t="str">
        <f t="array" ref="J524">iferror(index(extra_muscle!$G:$G,match($A524,extra_muscle!$A:$A,0)))</f>
        <v>BXM28-28</v>
      </c>
      <c r="K524" t="str">
        <f t="array" ref="K524">iferror(index(extra_muscle!$J:$J,match($A524,extra_muscle!$A:$A,0)))</f>
        <v>N</v>
      </c>
      <c r="L524" s="59" t="str">
        <f t="array" ref="L524">iferror(index(dna!$G:$G,match($A524,dna!$A:$A,0)))</f>
        <v/>
      </c>
      <c r="M524" s="60" t="str">
        <f t="array" ref="M524">iferror(index(dna!$J:$J,match($A524,dna!$A:$A,0)))</f>
        <v/>
      </c>
      <c r="N524" t="str">
        <f t="array" ref="N524">iferror(index(stomachs!$G:$G,match($A524,stomachs!$A:$A,0)))</f>
        <v/>
      </c>
      <c r="O524" t="str">
        <f t="array" ref="O524">iferror(index(stomachs!$J:$J,match($A524,stomachs!$A:$A,0)))</f>
        <v/>
      </c>
      <c r="P524" t="str">
        <f t="array" ref="P524">iferror(index(sea_lice!$G:$G,match($A524,sea_lice!$A:$A,0)))</f>
        <v/>
      </c>
      <c r="Q524" t="str">
        <f t="array" ref="Q524">iferror(index(sea_lice!$J:$J,match($A524,sea_lice!$A:$A,0)))</f>
        <v/>
      </c>
      <c r="R524" s="40" t="str">
        <f t="array" ref="R524">iferror(index(dissected_fish!$F:$F,match($A524,dissected_fish!$A:$A,0)))</f>
        <v>BCA104</v>
      </c>
      <c r="S524" s="40" t="str">
        <f t="array" ref="S524">iferror(index(dissected_fish!$K:$K,match($A524,dissected_fish!$A:$A,0)))</f>
        <v>N</v>
      </c>
      <c r="T524" s="61" t="str">
        <f t="array" ref="T524">index(fish_lab_data!O:O,match(A524,fish_lab_data!C:C,0))</f>
        <v>EJ</v>
      </c>
      <c r="U524" s="61">
        <f t="array" ref="U524">if(A524="","",index(fish_lab_data!X:X,match(A524,fish_lab_data!C:C,0)))</f>
        <v>523</v>
      </c>
    </row>
    <row r="525">
      <c r="A525" t="str">
        <f>fish_lab_data!C525</f>
        <v>U17095</v>
      </c>
      <c r="B525" t="str">
        <f t="array" ref="B525">iferror(index('rna-muscle'!$I:$I,match($A525,'rna-muscle'!$A:$A,0)))</f>
        <v>BRN67M-F10</v>
      </c>
      <c r="C525" t="str">
        <f t="array" ref="C525">iferror(index('rna-muscle'!$L:$L,match($A525,'rna-muscle'!$A:$A,0)))</f>
        <v>N</v>
      </c>
      <c r="D525" t="str">
        <f t="array" ref="D525">iferror(index('rna-gill'!$I:$I,match($A525,'rna-gill'!$A:$A,0)))</f>
        <v>BRN67G-F10</v>
      </c>
      <c r="E525" t="str">
        <f t="array" ref="E525">iferror(index('rna-gill'!$L:$L,match($A525,'rna-gill'!$A:$A,0)))</f>
        <v>N</v>
      </c>
      <c r="F525" t="str">
        <f t="array" ref="F525">iferror(index(fatty_acid!$G:$G,match($A525,fatty_acid!$A:$A,0)))</f>
        <v>BFA26-35</v>
      </c>
      <c r="G525" t="str">
        <f t="array" ref="G525">iferror(index(fatty_acid!$J:$J,match($A525,fatty_acid!$A:$A,0)))</f>
        <v>N</v>
      </c>
      <c r="H525" t="str">
        <f t="array" ref="H525">iferror(index(isotopes!$G:$G,match($A525,isotopes!$A:$A,0)))</f>
        <v>BIS29-35</v>
      </c>
      <c r="I525" t="str">
        <f t="array" ref="I525">iferror(index(isotopes!$J:$J,match($A525,isotopes!$A:$A,0)))</f>
        <v>N</v>
      </c>
      <c r="J525" t="str">
        <f t="array" ref="J525">iferror(index(extra_muscle!$G:$G,match($A525,extra_muscle!$A:$A,0)))</f>
        <v>BXM27-35</v>
      </c>
      <c r="K525" t="str">
        <f t="array" ref="K525">iferror(index(extra_muscle!$J:$J,match($A525,extra_muscle!$A:$A,0)))</f>
        <v>N</v>
      </c>
      <c r="L525" s="59" t="str">
        <f t="array" ref="L525">iferror(index(dna!$G:$G,match($A525,dna!$A:$A,0)))</f>
        <v/>
      </c>
      <c r="M525" s="60" t="str">
        <f t="array" ref="M525">iferror(index(dna!$J:$J,match($A525,dna!$A:$A,0)))</f>
        <v/>
      </c>
      <c r="N525" t="str">
        <f t="array" ref="N525">iferror(index(stomachs!$G:$G,match($A525,stomachs!$A:$A,0)))</f>
        <v/>
      </c>
      <c r="O525" t="str">
        <f t="array" ref="O525">iferror(index(stomachs!$J:$J,match($A525,stomachs!$A:$A,0)))</f>
        <v/>
      </c>
      <c r="P525" t="str">
        <f t="array" ref="P525">iferror(index(sea_lice!$G:$G,match($A525,sea_lice!$A:$A,0)))</f>
        <v/>
      </c>
      <c r="Q525" t="str">
        <f t="array" ref="Q525">iferror(index(sea_lice!$J:$J,match($A525,sea_lice!$A:$A,0)))</f>
        <v/>
      </c>
      <c r="R525" s="40" t="str">
        <f t="array" ref="R525">iferror(index(dissected_fish!$F:$F,match($A525,dissected_fish!$A:$A,0)))</f>
        <v>BCA104</v>
      </c>
      <c r="S525" s="40" t="str">
        <f t="array" ref="S525">iferror(index(dissected_fish!$K:$K,match($A525,dissected_fish!$A:$A,0)))</f>
        <v>N</v>
      </c>
      <c r="T525" s="61" t="str">
        <f t="array" ref="T525">index(fish_lab_data!O:O,match(A525,fish_lab_data!C:C,0))</f>
        <v>KB</v>
      </c>
      <c r="U525" s="61">
        <f t="array" ref="U525">if(A525="","",index(fish_lab_data!X:X,match(A525,fish_lab_data!C:C,0)))</f>
        <v>524</v>
      </c>
    </row>
    <row r="526">
      <c r="A526" t="str">
        <f>fish_lab_data!C526</f>
        <v>U17096</v>
      </c>
      <c r="B526" t="str">
        <f t="array" ref="B526">iferror(index('rna-muscle'!$I:$I,match($A526,'rna-muscle'!$A:$A,0)))</f>
        <v>BRN67M-E10</v>
      </c>
      <c r="C526" t="str">
        <f t="array" ref="C526">iferror(index('rna-muscle'!$L:$L,match($A526,'rna-muscle'!$A:$A,0)))</f>
        <v>N</v>
      </c>
      <c r="D526" t="str">
        <f t="array" ref="D526">iferror(index('rna-gill'!$I:$I,match($A526,'rna-gill'!$A:$A,0)))</f>
        <v>BRN67G-E10</v>
      </c>
      <c r="E526" t="str">
        <f t="array" ref="E526">iferror(index('rna-gill'!$L:$L,match($A526,'rna-gill'!$A:$A,0)))</f>
        <v>N</v>
      </c>
      <c r="F526" t="str">
        <f t="array" ref="F526">iferror(index(fatty_acid!$G:$G,match($A526,fatty_acid!$A:$A,0)))</f>
        <v>BFA26-36</v>
      </c>
      <c r="G526" t="str">
        <f t="array" ref="G526">iferror(index(fatty_acid!$J:$J,match($A526,fatty_acid!$A:$A,0)))</f>
        <v>N</v>
      </c>
      <c r="H526" t="str">
        <f t="array" ref="H526">iferror(index(isotopes!$G:$G,match($A526,isotopes!$A:$A,0)))</f>
        <v>BIS29-36</v>
      </c>
      <c r="I526" t="str">
        <f t="array" ref="I526">iferror(index(isotopes!$J:$J,match($A526,isotopes!$A:$A,0)))</f>
        <v>N</v>
      </c>
      <c r="J526" t="str">
        <f t="array" ref="J526">iferror(index(extra_muscle!$G:$G,match($A526,extra_muscle!$A:$A,0)))</f>
        <v>BXM27-36</v>
      </c>
      <c r="K526" t="str">
        <f t="array" ref="K526">iferror(index(extra_muscle!$J:$J,match($A526,extra_muscle!$A:$A,0)))</f>
        <v>N</v>
      </c>
      <c r="L526" s="59" t="str">
        <f t="array" ref="L526">iferror(index(dna!$G:$G,match($A526,dna!$A:$A,0)))</f>
        <v/>
      </c>
      <c r="M526" s="60" t="str">
        <f t="array" ref="M526">iferror(index(dna!$J:$J,match($A526,dna!$A:$A,0)))</f>
        <v/>
      </c>
      <c r="N526" t="str">
        <f t="array" ref="N526">iferror(index(stomachs!$G:$G,match($A526,stomachs!$A:$A,0)))</f>
        <v/>
      </c>
      <c r="O526" t="str">
        <f t="array" ref="O526">iferror(index(stomachs!$J:$J,match($A526,stomachs!$A:$A,0)))</f>
        <v/>
      </c>
      <c r="P526" t="str">
        <f t="array" ref="P526">iferror(index(sea_lice!$G:$G,match($A526,sea_lice!$A:$A,0)))</f>
        <v>BSL2-49</v>
      </c>
      <c r="Q526" t="str">
        <f t="array" ref="Q526">iferror(index(sea_lice!$J:$J,match($A526,sea_lice!$A:$A,0)))</f>
        <v>N</v>
      </c>
      <c r="R526" s="40" t="str">
        <f t="array" ref="R526">iferror(index(dissected_fish!$F:$F,match($A526,dissected_fish!$A:$A,0)))</f>
        <v>BCA104</v>
      </c>
      <c r="S526" s="40" t="str">
        <f t="array" ref="S526">iferror(index(dissected_fish!$K:$K,match($A526,dissected_fish!$A:$A,0)))</f>
        <v>N</v>
      </c>
      <c r="T526" s="61" t="str">
        <f t="array" ref="T526">index(fish_lab_data!O:O,match(A526,fish_lab_data!C:C,0))</f>
        <v>KB</v>
      </c>
      <c r="U526" s="61">
        <f t="array" ref="U526">if(A526="","",index(fish_lab_data!X:X,match(A526,fish_lab_data!C:C,0)))</f>
        <v>525</v>
      </c>
    </row>
    <row r="527">
      <c r="A527" t="str">
        <f>fish_lab_data!C527</f>
        <v>U17094</v>
      </c>
      <c r="B527" t="str">
        <f t="array" ref="B527">iferror(index('rna-muscle'!$I:$I,match($A527,'rna-muscle'!$A:$A,0)))</f>
        <v>BRN67M-D10</v>
      </c>
      <c r="C527" t="str">
        <f t="array" ref="C527">iferror(index('rna-muscle'!$L:$L,match($A527,'rna-muscle'!$A:$A,0)))</f>
        <v>N</v>
      </c>
      <c r="D527" t="str">
        <f t="array" ref="D527">iferror(index('rna-gill'!$I:$I,match($A527,'rna-gill'!$A:$A,0)))</f>
        <v>BRN67G-D10</v>
      </c>
      <c r="E527" t="str">
        <f t="array" ref="E527">iferror(index('rna-gill'!$L:$L,match($A527,'rna-gill'!$A:$A,0)))</f>
        <v>N</v>
      </c>
      <c r="F527" t="str">
        <f t="array" ref="F527">iferror(index(fatty_acid!$G:$G,match($A527,fatty_acid!$A:$A,0)))</f>
        <v>BFA26-37</v>
      </c>
      <c r="G527" t="str">
        <f t="array" ref="G527">iferror(index(fatty_acid!$J:$J,match($A527,fatty_acid!$A:$A,0)))</f>
        <v>N</v>
      </c>
      <c r="H527" t="str">
        <f t="array" ref="H527">iferror(index(isotopes!$G:$G,match($A527,isotopes!$A:$A,0)))</f>
        <v>BIS29-37</v>
      </c>
      <c r="I527" t="str">
        <f t="array" ref="I527">iferror(index(isotopes!$J:$J,match($A527,isotopes!$A:$A,0)))</f>
        <v>N</v>
      </c>
      <c r="J527" t="str">
        <f t="array" ref="J527">iferror(index(extra_muscle!$G:$G,match($A527,extra_muscle!$A:$A,0)))</f>
        <v>BXM27-37</v>
      </c>
      <c r="K527" t="str">
        <f t="array" ref="K527">iferror(index(extra_muscle!$J:$J,match($A527,extra_muscle!$A:$A,0)))</f>
        <v>N</v>
      </c>
      <c r="L527" s="59" t="str">
        <f t="array" ref="L527">iferror(index(dna!$G:$G,match($A527,dna!$A:$A,0)))</f>
        <v/>
      </c>
      <c r="M527" s="60" t="str">
        <f t="array" ref="M527">iferror(index(dna!$J:$J,match($A527,dna!$A:$A,0)))</f>
        <v/>
      </c>
      <c r="N527" t="str">
        <f t="array" ref="N527">iferror(index(stomachs!$G:$G,match($A527,stomachs!$A:$A,0)))</f>
        <v/>
      </c>
      <c r="O527" t="str">
        <f t="array" ref="O527">iferror(index(stomachs!$J:$J,match($A527,stomachs!$A:$A,0)))</f>
        <v/>
      </c>
      <c r="P527" t="str">
        <f t="array" ref="P527">iferror(index(sea_lice!$G:$G,match($A527,sea_lice!$A:$A,0)))</f>
        <v>BSL2-52</v>
      </c>
      <c r="Q527" t="str">
        <f t="array" ref="Q527">iferror(index(sea_lice!$J:$J,match($A527,sea_lice!$A:$A,0)))</f>
        <v>N</v>
      </c>
      <c r="R527" s="40" t="str">
        <f t="array" ref="R527">iferror(index(dissected_fish!$F:$F,match($A527,dissected_fish!$A:$A,0)))</f>
        <v>BCA104</v>
      </c>
      <c r="S527" s="40" t="str">
        <f t="array" ref="S527">iferror(index(dissected_fish!$K:$K,match($A527,dissected_fish!$A:$A,0)))</f>
        <v>N</v>
      </c>
      <c r="T527" s="61" t="str">
        <f t="array" ref="T527">index(fish_lab_data!O:O,match(A527,fish_lab_data!C:C,0))</f>
        <v>KB</v>
      </c>
      <c r="U527" s="61">
        <f t="array" ref="U527">if(A527="","",index(fish_lab_data!X:X,match(A527,fish_lab_data!C:C,0)))</f>
        <v>526</v>
      </c>
    </row>
    <row r="528">
      <c r="A528" t="str">
        <f>fish_lab_data!C528</f>
        <v>U17093</v>
      </c>
      <c r="B528" t="str">
        <f t="array" ref="B528">iferror(index('rna-muscle'!$I:$I,match($A528,'rna-muscle'!$A:$A,0)))</f>
        <v>BRN67M-C10</v>
      </c>
      <c r="C528" t="str">
        <f t="array" ref="C528">iferror(index('rna-muscle'!$L:$L,match($A528,'rna-muscle'!$A:$A,0)))</f>
        <v>N</v>
      </c>
      <c r="D528" t="str">
        <f t="array" ref="D528">iferror(index('rna-gill'!$I:$I,match($A528,'rna-gill'!$A:$A,0)))</f>
        <v>BRN67G-C10</v>
      </c>
      <c r="E528" t="str">
        <f t="array" ref="E528">iferror(index('rna-gill'!$L:$L,match($A528,'rna-gill'!$A:$A,0)))</f>
        <v>N</v>
      </c>
      <c r="F528" t="str">
        <f t="array" ref="F528">iferror(index(fatty_acid!$G:$G,match($A528,fatty_acid!$A:$A,0)))</f>
        <v>BFA26-38</v>
      </c>
      <c r="G528" t="str">
        <f t="array" ref="G528">iferror(index(fatty_acid!$J:$J,match($A528,fatty_acid!$A:$A,0)))</f>
        <v>N</v>
      </c>
      <c r="H528" t="str">
        <f t="array" ref="H528">iferror(index(isotopes!$G:$G,match($A528,isotopes!$A:$A,0)))</f>
        <v>BIS29-38</v>
      </c>
      <c r="I528" t="str">
        <f t="array" ref="I528">iferror(index(isotopes!$J:$J,match($A528,isotopes!$A:$A,0)))</f>
        <v>N</v>
      </c>
      <c r="J528" t="str">
        <f t="array" ref="J528">iferror(index(extra_muscle!$G:$G,match($A528,extra_muscle!$A:$A,0)))</f>
        <v>BXM27-38</v>
      </c>
      <c r="K528" t="str">
        <f t="array" ref="K528">iferror(index(extra_muscle!$J:$J,match($A528,extra_muscle!$A:$A,0)))</f>
        <v>N</v>
      </c>
      <c r="L528" s="59" t="str">
        <f t="array" ref="L528">iferror(index(dna!$G:$G,match($A528,dna!$A:$A,0)))</f>
        <v/>
      </c>
      <c r="M528" s="60" t="str">
        <f t="array" ref="M528">iferror(index(dna!$J:$J,match($A528,dna!$A:$A,0)))</f>
        <v/>
      </c>
      <c r="N528" t="str">
        <f t="array" ref="N528">iferror(index(stomachs!$G:$G,match($A528,stomachs!$A:$A,0)))</f>
        <v/>
      </c>
      <c r="O528" t="str">
        <f t="array" ref="O528">iferror(index(stomachs!$J:$J,match($A528,stomachs!$A:$A,0)))</f>
        <v/>
      </c>
      <c r="P528" t="str">
        <f t="array" ref="P528">iferror(index(sea_lice!$G:$G,match($A528,sea_lice!$A:$A,0)))</f>
        <v/>
      </c>
      <c r="Q528" t="str">
        <f t="array" ref="Q528">iferror(index(sea_lice!$J:$J,match($A528,sea_lice!$A:$A,0)))</f>
        <v/>
      </c>
      <c r="R528" s="40" t="str">
        <f t="array" ref="R528">iferror(index(dissected_fish!$F:$F,match($A528,dissected_fish!$A:$A,0)))</f>
        <v>BCA104</v>
      </c>
      <c r="S528" s="40" t="str">
        <f t="array" ref="S528">iferror(index(dissected_fish!$K:$K,match($A528,dissected_fish!$A:$A,0)))</f>
        <v>N</v>
      </c>
      <c r="T528" s="61" t="str">
        <f t="array" ref="T528">index(fish_lab_data!O:O,match(A528,fish_lab_data!C:C,0))</f>
        <v>KB</v>
      </c>
      <c r="U528" s="61">
        <f t="array" ref="U528">if(A528="","",index(fish_lab_data!X:X,match(A528,fish_lab_data!C:C,0)))</f>
        <v>527</v>
      </c>
    </row>
    <row r="529">
      <c r="A529" t="str">
        <f>fish_lab_data!C529</f>
        <v>U16151</v>
      </c>
      <c r="B529" t="str">
        <f t="array" ref="B529">iferror(index('rna-muscle'!$I:$I,match($A529,'rna-muscle'!$A:$A,0)))</f>
        <v>BRN67M-B10</v>
      </c>
      <c r="C529" t="str">
        <f t="array" ref="C529">iferror(index('rna-muscle'!$L:$L,match($A529,'rna-muscle'!$A:$A,0)))</f>
        <v>N</v>
      </c>
      <c r="D529" t="str">
        <f t="array" ref="D529">iferror(index('rna-gill'!$I:$I,match($A529,'rna-gill'!$A:$A,0)))</f>
        <v>BRN67G-B10</v>
      </c>
      <c r="E529" t="str">
        <f t="array" ref="E529">iferror(index('rna-gill'!$L:$L,match($A529,'rna-gill'!$A:$A,0)))</f>
        <v>N</v>
      </c>
      <c r="F529" t="str">
        <f t="array" ref="F529">iferror(index(fatty_acid!$G:$G,match($A529,fatty_acid!$A:$A,0)))</f>
        <v>BFA26-39</v>
      </c>
      <c r="G529" t="str">
        <f t="array" ref="G529">iferror(index(fatty_acid!$J:$J,match($A529,fatty_acid!$A:$A,0)))</f>
        <v>N</v>
      </c>
      <c r="H529" t="str">
        <f t="array" ref="H529">iferror(index(isotopes!$G:$G,match($A529,isotopes!$A:$A,0)))</f>
        <v>BIS29-39</v>
      </c>
      <c r="I529" t="str">
        <f t="array" ref="I529">iferror(index(isotopes!$J:$J,match($A529,isotopes!$A:$A,0)))</f>
        <v>N</v>
      </c>
      <c r="J529" t="str">
        <f t="array" ref="J529">iferror(index(extra_muscle!$G:$G,match($A529,extra_muscle!$A:$A,0)))</f>
        <v>BXM27-39</v>
      </c>
      <c r="K529" t="str">
        <f t="array" ref="K529">iferror(index(extra_muscle!$J:$J,match($A529,extra_muscle!$A:$A,0)))</f>
        <v>N</v>
      </c>
      <c r="L529" s="59" t="str">
        <f t="array" ref="L529">iferror(index(dna!$G:$G,match($A529,dna!$A:$A,0)))</f>
        <v/>
      </c>
      <c r="M529" s="60" t="str">
        <f t="array" ref="M529">iferror(index(dna!$J:$J,match($A529,dna!$A:$A,0)))</f>
        <v/>
      </c>
      <c r="N529" t="str">
        <f t="array" ref="N529">iferror(index(stomachs!$G:$G,match($A529,stomachs!$A:$A,0)))</f>
        <v/>
      </c>
      <c r="O529" t="str">
        <f t="array" ref="O529">iferror(index(stomachs!$J:$J,match($A529,stomachs!$A:$A,0)))</f>
        <v/>
      </c>
      <c r="P529" t="str">
        <f t="array" ref="P529">iferror(index(sea_lice!$G:$G,match($A529,sea_lice!$A:$A,0)))</f>
        <v/>
      </c>
      <c r="Q529" t="str">
        <f t="array" ref="Q529">iferror(index(sea_lice!$J:$J,match($A529,sea_lice!$A:$A,0)))</f>
        <v/>
      </c>
      <c r="R529" s="40" t="str">
        <f t="array" ref="R529">iferror(index(dissected_fish!$F:$F,match($A529,dissected_fish!$A:$A,0)))</f>
        <v>BCA104</v>
      </c>
      <c r="S529" s="40" t="str">
        <f t="array" ref="S529">iferror(index(dissected_fish!$K:$K,match($A529,dissected_fish!$A:$A,0)))</f>
        <v>N</v>
      </c>
      <c r="T529" s="61" t="str">
        <f t="array" ref="T529">index(fish_lab_data!O:O,match(A529,fish_lab_data!C:C,0))</f>
        <v>KB</v>
      </c>
      <c r="U529" s="61">
        <f t="array" ref="U529">if(A529="","",index(fish_lab_data!X:X,match(A529,fish_lab_data!C:C,0)))</f>
        <v>528</v>
      </c>
    </row>
    <row r="530">
      <c r="A530" t="str">
        <f>fish_lab_data!C530</f>
        <v>U16157</v>
      </c>
      <c r="B530" t="str">
        <f t="array" ref="B530">iferror(index('rna-muscle'!$I:$I,match($A530,'rna-muscle'!$A:$A,0)))</f>
        <v>BRN67M-A10</v>
      </c>
      <c r="C530" t="str">
        <f t="array" ref="C530">iferror(index('rna-muscle'!$L:$L,match($A530,'rna-muscle'!$A:$A,0)))</f>
        <v>N</v>
      </c>
      <c r="D530" t="str">
        <f t="array" ref="D530">iferror(index('rna-gill'!$I:$I,match($A530,'rna-gill'!$A:$A,0)))</f>
        <v>BRN67G-A10</v>
      </c>
      <c r="E530" t="str">
        <f t="array" ref="E530">iferror(index('rna-gill'!$L:$L,match($A530,'rna-gill'!$A:$A,0)))</f>
        <v>N</v>
      </c>
      <c r="F530" t="str">
        <f t="array" ref="F530">iferror(index(fatty_acid!$G:$G,match($A530,fatty_acid!$A:$A,0)))</f>
        <v>BFA26-40</v>
      </c>
      <c r="G530" t="str">
        <f t="array" ref="G530">iferror(index(fatty_acid!$J:$J,match($A530,fatty_acid!$A:$A,0)))</f>
        <v>N</v>
      </c>
      <c r="H530" t="str">
        <f t="array" ref="H530">iferror(index(isotopes!$G:$G,match($A530,isotopes!$A:$A,0)))</f>
        <v>BIS29-40</v>
      </c>
      <c r="I530" t="str">
        <f t="array" ref="I530">iferror(index(isotopes!$J:$J,match($A530,isotopes!$A:$A,0)))</f>
        <v>N</v>
      </c>
      <c r="J530" t="str">
        <f t="array" ref="J530">iferror(index(extra_muscle!$G:$G,match($A530,extra_muscle!$A:$A,0)))</f>
        <v>BXM27-40</v>
      </c>
      <c r="K530" t="str">
        <f t="array" ref="K530">iferror(index(extra_muscle!$J:$J,match($A530,extra_muscle!$A:$A,0)))</f>
        <v>N</v>
      </c>
      <c r="L530" s="59" t="str">
        <f t="array" ref="L530">iferror(index(dna!$G:$G,match($A530,dna!$A:$A,0)))</f>
        <v/>
      </c>
      <c r="M530" s="60" t="str">
        <f t="array" ref="M530">iferror(index(dna!$J:$J,match($A530,dna!$A:$A,0)))</f>
        <v/>
      </c>
      <c r="N530" t="str">
        <f t="array" ref="N530">iferror(index(stomachs!$G:$G,match($A530,stomachs!$A:$A,0)))</f>
        <v/>
      </c>
      <c r="O530" t="str">
        <f t="array" ref="O530">iferror(index(stomachs!$J:$J,match($A530,stomachs!$A:$A,0)))</f>
        <v/>
      </c>
      <c r="P530" t="str">
        <f t="array" ref="P530">iferror(index(sea_lice!$G:$G,match($A530,sea_lice!$A:$A,0)))</f>
        <v/>
      </c>
      <c r="Q530" t="str">
        <f t="array" ref="Q530">iferror(index(sea_lice!$J:$J,match($A530,sea_lice!$A:$A,0)))</f>
        <v/>
      </c>
      <c r="R530" s="40" t="str">
        <f t="array" ref="R530">iferror(index(dissected_fish!$F:$F,match($A530,dissected_fish!$A:$A,0)))</f>
        <v>BCA104</v>
      </c>
      <c r="S530" s="40" t="str">
        <f t="array" ref="S530">iferror(index(dissected_fish!$K:$K,match($A530,dissected_fish!$A:$A,0)))</f>
        <v>N</v>
      </c>
      <c r="T530" s="61" t="str">
        <f t="array" ref="T530">index(fish_lab_data!O:O,match(A530,fish_lab_data!C:C,0))</f>
        <v>KB</v>
      </c>
      <c r="U530" s="61">
        <f t="array" ref="U530">if(A530="","",index(fish_lab_data!X:X,match(A530,fish_lab_data!C:C,0)))</f>
        <v>529</v>
      </c>
    </row>
    <row r="531">
      <c r="A531" t="str">
        <f>fish_lab_data!C531</f>
        <v>U16158</v>
      </c>
      <c r="B531" t="str">
        <f t="array" ref="B531">iferror(index('rna-muscle'!$I:$I,match($A531,'rna-muscle'!$A:$A,0)))</f>
        <v>BRN67M-G12</v>
      </c>
      <c r="C531" t="str">
        <f t="array" ref="C531">iferror(index('rna-muscle'!$L:$L,match($A531,'rna-muscle'!$A:$A,0)))</f>
        <v>N</v>
      </c>
      <c r="D531" t="str">
        <f t="array" ref="D531">iferror(index('rna-gill'!$I:$I,match($A531,'rna-gill'!$A:$A,0)))</f>
        <v>BRN67G-G12</v>
      </c>
      <c r="E531" t="str">
        <f t="array" ref="E531">iferror(index('rna-gill'!$L:$L,match($A531,'rna-gill'!$A:$A,0)))</f>
        <v>N</v>
      </c>
      <c r="F531" t="str">
        <f t="array" ref="F531">iferror(index(fatty_acid!$G:$G,match($A531,fatty_acid!$A:$A,0)))</f>
        <v>BFA26-41</v>
      </c>
      <c r="G531" t="str">
        <f t="array" ref="G531">iferror(index(fatty_acid!$J:$J,match($A531,fatty_acid!$A:$A,0)))</f>
        <v>N</v>
      </c>
      <c r="H531" t="str">
        <f t="array" ref="H531">iferror(index(isotopes!$G:$G,match($A531,isotopes!$A:$A,0)))</f>
        <v>BIS29-41</v>
      </c>
      <c r="I531" t="str">
        <f t="array" ref="I531">iferror(index(isotopes!$J:$J,match($A531,isotopes!$A:$A,0)))</f>
        <v>N</v>
      </c>
      <c r="J531" t="str">
        <f t="array" ref="J531">iferror(index(extra_muscle!$G:$G,match($A531,extra_muscle!$A:$A,0)))</f>
        <v>BXM27-41</v>
      </c>
      <c r="K531" t="str">
        <f t="array" ref="K531">iferror(index(extra_muscle!$J:$J,match($A531,extra_muscle!$A:$A,0)))</f>
        <v>N</v>
      </c>
      <c r="L531" s="59" t="str">
        <f t="array" ref="L531">iferror(index(dna!$G:$G,match($A531,dna!$A:$A,0)))</f>
        <v/>
      </c>
      <c r="M531" s="60" t="str">
        <f t="array" ref="M531">iferror(index(dna!$J:$J,match($A531,dna!$A:$A,0)))</f>
        <v/>
      </c>
      <c r="N531" t="str">
        <f t="array" ref="N531">iferror(index(stomachs!$G:$G,match($A531,stomachs!$A:$A,0)))</f>
        <v/>
      </c>
      <c r="O531" t="str">
        <f t="array" ref="O531">iferror(index(stomachs!$J:$J,match($A531,stomachs!$A:$A,0)))</f>
        <v/>
      </c>
      <c r="P531" t="str">
        <f t="array" ref="P531">iferror(index(sea_lice!$G:$G,match($A531,sea_lice!$A:$A,0)))</f>
        <v/>
      </c>
      <c r="Q531" t="str">
        <f t="array" ref="Q531">iferror(index(sea_lice!$J:$J,match($A531,sea_lice!$A:$A,0)))</f>
        <v/>
      </c>
      <c r="R531" s="40" t="str">
        <f t="array" ref="R531">iferror(index(dissected_fish!$F:$F,match($A531,dissected_fish!$A:$A,0)))</f>
        <v>BCA104</v>
      </c>
      <c r="S531" s="40" t="str">
        <f t="array" ref="S531">iferror(index(dissected_fish!$K:$K,match($A531,dissected_fish!$A:$A,0)))</f>
        <v>N</v>
      </c>
      <c r="T531" s="61" t="str">
        <f t="array" ref="T531">index(fish_lab_data!O:O,match(A531,fish_lab_data!C:C,0))</f>
        <v>KB</v>
      </c>
      <c r="U531" s="61">
        <f t="array" ref="U531">if(A531="","",index(fish_lab_data!X:X,match(A531,fish_lab_data!C:C,0)))</f>
        <v>530</v>
      </c>
    </row>
    <row r="532">
      <c r="A532" t="str">
        <f>fish_lab_data!C532</f>
        <v>U16159</v>
      </c>
      <c r="B532" t="str">
        <f t="array" ref="B532">iferror(index('rna-muscle'!$I:$I,match($A532,'rna-muscle'!$A:$A,0)))</f>
        <v>BRN67M-F12</v>
      </c>
      <c r="C532" t="str">
        <f t="array" ref="C532">iferror(index('rna-muscle'!$L:$L,match($A532,'rna-muscle'!$A:$A,0)))</f>
        <v>N</v>
      </c>
      <c r="D532" t="str">
        <f t="array" ref="D532">iferror(index('rna-gill'!$I:$I,match($A532,'rna-gill'!$A:$A,0)))</f>
        <v>BRN67G-F12</v>
      </c>
      <c r="E532" t="str">
        <f t="array" ref="E532">iferror(index('rna-gill'!$L:$L,match($A532,'rna-gill'!$A:$A,0)))</f>
        <v>N</v>
      </c>
      <c r="F532" t="str">
        <f t="array" ref="F532">iferror(index(fatty_acid!$G:$G,match($A532,fatty_acid!$A:$A,0)))</f>
        <v>BFA26-42</v>
      </c>
      <c r="G532" t="str">
        <f t="array" ref="G532">iferror(index(fatty_acid!$J:$J,match($A532,fatty_acid!$A:$A,0)))</f>
        <v>N</v>
      </c>
      <c r="H532" t="str">
        <f t="array" ref="H532">iferror(index(isotopes!$G:$G,match($A532,isotopes!$A:$A,0)))</f>
        <v>BIS29-42</v>
      </c>
      <c r="I532" t="str">
        <f t="array" ref="I532">iferror(index(isotopes!$J:$J,match($A532,isotopes!$A:$A,0)))</f>
        <v>N</v>
      </c>
      <c r="J532" t="str">
        <f t="array" ref="J532">iferror(index(extra_muscle!$G:$G,match($A532,extra_muscle!$A:$A,0)))</f>
        <v>BXM27-42</v>
      </c>
      <c r="K532" t="str">
        <f t="array" ref="K532">iferror(index(extra_muscle!$J:$J,match($A532,extra_muscle!$A:$A,0)))</f>
        <v>N</v>
      </c>
      <c r="L532" s="59" t="str">
        <f t="array" ref="L532">iferror(index(dna!$G:$G,match($A532,dna!$A:$A,0)))</f>
        <v/>
      </c>
      <c r="M532" s="60" t="str">
        <f t="array" ref="M532">iferror(index(dna!$J:$J,match($A532,dna!$A:$A,0)))</f>
        <v/>
      </c>
      <c r="N532" t="str">
        <f t="array" ref="N532">iferror(index(stomachs!$G:$G,match($A532,stomachs!$A:$A,0)))</f>
        <v/>
      </c>
      <c r="O532" t="str">
        <f t="array" ref="O532">iferror(index(stomachs!$J:$J,match($A532,stomachs!$A:$A,0)))</f>
        <v/>
      </c>
      <c r="P532" t="str">
        <f t="array" ref="P532">iferror(index(sea_lice!$G:$G,match($A532,sea_lice!$A:$A,0)))</f>
        <v/>
      </c>
      <c r="Q532" t="str">
        <f t="array" ref="Q532">iferror(index(sea_lice!$J:$J,match($A532,sea_lice!$A:$A,0)))</f>
        <v/>
      </c>
      <c r="R532" s="40" t="str">
        <f t="array" ref="R532">iferror(index(dissected_fish!$F:$F,match($A532,dissected_fish!$A:$A,0)))</f>
        <v>BCA104</v>
      </c>
      <c r="S532" s="40" t="str">
        <f t="array" ref="S532">iferror(index(dissected_fish!$K:$K,match($A532,dissected_fish!$A:$A,0)))</f>
        <v>N</v>
      </c>
      <c r="T532" s="61" t="str">
        <f t="array" ref="T532">index(fish_lab_data!O:O,match(A532,fish_lab_data!C:C,0))</f>
        <v>KB</v>
      </c>
      <c r="U532" s="61">
        <f t="array" ref="U532">if(A532="","",index(fish_lab_data!X:X,match(A532,fish_lab_data!C:C,0)))</f>
        <v>531</v>
      </c>
    </row>
    <row r="533">
      <c r="A533" t="str">
        <f>fish_lab_data!C533</f>
        <v>U16152</v>
      </c>
      <c r="B533" t="str">
        <f t="array" ref="B533">iferror(index('rna-muscle'!$I:$I,match($A533,'rna-muscle'!$A:$A,0)))</f>
        <v>BRN67M-E12</v>
      </c>
      <c r="C533" t="str">
        <f t="array" ref="C533">iferror(index('rna-muscle'!$L:$L,match($A533,'rna-muscle'!$A:$A,0)))</f>
        <v>N</v>
      </c>
      <c r="D533" t="str">
        <f t="array" ref="D533">iferror(index('rna-gill'!$I:$I,match($A533,'rna-gill'!$A:$A,0)))</f>
        <v>BRN67G-E12</v>
      </c>
      <c r="E533" t="str">
        <f t="array" ref="E533">iferror(index('rna-gill'!$L:$L,match($A533,'rna-gill'!$A:$A,0)))</f>
        <v>N</v>
      </c>
      <c r="F533" t="str">
        <f t="array" ref="F533">iferror(index(fatty_acid!$G:$G,match($A533,fatty_acid!$A:$A,0)))</f>
        <v>BFA26-43</v>
      </c>
      <c r="G533" t="str">
        <f t="array" ref="G533">iferror(index(fatty_acid!$J:$J,match($A533,fatty_acid!$A:$A,0)))</f>
        <v>N</v>
      </c>
      <c r="H533" t="str">
        <f t="array" ref="H533">iferror(index(isotopes!$G:$G,match($A533,isotopes!$A:$A,0)))</f>
        <v>BIS29-43</v>
      </c>
      <c r="I533" t="str">
        <f t="array" ref="I533">iferror(index(isotopes!$J:$J,match($A533,isotopes!$A:$A,0)))</f>
        <v>N</v>
      </c>
      <c r="J533" t="str">
        <f t="array" ref="J533">iferror(index(extra_muscle!$G:$G,match($A533,extra_muscle!$A:$A,0)))</f>
        <v>BXM27-43</v>
      </c>
      <c r="K533" t="str">
        <f t="array" ref="K533">iferror(index(extra_muscle!$J:$J,match($A533,extra_muscle!$A:$A,0)))</f>
        <v>N</v>
      </c>
      <c r="L533" s="59" t="str">
        <f t="array" ref="L533">iferror(index(dna!$G:$G,match($A533,dna!$A:$A,0)))</f>
        <v/>
      </c>
      <c r="M533" s="60" t="str">
        <f t="array" ref="M533">iferror(index(dna!$J:$J,match($A533,dna!$A:$A,0)))</f>
        <v/>
      </c>
      <c r="N533" t="str">
        <f t="array" ref="N533">iferror(index(stomachs!$G:$G,match($A533,stomachs!$A:$A,0)))</f>
        <v/>
      </c>
      <c r="O533" t="str">
        <f t="array" ref="O533">iferror(index(stomachs!$J:$J,match($A533,stomachs!$A:$A,0)))</f>
        <v/>
      </c>
      <c r="P533" t="str">
        <f t="array" ref="P533">iferror(index(sea_lice!$G:$G,match($A533,sea_lice!$A:$A,0)))</f>
        <v/>
      </c>
      <c r="Q533" t="str">
        <f t="array" ref="Q533">iferror(index(sea_lice!$J:$J,match($A533,sea_lice!$A:$A,0)))</f>
        <v/>
      </c>
      <c r="R533" s="40" t="str">
        <f t="array" ref="R533">iferror(index(dissected_fish!$F:$F,match($A533,dissected_fish!$A:$A,0)))</f>
        <v>BCA104</v>
      </c>
      <c r="S533" s="40" t="str">
        <f t="array" ref="S533">iferror(index(dissected_fish!$K:$K,match($A533,dissected_fish!$A:$A,0)))</f>
        <v>N</v>
      </c>
      <c r="T533" s="61" t="str">
        <f t="array" ref="T533">index(fish_lab_data!O:O,match(A533,fish_lab_data!C:C,0))</f>
        <v>KB</v>
      </c>
      <c r="U533" s="61">
        <f t="array" ref="U533">if(A533="","",index(fish_lab_data!X:X,match(A533,fish_lab_data!C:C,0)))</f>
        <v>532</v>
      </c>
    </row>
    <row r="534">
      <c r="A534" t="str">
        <f>fish_lab_data!C534</f>
        <v>U16160</v>
      </c>
      <c r="B534" t="str">
        <f t="array" ref="B534">iferror(index('rna-muscle'!$I:$I,match($A534,'rna-muscle'!$A:$A,0)))</f>
        <v>BRN67M-D12</v>
      </c>
      <c r="C534" t="str">
        <f t="array" ref="C534">iferror(index('rna-muscle'!$L:$L,match($A534,'rna-muscle'!$A:$A,0)))</f>
        <v>N</v>
      </c>
      <c r="D534" t="str">
        <f t="array" ref="D534">iferror(index('rna-gill'!$I:$I,match($A534,'rna-gill'!$A:$A,0)))</f>
        <v>BRN67G-D12</v>
      </c>
      <c r="E534" t="str">
        <f t="array" ref="E534">iferror(index('rna-gill'!$L:$L,match($A534,'rna-gill'!$A:$A,0)))</f>
        <v>N</v>
      </c>
      <c r="F534" t="str">
        <f t="array" ref="F534">iferror(index(fatty_acid!$G:$G,match($A534,fatty_acid!$A:$A,0)))</f>
        <v>BFA26-44</v>
      </c>
      <c r="G534" t="str">
        <f t="array" ref="G534">iferror(index(fatty_acid!$J:$J,match($A534,fatty_acid!$A:$A,0)))</f>
        <v>N</v>
      </c>
      <c r="H534" t="str">
        <f t="array" ref="H534">iferror(index(isotopes!$G:$G,match($A534,isotopes!$A:$A,0)))</f>
        <v>BIS29-44</v>
      </c>
      <c r="I534" t="str">
        <f t="array" ref="I534">iferror(index(isotopes!$J:$J,match($A534,isotopes!$A:$A,0)))</f>
        <v>N</v>
      </c>
      <c r="J534" t="str">
        <f t="array" ref="J534">iferror(index(extra_muscle!$G:$G,match($A534,extra_muscle!$A:$A,0)))</f>
        <v>BXM27-44</v>
      </c>
      <c r="K534" t="str">
        <f t="array" ref="K534">iferror(index(extra_muscle!$J:$J,match($A534,extra_muscle!$A:$A,0)))</f>
        <v>N</v>
      </c>
      <c r="L534" s="59" t="str">
        <f t="array" ref="L534">iferror(index(dna!$G:$G,match($A534,dna!$A:$A,0)))</f>
        <v/>
      </c>
      <c r="M534" s="60" t="str">
        <f t="array" ref="M534">iferror(index(dna!$J:$J,match($A534,dna!$A:$A,0)))</f>
        <v/>
      </c>
      <c r="N534" t="str">
        <f t="array" ref="N534">iferror(index(stomachs!$G:$G,match($A534,stomachs!$A:$A,0)))</f>
        <v/>
      </c>
      <c r="O534" t="str">
        <f t="array" ref="O534">iferror(index(stomachs!$J:$J,match($A534,stomachs!$A:$A,0)))</f>
        <v/>
      </c>
      <c r="P534" t="str">
        <f t="array" ref="P534">iferror(index(sea_lice!$G:$G,match($A534,sea_lice!$A:$A,0)))</f>
        <v/>
      </c>
      <c r="Q534" t="str">
        <f t="array" ref="Q534">iferror(index(sea_lice!$J:$J,match($A534,sea_lice!$A:$A,0)))</f>
        <v/>
      </c>
      <c r="R534" s="40" t="str">
        <f t="array" ref="R534">iferror(index(dissected_fish!$F:$F,match($A534,dissected_fish!$A:$A,0)))</f>
        <v>BCA104</v>
      </c>
      <c r="S534" s="40" t="str">
        <f t="array" ref="S534">iferror(index(dissected_fish!$K:$K,match($A534,dissected_fish!$A:$A,0)))</f>
        <v>N</v>
      </c>
      <c r="T534" s="61" t="str">
        <f t="array" ref="T534">index(fish_lab_data!O:O,match(A534,fish_lab_data!C:C,0))</f>
        <v>KB</v>
      </c>
      <c r="U534" s="61">
        <f t="array" ref="U534">if(A534="","",index(fish_lab_data!X:X,match(A534,fish_lab_data!C:C,0)))</f>
        <v>533</v>
      </c>
    </row>
    <row r="535">
      <c r="A535" t="str">
        <f>fish_lab_data!C535</f>
        <v>U16153</v>
      </c>
      <c r="B535" t="str">
        <f t="array" ref="B535">iferror(index('rna-muscle'!$I:$I,match($A535,'rna-muscle'!$A:$A,0)))</f>
        <v>BRN67M-C12</v>
      </c>
      <c r="C535" t="str">
        <f t="array" ref="C535">iferror(index('rna-muscle'!$L:$L,match($A535,'rna-muscle'!$A:$A,0)))</f>
        <v>N</v>
      </c>
      <c r="D535" t="str">
        <f t="array" ref="D535">iferror(index('rna-gill'!$I:$I,match($A535,'rna-gill'!$A:$A,0)))</f>
        <v>BRN67G-C12</v>
      </c>
      <c r="E535" t="str">
        <f t="array" ref="E535">iferror(index('rna-gill'!$L:$L,match($A535,'rna-gill'!$A:$A,0)))</f>
        <v>N</v>
      </c>
      <c r="F535" t="str">
        <f t="array" ref="F535">iferror(index(fatty_acid!$G:$G,match($A535,fatty_acid!$A:$A,0)))</f>
        <v>BFA26-45</v>
      </c>
      <c r="G535" t="str">
        <f t="array" ref="G535">iferror(index(fatty_acid!$J:$J,match($A535,fatty_acid!$A:$A,0)))</f>
        <v>N</v>
      </c>
      <c r="H535" t="str">
        <f t="array" ref="H535">iferror(index(isotopes!$G:$G,match($A535,isotopes!$A:$A,0)))</f>
        <v>BIS29-45</v>
      </c>
      <c r="I535" t="str">
        <f t="array" ref="I535">iferror(index(isotopes!$J:$J,match($A535,isotopes!$A:$A,0)))</f>
        <v>N</v>
      </c>
      <c r="J535" t="str">
        <f t="array" ref="J535">iferror(index(extra_muscle!$G:$G,match($A535,extra_muscle!$A:$A,0)))</f>
        <v>BXM27-45</v>
      </c>
      <c r="K535" t="str">
        <f t="array" ref="K535">iferror(index(extra_muscle!$J:$J,match($A535,extra_muscle!$A:$A,0)))</f>
        <v>N</v>
      </c>
      <c r="L535" s="59" t="str">
        <f t="array" ref="L535">iferror(index(dna!$G:$G,match($A535,dna!$A:$A,0)))</f>
        <v/>
      </c>
      <c r="M535" s="60" t="str">
        <f t="array" ref="M535">iferror(index(dna!$J:$J,match($A535,dna!$A:$A,0)))</f>
        <v/>
      </c>
      <c r="N535" t="str">
        <f t="array" ref="N535">iferror(index(stomachs!$G:$G,match($A535,stomachs!$A:$A,0)))</f>
        <v/>
      </c>
      <c r="O535" t="str">
        <f t="array" ref="O535">iferror(index(stomachs!$J:$J,match($A535,stomachs!$A:$A,0)))</f>
        <v/>
      </c>
      <c r="P535" t="str">
        <f t="array" ref="P535">iferror(index(sea_lice!$G:$G,match($A535,sea_lice!$A:$A,0)))</f>
        <v/>
      </c>
      <c r="Q535" t="str">
        <f t="array" ref="Q535">iferror(index(sea_lice!$J:$J,match($A535,sea_lice!$A:$A,0)))</f>
        <v/>
      </c>
      <c r="R535" s="40" t="str">
        <f t="array" ref="R535">iferror(index(dissected_fish!$F:$F,match($A535,dissected_fish!$A:$A,0)))</f>
        <v>BCA104</v>
      </c>
      <c r="S535" s="40" t="str">
        <f t="array" ref="S535">iferror(index(dissected_fish!$K:$K,match($A535,dissected_fish!$A:$A,0)))</f>
        <v>N</v>
      </c>
      <c r="T535" s="61" t="str">
        <f t="array" ref="T535">index(fish_lab_data!O:O,match(A535,fish_lab_data!C:C,0))</f>
        <v>KB</v>
      </c>
      <c r="U535" s="61">
        <f t="array" ref="U535">if(A535="","",index(fish_lab_data!X:X,match(A535,fish_lab_data!C:C,0)))</f>
        <v>534</v>
      </c>
    </row>
    <row r="536">
      <c r="A536" t="str">
        <f>fish_lab_data!C536</f>
        <v>U16156</v>
      </c>
      <c r="B536" t="str">
        <f t="array" ref="B536">iferror(index('rna-muscle'!$I:$I,match($A536,'rna-muscle'!$A:$A,0)))</f>
        <v>BRN67M-B12</v>
      </c>
      <c r="C536" t="str">
        <f t="array" ref="C536">iferror(index('rna-muscle'!$L:$L,match($A536,'rna-muscle'!$A:$A,0)))</f>
        <v>N</v>
      </c>
      <c r="D536" t="str">
        <f t="array" ref="D536">iferror(index('rna-gill'!$I:$I,match($A536,'rna-gill'!$A:$A,0)))</f>
        <v>BRN67G-B12</v>
      </c>
      <c r="E536" t="str">
        <f t="array" ref="E536">iferror(index('rna-gill'!$L:$L,match($A536,'rna-gill'!$A:$A,0)))</f>
        <v>N</v>
      </c>
      <c r="F536" t="str">
        <f t="array" ref="F536">iferror(index(fatty_acid!$G:$G,match($A536,fatty_acid!$A:$A,0)))</f>
        <v>BFA26-46</v>
      </c>
      <c r="G536" t="str">
        <f t="array" ref="G536">iferror(index(fatty_acid!$J:$J,match($A536,fatty_acid!$A:$A,0)))</f>
        <v>N</v>
      </c>
      <c r="H536" t="str">
        <f t="array" ref="H536">iferror(index(isotopes!$G:$G,match($A536,isotopes!$A:$A,0)))</f>
        <v>BIS29-46</v>
      </c>
      <c r="I536" t="str">
        <f t="array" ref="I536">iferror(index(isotopes!$J:$J,match($A536,isotopes!$A:$A,0)))</f>
        <v>N</v>
      </c>
      <c r="J536" t="str">
        <f t="array" ref="J536">iferror(index(extra_muscle!$G:$G,match($A536,extra_muscle!$A:$A,0)))</f>
        <v>BXM27-46</v>
      </c>
      <c r="K536" t="str">
        <f t="array" ref="K536">iferror(index(extra_muscle!$J:$J,match($A536,extra_muscle!$A:$A,0)))</f>
        <v>N</v>
      </c>
      <c r="L536" s="59" t="str">
        <f t="array" ref="L536">iferror(index(dna!$G:$G,match($A536,dna!$A:$A,0)))</f>
        <v/>
      </c>
      <c r="M536" s="60" t="str">
        <f t="array" ref="M536">iferror(index(dna!$J:$J,match($A536,dna!$A:$A,0)))</f>
        <v/>
      </c>
      <c r="N536" t="str">
        <f t="array" ref="N536">iferror(index(stomachs!$G:$G,match($A536,stomachs!$A:$A,0)))</f>
        <v/>
      </c>
      <c r="O536" t="str">
        <f t="array" ref="O536">iferror(index(stomachs!$J:$J,match($A536,stomachs!$A:$A,0)))</f>
        <v/>
      </c>
      <c r="P536" t="str">
        <f t="array" ref="P536">iferror(index(sea_lice!$G:$G,match($A536,sea_lice!$A:$A,0)))</f>
        <v/>
      </c>
      <c r="Q536" t="str">
        <f t="array" ref="Q536">iferror(index(sea_lice!$J:$J,match($A536,sea_lice!$A:$A,0)))</f>
        <v/>
      </c>
      <c r="R536" s="40" t="str">
        <f t="array" ref="R536">iferror(index(dissected_fish!$F:$F,match($A536,dissected_fish!$A:$A,0)))</f>
        <v>BCA104</v>
      </c>
      <c r="S536" s="40" t="str">
        <f t="array" ref="S536">iferror(index(dissected_fish!$K:$K,match($A536,dissected_fish!$A:$A,0)))</f>
        <v>N</v>
      </c>
      <c r="T536" s="61" t="str">
        <f t="array" ref="T536">index(fish_lab_data!O:O,match(A536,fish_lab_data!C:C,0))</f>
        <v>KB</v>
      </c>
      <c r="U536" s="61">
        <f t="array" ref="U536">if(A536="","",index(fish_lab_data!X:X,match(A536,fish_lab_data!C:C,0)))</f>
        <v>535</v>
      </c>
    </row>
    <row r="537">
      <c r="A537" t="str">
        <f>fish_lab_data!C537</f>
        <v>U16155</v>
      </c>
      <c r="B537" t="str">
        <f t="array" ref="B537">iferror(index('rna-muscle'!$I:$I,match($A537,'rna-muscle'!$A:$A,0)))</f>
        <v>BRN67M-A12</v>
      </c>
      <c r="C537" t="str">
        <f t="array" ref="C537">iferror(index('rna-muscle'!$L:$L,match($A537,'rna-muscle'!$A:$A,0)))</f>
        <v>N</v>
      </c>
      <c r="D537" t="str">
        <f t="array" ref="D537">iferror(index('rna-gill'!$I:$I,match($A537,'rna-gill'!$A:$A,0)))</f>
        <v>BRN67G-A12</v>
      </c>
      <c r="E537" t="str">
        <f t="array" ref="E537">iferror(index('rna-gill'!$L:$L,match($A537,'rna-gill'!$A:$A,0)))</f>
        <v>N</v>
      </c>
      <c r="F537" t="str">
        <f t="array" ref="F537">iferror(index(fatty_acid!$G:$G,match($A537,fatty_acid!$A:$A,0)))</f>
        <v>BFA26-47</v>
      </c>
      <c r="G537" t="str">
        <f t="array" ref="G537">iferror(index(fatty_acid!$J:$J,match($A537,fatty_acid!$A:$A,0)))</f>
        <v>N</v>
      </c>
      <c r="H537" t="str">
        <f t="array" ref="H537">iferror(index(isotopes!$G:$G,match($A537,isotopes!$A:$A,0)))</f>
        <v>BIS29-47</v>
      </c>
      <c r="I537" t="str">
        <f t="array" ref="I537">iferror(index(isotopes!$J:$J,match($A537,isotopes!$A:$A,0)))</f>
        <v>N</v>
      </c>
      <c r="J537" t="str">
        <f t="array" ref="J537">iferror(index(extra_muscle!$G:$G,match($A537,extra_muscle!$A:$A,0)))</f>
        <v>BXM27-47</v>
      </c>
      <c r="K537" t="str">
        <f t="array" ref="K537">iferror(index(extra_muscle!$J:$J,match($A537,extra_muscle!$A:$A,0)))</f>
        <v>N</v>
      </c>
      <c r="L537" s="59" t="str">
        <f t="array" ref="L537">iferror(index(dna!$G:$G,match($A537,dna!$A:$A,0)))</f>
        <v/>
      </c>
      <c r="M537" s="60" t="str">
        <f t="array" ref="M537">iferror(index(dna!$J:$J,match($A537,dna!$A:$A,0)))</f>
        <v/>
      </c>
      <c r="N537" t="str">
        <f t="array" ref="N537">iferror(index(stomachs!$G:$G,match($A537,stomachs!$A:$A,0)))</f>
        <v/>
      </c>
      <c r="O537" t="str">
        <f t="array" ref="O537">iferror(index(stomachs!$J:$J,match($A537,stomachs!$A:$A,0)))</f>
        <v/>
      </c>
      <c r="P537" t="str">
        <f t="array" ref="P537">iferror(index(sea_lice!$G:$G,match($A537,sea_lice!$A:$A,0)))</f>
        <v/>
      </c>
      <c r="Q537" t="str">
        <f t="array" ref="Q537">iferror(index(sea_lice!$J:$J,match($A537,sea_lice!$A:$A,0)))</f>
        <v/>
      </c>
      <c r="R537" s="40" t="str">
        <f t="array" ref="R537">iferror(index(dissected_fish!$F:$F,match($A537,dissected_fish!$A:$A,0)))</f>
        <v>BCA104</v>
      </c>
      <c r="S537" s="40" t="str">
        <f t="array" ref="S537">iferror(index(dissected_fish!$K:$K,match($A537,dissected_fish!$A:$A,0)))</f>
        <v>N</v>
      </c>
      <c r="T537" s="61" t="str">
        <f t="array" ref="T537">index(fish_lab_data!O:O,match(A537,fish_lab_data!C:C,0))</f>
        <v>KB</v>
      </c>
      <c r="U537" s="61">
        <f t="array" ref="U537">if(A537="","",index(fish_lab_data!X:X,match(A537,fish_lab_data!C:C,0)))</f>
        <v>536</v>
      </c>
    </row>
    <row r="538">
      <c r="A538" t="str">
        <f>fish_lab_data!C538</f>
        <v>U16154</v>
      </c>
      <c r="B538" t="str">
        <f t="array" ref="B538">iferror(index('rna-muscle'!$I:$I,match($A538,'rna-muscle'!$A:$A,0)))</f>
        <v>BRN68M-H1</v>
      </c>
      <c r="C538" t="str">
        <f t="array" ref="C538">iferror(index('rna-muscle'!$L:$L,match($A538,'rna-muscle'!$A:$A,0)))</f>
        <v>N</v>
      </c>
      <c r="D538" t="str">
        <f t="array" ref="D538">iferror(index('rna-gill'!$I:$I,match($A538,'rna-gill'!$A:$A,0)))</f>
        <v>BRN68G-H1</v>
      </c>
      <c r="E538" t="str">
        <f t="array" ref="E538">iferror(index('rna-gill'!$L:$L,match($A538,'rna-gill'!$A:$A,0)))</f>
        <v>N</v>
      </c>
      <c r="F538" t="str">
        <f t="array" ref="F538">iferror(index(fatty_acid!$G:$G,match($A538,fatty_acid!$A:$A,0)))</f>
        <v>BFA26-48</v>
      </c>
      <c r="G538" t="str">
        <f t="array" ref="G538">iferror(index(fatty_acid!$J:$J,match($A538,fatty_acid!$A:$A,0)))</f>
        <v>N</v>
      </c>
      <c r="H538" t="str">
        <f t="array" ref="H538">iferror(index(isotopes!$G:$G,match($A538,isotopes!$A:$A,0)))</f>
        <v>BIS29-48</v>
      </c>
      <c r="I538" t="str">
        <f t="array" ref="I538">iferror(index(isotopes!$J:$J,match($A538,isotopes!$A:$A,0)))</f>
        <v>N</v>
      </c>
      <c r="J538" t="str">
        <f t="array" ref="J538">iferror(index(extra_muscle!$G:$G,match($A538,extra_muscle!$A:$A,0)))</f>
        <v>BXM27-48</v>
      </c>
      <c r="K538" t="str">
        <f t="array" ref="K538">iferror(index(extra_muscle!$J:$J,match($A538,extra_muscle!$A:$A,0)))</f>
        <v>N</v>
      </c>
      <c r="L538" s="59" t="str">
        <f t="array" ref="L538">iferror(index(dna!$G:$G,match($A538,dna!$A:$A,0)))</f>
        <v/>
      </c>
      <c r="M538" s="60" t="str">
        <f t="array" ref="M538">iferror(index(dna!$J:$J,match($A538,dna!$A:$A,0)))</f>
        <v/>
      </c>
      <c r="N538" t="str">
        <f t="array" ref="N538">iferror(index(stomachs!$G:$G,match($A538,stomachs!$A:$A,0)))</f>
        <v/>
      </c>
      <c r="O538" t="str">
        <f t="array" ref="O538">iferror(index(stomachs!$J:$J,match($A538,stomachs!$A:$A,0)))</f>
        <v/>
      </c>
      <c r="P538" t="str">
        <f t="array" ref="P538">iferror(index(sea_lice!$G:$G,match($A538,sea_lice!$A:$A,0)))</f>
        <v/>
      </c>
      <c r="Q538" t="str">
        <f t="array" ref="Q538">iferror(index(sea_lice!$J:$J,match($A538,sea_lice!$A:$A,0)))</f>
        <v/>
      </c>
      <c r="R538" s="40" t="str">
        <f t="array" ref="R538">iferror(index(dissected_fish!$F:$F,match($A538,dissected_fish!$A:$A,0)))</f>
        <v>BCA104</v>
      </c>
      <c r="S538" s="40" t="str">
        <f t="array" ref="S538">iferror(index(dissected_fish!$K:$K,match($A538,dissected_fish!$A:$A,0)))</f>
        <v>N</v>
      </c>
      <c r="T538" s="61" t="str">
        <f t="array" ref="T538">index(fish_lab_data!O:O,match(A538,fish_lab_data!C:C,0))</f>
        <v>KB</v>
      </c>
      <c r="U538" s="61">
        <f t="array" ref="U538">if(A538="","",index(fish_lab_data!X:X,match(A538,fish_lab_data!C:C,0)))</f>
        <v>537</v>
      </c>
    </row>
    <row r="539">
      <c r="A539" t="str">
        <f>fish_lab_data!C539</f>
        <v>U16342</v>
      </c>
      <c r="B539" t="str">
        <f t="array" ref="B539">iferror(index('rna-muscle'!$I:$I,match($A539,'rna-muscle'!$A:$A,0)))</f>
        <v>BRN68M-G1</v>
      </c>
      <c r="C539" t="str">
        <f t="array" ref="C539">iferror(index('rna-muscle'!$L:$L,match($A539,'rna-muscle'!$A:$A,0)))</f>
        <v>N</v>
      </c>
      <c r="D539" t="str">
        <f t="array" ref="D539">iferror(index('rna-gill'!$I:$I,match($A539,'rna-gill'!$A:$A,0)))</f>
        <v>BRN68G-G1</v>
      </c>
      <c r="E539" t="str">
        <f t="array" ref="E539">iferror(index('rna-gill'!$L:$L,match($A539,'rna-gill'!$A:$A,0)))</f>
        <v>N</v>
      </c>
      <c r="F539" t="str">
        <f t="array" ref="F539">iferror(index(fatty_acid!$G:$G,match($A539,fatty_acid!$A:$A,0)))</f>
        <v>BFA26-49</v>
      </c>
      <c r="G539" t="str">
        <f t="array" ref="G539">iferror(index(fatty_acid!$J:$J,match($A539,fatty_acid!$A:$A,0)))</f>
        <v>N</v>
      </c>
      <c r="H539" t="str">
        <f t="array" ref="H539">iferror(index(isotopes!$G:$G,match($A539,isotopes!$A:$A,0)))</f>
        <v>BIS29-49</v>
      </c>
      <c r="I539" t="str">
        <f t="array" ref="I539">iferror(index(isotopes!$J:$J,match($A539,isotopes!$A:$A,0)))</f>
        <v>N</v>
      </c>
      <c r="J539" t="str">
        <f t="array" ref="J539">iferror(index(extra_muscle!$G:$G,match($A539,extra_muscle!$A:$A,0)))</f>
        <v>BXM27-49</v>
      </c>
      <c r="K539" t="str">
        <f t="array" ref="K539">iferror(index(extra_muscle!$J:$J,match($A539,extra_muscle!$A:$A,0)))</f>
        <v>N</v>
      </c>
      <c r="L539" s="59" t="str">
        <f t="array" ref="L539">iferror(index(dna!$G:$G,match($A539,dna!$A:$A,0)))</f>
        <v/>
      </c>
      <c r="M539" s="60" t="str">
        <f t="array" ref="M539">iferror(index(dna!$J:$J,match($A539,dna!$A:$A,0)))</f>
        <v/>
      </c>
      <c r="N539" t="str">
        <f t="array" ref="N539">iferror(index(stomachs!$G:$G,match($A539,stomachs!$A:$A,0)))</f>
        <v/>
      </c>
      <c r="O539" t="str">
        <f t="array" ref="O539">iferror(index(stomachs!$J:$J,match($A539,stomachs!$A:$A,0)))</f>
        <v/>
      </c>
      <c r="P539" t="str">
        <f t="array" ref="P539">iferror(index(sea_lice!$G:$G,match($A539,sea_lice!$A:$A,0)))</f>
        <v/>
      </c>
      <c r="Q539" t="str">
        <f t="array" ref="Q539">iferror(index(sea_lice!$J:$J,match($A539,sea_lice!$A:$A,0)))</f>
        <v/>
      </c>
      <c r="R539" s="40" t="str">
        <f t="array" ref="R539">iferror(index(dissected_fish!$F:$F,match($A539,dissected_fish!$A:$A,0)))</f>
        <v>BCA104</v>
      </c>
      <c r="S539" s="40" t="str">
        <f t="array" ref="S539">iferror(index(dissected_fish!$K:$K,match($A539,dissected_fish!$A:$A,0)))</f>
        <v>N</v>
      </c>
      <c r="T539" s="61" t="str">
        <f t="array" ref="T539">index(fish_lab_data!O:O,match(A539,fish_lab_data!C:C,0))</f>
        <v>KB</v>
      </c>
      <c r="U539" s="61">
        <f t="array" ref="U539">if(A539="","",index(fish_lab_data!X:X,match(A539,fish_lab_data!C:C,0)))</f>
        <v>538</v>
      </c>
    </row>
    <row r="540">
      <c r="A540" t="str">
        <f>fish_lab_data!C540</f>
        <v>U16350</v>
      </c>
      <c r="B540" t="str">
        <f t="array" ref="B540">iferror(index('rna-muscle'!$I:$I,match($A540,'rna-muscle'!$A:$A,0)))</f>
        <v>BRN68M-F1</v>
      </c>
      <c r="C540" t="str">
        <f t="array" ref="C540">iferror(index('rna-muscle'!$L:$L,match($A540,'rna-muscle'!$A:$A,0)))</f>
        <v>N</v>
      </c>
      <c r="D540" t="str">
        <f t="array" ref="D540">iferror(index('rna-gill'!$I:$I,match($A540,'rna-gill'!$A:$A,0)))</f>
        <v>BRN68G-F1</v>
      </c>
      <c r="E540" t="str">
        <f t="array" ref="E540">iferror(index('rna-gill'!$L:$L,match($A540,'rna-gill'!$A:$A,0)))</f>
        <v>N</v>
      </c>
      <c r="F540" t="str">
        <f t="array" ref="F540">iferror(index(fatty_acid!$G:$G,match($A540,fatty_acid!$A:$A,0)))</f>
        <v>BFA26-50</v>
      </c>
      <c r="G540" t="str">
        <f t="array" ref="G540">iferror(index(fatty_acid!$J:$J,match($A540,fatty_acid!$A:$A,0)))</f>
        <v>N</v>
      </c>
      <c r="H540" t="str">
        <f t="array" ref="H540">iferror(index(isotopes!$G:$G,match($A540,isotopes!$A:$A,0)))</f>
        <v>BIS29-50</v>
      </c>
      <c r="I540" t="str">
        <f t="array" ref="I540">iferror(index(isotopes!$J:$J,match($A540,isotopes!$A:$A,0)))</f>
        <v>N</v>
      </c>
      <c r="J540" t="str">
        <f t="array" ref="J540">iferror(index(extra_muscle!$G:$G,match($A540,extra_muscle!$A:$A,0)))</f>
        <v>BXM27-50</v>
      </c>
      <c r="K540" t="str">
        <f t="array" ref="K540">iferror(index(extra_muscle!$J:$J,match($A540,extra_muscle!$A:$A,0)))</f>
        <v>N</v>
      </c>
      <c r="L540" s="59" t="str">
        <f t="array" ref="L540">iferror(index(dna!$G:$G,match($A540,dna!$A:$A,0)))</f>
        <v/>
      </c>
      <c r="M540" s="60" t="str">
        <f t="array" ref="M540">iferror(index(dna!$J:$J,match($A540,dna!$A:$A,0)))</f>
        <v/>
      </c>
      <c r="N540" t="str">
        <f t="array" ref="N540">iferror(index(stomachs!$G:$G,match($A540,stomachs!$A:$A,0)))</f>
        <v/>
      </c>
      <c r="O540" t="str">
        <f t="array" ref="O540">iferror(index(stomachs!$J:$J,match($A540,stomachs!$A:$A,0)))</f>
        <v/>
      </c>
      <c r="P540" t="str">
        <f t="array" ref="P540">iferror(index(sea_lice!$G:$G,match($A540,sea_lice!$A:$A,0)))</f>
        <v/>
      </c>
      <c r="Q540" t="str">
        <f t="array" ref="Q540">iferror(index(sea_lice!$J:$J,match($A540,sea_lice!$A:$A,0)))</f>
        <v/>
      </c>
      <c r="R540" s="40" t="str">
        <f t="array" ref="R540">iferror(index(dissected_fish!$F:$F,match($A540,dissected_fish!$A:$A,0)))</f>
        <v>BCA104</v>
      </c>
      <c r="S540" s="40" t="str">
        <f t="array" ref="S540">iferror(index(dissected_fish!$K:$K,match($A540,dissected_fish!$A:$A,0)))</f>
        <v>N</v>
      </c>
      <c r="T540" s="61" t="str">
        <f t="array" ref="T540">index(fish_lab_data!O:O,match(A540,fish_lab_data!C:C,0))</f>
        <v>KB</v>
      </c>
      <c r="U540" s="61">
        <f t="array" ref="U540">if(A540="","",index(fish_lab_data!X:X,match(A540,fish_lab_data!C:C,0)))</f>
        <v>539</v>
      </c>
    </row>
    <row r="541">
      <c r="A541" t="str">
        <f>fish_lab_data!C541</f>
        <v>U16344</v>
      </c>
      <c r="B541" t="str">
        <f t="array" ref="B541">iferror(index('rna-muscle'!$I:$I,match($A541,'rna-muscle'!$A:$A,0)))</f>
        <v>BRN68M-E1</v>
      </c>
      <c r="C541" t="str">
        <f t="array" ref="C541">iferror(index('rna-muscle'!$L:$L,match($A541,'rna-muscle'!$A:$A,0)))</f>
        <v>N</v>
      </c>
      <c r="D541" t="str">
        <f t="array" ref="D541">iferror(index('rna-gill'!$I:$I,match($A541,'rna-gill'!$A:$A,0)))</f>
        <v>BRN68G-E1</v>
      </c>
      <c r="E541" t="str">
        <f t="array" ref="E541">iferror(index('rna-gill'!$L:$L,match($A541,'rna-gill'!$A:$A,0)))</f>
        <v>N</v>
      </c>
      <c r="F541" t="str">
        <f t="array" ref="F541">iferror(index(fatty_acid!$G:$G,match($A541,fatty_acid!$A:$A,0)))</f>
        <v>BFA26-51</v>
      </c>
      <c r="G541" t="str">
        <f t="array" ref="G541">iferror(index(fatty_acid!$J:$J,match($A541,fatty_acid!$A:$A,0)))</f>
        <v>N</v>
      </c>
      <c r="H541" t="str">
        <f t="array" ref="H541">iferror(index(isotopes!$G:$G,match($A541,isotopes!$A:$A,0)))</f>
        <v>BIS29-51</v>
      </c>
      <c r="I541" t="str">
        <f t="array" ref="I541">iferror(index(isotopes!$J:$J,match($A541,isotopes!$A:$A,0)))</f>
        <v>N</v>
      </c>
      <c r="J541" t="str">
        <f t="array" ref="J541">iferror(index(extra_muscle!$G:$G,match($A541,extra_muscle!$A:$A,0)))</f>
        <v>BXM27-51</v>
      </c>
      <c r="K541" t="str">
        <f t="array" ref="K541">iferror(index(extra_muscle!$J:$J,match($A541,extra_muscle!$A:$A,0)))</f>
        <v>N</v>
      </c>
      <c r="L541" s="59" t="str">
        <f t="array" ref="L541">iferror(index(dna!$G:$G,match($A541,dna!$A:$A,0)))</f>
        <v/>
      </c>
      <c r="M541" s="60" t="str">
        <f t="array" ref="M541">iferror(index(dna!$J:$J,match($A541,dna!$A:$A,0)))</f>
        <v/>
      </c>
      <c r="N541" t="str">
        <f t="array" ref="N541">iferror(index(stomachs!$G:$G,match($A541,stomachs!$A:$A,0)))</f>
        <v/>
      </c>
      <c r="O541" t="str">
        <f t="array" ref="O541">iferror(index(stomachs!$J:$J,match($A541,stomachs!$A:$A,0)))</f>
        <v/>
      </c>
      <c r="P541" t="str">
        <f t="array" ref="P541">iferror(index(sea_lice!$G:$G,match($A541,sea_lice!$A:$A,0)))</f>
        <v>BSL6-40</v>
      </c>
      <c r="Q541" t="str">
        <f t="array" ref="Q541">iferror(index(sea_lice!$J:$J,match($A541,sea_lice!$A:$A,0)))</f>
        <v>N</v>
      </c>
      <c r="R541" s="40" t="str">
        <f t="array" ref="R541">iferror(index(dissected_fish!$F:$F,match($A541,dissected_fish!$A:$A,0)))</f>
        <v>BCA104</v>
      </c>
      <c r="S541" s="40" t="str">
        <f t="array" ref="S541">iferror(index(dissected_fish!$K:$K,match($A541,dissected_fish!$A:$A,0)))</f>
        <v>N</v>
      </c>
      <c r="T541" s="61" t="str">
        <f t="array" ref="T541">index(fish_lab_data!O:O,match(A541,fish_lab_data!C:C,0))</f>
        <v>KB</v>
      </c>
      <c r="U541" s="61">
        <f t="array" ref="U541">if(A541="","",index(fish_lab_data!X:X,match(A541,fish_lab_data!C:C,0)))</f>
        <v>540</v>
      </c>
    </row>
    <row r="542">
      <c r="A542" t="str">
        <f>fish_lab_data!C542</f>
        <v>U16341</v>
      </c>
      <c r="B542" t="str">
        <f t="array" ref="B542">iferror(index('rna-muscle'!$I:$I,match($A542,'rna-muscle'!$A:$A,0)))</f>
        <v>BRN68M-D1</v>
      </c>
      <c r="C542" t="str">
        <f t="array" ref="C542">iferror(index('rna-muscle'!$L:$L,match($A542,'rna-muscle'!$A:$A,0)))</f>
        <v>N</v>
      </c>
      <c r="D542" t="str">
        <f t="array" ref="D542">iferror(index('rna-gill'!$I:$I,match($A542,'rna-gill'!$A:$A,0)))</f>
        <v>BRN68G-D1</v>
      </c>
      <c r="E542" t="str">
        <f t="array" ref="E542">iferror(index('rna-gill'!$L:$L,match($A542,'rna-gill'!$A:$A,0)))</f>
        <v>N</v>
      </c>
      <c r="F542" t="str">
        <f t="array" ref="F542">iferror(index(fatty_acid!$G:$G,match($A542,fatty_acid!$A:$A,0)))</f>
        <v>BFA26-52</v>
      </c>
      <c r="G542" t="str">
        <f t="array" ref="G542">iferror(index(fatty_acid!$J:$J,match($A542,fatty_acid!$A:$A,0)))</f>
        <v>N</v>
      </c>
      <c r="H542" t="str">
        <f t="array" ref="H542">iferror(index(isotopes!$G:$G,match($A542,isotopes!$A:$A,0)))</f>
        <v>BIS29-52</v>
      </c>
      <c r="I542" t="str">
        <f t="array" ref="I542">iferror(index(isotopes!$J:$J,match($A542,isotopes!$A:$A,0)))</f>
        <v>N</v>
      </c>
      <c r="J542" t="str">
        <f t="array" ref="J542">iferror(index(extra_muscle!$G:$G,match($A542,extra_muscle!$A:$A,0)))</f>
        <v>BXM27-52</v>
      </c>
      <c r="K542" t="str">
        <f t="array" ref="K542">iferror(index(extra_muscle!$J:$J,match($A542,extra_muscle!$A:$A,0)))</f>
        <v>N</v>
      </c>
      <c r="L542" s="59" t="str">
        <f t="array" ref="L542">iferror(index(dna!$G:$G,match($A542,dna!$A:$A,0)))</f>
        <v/>
      </c>
      <c r="M542" s="60" t="str">
        <f t="array" ref="M542">iferror(index(dna!$J:$J,match($A542,dna!$A:$A,0)))</f>
        <v/>
      </c>
      <c r="N542" t="str">
        <f t="array" ref="N542">iferror(index(stomachs!$G:$G,match($A542,stomachs!$A:$A,0)))</f>
        <v/>
      </c>
      <c r="O542" t="str">
        <f t="array" ref="O542">iferror(index(stomachs!$J:$J,match($A542,stomachs!$A:$A,0)))</f>
        <v/>
      </c>
      <c r="P542" t="str">
        <f t="array" ref="P542">iferror(index(sea_lice!$G:$G,match($A542,sea_lice!$A:$A,0)))</f>
        <v>BSL6-41</v>
      </c>
      <c r="Q542" t="str">
        <f t="array" ref="Q542">iferror(index(sea_lice!$J:$J,match($A542,sea_lice!$A:$A,0)))</f>
        <v>N</v>
      </c>
      <c r="R542" s="40" t="str">
        <f t="array" ref="R542">iferror(index(dissected_fish!$F:$F,match($A542,dissected_fish!$A:$A,0)))</f>
        <v>BCA104</v>
      </c>
      <c r="S542" s="40" t="str">
        <f t="array" ref="S542">iferror(index(dissected_fish!$K:$K,match($A542,dissected_fish!$A:$A,0)))</f>
        <v>N</v>
      </c>
      <c r="T542" s="61" t="str">
        <f t="array" ref="T542">index(fish_lab_data!O:O,match(A542,fish_lab_data!C:C,0))</f>
        <v>KB</v>
      </c>
      <c r="U542" s="61">
        <f t="array" ref="U542">if(A542="","",index(fish_lab_data!X:X,match(A542,fish_lab_data!C:C,0)))</f>
        <v>541</v>
      </c>
    </row>
    <row r="543">
      <c r="A543" t="str">
        <f>fish_lab_data!C543</f>
        <v>U16343</v>
      </c>
      <c r="B543" t="str">
        <f t="array" ref="B543">iferror(index('rna-muscle'!$I:$I,match($A543,'rna-muscle'!$A:$A,0)))</f>
        <v>BRN68M-C1</v>
      </c>
      <c r="C543" t="str">
        <f t="array" ref="C543">iferror(index('rna-muscle'!$L:$L,match($A543,'rna-muscle'!$A:$A,0)))</f>
        <v>N</v>
      </c>
      <c r="D543" t="str">
        <f t="array" ref="D543">iferror(index('rna-gill'!$I:$I,match($A543,'rna-gill'!$A:$A,0)))</f>
        <v>BRN68G-C1</v>
      </c>
      <c r="E543" t="str">
        <f t="array" ref="E543">iferror(index('rna-gill'!$L:$L,match($A543,'rna-gill'!$A:$A,0)))</f>
        <v>N</v>
      </c>
      <c r="F543" t="str">
        <f t="array" ref="F543">iferror(index(fatty_acid!$G:$G,match($A543,fatty_acid!$A:$A,0)))</f>
        <v>BFA26-53</v>
      </c>
      <c r="G543" t="str">
        <f t="array" ref="G543">iferror(index(fatty_acid!$J:$J,match($A543,fatty_acid!$A:$A,0)))</f>
        <v>N</v>
      </c>
      <c r="H543" t="str">
        <f t="array" ref="H543">iferror(index(isotopes!$G:$G,match($A543,isotopes!$A:$A,0)))</f>
        <v>BIS29-53</v>
      </c>
      <c r="I543" t="str">
        <f t="array" ref="I543">iferror(index(isotopes!$J:$J,match($A543,isotopes!$A:$A,0)))</f>
        <v>N</v>
      </c>
      <c r="J543" t="str">
        <f t="array" ref="J543">iferror(index(extra_muscle!$G:$G,match($A543,extra_muscle!$A:$A,0)))</f>
        <v>BXM27-53</v>
      </c>
      <c r="K543" t="str">
        <f t="array" ref="K543">iferror(index(extra_muscle!$J:$J,match($A543,extra_muscle!$A:$A,0)))</f>
        <v>N</v>
      </c>
      <c r="L543" s="59" t="str">
        <f t="array" ref="L543">iferror(index(dna!$G:$G,match($A543,dna!$A:$A,0)))</f>
        <v/>
      </c>
      <c r="M543" s="60" t="str">
        <f t="array" ref="M543">iferror(index(dna!$J:$J,match($A543,dna!$A:$A,0)))</f>
        <v/>
      </c>
      <c r="N543" t="str">
        <f t="array" ref="N543">iferror(index(stomachs!$G:$G,match($A543,stomachs!$A:$A,0)))</f>
        <v/>
      </c>
      <c r="O543" t="str">
        <f t="array" ref="O543">iferror(index(stomachs!$J:$J,match($A543,stomachs!$A:$A,0)))</f>
        <v/>
      </c>
      <c r="P543" t="str">
        <f t="array" ref="P543">iferror(index(sea_lice!$G:$G,match($A543,sea_lice!$A:$A,0)))</f>
        <v/>
      </c>
      <c r="Q543" t="str">
        <f t="array" ref="Q543">iferror(index(sea_lice!$J:$J,match($A543,sea_lice!$A:$A,0)))</f>
        <v/>
      </c>
      <c r="R543" s="40" t="str">
        <f t="array" ref="R543">iferror(index(dissected_fish!$F:$F,match($A543,dissected_fish!$A:$A,0)))</f>
        <v>BCA104</v>
      </c>
      <c r="S543" s="40" t="str">
        <f t="array" ref="S543">iferror(index(dissected_fish!$K:$K,match($A543,dissected_fish!$A:$A,0)))</f>
        <v>N</v>
      </c>
      <c r="T543" s="61" t="str">
        <f t="array" ref="T543">index(fish_lab_data!O:O,match(A543,fish_lab_data!C:C,0))</f>
        <v>KB</v>
      </c>
      <c r="U543" s="61">
        <f t="array" ref="U543">if(A543="","",index(fish_lab_data!X:X,match(A543,fish_lab_data!C:C,0)))</f>
        <v>542</v>
      </c>
    </row>
    <row r="544">
      <c r="A544" t="str">
        <f>fish_lab_data!C544</f>
        <v>U16971</v>
      </c>
      <c r="B544" t="str">
        <f t="array" ref="B544">iferror(index('rna-muscle'!$I:$I,match($A544,'rna-muscle'!$A:$A,0)))</f>
        <v>BRN68M-H3</v>
      </c>
      <c r="C544" t="str">
        <f t="array" ref="C544">iferror(index('rna-muscle'!$L:$L,match($A544,'rna-muscle'!$A:$A,0)))</f>
        <v>N</v>
      </c>
      <c r="D544" t="str">
        <f t="array" ref="D544">iferror(index('rna-gill'!$I:$I,match($A544,'rna-gill'!$A:$A,0)))</f>
        <v>BRN68G-H3</v>
      </c>
      <c r="E544" t="str">
        <f t="array" ref="E544">iferror(index('rna-gill'!$L:$L,match($A544,'rna-gill'!$A:$A,0)))</f>
        <v>N</v>
      </c>
      <c r="F544" t="str">
        <f t="array" ref="F544">iferror(index(fatty_acid!$G:$G,match($A544,fatty_acid!$A:$A,0)))</f>
        <v>BFA27-44</v>
      </c>
      <c r="G544" t="str">
        <f t="array" ref="G544">iferror(index(fatty_acid!$J:$J,match($A544,fatty_acid!$A:$A,0)))</f>
        <v>N</v>
      </c>
      <c r="H544" t="str">
        <f t="array" ref="H544">iferror(index(isotopes!$G:$G,match($A544,isotopes!$A:$A,0)))</f>
        <v>BIS28-60</v>
      </c>
      <c r="I544" t="str">
        <f t="array" ref="I544">iferror(index(isotopes!$J:$J,match($A544,isotopes!$A:$A,0)))</f>
        <v>N</v>
      </c>
      <c r="J544" t="str">
        <f t="array" ref="J544">iferror(index(extra_muscle!$G:$G,match($A544,extra_muscle!$A:$A,0)))</f>
        <v>BXM28-29</v>
      </c>
      <c r="K544" t="str">
        <f t="array" ref="K544">iferror(index(extra_muscle!$J:$J,match($A544,extra_muscle!$A:$A,0)))</f>
        <v>N</v>
      </c>
      <c r="L544" s="59" t="str">
        <f t="array" ref="L544">iferror(index(dna!$G:$G,match($A544,dna!$A:$A,0)))</f>
        <v/>
      </c>
      <c r="M544" s="60" t="str">
        <f t="array" ref="M544">iferror(index(dna!$J:$J,match($A544,dna!$A:$A,0)))</f>
        <v/>
      </c>
      <c r="N544" t="str">
        <f t="array" ref="N544">iferror(index(stomachs!$G:$G,match($A544,stomachs!$A:$A,0)))</f>
        <v/>
      </c>
      <c r="O544" t="str">
        <f t="array" ref="O544">iferror(index(stomachs!$J:$J,match($A544,stomachs!$A:$A,0)))</f>
        <v/>
      </c>
      <c r="P544" t="str">
        <f t="array" ref="P544">iferror(index(sea_lice!$G:$G,match($A544,sea_lice!$A:$A,0)))</f>
        <v>BSL6-42</v>
      </c>
      <c r="Q544" t="str">
        <f t="array" ref="Q544">iferror(index(sea_lice!$J:$J,match($A544,sea_lice!$A:$A,0)))</f>
        <v>N</v>
      </c>
      <c r="R544" s="40" t="str">
        <f t="array" ref="R544">iferror(index(dissected_fish!$F:$F,match($A544,dissected_fish!$A:$A,0)))</f>
        <v>BCA105</v>
      </c>
      <c r="S544" s="40" t="str">
        <f t="array" ref="S544">iferror(index(dissected_fish!$K:$K,match($A544,dissected_fish!$A:$A,0)))</f>
        <v>N</v>
      </c>
      <c r="T544" s="61" t="str">
        <f t="array" ref="T544">index(fish_lab_data!O:O,match(A544,fish_lab_data!C:C,0))</f>
        <v>EJ</v>
      </c>
      <c r="U544" s="61">
        <f t="array" ref="U544">if(A544="","",index(fish_lab_data!X:X,match(A544,fish_lab_data!C:C,0)))</f>
        <v>543</v>
      </c>
    </row>
    <row r="545">
      <c r="A545" t="str">
        <f>fish_lab_data!C545</f>
        <v>U16972</v>
      </c>
      <c r="B545" t="str">
        <f t="array" ref="B545">iferror(index('rna-muscle'!$I:$I,match($A545,'rna-muscle'!$A:$A,0)))</f>
        <v>BRN68M-G3</v>
      </c>
      <c r="C545" t="str">
        <f t="array" ref="C545">iferror(index('rna-muscle'!$L:$L,match($A545,'rna-muscle'!$A:$A,0)))</f>
        <v>N</v>
      </c>
      <c r="D545" t="str">
        <f t="array" ref="D545">iferror(index('rna-gill'!$I:$I,match($A545,'rna-gill'!$A:$A,0)))</f>
        <v>BRN68G-G3</v>
      </c>
      <c r="E545" t="str">
        <f t="array" ref="E545">iferror(index('rna-gill'!$L:$L,match($A545,'rna-gill'!$A:$A,0)))</f>
        <v>N</v>
      </c>
      <c r="F545" t="str">
        <f t="array" ref="F545">iferror(index(fatty_acid!$G:$G,match($A545,fatty_acid!$A:$A,0)))</f>
        <v>BFA27-45</v>
      </c>
      <c r="G545" t="str">
        <f t="array" ref="G545">iferror(index(fatty_acid!$J:$J,match($A545,fatty_acid!$A:$A,0)))</f>
        <v>N</v>
      </c>
      <c r="H545" t="str">
        <f t="array" ref="H545">iferror(index(isotopes!$G:$G,match($A545,isotopes!$A:$A,0)))</f>
        <v>BIS28-61</v>
      </c>
      <c r="I545" t="str">
        <f t="array" ref="I545">iferror(index(isotopes!$J:$J,match($A545,isotopes!$A:$A,0)))</f>
        <v>N</v>
      </c>
      <c r="J545" t="str">
        <f t="array" ref="J545">iferror(index(extra_muscle!$G:$G,match($A545,extra_muscle!$A:$A,0)))</f>
        <v>BXM28-30</v>
      </c>
      <c r="K545" t="str">
        <f t="array" ref="K545">iferror(index(extra_muscle!$J:$J,match($A545,extra_muscle!$A:$A,0)))</f>
        <v>N</v>
      </c>
      <c r="L545" s="59" t="str">
        <f t="array" ref="L545">iferror(index(dna!$G:$G,match($A545,dna!$A:$A,0)))</f>
        <v/>
      </c>
      <c r="M545" s="60" t="str">
        <f t="array" ref="M545">iferror(index(dna!$J:$J,match($A545,dna!$A:$A,0)))</f>
        <v/>
      </c>
      <c r="N545" t="str">
        <f t="array" ref="N545">iferror(index(stomachs!$G:$G,match($A545,stomachs!$A:$A,0)))</f>
        <v/>
      </c>
      <c r="O545" t="str">
        <f t="array" ref="O545">iferror(index(stomachs!$J:$J,match($A545,stomachs!$A:$A,0)))</f>
        <v/>
      </c>
      <c r="P545" t="str">
        <f t="array" ref="P545">iferror(index(sea_lice!$G:$G,match($A545,sea_lice!$A:$A,0)))</f>
        <v/>
      </c>
      <c r="Q545" t="str">
        <f t="array" ref="Q545">iferror(index(sea_lice!$J:$J,match($A545,sea_lice!$A:$A,0)))</f>
        <v/>
      </c>
      <c r="R545" s="40" t="str">
        <f t="array" ref="R545">iferror(index(dissected_fish!$F:$F,match($A545,dissected_fish!$A:$A,0)))</f>
        <v>BCA105</v>
      </c>
      <c r="S545" s="40" t="str">
        <f t="array" ref="S545">iferror(index(dissected_fish!$K:$K,match($A545,dissected_fish!$A:$A,0)))</f>
        <v>N</v>
      </c>
      <c r="T545" s="61" t="str">
        <f t="array" ref="T545">index(fish_lab_data!O:O,match(A545,fish_lab_data!C:C,0))</f>
        <v>EJ</v>
      </c>
      <c r="U545" s="61">
        <f t="array" ref="U545">if(A545="","",index(fish_lab_data!X:X,match(A545,fish_lab_data!C:C,0)))</f>
        <v>544</v>
      </c>
    </row>
    <row r="546">
      <c r="A546" t="str">
        <f>fish_lab_data!C546</f>
        <v>U16973</v>
      </c>
      <c r="B546" t="str">
        <f t="array" ref="B546">iferror(index('rna-muscle'!$I:$I,match($A546,'rna-muscle'!$A:$A,0)))</f>
        <v>BRN68M-F3</v>
      </c>
      <c r="C546" t="str">
        <f t="array" ref="C546">iferror(index('rna-muscle'!$L:$L,match($A546,'rna-muscle'!$A:$A,0)))</f>
        <v>N</v>
      </c>
      <c r="D546" t="str">
        <f t="array" ref="D546">iferror(index('rna-gill'!$I:$I,match($A546,'rna-gill'!$A:$A,0)))</f>
        <v>BRN68G-F3</v>
      </c>
      <c r="E546" t="str">
        <f t="array" ref="E546">iferror(index('rna-gill'!$L:$L,match($A546,'rna-gill'!$A:$A,0)))</f>
        <v>N</v>
      </c>
      <c r="F546" t="str">
        <f t="array" ref="F546">iferror(index(fatty_acid!$G:$G,match($A546,fatty_acid!$A:$A,0)))</f>
        <v>BFA27-47</v>
      </c>
      <c r="G546" t="str">
        <f t="array" ref="G546">iferror(index(fatty_acid!$J:$J,match($A546,fatty_acid!$A:$A,0)))</f>
        <v>N</v>
      </c>
      <c r="H546" t="str">
        <f t="array" ref="H546">iferror(index(isotopes!$G:$G,match($A546,isotopes!$A:$A,0)))</f>
        <v>BIS28-62</v>
      </c>
      <c r="I546" t="str">
        <f t="array" ref="I546">iferror(index(isotopes!$J:$J,match($A546,isotopes!$A:$A,0)))</f>
        <v>N</v>
      </c>
      <c r="J546" t="str">
        <f t="array" ref="J546">iferror(index(extra_muscle!$G:$G,match($A546,extra_muscle!$A:$A,0)))</f>
        <v>BXM28-31</v>
      </c>
      <c r="K546" t="str">
        <f t="array" ref="K546">iferror(index(extra_muscle!$J:$J,match($A546,extra_muscle!$A:$A,0)))</f>
        <v>N</v>
      </c>
      <c r="L546" s="59" t="str">
        <f t="array" ref="L546">iferror(index(dna!$G:$G,match($A546,dna!$A:$A,0)))</f>
        <v/>
      </c>
      <c r="M546" s="60" t="str">
        <f t="array" ref="M546">iferror(index(dna!$J:$J,match($A546,dna!$A:$A,0)))</f>
        <v/>
      </c>
      <c r="N546" t="str">
        <f t="array" ref="N546">iferror(index(stomachs!$G:$G,match($A546,stomachs!$A:$A,0)))</f>
        <v/>
      </c>
      <c r="O546" t="str">
        <f t="array" ref="O546">iferror(index(stomachs!$J:$J,match($A546,stomachs!$A:$A,0)))</f>
        <v/>
      </c>
      <c r="P546" t="str">
        <f t="array" ref="P546">iferror(index(sea_lice!$G:$G,match($A546,sea_lice!$A:$A,0)))</f>
        <v/>
      </c>
      <c r="Q546" t="str">
        <f t="array" ref="Q546">iferror(index(sea_lice!$J:$J,match($A546,sea_lice!$A:$A,0)))</f>
        <v/>
      </c>
      <c r="R546" s="40" t="str">
        <f t="array" ref="R546">iferror(index(dissected_fish!$F:$F,match($A546,dissected_fish!$A:$A,0)))</f>
        <v>BCA105</v>
      </c>
      <c r="S546" s="40" t="str">
        <f t="array" ref="S546">iferror(index(dissected_fish!$K:$K,match($A546,dissected_fish!$A:$A,0)))</f>
        <v>N</v>
      </c>
      <c r="T546" s="61" t="str">
        <f t="array" ref="T546">index(fish_lab_data!O:O,match(A546,fish_lab_data!C:C,0))</f>
        <v>EJ</v>
      </c>
      <c r="U546" s="61">
        <f t="array" ref="U546">if(A546="","",index(fish_lab_data!X:X,match(A546,fish_lab_data!C:C,0)))</f>
        <v>545</v>
      </c>
    </row>
    <row r="547">
      <c r="A547" t="str">
        <f>fish_lab_data!C547</f>
        <v>U16974</v>
      </c>
      <c r="B547" t="str">
        <f t="array" ref="B547">iferror(index('rna-muscle'!$I:$I,match($A547,'rna-muscle'!$A:$A,0)))</f>
        <v>BRN68M-E3</v>
      </c>
      <c r="C547" t="str">
        <f t="array" ref="C547">iferror(index('rna-muscle'!$L:$L,match($A547,'rna-muscle'!$A:$A,0)))</f>
        <v>N</v>
      </c>
      <c r="D547" t="str">
        <f t="array" ref="D547">iferror(index('rna-gill'!$I:$I,match($A547,'rna-gill'!$A:$A,0)))</f>
        <v>BRN68G-E3</v>
      </c>
      <c r="E547" t="str">
        <f t="array" ref="E547">iferror(index('rna-gill'!$L:$L,match($A547,'rna-gill'!$A:$A,0)))</f>
        <v>N</v>
      </c>
      <c r="F547" t="str">
        <f t="array" ref="F547">iferror(index(fatty_acid!$G:$G,match($A547,fatty_acid!$A:$A,0)))</f>
        <v>BFA27-48</v>
      </c>
      <c r="G547" t="str">
        <f t="array" ref="G547">iferror(index(fatty_acid!$J:$J,match($A547,fatty_acid!$A:$A,0)))</f>
        <v>N</v>
      </c>
      <c r="H547" t="str">
        <f t="array" ref="H547">iferror(index(isotopes!$G:$G,match($A547,isotopes!$A:$A,0)))</f>
        <v>BIS28-63</v>
      </c>
      <c r="I547" t="str">
        <f t="array" ref="I547">iferror(index(isotopes!$J:$J,match($A547,isotopes!$A:$A,0)))</f>
        <v>N</v>
      </c>
      <c r="J547" t="str">
        <f t="array" ref="J547">iferror(index(extra_muscle!$G:$G,match($A547,extra_muscle!$A:$A,0)))</f>
        <v>BXM28-32</v>
      </c>
      <c r="K547" t="str">
        <f t="array" ref="K547">iferror(index(extra_muscle!$J:$J,match($A547,extra_muscle!$A:$A,0)))</f>
        <v>N</v>
      </c>
      <c r="L547" s="59" t="str">
        <f t="array" ref="L547">iferror(index(dna!$G:$G,match($A547,dna!$A:$A,0)))</f>
        <v/>
      </c>
      <c r="M547" s="60" t="str">
        <f t="array" ref="M547">iferror(index(dna!$J:$J,match($A547,dna!$A:$A,0)))</f>
        <v/>
      </c>
      <c r="N547" t="str">
        <f t="array" ref="N547">iferror(index(stomachs!$G:$G,match($A547,stomachs!$A:$A,0)))</f>
        <v/>
      </c>
      <c r="O547" t="str">
        <f t="array" ref="O547">iferror(index(stomachs!$J:$J,match($A547,stomachs!$A:$A,0)))</f>
        <v/>
      </c>
      <c r="P547" t="str">
        <f t="array" ref="P547">iferror(index(sea_lice!$G:$G,match($A547,sea_lice!$A:$A,0)))</f>
        <v/>
      </c>
      <c r="Q547" t="str">
        <f t="array" ref="Q547">iferror(index(sea_lice!$J:$J,match($A547,sea_lice!$A:$A,0)))</f>
        <v/>
      </c>
      <c r="R547" s="40" t="str">
        <f t="array" ref="R547">iferror(index(dissected_fish!$F:$F,match($A547,dissected_fish!$A:$A,0)))</f>
        <v>BCA105</v>
      </c>
      <c r="S547" s="40" t="str">
        <f t="array" ref="S547">iferror(index(dissected_fish!$K:$K,match($A547,dissected_fish!$A:$A,0)))</f>
        <v>N</v>
      </c>
      <c r="T547" s="61" t="str">
        <f t="array" ref="T547">index(fish_lab_data!O:O,match(A547,fish_lab_data!C:C,0))</f>
        <v>EJ</v>
      </c>
      <c r="U547" s="61">
        <f t="array" ref="U547">if(A547="","",index(fish_lab_data!X:X,match(A547,fish_lab_data!C:C,0)))</f>
        <v>546</v>
      </c>
    </row>
    <row r="548">
      <c r="A548" t="str">
        <f>fish_lab_data!C548</f>
        <v>U16979</v>
      </c>
      <c r="B548" t="str">
        <f t="array" ref="B548">iferror(index('rna-muscle'!$I:$I,match($A548,'rna-muscle'!$A:$A,0)))</f>
        <v>BRN68M-D3</v>
      </c>
      <c r="C548" t="str">
        <f t="array" ref="C548">iferror(index('rna-muscle'!$L:$L,match($A548,'rna-muscle'!$A:$A,0)))</f>
        <v>N</v>
      </c>
      <c r="D548" t="str">
        <f t="array" ref="D548">iferror(index('rna-gill'!$I:$I,match($A548,'rna-gill'!$A:$A,0)))</f>
        <v>BRN68G-D3</v>
      </c>
      <c r="E548" t="str">
        <f t="array" ref="E548">iferror(index('rna-gill'!$L:$L,match($A548,'rna-gill'!$A:$A,0)))</f>
        <v>N</v>
      </c>
      <c r="F548" t="str">
        <f t="array" ref="F548">iferror(index(fatty_acid!$G:$G,match($A548,fatty_acid!$A:$A,0)))</f>
        <v>BFA27-49</v>
      </c>
      <c r="G548" t="str">
        <f t="array" ref="G548">iferror(index(fatty_acid!$J:$J,match($A548,fatty_acid!$A:$A,0)))</f>
        <v>N</v>
      </c>
      <c r="H548" t="str">
        <f t="array" ref="H548">iferror(index(isotopes!$G:$G,match($A548,isotopes!$A:$A,0)))</f>
        <v>BIS28-64</v>
      </c>
      <c r="I548" t="str">
        <f t="array" ref="I548">iferror(index(isotopes!$J:$J,match($A548,isotopes!$A:$A,0)))</f>
        <v>N</v>
      </c>
      <c r="J548" t="str">
        <f t="array" ref="J548">iferror(index(extra_muscle!$G:$G,match($A548,extra_muscle!$A:$A,0)))</f>
        <v>BXM28-33</v>
      </c>
      <c r="K548" t="str">
        <f t="array" ref="K548">iferror(index(extra_muscle!$J:$J,match($A548,extra_muscle!$A:$A,0)))</f>
        <v>N</v>
      </c>
      <c r="L548" s="59" t="str">
        <f t="array" ref="L548">iferror(index(dna!$G:$G,match($A548,dna!$A:$A,0)))</f>
        <v/>
      </c>
      <c r="M548" s="60" t="str">
        <f t="array" ref="M548">iferror(index(dna!$J:$J,match($A548,dna!$A:$A,0)))</f>
        <v/>
      </c>
      <c r="N548" t="str">
        <f t="array" ref="N548">iferror(index(stomachs!$G:$G,match($A548,stomachs!$A:$A,0)))</f>
        <v/>
      </c>
      <c r="O548" t="str">
        <f t="array" ref="O548">iferror(index(stomachs!$J:$J,match($A548,stomachs!$A:$A,0)))</f>
        <v/>
      </c>
      <c r="P548" t="str">
        <f t="array" ref="P548">iferror(index(sea_lice!$G:$G,match($A548,sea_lice!$A:$A,0)))</f>
        <v/>
      </c>
      <c r="Q548" t="str">
        <f t="array" ref="Q548">iferror(index(sea_lice!$J:$J,match($A548,sea_lice!$A:$A,0)))</f>
        <v/>
      </c>
      <c r="R548" s="40" t="str">
        <f t="array" ref="R548">iferror(index(dissected_fish!$F:$F,match($A548,dissected_fish!$A:$A,0)))</f>
        <v>BCA105</v>
      </c>
      <c r="S548" s="40" t="str">
        <f t="array" ref="S548">iferror(index(dissected_fish!$K:$K,match($A548,dissected_fish!$A:$A,0)))</f>
        <v>N</v>
      </c>
      <c r="T548" s="61" t="str">
        <f t="array" ref="T548">index(fish_lab_data!O:O,match(A548,fish_lab_data!C:C,0))</f>
        <v>EJ</v>
      </c>
      <c r="U548" s="61">
        <f t="array" ref="U548">if(A548="","",index(fish_lab_data!X:X,match(A548,fish_lab_data!C:C,0)))</f>
        <v>547</v>
      </c>
    </row>
    <row r="549">
      <c r="A549" t="str">
        <f>fish_lab_data!C549</f>
        <v>U16975</v>
      </c>
      <c r="B549" t="str">
        <f t="array" ref="B549">iferror(index('rna-muscle'!$I:$I,match($A549,'rna-muscle'!$A:$A,0)))</f>
        <v>BRN68M-C3</v>
      </c>
      <c r="C549" t="str">
        <f t="array" ref="C549">iferror(index('rna-muscle'!$L:$L,match($A549,'rna-muscle'!$A:$A,0)))</f>
        <v>N</v>
      </c>
      <c r="D549" t="str">
        <f t="array" ref="D549">iferror(index('rna-gill'!$I:$I,match($A549,'rna-gill'!$A:$A,0)))</f>
        <v>BRN68G-C3</v>
      </c>
      <c r="E549" t="str">
        <f t="array" ref="E549">iferror(index('rna-gill'!$L:$L,match($A549,'rna-gill'!$A:$A,0)))</f>
        <v>N</v>
      </c>
      <c r="F549" t="str">
        <f t="array" ref="F549">iferror(index(fatty_acid!$G:$G,match($A549,fatty_acid!$A:$A,0)))</f>
        <v>BFA27-50</v>
      </c>
      <c r="G549" t="str">
        <f t="array" ref="G549">iferror(index(fatty_acid!$J:$J,match($A549,fatty_acid!$A:$A,0)))</f>
        <v>N</v>
      </c>
      <c r="H549" t="str">
        <f t="array" ref="H549">iferror(index(isotopes!$G:$G,match($A549,isotopes!$A:$A,0)))</f>
        <v>BIS28-65</v>
      </c>
      <c r="I549" t="str">
        <f t="array" ref="I549">iferror(index(isotopes!$J:$J,match($A549,isotopes!$A:$A,0)))</f>
        <v>N</v>
      </c>
      <c r="J549" t="str">
        <f t="array" ref="J549">iferror(index(extra_muscle!$G:$G,match($A549,extra_muscle!$A:$A,0)))</f>
        <v>BXM28-34</v>
      </c>
      <c r="K549" t="str">
        <f t="array" ref="K549">iferror(index(extra_muscle!$J:$J,match($A549,extra_muscle!$A:$A,0)))</f>
        <v>N</v>
      </c>
      <c r="L549" s="59" t="str">
        <f t="array" ref="L549">iferror(index(dna!$G:$G,match($A549,dna!$A:$A,0)))</f>
        <v/>
      </c>
      <c r="M549" s="60" t="str">
        <f t="array" ref="M549">iferror(index(dna!$J:$J,match($A549,dna!$A:$A,0)))</f>
        <v/>
      </c>
      <c r="N549" t="str">
        <f t="array" ref="N549">iferror(index(stomachs!$G:$G,match($A549,stomachs!$A:$A,0)))</f>
        <v/>
      </c>
      <c r="O549" t="str">
        <f t="array" ref="O549">iferror(index(stomachs!$J:$J,match($A549,stomachs!$A:$A,0)))</f>
        <v/>
      </c>
      <c r="P549" t="str">
        <f t="array" ref="P549">iferror(index(sea_lice!$G:$G,match($A549,sea_lice!$A:$A,0)))</f>
        <v/>
      </c>
      <c r="Q549" t="str">
        <f t="array" ref="Q549">iferror(index(sea_lice!$J:$J,match($A549,sea_lice!$A:$A,0)))</f>
        <v/>
      </c>
      <c r="R549" s="40" t="str">
        <f t="array" ref="R549">iferror(index(dissected_fish!$F:$F,match($A549,dissected_fish!$A:$A,0)))</f>
        <v>BCA105</v>
      </c>
      <c r="S549" s="40" t="str">
        <f t="array" ref="S549">iferror(index(dissected_fish!$K:$K,match($A549,dissected_fish!$A:$A,0)))</f>
        <v>N</v>
      </c>
      <c r="T549" s="61" t="str">
        <f t="array" ref="T549">index(fish_lab_data!O:O,match(A549,fish_lab_data!C:C,0))</f>
        <v>EJ</v>
      </c>
      <c r="U549" s="61">
        <f t="array" ref="U549">if(A549="","",index(fish_lab_data!X:X,match(A549,fish_lab_data!C:C,0)))</f>
        <v>548</v>
      </c>
    </row>
    <row r="550">
      <c r="A550" t="str">
        <f>fish_lab_data!C550</f>
        <v>U16976</v>
      </c>
      <c r="B550" t="str">
        <f t="array" ref="B550">iferror(index('rna-muscle'!$I:$I,match($A550,'rna-muscle'!$A:$A,0)))</f>
        <v>BRN68M-B3</v>
      </c>
      <c r="C550" t="str">
        <f t="array" ref="C550">iferror(index('rna-muscle'!$L:$L,match($A550,'rna-muscle'!$A:$A,0)))</f>
        <v>N</v>
      </c>
      <c r="D550" t="str">
        <f t="array" ref="D550">iferror(index('rna-gill'!$I:$I,match($A550,'rna-gill'!$A:$A,0)))</f>
        <v>BRN68G-B3</v>
      </c>
      <c r="E550" t="str">
        <f t="array" ref="E550">iferror(index('rna-gill'!$L:$L,match($A550,'rna-gill'!$A:$A,0)))</f>
        <v>N</v>
      </c>
      <c r="F550" t="str">
        <f t="array" ref="F550">iferror(index(fatty_acid!$G:$G,match($A550,fatty_acid!$A:$A,0)))</f>
        <v>BFA27-61</v>
      </c>
      <c r="G550" t="str">
        <f t="array" ref="G550">iferror(index(fatty_acid!$J:$J,match($A550,fatty_acid!$A:$A,0)))</f>
        <v>N</v>
      </c>
      <c r="H550" t="str">
        <f t="array" ref="H550">iferror(index(isotopes!$G:$G,match($A550,isotopes!$A:$A,0)))</f>
        <v>BIS28-66</v>
      </c>
      <c r="I550" t="str">
        <f t="array" ref="I550">iferror(index(isotopes!$J:$J,match($A550,isotopes!$A:$A,0)))</f>
        <v>N</v>
      </c>
      <c r="J550" t="str">
        <f t="array" ref="J550">iferror(index(extra_muscle!$G:$G,match($A550,extra_muscle!$A:$A,0)))</f>
        <v>BXM28-35</v>
      </c>
      <c r="K550" t="str">
        <f t="array" ref="K550">iferror(index(extra_muscle!$J:$J,match($A550,extra_muscle!$A:$A,0)))</f>
        <v>N</v>
      </c>
      <c r="L550" s="59" t="str">
        <f t="array" ref="L550">iferror(index(dna!$G:$G,match($A550,dna!$A:$A,0)))</f>
        <v/>
      </c>
      <c r="M550" s="60" t="str">
        <f t="array" ref="M550">iferror(index(dna!$J:$J,match($A550,dna!$A:$A,0)))</f>
        <v/>
      </c>
      <c r="N550" t="str">
        <f t="array" ref="N550">iferror(index(stomachs!$G:$G,match($A550,stomachs!$A:$A,0)))</f>
        <v/>
      </c>
      <c r="O550" t="str">
        <f t="array" ref="O550">iferror(index(stomachs!$J:$J,match($A550,stomachs!$A:$A,0)))</f>
        <v/>
      </c>
      <c r="P550" t="str">
        <f t="array" ref="P550">iferror(index(sea_lice!$G:$G,match($A550,sea_lice!$A:$A,0)))</f>
        <v/>
      </c>
      <c r="Q550" t="str">
        <f t="array" ref="Q550">iferror(index(sea_lice!$J:$J,match($A550,sea_lice!$A:$A,0)))</f>
        <v/>
      </c>
      <c r="R550" s="40" t="str">
        <f t="array" ref="R550">iferror(index(dissected_fish!$F:$F,match($A550,dissected_fish!$A:$A,0)))</f>
        <v>BCA105</v>
      </c>
      <c r="S550" s="40" t="str">
        <f t="array" ref="S550">iferror(index(dissected_fish!$K:$K,match($A550,dissected_fish!$A:$A,0)))</f>
        <v>N</v>
      </c>
      <c r="T550" s="61" t="str">
        <f t="array" ref="T550">index(fish_lab_data!O:O,match(A550,fish_lab_data!C:C,0))</f>
        <v>EJ</v>
      </c>
      <c r="U550" s="61">
        <f t="array" ref="U550">if(A550="","",index(fish_lab_data!X:X,match(A550,fish_lab_data!C:C,0)))</f>
        <v>549</v>
      </c>
    </row>
    <row r="551">
      <c r="A551" t="str">
        <f>fish_lab_data!C551</f>
        <v>U16977</v>
      </c>
      <c r="B551" t="str">
        <f t="array" ref="B551">iferror(index('rna-muscle'!$I:$I,match($A551,'rna-muscle'!$A:$A,0)))</f>
        <v>BRN68M-A3</v>
      </c>
      <c r="C551" t="str">
        <f t="array" ref="C551">iferror(index('rna-muscle'!$L:$L,match($A551,'rna-muscle'!$A:$A,0)))</f>
        <v>N</v>
      </c>
      <c r="D551" t="str">
        <f t="array" ref="D551">iferror(index('rna-gill'!$I:$I,match($A551,'rna-gill'!$A:$A,0)))</f>
        <v>BRN68G-A3</v>
      </c>
      <c r="E551" t="str">
        <f t="array" ref="E551">iferror(index('rna-gill'!$L:$L,match($A551,'rna-gill'!$A:$A,0)))</f>
        <v>N</v>
      </c>
      <c r="F551" t="str">
        <f t="array" ref="F551">iferror(index(fatty_acid!$G:$G,match($A551,fatty_acid!$A:$A,0)))</f>
        <v>BFA27-62</v>
      </c>
      <c r="G551" t="str">
        <f t="array" ref="G551">iferror(index(fatty_acid!$J:$J,match($A551,fatty_acid!$A:$A,0)))</f>
        <v>N</v>
      </c>
      <c r="H551" t="str">
        <f t="array" ref="H551">iferror(index(isotopes!$G:$G,match($A551,isotopes!$A:$A,0)))</f>
        <v>BIS28-67</v>
      </c>
      <c r="I551" t="str">
        <f t="array" ref="I551">iferror(index(isotopes!$J:$J,match($A551,isotopes!$A:$A,0)))</f>
        <v>N</v>
      </c>
      <c r="J551" t="str">
        <f t="array" ref="J551">iferror(index(extra_muscle!$G:$G,match($A551,extra_muscle!$A:$A,0)))</f>
        <v>BXM28-37</v>
      </c>
      <c r="K551" t="str">
        <f t="array" ref="K551">iferror(index(extra_muscle!$J:$J,match($A551,extra_muscle!$A:$A,0)))</f>
        <v>N</v>
      </c>
      <c r="L551" s="59" t="str">
        <f t="array" ref="L551">iferror(index(dna!$G:$G,match($A551,dna!$A:$A,0)))</f>
        <v/>
      </c>
      <c r="M551" s="60" t="str">
        <f t="array" ref="M551">iferror(index(dna!$J:$J,match($A551,dna!$A:$A,0)))</f>
        <v/>
      </c>
      <c r="N551" t="str">
        <f t="array" ref="N551">iferror(index(stomachs!$G:$G,match($A551,stomachs!$A:$A,0)))</f>
        <v/>
      </c>
      <c r="O551" t="str">
        <f t="array" ref="O551">iferror(index(stomachs!$J:$J,match($A551,stomachs!$A:$A,0)))</f>
        <v/>
      </c>
      <c r="P551" t="str">
        <f t="array" ref="P551">iferror(index(sea_lice!$G:$G,match($A551,sea_lice!$A:$A,0)))</f>
        <v/>
      </c>
      <c r="Q551" t="str">
        <f t="array" ref="Q551">iferror(index(sea_lice!$J:$J,match($A551,sea_lice!$A:$A,0)))</f>
        <v/>
      </c>
      <c r="R551" s="40" t="str">
        <f t="array" ref="R551">iferror(index(dissected_fish!$F:$F,match($A551,dissected_fish!$A:$A,0)))</f>
        <v>BCA105</v>
      </c>
      <c r="S551" s="40" t="str">
        <f t="array" ref="S551">iferror(index(dissected_fish!$K:$K,match($A551,dissected_fish!$A:$A,0)))</f>
        <v>N</v>
      </c>
      <c r="T551" s="61" t="str">
        <f t="array" ref="T551">index(fish_lab_data!O:O,match(A551,fish_lab_data!C:C,0))</f>
        <v>EJ</v>
      </c>
      <c r="U551" s="61">
        <f t="array" ref="U551">if(A551="","",index(fish_lab_data!X:X,match(A551,fish_lab_data!C:C,0)))</f>
        <v>550</v>
      </c>
    </row>
    <row r="552">
      <c r="A552" t="str">
        <f>fish_lab_data!C552</f>
        <v>U16980</v>
      </c>
      <c r="B552" t="str">
        <f t="array" ref="B552">iferror(index('rna-muscle'!$I:$I,match($A552,'rna-muscle'!$A:$A,0)))</f>
        <v>BRN68M-H5</v>
      </c>
      <c r="C552" t="str">
        <f t="array" ref="C552">iferror(index('rna-muscle'!$L:$L,match($A552,'rna-muscle'!$A:$A,0)))</f>
        <v>N</v>
      </c>
      <c r="D552" t="str">
        <f t="array" ref="D552">iferror(index('rna-gill'!$I:$I,match($A552,'rna-gill'!$A:$A,0)))</f>
        <v>BRN68G-H5</v>
      </c>
      <c r="E552" t="str">
        <f t="array" ref="E552">iferror(index('rna-gill'!$L:$L,match($A552,'rna-gill'!$A:$A,0)))</f>
        <v>N</v>
      </c>
      <c r="F552" t="str">
        <f t="array" ref="F552">iferror(index(fatty_acid!$G:$G,match($A552,fatty_acid!$A:$A,0)))</f>
        <v>BFA27-63</v>
      </c>
      <c r="G552" t="str">
        <f t="array" ref="G552">iferror(index(fatty_acid!$J:$J,match($A552,fatty_acid!$A:$A,0)))</f>
        <v>N</v>
      </c>
      <c r="H552" t="str">
        <f t="array" ref="H552">iferror(index(isotopes!$G:$G,match($A552,isotopes!$A:$A,0)))</f>
        <v>BIS28-68</v>
      </c>
      <c r="I552" t="str">
        <f t="array" ref="I552">iferror(index(isotopes!$J:$J,match($A552,isotopes!$A:$A,0)))</f>
        <v>N</v>
      </c>
      <c r="J552" t="str">
        <f t="array" ref="J552">iferror(index(extra_muscle!$G:$G,match($A552,extra_muscle!$A:$A,0)))</f>
        <v>BXM28-38</v>
      </c>
      <c r="K552" t="str">
        <f t="array" ref="K552">iferror(index(extra_muscle!$J:$J,match($A552,extra_muscle!$A:$A,0)))</f>
        <v>N</v>
      </c>
      <c r="L552" s="59" t="str">
        <f t="array" ref="L552">iferror(index(dna!$G:$G,match($A552,dna!$A:$A,0)))</f>
        <v/>
      </c>
      <c r="M552" s="60" t="str">
        <f t="array" ref="M552">iferror(index(dna!$J:$J,match($A552,dna!$A:$A,0)))</f>
        <v/>
      </c>
      <c r="N552" t="str">
        <f t="array" ref="N552">iferror(index(stomachs!$G:$G,match($A552,stomachs!$A:$A,0)))</f>
        <v/>
      </c>
      <c r="O552" t="str">
        <f t="array" ref="O552">iferror(index(stomachs!$J:$J,match($A552,stomachs!$A:$A,0)))</f>
        <v/>
      </c>
      <c r="P552" t="str">
        <f t="array" ref="P552">iferror(index(sea_lice!$G:$G,match($A552,sea_lice!$A:$A,0)))</f>
        <v/>
      </c>
      <c r="Q552" t="str">
        <f t="array" ref="Q552">iferror(index(sea_lice!$J:$J,match($A552,sea_lice!$A:$A,0)))</f>
        <v/>
      </c>
      <c r="R552" s="40" t="str">
        <f t="array" ref="R552">iferror(index(dissected_fish!$F:$F,match($A552,dissected_fish!$A:$A,0)))</f>
        <v>BCA105</v>
      </c>
      <c r="S552" s="40" t="str">
        <f t="array" ref="S552">iferror(index(dissected_fish!$K:$K,match($A552,dissected_fish!$A:$A,0)))</f>
        <v>N</v>
      </c>
      <c r="T552" s="61" t="str">
        <f t="array" ref="T552">index(fish_lab_data!O:O,match(A552,fish_lab_data!C:C,0))</f>
        <v>EJ</v>
      </c>
      <c r="U552" s="61">
        <f t="array" ref="U552">if(A552="","",index(fish_lab_data!X:X,match(A552,fish_lab_data!C:C,0)))</f>
        <v>551</v>
      </c>
    </row>
    <row r="553">
      <c r="A553" t="str">
        <f>fish_lab_data!C553</f>
        <v>U16978</v>
      </c>
      <c r="B553" t="str">
        <f t="array" ref="B553">iferror(index('rna-muscle'!$I:$I,match($A553,'rna-muscle'!$A:$A,0)))</f>
        <v>BRN68M-G5</v>
      </c>
      <c r="C553" t="str">
        <f t="array" ref="C553">iferror(index('rna-muscle'!$L:$L,match($A553,'rna-muscle'!$A:$A,0)))</f>
        <v>N</v>
      </c>
      <c r="D553" t="str">
        <f t="array" ref="D553">iferror(index('rna-gill'!$I:$I,match($A553,'rna-gill'!$A:$A,0)))</f>
        <v>BRN68G-G5</v>
      </c>
      <c r="E553" t="str">
        <f t="array" ref="E553">iferror(index('rna-gill'!$L:$L,match($A553,'rna-gill'!$A:$A,0)))</f>
        <v>N</v>
      </c>
      <c r="F553" t="str">
        <f t="array" ref="F553">iferror(index(fatty_acid!$G:$G,match($A553,fatty_acid!$A:$A,0)))</f>
        <v>BFA27-64</v>
      </c>
      <c r="G553" t="str">
        <f t="array" ref="G553">iferror(index(fatty_acid!$J:$J,match($A553,fatty_acid!$A:$A,0)))</f>
        <v>N</v>
      </c>
      <c r="H553" t="str">
        <f t="array" ref="H553">iferror(index(isotopes!$G:$G,match($A553,isotopes!$A:$A,0)))</f>
        <v>BIS28-69</v>
      </c>
      <c r="I553" t="str">
        <f t="array" ref="I553">iferror(index(isotopes!$J:$J,match($A553,isotopes!$A:$A,0)))</f>
        <v>N</v>
      </c>
      <c r="J553" t="str">
        <f t="array" ref="J553">iferror(index(extra_muscle!$G:$G,match($A553,extra_muscle!$A:$A,0)))</f>
        <v>BXM28-39</v>
      </c>
      <c r="K553" t="str">
        <f t="array" ref="K553">iferror(index(extra_muscle!$J:$J,match($A553,extra_muscle!$A:$A,0)))</f>
        <v>N</v>
      </c>
      <c r="L553" s="59" t="str">
        <f t="array" ref="L553">iferror(index(dna!$G:$G,match($A553,dna!$A:$A,0)))</f>
        <v/>
      </c>
      <c r="M553" s="60" t="str">
        <f t="array" ref="M553">iferror(index(dna!$J:$J,match($A553,dna!$A:$A,0)))</f>
        <v/>
      </c>
      <c r="N553" t="str">
        <f t="array" ref="N553">iferror(index(stomachs!$G:$G,match($A553,stomachs!$A:$A,0)))</f>
        <v/>
      </c>
      <c r="O553" t="str">
        <f t="array" ref="O553">iferror(index(stomachs!$J:$J,match($A553,stomachs!$A:$A,0)))</f>
        <v/>
      </c>
      <c r="P553" t="str">
        <f t="array" ref="P553">iferror(index(sea_lice!$G:$G,match($A553,sea_lice!$A:$A,0)))</f>
        <v>BSL6-44</v>
      </c>
      <c r="Q553" t="str">
        <f t="array" ref="Q553">iferror(index(sea_lice!$J:$J,match($A553,sea_lice!$A:$A,0)))</f>
        <v>N</v>
      </c>
      <c r="R553" s="40" t="str">
        <f t="array" ref="R553">iferror(index(dissected_fish!$F:$F,match($A553,dissected_fish!$A:$A,0)))</f>
        <v>BCA105</v>
      </c>
      <c r="S553" s="40" t="str">
        <f t="array" ref="S553">iferror(index(dissected_fish!$K:$K,match($A553,dissected_fish!$A:$A,0)))</f>
        <v>N</v>
      </c>
      <c r="T553" s="61" t="str">
        <f t="array" ref="T553">index(fish_lab_data!O:O,match(A553,fish_lab_data!C:C,0))</f>
        <v>EJ</v>
      </c>
      <c r="U553" s="61">
        <f t="array" ref="U553">if(A553="","",index(fish_lab_data!X:X,match(A553,fish_lab_data!C:C,0)))</f>
        <v>552</v>
      </c>
    </row>
    <row r="554">
      <c r="A554" t="str">
        <f>fish_lab_data!C554</f>
        <v>U16661</v>
      </c>
      <c r="B554" t="str">
        <f t="array" ref="B554">iferror(index('rna-muscle'!$I:$I,match($A554,'rna-muscle'!$A:$A,0)))</f>
        <v>BRN68M-F5</v>
      </c>
      <c r="C554" t="str">
        <f t="array" ref="C554">iferror(index('rna-muscle'!$L:$L,match($A554,'rna-muscle'!$A:$A,0)))</f>
        <v>N</v>
      </c>
      <c r="D554" t="str">
        <f t="array" ref="D554">iferror(index('rna-gill'!$I:$I,match($A554,'rna-gill'!$A:$A,0)))</f>
        <v>BRN68G-F5</v>
      </c>
      <c r="E554" t="str">
        <f t="array" ref="E554">iferror(index('rna-gill'!$L:$L,match($A554,'rna-gill'!$A:$A,0)))</f>
        <v>N</v>
      </c>
      <c r="F554" t="str">
        <f t="array" ref="F554">iferror(index(fatty_acid!$G:$G,match($A554,fatty_acid!$A:$A,0)))</f>
        <v>BFA27-65</v>
      </c>
      <c r="G554" t="str">
        <f t="array" ref="G554">iferror(index(fatty_acid!$J:$J,match($A554,fatty_acid!$A:$A,0)))</f>
        <v>N</v>
      </c>
      <c r="H554" t="str">
        <f t="array" ref="H554">iferror(index(isotopes!$G:$G,match($A554,isotopes!$A:$A,0)))</f>
        <v>BIS28-70</v>
      </c>
      <c r="I554" t="str">
        <f t="array" ref="I554">iferror(index(isotopes!$J:$J,match($A554,isotopes!$A:$A,0)))</f>
        <v>N</v>
      </c>
      <c r="J554" t="str">
        <f t="array" ref="J554">iferror(index(extra_muscle!$G:$G,match($A554,extra_muscle!$A:$A,0)))</f>
        <v>BXM28-40</v>
      </c>
      <c r="K554" t="str">
        <f t="array" ref="K554">iferror(index(extra_muscle!$J:$J,match($A554,extra_muscle!$A:$A,0)))</f>
        <v>N</v>
      </c>
      <c r="L554" s="59" t="str">
        <f t="array" ref="L554">iferror(index(dna!$G:$G,match($A554,dna!$A:$A,0)))</f>
        <v/>
      </c>
      <c r="M554" s="60" t="str">
        <f t="array" ref="M554">iferror(index(dna!$J:$J,match($A554,dna!$A:$A,0)))</f>
        <v/>
      </c>
      <c r="N554" t="str">
        <f t="array" ref="N554">iferror(index(stomachs!$G:$G,match($A554,stomachs!$A:$A,0)))</f>
        <v/>
      </c>
      <c r="O554" t="str">
        <f t="array" ref="O554">iferror(index(stomachs!$J:$J,match($A554,stomachs!$A:$A,0)))</f>
        <v/>
      </c>
      <c r="P554" t="str">
        <f t="array" ref="P554">iferror(index(sea_lice!$G:$G,match($A554,sea_lice!$A:$A,0)))</f>
        <v/>
      </c>
      <c r="Q554" t="str">
        <f t="array" ref="Q554">iferror(index(sea_lice!$J:$J,match($A554,sea_lice!$A:$A,0)))</f>
        <v/>
      </c>
      <c r="R554" s="40" t="str">
        <f t="array" ref="R554">iferror(index(dissected_fish!$F:$F,match($A554,dissected_fish!$A:$A,0)))</f>
        <v>BCA105</v>
      </c>
      <c r="S554" s="40" t="str">
        <f t="array" ref="S554">iferror(index(dissected_fish!$K:$K,match($A554,dissected_fish!$A:$A,0)))</f>
        <v>N</v>
      </c>
      <c r="T554" s="61" t="str">
        <f t="array" ref="T554">index(fish_lab_data!O:O,match(A554,fish_lab_data!C:C,0))</f>
        <v>EJ</v>
      </c>
      <c r="U554" s="61">
        <f t="array" ref="U554">if(A554="","",index(fish_lab_data!X:X,match(A554,fish_lab_data!C:C,0)))</f>
        <v>553</v>
      </c>
    </row>
    <row r="555">
      <c r="A555" t="str">
        <f>fish_lab_data!C555</f>
        <v>U16662</v>
      </c>
      <c r="B555" t="str">
        <f t="array" ref="B555">iferror(index('rna-muscle'!$I:$I,match($A555,'rna-muscle'!$A:$A,0)))</f>
        <v>BRN68M-E5</v>
      </c>
      <c r="C555" t="str">
        <f t="array" ref="C555">iferror(index('rna-muscle'!$L:$L,match($A555,'rna-muscle'!$A:$A,0)))</f>
        <v>N</v>
      </c>
      <c r="D555" t="str">
        <f t="array" ref="D555">iferror(index('rna-gill'!$I:$I,match($A555,'rna-gill'!$A:$A,0)))</f>
        <v>BRN68G-E5</v>
      </c>
      <c r="E555" t="str">
        <f t="array" ref="E555">iferror(index('rna-gill'!$L:$L,match($A555,'rna-gill'!$A:$A,0)))</f>
        <v>N</v>
      </c>
      <c r="F555" t="str">
        <f t="array" ref="F555">iferror(index(fatty_acid!$G:$G,match($A555,fatty_acid!$A:$A,0)))</f>
        <v>BFA27-67</v>
      </c>
      <c r="G555" t="str">
        <f t="array" ref="G555">iferror(index(fatty_acid!$J:$J,match($A555,fatty_acid!$A:$A,0)))</f>
        <v>N</v>
      </c>
      <c r="H555" t="str">
        <f t="array" ref="H555">iferror(index(isotopes!$G:$G,match($A555,isotopes!$A:$A,0)))</f>
        <v>BIS28-71</v>
      </c>
      <c r="I555" t="str">
        <f t="array" ref="I555">iferror(index(isotopes!$J:$J,match($A555,isotopes!$A:$A,0)))</f>
        <v>N</v>
      </c>
      <c r="J555" t="str">
        <f t="array" ref="J555">iferror(index(extra_muscle!$G:$G,match($A555,extra_muscle!$A:$A,0)))</f>
        <v>BXM28-41</v>
      </c>
      <c r="K555" t="str">
        <f t="array" ref="K555">iferror(index(extra_muscle!$J:$J,match($A555,extra_muscle!$A:$A,0)))</f>
        <v>N</v>
      </c>
      <c r="L555" s="59" t="str">
        <f t="array" ref="L555">iferror(index(dna!$G:$G,match($A555,dna!$A:$A,0)))</f>
        <v/>
      </c>
      <c r="M555" s="60" t="str">
        <f t="array" ref="M555">iferror(index(dna!$J:$J,match($A555,dna!$A:$A,0)))</f>
        <v/>
      </c>
      <c r="N555" t="str">
        <f t="array" ref="N555">iferror(index(stomachs!$G:$G,match($A555,stomachs!$A:$A,0)))</f>
        <v/>
      </c>
      <c r="O555" t="str">
        <f t="array" ref="O555">iferror(index(stomachs!$J:$J,match($A555,stomachs!$A:$A,0)))</f>
        <v/>
      </c>
      <c r="P555" t="str">
        <f t="array" ref="P555">iferror(index(sea_lice!$G:$G,match($A555,sea_lice!$A:$A,0)))</f>
        <v>BSL6-45</v>
      </c>
      <c r="Q555" t="str">
        <f t="array" ref="Q555">iferror(index(sea_lice!$J:$J,match($A555,sea_lice!$A:$A,0)))</f>
        <v>N</v>
      </c>
      <c r="R555" s="40" t="str">
        <f t="array" ref="R555">iferror(index(dissected_fish!$F:$F,match($A555,dissected_fish!$A:$A,0)))</f>
        <v>BCA105</v>
      </c>
      <c r="S555" s="40" t="str">
        <f t="array" ref="S555">iferror(index(dissected_fish!$K:$K,match($A555,dissected_fish!$A:$A,0)))</f>
        <v>N</v>
      </c>
      <c r="T555" s="61" t="str">
        <f t="array" ref="T555">index(fish_lab_data!O:O,match(A555,fish_lab_data!C:C,0))</f>
        <v>EJ</v>
      </c>
      <c r="U555" s="61">
        <f t="array" ref="U555">if(A555="","",index(fish_lab_data!X:X,match(A555,fish_lab_data!C:C,0)))</f>
        <v>554</v>
      </c>
    </row>
    <row r="556">
      <c r="A556" t="str">
        <f>fish_lab_data!C556</f>
        <v>U16663</v>
      </c>
      <c r="B556" t="str">
        <f t="array" ref="B556">iferror(index('rna-muscle'!$I:$I,match($A556,'rna-muscle'!$A:$A,0)))</f>
        <v>BRN68M-D5</v>
      </c>
      <c r="C556" t="str">
        <f t="array" ref="C556">iferror(index('rna-muscle'!$L:$L,match($A556,'rna-muscle'!$A:$A,0)))</f>
        <v>N</v>
      </c>
      <c r="D556" t="str">
        <f t="array" ref="D556">iferror(index('rna-gill'!$I:$I,match($A556,'rna-gill'!$A:$A,0)))</f>
        <v>BRN68G-D5</v>
      </c>
      <c r="E556" t="str">
        <f t="array" ref="E556">iferror(index('rna-gill'!$L:$L,match($A556,'rna-gill'!$A:$A,0)))</f>
        <v>N</v>
      </c>
      <c r="F556" t="str">
        <f t="array" ref="F556">iferror(index(fatty_acid!$G:$G,match($A556,fatty_acid!$A:$A,0)))</f>
        <v>BFA27-68</v>
      </c>
      <c r="G556" t="str">
        <f t="array" ref="G556">iferror(index(fatty_acid!$J:$J,match($A556,fatty_acid!$A:$A,0)))</f>
        <v>N</v>
      </c>
      <c r="H556" t="str">
        <f t="array" ref="H556">iferror(index(isotopes!$G:$G,match($A556,isotopes!$A:$A,0)))</f>
        <v>BIS28-72</v>
      </c>
      <c r="I556" t="str">
        <f t="array" ref="I556">iferror(index(isotopes!$J:$J,match($A556,isotopes!$A:$A,0)))</f>
        <v>N</v>
      </c>
      <c r="J556" t="str">
        <f t="array" ref="J556">iferror(index(extra_muscle!$G:$G,match($A556,extra_muscle!$A:$A,0)))</f>
        <v>BXM28-42</v>
      </c>
      <c r="K556" t="str">
        <f t="array" ref="K556">iferror(index(extra_muscle!$J:$J,match($A556,extra_muscle!$A:$A,0)))</f>
        <v>N</v>
      </c>
      <c r="L556" s="59" t="str">
        <f t="array" ref="L556">iferror(index(dna!$G:$G,match($A556,dna!$A:$A,0)))</f>
        <v/>
      </c>
      <c r="M556" s="60" t="str">
        <f t="array" ref="M556">iferror(index(dna!$J:$J,match($A556,dna!$A:$A,0)))</f>
        <v/>
      </c>
      <c r="N556" t="str">
        <f t="array" ref="N556">iferror(index(stomachs!$G:$G,match($A556,stomachs!$A:$A,0)))</f>
        <v/>
      </c>
      <c r="O556" t="str">
        <f t="array" ref="O556">iferror(index(stomachs!$J:$J,match($A556,stomachs!$A:$A,0)))</f>
        <v/>
      </c>
      <c r="P556" t="str">
        <f t="array" ref="P556">iferror(index(sea_lice!$G:$G,match($A556,sea_lice!$A:$A,0)))</f>
        <v/>
      </c>
      <c r="Q556" t="str">
        <f t="array" ref="Q556">iferror(index(sea_lice!$J:$J,match($A556,sea_lice!$A:$A,0)))</f>
        <v/>
      </c>
      <c r="R556" s="40" t="str">
        <f t="array" ref="R556">iferror(index(dissected_fish!$F:$F,match($A556,dissected_fish!$A:$A,0)))</f>
        <v>BCA105</v>
      </c>
      <c r="S556" s="40" t="str">
        <f t="array" ref="S556">iferror(index(dissected_fish!$K:$K,match($A556,dissected_fish!$A:$A,0)))</f>
        <v>N</v>
      </c>
      <c r="T556" s="61" t="str">
        <f t="array" ref="T556">index(fish_lab_data!O:O,match(A556,fish_lab_data!C:C,0))</f>
        <v>EJ</v>
      </c>
      <c r="U556" s="61">
        <f t="array" ref="U556">if(A556="","",index(fish_lab_data!X:X,match(A556,fish_lab_data!C:C,0)))</f>
        <v>555</v>
      </c>
    </row>
    <row r="557">
      <c r="A557" t="str">
        <f>fish_lab_data!C557</f>
        <v>U16667</v>
      </c>
      <c r="B557" t="str">
        <f t="array" ref="B557">iferror(index('rna-muscle'!$I:$I,match($A557,'rna-muscle'!$A:$A,0)))</f>
        <v>BRN68M-C5</v>
      </c>
      <c r="C557" t="str">
        <f t="array" ref="C557">iferror(index('rna-muscle'!$L:$L,match($A557,'rna-muscle'!$A:$A,0)))</f>
        <v>N</v>
      </c>
      <c r="D557" t="str">
        <f t="array" ref="D557">iferror(index('rna-gill'!$I:$I,match($A557,'rna-gill'!$A:$A,0)))</f>
        <v>BRN68G-C5</v>
      </c>
      <c r="E557" t="str">
        <f t="array" ref="E557">iferror(index('rna-gill'!$L:$L,match($A557,'rna-gill'!$A:$A,0)))</f>
        <v>N</v>
      </c>
      <c r="F557" t="str">
        <f t="array" ref="F557">iferror(index(fatty_acid!$G:$G,match($A557,fatty_acid!$A:$A,0)))</f>
        <v>BFA27-69</v>
      </c>
      <c r="G557" t="str">
        <f t="array" ref="G557">iferror(index(fatty_acid!$J:$J,match($A557,fatty_acid!$A:$A,0)))</f>
        <v>N</v>
      </c>
      <c r="H557" t="str">
        <f t="array" ref="H557">iferror(index(isotopes!$G:$G,match($A557,isotopes!$A:$A,0)))</f>
        <v>BIS28-73</v>
      </c>
      <c r="I557" t="str">
        <f t="array" ref="I557">iferror(index(isotopes!$J:$J,match($A557,isotopes!$A:$A,0)))</f>
        <v>N</v>
      </c>
      <c r="J557" t="str">
        <f t="array" ref="J557">iferror(index(extra_muscle!$G:$G,match($A557,extra_muscle!$A:$A,0)))</f>
        <v>BXM28-43</v>
      </c>
      <c r="K557" t="str">
        <f t="array" ref="K557">iferror(index(extra_muscle!$J:$J,match($A557,extra_muscle!$A:$A,0)))</f>
        <v>N</v>
      </c>
      <c r="L557" s="59" t="str">
        <f t="array" ref="L557">iferror(index(dna!$G:$G,match($A557,dna!$A:$A,0)))</f>
        <v/>
      </c>
      <c r="M557" s="60" t="str">
        <f t="array" ref="M557">iferror(index(dna!$J:$J,match($A557,dna!$A:$A,0)))</f>
        <v/>
      </c>
      <c r="N557" t="str">
        <f t="array" ref="N557">iferror(index(stomachs!$G:$G,match($A557,stomachs!$A:$A,0)))</f>
        <v/>
      </c>
      <c r="O557" t="str">
        <f t="array" ref="O557">iferror(index(stomachs!$J:$J,match($A557,stomachs!$A:$A,0)))</f>
        <v/>
      </c>
      <c r="P557" t="str">
        <f t="array" ref="P557">iferror(index(sea_lice!$G:$G,match($A557,sea_lice!$A:$A,0)))</f>
        <v/>
      </c>
      <c r="Q557" t="str">
        <f t="array" ref="Q557">iferror(index(sea_lice!$J:$J,match($A557,sea_lice!$A:$A,0)))</f>
        <v/>
      </c>
      <c r="R557" s="40" t="str">
        <f t="array" ref="R557">iferror(index(dissected_fish!$F:$F,match($A557,dissected_fish!$A:$A,0)))</f>
        <v>BCA105</v>
      </c>
      <c r="S557" s="40" t="str">
        <f t="array" ref="S557">iferror(index(dissected_fish!$K:$K,match($A557,dissected_fish!$A:$A,0)))</f>
        <v>N</v>
      </c>
      <c r="T557" s="61" t="str">
        <f t="array" ref="T557">index(fish_lab_data!O:O,match(A557,fish_lab_data!C:C,0))</f>
        <v>EJ</v>
      </c>
      <c r="U557" s="61">
        <f t="array" ref="U557">if(A557="","",index(fish_lab_data!X:X,match(A557,fish_lab_data!C:C,0)))</f>
        <v>556</v>
      </c>
    </row>
    <row r="558">
      <c r="A558" t="str">
        <f>fish_lab_data!C558</f>
        <v>U16664</v>
      </c>
      <c r="B558" t="str">
        <f t="array" ref="B558">iferror(index('rna-muscle'!$I:$I,match($A558,'rna-muscle'!$A:$A,0)))</f>
        <v>BRN68M-B5</v>
      </c>
      <c r="C558" t="str">
        <f t="array" ref="C558">iferror(index('rna-muscle'!$L:$L,match($A558,'rna-muscle'!$A:$A,0)))</f>
        <v>N</v>
      </c>
      <c r="D558" t="str">
        <f t="array" ref="D558">iferror(index('rna-gill'!$I:$I,match($A558,'rna-gill'!$A:$A,0)))</f>
        <v>BRN68G-B5</v>
      </c>
      <c r="E558" t="str">
        <f t="array" ref="E558">iferror(index('rna-gill'!$L:$L,match($A558,'rna-gill'!$A:$A,0)))</f>
        <v>N</v>
      </c>
      <c r="F558" t="str">
        <f t="array" ref="F558">iferror(index(fatty_acid!$G:$G,match($A558,fatty_acid!$A:$A,0)))</f>
        <v>BFA27-70</v>
      </c>
      <c r="G558" t="str">
        <f t="array" ref="G558">iferror(index(fatty_acid!$J:$J,match($A558,fatty_acid!$A:$A,0)))</f>
        <v>N</v>
      </c>
      <c r="H558" t="str">
        <f t="array" ref="H558">iferror(index(isotopes!$G:$G,match($A558,isotopes!$A:$A,0)))</f>
        <v>BIS28-74</v>
      </c>
      <c r="I558" t="str">
        <f t="array" ref="I558">iferror(index(isotopes!$J:$J,match($A558,isotopes!$A:$A,0)))</f>
        <v>N</v>
      </c>
      <c r="J558" t="str">
        <f t="array" ref="J558">iferror(index(extra_muscle!$G:$G,match($A558,extra_muscle!$A:$A,0)))</f>
        <v>BXM28-44</v>
      </c>
      <c r="K558" t="str">
        <f t="array" ref="K558">iferror(index(extra_muscle!$J:$J,match($A558,extra_muscle!$A:$A,0)))</f>
        <v>N</v>
      </c>
      <c r="L558" s="59" t="str">
        <f t="array" ref="L558">iferror(index(dna!$G:$G,match($A558,dna!$A:$A,0)))</f>
        <v/>
      </c>
      <c r="M558" s="60" t="str">
        <f t="array" ref="M558">iferror(index(dna!$J:$J,match($A558,dna!$A:$A,0)))</f>
        <v/>
      </c>
      <c r="N558" t="str">
        <f t="array" ref="N558">iferror(index(stomachs!$G:$G,match($A558,stomachs!$A:$A,0)))</f>
        <v/>
      </c>
      <c r="O558" t="str">
        <f t="array" ref="O558">iferror(index(stomachs!$J:$J,match($A558,stomachs!$A:$A,0)))</f>
        <v/>
      </c>
      <c r="P558" t="str">
        <f t="array" ref="P558">iferror(index(sea_lice!$G:$G,match($A558,sea_lice!$A:$A,0)))</f>
        <v/>
      </c>
      <c r="Q558" t="str">
        <f t="array" ref="Q558">iferror(index(sea_lice!$J:$J,match($A558,sea_lice!$A:$A,0)))</f>
        <v/>
      </c>
      <c r="R558" s="40" t="str">
        <f t="array" ref="R558">iferror(index(dissected_fish!$F:$F,match($A558,dissected_fish!$A:$A,0)))</f>
        <v>BCA105</v>
      </c>
      <c r="S558" s="40" t="str">
        <f t="array" ref="S558">iferror(index(dissected_fish!$K:$K,match($A558,dissected_fish!$A:$A,0)))</f>
        <v>N</v>
      </c>
      <c r="T558" s="61" t="str">
        <f t="array" ref="T558">index(fish_lab_data!O:O,match(A558,fish_lab_data!C:C,0))</f>
        <v>EJ</v>
      </c>
      <c r="U558" s="61">
        <f t="array" ref="U558">if(A558="","",index(fish_lab_data!X:X,match(A558,fish_lab_data!C:C,0)))</f>
        <v>557</v>
      </c>
    </row>
    <row r="559">
      <c r="A559" t="str">
        <f>fish_lab_data!C559</f>
        <v>U16665</v>
      </c>
      <c r="B559" t="str">
        <f t="array" ref="B559">iferror(index('rna-muscle'!$I:$I,match($A559,'rna-muscle'!$A:$A,0)))</f>
        <v>BRN68M-A5</v>
      </c>
      <c r="C559" t="str">
        <f t="array" ref="C559">iferror(index('rna-muscle'!$L:$L,match($A559,'rna-muscle'!$A:$A,0)))</f>
        <v>N</v>
      </c>
      <c r="D559" t="str">
        <f t="array" ref="D559">iferror(index('rna-gill'!$I:$I,match($A559,'rna-gill'!$A:$A,0)))</f>
        <v>BRN68G-A5</v>
      </c>
      <c r="E559" t="str">
        <f t="array" ref="E559">iferror(index('rna-gill'!$L:$L,match($A559,'rna-gill'!$A:$A,0)))</f>
        <v>N</v>
      </c>
      <c r="F559" t="str">
        <f t="array" ref="F559">iferror(index(fatty_acid!$G:$G,match($A559,fatty_acid!$A:$A,0)))</f>
        <v>BFA27-71</v>
      </c>
      <c r="G559" t="str">
        <f t="array" ref="G559">iferror(index(fatty_acid!$J:$J,match($A559,fatty_acid!$A:$A,0)))</f>
        <v>N</v>
      </c>
      <c r="H559" t="str">
        <f t="array" ref="H559">iferror(index(isotopes!$G:$G,match($A559,isotopes!$A:$A,0)))</f>
        <v>BIS28-75</v>
      </c>
      <c r="I559" t="str">
        <f t="array" ref="I559">iferror(index(isotopes!$J:$J,match($A559,isotopes!$A:$A,0)))</f>
        <v>N</v>
      </c>
      <c r="J559" t="str">
        <f t="array" ref="J559">iferror(index(extra_muscle!$G:$G,match($A559,extra_muscle!$A:$A,0)))</f>
        <v>BXM28-45</v>
      </c>
      <c r="K559" t="str">
        <f t="array" ref="K559">iferror(index(extra_muscle!$J:$J,match($A559,extra_muscle!$A:$A,0)))</f>
        <v>N</v>
      </c>
      <c r="L559" s="59" t="str">
        <f t="array" ref="L559">iferror(index(dna!$G:$G,match($A559,dna!$A:$A,0)))</f>
        <v/>
      </c>
      <c r="M559" s="60" t="str">
        <f t="array" ref="M559">iferror(index(dna!$J:$J,match($A559,dna!$A:$A,0)))</f>
        <v/>
      </c>
      <c r="N559" t="str">
        <f t="array" ref="N559">iferror(index(stomachs!$G:$G,match($A559,stomachs!$A:$A,0)))</f>
        <v/>
      </c>
      <c r="O559" t="str">
        <f t="array" ref="O559">iferror(index(stomachs!$J:$J,match($A559,stomachs!$A:$A,0)))</f>
        <v/>
      </c>
      <c r="P559" t="str">
        <f t="array" ref="P559">iferror(index(sea_lice!$G:$G,match($A559,sea_lice!$A:$A,0)))</f>
        <v/>
      </c>
      <c r="Q559" t="str">
        <f t="array" ref="Q559">iferror(index(sea_lice!$J:$J,match($A559,sea_lice!$A:$A,0)))</f>
        <v/>
      </c>
      <c r="R559" s="40" t="str">
        <f t="array" ref="R559">iferror(index(dissected_fish!$F:$F,match($A559,dissected_fish!$A:$A,0)))</f>
        <v>BCA105</v>
      </c>
      <c r="S559" s="40" t="str">
        <f t="array" ref="S559">iferror(index(dissected_fish!$K:$K,match($A559,dissected_fish!$A:$A,0)))</f>
        <v>N</v>
      </c>
      <c r="T559" s="61" t="str">
        <f t="array" ref="T559">index(fish_lab_data!O:O,match(A559,fish_lab_data!C:C,0))</f>
        <v>EJ</v>
      </c>
      <c r="U559" s="61">
        <f t="array" ref="U559">if(A559="","",index(fish_lab_data!X:X,match(A559,fish_lab_data!C:C,0)))</f>
        <v>558</v>
      </c>
    </row>
    <row r="560">
      <c r="A560" t="str">
        <f>fish_lab_data!C560</f>
        <v>U16666</v>
      </c>
      <c r="B560" t="str">
        <f t="array" ref="B560">iferror(index('rna-muscle'!$I:$I,match($A560,'rna-muscle'!$A:$A,0)))</f>
        <v>BRN68M-H7</v>
      </c>
      <c r="C560" t="str">
        <f t="array" ref="C560">iferror(index('rna-muscle'!$L:$L,match($A560,'rna-muscle'!$A:$A,0)))</f>
        <v>N</v>
      </c>
      <c r="D560" t="str">
        <f t="array" ref="D560">iferror(index('rna-gill'!$I:$I,match($A560,'rna-gill'!$A:$A,0)))</f>
        <v>BRN68G-H7</v>
      </c>
      <c r="E560" t="str">
        <f t="array" ref="E560">iferror(index('rna-gill'!$L:$L,match($A560,'rna-gill'!$A:$A,0)))</f>
        <v>N</v>
      </c>
      <c r="F560" t="str">
        <f t="array" ref="F560">iferror(index(fatty_acid!$G:$G,match($A560,fatty_acid!$A:$A,0)))</f>
        <v>BFA27-72</v>
      </c>
      <c r="G560" t="str">
        <f t="array" ref="G560">iferror(index(fatty_acid!$J:$J,match($A560,fatty_acid!$A:$A,0)))</f>
        <v>N</v>
      </c>
      <c r="H560" t="str">
        <f t="array" ref="H560">iferror(index(isotopes!$G:$G,match($A560,isotopes!$A:$A,0)))</f>
        <v>BIS28-76</v>
      </c>
      <c r="I560" t="str">
        <f t="array" ref="I560">iferror(index(isotopes!$J:$J,match($A560,isotopes!$A:$A,0)))</f>
        <v>N</v>
      </c>
      <c r="J560" t="str">
        <f t="array" ref="J560">iferror(index(extra_muscle!$G:$G,match($A560,extra_muscle!$A:$A,0)))</f>
        <v>BXM28-47</v>
      </c>
      <c r="K560" t="str">
        <f t="array" ref="K560">iferror(index(extra_muscle!$J:$J,match($A560,extra_muscle!$A:$A,0)))</f>
        <v>N</v>
      </c>
      <c r="L560" s="59" t="str">
        <f t="array" ref="L560">iferror(index(dna!$G:$G,match($A560,dna!$A:$A,0)))</f>
        <v/>
      </c>
      <c r="M560" s="60" t="str">
        <f t="array" ref="M560">iferror(index(dna!$J:$J,match($A560,dna!$A:$A,0)))</f>
        <v/>
      </c>
      <c r="N560" t="str">
        <f t="array" ref="N560">iferror(index(stomachs!$G:$G,match($A560,stomachs!$A:$A,0)))</f>
        <v/>
      </c>
      <c r="O560" t="str">
        <f t="array" ref="O560">iferror(index(stomachs!$J:$J,match($A560,stomachs!$A:$A,0)))</f>
        <v/>
      </c>
      <c r="P560" t="str">
        <f t="array" ref="P560">iferror(index(sea_lice!$G:$G,match($A560,sea_lice!$A:$A,0)))</f>
        <v/>
      </c>
      <c r="Q560" t="str">
        <f t="array" ref="Q560">iferror(index(sea_lice!$J:$J,match($A560,sea_lice!$A:$A,0)))</f>
        <v/>
      </c>
      <c r="R560" s="40" t="str">
        <f t="array" ref="R560">iferror(index(dissected_fish!$F:$F,match($A560,dissected_fish!$A:$A,0)))</f>
        <v>BCA105</v>
      </c>
      <c r="S560" s="40" t="str">
        <f t="array" ref="S560">iferror(index(dissected_fish!$K:$K,match($A560,dissected_fish!$A:$A,0)))</f>
        <v>N</v>
      </c>
      <c r="T560" s="61" t="str">
        <f t="array" ref="T560">index(fish_lab_data!O:O,match(A560,fish_lab_data!C:C,0))</f>
        <v>EJ</v>
      </c>
      <c r="U560" s="61">
        <f t="array" ref="U560">if(A560="","",index(fish_lab_data!X:X,match(A560,fish_lab_data!C:C,0)))</f>
        <v>559</v>
      </c>
    </row>
    <row r="561">
      <c r="A561" t="str">
        <f>fish_lab_data!C561</f>
        <v>U16669</v>
      </c>
      <c r="B561" t="str">
        <f t="array" ref="B561">iferror(index('rna-muscle'!$I:$I,match($A561,'rna-muscle'!$A:$A,0)))</f>
        <v>BRN68M-G7</v>
      </c>
      <c r="C561" t="str">
        <f t="array" ref="C561">iferror(index('rna-muscle'!$L:$L,match($A561,'rna-muscle'!$A:$A,0)))</f>
        <v>N</v>
      </c>
      <c r="D561" t="str">
        <f t="array" ref="D561">iferror(index('rna-gill'!$I:$I,match($A561,'rna-gill'!$A:$A,0)))</f>
        <v>BRN68G-G7</v>
      </c>
      <c r="E561" t="str">
        <f t="array" ref="E561">iferror(index('rna-gill'!$L:$L,match($A561,'rna-gill'!$A:$A,0)))</f>
        <v>N</v>
      </c>
      <c r="F561" t="str">
        <f t="array" ref="F561">iferror(index(fatty_acid!$G:$G,match($A561,fatty_acid!$A:$A,0)))</f>
        <v>BFA27-73</v>
      </c>
      <c r="G561" t="str">
        <f t="array" ref="G561">iferror(index(fatty_acid!$J:$J,match($A561,fatty_acid!$A:$A,0)))</f>
        <v>N</v>
      </c>
      <c r="H561" t="str">
        <f t="array" ref="H561">iferror(index(isotopes!$G:$G,match($A561,isotopes!$A:$A,0)))</f>
        <v>BIS28-77</v>
      </c>
      <c r="I561" t="str">
        <f t="array" ref="I561">iferror(index(isotopes!$J:$J,match($A561,isotopes!$A:$A,0)))</f>
        <v>N</v>
      </c>
      <c r="J561" t="str">
        <f t="array" ref="J561">iferror(index(extra_muscle!$G:$G,match($A561,extra_muscle!$A:$A,0)))</f>
        <v>BXM28-48</v>
      </c>
      <c r="K561" t="str">
        <f t="array" ref="K561">iferror(index(extra_muscle!$J:$J,match($A561,extra_muscle!$A:$A,0)))</f>
        <v>N</v>
      </c>
      <c r="L561" s="59" t="str">
        <f t="array" ref="L561">iferror(index(dna!$G:$G,match($A561,dna!$A:$A,0)))</f>
        <v/>
      </c>
      <c r="M561" s="60" t="str">
        <f t="array" ref="M561">iferror(index(dna!$J:$J,match($A561,dna!$A:$A,0)))</f>
        <v/>
      </c>
      <c r="N561" t="str">
        <f t="array" ref="N561">iferror(index(stomachs!$G:$G,match($A561,stomachs!$A:$A,0)))</f>
        <v/>
      </c>
      <c r="O561" t="str">
        <f t="array" ref="O561">iferror(index(stomachs!$J:$J,match($A561,stomachs!$A:$A,0)))</f>
        <v/>
      </c>
      <c r="P561" t="str">
        <f t="array" ref="P561">iferror(index(sea_lice!$G:$G,match($A561,sea_lice!$A:$A,0)))</f>
        <v/>
      </c>
      <c r="Q561" t="str">
        <f t="array" ref="Q561">iferror(index(sea_lice!$J:$J,match($A561,sea_lice!$A:$A,0)))</f>
        <v/>
      </c>
      <c r="R561" s="40" t="str">
        <f t="array" ref="R561">iferror(index(dissected_fish!$F:$F,match($A561,dissected_fish!$A:$A,0)))</f>
        <v>BCA105</v>
      </c>
      <c r="S561" s="40" t="str">
        <f t="array" ref="S561">iferror(index(dissected_fish!$K:$K,match($A561,dissected_fish!$A:$A,0)))</f>
        <v>N</v>
      </c>
      <c r="T561" s="61" t="str">
        <f t="array" ref="T561">index(fish_lab_data!O:O,match(A561,fish_lab_data!C:C,0))</f>
        <v>EJ</v>
      </c>
      <c r="U561" s="61">
        <f t="array" ref="U561">if(A561="","",index(fish_lab_data!X:X,match(A561,fish_lab_data!C:C,0)))</f>
        <v>560</v>
      </c>
    </row>
    <row r="562">
      <c r="A562" t="str">
        <f>fish_lab_data!C562</f>
        <v>U16668</v>
      </c>
      <c r="B562" t="str">
        <f t="array" ref="B562">iferror(index('rna-muscle'!$I:$I,match($A562,'rna-muscle'!$A:$A,0)))</f>
        <v>BRN68M-F7</v>
      </c>
      <c r="C562" t="str">
        <f t="array" ref="C562">iferror(index('rna-muscle'!$L:$L,match($A562,'rna-muscle'!$A:$A,0)))</f>
        <v>N</v>
      </c>
      <c r="D562" t="str">
        <f t="array" ref="D562">iferror(index('rna-gill'!$I:$I,match($A562,'rna-gill'!$A:$A,0)))</f>
        <v>BRN68G-F7</v>
      </c>
      <c r="E562" t="str">
        <f t="array" ref="E562">iferror(index('rna-gill'!$L:$L,match($A562,'rna-gill'!$A:$A,0)))</f>
        <v>N</v>
      </c>
      <c r="F562" t="str">
        <f t="array" ref="F562">iferror(index(fatty_acid!$G:$G,match($A562,fatty_acid!$A:$A,0)))</f>
        <v>BFA27-74</v>
      </c>
      <c r="G562" t="str">
        <f t="array" ref="G562">iferror(index(fatty_acid!$J:$J,match($A562,fatty_acid!$A:$A,0)))</f>
        <v>N</v>
      </c>
      <c r="H562" t="str">
        <f t="array" ref="H562">iferror(index(isotopes!$G:$G,match($A562,isotopes!$A:$A,0)))</f>
        <v>BIS28-78</v>
      </c>
      <c r="I562" t="str">
        <f t="array" ref="I562">iferror(index(isotopes!$J:$J,match($A562,isotopes!$A:$A,0)))</f>
        <v>N</v>
      </c>
      <c r="J562" t="str">
        <f t="array" ref="J562">iferror(index(extra_muscle!$G:$G,match($A562,extra_muscle!$A:$A,0)))</f>
        <v>BXM28-49</v>
      </c>
      <c r="K562" t="str">
        <f t="array" ref="K562">iferror(index(extra_muscle!$J:$J,match($A562,extra_muscle!$A:$A,0)))</f>
        <v>N</v>
      </c>
      <c r="L562" s="59" t="str">
        <f t="array" ref="L562">iferror(index(dna!$G:$G,match($A562,dna!$A:$A,0)))</f>
        <v/>
      </c>
      <c r="M562" s="60" t="str">
        <f t="array" ref="M562">iferror(index(dna!$J:$J,match($A562,dna!$A:$A,0)))</f>
        <v/>
      </c>
      <c r="N562" t="str">
        <f t="array" ref="N562">iferror(index(stomachs!$G:$G,match($A562,stomachs!$A:$A,0)))</f>
        <v/>
      </c>
      <c r="O562" t="str">
        <f t="array" ref="O562">iferror(index(stomachs!$J:$J,match($A562,stomachs!$A:$A,0)))</f>
        <v/>
      </c>
      <c r="P562" t="str">
        <f t="array" ref="P562">iferror(index(sea_lice!$G:$G,match($A562,sea_lice!$A:$A,0)))</f>
        <v/>
      </c>
      <c r="Q562" t="str">
        <f t="array" ref="Q562">iferror(index(sea_lice!$J:$J,match($A562,sea_lice!$A:$A,0)))</f>
        <v/>
      </c>
      <c r="R562" s="40" t="str">
        <f t="array" ref="R562">iferror(index(dissected_fish!$F:$F,match($A562,dissected_fish!$A:$A,0)))</f>
        <v>BCA105</v>
      </c>
      <c r="S562" s="40" t="str">
        <f t="array" ref="S562">iferror(index(dissected_fish!$K:$K,match($A562,dissected_fish!$A:$A,0)))</f>
        <v>N</v>
      </c>
      <c r="T562" s="61" t="str">
        <f t="array" ref="T562">index(fish_lab_data!O:O,match(A562,fish_lab_data!C:C,0))</f>
        <v>EJ</v>
      </c>
      <c r="U562" s="61">
        <f t="array" ref="U562">if(A562="","",index(fish_lab_data!X:X,match(A562,fish_lab_data!C:C,0)))</f>
        <v>561</v>
      </c>
    </row>
    <row r="563">
      <c r="A563" t="str">
        <f>fish_lab_data!C563</f>
        <v>U16670</v>
      </c>
      <c r="B563" t="str">
        <f t="array" ref="B563">iferror(index('rna-muscle'!$I:$I,match($A563,'rna-muscle'!$A:$A,0)))</f>
        <v>BRN68M-E7</v>
      </c>
      <c r="C563" t="str">
        <f t="array" ref="C563">iferror(index('rna-muscle'!$L:$L,match($A563,'rna-muscle'!$A:$A,0)))</f>
        <v>N</v>
      </c>
      <c r="D563" t="str">
        <f t="array" ref="D563">iferror(index('rna-gill'!$I:$I,match($A563,'rna-gill'!$A:$A,0)))</f>
        <v>BRN68G-E7</v>
      </c>
      <c r="E563" t="str">
        <f t="array" ref="E563">iferror(index('rna-gill'!$L:$L,match($A563,'rna-gill'!$A:$A,0)))</f>
        <v>N</v>
      </c>
      <c r="F563" t="str">
        <f t="array" ref="F563">iferror(index(fatty_acid!$G:$G,match($A563,fatty_acid!$A:$A,0)))</f>
        <v>BFA27-75</v>
      </c>
      <c r="G563" t="str">
        <f t="array" ref="G563">iferror(index(fatty_acid!$J:$J,match($A563,fatty_acid!$A:$A,0)))</f>
        <v>N</v>
      </c>
      <c r="H563" t="str">
        <f t="array" ref="H563">iferror(index(isotopes!$G:$G,match($A563,isotopes!$A:$A,0)))</f>
        <v>BIS28-79</v>
      </c>
      <c r="I563" t="str">
        <f t="array" ref="I563">iferror(index(isotopes!$J:$J,match($A563,isotopes!$A:$A,0)))</f>
        <v>N</v>
      </c>
      <c r="J563" t="str">
        <f t="array" ref="J563">iferror(index(extra_muscle!$G:$G,match($A563,extra_muscle!$A:$A,0)))</f>
        <v>BXM28-50</v>
      </c>
      <c r="K563" t="str">
        <f t="array" ref="K563">iferror(index(extra_muscle!$J:$J,match($A563,extra_muscle!$A:$A,0)))</f>
        <v>N</v>
      </c>
      <c r="L563" s="59" t="str">
        <f t="array" ref="L563">iferror(index(dna!$G:$G,match($A563,dna!$A:$A,0)))</f>
        <v/>
      </c>
      <c r="M563" s="60" t="str">
        <f t="array" ref="M563">iferror(index(dna!$J:$J,match($A563,dna!$A:$A,0)))</f>
        <v/>
      </c>
      <c r="N563" t="str">
        <f t="array" ref="N563">iferror(index(stomachs!$G:$G,match($A563,stomachs!$A:$A,0)))</f>
        <v/>
      </c>
      <c r="O563" t="str">
        <f t="array" ref="O563">iferror(index(stomachs!$J:$J,match($A563,stomachs!$A:$A,0)))</f>
        <v/>
      </c>
      <c r="P563" t="str">
        <f t="array" ref="P563">iferror(index(sea_lice!$G:$G,match($A563,sea_lice!$A:$A,0)))</f>
        <v/>
      </c>
      <c r="Q563" t="str">
        <f t="array" ref="Q563">iferror(index(sea_lice!$J:$J,match($A563,sea_lice!$A:$A,0)))</f>
        <v/>
      </c>
      <c r="R563" s="40" t="str">
        <f t="array" ref="R563">iferror(index(dissected_fish!$F:$F,match($A563,dissected_fish!$A:$A,0)))</f>
        <v>BCA105</v>
      </c>
      <c r="S563" s="40" t="str">
        <f t="array" ref="S563">iferror(index(dissected_fish!$K:$K,match($A563,dissected_fish!$A:$A,0)))</f>
        <v>N</v>
      </c>
      <c r="T563" s="61" t="str">
        <f t="array" ref="T563">index(fish_lab_data!O:O,match(A563,fish_lab_data!C:C,0))</f>
        <v>EJ</v>
      </c>
      <c r="U563" s="61">
        <f t="array" ref="U563">if(A563="","",index(fish_lab_data!X:X,match(A563,fish_lab_data!C:C,0)))</f>
        <v>562</v>
      </c>
    </row>
    <row r="564">
      <c r="A564" t="str">
        <f>fish_lab_data!C564</f>
        <v>U16345</v>
      </c>
      <c r="B564" t="str">
        <f t="array" ref="B564">iferror(index('rna-muscle'!$I:$I,match($A564,'rna-muscle'!$A:$A,0)))</f>
        <v>BRN68M-B1</v>
      </c>
      <c r="C564" t="str">
        <f t="array" ref="C564">iferror(index('rna-muscle'!$L:$L,match($A564,'rna-muscle'!$A:$A,0)))</f>
        <v>N</v>
      </c>
      <c r="D564" t="str">
        <f t="array" ref="D564">iferror(index('rna-gill'!$I:$I,match($A564,'rna-gill'!$A:$A,0)))</f>
        <v>BRN68G-B1</v>
      </c>
      <c r="E564" t="str">
        <f t="array" ref="E564">iferror(index('rna-gill'!$L:$L,match($A564,'rna-gill'!$A:$A,0)))</f>
        <v>N</v>
      </c>
      <c r="F564" t="str">
        <f t="array" ref="F564">iferror(index(fatty_acid!$G:$G,match($A564,fatty_acid!$A:$A,0)))</f>
        <v>BFA26-54</v>
      </c>
      <c r="G564" t="str">
        <f t="array" ref="G564">iferror(index(fatty_acid!$J:$J,match($A564,fatty_acid!$A:$A,0)))</f>
        <v>N</v>
      </c>
      <c r="H564" t="str">
        <f t="array" ref="H564">iferror(index(isotopes!$G:$G,match($A564,isotopes!$A:$A,0)))</f>
        <v>BIS29-54</v>
      </c>
      <c r="I564" t="str">
        <f t="array" ref="I564">iferror(index(isotopes!$J:$J,match($A564,isotopes!$A:$A,0)))</f>
        <v>N</v>
      </c>
      <c r="J564" t="str">
        <f t="array" ref="J564">iferror(index(extra_muscle!$G:$G,match($A564,extra_muscle!$A:$A,0)))</f>
        <v>BXM27-5455</v>
      </c>
      <c r="K564" t="str">
        <f t="array" ref="K564">iferror(index(extra_muscle!$J:$J,match($A564,extra_muscle!$A:$A,0)))</f>
        <v>N</v>
      </c>
      <c r="L564" s="59" t="str">
        <f t="array" ref="L564">iferror(index(dna!$G:$G,match($A564,dna!$A:$A,0)))</f>
        <v/>
      </c>
      <c r="M564" s="60" t="str">
        <f t="array" ref="M564">iferror(index(dna!$J:$J,match($A564,dna!$A:$A,0)))</f>
        <v/>
      </c>
      <c r="N564" t="str">
        <f t="array" ref="N564">iferror(index(stomachs!$G:$G,match($A564,stomachs!$A:$A,0)))</f>
        <v/>
      </c>
      <c r="O564" t="str">
        <f t="array" ref="O564">iferror(index(stomachs!$J:$J,match($A564,stomachs!$A:$A,0)))</f>
        <v/>
      </c>
      <c r="P564" t="str">
        <f t="array" ref="P564">iferror(index(sea_lice!$G:$G,match($A564,sea_lice!$A:$A,0)))</f>
        <v/>
      </c>
      <c r="Q564" t="str">
        <f t="array" ref="Q564">iferror(index(sea_lice!$J:$J,match($A564,sea_lice!$A:$A,0)))</f>
        <v/>
      </c>
      <c r="R564" s="40" t="str">
        <f t="array" ref="R564">iferror(index(dissected_fish!$F:$F,match($A564,dissected_fish!$A:$A,0)))</f>
        <v>BCA104</v>
      </c>
      <c r="S564" s="40" t="str">
        <f t="array" ref="S564">iferror(index(dissected_fish!$K:$K,match($A564,dissected_fish!$A:$A,0)))</f>
        <v>N</v>
      </c>
      <c r="T564" s="61" t="str">
        <f t="array" ref="T564">index(fish_lab_data!O:O,match(A564,fish_lab_data!C:C,0))</f>
        <v>KB</v>
      </c>
      <c r="U564" s="61">
        <f t="array" ref="U564">if(A564="","",index(fish_lab_data!X:X,match(A564,fish_lab_data!C:C,0)))</f>
        <v>563</v>
      </c>
    </row>
    <row r="565">
      <c r="A565" t="str">
        <f>fish_lab_data!C565</f>
        <v>U16346</v>
      </c>
      <c r="B565" t="str">
        <f t="array" ref="B565">iferror(index('rna-muscle'!$I:$I,match($A565,'rna-muscle'!$A:$A,0)))</f>
        <v>BRN68M-A1</v>
      </c>
      <c r="C565" t="str">
        <f t="array" ref="C565">iferror(index('rna-muscle'!$L:$L,match($A565,'rna-muscle'!$A:$A,0)))</f>
        <v>N</v>
      </c>
      <c r="D565" t="str">
        <f t="array" ref="D565">iferror(index('rna-gill'!$I:$I,match($A565,'rna-gill'!$A:$A,0)))</f>
        <v>BRN68G-A1</v>
      </c>
      <c r="E565" t="str">
        <f t="array" ref="E565">iferror(index('rna-gill'!$L:$L,match($A565,'rna-gill'!$A:$A,0)))</f>
        <v>N</v>
      </c>
      <c r="F565" t="str">
        <f t="array" ref="F565">iferror(index(fatty_acid!$G:$G,match($A565,fatty_acid!$A:$A,0)))</f>
        <v>BFA26-55</v>
      </c>
      <c r="G565" t="str">
        <f t="array" ref="G565">iferror(index(fatty_acid!$J:$J,match($A565,fatty_acid!$A:$A,0)))</f>
        <v>N</v>
      </c>
      <c r="H565" t="str">
        <f t="array" ref="H565">iferror(index(isotopes!$G:$G,match($A565,isotopes!$A:$A,0)))</f>
        <v>BIS29-55</v>
      </c>
      <c r="I565" t="str">
        <f t="array" ref="I565">iferror(index(isotopes!$J:$J,match($A565,isotopes!$A:$A,0)))</f>
        <v>N</v>
      </c>
      <c r="J565" t="str">
        <f t="array" ref="J565">iferror(index(extra_muscle!$G:$G,match($A565,extra_muscle!$A:$A,0)))</f>
        <v>BXM27-55</v>
      </c>
      <c r="K565" t="str">
        <f t="array" ref="K565">iferror(index(extra_muscle!$J:$J,match($A565,extra_muscle!$A:$A,0)))</f>
        <v>N</v>
      </c>
      <c r="L565" s="59" t="str">
        <f t="array" ref="L565">iferror(index(dna!$G:$G,match($A565,dna!$A:$A,0)))</f>
        <v/>
      </c>
      <c r="M565" s="60" t="str">
        <f t="array" ref="M565">iferror(index(dna!$J:$J,match($A565,dna!$A:$A,0)))</f>
        <v/>
      </c>
      <c r="N565" t="str">
        <f t="array" ref="N565">iferror(index(stomachs!$G:$G,match($A565,stomachs!$A:$A,0)))</f>
        <v/>
      </c>
      <c r="O565" t="str">
        <f t="array" ref="O565">iferror(index(stomachs!$J:$J,match($A565,stomachs!$A:$A,0)))</f>
        <v/>
      </c>
      <c r="P565" t="str">
        <f t="array" ref="P565">iferror(index(sea_lice!$G:$G,match($A565,sea_lice!$A:$A,0)))</f>
        <v/>
      </c>
      <c r="Q565" t="str">
        <f t="array" ref="Q565">iferror(index(sea_lice!$J:$J,match($A565,sea_lice!$A:$A,0)))</f>
        <v/>
      </c>
      <c r="R565" s="40" t="str">
        <f t="array" ref="R565">iferror(index(dissected_fish!$F:$F,match($A565,dissected_fish!$A:$A,0)))</f>
        <v>BCA104</v>
      </c>
      <c r="S565" s="40" t="str">
        <f t="array" ref="S565">iferror(index(dissected_fish!$K:$K,match($A565,dissected_fish!$A:$A,0)))</f>
        <v>N</v>
      </c>
      <c r="T565" s="61" t="str">
        <f t="array" ref="T565">index(fish_lab_data!O:O,match(A565,fish_lab_data!C:C,0))</f>
        <v>KB</v>
      </c>
      <c r="U565" s="61">
        <f t="array" ref="U565">if(A565="","",index(fish_lab_data!X:X,match(A565,fish_lab_data!C:C,0)))</f>
        <v>564</v>
      </c>
    </row>
    <row r="566">
      <c r="A566" t="str">
        <f>fish_lab_data!C566</f>
        <v>U16349</v>
      </c>
      <c r="B566" t="str">
        <f t="array" ref="B566">iferror(index('rna-muscle'!$I:$I,match($A566,'rna-muscle'!$A:$A,0)))</f>
        <v>BRN68M-H4</v>
      </c>
      <c r="C566" t="str">
        <f t="array" ref="C566">iferror(index('rna-muscle'!$L:$L,match($A566,'rna-muscle'!$A:$A,0)))</f>
        <v>N</v>
      </c>
      <c r="D566" t="str">
        <f t="array" ref="D566">iferror(index('rna-gill'!$I:$I,match($A566,'rna-gill'!$A:$A,0)))</f>
        <v>BRN68G-H4</v>
      </c>
      <c r="E566" t="str">
        <f t="array" ref="E566">iferror(index('rna-gill'!$L:$L,match($A566,'rna-gill'!$A:$A,0)))</f>
        <v>N</v>
      </c>
      <c r="F566" t="str">
        <f t="array" ref="F566">iferror(index(fatty_acid!$G:$G,match($A566,fatty_acid!$A:$A,0)))</f>
        <v>BFA26-56</v>
      </c>
      <c r="G566" t="str">
        <f t="array" ref="G566">iferror(index(fatty_acid!$J:$J,match($A566,fatty_acid!$A:$A,0)))</f>
        <v>N</v>
      </c>
      <c r="H566" t="str">
        <f t="array" ref="H566">iferror(index(isotopes!$G:$G,match($A566,isotopes!$A:$A,0)))</f>
        <v>BIS29-56</v>
      </c>
      <c r="I566" t="str">
        <f t="array" ref="I566">iferror(index(isotopes!$J:$J,match($A566,isotopes!$A:$A,0)))</f>
        <v>N</v>
      </c>
      <c r="J566" t="str">
        <f t="array" ref="J566">iferror(index(extra_muscle!$G:$G,match($A566,extra_muscle!$A:$A,0)))</f>
        <v>BXM27-56</v>
      </c>
      <c r="K566" t="str">
        <f t="array" ref="K566">iferror(index(extra_muscle!$J:$J,match($A566,extra_muscle!$A:$A,0)))</f>
        <v>N</v>
      </c>
      <c r="L566" s="59" t="str">
        <f t="array" ref="L566">iferror(index(dna!$G:$G,match($A566,dna!$A:$A,0)))</f>
        <v/>
      </c>
      <c r="M566" s="60" t="str">
        <f t="array" ref="M566">iferror(index(dna!$J:$J,match($A566,dna!$A:$A,0)))</f>
        <v/>
      </c>
      <c r="N566" t="str">
        <f t="array" ref="N566">iferror(index(stomachs!$G:$G,match($A566,stomachs!$A:$A,0)))</f>
        <v/>
      </c>
      <c r="O566" t="str">
        <f t="array" ref="O566">iferror(index(stomachs!$J:$J,match($A566,stomachs!$A:$A,0)))</f>
        <v/>
      </c>
      <c r="P566" t="str">
        <f t="array" ref="P566">iferror(index(sea_lice!$G:$G,match($A566,sea_lice!$A:$A,0)))</f>
        <v/>
      </c>
      <c r="Q566" t="str">
        <f t="array" ref="Q566">iferror(index(sea_lice!$J:$J,match($A566,sea_lice!$A:$A,0)))</f>
        <v/>
      </c>
      <c r="R566" s="40" t="str">
        <f t="array" ref="R566">iferror(index(dissected_fish!$F:$F,match($A566,dissected_fish!$A:$A,0)))</f>
        <v>BCA104</v>
      </c>
      <c r="S566" s="40" t="str">
        <f t="array" ref="S566">iferror(index(dissected_fish!$K:$K,match($A566,dissected_fish!$A:$A,0)))</f>
        <v>N</v>
      </c>
      <c r="T566" s="61" t="str">
        <f t="array" ref="T566">index(fish_lab_data!O:O,match(A566,fish_lab_data!C:C,0))</f>
        <v>KB</v>
      </c>
      <c r="U566" s="61">
        <f t="array" ref="U566">if(A566="","",index(fish_lab_data!X:X,match(A566,fish_lab_data!C:C,0)))</f>
        <v>565</v>
      </c>
    </row>
    <row r="567">
      <c r="A567" t="str">
        <f>fish_lab_data!C567</f>
        <v>U16348</v>
      </c>
      <c r="B567" t="str">
        <f t="array" ref="B567">iferror(index('rna-muscle'!$I:$I,match($A567,'rna-muscle'!$A:$A,0)))</f>
        <v>BRN68M-G4</v>
      </c>
      <c r="C567" t="str">
        <f t="array" ref="C567">iferror(index('rna-muscle'!$L:$L,match($A567,'rna-muscle'!$A:$A,0)))</f>
        <v>N</v>
      </c>
      <c r="D567" t="str">
        <f t="array" ref="D567">iferror(index('rna-gill'!$I:$I,match($A567,'rna-gill'!$A:$A,0)))</f>
        <v>BRN68G-G4</v>
      </c>
      <c r="E567" t="str">
        <f t="array" ref="E567">iferror(index('rna-gill'!$L:$L,match($A567,'rna-gill'!$A:$A,0)))</f>
        <v>N</v>
      </c>
      <c r="F567" t="str">
        <f t="array" ref="F567">iferror(index(fatty_acid!$G:$G,match($A567,fatty_acid!$A:$A,0)))</f>
        <v>BFA26-57</v>
      </c>
      <c r="G567" t="str">
        <f t="array" ref="G567">iferror(index(fatty_acid!$J:$J,match($A567,fatty_acid!$A:$A,0)))</f>
        <v>N</v>
      </c>
      <c r="H567" t="str">
        <f t="array" ref="H567">iferror(index(isotopes!$G:$G,match($A567,isotopes!$A:$A,0)))</f>
        <v>BIS29-57</v>
      </c>
      <c r="I567" t="str">
        <f t="array" ref="I567">iferror(index(isotopes!$J:$J,match($A567,isotopes!$A:$A,0)))</f>
        <v>N</v>
      </c>
      <c r="J567" t="str">
        <f t="array" ref="J567">iferror(index(extra_muscle!$G:$G,match($A567,extra_muscle!$A:$A,0)))</f>
        <v>BXM27-57</v>
      </c>
      <c r="K567" t="str">
        <f t="array" ref="K567">iferror(index(extra_muscle!$J:$J,match($A567,extra_muscle!$A:$A,0)))</f>
        <v>N</v>
      </c>
      <c r="L567" s="59" t="str">
        <f t="array" ref="L567">iferror(index(dna!$G:$G,match($A567,dna!$A:$A,0)))</f>
        <v/>
      </c>
      <c r="M567" s="60" t="str">
        <f t="array" ref="M567">iferror(index(dna!$J:$J,match($A567,dna!$A:$A,0)))</f>
        <v/>
      </c>
      <c r="N567" t="str">
        <f t="array" ref="N567">iferror(index(stomachs!$G:$G,match($A567,stomachs!$A:$A,0)))</f>
        <v/>
      </c>
      <c r="O567" t="str">
        <f t="array" ref="O567">iferror(index(stomachs!$J:$J,match($A567,stomachs!$A:$A,0)))</f>
        <v/>
      </c>
      <c r="P567" t="str">
        <f t="array" ref="P567">iferror(index(sea_lice!$G:$G,match($A567,sea_lice!$A:$A,0)))</f>
        <v/>
      </c>
      <c r="Q567" t="str">
        <f t="array" ref="Q567">iferror(index(sea_lice!$J:$J,match($A567,sea_lice!$A:$A,0)))</f>
        <v/>
      </c>
      <c r="R567" s="40" t="str">
        <f t="array" ref="R567">iferror(index(dissected_fish!$F:$F,match($A567,dissected_fish!$A:$A,0)))</f>
        <v>BCA104</v>
      </c>
      <c r="S567" s="40" t="str">
        <f t="array" ref="S567">iferror(index(dissected_fish!$K:$K,match($A567,dissected_fish!$A:$A,0)))</f>
        <v>N</v>
      </c>
      <c r="T567" s="61" t="str">
        <f t="array" ref="T567">index(fish_lab_data!O:O,match(A567,fish_lab_data!C:C,0))</f>
        <v>KB</v>
      </c>
      <c r="U567" s="61">
        <f t="array" ref="U567">if(A567="","",index(fish_lab_data!X:X,match(A567,fish_lab_data!C:C,0)))</f>
        <v>566</v>
      </c>
    </row>
    <row r="568">
      <c r="A568" t="str">
        <f>fish_lab_data!C568</f>
        <v>U16347</v>
      </c>
      <c r="B568" t="str">
        <f t="array" ref="B568">iferror(index('rna-muscle'!$I:$I,match($A568,'rna-muscle'!$A:$A,0)))</f>
        <v>BRN68M-F4</v>
      </c>
      <c r="C568" t="str">
        <f t="array" ref="C568">iferror(index('rna-muscle'!$L:$L,match($A568,'rna-muscle'!$A:$A,0)))</f>
        <v>N</v>
      </c>
      <c r="D568" t="str">
        <f t="array" ref="D568">iferror(index('rna-gill'!$I:$I,match($A568,'rna-gill'!$A:$A,0)))</f>
        <v>BRN68G-F4</v>
      </c>
      <c r="E568" t="str">
        <f t="array" ref="E568">iferror(index('rna-gill'!$L:$L,match($A568,'rna-gill'!$A:$A,0)))</f>
        <v>N</v>
      </c>
      <c r="F568" t="str">
        <f t="array" ref="F568">iferror(index(fatty_acid!$G:$G,match($A568,fatty_acid!$A:$A,0)))</f>
        <v>BFA26-58</v>
      </c>
      <c r="G568" t="str">
        <f t="array" ref="G568">iferror(index(fatty_acid!$J:$J,match($A568,fatty_acid!$A:$A,0)))</f>
        <v>N</v>
      </c>
      <c r="H568" t="str">
        <f t="array" ref="H568">iferror(index(isotopes!$G:$G,match($A568,isotopes!$A:$A,0)))</f>
        <v>BIS29-58</v>
      </c>
      <c r="I568" t="str">
        <f t="array" ref="I568">iferror(index(isotopes!$J:$J,match($A568,isotopes!$A:$A,0)))</f>
        <v>N</v>
      </c>
      <c r="J568" t="str">
        <f t="array" ref="J568">iferror(index(extra_muscle!$G:$G,match($A568,extra_muscle!$A:$A,0)))</f>
        <v>BXM27-58</v>
      </c>
      <c r="K568" t="str">
        <f t="array" ref="K568">iferror(index(extra_muscle!$J:$J,match($A568,extra_muscle!$A:$A,0)))</f>
        <v>N</v>
      </c>
      <c r="L568" s="59" t="str">
        <f t="array" ref="L568">iferror(index(dna!$G:$G,match($A568,dna!$A:$A,0)))</f>
        <v/>
      </c>
      <c r="M568" s="60" t="str">
        <f t="array" ref="M568">iferror(index(dna!$J:$J,match($A568,dna!$A:$A,0)))</f>
        <v/>
      </c>
      <c r="N568" t="str">
        <f t="array" ref="N568">iferror(index(stomachs!$G:$G,match($A568,stomachs!$A:$A,0)))</f>
        <v/>
      </c>
      <c r="O568" t="str">
        <f t="array" ref="O568">iferror(index(stomachs!$J:$J,match($A568,stomachs!$A:$A,0)))</f>
        <v/>
      </c>
      <c r="P568" t="str">
        <f t="array" ref="P568">iferror(index(sea_lice!$G:$G,match($A568,sea_lice!$A:$A,0)))</f>
        <v/>
      </c>
      <c r="Q568" t="str">
        <f t="array" ref="Q568">iferror(index(sea_lice!$J:$J,match($A568,sea_lice!$A:$A,0)))</f>
        <v/>
      </c>
      <c r="R568" s="40" t="str">
        <f t="array" ref="R568">iferror(index(dissected_fish!$F:$F,match($A568,dissected_fish!$A:$A,0)))</f>
        <v>BCA104</v>
      </c>
      <c r="S568" s="40" t="str">
        <f t="array" ref="S568">iferror(index(dissected_fish!$K:$K,match($A568,dissected_fish!$A:$A,0)))</f>
        <v>N</v>
      </c>
      <c r="T568" s="61" t="str">
        <f t="array" ref="T568">index(fish_lab_data!O:O,match(A568,fish_lab_data!C:C,0))</f>
        <v>KB</v>
      </c>
      <c r="U568" s="61">
        <f t="array" ref="U568">if(A568="","",index(fish_lab_data!X:X,match(A568,fish_lab_data!C:C,0)))</f>
        <v>567</v>
      </c>
    </row>
    <row r="569">
      <c r="A569" t="str">
        <f>fish_lab_data!C569</f>
        <v>U16717</v>
      </c>
      <c r="B569" t="str">
        <f t="array" ref="B569">iferror(index('rna-muscle'!$I:$I,match($A569,'rna-muscle'!$A:$A,0)))</f>
        <v>BRN68M-E4</v>
      </c>
      <c r="C569" t="str">
        <f t="array" ref="C569">iferror(index('rna-muscle'!$L:$L,match($A569,'rna-muscle'!$A:$A,0)))</f>
        <v>N</v>
      </c>
      <c r="D569" t="str">
        <f t="array" ref="D569">iferror(index('rna-gill'!$I:$I,match($A569,'rna-gill'!$A:$A,0)))</f>
        <v>BRN68G-E4</v>
      </c>
      <c r="E569" t="str">
        <f t="array" ref="E569">iferror(index('rna-gill'!$L:$L,match($A569,'rna-gill'!$A:$A,0)))</f>
        <v>N</v>
      </c>
      <c r="F569" t="str">
        <f t="array" ref="F569">iferror(index(fatty_acid!$G:$G,match($A569,fatty_acid!$A:$A,0)))</f>
        <v>BFA26-59</v>
      </c>
      <c r="G569" t="str">
        <f t="array" ref="G569">iferror(index(fatty_acid!$J:$J,match($A569,fatty_acid!$A:$A,0)))</f>
        <v>N</v>
      </c>
      <c r="H569" t="str">
        <f t="array" ref="H569">iferror(index(isotopes!$G:$G,match($A569,isotopes!$A:$A,0)))</f>
        <v>BIS29-59</v>
      </c>
      <c r="I569" t="str">
        <f t="array" ref="I569">iferror(index(isotopes!$J:$J,match($A569,isotopes!$A:$A,0)))</f>
        <v>N</v>
      </c>
      <c r="J569" t="str">
        <f t="array" ref="J569">iferror(index(extra_muscle!$G:$G,match($A569,extra_muscle!$A:$A,0)))</f>
        <v>BXM27-59</v>
      </c>
      <c r="K569" t="str">
        <f t="array" ref="K569">iferror(index(extra_muscle!$J:$J,match($A569,extra_muscle!$A:$A,0)))</f>
        <v>N</v>
      </c>
      <c r="L569" s="59" t="str">
        <f t="array" ref="L569">iferror(index(dna!$G:$G,match($A569,dna!$A:$A,0)))</f>
        <v/>
      </c>
      <c r="M569" s="60" t="str">
        <f t="array" ref="M569">iferror(index(dna!$J:$J,match($A569,dna!$A:$A,0)))</f>
        <v/>
      </c>
      <c r="N569" t="str">
        <f t="array" ref="N569">iferror(index(stomachs!$G:$G,match($A569,stomachs!$A:$A,0)))</f>
        <v/>
      </c>
      <c r="O569" t="str">
        <f t="array" ref="O569">iferror(index(stomachs!$J:$J,match($A569,stomachs!$A:$A,0)))</f>
        <v/>
      </c>
      <c r="P569" t="str">
        <f t="array" ref="P569">iferror(index(sea_lice!$G:$G,match($A569,sea_lice!$A:$A,0)))</f>
        <v/>
      </c>
      <c r="Q569" t="str">
        <f t="array" ref="Q569">iferror(index(sea_lice!$J:$J,match($A569,sea_lice!$A:$A,0)))</f>
        <v/>
      </c>
      <c r="R569" s="40" t="str">
        <f t="array" ref="R569">iferror(index(dissected_fish!$F:$F,match($A569,dissected_fish!$A:$A,0)))</f>
        <v>BCA105</v>
      </c>
      <c r="S569" s="40" t="str">
        <f t="array" ref="S569">iferror(index(dissected_fish!$K:$K,match($A569,dissected_fish!$A:$A,0)))</f>
        <v>N</v>
      </c>
      <c r="T569" s="61" t="str">
        <f t="array" ref="T569">index(fish_lab_data!O:O,match(A569,fish_lab_data!C:C,0))</f>
        <v>KB</v>
      </c>
      <c r="U569" s="61">
        <f t="array" ref="U569">if(A569="","",index(fish_lab_data!X:X,match(A569,fish_lab_data!C:C,0)))</f>
        <v>568</v>
      </c>
    </row>
    <row r="570">
      <c r="A570" t="str">
        <f>fish_lab_data!C570</f>
        <v>U16718</v>
      </c>
      <c r="B570" t="str">
        <f t="array" ref="B570">iferror(index('rna-muscle'!$I:$I,match($A570,'rna-muscle'!$A:$A,0)))</f>
        <v>BRN68M-D4</v>
      </c>
      <c r="C570" t="str">
        <f t="array" ref="C570">iferror(index('rna-muscle'!$L:$L,match($A570,'rna-muscle'!$A:$A,0)))</f>
        <v>N</v>
      </c>
      <c r="D570" t="str">
        <f t="array" ref="D570">iferror(index('rna-gill'!$I:$I,match($A570,'rna-gill'!$A:$A,0)))</f>
        <v>BRN68G-D4</v>
      </c>
      <c r="E570" t="str">
        <f t="array" ref="E570">iferror(index('rna-gill'!$L:$L,match($A570,'rna-gill'!$A:$A,0)))</f>
        <v>N</v>
      </c>
      <c r="F570" t="str">
        <f t="array" ref="F570">iferror(index(fatty_acid!$G:$G,match($A570,fatty_acid!$A:$A,0)))</f>
        <v>BFA26-60</v>
      </c>
      <c r="G570" t="str">
        <f t="array" ref="G570">iferror(index(fatty_acid!$J:$J,match($A570,fatty_acid!$A:$A,0)))</f>
        <v>N</v>
      </c>
      <c r="H570" t="str">
        <f t="array" ref="H570">iferror(index(isotopes!$G:$G,match($A570,isotopes!$A:$A,0)))</f>
        <v>BIS29-60</v>
      </c>
      <c r="I570" t="str">
        <f t="array" ref="I570">iferror(index(isotopes!$J:$J,match($A570,isotopes!$A:$A,0)))</f>
        <v>N</v>
      </c>
      <c r="J570" t="str">
        <f t="array" ref="J570">iferror(index(extra_muscle!$G:$G,match($A570,extra_muscle!$A:$A,0)))</f>
        <v>BXM27-60</v>
      </c>
      <c r="K570" t="str">
        <f t="array" ref="K570">iferror(index(extra_muscle!$J:$J,match($A570,extra_muscle!$A:$A,0)))</f>
        <v>N</v>
      </c>
      <c r="L570" s="59" t="str">
        <f t="array" ref="L570">iferror(index(dna!$G:$G,match($A570,dna!$A:$A,0)))</f>
        <v/>
      </c>
      <c r="M570" s="60" t="str">
        <f t="array" ref="M570">iferror(index(dna!$J:$J,match($A570,dna!$A:$A,0)))</f>
        <v/>
      </c>
      <c r="N570" t="str">
        <f t="array" ref="N570">iferror(index(stomachs!$G:$G,match($A570,stomachs!$A:$A,0)))</f>
        <v/>
      </c>
      <c r="O570" t="str">
        <f t="array" ref="O570">iferror(index(stomachs!$J:$J,match($A570,stomachs!$A:$A,0)))</f>
        <v/>
      </c>
      <c r="P570" t="str">
        <f t="array" ref="P570">iferror(index(sea_lice!$G:$G,match($A570,sea_lice!$A:$A,0)))</f>
        <v/>
      </c>
      <c r="Q570" t="str">
        <f t="array" ref="Q570">iferror(index(sea_lice!$J:$J,match($A570,sea_lice!$A:$A,0)))</f>
        <v/>
      </c>
      <c r="R570" s="40" t="str">
        <f t="array" ref="R570">iferror(index(dissected_fish!$F:$F,match($A570,dissected_fish!$A:$A,0)))</f>
        <v>BCA105</v>
      </c>
      <c r="S570" s="40" t="str">
        <f t="array" ref="S570">iferror(index(dissected_fish!$K:$K,match($A570,dissected_fish!$A:$A,0)))</f>
        <v>N</v>
      </c>
      <c r="T570" s="61" t="str">
        <f t="array" ref="T570">index(fish_lab_data!O:O,match(A570,fish_lab_data!C:C,0))</f>
        <v>KB</v>
      </c>
      <c r="U570" s="61">
        <f t="array" ref="U570">if(A570="","",index(fish_lab_data!X:X,match(A570,fish_lab_data!C:C,0)))</f>
        <v>569</v>
      </c>
    </row>
    <row r="571">
      <c r="A571" t="str">
        <f>fish_lab_data!C571</f>
        <v>U16716</v>
      </c>
      <c r="B571" t="str">
        <f t="array" ref="B571">iferror(index('rna-muscle'!$I:$I,match($A571,'rna-muscle'!$A:$A,0)))</f>
        <v>BRN68M-C4</v>
      </c>
      <c r="C571" t="str">
        <f t="array" ref="C571">iferror(index('rna-muscle'!$L:$L,match($A571,'rna-muscle'!$A:$A,0)))</f>
        <v>N</v>
      </c>
      <c r="D571" t="str">
        <f t="array" ref="D571">iferror(index('rna-gill'!$I:$I,match($A571,'rna-gill'!$A:$A,0)))</f>
        <v>BRN68G-C4</v>
      </c>
      <c r="E571" t="str">
        <f t="array" ref="E571">iferror(index('rna-gill'!$L:$L,match($A571,'rna-gill'!$A:$A,0)))</f>
        <v>N</v>
      </c>
      <c r="F571" t="str">
        <f t="array" ref="F571">iferror(index(fatty_acid!$G:$G,match($A571,fatty_acid!$A:$A,0)))</f>
        <v>BFA26-61</v>
      </c>
      <c r="G571" t="str">
        <f t="array" ref="G571">iferror(index(fatty_acid!$J:$J,match($A571,fatty_acid!$A:$A,0)))</f>
        <v>N</v>
      </c>
      <c r="H571" t="str">
        <f t="array" ref="H571">iferror(index(isotopes!$G:$G,match($A571,isotopes!$A:$A,0)))</f>
        <v>BIS29-61</v>
      </c>
      <c r="I571" t="str">
        <f t="array" ref="I571">iferror(index(isotopes!$J:$J,match($A571,isotopes!$A:$A,0)))</f>
        <v>N</v>
      </c>
      <c r="J571" t="str">
        <f t="array" ref="J571">iferror(index(extra_muscle!$G:$G,match($A571,extra_muscle!$A:$A,0)))</f>
        <v>BXM27-61</v>
      </c>
      <c r="K571" t="str">
        <f t="array" ref="K571">iferror(index(extra_muscle!$J:$J,match($A571,extra_muscle!$A:$A,0)))</f>
        <v>N</v>
      </c>
      <c r="L571" s="59" t="str">
        <f t="array" ref="L571">iferror(index(dna!$G:$G,match($A571,dna!$A:$A,0)))</f>
        <v/>
      </c>
      <c r="M571" s="60" t="str">
        <f t="array" ref="M571">iferror(index(dna!$J:$J,match($A571,dna!$A:$A,0)))</f>
        <v/>
      </c>
      <c r="N571" t="str">
        <f t="array" ref="N571">iferror(index(stomachs!$G:$G,match($A571,stomachs!$A:$A,0)))</f>
        <v/>
      </c>
      <c r="O571" t="str">
        <f t="array" ref="O571">iferror(index(stomachs!$J:$J,match($A571,stomachs!$A:$A,0)))</f>
        <v/>
      </c>
      <c r="P571" t="str">
        <f t="array" ref="P571">iferror(index(sea_lice!$G:$G,match($A571,sea_lice!$A:$A,0)))</f>
        <v/>
      </c>
      <c r="Q571" t="str">
        <f t="array" ref="Q571">iferror(index(sea_lice!$J:$J,match($A571,sea_lice!$A:$A,0)))</f>
        <v/>
      </c>
      <c r="R571" s="40" t="str">
        <f t="array" ref="R571">iferror(index(dissected_fish!$F:$F,match($A571,dissected_fish!$A:$A,0)))</f>
        <v>BCA105</v>
      </c>
      <c r="S571" s="40" t="str">
        <f t="array" ref="S571">iferror(index(dissected_fish!$K:$K,match($A571,dissected_fish!$A:$A,0)))</f>
        <v>N</v>
      </c>
      <c r="T571" s="61" t="str">
        <f t="array" ref="T571">index(fish_lab_data!O:O,match(A571,fish_lab_data!C:C,0))</f>
        <v>KB</v>
      </c>
      <c r="U571" s="61">
        <f t="array" ref="U571">if(A571="","",index(fish_lab_data!X:X,match(A571,fish_lab_data!C:C,0)))</f>
        <v>570</v>
      </c>
    </row>
    <row r="572">
      <c r="A572" t="str">
        <f>fish_lab_data!C572</f>
        <v>U16719</v>
      </c>
      <c r="B572" t="str">
        <f t="array" ref="B572">iferror(index('rna-muscle'!$I:$I,match($A572,'rna-muscle'!$A:$A,0)))</f>
        <v>BRN68M-B4</v>
      </c>
      <c r="C572" t="str">
        <f t="array" ref="C572">iferror(index('rna-muscle'!$L:$L,match($A572,'rna-muscle'!$A:$A,0)))</f>
        <v>N</v>
      </c>
      <c r="D572" t="str">
        <f t="array" ref="D572">iferror(index('rna-gill'!$I:$I,match($A572,'rna-gill'!$A:$A,0)))</f>
        <v>BRN68G-B4</v>
      </c>
      <c r="E572" t="str">
        <f t="array" ref="E572">iferror(index('rna-gill'!$L:$L,match($A572,'rna-gill'!$A:$A,0)))</f>
        <v>N</v>
      </c>
      <c r="F572" t="str">
        <f t="array" ref="F572">iferror(index(fatty_acid!$G:$G,match($A572,fatty_acid!$A:$A,0)))</f>
        <v>BFA26-62</v>
      </c>
      <c r="G572" t="str">
        <f t="array" ref="G572">iferror(index(fatty_acid!$J:$J,match($A572,fatty_acid!$A:$A,0)))</f>
        <v>N</v>
      </c>
      <c r="H572" t="str">
        <f t="array" ref="H572">iferror(index(isotopes!$G:$G,match($A572,isotopes!$A:$A,0)))</f>
        <v>BIS29-62</v>
      </c>
      <c r="I572" t="str">
        <f t="array" ref="I572">iferror(index(isotopes!$J:$J,match($A572,isotopes!$A:$A,0)))</f>
        <v>N</v>
      </c>
      <c r="J572" t="str">
        <f t="array" ref="J572">iferror(index(extra_muscle!$G:$G,match($A572,extra_muscle!$A:$A,0)))</f>
        <v>BXM27-62</v>
      </c>
      <c r="K572" t="str">
        <f t="array" ref="K572">iferror(index(extra_muscle!$J:$J,match($A572,extra_muscle!$A:$A,0)))</f>
        <v>N</v>
      </c>
      <c r="L572" s="59" t="str">
        <f t="array" ref="L572">iferror(index(dna!$G:$G,match($A572,dna!$A:$A,0)))</f>
        <v/>
      </c>
      <c r="M572" s="60" t="str">
        <f t="array" ref="M572">iferror(index(dna!$J:$J,match($A572,dna!$A:$A,0)))</f>
        <v/>
      </c>
      <c r="N572" t="str">
        <f t="array" ref="N572">iferror(index(stomachs!$G:$G,match($A572,stomachs!$A:$A,0)))</f>
        <v/>
      </c>
      <c r="O572" t="str">
        <f t="array" ref="O572">iferror(index(stomachs!$J:$J,match($A572,stomachs!$A:$A,0)))</f>
        <v/>
      </c>
      <c r="P572" t="str">
        <f t="array" ref="P572">iferror(index(sea_lice!$G:$G,match($A572,sea_lice!$A:$A,0)))</f>
        <v>BSL6-43</v>
      </c>
      <c r="Q572" t="str">
        <f t="array" ref="Q572">iferror(index(sea_lice!$J:$J,match($A572,sea_lice!$A:$A,0)))</f>
        <v>N</v>
      </c>
      <c r="R572" s="40" t="str">
        <f t="array" ref="R572">iferror(index(dissected_fish!$F:$F,match($A572,dissected_fish!$A:$A,0)))</f>
        <v>BCA105</v>
      </c>
      <c r="S572" s="40" t="str">
        <f t="array" ref="S572">iferror(index(dissected_fish!$K:$K,match($A572,dissected_fish!$A:$A,0)))</f>
        <v>N</v>
      </c>
      <c r="T572" s="61" t="str">
        <f t="array" ref="T572">index(fish_lab_data!O:O,match(A572,fish_lab_data!C:C,0))</f>
        <v>KB</v>
      </c>
      <c r="U572" s="61">
        <f t="array" ref="U572">if(A572="","",index(fish_lab_data!X:X,match(A572,fish_lab_data!C:C,0)))</f>
        <v>571</v>
      </c>
    </row>
    <row r="573">
      <c r="A573" t="str">
        <f>fish_lab_data!C573</f>
        <v>U16720</v>
      </c>
      <c r="B573" t="str">
        <f t="array" ref="B573">iferror(index('rna-muscle'!$I:$I,match($A573,'rna-muscle'!$A:$A,0)))</f>
        <v>BRN68M-A4</v>
      </c>
      <c r="C573" t="str">
        <f t="array" ref="C573">iferror(index('rna-muscle'!$L:$L,match($A573,'rna-muscle'!$A:$A,0)))</f>
        <v>N</v>
      </c>
      <c r="D573" t="str">
        <f t="array" ref="D573">iferror(index('rna-gill'!$I:$I,match($A573,'rna-gill'!$A:$A,0)))</f>
        <v>BRN68G-A4</v>
      </c>
      <c r="E573" t="str">
        <f t="array" ref="E573">iferror(index('rna-gill'!$L:$L,match($A573,'rna-gill'!$A:$A,0)))</f>
        <v>N</v>
      </c>
      <c r="F573" t="str">
        <f t="array" ref="F573">iferror(index(fatty_acid!$G:$G,match($A573,fatty_acid!$A:$A,0)))</f>
        <v>BFA26-63</v>
      </c>
      <c r="G573" t="str">
        <f t="array" ref="G573">iferror(index(fatty_acid!$J:$J,match($A573,fatty_acid!$A:$A,0)))</f>
        <v>N</v>
      </c>
      <c r="H573" t="str">
        <f t="array" ref="H573">iferror(index(isotopes!$G:$G,match($A573,isotopes!$A:$A,0)))</f>
        <v>BIS29-63</v>
      </c>
      <c r="I573" t="str">
        <f t="array" ref="I573">iferror(index(isotopes!$J:$J,match($A573,isotopes!$A:$A,0)))</f>
        <v>N</v>
      </c>
      <c r="J573" t="str">
        <f t="array" ref="J573">iferror(index(extra_muscle!$G:$G,match($A573,extra_muscle!$A:$A,0)))</f>
        <v>BXM27-63</v>
      </c>
      <c r="K573" t="str">
        <f t="array" ref="K573">iferror(index(extra_muscle!$J:$J,match($A573,extra_muscle!$A:$A,0)))</f>
        <v>N</v>
      </c>
      <c r="L573" s="59" t="str">
        <f t="array" ref="L573">iferror(index(dna!$G:$G,match($A573,dna!$A:$A,0)))</f>
        <v/>
      </c>
      <c r="M573" s="60" t="str">
        <f t="array" ref="M573">iferror(index(dna!$J:$J,match($A573,dna!$A:$A,0)))</f>
        <v/>
      </c>
      <c r="N573" t="str">
        <f t="array" ref="N573">iferror(index(stomachs!$G:$G,match($A573,stomachs!$A:$A,0)))</f>
        <v/>
      </c>
      <c r="O573" t="str">
        <f t="array" ref="O573">iferror(index(stomachs!$J:$J,match($A573,stomachs!$A:$A,0)))</f>
        <v/>
      </c>
      <c r="P573" t="str">
        <f t="array" ref="P573">iferror(index(sea_lice!$G:$G,match($A573,sea_lice!$A:$A,0)))</f>
        <v/>
      </c>
      <c r="Q573" t="str">
        <f t="array" ref="Q573">iferror(index(sea_lice!$J:$J,match($A573,sea_lice!$A:$A,0)))</f>
        <v/>
      </c>
      <c r="R573" s="40" t="str">
        <f t="array" ref="R573">iferror(index(dissected_fish!$F:$F,match($A573,dissected_fish!$A:$A,0)))</f>
        <v>BCA105</v>
      </c>
      <c r="S573" s="40" t="str">
        <f t="array" ref="S573">iferror(index(dissected_fish!$K:$K,match($A573,dissected_fish!$A:$A,0)))</f>
        <v>N</v>
      </c>
      <c r="T573" s="61" t="str">
        <f t="array" ref="T573">index(fish_lab_data!O:O,match(A573,fish_lab_data!C:C,0))</f>
        <v>KB</v>
      </c>
      <c r="U573" s="61">
        <f t="array" ref="U573">if(A573="","",index(fish_lab_data!X:X,match(A573,fish_lab_data!C:C,0)))</f>
        <v>572</v>
      </c>
    </row>
    <row r="574">
      <c r="A574" t="str">
        <f>fish_lab_data!C574</f>
        <v>U16711</v>
      </c>
      <c r="B574" t="str">
        <f t="array" ref="B574">iferror(index('rna-muscle'!$I:$I,match($A574,'rna-muscle'!$A:$A,0)))</f>
        <v>BRN68M-G6</v>
      </c>
      <c r="C574" t="str">
        <f t="array" ref="C574">iferror(index('rna-muscle'!$L:$L,match($A574,'rna-muscle'!$A:$A,0)))</f>
        <v>N</v>
      </c>
      <c r="D574" t="str">
        <f t="array" ref="D574">iferror(index('rna-gill'!$I:$I,match($A574,'rna-gill'!$A:$A,0)))</f>
        <v>BRN68G-G6</v>
      </c>
      <c r="E574" t="str">
        <f t="array" ref="E574">iferror(index('rna-gill'!$L:$L,match($A574,'rna-gill'!$A:$A,0)))</f>
        <v>N</v>
      </c>
      <c r="F574" t="str">
        <f t="array" ref="F574">iferror(index(fatty_acid!$G:$G,match($A574,fatty_acid!$A:$A,0)))</f>
        <v>BFA26-64</v>
      </c>
      <c r="G574" t="str">
        <f t="array" ref="G574">iferror(index(fatty_acid!$J:$J,match($A574,fatty_acid!$A:$A,0)))</f>
        <v>N</v>
      </c>
      <c r="H574" t="str">
        <f t="array" ref="H574">iferror(index(isotopes!$G:$G,match($A574,isotopes!$A:$A,0)))</f>
        <v>BIS29-64</v>
      </c>
      <c r="I574" t="str">
        <f t="array" ref="I574">iferror(index(isotopes!$J:$J,match($A574,isotopes!$A:$A,0)))</f>
        <v>N</v>
      </c>
      <c r="J574" t="str">
        <f t="array" ref="J574">iferror(index(extra_muscle!$G:$G,match($A574,extra_muscle!$A:$A,0)))</f>
        <v>BXM27-64</v>
      </c>
      <c r="K574" t="str">
        <f t="array" ref="K574">iferror(index(extra_muscle!$J:$J,match($A574,extra_muscle!$A:$A,0)))</f>
        <v>N</v>
      </c>
      <c r="L574" s="59" t="str">
        <f t="array" ref="L574">iferror(index(dna!$G:$G,match($A574,dna!$A:$A,0)))</f>
        <v/>
      </c>
      <c r="M574" s="60" t="str">
        <f t="array" ref="M574">iferror(index(dna!$J:$J,match($A574,dna!$A:$A,0)))</f>
        <v/>
      </c>
      <c r="N574" t="str">
        <f t="array" ref="N574">iferror(index(stomachs!$G:$G,match($A574,stomachs!$A:$A,0)))</f>
        <v/>
      </c>
      <c r="O574" t="str">
        <f t="array" ref="O574">iferror(index(stomachs!$J:$J,match($A574,stomachs!$A:$A,0)))</f>
        <v/>
      </c>
      <c r="P574" t="str">
        <f t="array" ref="P574">iferror(index(sea_lice!$G:$G,match($A574,sea_lice!$A:$A,0)))</f>
        <v/>
      </c>
      <c r="Q574" t="str">
        <f t="array" ref="Q574">iferror(index(sea_lice!$J:$J,match($A574,sea_lice!$A:$A,0)))</f>
        <v/>
      </c>
      <c r="R574" s="40" t="str">
        <f t="array" ref="R574">iferror(index(dissected_fish!$F:$F,match($A574,dissected_fish!$A:$A,0)))</f>
        <v>BCA105</v>
      </c>
      <c r="S574" s="40" t="str">
        <f t="array" ref="S574">iferror(index(dissected_fish!$K:$K,match($A574,dissected_fish!$A:$A,0)))</f>
        <v>N</v>
      </c>
      <c r="T574" s="61" t="str">
        <f t="array" ref="T574">index(fish_lab_data!O:O,match(A574,fish_lab_data!C:C,0))</f>
        <v>KB</v>
      </c>
      <c r="U574" s="61">
        <f t="array" ref="U574">if(A574="","",index(fish_lab_data!X:X,match(A574,fish_lab_data!C:C,0)))</f>
        <v>573</v>
      </c>
    </row>
    <row r="575">
      <c r="A575" t="str">
        <f>fish_lab_data!C575</f>
        <v>U16714</v>
      </c>
      <c r="B575" t="str">
        <f t="array" ref="B575">iferror(index('rna-muscle'!$I:$I,match($A575,'rna-muscle'!$A:$A,0)))</f>
        <v>BRN68M-F6</v>
      </c>
      <c r="C575" t="str">
        <f t="array" ref="C575">iferror(index('rna-muscle'!$L:$L,match($A575,'rna-muscle'!$A:$A,0)))</f>
        <v>N</v>
      </c>
      <c r="D575" t="str">
        <f t="array" ref="D575">iferror(index('rna-gill'!$I:$I,match($A575,'rna-gill'!$A:$A,0)))</f>
        <v>BRN68G-F6</v>
      </c>
      <c r="E575" t="str">
        <f t="array" ref="E575">iferror(index('rna-gill'!$L:$L,match($A575,'rna-gill'!$A:$A,0)))</f>
        <v>N</v>
      </c>
      <c r="F575" t="str">
        <f t="array" ref="F575">iferror(index(fatty_acid!$G:$G,match($A575,fatty_acid!$A:$A,0)))</f>
        <v>BFA26-65</v>
      </c>
      <c r="G575" t="str">
        <f t="array" ref="G575">iferror(index(fatty_acid!$J:$J,match($A575,fatty_acid!$A:$A,0)))</f>
        <v>N</v>
      </c>
      <c r="H575" t="str">
        <f t="array" ref="H575">iferror(index(isotopes!$G:$G,match($A575,isotopes!$A:$A,0)))</f>
        <v>BIS29-65</v>
      </c>
      <c r="I575" t="str">
        <f t="array" ref="I575">iferror(index(isotopes!$J:$J,match($A575,isotopes!$A:$A,0)))</f>
        <v>N</v>
      </c>
      <c r="J575" t="str">
        <f t="array" ref="J575">iferror(index(extra_muscle!$G:$G,match($A575,extra_muscle!$A:$A,0)))</f>
        <v>BXM27-65</v>
      </c>
      <c r="K575" t="str">
        <f t="array" ref="K575">iferror(index(extra_muscle!$J:$J,match($A575,extra_muscle!$A:$A,0)))</f>
        <v>N</v>
      </c>
      <c r="L575" s="59" t="str">
        <f t="array" ref="L575">iferror(index(dna!$G:$G,match($A575,dna!$A:$A,0)))</f>
        <v/>
      </c>
      <c r="M575" s="60" t="str">
        <f t="array" ref="M575">iferror(index(dna!$J:$J,match($A575,dna!$A:$A,0)))</f>
        <v/>
      </c>
      <c r="N575" t="str">
        <f t="array" ref="N575">iferror(index(stomachs!$G:$G,match($A575,stomachs!$A:$A,0)))</f>
        <v/>
      </c>
      <c r="O575" t="str">
        <f t="array" ref="O575">iferror(index(stomachs!$J:$J,match($A575,stomachs!$A:$A,0)))</f>
        <v/>
      </c>
      <c r="P575" t="str">
        <f t="array" ref="P575">iferror(index(sea_lice!$G:$G,match($A575,sea_lice!$A:$A,0)))</f>
        <v/>
      </c>
      <c r="Q575" t="str">
        <f t="array" ref="Q575">iferror(index(sea_lice!$J:$J,match($A575,sea_lice!$A:$A,0)))</f>
        <v/>
      </c>
      <c r="R575" s="40" t="str">
        <f t="array" ref="R575">iferror(index(dissected_fish!$F:$F,match($A575,dissected_fish!$A:$A,0)))</f>
        <v>BCA105</v>
      </c>
      <c r="S575" s="40" t="str">
        <f t="array" ref="S575">iferror(index(dissected_fish!$K:$K,match($A575,dissected_fish!$A:$A,0)))</f>
        <v>N</v>
      </c>
      <c r="T575" s="61" t="str">
        <f t="array" ref="T575">index(fish_lab_data!O:O,match(A575,fish_lab_data!C:C,0))</f>
        <v>KB</v>
      </c>
      <c r="U575" s="61">
        <f t="array" ref="U575">if(A575="","",index(fish_lab_data!X:X,match(A575,fish_lab_data!C:C,0)))</f>
        <v>574</v>
      </c>
    </row>
    <row r="576">
      <c r="A576" t="str">
        <f>fish_lab_data!C576</f>
        <v>U16712</v>
      </c>
      <c r="B576" t="str">
        <f t="array" ref="B576">iferror(index('rna-muscle'!$I:$I,match($A576,'rna-muscle'!$A:$A,0)))</f>
        <v>BRN68M-E6</v>
      </c>
      <c r="C576" t="str">
        <f t="array" ref="C576">iferror(index('rna-muscle'!$L:$L,match($A576,'rna-muscle'!$A:$A,0)))</f>
        <v>N</v>
      </c>
      <c r="D576" t="str">
        <f t="array" ref="D576">iferror(index('rna-gill'!$I:$I,match($A576,'rna-gill'!$A:$A,0)))</f>
        <v>BRN68G-E6</v>
      </c>
      <c r="E576" t="str">
        <f t="array" ref="E576">iferror(index('rna-gill'!$L:$L,match($A576,'rna-gill'!$A:$A,0)))</f>
        <v>N</v>
      </c>
      <c r="F576" t="str">
        <f t="array" ref="F576">iferror(index(fatty_acid!$G:$G,match($A576,fatty_acid!$A:$A,0)))</f>
        <v>BFA26-66</v>
      </c>
      <c r="G576" t="str">
        <f t="array" ref="G576">iferror(index(fatty_acid!$J:$J,match($A576,fatty_acid!$A:$A,0)))</f>
        <v>N</v>
      </c>
      <c r="H576" t="str">
        <f t="array" ref="H576">iferror(index(isotopes!$G:$G,match($A576,isotopes!$A:$A,0)))</f>
        <v>BIS29-66</v>
      </c>
      <c r="I576" t="str">
        <f t="array" ref="I576">iferror(index(isotopes!$J:$J,match($A576,isotopes!$A:$A,0)))</f>
        <v>N</v>
      </c>
      <c r="J576" t="str">
        <f t="array" ref="J576">iferror(index(extra_muscle!$G:$G,match($A576,extra_muscle!$A:$A,0)))</f>
        <v>BXM27-66</v>
      </c>
      <c r="K576" t="str">
        <f t="array" ref="K576">iferror(index(extra_muscle!$J:$J,match($A576,extra_muscle!$A:$A,0)))</f>
        <v>N</v>
      </c>
      <c r="L576" s="59" t="str">
        <f t="array" ref="L576">iferror(index(dna!$G:$G,match($A576,dna!$A:$A,0)))</f>
        <v/>
      </c>
      <c r="M576" s="60" t="str">
        <f t="array" ref="M576">iferror(index(dna!$J:$J,match($A576,dna!$A:$A,0)))</f>
        <v/>
      </c>
      <c r="N576" t="str">
        <f t="array" ref="N576">iferror(index(stomachs!$G:$G,match($A576,stomachs!$A:$A,0)))</f>
        <v/>
      </c>
      <c r="O576" t="str">
        <f t="array" ref="O576">iferror(index(stomachs!$J:$J,match($A576,stomachs!$A:$A,0)))</f>
        <v/>
      </c>
      <c r="P576" t="str">
        <f t="array" ref="P576">iferror(index(sea_lice!$G:$G,match($A576,sea_lice!$A:$A,0)))</f>
        <v/>
      </c>
      <c r="Q576" t="str">
        <f t="array" ref="Q576">iferror(index(sea_lice!$J:$J,match($A576,sea_lice!$A:$A,0)))</f>
        <v/>
      </c>
      <c r="R576" s="40" t="str">
        <f t="array" ref="R576">iferror(index(dissected_fish!$F:$F,match($A576,dissected_fish!$A:$A,0)))</f>
        <v>BCA105</v>
      </c>
      <c r="S576" s="40" t="str">
        <f t="array" ref="S576">iferror(index(dissected_fish!$K:$K,match($A576,dissected_fish!$A:$A,0)))</f>
        <v>N</v>
      </c>
      <c r="T576" s="61" t="str">
        <f t="array" ref="T576">index(fish_lab_data!O:O,match(A576,fish_lab_data!C:C,0))</f>
        <v>KB</v>
      </c>
      <c r="U576" s="61">
        <f t="array" ref="U576">if(A576="","",index(fish_lab_data!X:X,match(A576,fish_lab_data!C:C,0)))</f>
        <v>575</v>
      </c>
    </row>
    <row r="577">
      <c r="A577" t="str">
        <f>fish_lab_data!C577</f>
        <v>U16713</v>
      </c>
      <c r="B577" t="str">
        <f t="array" ref="B577">iferror(index('rna-muscle'!$I:$I,match($A577,'rna-muscle'!$A:$A,0)))</f>
        <v>BRN68M-D6</v>
      </c>
      <c r="C577" t="str">
        <f t="array" ref="C577">iferror(index('rna-muscle'!$L:$L,match($A577,'rna-muscle'!$A:$A,0)))</f>
        <v>N</v>
      </c>
      <c r="D577" t="str">
        <f t="array" ref="D577">iferror(index('rna-gill'!$I:$I,match($A577,'rna-gill'!$A:$A,0)))</f>
        <v>BRN68G-D6</v>
      </c>
      <c r="E577" t="str">
        <f t="array" ref="E577">iferror(index('rna-gill'!$L:$L,match($A577,'rna-gill'!$A:$A,0)))</f>
        <v>N</v>
      </c>
      <c r="F577" t="str">
        <f t="array" ref="F577">iferror(index(fatty_acid!$G:$G,match($A577,fatty_acid!$A:$A,0)))</f>
        <v>BFA26-67</v>
      </c>
      <c r="G577" t="str">
        <f t="array" ref="G577">iferror(index(fatty_acid!$J:$J,match($A577,fatty_acid!$A:$A,0)))</f>
        <v>N</v>
      </c>
      <c r="H577" t="str">
        <f t="array" ref="H577">iferror(index(isotopes!$G:$G,match($A577,isotopes!$A:$A,0)))</f>
        <v>BIS29-67</v>
      </c>
      <c r="I577" t="str">
        <f t="array" ref="I577">iferror(index(isotopes!$J:$J,match($A577,isotopes!$A:$A,0)))</f>
        <v>N</v>
      </c>
      <c r="J577" t="str">
        <f t="array" ref="J577">iferror(index(extra_muscle!$G:$G,match($A577,extra_muscle!$A:$A,0)))</f>
        <v>BXM27-67</v>
      </c>
      <c r="K577" t="str">
        <f t="array" ref="K577">iferror(index(extra_muscle!$J:$J,match($A577,extra_muscle!$A:$A,0)))</f>
        <v>N</v>
      </c>
      <c r="L577" s="59" t="str">
        <f t="array" ref="L577">iferror(index(dna!$G:$G,match($A577,dna!$A:$A,0)))</f>
        <v/>
      </c>
      <c r="M577" s="60" t="str">
        <f t="array" ref="M577">iferror(index(dna!$J:$J,match($A577,dna!$A:$A,0)))</f>
        <v/>
      </c>
      <c r="N577" t="str">
        <f t="array" ref="N577">iferror(index(stomachs!$G:$G,match($A577,stomachs!$A:$A,0)))</f>
        <v/>
      </c>
      <c r="O577" t="str">
        <f t="array" ref="O577">iferror(index(stomachs!$J:$J,match($A577,stomachs!$A:$A,0)))</f>
        <v/>
      </c>
      <c r="P577" t="str">
        <f t="array" ref="P577">iferror(index(sea_lice!$G:$G,match($A577,sea_lice!$A:$A,0)))</f>
        <v/>
      </c>
      <c r="Q577" t="str">
        <f t="array" ref="Q577">iferror(index(sea_lice!$J:$J,match($A577,sea_lice!$A:$A,0)))</f>
        <v/>
      </c>
      <c r="R577" s="40" t="str">
        <f t="array" ref="R577">iferror(index(dissected_fish!$F:$F,match($A577,dissected_fish!$A:$A,0)))</f>
        <v>BCA105</v>
      </c>
      <c r="S577" s="40" t="str">
        <f t="array" ref="S577">iferror(index(dissected_fish!$K:$K,match($A577,dissected_fish!$A:$A,0)))</f>
        <v>N</v>
      </c>
      <c r="T577" s="61" t="str">
        <f t="array" ref="T577">index(fish_lab_data!O:O,match(A577,fish_lab_data!C:C,0))</f>
        <v>KB</v>
      </c>
      <c r="U577" s="61">
        <f t="array" ref="U577">if(A577="","",index(fish_lab_data!X:X,match(A577,fish_lab_data!C:C,0)))</f>
        <v>576</v>
      </c>
    </row>
    <row r="578">
      <c r="A578" t="str">
        <f>fish_lab_data!C578</f>
        <v>U16715</v>
      </c>
      <c r="B578" t="str">
        <f t="array" ref="B578">iferror(index('rna-muscle'!$I:$I,match($A578,'rna-muscle'!$A:$A,0)))</f>
        <v>BRN68M-C6</v>
      </c>
      <c r="C578" t="str">
        <f t="array" ref="C578">iferror(index('rna-muscle'!$L:$L,match($A578,'rna-muscle'!$A:$A,0)))</f>
        <v>N</v>
      </c>
      <c r="D578" t="str">
        <f t="array" ref="D578">iferror(index('rna-gill'!$I:$I,match($A578,'rna-gill'!$A:$A,0)))</f>
        <v>BRN68G-C6</v>
      </c>
      <c r="E578" t="str">
        <f t="array" ref="E578">iferror(index('rna-gill'!$L:$L,match($A578,'rna-gill'!$A:$A,0)))</f>
        <v>N</v>
      </c>
      <c r="F578" t="str">
        <f t="array" ref="F578">iferror(index(fatty_acid!$G:$G,match($A578,fatty_acid!$A:$A,0)))</f>
        <v>BFA26-68</v>
      </c>
      <c r="G578" t="str">
        <f t="array" ref="G578">iferror(index(fatty_acid!$J:$J,match($A578,fatty_acid!$A:$A,0)))</f>
        <v>N</v>
      </c>
      <c r="H578" t="str">
        <f t="array" ref="H578">iferror(index(isotopes!$G:$G,match($A578,isotopes!$A:$A,0)))</f>
        <v>BIS29-68</v>
      </c>
      <c r="I578" t="str">
        <f t="array" ref="I578">iferror(index(isotopes!$J:$J,match($A578,isotopes!$A:$A,0)))</f>
        <v>N</v>
      </c>
      <c r="J578" t="str">
        <f t="array" ref="J578">iferror(index(extra_muscle!$G:$G,match($A578,extra_muscle!$A:$A,0)))</f>
        <v>BXM27-68</v>
      </c>
      <c r="K578" t="str">
        <f t="array" ref="K578">iferror(index(extra_muscle!$J:$J,match($A578,extra_muscle!$A:$A,0)))</f>
        <v>N</v>
      </c>
      <c r="L578" s="59" t="str">
        <f t="array" ref="L578">iferror(index(dna!$G:$G,match($A578,dna!$A:$A,0)))</f>
        <v/>
      </c>
      <c r="M578" s="60" t="str">
        <f t="array" ref="M578">iferror(index(dna!$J:$J,match($A578,dna!$A:$A,0)))</f>
        <v/>
      </c>
      <c r="N578" t="str">
        <f t="array" ref="N578">iferror(index(stomachs!$G:$G,match($A578,stomachs!$A:$A,0)))</f>
        <v/>
      </c>
      <c r="O578" t="str">
        <f t="array" ref="O578">iferror(index(stomachs!$J:$J,match($A578,stomachs!$A:$A,0)))</f>
        <v/>
      </c>
      <c r="P578" t="str">
        <f t="array" ref="P578">iferror(index(sea_lice!$G:$G,match($A578,sea_lice!$A:$A,0)))</f>
        <v/>
      </c>
      <c r="Q578" t="str">
        <f t="array" ref="Q578">iferror(index(sea_lice!$J:$J,match($A578,sea_lice!$A:$A,0)))</f>
        <v/>
      </c>
      <c r="R578" s="40" t="str">
        <f t="array" ref="R578">iferror(index(dissected_fish!$F:$F,match($A578,dissected_fish!$A:$A,0)))</f>
        <v>BCA105</v>
      </c>
      <c r="S578" s="40" t="str">
        <f t="array" ref="S578">iferror(index(dissected_fish!$K:$K,match($A578,dissected_fish!$A:$A,0)))</f>
        <v>N</v>
      </c>
      <c r="T578" s="61" t="str">
        <f t="array" ref="T578">index(fish_lab_data!O:O,match(A578,fish_lab_data!C:C,0))</f>
        <v>KB</v>
      </c>
      <c r="U578" s="61">
        <f t="array" ref="U578">if(A578="","",index(fish_lab_data!X:X,match(A578,fish_lab_data!C:C,0)))</f>
        <v>577</v>
      </c>
    </row>
    <row r="579">
      <c r="A579" t="str">
        <f>fish_lab_data!C579</f>
        <v>U16502</v>
      </c>
      <c r="B579" t="str">
        <f t="array" ref="B579">iferror(index('rna-muscle'!$I:$I,match($A579,'rna-muscle'!$A:$A,0)))</f>
        <v>BRN68M-B6</v>
      </c>
      <c r="C579" t="str">
        <f t="array" ref="C579">iferror(index('rna-muscle'!$L:$L,match($A579,'rna-muscle'!$A:$A,0)))</f>
        <v>N</v>
      </c>
      <c r="D579" t="str">
        <f t="array" ref="D579">iferror(index('rna-gill'!$I:$I,match($A579,'rna-gill'!$A:$A,0)))</f>
        <v>BRN68G-B6</v>
      </c>
      <c r="E579" t="str">
        <f t="array" ref="E579">iferror(index('rna-gill'!$L:$L,match($A579,'rna-gill'!$A:$A,0)))</f>
        <v>N</v>
      </c>
      <c r="F579" t="str">
        <f t="array" ref="F579">iferror(index(fatty_acid!$G:$G,match($A579,fatty_acid!$A:$A,0)))</f>
        <v>BFA26-69</v>
      </c>
      <c r="G579" t="str">
        <f t="array" ref="G579">iferror(index(fatty_acid!$J:$J,match($A579,fatty_acid!$A:$A,0)))</f>
        <v>N</v>
      </c>
      <c r="H579" t="str">
        <f t="array" ref="H579">iferror(index(isotopes!$G:$G,match($A579,isotopes!$A:$A,0)))</f>
        <v>BIS29-69</v>
      </c>
      <c r="I579" t="str">
        <f t="array" ref="I579">iferror(index(isotopes!$J:$J,match($A579,isotopes!$A:$A,0)))</f>
        <v>N</v>
      </c>
      <c r="J579" t="str">
        <f t="array" ref="J579">iferror(index(extra_muscle!$G:$G,match($A579,extra_muscle!$A:$A,0)))</f>
        <v>BXM27-69</v>
      </c>
      <c r="K579" t="str">
        <f t="array" ref="K579">iferror(index(extra_muscle!$J:$J,match($A579,extra_muscle!$A:$A,0)))</f>
        <v>N</v>
      </c>
      <c r="L579" s="59" t="str">
        <f t="array" ref="L579">iferror(index(dna!$G:$G,match($A579,dna!$A:$A,0)))</f>
        <v/>
      </c>
      <c r="M579" s="60" t="str">
        <f t="array" ref="M579">iferror(index(dna!$J:$J,match($A579,dna!$A:$A,0)))</f>
        <v/>
      </c>
      <c r="N579" t="str">
        <f t="array" ref="N579">iferror(index(stomachs!$G:$G,match($A579,stomachs!$A:$A,0)))</f>
        <v/>
      </c>
      <c r="O579" t="str">
        <f t="array" ref="O579">iferror(index(stomachs!$J:$J,match($A579,stomachs!$A:$A,0)))</f>
        <v/>
      </c>
      <c r="P579" t="str">
        <f t="array" ref="P579">iferror(index(sea_lice!$G:$G,match($A579,sea_lice!$A:$A,0)))</f>
        <v/>
      </c>
      <c r="Q579" t="str">
        <f t="array" ref="Q579">iferror(index(sea_lice!$J:$J,match($A579,sea_lice!$A:$A,0)))</f>
        <v/>
      </c>
      <c r="R579" s="40" t="str">
        <f t="array" ref="R579">iferror(index(dissected_fish!$F:$F,match($A579,dissected_fish!$A:$A,0)))</f>
        <v>BCA105</v>
      </c>
      <c r="S579" s="40" t="str">
        <f t="array" ref="S579">iferror(index(dissected_fish!$K:$K,match($A579,dissected_fish!$A:$A,0)))</f>
        <v>N</v>
      </c>
      <c r="T579" s="61" t="str">
        <f t="array" ref="T579">index(fish_lab_data!O:O,match(A579,fish_lab_data!C:C,0))</f>
        <v>KB</v>
      </c>
      <c r="U579" s="61">
        <f t="array" ref="U579">if(A579="","",index(fish_lab_data!X:X,match(A579,fish_lab_data!C:C,0)))</f>
        <v>578</v>
      </c>
    </row>
    <row r="580">
      <c r="A580" t="str">
        <f>fish_lab_data!C580</f>
        <v>U16501</v>
      </c>
      <c r="B580" t="str">
        <f t="array" ref="B580">iferror(index('rna-muscle'!$I:$I,match($A580,'rna-muscle'!$A:$A,0)))</f>
        <v>BRN68M-A6</v>
      </c>
      <c r="C580" t="str">
        <f t="array" ref="C580">iferror(index('rna-muscle'!$L:$L,match($A580,'rna-muscle'!$A:$A,0)))</f>
        <v>N</v>
      </c>
      <c r="D580" t="str">
        <f t="array" ref="D580">iferror(index('rna-gill'!$I:$I,match($A580,'rna-gill'!$A:$A,0)))</f>
        <v>BRN68G-A6</v>
      </c>
      <c r="E580" t="str">
        <f t="array" ref="E580">iferror(index('rna-gill'!$L:$L,match($A580,'rna-gill'!$A:$A,0)))</f>
        <v>N</v>
      </c>
      <c r="F580" t="str">
        <f t="array" ref="F580">iferror(index(fatty_acid!$G:$G,match($A580,fatty_acid!$A:$A,0)))</f>
        <v>BFA26-70</v>
      </c>
      <c r="G580" t="str">
        <f t="array" ref="G580">iferror(index(fatty_acid!$J:$J,match($A580,fatty_acid!$A:$A,0)))</f>
        <v>N</v>
      </c>
      <c r="H580" t="str">
        <f t="array" ref="H580">iferror(index(isotopes!$G:$G,match($A580,isotopes!$A:$A,0)))</f>
        <v>BIS29-70</v>
      </c>
      <c r="I580" t="str">
        <f t="array" ref="I580">iferror(index(isotopes!$J:$J,match($A580,isotopes!$A:$A,0)))</f>
        <v>N</v>
      </c>
      <c r="J580" t="str">
        <f t="array" ref="J580">iferror(index(extra_muscle!$G:$G,match($A580,extra_muscle!$A:$A,0)))</f>
        <v>BXM27-70</v>
      </c>
      <c r="K580" t="str">
        <f t="array" ref="K580">iferror(index(extra_muscle!$J:$J,match($A580,extra_muscle!$A:$A,0)))</f>
        <v>N</v>
      </c>
      <c r="L580" s="59" t="str">
        <f t="array" ref="L580">iferror(index(dna!$G:$G,match($A580,dna!$A:$A,0)))</f>
        <v/>
      </c>
      <c r="M580" s="60" t="str">
        <f t="array" ref="M580">iferror(index(dna!$J:$J,match($A580,dna!$A:$A,0)))</f>
        <v/>
      </c>
      <c r="N580" t="str">
        <f t="array" ref="N580">iferror(index(stomachs!$G:$G,match($A580,stomachs!$A:$A,0)))</f>
        <v/>
      </c>
      <c r="O580" t="str">
        <f t="array" ref="O580">iferror(index(stomachs!$J:$J,match($A580,stomachs!$A:$A,0)))</f>
        <v/>
      </c>
      <c r="P580" t="str">
        <f t="array" ref="P580">iferror(index(sea_lice!$G:$G,match($A580,sea_lice!$A:$A,0)))</f>
        <v/>
      </c>
      <c r="Q580" t="str">
        <f t="array" ref="Q580">iferror(index(sea_lice!$J:$J,match($A580,sea_lice!$A:$A,0)))</f>
        <v/>
      </c>
      <c r="R580" s="40" t="str">
        <f t="array" ref="R580">iferror(index(dissected_fish!$F:$F,match($A580,dissected_fish!$A:$A,0)))</f>
        <v>BCA105</v>
      </c>
      <c r="S580" s="40" t="str">
        <f t="array" ref="S580">iferror(index(dissected_fish!$K:$K,match($A580,dissected_fish!$A:$A,0)))</f>
        <v>N</v>
      </c>
      <c r="T580" s="61" t="str">
        <f t="array" ref="T580">index(fish_lab_data!O:O,match(A580,fish_lab_data!C:C,0))</f>
        <v>KB</v>
      </c>
      <c r="U580" s="61">
        <f t="array" ref="U580">if(A580="","",index(fish_lab_data!X:X,match(A580,fish_lab_data!C:C,0)))</f>
        <v>579</v>
      </c>
    </row>
    <row r="581">
      <c r="A581" t="str">
        <f>fish_lab_data!C581</f>
        <v>U16504</v>
      </c>
      <c r="B581" t="str">
        <f t="array" ref="B581">iferror(index('rna-muscle'!$I:$I,match($A581,'rna-muscle'!$A:$A,0)))</f>
        <v>BRN68M-H8</v>
      </c>
      <c r="C581" t="str">
        <f t="array" ref="C581">iferror(index('rna-muscle'!$L:$L,match($A581,'rna-muscle'!$A:$A,0)))</f>
        <v>N</v>
      </c>
      <c r="D581" t="str">
        <f t="array" ref="D581">iferror(index('rna-gill'!$I:$I,match($A581,'rna-gill'!$A:$A,0)))</f>
        <v>BRN68G-H8</v>
      </c>
      <c r="E581" t="str">
        <f t="array" ref="E581">iferror(index('rna-gill'!$L:$L,match($A581,'rna-gill'!$A:$A,0)))</f>
        <v>N</v>
      </c>
      <c r="F581" t="str">
        <f t="array" ref="F581">iferror(index(fatty_acid!$G:$G,match($A581,fatty_acid!$A:$A,0)))</f>
        <v>BFA26-71</v>
      </c>
      <c r="G581" t="str">
        <f t="array" ref="G581">iferror(index(fatty_acid!$J:$J,match($A581,fatty_acid!$A:$A,0)))</f>
        <v>N</v>
      </c>
      <c r="H581" t="str">
        <f t="array" ref="H581">iferror(index(isotopes!$G:$G,match($A581,isotopes!$A:$A,0)))</f>
        <v>BIS29-71</v>
      </c>
      <c r="I581" t="str">
        <f t="array" ref="I581">iferror(index(isotopes!$J:$J,match($A581,isotopes!$A:$A,0)))</f>
        <v>N</v>
      </c>
      <c r="J581" t="str">
        <f t="array" ref="J581">iferror(index(extra_muscle!$G:$G,match($A581,extra_muscle!$A:$A,0)))</f>
        <v>BXM27-71</v>
      </c>
      <c r="K581" t="str">
        <f t="array" ref="K581">iferror(index(extra_muscle!$J:$J,match($A581,extra_muscle!$A:$A,0)))</f>
        <v>N</v>
      </c>
      <c r="L581" s="59" t="str">
        <f t="array" ref="L581">iferror(index(dna!$G:$G,match($A581,dna!$A:$A,0)))</f>
        <v/>
      </c>
      <c r="M581" s="60" t="str">
        <f t="array" ref="M581">iferror(index(dna!$J:$J,match($A581,dna!$A:$A,0)))</f>
        <v/>
      </c>
      <c r="N581" t="str">
        <f t="array" ref="N581">iferror(index(stomachs!$G:$G,match($A581,stomachs!$A:$A,0)))</f>
        <v/>
      </c>
      <c r="O581" t="str">
        <f t="array" ref="O581">iferror(index(stomachs!$J:$J,match($A581,stomachs!$A:$A,0)))</f>
        <v/>
      </c>
      <c r="P581" t="str">
        <f t="array" ref="P581">iferror(index(sea_lice!$G:$G,match($A581,sea_lice!$A:$A,0)))</f>
        <v/>
      </c>
      <c r="Q581" t="str">
        <f t="array" ref="Q581">iferror(index(sea_lice!$J:$J,match($A581,sea_lice!$A:$A,0)))</f>
        <v/>
      </c>
      <c r="R581" s="40" t="str">
        <f t="array" ref="R581">iferror(index(dissected_fish!$F:$F,match($A581,dissected_fish!$A:$A,0)))</f>
        <v>BCA105</v>
      </c>
      <c r="S581" s="40" t="str">
        <f t="array" ref="S581">iferror(index(dissected_fish!$K:$K,match($A581,dissected_fish!$A:$A,0)))</f>
        <v>N</v>
      </c>
      <c r="T581" s="61" t="str">
        <f t="array" ref="T581">index(fish_lab_data!O:O,match(A581,fish_lab_data!C:C,0))</f>
        <v>KB</v>
      </c>
      <c r="U581" s="61">
        <f t="array" ref="U581">if(A581="","",index(fish_lab_data!X:X,match(A581,fish_lab_data!C:C,0)))</f>
        <v>580</v>
      </c>
    </row>
    <row r="582">
      <c r="A582" t="str">
        <f>fish_lab_data!C582</f>
        <v>U16508</v>
      </c>
      <c r="B582" t="str">
        <f t="array" ref="B582">iferror(index('rna-muscle'!$I:$I,match($A582,'rna-muscle'!$A:$A,0)))</f>
        <v>BRN68M-G8</v>
      </c>
      <c r="C582" t="str">
        <f t="array" ref="C582">iferror(index('rna-muscle'!$L:$L,match($A582,'rna-muscle'!$A:$A,0)))</f>
        <v>N</v>
      </c>
      <c r="D582" t="str">
        <f t="array" ref="D582">iferror(index('rna-gill'!$I:$I,match($A582,'rna-gill'!$A:$A,0)))</f>
        <v>BRN68G-G8</v>
      </c>
      <c r="E582" t="str">
        <f t="array" ref="E582">iferror(index('rna-gill'!$L:$L,match($A582,'rna-gill'!$A:$A,0)))</f>
        <v>N</v>
      </c>
      <c r="F582" t="str">
        <f t="array" ref="F582">iferror(index(fatty_acid!$G:$G,match($A582,fatty_acid!$A:$A,0)))</f>
        <v>BFA26-72</v>
      </c>
      <c r="G582" t="str">
        <f t="array" ref="G582">iferror(index(fatty_acid!$J:$J,match($A582,fatty_acid!$A:$A,0)))</f>
        <v>N</v>
      </c>
      <c r="H582" t="str">
        <f t="array" ref="H582">iferror(index(isotopes!$G:$G,match($A582,isotopes!$A:$A,0)))</f>
        <v>BIS29-72</v>
      </c>
      <c r="I582" t="str">
        <f t="array" ref="I582">iferror(index(isotopes!$J:$J,match($A582,isotopes!$A:$A,0)))</f>
        <v>N</v>
      </c>
      <c r="J582" t="str">
        <f t="array" ref="J582">iferror(index(extra_muscle!$G:$G,match($A582,extra_muscle!$A:$A,0)))</f>
        <v>BXM27-72</v>
      </c>
      <c r="K582" t="str">
        <f t="array" ref="K582">iferror(index(extra_muscle!$J:$J,match($A582,extra_muscle!$A:$A,0)))</f>
        <v>N</v>
      </c>
      <c r="L582" s="59" t="str">
        <f t="array" ref="L582">iferror(index(dna!$G:$G,match($A582,dna!$A:$A,0)))</f>
        <v/>
      </c>
      <c r="M582" s="60" t="str">
        <f t="array" ref="M582">iferror(index(dna!$J:$J,match($A582,dna!$A:$A,0)))</f>
        <v/>
      </c>
      <c r="N582" t="str">
        <f t="array" ref="N582">iferror(index(stomachs!$G:$G,match($A582,stomachs!$A:$A,0)))</f>
        <v/>
      </c>
      <c r="O582" t="str">
        <f t="array" ref="O582">iferror(index(stomachs!$J:$J,match($A582,stomachs!$A:$A,0)))</f>
        <v/>
      </c>
      <c r="P582" t="str">
        <f t="array" ref="P582">iferror(index(sea_lice!$G:$G,match($A582,sea_lice!$A:$A,0)))</f>
        <v/>
      </c>
      <c r="Q582" t="str">
        <f t="array" ref="Q582">iferror(index(sea_lice!$J:$J,match($A582,sea_lice!$A:$A,0)))</f>
        <v/>
      </c>
      <c r="R582" s="40" t="str">
        <f t="array" ref="R582">iferror(index(dissected_fish!$F:$F,match($A582,dissected_fish!$A:$A,0)))</f>
        <v>BCA105</v>
      </c>
      <c r="S582" s="40" t="str">
        <f t="array" ref="S582">iferror(index(dissected_fish!$K:$K,match($A582,dissected_fish!$A:$A,0)))</f>
        <v>N</v>
      </c>
      <c r="T582" s="61" t="str">
        <f t="array" ref="T582">index(fish_lab_data!O:O,match(A582,fish_lab_data!C:C,0))</f>
        <v>KB</v>
      </c>
      <c r="U582" s="61">
        <f t="array" ref="U582">if(A582="","",index(fish_lab_data!X:X,match(A582,fish_lab_data!C:C,0)))</f>
        <v>581</v>
      </c>
    </row>
    <row r="583">
      <c r="A583" t="str">
        <f>fish_lab_data!C583</f>
        <v>U16509</v>
      </c>
      <c r="B583" t="str">
        <f t="array" ref="B583">iferror(index('rna-muscle'!$I:$I,match($A583,'rna-muscle'!$A:$A,0)))</f>
        <v>BRN68M-F8</v>
      </c>
      <c r="C583" t="str">
        <f t="array" ref="C583">iferror(index('rna-muscle'!$L:$L,match($A583,'rna-muscle'!$A:$A,0)))</f>
        <v>N</v>
      </c>
      <c r="D583" t="str">
        <f t="array" ref="D583">iferror(index('rna-gill'!$I:$I,match($A583,'rna-gill'!$A:$A,0)))</f>
        <v>BRN68G-F8</v>
      </c>
      <c r="E583" t="str">
        <f t="array" ref="E583">iferror(index('rna-gill'!$L:$L,match($A583,'rna-gill'!$A:$A,0)))</f>
        <v>N</v>
      </c>
      <c r="F583" t="str">
        <f t="array" ref="F583">iferror(index(fatty_acid!$G:$G,match($A583,fatty_acid!$A:$A,0)))</f>
        <v>BFA26-73</v>
      </c>
      <c r="G583" t="str">
        <f t="array" ref="G583">iferror(index(fatty_acid!$J:$J,match($A583,fatty_acid!$A:$A,0)))</f>
        <v>N</v>
      </c>
      <c r="H583" t="str">
        <f t="array" ref="H583">iferror(index(isotopes!$G:$G,match($A583,isotopes!$A:$A,0)))</f>
        <v>BIS29-73</v>
      </c>
      <c r="I583" t="str">
        <f t="array" ref="I583">iferror(index(isotopes!$J:$J,match($A583,isotopes!$A:$A,0)))</f>
        <v>N</v>
      </c>
      <c r="J583" t="str">
        <f t="array" ref="J583">iferror(index(extra_muscle!$G:$G,match($A583,extra_muscle!$A:$A,0)))</f>
        <v>BXM27-73</v>
      </c>
      <c r="K583" t="str">
        <f t="array" ref="K583">iferror(index(extra_muscle!$J:$J,match($A583,extra_muscle!$A:$A,0)))</f>
        <v>N</v>
      </c>
      <c r="L583" s="59" t="str">
        <f t="array" ref="L583">iferror(index(dna!$G:$G,match($A583,dna!$A:$A,0)))</f>
        <v/>
      </c>
      <c r="M583" s="60" t="str">
        <f t="array" ref="M583">iferror(index(dna!$J:$J,match($A583,dna!$A:$A,0)))</f>
        <v/>
      </c>
      <c r="N583" t="str">
        <f t="array" ref="N583">iferror(index(stomachs!$G:$G,match($A583,stomachs!$A:$A,0)))</f>
        <v/>
      </c>
      <c r="O583" t="str">
        <f t="array" ref="O583">iferror(index(stomachs!$J:$J,match($A583,stomachs!$A:$A,0)))</f>
        <v/>
      </c>
      <c r="P583" t="str">
        <f t="array" ref="P583">iferror(index(sea_lice!$G:$G,match($A583,sea_lice!$A:$A,0)))</f>
        <v>BSL6-46</v>
      </c>
      <c r="Q583" t="str">
        <f t="array" ref="Q583">iferror(index(sea_lice!$J:$J,match($A583,sea_lice!$A:$A,0)))</f>
        <v>N</v>
      </c>
      <c r="R583" s="40" t="str">
        <f t="array" ref="R583">iferror(index(dissected_fish!$F:$F,match($A583,dissected_fish!$A:$A,0)))</f>
        <v>BCA105</v>
      </c>
      <c r="S583" s="40" t="str">
        <f t="array" ref="S583">iferror(index(dissected_fish!$K:$K,match($A583,dissected_fish!$A:$A,0)))</f>
        <v>N</v>
      </c>
      <c r="T583" s="61" t="str">
        <f t="array" ref="T583">index(fish_lab_data!O:O,match(A583,fish_lab_data!C:C,0))</f>
        <v>KB</v>
      </c>
      <c r="U583" s="61">
        <f t="array" ref="U583">if(A583="","",index(fish_lab_data!X:X,match(A583,fish_lab_data!C:C,0)))</f>
        <v>582</v>
      </c>
    </row>
    <row r="584">
      <c r="A584" t="str">
        <f>fish_lab_data!C584</f>
        <v>U16167</v>
      </c>
      <c r="B584" t="str">
        <f t="array" ref="B584">iferror(index('rna-muscle'!$I:$I,match($A584,'rna-muscle'!$A:$A,0)))</f>
        <v>BRN68M-D7</v>
      </c>
      <c r="C584" t="str">
        <f t="array" ref="C584">iferror(index('rna-muscle'!$L:$L,match($A584,'rna-muscle'!$A:$A,0)))</f>
        <v>N</v>
      </c>
      <c r="D584" t="str">
        <f t="array" ref="D584">iferror(index('rna-gill'!$I:$I,match($A584,'rna-gill'!$A:$A,0)))</f>
        <v>BRN68G-D7</v>
      </c>
      <c r="E584" t="str">
        <f t="array" ref="E584">iferror(index('rna-gill'!$L:$L,match($A584,'rna-gill'!$A:$A,0)))</f>
        <v>N</v>
      </c>
      <c r="F584" t="str">
        <f t="array" ref="F584">iferror(index(fatty_acid!$G:$G,match($A584,fatty_acid!$A:$A,0)))</f>
        <v>BFA27-77</v>
      </c>
      <c r="G584" t="str">
        <f t="array" ref="G584">iferror(index(fatty_acid!$J:$J,match($A584,fatty_acid!$A:$A,0)))</f>
        <v>N</v>
      </c>
      <c r="H584" t="str">
        <f t="array" ref="H584">iferror(index(isotopes!$G:$G,match($A584,isotopes!$A:$A,0)))</f>
        <v>BIS28-80</v>
      </c>
      <c r="I584" t="str">
        <f t="array" ref="I584">iferror(index(isotopes!$J:$J,match($A584,isotopes!$A:$A,0)))</f>
        <v>N</v>
      </c>
      <c r="J584" t="str">
        <f t="array" ref="J584">iferror(index(extra_muscle!$G:$G,match($A584,extra_muscle!$A:$A,0)))</f>
        <v>BXM28-61</v>
      </c>
      <c r="K584" t="str">
        <f t="array" ref="K584">iferror(index(extra_muscle!$J:$J,match($A584,extra_muscle!$A:$A,0)))</f>
        <v>N</v>
      </c>
      <c r="L584" s="59" t="str">
        <f t="array" ref="L584">iferror(index(dna!$G:$G,match($A584,dna!$A:$A,0)))</f>
        <v/>
      </c>
      <c r="M584" s="60" t="str">
        <f t="array" ref="M584">iferror(index(dna!$J:$J,match($A584,dna!$A:$A,0)))</f>
        <v/>
      </c>
      <c r="N584" t="str">
        <f t="array" ref="N584">iferror(index(stomachs!$G:$G,match($A584,stomachs!$A:$A,0)))</f>
        <v/>
      </c>
      <c r="O584" t="str">
        <f t="array" ref="O584">iferror(index(stomachs!$J:$J,match($A584,stomachs!$A:$A,0)))</f>
        <v/>
      </c>
      <c r="P584" t="str">
        <f t="array" ref="P584">iferror(index(sea_lice!$G:$G,match($A584,sea_lice!$A:$A,0)))</f>
        <v/>
      </c>
      <c r="Q584" t="str">
        <f t="array" ref="Q584">iferror(index(sea_lice!$J:$J,match($A584,sea_lice!$A:$A,0)))</f>
        <v/>
      </c>
      <c r="R584" s="40" t="str">
        <f t="array" ref="R584">iferror(index(dissected_fish!$F:$F,match($A584,dissected_fish!$A:$A,0)))</f>
        <v>BCA105</v>
      </c>
      <c r="S584" s="40" t="str">
        <f t="array" ref="S584">iferror(index(dissected_fish!$K:$K,match($A584,dissected_fish!$A:$A,0)))</f>
        <v>N</v>
      </c>
      <c r="T584" s="61" t="str">
        <f t="array" ref="T584">index(fish_lab_data!O:O,match(A584,fish_lab_data!C:C,0))</f>
        <v>EJ</v>
      </c>
      <c r="U584" s="61">
        <f t="array" ref="U584">if(A584="","",index(fish_lab_data!X:X,match(A584,fish_lab_data!C:C,0)))</f>
        <v>583</v>
      </c>
    </row>
    <row r="585">
      <c r="A585" t="str">
        <f>fish_lab_data!C585</f>
        <v>U16169</v>
      </c>
      <c r="B585" t="str">
        <f t="array" ref="B585">iferror(index('rna-muscle'!$I:$I,match($A585,'rna-muscle'!$A:$A,0)))</f>
        <v>BRN68M-C7</v>
      </c>
      <c r="C585" t="str">
        <f t="array" ref="C585">iferror(index('rna-muscle'!$L:$L,match($A585,'rna-muscle'!$A:$A,0)))</f>
        <v>N</v>
      </c>
      <c r="D585" t="str">
        <f t="array" ref="D585">iferror(index('rna-gill'!$I:$I,match($A585,'rna-gill'!$A:$A,0)))</f>
        <v>BRN68G-C7</v>
      </c>
      <c r="E585" t="str">
        <f t="array" ref="E585">iferror(index('rna-gill'!$L:$L,match($A585,'rna-gill'!$A:$A,0)))</f>
        <v>N</v>
      </c>
      <c r="F585" t="str">
        <f t="array" ref="F585">iferror(index(fatty_acid!$G:$G,match($A585,fatty_acid!$A:$A,0)))</f>
        <v>BFA27-78</v>
      </c>
      <c r="G585" t="str">
        <f t="array" ref="G585">iferror(index(fatty_acid!$J:$J,match($A585,fatty_acid!$A:$A,0)))</f>
        <v>N</v>
      </c>
      <c r="H585" t="str">
        <f t="array" ref="H585">iferror(index(isotopes!$G:$G,match($A585,isotopes!$A:$A,0)))</f>
        <v>BIS30-1</v>
      </c>
      <c r="I585" t="str">
        <f t="array" ref="I585">iferror(index(isotopes!$J:$J,match($A585,isotopes!$A:$A,0)))</f>
        <v>N</v>
      </c>
      <c r="J585" t="str">
        <f t="array" ref="J585">iferror(index(extra_muscle!$G:$G,match($A585,extra_muscle!$A:$A,0)))</f>
        <v>BXM28-62</v>
      </c>
      <c r="K585" t="str">
        <f t="array" ref="K585">iferror(index(extra_muscle!$J:$J,match($A585,extra_muscle!$A:$A,0)))</f>
        <v>N</v>
      </c>
      <c r="L585" s="59" t="str">
        <f t="array" ref="L585">iferror(index(dna!$G:$G,match($A585,dna!$A:$A,0)))</f>
        <v/>
      </c>
      <c r="M585" s="60" t="str">
        <f t="array" ref="M585">iferror(index(dna!$J:$J,match($A585,dna!$A:$A,0)))</f>
        <v/>
      </c>
      <c r="N585" t="str">
        <f t="array" ref="N585">iferror(index(stomachs!$G:$G,match($A585,stomachs!$A:$A,0)))</f>
        <v/>
      </c>
      <c r="O585" t="str">
        <f t="array" ref="O585">iferror(index(stomachs!$J:$J,match($A585,stomachs!$A:$A,0)))</f>
        <v/>
      </c>
      <c r="P585" t="str">
        <f t="array" ref="P585">iferror(index(sea_lice!$G:$G,match($A585,sea_lice!$A:$A,0)))</f>
        <v/>
      </c>
      <c r="Q585" t="str">
        <f t="array" ref="Q585">iferror(index(sea_lice!$J:$J,match($A585,sea_lice!$A:$A,0)))</f>
        <v/>
      </c>
      <c r="R585" s="40" t="str">
        <f t="array" ref="R585">iferror(index(dissected_fish!$F:$F,match($A585,dissected_fish!$A:$A,0)))</f>
        <v>BCA105</v>
      </c>
      <c r="S585" s="40" t="str">
        <f t="array" ref="S585">iferror(index(dissected_fish!$K:$K,match($A585,dissected_fish!$A:$A,0)))</f>
        <v>N</v>
      </c>
      <c r="T585" s="61" t="str">
        <f t="array" ref="T585">index(fish_lab_data!O:O,match(A585,fish_lab_data!C:C,0))</f>
        <v>EJ</v>
      </c>
      <c r="U585" s="61">
        <f t="array" ref="U585">if(A585="","",index(fish_lab_data!X:X,match(A585,fish_lab_data!C:C,0)))</f>
        <v>584</v>
      </c>
    </row>
    <row r="586">
      <c r="A586" t="str">
        <f>fish_lab_data!C586</f>
        <v>U16170</v>
      </c>
      <c r="B586" t="str">
        <f t="array" ref="B586">iferror(index('rna-muscle'!$I:$I,match($A586,'rna-muscle'!$A:$A,0)))</f>
        <v>BRN68M-B7</v>
      </c>
      <c r="C586" t="str">
        <f t="array" ref="C586">iferror(index('rna-muscle'!$L:$L,match($A586,'rna-muscle'!$A:$A,0)))</f>
        <v>N</v>
      </c>
      <c r="D586" t="str">
        <f t="array" ref="D586">iferror(index('rna-gill'!$I:$I,match($A586,'rna-gill'!$A:$A,0)))</f>
        <v>BRN68G-B7</v>
      </c>
      <c r="E586" t="str">
        <f t="array" ref="E586">iferror(index('rna-gill'!$L:$L,match($A586,'rna-gill'!$A:$A,0)))</f>
        <v>N</v>
      </c>
      <c r="F586" t="str">
        <f t="array" ref="F586">iferror(index(fatty_acid!$G:$G,match($A586,fatty_acid!$A:$A,0)))</f>
        <v>BFA27-79</v>
      </c>
      <c r="G586" t="str">
        <f t="array" ref="G586">iferror(index(fatty_acid!$J:$J,match($A586,fatty_acid!$A:$A,0)))</f>
        <v>N</v>
      </c>
      <c r="H586" t="str">
        <f t="array" ref="H586">iferror(index(isotopes!$G:$G,match($A586,isotopes!$A:$A,0)))</f>
        <v>BIS30-2</v>
      </c>
      <c r="I586" t="str">
        <f t="array" ref="I586">iferror(index(isotopes!$J:$J,match($A586,isotopes!$A:$A,0)))</f>
        <v>N</v>
      </c>
      <c r="J586" t="str">
        <f t="array" ref="J586">iferror(index(extra_muscle!$G:$G,match($A586,extra_muscle!$A:$A,0)))</f>
        <v>BXM28-63</v>
      </c>
      <c r="K586" t="str">
        <f t="array" ref="K586">iferror(index(extra_muscle!$J:$J,match($A586,extra_muscle!$A:$A,0)))</f>
        <v>N</v>
      </c>
      <c r="L586" s="59" t="str">
        <f t="array" ref="L586">iferror(index(dna!$G:$G,match($A586,dna!$A:$A,0)))</f>
        <v/>
      </c>
      <c r="M586" s="60" t="str">
        <f t="array" ref="M586">iferror(index(dna!$J:$J,match($A586,dna!$A:$A,0)))</f>
        <v/>
      </c>
      <c r="N586" t="str">
        <f t="array" ref="N586">iferror(index(stomachs!$G:$G,match($A586,stomachs!$A:$A,0)))</f>
        <v/>
      </c>
      <c r="O586" t="str">
        <f t="array" ref="O586">iferror(index(stomachs!$J:$J,match($A586,stomachs!$A:$A,0)))</f>
        <v/>
      </c>
      <c r="P586" t="str">
        <f t="array" ref="P586">iferror(index(sea_lice!$G:$G,match($A586,sea_lice!$A:$A,0)))</f>
        <v/>
      </c>
      <c r="Q586" t="str">
        <f t="array" ref="Q586">iferror(index(sea_lice!$J:$J,match($A586,sea_lice!$A:$A,0)))</f>
        <v/>
      </c>
      <c r="R586" s="40" t="str">
        <f t="array" ref="R586">iferror(index(dissected_fish!$F:$F,match($A586,dissected_fish!$A:$A,0)))</f>
        <v>BCA105</v>
      </c>
      <c r="S586" s="40" t="str">
        <f t="array" ref="S586">iferror(index(dissected_fish!$K:$K,match($A586,dissected_fish!$A:$A,0)))</f>
        <v>N</v>
      </c>
      <c r="T586" s="61" t="str">
        <f t="array" ref="T586">index(fish_lab_data!O:O,match(A586,fish_lab_data!C:C,0))</f>
        <v>EJ</v>
      </c>
      <c r="U586" s="61">
        <f t="array" ref="U586">if(A586="","",index(fish_lab_data!X:X,match(A586,fish_lab_data!C:C,0)))</f>
        <v>585</v>
      </c>
    </row>
    <row r="587">
      <c r="A587" t="str">
        <f>fish_lab_data!C587</f>
        <v>U16166</v>
      </c>
      <c r="B587" t="str">
        <f t="array" ref="B587">iferror(index('rna-muscle'!$I:$I,match($A587,'rna-muscle'!$A:$A,0)))</f>
        <v>BRN68M-A7</v>
      </c>
      <c r="C587" t="str">
        <f t="array" ref="C587">iferror(index('rna-muscle'!$L:$L,match($A587,'rna-muscle'!$A:$A,0)))</f>
        <v>N</v>
      </c>
      <c r="D587" t="str">
        <f t="array" ref="D587">iferror(index('rna-gill'!$I:$I,match($A587,'rna-gill'!$A:$A,0)))</f>
        <v>BRN68G-A7</v>
      </c>
      <c r="E587" t="str">
        <f t="array" ref="E587">iferror(index('rna-gill'!$L:$L,match($A587,'rna-gill'!$A:$A,0)))</f>
        <v>N</v>
      </c>
      <c r="F587" t="str">
        <f t="array" ref="F587">iferror(index(fatty_acid!$G:$G,match($A587,fatty_acid!$A:$A,0)))</f>
        <v>BFA27-80</v>
      </c>
      <c r="G587" t="str">
        <f t="array" ref="G587">iferror(index(fatty_acid!$J:$J,match($A587,fatty_acid!$A:$A,0)))</f>
        <v>N</v>
      </c>
      <c r="H587" t="str">
        <f t="array" ref="H587">iferror(index(isotopes!$G:$G,match($A587,isotopes!$A:$A,0)))</f>
        <v>BIS30-3</v>
      </c>
      <c r="I587" t="str">
        <f t="array" ref="I587">iferror(index(isotopes!$J:$J,match($A587,isotopes!$A:$A,0)))</f>
        <v>N</v>
      </c>
      <c r="J587" t="str">
        <f t="array" ref="J587">iferror(index(extra_muscle!$G:$G,match($A587,extra_muscle!$A:$A,0)))</f>
        <v>BXM28-64</v>
      </c>
      <c r="K587" t="str">
        <f t="array" ref="K587">iferror(index(extra_muscle!$J:$J,match($A587,extra_muscle!$A:$A,0)))</f>
        <v>N</v>
      </c>
      <c r="L587" s="59" t="str">
        <f t="array" ref="L587">iferror(index(dna!$G:$G,match($A587,dna!$A:$A,0)))</f>
        <v/>
      </c>
      <c r="M587" s="60" t="str">
        <f t="array" ref="M587">iferror(index(dna!$J:$J,match($A587,dna!$A:$A,0)))</f>
        <v/>
      </c>
      <c r="N587" t="str">
        <f t="array" ref="N587">iferror(index(stomachs!$G:$G,match($A587,stomachs!$A:$A,0)))</f>
        <v/>
      </c>
      <c r="O587" t="str">
        <f t="array" ref="O587">iferror(index(stomachs!$J:$J,match($A587,stomachs!$A:$A,0)))</f>
        <v/>
      </c>
      <c r="P587" t="str">
        <f t="array" ref="P587">iferror(index(sea_lice!$G:$G,match($A587,sea_lice!$A:$A,0)))</f>
        <v/>
      </c>
      <c r="Q587" t="str">
        <f t="array" ref="Q587">iferror(index(sea_lice!$J:$J,match($A587,sea_lice!$A:$A,0)))</f>
        <v/>
      </c>
      <c r="R587" s="40" t="str">
        <f t="array" ref="R587">iferror(index(dissected_fish!$F:$F,match($A587,dissected_fish!$A:$A,0)))</f>
        <v>BCA105</v>
      </c>
      <c r="S587" s="40" t="str">
        <f t="array" ref="S587">iferror(index(dissected_fish!$K:$K,match($A587,dissected_fish!$A:$A,0)))</f>
        <v>N</v>
      </c>
      <c r="T587" s="61" t="str">
        <f t="array" ref="T587">index(fish_lab_data!O:O,match(A587,fish_lab_data!C:C,0))</f>
        <v>EJ</v>
      </c>
      <c r="U587" s="61">
        <f t="array" ref="U587">if(A587="","",index(fish_lab_data!X:X,match(A587,fish_lab_data!C:C,0)))</f>
        <v>586</v>
      </c>
    </row>
    <row r="588">
      <c r="A588" t="str">
        <f>fish_lab_data!C588</f>
        <v>U16164</v>
      </c>
      <c r="B588" t="str">
        <f t="array" ref="B588">iferror(index('rna-muscle'!$I:$I,match($A588,'rna-muscle'!$A:$A,0)))</f>
        <v>BRN68M-H9</v>
      </c>
      <c r="C588" t="str">
        <f t="array" ref="C588">iferror(index('rna-muscle'!$L:$L,match($A588,'rna-muscle'!$A:$A,0)))</f>
        <v>N</v>
      </c>
      <c r="D588" t="str">
        <f t="array" ref="D588">iferror(index('rna-gill'!$I:$I,match($A588,'rna-gill'!$A:$A,0)))</f>
        <v>BRN68G-H9</v>
      </c>
      <c r="E588" t="str">
        <f t="array" ref="E588">iferror(index('rna-gill'!$L:$L,match($A588,'rna-gill'!$A:$A,0)))</f>
        <v>N</v>
      </c>
      <c r="F588" t="str">
        <f t="array" ref="F588">iferror(index(fatty_acid!$G:$G,match($A588,fatty_acid!$A:$A,0)))</f>
        <v>BFA27-81</v>
      </c>
      <c r="G588" t="str">
        <f t="array" ref="G588">iferror(index(fatty_acid!$J:$J,match($A588,fatty_acid!$A:$A,0)))</f>
        <v>N</v>
      </c>
      <c r="H588" t="str">
        <f t="array" ref="H588">iferror(index(isotopes!$G:$G,match($A588,isotopes!$A:$A,0)))</f>
        <v>BIS30-4</v>
      </c>
      <c r="I588" t="str">
        <f t="array" ref="I588">iferror(index(isotopes!$J:$J,match($A588,isotopes!$A:$A,0)))</f>
        <v>N</v>
      </c>
      <c r="J588" t="str">
        <f t="array" ref="J588">iferror(index(extra_muscle!$G:$G,match($A588,extra_muscle!$A:$A,0)))</f>
        <v>BXM28-65</v>
      </c>
      <c r="K588" t="str">
        <f t="array" ref="K588">iferror(index(extra_muscle!$J:$J,match($A588,extra_muscle!$A:$A,0)))</f>
        <v>N</v>
      </c>
      <c r="L588" s="59" t="str">
        <f t="array" ref="L588">iferror(index(dna!$G:$G,match($A588,dna!$A:$A,0)))</f>
        <v/>
      </c>
      <c r="M588" s="60" t="str">
        <f t="array" ref="M588">iferror(index(dna!$J:$J,match($A588,dna!$A:$A,0)))</f>
        <v/>
      </c>
      <c r="N588" t="str">
        <f t="array" ref="N588">iferror(index(stomachs!$G:$G,match($A588,stomachs!$A:$A,0)))</f>
        <v/>
      </c>
      <c r="O588" t="str">
        <f t="array" ref="O588">iferror(index(stomachs!$J:$J,match($A588,stomachs!$A:$A,0)))</f>
        <v/>
      </c>
      <c r="P588" t="str">
        <f t="array" ref="P588">iferror(index(sea_lice!$G:$G,match($A588,sea_lice!$A:$A,0)))</f>
        <v>BSL6-50</v>
      </c>
      <c r="Q588" t="str">
        <f t="array" ref="Q588">iferror(index(sea_lice!$J:$J,match($A588,sea_lice!$A:$A,0)))</f>
        <v>N</v>
      </c>
      <c r="R588" s="40" t="str">
        <f t="array" ref="R588">iferror(index(dissected_fish!$F:$F,match($A588,dissected_fish!$A:$A,0)))</f>
        <v>BCA105</v>
      </c>
      <c r="S588" s="40" t="str">
        <f t="array" ref="S588">iferror(index(dissected_fish!$K:$K,match($A588,dissected_fish!$A:$A,0)))</f>
        <v>N</v>
      </c>
      <c r="T588" s="61" t="str">
        <f t="array" ref="T588">index(fish_lab_data!O:O,match(A588,fish_lab_data!C:C,0))</f>
        <v>EJ</v>
      </c>
      <c r="U588" s="61">
        <f t="array" ref="U588">if(A588="","",index(fish_lab_data!X:X,match(A588,fish_lab_data!C:C,0)))</f>
        <v>587</v>
      </c>
    </row>
    <row r="589">
      <c r="A589" t="str">
        <f>fish_lab_data!C589</f>
        <v>U16162</v>
      </c>
      <c r="B589" t="str">
        <f t="array" ref="B589">iferror(index('rna-muscle'!$I:$I,match($A589,'rna-muscle'!$A:$A,0)))</f>
        <v>BRN68M-G9</v>
      </c>
      <c r="C589" t="str">
        <f t="array" ref="C589">iferror(index('rna-muscle'!$L:$L,match($A589,'rna-muscle'!$A:$A,0)))</f>
        <v>N</v>
      </c>
      <c r="D589" t="str">
        <f t="array" ref="D589">iferror(index('rna-gill'!$I:$I,match($A589,'rna-gill'!$A:$A,0)))</f>
        <v>BRN68G-G9</v>
      </c>
      <c r="E589" t="str">
        <f t="array" ref="E589">iferror(index('rna-gill'!$L:$L,match($A589,'rna-gill'!$A:$A,0)))</f>
        <v>N</v>
      </c>
      <c r="F589" t="str">
        <f t="array" ref="F589">iferror(index(fatty_acid!$G:$G,match($A589,fatty_acid!$A:$A,0)))</f>
        <v>BFA27-82</v>
      </c>
      <c r="G589" t="str">
        <f t="array" ref="G589">iferror(index(fatty_acid!$J:$J,match($A589,fatty_acid!$A:$A,0)))</f>
        <v>N</v>
      </c>
      <c r="H589" t="str">
        <f t="array" ref="H589">iferror(index(isotopes!$G:$G,match($A589,isotopes!$A:$A,0)))</f>
        <v>BIS30-5</v>
      </c>
      <c r="I589" t="str">
        <f t="array" ref="I589">iferror(index(isotopes!$J:$J,match($A589,isotopes!$A:$A,0)))</f>
        <v>N</v>
      </c>
      <c r="J589" t="str">
        <f t="array" ref="J589">iferror(index(extra_muscle!$G:$G,match($A589,extra_muscle!$A:$A,0)))</f>
        <v>BXM28-67</v>
      </c>
      <c r="K589" t="str">
        <f t="array" ref="K589">iferror(index(extra_muscle!$J:$J,match($A589,extra_muscle!$A:$A,0)))</f>
        <v>N</v>
      </c>
      <c r="L589" s="59" t="str">
        <f t="array" ref="L589">iferror(index(dna!$G:$G,match($A589,dna!$A:$A,0)))</f>
        <v/>
      </c>
      <c r="M589" s="60" t="str">
        <f t="array" ref="M589">iferror(index(dna!$J:$J,match($A589,dna!$A:$A,0)))</f>
        <v/>
      </c>
      <c r="N589" t="str">
        <f t="array" ref="N589">iferror(index(stomachs!$G:$G,match($A589,stomachs!$A:$A,0)))</f>
        <v/>
      </c>
      <c r="O589" t="str">
        <f t="array" ref="O589">iferror(index(stomachs!$J:$J,match($A589,stomachs!$A:$A,0)))</f>
        <v/>
      </c>
      <c r="P589" t="str">
        <f t="array" ref="P589">iferror(index(sea_lice!$G:$G,match($A589,sea_lice!$A:$A,0)))</f>
        <v/>
      </c>
      <c r="Q589" t="str">
        <f t="array" ref="Q589">iferror(index(sea_lice!$J:$J,match($A589,sea_lice!$A:$A,0)))</f>
        <v/>
      </c>
      <c r="R589" s="40" t="str">
        <f t="array" ref="R589">iferror(index(dissected_fish!$F:$F,match($A589,dissected_fish!$A:$A,0)))</f>
        <v>BCA105</v>
      </c>
      <c r="S589" s="40" t="str">
        <f t="array" ref="S589">iferror(index(dissected_fish!$K:$K,match($A589,dissected_fish!$A:$A,0)))</f>
        <v>N</v>
      </c>
      <c r="T589" s="61" t="str">
        <f t="array" ref="T589">index(fish_lab_data!O:O,match(A589,fish_lab_data!C:C,0))</f>
        <v>EJ</v>
      </c>
      <c r="U589" s="61">
        <f t="array" ref="U589">if(A589="","",index(fish_lab_data!X:X,match(A589,fish_lab_data!C:C,0)))</f>
        <v>588</v>
      </c>
    </row>
    <row r="590">
      <c r="A590" t="str">
        <f>fish_lab_data!C590</f>
        <v>U16168</v>
      </c>
      <c r="B590" t="str">
        <f t="array" ref="B590">iferror(index('rna-muscle'!$I:$I,match($A590,'rna-muscle'!$A:$A,0)))</f>
        <v>BRN68M-F9</v>
      </c>
      <c r="C590" t="str">
        <f t="array" ref="C590">iferror(index('rna-muscle'!$L:$L,match($A590,'rna-muscle'!$A:$A,0)))</f>
        <v>N</v>
      </c>
      <c r="D590" t="str">
        <f t="array" ref="D590">iferror(index('rna-gill'!$I:$I,match($A590,'rna-gill'!$A:$A,0)))</f>
        <v>BRN68G-F9</v>
      </c>
      <c r="E590" t="str">
        <f t="array" ref="E590">iferror(index('rna-gill'!$L:$L,match($A590,'rna-gill'!$A:$A,0)))</f>
        <v>N</v>
      </c>
      <c r="F590" t="str">
        <f t="array" ref="F590">iferror(index(fatty_acid!$G:$G,match($A590,fatty_acid!$A:$A,0)))</f>
        <v>BFA27-83</v>
      </c>
      <c r="G590" t="str">
        <f t="array" ref="G590">iferror(index(fatty_acid!$J:$J,match($A590,fatty_acid!$A:$A,0)))</f>
        <v>N</v>
      </c>
      <c r="H590" t="str">
        <f t="array" ref="H590">iferror(index(isotopes!$G:$G,match($A590,isotopes!$A:$A,0)))</f>
        <v>BIS30-6</v>
      </c>
      <c r="I590" t="str">
        <f t="array" ref="I590">iferror(index(isotopes!$J:$J,match($A590,isotopes!$A:$A,0)))</f>
        <v>N</v>
      </c>
      <c r="J590" t="str">
        <f t="array" ref="J590">iferror(index(extra_muscle!$G:$G,match($A590,extra_muscle!$A:$A,0)))</f>
        <v>BXM28-68</v>
      </c>
      <c r="K590" t="str">
        <f t="array" ref="K590">iferror(index(extra_muscle!$J:$J,match($A590,extra_muscle!$A:$A,0)))</f>
        <v>N</v>
      </c>
      <c r="L590" s="59" t="str">
        <f t="array" ref="L590">iferror(index(dna!$G:$G,match($A590,dna!$A:$A,0)))</f>
        <v/>
      </c>
      <c r="M590" s="60" t="str">
        <f t="array" ref="M590">iferror(index(dna!$J:$J,match($A590,dna!$A:$A,0)))</f>
        <v/>
      </c>
      <c r="N590" t="str">
        <f t="array" ref="N590">iferror(index(stomachs!$G:$G,match($A590,stomachs!$A:$A,0)))</f>
        <v/>
      </c>
      <c r="O590" t="str">
        <f t="array" ref="O590">iferror(index(stomachs!$J:$J,match($A590,stomachs!$A:$A,0)))</f>
        <v/>
      </c>
      <c r="P590" t="str">
        <f t="array" ref="P590">iferror(index(sea_lice!$G:$G,match($A590,sea_lice!$A:$A,0)))</f>
        <v/>
      </c>
      <c r="Q590" t="str">
        <f t="array" ref="Q590">iferror(index(sea_lice!$J:$J,match($A590,sea_lice!$A:$A,0)))</f>
        <v/>
      </c>
      <c r="R590" s="40" t="str">
        <f t="array" ref="R590">iferror(index(dissected_fish!$F:$F,match($A590,dissected_fish!$A:$A,0)))</f>
        <v>BCA105</v>
      </c>
      <c r="S590" s="40" t="str">
        <f t="array" ref="S590">iferror(index(dissected_fish!$K:$K,match($A590,dissected_fish!$A:$A,0)))</f>
        <v>N</v>
      </c>
      <c r="T590" s="61" t="str">
        <f t="array" ref="T590">index(fish_lab_data!O:O,match(A590,fish_lab_data!C:C,0))</f>
        <v>EJ</v>
      </c>
      <c r="U590" s="61">
        <f t="array" ref="U590">if(A590="","",index(fish_lab_data!X:X,match(A590,fish_lab_data!C:C,0)))</f>
        <v>589</v>
      </c>
    </row>
    <row r="591">
      <c r="A591" t="str">
        <f>fish_lab_data!C591</f>
        <v>U16163</v>
      </c>
      <c r="B591" t="str">
        <f t="array" ref="B591">iferror(index('rna-muscle'!$I:$I,match($A591,'rna-muscle'!$A:$A,0)))</f>
        <v>BRN68M-E9</v>
      </c>
      <c r="C591" t="str">
        <f t="array" ref="C591">iferror(index('rna-muscle'!$L:$L,match($A591,'rna-muscle'!$A:$A,0)))</f>
        <v>N</v>
      </c>
      <c r="D591" t="str">
        <f t="array" ref="D591">iferror(index('rna-gill'!$I:$I,match($A591,'rna-gill'!$A:$A,0)))</f>
        <v>BRN68G-E9</v>
      </c>
      <c r="E591" t="str">
        <f t="array" ref="E591">iferror(index('rna-gill'!$L:$L,match($A591,'rna-gill'!$A:$A,0)))</f>
        <v>N</v>
      </c>
      <c r="F591" t="str">
        <f t="array" ref="F591">iferror(index(fatty_acid!$G:$G,match($A591,fatty_acid!$A:$A,0)))</f>
        <v>BFA27-84</v>
      </c>
      <c r="G591" t="str">
        <f t="array" ref="G591">iferror(index(fatty_acid!$J:$J,match($A591,fatty_acid!$A:$A,0)))</f>
        <v>N</v>
      </c>
      <c r="H591" t="str">
        <f t="array" ref="H591">iferror(index(isotopes!$G:$G,match($A591,isotopes!$A:$A,0)))</f>
        <v>BIS30-7</v>
      </c>
      <c r="I591" t="str">
        <f t="array" ref="I591">iferror(index(isotopes!$J:$J,match($A591,isotopes!$A:$A,0)))</f>
        <v>N</v>
      </c>
      <c r="J591" t="str">
        <f t="array" ref="J591">iferror(index(extra_muscle!$G:$G,match($A591,extra_muscle!$A:$A,0)))</f>
        <v>BXM28-69</v>
      </c>
      <c r="K591" t="str">
        <f t="array" ref="K591">iferror(index(extra_muscle!$J:$J,match($A591,extra_muscle!$A:$A,0)))</f>
        <v>N</v>
      </c>
      <c r="L591" s="59" t="str">
        <f t="array" ref="L591">iferror(index(dna!$G:$G,match($A591,dna!$A:$A,0)))</f>
        <v/>
      </c>
      <c r="M591" s="60" t="str">
        <f t="array" ref="M591">iferror(index(dna!$J:$J,match($A591,dna!$A:$A,0)))</f>
        <v/>
      </c>
      <c r="N591" t="str">
        <f t="array" ref="N591">iferror(index(stomachs!$G:$G,match($A591,stomachs!$A:$A,0)))</f>
        <v/>
      </c>
      <c r="O591" t="str">
        <f t="array" ref="O591">iferror(index(stomachs!$J:$J,match($A591,stomachs!$A:$A,0)))</f>
        <v/>
      </c>
      <c r="P591" t="str">
        <f t="array" ref="P591">iferror(index(sea_lice!$G:$G,match($A591,sea_lice!$A:$A,0)))</f>
        <v/>
      </c>
      <c r="Q591" t="str">
        <f t="array" ref="Q591">iferror(index(sea_lice!$J:$J,match($A591,sea_lice!$A:$A,0)))</f>
        <v/>
      </c>
      <c r="R591" s="40" t="str">
        <f t="array" ref="R591">iferror(index(dissected_fish!$F:$F,match($A591,dissected_fish!$A:$A,0)))</f>
        <v>BCA105</v>
      </c>
      <c r="S591" s="40" t="str">
        <f t="array" ref="S591">iferror(index(dissected_fish!$K:$K,match($A591,dissected_fish!$A:$A,0)))</f>
        <v>N</v>
      </c>
      <c r="T591" s="61" t="str">
        <f t="array" ref="T591">index(fish_lab_data!O:O,match(A591,fish_lab_data!C:C,0))</f>
        <v>EJ</v>
      </c>
      <c r="U591" s="61">
        <f t="array" ref="U591">if(A591="","",index(fish_lab_data!X:X,match(A591,fish_lab_data!C:C,0)))</f>
        <v>590</v>
      </c>
    </row>
    <row r="592">
      <c r="A592" t="str">
        <f>fish_lab_data!C592</f>
        <v>U16161</v>
      </c>
      <c r="B592" t="str">
        <f t="array" ref="B592">iferror(index('rna-muscle'!$I:$I,match($A592,'rna-muscle'!$A:$A,0)))</f>
        <v>BRN68M-D9</v>
      </c>
      <c r="C592" t="str">
        <f t="array" ref="C592">iferror(index('rna-muscle'!$L:$L,match($A592,'rna-muscle'!$A:$A,0)))</f>
        <v>N</v>
      </c>
      <c r="D592" t="str">
        <f t="array" ref="D592">iferror(index('rna-gill'!$I:$I,match($A592,'rna-gill'!$A:$A,0)))</f>
        <v>BRN68G-D9</v>
      </c>
      <c r="E592" t="str">
        <f t="array" ref="E592">iferror(index('rna-gill'!$L:$L,match($A592,'rna-gill'!$A:$A,0)))</f>
        <v>N</v>
      </c>
      <c r="F592" t="str">
        <f t="array" ref="F592">iferror(index(fatty_acid!$G:$G,match($A592,fatty_acid!$A:$A,0)))</f>
        <v>BFA27-85</v>
      </c>
      <c r="G592" t="str">
        <f t="array" ref="G592">iferror(index(fatty_acid!$J:$J,match($A592,fatty_acid!$A:$A,0)))</f>
        <v>N</v>
      </c>
      <c r="H592" t="str">
        <f t="array" ref="H592">iferror(index(isotopes!$G:$G,match($A592,isotopes!$A:$A,0)))</f>
        <v>BIS30-8</v>
      </c>
      <c r="I592" t="str">
        <f t="array" ref="I592">iferror(index(isotopes!$J:$J,match($A592,isotopes!$A:$A,0)))</f>
        <v>N</v>
      </c>
      <c r="J592" t="str">
        <f t="array" ref="J592">iferror(index(extra_muscle!$G:$G,match($A592,extra_muscle!$A:$A,0)))</f>
        <v>BXM28-70</v>
      </c>
      <c r="K592" t="str">
        <f t="array" ref="K592">iferror(index(extra_muscle!$J:$J,match($A592,extra_muscle!$A:$A,0)))</f>
        <v>N</v>
      </c>
      <c r="L592" s="59" t="str">
        <f t="array" ref="L592">iferror(index(dna!$G:$G,match($A592,dna!$A:$A,0)))</f>
        <v/>
      </c>
      <c r="M592" s="60" t="str">
        <f t="array" ref="M592">iferror(index(dna!$J:$J,match($A592,dna!$A:$A,0)))</f>
        <v/>
      </c>
      <c r="N592" t="str">
        <f t="array" ref="N592">iferror(index(stomachs!$G:$G,match($A592,stomachs!$A:$A,0)))</f>
        <v/>
      </c>
      <c r="O592" t="str">
        <f t="array" ref="O592">iferror(index(stomachs!$J:$J,match($A592,stomachs!$A:$A,0)))</f>
        <v/>
      </c>
      <c r="P592" t="str">
        <f t="array" ref="P592">iferror(index(sea_lice!$G:$G,match($A592,sea_lice!$A:$A,0)))</f>
        <v/>
      </c>
      <c r="Q592" t="str">
        <f t="array" ref="Q592">iferror(index(sea_lice!$J:$J,match($A592,sea_lice!$A:$A,0)))</f>
        <v/>
      </c>
      <c r="R592" s="40" t="str">
        <f t="array" ref="R592">iferror(index(dissected_fish!$F:$F,match($A592,dissected_fish!$A:$A,0)))</f>
        <v>BCA105</v>
      </c>
      <c r="S592" s="40" t="str">
        <f t="array" ref="S592">iferror(index(dissected_fish!$K:$K,match($A592,dissected_fish!$A:$A,0)))</f>
        <v>N</v>
      </c>
      <c r="T592" s="61" t="str">
        <f t="array" ref="T592">index(fish_lab_data!O:O,match(A592,fish_lab_data!C:C,0))</f>
        <v>EJ</v>
      </c>
      <c r="U592" s="61">
        <f t="array" ref="U592">if(A592="","",index(fish_lab_data!X:X,match(A592,fish_lab_data!C:C,0)))</f>
        <v>591</v>
      </c>
    </row>
    <row r="593">
      <c r="A593" t="str">
        <f>fish_lab_data!C593</f>
        <v>U16165</v>
      </c>
      <c r="B593" t="str">
        <f t="array" ref="B593">iferror(index('rna-muscle'!$I:$I,match($A593,'rna-muscle'!$A:$A,0)))</f>
        <v>BRN68M-C9</v>
      </c>
      <c r="C593" t="str">
        <f t="array" ref="C593">iferror(index('rna-muscle'!$L:$L,match($A593,'rna-muscle'!$A:$A,0)))</f>
        <v>N</v>
      </c>
      <c r="D593" t="str">
        <f t="array" ref="D593">iferror(index('rna-gill'!$I:$I,match($A593,'rna-gill'!$A:$A,0)))</f>
        <v>BRN68G-C9</v>
      </c>
      <c r="E593" t="str">
        <f t="array" ref="E593">iferror(index('rna-gill'!$L:$L,match($A593,'rna-gill'!$A:$A,0)))</f>
        <v>N</v>
      </c>
      <c r="F593" t="str">
        <f t="array" ref="F593">iferror(index(fatty_acid!$G:$G,match($A593,fatty_acid!$A:$A,0)))</f>
        <v>BFA27-87</v>
      </c>
      <c r="G593" t="str">
        <f t="array" ref="G593">iferror(index(fatty_acid!$J:$J,match($A593,fatty_acid!$A:$A,0)))</f>
        <v>N</v>
      </c>
      <c r="H593" t="str">
        <f t="array" ref="H593">iferror(index(isotopes!$G:$G,match($A593,isotopes!$A:$A,0)))</f>
        <v>BIS30-9</v>
      </c>
      <c r="I593" t="str">
        <f t="array" ref="I593">iferror(index(isotopes!$J:$J,match($A593,isotopes!$A:$A,0)))</f>
        <v>N</v>
      </c>
      <c r="J593" t="str">
        <f t="array" ref="J593">iferror(index(extra_muscle!$G:$G,match($A593,extra_muscle!$A:$A,0)))</f>
        <v>BXM28-71</v>
      </c>
      <c r="K593" t="str">
        <f t="array" ref="K593">iferror(index(extra_muscle!$J:$J,match($A593,extra_muscle!$A:$A,0)))</f>
        <v>N</v>
      </c>
      <c r="L593" s="59" t="str">
        <f t="array" ref="L593">iferror(index(dna!$G:$G,match($A593,dna!$A:$A,0)))</f>
        <v/>
      </c>
      <c r="M593" s="60" t="str">
        <f t="array" ref="M593">iferror(index(dna!$J:$J,match($A593,dna!$A:$A,0)))</f>
        <v/>
      </c>
      <c r="N593" t="str">
        <f t="array" ref="N593">iferror(index(stomachs!$G:$G,match($A593,stomachs!$A:$A,0)))</f>
        <v/>
      </c>
      <c r="O593" t="str">
        <f t="array" ref="O593">iferror(index(stomachs!$J:$J,match($A593,stomachs!$A:$A,0)))</f>
        <v/>
      </c>
      <c r="P593" t="str">
        <f t="array" ref="P593">iferror(index(sea_lice!$G:$G,match($A593,sea_lice!$A:$A,0)))</f>
        <v/>
      </c>
      <c r="Q593" t="str">
        <f t="array" ref="Q593">iferror(index(sea_lice!$J:$J,match($A593,sea_lice!$A:$A,0)))</f>
        <v/>
      </c>
      <c r="R593" s="40" t="str">
        <f t="array" ref="R593">iferror(index(dissected_fish!$F:$F,match($A593,dissected_fish!$A:$A,0)))</f>
        <v>BCA105</v>
      </c>
      <c r="S593" s="40" t="str">
        <f t="array" ref="S593">iferror(index(dissected_fish!$K:$K,match($A593,dissected_fish!$A:$A,0)))</f>
        <v>N</v>
      </c>
      <c r="T593" s="61" t="str">
        <f t="array" ref="T593">index(fish_lab_data!O:O,match(A593,fish_lab_data!C:C,0))</f>
        <v>EJ</v>
      </c>
      <c r="U593" s="61">
        <f t="array" ref="U593">if(A593="","",index(fish_lab_data!X:X,match(A593,fish_lab_data!C:C,0)))</f>
        <v>592</v>
      </c>
    </row>
    <row r="594">
      <c r="A594" t="str">
        <f>fish_lab_data!C594</f>
        <v>U16194</v>
      </c>
      <c r="B594" t="str">
        <f t="array" ref="B594">iferror(index('rna-muscle'!$I:$I,match($A594,'rna-muscle'!$A:$A,0)))</f>
        <v>BRN68M-B9</v>
      </c>
      <c r="C594" t="str">
        <f t="array" ref="C594">iferror(index('rna-muscle'!$L:$L,match($A594,'rna-muscle'!$A:$A,0)))</f>
        <v>N</v>
      </c>
      <c r="D594" t="str">
        <f t="array" ref="D594">iferror(index('rna-gill'!$I:$I,match($A594,'rna-gill'!$A:$A,0)))</f>
        <v>BRN68G-B9</v>
      </c>
      <c r="E594" t="str">
        <f t="array" ref="E594">iferror(index('rna-gill'!$L:$L,match($A594,'rna-gill'!$A:$A,0)))</f>
        <v>N</v>
      </c>
      <c r="F594" t="str">
        <f t="array" ref="F594">iferror(index(fatty_acid!$G:$G,match($A594,fatty_acid!$A:$A,0)))</f>
        <v>BFA27-88</v>
      </c>
      <c r="G594" t="str">
        <f t="array" ref="G594">iferror(index(fatty_acid!$J:$J,match($A594,fatty_acid!$A:$A,0)))</f>
        <v>N</v>
      </c>
      <c r="H594" t="str">
        <f t="array" ref="H594">iferror(index(isotopes!$G:$G,match($A594,isotopes!$A:$A,0)))</f>
        <v>BIS30-10</v>
      </c>
      <c r="I594" t="str">
        <f t="array" ref="I594">iferror(index(isotopes!$J:$J,match($A594,isotopes!$A:$A,0)))</f>
        <v>N</v>
      </c>
      <c r="J594" t="str">
        <f t="array" ref="J594">iferror(index(extra_muscle!$G:$G,match($A594,extra_muscle!$A:$A,0)))</f>
        <v>BXM28-72</v>
      </c>
      <c r="K594" t="str">
        <f t="array" ref="K594">iferror(index(extra_muscle!$J:$J,match($A594,extra_muscle!$A:$A,0)))</f>
        <v>N</v>
      </c>
      <c r="L594" s="59" t="str">
        <f t="array" ref="L594">iferror(index(dna!$G:$G,match($A594,dna!$A:$A,0)))</f>
        <v/>
      </c>
      <c r="M594" s="60" t="str">
        <f t="array" ref="M594">iferror(index(dna!$J:$J,match($A594,dna!$A:$A,0)))</f>
        <v/>
      </c>
      <c r="N594" t="str">
        <f t="array" ref="N594">iferror(index(stomachs!$G:$G,match($A594,stomachs!$A:$A,0)))</f>
        <v/>
      </c>
      <c r="O594" t="str">
        <f t="array" ref="O594">iferror(index(stomachs!$J:$J,match($A594,stomachs!$A:$A,0)))</f>
        <v/>
      </c>
      <c r="P594" t="str">
        <f t="array" ref="P594">iferror(index(sea_lice!$G:$G,match($A594,sea_lice!$A:$A,0)))</f>
        <v/>
      </c>
      <c r="Q594" t="str">
        <f t="array" ref="Q594">iferror(index(sea_lice!$J:$J,match($A594,sea_lice!$A:$A,0)))</f>
        <v/>
      </c>
      <c r="R594" s="40" t="str">
        <f t="array" ref="R594">iferror(index(dissected_fish!$F:$F,match($A594,dissected_fish!$A:$A,0)))</f>
        <v>BCA105</v>
      </c>
      <c r="S594" s="40" t="str">
        <f t="array" ref="S594">iferror(index(dissected_fish!$K:$K,match($A594,dissected_fish!$A:$A,0)))</f>
        <v>N</v>
      </c>
      <c r="T594" s="61" t="str">
        <f t="array" ref="T594">index(fish_lab_data!O:O,match(A594,fish_lab_data!C:C,0))</f>
        <v>EJ</v>
      </c>
      <c r="U594" s="61">
        <f t="array" ref="U594">if(A594="","",index(fish_lab_data!X:X,match(A594,fish_lab_data!C:C,0)))</f>
        <v>593</v>
      </c>
    </row>
    <row r="595">
      <c r="A595" t="str">
        <f>fish_lab_data!C595</f>
        <v>U16191</v>
      </c>
      <c r="B595" t="str">
        <f t="array" ref="B595">iferror(index('rna-muscle'!$I:$I,match($A595,'rna-muscle'!$A:$A,0)))</f>
        <v>BRN68M-A9</v>
      </c>
      <c r="C595" t="str">
        <f t="array" ref="C595">iferror(index('rna-muscle'!$L:$L,match($A595,'rna-muscle'!$A:$A,0)))</f>
        <v>N</v>
      </c>
      <c r="D595" t="str">
        <f t="array" ref="D595">iferror(index('rna-gill'!$I:$I,match($A595,'rna-gill'!$A:$A,0)))</f>
        <v>BRN68G-A9</v>
      </c>
      <c r="E595" t="str">
        <f t="array" ref="E595">iferror(index('rna-gill'!$L:$L,match($A595,'rna-gill'!$A:$A,0)))</f>
        <v>N</v>
      </c>
      <c r="F595" t="str">
        <f t="array" ref="F595">iferror(index(fatty_acid!$G:$G,match($A595,fatty_acid!$A:$A,0)))</f>
        <v>BFA27-89</v>
      </c>
      <c r="G595" t="str">
        <f t="array" ref="G595">iferror(index(fatty_acid!$J:$J,match($A595,fatty_acid!$A:$A,0)))</f>
        <v>N</v>
      </c>
      <c r="H595" t="str">
        <f t="array" ref="H595">iferror(index(isotopes!$G:$G,match($A595,isotopes!$A:$A,0)))</f>
        <v>BIS30-11</v>
      </c>
      <c r="I595" t="str">
        <f t="array" ref="I595">iferror(index(isotopes!$J:$J,match($A595,isotopes!$A:$A,0)))</f>
        <v>N</v>
      </c>
      <c r="J595" t="str">
        <f t="array" ref="J595">iferror(index(extra_muscle!$G:$G,match($A595,extra_muscle!$A:$A,0)))</f>
        <v>BXM28-73</v>
      </c>
      <c r="K595" t="str">
        <f t="array" ref="K595">iferror(index(extra_muscle!$J:$J,match($A595,extra_muscle!$A:$A,0)))</f>
        <v>N</v>
      </c>
      <c r="L595" s="59" t="str">
        <f t="array" ref="L595">iferror(index(dna!$G:$G,match($A595,dna!$A:$A,0)))</f>
        <v/>
      </c>
      <c r="M595" s="60" t="str">
        <f t="array" ref="M595">iferror(index(dna!$J:$J,match($A595,dna!$A:$A,0)))</f>
        <v/>
      </c>
      <c r="N595" t="str">
        <f t="array" ref="N595">iferror(index(stomachs!$G:$G,match($A595,stomachs!$A:$A,0)))</f>
        <v/>
      </c>
      <c r="O595" t="str">
        <f t="array" ref="O595">iferror(index(stomachs!$J:$J,match($A595,stomachs!$A:$A,0)))</f>
        <v/>
      </c>
      <c r="P595" t="str">
        <f t="array" ref="P595">iferror(index(sea_lice!$G:$G,match($A595,sea_lice!$A:$A,0)))</f>
        <v/>
      </c>
      <c r="Q595" t="str">
        <f t="array" ref="Q595">iferror(index(sea_lice!$J:$J,match($A595,sea_lice!$A:$A,0)))</f>
        <v/>
      </c>
      <c r="R595" s="40" t="str">
        <f t="array" ref="R595">iferror(index(dissected_fish!$F:$F,match($A595,dissected_fish!$A:$A,0)))</f>
        <v>BCA105</v>
      </c>
      <c r="S595" s="40" t="str">
        <f t="array" ref="S595">iferror(index(dissected_fish!$K:$K,match($A595,dissected_fish!$A:$A,0)))</f>
        <v>N</v>
      </c>
      <c r="T595" s="61" t="str">
        <f t="array" ref="T595">index(fish_lab_data!O:O,match(A595,fish_lab_data!C:C,0))</f>
        <v>EJ</v>
      </c>
      <c r="U595" s="61">
        <f t="array" ref="U595">if(A595="","",index(fish_lab_data!X:X,match(A595,fish_lab_data!C:C,0)))</f>
        <v>594</v>
      </c>
    </row>
    <row r="596">
      <c r="A596" t="str">
        <f>fish_lab_data!C596</f>
        <v>U16192</v>
      </c>
      <c r="B596" t="str">
        <f t="array" ref="B596">iferror(index('rna-muscle'!$I:$I,match($A596,'rna-muscle'!$A:$A,0)))</f>
        <v>BRN68M-H11</v>
      </c>
      <c r="C596" t="str">
        <f t="array" ref="C596">iferror(index('rna-muscle'!$L:$L,match($A596,'rna-muscle'!$A:$A,0)))</f>
        <v>N</v>
      </c>
      <c r="D596" t="str">
        <f t="array" ref="D596">iferror(index('rna-gill'!$I:$I,match($A596,'rna-gill'!$A:$A,0)))</f>
        <v>BRN68G-H11</v>
      </c>
      <c r="E596" t="str">
        <f t="array" ref="E596">iferror(index('rna-gill'!$L:$L,match($A596,'rna-gill'!$A:$A,0)))</f>
        <v>N</v>
      </c>
      <c r="F596" t="str">
        <f t="array" ref="F596">iferror(index(fatty_acid!$G:$G,match($A596,fatty_acid!$A:$A,0)))</f>
        <v>BFA27-90</v>
      </c>
      <c r="G596" t="str">
        <f t="array" ref="G596">iferror(index(fatty_acid!$J:$J,match($A596,fatty_acid!$A:$A,0)))</f>
        <v>N</v>
      </c>
      <c r="H596" t="str">
        <f t="array" ref="H596">iferror(index(isotopes!$G:$G,match($A596,isotopes!$A:$A,0)))</f>
        <v>BIS30-12</v>
      </c>
      <c r="I596" t="str">
        <f t="array" ref="I596">iferror(index(isotopes!$J:$J,match($A596,isotopes!$A:$A,0)))</f>
        <v>N</v>
      </c>
      <c r="J596" t="str">
        <f t="array" ref="J596">iferror(index(extra_muscle!$G:$G,match($A596,extra_muscle!$A:$A,0)))</f>
        <v>BXM28-74</v>
      </c>
      <c r="K596" t="str">
        <f t="array" ref="K596">iferror(index(extra_muscle!$J:$J,match($A596,extra_muscle!$A:$A,0)))</f>
        <v>N</v>
      </c>
      <c r="L596" s="59" t="str">
        <f t="array" ref="L596">iferror(index(dna!$G:$G,match($A596,dna!$A:$A,0)))</f>
        <v/>
      </c>
      <c r="M596" s="60" t="str">
        <f t="array" ref="M596">iferror(index(dna!$J:$J,match($A596,dna!$A:$A,0)))</f>
        <v/>
      </c>
      <c r="N596" t="str">
        <f t="array" ref="N596">iferror(index(stomachs!$G:$G,match($A596,stomachs!$A:$A,0)))</f>
        <v/>
      </c>
      <c r="O596" t="str">
        <f t="array" ref="O596">iferror(index(stomachs!$J:$J,match($A596,stomachs!$A:$A,0)))</f>
        <v/>
      </c>
      <c r="P596" t="str">
        <f t="array" ref="P596">iferror(index(sea_lice!$G:$G,match($A596,sea_lice!$A:$A,0)))</f>
        <v/>
      </c>
      <c r="Q596" t="str">
        <f t="array" ref="Q596">iferror(index(sea_lice!$J:$J,match($A596,sea_lice!$A:$A,0)))</f>
        <v/>
      </c>
      <c r="R596" s="40" t="str">
        <f t="array" ref="R596">iferror(index(dissected_fish!$F:$F,match($A596,dissected_fish!$A:$A,0)))</f>
        <v>BCA105</v>
      </c>
      <c r="S596" s="40" t="str">
        <f t="array" ref="S596">iferror(index(dissected_fish!$K:$K,match($A596,dissected_fish!$A:$A,0)))</f>
        <v>N</v>
      </c>
      <c r="T596" s="61" t="str">
        <f t="array" ref="T596">index(fish_lab_data!O:O,match(A596,fish_lab_data!C:C,0))</f>
        <v>EJ</v>
      </c>
      <c r="U596" s="61">
        <f t="array" ref="U596">if(A596="","",index(fish_lab_data!X:X,match(A596,fish_lab_data!C:C,0)))</f>
        <v>595</v>
      </c>
    </row>
    <row r="597">
      <c r="A597" t="str">
        <f>fish_lab_data!C597</f>
        <v>U16193</v>
      </c>
      <c r="B597" t="str">
        <f t="array" ref="B597">iferror(index('rna-muscle'!$I:$I,match($A597,'rna-muscle'!$A:$A,0)))</f>
        <v>BRN68M-G11</v>
      </c>
      <c r="C597" t="str">
        <f t="array" ref="C597">iferror(index('rna-muscle'!$L:$L,match($A597,'rna-muscle'!$A:$A,0)))</f>
        <v>N</v>
      </c>
      <c r="D597" t="str">
        <f t="array" ref="D597">iferror(index('rna-gill'!$I:$I,match($A597,'rna-gill'!$A:$A,0)))</f>
        <v>BRN68G-G11</v>
      </c>
      <c r="E597" t="str">
        <f t="array" ref="E597">iferror(index('rna-gill'!$L:$L,match($A597,'rna-gill'!$A:$A,0)))</f>
        <v>N</v>
      </c>
      <c r="F597" t="str">
        <f t="array" ref="F597">iferror(index(fatty_acid!$G:$G,match($A597,fatty_acid!$A:$A,0)))</f>
        <v>BFA27-91</v>
      </c>
      <c r="G597" t="str">
        <f t="array" ref="G597">iferror(index(fatty_acid!$J:$J,match($A597,fatty_acid!$A:$A,0)))</f>
        <v>N</v>
      </c>
      <c r="H597" t="str">
        <f t="array" ref="H597">iferror(index(isotopes!$G:$G,match($A597,isotopes!$A:$A,0)))</f>
        <v>BIS30-13</v>
      </c>
      <c r="I597" t="str">
        <f t="array" ref="I597">iferror(index(isotopes!$J:$J,match($A597,isotopes!$A:$A,0)))</f>
        <v>N</v>
      </c>
      <c r="J597" t="str">
        <f t="array" ref="J597">iferror(index(extra_muscle!$G:$G,match($A597,extra_muscle!$A:$A,0)))</f>
        <v>BXM28-75</v>
      </c>
      <c r="K597" t="str">
        <f t="array" ref="K597">iferror(index(extra_muscle!$J:$J,match($A597,extra_muscle!$A:$A,0)))</f>
        <v>N</v>
      </c>
      <c r="L597" s="59" t="str">
        <f t="array" ref="L597">iferror(index(dna!$G:$G,match($A597,dna!$A:$A,0)))</f>
        <v/>
      </c>
      <c r="M597" s="60" t="str">
        <f t="array" ref="M597">iferror(index(dna!$J:$J,match($A597,dna!$A:$A,0)))</f>
        <v/>
      </c>
      <c r="N597" t="str">
        <f t="array" ref="N597">iferror(index(stomachs!$G:$G,match($A597,stomachs!$A:$A,0)))</f>
        <v/>
      </c>
      <c r="O597" t="str">
        <f t="array" ref="O597">iferror(index(stomachs!$J:$J,match($A597,stomachs!$A:$A,0)))</f>
        <v/>
      </c>
      <c r="P597" t="str">
        <f t="array" ref="P597">iferror(index(sea_lice!$G:$G,match($A597,sea_lice!$A:$A,0)))</f>
        <v/>
      </c>
      <c r="Q597" t="str">
        <f t="array" ref="Q597">iferror(index(sea_lice!$J:$J,match($A597,sea_lice!$A:$A,0)))</f>
        <v/>
      </c>
      <c r="R597" s="40" t="str">
        <f t="array" ref="R597">iferror(index(dissected_fish!$F:$F,match($A597,dissected_fish!$A:$A,0)))</f>
        <v>BCA105</v>
      </c>
      <c r="S597" s="40" t="str">
        <f t="array" ref="S597">iferror(index(dissected_fish!$K:$K,match($A597,dissected_fish!$A:$A,0)))</f>
        <v>N</v>
      </c>
      <c r="T597" s="61" t="str">
        <f t="array" ref="T597">index(fish_lab_data!O:O,match(A597,fish_lab_data!C:C,0))</f>
        <v>EJ</v>
      </c>
      <c r="U597" s="61">
        <f t="array" ref="U597">if(A597="","",index(fish_lab_data!X:X,match(A597,fish_lab_data!C:C,0)))</f>
        <v>596</v>
      </c>
    </row>
    <row r="598">
      <c r="A598" t="str">
        <f>fish_lab_data!C598</f>
        <v>U16195</v>
      </c>
      <c r="B598" t="str">
        <f t="array" ref="B598">iferror(index('rna-muscle'!$I:$I,match($A598,'rna-muscle'!$A:$A,0)))</f>
        <v>BRN68M-F11</v>
      </c>
      <c r="C598" t="str">
        <f t="array" ref="C598">iferror(index('rna-muscle'!$L:$L,match($A598,'rna-muscle'!$A:$A,0)))</f>
        <v>N</v>
      </c>
      <c r="D598" t="str">
        <f t="array" ref="D598">iferror(index('rna-gill'!$I:$I,match($A598,'rna-gill'!$A:$A,0)))</f>
        <v>BRN68G-F11</v>
      </c>
      <c r="E598" t="str">
        <f t="array" ref="E598">iferror(index('rna-gill'!$L:$L,match($A598,'rna-gill'!$A:$A,0)))</f>
        <v>N</v>
      </c>
      <c r="F598" t="str">
        <f t="array" ref="F598">iferror(index(fatty_acid!$G:$G,match($A598,fatty_acid!$A:$A,0)))</f>
        <v>BFA27-92</v>
      </c>
      <c r="G598" t="str">
        <f t="array" ref="G598">iferror(index(fatty_acid!$J:$J,match($A598,fatty_acid!$A:$A,0)))</f>
        <v>N</v>
      </c>
      <c r="H598" t="str">
        <f t="array" ref="H598">iferror(index(isotopes!$G:$G,match($A598,isotopes!$A:$A,0)))</f>
        <v>BIS30-14</v>
      </c>
      <c r="I598" t="str">
        <f t="array" ref="I598">iferror(index(isotopes!$J:$J,match($A598,isotopes!$A:$A,0)))</f>
        <v>N</v>
      </c>
      <c r="J598" t="str">
        <f t="array" ref="J598">iferror(index(extra_muscle!$G:$G,match($A598,extra_muscle!$A:$A,0)))</f>
        <v>BXM28-77</v>
      </c>
      <c r="K598" t="str">
        <f t="array" ref="K598">iferror(index(extra_muscle!$J:$J,match($A598,extra_muscle!$A:$A,0)))</f>
        <v>N</v>
      </c>
      <c r="L598" s="59" t="str">
        <f t="array" ref="L598">iferror(index(dna!$G:$G,match($A598,dna!$A:$A,0)))</f>
        <v/>
      </c>
      <c r="M598" s="60" t="str">
        <f t="array" ref="M598">iferror(index(dna!$J:$J,match($A598,dna!$A:$A,0)))</f>
        <v/>
      </c>
      <c r="N598" t="str">
        <f t="array" ref="N598">iferror(index(stomachs!$G:$G,match($A598,stomachs!$A:$A,0)))</f>
        <v/>
      </c>
      <c r="O598" t="str">
        <f t="array" ref="O598">iferror(index(stomachs!$J:$J,match($A598,stomachs!$A:$A,0)))</f>
        <v/>
      </c>
      <c r="P598" t="str">
        <f t="array" ref="P598">iferror(index(sea_lice!$G:$G,match($A598,sea_lice!$A:$A,0)))</f>
        <v/>
      </c>
      <c r="Q598" t="str">
        <f t="array" ref="Q598">iferror(index(sea_lice!$J:$J,match($A598,sea_lice!$A:$A,0)))</f>
        <v/>
      </c>
      <c r="R598" s="40" t="str">
        <f t="array" ref="R598">iferror(index(dissected_fish!$F:$F,match($A598,dissected_fish!$A:$A,0)))</f>
        <v>BCA105</v>
      </c>
      <c r="S598" s="40" t="str">
        <f t="array" ref="S598">iferror(index(dissected_fish!$K:$K,match($A598,dissected_fish!$A:$A,0)))</f>
        <v>N</v>
      </c>
      <c r="T598" s="61" t="str">
        <f t="array" ref="T598">index(fish_lab_data!O:O,match(A598,fish_lab_data!C:C,0))</f>
        <v>EJ</v>
      </c>
      <c r="U598" s="61">
        <f t="array" ref="U598">if(A598="","",index(fish_lab_data!X:X,match(A598,fish_lab_data!C:C,0)))</f>
        <v>597</v>
      </c>
    </row>
    <row r="599">
      <c r="A599" t="str">
        <f>fish_lab_data!C599</f>
        <v>U16196</v>
      </c>
      <c r="B599" t="str">
        <f t="array" ref="B599">iferror(index('rna-muscle'!$I:$I,match($A599,'rna-muscle'!$A:$A,0)))</f>
        <v>BRN68M-E11</v>
      </c>
      <c r="C599" t="str">
        <f t="array" ref="C599">iferror(index('rna-muscle'!$L:$L,match($A599,'rna-muscle'!$A:$A,0)))</f>
        <v>N</v>
      </c>
      <c r="D599" t="str">
        <f t="array" ref="D599">iferror(index('rna-gill'!$I:$I,match($A599,'rna-gill'!$A:$A,0)))</f>
        <v>BRN68G-E11</v>
      </c>
      <c r="E599" t="str">
        <f t="array" ref="E599">iferror(index('rna-gill'!$L:$L,match($A599,'rna-gill'!$A:$A,0)))</f>
        <v>N</v>
      </c>
      <c r="F599" t="str">
        <f t="array" ref="F599">iferror(index(fatty_acid!$G:$G,match($A599,fatty_acid!$A:$A,0)))</f>
        <v>BFA27-93</v>
      </c>
      <c r="G599" t="str">
        <f t="array" ref="G599">iferror(index(fatty_acid!$J:$J,match($A599,fatty_acid!$A:$A,0)))</f>
        <v>N</v>
      </c>
      <c r="H599" t="str">
        <f t="array" ref="H599">iferror(index(isotopes!$G:$G,match($A599,isotopes!$A:$A,0)))</f>
        <v>BIS30-15</v>
      </c>
      <c r="I599" t="str">
        <f t="array" ref="I599">iferror(index(isotopes!$J:$J,match($A599,isotopes!$A:$A,0)))</f>
        <v>N</v>
      </c>
      <c r="J599" t="str">
        <f t="array" ref="J599">iferror(index(extra_muscle!$G:$G,match($A599,extra_muscle!$A:$A,0)))</f>
        <v>BXM28-78</v>
      </c>
      <c r="K599" t="str">
        <f t="array" ref="K599">iferror(index(extra_muscle!$J:$J,match($A599,extra_muscle!$A:$A,0)))</f>
        <v>N</v>
      </c>
      <c r="L599" s="59" t="str">
        <f t="array" ref="L599">iferror(index(dna!$G:$G,match($A599,dna!$A:$A,0)))</f>
        <v/>
      </c>
      <c r="M599" s="60" t="str">
        <f t="array" ref="M599">iferror(index(dna!$J:$J,match($A599,dna!$A:$A,0)))</f>
        <v/>
      </c>
      <c r="N599" t="str">
        <f t="array" ref="N599">iferror(index(stomachs!$G:$G,match($A599,stomachs!$A:$A,0)))</f>
        <v/>
      </c>
      <c r="O599" t="str">
        <f t="array" ref="O599">iferror(index(stomachs!$J:$J,match($A599,stomachs!$A:$A,0)))</f>
        <v/>
      </c>
      <c r="P599" t="str">
        <f t="array" ref="P599">iferror(index(sea_lice!$G:$G,match($A599,sea_lice!$A:$A,0)))</f>
        <v/>
      </c>
      <c r="Q599" t="str">
        <f t="array" ref="Q599">iferror(index(sea_lice!$J:$J,match($A599,sea_lice!$A:$A,0)))</f>
        <v/>
      </c>
      <c r="R599" s="40" t="str">
        <f t="array" ref="R599">iferror(index(dissected_fish!$F:$F,match($A599,dissected_fish!$A:$A,0)))</f>
        <v>BCA105</v>
      </c>
      <c r="S599" s="40" t="str">
        <f t="array" ref="S599">iferror(index(dissected_fish!$K:$K,match($A599,dissected_fish!$A:$A,0)))</f>
        <v>N</v>
      </c>
      <c r="T599" s="61" t="str">
        <f t="array" ref="T599">index(fish_lab_data!O:O,match(A599,fish_lab_data!C:C,0))</f>
        <v>EJ</v>
      </c>
      <c r="U599" s="61">
        <f t="array" ref="U599">if(A599="","",index(fish_lab_data!X:X,match(A599,fish_lab_data!C:C,0)))</f>
        <v>598</v>
      </c>
    </row>
    <row r="600">
      <c r="A600" t="str">
        <f>fish_lab_data!C600</f>
        <v>U16197</v>
      </c>
      <c r="B600" t="str">
        <f t="array" ref="B600">iferror(index('rna-muscle'!$I:$I,match($A600,'rna-muscle'!$A:$A,0)))</f>
        <v>BRN68M-D11</v>
      </c>
      <c r="C600" t="str">
        <f t="array" ref="C600">iferror(index('rna-muscle'!$L:$L,match($A600,'rna-muscle'!$A:$A,0)))</f>
        <v>N</v>
      </c>
      <c r="D600" t="str">
        <f t="array" ref="D600">iferror(index('rna-gill'!$I:$I,match($A600,'rna-gill'!$A:$A,0)))</f>
        <v>BRN68G-D11</v>
      </c>
      <c r="E600" t="str">
        <f t="array" ref="E600">iferror(index('rna-gill'!$L:$L,match($A600,'rna-gill'!$A:$A,0)))</f>
        <v>N</v>
      </c>
      <c r="F600" t="str">
        <f t="array" ref="F600">iferror(index(fatty_acid!$G:$G,match($A600,fatty_acid!$A:$A,0)))</f>
        <v>BFA27-94</v>
      </c>
      <c r="G600" t="str">
        <f t="array" ref="G600">iferror(index(fatty_acid!$J:$J,match($A600,fatty_acid!$A:$A,0)))</f>
        <v>N</v>
      </c>
      <c r="H600" t="str">
        <f t="array" ref="H600">iferror(index(isotopes!$G:$G,match($A600,isotopes!$A:$A,0)))</f>
        <v>BIS30-16</v>
      </c>
      <c r="I600" t="str">
        <f t="array" ref="I600">iferror(index(isotopes!$J:$J,match($A600,isotopes!$A:$A,0)))</f>
        <v>N</v>
      </c>
      <c r="J600" t="str">
        <f t="array" ref="J600">iferror(index(extra_muscle!$G:$G,match($A600,extra_muscle!$A:$A,0)))</f>
        <v>BXM28-79</v>
      </c>
      <c r="K600" t="str">
        <f t="array" ref="K600">iferror(index(extra_muscle!$J:$J,match($A600,extra_muscle!$A:$A,0)))</f>
        <v>N</v>
      </c>
      <c r="L600" s="59" t="str">
        <f t="array" ref="L600">iferror(index(dna!$G:$G,match($A600,dna!$A:$A,0)))</f>
        <v/>
      </c>
      <c r="M600" s="60" t="str">
        <f t="array" ref="M600">iferror(index(dna!$J:$J,match($A600,dna!$A:$A,0)))</f>
        <v/>
      </c>
      <c r="N600" t="str">
        <f t="array" ref="N600">iferror(index(stomachs!$G:$G,match($A600,stomachs!$A:$A,0)))</f>
        <v/>
      </c>
      <c r="O600" t="str">
        <f t="array" ref="O600">iferror(index(stomachs!$J:$J,match($A600,stomachs!$A:$A,0)))</f>
        <v/>
      </c>
      <c r="P600" t="str">
        <f t="array" ref="P600">iferror(index(sea_lice!$G:$G,match($A600,sea_lice!$A:$A,0)))</f>
        <v/>
      </c>
      <c r="Q600" t="str">
        <f t="array" ref="Q600">iferror(index(sea_lice!$J:$J,match($A600,sea_lice!$A:$A,0)))</f>
        <v/>
      </c>
      <c r="R600" s="40" t="str">
        <f t="array" ref="R600">iferror(index(dissected_fish!$F:$F,match($A600,dissected_fish!$A:$A,0)))</f>
        <v>BCA105</v>
      </c>
      <c r="S600" s="40" t="str">
        <f t="array" ref="S600">iferror(index(dissected_fish!$K:$K,match($A600,dissected_fish!$A:$A,0)))</f>
        <v>N</v>
      </c>
      <c r="T600" s="61" t="str">
        <f t="array" ref="T600">index(fish_lab_data!O:O,match(A600,fish_lab_data!C:C,0))</f>
        <v>EJ</v>
      </c>
      <c r="U600" s="61">
        <f t="array" ref="U600">if(A600="","",index(fish_lab_data!X:X,match(A600,fish_lab_data!C:C,0)))</f>
        <v>599</v>
      </c>
    </row>
    <row r="601">
      <c r="A601" t="str">
        <f>fish_lab_data!C601</f>
        <v>U16506</v>
      </c>
      <c r="B601" t="str">
        <f t="array" ref="B601">iferror(index('rna-muscle'!$I:$I,match($A601,'rna-muscle'!$A:$A,0)))</f>
        <v>BRN68M-E8</v>
      </c>
      <c r="C601" t="str">
        <f t="array" ref="C601">iferror(index('rna-muscle'!$L:$L,match($A601,'rna-muscle'!$A:$A,0)))</f>
        <v>N</v>
      </c>
      <c r="D601" t="str">
        <f t="array" ref="D601">iferror(index('rna-gill'!$I:$I,match($A601,'rna-gill'!$A:$A,0)))</f>
        <v>BRN68G-E8</v>
      </c>
      <c r="E601" t="str">
        <f t="array" ref="E601">iferror(index('rna-gill'!$L:$L,match($A601,'rna-gill'!$A:$A,0)))</f>
        <v>N</v>
      </c>
      <c r="F601" t="str">
        <f t="array" ref="F601">iferror(index(fatty_acid!$G:$G,match($A601,fatty_acid!$A:$A,0)))</f>
        <v>BFA26-74</v>
      </c>
      <c r="G601" t="str">
        <f t="array" ref="G601">iferror(index(fatty_acid!$J:$J,match($A601,fatty_acid!$A:$A,0)))</f>
        <v>N</v>
      </c>
      <c r="H601" t="str">
        <f t="array" ref="H601">iferror(index(isotopes!$G:$G,match($A601,isotopes!$A:$A,0)))</f>
        <v>BIS29-74</v>
      </c>
      <c r="I601" t="str">
        <f t="array" ref="I601">iferror(index(isotopes!$J:$J,match($A601,isotopes!$A:$A,0)))</f>
        <v>N</v>
      </c>
      <c r="J601" t="str">
        <f t="array" ref="J601">iferror(index(extra_muscle!$G:$G,match($A601,extra_muscle!$A:$A,0)))</f>
        <v>BXM27-74</v>
      </c>
      <c r="K601" t="str">
        <f t="array" ref="K601">iferror(index(extra_muscle!$J:$J,match($A601,extra_muscle!$A:$A,0)))</f>
        <v>N</v>
      </c>
      <c r="L601" s="59" t="str">
        <f t="array" ref="L601">iferror(index(dna!$G:$G,match($A601,dna!$A:$A,0)))</f>
        <v/>
      </c>
      <c r="M601" s="60" t="str">
        <f t="array" ref="M601">iferror(index(dna!$J:$J,match($A601,dna!$A:$A,0)))</f>
        <v/>
      </c>
      <c r="N601" t="str">
        <f t="array" ref="N601">iferror(index(stomachs!$G:$G,match($A601,stomachs!$A:$A,0)))</f>
        <v/>
      </c>
      <c r="O601" t="str">
        <f t="array" ref="O601">iferror(index(stomachs!$J:$J,match($A601,stomachs!$A:$A,0)))</f>
        <v/>
      </c>
      <c r="P601" t="str">
        <f t="array" ref="P601">iferror(index(sea_lice!$G:$G,match($A601,sea_lice!$A:$A,0)))</f>
        <v>BSL6-47</v>
      </c>
      <c r="Q601" t="str">
        <f t="array" ref="Q601">iferror(index(sea_lice!$J:$J,match($A601,sea_lice!$A:$A,0)))</f>
        <v>N</v>
      </c>
      <c r="R601" s="40" t="str">
        <f t="array" ref="R601">iferror(index(dissected_fish!$F:$F,match($A601,dissected_fish!$A:$A,0)))</f>
        <v>BCA105</v>
      </c>
      <c r="S601" s="40" t="str">
        <f t="array" ref="S601">iferror(index(dissected_fish!$K:$K,match($A601,dissected_fish!$A:$A,0)))</f>
        <v>N</v>
      </c>
      <c r="T601" s="61" t="str">
        <f t="array" ref="T601">index(fish_lab_data!O:O,match(A601,fish_lab_data!C:C,0))</f>
        <v>KB</v>
      </c>
      <c r="U601" s="61">
        <f t="array" ref="U601">if(A601="","",index(fish_lab_data!X:X,match(A601,fish_lab_data!C:C,0)))</f>
        <v>600</v>
      </c>
    </row>
    <row r="602">
      <c r="A602" t="str">
        <f>fish_lab_data!C602</f>
        <v>U16510</v>
      </c>
      <c r="B602" t="str">
        <f t="array" ref="B602">iferror(index('rna-muscle'!$I:$I,match($A602,'rna-muscle'!$A:$A,0)))</f>
        <v>BRN68M-D8</v>
      </c>
      <c r="C602" t="str">
        <f t="array" ref="C602">iferror(index('rna-muscle'!$L:$L,match($A602,'rna-muscle'!$A:$A,0)))</f>
        <v>N</v>
      </c>
      <c r="D602" t="str">
        <f t="array" ref="D602">iferror(index('rna-gill'!$I:$I,match($A602,'rna-gill'!$A:$A,0)))</f>
        <v>BRN68G-D8</v>
      </c>
      <c r="E602" t="str">
        <f t="array" ref="E602">iferror(index('rna-gill'!$L:$L,match($A602,'rna-gill'!$A:$A,0)))</f>
        <v>N</v>
      </c>
      <c r="F602" t="str">
        <f t="array" ref="F602">iferror(index(fatty_acid!$G:$G,match($A602,fatty_acid!$A:$A,0)))</f>
        <v>BFA26-75</v>
      </c>
      <c r="G602" t="str">
        <f t="array" ref="G602">iferror(index(fatty_acid!$J:$J,match($A602,fatty_acid!$A:$A,0)))</f>
        <v>N</v>
      </c>
      <c r="H602" t="str">
        <f t="array" ref="H602">iferror(index(isotopes!$G:$G,match($A602,isotopes!$A:$A,0)))</f>
        <v>BIS29-75</v>
      </c>
      <c r="I602" t="str">
        <f t="array" ref="I602">iferror(index(isotopes!$J:$J,match($A602,isotopes!$A:$A,0)))</f>
        <v>N</v>
      </c>
      <c r="J602" t="str">
        <f t="array" ref="J602">iferror(index(extra_muscle!$G:$G,match($A602,extra_muscle!$A:$A,0)))</f>
        <v>BXM27-75</v>
      </c>
      <c r="K602" t="str">
        <f t="array" ref="K602">iferror(index(extra_muscle!$J:$J,match($A602,extra_muscle!$A:$A,0)))</f>
        <v>N</v>
      </c>
      <c r="L602" s="59" t="str">
        <f t="array" ref="L602">iferror(index(dna!$G:$G,match($A602,dna!$A:$A,0)))</f>
        <v/>
      </c>
      <c r="M602" s="60" t="str">
        <f t="array" ref="M602">iferror(index(dna!$J:$J,match($A602,dna!$A:$A,0)))</f>
        <v/>
      </c>
      <c r="N602" t="str">
        <f t="array" ref="N602">iferror(index(stomachs!$G:$G,match($A602,stomachs!$A:$A,0)))</f>
        <v/>
      </c>
      <c r="O602" t="str">
        <f t="array" ref="O602">iferror(index(stomachs!$J:$J,match($A602,stomachs!$A:$A,0)))</f>
        <v/>
      </c>
      <c r="P602" t="str">
        <f t="array" ref="P602">iferror(index(sea_lice!$G:$G,match($A602,sea_lice!$A:$A,0)))</f>
        <v>BSL6-48</v>
      </c>
      <c r="Q602" t="str">
        <f t="array" ref="Q602">iferror(index(sea_lice!$J:$J,match($A602,sea_lice!$A:$A,0)))</f>
        <v>N</v>
      </c>
      <c r="R602" s="40" t="str">
        <f t="array" ref="R602">iferror(index(dissected_fish!$F:$F,match($A602,dissected_fish!$A:$A,0)))</f>
        <v>BCA105</v>
      </c>
      <c r="S602" s="40" t="str">
        <f t="array" ref="S602">iferror(index(dissected_fish!$K:$K,match($A602,dissected_fish!$A:$A,0)))</f>
        <v>N</v>
      </c>
      <c r="T602" s="61" t="str">
        <f t="array" ref="T602">index(fish_lab_data!O:O,match(A602,fish_lab_data!C:C,0))</f>
        <v>KB</v>
      </c>
      <c r="U602" s="61">
        <f t="array" ref="U602">if(A602="","",index(fish_lab_data!X:X,match(A602,fish_lab_data!C:C,0)))</f>
        <v>601</v>
      </c>
    </row>
    <row r="603">
      <c r="A603" t="str">
        <f>fish_lab_data!C603</f>
        <v>U16507</v>
      </c>
      <c r="B603" t="str">
        <f t="array" ref="B603">iferror(index('rna-muscle'!$I:$I,match($A603,'rna-muscle'!$A:$A,0)))</f>
        <v>BRN68M-C8</v>
      </c>
      <c r="C603" t="str">
        <f t="array" ref="C603">iferror(index('rna-muscle'!$L:$L,match($A603,'rna-muscle'!$A:$A,0)))</f>
        <v>N</v>
      </c>
      <c r="D603" t="str">
        <f t="array" ref="D603">iferror(index('rna-gill'!$I:$I,match($A603,'rna-gill'!$A:$A,0)))</f>
        <v>BRN68G-C8</v>
      </c>
      <c r="E603" t="str">
        <f t="array" ref="E603">iferror(index('rna-gill'!$L:$L,match($A603,'rna-gill'!$A:$A,0)))</f>
        <v>N</v>
      </c>
      <c r="F603" t="str">
        <f t="array" ref="F603">iferror(index(fatty_acid!$G:$G,match($A603,fatty_acid!$A:$A,0)))</f>
        <v>BFA26-76</v>
      </c>
      <c r="G603" t="str">
        <f t="array" ref="G603">iferror(index(fatty_acid!$J:$J,match($A603,fatty_acid!$A:$A,0)))</f>
        <v>N</v>
      </c>
      <c r="H603" t="str">
        <f t="array" ref="H603">iferror(index(isotopes!$G:$G,match($A603,isotopes!$A:$A,0)))</f>
        <v>BIS29-76</v>
      </c>
      <c r="I603" t="str">
        <f t="array" ref="I603">iferror(index(isotopes!$J:$J,match($A603,isotopes!$A:$A,0)))</f>
        <v>N</v>
      </c>
      <c r="J603" t="str">
        <f t="array" ref="J603">iferror(index(extra_muscle!$G:$G,match($A603,extra_muscle!$A:$A,0)))</f>
        <v>BXM27-76</v>
      </c>
      <c r="K603" t="str">
        <f t="array" ref="K603">iferror(index(extra_muscle!$J:$J,match($A603,extra_muscle!$A:$A,0)))</f>
        <v>N</v>
      </c>
      <c r="L603" s="59" t="str">
        <f t="array" ref="L603">iferror(index(dna!$G:$G,match($A603,dna!$A:$A,0)))</f>
        <v/>
      </c>
      <c r="M603" s="60" t="str">
        <f t="array" ref="M603">iferror(index(dna!$J:$J,match($A603,dna!$A:$A,0)))</f>
        <v/>
      </c>
      <c r="N603" t="str">
        <f t="array" ref="N603">iferror(index(stomachs!$G:$G,match($A603,stomachs!$A:$A,0)))</f>
        <v/>
      </c>
      <c r="O603" t="str">
        <f t="array" ref="O603">iferror(index(stomachs!$J:$J,match($A603,stomachs!$A:$A,0)))</f>
        <v/>
      </c>
      <c r="P603" t="str">
        <f t="array" ref="P603">iferror(index(sea_lice!$G:$G,match($A603,sea_lice!$A:$A,0)))</f>
        <v>BSL6-49</v>
      </c>
      <c r="Q603" t="str">
        <f t="array" ref="Q603">iferror(index(sea_lice!$J:$J,match($A603,sea_lice!$A:$A,0)))</f>
        <v>N</v>
      </c>
      <c r="R603" s="40" t="str">
        <f t="array" ref="R603">iferror(index(dissected_fish!$F:$F,match($A603,dissected_fish!$A:$A,0)))</f>
        <v>BCA105</v>
      </c>
      <c r="S603" s="40" t="str">
        <f t="array" ref="S603">iferror(index(dissected_fish!$K:$K,match($A603,dissected_fish!$A:$A,0)))</f>
        <v>N</v>
      </c>
      <c r="T603" s="61" t="str">
        <f t="array" ref="T603">index(fish_lab_data!O:O,match(A603,fish_lab_data!C:C,0))</f>
        <v>KB</v>
      </c>
      <c r="U603" s="61">
        <f t="array" ref="U603">if(A603="","",index(fish_lab_data!X:X,match(A603,fish_lab_data!C:C,0)))</f>
        <v>602</v>
      </c>
    </row>
    <row r="604">
      <c r="A604" t="str">
        <f>fish_lab_data!C604</f>
        <v>U16503</v>
      </c>
      <c r="B604" t="str">
        <f t="array" ref="B604">iferror(index('rna-muscle'!$I:$I,match($A604,'rna-muscle'!$A:$A,0)))</f>
        <v>BRN68M-B8</v>
      </c>
      <c r="C604" t="str">
        <f t="array" ref="C604">iferror(index('rna-muscle'!$L:$L,match($A604,'rna-muscle'!$A:$A,0)))</f>
        <v>N</v>
      </c>
      <c r="D604" t="str">
        <f t="array" ref="D604">iferror(index('rna-gill'!$I:$I,match($A604,'rna-gill'!$A:$A,0)))</f>
        <v>BRN68G-B8</v>
      </c>
      <c r="E604" t="str">
        <f t="array" ref="E604">iferror(index('rna-gill'!$L:$L,match($A604,'rna-gill'!$A:$A,0)))</f>
        <v>N</v>
      </c>
      <c r="F604" t="str">
        <f t="array" ref="F604">iferror(index(fatty_acid!$G:$G,match($A604,fatty_acid!$A:$A,0)))</f>
        <v>BFA26-77</v>
      </c>
      <c r="G604" t="str">
        <f t="array" ref="G604">iferror(index(fatty_acid!$J:$J,match($A604,fatty_acid!$A:$A,0)))</f>
        <v>N</v>
      </c>
      <c r="H604" t="str">
        <f t="array" ref="H604">iferror(index(isotopes!$G:$G,match($A604,isotopes!$A:$A,0)))</f>
        <v>BIS29-77</v>
      </c>
      <c r="I604" t="str">
        <f t="array" ref="I604">iferror(index(isotopes!$J:$J,match($A604,isotopes!$A:$A,0)))</f>
        <v>N</v>
      </c>
      <c r="J604" t="str">
        <f t="array" ref="J604">iferror(index(extra_muscle!$G:$G,match($A604,extra_muscle!$A:$A,0)))</f>
        <v>BXM27-77</v>
      </c>
      <c r="K604" t="str">
        <f t="array" ref="K604">iferror(index(extra_muscle!$J:$J,match($A604,extra_muscle!$A:$A,0)))</f>
        <v>N</v>
      </c>
      <c r="L604" s="59" t="str">
        <f t="array" ref="L604">iferror(index(dna!$G:$G,match($A604,dna!$A:$A,0)))</f>
        <v/>
      </c>
      <c r="M604" s="60" t="str">
        <f t="array" ref="M604">iferror(index(dna!$J:$J,match($A604,dna!$A:$A,0)))</f>
        <v/>
      </c>
      <c r="N604" t="str">
        <f t="array" ref="N604">iferror(index(stomachs!$G:$G,match($A604,stomachs!$A:$A,0)))</f>
        <v/>
      </c>
      <c r="O604" t="str">
        <f t="array" ref="O604">iferror(index(stomachs!$J:$J,match($A604,stomachs!$A:$A,0)))</f>
        <v/>
      </c>
      <c r="P604" t="str">
        <f t="array" ref="P604">iferror(index(sea_lice!$G:$G,match($A604,sea_lice!$A:$A,0)))</f>
        <v>BSL6-51</v>
      </c>
      <c r="Q604" t="str">
        <f t="array" ref="Q604">iferror(index(sea_lice!$J:$J,match($A604,sea_lice!$A:$A,0)))</f>
        <v>N</v>
      </c>
      <c r="R604" s="40" t="str">
        <f t="array" ref="R604">iferror(index(dissected_fish!$F:$F,match($A604,dissected_fish!$A:$A,0)))</f>
        <v>BCA105</v>
      </c>
      <c r="S604" s="40" t="str">
        <f t="array" ref="S604">iferror(index(dissected_fish!$K:$K,match($A604,dissected_fish!$A:$A,0)))</f>
        <v>N</v>
      </c>
      <c r="T604" s="61" t="str">
        <f t="array" ref="T604">index(fish_lab_data!O:O,match(A604,fish_lab_data!C:C,0))</f>
        <v>KB</v>
      </c>
      <c r="U604" s="61">
        <f t="array" ref="U604">if(A604="","",index(fish_lab_data!X:X,match(A604,fish_lab_data!C:C,0)))</f>
        <v>603</v>
      </c>
    </row>
    <row r="605">
      <c r="A605" t="str">
        <f>fish_lab_data!C605</f>
        <v>U16505</v>
      </c>
      <c r="B605" t="str">
        <f t="array" ref="B605">iferror(index('rna-muscle'!$I:$I,match($A605,'rna-muscle'!$A:$A,0)))</f>
        <v>BRN68M-A8</v>
      </c>
      <c r="C605" t="str">
        <f t="array" ref="C605">iferror(index('rna-muscle'!$L:$L,match($A605,'rna-muscle'!$A:$A,0)))</f>
        <v>N</v>
      </c>
      <c r="D605" t="str">
        <f t="array" ref="D605">iferror(index('rna-gill'!$I:$I,match($A605,'rna-gill'!$A:$A,0)))</f>
        <v>BRN68G-A8</v>
      </c>
      <c r="E605" t="str">
        <f t="array" ref="E605">iferror(index('rna-gill'!$L:$L,match($A605,'rna-gill'!$A:$A,0)))</f>
        <v>N</v>
      </c>
      <c r="F605" t="str">
        <f t="array" ref="F605">iferror(index(fatty_acid!$G:$G,match($A605,fatty_acid!$A:$A,0)))</f>
        <v>BFA26-78</v>
      </c>
      <c r="G605" t="str">
        <f t="array" ref="G605">iferror(index(fatty_acid!$J:$J,match($A605,fatty_acid!$A:$A,0)))</f>
        <v>N</v>
      </c>
      <c r="H605" t="str">
        <f t="array" ref="H605">iferror(index(isotopes!$G:$G,match($A605,isotopes!$A:$A,0)))</f>
        <v>BIS29-78</v>
      </c>
      <c r="I605" t="str">
        <f t="array" ref="I605">iferror(index(isotopes!$J:$J,match($A605,isotopes!$A:$A,0)))</f>
        <v>N</v>
      </c>
      <c r="J605" t="str">
        <f t="array" ref="J605">iferror(index(extra_muscle!$G:$G,match($A605,extra_muscle!$A:$A,0)))</f>
        <v>BXM27-78</v>
      </c>
      <c r="K605" t="str">
        <f t="array" ref="K605">iferror(index(extra_muscle!$J:$J,match($A605,extra_muscle!$A:$A,0)))</f>
        <v>N</v>
      </c>
      <c r="L605" s="59" t="str">
        <f t="array" ref="L605">iferror(index(dna!$G:$G,match($A605,dna!$A:$A,0)))</f>
        <v/>
      </c>
      <c r="M605" s="60" t="str">
        <f t="array" ref="M605">iferror(index(dna!$J:$J,match($A605,dna!$A:$A,0)))</f>
        <v/>
      </c>
      <c r="N605" t="str">
        <f t="array" ref="N605">iferror(index(stomachs!$G:$G,match($A605,stomachs!$A:$A,0)))</f>
        <v/>
      </c>
      <c r="O605" t="str">
        <f t="array" ref="O605">iferror(index(stomachs!$J:$J,match($A605,stomachs!$A:$A,0)))</f>
        <v/>
      </c>
      <c r="P605" t="str">
        <f t="array" ref="P605">iferror(index(sea_lice!$G:$G,match($A605,sea_lice!$A:$A,0)))</f>
        <v/>
      </c>
      <c r="Q605" t="str">
        <f t="array" ref="Q605">iferror(index(sea_lice!$J:$J,match($A605,sea_lice!$A:$A,0)))</f>
        <v/>
      </c>
      <c r="R605" s="40" t="str">
        <f t="array" ref="R605">iferror(index(dissected_fish!$F:$F,match($A605,dissected_fish!$A:$A,0)))</f>
        <v>BCA105</v>
      </c>
      <c r="S605" s="40" t="str">
        <f t="array" ref="S605">iferror(index(dissected_fish!$K:$K,match($A605,dissected_fish!$A:$A,0)))</f>
        <v>N</v>
      </c>
      <c r="T605" s="61" t="str">
        <f t="array" ref="T605">index(fish_lab_data!O:O,match(A605,fish_lab_data!C:C,0))</f>
        <v>KB</v>
      </c>
      <c r="U605" s="61">
        <f t="array" ref="U605">if(A605="","",index(fish_lab_data!X:X,match(A605,fish_lab_data!C:C,0)))</f>
        <v>604</v>
      </c>
    </row>
    <row r="606">
      <c r="A606" t="str">
        <f>fish_lab_data!C606</f>
        <v>U16806</v>
      </c>
      <c r="B606" t="str">
        <f t="array" ref="B606">iferror(index('rna-muscle'!$I:$I,match($A606,'rna-muscle'!$A:$A,0)))</f>
        <v>BRN68M-H10</v>
      </c>
      <c r="C606" t="str">
        <f t="array" ref="C606">iferror(index('rna-muscle'!$L:$L,match($A606,'rna-muscle'!$A:$A,0)))</f>
        <v>N</v>
      </c>
      <c r="D606" t="str">
        <f t="array" ref="D606">iferror(index('rna-gill'!$I:$I,match($A606,'rna-gill'!$A:$A,0)))</f>
        <v>BRN68G-H10</v>
      </c>
      <c r="E606" t="str">
        <f t="array" ref="E606">iferror(index('rna-gill'!$L:$L,match($A606,'rna-gill'!$A:$A,0)))</f>
        <v>N</v>
      </c>
      <c r="F606" t="str">
        <f t="array" ref="F606">iferror(index(fatty_acid!$G:$G,match($A606,fatty_acid!$A:$A,0)))</f>
        <v>BFA26-79</v>
      </c>
      <c r="G606" t="str">
        <f t="array" ref="G606">iferror(index(fatty_acid!$J:$J,match($A606,fatty_acid!$A:$A,0)))</f>
        <v>N</v>
      </c>
      <c r="H606" t="str">
        <f t="array" ref="H606">iferror(index(isotopes!$G:$G,match($A606,isotopes!$A:$A,0)))</f>
        <v>BIS29-79</v>
      </c>
      <c r="I606" t="str">
        <f t="array" ref="I606">iferror(index(isotopes!$J:$J,match($A606,isotopes!$A:$A,0)))</f>
        <v>N</v>
      </c>
      <c r="J606" t="str">
        <f t="array" ref="J606">iferror(index(extra_muscle!$G:$G,match($A606,extra_muscle!$A:$A,0)))</f>
        <v>BXM27-79</v>
      </c>
      <c r="K606" t="str">
        <f t="array" ref="K606">iferror(index(extra_muscle!$J:$J,match($A606,extra_muscle!$A:$A,0)))</f>
        <v>N</v>
      </c>
      <c r="L606" s="59" t="str">
        <f t="array" ref="L606">iferror(index(dna!$G:$G,match($A606,dna!$A:$A,0)))</f>
        <v/>
      </c>
      <c r="M606" s="60" t="str">
        <f t="array" ref="M606">iferror(index(dna!$J:$J,match($A606,dna!$A:$A,0)))</f>
        <v/>
      </c>
      <c r="N606" t="str">
        <f t="array" ref="N606">iferror(index(stomachs!$G:$G,match($A606,stomachs!$A:$A,0)))</f>
        <v/>
      </c>
      <c r="O606" t="str">
        <f t="array" ref="O606">iferror(index(stomachs!$J:$J,match($A606,stomachs!$A:$A,0)))</f>
        <v/>
      </c>
      <c r="P606" t="str">
        <f t="array" ref="P606">iferror(index(sea_lice!$G:$G,match($A606,sea_lice!$A:$A,0)))</f>
        <v/>
      </c>
      <c r="Q606" t="str">
        <f t="array" ref="Q606">iferror(index(sea_lice!$J:$J,match($A606,sea_lice!$A:$A,0)))</f>
        <v/>
      </c>
      <c r="R606" s="40" t="str">
        <f t="array" ref="R606">iferror(index(dissected_fish!$F:$F,match($A606,dissected_fish!$A:$A,0)))</f>
        <v>BCA105</v>
      </c>
      <c r="S606" s="40" t="str">
        <f t="array" ref="S606">iferror(index(dissected_fish!$K:$K,match($A606,dissected_fish!$A:$A,0)))</f>
        <v>N</v>
      </c>
      <c r="T606" s="61" t="str">
        <f t="array" ref="T606">index(fish_lab_data!O:O,match(A606,fish_lab_data!C:C,0))</f>
        <v>KB</v>
      </c>
      <c r="U606" s="61">
        <f t="array" ref="U606">if(A606="","",index(fish_lab_data!X:X,match(A606,fish_lab_data!C:C,0)))</f>
        <v>605</v>
      </c>
    </row>
    <row r="607">
      <c r="A607" t="str">
        <f>fish_lab_data!C607</f>
        <v>U16810</v>
      </c>
      <c r="B607" t="str">
        <f t="array" ref="B607">iferror(index('rna-muscle'!$I:$I,match($A607,'rna-muscle'!$A:$A,0)))</f>
        <v>BRN68M-G10</v>
      </c>
      <c r="C607" t="str">
        <f t="array" ref="C607">iferror(index('rna-muscle'!$L:$L,match($A607,'rna-muscle'!$A:$A,0)))</f>
        <v>N</v>
      </c>
      <c r="D607" t="str">
        <f t="array" ref="D607">iferror(index('rna-gill'!$I:$I,match($A607,'rna-gill'!$A:$A,0)))</f>
        <v>BRN68G-G10</v>
      </c>
      <c r="E607" t="str">
        <f t="array" ref="E607">iferror(index('rna-gill'!$L:$L,match($A607,'rna-gill'!$A:$A,0)))</f>
        <v>N</v>
      </c>
      <c r="F607" t="str">
        <f t="array" ref="F607">iferror(index(fatty_acid!$G:$G,match($A607,fatty_acid!$A:$A,0)))</f>
        <v>BFA26-80</v>
      </c>
      <c r="G607" t="str">
        <f t="array" ref="G607">iferror(index(fatty_acid!$J:$J,match($A607,fatty_acid!$A:$A,0)))</f>
        <v>N</v>
      </c>
      <c r="H607" t="str">
        <f t="array" ref="H607">iferror(index(isotopes!$G:$G,match($A607,isotopes!$A:$A,0)))</f>
        <v>BIS29-80</v>
      </c>
      <c r="I607" t="str">
        <f t="array" ref="I607">iferror(index(isotopes!$J:$J,match($A607,isotopes!$A:$A,0)))</f>
        <v>N</v>
      </c>
      <c r="J607" t="str">
        <f t="array" ref="J607">iferror(index(extra_muscle!$G:$G,match($A607,extra_muscle!$A:$A,0)))</f>
        <v>BXM27-80</v>
      </c>
      <c r="K607" t="str">
        <f t="array" ref="K607">iferror(index(extra_muscle!$J:$J,match($A607,extra_muscle!$A:$A,0)))</f>
        <v>N</v>
      </c>
      <c r="L607" s="59" t="str">
        <f t="array" ref="L607">iferror(index(dna!$G:$G,match($A607,dna!$A:$A,0)))</f>
        <v/>
      </c>
      <c r="M607" s="60" t="str">
        <f t="array" ref="M607">iferror(index(dna!$J:$J,match($A607,dna!$A:$A,0)))</f>
        <v/>
      </c>
      <c r="N607" t="str">
        <f t="array" ref="N607">iferror(index(stomachs!$G:$G,match($A607,stomachs!$A:$A,0)))</f>
        <v/>
      </c>
      <c r="O607" t="str">
        <f t="array" ref="O607">iferror(index(stomachs!$J:$J,match($A607,stomachs!$A:$A,0)))</f>
        <v/>
      </c>
      <c r="P607" t="str">
        <f t="array" ref="P607">iferror(index(sea_lice!$G:$G,match($A607,sea_lice!$A:$A,0)))</f>
        <v/>
      </c>
      <c r="Q607" t="str">
        <f t="array" ref="Q607">iferror(index(sea_lice!$J:$J,match($A607,sea_lice!$A:$A,0)))</f>
        <v/>
      </c>
      <c r="R607" s="40" t="str">
        <f t="array" ref="R607">iferror(index(dissected_fish!$F:$F,match($A607,dissected_fish!$A:$A,0)))</f>
        <v>BCA105</v>
      </c>
      <c r="S607" s="40" t="str">
        <f t="array" ref="S607">iferror(index(dissected_fish!$K:$K,match($A607,dissected_fish!$A:$A,0)))</f>
        <v>N</v>
      </c>
      <c r="T607" s="61" t="str">
        <f t="array" ref="T607">index(fish_lab_data!O:O,match(A607,fish_lab_data!C:C,0))</f>
        <v>KB</v>
      </c>
      <c r="U607" s="61">
        <f t="array" ref="U607">if(A607="","",index(fish_lab_data!X:X,match(A607,fish_lab_data!C:C,0)))</f>
        <v>606</v>
      </c>
    </row>
    <row r="608">
      <c r="A608" t="str">
        <f>fish_lab_data!C608</f>
        <v>U16808</v>
      </c>
      <c r="B608" t="str">
        <f t="array" ref="B608">iferror(index('rna-muscle'!$I:$I,match($A608,'rna-muscle'!$A:$A,0)))</f>
        <v>BRN68M-E10</v>
      </c>
      <c r="C608" t="str">
        <f t="array" ref="C608">iferror(index('rna-muscle'!$L:$L,match($A608,'rna-muscle'!$A:$A,0)))</f>
        <v>N</v>
      </c>
      <c r="D608" t="str">
        <f t="array" ref="D608">iferror(index('rna-gill'!$I:$I,match($A608,'rna-gill'!$A:$A,0)))</f>
        <v>BRN68G-E10</v>
      </c>
      <c r="E608" t="str">
        <f t="array" ref="E608">iferror(index('rna-gill'!$L:$L,match($A608,'rna-gill'!$A:$A,0)))</f>
        <v>N</v>
      </c>
      <c r="F608" t="str">
        <f t="array" ref="F608">iferror(index(fatty_acid!$G:$G,match($A608,fatty_acid!$A:$A,0)))</f>
        <v>BFA26-81</v>
      </c>
      <c r="G608" t="str">
        <f t="array" ref="G608">iferror(index(fatty_acid!$J:$J,match($A608,fatty_acid!$A:$A,0)))</f>
        <v>N</v>
      </c>
      <c r="H608" t="str">
        <f t="array" ref="H608">iferror(index(isotopes!$G:$G,match($A608,isotopes!$A:$A,0)))</f>
        <v>BIS29-81</v>
      </c>
      <c r="I608" t="str">
        <f t="array" ref="I608">iferror(index(isotopes!$J:$J,match($A608,isotopes!$A:$A,0)))</f>
        <v>N</v>
      </c>
      <c r="J608" t="str">
        <f t="array" ref="J608">iferror(index(extra_muscle!$G:$G,match($A608,extra_muscle!$A:$A,0)))</f>
        <v>BXM27-81</v>
      </c>
      <c r="K608" t="str">
        <f t="array" ref="K608">iferror(index(extra_muscle!$J:$J,match($A608,extra_muscle!$A:$A,0)))</f>
        <v>N</v>
      </c>
      <c r="L608" s="59" t="str">
        <f t="array" ref="L608">iferror(index(dna!$G:$G,match($A608,dna!$A:$A,0)))</f>
        <v/>
      </c>
      <c r="M608" s="60" t="str">
        <f t="array" ref="M608">iferror(index(dna!$J:$J,match($A608,dna!$A:$A,0)))</f>
        <v/>
      </c>
      <c r="N608" t="str">
        <f t="array" ref="N608">iferror(index(stomachs!$G:$G,match($A608,stomachs!$A:$A,0)))</f>
        <v/>
      </c>
      <c r="O608" t="str">
        <f t="array" ref="O608">iferror(index(stomachs!$J:$J,match($A608,stomachs!$A:$A,0)))</f>
        <v/>
      </c>
      <c r="P608" t="str">
        <f t="array" ref="P608">iferror(index(sea_lice!$G:$G,match($A608,sea_lice!$A:$A,0)))</f>
        <v/>
      </c>
      <c r="Q608" t="str">
        <f t="array" ref="Q608">iferror(index(sea_lice!$J:$J,match($A608,sea_lice!$A:$A,0)))</f>
        <v/>
      </c>
      <c r="R608" s="40" t="str">
        <f t="array" ref="R608">iferror(index(dissected_fish!$F:$F,match($A608,dissected_fish!$A:$A,0)))</f>
        <v>BCA105</v>
      </c>
      <c r="S608" s="40" t="str">
        <f t="array" ref="S608">iferror(index(dissected_fish!$K:$K,match($A608,dissected_fish!$A:$A,0)))</f>
        <v>N</v>
      </c>
      <c r="T608" s="61" t="str">
        <f t="array" ref="T608">index(fish_lab_data!O:O,match(A608,fish_lab_data!C:C,0))</f>
        <v>KB</v>
      </c>
      <c r="U608" s="61">
        <f t="array" ref="U608">if(A608="","",index(fish_lab_data!X:X,match(A608,fish_lab_data!C:C,0)))</f>
        <v>607</v>
      </c>
    </row>
    <row r="609">
      <c r="A609" t="str">
        <f>fish_lab_data!C609</f>
        <v>U16809</v>
      </c>
      <c r="B609" t="str">
        <f t="array" ref="B609">iferror(index('rna-muscle'!$I:$I,match($A609,'rna-muscle'!$A:$A,0)))</f>
        <v>BRN68M-F10</v>
      </c>
      <c r="C609" t="str">
        <f t="array" ref="C609">iferror(index('rna-muscle'!$L:$L,match($A609,'rna-muscle'!$A:$A,0)))</f>
        <v>N</v>
      </c>
      <c r="D609" t="str">
        <f t="array" ref="D609">iferror(index('rna-gill'!$I:$I,match($A609,'rna-gill'!$A:$A,0)))</f>
        <v>BRN68G-F10</v>
      </c>
      <c r="E609" t="str">
        <f t="array" ref="E609">iferror(index('rna-gill'!$L:$L,match($A609,'rna-gill'!$A:$A,0)))</f>
        <v>N</v>
      </c>
      <c r="F609" t="str">
        <f t="array" ref="F609">iferror(index(fatty_acid!$G:$G,match($A609,fatty_acid!$A:$A,0)))</f>
        <v>BFA28-1</v>
      </c>
      <c r="G609" t="str">
        <f t="array" ref="G609">iferror(index(fatty_acid!$J:$J,match($A609,fatty_acid!$A:$A,0)))</f>
        <v>N</v>
      </c>
      <c r="H609" t="str">
        <f t="array" ref="H609">iferror(index(isotopes!$G:$G,match($A609,isotopes!$A:$A,0)))</f>
        <v>BIS31-1</v>
      </c>
      <c r="I609" t="str">
        <f t="array" ref="I609">iferror(index(isotopes!$J:$J,match($A609,isotopes!$A:$A,0)))</f>
        <v>N</v>
      </c>
      <c r="J609" t="str">
        <f t="array" ref="J609">iferror(index(extra_muscle!$G:$G,match($A609,extra_muscle!$A:$A,0)))</f>
        <v>BXM29-1</v>
      </c>
      <c r="K609" t="str">
        <f t="array" ref="K609">iferror(index(extra_muscle!$J:$J,match($A609,extra_muscle!$A:$A,0)))</f>
        <v>N</v>
      </c>
      <c r="L609" s="59" t="str">
        <f t="array" ref="L609">iferror(index(dna!$G:$G,match($A609,dna!$A:$A,0)))</f>
        <v/>
      </c>
      <c r="M609" s="60" t="str">
        <f t="array" ref="M609">iferror(index(dna!$J:$J,match($A609,dna!$A:$A,0)))</f>
        <v/>
      </c>
      <c r="N609" t="str">
        <f t="array" ref="N609">iferror(index(stomachs!$G:$G,match($A609,stomachs!$A:$A,0)))</f>
        <v/>
      </c>
      <c r="O609" t="str">
        <f t="array" ref="O609">iferror(index(stomachs!$J:$J,match($A609,stomachs!$A:$A,0)))</f>
        <v/>
      </c>
      <c r="P609" t="str">
        <f t="array" ref="P609">iferror(index(sea_lice!$G:$G,match($A609,sea_lice!$A:$A,0)))</f>
        <v>BSL6-52</v>
      </c>
      <c r="Q609" t="str">
        <f t="array" ref="Q609">iferror(index(sea_lice!$J:$J,match($A609,sea_lice!$A:$A,0)))</f>
        <v>N</v>
      </c>
      <c r="R609" s="40" t="str">
        <f t="array" ref="R609">iferror(index(dissected_fish!$F:$F,match($A609,dissected_fish!$A:$A,0)))</f>
        <v>BCA105</v>
      </c>
      <c r="S609" s="40" t="str">
        <f t="array" ref="S609">iferror(index(dissected_fish!$K:$K,match($A609,dissected_fish!$A:$A,0)))</f>
        <v>N</v>
      </c>
      <c r="T609" s="61" t="str">
        <f t="array" ref="T609">index(fish_lab_data!O:O,match(A609,fish_lab_data!C:C,0))</f>
        <v>KB</v>
      </c>
      <c r="U609" s="61">
        <f t="array" ref="U609">if(A609="","",index(fish_lab_data!X:X,match(A609,fish_lab_data!C:C,0)))</f>
        <v>608</v>
      </c>
    </row>
    <row r="610">
      <c r="A610" t="str">
        <f>fish_lab_data!C610</f>
        <v>U16803</v>
      </c>
      <c r="B610" t="str">
        <f t="array" ref="B610">iferror(index('rna-muscle'!$I:$I,match($A610,'rna-muscle'!$A:$A,0)))</f>
        <v>BRN68M-D10</v>
      </c>
      <c r="C610" t="str">
        <f t="array" ref="C610">iferror(index('rna-muscle'!$L:$L,match($A610,'rna-muscle'!$A:$A,0)))</f>
        <v>N</v>
      </c>
      <c r="D610" t="str">
        <f t="array" ref="D610">iferror(index('rna-gill'!$I:$I,match($A610,'rna-gill'!$A:$A,0)))</f>
        <v>BRN68G-D10</v>
      </c>
      <c r="E610" t="str">
        <f t="array" ref="E610">iferror(index('rna-gill'!$L:$L,match($A610,'rna-gill'!$A:$A,0)))</f>
        <v>N</v>
      </c>
      <c r="F610" t="str">
        <f t="array" ref="F610">iferror(index(fatty_acid!$G:$G,match($A610,fatty_acid!$A:$A,0)))</f>
        <v>BFA28-2</v>
      </c>
      <c r="G610" t="str">
        <f t="array" ref="G610">iferror(index(fatty_acid!$J:$J,match($A610,fatty_acid!$A:$A,0)))</f>
        <v>N</v>
      </c>
      <c r="H610" t="str">
        <f t="array" ref="H610">iferror(index(isotopes!$G:$G,match($A610,isotopes!$A:$A,0)))</f>
        <v>BIS31-2</v>
      </c>
      <c r="I610" t="str">
        <f t="array" ref="I610">iferror(index(isotopes!$J:$J,match($A610,isotopes!$A:$A,0)))</f>
        <v>N</v>
      </c>
      <c r="J610" t="str">
        <f t="array" ref="J610">iferror(index(extra_muscle!$G:$G,match($A610,extra_muscle!$A:$A,0)))</f>
        <v>BXM29-2</v>
      </c>
      <c r="K610" t="str">
        <f t="array" ref="K610">iferror(index(extra_muscle!$J:$J,match($A610,extra_muscle!$A:$A,0)))</f>
        <v>N</v>
      </c>
      <c r="L610" s="59" t="str">
        <f t="array" ref="L610">iferror(index(dna!$G:$G,match($A610,dna!$A:$A,0)))</f>
        <v/>
      </c>
      <c r="M610" s="60" t="str">
        <f t="array" ref="M610">iferror(index(dna!$J:$J,match($A610,dna!$A:$A,0)))</f>
        <v/>
      </c>
      <c r="N610" t="str">
        <f t="array" ref="N610">iferror(index(stomachs!$G:$G,match($A610,stomachs!$A:$A,0)))</f>
        <v/>
      </c>
      <c r="O610" t="str">
        <f t="array" ref="O610">iferror(index(stomachs!$J:$J,match($A610,stomachs!$A:$A,0)))</f>
        <v/>
      </c>
      <c r="P610" t="str">
        <f t="array" ref="P610">iferror(index(sea_lice!$G:$G,match($A610,sea_lice!$A:$A,0)))</f>
        <v>BSL6-53</v>
      </c>
      <c r="Q610" t="str">
        <f t="array" ref="Q610">iferror(index(sea_lice!$J:$J,match($A610,sea_lice!$A:$A,0)))</f>
        <v>N</v>
      </c>
      <c r="R610" s="40" t="str">
        <f t="array" ref="R610">iferror(index(dissected_fish!$F:$F,match($A610,dissected_fish!$A:$A,0)))</f>
        <v>BCA105</v>
      </c>
      <c r="S610" s="40" t="str">
        <f t="array" ref="S610">iferror(index(dissected_fish!$K:$K,match($A610,dissected_fish!$A:$A,0)))</f>
        <v>N</v>
      </c>
      <c r="T610" s="61" t="str">
        <f t="array" ref="T610">index(fish_lab_data!O:O,match(A610,fish_lab_data!C:C,0))</f>
        <v>KB</v>
      </c>
      <c r="U610" s="61">
        <f t="array" ref="U610">if(A610="","",index(fish_lab_data!X:X,match(A610,fish_lab_data!C:C,0)))</f>
        <v>609</v>
      </c>
    </row>
    <row r="611">
      <c r="A611" t="str">
        <f>fish_lab_data!C611</f>
        <v>U16805</v>
      </c>
      <c r="B611" t="str">
        <f t="array" ref="B611">iferror(index('rna-muscle'!$I:$I,match($A611,'rna-muscle'!$A:$A,0)))</f>
        <v>BRN68M-C10</v>
      </c>
      <c r="C611" t="str">
        <f t="array" ref="C611">iferror(index('rna-muscle'!$L:$L,match($A611,'rna-muscle'!$A:$A,0)))</f>
        <v>N</v>
      </c>
      <c r="D611" t="str">
        <f t="array" ref="D611">iferror(index('rna-gill'!$I:$I,match($A611,'rna-gill'!$A:$A,0)))</f>
        <v>BRN68G-C10</v>
      </c>
      <c r="E611" t="str">
        <f t="array" ref="E611">iferror(index('rna-gill'!$L:$L,match($A611,'rna-gill'!$A:$A,0)))</f>
        <v>N</v>
      </c>
      <c r="F611" t="str">
        <f t="array" ref="F611">iferror(index(fatty_acid!$G:$G,match($A611,fatty_acid!$A:$A,0)))</f>
        <v>BFA28-3</v>
      </c>
      <c r="G611" t="str">
        <f t="array" ref="G611">iferror(index(fatty_acid!$J:$J,match($A611,fatty_acid!$A:$A,0)))</f>
        <v>N</v>
      </c>
      <c r="H611" t="str">
        <f t="array" ref="H611">iferror(index(isotopes!$G:$G,match($A611,isotopes!$A:$A,0)))</f>
        <v>BIS31-3</v>
      </c>
      <c r="I611" t="str">
        <f t="array" ref="I611">iferror(index(isotopes!$J:$J,match($A611,isotopes!$A:$A,0)))</f>
        <v>N</v>
      </c>
      <c r="J611" t="str">
        <f t="array" ref="J611">iferror(index(extra_muscle!$G:$G,match($A611,extra_muscle!$A:$A,0)))</f>
        <v>BXM29-3</v>
      </c>
      <c r="K611" t="str">
        <f t="array" ref="K611">iferror(index(extra_muscle!$J:$J,match($A611,extra_muscle!$A:$A,0)))</f>
        <v>N</v>
      </c>
      <c r="L611" s="59" t="str">
        <f t="array" ref="L611">iferror(index(dna!$G:$G,match($A611,dna!$A:$A,0)))</f>
        <v/>
      </c>
      <c r="M611" s="60" t="str">
        <f t="array" ref="M611">iferror(index(dna!$J:$J,match($A611,dna!$A:$A,0)))</f>
        <v/>
      </c>
      <c r="N611" t="str">
        <f t="array" ref="N611">iferror(index(stomachs!$G:$G,match($A611,stomachs!$A:$A,0)))</f>
        <v/>
      </c>
      <c r="O611" t="str">
        <f t="array" ref="O611">iferror(index(stomachs!$J:$J,match($A611,stomachs!$A:$A,0)))</f>
        <v/>
      </c>
      <c r="P611" t="str">
        <f t="array" ref="P611">iferror(index(sea_lice!$G:$G,match($A611,sea_lice!$A:$A,0)))</f>
        <v/>
      </c>
      <c r="Q611" t="str">
        <f t="array" ref="Q611">iferror(index(sea_lice!$J:$J,match($A611,sea_lice!$A:$A,0)))</f>
        <v/>
      </c>
      <c r="R611" s="40" t="str">
        <f t="array" ref="R611">iferror(index(dissected_fish!$F:$F,match($A611,dissected_fish!$A:$A,0)))</f>
        <v>BCA105</v>
      </c>
      <c r="S611" s="40" t="str">
        <f t="array" ref="S611">iferror(index(dissected_fish!$K:$K,match($A611,dissected_fish!$A:$A,0)))</f>
        <v>N</v>
      </c>
      <c r="T611" s="61" t="str">
        <f t="array" ref="T611">index(fish_lab_data!O:O,match(A611,fish_lab_data!C:C,0))</f>
        <v>KB</v>
      </c>
      <c r="U611" s="61">
        <f t="array" ref="U611">if(A611="","",index(fish_lab_data!X:X,match(A611,fish_lab_data!C:C,0)))</f>
        <v>610</v>
      </c>
    </row>
    <row r="612">
      <c r="A612" t="str">
        <f>fish_lab_data!C612</f>
        <v>U16801</v>
      </c>
      <c r="B612" t="str">
        <f t="array" ref="B612">iferror(index('rna-muscle'!$I:$I,match($A612,'rna-muscle'!$A:$A,0)))</f>
        <v>BRN68M-B10</v>
      </c>
      <c r="C612" t="str">
        <f t="array" ref="C612">iferror(index('rna-muscle'!$L:$L,match($A612,'rna-muscle'!$A:$A,0)))</f>
        <v>N</v>
      </c>
      <c r="D612" t="str">
        <f t="array" ref="D612">iferror(index('rna-gill'!$I:$I,match($A612,'rna-gill'!$A:$A,0)))</f>
        <v>BRN68G-B10</v>
      </c>
      <c r="E612" t="str">
        <f t="array" ref="E612">iferror(index('rna-gill'!$L:$L,match($A612,'rna-gill'!$A:$A,0)))</f>
        <v>N</v>
      </c>
      <c r="F612" t="str">
        <f t="array" ref="F612">iferror(index(fatty_acid!$G:$G,match($A612,fatty_acid!$A:$A,0)))</f>
        <v>BFA28-4</v>
      </c>
      <c r="G612" t="str">
        <f t="array" ref="G612">iferror(index(fatty_acid!$J:$J,match($A612,fatty_acid!$A:$A,0)))</f>
        <v>N</v>
      </c>
      <c r="H612" t="str">
        <f t="array" ref="H612">iferror(index(isotopes!$G:$G,match($A612,isotopes!$A:$A,0)))</f>
        <v>BIS31-4</v>
      </c>
      <c r="I612" t="str">
        <f t="array" ref="I612">iferror(index(isotopes!$J:$J,match($A612,isotopes!$A:$A,0)))</f>
        <v>N</v>
      </c>
      <c r="J612" t="str">
        <f t="array" ref="J612">iferror(index(extra_muscle!$G:$G,match($A612,extra_muscle!$A:$A,0)))</f>
        <v>BXM29-4</v>
      </c>
      <c r="K612" t="str">
        <f t="array" ref="K612">iferror(index(extra_muscle!$J:$J,match($A612,extra_muscle!$A:$A,0)))</f>
        <v>N</v>
      </c>
      <c r="L612" s="59" t="str">
        <f t="array" ref="L612">iferror(index(dna!$G:$G,match($A612,dna!$A:$A,0)))</f>
        <v/>
      </c>
      <c r="M612" s="60" t="str">
        <f t="array" ref="M612">iferror(index(dna!$J:$J,match($A612,dna!$A:$A,0)))</f>
        <v/>
      </c>
      <c r="N612" t="str">
        <f t="array" ref="N612">iferror(index(stomachs!$G:$G,match($A612,stomachs!$A:$A,0)))</f>
        <v/>
      </c>
      <c r="O612" t="str">
        <f t="array" ref="O612">iferror(index(stomachs!$J:$J,match($A612,stomachs!$A:$A,0)))</f>
        <v/>
      </c>
      <c r="P612" t="str">
        <f t="array" ref="P612">iferror(index(sea_lice!$G:$G,match($A612,sea_lice!$A:$A,0)))</f>
        <v/>
      </c>
      <c r="Q612" t="str">
        <f t="array" ref="Q612">iferror(index(sea_lice!$J:$J,match($A612,sea_lice!$A:$A,0)))</f>
        <v/>
      </c>
      <c r="R612" s="40" t="str">
        <f t="array" ref="R612">iferror(index(dissected_fish!$F:$F,match($A612,dissected_fish!$A:$A,0)))</f>
        <v>BCA105</v>
      </c>
      <c r="S612" s="40" t="str">
        <f t="array" ref="S612">iferror(index(dissected_fish!$K:$K,match($A612,dissected_fish!$A:$A,0)))</f>
        <v>N</v>
      </c>
      <c r="T612" s="61" t="str">
        <f t="array" ref="T612">index(fish_lab_data!O:O,match(A612,fish_lab_data!C:C,0))</f>
        <v>KB</v>
      </c>
      <c r="U612" s="61">
        <f t="array" ref="U612">if(A612="","",index(fish_lab_data!X:X,match(A612,fish_lab_data!C:C,0)))</f>
        <v>611</v>
      </c>
    </row>
    <row r="613">
      <c r="A613" t="str">
        <f>fish_lab_data!C613</f>
        <v>U16807</v>
      </c>
      <c r="B613" t="str">
        <f t="array" ref="B613">iferror(index('rna-muscle'!$I:$I,match($A613,'rna-muscle'!$A:$A,0)))</f>
        <v>BRN68M-A10</v>
      </c>
      <c r="C613" t="str">
        <f t="array" ref="C613">iferror(index('rna-muscle'!$L:$L,match($A613,'rna-muscle'!$A:$A,0)))</f>
        <v>N</v>
      </c>
      <c r="D613" t="str">
        <f t="array" ref="D613">iferror(index('rna-gill'!$I:$I,match($A613,'rna-gill'!$A:$A,0)))</f>
        <v>BRN68G-A10</v>
      </c>
      <c r="E613" t="str">
        <f t="array" ref="E613">iferror(index('rna-gill'!$L:$L,match($A613,'rna-gill'!$A:$A,0)))</f>
        <v>N</v>
      </c>
      <c r="F613" t="str">
        <f t="array" ref="F613">iferror(index(fatty_acid!$G:$G,match($A613,fatty_acid!$A:$A,0)))</f>
        <v>BFA28-5</v>
      </c>
      <c r="G613" t="str">
        <f t="array" ref="G613">iferror(index(fatty_acid!$J:$J,match($A613,fatty_acid!$A:$A,0)))</f>
        <v>N</v>
      </c>
      <c r="H613" t="str">
        <f t="array" ref="H613">iferror(index(isotopes!$G:$G,match($A613,isotopes!$A:$A,0)))</f>
        <v>BIS31-5</v>
      </c>
      <c r="I613" t="str">
        <f t="array" ref="I613">iferror(index(isotopes!$J:$J,match($A613,isotopes!$A:$A,0)))</f>
        <v>N</v>
      </c>
      <c r="J613" t="str">
        <f t="array" ref="J613">iferror(index(extra_muscle!$G:$G,match($A613,extra_muscle!$A:$A,0)))</f>
        <v>BXM29-5</v>
      </c>
      <c r="K613" t="str">
        <f t="array" ref="K613">iferror(index(extra_muscle!$J:$J,match($A613,extra_muscle!$A:$A,0)))</f>
        <v>N</v>
      </c>
      <c r="L613" s="59" t="str">
        <f t="array" ref="L613">iferror(index(dna!$G:$G,match($A613,dna!$A:$A,0)))</f>
        <v/>
      </c>
      <c r="M613" s="60" t="str">
        <f t="array" ref="M613">iferror(index(dna!$J:$J,match($A613,dna!$A:$A,0)))</f>
        <v/>
      </c>
      <c r="N613" t="str">
        <f t="array" ref="N613">iferror(index(stomachs!$G:$G,match($A613,stomachs!$A:$A,0)))</f>
        <v/>
      </c>
      <c r="O613" t="str">
        <f t="array" ref="O613">iferror(index(stomachs!$J:$J,match($A613,stomachs!$A:$A,0)))</f>
        <v/>
      </c>
      <c r="P613" t="str">
        <f t="array" ref="P613">iferror(index(sea_lice!$G:$G,match($A613,sea_lice!$A:$A,0)))</f>
        <v/>
      </c>
      <c r="Q613" t="str">
        <f t="array" ref="Q613">iferror(index(sea_lice!$J:$J,match($A613,sea_lice!$A:$A,0)))</f>
        <v/>
      </c>
      <c r="R613" s="40" t="str">
        <f t="array" ref="R613">iferror(index(dissected_fish!$F:$F,match($A613,dissected_fish!$A:$A,0)))</f>
        <v>BCA105</v>
      </c>
      <c r="S613" s="40" t="str">
        <f t="array" ref="S613">iferror(index(dissected_fish!$K:$K,match($A613,dissected_fish!$A:$A,0)))</f>
        <v>N</v>
      </c>
      <c r="T613" s="61" t="str">
        <f t="array" ref="T613">index(fish_lab_data!O:O,match(A613,fish_lab_data!C:C,0))</f>
        <v>KB</v>
      </c>
      <c r="U613" s="61">
        <f t="array" ref="U613">if(A613="","",index(fish_lab_data!X:X,match(A613,fish_lab_data!C:C,0)))</f>
        <v>612</v>
      </c>
    </row>
    <row r="614">
      <c r="A614" t="str">
        <f>fish_lab_data!C614</f>
        <v>U16804</v>
      </c>
      <c r="B614" t="str">
        <f t="array" ref="B614">iferror(index('rna-muscle'!$I:$I,match($A614,'rna-muscle'!$A:$A,0)))</f>
        <v>BRN68M-G12</v>
      </c>
      <c r="C614" t="str">
        <f t="array" ref="C614">iferror(index('rna-muscle'!$L:$L,match($A614,'rna-muscle'!$A:$A,0)))</f>
        <v>N</v>
      </c>
      <c r="D614" t="str">
        <f t="array" ref="D614">iferror(index('rna-gill'!$I:$I,match($A614,'rna-gill'!$A:$A,0)))</f>
        <v>BRN68G-G12</v>
      </c>
      <c r="E614" t="str">
        <f t="array" ref="E614">iferror(index('rna-gill'!$L:$L,match($A614,'rna-gill'!$A:$A,0)))</f>
        <v>N</v>
      </c>
      <c r="F614" t="str">
        <f t="array" ref="F614">iferror(index(fatty_acid!$G:$G,match($A614,fatty_acid!$A:$A,0)))</f>
        <v>BFA28-6</v>
      </c>
      <c r="G614" t="str">
        <f t="array" ref="G614">iferror(index(fatty_acid!$J:$J,match($A614,fatty_acid!$A:$A,0)))</f>
        <v>N</v>
      </c>
      <c r="H614" t="str">
        <f t="array" ref="H614">iferror(index(isotopes!$G:$G,match($A614,isotopes!$A:$A,0)))</f>
        <v>BIS31-6</v>
      </c>
      <c r="I614" t="str">
        <f t="array" ref="I614">iferror(index(isotopes!$J:$J,match($A614,isotopes!$A:$A,0)))</f>
        <v>N</v>
      </c>
      <c r="J614" t="str">
        <f t="array" ref="J614">iferror(index(extra_muscle!$G:$G,match($A614,extra_muscle!$A:$A,0)))</f>
        <v>BXM29-6</v>
      </c>
      <c r="K614" t="str">
        <f t="array" ref="K614">iferror(index(extra_muscle!$J:$J,match($A614,extra_muscle!$A:$A,0)))</f>
        <v>N</v>
      </c>
      <c r="L614" s="59" t="str">
        <f t="array" ref="L614">iferror(index(dna!$G:$G,match($A614,dna!$A:$A,0)))</f>
        <v/>
      </c>
      <c r="M614" s="60" t="str">
        <f t="array" ref="M614">iferror(index(dna!$J:$J,match($A614,dna!$A:$A,0)))</f>
        <v/>
      </c>
      <c r="N614" t="str">
        <f t="array" ref="N614">iferror(index(stomachs!$G:$G,match($A614,stomachs!$A:$A,0)))</f>
        <v/>
      </c>
      <c r="O614" t="str">
        <f t="array" ref="O614">iferror(index(stomachs!$J:$J,match($A614,stomachs!$A:$A,0)))</f>
        <v/>
      </c>
      <c r="P614" t="str">
        <f t="array" ref="P614">iferror(index(sea_lice!$G:$G,match($A614,sea_lice!$A:$A,0)))</f>
        <v/>
      </c>
      <c r="Q614" t="str">
        <f t="array" ref="Q614">iferror(index(sea_lice!$J:$J,match($A614,sea_lice!$A:$A,0)))</f>
        <v/>
      </c>
      <c r="R614" s="40" t="str">
        <f t="array" ref="R614">iferror(index(dissected_fish!$F:$F,match($A614,dissected_fish!$A:$A,0)))</f>
        <v>BCA105</v>
      </c>
      <c r="S614" s="40" t="str">
        <f t="array" ref="S614">iferror(index(dissected_fish!$K:$K,match($A614,dissected_fish!$A:$A,0)))</f>
        <v>N</v>
      </c>
      <c r="T614" s="61" t="str">
        <f t="array" ref="T614">index(fish_lab_data!O:O,match(A614,fish_lab_data!C:C,0))</f>
        <v>KB</v>
      </c>
      <c r="U614" s="61">
        <f t="array" ref="U614">if(A614="","",index(fish_lab_data!X:X,match(A614,fish_lab_data!C:C,0)))</f>
        <v>613</v>
      </c>
    </row>
    <row r="615">
      <c r="A615" t="str">
        <f>fish_lab_data!C615</f>
        <v>U16802</v>
      </c>
      <c r="B615" t="str">
        <f t="array" ref="B615">iferror(index('rna-muscle'!$I:$I,match($A615,'rna-muscle'!$A:$A,0)))</f>
        <v>BRN68M-F12</v>
      </c>
      <c r="C615" t="str">
        <f t="array" ref="C615">iferror(index('rna-muscle'!$L:$L,match($A615,'rna-muscle'!$A:$A,0)))</f>
        <v>N</v>
      </c>
      <c r="D615" t="str">
        <f t="array" ref="D615">iferror(index('rna-gill'!$I:$I,match($A615,'rna-gill'!$A:$A,0)))</f>
        <v>BRN68G-F12</v>
      </c>
      <c r="E615" t="str">
        <f t="array" ref="E615">iferror(index('rna-gill'!$L:$L,match($A615,'rna-gill'!$A:$A,0)))</f>
        <v>N</v>
      </c>
      <c r="F615" t="str">
        <f t="array" ref="F615">iferror(index(fatty_acid!$G:$G,match($A615,fatty_acid!$A:$A,0)))</f>
        <v>BFA28-7</v>
      </c>
      <c r="G615" t="str">
        <f t="array" ref="G615">iferror(index(fatty_acid!$J:$J,match($A615,fatty_acid!$A:$A,0)))</f>
        <v>N</v>
      </c>
      <c r="H615" t="str">
        <f t="array" ref="H615">iferror(index(isotopes!$G:$G,match($A615,isotopes!$A:$A,0)))</f>
        <v>BIS31-7</v>
      </c>
      <c r="I615" t="str">
        <f t="array" ref="I615">iferror(index(isotopes!$J:$J,match($A615,isotopes!$A:$A,0)))</f>
        <v>N</v>
      </c>
      <c r="J615" t="str">
        <f t="array" ref="J615">iferror(index(extra_muscle!$G:$G,match($A615,extra_muscle!$A:$A,0)))</f>
        <v>BXM29-7</v>
      </c>
      <c r="K615" t="str">
        <f t="array" ref="K615">iferror(index(extra_muscle!$J:$J,match($A615,extra_muscle!$A:$A,0)))</f>
        <v>N</v>
      </c>
      <c r="L615" s="59" t="str">
        <f t="array" ref="L615">iferror(index(dna!$G:$G,match($A615,dna!$A:$A,0)))</f>
        <v/>
      </c>
      <c r="M615" s="60" t="str">
        <f t="array" ref="M615">iferror(index(dna!$J:$J,match($A615,dna!$A:$A,0)))</f>
        <v/>
      </c>
      <c r="N615" t="str">
        <f t="array" ref="N615">iferror(index(stomachs!$G:$G,match($A615,stomachs!$A:$A,0)))</f>
        <v/>
      </c>
      <c r="O615" t="str">
        <f t="array" ref="O615">iferror(index(stomachs!$J:$J,match($A615,stomachs!$A:$A,0)))</f>
        <v/>
      </c>
      <c r="P615" t="str">
        <f t="array" ref="P615">iferror(index(sea_lice!$G:$G,match($A615,sea_lice!$A:$A,0)))</f>
        <v/>
      </c>
      <c r="Q615" t="str">
        <f t="array" ref="Q615">iferror(index(sea_lice!$J:$J,match($A615,sea_lice!$A:$A,0)))</f>
        <v/>
      </c>
      <c r="R615" s="40" t="str">
        <f t="array" ref="R615">iferror(index(dissected_fish!$F:$F,match($A615,dissected_fish!$A:$A,0)))</f>
        <v>BCA105</v>
      </c>
      <c r="S615" s="40" t="str">
        <f t="array" ref="S615">iferror(index(dissected_fish!$K:$K,match($A615,dissected_fish!$A:$A,0)))</f>
        <v>N</v>
      </c>
      <c r="T615" s="61" t="str">
        <f t="array" ref="T615">index(fish_lab_data!O:O,match(A615,fish_lab_data!C:C,0))</f>
        <v>KB</v>
      </c>
      <c r="U615" s="61">
        <f t="array" ref="U615">if(A615="","",index(fish_lab_data!X:X,match(A615,fish_lab_data!C:C,0)))</f>
        <v>614</v>
      </c>
    </row>
    <row r="616">
      <c r="A616" t="str">
        <f>fish_lab_data!C616</f>
        <v>U16198</v>
      </c>
      <c r="B616" t="str">
        <f t="array" ref="B616">iferror(index('rna-muscle'!$I:$I,match($A616,'rna-muscle'!$A:$A,0)))</f>
        <v>BRN68M-C11</v>
      </c>
      <c r="C616" t="str">
        <f t="array" ref="C616">iferror(index('rna-muscle'!$L:$L,match($A616,'rna-muscle'!$A:$A,0)))</f>
        <v>N</v>
      </c>
      <c r="D616" t="str">
        <f t="array" ref="D616">iferror(index('rna-gill'!$I:$I,match($A616,'rna-gill'!$A:$A,0)))</f>
        <v>BRN68G-C11</v>
      </c>
      <c r="E616" t="str">
        <f t="array" ref="E616">iferror(index('rna-gill'!$L:$L,match($A616,'rna-gill'!$A:$A,0)))</f>
        <v>N</v>
      </c>
      <c r="F616" t="str">
        <f t="array" ref="F616">iferror(index(fatty_acid!$G:$G,match($A616,fatty_acid!$A:$A,0)))</f>
        <v>BFA27-95</v>
      </c>
      <c r="G616" t="str">
        <f t="array" ref="G616">iferror(index(fatty_acid!$J:$J,match($A616,fatty_acid!$A:$A,0)))</f>
        <v>N</v>
      </c>
      <c r="H616" t="str">
        <f t="array" ref="H616">iferror(index(isotopes!$G:$G,match($A616,isotopes!$A:$A,0)))</f>
        <v>BIS30-17</v>
      </c>
      <c r="I616" t="str">
        <f t="array" ref="I616">iferror(index(isotopes!$J:$J,match($A616,isotopes!$A:$A,0)))</f>
        <v>N</v>
      </c>
      <c r="J616" t="str">
        <f t="array" ref="J616">iferror(index(extra_muscle!$G:$G,match($A616,extra_muscle!$A:$A,0)))</f>
        <v>BXM28-80</v>
      </c>
      <c r="K616" t="str">
        <f t="array" ref="K616">iferror(index(extra_muscle!$J:$J,match($A616,extra_muscle!$A:$A,0)))</f>
        <v>N</v>
      </c>
      <c r="L616" s="59" t="str">
        <f t="array" ref="L616">iferror(index(dna!$G:$G,match($A616,dna!$A:$A,0)))</f>
        <v/>
      </c>
      <c r="M616" s="60" t="str">
        <f t="array" ref="M616">iferror(index(dna!$J:$J,match($A616,dna!$A:$A,0)))</f>
        <v/>
      </c>
      <c r="N616" t="str">
        <f t="array" ref="N616">iferror(index(stomachs!$G:$G,match($A616,stomachs!$A:$A,0)))</f>
        <v/>
      </c>
      <c r="O616" t="str">
        <f t="array" ref="O616">iferror(index(stomachs!$J:$J,match($A616,stomachs!$A:$A,0)))</f>
        <v/>
      </c>
      <c r="P616" t="str">
        <f t="array" ref="P616">iferror(index(sea_lice!$G:$G,match($A616,sea_lice!$A:$A,0)))</f>
        <v/>
      </c>
      <c r="Q616" t="str">
        <f t="array" ref="Q616">iferror(index(sea_lice!$J:$J,match($A616,sea_lice!$A:$A,0)))</f>
        <v/>
      </c>
      <c r="R616" s="40" t="str">
        <f t="array" ref="R616">iferror(index(dissected_fish!$F:$F,match($A616,dissected_fish!$A:$A,0)))</f>
        <v>BCA105</v>
      </c>
      <c r="S616" s="40" t="str">
        <f t="array" ref="S616">iferror(index(dissected_fish!$K:$K,match($A616,dissected_fish!$A:$A,0)))</f>
        <v>N</v>
      </c>
      <c r="T616" s="61" t="str">
        <f t="array" ref="T616">index(fish_lab_data!O:O,match(A616,fish_lab_data!C:C,0))</f>
        <v>EJ</v>
      </c>
      <c r="U616" s="61">
        <f t="array" ref="U616">if(A616="","",index(fish_lab_data!X:X,match(A616,fish_lab_data!C:C,0)))</f>
        <v>615</v>
      </c>
    </row>
    <row r="617">
      <c r="A617" t="str">
        <f>fish_lab_data!C617</f>
        <v>U16199</v>
      </c>
      <c r="B617" t="str">
        <f t="array" ref="B617">iferror(index('rna-muscle'!$I:$I,match($A617,'rna-muscle'!$A:$A,0)))</f>
        <v>BRN68M-B11</v>
      </c>
      <c r="C617" t="str">
        <f t="array" ref="C617">iferror(index('rna-muscle'!$L:$L,match($A617,'rna-muscle'!$A:$A,0)))</f>
        <v>N</v>
      </c>
      <c r="D617" t="str">
        <f t="array" ref="D617">iferror(index('rna-gill'!$I:$I,match($A617,'rna-gill'!$A:$A,0)))</f>
        <v>BRN68G-B11</v>
      </c>
      <c r="E617" t="str">
        <f t="array" ref="E617">iferror(index('rna-gill'!$L:$L,match($A617,'rna-gill'!$A:$A,0)))</f>
        <v>N</v>
      </c>
      <c r="F617" t="str">
        <f t="array" ref="F617">iferror(index(fatty_acid!$G:$G,match($A617,fatty_acid!$A:$A,0)))</f>
        <v>BFA27-97</v>
      </c>
      <c r="G617" t="str">
        <f t="array" ref="G617">iferror(index(fatty_acid!$J:$J,match($A617,fatty_acid!$A:$A,0)))</f>
        <v>N</v>
      </c>
      <c r="H617" t="str">
        <f t="array" ref="H617">iferror(index(isotopes!$G:$G,match($A617,isotopes!$A:$A,0)))</f>
        <v>BIS30-18</v>
      </c>
      <c r="I617" t="str">
        <f t="array" ref="I617">iferror(index(isotopes!$J:$J,match($A617,isotopes!$A:$A,0)))</f>
        <v>N</v>
      </c>
      <c r="J617" t="str">
        <f t="array" ref="J617">iferror(index(extra_muscle!$G:$G,match($A617,extra_muscle!$A:$A,0)))</f>
        <v>BXM28-81</v>
      </c>
      <c r="K617" t="str">
        <f t="array" ref="K617">iferror(index(extra_muscle!$J:$J,match($A617,extra_muscle!$A:$A,0)))</f>
        <v>N</v>
      </c>
      <c r="L617" s="59" t="str">
        <f t="array" ref="L617">iferror(index(dna!$G:$G,match($A617,dna!$A:$A,0)))</f>
        <v/>
      </c>
      <c r="M617" s="60" t="str">
        <f t="array" ref="M617">iferror(index(dna!$J:$J,match($A617,dna!$A:$A,0)))</f>
        <v/>
      </c>
      <c r="N617" t="str">
        <f t="array" ref="N617">iferror(index(stomachs!$G:$G,match($A617,stomachs!$A:$A,0)))</f>
        <v/>
      </c>
      <c r="O617" t="str">
        <f t="array" ref="O617">iferror(index(stomachs!$J:$J,match($A617,stomachs!$A:$A,0)))</f>
        <v/>
      </c>
      <c r="P617" t="str">
        <f t="array" ref="P617">iferror(index(sea_lice!$G:$G,match($A617,sea_lice!$A:$A,0)))</f>
        <v/>
      </c>
      <c r="Q617" t="str">
        <f t="array" ref="Q617">iferror(index(sea_lice!$J:$J,match($A617,sea_lice!$A:$A,0)))</f>
        <v/>
      </c>
      <c r="R617" s="40" t="str">
        <f t="array" ref="R617">iferror(index(dissected_fish!$F:$F,match($A617,dissected_fish!$A:$A,0)))</f>
        <v>BCA105</v>
      </c>
      <c r="S617" s="40" t="str">
        <f t="array" ref="S617">iferror(index(dissected_fish!$K:$K,match($A617,dissected_fish!$A:$A,0)))</f>
        <v>N</v>
      </c>
      <c r="T617" s="61" t="str">
        <f t="array" ref="T617">index(fish_lab_data!O:O,match(A617,fish_lab_data!C:C,0))</f>
        <v>EJ</v>
      </c>
      <c r="U617" s="61">
        <f t="array" ref="U617">if(A617="","",index(fish_lab_data!X:X,match(A617,fish_lab_data!C:C,0)))</f>
        <v>616</v>
      </c>
    </row>
    <row r="618">
      <c r="A618" t="str">
        <f>fish_lab_data!C618</f>
        <v>U16200</v>
      </c>
      <c r="B618" t="str">
        <f t="array" ref="B618">iferror(index('rna-muscle'!$I:$I,match($A618,'rna-muscle'!$A:$A,0)))</f>
        <v>BRN68M-A11</v>
      </c>
      <c r="C618" t="str">
        <f t="array" ref="C618">iferror(index('rna-muscle'!$L:$L,match($A618,'rna-muscle'!$A:$A,0)))</f>
        <v>N</v>
      </c>
      <c r="D618" t="str">
        <f t="array" ref="D618">iferror(index('rna-gill'!$I:$I,match($A618,'rna-gill'!$A:$A,0)))</f>
        <v>BRN68G-A11</v>
      </c>
      <c r="E618" t="str">
        <f t="array" ref="E618">iferror(index('rna-gill'!$L:$L,match($A618,'rna-gill'!$A:$A,0)))</f>
        <v>N</v>
      </c>
      <c r="F618" t="str">
        <f t="array" ref="F618">iferror(index(fatty_acid!$G:$G,match($A618,fatty_acid!$A:$A,0)))</f>
        <v>BFA27-98</v>
      </c>
      <c r="G618" t="str">
        <f t="array" ref="G618">iferror(index(fatty_acid!$J:$J,match($A618,fatty_acid!$A:$A,0)))</f>
        <v>N</v>
      </c>
      <c r="H618" t="str">
        <f t="array" ref="H618">iferror(index(isotopes!$G:$G,match($A618,isotopes!$A:$A,0)))</f>
        <v>BIS30-19</v>
      </c>
      <c r="I618" t="str">
        <f t="array" ref="I618">iferror(index(isotopes!$J:$J,match($A618,isotopes!$A:$A,0)))</f>
        <v>N</v>
      </c>
      <c r="J618" t="str">
        <f t="array" ref="J618">iferror(index(extra_muscle!$G:$G,match($A618,extra_muscle!$A:$A,0)))</f>
        <v>BXM28-82</v>
      </c>
      <c r="K618" t="str">
        <f t="array" ref="K618">iferror(index(extra_muscle!$J:$J,match($A618,extra_muscle!$A:$A,0)))</f>
        <v>N</v>
      </c>
      <c r="L618" s="59" t="str">
        <f t="array" ref="L618">iferror(index(dna!$G:$G,match($A618,dna!$A:$A,0)))</f>
        <v/>
      </c>
      <c r="M618" s="60" t="str">
        <f t="array" ref="M618">iferror(index(dna!$J:$J,match($A618,dna!$A:$A,0)))</f>
        <v/>
      </c>
      <c r="N618" t="str">
        <f t="array" ref="N618">iferror(index(stomachs!$G:$G,match($A618,stomachs!$A:$A,0)))</f>
        <v/>
      </c>
      <c r="O618" t="str">
        <f t="array" ref="O618">iferror(index(stomachs!$J:$J,match($A618,stomachs!$A:$A,0)))</f>
        <v/>
      </c>
      <c r="P618" t="str">
        <f t="array" ref="P618">iferror(index(sea_lice!$G:$G,match($A618,sea_lice!$A:$A,0)))</f>
        <v/>
      </c>
      <c r="Q618" t="str">
        <f t="array" ref="Q618">iferror(index(sea_lice!$J:$J,match($A618,sea_lice!$A:$A,0)))</f>
        <v/>
      </c>
      <c r="R618" s="40" t="str">
        <f t="array" ref="R618">iferror(index(dissected_fish!$F:$F,match($A618,dissected_fish!$A:$A,0)))</f>
        <v>BCA105</v>
      </c>
      <c r="S618" s="40" t="str">
        <f t="array" ref="S618">iferror(index(dissected_fish!$K:$K,match($A618,dissected_fish!$A:$A,0)))</f>
        <v>N</v>
      </c>
      <c r="T618" s="61" t="str">
        <f t="array" ref="T618">index(fish_lab_data!O:O,match(A618,fish_lab_data!C:C,0))</f>
        <v>EJ</v>
      </c>
      <c r="U618" s="61">
        <f t="array" ref="U618">if(A618="","",index(fish_lab_data!X:X,match(A618,fish_lab_data!C:C,0)))</f>
        <v>617</v>
      </c>
    </row>
    <row r="619">
      <c r="A619" t="str">
        <f>fish_lab_data!C619</f>
        <v>U16141</v>
      </c>
      <c r="B619" t="str">
        <f t="array" ref="B619">iferror(index('rna-muscle'!$I:$I,match($A619,'rna-muscle'!$A:$A,0)))</f>
        <v>BRN61M-H1</v>
      </c>
      <c r="C619" t="str">
        <f t="array" ref="C619">iferror(index('rna-muscle'!$L:$L,match($A619,'rna-muscle'!$A:$A,0)))</f>
        <v>N</v>
      </c>
      <c r="D619" t="str">
        <f t="array" ref="D619">iferror(index('rna-gill'!$I:$I,match($A619,'rna-gill'!$A:$A,0)))</f>
        <v>BRN61G-H1</v>
      </c>
      <c r="E619" t="str">
        <f t="array" ref="E619">iferror(index('rna-gill'!$L:$L,match($A619,'rna-gill'!$A:$A,0)))</f>
        <v>N</v>
      </c>
      <c r="F619" t="str">
        <f t="array" ref="F619">iferror(index(fatty_acid!$G:$G,match($A619,fatty_acid!$A:$A,0)))</f>
        <v>BFA27-99</v>
      </c>
      <c r="G619" t="str">
        <f t="array" ref="G619">iferror(index(fatty_acid!$J:$J,match($A619,fatty_acid!$A:$A,0)))</f>
        <v>N</v>
      </c>
      <c r="H619" t="str">
        <f t="array" ref="H619">iferror(index(isotopes!$G:$G,match($A619,isotopes!$A:$A,0)))</f>
        <v>BIS30-20</v>
      </c>
      <c r="I619" t="str">
        <f t="array" ref="I619">iferror(index(isotopes!$J:$J,match($A619,isotopes!$A:$A,0)))</f>
        <v>N</v>
      </c>
      <c r="J619" t="str">
        <f t="array" ref="J619">iferror(index(extra_muscle!$G:$G,match($A619,extra_muscle!$A:$A,0)))</f>
        <v>BXM28-83</v>
      </c>
      <c r="K619" t="str">
        <f t="array" ref="K619">iferror(index(extra_muscle!$J:$J,match($A619,extra_muscle!$A:$A,0)))</f>
        <v>N</v>
      </c>
      <c r="L619" s="59" t="str">
        <f t="array" ref="L619">iferror(index(dna!$G:$G,match($A619,dna!$A:$A,0)))</f>
        <v/>
      </c>
      <c r="M619" s="60" t="str">
        <f t="array" ref="M619">iferror(index(dna!$J:$J,match($A619,dna!$A:$A,0)))</f>
        <v/>
      </c>
      <c r="N619" t="str">
        <f t="array" ref="N619">iferror(index(stomachs!$G:$G,match($A619,stomachs!$A:$A,0)))</f>
        <v/>
      </c>
      <c r="O619" t="str">
        <f t="array" ref="O619">iferror(index(stomachs!$J:$J,match($A619,stomachs!$A:$A,0)))</f>
        <v/>
      </c>
      <c r="P619" t="str">
        <f t="array" ref="P619">iferror(index(sea_lice!$G:$G,match($A619,sea_lice!$A:$A,0)))</f>
        <v/>
      </c>
      <c r="Q619" t="str">
        <f t="array" ref="Q619">iferror(index(sea_lice!$J:$J,match($A619,sea_lice!$A:$A,0)))</f>
        <v/>
      </c>
      <c r="R619" s="40" t="str">
        <f t="array" ref="R619">iferror(index(dissected_fish!$F:$F,match($A619,dissected_fish!$A:$A,0)))</f>
        <v>BCA105</v>
      </c>
      <c r="S619" s="40" t="str">
        <f t="array" ref="S619">iferror(index(dissected_fish!$K:$K,match($A619,dissected_fish!$A:$A,0)))</f>
        <v>N</v>
      </c>
      <c r="T619" s="61" t="str">
        <f t="array" ref="T619">index(fish_lab_data!O:O,match(A619,fish_lab_data!C:C,0))</f>
        <v>EJ</v>
      </c>
      <c r="U619" s="61">
        <f t="array" ref="U619">if(A619="","",index(fish_lab_data!X:X,match(A619,fish_lab_data!C:C,0)))</f>
        <v>618</v>
      </c>
    </row>
    <row r="620">
      <c r="A620" t="str">
        <f>fish_lab_data!C620</f>
        <v>U16142</v>
      </c>
      <c r="B620" t="str">
        <f t="array" ref="B620">iferror(index('rna-muscle'!$I:$I,match($A620,'rna-muscle'!$A:$A,0)))</f>
        <v>BRN61M-G1</v>
      </c>
      <c r="C620" t="str">
        <f t="array" ref="C620">iferror(index('rna-muscle'!$L:$L,match($A620,'rna-muscle'!$A:$A,0)))</f>
        <v>N</v>
      </c>
      <c r="D620" t="str">
        <f t="array" ref="D620">iferror(index('rna-gill'!$I:$I,match($A620,'rna-gill'!$A:$A,0)))</f>
        <v>BRN61G-G1</v>
      </c>
      <c r="E620" t="str">
        <f t="array" ref="E620">iferror(index('rna-gill'!$L:$L,match($A620,'rna-gill'!$A:$A,0)))</f>
        <v>N</v>
      </c>
      <c r="F620" t="str">
        <f t="array" ref="F620">iferror(index(fatty_acid!$G:$G,match($A620,fatty_acid!$A:$A,0)))</f>
        <v>BFA27-100</v>
      </c>
      <c r="G620" t="str">
        <f t="array" ref="G620">iferror(index(fatty_acid!$J:$J,match($A620,fatty_acid!$A:$A,0)))</f>
        <v>N</v>
      </c>
      <c r="H620" t="str">
        <f t="array" ref="H620">iferror(index(isotopes!$G:$G,match($A620,isotopes!$A:$A,0)))</f>
        <v>BIS30-21</v>
      </c>
      <c r="I620" t="str">
        <f t="array" ref="I620">iferror(index(isotopes!$J:$J,match($A620,isotopes!$A:$A,0)))</f>
        <v>N</v>
      </c>
      <c r="J620" t="str">
        <f t="array" ref="J620">iferror(index(extra_muscle!$G:$G,match($A620,extra_muscle!$A:$A,0)))</f>
        <v>BXM28-84</v>
      </c>
      <c r="K620" t="str">
        <f t="array" ref="K620">iferror(index(extra_muscle!$J:$J,match($A620,extra_muscle!$A:$A,0)))</f>
        <v>N</v>
      </c>
      <c r="L620" s="59" t="str">
        <f t="array" ref="L620">iferror(index(dna!$G:$G,match($A620,dna!$A:$A,0)))</f>
        <v/>
      </c>
      <c r="M620" s="60" t="str">
        <f t="array" ref="M620">iferror(index(dna!$J:$J,match($A620,dna!$A:$A,0)))</f>
        <v/>
      </c>
      <c r="N620" t="str">
        <f t="array" ref="N620">iferror(index(stomachs!$G:$G,match($A620,stomachs!$A:$A,0)))</f>
        <v/>
      </c>
      <c r="O620" t="str">
        <f t="array" ref="O620">iferror(index(stomachs!$J:$J,match($A620,stomachs!$A:$A,0)))</f>
        <v/>
      </c>
      <c r="P620" t="str">
        <f t="array" ref="P620">iferror(index(sea_lice!$G:$G,match($A620,sea_lice!$A:$A,0)))</f>
        <v/>
      </c>
      <c r="Q620" t="str">
        <f t="array" ref="Q620">iferror(index(sea_lice!$J:$J,match($A620,sea_lice!$A:$A,0)))</f>
        <v/>
      </c>
      <c r="R620" s="40" t="str">
        <f t="array" ref="R620">iferror(index(dissected_fish!$F:$F,match($A620,dissected_fish!$A:$A,0)))</f>
        <v>BCA105</v>
      </c>
      <c r="S620" s="40" t="str">
        <f t="array" ref="S620">iferror(index(dissected_fish!$K:$K,match($A620,dissected_fish!$A:$A,0)))</f>
        <v>N</v>
      </c>
      <c r="T620" s="61" t="str">
        <f t="array" ref="T620">index(fish_lab_data!O:O,match(A620,fish_lab_data!C:C,0))</f>
        <v>EJ</v>
      </c>
      <c r="U620" s="61">
        <f t="array" ref="U620">if(A620="","",index(fish_lab_data!X:X,match(A620,fish_lab_data!C:C,0)))</f>
        <v>619</v>
      </c>
    </row>
    <row r="621">
      <c r="A621" t="str">
        <f>fish_lab_data!C621</f>
        <v>U16143</v>
      </c>
      <c r="B621" t="str">
        <f t="array" ref="B621">iferror(index('rna-muscle'!$I:$I,match($A621,'rna-muscle'!$A:$A,0)))</f>
        <v>BRN61M-F1</v>
      </c>
      <c r="C621" t="str">
        <f t="array" ref="C621">iferror(index('rna-muscle'!$L:$L,match($A621,'rna-muscle'!$A:$A,0)))</f>
        <v>N</v>
      </c>
      <c r="D621" t="str">
        <f t="array" ref="D621">iferror(index('rna-gill'!$I:$I,match($A621,'rna-gill'!$A:$A,0)))</f>
        <v>BRN61G-F1</v>
      </c>
      <c r="E621" t="str">
        <f t="array" ref="E621">iferror(index('rna-gill'!$L:$L,match($A621,'rna-gill'!$A:$A,0)))</f>
        <v>N</v>
      </c>
      <c r="F621" t="str">
        <f t="array" ref="F621">iferror(index(fatty_acid!$G:$G,match($A621,fatty_acid!$A:$A,0)))</f>
        <v>BFA29-1</v>
      </c>
      <c r="G621" t="str">
        <f t="array" ref="G621">iferror(index(fatty_acid!$J:$J,match($A621,fatty_acid!$A:$A,0)))</f>
        <v>N</v>
      </c>
      <c r="H621" t="str">
        <f t="array" ref="H621">iferror(index(isotopes!$G:$G,match($A621,isotopes!$A:$A,0)))</f>
        <v>BIS30-22</v>
      </c>
      <c r="I621" t="str">
        <f t="array" ref="I621">iferror(index(isotopes!$J:$J,match($A621,isotopes!$A:$A,0)))</f>
        <v>N</v>
      </c>
      <c r="J621" t="str">
        <f t="array" ref="J621">iferror(index(extra_muscle!$G:$G,match($A621,extra_muscle!$A:$A,0)))</f>
        <v>BXM28-85</v>
      </c>
      <c r="K621" t="str">
        <f t="array" ref="K621">iferror(index(extra_muscle!$J:$J,match($A621,extra_muscle!$A:$A,0)))</f>
        <v>N</v>
      </c>
      <c r="L621" s="59" t="str">
        <f t="array" ref="L621">iferror(index(dna!$G:$G,match($A621,dna!$A:$A,0)))</f>
        <v/>
      </c>
      <c r="M621" s="60" t="str">
        <f t="array" ref="M621">iferror(index(dna!$J:$J,match($A621,dna!$A:$A,0)))</f>
        <v/>
      </c>
      <c r="N621" t="str">
        <f t="array" ref="N621">iferror(index(stomachs!$G:$G,match($A621,stomachs!$A:$A,0)))</f>
        <v/>
      </c>
      <c r="O621" t="str">
        <f t="array" ref="O621">iferror(index(stomachs!$J:$J,match($A621,stomachs!$A:$A,0)))</f>
        <v/>
      </c>
      <c r="P621" t="str">
        <f t="array" ref="P621">iferror(index(sea_lice!$G:$G,match($A621,sea_lice!$A:$A,0)))</f>
        <v/>
      </c>
      <c r="Q621" t="str">
        <f t="array" ref="Q621">iferror(index(sea_lice!$J:$J,match($A621,sea_lice!$A:$A,0)))</f>
        <v/>
      </c>
      <c r="R621" s="40" t="str">
        <f t="array" ref="R621">iferror(index(dissected_fish!$F:$F,match($A621,dissected_fish!$A:$A,0)))</f>
        <v>BCA105</v>
      </c>
      <c r="S621" s="40" t="str">
        <f t="array" ref="S621">iferror(index(dissected_fish!$K:$K,match($A621,dissected_fish!$A:$A,0)))</f>
        <v>N</v>
      </c>
      <c r="T621" s="61" t="str">
        <f t="array" ref="T621">index(fish_lab_data!O:O,match(A621,fish_lab_data!C:C,0))</f>
        <v>EJ</v>
      </c>
      <c r="U621" s="61">
        <f t="array" ref="U621">if(A621="","",index(fish_lab_data!X:X,match(A621,fish_lab_data!C:C,0)))</f>
        <v>620</v>
      </c>
    </row>
    <row r="622">
      <c r="A622" t="str">
        <f>fish_lab_data!C622</f>
        <v>U16144</v>
      </c>
      <c r="B622" t="str">
        <f t="array" ref="B622">iferror(index('rna-muscle'!$I:$I,match($A622,'rna-muscle'!$A:$A,0)))</f>
        <v>BRN61M-E1</v>
      </c>
      <c r="C622" t="str">
        <f t="array" ref="C622">iferror(index('rna-muscle'!$L:$L,match($A622,'rna-muscle'!$A:$A,0)))</f>
        <v>N</v>
      </c>
      <c r="D622" t="str">
        <f t="array" ref="D622">iferror(index('rna-gill'!$I:$I,match($A622,'rna-gill'!$A:$A,0)))</f>
        <v>BRN61G-E1</v>
      </c>
      <c r="E622" t="str">
        <f t="array" ref="E622">iferror(index('rna-gill'!$L:$L,match($A622,'rna-gill'!$A:$A,0)))</f>
        <v>N</v>
      </c>
      <c r="F622" t="str">
        <f t="array" ref="F622">iferror(index(fatty_acid!$G:$G,match($A622,fatty_acid!$A:$A,0)))</f>
        <v>BFA29-2</v>
      </c>
      <c r="G622" t="str">
        <f t="array" ref="G622">iferror(index(fatty_acid!$J:$J,match($A622,fatty_acid!$A:$A,0)))</f>
        <v>N</v>
      </c>
      <c r="H622" t="str">
        <f t="array" ref="H622">iferror(index(isotopes!$G:$G,match($A622,isotopes!$A:$A,0)))</f>
        <v>BIS30-23</v>
      </c>
      <c r="I622" t="str">
        <f t="array" ref="I622">iferror(index(isotopes!$J:$J,match($A622,isotopes!$A:$A,0)))</f>
        <v>N</v>
      </c>
      <c r="J622" t="str">
        <f t="array" ref="J622">iferror(index(extra_muscle!$G:$G,match($A622,extra_muscle!$A:$A,0)))</f>
        <v>BXM28-87</v>
      </c>
      <c r="K622" t="str">
        <f t="array" ref="K622">iferror(index(extra_muscle!$J:$J,match($A622,extra_muscle!$A:$A,0)))</f>
        <v>N</v>
      </c>
      <c r="L622" s="59" t="str">
        <f t="array" ref="L622">iferror(index(dna!$G:$G,match($A622,dna!$A:$A,0)))</f>
        <v/>
      </c>
      <c r="M622" s="60" t="str">
        <f t="array" ref="M622">iferror(index(dna!$J:$J,match($A622,dna!$A:$A,0)))</f>
        <v/>
      </c>
      <c r="N622" t="str">
        <f t="array" ref="N622">iferror(index(stomachs!$G:$G,match($A622,stomachs!$A:$A,0)))</f>
        <v/>
      </c>
      <c r="O622" t="str">
        <f t="array" ref="O622">iferror(index(stomachs!$J:$J,match($A622,stomachs!$A:$A,0)))</f>
        <v/>
      </c>
      <c r="P622" t="str">
        <f t="array" ref="P622">iferror(index(sea_lice!$G:$G,match($A622,sea_lice!$A:$A,0)))</f>
        <v/>
      </c>
      <c r="Q622" t="str">
        <f t="array" ref="Q622">iferror(index(sea_lice!$J:$J,match($A622,sea_lice!$A:$A,0)))</f>
        <v/>
      </c>
      <c r="R622" s="40" t="str">
        <f t="array" ref="R622">iferror(index(dissected_fish!$F:$F,match($A622,dissected_fish!$A:$A,0)))</f>
        <v>BCA105</v>
      </c>
      <c r="S622" s="40" t="str">
        <f t="array" ref="S622">iferror(index(dissected_fish!$K:$K,match($A622,dissected_fish!$A:$A,0)))</f>
        <v>N</v>
      </c>
      <c r="T622" s="61" t="str">
        <f t="array" ref="T622">index(fish_lab_data!O:O,match(A622,fish_lab_data!C:C,0))</f>
        <v>EJ</v>
      </c>
      <c r="U622" s="61">
        <f t="array" ref="U622">if(A622="","",index(fish_lab_data!X:X,match(A622,fish_lab_data!C:C,0)))</f>
        <v>621</v>
      </c>
    </row>
    <row r="623">
      <c r="A623" t="str">
        <f>fish_lab_data!C623</f>
        <v>U16145</v>
      </c>
      <c r="B623" t="str">
        <f t="array" ref="B623">iferror(index('rna-muscle'!$I:$I,match($A623,'rna-muscle'!$A:$A,0)))</f>
        <v>BRN61M-D1</v>
      </c>
      <c r="C623" t="str">
        <f t="array" ref="C623">iferror(index('rna-muscle'!$L:$L,match($A623,'rna-muscle'!$A:$A,0)))</f>
        <v>N</v>
      </c>
      <c r="D623" t="str">
        <f t="array" ref="D623">iferror(index('rna-gill'!$I:$I,match($A623,'rna-gill'!$A:$A,0)))</f>
        <v>BRN61G-D1</v>
      </c>
      <c r="E623" t="str">
        <f t="array" ref="E623">iferror(index('rna-gill'!$L:$L,match($A623,'rna-gill'!$A:$A,0)))</f>
        <v>N</v>
      </c>
      <c r="F623" t="str">
        <f t="array" ref="F623">iferror(index(fatty_acid!$G:$G,match($A623,fatty_acid!$A:$A,0)))</f>
        <v>BFA29-3</v>
      </c>
      <c r="G623" t="str">
        <f t="array" ref="G623">iferror(index(fatty_acid!$J:$J,match($A623,fatty_acid!$A:$A,0)))</f>
        <v>N</v>
      </c>
      <c r="H623" t="str">
        <f t="array" ref="H623">iferror(index(isotopes!$G:$G,match($A623,isotopes!$A:$A,0)))</f>
        <v>BIS30-24</v>
      </c>
      <c r="I623" t="str">
        <f t="array" ref="I623">iferror(index(isotopes!$J:$J,match($A623,isotopes!$A:$A,0)))</f>
        <v>N</v>
      </c>
      <c r="J623" t="str">
        <f t="array" ref="J623">iferror(index(extra_muscle!$G:$G,match($A623,extra_muscle!$A:$A,0)))</f>
        <v>BXM28-88</v>
      </c>
      <c r="K623" t="str">
        <f t="array" ref="K623">iferror(index(extra_muscle!$J:$J,match($A623,extra_muscle!$A:$A,0)))</f>
        <v>N</v>
      </c>
      <c r="L623" s="59" t="str">
        <f t="array" ref="L623">iferror(index(dna!$G:$G,match($A623,dna!$A:$A,0)))</f>
        <v/>
      </c>
      <c r="M623" s="60" t="str">
        <f t="array" ref="M623">iferror(index(dna!$J:$J,match($A623,dna!$A:$A,0)))</f>
        <v/>
      </c>
      <c r="N623" t="str">
        <f t="array" ref="N623">iferror(index(stomachs!$G:$G,match($A623,stomachs!$A:$A,0)))</f>
        <v/>
      </c>
      <c r="O623" t="str">
        <f t="array" ref="O623">iferror(index(stomachs!$J:$J,match($A623,stomachs!$A:$A,0)))</f>
        <v/>
      </c>
      <c r="P623" t="str">
        <f t="array" ref="P623">iferror(index(sea_lice!$G:$G,match($A623,sea_lice!$A:$A,0)))</f>
        <v/>
      </c>
      <c r="Q623" t="str">
        <f t="array" ref="Q623">iferror(index(sea_lice!$J:$J,match($A623,sea_lice!$A:$A,0)))</f>
        <v/>
      </c>
      <c r="R623" s="40" t="str">
        <f t="array" ref="R623">iferror(index(dissected_fish!$F:$F,match($A623,dissected_fish!$A:$A,0)))</f>
        <v>BCA105</v>
      </c>
      <c r="S623" s="40" t="str">
        <f t="array" ref="S623">iferror(index(dissected_fish!$K:$K,match($A623,dissected_fish!$A:$A,0)))</f>
        <v>N</v>
      </c>
      <c r="T623" s="61" t="str">
        <f t="array" ref="T623">index(fish_lab_data!O:O,match(A623,fish_lab_data!C:C,0))</f>
        <v>EJ</v>
      </c>
      <c r="U623" s="61">
        <f t="array" ref="U623">if(A623="","",index(fish_lab_data!X:X,match(A623,fish_lab_data!C:C,0)))</f>
        <v>622</v>
      </c>
    </row>
    <row r="624">
      <c r="A624" t="str">
        <f>fish_lab_data!C624</f>
        <v>U16146</v>
      </c>
      <c r="B624" t="str">
        <f t="array" ref="B624">iferror(index('rna-muscle'!$I:$I,match($A624,'rna-muscle'!$A:$A,0)))</f>
        <v>BRN61M-C1</v>
      </c>
      <c r="C624" t="str">
        <f t="array" ref="C624">iferror(index('rna-muscle'!$L:$L,match($A624,'rna-muscle'!$A:$A,0)))</f>
        <v>N</v>
      </c>
      <c r="D624" t="str">
        <f t="array" ref="D624">iferror(index('rna-gill'!$I:$I,match($A624,'rna-gill'!$A:$A,0)))</f>
        <v>BRN61G-C1</v>
      </c>
      <c r="E624" t="str">
        <f t="array" ref="E624">iferror(index('rna-gill'!$L:$L,match($A624,'rna-gill'!$A:$A,0)))</f>
        <v>N</v>
      </c>
      <c r="F624" t="str">
        <f t="array" ref="F624">iferror(index(fatty_acid!$G:$G,match($A624,fatty_acid!$A:$A,0)))</f>
        <v>BFA29-4</v>
      </c>
      <c r="G624" t="str">
        <f t="array" ref="G624">iferror(index(fatty_acid!$J:$J,match($A624,fatty_acid!$A:$A,0)))</f>
        <v>N</v>
      </c>
      <c r="H624" t="str">
        <f t="array" ref="H624">iferror(index(isotopes!$G:$G,match($A624,isotopes!$A:$A,0)))</f>
        <v>BIS30-25</v>
      </c>
      <c r="I624" t="str">
        <f t="array" ref="I624">iferror(index(isotopes!$J:$J,match($A624,isotopes!$A:$A,0)))</f>
        <v>N</v>
      </c>
      <c r="J624" t="str">
        <f t="array" ref="J624">iferror(index(extra_muscle!$G:$G,match($A624,extra_muscle!$A:$A,0)))</f>
        <v>BXM28-89</v>
      </c>
      <c r="K624" t="str">
        <f t="array" ref="K624">iferror(index(extra_muscle!$J:$J,match($A624,extra_muscle!$A:$A,0)))</f>
        <v>N</v>
      </c>
      <c r="L624" s="59" t="str">
        <f t="array" ref="L624">iferror(index(dna!$G:$G,match($A624,dna!$A:$A,0)))</f>
        <v/>
      </c>
      <c r="M624" s="60" t="str">
        <f t="array" ref="M624">iferror(index(dna!$J:$J,match($A624,dna!$A:$A,0)))</f>
        <v/>
      </c>
      <c r="N624" t="str">
        <f t="array" ref="N624">iferror(index(stomachs!$G:$G,match($A624,stomachs!$A:$A,0)))</f>
        <v/>
      </c>
      <c r="O624" t="str">
        <f t="array" ref="O624">iferror(index(stomachs!$J:$J,match($A624,stomachs!$A:$A,0)))</f>
        <v/>
      </c>
      <c r="P624" t="str">
        <f t="array" ref="P624">iferror(index(sea_lice!$G:$G,match($A624,sea_lice!$A:$A,0)))</f>
        <v/>
      </c>
      <c r="Q624" t="str">
        <f t="array" ref="Q624">iferror(index(sea_lice!$J:$J,match($A624,sea_lice!$A:$A,0)))</f>
        <v/>
      </c>
      <c r="R624" s="40" t="str">
        <f t="array" ref="R624">iferror(index(dissected_fish!$F:$F,match($A624,dissected_fish!$A:$A,0)))</f>
        <v>BCA105</v>
      </c>
      <c r="S624" s="40" t="str">
        <f t="array" ref="S624">iferror(index(dissected_fish!$K:$K,match($A624,dissected_fish!$A:$A,0)))</f>
        <v>N</v>
      </c>
      <c r="T624" s="61" t="str">
        <f t="array" ref="T624">index(fish_lab_data!O:O,match(A624,fish_lab_data!C:C,0))</f>
        <v>EJ</v>
      </c>
      <c r="U624" s="61">
        <f t="array" ref="U624">if(A624="","",index(fish_lab_data!X:X,match(A624,fish_lab_data!C:C,0)))</f>
        <v>623</v>
      </c>
    </row>
    <row r="625">
      <c r="A625" t="str">
        <f>fish_lab_data!C625</f>
        <v>U16147</v>
      </c>
      <c r="B625" t="str">
        <f t="array" ref="B625">iferror(index('rna-muscle'!$I:$I,match($A625,'rna-muscle'!$A:$A,0)))</f>
        <v>BRN61M-B1</v>
      </c>
      <c r="C625" t="str">
        <f t="array" ref="C625">iferror(index('rna-muscle'!$L:$L,match($A625,'rna-muscle'!$A:$A,0)))</f>
        <v>N</v>
      </c>
      <c r="D625" t="str">
        <f t="array" ref="D625">iferror(index('rna-gill'!$I:$I,match($A625,'rna-gill'!$A:$A,0)))</f>
        <v>BRN61G-B1</v>
      </c>
      <c r="E625" t="str">
        <f t="array" ref="E625">iferror(index('rna-gill'!$L:$L,match($A625,'rna-gill'!$A:$A,0)))</f>
        <v>N</v>
      </c>
      <c r="F625" t="str">
        <f t="array" ref="F625">iferror(index(fatty_acid!$G:$G,match($A625,fatty_acid!$A:$A,0)))</f>
        <v>BFA29-5</v>
      </c>
      <c r="G625" t="str">
        <f t="array" ref="G625">iferror(index(fatty_acid!$J:$J,match($A625,fatty_acid!$A:$A,0)))</f>
        <v>N</v>
      </c>
      <c r="H625" t="str">
        <f t="array" ref="H625">iferror(index(isotopes!$G:$G,match($A625,isotopes!$A:$A,0)))</f>
        <v>BIS30-26</v>
      </c>
      <c r="I625" t="str">
        <f t="array" ref="I625">iferror(index(isotopes!$J:$J,match($A625,isotopes!$A:$A,0)))</f>
        <v>N</v>
      </c>
      <c r="J625" t="str">
        <f t="array" ref="J625">iferror(index(extra_muscle!$G:$G,match($A625,extra_muscle!$A:$A,0)))</f>
        <v>BXM28-90</v>
      </c>
      <c r="K625" t="str">
        <f t="array" ref="K625">iferror(index(extra_muscle!$J:$J,match($A625,extra_muscle!$A:$A,0)))</f>
        <v>N</v>
      </c>
      <c r="L625" s="59" t="str">
        <f t="array" ref="L625">iferror(index(dna!$G:$G,match($A625,dna!$A:$A,0)))</f>
        <v/>
      </c>
      <c r="M625" s="60" t="str">
        <f t="array" ref="M625">iferror(index(dna!$J:$J,match($A625,dna!$A:$A,0)))</f>
        <v/>
      </c>
      <c r="N625" t="str">
        <f t="array" ref="N625">iferror(index(stomachs!$G:$G,match($A625,stomachs!$A:$A,0)))</f>
        <v/>
      </c>
      <c r="O625" t="str">
        <f t="array" ref="O625">iferror(index(stomachs!$J:$J,match($A625,stomachs!$A:$A,0)))</f>
        <v/>
      </c>
      <c r="P625" t="str">
        <f t="array" ref="P625">iferror(index(sea_lice!$G:$G,match($A625,sea_lice!$A:$A,0)))</f>
        <v/>
      </c>
      <c r="Q625" t="str">
        <f t="array" ref="Q625">iferror(index(sea_lice!$J:$J,match($A625,sea_lice!$A:$A,0)))</f>
        <v/>
      </c>
      <c r="R625" s="40" t="str">
        <f t="array" ref="R625">iferror(index(dissected_fish!$F:$F,match($A625,dissected_fish!$A:$A,0)))</f>
        <v>BCA105</v>
      </c>
      <c r="S625" s="40" t="str">
        <f t="array" ref="S625">iferror(index(dissected_fish!$K:$K,match($A625,dissected_fish!$A:$A,0)))</f>
        <v>N</v>
      </c>
      <c r="T625" s="61" t="str">
        <f t="array" ref="T625">index(fish_lab_data!O:O,match(A625,fish_lab_data!C:C,0))</f>
        <v>EJ</v>
      </c>
      <c r="U625" s="61">
        <f t="array" ref="U625">if(A625="","",index(fish_lab_data!X:X,match(A625,fish_lab_data!C:C,0)))</f>
        <v>624</v>
      </c>
    </row>
    <row r="626">
      <c r="A626" t="str">
        <f>fish_lab_data!C626</f>
        <v>U16148</v>
      </c>
      <c r="B626" t="str">
        <f t="array" ref="B626">iferror(index('rna-muscle'!$I:$I,match($A626,'rna-muscle'!$A:$A,0)))</f>
        <v>BRN61M-A1</v>
      </c>
      <c r="C626" t="str">
        <f t="array" ref="C626">iferror(index('rna-muscle'!$L:$L,match($A626,'rna-muscle'!$A:$A,0)))</f>
        <v>N</v>
      </c>
      <c r="D626" t="str">
        <f t="array" ref="D626">iferror(index('rna-gill'!$I:$I,match($A626,'rna-gill'!$A:$A,0)))</f>
        <v>BRN61G-A1</v>
      </c>
      <c r="E626" t="str">
        <f t="array" ref="E626">iferror(index('rna-gill'!$L:$L,match($A626,'rna-gill'!$A:$A,0)))</f>
        <v>N</v>
      </c>
      <c r="F626" t="str">
        <f t="array" ref="F626">iferror(index(fatty_acid!$G:$G,match($A626,fatty_acid!$A:$A,0)))</f>
        <v>BFA29-6</v>
      </c>
      <c r="G626" t="str">
        <f t="array" ref="G626">iferror(index(fatty_acid!$J:$J,match($A626,fatty_acid!$A:$A,0)))</f>
        <v>N</v>
      </c>
      <c r="H626" t="str">
        <f t="array" ref="H626">iferror(index(isotopes!$G:$G,match($A626,isotopes!$A:$A,0)))</f>
        <v>BIS30-27</v>
      </c>
      <c r="I626" t="str">
        <f t="array" ref="I626">iferror(index(isotopes!$J:$J,match($A626,isotopes!$A:$A,0)))</f>
        <v>N</v>
      </c>
      <c r="J626" t="str">
        <f t="array" ref="J626">iferror(index(extra_muscle!$G:$G,match($A626,extra_muscle!$A:$A,0)))</f>
        <v>BXM28-91</v>
      </c>
      <c r="K626" t="str">
        <f t="array" ref="K626">iferror(index(extra_muscle!$J:$J,match($A626,extra_muscle!$A:$A,0)))</f>
        <v>N</v>
      </c>
      <c r="L626" s="59" t="str">
        <f t="array" ref="L626">iferror(index(dna!$G:$G,match($A626,dna!$A:$A,0)))</f>
        <v/>
      </c>
      <c r="M626" s="60" t="str">
        <f t="array" ref="M626">iferror(index(dna!$J:$J,match($A626,dna!$A:$A,0)))</f>
        <v/>
      </c>
      <c r="N626" t="str">
        <f t="array" ref="N626">iferror(index(stomachs!$G:$G,match($A626,stomachs!$A:$A,0)))</f>
        <v/>
      </c>
      <c r="O626" t="str">
        <f t="array" ref="O626">iferror(index(stomachs!$J:$J,match($A626,stomachs!$A:$A,0)))</f>
        <v/>
      </c>
      <c r="P626" t="str">
        <f t="array" ref="P626">iferror(index(sea_lice!$G:$G,match($A626,sea_lice!$A:$A,0)))</f>
        <v/>
      </c>
      <c r="Q626" t="str">
        <f t="array" ref="Q626">iferror(index(sea_lice!$J:$J,match($A626,sea_lice!$A:$A,0)))</f>
        <v/>
      </c>
      <c r="R626" s="40" t="str">
        <f t="array" ref="R626">iferror(index(dissected_fish!$F:$F,match($A626,dissected_fish!$A:$A,0)))</f>
        <v>BCA105</v>
      </c>
      <c r="S626" s="40" t="str">
        <f t="array" ref="S626">iferror(index(dissected_fish!$K:$K,match($A626,dissected_fish!$A:$A,0)))</f>
        <v>N</v>
      </c>
      <c r="T626" s="61" t="str">
        <f t="array" ref="T626">index(fish_lab_data!O:O,match(A626,fish_lab_data!C:C,0))</f>
        <v>EJ</v>
      </c>
      <c r="U626" s="61">
        <f t="array" ref="U626">if(A626="","",index(fish_lab_data!X:X,match(A626,fish_lab_data!C:C,0)))</f>
        <v>625</v>
      </c>
    </row>
    <row r="627">
      <c r="A627" t="str">
        <f>fish_lab_data!C627</f>
        <v>U16149</v>
      </c>
      <c r="B627" t="str">
        <f t="array" ref="B627">iferror(index('rna-muscle'!$I:$I,match($A627,'rna-muscle'!$A:$A,0)))</f>
        <v>BRN61M-H3</v>
      </c>
      <c r="C627" t="str">
        <f t="array" ref="C627">iferror(index('rna-muscle'!$L:$L,match($A627,'rna-muscle'!$A:$A,0)))</f>
        <v>N</v>
      </c>
      <c r="D627" t="str">
        <f t="array" ref="D627">iferror(index('rna-gill'!$I:$I,match($A627,'rna-gill'!$A:$A,0)))</f>
        <v>BRN61G-H3</v>
      </c>
      <c r="E627" t="str">
        <f t="array" ref="E627">iferror(index('rna-gill'!$L:$L,match($A627,'rna-gill'!$A:$A,0)))</f>
        <v>N</v>
      </c>
      <c r="F627" t="str">
        <f t="array" ref="F627">iferror(index(fatty_acid!$G:$G,match($A627,fatty_acid!$A:$A,0)))</f>
        <v>BFA29-7</v>
      </c>
      <c r="G627" t="str">
        <f t="array" ref="G627">iferror(index(fatty_acid!$J:$J,match($A627,fatty_acid!$A:$A,0)))</f>
        <v>N</v>
      </c>
      <c r="H627" t="str">
        <f t="array" ref="H627">iferror(index(isotopes!$G:$G,match($A627,isotopes!$A:$A,0)))</f>
        <v>BIS30-28</v>
      </c>
      <c r="I627" t="str">
        <f t="array" ref="I627">iferror(index(isotopes!$J:$J,match($A627,isotopes!$A:$A,0)))</f>
        <v>N</v>
      </c>
      <c r="J627" t="str">
        <f t="array" ref="J627">iferror(index(extra_muscle!$G:$G,match($A627,extra_muscle!$A:$A,0)))</f>
        <v>BXM28-92</v>
      </c>
      <c r="K627" t="str">
        <f t="array" ref="K627">iferror(index(extra_muscle!$J:$J,match($A627,extra_muscle!$A:$A,0)))</f>
        <v>N</v>
      </c>
      <c r="L627" s="59" t="str">
        <f t="array" ref="L627">iferror(index(dna!$G:$G,match($A627,dna!$A:$A,0)))</f>
        <v/>
      </c>
      <c r="M627" s="60" t="str">
        <f t="array" ref="M627">iferror(index(dna!$J:$J,match($A627,dna!$A:$A,0)))</f>
        <v/>
      </c>
      <c r="N627" t="str">
        <f t="array" ref="N627">iferror(index(stomachs!$G:$G,match($A627,stomachs!$A:$A,0)))</f>
        <v/>
      </c>
      <c r="O627" t="str">
        <f t="array" ref="O627">iferror(index(stomachs!$J:$J,match($A627,stomachs!$A:$A,0)))</f>
        <v/>
      </c>
      <c r="P627" t="str">
        <f t="array" ref="P627">iferror(index(sea_lice!$G:$G,match($A627,sea_lice!$A:$A,0)))</f>
        <v/>
      </c>
      <c r="Q627" t="str">
        <f t="array" ref="Q627">iferror(index(sea_lice!$J:$J,match($A627,sea_lice!$A:$A,0)))</f>
        <v/>
      </c>
      <c r="R627" s="40" t="str">
        <f t="array" ref="R627">iferror(index(dissected_fish!$F:$F,match($A627,dissected_fish!$A:$A,0)))</f>
        <v>BCA105</v>
      </c>
      <c r="S627" s="40" t="str">
        <f t="array" ref="S627">iferror(index(dissected_fish!$K:$K,match($A627,dissected_fish!$A:$A,0)))</f>
        <v>N</v>
      </c>
      <c r="T627" s="61" t="str">
        <f t="array" ref="T627">index(fish_lab_data!O:O,match(A627,fish_lab_data!C:C,0))</f>
        <v>EJ</v>
      </c>
      <c r="U627" s="61">
        <f t="array" ref="U627">if(A627="","",index(fish_lab_data!X:X,match(A627,fish_lab_data!C:C,0)))</f>
        <v>626</v>
      </c>
    </row>
    <row r="628">
      <c r="A628" t="str">
        <f>fish_lab_data!C628</f>
        <v>U16150</v>
      </c>
      <c r="B628" t="str">
        <f t="array" ref="B628">iferror(index('rna-muscle'!$I:$I,match($A628,'rna-muscle'!$A:$A,0)))</f>
        <v>BRN61M-G3</v>
      </c>
      <c r="C628" t="str">
        <f t="array" ref="C628">iferror(index('rna-muscle'!$L:$L,match($A628,'rna-muscle'!$A:$A,0)))</f>
        <v>N</v>
      </c>
      <c r="D628" t="str">
        <f t="array" ref="D628">iferror(index('rna-gill'!$I:$I,match($A628,'rna-gill'!$A:$A,0)))</f>
        <v>BRN61G-G3</v>
      </c>
      <c r="E628" t="str">
        <f t="array" ref="E628">iferror(index('rna-gill'!$L:$L,match($A628,'rna-gill'!$A:$A,0)))</f>
        <v>N</v>
      </c>
      <c r="F628" t="str">
        <f t="array" ref="F628">iferror(index(fatty_acid!$G:$G,match($A628,fatty_acid!$A:$A,0)))</f>
        <v>BFA29-8</v>
      </c>
      <c r="G628" t="str">
        <f t="array" ref="G628">iferror(index(fatty_acid!$J:$J,match($A628,fatty_acid!$A:$A,0)))</f>
        <v>N</v>
      </c>
      <c r="H628" t="str">
        <f t="array" ref="H628">iferror(index(isotopes!$G:$G,match($A628,isotopes!$A:$A,0)))</f>
        <v>BIS30-29</v>
      </c>
      <c r="I628" t="str">
        <f t="array" ref="I628">iferror(index(isotopes!$J:$J,match($A628,isotopes!$A:$A,0)))</f>
        <v>N</v>
      </c>
      <c r="J628" t="str">
        <f t="array" ref="J628">iferror(index(extra_muscle!$G:$G,match($A628,extra_muscle!$A:$A,0)))</f>
        <v>BXM28-93</v>
      </c>
      <c r="K628" t="str">
        <f t="array" ref="K628">iferror(index(extra_muscle!$J:$J,match($A628,extra_muscle!$A:$A,0)))</f>
        <v>N</v>
      </c>
      <c r="L628" s="59" t="str">
        <f t="array" ref="L628">iferror(index(dna!$G:$G,match($A628,dna!$A:$A,0)))</f>
        <v/>
      </c>
      <c r="M628" s="60" t="str">
        <f t="array" ref="M628">iferror(index(dna!$J:$J,match($A628,dna!$A:$A,0)))</f>
        <v/>
      </c>
      <c r="N628" t="str">
        <f t="array" ref="N628">iferror(index(stomachs!$G:$G,match($A628,stomachs!$A:$A,0)))</f>
        <v/>
      </c>
      <c r="O628" t="str">
        <f t="array" ref="O628">iferror(index(stomachs!$J:$J,match($A628,stomachs!$A:$A,0)))</f>
        <v/>
      </c>
      <c r="P628" t="str">
        <f t="array" ref="P628">iferror(index(sea_lice!$G:$G,match($A628,sea_lice!$A:$A,0)))</f>
        <v/>
      </c>
      <c r="Q628" t="str">
        <f t="array" ref="Q628">iferror(index(sea_lice!$J:$J,match($A628,sea_lice!$A:$A,0)))</f>
        <v/>
      </c>
      <c r="R628" s="40" t="str">
        <f t="array" ref="R628">iferror(index(dissected_fish!$F:$F,match($A628,dissected_fish!$A:$A,0)))</f>
        <v>BCA105</v>
      </c>
      <c r="S628" s="40" t="str">
        <f t="array" ref="S628">iferror(index(dissected_fish!$K:$K,match($A628,dissected_fish!$A:$A,0)))</f>
        <v>N</v>
      </c>
      <c r="T628" s="61" t="str">
        <f t="array" ref="T628">index(fish_lab_data!O:O,match(A628,fish_lab_data!C:C,0))</f>
        <v>EJ</v>
      </c>
      <c r="U628" s="61">
        <f t="array" ref="U628">if(A628="","",index(fish_lab_data!X:X,match(A628,fish_lab_data!C:C,0)))</f>
        <v>627</v>
      </c>
    </row>
    <row r="629">
      <c r="A629" t="str">
        <f>fish_lab_data!C629</f>
        <v>U16351</v>
      </c>
      <c r="B629" t="str">
        <f t="array" ref="B629">iferror(index('rna-muscle'!$I:$I,match($A629,'rna-muscle'!$A:$A,0)))</f>
        <v>BRN61M-F3</v>
      </c>
      <c r="C629" t="str">
        <f t="array" ref="C629">iferror(index('rna-muscle'!$L:$L,match($A629,'rna-muscle'!$A:$A,0)))</f>
        <v>N</v>
      </c>
      <c r="D629" t="str">
        <f t="array" ref="D629">iferror(index('rna-gill'!$I:$I,match($A629,'rna-gill'!$A:$A,0)))</f>
        <v>BRN61G-F3</v>
      </c>
      <c r="E629" t="str">
        <f t="array" ref="E629">iferror(index('rna-gill'!$L:$L,match($A629,'rna-gill'!$A:$A,0)))</f>
        <v>N</v>
      </c>
      <c r="F629" t="str">
        <f t="array" ref="F629">iferror(index(fatty_acid!$G:$G,match($A629,fatty_acid!$A:$A,0)))</f>
        <v>BFA29-9</v>
      </c>
      <c r="G629" t="str">
        <f t="array" ref="G629">iferror(index(fatty_acid!$J:$J,match($A629,fatty_acid!$A:$A,0)))</f>
        <v>N</v>
      </c>
      <c r="H629" t="str">
        <f t="array" ref="H629">iferror(index(isotopes!$G:$G,match($A629,isotopes!$A:$A,0)))</f>
        <v>BIS30-30</v>
      </c>
      <c r="I629" t="str">
        <f t="array" ref="I629">iferror(index(isotopes!$J:$J,match($A629,isotopes!$A:$A,0)))</f>
        <v>N</v>
      </c>
      <c r="J629" t="str">
        <f t="array" ref="J629">iferror(index(extra_muscle!$G:$G,match($A629,extra_muscle!$A:$A,0)))</f>
        <v>BXM28-94</v>
      </c>
      <c r="K629" t="str">
        <f t="array" ref="K629">iferror(index(extra_muscle!$J:$J,match($A629,extra_muscle!$A:$A,0)))</f>
        <v>N</v>
      </c>
      <c r="L629" s="59" t="str">
        <f t="array" ref="L629">iferror(index(dna!$G:$G,match($A629,dna!$A:$A,0)))</f>
        <v/>
      </c>
      <c r="M629" s="60" t="str">
        <f t="array" ref="M629">iferror(index(dna!$J:$J,match($A629,dna!$A:$A,0)))</f>
        <v/>
      </c>
      <c r="N629" t="str">
        <f t="array" ref="N629">iferror(index(stomachs!$G:$G,match($A629,stomachs!$A:$A,0)))</f>
        <v/>
      </c>
      <c r="O629" t="str">
        <f t="array" ref="O629">iferror(index(stomachs!$J:$J,match($A629,stomachs!$A:$A,0)))</f>
        <v/>
      </c>
      <c r="P629" t="str">
        <f t="array" ref="P629">iferror(index(sea_lice!$G:$G,match($A629,sea_lice!$A:$A,0)))</f>
        <v/>
      </c>
      <c r="Q629" t="str">
        <f t="array" ref="Q629">iferror(index(sea_lice!$J:$J,match($A629,sea_lice!$A:$A,0)))</f>
        <v/>
      </c>
      <c r="R629" s="40" t="str">
        <f t="array" ref="R629">iferror(index(dissected_fish!$F:$F,match($A629,dissected_fish!$A:$A,0)))</f>
        <v>BCA105</v>
      </c>
      <c r="S629" s="40" t="str">
        <f t="array" ref="S629">iferror(index(dissected_fish!$K:$K,match($A629,dissected_fish!$A:$A,0)))</f>
        <v>N</v>
      </c>
      <c r="T629" s="61" t="str">
        <f t="array" ref="T629">index(fish_lab_data!O:O,match(A629,fish_lab_data!C:C,0))</f>
        <v>EJ</v>
      </c>
      <c r="U629" s="61">
        <f t="array" ref="U629">if(A629="","",index(fish_lab_data!X:X,match(A629,fish_lab_data!C:C,0)))</f>
        <v>628</v>
      </c>
    </row>
    <row r="630">
      <c r="A630" t="str">
        <f>fish_lab_data!C630</f>
        <v>U16352</v>
      </c>
      <c r="B630" t="str">
        <f t="array" ref="B630">iferror(index('rna-muscle'!$I:$I,match($A630,'rna-muscle'!$A:$A,0)))</f>
        <v>BRN61M-E3</v>
      </c>
      <c r="C630" t="str">
        <f t="array" ref="C630">iferror(index('rna-muscle'!$L:$L,match($A630,'rna-muscle'!$A:$A,0)))</f>
        <v>N</v>
      </c>
      <c r="D630" t="str">
        <f t="array" ref="D630">iferror(index('rna-gill'!$I:$I,match($A630,'rna-gill'!$A:$A,0)))</f>
        <v>BRN61G-E3</v>
      </c>
      <c r="E630" t="str">
        <f t="array" ref="E630">iferror(index('rna-gill'!$L:$L,match($A630,'rna-gill'!$A:$A,0)))</f>
        <v>N</v>
      </c>
      <c r="F630" t="str">
        <f t="array" ref="F630">iferror(index(fatty_acid!$G:$G,match($A630,fatty_acid!$A:$A,0)))</f>
        <v>BFA29-10</v>
      </c>
      <c r="G630" t="str">
        <f t="array" ref="G630">iferror(index(fatty_acid!$J:$J,match($A630,fatty_acid!$A:$A,0)))</f>
        <v>N</v>
      </c>
      <c r="H630" t="str">
        <f t="array" ref="H630">iferror(index(isotopes!$G:$G,match($A630,isotopes!$A:$A,0)))</f>
        <v>BIS30-31</v>
      </c>
      <c r="I630" t="str">
        <f t="array" ref="I630">iferror(index(isotopes!$J:$J,match($A630,isotopes!$A:$A,0)))</f>
        <v>N</v>
      </c>
      <c r="J630" t="str">
        <f t="array" ref="J630">iferror(index(extra_muscle!$G:$G,match($A630,extra_muscle!$A:$A,0)))</f>
        <v>BXM28-95</v>
      </c>
      <c r="K630" t="str">
        <f t="array" ref="K630">iferror(index(extra_muscle!$J:$J,match($A630,extra_muscle!$A:$A,0)))</f>
        <v>N</v>
      </c>
      <c r="L630" s="59" t="str">
        <f t="array" ref="L630">iferror(index(dna!$G:$G,match($A630,dna!$A:$A,0)))</f>
        <v/>
      </c>
      <c r="M630" s="60" t="str">
        <f t="array" ref="M630">iferror(index(dna!$J:$J,match($A630,dna!$A:$A,0)))</f>
        <v/>
      </c>
      <c r="N630" t="str">
        <f t="array" ref="N630">iferror(index(stomachs!$G:$G,match($A630,stomachs!$A:$A,0)))</f>
        <v/>
      </c>
      <c r="O630" t="str">
        <f t="array" ref="O630">iferror(index(stomachs!$J:$J,match($A630,stomachs!$A:$A,0)))</f>
        <v/>
      </c>
      <c r="P630" t="str">
        <f t="array" ref="P630">iferror(index(sea_lice!$G:$G,match($A630,sea_lice!$A:$A,0)))</f>
        <v/>
      </c>
      <c r="Q630" t="str">
        <f t="array" ref="Q630">iferror(index(sea_lice!$J:$J,match($A630,sea_lice!$A:$A,0)))</f>
        <v/>
      </c>
      <c r="R630" s="40" t="str">
        <f t="array" ref="R630">iferror(index(dissected_fish!$F:$F,match($A630,dissected_fish!$A:$A,0)))</f>
        <v>BCA105</v>
      </c>
      <c r="S630" s="40" t="str">
        <f t="array" ref="S630">iferror(index(dissected_fish!$K:$K,match($A630,dissected_fish!$A:$A,0)))</f>
        <v>N</v>
      </c>
      <c r="T630" s="61" t="str">
        <f t="array" ref="T630">index(fish_lab_data!O:O,match(A630,fish_lab_data!C:C,0))</f>
        <v>EJ</v>
      </c>
      <c r="U630" s="61">
        <f t="array" ref="U630">if(A630="","",index(fish_lab_data!X:X,match(A630,fish_lab_data!C:C,0)))</f>
        <v>629</v>
      </c>
    </row>
    <row r="631">
      <c r="A631" t="str">
        <f>fish_lab_data!C631</f>
        <v>U16353</v>
      </c>
      <c r="B631" t="str">
        <f t="array" ref="B631">iferror(index('rna-muscle'!$I:$I,match($A631,'rna-muscle'!$A:$A,0)))</f>
        <v>BRN61M-D3</v>
      </c>
      <c r="C631" t="str">
        <f t="array" ref="C631">iferror(index('rna-muscle'!$L:$L,match($A631,'rna-muscle'!$A:$A,0)))</f>
        <v>N</v>
      </c>
      <c r="D631" t="str">
        <f t="array" ref="D631">iferror(index('rna-gill'!$I:$I,match($A631,'rna-gill'!$A:$A,0)))</f>
        <v>BRN61G-D3</v>
      </c>
      <c r="E631" t="str">
        <f t="array" ref="E631">iferror(index('rna-gill'!$L:$L,match($A631,'rna-gill'!$A:$A,0)))</f>
        <v>N</v>
      </c>
      <c r="F631" t="str">
        <f t="array" ref="F631">iferror(index(fatty_acid!$G:$G,match($A631,fatty_acid!$A:$A,0)))</f>
        <v>BFA29-11</v>
      </c>
      <c r="G631" t="str">
        <f t="array" ref="G631">iferror(index(fatty_acid!$J:$J,match($A631,fatty_acid!$A:$A,0)))</f>
        <v>N</v>
      </c>
      <c r="H631" t="str">
        <f t="array" ref="H631">iferror(index(isotopes!$G:$G,match($A631,isotopes!$A:$A,0)))</f>
        <v>BIS30-32</v>
      </c>
      <c r="I631" t="str">
        <f t="array" ref="I631">iferror(index(isotopes!$J:$J,match($A631,isotopes!$A:$A,0)))</f>
        <v>N</v>
      </c>
      <c r="J631" t="str">
        <f t="array" ref="J631">iferror(index(extra_muscle!$G:$G,match($A631,extra_muscle!$A:$A,0)))</f>
        <v>BXM28-97</v>
      </c>
      <c r="K631" t="str">
        <f t="array" ref="K631">iferror(index(extra_muscle!$J:$J,match($A631,extra_muscle!$A:$A,0)))</f>
        <v>N</v>
      </c>
      <c r="L631" s="59" t="str">
        <f t="array" ref="L631">iferror(index(dna!$G:$G,match($A631,dna!$A:$A,0)))</f>
        <v/>
      </c>
      <c r="M631" s="60" t="str">
        <f t="array" ref="M631">iferror(index(dna!$J:$J,match($A631,dna!$A:$A,0)))</f>
        <v/>
      </c>
      <c r="N631" t="str">
        <f t="array" ref="N631">iferror(index(stomachs!$G:$G,match($A631,stomachs!$A:$A,0)))</f>
        <v/>
      </c>
      <c r="O631" t="str">
        <f t="array" ref="O631">iferror(index(stomachs!$J:$J,match($A631,stomachs!$A:$A,0)))</f>
        <v/>
      </c>
      <c r="P631" t="str">
        <f t="array" ref="P631">iferror(index(sea_lice!$G:$G,match($A631,sea_lice!$A:$A,0)))</f>
        <v/>
      </c>
      <c r="Q631" t="str">
        <f t="array" ref="Q631">iferror(index(sea_lice!$J:$J,match($A631,sea_lice!$A:$A,0)))</f>
        <v/>
      </c>
      <c r="R631" s="40" t="str">
        <f t="array" ref="R631">iferror(index(dissected_fish!$F:$F,match($A631,dissected_fish!$A:$A,0)))</f>
        <v>BCA105</v>
      </c>
      <c r="S631" s="40" t="str">
        <f t="array" ref="S631">iferror(index(dissected_fish!$K:$K,match($A631,dissected_fish!$A:$A,0)))</f>
        <v>N</v>
      </c>
      <c r="T631" s="61" t="str">
        <f t="array" ref="T631">index(fish_lab_data!O:O,match(A631,fish_lab_data!C:C,0))</f>
        <v>EJ</v>
      </c>
      <c r="U631" s="61">
        <f t="array" ref="U631">if(A631="","",index(fish_lab_data!X:X,match(A631,fish_lab_data!C:C,0)))</f>
        <v>630</v>
      </c>
    </row>
    <row r="632">
      <c r="A632" t="str">
        <f>fish_lab_data!C632</f>
        <v>U16354</v>
      </c>
      <c r="B632" t="str">
        <f t="array" ref="B632">iferror(index('rna-muscle'!$I:$I,match($A632,'rna-muscle'!$A:$A,0)))</f>
        <v>BRN61M-C3</v>
      </c>
      <c r="C632" t="str">
        <f t="array" ref="C632">iferror(index('rna-muscle'!$L:$L,match($A632,'rna-muscle'!$A:$A,0)))</f>
        <v>N</v>
      </c>
      <c r="D632" t="str">
        <f t="array" ref="D632">iferror(index('rna-gill'!$I:$I,match($A632,'rna-gill'!$A:$A,0)))</f>
        <v>BRN61G-C3</v>
      </c>
      <c r="E632" t="str">
        <f t="array" ref="E632">iferror(index('rna-gill'!$L:$L,match($A632,'rna-gill'!$A:$A,0)))</f>
        <v>N</v>
      </c>
      <c r="F632" t="str">
        <f t="array" ref="F632">iferror(index(fatty_acid!$G:$G,match($A632,fatty_acid!$A:$A,0)))</f>
        <v>BFA29-12</v>
      </c>
      <c r="G632" t="str">
        <f t="array" ref="G632">iferror(index(fatty_acid!$J:$J,match($A632,fatty_acid!$A:$A,0)))</f>
        <v>N</v>
      </c>
      <c r="H632" t="str">
        <f t="array" ref="H632">iferror(index(isotopes!$G:$G,match($A632,isotopes!$A:$A,0)))</f>
        <v>BIS30-33</v>
      </c>
      <c r="I632" t="str">
        <f t="array" ref="I632">iferror(index(isotopes!$J:$J,match($A632,isotopes!$A:$A,0)))</f>
        <v>N</v>
      </c>
      <c r="J632" t="str">
        <f t="array" ref="J632">iferror(index(extra_muscle!$G:$G,match($A632,extra_muscle!$A:$A,0)))</f>
        <v>BXM28-98</v>
      </c>
      <c r="K632" t="str">
        <f t="array" ref="K632">iferror(index(extra_muscle!$J:$J,match($A632,extra_muscle!$A:$A,0)))</f>
        <v>N</v>
      </c>
      <c r="L632" s="59" t="str">
        <f t="array" ref="L632">iferror(index(dna!$G:$G,match($A632,dna!$A:$A,0)))</f>
        <v/>
      </c>
      <c r="M632" s="60" t="str">
        <f t="array" ref="M632">iferror(index(dna!$J:$J,match($A632,dna!$A:$A,0)))</f>
        <v/>
      </c>
      <c r="N632" t="str">
        <f t="array" ref="N632">iferror(index(stomachs!$G:$G,match($A632,stomachs!$A:$A,0)))</f>
        <v/>
      </c>
      <c r="O632" t="str">
        <f t="array" ref="O632">iferror(index(stomachs!$J:$J,match($A632,stomachs!$A:$A,0)))</f>
        <v/>
      </c>
      <c r="P632" t="str">
        <f t="array" ref="P632">iferror(index(sea_lice!$G:$G,match($A632,sea_lice!$A:$A,0)))</f>
        <v/>
      </c>
      <c r="Q632" t="str">
        <f t="array" ref="Q632">iferror(index(sea_lice!$J:$J,match($A632,sea_lice!$A:$A,0)))</f>
        <v/>
      </c>
      <c r="R632" s="40" t="str">
        <f t="array" ref="R632">iferror(index(dissected_fish!$F:$F,match($A632,dissected_fish!$A:$A,0)))</f>
        <v>BCA105</v>
      </c>
      <c r="S632" s="40" t="str">
        <f t="array" ref="S632">iferror(index(dissected_fish!$K:$K,match($A632,dissected_fish!$A:$A,0)))</f>
        <v>N</v>
      </c>
      <c r="T632" s="61" t="str">
        <f t="array" ref="T632">index(fish_lab_data!O:O,match(A632,fish_lab_data!C:C,0))</f>
        <v>EJ</v>
      </c>
      <c r="U632" s="61">
        <f t="array" ref="U632">if(A632="","",index(fish_lab_data!X:X,match(A632,fish_lab_data!C:C,0)))</f>
        <v>631</v>
      </c>
    </row>
    <row r="633">
      <c r="A633" t="str">
        <f>fish_lab_data!C633</f>
        <v>U16355</v>
      </c>
      <c r="B633" t="str">
        <f t="array" ref="B633">iferror(index('rna-muscle'!$I:$I,match($A633,'rna-muscle'!$A:$A,0)))</f>
        <v>BRN61M-B3</v>
      </c>
      <c r="C633" t="str">
        <f t="array" ref="C633">iferror(index('rna-muscle'!$L:$L,match($A633,'rna-muscle'!$A:$A,0)))</f>
        <v>N</v>
      </c>
      <c r="D633" t="str">
        <f t="array" ref="D633">iferror(index('rna-gill'!$I:$I,match($A633,'rna-gill'!$A:$A,0)))</f>
        <v>BRN61G-B3</v>
      </c>
      <c r="E633" t="str">
        <f t="array" ref="E633">iferror(index('rna-gill'!$L:$L,match($A633,'rna-gill'!$A:$A,0)))</f>
        <v>N</v>
      </c>
      <c r="F633" t="str">
        <f t="array" ref="F633">iferror(index(fatty_acid!$G:$G,match($A633,fatty_acid!$A:$A,0)))</f>
        <v>BFA29-13</v>
      </c>
      <c r="G633" t="str">
        <f t="array" ref="G633">iferror(index(fatty_acid!$J:$J,match($A633,fatty_acid!$A:$A,0)))</f>
        <v>N</v>
      </c>
      <c r="H633" t="str">
        <f t="array" ref="H633">iferror(index(isotopes!$G:$G,match($A633,isotopes!$A:$A,0)))</f>
        <v>BIS30-34</v>
      </c>
      <c r="I633" t="str">
        <f t="array" ref="I633">iferror(index(isotopes!$J:$J,match($A633,isotopes!$A:$A,0)))</f>
        <v>N</v>
      </c>
      <c r="J633" t="str">
        <f t="array" ref="J633">iferror(index(extra_muscle!$G:$G,match($A633,extra_muscle!$A:$A,0)))</f>
        <v>BXM28-99</v>
      </c>
      <c r="K633" t="str">
        <f t="array" ref="K633">iferror(index(extra_muscle!$J:$J,match($A633,extra_muscle!$A:$A,0)))</f>
        <v>N</v>
      </c>
      <c r="L633" s="59" t="str">
        <f t="array" ref="L633">iferror(index(dna!$G:$G,match($A633,dna!$A:$A,0)))</f>
        <v/>
      </c>
      <c r="M633" s="60" t="str">
        <f t="array" ref="M633">iferror(index(dna!$J:$J,match($A633,dna!$A:$A,0)))</f>
        <v/>
      </c>
      <c r="N633" t="str">
        <f t="array" ref="N633">iferror(index(stomachs!$G:$G,match($A633,stomachs!$A:$A,0)))</f>
        <v/>
      </c>
      <c r="O633" t="str">
        <f t="array" ref="O633">iferror(index(stomachs!$J:$J,match($A633,stomachs!$A:$A,0)))</f>
        <v/>
      </c>
      <c r="P633" t="str">
        <f t="array" ref="P633">iferror(index(sea_lice!$G:$G,match($A633,sea_lice!$A:$A,0)))</f>
        <v/>
      </c>
      <c r="Q633" t="str">
        <f t="array" ref="Q633">iferror(index(sea_lice!$J:$J,match($A633,sea_lice!$A:$A,0)))</f>
        <v/>
      </c>
      <c r="R633" s="40" t="str">
        <f t="array" ref="R633">iferror(index(dissected_fish!$F:$F,match($A633,dissected_fish!$A:$A,0)))</f>
        <v>BCA105</v>
      </c>
      <c r="S633" s="40" t="str">
        <f t="array" ref="S633">iferror(index(dissected_fish!$K:$K,match($A633,dissected_fish!$A:$A,0)))</f>
        <v>N</v>
      </c>
      <c r="T633" s="61" t="str">
        <f t="array" ref="T633">index(fish_lab_data!O:O,match(A633,fish_lab_data!C:C,0))</f>
        <v>EJ</v>
      </c>
      <c r="U633" s="61">
        <f t="array" ref="U633">if(A633="","",index(fish_lab_data!X:X,match(A633,fish_lab_data!C:C,0)))</f>
        <v>632</v>
      </c>
    </row>
    <row r="634">
      <c r="A634" t="str">
        <f>fish_lab_data!C634</f>
        <v>U16356</v>
      </c>
      <c r="B634" t="str">
        <f t="array" ref="B634">iferror(index('rna-muscle'!$I:$I,match($A634,'rna-muscle'!$A:$A,0)))</f>
        <v>BRN61M-A3</v>
      </c>
      <c r="C634" t="str">
        <f t="array" ref="C634">iferror(index('rna-muscle'!$L:$L,match($A634,'rna-muscle'!$A:$A,0)))</f>
        <v>N</v>
      </c>
      <c r="D634" t="str">
        <f t="array" ref="D634">iferror(index('rna-gill'!$I:$I,match($A634,'rna-gill'!$A:$A,0)))</f>
        <v>BRN61G-A3</v>
      </c>
      <c r="E634" t="str">
        <f t="array" ref="E634">iferror(index('rna-gill'!$L:$L,match($A634,'rna-gill'!$A:$A,0)))</f>
        <v>N</v>
      </c>
      <c r="F634" t="str">
        <f t="array" ref="F634">iferror(index(fatty_acid!$G:$G,match($A634,fatty_acid!$A:$A,0)))</f>
        <v>BFA29-14</v>
      </c>
      <c r="G634" t="str">
        <f t="array" ref="G634">iferror(index(fatty_acid!$J:$J,match($A634,fatty_acid!$A:$A,0)))</f>
        <v>N</v>
      </c>
      <c r="H634" t="str">
        <f t="array" ref="H634">iferror(index(isotopes!$G:$G,match($A634,isotopes!$A:$A,0)))</f>
        <v>BIS30-35</v>
      </c>
      <c r="I634" t="str">
        <f t="array" ref="I634">iferror(index(isotopes!$J:$J,match($A634,isotopes!$A:$A,0)))</f>
        <v>N</v>
      </c>
      <c r="J634" t="str">
        <f t="array" ref="J634">iferror(index(extra_muscle!$G:$G,match($A634,extra_muscle!$A:$A,0)))</f>
        <v>BXM28-100</v>
      </c>
      <c r="K634" t="str">
        <f t="array" ref="K634">iferror(index(extra_muscle!$J:$J,match($A634,extra_muscle!$A:$A,0)))</f>
        <v>N</v>
      </c>
      <c r="L634" s="59" t="str">
        <f t="array" ref="L634">iferror(index(dna!$G:$G,match($A634,dna!$A:$A,0)))</f>
        <v/>
      </c>
      <c r="M634" s="60" t="str">
        <f t="array" ref="M634">iferror(index(dna!$J:$J,match($A634,dna!$A:$A,0)))</f>
        <v/>
      </c>
      <c r="N634" t="str">
        <f t="array" ref="N634">iferror(index(stomachs!$G:$G,match($A634,stomachs!$A:$A,0)))</f>
        <v/>
      </c>
      <c r="O634" t="str">
        <f t="array" ref="O634">iferror(index(stomachs!$J:$J,match($A634,stomachs!$A:$A,0)))</f>
        <v/>
      </c>
      <c r="P634" t="str">
        <f t="array" ref="P634">iferror(index(sea_lice!$G:$G,match($A634,sea_lice!$A:$A,0)))</f>
        <v/>
      </c>
      <c r="Q634" t="str">
        <f t="array" ref="Q634">iferror(index(sea_lice!$J:$J,match($A634,sea_lice!$A:$A,0)))</f>
        <v/>
      </c>
      <c r="R634" s="40" t="str">
        <f t="array" ref="R634">iferror(index(dissected_fish!$F:$F,match($A634,dissected_fish!$A:$A,0)))</f>
        <v>BCA105</v>
      </c>
      <c r="S634" s="40" t="str">
        <f t="array" ref="S634">iferror(index(dissected_fish!$K:$K,match($A634,dissected_fish!$A:$A,0)))</f>
        <v>N</v>
      </c>
      <c r="T634" s="61" t="str">
        <f t="array" ref="T634">index(fish_lab_data!O:O,match(A634,fish_lab_data!C:C,0))</f>
        <v>EJ</v>
      </c>
      <c r="U634" s="61">
        <f t="array" ref="U634">if(A634="","",index(fish_lab_data!X:X,match(A634,fish_lab_data!C:C,0)))</f>
        <v>633</v>
      </c>
    </row>
    <row r="635">
      <c r="A635" t="str">
        <f>fish_lab_data!C635</f>
        <v>U16183</v>
      </c>
      <c r="B635" t="str">
        <f t="array" ref="B635">iferror(index('rna-muscle'!$I:$I,match($A635,'rna-muscle'!$A:$A,0)))</f>
        <v>BRN68M-E12</v>
      </c>
      <c r="C635" t="str">
        <f t="array" ref="C635">iferror(index('rna-muscle'!$L:$L,match($A635,'rna-muscle'!$A:$A,0)))</f>
        <v>N</v>
      </c>
      <c r="D635" t="str">
        <f t="array" ref="D635">iferror(index('rna-gill'!$I:$I,match($A635,'rna-gill'!$A:$A,0)))</f>
        <v>BRN68G-E12</v>
      </c>
      <c r="E635" t="str">
        <f t="array" ref="E635">iferror(index('rna-gill'!$L:$L,match($A635,'rna-gill'!$A:$A,0)))</f>
        <v>N</v>
      </c>
      <c r="F635" t="str">
        <f t="array" ref="F635">iferror(index(fatty_acid!$G:$G,match($A635,fatty_acid!$A:$A,0)))</f>
        <v>BFA28-8</v>
      </c>
      <c r="G635" t="str">
        <f t="array" ref="G635">iferror(index(fatty_acid!$J:$J,match($A635,fatty_acid!$A:$A,0)))</f>
        <v>N</v>
      </c>
      <c r="H635" t="str">
        <f t="array" ref="H635">iferror(index(isotopes!$G:$G,match($A635,isotopes!$A:$A,0)))</f>
        <v>BIS31-8</v>
      </c>
      <c r="I635" t="str">
        <f t="array" ref="I635">iferror(index(isotopes!$J:$J,match($A635,isotopes!$A:$A,0)))</f>
        <v>N</v>
      </c>
      <c r="J635" t="str">
        <f t="array" ref="J635">iferror(index(extra_muscle!$G:$G,match($A635,extra_muscle!$A:$A,0)))</f>
        <v>BXM29-8</v>
      </c>
      <c r="K635" t="str">
        <f t="array" ref="K635">iferror(index(extra_muscle!$J:$J,match($A635,extra_muscle!$A:$A,0)))</f>
        <v>N</v>
      </c>
      <c r="L635" s="59" t="str">
        <f t="array" ref="L635">iferror(index(dna!$G:$G,match($A635,dna!$A:$A,0)))</f>
        <v/>
      </c>
      <c r="M635" s="60" t="str">
        <f t="array" ref="M635">iferror(index(dna!$J:$J,match($A635,dna!$A:$A,0)))</f>
        <v/>
      </c>
      <c r="N635" t="str">
        <f t="array" ref="N635">iferror(index(stomachs!$G:$G,match($A635,stomachs!$A:$A,0)))</f>
        <v/>
      </c>
      <c r="O635" t="str">
        <f t="array" ref="O635">iferror(index(stomachs!$J:$J,match($A635,stomachs!$A:$A,0)))</f>
        <v/>
      </c>
      <c r="P635" t="str">
        <f t="array" ref="P635">iferror(index(sea_lice!$G:$G,match($A635,sea_lice!$A:$A,0)))</f>
        <v/>
      </c>
      <c r="Q635" t="str">
        <f t="array" ref="Q635">iferror(index(sea_lice!$J:$J,match($A635,sea_lice!$A:$A,0)))</f>
        <v/>
      </c>
      <c r="R635" s="40" t="str">
        <f t="array" ref="R635">iferror(index(dissected_fish!$F:$F,match($A635,dissected_fish!$A:$A,0)))</f>
        <v>BCA105</v>
      </c>
      <c r="S635" s="40" t="str">
        <f t="array" ref="S635">iferror(index(dissected_fish!$K:$K,match($A635,dissected_fish!$A:$A,0)))</f>
        <v>N</v>
      </c>
      <c r="T635" s="61" t="str">
        <f t="array" ref="T635">index(fish_lab_data!O:O,match(A635,fish_lab_data!C:C,0))</f>
        <v>KB</v>
      </c>
      <c r="U635" s="61">
        <f t="array" ref="U635">if(A635="","",index(fish_lab_data!X:X,match(A635,fish_lab_data!C:C,0)))</f>
        <v>634</v>
      </c>
    </row>
    <row r="636">
      <c r="A636" t="str">
        <f>fish_lab_data!C636</f>
        <v>U16190</v>
      </c>
      <c r="B636" t="str">
        <f t="array" ref="B636">iferror(index('rna-muscle'!$I:$I,match($A636,'rna-muscle'!$A:$A,0)))</f>
        <v>BRN68M-D12</v>
      </c>
      <c r="C636" t="str">
        <f t="array" ref="C636">iferror(index('rna-muscle'!$L:$L,match($A636,'rna-muscle'!$A:$A,0)))</f>
        <v>N</v>
      </c>
      <c r="D636" t="str">
        <f t="array" ref="D636">iferror(index('rna-gill'!$I:$I,match($A636,'rna-gill'!$A:$A,0)))</f>
        <v>BRN68G-D12</v>
      </c>
      <c r="E636" t="str">
        <f t="array" ref="E636">iferror(index('rna-gill'!$L:$L,match($A636,'rna-gill'!$A:$A,0)))</f>
        <v>N</v>
      </c>
      <c r="F636" t="str">
        <f t="array" ref="F636">iferror(index(fatty_acid!$G:$G,match($A636,fatty_acid!$A:$A,0)))</f>
        <v>BFA28-9</v>
      </c>
      <c r="G636" t="str">
        <f t="array" ref="G636">iferror(index(fatty_acid!$J:$J,match($A636,fatty_acid!$A:$A,0)))</f>
        <v>N</v>
      </c>
      <c r="H636" t="str">
        <f t="array" ref="H636">iferror(index(isotopes!$G:$G,match($A636,isotopes!$A:$A,0)))</f>
        <v>BIS31-9</v>
      </c>
      <c r="I636" t="str">
        <f t="array" ref="I636">iferror(index(isotopes!$J:$J,match($A636,isotopes!$A:$A,0)))</f>
        <v>N</v>
      </c>
      <c r="J636" t="str">
        <f t="array" ref="J636">iferror(index(extra_muscle!$G:$G,match($A636,extra_muscle!$A:$A,0)))</f>
        <v>BXM29-9</v>
      </c>
      <c r="K636" t="str">
        <f t="array" ref="K636">iferror(index(extra_muscle!$J:$J,match($A636,extra_muscle!$A:$A,0)))</f>
        <v>N</v>
      </c>
      <c r="L636" s="59" t="str">
        <f t="array" ref="L636">iferror(index(dna!$G:$G,match($A636,dna!$A:$A,0)))</f>
        <v/>
      </c>
      <c r="M636" s="60" t="str">
        <f t="array" ref="M636">iferror(index(dna!$J:$J,match($A636,dna!$A:$A,0)))</f>
        <v/>
      </c>
      <c r="N636" t="str">
        <f t="array" ref="N636">iferror(index(stomachs!$G:$G,match($A636,stomachs!$A:$A,0)))</f>
        <v/>
      </c>
      <c r="O636" t="str">
        <f t="array" ref="O636">iferror(index(stomachs!$J:$J,match($A636,stomachs!$A:$A,0)))</f>
        <v/>
      </c>
      <c r="P636" t="str">
        <f t="array" ref="P636">iferror(index(sea_lice!$G:$G,match($A636,sea_lice!$A:$A,0)))</f>
        <v/>
      </c>
      <c r="Q636" t="str">
        <f t="array" ref="Q636">iferror(index(sea_lice!$J:$J,match($A636,sea_lice!$A:$A,0)))</f>
        <v/>
      </c>
      <c r="R636" s="40" t="str">
        <f t="array" ref="R636">iferror(index(dissected_fish!$F:$F,match($A636,dissected_fish!$A:$A,0)))</f>
        <v>BCA105</v>
      </c>
      <c r="S636" s="40" t="str">
        <f t="array" ref="S636">iferror(index(dissected_fish!$K:$K,match($A636,dissected_fish!$A:$A,0)))</f>
        <v>N</v>
      </c>
      <c r="T636" s="61" t="str">
        <f t="array" ref="T636">index(fish_lab_data!O:O,match(A636,fish_lab_data!C:C,0))</f>
        <v>KB</v>
      </c>
      <c r="U636" s="61">
        <f t="array" ref="U636">if(A636="","",index(fish_lab_data!X:X,match(A636,fish_lab_data!C:C,0)))</f>
        <v>635</v>
      </c>
    </row>
    <row r="637">
      <c r="A637" t="str">
        <f>fish_lab_data!C637</f>
        <v>U16187</v>
      </c>
      <c r="B637" t="str">
        <f t="array" ref="B637">iferror(index('rna-muscle'!$I:$I,match($A637,'rna-muscle'!$A:$A,0)))</f>
        <v>BRN68M-C12</v>
      </c>
      <c r="C637" t="str">
        <f t="array" ref="C637">iferror(index('rna-muscle'!$L:$L,match($A637,'rna-muscle'!$A:$A,0)))</f>
        <v>N</v>
      </c>
      <c r="D637" t="str">
        <f t="array" ref="D637">iferror(index('rna-gill'!$I:$I,match($A637,'rna-gill'!$A:$A,0)))</f>
        <v>BRN68G-C12</v>
      </c>
      <c r="E637" t="str">
        <f t="array" ref="E637">iferror(index('rna-gill'!$L:$L,match($A637,'rna-gill'!$A:$A,0)))</f>
        <v>N</v>
      </c>
      <c r="F637" t="str">
        <f t="array" ref="F637">iferror(index(fatty_acid!$G:$G,match($A637,fatty_acid!$A:$A,0)))</f>
        <v>BFA28-10</v>
      </c>
      <c r="G637" t="str">
        <f t="array" ref="G637">iferror(index(fatty_acid!$J:$J,match($A637,fatty_acid!$A:$A,0)))</f>
        <v>N</v>
      </c>
      <c r="H637" t="str">
        <f t="array" ref="H637">iferror(index(isotopes!$G:$G,match($A637,isotopes!$A:$A,0)))</f>
        <v>BIS31-10</v>
      </c>
      <c r="I637" t="str">
        <f t="array" ref="I637">iferror(index(isotopes!$J:$J,match($A637,isotopes!$A:$A,0)))</f>
        <v>N</v>
      </c>
      <c r="J637" t="str">
        <f t="array" ref="J637">iferror(index(extra_muscle!$G:$G,match($A637,extra_muscle!$A:$A,0)))</f>
        <v>BXM29-10</v>
      </c>
      <c r="K637" t="str">
        <f t="array" ref="K637">iferror(index(extra_muscle!$J:$J,match($A637,extra_muscle!$A:$A,0)))</f>
        <v>N</v>
      </c>
      <c r="L637" s="59" t="str">
        <f t="array" ref="L637">iferror(index(dna!$G:$G,match($A637,dna!$A:$A,0)))</f>
        <v/>
      </c>
      <c r="M637" s="60" t="str">
        <f t="array" ref="M637">iferror(index(dna!$J:$J,match($A637,dna!$A:$A,0)))</f>
        <v/>
      </c>
      <c r="N637" t="str">
        <f t="array" ref="N637">iferror(index(stomachs!$G:$G,match($A637,stomachs!$A:$A,0)))</f>
        <v/>
      </c>
      <c r="O637" t="str">
        <f t="array" ref="O637">iferror(index(stomachs!$J:$J,match($A637,stomachs!$A:$A,0)))</f>
        <v/>
      </c>
      <c r="P637" t="str">
        <f t="array" ref="P637">iferror(index(sea_lice!$G:$G,match($A637,sea_lice!$A:$A,0)))</f>
        <v/>
      </c>
      <c r="Q637" t="str">
        <f t="array" ref="Q637">iferror(index(sea_lice!$J:$J,match($A637,sea_lice!$A:$A,0)))</f>
        <v/>
      </c>
      <c r="R637" s="40" t="str">
        <f t="array" ref="R637">iferror(index(dissected_fish!$F:$F,match($A637,dissected_fish!$A:$A,0)))</f>
        <v>BCA105</v>
      </c>
      <c r="S637" s="40" t="str">
        <f t="array" ref="S637">iferror(index(dissected_fish!$K:$K,match($A637,dissected_fish!$A:$A,0)))</f>
        <v>N</v>
      </c>
      <c r="T637" s="61" t="str">
        <f t="array" ref="T637">index(fish_lab_data!O:O,match(A637,fish_lab_data!C:C,0))</f>
        <v>KB</v>
      </c>
      <c r="U637" s="61">
        <f t="array" ref="U637">if(A637="","",index(fish_lab_data!X:X,match(A637,fish_lab_data!C:C,0)))</f>
        <v>636</v>
      </c>
    </row>
    <row r="638">
      <c r="A638" t="str">
        <f>fish_lab_data!C638</f>
        <v>U16189</v>
      </c>
      <c r="B638" t="str">
        <f t="array" ref="B638">iferror(index('rna-muscle'!$I:$I,match($A638,'rna-muscle'!$A:$A,0)))</f>
        <v>BRN68M-B12</v>
      </c>
      <c r="C638" t="str">
        <f t="array" ref="C638">iferror(index('rna-muscle'!$L:$L,match($A638,'rna-muscle'!$A:$A,0)))</f>
        <v>N</v>
      </c>
      <c r="D638" t="str">
        <f t="array" ref="D638">iferror(index('rna-gill'!$I:$I,match($A638,'rna-gill'!$A:$A,0)))</f>
        <v>BRN68G-B12</v>
      </c>
      <c r="E638" t="str">
        <f t="array" ref="E638">iferror(index('rna-gill'!$L:$L,match($A638,'rna-gill'!$A:$A,0)))</f>
        <v>N</v>
      </c>
      <c r="F638" t="str">
        <f t="array" ref="F638">iferror(index(fatty_acid!$G:$G,match($A638,fatty_acid!$A:$A,0)))</f>
        <v>BFA28-11</v>
      </c>
      <c r="G638" t="str">
        <f t="array" ref="G638">iferror(index(fatty_acid!$J:$J,match($A638,fatty_acid!$A:$A,0)))</f>
        <v>N</v>
      </c>
      <c r="H638" t="str">
        <f t="array" ref="H638">iferror(index(isotopes!$G:$G,match($A638,isotopes!$A:$A,0)))</f>
        <v>BIS31-11</v>
      </c>
      <c r="I638" t="str">
        <f t="array" ref="I638">iferror(index(isotopes!$J:$J,match($A638,isotopes!$A:$A,0)))</f>
        <v>N</v>
      </c>
      <c r="J638" t="str">
        <f t="array" ref="J638">iferror(index(extra_muscle!$G:$G,match($A638,extra_muscle!$A:$A,0)))</f>
        <v>BXM29-11</v>
      </c>
      <c r="K638" t="str">
        <f t="array" ref="K638">iferror(index(extra_muscle!$J:$J,match($A638,extra_muscle!$A:$A,0)))</f>
        <v>N</v>
      </c>
      <c r="L638" s="59" t="str">
        <f t="array" ref="L638">iferror(index(dna!$G:$G,match($A638,dna!$A:$A,0)))</f>
        <v/>
      </c>
      <c r="M638" s="60" t="str">
        <f t="array" ref="M638">iferror(index(dna!$J:$J,match($A638,dna!$A:$A,0)))</f>
        <v/>
      </c>
      <c r="N638" t="str">
        <f t="array" ref="N638">iferror(index(stomachs!$G:$G,match($A638,stomachs!$A:$A,0)))</f>
        <v/>
      </c>
      <c r="O638" t="str">
        <f t="array" ref="O638">iferror(index(stomachs!$J:$J,match($A638,stomachs!$A:$A,0)))</f>
        <v/>
      </c>
      <c r="P638" t="str">
        <f t="array" ref="P638">iferror(index(sea_lice!$G:$G,match($A638,sea_lice!$A:$A,0)))</f>
        <v/>
      </c>
      <c r="Q638" t="str">
        <f t="array" ref="Q638">iferror(index(sea_lice!$J:$J,match($A638,sea_lice!$A:$A,0)))</f>
        <v/>
      </c>
      <c r="R638" s="40" t="str">
        <f t="array" ref="R638">iferror(index(dissected_fish!$F:$F,match($A638,dissected_fish!$A:$A,0)))</f>
        <v>BCA105</v>
      </c>
      <c r="S638" s="40" t="str">
        <f t="array" ref="S638">iferror(index(dissected_fish!$K:$K,match($A638,dissected_fish!$A:$A,0)))</f>
        <v>N</v>
      </c>
      <c r="T638" s="61" t="str">
        <f t="array" ref="T638">index(fish_lab_data!O:O,match(A638,fish_lab_data!C:C,0))</f>
        <v>KB</v>
      </c>
      <c r="U638" s="61">
        <f t="array" ref="U638">if(A638="","",index(fish_lab_data!X:X,match(A638,fish_lab_data!C:C,0)))</f>
        <v>637</v>
      </c>
    </row>
    <row r="639">
      <c r="A639" t="str">
        <f>fish_lab_data!C639</f>
        <v>U16188</v>
      </c>
      <c r="B639" t="str">
        <f t="array" ref="B639">iferror(index('rna-muscle'!$I:$I,match($A639,'rna-muscle'!$A:$A,0)))</f>
        <v>BRN68M-A12</v>
      </c>
      <c r="C639" t="str">
        <f t="array" ref="C639">iferror(index('rna-muscle'!$L:$L,match($A639,'rna-muscle'!$A:$A,0)))</f>
        <v>N</v>
      </c>
      <c r="D639" t="str">
        <f t="array" ref="D639">iferror(index('rna-gill'!$I:$I,match($A639,'rna-gill'!$A:$A,0)))</f>
        <v>BRN68G-A12</v>
      </c>
      <c r="E639" t="str">
        <f t="array" ref="E639">iferror(index('rna-gill'!$L:$L,match($A639,'rna-gill'!$A:$A,0)))</f>
        <v>N</v>
      </c>
      <c r="F639" t="str">
        <f t="array" ref="F639">iferror(index(fatty_acid!$G:$G,match($A639,fatty_acid!$A:$A,0)))</f>
        <v>BFA28-12</v>
      </c>
      <c r="G639" t="str">
        <f t="array" ref="G639">iferror(index(fatty_acid!$J:$J,match($A639,fatty_acid!$A:$A,0)))</f>
        <v>N</v>
      </c>
      <c r="H639" t="str">
        <f t="array" ref="H639">iferror(index(isotopes!$G:$G,match($A639,isotopes!$A:$A,0)))</f>
        <v>BIS31-12</v>
      </c>
      <c r="I639" t="str">
        <f t="array" ref="I639">iferror(index(isotopes!$J:$J,match($A639,isotopes!$A:$A,0)))</f>
        <v>N</v>
      </c>
      <c r="J639" t="str">
        <f t="array" ref="J639">iferror(index(extra_muscle!$G:$G,match($A639,extra_muscle!$A:$A,0)))</f>
        <v>BXM29-12</v>
      </c>
      <c r="K639" t="str">
        <f t="array" ref="K639">iferror(index(extra_muscle!$J:$J,match($A639,extra_muscle!$A:$A,0)))</f>
        <v>N</v>
      </c>
      <c r="L639" s="59" t="str">
        <f t="array" ref="L639">iferror(index(dna!$G:$G,match($A639,dna!$A:$A,0)))</f>
        <v/>
      </c>
      <c r="M639" s="60" t="str">
        <f t="array" ref="M639">iferror(index(dna!$J:$J,match($A639,dna!$A:$A,0)))</f>
        <v/>
      </c>
      <c r="N639" t="str">
        <f t="array" ref="N639">iferror(index(stomachs!$G:$G,match($A639,stomachs!$A:$A,0)))</f>
        <v/>
      </c>
      <c r="O639" t="str">
        <f t="array" ref="O639">iferror(index(stomachs!$J:$J,match($A639,stomachs!$A:$A,0)))</f>
        <v/>
      </c>
      <c r="P639" t="str">
        <f t="array" ref="P639">iferror(index(sea_lice!$G:$G,match($A639,sea_lice!$A:$A,0)))</f>
        <v/>
      </c>
      <c r="Q639" t="str">
        <f t="array" ref="Q639">iferror(index(sea_lice!$J:$J,match($A639,sea_lice!$A:$A,0)))</f>
        <v/>
      </c>
      <c r="R639" s="40" t="str">
        <f t="array" ref="R639">iferror(index(dissected_fish!$F:$F,match($A639,dissected_fish!$A:$A,0)))</f>
        <v>BCA105</v>
      </c>
      <c r="S639" s="40" t="str">
        <f t="array" ref="S639">iferror(index(dissected_fish!$K:$K,match($A639,dissected_fish!$A:$A,0)))</f>
        <v>N</v>
      </c>
      <c r="T639" s="61" t="str">
        <f t="array" ref="T639">index(fish_lab_data!O:O,match(A639,fish_lab_data!C:C,0))</f>
        <v>KB</v>
      </c>
      <c r="U639" s="61">
        <f t="array" ref="U639">if(A639="","",index(fish_lab_data!X:X,match(A639,fish_lab_data!C:C,0)))</f>
        <v>638</v>
      </c>
    </row>
    <row r="640">
      <c r="A640" t="str">
        <f>fish_lab_data!C640</f>
        <v>U16186</v>
      </c>
      <c r="B640" t="str">
        <f t="array" ref="B640">iferror(index('rna-muscle'!$I:$I,match($A640,'rna-muscle'!$A:$A,0)))</f>
        <v>BRN61M-H2</v>
      </c>
      <c r="C640" t="str">
        <f t="array" ref="C640">iferror(index('rna-muscle'!$L:$L,match($A640,'rna-muscle'!$A:$A,0)))</f>
        <v>N</v>
      </c>
      <c r="D640" t="str">
        <f t="array" ref="D640">iferror(index('rna-gill'!$I:$I,match($A640,'rna-gill'!$A:$A,0)))</f>
        <v>BRN61G-H2</v>
      </c>
      <c r="E640" t="str">
        <f t="array" ref="E640">iferror(index('rna-gill'!$L:$L,match($A640,'rna-gill'!$A:$A,0)))</f>
        <v>N</v>
      </c>
      <c r="F640" t="str">
        <f t="array" ref="F640">iferror(index(fatty_acid!$G:$G,match($A640,fatty_acid!$A:$A,0)))</f>
        <v>BFA28-13</v>
      </c>
      <c r="G640" t="str">
        <f t="array" ref="G640">iferror(index(fatty_acid!$J:$J,match($A640,fatty_acid!$A:$A,0)))</f>
        <v>N</v>
      </c>
      <c r="H640" t="str">
        <f t="array" ref="H640">iferror(index(isotopes!$G:$G,match($A640,isotopes!$A:$A,0)))</f>
        <v>BIS31-13</v>
      </c>
      <c r="I640" t="str">
        <f t="array" ref="I640">iferror(index(isotopes!$J:$J,match($A640,isotopes!$A:$A,0)))</f>
        <v>N</v>
      </c>
      <c r="J640" t="str">
        <f t="array" ref="J640">iferror(index(extra_muscle!$G:$G,match($A640,extra_muscle!$A:$A,0)))</f>
        <v>BXM29-13</v>
      </c>
      <c r="K640" t="str">
        <f t="array" ref="K640">iferror(index(extra_muscle!$J:$J,match($A640,extra_muscle!$A:$A,0)))</f>
        <v>N</v>
      </c>
      <c r="L640" s="59" t="str">
        <f t="array" ref="L640">iferror(index(dna!$G:$G,match($A640,dna!$A:$A,0)))</f>
        <v/>
      </c>
      <c r="M640" s="60" t="str">
        <f t="array" ref="M640">iferror(index(dna!$J:$J,match($A640,dna!$A:$A,0)))</f>
        <v/>
      </c>
      <c r="N640" t="str">
        <f t="array" ref="N640">iferror(index(stomachs!$G:$G,match($A640,stomachs!$A:$A,0)))</f>
        <v/>
      </c>
      <c r="O640" t="str">
        <f t="array" ref="O640">iferror(index(stomachs!$J:$J,match($A640,stomachs!$A:$A,0)))</f>
        <v/>
      </c>
      <c r="P640" t="str">
        <f t="array" ref="P640">iferror(index(sea_lice!$G:$G,match($A640,sea_lice!$A:$A,0)))</f>
        <v/>
      </c>
      <c r="Q640" t="str">
        <f t="array" ref="Q640">iferror(index(sea_lice!$J:$J,match($A640,sea_lice!$A:$A,0)))</f>
        <v/>
      </c>
      <c r="R640" s="40" t="str">
        <f t="array" ref="R640">iferror(index(dissected_fish!$F:$F,match($A640,dissected_fish!$A:$A,0)))</f>
        <v>BCA105</v>
      </c>
      <c r="S640" s="40" t="str">
        <f t="array" ref="S640">iferror(index(dissected_fish!$K:$K,match($A640,dissected_fish!$A:$A,0)))</f>
        <v>N</v>
      </c>
      <c r="T640" s="61" t="str">
        <f t="array" ref="T640">index(fish_lab_data!O:O,match(A640,fish_lab_data!C:C,0))</f>
        <v>KB</v>
      </c>
      <c r="U640" s="61">
        <f t="array" ref="U640">if(A640="","",index(fish_lab_data!X:X,match(A640,fish_lab_data!C:C,0)))</f>
        <v>639</v>
      </c>
    </row>
    <row r="641">
      <c r="A641" t="str">
        <f>fish_lab_data!C641</f>
        <v>U16185</v>
      </c>
      <c r="B641" t="str">
        <f t="array" ref="B641">iferror(index('rna-muscle'!$I:$I,match($A641,'rna-muscle'!$A:$A,0)))</f>
        <v>BRN61M-G2</v>
      </c>
      <c r="C641" t="str">
        <f t="array" ref="C641">iferror(index('rna-muscle'!$L:$L,match($A641,'rna-muscle'!$A:$A,0)))</f>
        <v>N</v>
      </c>
      <c r="D641" t="str">
        <f t="array" ref="D641">iferror(index('rna-gill'!$I:$I,match($A641,'rna-gill'!$A:$A,0)))</f>
        <v>BRN61G-G2</v>
      </c>
      <c r="E641" t="str">
        <f t="array" ref="E641">iferror(index('rna-gill'!$L:$L,match($A641,'rna-gill'!$A:$A,0)))</f>
        <v>N</v>
      </c>
      <c r="F641" t="str">
        <f t="array" ref="F641">iferror(index(fatty_acid!$G:$G,match($A641,fatty_acid!$A:$A,0)))</f>
        <v>BFA28-14</v>
      </c>
      <c r="G641" t="str">
        <f t="array" ref="G641">iferror(index(fatty_acid!$J:$J,match($A641,fatty_acid!$A:$A,0)))</f>
        <v>N</v>
      </c>
      <c r="H641" t="str">
        <f t="array" ref="H641">iferror(index(isotopes!$G:$G,match($A641,isotopes!$A:$A,0)))</f>
        <v>BIS31-14</v>
      </c>
      <c r="I641" t="str">
        <f t="array" ref="I641">iferror(index(isotopes!$J:$J,match($A641,isotopes!$A:$A,0)))</f>
        <v>N</v>
      </c>
      <c r="J641" t="str">
        <f t="array" ref="J641">iferror(index(extra_muscle!$G:$G,match($A641,extra_muscle!$A:$A,0)))</f>
        <v>BXM29-14</v>
      </c>
      <c r="K641" t="str">
        <f t="array" ref="K641">iferror(index(extra_muscle!$J:$J,match($A641,extra_muscle!$A:$A,0)))</f>
        <v>N</v>
      </c>
      <c r="L641" s="59" t="str">
        <f t="array" ref="L641">iferror(index(dna!$G:$G,match($A641,dna!$A:$A,0)))</f>
        <v/>
      </c>
      <c r="M641" s="60" t="str">
        <f t="array" ref="M641">iferror(index(dna!$J:$J,match($A641,dna!$A:$A,0)))</f>
        <v/>
      </c>
      <c r="N641" t="str">
        <f t="array" ref="N641">iferror(index(stomachs!$G:$G,match($A641,stomachs!$A:$A,0)))</f>
        <v/>
      </c>
      <c r="O641" t="str">
        <f t="array" ref="O641">iferror(index(stomachs!$J:$J,match($A641,stomachs!$A:$A,0)))</f>
        <v/>
      </c>
      <c r="P641" t="str">
        <f t="array" ref="P641">iferror(index(sea_lice!$G:$G,match($A641,sea_lice!$A:$A,0)))</f>
        <v/>
      </c>
      <c r="Q641" t="str">
        <f t="array" ref="Q641">iferror(index(sea_lice!$J:$J,match($A641,sea_lice!$A:$A,0)))</f>
        <v/>
      </c>
      <c r="R641" s="40" t="str">
        <f t="array" ref="R641">iferror(index(dissected_fish!$F:$F,match($A641,dissected_fish!$A:$A,0)))</f>
        <v>BCA105</v>
      </c>
      <c r="S641" s="40" t="str">
        <f t="array" ref="S641">iferror(index(dissected_fish!$K:$K,match($A641,dissected_fish!$A:$A,0)))</f>
        <v>N</v>
      </c>
      <c r="T641" s="61" t="str">
        <f t="array" ref="T641">index(fish_lab_data!O:O,match(A641,fish_lab_data!C:C,0))</f>
        <v>KB</v>
      </c>
      <c r="U641" s="61">
        <f t="array" ref="U641">if(A641="","",index(fish_lab_data!X:X,match(A641,fish_lab_data!C:C,0)))</f>
        <v>640</v>
      </c>
    </row>
    <row r="642">
      <c r="A642" t="str">
        <f>fish_lab_data!C642</f>
        <v>U16184</v>
      </c>
      <c r="B642" t="str">
        <f t="array" ref="B642">iferror(index('rna-muscle'!$I:$I,match($A642,'rna-muscle'!$A:$A,0)))</f>
        <v>BRN61M-F2</v>
      </c>
      <c r="C642" t="str">
        <f t="array" ref="C642">iferror(index('rna-muscle'!$L:$L,match($A642,'rna-muscle'!$A:$A,0)))</f>
        <v>N</v>
      </c>
      <c r="D642" t="str">
        <f t="array" ref="D642">iferror(index('rna-gill'!$I:$I,match($A642,'rna-gill'!$A:$A,0)))</f>
        <v>BRN61G-F2</v>
      </c>
      <c r="E642" t="str">
        <f t="array" ref="E642">iferror(index('rna-gill'!$L:$L,match($A642,'rna-gill'!$A:$A,0)))</f>
        <v>N</v>
      </c>
      <c r="F642" t="str">
        <f t="array" ref="F642">iferror(index(fatty_acid!$G:$G,match($A642,fatty_acid!$A:$A,0)))</f>
        <v>BFA28-15</v>
      </c>
      <c r="G642" t="str">
        <f t="array" ref="G642">iferror(index(fatty_acid!$J:$J,match($A642,fatty_acid!$A:$A,0)))</f>
        <v>N</v>
      </c>
      <c r="H642" t="str">
        <f t="array" ref="H642">iferror(index(isotopes!$G:$G,match($A642,isotopes!$A:$A,0)))</f>
        <v>BIS31-15</v>
      </c>
      <c r="I642" t="str">
        <f t="array" ref="I642">iferror(index(isotopes!$J:$J,match($A642,isotopes!$A:$A,0)))</f>
        <v>N</v>
      </c>
      <c r="J642" t="str">
        <f t="array" ref="J642">iferror(index(extra_muscle!$G:$G,match($A642,extra_muscle!$A:$A,0)))</f>
        <v>BXM29-15</v>
      </c>
      <c r="K642" t="str">
        <f t="array" ref="K642">iferror(index(extra_muscle!$J:$J,match($A642,extra_muscle!$A:$A,0)))</f>
        <v>N</v>
      </c>
      <c r="L642" s="59" t="str">
        <f t="array" ref="L642">iferror(index(dna!$G:$G,match($A642,dna!$A:$A,0)))</f>
        <v/>
      </c>
      <c r="M642" s="60" t="str">
        <f t="array" ref="M642">iferror(index(dna!$J:$J,match($A642,dna!$A:$A,0)))</f>
        <v/>
      </c>
      <c r="N642" t="str">
        <f t="array" ref="N642">iferror(index(stomachs!$G:$G,match($A642,stomachs!$A:$A,0)))</f>
        <v/>
      </c>
      <c r="O642" t="str">
        <f t="array" ref="O642">iferror(index(stomachs!$J:$J,match($A642,stomachs!$A:$A,0)))</f>
        <v/>
      </c>
      <c r="P642" t="str">
        <f t="array" ref="P642">iferror(index(sea_lice!$G:$G,match($A642,sea_lice!$A:$A,0)))</f>
        <v/>
      </c>
      <c r="Q642" t="str">
        <f t="array" ref="Q642">iferror(index(sea_lice!$J:$J,match($A642,sea_lice!$A:$A,0)))</f>
        <v/>
      </c>
      <c r="R642" s="40" t="str">
        <f t="array" ref="R642">iferror(index(dissected_fish!$F:$F,match($A642,dissected_fish!$A:$A,0)))</f>
        <v>BCA105</v>
      </c>
      <c r="S642" s="40" t="str">
        <f t="array" ref="S642">iferror(index(dissected_fish!$K:$K,match($A642,dissected_fish!$A:$A,0)))</f>
        <v>N</v>
      </c>
      <c r="T642" s="61" t="str">
        <f t="array" ref="T642">index(fish_lab_data!O:O,match(A642,fish_lab_data!C:C,0))</f>
        <v>KB</v>
      </c>
      <c r="U642" s="61">
        <f t="array" ref="U642">if(A642="","",index(fish_lab_data!X:X,match(A642,fish_lab_data!C:C,0)))</f>
        <v>641</v>
      </c>
    </row>
    <row r="643">
      <c r="A643" t="str">
        <f>fish_lab_data!C643</f>
        <v>U16181</v>
      </c>
      <c r="B643" t="str">
        <f t="array" ref="B643">iferror(index('rna-muscle'!$I:$I,match($A643,'rna-muscle'!$A:$A,0)))</f>
        <v>BRN61M-E2</v>
      </c>
      <c r="C643" t="str">
        <f t="array" ref="C643">iferror(index('rna-muscle'!$L:$L,match($A643,'rna-muscle'!$A:$A,0)))</f>
        <v>N</v>
      </c>
      <c r="D643" t="str">
        <f t="array" ref="D643">iferror(index('rna-gill'!$I:$I,match($A643,'rna-gill'!$A:$A,0)))</f>
        <v>BRN61G-E2</v>
      </c>
      <c r="E643" t="str">
        <f t="array" ref="E643">iferror(index('rna-gill'!$L:$L,match($A643,'rna-gill'!$A:$A,0)))</f>
        <v>N</v>
      </c>
      <c r="F643" t="str">
        <f t="array" ref="F643">iferror(index(fatty_acid!$G:$G,match($A643,fatty_acid!$A:$A,0)))</f>
        <v>BFA28-16</v>
      </c>
      <c r="G643" t="str">
        <f t="array" ref="G643">iferror(index(fatty_acid!$J:$J,match($A643,fatty_acid!$A:$A,0)))</f>
        <v>N</v>
      </c>
      <c r="H643" t="str">
        <f t="array" ref="H643">iferror(index(isotopes!$G:$G,match($A643,isotopes!$A:$A,0)))</f>
        <v>BIS31-16</v>
      </c>
      <c r="I643" t="str">
        <f t="array" ref="I643">iferror(index(isotopes!$J:$J,match($A643,isotopes!$A:$A,0)))</f>
        <v>N</v>
      </c>
      <c r="J643" t="str">
        <f t="array" ref="J643">iferror(index(extra_muscle!$G:$G,match($A643,extra_muscle!$A:$A,0)))</f>
        <v>BXM29-16</v>
      </c>
      <c r="K643" t="str">
        <f t="array" ref="K643">iferror(index(extra_muscle!$J:$J,match($A643,extra_muscle!$A:$A,0)))</f>
        <v>N</v>
      </c>
      <c r="L643" s="59" t="str">
        <f t="array" ref="L643">iferror(index(dna!$G:$G,match($A643,dna!$A:$A,0)))</f>
        <v/>
      </c>
      <c r="M643" s="60" t="str">
        <f t="array" ref="M643">iferror(index(dna!$J:$J,match($A643,dna!$A:$A,0)))</f>
        <v/>
      </c>
      <c r="N643" t="str">
        <f t="array" ref="N643">iferror(index(stomachs!$G:$G,match($A643,stomachs!$A:$A,0)))</f>
        <v/>
      </c>
      <c r="O643" t="str">
        <f t="array" ref="O643">iferror(index(stomachs!$J:$J,match($A643,stomachs!$A:$A,0)))</f>
        <v/>
      </c>
      <c r="P643" t="str">
        <f t="array" ref="P643">iferror(index(sea_lice!$G:$G,match($A643,sea_lice!$A:$A,0)))</f>
        <v/>
      </c>
      <c r="Q643" t="str">
        <f t="array" ref="Q643">iferror(index(sea_lice!$J:$J,match($A643,sea_lice!$A:$A,0)))</f>
        <v/>
      </c>
      <c r="R643" s="40" t="str">
        <f t="array" ref="R643">iferror(index(dissected_fish!$F:$F,match($A643,dissected_fish!$A:$A,0)))</f>
        <v>BCA105</v>
      </c>
      <c r="S643" s="40" t="str">
        <f t="array" ref="S643">iferror(index(dissected_fish!$K:$K,match($A643,dissected_fish!$A:$A,0)))</f>
        <v>N</v>
      </c>
      <c r="T643" s="61" t="str">
        <f t="array" ref="T643">index(fish_lab_data!O:O,match(A643,fish_lab_data!C:C,0))</f>
        <v>KB</v>
      </c>
      <c r="U643" s="61">
        <f t="array" ref="U643">if(A643="","",index(fish_lab_data!X:X,match(A643,fish_lab_data!C:C,0)))</f>
        <v>642</v>
      </c>
    </row>
    <row r="644">
      <c r="A644" t="str">
        <f>fish_lab_data!C644</f>
        <v>U16182</v>
      </c>
      <c r="B644" t="str">
        <f t="array" ref="B644">iferror(index('rna-muscle'!$I:$I,match($A644,'rna-muscle'!$A:$A,0)))</f>
        <v>BRN61M-D2</v>
      </c>
      <c r="C644" t="str">
        <f t="array" ref="C644">iferror(index('rna-muscle'!$L:$L,match($A644,'rna-muscle'!$A:$A,0)))</f>
        <v>N</v>
      </c>
      <c r="D644" t="str">
        <f t="array" ref="D644">iferror(index('rna-gill'!$I:$I,match($A644,'rna-gill'!$A:$A,0)))</f>
        <v>BRN61G-D2</v>
      </c>
      <c r="E644" t="str">
        <f t="array" ref="E644">iferror(index('rna-gill'!$L:$L,match($A644,'rna-gill'!$A:$A,0)))</f>
        <v>N</v>
      </c>
      <c r="F644" t="str">
        <f t="array" ref="F644">iferror(index(fatty_acid!$G:$G,match($A644,fatty_acid!$A:$A,0)))</f>
        <v>BFA28-17</v>
      </c>
      <c r="G644" t="str">
        <f t="array" ref="G644">iferror(index(fatty_acid!$J:$J,match($A644,fatty_acid!$A:$A,0)))</f>
        <v>N</v>
      </c>
      <c r="H644" t="str">
        <f t="array" ref="H644">iferror(index(isotopes!$G:$G,match($A644,isotopes!$A:$A,0)))</f>
        <v>BIS31-17</v>
      </c>
      <c r="I644" t="str">
        <f t="array" ref="I644">iferror(index(isotopes!$J:$J,match($A644,isotopes!$A:$A,0)))</f>
        <v>N</v>
      </c>
      <c r="J644" t="str">
        <f t="array" ref="J644">iferror(index(extra_muscle!$G:$G,match($A644,extra_muscle!$A:$A,0)))</f>
        <v>BXM29-17</v>
      </c>
      <c r="K644" t="str">
        <f t="array" ref="K644">iferror(index(extra_muscle!$J:$J,match($A644,extra_muscle!$A:$A,0)))</f>
        <v>N</v>
      </c>
      <c r="L644" s="59" t="str">
        <f t="array" ref="L644">iferror(index(dna!$G:$G,match($A644,dna!$A:$A,0)))</f>
        <v/>
      </c>
      <c r="M644" s="60" t="str">
        <f t="array" ref="M644">iferror(index(dna!$J:$J,match($A644,dna!$A:$A,0)))</f>
        <v/>
      </c>
      <c r="N644" t="str">
        <f t="array" ref="N644">iferror(index(stomachs!$G:$G,match($A644,stomachs!$A:$A,0)))</f>
        <v/>
      </c>
      <c r="O644" t="str">
        <f t="array" ref="O644">iferror(index(stomachs!$J:$J,match($A644,stomachs!$A:$A,0)))</f>
        <v/>
      </c>
      <c r="P644" t="str">
        <f t="array" ref="P644">iferror(index(sea_lice!$G:$G,match($A644,sea_lice!$A:$A,0)))</f>
        <v/>
      </c>
      <c r="Q644" t="str">
        <f t="array" ref="Q644">iferror(index(sea_lice!$J:$J,match($A644,sea_lice!$A:$A,0)))</f>
        <v/>
      </c>
      <c r="R644" s="40" t="str">
        <f t="array" ref="R644">iferror(index(dissected_fish!$F:$F,match($A644,dissected_fish!$A:$A,0)))</f>
        <v>BCA105</v>
      </c>
      <c r="S644" s="40" t="str">
        <f t="array" ref="S644">iferror(index(dissected_fish!$K:$K,match($A644,dissected_fish!$A:$A,0)))</f>
        <v>N</v>
      </c>
      <c r="T644" s="61" t="str">
        <f t="array" ref="T644">index(fish_lab_data!O:O,match(A644,fish_lab_data!C:C,0))</f>
        <v>KB</v>
      </c>
      <c r="U644" s="61">
        <f t="array" ref="U644">if(A644="","",index(fish_lab_data!X:X,match(A644,fish_lab_data!C:C,0)))</f>
        <v>643</v>
      </c>
    </row>
    <row r="645">
      <c r="A645" t="str">
        <f>fish_lab_data!C645</f>
        <v>U16257</v>
      </c>
      <c r="B645" t="str">
        <f t="array" ref="B645">iferror(index('rna-muscle'!$I:$I,match($A645,'rna-muscle'!$A:$A,0)))</f>
        <v>BRN61M-C2</v>
      </c>
      <c r="C645" t="str">
        <f t="array" ref="C645">iferror(index('rna-muscle'!$L:$L,match($A645,'rna-muscle'!$A:$A,0)))</f>
        <v>N</v>
      </c>
      <c r="D645" t="str">
        <f t="array" ref="D645">iferror(index('rna-gill'!$I:$I,match($A645,'rna-gill'!$A:$A,0)))</f>
        <v>BRN61G-C2</v>
      </c>
      <c r="E645" t="str">
        <f t="array" ref="E645">iferror(index('rna-gill'!$L:$L,match($A645,'rna-gill'!$A:$A,0)))</f>
        <v>N</v>
      </c>
      <c r="F645" t="str">
        <f t="array" ref="F645">iferror(index(fatty_acid!$G:$G,match($A645,fatty_acid!$A:$A,0)))</f>
        <v>BFA28-18</v>
      </c>
      <c r="G645" t="str">
        <f t="array" ref="G645">iferror(index(fatty_acid!$J:$J,match($A645,fatty_acid!$A:$A,0)))</f>
        <v>N</v>
      </c>
      <c r="H645" t="str">
        <f t="array" ref="H645">iferror(index(isotopes!$G:$G,match($A645,isotopes!$A:$A,0)))</f>
        <v>BIS31-18</v>
      </c>
      <c r="I645" t="str">
        <f t="array" ref="I645">iferror(index(isotopes!$J:$J,match($A645,isotopes!$A:$A,0)))</f>
        <v>N</v>
      </c>
      <c r="J645" t="str">
        <f t="array" ref="J645">iferror(index(extra_muscle!$G:$G,match($A645,extra_muscle!$A:$A,0)))</f>
        <v>BXM29-18</v>
      </c>
      <c r="K645" t="str">
        <f t="array" ref="K645">iferror(index(extra_muscle!$J:$J,match($A645,extra_muscle!$A:$A,0)))</f>
        <v>N</v>
      </c>
      <c r="L645" s="59" t="str">
        <f t="array" ref="L645">iferror(index(dna!$G:$G,match($A645,dna!$A:$A,0)))</f>
        <v/>
      </c>
      <c r="M645" s="60" t="str">
        <f t="array" ref="M645">iferror(index(dna!$J:$J,match($A645,dna!$A:$A,0)))</f>
        <v/>
      </c>
      <c r="N645" t="str">
        <f t="array" ref="N645">iferror(index(stomachs!$G:$G,match($A645,stomachs!$A:$A,0)))</f>
        <v/>
      </c>
      <c r="O645" t="str">
        <f t="array" ref="O645">iferror(index(stomachs!$J:$J,match($A645,stomachs!$A:$A,0)))</f>
        <v/>
      </c>
      <c r="P645" t="str">
        <f t="array" ref="P645">iferror(index(sea_lice!$G:$G,match($A645,sea_lice!$A:$A,0)))</f>
        <v/>
      </c>
      <c r="Q645" t="str">
        <f t="array" ref="Q645">iferror(index(sea_lice!$J:$J,match($A645,sea_lice!$A:$A,0)))</f>
        <v/>
      </c>
      <c r="R645" s="40" t="str">
        <f t="array" ref="R645">iferror(index(dissected_fish!$F:$F,match($A645,dissected_fish!$A:$A,0)))</f>
        <v>BCA105</v>
      </c>
      <c r="S645" s="40" t="str">
        <f t="array" ref="S645">iferror(index(dissected_fish!$K:$K,match($A645,dissected_fish!$A:$A,0)))</f>
        <v>N</v>
      </c>
      <c r="T645" s="61" t="str">
        <f t="array" ref="T645">index(fish_lab_data!O:O,match(A645,fish_lab_data!C:C,0))</f>
        <v>KB</v>
      </c>
      <c r="U645" s="61">
        <f t="array" ref="U645">if(A645="","",index(fish_lab_data!X:X,match(A645,fish_lab_data!C:C,0)))</f>
        <v>644</v>
      </c>
    </row>
    <row r="646">
      <c r="A646" t="str">
        <f>fish_lab_data!C646</f>
        <v>U16256</v>
      </c>
      <c r="B646" t="str">
        <f t="array" ref="B646">iferror(index('rna-muscle'!$I:$I,match($A646,'rna-muscle'!$A:$A,0)))</f>
        <v>BRN61M-B2</v>
      </c>
      <c r="C646" t="str">
        <f t="array" ref="C646">iferror(index('rna-muscle'!$L:$L,match($A646,'rna-muscle'!$A:$A,0)))</f>
        <v>N</v>
      </c>
      <c r="D646" t="str">
        <f t="array" ref="D646">iferror(index('rna-gill'!$I:$I,match($A646,'rna-gill'!$A:$A,0)))</f>
        <v>BRN61G-B2</v>
      </c>
      <c r="E646" t="str">
        <f t="array" ref="E646">iferror(index('rna-gill'!$L:$L,match($A646,'rna-gill'!$A:$A,0)))</f>
        <v>N</v>
      </c>
      <c r="F646" t="str">
        <f t="array" ref="F646">iferror(index(fatty_acid!$G:$G,match($A646,fatty_acid!$A:$A,0)))</f>
        <v>BFA28-19</v>
      </c>
      <c r="G646" t="str">
        <f t="array" ref="G646">iferror(index(fatty_acid!$J:$J,match($A646,fatty_acid!$A:$A,0)))</f>
        <v>N</v>
      </c>
      <c r="H646" t="str">
        <f t="array" ref="H646">iferror(index(isotopes!$G:$G,match($A646,isotopes!$A:$A,0)))</f>
        <v>BIS31-19</v>
      </c>
      <c r="I646" t="str">
        <f t="array" ref="I646">iferror(index(isotopes!$J:$J,match($A646,isotopes!$A:$A,0)))</f>
        <v>N</v>
      </c>
      <c r="J646" t="str">
        <f t="array" ref="J646">iferror(index(extra_muscle!$G:$G,match($A646,extra_muscle!$A:$A,0)))</f>
        <v>BXM29-19</v>
      </c>
      <c r="K646" t="str">
        <f t="array" ref="K646">iferror(index(extra_muscle!$J:$J,match($A646,extra_muscle!$A:$A,0)))</f>
        <v>N</v>
      </c>
      <c r="L646" s="59" t="str">
        <f t="array" ref="L646">iferror(index(dna!$G:$G,match($A646,dna!$A:$A,0)))</f>
        <v/>
      </c>
      <c r="M646" s="60" t="str">
        <f t="array" ref="M646">iferror(index(dna!$J:$J,match($A646,dna!$A:$A,0)))</f>
        <v/>
      </c>
      <c r="N646" t="str">
        <f t="array" ref="N646">iferror(index(stomachs!$G:$G,match($A646,stomachs!$A:$A,0)))</f>
        <v/>
      </c>
      <c r="O646" t="str">
        <f t="array" ref="O646">iferror(index(stomachs!$J:$J,match($A646,stomachs!$A:$A,0)))</f>
        <v/>
      </c>
      <c r="P646" t="str">
        <f t="array" ref="P646">iferror(index(sea_lice!$G:$G,match($A646,sea_lice!$A:$A,0)))</f>
        <v/>
      </c>
      <c r="Q646" t="str">
        <f t="array" ref="Q646">iferror(index(sea_lice!$J:$J,match($A646,sea_lice!$A:$A,0)))</f>
        <v/>
      </c>
      <c r="R646" s="40" t="str">
        <f t="array" ref="R646">iferror(index(dissected_fish!$F:$F,match($A646,dissected_fish!$A:$A,0)))</f>
        <v>BCA105</v>
      </c>
      <c r="S646" s="40" t="str">
        <f t="array" ref="S646">iferror(index(dissected_fish!$K:$K,match($A646,dissected_fish!$A:$A,0)))</f>
        <v>N</v>
      </c>
      <c r="T646" s="61" t="str">
        <f t="array" ref="T646">index(fish_lab_data!O:O,match(A646,fish_lab_data!C:C,0))</f>
        <v>KB</v>
      </c>
      <c r="U646" s="61">
        <f t="array" ref="U646">if(A646="","",index(fish_lab_data!X:X,match(A646,fish_lab_data!C:C,0)))</f>
        <v>645</v>
      </c>
    </row>
    <row r="647">
      <c r="A647" t="str">
        <f>fish_lab_data!C647</f>
        <v>U16258</v>
      </c>
      <c r="B647" t="str">
        <f t="array" ref="B647">iferror(index('rna-muscle'!$I:$I,match($A647,'rna-muscle'!$A:$A,0)))</f>
        <v>BRN61M-A2</v>
      </c>
      <c r="C647" t="str">
        <f t="array" ref="C647">iferror(index('rna-muscle'!$L:$L,match($A647,'rna-muscle'!$A:$A,0)))</f>
        <v>N</v>
      </c>
      <c r="D647" t="str">
        <f t="array" ref="D647">iferror(index('rna-gill'!$I:$I,match($A647,'rna-gill'!$A:$A,0)))</f>
        <v>BRN61G-A2</v>
      </c>
      <c r="E647" t="str">
        <f t="array" ref="E647">iferror(index('rna-gill'!$L:$L,match($A647,'rna-gill'!$A:$A,0)))</f>
        <v>N</v>
      </c>
      <c r="F647" t="str">
        <f t="array" ref="F647">iferror(index(fatty_acid!$G:$G,match($A647,fatty_acid!$A:$A,0)))</f>
        <v>BFA28-20</v>
      </c>
      <c r="G647" t="str">
        <f t="array" ref="G647">iferror(index(fatty_acid!$J:$J,match($A647,fatty_acid!$A:$A,0)))</f>
        <v>N</v>
      </c>
      <c r="H647" t="str">
        <f t="array" ref="H647">iferror(index(isotopes!$G:$G,match($A647,isotopes!$A:$A,0)))</f>
        <v>BIS31-20</v>
      </c>
      <c r="I647" t="str">
        <f t="array" ref="I647">iferror(index(isotopes!$J:$J,match($A647,isotopes!$A:$A,0)))</f>
        <v>N</v>
      </c>
      <c r="J647" t="str">
        <f t="array" ref="J647">iferror(index(extra_muscle!$G:$G,match($A647,extra_muscle!$A:$A,0)))</f>
        <v>BXM29-20</v>
      </c>
      <c r="K647" t="str">
        <f t="array" ref="K647">iferror(index(extra_muscle!$J:$J,match($A647,extra_muscle!$A:$A,0)))</f>
        <v>N</v>
      </c>
      <c r="L647" s="59" t="str">
        <f t="array" ref="L647">iferror(index(dna!$G:$G,match($A647,dna!$A:$A,0)))</f>
        <v/>
      </c>
      <c r="M647" s="60" t="str">
        <f t="array" ref="M647">iferror(index(dna!$J:$J,match($A647,dna!$A:$A,0)))</f>
        <v/>
      </c>
      <c r="N647" t="str">
        <f t="array" ref="N647">iferror(index(stomachs!$G:$G,match($A647,stomachs!$A:$A,0)))</f>
        <v/>
      </c>
      <c r="O647" t="str">
        <f t="array" ref="O647">iferror(index(stomachs!$J:$J,match($A647,stomachs!$A:$A,0)))</f>
        <v/>
      </c>
      <c r="P647" t="str">
        <f t="array" ref="P647">iferror(index(sea_lice!$G:$G,match($A647,sea_lice!$A:$A,0)))</f>
        <v/>
      </c>
      <c r="Q647" t="str">
        <f t="array" ref="Q647">iferror(index(sea_lice!$J:$J,match($A647,sea_lice!$A:$A,0)))</f>
        <v/>
      </c>
      <c r="R647" s="40" t="str">
        <f t="array" ref="R647">iferror(index(dissected_fish!$F:$F,match($A647,dissected_fish!$A:$A,0)))</f>
        <v>BCA105</v>
      </c>
      <c r="S647" s="40" t="str">
        <f t="array" ref="S647">iferror(index(dissected_fish!$K:$K,match($A647,dissected_fish!$A:$A,0)))</f>
        <v>N</v>
      </c>
      <c r="T647" s="61" t="str">
        <f t="array" ref="T647">index(fish_lab_data!O:O,match(A647,fish_lab_data!C:C,0))</f>
        <v>KB</v>
      </c>
      <c r="U647" s="61">
        <f t="array" ref="U647">if(A647="","",index(fish_lab_data!X:X,match(A647,fish_lab_data!C:C,0)))</f>
        <v>646</v>
      </c>
    </row>
    <row r="648">
      <c r="A648" t="str">
        <f>fish_lab_data!C648</f>
        <v>U16252</v>
      </c>
      <c r="B648" t="str">
        <f t="array" ref="B648">iferror(index('rna-muscle'!$I:$I,match($A648,'rna-muscle'!$A:$A,0)))</f>
        <v>BRN61M-H4</v>
      </c>
      <c r="C648" t="str">
        <f t="array" ref="C648">iferror(index('rna-muscle'!$L:$L,match($A648,'rna-muscle'!$A:$A,0)))</f>
        <v>N</v>
      </c>
      <c r="D648" t="str">
        <f t="array" ref="D648">iferror(index('rna-gill'!$I:$I,match($A648,'rna-gill'!$A:$A,0)))</f>
        <v>BRN61G-H4</v>
      </c>
      <c r="E648" t="str">
        <f t="array" ref="E648">iferror(index('rna-gill'!$L:$L,match($A648,'rna-gill'!$A:$A,0)))</f>
        <v>N</v>
      </c>
      <c r="F648" t="str">
        <f t="array" ref="F648">iferror(index(fatty_acid!$G:$G,match($A648,fatty_acid!$A:$A,0)))</f>
        <v>BFA28-21</v>
      </c>
      <c r="G648" t="str">
        <f t="array" ref="G648">iferror(index(fatty_acid!$J:$J,match($A648,fatty_acid!$A:$A,0)))</f>
        <v>N</v>
      </c>
      <c r="H648" t="str">
        <f t="array" ref="H648">iferror(index(isotopes!$G:$G,match($A648,isotopes!$A:$A,0)))</f>
        <v>BIS31-21</v>
      </c>
      <c r="I648" t="str">
        <f t="array" ref="I648">iferror(index(isotopes!$J:$J,match($A648,isotopes!$A:$A,0)))</f>
        <v>N</v>
      </c>
      <c r="J648" t="str">
        <f t="array" ref="J648">iferror(index(extra_muscle!$G:$G,match($A648,extra_muscle!$A:$A,0)))</f>
        <v>BXM29-21</v>
      </c>
      <c r="K648" t="str">
        <f t="array" ref="K648">iferror(index(extra_muscle!$J:$J,match($A648,extra_muscle!$A:$A,0)))</f>
        <v>N</v>
      </c>
      <c r="L648" s="59" t="str">
        <f t="array" ref="L648">iferror(index(dna!$G:$G,match($A648,dna!$A:$A,0)))</f>
        <v/>
      </c>
      <c r="M648" s="60" t="str">
        <f t="array" ref="M648">iferror(index(dna!$J:$J,match($A648,dna!$A:$A,0)))</f>
        <v/>
      </c>
      <c r="N648" t="str">
        <f t="array" ref="N648">iferror(index(stomachs!$G:$G,match($A648,stomachs!$A:$A,0)))</f>
        <v/>
      </c>
      <c r="O648" t="str">
        <f t="array" ref="O648">iferror(index(stomachs!$J:$J,match($A648,stomachs!$A:$A,0)))</f>
        <v/>
      </c>
      <c r="P648" t="str">
        <f t="array" ref="P648">iferror(index(sea_lice!$G:$G,match($A648,sea_lice!$A:$A,0)))</f>
        <v/>
      </c>
      <c r="Q648" t="str">
        <f t="array" ref="Q648">iferror(index(sea_lice!$J:$J,match($A648,sea_lice!$A:$A,0)))</f>
        <v/>
      </c>
      <c r="R648" s="40" t="str">
        <f t="array" ref="R648">iferror(index(dissected_fish!$F:$F,match($A648,dissected_fish!$A:$A,0)))</f>
        <v>BCA105</v>
      </c>
      <c r="S648" s="40" t="str">
        <f t="array" ref="S648">iferror(index(dissected_fish!$K:$K,match($A648,dissected_fish!$A:$A,0)))</f>
        <v>N</v>
      </c>
      <c r="T648" s="61" t="str">
        <f t="array" ref="T648">index(fish_lab_data!O:O,match(A648,fish_lab_data!C:C,0))</f>
        <v>KB</v>
      </c>
      <c r="U648" s="61">
        <f t="array" ref="U648">if(A648="","",index(fish_lab_data!X:X,match(A648,fish_lab_data!C:C,0)))</f>
        <v>647</v>
      </c>
    </row>
    <row r="649">
      <c r="A649" t="str">
        <f>fish_lab_data!C649</f>
        <v>U16251</v>
      </c>
      <c r="B649" t="str">
        <f t="array" ref="B649">iferror(index('rna-muscle'!$I:$I,match($A649,'rna-muscle'!$A:$A,0)))</f>
        <v>BRN61M-G4</v>
      </c>
      <c r="C649" t="str">
        <f t="array" ref="C649">iferror(index('rna-muscle'!$L:$L,match($A649,'rna-muscle'!$A:$A,0)))</f>
        <v>N</v>
      </c>
      <c r="D649" t="str">
        <f t="array" ref="D649">iferror(index('rna-gill'!$I:$I,match($A649,'rna-gill'!$A:$A,0)))</f>
        <v>BRN61G-G4</v>
      </c>
      <c r="E649" t="str">
        <f t="array" ref="E649">iferror(index('rna-gill'!$L:$L,match($A649,'rna-gill'!$A:$A,0)))</f>
        <v>N</v>
      </c>
      <c r="F649" t="str">
        <f t="array" ref="F649">iferror(index(fatty_acid!$G:$G,match($A649,fatty_acid!$A:$A,0)))</f>
        <v>BFA28-22</v>
      </c>
      <c r="G649" t="str">
        <f t="array" ref="G649">iferror(index(fatty_acid!$J:$J,match($A649,fatty_acid!$A:$A,0)))</f>
        <v>N</v>
      </c>
      <c r="H649" t="str">
        <f t="array" ref="H649">iferror(index(isotopes!$G:$G,match($A649,isotopes!$A:$A,0)))</f>
        <v>BIS31-22</v>
      </c>
      <c r="I649" t="str">
        <f t="array" ref="I649">iferror(index(isotopes!$J:$J,match($A649,isotopes!$A:$A,0)))</f>
        <v>N</v>
      </c>
      <c r="J649" t="str">
        <f t="array" ref="J649">iferror(index(extra_muscle!$G:$G,match($A649,extra_muscle!$A:$A,0)))</f>
        <v>BXM29-22</v>
      </c>
      <c r="K649" t="str">
        <f t="array" ref="K649">iferror(index(extra_muscle!$J:$J,match($A649,extra_muscle!$A:$A,0)))</f>
        <v>N</v>
      </c>
      <c r="L649" s="59" t="str">
        <f t="array" ref="L649">iferror(index(dna!$G:$G,match($A649,dna!$A:$A,0)))</f>
        <v/>
      </c>
      <c r="M649" s="60" t="str">
        <f t="array" ref="M649">iferror(index(dna!$J:$J,match($A649,dna!$A:$A,0)))</f>
        <v/>
      </c>
      <c r="N649" t="str">
        <f t="array" ref="N649">iferror(index(stomachs!$G:$G,match($A649,stomachs!$A:$A,0)))</f>
        <v/>
      </c>
      <c r="O649" t="str">
        <f t="array" ref="O649">iferror(index(stomachs!$J:$J,match($A649,stomachs!$A:$A,0)))</f>
        <v/>
      </c>
      <c r="P649" t="str">
        <f t="array" ref="P649">iferror(index(sea_lice!$G:$G,match($A649,sea_lice!$A:$A,0)))</f>
        <v/>
      </c>
      <c r="Q649" t="str">
        <f t="array" ref="Q649">iferror(index(sea_lice!$J:$J,match($A649,sea_lice!$A:$A,0)))</f>
        <v/>
      </c>
      <c r="R649" s="40" t="str">
        <f t="array" ref="R649">iferror(index(dissected_fish!$F:$F,match($A649,dissected_fish!$A:$A,0)))</f>
        <v>BCA105</v>
      </c>
      <c r="S649" s="40" t="str">
        <f t="array" ref="S649">iferror(index(dissected_fish!$K:$K,match($A649,dissected_fish!$A:$A,0)))</f>
        <v>N</v>
      </c>
      <c r="T649" s="61" t="str">
        <f t="array" ref="T649">index(fish_lab_data!O:O,match(A649,fish_lab_data!C:C,0))</f>
        <v>KB</v>
      </c>
      <c r="U649" s="61">
        <f t="array" ref="U649">if(A649="","",index(fish_lab_data!X:X,match(A649,fish_lab_data!C:C,0)))</f>
        <v>648</v>
      </c>
    </row>
    <row r="650">
      <c r="A650" t="str">
        <f>fish_lab_data!C650</f>
        <v>U16254</v>
      </c>
      <c r="B650" t="str">
        <f t="array" ref="B650">iferror(index('rna-muscle'!$I:$I,match($A650,'rna-muscle'!$A:$A,0)))</f>
        <v>BRN61M-F4</v>
      </c>
      <c r="C650" t="str">
        <f t="array" ref="C650">iferror(index('rna-muscle'!$L:$L,match($A650,'rna-muscle'!$A:$A,0)))</f>
        <v>N</v>
      </c>
      <c r="D650" t="str">
        <f t="array" ref="D650">iferror(index('rna-gill'!$I:$I,match($A650,'rna-gill'!$A:$A,0)))</f>
        <v>BRN61G-F4</v>
      </c>
      <c r="E650" t="str">
        <f t="array" ref="E650">iferror(index('rna-gill'!$L:$L,match($A650,'rna-gill'!$A:$A,0)))</f>
        <v>N</v>
      </c>
      <c r="F650" t="str">
        <f t="array" ref="F650">iferror(index(fatty_acid!$G:$G,match($A650,fatty_acid!$A:$A,0)))</f>
        <v>BFA28-23</v>
      </c>
      <c r="G650" t="str">
        <f t="array" ref="G650">iferror(index(fatty_acid!$J:$J,match($A650,fatty_acid!$A:$A,0)))</f>
        <v>N</v>
      </c>
      <c r="H650" t="str">
        <f t="array" ref="H650">iferror(index(isotopes!$G:$G,match($A650,isotopes!$A:$A,0)))</f>
        <v>BIS31-23</v>
      </c>
      <c r="I650" t="str">
        <f t="array" ref="I650">iferror(index(isotopes!$J:$J,match($A650,isotopes!$A:$A,0)))</f>
        <v>N</v>
      </c>
      <c r="J650" t="str">
        <f t="array" ref="J650">iferror(index(extra_muscle!$G:$G,match($A650,extra_muscle!$A:$A,0)))</f>
        <v>BXM29-23</v>
      </c>
      <c r="K650" t="str">
        <f t="array" ref="K650">iferror(index(extra_muscle!$J:$J,match($A650,extra_muscle!$A:$A,0)))</f>
        <v>N</v>
      </c>
      <c r="L650" s="59" t="str">
        <f t="array" ref="L650">iferror(index(dna!$G:$G,match($A650,dna!$A:$A,0)))</f>
        <v/>
      </c>
      <c r="M650" s="60" t="str">
        <f t="array" ref="M650">iferror(index(dna!$J:$J,match($A650,dna!$A:$A,0)))</f>
        <v/>
      </c>
      <c r="N650" t="str">
        <f t="array" ref="N650">iferror(index(stomachs!$G:$G,match($A650,stomachs!$A:$A,0)))</f>
        <v/>
      </c>
      <c r="O650" t="str">
        <f t="array" ref="O650">iferror(index(stomachs!$J:$J,match($A650,stomachs!$A:$A,0)))</f>
        <v/>
      </c>
      <c r="P650" t="str">
        <f t="array" ref="P650">iferror(index(sea_lice!$G:$G,match($A650,sea_lice!$A:$A,0)))</f>
        <v/>
      </c>
      <c r="Q650" t="str">
        <f t="array" ref="Q650">iferror(index(sea_lice!$J:$J,match($A650,sea_lice!$A:$A,0)))</f>
        <v/>
      </c>
      <c r="R650" s="40" t="str">
        <f t="array" ref="R650">iferror(index(dissected_fish!$F:$F,match($A650,dissected_fish!$A:$A,0)))</f>
        <v>BCA105</v>
      </c>
      <c r="S650" s="40" t="str">
        <f t="array" ref="S650">iferror(index(dissected_fish!$K:$K,match($A650,dissected_fish!$A:$A,0)))</f>
        <v>N</v>
      </c>
      <c r="T650" s="61" t="str">
        <f t="array" ref="T650">index(fish_lab_data!O:O,match(A650,fish_lab_data!C:C,0))</f>
        <v>KB</v>
      </c>
      <c r="U650" s="61">
        <f t="array" ref="U650">if(A650="","",index(fish_lab_data!X:X,match(A650,fish_lab_data!C:C,0)))</f>
        <v>649</v>
      </c>
    </row>
    <row r="651">
      <c r="A651" t="str">
        <f>fish_lab_data!C651</f>
        <v>U16253</v>
      </c>
      <c r="B651" t="str">
        <f t="array" ref="B651">iferror(index('rna-muscle'!$I:$I,match($A651,'rna-muscle'!$A:$A,0)))</f>
        <v>BRN61M-E4</v>
      </c>
      <c r="C651" t="str">
        <f t="array" ref="C651">iferror(index('rna-muscle'!$L:$L,match($A651,'rna-muscle'!$A:$A,0)))</f>
        <v>N</v>
      </c>
      <c r="D651" t="str">
        <f t="array" ref="D651">iferror(index('rna-gill'!$I:$I,match($A651,'rna-gill'!$A:$A,0)))</f>
        <v>BRN61G-E4</v>
      </c>
      <c r="E651" t="str">
        <f t="array" ref="E651">iferror(index('rna-gill'!$L:$L,match($A651,'rna-gill'!$A:$A,0)))</f>
        <v>N</v>
      </c>
      <c r="F651" t="str">
        <f t="array" ref="F651">iferror(index(fatty_acid!$G:$G,match($A651,fatty_acid!$A:$A,0)))</f>
        <v>BFA28-24</v>
      </c>
      <c r="G651" t="str">
        <f t="array" ref="G651">iferror(index(fatty_acid!$J:$J,match($A651,fatty_acid!$A:$A,0)))</f>
        <v>N</v>
      </c>
      <c r="H651" t="str">
        <f t="array" ref="H651">iferror(index(isotopes!$G:$G,match($A651,isotopes!$A:$A,0)))</f>
        <v>BIS31-24</v>
      </c>
      <c r="I651" t="str">
        <f t="array" ref="I651">iferror(index(isotopes!$J:$J,match($A651,isotopes!$A:$A,0)))</f>
        <v>N</v>
      </c>
      <c r="J651" t="str">
        <f t="array" ref="J651">iferror(index(extra_muscle!$G:$G,match($A651,extra_muscle!$A:$A,0)))</f>
        <v>BXM29-24</v>
      </c>
      <c r="K651" t="str">
        <f t="array" ref="K651">iferror(index(extra_muscle!$J:$J,match($A651,extra_muscle!$A:$A,0)))</f>
        <v>N</v>
      </c>
      <c r="L651" s="59" t="str">
        <f t="array" ref="L651">iferror(index(dna!$G:$G,match($A651,dna!$A:$A,0)))</f>
        <v/>
      </c>
      <c r="M651" s="60" t="str">
        <f t="array" ref="M651">iferror(index(dna!$J:$J,match($A651,dna!$A:$A,0)))</f>
        <v/>
      </c>
      <c r="N651" t="str">
        <f t="array" ref="N651">iferror(index(stomachs!$G:$G,match($A651,stomachs!$A:$A,0)))</f>
        <v/>
      </c>
      <c r="O651" t="str">
        <f t="array" ref="O651">iferror(index(stomachs!$J:$J,match($A651,stomachs!$A:$A,0)))</f>
        <v/>
      </c>
      <c r="P651" t="str">
        <f t="array" ref="P651">iferror(index(sea_lice!$G:$G,match($A651,sea_lice!$A:$A,0)))</f>
        <v/>
      </c>
      <c r="Q651" t="str">
        <f t="array" ref="Q651">iferror(index(sea_lice!$J:$J,match($A651,sea_lice!$A:$A,0)))</f>
        <v/>
      </c>
      <c r="R651" s="40" t="str">
        <f t="array" ref="R651">iferror(index(dissected_fish!$F:$F,match($A651,dissected_fish!$A:$A,0)))</f>
        <v>BCA105</v>
      </c>
      <c r="S651" s="40" t="str">
        <f t="array" ref="S651">iferror(index(dissected_fish!$K:$K,match($A651,dissected_fish!$A:$A,0)))</f>
        <v>N</v>
      </c>
      <c r="T651" s="61" t="str">
        <f t="array" ref="T651">index(fish_lab_data!O:O,match(A651,fish_lab_data!C:C,0))</f>
        <v>KB</v>
      </c>
      <c r="U651" s="61">
        <f t="array" ref="U651">if(A651="","",index(fish_lab_data!X:X,match(A651,fish_lab_data!C:C,0)))</f>
        <v>650</v>
      </c>
    </row>
    <row r="652">
      <c r="A652" t="str">
        <f>fish_lab_data!C652</f>
        <v>U16255</v>
      </c>
      <c r="B652" t="str">
        <f t="array" ref="B652">iferror(index('rna-muscle'!$I:$I,match($A652,'rna-muscle'!$A:$A,0)))</f>
        <v>BRN61M-D4</v>
      </c>
      <c r="C652" t="str">
        <f t="array" ref="C652">iferror(index('rna-muscle'!$L:$L,match($A652,'rna-muscle'!$A:$A,0)))</f>
        <v>N</v>
      </c>
      <c r="D652" t="str">
        <f t="array" ref="D652">iferror(index('rna-gill'!$I:$I,match($A652,'rna-gill'!$A:$A,0)))</f>
        <v>BRN61G-D4</v>
      </c>
      <c r="E652" t="str">
        <f t="array" ref="E652">iferror(index('rna-gill'!$L:$L,match($A652,'rna-gill'!$A:$A,0)))</f>
        <v>N</v>
      </c>
      <c r="F652" t="str">
        <f t="array" ref="F652">iferror(index(fatty_acid!$G:$G,match($A652,fatty_acid!$A:$A,0)))</f>
        <v>BFA28-25</v>
      </c>
      <c r="G652" t="str">
        <f t="array" ref="G652">iferror(index(fatty_acid!$J:$J,match($A652,fatty_acid!$A:$A,0)))</f>
        <v>N</v>
      </c>
      <c r="H652" t="str">
        <f t="array" ref="H652">iferror(index(isotopes!$G:$G,match($A652,isotopes!$A:$A,0)))</f>
        <v>BIS31-25</v>
      </c>
      <c r="I652" t="str">
        <f t="array" ref="I652">iferror(index(isotopes!$J:$J,match($A652,isotopes!$A:$A,0)))</f>
        <v>N</v>
      </c>
      <c r="J652" t="str">
        <f t="array" ref="J652">iferror(index(extra_muscle!$G:$G,match($A652,extra_muscle!$A:$A,0)))</f>
        <v>BXM29-25</v>
      </c>
      <c r="K652" t="str">
        <f t="array" ref="K652">iferror(index(extra_muscle!$J:$J,match($A652,extra_muscle!$A:$A,0)))</f>
        <v>N</v>
      </c>
      <c r="L652" s="59" t="str">
        <f t="array" ref="L652">iferror(index(dna!$G:$G,match($A652,dna!$A:$A,0)))</f>
        <v/>
      </c>
      <c r="M652" s="60" t="str">
        <f t="array" ref="M652">iferror(index(dna!$J:$J,match($A652,dna!$A:$A,0)))</f>
        <v/>
      </c>
      <c r="N652" t="str">
        <f t="array" ref="N652">iferror(index(stomachs!$G:$G,match($A652,stomachs!$A:$A,0)))</f>
        <v/>
      </c>
      <c r="O652" t="str">
        <f t="array" ref="O652">iferror(index(stomachs!$J:$J,match($A652,stomachs!$A:$A,0)))</f>
        <v/>
      </c>
      <c r="P652" t="str">
        <f t="array" ref="P652">iferror(index(sea_lice!$G:$G,match($A652,sea_lice!$A:$A,0)))</f>
        <v/>
      </c>
      <c r="Q652" t="str">
        <f t="array" ref="Q652">iferror(index(sea_lice!$J:$J,match($A652,sea_lice!$A:$A,0)))</f>
        <v/>
      </c>
      <c r="R652" s="40" t="str">
        <f t="array" ref="R652">iferror(index(dissected_fish!$F:$F,match($A652,dissected_fish!$A:$A,0)))</f>
        <v>BCA105</v>
      </c>
      <c r="S652" s="40" t="str">
        <f t="array" ref="S652">iferror(index(dissected_fish!$K:$K,match($A652,dissected_fish!$A:$A,0)))</f>
        <v>N</v>
      </c>
      <c r="T652" s="61" t="str">
        <f t="array" ref="T652">index(fish_lab_data!O:O,match(A652,fish_lab_data!C:C,0))</f>
        <v>KB</v>
      </c>
      <c r="U652" s="61">
        <f t="array" ref="U652">if(A652="","",index(fish_lab_data!X:X,match(A652,fish_lab_data!C:C,0)))</f>
        <v>651</v>
      </c>
    </row>
    <row r="653">
      <c r="A653" t="str">
        <f>fish_lab_data!C653</f>
        <v>U16259</v>
      </c>
      <c r="B653" t="str">
        <f t="array" ref="B653">iferror(index('rna-muscle'!$I:$I,match($A653,'rna-muscle'!$A:$A,0)))</f>
        <v>BRN61M-C4</v>
      </c>
      <c r="C653" t="str">
        <f t="array" ref="C653">iferror(index('rna-muscle'!$L:$L,match($A653,'rna-muscle'!$A:$A,0)))</f>
        <v>N</v>
      </c>
      <c r="D653" t="str">
        <f t="array" ref="D653">iferror(index('rna-gill'!$I:$I,match($A653,'rna-gill'!$A:$A,0)))</f>
        <v>BRN61G-C4</v>
      </c>
      <c r="E653" t="str">
        <f t="array" ref="E653">iferror(index('rna-gill'!$L:$L,match($A653,'rna-gill'!$A:$A,0)))</f>
        <v>N</v>
      </c>
      <c r="F653" t="str">
        <f t="array" ref="F653">iferror(index(fatty_acid!$G:$G,match($A653,fatty_acid!$A:$A,0)))</f>
        <v>BFA28-26</v>
      </c>
      <c r="G653" t="str">
        <f t="array" ref="G653">iferror(index(fatty_acid!$J:$J,match($A653,fatty_acid!$A:$A,0)))</f>
        <v>N</v>
      </c>
      <c r="H653" t="str">
        <f t="array" ref="H653">iferror(index(isotopes!$G:$G,match($A653,isotopes!$A:$A,0)))</f>
        <v>BIS31-26</v>
      </c>
      <c r="I653" t="str">
        <f t="array" ref="I653">iferror(index(isotopes!$J:$J,match($A653,isotopes!$A:$A,0)))</f>
        <v>N</v>
      </c>
      <c r="J653" t="str">
        <f t="array" ref="J653">iferror(index(extra_muscle!$G:$G,match($A653,extra_muscle!$A:$A,0)))</f>
        <v>BXM29-26</v>
      </c>
      <c r="K653" t="str">
        <f t="array" ref="K653">iferror(index(extra_muscle!$J:$J,match($A653,extra_muscle!$A:$A,0)))</f>
        <v>N</v>
      </c>
      <c r="L653" s="59" t="str">
        <f t="array" ref="L653">iferror(index(dna!$G:$G,match($A653,dna!$A:$A,0)))</f>
        <v/>
      </c>
      <c r="M653" s="60" t="str">
        <f t="array" ref="M653">iferror(index(dna!$J:$J,match($A653,dna!$A:$A,0)))</f>
        <v/>
      </c>
      <c r="N653" t="str">
        <f t="array" ref="N653">iferror(index(stomachs!$G:$G,match($A653,stomachs!$A:$A,0)))</f>
        <v/>
      </c>
      <c r="O653" t="str">
        <f t="array" ref="O653">iferror(index(stomachs!$J:$J,match($A653,stomachs!$A:$A,0)))</f>
        <v/>
      </c>
      <c r="P653" t="str">
        <f t="array" ref="P653">iferror(index(sea_lice!$G:$G,match($A653,sea_lice!$A:$A,0)))</f>
        <v/>
      </c>
      <c r="Q653" t="str">
        <f t="array" ref="Q653">iferror(index(sea_lice!$J:$J,match($A653,sea_lice!$A:$A,0)))</f>
        <v/>
      </c>
      <c r="R653" s="40" t="str">
        <f t="array" ref="R653">iferror(index(dissected_fish!$F:$F,match($A653,dissected_fish!$A:$A,0)))</f>
        <v>BCA105</v>
      </c>
      <c r="S653" s="40" t="str">
        <f t="array" ref="S653">iferror(index(dissected_fish!$K:$K,match($A653,dissected_fish!$A:$A,0)))</f>
        <v>N</v>
      </c>
      <c r="T653" s="61" t="str">
        <f t="array" ref="T653">index(fish_lab_data!O:O,match(A653,fish_lab_data!C:C,0))</f>
        <v>KB</v>
      </c>
      <c r="U653" s="61">
        <f t="array" ref="U653">if(A653="","",index(fish_lab_data!X:X,match(A653,fish_lab_data!C:C,0)))</f>
        <v>652</v>
      </c>
    </row>
    <row r="654">
      <c r="A654" t="str">
        <f>fish_lab_data!C654</f>
        <v>U16357</v>
      </c>
      <c r="B654" t="str">
        <f t="array" ref="B654">iferror(index('rna-muscle'!$I:$I,match($A654,'rna-muscle'!$A:$A,0)))</f>
        <v>BRN61M-H5</v>
      </c>
      <c r="C654" t="str">
        <f t="array" ref="C654">iferror(index('rna-muscle'!$L:$L,match($A654,'rna-muscle'!$A:$A,0)))</f>
        <v>N</v>
      </c>
      <c r="D654" t="str">
        <f t="array" ref="D654">iferror(index('rna-gill'!$I:$I,match($A654,'rna-gill'!$A:$A,0)))</f>
        <v>BRN61G-H5</v>
      </c>
      <c r="E654" t="str">
        <f t="array" ref="E654">iferror(index('rna-gill'!$L:$L,match($A654,'rna-gill'!$A:$A,0)))</f>
        <v>N</v>
      </c>
      <c r="F654" t="str">
        <f t="array" ref="F654">iferror(index(fatty_acid!$G:$G,match($A654,fatty_acid!$A:$A,0)))</f>
        <v>BFA29-15</v>
      </c>
      <c r="G654" t="str">
        <f t="array" ref="G654">iferror(index(fatty_acid!$J:$J,match($A654,fatty_acid!$A:$A,0)))</f>
        <v>N</v>
      </c>
      <c r="H654" t="str">
        <f t="array" ref="H654">iferror(index(isotopes!$G:$G,match($A654,isotopes!$A:$A,0)))</f>
        <v>BIS30-36</v>
      </c>
      <c r="I654" t="str">
        <f t="array" ref="I654">iferror(index(isotopes!$J:$J,match($A654,isotopes!$A:$A,0)))</f>
        <v>N</v>
      </c>
      <c r="J654" t="str">
        <f t="array" ref="J654">iferror(index(extra_muscle!$G:$G,match($A654,extra_muscle!$A:$A,0)))</f>
        <v>BXM30-1</v>
      </c>
      <c r="K654" t="str">
        <f t="array" ref="K654">iferror(index(extra_muscle!$J:$J,match($A654,extra_muscle!$A:$A,0)))</f>
        <v>N</v>
      </c>
      <c r="L654" s="59" t="str">
        <f t="array" ref="L654">iferror(index(dna!$G:$G,match($A654,dna!$A:$A,0)))</f>
        <v/>
      </c>
      <c r="M654" s="60" t="str">
        <f t="array" ref="M654">iferror(index(dna!$J:$J,match($A654,dna!$A:$A,0)))</f>
        <v/>
      </c>
      <c r="N654" t="str">
        <f t="array" ref="N654">iferror(index(stomachs!$G:$G,match($A654,stomachs!$A:$A,0)))</f>
        <v/>
      </c>
      <c r="O654" t="str">
        <f t="array" ref="O654">iferror(index(stomachs!$J:$J,match($A654,stomachs!$A:$A,0)))</f>
        <v/>
      </c>
      <c r="P654" t="str">
        <f t="array" ref="P654">iferror(index(sea_lice!$G:$G,match($A654,sea_lice!$A:$A,0)))</f>
        <v/>
      </c>
      <c r="Q654" t="str">
        <f t="array" ref="Q654">iferror(index(sea_lice!$J:$J,match($A654,sea_lice!$A:$A,0)))</f>
        <v/>
      </c>
      <c r="R654" s="40" t="str">
        <f t="array" ref="R654">iferror(index(dissected_fish!$F:$F,match($A654,dissected_fish!$A:$A,0)))</f>
        <v>BCA105</v>
      </c>
      <c r="S654" s="40" t="str">
        <f t="array" ref="S654">iferror(index(dissected_fish!$K:$K,match($A654,dissected_fish!$A:$A,0)))</f>
        <v>N</v>
      </c>
      <c r="T654" s="61" t="str">
        <f t="array" ref="T654">index(fish_lab_data!O:O,match(A654,fish_lab_data!C:C,0))</f>
        <v>EJ</v>
      </c>
      <c r="U654" s="61">
        <f t="array" ref="U654">if(A654="","",index(fish_lab_data!X:X,match(A654,fish_lab_data!C:C,0)))</f>
        <v>653</v>
      </c>
    </row>
    <row r="655">
      <c r="A655" t="str">
        <f>fish_lab_data!C655</f>
        <v>U16358</v>
      </c>
      <c r="B655" t="str">
        <f t="array" ref="B655">iferror(index('rna-muscle'!$I:$I,match($A655,'rna-muscle'!$A:$A,0)))</f>
        <v>BRN61M-G5</v>
      </c>
      <c r="C655" t="str">
        <f t="array" ref="C655">iferror(index('rna-muscle'!$L:$L,match($A655,'rna-muscle'!$A:$A,0)))</f>
        <v>N</v>
      </c>
      <c r="D655" t="str">
        <f t="array" ref="D655">iferror(index('rna-gill'!$I:$I,match($A655,'rna-gill'!$A:$A,0)))</f>
        <v>BRN61G-G5</v>
      </c>
      <c r="E655" t="str">
        <f t="array" ref="E655">iferror(index('rna-gill'!$L:$L,match($A655,'rna-gill'!$A:$A,0)))</f>
        <v>N</v>
      </c>
      <c r="F655" t="str">
        <f t="array" ref="F655">iferror(index(fatty_acid!$G:$G,match($A655,fatty_acid!$A:$A,0)))</f>
        <v>BFA29-16</v>
      </c>
      <c r="G655" t="str">
        <f t="array" ref="G655">iferror(index(fatty_acid!$J:$J,match($A655,fatty_acid!$A:$A,0)))</f>
        <v>N</v>
      </c>
      <c r="H655" t="str">
        <f t="array" ref="H655">iferror(index(isotopes!$G:$G,match($A655,isotopes!$A:$A,0)))</f>
        <v>BIS30-37</v>
      </c>
      <c r="I655" t="str">
        <f t="array" ref="I655">iferror(index(isotopes!$J:$J,match($A655,isotopes!$A:$A,0)))</f>
        <v>N</v>
      </c>
      <c r="J655" t="str">
        <f t="array" ref="J655">iferror(index(extra_muscle!$G:$G,match($A655,extra_muscle!$A:$A,0)))</f>
        <v>BXM30-2</v>
      </c>
      <c r="K655" t="str">
        <f t="array" ref="K655">iferror(index(extra_muscle!$J:$J,match($A655,extra_muscle!$A:$A,0)))</f>
        <v>N</v>
      </c>
      <c r="L655" s="59" t="str">
        <f t="array" ref="L655">iferror(index(dna!$G:$G,match($A655,dna!$A:$A,0)))</f>
        <v/>
      </c>
      <c r="M655" s="60" t="str">
        <f t="array" ref="M655">iferror(index(dna!$J:$J,match($A655,dna!$A:$A,0)))</f>
        <v/>
      </c>
      <c r="N655" t="str">
        <f t="array" ref="N655">iferror(index(stomachs!$G:$G,match($A655,stomachs!$A:$A,0)))</f>
        <v/>
      </c>
      <c r="O655" t="str">
        <f t="array" ref="O655">iferror(index(stomachs!$J:$J,match($A655,stomachs!$A:$A,0)))</f>
        <v/>
      </c>
      <c r="P655" t="str">
        <f t="array" ref="P655">iferror(index(sea_lice!$G:$G,match($A655,sea_lice!$A:$A,0)))</f>
        <v/>
      </c>
      <c r="Q655" t="str">
        <f t="array" ref="Q655">iferror(index(sea_lice!$J:$J,match($A655,sea_lice!$A:$A,0)))</f>
        <v/>
      </c>
      <c r="R655" s="40" t="str">
        <f t="array" ref="R655">iferror(index(dissected_fish!$F:$F,match($A655,dissected_fish!$A:$A,0)))</f>
        <v>BCA105</v>
      </c>
      <c r="S655" s="40" t="str">
        <f t="array" ref="S655">iferror(index(dissected_fish!$K:$K,match($A655,dissected_fish!$A:$A,0)))</f>
        <v>N</v>
      </c>
      <c r="T655" s="61" t="str">
        <f t="array" ref="T655">index(fish_lab_data!O:O,match(A655,fish_lab_data!C:C,0))</f>
        <v>EJ</v>
      </c>
      <c r="U655" s="61">
        <f t="array" ref="U655">if(A655="","",index(fish_lab_data!X:X,match(A655,fish_lab_data!C:C,0)))</f>
        <v>654</v>
      </c>
    </row>
    <row r="656">
      <c r="A656" t="str">
        <f>fish_lab_data!C656</f>
        <v>U16359</v>
      </c>
      <c r="B656" t="str">
        <f t="array" ref="B656">iferror(index('rna-muscle'!$I:$I,match($A656,'rna-muscle'!$A:$A,0)))</f>
        <v>BRN61M-F5</v>
      </c>
      <c r="C656" t="str">
        <f t="array" ref="C656">iferror(index('rna-muscle'!$L:$L,match($A656,'rna-muscle'!$A:$A,0)))</f>
        <v>N</v>
      </c>
      <c r="D656" t="str">
        <f t="array" ref="D656">iferror(index('rna-gill'!$I:$I,match($A656,'rna-gill'!$A:$A,0)))</f>
        <v>BRN61G-F5</v>
      </c>
      <c r="E656" t="str">
        <f t="array" ref="E656">iferror(index('rna-gill'!$L:$L,match($A656,'rna-gill'!$A:$A,0)))</f>
        <v>N</v>
      </c>
      <c r="F656" t="str">
        <f t="array" ref="F656">iferror(index(fatty_acid!$G:$G,match($A656,fatty_acid!$A:$A,0)))</f>
        <v>BFA29-17</v>
      </c>
      <c r="G656" t="str">
        <f t="array" ref="G656">iferror(index(fatty_acid!$J:$J,match($A656,fatty_acid!$A:$A,0)))</f>
        <v>N</v>
      </c>
      <c r="H656" t="str">
        <f t="array" ref="H656">iferror(index(isotopes!$G:$G,match($A656,isotopes!$A:$A,0)))</f>
        <v>BIS30-38</v>
      </c>
      <c r="I656" t="str">
        <f t="array" ref="I656">iferror(index(isotopes!$J:$J,match($A656,isotopes!$A:$A,0)))</f>
        <v>N</v>
      </c>
      <c r="J656" t="str">
        <f t="array" ref="J656">iferror(index(extra_muscle!$G:$G,match($A656,extra_muscle!$A:$A,0)))</f>
        <v>BXM30-3</v>
      </c>
      <c r="K656" t="str">
        <f t="array" ref="K656">iferror(index(extra_muscle!$J:$J,match($A656,extra_muscle!$A:$A,0)))</f>
        <v>N</v>
      </c>
      <c r="L656" s="59" t="str">
        <f t="array" ref="L656">iferror(index(dna!$G:$G,match($A656,dna!$A:$A,0)))</f>
        <v/>
      </c>
      <c r="M656" s="60" t="str">
        <f t="array" ref="M656">iferror(index(dna!$J:$J,match($A656,dna!$A:$A,0)))</f>
        <v/>
      </c>
      <c r="N656" t="str">
        <f t="array" ref="N656">iferror(index(stomachs!$G:$G,match($A656,stomachs!$A:$A,0)))</f>
        <v/>
      </c>
      <c r="O656" t="str">
        <f t="array" ref="O656">iferror(index(stomachs!$J:$J,match($A656,stomachs!$A:$A,0)))</f>
        <v/>
      </c>
      <c r="P656" t="str">
        <f t="array" ref="P656">iferror(index(sea_lice!$G:$G,match($A656,sea_lice!$A:$A,0)))</f>
        <v/>
      </c>
      <c r="Q656" t="str">
        <f t="array" ref="Q656">iferror(index(sea_lice!$J:$J,match($A656,sea_lice!$A:$A,0)))</f>
        <v/>
      </c>
      <c r="R656" s="40" t="str">
        <f t="array" ref="R656">iferror(index(dissected_fish!$F:$F,match($A656,dissected_fish!$A:$A,0)))</f>
        <v>BCA105</v>
      </c>
      <c r="S656" s="40" t="str">
        <f t="array" ref="S656">iferror(index(dissected_fish!$K:$K,match($A656,dissected_fish!$A:$A,0)))</f>
        <v>N</v>
      </c>
      <c r="T656" s="61" t="str">
        <f t="array" ref="T656">index(fish_lab_data!O:O,match(A656,fish_lab_data!C:C,0))</f>
        <v>EJ</v>
      </c>
      <c r="U656" s="61">
        <f t="array" ref="U656">if(A656="","",index(fish_lab_data!X:X,match(A656,fish_lab_data!C:C,0)))</f>
        <v>655</v>
      </c>
    </row>
    <row r="657">
      <c r="A657" t="str">
        <f>fish_lab_data!C657</f>
        <v>U16360</v>
      </c>
      <c r="B657" t="str">
        <f t="array" ref="B657">iferror(index('rna-muscle'!$I:$I,match($A657,'rna-muscle'!$A:$A,0)))</f>
        <v>BRN61M-E5</v>
      </c>
      <c r="C657" t="str">
        <f t="array" ref="C657">iferror(index('rna-muscle'!$L:$L,match($A657,'rna-muscle'!$A:$A,0)))</f>
        <v>N</v>
      </c>
      <c r="D657" t="str">
        <f t="array" ref="D657">iferror(index('rna-gill'!$I:$I,match($A657,'rna-gill'!$A:$A,0)))</f>
        <v>BRN61G-E5</v>
      </c>
      <c r="E657" t="str">
        <f t="array" ref="E657">iferror(index('rna-gill'!$L:$L,match($A657,'rna-gill'!$A:$A,0)))</f>
        <v>N</v>
      </c>
      <c r="F657" t="str">
        <f t="array" ref="F657">iferror(index(fatty_acid!$G:$G,match($A657,fatty_acid!$A:$A,0)))</f>
        <v>BFA29-18</v>
      </c>
      <c r="G657" t="str">
        <f t="array" ref="G657">iferror(index(fatty_acid!$J:$J,match($A657,fatty_acid!$A:$A,0)))</f>
        <v>N</v>
      </c>
      <c r="H657" t="str">
        <f t="array" ref="H657">iferror(index(isotopes!$G:$G,match($A657,isotopes!$A:$A,0)))</f>
        <v>BIS30-39</v>
      </c>
      <c r="I657" t="str">
        <f t="array" ref="I657">iferror(index(isotopes!$J:$J,match($A657,isotopes!$A:$A,0)))</f>
        <v>N</v>
      </c>
      <c r="J657" t="str">
        <f t="array" ref="J657">iferror(index(extra_muscle!$G:$G,match($A657,extra_muscle!$A:$A,0)))</f>
        <v>BXM30-4</v>
      </c>
      <c r="K657" t="str">
        <f t="array" ref="K657">iferror(index(extra_muscle!$J:$J,match($A657,extra_muscle!$A:$A,0)))</f>
        <v>N</v>
      </c>
      <c r="L657" s="59" t="str">
        <f t="array" ref="L657">iferror(index(dna!$G:$G,match($A657,dna!$A:$A,0)))</f>
        <v/>
      </c>
      <c r="M657" s="60" t="str">
        <f t="array" ref="M657">iferror(index(dna!$J:$J,match($A657,dna!$A:$A,0)))</f>
        <v/>
      </c>
      <c r="N657" t="str">
        <f t="array" ref="N657">iferror(index(stomachs!$G:$G,match($A657,stomachs!$A:$A,0)))</f>
        <v/>
      </c>
      <c r="O657" t="str">
        <f t="array" ref="O657">iferror(index(stomachs!$J:$J,match($A657,stomachs!$A:$A,0)))</f>
        <v/>
      </c>
      <c r="P657" t="str">
        <f t="array" ref="P657">iferror(index(sea_lice!$G:$G,match($A657,sea_lice!$A:$A,0)))</f>
        <v/>
      </c>
      <c r="Q657" t="str">
        <f t="array" ref="Q657">iferror(index(sea_lice!$J:$J,match($A657,sea_lice!$A:$A,0)))</f>
        <v/>
      </c>
      <c r="R657" s="40" t="str">
        <f t="array" ref="R657">iferror(index(dissected_fish!$F:$F,match($A657,dissected_fish!$A:$A,0)))</f>
        <v>BCA105</v>
      </c>
      <c r="S657" s="40" t="str">
        <f t="array" ref="S657">iferror(index(dissected_fish!$K:$K,match($A657,dissected_fish!$A:$A,0)))</f>
        <v>N</v>
      </c>
      <c r="T657" s="61" t="str">
        <f t="array" ref="T657">index(fish_lab_data!O:O,match(A657,fish_lab_data!C:C,0))</f>
        <v>EJ</v>
      </c>
      <c r="U657" s="61">
        <f t="array" ref="U657">if(A657="","",index(fish_lab_data!X:X,match(A657,fish_lab_data!C:C,0)))</f>
        <v>656</v>
      </c>
    </row>
    <row r="658">
      <c r="A658" t="str">
        <f>fish_lab_data!C658</f>
        <v>U16021</v>
      </c>
      <c r="B658" t="str">
        <f t="array" ref="B658">iferror(index('rna-muscle'!$I:$I,match($A658,'rna-muscle'!$A:$A,0)))</f>
        <v>BRN61M-D5</v>
      </c>
      <c r="C658" t="str">
        <f t="array" ref="C658">iferror(index('rna-muscle'!$L:$L,match($A658,'rna-muscle'!$A:$A,0)))</f>
        <v>N</v>
      </c>
      <c r="D658" t="str">
        <f t="array" ref="D658">iferror(index('rna-gill'!$I:$I,match($A658,'rna-gill'!$A:$A,0)))</f>
        <v>BRN61G-D5</v>
      </c>
      <c r="E658" t="str">
        <f t="array" ref="E658">iferror(index('rna-gill'!$L:$L,match($A658,'rna-gill'!$A:$A,0)))</f>
        <v>N</v>
      </c>
      <c r="F658" t="str">
        <f t="array" ref="F658">iferror(index(fatty_acid!$G:$G,match($A658,fatty_acid!$A:$A,0)))</f>
        <v>BFA29-19</v>
      </c>
      <c r="G658" t="str">
        <f t="array" ref="G658">iferror(index(fatty_acid!$J:$J,match($A658,fatty_acid!$A:$A,0)))</f>
        <v>N</v>
      </c>
      <c r="H658" t="str">
        <f t="array" ref="H658">iferror(index(isotopes!$G:$G,match($A658,isotopes!$A:$A,0)))</f>
        <v>BIS30-40</v>
      </c>
      <c r="I658" t="str">
        <f t="array" ref="I658">iferror(index(isotopes!$J:$J,match($A658,isotopes!$A:$A,0)))</f>
        <v>N</v>
      </c>
      <c r="J658" t="str">
        <f t="array" ref="J658">iferror(index(extra_muscle!$G:$G,match($A658,extra_muscle!$A:$A,0)))</f>
        <v>BXM30-5</v>
      </c>
      <c r="K658" t="str">
        <f t="array" ref="K658">iferror(index(extra_muscle!$J:$J,match($A658,extra_muscle!$A:$A,0)))</f>
        <v>N</v>
      </c>
      <c r="L658" s="59" t="str">
        <f t="array" ref="L658">iferror(index(dna!$G:$G,match($A658,dna!$A:$A,0)))</f>
        <v/>
      </c>
      <c r="M658" s="60" t="str">
        <f t="array" ref="M658">iferror(index(dna!$J:$J,match($A658,dna!$A:$A,0)))</f>
        <v/>
      </c>
      <c r="N658" t="str">
        <f t="array" ref="N658">iferror(index(stomachs!$G:$G,match($A658,stomachs!$A:$A,0)))</f>
        <v/>
      </c>
      <c r="O658" t="str">
        <f t="array" ref="O658">iferror(index(stomachs!$J:$J,match($A658,stomachs!$A:$A,0)))</f>
        <v/>
      </c>
      <c r="P658" t="str">
        <f t="array" ref="P658">iferror(index(sea_lice!$G:$G,match($A658,sea_lice!$A:$A,0)))</f>
        <v/>
      </c>
      <c r="Q658" t="str">
        <f t="array" ref="Q658">iferror(index(sea_lice!$J:$J,match($A658,sea_lice!$A:$A,0)))</f>
        <v/>
      </c>
      <c r="R658" s="40" t="str">
        <f t="array" ref="R658">iferror(index(dissected_fish!$F:$F,match($A658,dissected_fish!$A:$A,0)))</f>
        <v>BCA106</v>
      </c>
      <c r="S658" s="40" t="str">
        <f t="array" ref="S658">iferror(index(dissected_fish!$K:$K,match($A658,dissected_fish!$A:$A,0)))</f>
        <v>N</v>
      </c>
      <c r="T658" s="61" t="str">
        <f t="array" ref="T658">index(fish_lab_data!O:O,match(A658,fish_lab_data!C:C,0))</f>
        <v>EJ</v>
      </c>
      <c r="U658" s="61">
        <f t="array" ref="U658">if(A658="","",index(fish_lab_data!X:X,match(A658,fish_lab_data!C:C,0)))</f>
        <v>657</v>
      </c>
    </row>
    <row r="659">
      <c r="A659" t="str">
        <f>fish_lab_data!C659</f>
        <v>U16022</v>
      </c>
      <c r="B659" t="str">
        <f t="array" ref="B659">iferror(index('rna-muscle'!$I:$I,match($A659,'rna-muscle'!$A:$A,0)))</f>
        <v>BRN61M-C5</v>
      </c>
      <c r="C659" t="str">
        <f t="array" ref="C659">iferror(index('rna-muscle'!$L:$L,match($A659,'rna-muscle'!$A:$A,0)))</f>
        <v>N</v>
      </c>
      <c r="D659" t="str">
        <f t="array" ref="D659">iferror(index('rna-gill'!$I:$I,match($A659,'rna-gill'!$A:$A,0)))</f>
        <v>BRN61G-C5</v>
      </c>
      <c r="E659" t="str">
        <f t="array" ref="E659">iferror(index('rna-gill'!$L:$L,match($A659,'rna-gill'!$A:$A,0)))</f>
        <v>N</v>
      </c>
      <c r="F659" t="str">
        <f t="array" ref="F659">iferror(index(fatty_acid!$G:$G,match($A659,fatty_acid!$A:$A,0)))</f>
        <v>BFA29-20</v>
      </c>
      <c r="G659" t="str">
        <f t="array" ref="G659">iferror(index(fatty_acid!$J:$J,match($A659,fatty_acid!$A:$A,0)))</f>
        <v>N</v>
      </c>
      <c r="H659" t="str">
        <f t="array" ref="H659">iferror(index(isotopes!$G:$G,match($A659,isotopes!$A:$A,0)))</f>
        <v>BIS30-41</v>
      </c>
      <c r="I659" t="str">
        <f t="array" ref="I659">iferror(index(isotopes!$J:$J,match($A659,isotopes!$A:$A,0)))</f>
        <v>N</v>
      </c>
      <c r="J659" t="str">
        <f t="array" ref="J659">iferror(index(extra_muscle!$G:$G,match($A659,extra_muscle!$A:$A,0)))</f>
        <v>BXM30-6</v>
      </c>
      <c r="K659" t="str">
        <f t="array" ref="K659">iferror(index(extra_muscle!$J:$J,match($A659,extra_muscle!$A:$A,0)))</f>
        <v>N</v>
      </c>
      <c r="L659" s="59" t="str">
        <f t="array" ref="L659">iferror(index(dna!$G:$G,match($A659,dna!$A:$A,0)))</f>
        <v/>
      </c>
      <c r="M659" s="60" t="str">
        <f t="array" ref="M659">iferror(index(dna!$J:$J,match($A659,dna!$A:$A,0)))</f>
        <v/>
      </c>
      <c r="N659" t="str">
        <f t="array" ref="N659">iferror(index(stomachs!$G:$G,match($A659,stomachs!$A:$A,0)))</f>
        <v/>
      </c>
      <c r="O659" t="str">
        <f t="array" ref="O659">iferror(index(stomachs!$J:$J,match($A659,stomachs!$A:$A,0)))</f>
        <v/>
      </c>
      <c r="P659" t="str">
        <f t="array" ref="P659">iferror(index(sea_lice!$G:$G,match($A659,sea_lice!$A:$A,0)))</f>
        <v/>
      </c>
      <c r="Q659" t="str">
        <f t="array" ref="Q659">iferror(index(sea_lice!$J:$J,match($A659,sea_lice!$A:$A,0)))</f>
        <v/>
      </c>
      <c r="R659" s="40" t="str">
        <f t="array" ref="R659">iferror(index(dissected_fish!$F:$F,match($A659,dissected_fish!$A:$A,0)))</f>
        <v>BCA106</v>
      </c>
      <c r="S659" s="40" t="str">
        <f t="array" ref="S659">iferror(index(dissected_fish!$K:$K,match($A659,dissected_fish!$A:$A,0)))</f>
        <v>N</v>
      </c>
      <c r="T659" s="61" t="str">
        <f t="array" ref="T659">index(fish_lab_data!O:O,match(A659,fish_lab_data!C:C,0))</f>
        <v>EJ</v>
      </c>
      <c r="U659" s="61">
        <f t="array" ref="U659">if(A659="","",index(fish_lab_data!X:X,match(A659,fish_lab_data!C:C,0)))</f>
        <v>658</v>
      </c>
    </row>
    <row r="660">
      <c r="A660" t="str">
        <f>fish_lab_data!C660</f>
        <v>U16023</v>
      </c>
      <c r="B660" t="str">
        <f t="array" ref="B660">iferror(index('rna-muscle'!$I:$I,match($A660,'rna-muscle'!$A:$A,0)))</f>
        <v>BRN61M-B5</v>
      </c>
      <c r="C660" t="str">
        <f t="array" ref="C660">iferror(index('rna-muscle'!$L:$L,match($A660,'rna-muscle'!$A:$A,0)))</f>
        <v>N</v>
      </c>
      <c r="D660" t="str">
        <f t="array" ref="D660">iferror(index('rna-gill'!$I:$I,match($A660,'rna-gill'!$A:$A,0)))</f>
        <v>BRN61G-B5</v>
      </c>
      <c r="E660" t="str">
        <f t="array" ref="E660">iferror(index('rna-gill'!$L:$L,match($A660,'rna-gill'!$A:$A,0)))</f>
        <v>N</v>
      </c>
      <c r="F660" t="str">
        <f t="array" ref="F660">iferror(index(fatty_acid!$G:$G,match($A660,fatty_acid!$A:$A,0)))</f>
        <v>BFA29-21</v>
      </c>
      <c r="G660" t="str">
        <f t="array" ref="G660">iferror(index(fatty_acid!$J:$J,match($A660,fatty_acid!$A:$A,0)))</f>
        <v>N</v>
      </c>
      <c r="H660" t="str">
        <f t="array" ref="H660">iferror(index(isotopes!$G:$G,match($A660,isotopes!$A:$A,0)))</f>
        <v>BIS30-42</v>
      </c>
      <c r="I660" t="str">
        <f t="array" ref="I660">iferror(index(isotopes!$J:$J,match($A660,isotopes!$A:$A,0)))</f>
        <v>N</v>
      </c>
      <c r="J660" t="str">
        <f t="array" ref="J660">iferror(index(extra_muscle!$G:$G,match($A660,extra_muscle!$A:$A,0)))</f>
        <v>BXM30-7</v>
      </c>
      <c r="K660" t="str">
        <f t="array" ref="K660">iferror(index(extra_muscle!$J:$J,match($A660,extra_muscle!$A:$A,0)))</f>
        <v>N</v>
      </c>
      <c r="L660" s="59" t="str">
        <f t="array" ref="L660">iferror(index(dna!$G:$G,match($A660,dna!$A:$A,0)))</f>
        <v/>
      </c>
      <c r="M660" s="60" t="str">
        <f t="array" ref="M660">iferror(index(dna!$J:$J,match($A660,dna!$A:$A,0)))</f>
        <v/>
      </c>
      <c r="N660" t="str">
        <f t="array" ref="N660">iferror(index(stomachs!$G:$G,match($A660,stomachs!$A:$A,0)))</f>
        <v/>
      </c>
      <c r="O660" t="str">
        <f t="array" ref="O660">iferror(index(stomachs!$J:$J,match($A660,stomachs!$A:$A,0)))</f>
        <v/>
      </c>
      <c r="P660" t="str">
        <f t="array" ref="P660">iferror(index(sea_lice!$G:$G,match($A660,sea_lice!$A:$A,0)))</f>
        <v/>
      </c>
      <c r="Q660" t="str">
        <f t="array" ref="Q660">iferror(index(sea_lice!$J:$J,match($A660,sea_lice!$A:$A,0)))</f>
        <v/>
      </c>
      <c r="R660" s="40" t="str">
        <f t="array" ref="R660">iferror(index(dissected_fish!$F:$F,match($A660,dissected_fish!$A:$A,0)))</f>
        <v>BCA106</v>
      </c>
      <c r="S660" s="40" t="str">
        <f t="array" ref="S660">iferror(index(dissected_fish!$K:$K,match($A660,dissected_fish!$A:$A,0)))</f>
        <v>N</v>
      </c>
      <c r="T660" s="61" t="str">
        <f t="array" ref="T660">index(fish_lab_data!O:O,match(A660,fish_lab_data!C:C,0))</f>
        <v>EJ</v>
      </c>
      <c r="U660" s="61">
        <f t="array" ref="U660">if(A660="","",index(fish_lab_data!X:X,match(A660,fish_lab_data!C:C,0)))</f>
        <v>659</v>
      </c>
    </row>
    <row r="661">
      <c r="A661" t="str">
        <f>fish_lab_data!C661</f>
        <v>U16024</v>
      </c>
      <c r="B661" t="str">
        <f t="array" ref="B661">iferror(index('rna-muscle'!$I:$I,match($A661,'rna-muscle'!$A:$A,0)))</f>
        <v>BRN61M-A5</v>
      </c>
      <c r="C661" t="str">
        <f t="array" ref="C661">iferror(index('rna-muscle'!$L:$L,match($A661,'rna-muscle'!$A:$A,0)))</f>
        <v>N</v>
      </c>
      <c r="D661" t="str">
        <f t="array" ref="D661">iferror(index('rna-gill'!$I:$I,match($A661,'rna-gill'!$A:$A,0)))</f>
        <v>BRN61G-A5</v>
      </c>
      <c r="E661" t="str">
        <f t="array" ref="E661">iferror(index('rna-gill'!$L:$L,match($A661,'rna-gill'!$A:$A,0)))</f>
        <v>N</v>
      </c>
      <c r="F661" t="str">
        <f t="array" ref="F661">iferror(index(fatty_acid!$G:$G,match($A661,fatty_acid!$A:$A,0)))</f>
        <v>BFA29-22</v>
      </c>
      <c r="G661" t="str">
        <f t="array" ref="G661">iferror(index(fatty_acid!$J:$J,match($A661,fatty_acid!$A:$A,0)))</f>
        <v>N</v>
      </c>
      <c r="H661" t="str">
        <f t="array" ref="H661">iferror(index(isotopes!$G:$G,match($A661,isotopes!$A:$A,0)))</f>
        <v>BIS30-43</v>
      </c>
      <c r="I661" t="str">
        <f t="array" ref="I661">iferror(index(isotopes!$J:$J,match($A661,isotopes!$A:$A,0)))</f>
        <v>N</v>
      </c>
      <c r="J661" t="str">
        <f t="array" ref="J661">iferror(index(extra_muscle!$G:$G,match($A661,extra_muscle!$A:$A,0)))</f>
        <v>BXM30-8</v>
      </c>
      <c r="K661" t="str">
        <f t="array" ref="K661">iferror(index(extra_muscle!$J:$J,match($A661,extra_muscle!$A:$A,0)))</f>
        <v>N</v>
      </c>
      <c r="L661" s="59" t="str">
        <f t="array" ref="L661">iferror(index(dna!$G:$G,match($A661,dna!$A:$A,0)))</f>
        <v/>
      </c>
      <c r="M661" s="60" t="str">
        <f t="array" ref="M661">iferror(index(dna!$J:$J,match($A661,dna!$A:$A,0)))</f>
        <v/>
      </c>
      <c r="N661" t="str">
        <f t="array" ref="N661">iferror(index(stomachs!$G:$G,match($A661,stomachs!$A:$A,0)))</f>
        <v/>
      </c>
      <c r="O661" t="str">
        <f t="array" ref="O661">iferror(index(stomachs!$J:$J,match($A661,stomachs!$A:$A,0)))</f>
        <v/>
      </c>
      <c r="P661" t="str">
        <f t="array" ref="P661">iferror(index(sea_lice!$G:$G,match($A661,sea_lice!$A:$A,0)))</f>
        <v/>
      </c>
      <c r="Q661" t="str">
        <f t="array" ref="Q661">iferror(index(sea_lice!$J:$J,match($A661,sea_lice!$A:$A,0)))</f>
        <v/>
      </c>
      <c r="R661" s="40" t="str">
        <f t="array" ref="R661">iferror(index(dissected_fish!$F:$F,match($A661,dissected_fish!$A:$A,0)))</f>
        <v>BCA106</v>
      </c>
      <c r="S661" s="40" t="str">
        <f t="array" ref="S661">iferror(index(dissected_fish!$K:$K,match($A661,dissected_fish!$A:$A,0)))</f>
        <v>N</v>
      </c>
      <c r="T661" s="61" t="str">
        <f t="array" ref="T661">index(fish_lab_data!O:O,match(A661,fish_lab_data!C:C,0))</f>
        <v>EJ</v>
      </c>
      <c r="U661" s="61">
        <f t="array" ref="U661">if(A661="","",index(fish_lab_data!X:X,match(A661,fish_lab_data!C:C,0)))</f>
        <v>660</v>
      </c>
    </row>
    <row r="662">
      <c r="A662" t="str">
        <f>fish_lab_data!C662</f>
        <v>U16781</v>
      </c>
      <c r="B662" t="str">
        <f t="array" ref="B662">iferror(index('rna-muscle'!$I:$I,match($A662,'rna-muscle'!$A:$A,0)))</f>
        <v>BRN61M-H7</v>
      </c>
      <c r="C662" t="str">
        <f t="array" ref="C662">iferror(index('rna-muscle'!$L:$L,match($A662,'rna-muscle'!$A:$A,0)))</f>
        <v>N</v>
      </c>
      <c r="D662" t="str">
        <f t="array" ref="D662">iferror(index('rna-gill'!$I:$I,match($A662,'rna-gill'!$A:$A,0)))</f>
        <v>BRN61G-H7</v>
      </c>
      <c r="E662" t="str">
        <f t="array" ref="E662">iferror(index('rna-gill'!$L:$L,match($A662,'rna-gill'!$A:$A,0)))</f>
        <v>N</v>
      </c>
      <c r="F662" t="str">
        <f t="array" ref="F662">iferror(index(fatty_acid!$G:$G,match($A662,fatty_acid!$A:$A,0)))</f>
        <v>BFA29-23</v>
      </c>
      <c r="G662" t="str">
        <f t="array" ref="G662">iferror(index(fatty_acid!$J:$J,match($A662,fatty_acid!$A:$A,0)))</f>
        <v>N</v>
      </c>
      <c r="H662" t="str">
        <f t="array" ref="H662">iferror(index(isotopes!$G:$G,match($A662,isotopes!$A:$A,0)))</f>
        <v>BIS30-44</v>
      </c>
      <c r="I662" t="str">
        <f t="array" ref="I662">iferror(index(isotopes!$J:$J,match($A662,isotopes!$A:$A,0)))</f>
        <v>N</v>
      </c>
      <c r="J662" t="str">
        <f t="array" ref="J662">iferror(index(extra_muscle!$G:$G,match($A662,extra_muscle!$A:$A,0)))</f>
        <v>BXM30-9</v>
      </c>
      <c r="K662" t="str">
        <f t="array" ref="K662">iferror(index(extra_muscle!$J:$J,match($A662,extra_muscle!$A:$A,0)))</f>
        <v>N</v>
      </c>
      <c r="L662" s="59" t="str">
        <f t="array" ref="L662">iferror(index(dna!$G:$G,match($A662,dna!$A:$A,0)))</f>
        <v/>
      </c>
      <c r="M662" s="60" t="str">
        <f t="array" ref="M662">iferror(index(dna!$J:$J,match($A662,dna!$A:$A,0)))</f>
        <v/>
      </c>
      <c r="N662" t="str">
        <f t="array" ref="N662">iferror(index(stomachs!$G:$G,match($A662,stomachs!$A:$A,0)))</f>
        <v/>
      </c>
      <c r="O662" t="str">
        <f t="array" ref="O662">iferror(index(stomachs!$J:$J,match($A662,stomachs!$A:$A,0)))</f>
        <v/>
      </c>
      <c r="P662" t="str">
        <f t="array" ref="P662">iferror(index(sea_lice!$G:$G,match($A662,sea_lice!$A:$A,0)))</f>
        <v/>
      </c>
      <c r="Q662" t="str">
        <f t="array" ref="Q662">iferror(index(sea_lice!$J:$J,match($A662,sea_lice!$A:$A,0)))</f>
        <v/>
      </c>
      <c r="R662" s="40" t="str">
        <f t="array" ref="R662">iferror(index(dissected_fish!$F:$F,match($A662,dissected_fish!$A:$A,0)))</f>
        <v>BCA106</v>
      </c>
      <c r="S662" s="40" t="str">
        <f t="array" ref="S662">iferror(index(dissected_fish!$K:$K,match($A662,dissected_fish!$A:$A,0)))</f>
        <v>N</v>
      </c>
      <c r="T662" s="61" t="str">
        <f t="array" ref="T662">index(fish_lab_data!O:O,match(A662,fish_lab_data!C:C,0))</f>
        <v>EJ</v>
      </c>
      <c r="U662" s="61">
        <f t="array" ref="U662">if(A662="","",index(fish_lab_data!X:X,match(A662,fish_lab_data!C:C,0)))</f>
        <v>661</v>
      </c>
    </row>
    <row r="663">
      <c r="A663" t="str">
        <f>fish_lab_data!C663</f>
        <v>U16782</v>
      </c>
      <c r="B663" t="str">
        <f t="array" ref="B663">iferror(index('rna-muscle'!$I:$I,match($A663,'rna-muscle'!$A:$A,0)))</f>
        <v>BRN61M-G7</v>
      </c>
      <c r="C663" t="str">
        <f t="array" ref="C663">iferror(index('rna-muscle'!$L:$L,match($A663,'rna-muscle'!$A:$A,0)))</f>
        <v>N</v>
      </c>
      <c r="D663" t="str">
        <f t="array" ref="D663">iferror(index('rna-gill'!$I:$I,match($A663,'rna-gill'!$A:$A,0)))</f>
        <v>BRN61G-G7</v>
      </c>
      <c r="E663" t="str">
        <f t="array" ref="E663">iferror(index('rna-gill'!$L:$L,match($A663,'rna-gill'!$A:$A,0)))</f>
        <v>N</v>
      </c>
      <c r="F663" t="str">
        <f t="array" ref="F663">iferror(index(fatty_acid!$G:$G,match($A663,fatty_acid!$A:$A,0)))</f>
        <v>BFA29-24</v>
      </c>
      <c r="G663" t="str">
        <f t="array" ref="G663">iferror(index(fatty_acid!$J:$J,match($A663,fatty_acid!$A:$A,0)))</f>
        <v>N</v>
      </c>
      <c r="H663" t="str">
        <f t="array" ref="H663">iferror(index(isotopes!$G:$G,match($A663,isotopes!$A:$A,0)))</f>
        <v>BIS30-45</v>
      </c>
      <c r="I663" t="str">
        <f t="array" ref="I663">iferror(index(isotopes!$J:$J,match($A663,isotopes!$A:$A,0)))</f>
        <v>N</v>
      </c>
      <c r="J663" t="str">
        <f t="array" ref="J663">iferror(index(extra_muscle!$G:$G,match($A663,extra_muscle!$A:$A,0)))</f>
        <v>BXM30-10</v>
      </c>
      <c r="K663" t="str">
        <f t="array" ref="K663">iferror(index(extra_muscle!$J:$J,match($A663,extra_muscle!$A:$A,0)))</f>
        <v>N</v>
      </c>
      <c r="L663" s="59" t="str">
        <f t="array" ref="L663">iferror(index(dna!$G:$G,match($A663,dna!$A:$A,0)))</f>
        <v/>
      </c>
      <c r="M663" s="60" t="str">
        <f t="array" ref="M663">iferror(index(dna!$J:$J,match($A663,dna!$A:$A,0)))</f>
        <v/>
      </c>
      <c r="N663" t="str">
        <f t="array" ref="N663">iferror(index(stomachs!$G:$G,match($A663,stomachs!$A:$A,0)))</f>
        <v/>
      </c>
      <c r="O663" t="str">
        <f t="array" ref="O663">iferror(index(stomachs!$J:$J,match($A663,stomachs!$A:$A,0)))</f>
        <v/>
      </c>
      <c r="P663" t="str">
        <f t="array" ref="P663">iferror(index(sea_lice!$G:$G,match($A663,sea_lice!$A:$A,0)))</f>
        <v/>
      </c>
      <c r="Q663" t="str">
        <f t="array" ref="Q663">iferror(index(sea_lice!$J:$J,match($A663,sea_lice!$A:$A,0)))</f>
        <v/>
      </c>
      <c r="R663" s="40" t="str">
        <f t="array" ref="R663">iferror(index(dissected_fish!$F:$F,match($A663,dissected_fish!$A:$A,0)))</f>
        <v>BCA106</v>
      </c>
      <c r="S663" s="40" t="str">
        <f t="array" ref="S663">iferror(index(dissected_fish!$K:$K,match($A663,dissected_fish!$A:$A,0)))</f>
        <v>N</v>
      </c>
      <c r="T663" s="61" t="str">
        <f t="array" ref="T663">index(fish_lab_data!O:O,match(A663,fish_lab_data!C:C,0))</f>
        <v>EJ</v>
      </c>
      <c r="U663" s="61">
        <f t="array" ref="U663">if(A663="","",index(fish_lab_data!X:X,match(A663,fish_lab_data!C:C,0)))</f>
        <v>662</v>
      </c>
    </row>
    <row r="664">
      <c r="A664" t="str">
        <f>fish_lab_data!C664</f>
        <v>U16783</v>
      </c>
      <c r="B664" t="str">
        <f t="array" ref="B664">iferror(index('rna-muscle'!$I:$I,match($A664,'rna-muscle'!$A:$A,0)))</f>
        <v>BRN61M-F7</v>
      </c>
      <c r="C664" t="str">
        <f t="array" ref="C664">iferror(index('rna-muscle'!$L:$L,match($A664,'rna-muscle'!$A:$A,0)))</f>
        <v>N</v>
      </c>
      <c r="D664" t="str">
        <f t="array" ref="D664">iferror(index('rna-gill'!$I:$I,match($A664,'rna-gill'!$A:$A,0)))</f>
        <v>BRN61G-F7</v>
      </c>
      <c r="E664" t="str">
        <f t="array" ref="E664">iferror(index('rna-gill'!$L:$L,match($A664,'rna-gill'!$A:$A,0)))</f>
        <v>N</v>
      </c>
      <c r="F664" t="str">
        <f t="array" ref="F664">iferror(index(fatty_acid!$G:$G,match($A664,fatty_acid!$A:$A,0)))</f>
        <v>BFA29-25</v>
      </c>
      <c r="G664" t="str">
        <f t="array" ref="G664">iferror(index(fatty_acid!$J:$J,match($A664,fatty_acid!$A:$A,0)))</f>
        <v>N</v>
      </c>
      <c r="H664" t="str">
        <f t="array" ref="H664">iferror(index(isotopes!$G:$G,match($A664,isotopes!$A:$A,0)))</f>
        <v>BIS30-46</v>
      </c>
      <c r="I664" t="str">
        <f t="array" ref="I664">iferror(index(isotopes!$J:$J,match($A664,isotopes!$A:$A,0)))</f>
        <v>N</v>
      </c>
      <c r="J664" t="str">
        <f t="array" ref="J664">iferror(index(extra_muscle!$G:$G,match($A664,extra_muscle!$A:$A,0)))</f>
        <v>BXM30-11</v>
      </c>
      <c r="K664" t="str">
        <f t="array" ref="K664">iferror(index(extra_muscle!$J:$J,match($A664,extra_muscle!$A:$A,0)))</f>
        <v>N</v>
      </c>
      <c r="L664" s="59" t="str">
        <f t="array" ref="L664">iferror(index(dna!$G:$G,match($A664,dna!$A:$A,0)))</f>
        <v/>
      </c>
      <c r="M664" s="60" t="str">
        <f t="array" ref="M664">iferror(index(dna!$J:$J,match($A664,dna!$A:$A,0)))</f>
        <v/>
      </c>
      <c r="N664" t="str">
        <f t="array" ref="N664">iferror(index(stomachs!$G:$G,match($A664,stomachs!$A:$A,0)))</f>
        <v/>
      </c>
      <c r="O664" t="str">
        <f t="array" ref="O664">iferror(index(stomachs!$J:$J,match($A664,stomachs!$A:$A,0)))</f>
        <v/>
      </c>
      <c r="P664" t="str">
        <f t="array" ref="P664">iferror(index(sea_lice!$G:$G,match($A664,sea_lice!$A:$A,0)))</f>
        <v/>
      </c>
      <c r="Q664" t="str">
        <f t="array" ref="Q664">iferror(index(sea_lice!$J:$J,match($A664,sea_lice!$A:$A,0)))</f>
        <v/>
      </c>
      <c r="R664" s="40" t="str">
        <f t="array" ref="R664">iferror(index(dissected_fish!$F:$F,match($A664,dissected_fish!$A:$A,0)))</f>
        <v>BCA106</v>
      </c>
      <c r="S664" s="40" t="str">
        <f t="array" ref="S664">iferror(index(dissected_fish!$K:$K,match($A664,dissected_fish!$A:$A,0)))</f>
        <v>N</v>
      </c>
      <c r="T664" s="61" t="str">
        <f t="array" ref="T664">index(fish_lab_data!O:O,match(A664,fish_lab_data!C:C,0))</f>
        <v>EJ</v>
      </c>
      <c r="U664" s="61">
        <f t="array" ref="U664">if(A664="","",index(fish_lab_data!X:X,match(A664,fish_lab_data!C:C,0)))</f>
        <v>663</v>
      </c>
    </row>
    <row r="665">
      <c r="A665" t="str">
        <f>fish_lab_data!C665</f>
        <v>U17891</v>
      </c>
      <c r="B665" t="str">
        <f t="array" ref="B665">iferror(index('rna-muscle'!$I:$I,match($A665,'rna-muscle'!$A:$A,0)))</f>
        <v>BRN61M-E7</v>
      </c>
      <c r="C665" t="str">
        <f t="array" ref="C665">iferror(index('rna-muscle'!$L:$L,match($A665,'rna-muscle'!$A:$A,0)))</f>
        <v>N</v>
      </c>
      <c r="D665" t="str">
        <f t="array" ref="D665">iferror(index('rna-gill'!$I:$I,match($A665,'rna-gill'!$A:$A,0)))</f>
        <v>BRN61G-E7</v>
      </c>
      <c r="E665" t="str">
        <f t="array" ref="E665">iferror(index('rna-gill'!$L:$L,match($A665,'rna-gill'!$A:$A,0)))</f>
        <v>N</v>
      </c>
      <c r="F665" t="str">
        <f t="array" ref="F665">iferror(index(fatty_acid!$G:$G,match($A665,fatty_acid!$A:$A,0)))</f>
        <v>BFA29-26</v>
      </c>
      <c r="G665" t="str">
        <f t="array" ref="G665">iferror(index(fatty_acid!$J:$J,match($A665,fatty_acid!$A:$A,0)))</f>
        <v>N</v>
      </c>
      <c r="H665" t="str">
        <f t="array" ref="H665">iferror(index(isotopes!$G:$G,match($A665,isotopes!$A:$A,0)))</f>
        <v>BIS30-47</v>
      </c>
      <c r="I665" t="str">
        <f t="array" ref="I665">iferror(index(isotopes!$J:$J,match($A665,isotopes!$A:$A,0)))</f>
        <v>N</v>
      </c>
      <c r="J665" t="str">
        <f t="array" ref="J665">iferror(index(extra_muscle!$G:$G,match($A665,extra_muscle!$A:$A,0)))</f>
        <v>BXM30-12</v>
      </c>
      <c r="K665" t="str">
        <f t="array" ref="K665">iferror(index(extra_muscle!$J:$J,match($A665,extra_muscle!$A:$A,0)))</f>
        <v>N</v>
      </c>
      <c r="L665" s="59" t="str">
        <f t="array" ref="L665">iferror(index(dna!$G:$G,match($A665,dna!$A:$A,0)))</f>
        <v/>
      </c>
      <c r="M665" s="60" t="str">
        <f t="array" ref="M665">iferror(index(dna!$J:$J,match($A665,dna!$A:$A,0)))</f>
        <v/>
      </c>
      <c r="N665" t="str">
        <f t="array" ref="N665">iferror(index(stomachs!$G:$G,match($A665,stomachs!$A:$A,0)))</f>
        <v/>
      </c>
      <c r="O665" t="str">
        <f t="array" ref="O665">iferror(index(stomachs!$J:$J,match($A665,stomachs!$A:$A,0)))</f>
        <v/>
      </c>
      <c r="P665" t="str">
        <f t="array" ref="P665">iferror(index(sea_lice!$G:$G,match($A665,sea_lice!$A:$A,0)))</f>
        <v/>
      </c>
      <c r="Q665" t="str">
        <f t="array" ref="Q665">iferror(index(sea_lice!$J:$J,match($A665,sea_lice!$A:$A,0)))</f>
        <v/>
      </c>
      <c r="R665" s="40" t="str">
        <f t="array" ref="R665">iferror(index(dissected_fish!$F:$F,match($A665,dissected_fish!$A:$A,0)))</f>
        <v>BCA106</v>
      </c>
      <c r="S665" s="40" t="str">
        <f t="array" ref="S665">iferror(index(dissected_fish!$K:$K,match($A665,dissected_fish!$A:$A,0)))</f>
        <v>N</v>
      </c>
      <c r="T665" s="61" t="str">
        <f t="array" ref="T665">index(fish_lab_data!O:O,match(A665,fish_lab_data!C:C,0))</f>
        <v>EJ</v>
      </c>
      <c r="U665" s="61">
        <f t="array" ref="U665">if(A665="","",index(fish_lab_data!X:X,match(A665,fish_lab_data!C:C,0)))</f>
        <v>664</v>
      </c>
    </row>
    <row r="666">
      <c r="A666" t="str">
        <f>fish_lab_data!C666</f>
        <v>U17291</v>
      </c>
      <c r="B666" t="str">
        <f t="array" ref="B666">iferror(index('rna-muscle'!$I:$I,match($A666,'rna-muscle'!$A:$A,0)))</f>
        <v>BRN61M-D7</v>
      </c>
      <c r="C666" t="str">
        <f t="array" ref="C666">iferror(index('rna-muscle'!$L:$L,match($A666,'rna-muscle'!$A:$A,0)))</f>
        <v>N</v>
      </c>
      <c r="D666" t="str">
        <f t="array" ref="D666">iferror(index('rna-gill'!$I:$I,match($A666,'rna-gill'!$A:$A,0)))</f>
        <v>BRN61G-D7</v>
      </c>
      <c r="E666" t="str">
        <f t="array" ref="E666">iferror(index('rna-gill'!$L:$L,match($A666,'rna-gill'!$A:$A,0)))</f>
        <v>N</v>
      </c>
      <c r="F666" t="str">
        <f t="array" ref="F666">iferror(index(fatty_acid!$G:$G,match($A666,fatty_acid!$A:$A,0)))</f>
        <v>BFA29-27</v>
      </c>
      <c r="G666" t="str">
        <f t="array" ref="G666">iferror(index(fatty_acid!$J:$J,match($A666,fatty_acid!$A:$A,0)))</f>
        <v>N</v>
      </c>
      <c r="H666" t="str">
        <f t="array" ref="H666">iferror(index(isotopes!$G:$G,match($A666,isotopes!$A:$A,0)))</f>
        <v>BIS30-48</v>
      </c>
      <c r="I666" t="str">
        <f t="array" ref="I666">iferror(index(isotopes!$J:$J,match($A666,isotopes!$A:$A,0)))</f>
        <v>N</v>
      </c>
      <c r="J666" t="str">
        <f t="array" ref="J666">iferror(index(extra_muscle!$G:$G,match($A666,extra_muscle!$A:$A,0)))</f>
        <v>BXM30-13</v>
      </c>
      <c r="K666" t="str">
        <f t="array" ref="K666">iferror(index(extra_muscle!$J:$J,match($A666,extra_muscle!$A:$A,0)))</f>
        <v>N</v>
      </c>
      <c r="L666" s="59" t="str">
        <f t="array" ref="L666">iferror(index(dna!$G:$G,match($A666,dna!$A:$A,0)))</f>
        <v/>
      </c>
      <c r="M666" s="60" t="str">
        <f t="array" ref="M666">iferror(index(dna!$J:$J,match($A666,dna!$A:$A,0)))</f>
        <v/>
      </c>
      <c r="N666" t="str">
        <f t="array" ref="N666">iferror(index(stomachs!$G:$G,match($A666,stomachs!$A:$A,0)))</f>
        <v/>
      </c>
      <c r="O666" t="str">
        <f t="array" ref="O666">iferror(index(stomachs!$J:$J,match($A666,stomachs!$A:$A,0)))</f>
        <v/>
      </c>
      <c r="P666" t="str">
        <f t="array" ref="P666">iferror(index(sea_lice!$G:$G,match($A666,sea_lice!$A:$A,0)))</f>
        <v/>
      </c>
      <c r="Q666" t="str">
        <f t="array" ref="Q666">iferror(index(sea_lice!$J:$J,match($A666,sea_lice!$A:$A,0)))</f>
        <v/>
      </c>
      <c r="R666" s="40" t="str">
        <f t="array" ref="R666">iferror(index(dissected_fish!$F:$F,match($A666,dissected_fish!$A:$A,0)))</f>
        <v>BCA106</v>
      </c>
      <c r="S666" s="40" t="str">
        <f t="array" ref="S666">iferror(index(dissected_fish!$K:$K,match($A666,dissected_fish!$A:$A,0)))</f>
        <v>N</v>
      </c>
      <c r="T666" s="61" t="str">
        <f t="array" ref="T666">index(fish_lab_data!O:O,match(A666,fish_lab_data!C:C,0))</f>
        <v>EJ</v>
      </c>
      <c r="U666" s="61">
        <f t="array" ref="U666">if(A666="","",index(fish_lab_data!X:X,match(A666,fish_lab_data!C:C,0)))</f>
        <v>665</v>
      </c>
    </row>
    <row r="667">
      <c r="A667" t="str">
        <f>fish_lab_data!C667</f>
        <v>U16541</v>
      </c>
      <c r="B667" t="str">
        <f t="array" ref="B667">iferror(index('rna-muscle'!$I:$I,match($A667,'rna-muscle'!$A:$A,0)))</f>
        <v>BRN61M-C7</v>
      </c>
      <c r="C667" t="str">
        <f t="array" ref="C667">iferror(index('rna-muscle'!$L:$L,match($A667,'rna-muscle'!$A:$A,0)))</f>
        <v>N</v>
      </c>
      <c r="D667" t="str">
        <f t="array" ref="D667">iferror(index('rna-gill'!$I:$I,match($A667,'rna-gill'!$A:$A,0)))</f>
        <v>BRN61G-C7</v>
      </c>
      <c r="E667" t="str">
        <f t="array" ref="E667">iferror(index('rna-gill'!$L:$L,match($A667,'rna-gill'!$A:$A,0)))</f>
        <v>N</v>
      </c>
      <c r="F667" t="str">
        <f t="array" ref="F667">iferror(index(fatty_acid!$G:$G,match($A667,fatty_acid!$A:$A,0)))</f>
        <v>BFA29-28</v>
      </c>
      <c r="G667" t="str">
        <f t="array" ref="G667">iferror(index(fatty_acid!$J:$J,match($A667,fatty_acid!$A:$A,0)))</f>
        <v>N</v>
      </c>
      <c r="H667" t="str">
        <f t="array" ref="H667">iferror(index(isotopes!$G:$G,match($A667,isotopes!$A:$A,0)))</f>
        <v>BIS30-49</v>
      </c>
      <c r="I667" t="str">
        <f t="array" ref="I667">iferror(index(isotopes!$J:$J,match($A667,isotopes!$A:$A,0)))</f>
        <v>N</v>
      </c>
      <c r="J667" t="str">
        <f t="array" ref="J667">iferror(index(extra_muscle!$G:$G,match($A667,extra_muscle!$A:$A,0)))</f>
        <v>BXM30-14</v>
      </c>
      <c r="K667" t="str">
        <f t="array" ref="K667">iferror(index(extra_muscle!$J:$J,match($A667,extra_muscle!$A:$A,0)))</f>
        <v>N</v>
      </c>
      <c r="L667" s="59" t="str">
        <f t="array" ref="L667">iferror(index(dna!$G:$G,match($A667,dna!$A:$A,0)))</f>
        <v/>
      </c>
      <c r="M667" s="60" t="str">
        <f t="array" ref="M667">iferror(index(dna!$J:$J,match($A667,dna!$A:$A,0)))</f>
        <v/>
      </c>
      <c r="N667" t="str">
        <f t="array" ref="N667">iferror(index(stomachs!$G:$G,match($A667,stomachs!$A:$A,0)))</f>
        <v/>
      </c>
      <c r="O667" t="str">
        <f t="array" ref="O667">iferror(index(stomachs!$J:$J,match($A667,stomachs!$A:$A,0)))</f>
        <v/>
      </c>
      <c r="P667" t="str">
        <f t="array" ref="P667">iferror(index(sea_lice!$G:$G,match($A667,sea_lice!$A:$A,0)))</f>
        <v/>
      </c>
      <c r="Q667" t="str">
        <f t="array" ref="Q667">iferror(index(sea_lice!$J:$J,match($A667,sea_lice!$A:$A,0)))</f>
        <v/>
      </c>
      <c r="R667" s="40" t="str">
        <f t="array" ref="R667">iferror(index(dissected_fish!$F:$F,match($A667,dissected_fish!$A:$A,0)))</f>
        <v>BCA106</v>
      </c>
      <c r="S667" s="40" t="str">
        <f t="array" ref="S667">iferror(index(dissected_fish!$K:$K,match($A667,dissected_fish!$A:$A,0)))</f>
        <v>N</v>
      </c>
      <c r="T667" s="61" t="str">
        <f t="array" ref="T667">index(fish_lab_data!O:O,match(A667,fish_lab_data!C:C,0))</f>
        <v>EJ</v>
      </c>
      <c r="U667" s="61">
        <f t="array" ref="U667">if(A667="","",index(fish_lab_data!X:X,match(A667,fish_lab_data!C:C,0)))</f>
        <v>666</v>
      </c>
    </row>
    <row r="668">
      <c r="A668" t="str">
        <f>fish_lab_data!C668</f>
        <v>U16542</v>
      </c>
      <c r="B668" t="str">
        <f t="array" ref="B668">iferror(index('rna-muscle'!$I:$I,match($A668,'rna-muscle'!$A:$A,0)))</f>
        <v>BRN61M-B7</v>
      </c>
      <c r="C668" t="str">
        <f t="array" ref="C668">iferror(index('rna-muscle'!$L:$L,match($A668,'rna-muscle'!$A:$A,0)))</f>
        <v>N</v>
      </c>
      <c r="D668" t="str">
        <f t="array" ref="D668">iferror(index('rna-gill'!$I:$I,match($A668,'rna-gill'!$A:$A,0)))</f>
        <v>BRN61G-B7</v>
      </c>
      <c r="E668" t="str">
        <f t="array" ref="E668">iferror(index('rna-gill'!$L:$L,match($A668,'rna-gill'!$A:$A,0)))</f>
        <v>N</v>
      </c>
      <c r="F668" t="str">
        <f t="array" ref="F668">iferror(index(fatty_acid!$G:$G,match($A668,fatty_acid!$A:$A,0)))</f>
        <v>BFA29-29</v>
      </c>
      <c r="G668" t="str">
        <f t="array" ref="G668">iferror(index(fatty_acid!$J:$J,match($A668,fatty_acid!$A:$A,0)))</f>
        <v>N</v>
      </c>
      <c r="H668" t="str">
        <f t="array" ref="H668">iferror(index(isotopes!$G:$G,match($A668,isotopes!$A:$A,0)))</f>
        <v>BIS30-50</v>
      </c>
      <c r="I668" t="str">
        <f t="array" ref="I668">iferror(index(isotopes!$J:$J,match($A668,isotopes!$A:$A,0)))</f>
        <v>N</v>
      </c>
      <c r="J668" t="str">
        <f t="array" ref="J668">iferror(index(extra_muscle!$G:$G,match($A668,extra_muscle!$A:$A,0)))</f>
        <v>BXM30-15</v>
      </c>
      <c r="K668" t="str">
        <f t="array" ref="K668">iferror(index(extra_muscle!$J:$J,match($A668,extra_muscle!$A:$A,0)))</f>
        <v>N</v>
      </c>
      <c r="L668" s="59" t="str">
        <f t="array" ref="L668">iferror(index(dna!$G:$G,match($A668,dna!$A:$A,0)))</f>
        <v/>
      </c>
      <c r="M668" s="60" t="str">
        <f t="array" ref="M668">iferror(index(dna!$J:$J,match($A668,dna!$A:$A,0)))</f>
        <v/>
      </c>
      <c r="N668" t="str">
        <f t="array" ref="N668">iferror(index(stomachs!$G:$G,match($A668,stomachs!$A:$A,0)))</f>
        <v/>
      </c>
      <c r="O668" t="str">
        <f t="array" ref="O668">iferror(index(stomachs!$J:$J,match($A668,stomachs!$A:$A,0)))</f>
        <v/>
      </c>
      <c r="P668" t="str">
        <f t="array" ref="P668">iferror(index(sea_lice!$G:$G,match($A668,sea_lice!$A:$A,0)))</f>
        <v/>
      </c>
      <c r="Q668" t="str">
        <f t="array" ref="Q668">iferror(index(sea_lice!$J:$J,match($A668,sea_lice!$A:$A,0)))</f>
        <v/>
      </c>
      <c r="R668" s="40" t="str">
        <f t="array" ref="R668">iferror(index(dissected_fish!$F:$F,match($A668,dissected_fish!$A:$A,0)))</f>
        <v>BCA106</v>
      </c>
      <c r="S668" s="40" t="str">
        <f t="array" ref="S668">iferror(index(dissected_fish!$K:$K,match($A668,dissected_fish!$A:$A,0)))</f>
        <v>N</v>
      </c>
      <c r="T668" s="61" t="str">
        <f t="array" ref="T668">index(fish_lab_data!O:O,match(A668,fish_lab_data!C:C,0))</f>
        <v>EJ</v>
      </c>
      <c r="U668" s="61">
        <f t="array" ref="U668">if(A668="","",index(fish_lab_data!X:X,match(A668,fish_lab_data!C:C,0)))</f>
        <v>667</v>
      </c>
    </row>
    <row r="669">
      <c r="A669" t="str">
        <f>fish_lab_data!C669</f>
        <v>U16543</v>
      </c>
      <c r="B669" t="str">
        <f t="array" ref="B669">iferror(index('rna-muscle'!$I:$I,match($A669,'rna-muscle'!$A:$A,0)))</f>
        <v>BRN61M-A7</v>
      </c>
      <c r="C669" t="str">
        <f t="array" ref="C669">iferror(index('rna-muscle'!$L:$L,match($A669,'rna-muscle'!$A:$A,0)))</f>
        <v>N</v>
      </c>
      <c r="D669" t="str">
        <f t="array" ref="D669">iferror(index('rna-gill'!$I:$I,match($A669,'rna-gill'!$A:$A,0)))</f>
        <v>BRN61G-A7</v>
      </c>
      <c r="E669" t="str">
        <f t="array" ref="E669">iferror(index('rna-gill'!$L:$L,match($A669,'rna-gill'!$A:$A,0)))</f>
        <v>N</v>
      </c>
      <c r="F669" t="str">
        <f t="array" ref="F669">iferror(index(fatty_acid!$G:$G,match($A669,fatty_acid!$A:$A,0)))</f>
        <v>BFA29-30</v>
      </c>
      <c r="G669" t="str">
        <f t="array" ref="G669">iferror(index(fatty_acid!$J:$J,match($A669,fatty_acid!$A:$A,0)))</f>
        <v>N</v>
      </c>
      <c r="H669" t="str">
        <f t="array" ref="H669">iferror(index(isotopes!$G:$G,match($A669,isotopes!$A:$A,0)))</f>
        <v>BIS30-51</v>
      </c>
      <c r="I669" t="str">
        <f t="array" ref="I669">iferror(index(isotopes!$J:$J,match($A669,isotopes!$A:$A,0)))</f>
        <v>N</v>
      </c>
      <c r="J669" t="str">
        <f t="array" ref="J669">iferror(index(extra_muscle!$G:$G,match($A669,extra_muscle!$A:$A,0)))</f>
        <v>BXM30-16</v>
      </c>
      <c r="K669" t="str">
        <f t="array" ref="K669">iferror(index(extra_muscle!$J:$J,match($A669,extra_muscle!$A:$A,0)))</f>
        <v>N</v>
      </c>
      <c r="L669" s="59" t="str">
        <f t="array" ref="L669">iferror(index(dna!$G:$G,match($A669,dna!$A:$A,0)))</f>
        <v/>
      </c>
      <c r="M669" s="60" t="str">
        <f t="array" ref="M669">iferror(index(dna!$J:$J,match($A669,dna!$A:$A,0)))</f>
        <v/>
      </c>
      <c r="N669" t="str">
        <f t="array" ref="N669">iferror(index(stomachs!$G:$G,match($A669,stomachs!$A:$A,0)))</f>
        <v/>
      </c>
      <c r="O669" t="str">
        <f t="array" ref="O669">iferror(index(stomachs!$J:$J,match($A669,stomachs!$A:$A,0)))</f>
        <v/>
      </c>
      <c r="P669" t="str">
        <f t="array" ref="P669">iferror(index(sea_lice!$G:$G,match($A669,sea_lice!$A:$A,0)))</f>
        <v/>
      </c>
      <c r="Q669" t="str">
        <f t="array" ref="Q669">iferror(index(sea_lice!$J:$J,match($A669,sea_lice!$A:$A,0)))</f>
        <v/>
      </c>
      <c r="R669" s="40" t="str">
        <f t="array" ref="R669">iferror(index(dissected_fish!$F:$F,match($A669,dissected_fish!$A:$A,0)))</f>
        <v>BCA106</v>
      </c>
      <c r="S669" s="40" t="str">
        <f t="array" ref="S669">iferror(index(dissected_fish!$K:$K,match($A669,dissected_fish!$A:$A,0)))</f>
        <v>N</v>
      </c>
      <c r="T669" s="61" t="str">
        <f t="array" ref="T669">index(fish_lab_data!O:O,match(A669,fish_lab_data!C:C,0))</f>
        <v>EJ</v>
      </c>
      <c r="U669" s="61">
        <f t="array" ref="U669">if(A669="","",index(fish_lab_data!X:X,match(A669,fish_lab_data!C:C,0)))</f>
        <v>668</v>
      </c>
    </row>
    <row r="670">
      <c r="A670" t="str">
        <f>fish_lab_data!C670</f>
        <v>U17277</v>
      </c>
      <c r="B670" t="str">
        <f t="array" ref="B670">iferror(index('rna-muscle'!$I:$I,match($A670,'rna-muscle'!$A:$A,0)))</f>
        <v>BRN61M-B4</v>
      </c>
      <c r="C670" t="str">
        <f t="array" ref="C670">iferror(index('rna-muscle'!$L:$L,match($A670,'rna-muscle'!$A:$A,0)))</f>
        <v>N</v>
      </c>
      <c r="D670" t="str">
        <f t="array" ref="D670">iferror(index('rna-gill'!$I:$I,match($A670,'rna-gill'!$A:$A,0)))</f>
        <v>BRN61G-B4</v>
      </c>
      <c r="E670" t="str">
        <f t="array" ref="E670">iferror(index('rna-gill'!$L:$L,match($A670,'rna-gill'!$A:$A,0)))</f>
        <v>N</v>
      </c>
      <c r="F670" t="str">
        <f t="array" ref="F670">iferror(index(fatty_acid!$G:$G,match($A670,fatty_acid!$A:$A,0)))</f>
        <v>BFA28-27</v>
      </c>
      <c r="G670" t="str">
        <f t="array" ref="G670">iferror(index(fatty_acid!$J:$J,match($A670,fatty_acid!$A:$A,0)))</f>
        <v>N</v>
      </c>
      <c r="H670" t="str">
        <f t="array" ref="H670">iferror(index(isotopes!$G:$G,match($A670,isotopes!$A:$A,0)))</f>
        <v>BIS31-27</v>
      </c>
      <c r="I670" t="str">
        <f t="array" ref="I670">iferror(index(isotopes!$J:$J,match($A670,isotopes!$A:$A,0)))</f>
        <v>N</v>
      </c>
      <c r="J670" t="str">
        <f t="array" ref="J670">iferror(index(extra_muscle!$G:$G,match($A670,extra_muscle!$A:$A,0)))</f>
        <v>BXM29-27</v>
      </c>
      <c r="K670" t="str">
        <f t="array" ref="K670">iferror(index(extra_muscle!$J:$J,match($A670,extra_muscle!$A:$A,0)))</f>
        <v>N</v>
      </c>
      <c r="L670" s="59" t="str">
        <f t="array" ref="L670">iferror(index(dna!$G:$G,match($A670,dna!$A:$A,0)))</f>
        <v/>
      </c>
      <c r="M670" s="60" t="str">
        <f t="array" ref="M670">iferror(index(dna!$J:$J,match($A670,dna!$A:$A,0)))</f>
        <v/>
      </c>
      <c r="N670" t="str">
        <f t="array" ref="N670">iferror(index(stomachs!$G:$G,match($A670,stomachs!$A:$A,0)))</f>
        <v/>
      </c>
      <c r="O670" t="str">
        <f t="array" ref="O670">iferror(index(stomachs!$J:$J,match($A670,stomachs!$A:$A,0)))</f>
        <v/>
      </c>
      <c r="P670" t="str">
        <f t="array" ref="P670">iferror(index(sea_lice!$G:$G,match($A670,sea_lice!$A:$A,0)))</f>
        <v>BSL6-54</v>
      </c>
      <c r="Q670" t="str">
        <f t="array" ref="Q670">iferror(index(sea_lice!$J:$J,match($A670,sea_lice!$A:$A,0)))</f>
        <v>N</v>
      </c>
      <c r="R670" s="40" t="str">
        <f t="array" ref="R670">iferror(index(dissected_fish!$F:$F,match($A670,dissected_fish!$A:$A,0)))</f>
        <v>BCA106</v>
      </c>
      <c r="S670" s="40" t="str">
        <f t="array" ref="S670">iferror(index(dissected_fish!$K:$K,match($A670,dissected_fish!$A:$A,0)))</f>
        <v>N</v>
      </c>
      <c r="T670" s="61" t="str">
        <f t="array" ref="T670">index(fish_lab_data!O:O,match(A670,fish_lab_data!C:C,0))</f>
        <v>KB</v>
      </c>
      <c r="U670" s="61">
        <f t="array" ref="U670">if(A670="","",index(fish_lab_data!X:X,match(A670,fish_lab_data!C:C,0)))</f>
        <v>669</v>
      </c>
    </row>
    <row r="671">
      <c r="A671" t="str">
        <f>fish_lab_data!C671</f>
        <v>U17271</v>
      </c>
      <c r="B671" t="str">
        <f t="array" ref="B671">iferror(index('rna-muscle'!$I:$I,match($A671,'rna-muscle'!$A:$A,0)))</f>
        <v>BRN61M-A4</v>
      </c>
      <c r="C671" t="str">
        <f t="array" ref="C671">iferror(index('rna-muscle'!$L:$L,match($A671,'rna-muscle'!$A:$A,0)))</f>
        <v>N</v>
      </c>
      <c r="D671" t="str">
        <f t="array" ref="D671">iferror(index('rna-gill'!$I:$I,match($A671,'rna-gill'!$A:$A,0)))</f>
        <v>BRN61G-A4</v>
      </c>
      <c r="E671" t="str">
        <f t="array" ref="E671">iferror(index('rna-gill'!$L:$L,match($A671,'rna-gill'!$A:$A,0)))</f>
        <v>N</v>
      </c>
      <c r="F671" t="str">
        <f t="array" ref="F671">iferror(index(fatty_acid!$G:$G,match($A671,fatty_acid!$A:$A,0)))</f>
        <v>BFA28-28</v>
      </c>
      <c r="G671" t="str">
        <f t="array" ref="G671">iferror(index(fatty_acid!$J:$J,match($A671,fatty_acid!$A:$A,0)))</f>
        <v>N</v>
      </c>
      <c r="H671" t="str">
        <f t="array" ref="H671">iferror(index(isotopes!$G:$G,match($A671,isotopes!$A:$A,0)))</f>
        <v>BIS31-28</v>
      </c>
      <c r="I671" t="str">
        <f t="array" ref="I671">iferror(index(isotopes!$J:$J,match($A671,isotopes!$A:$A,0)))</f>
        <v>N</v>
      </c>
      <c r="J671" t="str">
        <f t="array" ref="J671">iferror(index(extra_muscle!$G:$G,match($A671,extra_muscle!$A:$A,0)))</f>
        <v>BXM29-28</v>
      </c>
      <c r="K671" t="str">
        <f t="array" ref="K671">iferror(index(extra_muscle!$J:$J,match($A671,extra_muscle!$A:$A,0)))</f>
        <v>N</v>
      </c>
      <c r="L671" s="59" t="str">
        <f t="array" ref="L671">iferror(index(dna!$G:$G,match($A671,dna!$A:$A,0)))</f>
        <v/>
      </c>
      <c r="M671" s="60" t="str">
        <f t="array" ref="M671">iferror(index(dna!$J:$J,match($A671,dna!$A:$A,0)))</f>
        <v/>
      </c>
      <c r="N671" t="str">
        <f t="array" ref="N671">iferror(index(stomachs!$G:$G,match($A671,stomachs!$A:$A,0)))</f>
        <v/>
      </c>
      <c r="O671" t="str">
        <f t="array" ref="O671">iferror(index(stomachs!$J:$J,match($A671,stomachs!$A:$A,0)))</f>
        <v/>
      </c>
      <c r="P671" t="str">
        <f t="array" ref="P671">iferror(index(sea_lice!$G:$G,match($A671,sea_lice!$A:$A,0)))</f>
        <v/>
      </c>
      <c r="Q671" t="str">
        <f t="array" ref="Q671">iferror(index(sea_lice!$J:$J,match($A671,sea_lice!$A:$A,0)))</f>
        <v/>
      </c>
      <c r="R671" s="40" t="str">
        <f t="array" ref="R671">iferror(index(dissected_fish!$F:$F,match($A671,dissected_fish!$A:$A,0)))</f>
        <v>BCA106</v>
      </c>
      <c r="S671" s="40" t="str">
        <f t="array" ref="S671">iferror(index(dissected_fish!$K:$K,match($A671,dissected_fish!$A:$A,0)))</f>
        <v>N</v>
      </c>
      <c r="T671" s="61" t="str">
        <f t="array" ref="T671">index(fish_lab_data!O:O,match(A671,fish_lab_data!C:C,0))</f>
        <v>KB</v>
      </c>
      <c r="U671" s="61">
        <f t="array" ref="U671">if(A671="","",index(fish_lab_data!X:X,match(A671,fish_lab_data!C:C,0)))</f>
        <v>670</v>
      </c>
    </row>
    <row r="672">
      <c r="A672" t="str">
        <f>fish_lab_data!C672</f>
        <v>U17276</v>
      </c>
      <c r="B672" t="str">
        <f t="array" ref="B672">iferror(index('rna-muscle'!$I:$I,match($A672,'rna-muscle'!$A:$A,0)))</f>
        <v>BRN61M-G6</v>
      </c>
      <c r="C672" t="str">
        <f t="array" ref="C672">iferror(index('rna-muscle'!$L:$L,match($A672,'rna-muscle'!$A:$A,0)))</f>
        <v>N</v>
      </c>
      <c r="D672" t="str">
        <f t="array" ref="D672">iferror(index('rna-gill'!$I:$I,match($A672,'rna-gill'!$A:$A,0)))</f>
        <v>BRN61G-G6</v>
      </c>
      <c r="E672" t="str">
        <f t="array" ref="E672">iferror(index('rna-gill'!$L:$L,match($A672,'rna-gill'!$A:$A,0)))</f>
        <v>N</v>
      </c>
      <c r="F672" t="str">
        <f t="array" ref="F672">iferror(index(fatty_acid!$G:$G,match($A672,fatty_acid!$A:$A,0)))</f>
        <v>BFA28-29</v>
      </c>
      <c r="G672" t="str">
        <f t="array" ref="G672">iferror(index(fatty_acid!$J:$J,match($A672,fatty_acid!$A:$A,0)))</f>
        <v>N</v>
      </c>
      <c r="H672" t="str">
        <f t="array" ref="H672">iferror(index(isotopes!$G:$G,match($A672,isotopes!$A:$A,0)))</f>
        <v>BIS31-29</v>
      </c>
      <c r="I672" t="str">
        <f t="array" ref="I672">iferror(index(isotopes!$J:$J,match($A672,isotopes!$A:$A,0)))</f>
        <v>N</v>
      </c>
      <c r="J672" t="str">
        <f t="array" ref="J672">iferror(index(extra_muscle!$G:$G,match($A672,extra_muscle!$A:$A,0)))</f>
        <v>BXM29-29</v>
      </c>
      <c r="K672" t="str">
        <f t="array" ref="K672">iferror(index(extra_muscle!$J:$J,match($A672,extra_muscle!$A:$A,0)))</f>
        <v>N</v>
      </c>
      <c r="L672" s="59" t="str">
        <f t="array" ref="L672">iferror(index(dna!$G:$G,match($A672,dna!$A:$A,0)))</f>
        <v/>
      </c>
      <c r="M672" s="60" t="str">
        <f t="array" ref="M672">iferror(index(dna!$J:$J,match($A672,dna!$A:$A,0)))</f>
        <v/>
      </c>
      <c r="N672" t="str">
        <f t="array" ref="N672">iferror(index(stomachs!$G:$G,match($A672,stomachs!$A:$A,0)))</f>
        <v/>
      </c>
      <c r="O672" t="str">
        <f t="array" ref="O672">iferror(index(stomachs!$J:$J,match($A672,stomachs!$A:$A,0)))</f>
        <v/>
      </c>
      <c r="P672" t="str">
        <f t="array" ref="P672">iferror(index(sea_lice!$G:$G,match($A672,sea_lice!$A:$A,0)))</f>
        <v/>
      </c>
      <c r="Q672" t="str">
        <f t="array" ref="Q672">iferror(index(sea_lice!$J:$J,match($A672,sea_lice!$A:$A,0)))</f>
        <v/>
      </c>
      <c r="R672" s="40" t="str">
        <f t="array" ref="R672">iferror(index(dissected_fish!$F:$F,match($A672,dissected_fish!$A:$A,0)))</f>
        <v>BCA106</v>
      </c>
      <c r="S672" s="40" t="str">
        <f t="array" ref="S672">iferror(index(dissected_fish!$K:$K,match($A672,dissected_fish!$A:$A,0)))</f>
        <v>N</v>
      </c>
      <c r="T672" s="61" t="str">
        <f t="array" ref="T672">index(fish_lab_data!O:O,match(A672,fish_lab_data!C:C,0))</f>
        <v>KB</v>
      </c>
      <c r="U672" s="61">
        <f t="array" ref="U672">if(A672="","",index(fish_lab_data!X:X,match(A672,fish_lab_data!C:C,0)))</f>
        <v>671</v>
      </c>
    </row>
    <row r="673">
      <c r="A673" t="str">
        <f>fish_lab_data!C673</f>
        <v>U17280</v>
      </c>
      <c r="B673" t="str">
        <f t="array" ref="B673">iferror(index('rna-muscle'!$I:$I,match($A673,'rna-muscle'!$A:$A,0)))</f>
        <v>BRN61M-F6</v>
      </c>
      <c r="C673" t="str">
        <f t="array" ref="C673">iferror(index('rna-muscle'!$L:$L,match($A673,'rna-muscle'!$A:$A,0)))</f>
        <v>N</v>
      </c>
      <c r="D673" t="str">
        <f t="array" ref="D673">iferror(index('rna-gill'!$I:$I,match($A673,'rna-gill'!$A:$A,0)))</f>
        <v>BRN61G-F6</v>
      </c>
      <c r="E673" t="str">
        <f t="array" ref="E673">iferror(index('rna-gill'!$L:$L,match($A673,'rna-gill'!$A:$A,0)))</f>
        <v>N</v>
      </c>
      <c r="F673" t="str">
        <f t="array" ref="F673">iferror(index(fatty_acid!$G:$G,match($A673,fatty_acid!$A:$A,0)))</f>
        <v>BFA28-30</v>
      </c>
      <c r="G673" t="str">
        <f t="array" ref="G673">iferror(index(fatty_acid!$J:$J,match($A673,fatty_acid!$A:$A,0)))</f>
        <v>N</v>
      </c>
      <c r="H673" t="str">
        <f t="array" ref="H673">iferror(index(isotopes!$G:$G,match($A673,isotopes!$A:$A,0)))</f>
        <v>BIS31-30</v>
      </c>
      <c r="I673" t="str">
        <f t="array" ref="I673">iferror(index(isotopes!$J:$J,match($A673,isotopes!$A:$A,0)))</f>
        <v>N</v>
      </c>
      <c r="J673" t="str">
        <f t="array" ref="J673">iferror(index(extra_muscle!$G:$G,match($A673,extra_muscle!$A:$A,0)))</f>
        <v>BXM29-30</v>
      </c>
      <c r="K673" t="str">
        <f t="array" ref="K673">iferror(index(extra_muscle!$J:$J,match($A673,extra_muscle!$A:$A,0)))</f>
        <v>N</v>
      </c>
      <c r="L673" s="59" t="str">
        <f t="array" ref="L673">iferror(index(dna!$G:$G,match($A673,dna!$A:$A,0)))</f>
        <v/>
      </c>
      <c r="M673" s="60" t="str">
        <f t="array" ref="M673">iferror(index(dna!$J:$J,match($A673,dna!$A:$A,0)))</f>
        <v/>
      </c>
      <c r="N673" t="str">
        <f t="array" ref="N673">iferror(index(stomachs!$G:$G,match($A673,stomachs!$A:$A,0)))</f>
        <v/>
      </c>
      <c r="O673" t="str">
        <f t="array" ref="O673">iferror(index(stomachs!$J:$J,match($A673,stomachs!$A:$A,0)))</f>
        <v/>
      </c>
      <c r="P673" t="str">
        <f t="array" ref="P673">iferror(index(sea_lice!$G:$G,match($A673,sea_lice!$A:$A,0)))</f>
        <v/>
      </c>
      <c r="Q673" t="str">
        <f t="array" ref="Q673">iferror(index(sea_lice!$J:$J,match($A673,sea_lice!$A:$A,0)))</f>
        <v/>
      </c>
      <c r="R673" s="40" t="str">
        <f t="array" ref="R673">iferror(index(dissected_fish!$F:$F,match($A673,dissected_fish!$A:$A,0)))</f>
        <v>BCA106</v>
      </c>
      <c r="S673" s="40" t="str">
        <f t="array" ref="S673">iferror(index(dissected_fish!$K:$K,match($A673,dissected_fish!$A:$A,0)))</f>
        <v>N</v>
      </c>
      <c r="T673" s="61" t="str">
        <f t="array" ref="T673">index(fish_lab_data!O:O,match(A673,fish_lab_data!C:C,0))</f>
        <v>KB</v>
      </c>
      <c r="U673" s="61">
        <f t="array" ref="U673">if(A673="","",index(fish_lab_data!X:X,match(A673,fish_lab_data!C:C,0)))</f>
        <v>672</v>
      </c>
    </row>
    <row r="674">
      <c r="A674" t="str">
        <f>fish_lab_data!C674</f>
        <v>U17273</v>
      </c>
      <c r="B674" t="str">
        <f t="array" ref="B674">iferror(index('rna-muscle'!$I:$I,match($A674,'rna-muscle'!$A:$A,0)))</f>
        <v>BRN61M-E6</v>
      </c>
      <c r="C674" t="str">
        <f t="array" ref="C674">iferror(index('rna-muscle'!$L:$L,match($A674,'rna-muscle'!$A:$A,0)))</f>
        <v>N</v>
      </c>
      <c r="D674" t="str">
        <f t="array" ref="D674">iferror(index('rna-gill'!$I:$I,match($A674,'rna-gill'!$A:$A,0)))</f>
        <v>BRN61G-E6</v>
      </c>
      <c r="E674" t="str">
        <f t="array" ref="E674">iferror(index('rna-gill'!$L:$L,match($A674,'rna-gill'!$A:$A,0)))</f>
        <v>N</v>
      </c>
      <c r="F674" t="str">
        <f t="array" ref="F674">iferror(index(fatty_acid!$G:$G,match($A674,fatty_acid!$A:$A,0)))</f>
        <v>BFA28-31</v>
      </c>
      <c r="G674" t="str">
        <f t="array" ref="G674">iferror(index(fatty_acid!$J:$J,match($A674,fatty_acid!$A:$A,0)))</f>
        <v>N</v>
      </c>
      <c r="H674" t="str">
        <f t="array" ref="H674">iferror(index(isotopes!$G:$G,match($A674,isotopes!$A:$A,0)))</f>
        <v>BIS31-31</v>
      </c>
      <c r="I674" t="str">
        <f t="array" ref="I674">iferror(index(isotopes!$J:$J,match($A674,isotopes!$A:$A,0)))</f>
        <v>N</v>
      </c>
      <c r="J674" t="str">
        <f t="array" ref="J674">iferror(index(extra_muscle!$G:$G,match($A674,extra_muscle!$A:$A,0)))</f>
        <v>BXM29-31</v>
      </c>
      <c r="K674" t="str">
        <f t="array" ref="K674">iferror(index(extra_muscle!$J:$J,match($A674,extra_muscle!$A:$A,0)))</f>
        <v>N</v>
      </c>
      <c r="L674" s="59" t="str">
        <f t="array" ref="L674">iferror(index(dna!$G:$G,match($A674,dna!$A:$A,0)))</f>
        <v/>
      </c>
      <c r="M674" s="60" t="str">
        <f t="array" ref="M674">iferror(index(dna!$J:$J,match($A674,dna!$A:$A,0)))</f>
        <v/>
      </c>
      <c r="N674" t="str">
        <f t="array" ref="N674">iferror(index(stomachs!$G:$G,match($A674,stomachs!$A:$A,0)))</f>
        <v/>
      </c>
      <c r="O674" t="str">
        <f t="array" ref="O674">iferror(index(stomachs!$J:$J,match($A674,stomachs!$A:$A,0)))</f>
        <v/>
      </c>
      <c r="P674" t="str">
        <f t="array" ref="P674">iferror(index(sea_lice!$G:$G,match($A674,sea_lice!$A:$A,0)))</f>
        <v/>
      </c>
      <c r="Q674" t="str">
        <f t="array" ref="Q674">iferror(index(sea_lice!$J:$J,match($A674,sea_lice!$A:$A,0)))</f>
        <v/>
      </c>
      <c r="R674" s="40" t="str">
        <f t="array" ref="R674">iferror(index(dissected_fish!$F:$F,match($A674,dissected_fish!$A:$A,0)))</f>
        <v>BCA106</v>
      </c>
      <c r="S674" s="40" t="str">
        <f t="array" ref="S674">iferror(index(dissected_fish!$K:$K,match($A674,dissected_fish!$A:$A,0)))</f>
        <v>N</v>
      </c>
      <c r="T674" s="61" t="str">
        <f t="array" ref="T674">index(fish_lab_data!O:O,match(A674,fish_lab_data!C:C,0))</f>
        <v>KB</v>
      </c>
      <c r="U674" s="61">
        <f t="array" ref="U674">if(A674="","",index(fish_lab_data!X:X,match(A674,fish_lab_data!C:C,0)))</f>
        <v>673</v>
      </c>
    </row>
    <row r="675">
      <c r="A675" t="str">
        <f>fish_lab_data!C675</f>
        <v>U17274</v>
      </c>
      <c r="B675" t="str">
        <f t="array" ref="B675">iferror(index('rna-muscle'!$I:$I,match($A675,'rna-muscle'!$A:$A,0)))</f>
        <v>BRN61M-D6</v>
      </c>
      <c r="C675" t="str">
        <f t="array" ref="C675">iferror(index('rna-muscle'!$L:$L,match($A675,'rna-muscle'!$A:$A,0)))</f>
        <v>N</v>
      </c>
      <c r="D675" t="str">
        <f t="array" ref="D675">iferror(index('rna-gill'!$I:$I,match($A675,'rna-gill'!$A:$A,0)))</f>
        <v>BRN61G-D6</v>
      </c>
      <c r="E675" t="str">
        <f t="array" ref="E675">iferror(index('rna-gill'!$L:$L,match($A675,'rna-gill'!$A:$A,0)))</f>
        <v>N</v>
      </c>
      <c r="F675" t="str">
        <f t="array" ref="F675">iferror(index(fatty_acid!$G:$G,match($A675,fatty_acid!$A:$A,0)))</f>
        <v>BFA28-32</v>
      </c>
      <c r="G675" t="str">
        <f t="array" ref="G675">iferror(index(fatty_acid!$J:$J,match($A675,fatty_acid!$A:$A,0)))</f>
        <v>N</v>
      </c>
      <c r="H675" t="str">
        <f t="array" ref="H675">iferror(index(isotopes!$G:$G,match($A675,isotopes!$A:$A,0)))</f>
        <v>BIS31-32</v>
      </c>
      <c r="I675" t="str">
        <f t="array" ref="I675">iferror(index(isotopes!$J:$J,match($A675,isotopes!$A:$A,0)))</f>
        <v>N</v>
      </c>
      <c r="J675" t="str">
        <f t="array" ref="J675">iferror(index(extra_muscle!$G:$G,match($A675,extra_muscle!$A:$A,0)))</f>
        <v>BXM29-32</v>
      </c>
      <c r="K675" t="str">
        <f t="array" ref="K675">iferror(index(extra_muscle!$J:$J,match($A675,extra_muscle!$A:$A,0)))</f>
        <v>N</v>
      </c>
      <c r="L675" s="59" t="str">
        <f t="array" ref="L675">iferror(index(dna!$G:$G,match($A675,dna!$A:$A,0)))</f>
        <v/>
      </c>
      <c r="M675" s="60" t="str">
        <f t="array" ref="M675">iferror(index(dna!$J:$J,match($A675,dna!$A:$A,0)))</f>
        <v/>
      </c>
      <c r="N675" t="str">
        <f t="array" ref="N675">iferror(index(stomachs!$G:$G,match($A675,stomachs!$A:$A,0)))</f>
        <v/>
      </c>
      <c r="O675" t="str">
        <f t="array" ref="O675">iferror(index(stomachs!$J:$J,match($A675,stomachs!$A:$A,0)))</f>
        <v/>
      </c>
      <c r="P675" t="str">
        <f t="array" ref="P675">iferror(index(sea_lice!$G:$G,match($A675,sea_lice!$A:$A,0)))</f>
        <v>BSL6-55</v>
      </c>
      <c r="Q675" t="str">
        <f t="array" ref="Q675">iferror(index(sea_lice!$J:$J,match($A675,sea_lice!$A:$A,0)))</f>
        <v>N</v>
      </c>
      <c r="R675" s="40" t="str">
        <f t="array" ref="R675">iferror(index(dissected_fish!$F:$F,match($A675,dissected_fish!$A:$A,0)))</f>
        <v>BCA106</v>
      </c>
      <c r="S675" s="40" t="str">
        <f t="array" ref="S675">iferror(index(dissected_fish!$K:$K,match($A675,dissected_fish!$A:$A,0)))</f>
        <v>N</v>
      </c>
      <c r="T675" s="61" t="str">
        <f t="array" ref="T675">index(fish_lab_data!O:O,match(A675,fish_lab_data!C:C,0))</f>
        <v>KB</v>
      </c>
      <c r="U675" s="61">
        <f t="array" ref="U675">if(A675="","",index(fish_lab_data!X:X,match(A675,fish_lab_data!C:C,0)))</f>
        <v>674</v>
      </c>
    </row>
    <row r="676">
      <c r="A676" t="str">
        <f>fish_lab_data!C676</f>
        <v>U17275</v>
      </c>
      <c r="B676" t="str">
        <f t="array" ref="B676">iferror(index('rna-muscle'!$I:$I,match($A676,'rna-muscle'!$A:$A,0)))</f>
        <v>BRN61M-C6</v>
      </c>
      <c r="C676" t="str">
        <f t="array" ref="C676">iferror(index('rna-muscle'!$L:$L,match($A676,'rna-muscle'!$A:$A,0)))</f>
        <v>N</v>
      </c>
      <c r="D676" t="str">
        <f t="array" ref="D676">iferror(index('rna-gill'!$I:$I,match($A676,'rna-gill'!$A:$A,0)))</f>
        <v>BRN61G-C6</v>
      </c>
      <c r="E676" t="str">
        <f t="array" ref="E676">iferror(index('rna-gill'!$L:$L,match($A676,'rna-gill'!$A:$A,0)))</f>
        <v>N</v>
      </c>
      <c r="F676" t="str">
        <f t="array" ref="F676">iferror(index(fatty_acid!$G:$G,match($A676,fatty_acid!$A:$A,0)))</f>
        <v>BFA28-33</v>
      </c>
      <c r="G676" t="str">
        <f t="array" ref="G676">iferror(index(fatty_acid!$J:$J,match($A676,fatty_acid!$A:$A,0)))</f>
        <v>N</v>
      </c>
      <c r="H676" t="str">
        <f t="array" ref="H676">iferror(index(isotopes!$G:$G,match($A676,isotopes!$A:$A,0)))</f>
        <v>BIS31-33</v>
      </c>
      <c r="I676" t="str">
        <f t="array" ref="I676">iferror(index(isotopes!$J:$J,match($A676,isotopes!$A:$A,0)))</f>
        <v>N</v>
      </c>
      <c r="J676" t="str">
        <f t="array" ref="J676">iferror(index(extra_muscle!$G:$G,match($A676,extra_muscle!$A:$A,0)))</f>
        <v>BXM29-33</v>
      </c>
      <c r="K676" t="str">
        <f t="array" ref="K676">iferror(index(extra_muscle!$J:$J,match($A676,extra_muscle!$A:$A,0)))</f>
        <v>N</v>
      </c>
      <c r="L676" s="59" t="str">
        <f t="array" ref="L676">iferror(index(dna!$G:$G,match($A676,dna!$A:$A,0)))</f>
        <v/>
      </c>
      <c r="M676" s="60" t="str">
        <f t="array" ref="M676">iferror(index(dna!$J:$J,match($A676,dna!$A:$A,0)))</f>
        <v/>
      </c>
      <c r="N676" t="str">
        <f t="array" ref="N676">iferror(index(stomachs!$G:$G,match($A676,stomachs!$A:$A,0)))</f>
        <v/>
      </c>
      <c r="O676" t="str">
        <f t="array" ref="O676">iferror(index(stomachs!$J:$J,match($A676,stomachs!$A:$A,0)))</f>
        <v/>
      </c>
      <c r="P676" t="str">
        <f t="array" ref="P676">iferror(index(sea_lice!$G:$G,match($A676,sea_lice!$A:$A,0)))</f>
        <v/>
      </c>
      <c r="Q676" t="str">
        <f t="array" ref="Q676">iferror(index(sea_lice!$J:$J,match($A676,sea_lice!$A:$A,0)))</f>
        <v/>
      </c>
      <c r="R676" s="40" t="str">
        <f t="array" ref="R676">iferror(index(dissected_fish!$F:$F,match($A676,dissected_fish!$A:$A,0)))</f>
        <v>BCA106</v>
      </c>
      <c r="S676" s="40" t="str">
        <f t="array" ref="S676">iferror(index(dissected_fish!$K:$K,match($A676,dissected_fish!$A:$A,0)))</f>
        <v>N</v>
      </c>
      <c r="T676" s="61" t="str">
        <f t="array" ref="T676">index(fish_lab_data!O:O,match(A676,fish_lab_data!C:C,0))</f>
        <v>KB</v>
      </c>
      <c r="U676" s="61">
        <f t="array" ref="U676">if(A676="","",index(fish_lab_data!X:X,match(A676,fish_lab_data!C:C,0)))</f>
        <v>675</v>
      </c>
    </row>
    <row r="677">
      <c r="A677" t="str">
        <f>fish_lab_data!C677</f>
        <v>U17272</v>
      </c>
      <c r="B677" t="str">
        <f t="array" ref="B677">iferror(index('rna-muscle'!$I:$I,match($A677,'rna-muscle'!$A:$A,0)))</f>
        <v>BRN61M-B6</v>
      </c>
      <c r="C677" t="str">
        <f t="array" ref="C677">iferror(index('rna-muscle'!$L:$L,match($A677,'rna-muscle'!$A:$A,0)))</f>
        <v>N</v>
      </c>
      <c r="D677" t="str">
        <f t="array" ref="D677">iferror(index('rna-gill'!$I:$I,match($A677,'rna-gill'!$A:$A,0)))</f>
        <v>BRN61G-B6</v>
      </c>
      <c r="E677" t="str">
        <f t="array" ref="E677">iferror(index('rna-gill'!$L:$L,match($A677,'rna-gill'!$A:$A,0)))</f>
        <v>N</v>
      </c>
      <c r="F677" t="str">
        <f t="array" ref="F677">iferror(index(fatty_acid!$G:$G,match($A677,fatty_acid!$A:$A,0)))</f>
        <v>BFA28-34</v>
      </c>
      <c r="G677" t="str">
        <f t="array" ref="G677">iferror(index(fatty_acid!$J:$J,match($A677,fatty_acid!$A:$A,0)))</f>
        <v>N</v>
      </c>
      <c r="H677" t="str">
        <f t="array" ref="H677">iferror(index(isotopes!$G:$G,match($A677,isotopes!$A:$A,0)))</f>
        <v>BIS31-34</v>
      </c>
      <c r="I677" t="str">
        <f t="array" ref="I677">iferror(index(isotopes!$J:$J,match($A677,isotopes!$A:$A,0)))</f>
        <v>N</v>
      </c>
      <c r="J677" t="str">
        <f t="array" ref="J677">iferror(index(extra_muscle!$G:$G,match($A677,extra_muscle!$A:$A,0)))</f>
        <v>BXM29-34</v>
      </c>
      <c r="K677" t="str">
        <f t="array" ref="K677">iferror(index(extra_muscle!$J:$J,match($A677,extra_muscle!$A:$A,0)))</f>
        <v>N</v>
      </c>
      <c r="L677" s="59" t="str">
        <f t="array" ref="L677">iferror(index(dna!$G:$G,match($A677,dna!$A:$A,0)))</f>
        <v/>
      </c>
      <c r="M677" s="60" t="str">
        <f t="array" ref="M677">iferror(index(dna!$J:$J,match($A677,dna!$A:$A,0)))</f>
        <v/>
      </c>
      <c r="N677" t="str">
        <f t="array" ref="N677">iferror(index(stomachs!$G:$G,match($A677,stomachs!$A:$A,0)))</f>
        <v/>
      </c>
      <c r="O677" t="str">
        <f t="array" ref="O677">iferror(index(stomachs!$J:$J,match($A677,stomachs!$A:$A,0)))</f>
        <v/>
      </c>
      <c r="P677" t="str">
        <f t="array" ref="P677">iferror(index(sea_lice!$G:$G,match($A677,sea_lice!$A:$A,0)))</f>
        <v/>
      </c>
      <c r="Q677" t="str">
        <f t="array" ref="Q677">iferror(index(sea_lice!$J:$J,match($A677,sea_lice!$A:$A,0)))</f>
        <v/>
      </c>
      <c r="R677" s="40" t="str">
        <f t="array" ref="R677">iferror(index(dissected_fish!$F:$F,match($A677,dissected_fish!$A:$A,0)))</f>
        <v>BCA106</v>
      </c>
      <c r="S677" s="40" t="str">
        <f t="array" ref="S677">iferror(index(dissected_fish!$K:$K,match($A677,dissected_fish!$A:$A,0)))</f>
        <v>N</v>
      </c>
      <c r="T677" s="61" t="str">
        <f t="array" ref="T677">index(fish_lab_data!O:O,match(A677,fish_lab_data!C:C,0))</f>
        <v>KB</v>
      </c>
      <c r="U677" s="61">
        <f t="array" ref="U677">if(A677="","",index(fish_lab_data!X:X,match(A677,fish_lab_data!C:C,0)))</f>
        <v>676</v>
      </c>
    </row>
    <row r="678">
      <c r="A678" t="str">
        <f>fish_lab_data!C678</f>
        <v>U17279</v>
      </c>
      <c r="B678" t="str">
        <f t="array" ref="B678">iferror(index('rna-muscle'!$I:$I,match($A678,'rna-muscle'!$A:$A,0)))</f>
        <v>BRN61M-A6</v>
      </c>
      <c r="C678" t="str">
        <f t="array" ref="C678">iferror(index('rna-muscle'!$L:$L,match($A678,'rna-muscle'!$A:$A,0)))</f>
        <v>N</v>
      </c>
      <c r="D678" t="str">
        <f t="array" ref="D678">iferror(index('rna-gill'!$I:$I,match($A678,'rna-gill'!$A:$A,0)))</f>
        <v>BRN61G-A6</v>
      </c>
      <c r="E678" t="str">
        <f t="array" ref="E678">iferror(index('rna-gill'!$L:$L,match($A678,'rna-gill'!$A:$A,0)))</f>
        <v>N</v>
      </c>
      <c r="F678" t="str">
        <f t="array" ref="F678">iferror(index(fatty_acid!$G:$G,match($A678,fatty_acid!$A:$A,0)))</f>
        <v>BFA28-35</v>
      </c>
      <c r="G678" t="str">
        <f t="array" ref="G678">iferror(index(fatty_acid!$J:$J,match($A678,fatty_acid!$A:$A,0)))</f>
        <v>N</v>
      </c>
      <c r="H678" t="str">
        <f t="array" ref="H678">iferror(index(isotopes!$G:$G,match($A678,isotopes!$A:$A,0)))</f>
        <v>BIS31-35</v>
      </c>
      <c r="I678" t="str">
        <f t="array" ref="I678">iferror(index(isotopes!$J:$J,match($A678,isotopes!$A:$A,0)))</f>
        <v>N</v>
      </c>
      <c r="J678" t="str">
        <f t="array" ref="J678">iferror(index(extra_muscle!$G:$G,match($A678,extra_muscle!$A:$A,0)))</f>
        <v>BXM29-35</v>
      </c>
      <c r="K678" t="str">
        <f t="array" ref="K678">iferror(index(extra_muscle!$J:$J,match($A678,extra_muscle!$A:$A,0)))</f>
        <v>N</v>
      </c>
      <c r="L678" s="59" t="str">
        <f t="array" ref="L678">iferror(index(dna!$G:$G,match($A678,dna!$A:$A,0)))</f>
        <v/>
      </c>
      <c r="M678" s="60" t="str">
        <f t="array" ref="M678">iferror(index(dna!$J:$J,match($A678,dna!$A:$A,0)))</f>
        <v/>
      </c>
      <c r="N678" t="str">
        <f t="array" ref="N678">iferror(index(stomachs!$G:$G,match($A678,stomachs!$A:$A,0)))</f>
        <v/>
      </c>
      <c r="O678" t="str">
        <f t="array" ref="O678">iferror(index(stomachs!$J:$J,match($A678,stomachs!$A:$A,0)))</f>
        <v/>
      </c>
      <c r="P678" t="str">
        <f t="array" ref="P678">iferror(index(sea_lice!$G:$G,match($A678,sea_lice!$A:$A,0)))</f>
        <v>BSL6-56</v>
      </c>
      <c r="Q678" t="str">
        <f t="array" ref="Q678">iferror(index(sea_lice!$J:$J,match($A678,sea_lice!$A:$A,0)))</f>
        <v>N</v>
      </c>
      <c r="R678" s="40" t="str">
        <f t="array" ref="R678">iferror(index(dissected_fish!$F:$F,match($A678,dissected_fish!$A:$A,0)))</f>
        <v>BCA106</v>
      </c>
      <c r="S678" s="40" t="str">
        <f t="array" ref="S678">iferror(index(dissected_fish!$K:$K,match($A678,dissected_fish!$A:$A,0)))</f>
        <v>N</v>
      </c>
      <c r="T678" s="61" t="str">
        <f t="array" ref="T678">index(fish_lab_data!O:O,match(A678,fish_lab_data!C:C,0))</f>
        <v>KB</v>
      </c>
      <c r="U678" s="61">
        <f t="array" ref="U678">if(A678="","",index(fish_lab_data!X:X,match(A678,fish_lab_data!C:C,0)))</f>
        <v>677</v>
      </c>
    </row>
    <row r="679">
      <c r="A679" t="str">
        <f>fish_lab_data!C679</f>
        <v>U17278</v>
      </c>
      <c r="B679" t="str">
        <f t="array" ref="B679">iferror(index('rna-muscle'!$I:$I,match($A679,'rna-muscle'!$A:$A,0)))</f>
        <v>BRN61M-H8</v>
      </c>
      <c r="C679" t="str">
        <f t="array" ref="C679">iferror(index('rna-muscle'!$L:$L,match($A679,'rna-muscle'!$A:$A,0)))</f>
        <v>N</v>
      </c>
      <c r="D679" t="str">
        <f t="array" ref="D679">iferror(index('rna-gill'!$I:$I,match($A679,'rna-gill'!$A:$A,0)))</f>
        <v>BRN61G-H8</v>
      </c>
      <c r="E679" t="str">
        <f t="array" ref="E679">iferror(index('rna-gill'!$L:$L,match($A679,'rna-gill'!$A:$A,0)))</f>
        <v>N</v>
      </c>
      <c r="F679" t="str">
        <f t="array" ref="F679">iferror(index(fatty_acid!$G:$G,match($A679,fatty_acid!$A:$A,0)))</f>
        <v>BFA28-36</v>
      </c>
      <c r="G679" t="str">
        <f t="array" ref="G679">iferror(index(fatty_acid!$J:$J,match($A679,fatty_acid!$A:$A,0)))</f>
        <v>N</v>
      </c>
      <c r="H679" t="str">
        <f t="array" ref="H679">iferror(index(isotopes!$G:$G,match($A679,isotopes!$A:$A,0)))</f>
        <v>BIS31-36</v>
      </c>
      <c r="I679" t="str">
        <f t="array" ref="I679">iferror(index(isotopes!$J:$J,match($A679,isotopes!$A:$A,0)))</f>
        <v>N</v>
      </c>
      <c r="J679" t="str">
        <f t="array" ref="J679">iferror(index(extra_muscle!$G:$G,match($A679,extra_muscle!$A:$A,0)))</f>
        <v>BXM29-36</v>
      </c>
      <c r="K679" t="str">
        <f t="array" ref="K679">iferror(index(extra_muscle!$J:$J,match($A679,extra_muscle!$A:$A,0)))</f>
        <v>N</v>
      </c>
      <c r="L679" s="59" t="str">
        <f t="array" ref="L679">iferror(index(dna!$G:$G,match($A679,dna!$A:$A,0)))</f>
        <v/>
      </c>
      <c r="M679" s="60" t="str">
        <f t="array" ref="M679">iferror(index(dna!$J:$J,match($A679,dna!$A:$A,0)))</f>
        <v/>
      </c>
      <c r="N679" t="str">
        <f t="array" ref="N679">iferror(index(stomachs!$G:$G,match($A679,stomachs!$A:$A,0)))</f>
        <v/>
      </c>
      <c r="O679" t="str">
        <f t="array" ref="O679">iferror(index(stomachs!$J:$J,match($A679,stomachs!$A:$A,0)))</f>
        <v/>
      </c>
      <c r="P679" t="str">
        <f t="array" ref="P679">iferror(index(sea_lice!$G:$G,match($A679,sea_lice!$A:$A,0)))</f>
        <v/>
      </c>
      <c r="Q679" t="str">
        <f t="array" ref="Q679">iferror(index(sea_lice!$J:$J,match($A679,sea_lice!$A:$A,0)))</f>
        <v/>
      </c>
      <c r="R679" s="40" t="str">
        <f t="array" ref="R679">iferror(index(dissected_fish!$F:$F,match($A679,dissected_fish!$A:$A,0)))</f>
        <v>BCA106</v>
      </c>
      <c r="S679" s="40" t="str">
        <f t="array" ref="S679">iferror(index(dissected_fish!$K:$K,match($A679,dissected_fish!$A:$A,0)))</f>
        <v>N</v>
      </c>
      <c r="T679" s="61" t="str">
        <f t="array" ref="T679">index(fish_lab_data!O:O,match(A679,fish_lab_data!C:C,0))</f>
        <v>KB</v>
      </c>
      <c r="U679" s="61">
        <f t="array" ref="U679">if(A679="","",index(fish_lab_data!X:X,match(A679,fish_lab_data!C:C,0)))</f>
        <v>678</v>
      </c>
    </row>
    <row r="680">
      <c r="A680" t="str">
        <f>fish_lab_data!C680</f>
        <v>U17041</v>
      </c>
      <c r="B680" t="str">
        <f t="array" ref="B680">iferror(index('rna-muscle'!$I:$I,match($A680,'rna-muscle'!$A:$A,0)))</f>
        <v>BRN61M-G8</v>
      </c>
      <c r="C680" t="str">
        <f t="array" ref="C680">iferror(index('rna-muscle'!$L:$L,match($A680,'rna-muscle'!$A:$A,0)))</f>
        <v>N</v>
      </c>
      <c r="D680" t="str">
        <f t="array" ref="D680">iferror(index('rna-gill'!$I:$I,match($A680,'rna-gill'!$A:$A,0)))</f>
        <v>BRN61G-G8</v>
      </c>
      <c r="E680" t="str">
        <f t="array" ref="E680">iferror(index('rna-gill'!$L:$L,match($A680,'rna-gill'!$A:$A,0)))</f>
        <v>N</v>
      </c>
      <c r="F680" t="str">
        <f t="array" ref="F680">iferror(index(fatty_acid!$G:$G,match($A680,fatty_acid!$A:$A,0)))</f>
        <v>BFA28-37</v>
      </c>
      <c r="G680" t="str">
        <f t="array" ref="G680">iferror(index(fatty_acid!$J:$J,match($A680,fatty_acid!$A:$A,0)))</f>
        <v>N</v>
      </c>
      <c r="H680" t="str">
        <f t="array" ref="H680">iferror(index(isotopes!$G:$G,match($A680,isotopes!$A:$A,0)))</f>
        <v>BIS31-37</v>
      </c>
      <c r="I680" t="str">
        <f t="array" ref="I680">iferror(index(isotopes!$J:$J,match($A680,isotopes!$A:$A,0)))</f>
        <v>N</v>
      </c>
      <c r="J680" t="str">
        <f t="array" ref="J680">iferror(index(extra_muscle!$G:$G,match($A680,extra_muscle!$A:$A,0)))</f>
        <v>BXM29-37</v>
      </c>
      <c r="K680" t="str">
        <f t="array" ref="K680">iferror(index(extra_muscle!$J:$J,match($A680,extra_muscle!$A:$A,0)))</f>
        <v>N</v>
      </c>
      <c r="L680" s="59" t="str">
        <f t="array" ref="L680">iferror(index(dna!$G:$G,match($A680,dna!$A:$A,0)))</f>
        <v/>
      </c>
      <c r="M680" s="60" t="str">
        <f t="array" ref="M680">iferror(index(dna!$J:$J,match($A680,dna!$A:$A,0)))</f>
        <v/>
      </c>
      <c r="N680" t="str">
        <f t="array" ref="N680">iferror(index(stomachs!$G:$G,match($A680,stomachs!$A:$A,0)))</f>
        <v/>
      </c>
      <c r="O680" t="str">
        <f t="array" ref="O680">iferror(index(stomachs!$J:$J,match($A680,stomachs!$A:$A,0)))</f>
        <v/>
      </c>
      <c r="P680" t="str">
        <f t="array" ref="P680">iferror(index(sea_lice!$G:$G,match($A680,sea_lice!$A:$A,0)))</f>
        <v>BSL2-58</v>
      </c>
      <c r="Q680" t="str">
        <f t="array" ref="Q680">iferror(index(sea_lice!$J:$J,match($A680,sea_lice!$A:$A,0)))</f>
        <v>N</v>
      </c>
      <c r="R680" s="40" t="str">
        <f t="array" ref="R680">iferror(index(dissected_fish!$F:$F,match($A680,dissected_fish!$A:$A,0)))</f>
        <v>BCA106</v>
      </c>
      <c r="S680" s="40" t="str">
        <f t="array" ref="S680">iferror(index(dissected_fish!$K:$K,match($A680,dissected_fish!$A:$A,0)))</f>
        <v>N</v>
      </c>
      <c r="T680" s="61" t="str">
        <f t="array" ref="T680">index(fish_lab_data!O:O,match(A680,fish_lab_data!C:C,0))</f>
        <v>KB</v>
      </c>
      <c r="U680" s="61">
        <f t="array" ref="U680">if(A680="","",index(fish_lab_data!X:X,match(A680,fish_lab_data!C:C,0)))</f>
        <v>679</v>
      </c>
    </row>
    <row r="681">
      <c r="A681" t="str">
        <f>fish_lab_data!C681</f>
        <v>U17072</v>
      </c>
      <c r="B681" t="str">
        <f t="array" ref="B681">iferror(index('rna-muscle'!$I:$I,match($A681,'rna-muscle'!$A:$A,0)))</f>
        <v>BRN61M-F8</v>
      </c>
      <c r="C681" t="str">
        <f t="array" ref="C681">iferror(index('rna-muscle'!$L:$L,match($A681,'rna-muscle'!$A:$A,0)))</f>
        <v>N</v>
      </c>
      <c r="D681" t="str">
        <f t="array" ref="D681">iferror(index('rna-gill'!$I:$I,match($A681,'rna-gill'!$A:$A,0)))</f>
        <v>BRN61G-F8</v>
      </c>
      <c r="E681" t="str">
        <f t="array" ref="E681">iferror(index('rna-gill'!$L:$L,match($A681,'rna-gill'!$A:$A,0)))</f>
        <v>N</v>
      </c>
      <c r="F681" t="str">
        <f t="array" ref="F681">iferror(index(fatty_acid!$G:$G,match($A681,fatty_acid!$A:$A,0)))</f>
        <v>BFA28-38</v>
      </c>
      <c r="G681" t="str">
        <f t="array" ref="G681">iferror(index(fatty_acid!$J:$J,match($A681,fatty_acid!$A:$A,0)))</f>
        <v>N</v>
      </c>
      <c r="H681" t="str">
        <f t="array" ref="H681">iferror(index(isotopes!$G:$G,match($A681,isotopes!$A:$A,0)))</f>
        <v>BIS31-38</v>
      </c>
      <c r="I681" t="str">
        <f t="array" ref="I681">iferror(index(isotopes!$J:$J,match($A681,isotopes!$A:$A,0)))</f>
        <v>N</v>
      </c>
      <c r="J681" t="str">
        <f t="array" ref="J681">iferror(index(extra_muscle!$G:$G,match($A681,extra_muscle!$A:$A,0)))</f>
        <v>BXM29-38</v>
      </c>
      <c r="K681" t="str">
        <f t="array" ref="K681">iferror(index(extra_muscle!$J:$J,match($A681,extra_muscle!$A:$A,0)))</f>
        <v>N</v>
      </c>
      <c r="L681" s="59" t="str">
        <f t="array" ref="L681">iferror(index(dna!$G:$G,match($A681,dna!$A:$A,0)))</f>
        <v/>
      </c>
      <c r="M681" s="60" t="str">
        <f t="array" ref="M681">iferror(index(dna!$J:$J,match($A681,dna!$A:$A,0)))</f>
        <v/>
      </c>
      <c r="N681" t="str">
        <f t="array" ref="N681">iferror(index(stomachs!$G:$G,match($A681,stomachs!$A:$A,0)))</f>
        <v/>
      </c>
      <c r="O681" t="str">
        <f t="array" ref="O681">iferror(index(stomachs!$J:$J,match($A681,stomachs!$A:$A,0)))</f>
        <v/>
      </c>
      <c r="P681" t="str">
        <f t="array" ref="P681">iferror(index(sea_lice!$G:$G,match($A681,sea_lice!$A:$A,0)))</f>
        <v/>
      </c>
      <c r="Q681" t="str">
        <f t="array" ref="Q681">iferror(index(sea_lice!$J:$J,match($A681,sea_lice!$A:$A,0)))</f>
        <v/>
      </c>
      <c r="R681" s="40" t="str">
        <f t="array" ref="R681">iferror(index(dissected_fish!$F:$F,match($A681,dissected_fish!$A:$A,0)))</f>
        <v>BCA106</v>
      </c>
      <c r="S681" s="40" t="str">
        <f t="array" ref="S681">iferror(index(dissected_fish!$K:$K,match($A681,dissected_fish!$A:$A,0)))</f>
        <v>N</v>
      </c>
      <c r="T681" s="61" t="str">
        <f t="array" ref="T681">index(fish_lab_data!O:O,match(A681,fish_lab_data!C:C,0))</f>
        <v>KB</v>
      </c>
      <c r="U681" s="61">
        <f t="array" ref="U681">if(A681="","",index(fish_lab_data!X:X,match(A681,fish_lab_data!C:C,0)))</f>
        <v>680</v>
      </c>
    </row>
    <row r="682">
      <c r="A682" t="str">
        <f>fish_lab_data!C682</f>
        <v>U17071</v>
      </c>
      <c r="B682" t="str">
        <f t="array" ref="B682">iferror(index('rna-muscle'!$I:$I,match($A682,'rna-muscle'!$A:$A,0)))</f>
        <v>BRN61M-E8</v>
      </c>
      <c r="C682" t="str">
        <f t="array" ref="C682">iferror(index('rna-muscle'!$L:$L,match($A682,'rna-muscle'!$A:$A,0)))</f>
        <v>N</v>
      </c>
      <c r="D682" t="str">
        <f t="array" ref="D682">iferror(index('rna-gill'!$I:$I,match($A682,'rna-gill'!$A:$A,0)))</f>
        <v>BRN61G-E8</v>
      </c>
      <c r="E682" t="str">
        <f t="array" ref="E682">iferror(index('rna-gill'!$L:$L,match($A682,'rna-gill'!$A:$A,0)))</f>
        <v>N</v>
      </c>
      <c r="F682" t="str">
        <f t="array" ref="F682">iferror(index(fatty_acid!$G:$G,match($A682,fatty_acid!$A:$A,0)))</f>
        <v>BFA28-39</v>
      </c>
      <c r="G682" t="str">
        <f t="array" ref="G682">iferror(index(fatty_acid!$J:$J,match($A682,fatty_acid!$A:$A,0)))</f>
        <v>N</v>
      </c>
      <c r="H682" t="str">
        <f t="array" ref="H682">iferror(index(isotopes!$G:$G,match($A682,isotopes!$A:$A,0)))</f>
        <v>BIS31-39</v>
      </c>
      <c r="I682" t="str">
        <f t="array" ref="I682">iferror(index(isotopes!$J:$J,match($A682,isotopes!$A:$A,0)))</f>
        <v>N</v>
      </c>
      <c r="J682" t="str">
        <f t="array" ref="J682">iferror(index(extra_muscle!$G:$G,match($A682,extra_muscle!$A:$A,0)))</f>
        <v>BXM29-39</v>
      </c>
      <c r="K682" t="str">
        <f t="array" ref="K682">iferror(index(extra_muscle!$J:$J,match($A682,extra_muscle!$A:$A,0)))</f>
        <v>N</v>
      </c>
      <c r="L682" s="59" t="str">
        <f t="array" ref="L682">iferror(index(dna!$G:$G,match($A682,dna!$A:$A,0)))</f>
        <v/>
      </c>
      <c r="M682" s="60" t="str">
        <f t="array" ref="M682">iferror(index(dna!$J:$J,match($A682,dna!$A:$A,0)))</f>
        <v/>
      </c>
      <c r="N682" t="str">
        <f t="array" ref="N682">iferror(index(stomachs!$G:$G,match($A682,stomachs!$A:$A,0)))</f>
        <v/>
      </c>
      <c r="O682" t="str">
        <f t="array" ref="O682">iferror(index(stomachs!$J:$J,match($A682,stomachs!$A:$A,0)))</f>
        <v/>
      </c>
      <c r="P682" t="str">
        <f t="array" ref="P682">iferror(index(sea_lice!$G:$G,match($A682,sea_lice!$A:$A,0)))</f>
        <v/>
      </c>
      <c r="Q682" t="str">
        <f t="array" ref="Q682">iferror(index(sea_lice!$J:$J,match($A682,sea_lice!$A:$A,0)))</f>
        <v/>
      </c>
      <c r="R682" s="40" t="str">
        <f t="array" ref="R682">iferror(index(dissected_fish!$F:$F,match($A682,dissected_fish!$A:$A,0)))</f>
        <v>BCA106</v>
      </c>
      <c r="S682" s="40" t="str">
        <f t="array" ref="S682">iferror(index(dissected_fish!$K:$K,match($A682,dissected_fish!$A:$A,0)))</f>
        <v>N</v>
      </c>
      <c r="T682" s="61" t="str">
        <f t="array" ref="T682">index(fish_lab_data!O:O,match(A682,fish_lab_data!C:C,0))</f>
        <v>KB</v>
      </c>
      <c r="U682" s="61">
        <f t="array" ref="U682">if(A682="","",index(fish_lab_data!X:X,match(A682,fish_lab_data!C:C,0)))</f>
        <v>681</v>
      </c>
    </row>
    <row r="683">
      <c r="A683" t="str">
        <f>fish_lab_data!C683</f>
        <v>U16123</v>
      </c>
      <c r="B683" t="str">
        <f t="array" ref="B683">iferror(index('rna-muscle'!$I:$I,match($A683,'rna-muscle'!$A:$A,0)))</f>
        <v>BRN61M-D8</v>
      </c>
      <c r="C683" t="str">
        <f t="array" ref="C683">iferror(index('rna-muscle'!$L:$L,match($A683,'rna-muscle'!$A:$A,0)))</f>
        <v>N</v>
      </c>
      <c r="D683" t="str">
        <f t="array" ref="D683">iferror(index('rna-gill'!$I:$I,match($A683,'rna-gill'!$A:$A,0)))</f>
        <v>BRN61G-D8</v>
      </c>
      <c r="E683" t="str">
        <f t="array" ref="E683">iferror(index('rna-gill'!$L:$L,match($A683,'rna-gill'!$A:$A,0)))</f>
        <v>N</v>
      </c>
      <c r="F683" t="str">
        <f t="array" ref="F683">iferror(index(fatty_acid!$G:$G,match($A683,fatty_acid!$A:$A,0)))</f>
        <v>BFA28-40</v>
      </c>
      <c r="G683" t="str">
        <f t="array" ref="G683">iferror(index(fatty_acid!$J:$J,match($A683,fatty_acid!$A:$A,0)))</f>
        <v>N</v>
      </c>
      <c r="H683" t="str">
        <f t="array" ref="H683">iferror(index(isotopes!$G:$G,match($A683,isotopes!$A:$A,0)))</f>
        <v>BIS31-40</v>
      </c>
      <c r="I683" t="str">
        <f t="array" ref="I683">iferror(index(isotopes!$J:$J,match($A683,isotopes!$A:$A,0)))</f>
        <v>N</v>
      </c>
      <c r="J683" t="str">
        <f t="array" ref="J683">iferror(index(extra_muscle!$G:$G,match($A683,extra_muscle!$A:$A,0)))</f>
        <v>BXM29-40</v>
      </c>
      <c r="K683" t="str">
        <f t="array" ref="K683">iferror(index(extra_muscle!$J:$J,match($A683,extra_muscle!$A:$A,0)))</f>
        <v>N</v>
      </c>
      <c r="L683" s="59" t="str">
        <f t="array" ref="L683">iferror(index(dna!$G:$G,match($A683,dna!$A:$A,0)))</f>
        <v/>
      </c>
      <c r="M683" s="60" t="str">
        <f t="array" ref="M683">iferror(index(dna!$J:$J,match($A683,dna!$A:$A,0)))</f>
        <v/>
      </c>
      <c r="N683" t="str">
        <f t="array" ref="N683">iferror(index(stomachs!$G:$G,match($A683,stomachs!$A:$A,0)))</f>
        <v/>
      </c>
      <c r="O683" t="str">
        <f t="array" ref="O683">iferror(index(stomachs!$J:$J,match($A683,stomachs!$A:$A,0)))</f>
        <v/>
      </c>
      <c r="P683" t="str">
        <f t="array" ref="P683">iferror(index(sea_lice!$G:$G,match($A683,sea_lice!$A:$A,0)))</f>
        <v/>
      </c>
      <c r="Q683" t="str">
        <f t="array" ref="Q683">iferror(index(sea_lice!$J:$J,match($A683,sea_lice!$A:$A,0)))</f>
        <v/>
      </c>
      <c r="R683" s="40" t="str">
        <f t="array" ref="R683">iferror(index(dissected_fish!$F:$F,match($A683,dissected_fish!$A:$A,0)))</f>
        <v>BCA106</v>
      </c>
      <c r="S683" s="40" t="str">
        <f t="array" ref="S683">iferror(index(dissected_fish!$K:$K,match($A683,dissected_fish!$A:$A,0)))</f>
        <v>N</v>
      </c>
      <c r="T683" s="61" t="str">
        <f t="array" ref="T683">index(fish_lab_data!O:O,match(A683,fish_lab_data!C:C,0))</f>
        <v>KB</v>
      </c>
      <c r="U683" s="61">
        <f t="array" ref="U683">if(A683="","",index(fish_lab_data!X:X,match(A683,fish_lab_data!C:C,0)))</f>
        <v>682</v>
      </c>
    </row>
    <row r="684">
      <c r="A684" t="str">
        <f>fish_lab_data!C684</f>
        <v>U16122</v>
      </c>
      <c r="B684" t="str">
        <f t="array" ref="B684">iferror(index('rna-muscle'!$I:$I,match($A684,'rna-muscle'!$A:$A,0)))</f>
        <v>BRN61M-C8</v>
      </c>
      <c r="C684" t="str">
        <f t="array" ref="C684">iferror(index('rna-muscle'!$L:$L,match($A684,'rna-muscle'!$A:$A,0)))</f>
        <v>N</v>
      </c>
      <c r="D684" t="str">
        <f t="array" ref="D684">iferror(index('rna-gill'!$I:$I,match($A684,'rna-gill'!$A:$A,0)))</f>
        <v>BRN61G-C8</v>
      </c>
      <c r="E684" t="str">
        <f t="array" ref="E684">iferror(index('rna-gill'!$L:$L,match($A684,'rna-gill'!$A:$A,0)))</f>
        <v>N</v>
      </c>
      <c r="F684" t="str">
        <f t="array" ref="F684">iferror(index(fatty_acid!$G:$G,match($A684,fatty_acid!$A:$A,0)))</f>
        <v>BFA28-41</v>
      </c>
      <c r="G684" t="str">
        <f t="array" ref="G684">iferror(index(fatty_acid!$J:$J,match($A684,fatty_acid!$A:$A,0)))</f>
        <v>N</v>
      </c>
      <c r="H684" t="str">
        <f t="array" ref="H684">iferror(index(isotopes!$G:$G,match($A684,isotopes!$A:$A,0)))</f>
        <v>BIS31-41</v>
      </c>
      <c r="I684" t="str">
        <f t="array" ref="I684">iferror(index(isotopes!$J:$J,match($A684,isotopes!$A:$A,0)))</f>
        <v>N</v>
      </c>
      <c r="J684" t="str">
        <f t="array" ref="J684">iferror(index(extra_muscle!$G:$G,match($A684,extra_muscle!$A:$A,0)))</f>
        <v>BXM29-41</v>
      </c>
      <c r="K684" t="str">
        <f t="array" ref="K684">iferror(index(extra_muscle!$J:$J,match($A684,extra_muscle!$A:$A,0)))</f>
        <v>N</v>
      </c>
      <c r="L684" s="59" t="str">
        <f t="array" ref="L684">iferror(index(dna!$G:$G,match($A684,dna!$A:$A,0)))</f>
        <v/>
      </c>
      <c r="M684" s="60" t="str">
        <f t="array" ref="M684">iferror(index(dna!$J:$J,match($A684,dna!$A:$A,0)))</f>
        <v/>
      </c>
      <c r="N684" t="str">
        <f t="array" ref="N684">iferror(index(stomachs!$G:$G,match($A684,stomachs!$A:$A,0)))</f>
        <v/>
      </c>
      <c r="O684" t="str">
        <f t="array" ref="O684">iferror(index(stomachs!$J:$J,match($A684,stomachs!$A:$A,0)))</f>
        <v/>
      </c>
      <c r="P684" t="str">
        <f t="array" ref="P684">iferror(index(sea_lice!$G:$G,match($A684,sea_lice!$A:$A,0)))</f>
        <v/>
      </c>
      <c r="Q684" t="str">
        <f t="array" ref="Q684">iferror(index(sea_lice!$J:$J,match($A684,sea_lice!$A:$A,0)))</f>
        <v/>
      </c>
      <c r="R684" s="40" t="str">
        <f t="array" ref="R684">iferror(index(dissected_fish!$F:$F,match($A684,dissected_fish!$A:$A,0)))</f>
        <v>BCA106</v>
      </c>
      <c r="S684" s="40" t="str">
        <f t="array" ref="S684">iferror(index(dissected_fish!$K:$K,match($A684,dissected_fish!$A:$A,0)))</f>
        <v>N</v>
      </c>
      <c r="T684" s="61" t="str">
        <f t="array" ref="T684">index(fish_lab_data!O:O,match(A684,fish_lab_data!C:C,0))</f>
        <v>KB</v>
      </c>
      <c r="U684" s="61">
        <f t="array" ref="U684">if(A684="","",index(fish_lab_data!X:X,match(A684,fish_lab_data!C:C,0)))</f>
        <v>683</v>
      </c>
    </row>
    <row r="685">
      <c r="A685" t="str">
        <f>fish_lab_data!C685</f>
        <v>U16121</v>
      </c>
      <c r="B685" t="str">
        <f t="array" ref="B685">iferror(index('rna-muscle'!$I:$I,match($A685,'rna-muscle'!$A:$A,0)))</f>
        <v>BRN61M-B8</v>
      </c>
      <c r="C685" t="str">
        <f t="array" ref="C685">iferror(index('rna-muscle'!$L:$L,match($A685,'rna-muscle'!$A:$A,0)))</f>
        <v>N</v>
      </c>
      <c r="D685" t="str">
        <f t="array" ref="D685">iferror(index('rna-gill'!$I:$I,match($A685,'rna-gill'!$A:$A,0)))</f>
        <v>BRN61G-B8</v>
      </c>
      <c r="E685" t="str">
        <f t="array" ref="E685">iferror(index('rna-gill'!$L:$L,match($A685,'rna-gill'!$A:$A,0)))</f>
        <v>N</v>
      </c>
      <c r="F685" t="str">
        <f t="array" ref="F685">iferror(index(fatty_acid!$G:$G,match($A685,fatty_acid!$A:$A,0)))</f>
        <v>BFA28-42</v>
      </c>
      <c r="G685" t="str">
        <f t="array" ref="G685">iferror(index(fatty_acid!$J:$J,match($A685,fatty_acid!$A:$A,0)))</f>
        <v>N</v>
      </c>
      <c r="H685" t="str">
        <f t="array" ref="H685">iferror(index(isotopes!$G:$G,match($A685,isotopes!$A:$A,0)))</f>
        <v>BIS31-42</v>
      </c>
      <c r="I685" t="str">
        <f t="array" ref="I685">iferror(index(isotopes!$J:$J,match($A685,isotopes!$A:$A,0)))</f>
        <v>N</v>
      </c>
      <c r="J685" t="str">
        <f t="array" ref="J685">iferror(index(extra_muscle!$G:$G,match($A685,extra_muscle!$A:$A,0)))</f>
        <v>BXM29-42</v>
      </c>
      <c r="K685" t="str">
        <f t="array" ref="K685">iferror(index(extra_muscle!$J:$J,match($A685,extra_muscle!$A:$A,0)))</f>
        <v>N</v>
      </c>
      <c r="L685" s="59" t="str">
        <f t="array" ref="L685">iferror(index(dna!$G:$G,match($A685,dna!$A:$A,0)))</f>
        <v/>
      </c>
      <c r="M685" s="60" t="str">
        <f t="array" ref="M685">iferror(index(dna!$J:$J,match($A685,dna!$A:$A,0)))</f>
        <v/>
      </c>
      <c r="N685" t="str">
        <f t="array" ref="N685">iferror(index(stomachs!$G:$G,match($A685,stomachs!$A:$A,0)))</f>
        <v/>
      </c>
      <c r="O685" t="str">
        <f t="array" ref="O685">iferror(index(stomachs!$J:$J,match($A685,stomachs!$A:$A,0)))</f>
        <v/>
      </c>
      <c r="P685" t="str">
        <f t="array" ref="P685">iferror(index(sea_lice!$G:$G,match($A685,sea_lice!$A:$A,0)))</f>
        <v/>
      </c>
      <c r="Q685" t="str">
        <f t="array" ref="Q685">iferror(index(sea_lice!$J:$J,match($A685,sea_lice!$A:$A,0)))</f>
        <v/>
      </c>
      <c r="R685" s="40" t="str">
        <f t="array" ref="R685">iferror(index(dissected_fish!$F:$F,match($A685,dissected_fish!$A:$A,0)))</f>
        <v>BCA106</v>
      </c>
      <c r="S685" s="40" t="str">
        <f t="array" ref="S685">iferror(index(dissected_fish!$K:$K,match($A685,dissected_fish!$A:$A,0)))</f>
        <v>N</v>
      </c>
      <c r="T685" s="61" t="str">
        <f t="array" ref="T685">index(fish_lab_data!O:O,match(A685,fish_lab_data!C:C,0))</f>
        <v>KB</v>
      </c>
      <c r="U685" s="61">
        <f t="array" ref="U685">if(A685="","",index(fish_lab_data!X:X,match(A685,fish_lab_data!C:C,0)))</f>
        <v>684</v>
      </c>
    </row>
    <row r="686">
      <c r="A686" t="str">
        <f>fish_lab_data!C686</f>
        <v>U16453</v>
      </c>
      <c r="B686" t="str">
        <f t="array" ref="B686">iferror(index('rna-muscle'!$I:$I,match($A686,'rna-muscle'!$A:$A,0)))</f>
        <v>BRN61M-A8</v>
      </c>
      <c r="C686" t="str">
        <f t="array" ref="C686">iferror(index('rna-muscle'!$L:$L,match($A686,'rna-muscle'!$A:$A,0)))</f>
        <v>N</v>
      </c>
      <c r="D686" t="str">
        <f t="array" ref="D686">iferror(index('rna-gill'!$I:$I,match($A686,'rna-gill'!$A:$A,0)))</f>
        <v>BRN61G-A8</v>
      </c>
      <c r="E686" t="str">
        <f t="array" ref="E686">iferror(index('rna-gill'!$L:$L,match($A686,'rna-gill'!$A:$A,0)))</f>
        <v>N</v>
      </c>
      <c r="F686" t="str">
        <f t="array" ref="F686">iferror(index(fatty_acid!$G:$G,match($A686,fatty_acid!$A:$A,0)))</f>
        <v>BFA28-43</v>
      </c>
      <c r="G686" t="str">
        <f t="array" ref="G686">iferror(index(fatty_acid!$J:$J,match($A686,fatty_acid!$A:$A,0)))</f>
        <v>N</v>
      </c>
      <c r="H686" t="str">
        <f t="array" ref="H686">iferror(index(isotopes!$G:$G,match($A686,isotopes!$A:$A,0)))</f>
        <v>BIS31-43</v>
      </c>
      <c r="I686" t="str">
        <f t="array" ref="I686">iferror(index(isotopes!$J:$J,match($A686,isotopes!$A:$A,0)))</f>
        <v>N</v>
      </c>
      <c r="J686" t="str">
        <f t="array" ref="J686">iferror(index(extra_muscle!$G:$G,match($A686,extra_muscle!$A:$A,0)))</f>
        <v>BXM29-43</v>
      </c>
      <c r="K686" t="str">
        <f t="array" ref="K686">iferror(index(extra_muscle!$J:$J,match($A686,extra_muscle!$A:$A,0)))</f>
        <v>N</v>
      </c>
      <c r="L686" s="59" t="str">
        <f t="array" ref="L686">iferror(index(dna!$G:$G,match($A686,dna!$A:$A,0)))</f>
        <v/>
      </c>
      <c r="M686" s="60" t="str">
        <f t="array" ref="M686">iferror(index(dna!$J:$J,match($A686,dna!$A:$A,0)))</f>
        <v/>
      </c>
      <c r="N686" t="str">
        <f t="array" ref="N686">iferror(index(stomachs!$G:$G,match($A686,stomachs!$A:$A,0)))</f>
        <v/>
      </c>
      <c r="O686" t="str">
        <f t="array" ref="O686">iferror(index(stomachs!$J:$J,match($A686,stomachs!$A:$A,0)))</f>
        <v/>
      </c>
      <c r="P686" t="str">
        <f t="array" ref="P686">iferror(index(sea_lice!$G:$G,match($A686,sea_lice!$A:$A,0)))</f>
        <v/>
      </c>
      <c r="Q686" t="str">
        <f t="array" ref="Q686">iferror(index(sea_lice!$J:$J,match($A686,sea_lice!$A:$A,0)))</f>
        <v/>
      </c>
      <c r="R686" s="40" t="str">
        <f t="array" ref="R686">iferror(index(dissected_fish!$F:$F,match($A686,dissected_fish!$A:$A,0)))</f>
        <v>BCA106</v>
      </c>
      <c r="S686" s="40" t="str">
        <f t="array" ref="S686">iferror(index(dissected_fish!$K:$K,match($A686,dissected_fish!$A:$A,0)))</f>
        <v>N</v>
      </c>
      <c r="T686" s="61" t="str">
        <f t="array" ref="T686">index(fish_lab_data!O:O,match(A686,fish_lab_data!C:C,0))</f>
        <v>KB</v>
      </c>
      <c r="U686" s="61">
        <f t="array" ref="U686">if(A686="","",index(fish_lab_data!X:X,match(A686,fish_lab_data!C:C,0)))</f>
        <v>685</v>
      </c>
    </row>
    <row r="687">
      <c r="A687" t="str">
        <f>fish_lab_data!C687</f>
        <v>U16454</v>
      </c>
      <c r="B687" t="str">
        <f t="array" ref="B687">iferror(index('rna-muscle'!$I:$I,match($A687,'rna-muscle'!$A:$A,0)))</f>
        <v>BRN61M-H10</v>
      </c>
      <c r="C687" t="str">
        <f t="array" ref="C687">iferror(index('rna-muscle'!$L:$L,match($A687,'rna-muscle'!$A:$A,0)))</f>
        <v>N</v>
      </c>
      <c r="D687" t="str">
        <f t="array" ref="D687">iferror(index('rna-gill'!$I:$I,match($A687,'rna-gill'!$A:$A,0)))</f>
        <v>BRN61G-H10</v>
      </c>
      <c r="E687" t="str">
        <f t="array" ref="E687">iferror(index('rna-gill'!$L:$L,match($A687,'rna-gill'!$A:$A,0)))</f>
        <v>N</v>
      </c>
      <c r="F687" t="str">
        <f t="array" ref="F687">iferror(index(fatty_acid!$G:$G,match($A687,fatty_acid!$A:$A,0)))</f>
        <v>BFA28-44</v>
      </c>
      <c r="G687" t="str">
        <f t="array" ref="G687">iferror(index(fatty_acid!$J:$J,match($A687,fatty_acid!$A:$A,0)))</f>
        <v>N</v>
      </c>
      <c r="H687" t="str">
        <f t="array" ref="H687">iferror(index(isotopes!$G:$G,match($A687,isotopes!$A:$A,0)))</f>
        <v>BIS31-44</v>
      </c>
      <c r="I687" t="str">
        <f t="array" ref="I687">iferror(index(isotopes!$J:$J,match($A687,isotopes!$A:$A,0)))</f>
        <v>N</v>
      </c>
      <c r="J687" t="str">
        <f t="array" ref="J687">iferror(index(extra_muscle!$G:$G,match($A687,extra_muscle!$A:$A,0)))</f>
        <v>BXM29-44</v>
      </c>
      <c r="K687" t="str">
        <f t="array" ref="K687">iferror(index(extra_muscle!$J:$J,match($A687,extra_muscle!$A:$A,0)))</f>
        <v>N</v>
      </c>
      <c r="L687" s="59" t="str">
        <f t="array" ref="L687">iferror(index(dna!$G:$G,match($A687,dna!$A:$A,0)))</f>
        <v/>
      </c>
      <c r="M687" s="60" t="str">
        <f t="array" ref="M687">iferror(index(dna!$J:$J,match($A687,dna!$A:$A,0)))</f>
        <v/>
      </c>
      <c r="N687" t="str">
        <f t="array" ref="N687">iferror(index(stomachs!$G:$G,match($A687,stomachs!$A:$A,0)))</f>
        <v/>
      </c>
      <c r="O687" t="str">
        <f t="array" ref="O687">iferror(index(stomachs!$J:$J,match($A687,stomachs!$A:$A,0)))</f>
        <v/>
      </c>
      <c r="P687" t="str">
        <f t="array" ref="P687">iferror(index(sea_lice!$G:$G,match($A687,sea_lice!$A:$A,0)))</f>
        <v/>
      </c>
      <c r="Q687" t="str">
        <f t="array" ref="Q687">iferror(index(sea_lice!$J:$J,match($A687,sea_lice!$A:$A,0)))</f>
        <v/>
      </c>
      <c r="R687" s="40" t="str">
        <f t="array" ref="R687">iferror(index(dissected_fish!$F:$F,match($A687,dissected_fish!$A:$A,0)))</f>
        <v>BCA106</v>
      </c>
      <c r="S687" s="40" t="str">
        <f t="array" ref="S687">iferror(index(dissected_fish!$K:$K,match($A687,dissected_fish!$A:$A,0)))</f>
        <v>N</v>
      </c>
      <c r="T687" s="61" t="str">
        <f t="array" ref="T687">index(fish_lab_data!O:O,match(A687,fish_lab_data!C:C,0))</f>
        <v>KB</v>
      </c>
      <c r="U687" s="61">
        <f t="array" ref="U687">if(A687="","",index(fish_lab_data!X:X,match(A687,fish_lab_data!C:C,0)))</f>
        <v>686</v>
      </c>
    </row>
    <row r="688">
      <c r="A688" t="str">
        <f>fish_lab_data!C688</f>
        <v>U16451</v>
      </c>
      <c r="B688" t="str">
        <f t="array" ref="B688">iferror(index('rna-muscle'!$I:$I,match($A688,'rna-muscle'!$A:$A,0)))</f>
        <v>BRN61M-G10</v>
      </c>
      <c r="C688" t="str">
        <f t="array" ref="C688">iferror(index('rna-muscle'!$L:$L,match($A688,'rna-muscle'!$A:$A,0)))</f>
        <v>N</v>
      </c>
      <c r="D688" t="str">
        <f t="array" ref="D688">iferror(index('rna-gill'!$I:$I,match($A688,'rna-gill'!$A:$A,0)))</f>
        <v>BRN61G-G10</v>
      </c>
      <c r="E688" t="str">
        <f t="array" ref="E688">iferror(index('rna-gill'!$L:$L,match($A688,'rna-gill'!$A:$A,0)))</f>
        <v>N</v>
      </c>
      <c r="F688" t="str">
        <f t="array" ref="F688">iferror(index(fatty_acid!$G:$G,match($A688,fatty_acid!$A:$A,0)))</f>
        <v>BFA28-45</v>
      </c>
      <c r="G688" t="str">
        <f t="array" ref="G688">iferror(index(fatty_acid!$J:$J,match($A688,fatty_acid!$A:$A,0)))</f>
        <v>N</v>
      </c>
      <c r="H688" t="str">
        <f t="array" ref="H688">iferror(index(isotopes!$G:$G,match($A688,isotopes!$A:$A,0)))</f>
        <v>BIS31-45</v>
      </c>
      <c r="I688" t="str">
        <f t="array" ref="I688">iferror(index(isotopes!$J:$J,match($A688,isotopes!$A:$A,0)))</f>
        <v>N</v>
      </c>
      <c r="J688" t="str">
        <f t="array" ref="J688">iferror(index(extra_muscle!$G:$G,match($A688,extra_muscle!$A:$A,0)))</f>
        <v>BXM29-45</v>
      </c>
      <c r="K688" t="str">
        <f t="array" ref="K688">iferror(index(extra_muscle!$J:$J,match($A688,extra_muscle!$A:$A,0)))</f>
        <v>N</v>
      </c>
      <c r="L688" s="59" t="str">
        <f t="array" ref="L688">iferror(index(dna!$G:$G,match($A688,dna!$A:$A,0)))</f>
        <v/>
      </c>
      <c r="M688" s="60" t="str">
        <f t="array" ref="M688">iferror(index(dna!$J:$J,match($A688,dna!$A:$A,0)))</f>
        <v/>
      </c>
      <c r="N688" t="str">
        <f t="array" ref="N688">iferror(index(stomachs!$G:$G,match($A688,stomachs!$A:$A,0)))</f>
        <v/>
      </c>
      <c r="O688" t="str">
        <f t="array" ref="O688">iferror(index(stomachs!$J:$J,match($A688,stomachs!$A:$A,0)))</f>
        <v/>
      </c>
      <c r="P688" t="str">
        <f t="array" ref="P688">iferror(index(sea_lice!$G:$G,match($A688,sea_lice!$A:$A,0)))</f>
        <v/>
      </c>
      <c r="Q688" t="str">
        <f t="array" ref="Q688">iferror(index(sea_lice!$J:$J,match($A688,sea_lice!$A:$A,0)))</f>
        <v/>
      </c>
      <c r="R688" s="40" t="str">
        <f t="array" ref="R688">iferror(index(dissected_fish!$F:$F,match($A688,dissected_fish!$A:$A,0)))</f>
        <v>BCA106</v>
      </c>
      <c r="S688" s="40" t="str">
        <f t="array" ref="S688">iferror(index(dissected_fish!$K:$K,match($A688,dissected_fish!$A:$A,0)))</f>
        <v>N</v>
      </c>
      <c r="T688" s="61" t="str">
        <f t="array" ref="T688">index(fish_lab_data!O:O,match(A688,fish_lab_data!C:C,0))</f>
        <v>KB</v>
      </c>
      <c r="U688" s="61">
        <f t="array" ref="U688">if(A688="","",index(fish_lab_data!X:X,match(A688,fish_lab_data!C:C,0)))</f>
        <v>687</v>
      </c>
    </row>
    <row r="689">
      <c r="A689" t="str">
        <f>fish_lab_data!C689</f>
        <v>U16452</v>
      </c>
      <c r="B689" t="str">
        <f t="array" ref="B689">iferror(index('rna-muscle'!$I:$I,match($A689,'rna-muscle'!$A:$A,0)))</f>
        <v>BRN61M-F10</v>
      </c>
      <c r="C689" t="str">
        <f t="array" ref="C689">iferror(index('rna-muscle'!$L:$L,match($A689,'rna-muscle'!$A:$A,0)))</f>
        <v>N</v>
      </c>
      <c r="D689" t="str">
        <f t="array" ref="D689">iferror(index('rna-gill'!$I:$I,match($A689,'rna-gill'!$A:$A,0)))</f>
        <v>BRN61G-F10</v>
      </c>
      <c r="E689" t="str">
        <f t="array" ref="E689">iferror(index('rna-gill'!$L:$L,match($A689,'rna-gill'!$A:$A,0)))</f>
        <v>N</v>
      </c>
      <c r="F689" t="str">
        <f t="array" ref="F689">iferror(index(fatty_acid!$G:$G,match($A689,fatty_acid!$A:$A,0)))</f>
        <v>BFA28-46</v>
      </c>
      <c r="G689" t="str">
        <f t="array" ref="G689">iferror(index(fatty_acid!$J:$J,match($A689,fatty_acid!$A:$A,0)))</f>
        <v>N</v>
      </c>
      <c r="H689" t="str">
        <f t="array" ref="H689">iferror(index(isotopes!$G:$G,match($A689,isotopes!$A:$A,0)))</f>
        <v>BIS31-46</v>
      </c>
      <c r="I689" t="str">
        <f t="array" ref="I689">iferror(index(isotopes!$J:$J,match($A689,isotopes!$A:$A,0)))</f>
        <v>N</v>
      </c>
      <c r="J689" t="str">
        <f t="array" ref="J689">iferror(index(extra_muscle!$G:$G,match($A689,extra_muscle!$A:$A,0)))</f>
        <v>BXM29-46</v>
      </c>
      <c r="K689" t="str">
        <f t="array" ref="K689">iferror(index(extra_muscle!$J:$J,match($A689,extra_muscle!$A:$A,0)))</f>
        <v>N</v>
      </c>
      <c r="L689" s="59" t="str">
        <f t="array" ref="L689">iferror(index(dna!$G:$G,match($A689,dna!$A:$A,0)))</f>
        <v/>
      </c>
      <c r="M689" s="60" t="str">
        <f t="array" ref="M689">iferror(index(dna!$J:$J,match($A689,dna!$A:$A,0)))</f>
        <v/>
      </c>
      <c r="N689" t="str">
        <f t="array" ref="N689">iferror(index(stomachs!$G:$G,match($A689,stomachs!$A:$A,0)))</f>
        <v/>
      </c>
      <c r="O689" t="str">
        <f t="array" ref="O689">iferror(index(stomachs!$J:$J,match($A689,stomachs!$A:$A,0)))</f>
        <v/>
      </c>
      <c r="P689" t="str">
        <f t="array" ref="P689">iferror(index(sea_lice!$G:$G,match($A689,sea_lice!$A:$A,0)))</f>
        <v/>
      </c>
      <c r="Q689" t="str">
        <f t="array" ref="Q689">iferror(index(sea_lice!$J:$J,match($A689,sea_lice!$A:$A,0)))</f>
        <v/>
      </c>
      <c r="R689" s="40" t="str">
        <f t="array" ref="R689">iferror(index(dissected_fish!$F:$F,match($A689,dissected_fish!$A:$A,0)))</f>
        <v>BCA106</v>
      </c>
      <c r="S689" s="40" t="str">
        <f t="array" ref="S689">iferror(index(dissected_fish!$K:$K,match($A689,dissected_fish!$A:$A,0)))</f>
        <v>N</v>
      </c>
      <c r="T689" s="61" t="str">
        <f t="array" ref="T689">index(fish_lab_data!O:O,match(A689,fish_lab_data!C:C,0))</f>
        <v>KB</v>
      </c>
      <c r="U689" s="61">
        <f t="array" ref="U689">if(A689="","",index(fish_lab_data!X:X,match(A689,fish_lab_data!C:C,0)))</f>
        <v>688</v>
      </c>
    </row>
    <row r="690">
      <c r="A690" t="str">
        <f>fish_lab_data!C690</f>
        <v>U16581</v>
      </c>
      <c r="B690" t="str">
        <f t="array" ref="B690">iferror(index('rna-muscle'!$I:$I,match($A690,'rna-muscle'!$A:$A,0)))</f>
        <v>BRN61M-E10</v>
      </c>
      <c r="C690" t="str">
        <f t="array" ref="C690">iferror(index('rna-muscle'!$L:$L,match($A690,'rna-muscle'!$A:$A,0)))</f>
        <v>N</v>
      </c>
      <c r="D690" t="str">
        <f t="array" ref="D690">iferror(index('rna-gill'!$I:$I,match($A690,'rna-gill'!$A:$A,0)))</f>
        <v>BRN61G-E10</v>
      </c>
      <c r="E690" t="str">
        <f t="array" ref="E690">iferror(index('rna-gill'!$L:$L,match($A690,'rna-gill'!$A:$A,0)))</f>
        <v>N</v>
      </c>
      <c r="F690" t="str">
        <f t="array" ref="F690">iferror(index(fatty_acid!$G:$G,match($A690,fatty_acid!$A:$A,0)))</f>
        <v>BFA28-47</v>
      </c>
      <c r="G690" t="str">
        <f t="array" ref="G690">iferror(index(fatty_acid!$J:$J,match($A690,fatty_acid!$A:$A,0)))</f>
        <v>N</v>
      </c>
      <c r="H690" t="str">
        <f t="array" ref="H690">iferror(index(isotopes!$G:$G,match($A690,isotopes!$A:$A,0)))</f>
        <v>BIS31-47</v>
      </c>
      <c r="I690" t="str">
        <f t="array" ref="I690">iferror(index(isotopes!$J:$J,match($A690,isotopes!$A:$A,0)))</f>
        <v>N</v>
      </c>
      <c r="J690" t="str">
        <f t="array" ref="J690">iferror(index(extra_muscle!$G:$G,match($A690,extra_muscle!$A:$A,0)))</f>
        <v>BXM29-47</v>
      </c>
      <c r="K690" t="str">
        <f t="array" ref="K690">iferror(index(extra_muscle!$J:$J,match($A690,extra_muscle!$A:$A,0)))</f>
        <v>N</v>
      </c>
      <c r="L690" s="59" t="str">
        <f t="array" ref="L690">iferror(index(dna!$G:$G,match($A690,dna!$A:$A,0)))</f>
        <v/>
      </c>
      <c r="M690" s="60" t="str">
        <f t="array" ref="M690">iferror(index(dna!$J:$J,match($A690,dna!$A:$A,0)))</f>
        <v/>
      </c>
      <c r="N690" t="str">
        <f t="array" ref="N690">iferror(index(stomachs!$G:$G,match($A690,stomachs!$A:$A,0)))</f>
        <v/>
      </c>
      <c r="O690" t="str">
        <f t="array" ref="O690">iferror(index(stomachs!$J:$J,match($A690,stomachs!$A:$A,0)))</f>
        <v/>
      </c>
      <c r="P690" t="str">
        <f t="array" ref="P690">iferror(index(sea_lice!$G:$G,match($A690,sea_lice!$A:$A,0)))</f>
        <v/>
      </c>
      <c r="Q690" t="str">
        <f t="array" ref="Q690">iferror(index(sea_lice!$J:$J,match($A690,sea_lice!$A:$A,0)))</f>
        <v/>
      </c>
      <c r="R690" s="40" t="str">
        <f t="array" ref="R690">iferror(index(dissected_fish!$F:$F,match($A690,dissected_fish!$A:$A,0)))</f>
        <v>BCA106</v>
      </c>
      <c r="S690" s="40" t="str">
        <f t="array" ref="S690">iferror(index(dissected_fish!$K:$K,match($A690,dissected_fish!$A:$A,0)))</f>
        <v>N</v>
      </c>
      <c r="T690" s="61" t="str">
        <f t="array" ref="T690">index(fish_lab_data!O:O,match(A690,fish_lab_data!C:C,0))</f>
        <v>KB</v>
      </c>
      <c r="U690" s="61">
        <f t="array" ref="U690">if(A690="","",index(fish_lab_data!X:X,match(A690,fish_lab_data!C:C,0)))</f>
        <v>689</v>
      </c>
    </row>
    <row r="691">
      <c r="A691" t="str">
        <f>fish_lab_data!C691</f>
        <v>U16585</v>
      </c>
      <c r="B691" t="str">
        <f t="array" ref="B691">iferror(index('rna-muscle'!$I:$I,match($A691,'rna-muscle'!$A:$A,0)))</f>
        <v>BRN61M-D10</v>
      </c>
      <c r="C691" t="str">
        <f t="array" ref="C691">iferror(index('rna-muscle'!$L:$L,match($A691,'rna-muscle'!$A:$A,0)))</f>
        <v>N</v>
      </c>
      <c r="D691" t="str">
        <f t="array" ref="D691">iferror(index('rna-gill'!$I:$I,match($A691,'rna-gill'!$A:$A,0)))</f>
        <v>BRN61G-D10</v>
      </c>
      <c r="E691" t="str">
        <f t="array" ref="E691">iferror(index('rna-gill'!$L:$L,match($A691,'rna-gill'!$A:$A,0)))</f>
        <v>N</v>
      </c>
      <c r="F691" t="str">
        <f t="array" ref="F691">iferror(index(fatty_acid!$G:$G,match($A691,fatty_acid!$A:$A,0)))</f>
        <v>BFA28-48</v>
      </c>
      <c r="G691" t="str">
        <f t="array" ref="G691">iferror(index(fatty_acid!$J:$J,match($A691,fatty_acid!$A:$A,0)))</f>
        <v>N</v>
      </c>
      <c r="H691" t="str">
        <f t="array" ref="H691">iferror(index(isotopes!$G:$G,match($A691,isotopes!$A:$A,0)))</f>
        <v>BIS31-48</v>
      </c>
      <c r="I691" t="str">
        <f t="array" ref="I691">iferror(index(isotopes!$J:$J,match($A691,isotopes!$A:$A,0)))</f>
        <v>N</v>
      </c>
      <c r="J691" t="str">
        <f t="array" ref="J691">iferror(index(extra_muscle!$G:$G,match($A691,extra_muscle!$A:$A,0)))</f>
        <v>BXM29-48</v>
      </c>
      <c r="K691" t="str">
        <f t="array" ref="K691">iferror(index(extra_muscle!$J:$J,match($A691,extra_muscle!$A:$A,0)))</f>
        <v>N</v>
      </c>
      <c r="L691" s="59" t="str">
        <f t="array" ref="L691">iferror(index(dna!$G:$G,match($A691,dna!$A:$A,0)))</f>
        <v/>
      </c>
      <c r="M691" s="60" t="str">
        <f t="array" ref="M691">iferror(index(dna!$J:$J,match($A691,dna!$A:$A,0)))</f>
        <v/>
      </c>
      <c r="N691" t="str">
        <f t="array" ref="N691">iferror(index(stomachs!$G:$G,match($A691,stomachs!$A:$A,0)))</f>
        <v/>
      </c>
      <c r="O691" t="str">
        <f t="array" ref="O691">iferror(index(stomachs!$J:$J,match($A691,stomachs!$A:$A,0)))</f>
        <v/>
      </c>
      <c r="P691" t="str">
        <f t="array" ref="P691">iferror(index(sea_lice!$G:$G,match($A691,sea_lice!$A:$A,0)))</f>
        <v/>
      </c>
      <c r="Q691" t="str">
        <f t="array" ref="Q691">iferror(index(sea_lice!$J:$J,match($A691,sea_lice!$A:$A,0)))</f>
        <v/>
      </c>
      <c r="R691" s="40" t="str">
        <f t="array" ref="R691">iferror(index(dissected_fish!$F:$F,match($A691,dissected_fish!$A:$A,0)))</f>
        <v>BCA106</v>
      </c>
      <c r="S691" s="40" t="str">
        <f t="array" ref="S691">iferror(index(dissected_fish!$K:$K,match($A691,dissected_fish!$A:$A,0)))</f>
        <v>N</v>
      </c>
      <c r="T691" s="61" t="str">
        <f t="array" ref="T691">index(fish_lab_data!O:O,match(A691,fish_lab_data!C:C,0))</f>
        <v>KB</v>
      </c>
      <c r="U691" s="61">
        <f t="array" ref="U691">if(A691="","",index(fish_lab_data!X:X,match(A691,fish_lab_data!C:C,0)))</f>
        <v>690</v>
      </c>
    </row>
    <row r="692">
      <c r="A692" t="str">
        <f>fish_lab_data!C692</f>
        <v>U16584</v>
      </c>
      <c r="B692" t="str">
        <f t="array" ref="B692">iferror(index('rna-muscle'!$I:$I,match($A692,'rna-muscle'!$A:$A,0)))</f>
        <v>BRN61M-C10</v>
      </c>
      <c r="C692" t="str">
        <f t="array" ref="C692">iferror(index('rna-muscle'!$L:$L,match($A692,'rna-muscle'!$A:$A,0)))</f>
        <v>N</v>
      </c>
      <c r="D692" t="str">
        <f t="array" ref="D692">iferror(index('rna-gill'!$I:$I,match($A692,'rna-gill'!$A:$A,0)))</f>
        <v>BRN61G-C10</v>
      </c>
      <c r="E692" t="str">
        <f t="array" ref="E692">iferror(index('rna-gill'!$L:$L,match($A692,'rna-gill'!$A:$A,0)))</f>
        <v>N</v>
      </c>
      <c r="F692" t="str">
        <f t="array" ref="F692">iferror(index(fatty_acid!$G:$G,match($A692,fatty_acid!$A:$A,0)))</f>
        <v>BFA28-49</v>
      </c>
      <c r="G692" t="str">
        <f t="array" ref="G692">iferror(index(fatty_acid!$J:$J,match($A692,fatty_acid!$A:$A,0)))</f>
        <v>N</v>
      </c>
      <c r="H692" t="str">
        <f t="array" ref="H692">iferror(index(isotopes!$G:$G,match($A692,isotopes!$A:$A,0)))</f>
        <v>BIS31-49</v>
      </c>
      <c r="I692" t="str">
        <f t="array" ref="I692">iferror(index(isotopes!$J:$J,match($A692,isotopes!$A:$A,0)))</f>
        <v>N</v>
      </c>
      <c r="J692" t="str">
        <f t="array" ref="J692">iferror(index(extra_muscle!$G:$G,match($A692,extra_muscle!$A:$A,0)))</f>
        <v>BXM29-49</v>
      </c>
      <c r="K692" t="str">
        <f t="array" ref="K692">iferror(index(extra_muscle!$J:$J,match($A692,extra_muscle!$A:$A,0)))</f>
        <v>N</v>
      </c>
      <c r="L692" s="59" t="str">
        <f t="array" ref="L692">iferror(index(dna!$G:$G,match($A692,dna!$A:$A,0)))</f>
        <v/>
      </c>
      <c r="M692" s="60" t="str">
        <f t="array" ref="M692">iferror(index(dna!$J:$J,match($A692,dna!$A:$A,0)))</f>
        <v/>
      </c>
      <c r="N692" t="str">
        <f t="array" ref="N692">iferror(index(stomachs!$G:$G,match($A692,stomachs!$A:$A,0)))</f>
        <v/>
      </c>
      <c r="O692" t="str">
        <f t="array" ref="O692">iferror(index(stomachs!$J:$J,match($A692,stomachs!$A:$A,0)))</f>
        <v/>
      </c>
      <c r="P692" t="str">
        <f t="array" ref="P692">iferror(index(sea_lice!$G:$G,match($A692,sea_lice!$A:$A,0)))</f>
        <v/>
      </c>
      <c r="Q692" t="str">
        <f t="array" ref="Q692">iferror(index(sea_lice!$J:$J,match($A692,sea_lice!$A:$A,0)))</f>
        <v/>
      </c>
      <c r="R692" s="40" t="str">
        <f t="array" ref="R692">iferror(index(dissected_fish!$F:$F,match($A692,dissected_fish!$A:$A,0)))</f>
        <v>BCA106</v>
      </c>
      <c r="S692" s="40" t="str">
        <f t="array" ref="S692">iferror(index(dissected_fish!$K:$K,match($A692,dissected_fish!$A:$A,0)))</f>
        <v>N</v>
      </c>
      <c r="T692" s="61" t="str">
        <f t="array" ref="T692">index(fish_lab_data!O:O,match(A692,fish_lab_data!C:C,0))</f>
        <v>KB</v>
      </c>
      <c r="U692" s="61">
        <f t="array" ref="U692">if(A692="","",index(fish_lab_data!X:X,match(A692,fish_lab_data!C:C,0)))</f>
        <v>691</v>
      </c>
    </row>
    <row r="693">
      <c r="A693" t="str">
        <f>fish_lab_data!C693</f>
        <v>U16583</v>
      </c>
      <c r="B693" t="str">
        <f t="array" ref="B693">iferror(index('rna-muscle'!$I:$I,match($A693,'rna-muscle'!$A:$A,0)))</f>
        <v>BRN61M-B10</v>
      </c>
      <c r="C693" t="str">
        <f t="array" ref="C693">iferror(index('rna-muscle'!$L:$L,match($A693,'rna-muscle'!$A:$A,0)))</f>
        <v>N</v>
      </c>
      <c r="D693" t="str">
        <f t="array" ref="D693">iferror(index('rna-gill'!$I:$I,match($A693,'rna-gill'!$A:$A,0)))</f>
        <v>BRN61G-B10</v>
      </c>
      <c r="E693" t="str">
        <f t="array" ref="E693">iferror(index('rna-gill'!$L:$L,match($A693,'rna-gill'!$A:$A,0)))</f>
        <v>N</v>
      </c>
      <c r="F693" t="str">
        <f t="array" ref="F693">iferror(index(fatty_acid!$G:$G,match($A693,fatty_acid!$A:$A,0)))</f>
        <v>BFA28-50</v>
      </c>
      <c r="G693" t="str">
        <f t="array" ref="G693">iferror(index(fatty_acid!$J:$J,match($A693,fatty_acid!$A:$A,0)))</f>
        <v>N</v>
      </c>
      <c r="H693" t="str">
        <f t="array" ref="H693">iferror(index(isotopes!$G:$G,match($A693,isotopes!$A:$A,0)))</f>
        <v>BIS31-50</v>
      </c>
      <c r="I693" t="str">
        <f t="array" ref="I693">iferror(index(isotopes!$J:$J,match($A693,isotopes!$A:$A,0)))</f>
        <v>N</v>
      </c>
      <c r="J693" t="str">
        <f t="array" ref="J693">iferror(index(extra_muscle!$G:$G,match($A693,extra_muscle!$A:$A,0)))</f>
        <v>BXM29-50</v>
      </c>
      <c r="K693" t="str">
        <f t="array" ref="K693">iferror(index(extra_muscle!$J:$J,match($A693,extra_muscle!$A:$A,0)))</f>
        <v>N</v>
      </c>
      <c r="L693" s="59" t="str">
        <f t="array" ref="L693">iferror(index(dna!$G:$G,match($A693,dna!$A:$A,0)))</f>
        <v/>
      </c>
      <c r="M693" s="60" t="str">
        <f t="array" ref="M693">iferror(index(dna!$J:$J,match($A693,dna!$A:$A,0)))</f>
        <v/>
      </c>
      <c r="N693" t="str">
        <f t="array" ref="N693">iferror(index(stomachs!$G:$G,match($A693,stomachs!$A:$A,0)))</f>
        <v/>
      </c>
      <c r="O693" t="str">
        <f t="array" ref="O693">iferror(index(stomachs!$J:$J,match($A693,stomachs!$A:$A,0)))</f>
        <v/>
      </c>
      <c r="P693" t="str">
        <f t="array" ref="P693">iferror(index(sea_lice!$G:$G,match($A693,sea_lice!$A:$A,0)))</f>
        <v>BSL6-58</v>
      </c>
      <c r="Q693" t="str">
        <f t="array" ref="Q693">iferror(index(sea_lice!$J:$J,match($A693,sea_lice!$A:$A,0)))</f>
        <v>N</v>
      </c>
      <c r="R693" s="40" t="str">
        <f t="array" ref="R693">iferror(index(dissected_fish!$F:$F,match($A693,dissected_fish!$A:$A,0)))</f>
        <v>BCA106</v>
      </c>
      <c r="S693" s="40" t="str">
        <f t="array" ref="S693">iferror(index(dissected_fish!$K:$K,match($A693,dissected_fish!$A:$A,0)))</f>
        <v>N</v>
      </c>
      <c r="T693" s="61" t="str">
        <f t="array" ref="T693">index(fish_lab_data!O:O,match(A693,fish_lab_data!C:C,0))</f>
        <v>KB</v>
      </c>
      <c r="U693" s="61">
        <f t="array" ref="U693">if(A693="","",index(fish_lab_data!X:X,match(A693,fish_lab_data!C:C,0)))</f>
        <v>692</v>
      </c>
    </row>
    <row r="694">
      <c r="A694" t="str">
        <f>fish_lab_data!C694</f>
        <v>U16582</v>
      </c>
      <c r="B694" t="str">
        <f t="array" ref="B694">iferror(index('rna-muscle'!$I:$I,match($A694,'rna-muscle'!$A:$A,0)))</f>
        <v>BRN61M-A10</v>
      </c>
      <c r="C694" t="str">
        <f t="array" ref="C694">iferror(index('rna-muscle'!$L:$L,match($A694,'rna-muscle'!$A:$A,0)))</f>
        <v>N</v>
      </c>
      <c r="D694" t="str">
        <f t="array" ref="D694">iferror(index('rna-gill'!$I:$I,match($A694,'rna-gill'!$A:$A,0)))</f>
        <v>BRN61G-A10</v>
      </c>
      <c r="E694" t="str">
        <f t="array" ref="E694">iferror(index('rna-gill'!$L:$L,match($A694,'rna-gill'!$A:$A,0)))</f>
        <v>N</v>
      </c>
      <c r="F694" t="str">
        <f t="array" ref="F694">iferror(index(fatty_acid!$G:$G,match($A694,fatty_acid!$A:$A,0)))</f>
        <v>BFA28-51</v>
      </c>
      <c r="G694" t="str">
        <f t="array" ref="G694">iferror(index(fatty_acid!$J:$J,match($A694,fatty_acid!$A:$A,0)))</f>
        <v>N</v>
      </c>
      <c r="H694" t="str">
        <f t="array" ref="H694">iferror(index(isotopes!$G:$G,match($A694,isotopes!$A:$A,0)))</f>
        <v>BIS31-51</v>
      </c>
      <c r="I694" t="str">
        <f t="array" ref="I694">iferror(index(isotopes!$J:$J,match($A694,isotopes!$A:$A,0)))</f>
        <v>N</v>
      </c>
      <c r="J694" t="str">
        <f t="array" ref="J694">iferror(index(extra_muscle!$G:$G,match($A694,extra_muscle!$A:$A,0)))</f>
        <v>BXM29-51</v>
      </c>
      <c r="K694" t="str">
        <f t="array" ref="K694">iferror(index(extra_muscle!$J:$J,match($A694,extra_muscle!$A:$A,0)))</f>
        <v>N</v>
      </c>
      <c r="L694" s="59" t="str">
        <f t="array" ref="L694">iferror(index(dna!$G:$G,match($A694,dna!$A:$A,0)))</f>
        <v/>
      </c>
      <c r="M694" s="60" t="str">
        <f t="array" ref="M694">iferror(index(dna!$J:$J,match($A694,dna!$A:$A,0)))</f>
        <v/>
      </c>
      <c r="N694" t="str">
        <f t="array" ref="N694">iferror(index(stomachs!$G:$G,match($A694,stomachs!$A:$A,0)))</f>
        <v/>
      </c>
      <c r="O694" t="str">
        <f t="array" ref="O694">iferror(index(stomachs!$J:$J,match($A694,stomachs!$A:$A,0)))</f>
        <v/>
      </c>
      <c r="P694" t="str">
        <f t="array" ref="P694">iferror(index(sea_lice!$G:$G,match($A694,sea_lice!$A:$A,0)))</f>
        <v/>
      </c>
      <c r="Q694" t="str">
        <f t="array" ref="Q694">iferror(index(sea_lice!$J:$J,match($A694,sea_lice!$A:$A,0)))</f>
        <v/>
      </c>
      <c r="R694" s="40" t="str">
        <f t="array" ref="R694">iferror(index(dissected_fish!$F:$F,match($A694,dissected_fish!$A:$A,0)))</f>
        <v>BCA106</v>
      </c>
      <c r="S694" s="40" t="str">
        <f t="array" ref="S694">iferror(index(dissected_fish!$K:$K,match($A694,dissected_fish!$A:$A,0)))</f>
        <v>N</v>
      </c>
      <c r="T694" s="61" t="str">
        <f t="array" ref="T694">index(fish_lab_data!O:O,match(A694,fish_lab_data!C:C,0))</f>
        <v>KB</v>
      </c>
      <c r="U694" s="61">
        <f t="array" ref="U694">if(A694="","",index(fish_lab_data!X:X,match(A694,fish_lab_data!C:C,0)))</f>
        <v>693</v>
      </c>
    </row>
    <row r="695">
      <c r="A695" t="str">
        <f>fish_lab_data!C695</f>
        <v>U16901</v>
      </c>
      <c r="B695" t="str">
        <f t="array" ref="B695">iferror(index('rna-muscle'!$I:$I,match($A695,'rna-muscle'!$A:$A,0)))</f>
        <v>BRN61M-C11</v>
      </c>
      <c r="C695" t="str">
        <f t="array" ref="C695">iferror(index('rna-muscle'!$L:$L,match($A695,'rna-muscle'!$A:$A,0)))</f>
        <v>N</v>
      </c>
      <c r="D695" t="str">
        <f t="array" ref="D695">iferror(index('rna-gill'!$I:$I,match($A695,'rna-gill'!$A:$A,0)))</f>
        <v>BRN61G-C11</v>
      </c>
      <c r="E695" t="str">
        <f t="array" ref="E695">iferror(index('rna-gill'!$L:$L,match($A695,'rna-gill'!$A:$A,0)))</f>
        <v>N</v>
      </c>
      <c r="F695" t="str">
        <f t="array" ref="F695">iferror(index(fatty_acid!$G:$G,match($A695,fatty_acid!$A:$A,0)))</f>
        <v>BFA28-52</v>
      </c>
      <c r="G695" t="str">
        <f t="array" ref="G695">iferror(index(fatty_acid!$J:$J,match($A695,fatty_acid!$A:$A,0)))</f>
        <v>N</v>
      </c>
      <c r="H695" t="str">
        <f t="array" ref="H695">iferror(index(isotopes!$G:$G,match($A695,isotopes!$A:$A,0)))</f>
        <v>BIS31-52</v>
      </c>
      <c r="I695" t="str">
        <f t="array" ref="I695">iferror(index(isotopes!$J:$J,match($A695,isotopes!$A:$A,0)))</f>
        <v>N</v>
      </c>
      <c r="J695" t="str">
        <f t="array" ref="J695">iferror(index(extra_muscle!$G:$G,match($A695,extra_muscle!$A:$A,0)))</f>
        <v>BXM29-52</v>
      </c>
      <c r="K695" t="str">
        <f t="array" ref="K695">iferror(index(extra_muscle!$J:$J,match($A695,extra_muscle!$A:$A,0)))</f>
        <v>N</v>
      </c>
      <c r="L695" s="59" t="str">
        <f t="array" ref="L695">iferror(index(dna!$G:$G,match($A695,dna!$A:$A,0)))</f>
        <v/>
      </c>
      <c r="M695" s="60" t="str">
        <f t="array" ref="M695">iferror(index(dna!$J:$J,match($A695,dna!$A:$A,0)))</f>
        <v/>
      </c>
      <c r="N695" t="str">
        <f t="array" ref="N695">iferror(index(stomachs!$G:$G,match($A695,stomachs!$A:$A,0)))</f>
        <v/>
      </c>
      <c r="O695" t="str">
        <f t="array" ref="O695">iferror(index(stomachs!$J:$J,match($A695,stomachs!$A:$A,0)))</f>
        <v/>
      </c>
      <c r="P695" t="str">
        <f t="array" ref="P695">iferror(index(sea_lice!$G:$G,match($A695,sea_lice!$A:$A,0)))</f>
        <v/>
      </c>
      <c r="Q695" t="str">
        <f t="array" ref="Q695">iferror(index(sea_lice!$J:$J,match($A695,sea_lice!$A:$A,0)))</f>
        <v/>
      </c>
      <c r="R695" s="40" t="str">
        <f t="array" ref="R695">iferror(index(dissected_fish!$F:$F,match($A695,dissected_fish!$A:$A,0)))</f>
        <v>BCA106</v>
      </c>
      <c r="S695" s="40" t="str">
        <f t="array" ref="S695">iferror(index(dissected_fish!$K:$K,match($A695,dissected_fish!$A:$A,0)))</f>
        <v>N</v>
      </c>
      <c r="T695" s="61" t="str">
        <f t="array" ref="T695">index(fish_lab_data!O:O,match(A695,fish_lab_data!C:C,0))</f>
        <v>KB</v>
      </c>
      <c r="U695" s="61">
        <f t="array" ref="U695">if(A695="","",index(fish_lab_data!X:X,match(A695,fish_lab_data!C:C,0)))</f>
        <v>694</v>
      </c>
    </row>
    <row r="696">
      <c r="A696" t="str">
        <f>fish_lab_data!C696</f>
        <v>U17871</v>
      </c>
      <c r="B696" t="str">
        <f t="array" ref="B696">iferror(index('rna-muscle'!$I:$I,match($A696,'rna-muscle'!$A:$A,0)))</f>
        <v>BRN61M-B11</v>
      </c>
      <c r="C696" t="str">
        <f t="array" ref="C696">iferror(index('rna-muscle'!$L:$L,match($A696,'rna-muscle'!$A:$A,0)))</f>
        <v>N</v>
      </c>
      <c r="D696" t="str">
        <f t="array" ref="D696">iferror(index('rna-gill'!$I:$I,match($A696,'rna-gill'!$A:$A,0)))</f>
        <v>BRN61G-B11</v>
      </c>
      <c r="E696" t="str">
        <f t="array" ref="E696">iferror(index('rna-gill'!$L:$L,match($A696,'rna-gill'!$A:$A,0)))</f>
        <v>N</v>
      </c>
      <c r="F696" t="str">
        <f t="array" ref="F696">iferror(index(fatty_acid!$G:$G,match($A696,fatty_acid!$A:$A,0)))</f>
        <v>BFA28-53</v>
      </c>
      <c r="G696" t="str">
        <f t="array" ref="G696">iferror(index(fatty_acid!$J:$J,match($A696,fatty_acid!$A:$A,0)))</f>
        <v>N</v>
      </c>
      <c r="H696" t="str">
        <f t="array" ref="H696">iferror(index(isotopes!$G:$G,match($A696,isotopes!$A:$A,0)))</f>
        <v>BIS31-53</v>
      </c>
      <c r="I696" t="str">
        <f t="array" ref="I696">iferror(index(isotopes!$J:$J,match($A696,isotopes!$A:$A,0)))</f>
        <v>N</v>
      </c>
      <c r="J696" t="str">
        <f t="array" ref="J696">iferror(index(extra_muscle!$G:$G,match($A696,extra_muscle!$A:$A,0)))</f>
        <v>BXM29-53</v>
      </c>
      <c r="K696" t="str">
        <f t="array" ref="K696">iferror(index(extra_muscle!$J:$J,match($A696,extra_muscle!$A:$A,0)))</f>
        <v>N</v>
      </c>
      <c r="L696" s="59" t="str">
        <f t="array" ref="L696">iferror(index(dna!$G:$G,match($A696,dna!$A:$A,0)))</f>
        <v/>
      </c>
      <c r="M696" s="60" t="str">
        <f t="array" ref="M696">iferror(index(dna!$J:$J,match($A696,dna!$A:$A,0)))</f>
        <v/>
      </c>
      <c r="N696" t="str">
        <f t="array" ref="N696">iferror(index(stomachs!$G:$G,match($A696,stomachs!$A:$A,0)))</f>
        <v/>
      </c>
      <c r="O696" t="str">
        <f t="array" ref="O696">iferror(index(stomachs!$J:$J,match($A696,stomachs!$A:$A,0)))</f>
        <v/>
      </c>
      <c r="P696" t="str">
        <f t="array" ref="P696">iferror(index(sea_lice!$G:$G,match($A696,sea_lice!$A:$A,0)))</f>
        <v/>
      </c>
      <c r="Q696" t="str">
        <f t="array" ref="Q696">iferror(index(sea_lice!$J:$J,match($A696,sea_lice!$A:$A,0)))</f>
        <v/>
      </c>
      <c r="R696" s="40" t="str">
        <f t="array" ref="R696">iferror(index(dissected_fish!$F:$F,match($A696,dissected_fish!$A:$A,0)))</f>
        <v>BCA106</v>
      </c>
      <c r="S696" s="40" t="str">
        <f t="array" ref="S696">iferror(index(dissected_fish!$K:$K,match($A696,dissected_fish!$A:$A,0)))</f>
        <v>N</v>
      </c>
      <c r="T696" s="61" t="str">
        <f t="array" ref="T696">index(fish_lab_data!O:O,match(A696,fish_lab_data!C:C,0))</f>
        <v>KB</v>
      </c>
      <c r="U696" s="61">
        <f t="array" ref="U696">if(A696="","",index(fish_lab_data!X:X,match(A696,fish_lab_data!C:C,0)))</f>
        <v>695</v>
      </c>
    </row>
    <row r="697">
      <c r="A697" t="str">
        <f>fish_lab_data!C697</f>
        <v>U17661</v>
      </c>
      <c r="B697" t="str">
        <f t="array" ref="B697">iferror(index('rna-muscle'!$I:$I,match($A697,'rna-muscle'!$A:$A,0)))</f>
        <v>BRN61M-A11</v>
      </c>
      <c r="C697" t="str">
        <f t="array" ref="C697">iferror(index('rna-muscle'!$L:$L,match($A697,'rna-muscle'!$A:$A,0)))</f>
        <v>N</v>
      </c>
      <c r="D697" t="str">
        <f t="array" ref="D697">iferror(index('rna-gill'!$I:$I,match($A697,'rna-gill'!$A:$A,0)))</f>
        <v>BRN61G-A11</v>
      </c>
      <c r="E697" t="str">
        <f t="array" ref="E697">iferror(index('rna-gill'!$L:$L,match($A697,'rna-gill'!$A:$A,0)))</f>
        <v>N</v>
      </c>
      <c r="F697" t="str">
        <f t="array" ref="F697">iferror(index(fatty_acid!$G:$G,match($A697,fatty_acid!$A:$A,0)))</f>
        <v>BFA28-54</v>
      </c>
      <c r="G697" t="str">
        <f t="array" ref="G697">iferror(index(fatty_acid!$J:$J,match($A697,fatty_acid!$A:$A,0)))</f>
        <v>N</v>
      </c>
      <c r="H697" t="str">
        <f t="array" ref="H697">iferror(index(isotopes!$G:$G,match($A697,isotopes!$A:$A,0)))</f>
        <v>BIS31-54</v>
      </c>
      <c r="I697" t="str">
        <f t="array" ref="I697">iferror(index(isotopes!$J:$J,match($A697,isotopes!$A:$A,0)))</f>
        <v>N</v>
      </c>
      <c r="J697" t="str">
        <f t="array" ref="J697">iferror(index(extra_muscle!$G:$G,match($A697,extra_muscle!$A:$A,0)))</f>
        <v>BXM29-54</v>
      </c>
      <c r="K697" t="str">
        <f t="array" ref="K697">iferror(index(extra_muscle!$J:$J,match($A697,extra_muscle!$A:$A,0)))</f>
        <v>N</v>
      </c>
      <c r="L697" s="59" t="str">
        <f t="array" ref="L697">iferror(index(dna!$G:$G,match($A697,dna!$A:$A,0)))</f>
        <v/>
      </c>
      <c r="M697" s="60" t="str">
        <f t="array" ref="M697">iferror(index(dna!$J:$J,match($A697,dna!$A:$A,0)))</f>
        <v/>
      </c>
      <c r="N697" t="str">
        <f t="array" ref="N697">iferror(index(stomachs!$G:$G,match($A697,stomachs!$A:$A,0)))</f>
        <v/>
      </c>
      <c r="O697" t="str">
        <f t="array" ref="O697">iferror(index(stomachs!$J:$J,match($A697,stomachs!$A:$A,0)))</f>
        <v/>
      </c>
      <c r="P697" t="str">
        <f t="array" ref="P697">iferror(index(sea_lice!$G:$G,match($A697,sea_lice!$A:$A,0)))</f>
        <v/>
      </c>
      <c r="Q697" t="str">
        <f t="array" ref="Q697">iferror(index(sea_lice!$J:$J,match($A697,sea_lice!$A:$A,0)))</f>
        <v/>
      </c>
      <c r="R697" s="40" t="str">
        <f t="array" ref="R697">iferror(index(dissected_fish!$F:$F,match($A697,dissected_fish!$A:$A,0)))</f>
        <v>BCA106</v>
      </c>
      <c r="S697" s="40" t="str">
        <f t="array" ref="S697">iferror(index(dissected_fish!$K:$K,match($A697,dissected_fish!$A:$A,0)))</f>
        <v>N</v>
      </c>
      <c r="T697" s="61" t="str">
        <f t="array" ref="T697">index(fish_lab_data!O:O,match(A697,fish_lab_data!C:C,0))</f>
        <v>KB</v>
      </c>
      <c r="U697" s="61">
        <f t="array" ref="U697">if(A697="","",index(fish_lab_data!X:X,match(A697,fish_lab_data!C:C,0)))</f>
        <v>696</v>
      </c>
    </row>
    <row r="698">
      <c r="A698" t="str">
        <f>fish_lab_data!C698</f>
        <v>U17125</v>
      </c>
      <c r="B698" t="str">
        <f t="array" ref="B698">iferror(index('rna-muscle'!$I:$I,match($A698,'rna-muscle'!$A:$A,0)))</f>
        <v>BRN64M-F9</v>
      </c>
      <c r="C698" t="str">
        <f t="array" ref="C698">iferror(index('rna-muscle'!$L:$L,match($A698,'rna-muscle'!$A:$A,0)))</f>
        <v>N</v>
      </c>
      <c r="D698" t="str">
        <f t="array" ref="D698">iferror(index('rna-gill'!$I:$I,match($A698,'rna-gill'!$A:$A,0)))</f>
        <v>BRN64G-F9</v>
      </c>
      <c r="E698" t="str">
        <f t="array" ref="E698">iferror(index('rna-gill'!$L:$L,match($A698,'rna-gill'!$A:$A,0)))</f>
        <v>N</v>
      </c>
      <c r="F698" t="str">
        <f t="array" ref="F698">iferror(index(fatty_acid!$G:$G,match($A698,fatty_acid!$A:$A,0)))</f>
        <v>BFA28-55</v>
      </c>
      <c r="G698" t="str">
        <f t="array" ref="G698">iferror(index(fatty_acid!$J:$J,match($A698,fatty_acid!$A:$A,0)))</f>
        <v>N</v>
      </c>
      <c r="H698" t="str">
        <f t="array" ref="H698">iferror(index(isotopes!$G:$G,match($A698,isotopes!$A:$A,0)))</f>
        <v>BIS31-55</v>
      </c>
      <c r="I698" t="str">
        <f t="array" ref="I698">iferror(index(isotopes!$J:$J,match($A698,isotopes!$A:$A,0)))</f>
        <v>N</v>
      </c>
      <c r="J698" t="str">
        <f t="array" ref="J698">iferror(index(extra_muscle!$G:$G,match($A698,extra_muscle!$A:$A,0)))</f>
        <v>BXM29-55</v>
      </c>
      <c r="K698" t="str">
        <f t="array" ref="K698">iferror(index(extra_muscle!$J:$J,match($A698,extra_muscle!$A:$A,0)))</f>
        <v>N</v>
      </c>
      <c r="L698" s="59" t="str">
        <f t="array" ref="L698">iferror(index(dna!$G:$G,match($A698,dna!$A:$A,0)))</f>
        <v/>
      </c>
      <c r="M698" s="60" t="str">
        <f t="array" ref="M698">iferror(index(dna!$J:$J,match($A698,dna!$A:$A,0)))</f>
        <v/>
      </c>
      <c r="N698" t="str">
        <f t="array" ref="N698">iferror(index(stomachs!$G:$G,match($A698,stomachs!$A:$A,0)))</f>
        <v/>
      </c>
      <c r="O698" t="str">
        <f t="array" ref="O698">iferror(index(stomachs!$J:$J,match($A698,stomachs!$A:$A,0)))</f>
        <v/>
      </c>
      <c r="P698" t="str">
        <f t="array" ref="P698">iferror(index(sea_lice!$G:$G,match($A698,sea_lice!$A:$A,0)))</f>
        <v>BSL6-61</v>
      </c>
      <c r="Q698" t="str">
        <f t="array" ref="Q698">iferror(index(sea_lice!$J:$J,match($A698,sea_lice!$A:$A,0)))</f>
        <v>N</v>
      </c>
      <c r="R698" s="40" t="str">
        <f t="array" ref="R698">iferror(index(dissected_fish!$F:$F,match($A698,dissected_fish!$A:$A,0)))</f>
        <v>BCA106</v>
      </c>
      <c r="S698" s="40" t="str">
        <f t="array" ref="S698">iferror(index(dissected_fish!$K:$K,match($A698,dissected_fish!$A:$A,0)))</f>
        <v>N</v>
      </c>
      <c r="T698" s="61" t="str">
        <f t="array" ref="T698">index(fish_lab_data!O:O,match(A698,fish_lab_data!C:C,0))</f>
        <v>KB</v>
      </c>
      <c r="U698" s="61">
        <f t="array" ref="U698">if(A698="","",index(fish_lab_data!X:X,match(A698,fish_lab_data!C:C,0)))</f>
        <v>697</v>
      </c>
    </row>
    <row r="699">
      <c r="A699" t="str">
        <f>fish_lab_data!C699</f>
        <v>U17123</v>
      </c>
      <c r="B699" t="str">
        <f t="array" ref="B699">iferror(index('rna-muscle'!$I:$I,match($A699,'rna-muscle'!$A:$A,0)))</f>
        <v>BRN64M-E9</v>
      </c>
      <c r="C699" t="str">
        <f t="array" ref="C699">iferror(index('rna-muscle'!$L:$L,match($A699,'rna-muscle'!$A:$A,0)))</f>
        <v>N</v>
      </c>
      <c r="D699" t="str">
        <f t="array" ref="D699">iferror(index('rna-gill'!$I:$I,match($A699,'rna-gill'!$A:$A,0)))</f>
        <v>BRN64G-E9</v>
      </c>
      <c r="E699" t="str">
        <f t="array" ref="E699">iferror(index('rna-gill'!$L:$L,match($A699,'rna-gill'!$A:$A,0)))</f>
        <v>N</v>
      </c>
      <c r="F699" t="str">
        <f t="array" ref="F699">iferror(index(fatty_acid!$G:$G,match($A699,fatty_acid!$A:$A,0)))</f>
        <v>BFA28-56</v>
      </c>
      <c r="G699" t="str">
        <f t="array" ref="G699">iferror(index(fatty_acid!$J:$J,match($A699,fatty_acid!$A:$A,0)))</f>
        <v>N</v>
      </c>
      <c r="H699" t="str">
        <f t="array" ref="H699">iferror(index(isotopes!$G:$G,match($A699,isotopes!$A:$A,0)))</f>
        <v>BIS31-56</v>
      </c>
      <c r="I699" t="str">
        <f t="array" ref="I699">iferror(index(isotopes!$J:$J,match($A699,isotopes!$A:$A,0)))</f>
        <v>N</v>
      </c>
      <c r="J699" t="str">
        <f t="array" ref="J699">iferror(index(extra_muscle!$G:$G,match($A699,extra_muscle!$A:$A,0)))</f>
        <v>BXM29-56</v>
      </c>
      <c r="K699" t="str">
        <f t="array" ref="K699">iferror(index(extra_muscle!$J:$J,match($A699,extra_muscle!$A:$A,0)))</f>
        <v>N</v>
      </c>
      <c r="L699" s="59" t="str">
        <f t="array" ref="L699">iferror(index(dna!$G:$G,match($A699,dna!$A:$A,0)))</f>
        <v/>
      </c>
      <c r="M699" s="60" t="str">
        <f t="array" ref="M699">iferror(index(dna!$J:$J,match($A699,dna!$A:$A,0)))</f>
        <v/>
      </c>
      <c r="N699" t="str">
        <f t="array" ref="N699">iferror(index(stomachs!$G:$G,match($A699,stomachs!$A:$A,0)))</f>
        <v/>
      </c>
      <c r="O699" t="str">
        <f t="array" ref="O699">iferror(index(stomachs!$J:$J,match($A699,stomachs!$A:$A,0)))</f>
        <v/>
      </c>
      <c r="P699" t="str">
        <f t="array" ref="P699">iferror(index(sea_lice!$G:$G,match($A699,sea_lice!$A:$A,0)))</f>
        <v/>
      </c>
      <c r="Q699" t="str">
        <f t="array" ref="Q699">iferror(index(sea_lice!$J:$J,match($A699,sea_lice!$A:$A,0)))</f>
        <v/>
      </c>
      <c r="R699" s="40" t="str">
        <f t="array" ref="R699">iferror(index(dissected_fish!$F:$F,match($A699,dissected_fish!$A:$A,0)))</f>
        <v>BCA106</v>
      </c>
      <c r="S699" s="40" t="str">
        <f t="array" ref="S699">iferror(index(dissected_fish!$K:$K,match($A699,dissected_fish!$A:$A,0)))</f>
        <v>N</v>
      </c>
      <c r="T699" s="61" t="str">
        <f t="array" ref="T699">index(fish_lab_data!O:O,match(A699,fish_lab_data!C:C,0))</f>
        <v>KB</v>
      </c>
      <c r="U699" s="61">
        <f t="array" ref="U699">if(A699="","",index(fish_lab_data!X:X,match(A699,fish_lab_data!C:C,0)))</f>
        <v>698</v>
      </c>
    </row>
    <row r="700">
      <c r="A700" t="str">
        <f>fish_lab_data!C700</f>
        <v>U17122</v>
      </c>
      <c r="B700" t="str">
        <f t="array" ref="B700">iferror(index('rna-muscle'!$I:$I,match($A700,'rna-muscle'!$A:$A,0)))</f>
        <v>BRN64M-D9</v>
      </c>
      <c r="C700" t="str">
        <f t="array" ref="C700">iferror(index('rna-muscle'!$L:$L,match($A700,'rna-muscle'!$A:$A,0)))</f>
        <v>N</v>
      </c>
      <c r="D700" t="str">
        <f t="array" ref="D700">iferror(index('rna-gill'!$I:$I,match($A700,'rna-gill'!$A:$A,0)))</f>
        <v>BRN64G-D9</v>
      </c>
      <c r="E700" t="str">
        <f t="array" ref="E700">iferror(index('rna-gill'!$L:$L,match($A700,'rna-gill'!$A:$A,0)))</f>
        <v>N</v>
      </c>
      <c r="F700" t="str">
        <f t="array" ref="F700">iferror(index(fatty_acid!$G:$G,match($A700,fatty_acid!$A:$A,0)))</f>
        <v>BFA28-57</v>
      </c>
      <c r="G700" t="str">
        <f t="array" ref="G700">iferror(index(fatty_acid!$J:$J,match($A700,fatty_acid!$A:$A,0)))</f>
        <v>N</v>
      </c>
      <c r="H700" t="str">
        <f t="array" ref="H700">iferror(index(isotopes!$G:$G,match($A700,isotopes!$A:$A,0)))</f>
        <v>BIS31-57</v>
      </c>
      <c r="I700" t="str">
        <f t="array" ref="I700">iferror(index(isotopes!$J:$J,match($A700,isotopes!$A:$A,0)))</f>
        <v>N</v>
      </c>
      <c r="J700" t="str">
        <f t="array" ref="J700">iferror(index(extra_muscle!$G:$G,match($A700,extra_muscle!$A:$A,0)))</f>
        <v>BXM29-57</v>
      </c>
      <c r="K700" t="str">
        <f t="array" ref="K700">iferror(index(extra_muscle!$J:$J,match($A700,extra_muscle!$A:$A,0)))</f>
        <v>N</v>
      </c>
      <c r="L700" s="59" t="str">
        <f t="array" ref="L700">iferror(index(dna!$G:$G,match($A700,dna!$A:$A,0)))</f>
        <v/>
      </c>
      <c r="M700" s="60" t="str">
        <f t="array" ref="M700">iferror(index(dna!$J:$J,match($A700,dna!$A:$A,0)))</f>
        <v/>
      </c>
      <c r="N700" t="str">
        <f t="array" ref="N700">iferror(index(stomachs!$G:$G,match($A700,stomachs!$A:$A,0)))</f>
        <v/>
      </c>
      <c r="O700" t="str">
        <f t="array" ref="O700">iferror(index(stomachs!$J:$J,match($A700,stomachs!$A:$A,0)))</f>
        <v/>
      </c>
      <c r="P700" t="str">
        <f t="array" ref="P700">iferror(index(sea_lice!$G:$G,match($A700,sea_lice!$A:$A,0)))</f>
        <v/>
      </c>
      <c r="Q700" t="str">
        <f t="array" ref="Q700">iferror(index(sea_lice!$J:$J,match($A700,sea_lice!$A:$A,0)))</f>
        <v/>
      </c>
      <c r="R700" s="40" t="str">
        <f t="array" ref="R700">iferror(index(dissected_fish!$F:$F,match($A700,dissected_fish!$A:$A,0)))</f>
        <v>BCA106</v>
      </c>
      <c r="S700" s="40" t="str">
        <f t="array" ref="S700">iferror(index(dissected_fish!$K:$K,match($A700,dissected_fish!$A:$A,0)))</f>
        <v>N</v>
      </c>
      <c r="T700" s="61" t="str">
        <f t="array" ref="T700">index(fish_lab_data!O:O,match(A700,fish_lab_data!C:C,0))</f>
        <v>KB</v>
      </c>
      <c r="U700" s="61">
        <f t="array" ref="U700">if(A700="","",index(fish_lab_data!X:X,match(A700,fish_lab_data!C:C,0)))</f>
        <v>699</v>
      </c>
    </row>
    <row r="701">
      <c r="A701" t="str">
        <f>fish_lab_data!C701</f>
        <v>U17124</v>
      </c>
      <c r="B701" t="str">
        <f t="array" ref="B701">iferror(index('rna-muscle'!$I:$I,match($A701,'rna-muscle'!$A:$A,0)))</f>
        <v>BRN64M-C9</v>
      </c>
      <c r="C701" t="str">
        <f t="array" ref="C701">iferror(index('rna-muscle'!$L:$L,match($A701,'rna-muscle'!$A:$A,0)))</f>
        <v>N</v>
      </c>
      <c r="D701" t="str">
        <f t="array" ref="D701">iferror(index('rna-gill'!$I:$I,match($A701,'rna-gill'!$A:$A,0)))</f>
        <v>BRN64G-C9</v>
      </c>
      <c r="E701" t="str">
        <f t="array" ref="E701">iferror(index('rna-gill'!$L:$L,match($A701,'rna-gill'!$A:$A,0)))</f>
        <v>N</v>
      </c>
      <c r="F701" t="str">
        <f t="array" ref="F701">iferror(index(fatty_acid!$G:$G,match($A701,fatty_acid!$A:$A,0)))</f>
        <v>BFA28-58</v>
      </c>
      <c r="G701" t="str">
        <f t="array" ref="G701">iferror(index(fatty_acid!$J:$J,match($A701,fatty_acid!$A:$A,0)))</f>
        <v>N</v>
      </c>
      <c r="H701" t="str">
        <f t="array" ref="H701">iferror(index(isotopes!$G:$G,match($A701,isotopes!$A:$A,0)))</f>
        <v>BIS31-58</v>
      </c>
      <c r="I701" t="str">
        <f t="array" ref="I701">iferror(index(isotopes!$J:$J,match($A701,isotopes!$A:$A,0)))</f>
        <v>N</v>
      </c>
      <c r="J701" t="str">
        <f t="array" ref="J701">iferror(index(extra_muscle!$G:$G,match($A701,extra_muscle!$A:$A,0)))</f>
        <v>BXM29-58</v>
      </c>
      <c r="K701" t="str">
        <f t="array" ref="K701">iferror(index(extra_muscle!$J:$J,match($A701,extra_muscle!$A:$A,0)))</f>
        <v>N</v>
      </c>
      <c r="L701" s="59" t="str">
        <f t="array" ref="L701">iferror(index(dna!$G:$G,match($A701,dna!$A:$A,0)))</f>
        <v/>
      </c>
      <c r="M701" s="60" t="str">
        <f t="array" ref="M701">iferror(index(dna!$J:$J,match($A701,dna!$A:$A,0)))</f>
        <v/>
      </c>
      <c r="N701" t="str">
        <f t="array" ref="N701">iferror(index(stomachs!$G:$G,match($A701,stomachs!$A:$A,0)))</f>
        <v/>
      </c>
      <c r="O701" t="str">
        <f t="array" ref="O701">iferror(index(stomachs!$J:$J,match($A701,stomachs!$A:$A,0)))</f>
        <v/>
      </c>
      <c r="P701" t="str">
        <f t="array" ref="P701">iferror(index(sea_lice!$G:$G,match($A701,sea_lice!$A:$A,0)))</f>
        <v/>
      </c>
      <c r="Q701" t="str">
        <f t="array" ref="Q701">iferror(index(sea_lice!$J:$J,match($A701,sea_lice!$A:$A,0)))</f>
        <v/>
      </c>
      <c r="R701" s="40" t="str">
        <f t="array" ref="R701">iferror(index(dissected_fish!$F:$F,match($A701,dissected_fish!$A:$A,0)))</f>
        <v>BCA106</v>
      </c>
      <c r="S701" s="40" t="str">
        <f t="array" ref="S701">iferror(index(dissected_fish!$K:$K,match($A701,dissected_fish!$A:$A,0)))</f>
        <v>N</v>
      </c>
      <c r="T701" s="61" t="str">
        <f t="array" ref="T701">index(fish_lab_data!O:O,match(A701,fish_lab_data!C:C,0))</f>
        <v>KB</v>
      </c>
      <c r="U701" s="61">
        <f t="array" ref="U701">if(A701="","",index(fish_lab_data!X:X,match(A701,fish_lab_data!C:C,0)))</f>
        <v>700</v>
      </c>
    </row>
    <row r="702">
      <c r="A702" t="str">
        <f>fish_lab_data!C702</f>
        <v>U16544</v>
      </c>
      <c r="B702" t="str">
        <f t="array" ref="B702">iferror(index('rna-muscle'!$I:$I,match($A702,'rna-muscle'!$A:$A,0)))</f>
        <v>BRN61M-H9</v>
      </c>
      <c r="C702" t="str">
        <f t="array" ref="C702">iferror(index('rna-muscle'!$L:$L,match($A702,'rna-muscle'!$A:$A,0)))</f>
        <v>N</v>
      </c>
      <c r="D702" t="str">
        <f t="array" ref="D702">iferror(index('rna-gill'!$I:$I,match($A702,'rna-gill'!$A:$A,0)))</f>
        <v>BRN61G-H9</v>
      </c>
      <c r="E702" t="str">
        <f t="array" ref="E702">iferror(index('rna-gill'!$L:$L,match($A702,'rna-gill'!$A:$A,0)))</f>
        <v>N</v>
      </c>
      <c r="F702" t="str">
        <f t="array" ref="F702">iferror(index(fatty_acid!$G:$G,match($A702,fatty_acid!$A:$A,0)))</f>
        <v>BFA29-31</v>
      </c>
      <c r="G702" t="str">
        <f t="array" ref="G702">iferror(index(fatty_acid!$J:$J,match($A702,fatty_acid!$A:$A,0)))</f>
        <v>N</v>
      </c>
      <c r="H702" t="str">
        <f t="array" ref="H702">iferror(index(isotopes!$G:$G,match($A702,isotopes!$A:$A,0)))</f>
        <v>BIS30-52</v>
      </c>
      <c r="I702" t="str">
        <f t="array" ref="I702">iferror(index(isotopes!$J:$J,match($A702,isotopes!$A:$A,0)))</f>
        <v>N</v>
      </c>
      <c r="J702" t="str">
        <f t="array" ref="J702">iferror(index(extra_muscle!$G:$G,match($A702,extra_muscle!$A:$A,0)))</f>
        <v>BXM30-17</v>
      </c>
      <c r="K702" t="str">
        <f t="array" ref="K702">iferror(index(extra_muscle!$J:$J,match($A702,extra_muscle!$A:$A,0)))</f>
        <v>N</v>
      </c>
      <c r="L702" s="59" t="str">
        <f t="array" ref="L702">iferror(index(dna!$G:$G,match($A702,dna!$A:$A,0)))</f>
        <v/>
      </c>
      <c r="M702" s="60" t="str">
        <f t="array" ref="M702">iferror(index(dna!$J:$J,match($A702,dna!$A:$A,0)))</f>
        <v/>
      </c>
      <c r="N702" t="str">
        <f t="array" ref="N702">iferror(index(stomachs!$G:$G,match($A702,stomachs!$A:$A,0)))</f>
        <v/>
      </c>
      <c r="O702" t="str">
        <f t="array" ref="O702">iferror(index(stomachs!$J:$J,match($A702,stomachs!$A:$A,0)))</f>
        <v/>
      </c>
      <c r="P702" t="str">
        <f t="array" ref="P702">iferror(index(sea_lice!$G:$G,match($A702,sea_lice!$A:$A,0)))</f>
        <v/>
      </c>
      <c r="Q702" t="str">
        <f t="array" ref="Q702">iferror(index(sea_lice!$J:$J,match($A702,sea_lice!$A:$A,0)))</f>
        <v/>
      </c>
      <c r="R702" s="40" t="str">
        <f t="array" ref="R702">iferror(index(dissected_fish!$F:$F,match($A702,dissected_fish!$A:$A,0)))</f>
        <v>BCA106</v>
      </c>
      <c r="S702" s="40" t="str">
        <f t="array" ref="S702">iferror(index(dissected_fish!$K:$K,match($A702,dissected_fish!$A:$A,0)))</f>
        <v>N</v>
      </c>
      <c r="T702" s="61" t="str">
        <f t="array" ref="T702">index(fish_lab_data!O:O,match(A702,fish_lab_data!C:C,0))</f>
        <v>EJ</v>
      </c>
      <c r="U702" s="61">
        <f t="array" ref="U702">if(A702="","",index(fish_lab_data!X:X,match(A702,fish_lab_data!C:C,0)))</f>
        <v>701</v>
      </c>
    </row>
    <row r="703">
      <c r="A703" t="str">
        <f>fish_lab_data!C703</f>
        <v>U16545</v>
      </c>
      <c r="B703" t="str">
        <f t="array" ref="B703">iferror(index('rna-muscle'!$I:$I,match($A703,'rna-muscle'!$A:$A,0)))</f>
        <v>BRN61M-G9</v>
      </c>
      <c r="C703" t="str">
        <f t="array" ref="C703">iferror(index('rna-muscle'!$L:$L,match($A703,'rna-muscle'!$A:$A,0)))</f>
        <v>N</v>
      </c>
      <c r="D703" t="str">
        <f t="array" ref="D703">iferror(index('rna-gill'!$I:$I,match($A703,'rna-gill'!$A:$A,0)))</f>
        <v>BRN61G-G9</v>
      </c>
      <c r="E703" t="str">
        <f t="array" ref="E703">iferror(index('rna-gill'!$L:$L,match($A703,'rna-gill'!$A:$A,0)))</f>
        <v>N</v>
      </c>
      <c r="F703" t="str">
        <f t="array" ref="F703">iferror(index(fatty_acid!$G:$G,match($A703,fatty_acid!$A:$A,0)))</f>
        <v>BFA29-32</v>
      </c>
      <c r="G703" t="str">
        <f t="array" ref="G703">iferror(index(fatty_acid!$J:$J,match($A703,fatty_acid!$A:$A,0)))</f>
        <v>N</v>
      </c>
      <c r="H703" t="str">
        <f t="array" ref="H703">iferror(index(isotopes!$G:$G,match($A703,isotopes!$A:$A,0)))</f>
        <v>BIS30-53</v>
      </c>
      <c r="I703" t="str">
        <f t="array" ref="I703">iferror(index(isotopes!$J:$J,match($A703,isotopes!$A:$A,0)))</f>
        <v>N</v>
      </c>
      <c r="J703" t="str">
        <f t="array" ref="J703">iferror(index(extra_muscle!$G:$G,match($A703,extra_muscle!$A:$A,0)))</f>
        <v>BXM30-18</v>
      </c>
      <c r="K703" t="str">
        <f t="array" ref="K703">iferror(index(extra_muscle!$J:$J,match($A703,extra_muscle!$A:$A,0)))</f>
        <v>N</v>
      </c>
      <c r="L703" s="59" t="str">
        <f t="array" ref="L703">iferror(index(dna!$G:$G,match($A703,dna!$A:$A,0)))</f>
        <v/>
      </c>
      <c r="M703" s="60" t="str">
        <f t="array" ref="M703">iferror(index(dna!$J:$J,match($A703,dna!$A:$A,0)))</f>
        <v/>
      </c>
      <c r="N703" t="str">
        <f t="array" ref="N703">iferror(index(stomachs!$G:$G,match($A703,stomachs!$A:$A,0)))</f>
        <v/>
      </c>
      <c r="O703" t="str">
        <f t="array" ref="O703">iferror(index(stomachs!$J:$J,match($A703,stomachs!$A:$A,0)))</f>
        <v/>
      </c>
      <c r="P703" t="str">
        <f t="array" ref="P703">iferror(index(sea_lice!$G:$G,match($A703,sea_lice!$A:$A,0)))</f>
        <v/>
      </c>
      <c r="Q703" t="str">
        <f t="array" ref="Q703">iferror(index(sea_lice!$J:$J,match($A703,sea_lice!$A:$A,0)))</f>
        <v/>
      </c>
      <c r="R703" s="40" t="str">
        <f t="array" ref="R703">iferror(index(dissected_fish!$F:$F,match($A703,dissected_fish!$A:$A,0)))</f>
        <v>BCA106</v>
      </c>
      <c r="S703" s="40" t="str">
        <f t="array" ref="S703">iferror(index(dissected_fish!$K:$K,match($A703,dissected_fish!$A:$A,0)))</f>
        <v>N</v>
      </c>
      <c r="T703" s="61" t="str">
        <f t="array" ref="T703">index(fish_lab_data!O:O,match(A703,fish_lab_data!C:C,0))</f>
        <v>EJ</v>
      </c>
      <c r="U703" s="61">
        <f t="array" ref="U703">if(A703="","",index(fish_lab_data!X:X,match(A703,fish_lab_data!C:C,0)))</f>
        <v>702</v>
      </c>
    </row>
    <row r="704">
      <c r="A704" t="str">
        <f>fish_lab_data!C704</f>
        <v>U16546</v>
      </c>
      <c r="B704" t="str">
        <f t="array" ref="B704">iferror(index('rna-muscle'!$I:$I,match($A704,'rna-muscle'!$A:$A,0)))</f>
        <v>BRN61M-F9</v>
      </c>
      <c r="C704" t="str">
        <f t="array" ref="C704">iferror(index('rna-muscle'!$L:$L,match($A704,'rna-muscle'!$A:$A,0)))</f>
        <v>N</v>
      </c>
      <c r="D704" t="str">
        <f t="array" ref="D704">iferror(index('rna-gill'!$I:$I,match($A704,'rna-gill'!$A:$A,0)))</f>
        <v>BRN61G-F9</v>
      </c>
      <c r="E704" t="str">
        <f t="array" ref="E704">iferror(index('rna-gill'!$L:$L,match($A704,'rna-gill'!$A:$A,0)))</f>
        <v>N</v>
      </c>
      <c r="F704" t="str">
        <f t="array" ref="F704">iferror(index(fatty_acid!$G:$G,match($A704,fatty_acid!$A:$A,0)))</f>
        <v>BFA29-33</v>
      </c>
      <c r="G704" t="str">
        <f t="array" ref="G704">iferror(index(fatty_acid!$J:$J,match($A704,fatty_acid!$A:$A,0)))</f>
        <v>N</v>
      </c>
      <c r="H704" t="str">
        <f t="array" ref="H704">iferror(index(isotopes!$G:$G,match($A704,isotopes!$A:$A,0)))</f>
        <v>BIS30-54</v>
      </c>
      <c r="I704" t="str">
        <f t="array" ref="I704">iferror(index(isotopes!$J:$J,match($A704,isotopes!$A:$A,0)))</f>
        <v>N</v>
      </c>
      <c r="J704" t="str">
        <f t="array" ref="J704">iferror(index(extra_muscle!$G:$G,match($A704,extra_muscle!$A:$A,0)))</f>
        <v>BXM30-19</v>
      </c>
      <c r="K704" t="str">
        <f t="array" ref="K704">iferror(index(extra_muscle!$J:$J,match($A704,extra_muscle!$A:$A,0)))</f>
        <v>N</v>
      </c>
      <c r="L704" s="59" t="str">
        <f t="array" ref="L704">iferror(index(dna!$G:$G,match($A704,dna!$A:$A,0)))</f>
        <v/>
      </c>
      <c r="M704" s="60" t="str">
        <f t="array" ref="M704">iferror(index(dna!$J:$J,match($A704,dna!$A:$A,0)))</f>
        <v/>
      </c>
      <c r="N704" t="str">
        <f t="array" ref="N704">iferror(index(stomachs!$G:$G,match($A704,stomachs!$A:$A,0)))</f>
        <v/>
      </c>
      <c r="O704" t="str">
        <f t="array" ref="O704">iferror(index(stomachs!$J:$J,match($A704,stomachs!$A:$A,0)))</f>
        <v/>
      </c>
      <c r="P704" t="str">
        <f t="array" ref="P704">iferror(index(sea_lice!$G:$G,match($A704,sea_lice!$A:$A,0)))</f>
        <v>BSL6-57</v>
      </c>
      <c r="Q704" t="str">
        <f t="array" ref="Q704">iferror(index(sea_lice!$J:$J,match($A704,sea_lice!$A:$A,0)))</f>
        <v>N</v>
      </c>
      <c r="R704" s="40" t="str">
        <f t="array" ref="R704">iferror(index(dissected_fish!$F:$F,match($A704,dissected_fish!$A:$A,0)))</f>
        <v>BCA106</v>
      </c>
      <c r="S704" s="40" t="str">
        <f t="array" ref="S704">iferror(index(dissected_fish!$K:$K,match($A704,dissected_fish!$A:$A,0)))</f>
        <v>N</v>
      </c>
      <c r="T704" s="61" t="str">
        <f t="array" ref="T704">index(fish_lab_data!O:O,match(A704,fish_lab_data!C:C,0))</f>
        <v>EJ</v>
      </c>
      <c r="U704" s="61">
        <f t="array" ref="U704">if(A704="","",index(fish_lab_data!X:X,match(A704,fish_lab_data!C:C,0)))</f>
        <v>703</v>
      </c>
    </row>
    <row r="705">
      <c r="A705" t="str">
        <f>fish_lab_data!C705</f>
        <v>U16547</v>
      </c>
      <c r="B705" t="str">
        <f t="array" ref="B705">iferror(index('rna-muscle'!$I:$I,match($A705,'rna-muscle'!$A:$A,0)))</f>
        <v>BRN61M-E9</v>
      </c>
      <c r="C705" t="str">
        <f t="array" ref="C705">iferror(index('rna-muscle'!$L:$L,match($A705,'rna-muscle'!$A:$A,0)))</f>
        <v>N</v>
      </c>
      <c r="D705" t="str">
        <f t="array" ref="D705">iferror(index('rna-gill'!$I:$I,match($A705,'rna-gill'!$A:$A,0)))</f>
        <v>BRN61G-E9</v>
      </c>
      <c r="E705" t="str">
        <f t="array" ref="E705">iferror(index('rna-gill'!$L:$L,match($A705,'rna-gill'!$A:$A,0)))</f>
        <v>N</v>
      </c>
      <c r="F705" t="str">
        <f t="array" ref="F705">iferror(index(fatty_acid!$G:$G,match($A705,fatty_acid!$A:$A,0)))</f>
        <v>BFA29-34</v>
      </c>
      <c r="G705" t="str">
        <f t="array" ref="G705">iferror(index(fatty_acid!$J:$J,match($A705,fatty_acid!$A:$A,0)))</f>
        <v>N</v>
      </c>
      <c r="H705" t="str">
        <f t="array" ref="H705">iferror(index(isotopes!$G:$G,match($A705,isotopes!$A:$A,0)))</f>
        <v>BIS30-55</v>
      </c>
      <c r="I705" t="str">
        <f t="array" ref="I705">iferror(index(isotopes!$J:$J,match($A705,isotopes!$A:$A,0)))</f>
        <v>N</v>
      </c>
      <c r="J705" t="str">
        <f t="array" ref="J705">iferror(index(extra_muscle!$G:$G,match($A705,extra_muscle!$A:$A,0)))</f>
        <v>BXM30-20</v>
      </c>
      <c r="K705" t="str">
        <f t="array" ref="K705">iferror(index(extra_muscle!$J:$J,match($A705,extra_muscle!$A:$A,0)))</f>
        <v>N</v>
      </c>
      <c r="L705" s="59" t="str">
        <f t="array" ref="L705">iferror(index(dna!$G:$G,match($A705,dna!$A:$A,0)))</f>
        <v/>
      </c>
      <c r="M705" s="60" t="str">
        <f t="array" ref="M705">iferror(index(dna!$J:$J,match($A705,dna!$A:$A,0)))</f>
        <v/>
      </c>
      <c r="N705" t="str">
        <f t="array" ref="N705">iferror(index(stomachs!$G:$G,match($A705,stomachs!$A:$A,0)))</f>
        <v/>
      </c>
      <c r="O705" t="str">
        <f t="array" ref="O705">iferror(index(stomachs!$J:$J,match($A705,stomachs!$A:$A,0)))</f>
        <v/>
      </c>
      <c r="P705" t="str">
        <f t="array" ref="P705">iferror(index(sea_lice!$G:$G,match($A705,sea_lice!$A:$A,0)))</f>
        <v/>
      </c>
      <c r="Q705" t="str">
        <f t="array" ref="Q705">iferror(index(sea_lice!$J:$J,match($A705,sea_lice!$A:$A,0)))</f>
        <v/>
      </c>
      <c r="R705" s="40" t="str">
        <f t="array" ref="R705">iferror(index(dissected_fish!$F:$F,match($A705,dissected_fish!$A:$A,0)))</f>
        <v>BCA106</v>
      </c>
      <c r="S705" s="40" t="str">
        <f t="array" ref="S705">iferror(index(dissected_fish!$K:$K,match($A705,dissected_fish!$A:$A,0)))</f>
        <v>N</v>
      </c>
      <c r="T705" s="61" t="str">
        <f t="array" ref="T705">index(fish_lab_data!O:O,match(A705,fish_lab_data!C:C,0))</f>
        <v>EJ</v>
      </c>
      <c r="U705" s="61">
        <f t="array" ref="U705">if(A705="","",index(fish_lab_data!X:X,match(A705,fish_lab_data!C:C,0)))</f>
        <v>704</v>
      </c>
    </row>
    <row r="706">
      <c r="A706" t="str">
        <f>fish_lab_data!C706</f>
        <v>U16548</v>
      </c>
      <c r="B706" t="str">
        <f t="array" ref="B706">iferror(index('rna-muscle'!$I:$I,match($A706,'rna-muscle'!$A:$A,0)))</f>
        <v>BRN61M-D9</v>
      </c>
      <c r="C706" t="str">
        <f t="array" ref="C706">iferror(index('rna-muscle'!$L:$L,match($A706,'rna-muscle'!$A:$A,0)))</f>
        <v>N</v>
      </c>
      <c r="D706" t="str">
        <f t="array" ref="D706">iferror(index('rna-gill'!$I:$I,match($A706,'rna-gill'!$A:$A,0)))</f>
        <v>BRN61G-D9</v>
      </c>
      <c r="E706" t="str">
        <f t="array" ref="E706">iferror(index('rna-gill'!$L:$L,match($A706,'rna-gill'!$A:$A,0)))</f>
        <v>N</v>
      </c>
      <c r="F706" t="str">
        <f t="array" ref="F706">iferror(index(fatty_acid!$G:$G,match($A706,fatty_acid!$A:$A,0)))</f>
        <v>BFA29-35</v>
      </c>
      <c r="G706" t="str">
        <f t="array" ref="G706">iferror(index(fatty_acid!$J:$J,match($A706,fatty_acid!$A:$A,0)))</f>
        <v>N</v>
      </c>
      <c r="H706" t="str">
        <f t="array" ref="H706">iferror(index(isotopes!$G:$G,match($A706,isotopes!$A:$A,0)))</f>
        <v>BIS30-56</v>
      </c>
      <c r="I706" t="str">
        <f t="array" ref="I706">iferror(index(isotopes!$J:$J,match($A706,isotopes!$A:$A,0)))</f>
        <v>N</v>
      </c>
      <c r="J706" t="str">
        <f t="array" ref="J706">iferror(index(extra_muscle!$G:$G,match($A706,extra_muscle!$A:$A,0)))</f>
        <v>BXM30-21</v>
      </c>
      <c r="K706" t="str">
        <f t="array" ref="K706">iferror(index(extra_muscle!$J:$J,match($A706,extra_muscle!$A:$A,0)))</f>
        <v>N</v>
      </c>
      <c r="L706" s="59" t="str">
        <f t="array" ref="L706">iferror(index(dna!$G:$G,match($A706,dna!$A:$A,0)))</f>
        <v/>
      </c>
      <c r="M706" s="60" t="str">
        <f t="array" ref="M706">iferror(index(dna!$J:$J,match($A706,dna!$A:$A,0)))</f>
        <v/>
      </c>
      <c r="N706" t="str">
        <f t="array" ref="N706">iferror(index(stomachs!$G:$G,match($A706,stomachs!$A:$A,0)))</f>
        <v/>
      </c>
      <c r="O706" t="str">
        <f t="array" ref="O706">iferror(index(stomachs!$J:$J,match($A706,stomachs!$A:$A,0)))</f>
        <v/>
      </c>
      <c r="P706" t="str">
        <f t="array" ref="P706">iferror(index(sea_lice!$G:$G,match($A706,sea_lice!$A:$A,0)))</f>
        <v/>
      </c>
      <c r="Q706" t="str">
        <f t="array" ref="Q706">iferror(index(sea_lice!$J:$J,match($A706,sea_lice!$A:$A,0)))</f>
        <v/>
      </c>
      <c r="R706" s="40" t="str">
        <f t="array" ref="R706">iferror(index(dissected_fish!$F:$F,match($A706,dissected_fish!$A:$A,0)))</f>
        <v>BCA106</v>
      </c>
      <c r="S706" s="40" t="str">
        <f t="array" ref="S706">iferror(index(dissected_fish!$K:$K,match($A706,dissected_fish!$A:$A,0)))</f>
        <v>N</v>
      </c>
      <c r="T706" s="61" t="str">
        <f t="array" ref="T706">index(fish_lab_data!O:O,match(A706,fish_lab_data!C:C,0))</f>
        <v>EJ</v>
      </c>
      <c r="U706" s="61">
        <f t="array" ref="U706">if(A706="","",index(fish_lab_data!X:X,match(A706,fish_lab_data!C:C,0)))</f>
        <v>705</v>
      </c>
    </row>
    <row r="707">
      <c r="A707" t="str">
        <f>fish_lab_data!C707</f>
        <v>U16549</v>
      </c>
      <c r="B707" t="str">
        <f t="array" ref="B707">iferror(index('rna-muscle'!$I:$I,match($A707,'rna-muscle'!$A:$A,0)))</f>
        <v>BRN61M-C9</v>
      </c>
      <c r="C707" t="str">
        <f t="array" ref="C707">iferror(index('rna-muscle'!$L:$L,match($A707,'rna-muscle'!$A:$A,0)))</f>
        <v>N</v>
      </c>
      <c r="D707" t="str">
        <f t="array" ref="D707">iferror(index('rna-gill'!$I:$I,match($A707,'rna-gill'!$A:$A,0)))</f>
        <v>BRN61G-C9</v>
      </c>
      <c r="E707" t="str">
        <f t="array" ref="E707">iferror(index('rna-gill'!$L:$L,match($A707,'rna-gill'!$A:$A,0)))</f>
        <v>N</v>
      </c>
      <c r="F707" t="str">
        <f t="array" ref="F707">iferror(index(fatty_acid!$G:$G,match($A707,fatty_acid!$A:$A,0)))</f>
        <v>BFA29-36</v>
      </c>
      <c r="G707" t="str">
        <f t="array" ref="G707">iferror(index(fatty_acid!$J:$J,match($A707,fatty_acid!$A:$A,0)))</f>
        <v>N</v>
      </c>
      <c r="H707" t="str">
        <f t="array" ref="H707">iferror(index(isotopes!$G:$G,match($A707,isotopes!$A:$A,0)))</f>
        <v>BIS30-57</v>
      </c>
      <c r="I707" t="str">
        <f t="array" ref="I707">iferror(index(isotopes!$J:$J,match($A707,isotopes!$A:$A,0)))</f>
        <v>N</v>
      </c>
      <c r="J707" t="str">
        <f t="array" ref="J707">iferror(index(extra_muscle!$G:$G,match($A707,extra_muscle!$A:$A,0)))</f>
        <v>BXM30-22</v>
      </c>
      <c r="K707" t="str">
        <f t="array" ref="K707">iferror(index(extra_muscle!$J:$J,match($A707,extra_muscle!$A:$A,0)))</f>
        <v>N</v>
      </c>
      <c r="L707" s="59" t="str">
        <f t="array" ref="L707">iferror(index(dna!$G:$G,match($A707,dna!$A:$A,0)))</f>
        <v/>
      </c>
      <c r="M707" s="60" t="str">
        <f t="array" ref="M707">iferror(index(dna!$J:$J,match($A707,dna!$A:$A,0)))</f>
        <v/>
      </c>
      <c r="N707" t="str">
        <f t="array" ref="N707">iferror(index(stomachs!$G:$G,match($A707,stomachs!$A:$A,0)))</f>
        <v/>
      </c>
      <c r="O707" t="str">
        <f t="array" ref="O707">iferror(index(stomachs!$J:$J,match($A707,stomachs!$A:$A,0)))</f>
        <v/>
      </c>
      <c r="P707" t="str">
        <f t="array" ref="P707">iferror(index(sea_lice!$G:$G,match($A707,sea_lice!$A:$A,0)))</f>
        <v/>
      </c>
      <c r="Q707" t="str">
        <f t="array" ref="Q707">iferror(index(sea_lice!$J:$J,match($A707,sea_lice!$A:$A,0)))</f>
        <v/>
      </c>
      <c r="R707" s="40" t="str">
        <f t="array" ref="R707">iferror(index(dissected_fish!$F:$F,match($A707,dissected_fish!$A:$A,0)))</f>
        <v>BCA106</v>
      </c>
      <c r="S707" s="40" t="str">
        <f t="array" ref="S707">iferror(index(dissected_fish!$K:$K,match($A707,dissected_fish!$A:$A,0)))</f>
        <v>N</v>
      </c>
      <c r="T707" s="61" t="str">
        <f t="array" ref="T707">index(fish_lab_data!O:O,match(A707,fish_lab_data!C:C,0))</f>
        <v>EJ</v>
      </c>
      <c r="U707" s="61">
        <f t="array" ref="U707">if(A707="","",index(fish_lab_data!X:X,match(A707,fish_lab_data!C:C,0)))</f>
        <v>706</v>
      </c>
    </row>
    <row r="708">
      <c r="A708" t="str">
        <f>fish_lab_data!C708</f>
        <v>U16550</v>
      </c>
      <c r="B708" t="str">
        <f t="array" ref="B708">iferror(index('rna-muscle'!$I:$I,match($A708,'rna-muscle'!$A:$A,0)))</f>
        <v>BRN61M-B9</v>
      </c>
      <c r="C708" t="str">
        <f t="array" ref="C708">iferror(index('rna-muscle'!$L:$L,match($A708,'rna-muscle'!$A:$A,0)))</f>
        <v>N</v>
      </c>
      <c r="D708" t="str">
        <f t="array" ref="D708">iferror(index('rna-gill'!$I:$I,match($A708,'rna-gill'!$A:$A,0)))</f>
        <v>BRN61G-B9</v>
      </c>
      <c r="E708" t="str">
        <f t="array" ref="E708">iferror(index('rna-gill'!$L:$L,match($A708,'rna-gill'!$A:$A,0)))</f>
        <v>N</v>
      </c>
      <c r="F708" t="str">
        <f t="array" ref="F708">iferror(index(fatty_acid!$G:$G,match($A708,fatty_acid!$A:$A,0)))</f>
        <v>BFA29-37</v>
      </c>
      <c r="G708" t="str">
        <f t="array" ref="G708">iferror(index(fatty_acid!$J:$J,match($A708,fatty_acid!$A:$A,0)))</f>
        <v>N</v>
      </c>
      <c r="H708" t="str">
        <f t="array" ref="H708">iferror(index(isotopes!$G:$G,match($A708,isotopes!$A:$A,0)))</f>
        <v>BIS30-58</v>
      </c>
      <c r="I708" t="str">
        <f t="array" ref="I708">iferror(index(isotopes!$J:$J,match($A708,isotopes!$A:$A,0)))</f>
        <v>N</v>
      </c>
      <c r="J708" t="str">
        <f t="array" ref="J708">iferror(index(extra_muscle!$G:$G,match($A708,extra_muscle!$A:$A,0)))</f>
        <v>BXM30-23</v>
      </c>
      <c r="K708" t="str">
        <f t="array" ref="K708">iferror(index(extra_muscle!$J:$J,match($A708,extra_muscle!$A:$A,0)))</f>
        <v>N</v>
      </c>
      <c r="L708" s="59" t="str">
        <f t="array" ref="L708">iferror(index(dna!$G:$G,match($A708,dna!$A:$A,0)))</f>
        <v/>
      </c>
      <c r="M708" s="60" t="str">
        <f t="array" ref="M708">iferror(index(dna!$J:$J,match($A708,dna!$A:$A,0)))</f>
        <v/>
      </c>
      <c r="N708" t="str">
        <f t="array" ref="N708">iferror(index(stomachs!$G:$G,match($A708,stomachs!$A:$A,0)))</f>
        <v/>
      </c>
      <c r="O708" t="str">
        <f t="array" ref="O708">iferror(index(stomachs!$J:$J,match($A708,stomachs!$A:$A,0)))</f>
        <v/>
      </c>
      <c r="P708" t="str">
        <f t="array" ref="P708">iferror(index(sea_lice!$G:$G,match($A708,sea_lice!$A:$A,0)))</f>
        <v/>
      </c>
      <c r="Q708" t="str">
        <f t="array" ref="Q708">iferror(index(sea_lice!$J:$J,match($A708,sea_lice!$A:$A,0)))</f>
        <v/>
      </c>
      <c r="R708" s="40" t="str">
        <f t="array" ref="R708">iferror(index(dissected_fish!$F:$F,match($A708,dissected_fish!$A:$A,0)))</f>
        <v>BCA106</v>
      </c>
      <c r="S708" s="40" t="str">
        <f t="array" ref="S708">iferror(index(dissected_fish!$K:$K,match($A708,dissected_fish!$A:$A,0)))</f>
        <v>N</v>
      </c>
      <c r="T708" s="61" t="str">
        <f t="array" ref="T708">index(fish_lab_data!O:O,match(A708,fish_lab_data!C:C,0))</f>
        <v>EJ</v>
      </c>
      <c r="U708" s="61">
        <f t="array" ref="U708">if(A708="","",index(fish_lab_data!X:X,match(A708,fish_lab_data!C:C,0)))</f>
        <v>707</v>
      </c>
    </row>
    <row r="709">
      <c r="A709" t="str">
        <f>fish_lab_data!C709</f>
        <v>U16621</v>
      </c>
      <c r="B709" t="str">
        <f t="array" ref="B709">iferror(index('rna-muscle'!$I:$I,match($A709,'rna-muscle'!$A:$A,0)))</f>
        <v>BRN61M-A9</v>
      </c>
      <c r="C709" t="str">
        <f t="array" ref="C709">iferror(index('rna-muscle'!$L:$L,match($A709,'rna-muscle'!$A:$A,0)))</f>
        <v>N</v>
      </c>
      <c r="D709" t="str">
        <f t="array" ref="D709">iferror(index('rna-gill'!$I:$I,match($A709,'rna-gill'!$A:$A,0)))</f>
        <v>BRN61G-A9</v>
      </c>
      <c r="E709" t="str">
        <f t="array" ref="E709">iferror(index('rna-gill'!$L:$L,match($A709,'rna-gill'!$A:$A,0)))</f>
        <v>N</v>
      </c>
      <c r="F709" t="str">
        <f t="array" ref="F709">iferror(index(fatty_acid!$G:$G,match($A709,fatty_acid!$A:$A,0)))</f>
        <v>BFA29-38</v>
      </c>
      <c r="G709" t="str">
        <f t="array" ref="G709">iferror(index(fatty_acid!$J:$J,match($A709,fatty_acid!$A:$A,0)))</f>
        <v>N</v>
      </c>
      <c r="H709" t="str">
        <f t="array" ref="H709">iferror(index(isotopes!$G:$G,match($A709,isotopes!$A:$A,0)))</f>
        <v>BIS30-59</v>
      </c>
      <c r="I709" t="str">
        <f t="array" ref="I709">iferror(index(isotopes!$J:$J,match($A709,isotopes!$A:$A,0)))</f>
        <v>N</v>
      </c>
      <c r="J709" t="str">
        <f t="array" ref="J709">iferror(index(extra_muscle!$G:$G,match($A709,extra_muscle!$A:$A,0)))</f>
        <v>BXM30-24</v>
      </c>
      <c r="K709" t="str">
        <f t="array" ref="K709">iferror(index(extra_muscle!$J:$J,match($A709,extra_muscle!$A:$A,0)))</f>
        <v>N</v>
      </c>
      <c r="L709" s="59" t="str">
        <f t="array" ref="L709">iferror(index(dna!$G:$G,match($A709,dna!$A:$A,0)))</f>
        <v/>
      </c>
      <c r="M709" s="60" t="str">
        <f t="array" ref="M709">iferror(index(dna!$J:$J,match($A709,dna!$A:$A,0)))</f>
        <v/>
      </c>
      <c r="N709" t="str">
        <f t="array" ref="N709">iferror(index(stomachs!$G:$G,match($A709,stomachs!$A:$A,0)))</f>
        <v/>
      </c>
      <c r="O709" t="str">
        <f t="array" ref="O709">iferror(index(stomachs!$J:$J,match($A709,stomachs!$A:$A,0)))</f>
        <v/>
      </c>
      <c r="P709" t="str">
        <f t="array" ref="P709">iferror(index(sea_lice!$G:$G,match($A709,sea_lice!$A:$A,0)))</f>
        <v/>
      </c>
      <c r="Q709" t="str">
        <f t="array" ref="Q709">iferror(index(sea_lice!$J:$J,match($A709,sea_lice!$A:$A,0)))</f>
        <v/>
      </c>
      <c r="R709" s="40" t="str">
        <f t="array" ref="R709">iferror(index(dissected_fish!$F:$F,match($A709,dissected_fish!$A:$A,0)))</f>
        <v>BCA106</v>
      </c>
      <c r="S709" s="40" t="str">
        <f t="array" ref="S709">iferror(index(dissected_fish!$K:$K,match($A709,dissected_fish!$A:$A,0)))</f>
        <v>N</v>
      </c>
      <c r="T709" s="61" t="str">
        <f t="array" ref="T709">index(fish_lab_data!O:O,match(A709,fish_lab_data!C:C,0))</f>
        <v>EJ</v>
      </c>
      <c r="U709" s="61">
        <f t="array" ref="U709">if(A709="","",index(fish_lab_data!X:X,match(A709,fish_lab_data!C:C,0)))</f>
        <v>708</v>
      </c>
    </row>
    <row r="710">
      <c r="A710" t="str">
        <f>fish_lab_data!C710</f>
        <v>U16622</v>
      </c>
      <c r="B710" t="str">
        <f t="array" ref="B710">iferror(index('rna-muscle'!$I:$I,match($A710,'rna-muscle'!$A:$A,0)))</f>
        <v>BRN61M-H11</v>
      </c>
      <c r="C710" t="str">
        <f t="array" ref="C710">iferror(index('rna-muscle'!$L:$L,match($A710,'rna-muscle'!$A:$A,0)))</f>
        <v>N</v>
      </c>
      <c r="D710" t="str">
        <f t="array" ref="D710">iferror(index('rna-gill'!$I:$I,match($A710,'rna-gill'!$A:$A,0)))</f>
        <v>BRN61G-H11</v>
      </c>
      <c r="E710" t="str">
        <f t="array" ref="E710">iferror(index('rna-gill'!$L:$L,match($A710,'rna-gill'!$A:$A,0)))</f>
        <v>N</v>
      </c>
      <c r="F710" t="str">
        <f t="array" ref="F710">iferror(index(fatty_acid!$G:$G,match($A710,fatty_acid!$A:$A,0)))</f>
        <v>BFA29-39</v>
      </c>
      <c r="G710" t="str">
        <f t="array" ref="G710">iferror(index(fatty_acid!$J:$J,match($A710,fatty_acid!$A:$A,0)))</f>
        <v>N</v>
      </c>
      <c r="H710" t="str">
        <f t="array" ref="H710">iferror(index(isotopes!$G:$G,match($A710,isotopes!$A:$A,0)))</f>
        <v>BIS30-60</v>
      </c>
      <c r="I710" t="str">
        <f t="array" ref="I710">iferror(index(isotopes!$J:$J,match($A710,isotopes!$A:$A,0)))</f>
        <v>N</v>
      </c>
      <c r="J710" t="str">
        <f t="array" ref="J710">iferror(index(extra_muscle!$G:$G,match($A710,extra_muscle!$A:$A,0)))</f>
        <v>BXM30-25</v>
      </c>
      <c r="K710" t="str">
        <f t="array" ref="K710">iferror(index(extra_muscle!$J:$J,match($A710,extra_muscle!$A:$A,0)))</f>
        <v>N</v>
      </c>
      <c r="L710" s="59" t="str">
        <f t="array" ref="L710">iferror(index(dna!$G:$G,match($A710,dna!$A:$A,0)))</f>
        <v/>
      </c>
      <c r="M710" s="60" t="str">
        <f t="array" ref="M710">iferror(index(dna!$J:$J,match($A710,dna!$A:$A,0)))</f>
        <v/>
      </c>
      <c r="N710" t="str">
        <f t="array" ref="N710">iferror(index(stomachs!$G:$G,match($A710,stomachs!$A:$A,0)))</f>
        <v/>
      </c>
      <c r="O710" t="str">
        <f t="array" ref="O710">iferror(index(stomachs!$J:$J,match($A710,stomachs!$A:$A,0)))</f>
        <v/>
      </c>
      <c r="P710" t="str">
        <f t="array" ref="P710">iferror(index(sea_lice!$G:$G,match($A710,sea_lice!$A:$A,0)))</f>
        <v/>
      </c>
      <c r="Q710" t="str">
        <f t="array" ref="Q710">iferror(index(sea_lice!$J:$J,match($A710,sea_lice!$A:$A,0)))</f>
        <v/>
      </c>
      <c r="R710" s="40" t="str">
        <f t="array" ref="R710">iferror(index(dissected_fish!$F:$F,match($A710,dissected_fish!$A:$A,0)))</f>
        <v>BCA106</v>
      </c>
      <c r="S710" s="40" t="str">
        <f t="array" ref="S710">iferror(index(dissected_fish!$K:$K,match($A710,dissected_fish!$A:$A,0)))</f>
        <v>N</v>
      </c>
      <c r="T710" s="61" t="str">
        <f t="array" ref="T710">index(fish_lab_data!O:O,match(A710,fish_lab_data!C:C,0))</f>
        <v>EJ</v>
      </c>
      <c r="U710" s="61">
        <f t="array" ref="U710">if(A710="","",index(fish_lab_data!X:X,match(A710,fish_lab_data!C:C,0)))</f>
        <v>709</v>
      </c>
    </row>
    <row r="711">
      <c r="A711" t="str">
        <f>fish_lab_data!C711</f>
        <v>U16623</v>
      </c>
      <c r="B711" t="str">
        <f t="array" ref="B711">iferror(index('rna-muscle'!$I:$I,match($A711,'rna-muscle'!$A:$A,0)))</f>
        <v>BRN61M-G11</v>
      </c>
      <c r="C711" t="str">
        <f t="array" ref="C711">iferror(index('rna-muscle'!$L:$L,match($A711,'rna-muscle'!$A:$A,0)))</f>
        <v>N</v>
      </c>
      <c r="D711" t="str">
        <f t="array" ref="D711">iferror(index('rna-gill'!$I:$I,match($A711,'rna-gill'!$A:$A,0)))</f>
        <v>BRN61G-G11</v>
      </c>
      <c r="E711" t="str">
        <f t="array" ref="E711">iferror(index('rna-gill'!$L:$L,match($A711,'rna-gill'!$A:$A,0)))</f>
        <v>N</v>
      </c>
      <c r="F711" t="str">
        <f t="array" ref="F711">iferror(index(fatty_acid!$G:$G,match($A711,fatty_acid!$A:$A,0)))</f>
        <v>BFA29-40</v>
      </c>
      <c r="G711" t="str">
        <f t="array" ref="G711">iferror(index(fatty_acid!$J:$J,match($A711,fatty_acid!$A:$A,0)))</f>
        <v>N</v>
      </c>
      <c r="H711" t="str">
        <f t="array" ref="H711">iferror(index(isotopes!$G:$G,match($A711,isotopes!$A:$A,0)))</f>
        <v>BIS30-61</v>
      </c>
      <c r="I711" t="str">
        <f t="array" ref="I711">iferror(index(isotopes!$J:$J,match($A711,isotopes!$A:$A,0)))</f>
        <v>N</v>
      </c>
      <c r="J711" t="str">
        <f t="array" ref="J711">iferror(index(extra_muscle!$G:$G,match($A711,extra_muscle!$A:$A,0)))</f>
        <v>BXM30-26</v>
      </c>
      <c r="K711" t="str">
        <f t="array" ref="K711">iferror(index(extra_muscle!$J:$J,match($A711,extra_muscle!$A:$A,0)))</f>
        <v>N</v>
      </c>
      <c r="L711" s="59" t="str">
        <f t="array" ref="L711">iferror(index(dna!$G:$G,match($A711,dna!$A:$A,0)))</f>
        <v/>
      </c>
      <c r="M711" s="60" t="str">
        <f t="array" ref="M711">iferror(index(dna!$J:$J,match($A711,dna!$A:$A,0)))</f>
        <v/>
      </c>
      <c r="N711" t="str">
        <f t="array" ref="N711">iferror(index(stomachs!$G:$G,match($A711,stomachs!$A:$A,0)))</f>
        <v/>
      </c>
      <c r="O711" t="str">
        <f t="array" ref="O711">iferror(index(stomachs!$J:$J,match($A711,stomachs!$A:$A,0)))</f>
        <v/>
      </c>
      <c r="P711" t="str">
        <f t="array" ref="P711">iferror(index(sea_lice!$G:$G,match($A711,sea_lice!$A:$A,0)))</f>
        <v>BSL6-59</v>
      </c>
      <c r="Q711" t="str">
        <f t="array" ref="Q711">iferror(index(sea_lice!$J:$J,match($A711,sea_lice!$A:$A,0)))</f>
        <v>N</v>
      </c>
      <c r="R711" s="40" t="str">
        <f t="array" ref="R711">iferror(index(dissected_fish!$F:$F,match($A711,dissected_fish!$A:$A,0)))</f>
        <v>BCA106</v>
      </c>
      <c r="S711" s="40" t="str">
        <f t="array" ref="S711">iferror(index(dissected_fish!$K:$K,match($A711,dissected_fish!$A:$A,0)))</f>
        <v>N</v>
      </c>
      <c r="T711" s="61" t="str">
        <f t="array" ref="T711">index(fish_lab_data!O:O,match(A711,fish_lab_data!C:C,0))</f>
        <v>EJ</v>
      </c>
      <c r="U711" s="61">
        <f t="array" ref="U711">if(A711="","",index(fish_lab_data!X:X,match(A711,fish_lab_data!C:C,0)))</f>
        <v>710</v>
      </c>
    </row>
    <row r="712">
      <c r="A712" t="str">
        <f>fish_lab_data!C712</f>
        <v>U16624</v>
      </c>
      <c r="B712" t="str">
        <f t="array" ref="B712">iferror(index('rna-muscle'!$I:$I,match($A712,'rna-muscle'!$A:$A,0)))</f>
        <v>BRN61M-F11</v>
      </c>
      <c r="C712" t="str">
        <f t="array" ref="C712">iferror(index('rna-muscle'!$L:$L,match($A712,'rna-muscle'!$A:$A,0)))</f>
        <v>N</v>
      </c>
      <c r="D712" t="str">
        <f t="array" ref="D712">iferror(index('rna-gill'!$I:$I,match($A712,'rna-gill'!$A:$A,0)))</f>
        <v>BRN61G-F11</v>
      </c>
      <c r="E712" t="str">
        <f t="array" ref="E712">iferror(index('rna-gill'!$L:$L,match($A712,'rna-gill'!$A:$A,0)))</f>
        <v>N</v>
      </c>
      <c r="F712" t="str">
        <f t="array" ref="F712">iferror(index(fatty_acid!$G:$G,match($A712,fatty_acid!$A:$A,0)))</f>
        <v>BFA29-41</v>
      </c>
      <c r="G712" t="str">
        <f t="array" ref="G712">iferror(index(fatty_acid!$J:$J,match($A712,fatty_acid!$A:$A,0)))</f>
        <v>N</v>
      </c>
      <c r="H712" t="str">
        <f t="array" ref="H712">iferror(index(isotopes!$G:$G,match($A712,isotopes!$A:$A,0)))</f>
        <v>BIS30-62</v>
      </c>
      <c r="I712" t="str">
        <f t="array" ref="I712">iferror(index(isotopes!$J:$J,match($A712,isotopes!$A:$A,0)))</f>
        <v>N</v>
      </c>
      <c r="J712" t="str">
        <f t="array" ref="J712">iferror(index(extra_muscle!$G:$G,match($A712,extra_muscle!$A:$A,0)))</f>
        <v>BXM30-27</v>
      </c>
      <c r="K712" t="str">
        <f t="array" ref="K712">iferror(index(extra_muscle!$J:$J,match($A712,extra_muscle!$A:$A,0)))</f>
        <v>N</v>
      </c>
      <c r="L712" s="59" t="str">
        <f t="array" ref="L712">iferror(index(dna!$G:$G,match($A712,dna!$A:$A,0)))</f>
        <v/>
      </c>
      <c r="M712" s="60" t="str">
        <f t="array" ref="M712">iferror(index(dna!$J:$J,match($A712,dna!$A:$A,0)))</f>
        <v/>
      </c>
      <c r="N712" t="str">
        <f t="array" ref="N712">iferror(index(stomachs!$G:$G,match($A712,stomachs!$A:$A,0)))</f>
        <v/>
      </c>
      <c r="O712" t="str">
        <f t="array" ref="O712">iferror(index(stomachs!$J:$J,match($A712,stomachs!$A:$A,0)))</f>
        <v/>
      </c>
      <c r="P712" t="str">
        <f t="array" ref="P712">iferror(index(sea_lice!$G:$G,match($A712,sea_lice!$A:$A,0)))</f>
        <v>BSL6-60</v>
      </c>
      <c r="Q712" t="str">
        <f t="array" ref="Q712">iferror(index(sea_lice!$J:$J,match($A712,sea_lice!$A:$A,0)))</f>
        <v>N</v>
      </c>
      <c r="R712" s="40" t="str">
        <f t="array" ref="R712">iferror(index(dissected_fish!$F:$F,match($A712,dissected_fish!$A:$A,0)))</f>
        <v>BCA106</v>
      </c>
      <c r="S712" s="40" t="str">
        <f t="array" ref="S712">iferror(index(dissected_fish!$K:$K,match($A712,dissected_fish!$A:$A,0)))</f>
        <v>N</v>
      </c>
      <c r="T712" s="61" t="str">
        <f t="array" ref="T712">index(fish_lab_data!O:O,match(A712,fish_lab_data!C:C,0))</f>
        <v>EJ</v>
      </c>
      <c r="U712" s="61">
        <f t="array" ref="U712">if(A712="","",index(fish_lab_data!X:X,match(A712,fish_lab_data!C:C,0)))</f>
        <v>711</v>
      </c>
    </row>
    <row r="713">
      <c r="A713" t="str">
        <f>fish_lab_data!C713</f>
        <v>U16625</v>
      </c>
      <c r="B713" t="str">
        <f t="array" ref="B713">iferror(index('rna-muscle'!$I:$I,match($A713,'rna-muscle'!$A:$A,0)))</f>
        <v>BRN61M-E11</v>
      </c>
      <c r="C713" t="str">
        <f t="array" ref="C713">iferror(index('rna-muscle'!$L:$L,match($A713,'rna-muscle'!$A:$A,0)))</f>
        <v>N</v>
      </c>
      <c r="D713" t="str">
        <f t="array" ref="D713">iferror(index('rna-gill'!$I:$I,match($A713,'rna-gill'!$A:$A,0)))</f>
        <v>BRN61G-E11</v>
      </c>
      <c r="E713" t="str">
        <f t="array" ref="E713">iferror(index('rna-gill'!$L:$L,match($A713,'rna-gill'!$A:$A,0)))</f>
        <v>N</v>
      </c>
      <c r="F713" t="str">
        <f t="array" ref="F713">iferror(index(fatty_acid!$G:$G,match($A713,fatty_acid!$A:$A,0)))</f>
        <v>BFA29-42</v>
      </c>
      <c r="G713" t="str">
        <f t="array" ref="G713">iferror(index(fatty_acid!$J:$J,match($A713,fatty_acid!$A:$A,0)))</f>
        <v>N</v>
      </c>
      <c r="H713" t="str">
        <f t="array" ref="H713">iferror(index(isotopes!$G:$G,match($A713,isotopes!$A:$A,0)))</f>
        <v>BIS30-63</v>
      </c>
      <c r="I713" t="str">
        <f t="array" ref="I713">iferror(index(isotopes!$J:$J,match($A713,isotopes!$A:$A,0)))</f>
        <v>N</v>
      </c>
      <c r="J713" t="str">
        <f t="array" ref="J713">iferror(index(extra_muscle!$G:$G,match($A713,extra_muscle!$A:$A,0)))</f>
        <v>BXM30-28</v>
      </c>
      <c r="K713" t="str">
        <f t="array" ref="K713">iferror(index(extra_muscle!$J:$J,match($A713,extra_muscle!$A:$A,0)))</f>
        <v>N</v>
      </c>
      <c r="L713" s="59" t="str">
        <f t="array" ref="L713">iferror(index(dna!$G:$G,match($A713,dna!$A:$A,0)))</f>
        <v/>
      </c>
      <c r="M713" s="60" t="str">
        <f t="array" ref="M713">iferror(index(dna!$J:$J,match($A713,dna!$A:$A,0)))</f>
        <v/>
      </c>
      <c r="N713" t="str">
        <f t="array" ref="N713">iferror(index(stomachs!$G:$G,match($A713,stomachs!$A:$A,0)))</f>
        <v/>
      </c>
      <c r="O713" t="str">
        <f t="array" ref="O713">iferror(index(stomachs!$J:$J,match($A713,stomachs!$A:$A,0)))</f>
        <v/>
      </c>
      <c r="P713" t="str">
        <f t="array" ref="P713">iferror(index(sea_lice!$G:$G,match($A713,sea_lice!$A:$A,0)))</f>
        <v/>
      </c>
      <c r="Q713" t="str">
        <f t="array" ref="Q713">iferror(index(sea_lice!$J:$J,match($A713,sea_lice!$A:$A,0)))</f>
        <v/>
      </c>
      <c r="R713" s="40" t="str">
        <f t="array" ref="R713">iferror(index(dissected_fish!$F:$F,match($A713,dissected_fish!$A:$A,0)))</f>
        <v>BCA106</v>
      </c>
      <c r="S713" s="40" t="str">
        <f t="array" ref="S713">iferror(index(dissected_fish!$K:$K,match($A713,dissected_fish!$A:$A,0)))</f>
        <v>N</v>
      </c>
      <c r="T713" s="61" t="str">
        <f t="array" ref="T713">index(fish_lab_data!O:O,match(A713,fish_lab_data!C:C,0))</f>
        <v>EJ</v>
      </c>
      <c r="U713" s="61">
        <f t="array" ref="U713">if(A713="","",index(fish_lab_data!X:X,match(A713,fish_lab_data!C:C,0)))</f>
        <v>712</v>
      </c>
    </row>
    <row r="714">
      <c r="A714" t="str">
        <f>fish_lab_data!C714</f>
        <v>U16626</v>
      </c>
      <c r="B714" t="str">
        <f t="array" ref="B714">iferror(index('rna-muscle'!$I:$I,match($A714,'rna-muscle'!$A:$A,0)))</f>
        <v>BRN61M-D11</v>
      </c>
      <c r="C714" t="str">
        <f t="array" ref="C714">iferror(index('rna-muscle'!$L:$L,match($A714,'rna-muscle'!$A:$A,0)))</f>
        <v>N</v>
      </c>
      <c r="D714" t="str">
        <f t="array" ref="D714">iferror(index('rna-gill'!$I:$I,match($A714,'rna-gill'!$A:$A,0)))</f>
        <v>BRN61G-D11</v>
      </c>
      <c r="E714" t="str">
        <f t="array" ref="E714">iferror(index('rna-gill'!$L:$L,match($A714,'rna-gill'!$A:$A,0)))</f>
        <v>N</v>
      </c>
      <c r="F714" t="str">
        <f t="array" ref="F714">iferror(index(fatty_acid!$G:$G,match($A714,fatty_acid!$A:$A,0)))</f>
        <v>BFA29-43</v>
      </c>
      <c r="G714" t="str">
        <f t="array" ref="G714">iferror(index(fatty_acid!$J:$J,match($A714,fatty_acid!$A:$A,0)))</f>
        <v>N</v>
      </c>
      <c r="H714" t="str">
        <f t="array" ref="H714">iferror(index(isotopes!$G:$G,match($A714,isotopes!$A:$A,0)))</f>
        <v>BIS30-64</v>
      </c>
      <c r="I714" t="str">
        <f t="array" ref="I714">iferror(index(isotopes!$J:$J,match($A714,isotopes!$A:$A,0)))</f>
        <v>N</v>
      </c>
      <c r="J714" t="str">
        <f t="array" ref="J714">iferror(index(extra_muscle!$G:$G,match($A714,extra_muscle!$A:$A,0)))</f>
        <v>BXM30-29</v>
      </c>
      <c r="K714" t="str">
        <f t="array" ref="K714">iferror(index(extra_muscle!$J:$J,match($A714,extra_muscle!$A:$A,0)))</f>
        <v>N</v>
      </c>
      <c r="L714" s="59" t="str">
        <f t="array" ref="L714">iferror(index(dna!$G:$G,match($A714,dna!$A:$A,0)))</f>
        <v/>
      </c>
      <c r="M714" s="60" t="str">
        <f t="array" ref="M714">iferror(index(dna!$J:$J,match($A714,dna!$A:$A,0)))</f>
        <v/>
      </c>
      <c r="N714" t="str">
        <f t="array" ref="N714">iferror(index(stomachs!$G:$G,match($A714,stomachs!$A:$A,0)))</f>
        <v/>
      </c>
      <c r="O714" t="str">
        <f t="array" ref="O714">iferror(index(stomachs!$J:$J,match($A714,stomachs!$A:$A,0)))</f>
        <v/>
      </c>
      <c r="P714" t="str">
        <f t="array" ref="P714">iferror(index(sea_lice!$G:$G,match($A714,sea_lice!$A:$A,0)))</f>
        <v/>
      </c>
      <c r="Q714" t="str">
        <f t="array" ref="Q714">iferror(index(sea_lice!$J:$J,match($A714,sea_lice!$A:$A,0)))</f>
        <v/>
      </c>
      <c r="R714" s="40" t="str">
        <f t="array" ref="R714">iferror(index(dissected_fish!$F:$F,match($A714,dissected_fish!$A:$A,0)))</f>
        <v>BCA106</v>
      </c>
      <c r="S714" s="40" t="str">
        <f t="array" ref="S714">iferror(index(dissected_fish!$K:$K,match($A714,dissected_fish!$A:$A,0)))</f>
        <v>N</v>
      </c>
      <c r="T714" s="61" t="str">
        <f t="array" ref="T714">index(fish_lab_data!O:O,match(A714,fish_lab_data!C:C,0))</f>
        <v>EJ</v>
      </c>
      <c r="U714" s="61">
        <f t="array" ref="U714">if(A714="","",index(fish_lab_data!X:X,match(A714,fish_lab_data!C:C,0)))</f>
        <v>713</v>
      </c>
    </row>
    <row r="715">
      <c r="A715" t="str">
        <f>fish_lab_data!C715</f>
        <v>U16911</v>
      </c>
      <c r="B715" t="str">
        <f t="array" ref="B715">iferror(index('rna-muscle'!$I:$I,match($A715,'rna-muscle'!$A:$A,0)))</f>
        <v>BRN64M-H10</v>
      </c>
      <c r="C715" t="str">
        <f t="array" ref="C715">iferror(index('rna-muscle'!$L:$L,match($A715,'rna-muscle'!$A:$A,0)))</f>
        <v>N</v>
      </c>
      <c r="D715" t="str">
        <f t="array" ref="D715">iferror(index('rna-gill'!$I:$I,match($A715,'rna-gill'!$A:$A,0)))</f>
        <v>BRN64G-H10</v>
      </c>
      <c r="E715" t="str">
        <f t="array" ref="E715">iferror(index('rna-gill'!$L:$L,match($A715,'rna-gill'!$A:$A,0)))</f>
        <v>N</v>
      </c>
      <c r="F715" t="str">
        <f t="array" ref="F715">iferror(index(fatty_acid!$G:$G,match($A715,fatty_acid!$A:$A,0)))</f>
        <v>BFA29-44</v>
      </c>
      <c r="G715" t="str">
        <f t="array" ref="G715">iferror(index(fatty_acid!$J:$J,match($A715,fatty_acid!$A:$A,0)))</f>
        <v>N</v>
      </c>
      <c r="H715" t="str">
        <f t="array" ref="H715">iferror(index(isotopes!$G:$G,match($A715,isotopes!$A:$A,0)))</f>
        <v>BIS30-65</v>
      </c>
      <c r="I715" t="str">
        <f t="array" ref="I715">iferror(index(isotopes!$J:$J,match($A715,isotopes!$A:$A,0)))</f>
        <v>N</v>
      </c>
      <c r="J715" t="str">
        <f t="array" ref="J715">iferror(index(extra_muscle!$G:$G,match($A715,extra_muscle!$A:$A,0)))</f>
        <v>BXM30-30</v>
      </c>
      <c r="K715" t="str">
        <f t="array" ref="K715">iferror(index(extra_muscle!$J:$J,match($A715,extra_muscle!$A:$A,0)))</f>
        <v>N</v>
      </c>
      <c r="L715" s="59" t="str">
        <f t="array" ref="L715">iferror(index(dna!$G:$G,match($A715,dna!$A:$A,0)))</f>
        <v/>
      </c>
      <c r="M715" s="60" t="str">
        <f t="array" ref="M715">iferror(index(dna!$J:$J,match($A715,dna!$A:$A,0)))</f>
        <v/>
      </c>
      <c r="N715" t="str">
        <f t="array" ref="N715">iferror(index(stomachs!$G:$G,match($A715,stomachs!$A:$A,0)))</f>
        <v/>
      </c>
      <c r="O715" t="str">
        <f t="array" ref="O715">iferror(index(stomachs!$J:$J,match($A715,stomachs!$A:$A,0)))</f>
        <v/>
      </c>
      <c r="P715" t="str">
        <f t="array" ref="P715">iferror(index(sea_lice!$G:$G,match($A715,sea_lice!$A:$A,0)))</f>
        <v/>
      </c>
      <c r="Q715" t="str">
        <f t="array" ref="Q715">iferror(index(sea_lice!$J:$J,match($A715,sea_lice!$A:$A,0)))</f>
        <v/>
      </c>
      <c r="R715" s="40" t="str">
        <f t="array" ref="R715">iferror(index(dissected_fish!$F:$F,match($A715,dissected_fish!$A:$A,0)))</f>
        <v>BCA106</v>
      </c>
      <c r="S715" s="40" t="str">
        <f t="array" ref="S715">iferror(index(dissected_fish!$K:$K,match($A715,dissected_fish!$A:$A,0)))</f>
        <v>N</v>
      </c>
      <c r="T715" s="61" t="str">
        <f t="array" ref="T715">index(fish_lab_data!O:O,match(A715,fish_lab_data!C:C,0))</f>
        <v>EJ</v>
      </c>
      <c r="U715" s="61">
        <f t="array" ref="U715">if(A715="","",index(fish_lab_data!X:X,match(A715,fish_lab_data!C:C,0)))</f>
        <v>714</v>
      </c>
    </row>
    <row r="716">
      <c r="A716" t="str">
        <f>fish_lab_data!C716</f>
        <v>U16912</v>
      </c>
      <c r="B716" t="str">
        <f t="array" ref="B716">iferror(index('rna-muscle'!$I:$I,match($A716,'rna-muscle'!$A:$A,0)))</f>
        <v>BRN64M-G10</v>
      </c>
      <c r="C716" t="str">
        <f t="array" ref="C716">iferror(index('rna-muscle'!$L:$L,match($A716,'rna-muscle'!$A:$A,0)))</f>
        <v>N</v>
      </c>
      <c r="D716" t="str">
        <f t="array" ref="D716">iferror(index('rna-gill'!$I:$I,match($A716,'rna-gill'!$A:$A,0)))</f>
        <v>BRN64G-G10</v>
      </c>
      <c r="E716" t="str">
        <f t="array" ref="E716">iferror(index('rna-gill'!$L:$L,match($A716,'rna-gill'!$A:$A,0)))</f>
        <v>N</v>
      </c>
      <c r="F716" t="str">
        <f t="array" ref="F716">iferror(index(fatty_acid!$G:$G,match($A716,fatty_acid!$A:$A,0)))</f>
        <v>BFA29-45</v>
      </c>
      <c r="G716" t="str">
        <f t="array" ref="G716">iferror(index(fatty_acid!$J:$J,match($A716,fatty_acid!$A:$A,0)))</f>
        <v>N</v>
      </c>
      <c r="H716" t="str">
        <f t="array" ref="H716">iferror(index(isotopes!$G:$G,match($A716,isotopes!$A:$A,0)))</f>
        <v>BIS30-66</v>
      </c>
      <c r="I716" t="str">
        <f t="array" ref="I716">iferror(index(isotopes!$J:$J,match($A716,isotopes!$A:$A,0)))</f>
        <v>N</v>
      </c>
      <c r="J716" t="str">
        <f t="array" ref="J716">iferror(index(extra_muscle!$G:$G,match($A716,extra_muscle!$A:$A,0)))</f>
        <v>BXM30-31</v>
      </c>
      <c r="K716" t="str">
        <f t="array" ref="K716">iferror(index(extra_muscle!$J:$J,match($A716,extra_muscle!$A:$A,0)))</f>
        <v>N</v>
      </c>
      <c r="L716" s="59" t="str">
        <f t="array" ref="L716">iferror(index(dna!$G:$G,match($A716,dna!$A:$A,0)))</f>
        <v/>
      </c>
      <c r="M716" s="60" t="str">
        <f t="array" ref="M716">iferror(index(dna!$J:$J,match($A716,dna!$A:$A,0)))</f>
        <v/>
      </c>
      <c r="N716" t="str">
        <f t="array" ref="N716">iferror(index(stomachs!$G:$G,match($A716,stomachs!$A:$A,0)))</f>
        <v/>
      </c>
      <c r="O716" t="str">
        <f t="array" ref="O716">iferror(index(stomachs!$J:$J,match($A716,stomachs!$A:$A,0)))</f>
        <v/>
      </c>
      <c r="P716" t="str">
        <f t="array" ref="P716">iferror(index(sea_lice!$G:$G,match($A716,sea_lice!$A:$A,0)))</f>
        <v>BSL6-62</v>
      </c>
      <c r="Q716" t="str">
        <f t="array" ref="Q716">iferror(index(sea_lice!$J:$J,match($A716,sea_lice!$A:$A,0)))</f>
        <v>N</v>
      </c>
      <c r="R716" s="40" t="str">
        <f t="array" ref="R716">iferror(index(dissected_fish!$F:$F,match($A716,dissected_fish!$A:$A,0)))</f>
        <v>BCA106</v>
      </c>
      <c r="S716" s="40" t="str">
        <f t="array" ref="S716">iferror(index(dissected_fish!$K:$K,match($A716,dissected_fish!$A:$A,0)))</f>
        <v>N</v>
      </c>
      <c r="T716" s="61" t="str">
        <f t="array" ref="T716">index(fish_lab_data!O:O,match(A716,fish_lab_data!C:C,0))</f>
        <v>EJ</v>
      </c>
      <c r="U716" s="61">
        <f t="array" ref="U716">if(A716="","",index(fish_lab_data!X:X,match(A716,fish_lab_data!C:C,0)))</f>
        <v>715</v>
      </c>
    </row>
    <row r="717">
      <c r="A717" t="str">
        <f>fish_lab_data!C717</f>
        <v>U16913</v>
      </c>
      <c r="B717" t="str">
        <f t="array" ref="B717">iferror(index('rna-muscle'!$I:$I,match($A717,'rna-muscle'!$A:$A,0)))</f>
        <v>BRN64M-F10</v>
      </c>
      <c r="C717" t="str">
        <f t="array" ref="C717">iferror(index('rna-muscle'!$L:$L,match($A717,'rna-muscle'!$A:$A,0)))</f>
        <v>N</v>
      </c>
      <c r="D717" t="str">
        <f t="array" ref="D717">iferror(index('rna-gill'!$I:$I,match($A717,'rna-gill'!$A:$A,0)))</f>
        <v>BRN64G-F10</v>
      </c>
      <c r="E717" t="str">
        <f t="array" ref="E717">iferror(index('rna-gill'!$L:$L,match($A717,'rna-gill'!$A:$A,0)))</f>
        <v>N</v>
      </c>
      <c r="F717" t="str">
        <f t="array" ref="F717">iferror(index(fatty_acid!$G:$G,match($A717,fatty_acid!$A:$A,0)))</f>
        <v>BFA29-46</v>
      </c>
      <c r="G717" t="str">
        <f t="array" ref="G717">iferror(index(fatty_acid!$J:$J,match($A717,fatty_acid!$A:$A,0)))</f>
        <v>N</v>
      </c>
      <c r="H717" t="str">
        <f t="array" ref="H717">iferror(index(isotopes!$G:$G,match($A717,isotopes!$A:$A,0)))</f>
        <v>BIS30-67</v>
      </c>
      <c r="I717" t="str">
        <f t="array" ref="I717">iferror(index(isotopes!$J:$J,match($A717,isotopes!$A:$A,0)))</f>
        <v>N</v>
      </c>
      <c r="J717" t="str">
        <f t="array" ref="J717">iferror(index(extra_muscle!$G:$G,match($A717,extra_muscle!$A:$A,0)))</f>
        <v>BXM30-32</v>
      </c>
      <c r="K717" t="str">
        <f t="array" ref="K717">iferror(index(extra_muscle!$J:$J,match($A717,extra_muscle!$A:$A,0)))</f>
        <v>N</v>
      </c>
      <c r="L717" s="59" t="str">
        <f t="array" ref="L717">iferror(index(dna!$G:$G,match($A717,dna!$A:$A,0)))</f>
        <v/>
      </c>
      <c r="M717" s="60" t="str">
        <f t="array" ref="M717">iferror(index(dna!$J:$J,match($A717,dna!$A:$A,0)))</f>
        <v/>
      </c>
      <c r="N717" t="str">
        <f t="array" ref="N717">iferror(index(stomachs!$G:$G,match($A717,stomachs!$A:$A,0)))</f>
        <v/>
      </c>
      <c r="O717" t="str">
        <f t="array" ref="O717">iferror(index(stomachs!$J:$J,match($A717,stomachs!$A:$A,0)))</f>
        <v/>
      </c>
      <c r="P717" t="str">
        <f t="array" ref="P717">iferror(index(sea_lice!$G:$G,match($A717,sea_lice!$A:$A,0)))</f>
        <v/>
      </c>
      <c r="Q717" t="str">
        <f t="array" ref="Q717">iferror(index(sea_lice!$J:$J,match($A717,sea_lice!$A:$A,0)))</f>
        <v/>
      </c>
      <c r="R717" s="40" t="str">
        <f t="array" ref="R717">iferror(index(dissected_fish!$F:$F,match($A717,dissected_fish!$A:$A,0)))</f>
        <v>BCA106</v>
      </c>
      <c r="S717" s="40" t="str">
        <f t="array" ref="S717">iferror(index(dissected_fish!$K:$K,match($A717,dissected_fish!$A:$A,0)))</f>
        <v>N</v>
      </c>
      <c r="T717" s="61" t="str">
        <f t="array" ref="T717">index(fish_lab_data!O:O,match(A717,fish_lab_data!C:C,0))</f>
        <v>EJ</v>
      </c>
      <c r="U717" s="61">
        <f t="array" ref="U717">if(A717="","",index(fish_lab_data!X:X,match(A717,fish_lab_data!C:C,0)))</f>
        <v>716</v>
      </c>
    </row>
    <row r="718">
      <c r="A718" t="str">
        <f>fish_lab_data!C718</f>
        <v>U16914</v>
      </c>
      <c r="B718" t="str">
        <f t="array" ref="B718">iferror(index('rna-muscle'!$I:$I,match($A718,'rna-muscle'!$A:$A,0)))</f>
        <v>BRN64M-E10</v>
      </c>
      <c r="C718" t="str">
        <f t="array" ref="C718">iferror(index('rna-muscle'!$L:$L,match($A718,'rna-muscle'!$A:$A,0)))</f>
        <v>N</v>
      </c>
      <c r="D718" t="str">
        <f t="array" ref="D718">iferror(index('rna-gill'!$I:$I,match($A718,'rna-gill'!$A:$A,0)))</f>
        <v>BRN64G-E10</v>
      </c>
      <c r="E718" t="str">
        <f t="array" ref="E718">iferror(index('rna-gill'!$L:$L,match($A718,'rna-gill'!$A:$A,0)))</f>
        <v>N</v>
      </c>
      <c r="F718" t="str">
        <f t="array" ref="F718">iferror(index(fatty_acid!$G:$G,match($A718,fatty_acid!$A:$A,0)))</f>
        <v>BFA29-47</v>
      </c>
      <c r="G718" t="str">
        <f t="array" ref="G718">iferror(index(fatty_acid!$J:$J,match($A718,fatty_acid!$A:$A,0)))</f>
        <v>N</v>
      </c>
      <c r="H718" t="str">
        <f t="array" ref="H718">iferror(index(isotopes!$G:$G,match($A718,isotopes!$A:$A,0)))</f>
        <v>BIS30-68</v>
      </c>
      <c r="I718" t="str">
        <f t="array" ref="I718">iferror(index(isotopes!$J:$J,match($A718,isotopes!$A:$A,0)))</f>
        <v>N</v>
      </c>
      <c r="J718" t="str">
        <f t="array" ref="J718">iferror(index(extra_muscle!$G:$G,match($A718,extra_muscle!$A:$A,0)))</f>
        <v>BXM30-33</v>
      </c>
      <c r="K718" t="str">
        <f t="array" ref="K718">iferror(index(extra_muscle!$J:$J,match($A718,extra_muscle!$A:$A,0)))</f>
        <v>N</v>
      </c>
      <c r="L718" s="59" t="str">
        <f t="array" ref="L718">iferror(index(dna!$G:$G,match($A718,dna!$A:$A,0)))</f>
        <v/>
      </c>
      <c r="M718" s="60" t="str">
        <f t="array" ref="M718">iferror(index(dna!$J:$J,match($A718,dna!$A:$A,0)))</f>
        <v/>
      </c>
      <c r="N718" t="str">
        <f t="array" ref="N718">iferror(index(stomachs!$G:$G,match($A718,stomachs!$A:$A,0)))</f>
        <v/>
      </c>
      <c r="O718" t="str">
        <f t="array" ref="O718">iferror(index(stomachs!$J:$J,match($A718,stomachs!$A:$A,0)))</f>
        <v/>
      </c>
      <c r="P718" t="str">
        <f t="array" ref="P718">iferror(index(sea_lice!$G:$G,match($A718,sea_lice!$A:$A,0)))</f>
        <v/>
      </c>
      <c r="Q718" t="str">
        <f t="array" ref="Q718">iferror(index(sea_lice!$J:$J,match($A718,sea_lice!$A:$A,0)))</f>
        <v/>
      </c>
      <c r="R718" s="40" t="str">
        <f t="array" ref="R718">iferror(index(dissected_fish!$F:$F,match($A718,dissected_fish!$A:$A,0)))</f>
        <v>BCA106</v>
      </c>
      <c r="S718" s="40" t="str">
        <f t="array" ref="S718">iferror(index(dissected_fish!$K:$K,match($A718,dissected_fish!$A:$A,0)))</f>
        <v>N</v>
      </c>
      <c r="T718" s="61" t="str">
        <f t="array" ref="T718">index(fish_lab_data!O:O,match(A718,fish_lab_data!C:C,0))</f>
        <v>EJ</v>
      </c>
      <c r="U718" s="61">
        <f t="array" ref="U718">if(A718="","",index(fish_lab_data!X:X,match(A718,fish_lab_data!C:C,0)))</f>
        <v>717</v>
      </c>
    </row>
    <row r="719">
      <c r="A719" t="str">
        <f>fish_lab_data!C719</f>
        <v>U16915</v>
      </c>
      <c r="B719" t="str">
        <f t="array" ref="B719">iferror(index('rna-muscle'!$I:$I,match($A719,'rna-muscle'!$A:$A,0)))</f>
        <v>BRN64M-D10</v>
      </c>
      <c r="C719" t="str">
        <f t="array" ref="C719">iferror(index('rna-muscle'!$L:$L,match($A719,'rna-muscle'!$A:$A,0)))</f>
        <v>N</v>
      </c>
      <c r="D719" t="str">
        <f t="array" ref="D719">iferror(index('rna-gill'!$I:$I,match($A719,'rna-gill'!$A:$A,0)))</f>
        <v>BRN64G-D10</v>
      </c>
      <c r="E719" t="str">
        <f t="array" ref="E719">iferror(index('rna-gill'!$L:$L,match($A719,'rna-gill'!$A:$A,0)))</f>
        <v>N</v>
      </c>
      <c r="F719" t="str">
        <f t="array" ref="F719">iferror(index(fatty_acid!$G:$G,match($A719,fatty_acid!$A:$A,0)))</f>
        <v>BFA29-48</v>
      </c>
      <c r="G719" t="str">
        <f t="array" ref="G719">iferror(index(fatty_acid!$J:$J,match($A719,fatty_acid!$A:$A,0)))</f>
        <v>N</v>
      </c>
      <c r="H719" t="str">
        <f t="array" ref="H719">iferror(index(isotopes!$G:$G,match($A719,isotopes!$A:$A,0)))</f>
        <v>BIS30-69</v>
      </c>
      <c r="I719" t="str">
        <f t="array" ref="I719">iferror(index(isotopes!$J:$J,match($A719,isotopes!$A:$A,0)))</f>
        <v>N</v>
      </c>
      <c r="J719" t="str">
        <f t="array" ref="J719">iferror(index(extra_muscle!$G:$G,match($A719,extra_muscle!$A:$A,0)))</f>
        <v>BXM30-34</v>
      </c>
      <c r="K719" t="str">
        <f t="array" ref="K719">iferror(index(extra_muscle!$J:$J,match($A719,extra_muscle!$A:$A,0)))</f>
        <v>N</v>
      </c>
      <c r="L719" s="59" t="str">
        <f t="array" ref="L719">iferror(index(dna!$G:$G,match($A719,dna!$A:$A,0)))</f>
        <v/>
      </c>
      <c r="M719" s="60" t="str">
        <f t="array" ref="M719">iferror(index(dna!$J:$J,match($A719,dna!$A:$A,0)))</f>
        <v/>
      </c>
      <c r="N719" t="str">
        <f t="array" ref="N719">iferror(index(stomachs!$G:$G,match($A719,stomachs!$A:$A,0)))</f>
        <v/>
      </c>
      <c r="O719" t="str">
        <f t="array" ref="O719">iferror(index(stomachs!$J:$J,match($A719,stomachs!$A:$A,0)))</f>
        <v/>
      </c>
      <c r="P719" t="str">
        <f t="array" ref="P719">iferror(index(sea_lice!$G:$G,match($A719,sea_lice!$A:$A,0)))</f>
        <v/>
      </c>
      <c r="Q719" t="str">
        <f t="array" ref="Q719">iferror(index(sea_lice!$J:$J,match($A719,sea_lice!$A:$A,0)))</f>
        <v/>
      </c>
      <c r="R719" s="40" t="str">
        <f t="array" ref="R719">iferror(index(dissected_fish!$F:$F,match($A719,dissected_fish!$A:$A,0)))</f>
        <v>BCA106</v>
      </c>
      <c r="S719" s="40" t="str">
        <f t="array" ref="S719">iferror(index(dissected_fish!$K:$K,match($A719,dissected_fish!$A:$A,0)))</f>
        <v>N</v>
      </c>
      <c r="T719" s="61" t="str">
        <f t="array" ref="T719">index(fish_lab_data!O:O,match(A719,fish_lab_data!C:C,0))</f>
        <v>EJ</v>
      </c>
      <c r="U719" s="61">
        <f t="array" ref="U719">if(A719="","",index(fish_lab_data!X:X,match(A719,fish_lab_data!C:C,0)))</f>
        <v>718</v>
      </c>
    </row>
    <row r="720">
      <c r="A720" t="str">
        <f>fish_lab_data!C720</f>
        <v>U16916</v>
      </c>
      <c r="B720" t="str">
        <f t="array" ref="B720">iferror(index('rna-muscle'!$I:$I,match($A720,'rna-muscle'!$A:$A,0)))</f>
        <v>BRN64M-C10</v>
      </c>
      <c r="C720" t="str">
        <f t="array" ref="C720">iferror(index('rna-muscle'!$L:$L,match($A720,'rna-muscle'!$A:$A,0)))</f>
        <v>N</v>
      </c>
      <c r="D720" t="str">
        <f t="array" ref="D720">iferror(index('rna-gill'!$I:$I,match($A720,'rna-gill'!$A:$A,0)))</f>
        <v>BRN64G-C10</v>
      </c>
      <c r="E720" t="str">
        <f t="array" ref="E720">iferror(index('rna-gill'!$L:$L,match($A720,'rna-gill'!$A:$A,0)))</f>
        <v>N</v>
      </c>
      <c r="F720" t="str">
        <f t="array" ref="F720">iferror(index(fatty_acid!$G:$G,match($A720,fatty_acid!$A:$A,0)))</f>
        <v>BFA29-49</v>
      </c>
      <c r="G720" t="str">
        <f t="array" ref="G720">iferror(index(fatty_acid!$J:$J,match($A720,fatty_acid!$A:$A,0)))</f>
        <v>N</v>
      </c>
      <c r="H720" t="str">
        <f t="array" ref="H720">iferror(index(isotopes!$G:$G,match($A720,isotopes!$A:$A,0)))</f>
        <v>BIS30-70</v>
      </c>
      <c r="I720" t="str">
        <f t="array" ref="I720">iferror(index(isotopes!$J:$J,match($A720,isotopes!$A:$A,0)))</f>
        <v>N</v>
      </c>
      <c r="J720" t="str">
        <f t="array" ref="J720">iferror(index(extra_muscle!$G:$G,match($A720,extra_muscle!$A:$A,0)))</f>
        <v>BXM30-35</v>
      </c>
      <c r="K720" t="str">
        <f t="array" ref="K720">iferror(index(extra_muscle!$J:$J,match($A720,extra_muscle!$A:$A,0)))</f>
        <v>N</v>
      </c>
      <c r="L720" s="59" t="str">
        <f t="array" ref="L720">iferror(index(dna!$G:$G,match($A720,dna!$A:$A,0)))</f>
        <v/>
      </c>
      <c r="M720" s="60" t="str">
        <f t="array" ref="M720">iferror(index(dna!$J:$J,match($A720,dna!$A:$A,0)))</f>
        <v/>
      </c>
      <c r="N720" t="str">
        <f t="array" ref="N720">iferror(index(stomachs!$G:$G,match($A720,stomachs!$A:$A,0)))</f>
        <v/>
      </c>
      <c r="O720" t="str">
        <f t="array" ref="O720">iferror(index(stomachs!$J:$J,match($A720,stomachs!$A:$A,0)))</f>
        <v/>
      </c>
      <c r="P720" t="str">
        <f t="array" ref="P720">iferror(index(sea_lice!$G:$G,match($A720,sea_lice!$A:$A,0)))</f>
        <v/>
      </c>
      <c r="Q720" t="str">
        <f t="array" ref="Q720">iferror(index(sea_lice!$J:$J,match($A720,sea_lice!$A:$A,0)))</f>
        <v/>
      </c>
      <c r="R720" s="40" t="str">
        <f t="array" ref="R720">iferror(index(dissected_fish!$F:$F,match($A720,dissected_fish!$A:$A,0)))</f>
        <v>BCA106</v>
      </c>
      <c r="S720" s="40" t="str">
        <f t="array" ref="S720">iferror(index(dissected_fish!$K:$K,match($A720,dissected_fish!$A:$A,0)))</f>
        <v>N</v>
      </c>
      <c r="T720" s="61" t="str">
        <f t="array" ref="T720">index(fish_lab_data!O:O,match(A720,fish_lab_data!C:C,0))</f>
        <v>EJ</v>
      </c>
      <c r="U720" s="61">
        <f t="array" ref="U720">if(A720="","",index(fish_lab_data!X:X,match(A720,fish_lab_data!C:C,0)))</f>
        <v>719</v>
      </c>
    </row>
    <row r="721">
      <c r="A721" t="str">
        <f>fish_lab_data!C721</f>
        <v>U16917</v>
      </c>
      <c r="B721" t="str">
        <f t="array" ref="B721">iferror(index('rna-muscle'!$I:$I,match($A721,'rna-muscle'!$A:$A,0)))</f>
        <v>BRN64M-B10</v>
      </c>
      <c r="C721" t="str">
        <f t="array" ref="C721">iferror(index('rna-muscle'!$L:$L,match($A721,'rna-muscle'!$A:$A,0)))</f>
        <v>N</v>
      </c>
      <c r="D721" t="str">
        <f t="array" ref="D721">iferror(index('rna-gill'!$I:$I,match($A721,'rna-gill'!$A:$A,0)))</f>
        <v>BRN64G-B10</v>
      </c>
      <c r="E721" t="str">
        <f t="array" ref="E721">iferror(index('rna-gill'!$L:$L,match($A721,'rna-gill'!$A:$A,0)))</f>
        <v>N</v>
      </c>
      <c r="F721" t="str">
        <f t="array" ref="F721">iferror(index(fatty_acid!$G:$G,match($A721,fatty_acid!$A:$A,0)))</f>
        <v>BFA29-50</v>
      </c>
      <c r="G721" t="str">
        <f t="array" ref="G721">iferror(index(fatty_acid!$J:$J,match($A721,fatty_acid!$A:$A,0)))</f>
        <v>N</v>
      </c>
      <c r="H721" t="str">
        <f t="array" ref="H721">iferror(index(isotopes!$G:$G,match($A721,isotopes!$A:$A,0)))</f>
        <v>BIS30-71</v>
      </c>
      <c r="I721" t="str">
        <f t="array" ref="I721">iferror(index(isotopes!$J:$J,match($A721,isotopes!$A:$A,0)))</f>
        <v>N</v>
      </c>
      <c r="J721" t="str">
        <f t="array" ref="J721">iferror(index(extra_muscle!$G:$G,match($A721,extra_muscle!$A:$A,0)))</f>
        <v>BXM30-36</v>
      </c>
      <c r="K721" t="str">
        <f t="array" ref="K721">iferror(index(extra_muscle!$J:$J,match($A721,extra_muscle!$A:$A,0)))</f>
        <v>N</v>
      </c>
      <c r="L721" s="59" t="str">
        <f t="array" ref="L721">iferror(index(dna!$G:$G,match($A721,dna!$A:$A,0)))</f>
        <v/>
      </c>
      <c r="M721" s="60" t="str">
        <f t="array" ref="M721">iferror(index(dna!$J:$J,match($A721,dna!$A:$A,0)))</f>
        <v/>
      </c>
      <c r="N721" t="str">
        <f t="array" ref="N721">iferror(index(stomachs!$G:$G,match($A721,stomachs!$A:$A,0)))</f>
        <v/>
      </c>
      <c r="O721" t="str">
        <f t="array" ref="O721">iferror(index(stomachs!$J:$J,match($A721,stomachs!$A:$A,0)))</f>
        <v/>
      </c>
      <c r="P721" t="str">
        <f t="array" ref="P721">iferror(index(sea_lice!$G:$G,match($A721,sea_lice!$A:$A,0)))</f>
        <v/>
      </c>
      <c r="Q721" t="str">
        <f t="array" ref="Q721">iferror(index(sea_lice!$J:$J,match($A721,sea_lice!$A:$A,0)))</f>
        <v/>
      </c>
      <c r="R721" s="40" t="str">
        <f t="array" ref="R721">iferror(index(dissected_fish!$F:$F,match($A721,dissected_fish!$A:$A,0)))</f>
        <v>BCA106</v>
      </c>
      <c r="S721" s="40" t="str">
        <f t="array" ref="S721">iferror(index(dissected_fish!$K:$K,match($A721,dissected_fish!$A:$A,0)))</f>
        <v>N</v>
      </c>
      <c r="T721" s="61" t="str">
        <f t="array" ref="T721">index(fish_lab_data!O:O,match(A721,fish_lab_data!C:C,0))</f>
        <v>EJ</v>
      </c>
      <c r="U721" s="61">
        <f t="array" ref="U721">if(A721="","",index(fish_lab_data!X:X,match(A721,fish_lab_data!C:C,0)))</f>
        <v>720</v>
      </c>
    </row>
    <row r="722">
      <c r="A722" t="str">
        <f>fish_lab_data!C722</f>
        <v>U16918</v>
      </c>
      <c r="B722" t="str">
        <f t="array" ref="B722">iferror(index('rna-muscle'!$I:$I,match($A722,'rna-muscle'!$A:$A,0)))</f>
        <v>BRN64M-A10</v>
      </c>
      <c r="C722" t="str">
        <f t="array" ref="C722">iferror(index('rna-muscle'!$L:$L,match($A722,'rna-muscle'!$A:$A,0)))</f>
        <v>N</v>
      </c>
      <c r="D722" t="str">
        <f t="array" ref="D722">iferror(index('rna-gill'!$I:$I,match($A722,'rna-gill'!$A:$A,0)))</f>
        <v>BRN64G-A10</v>
      </c>
      <c r="E722" t="str">
        <f t="array" ref="E722">iferror(index('rna-gill'!$L:$L,match($A722,'rna-gill'!$A:$A,0)))</f>
        <v>N</v>
      </c>
      <c r="F722" t="str">
        <f t="array" ref="F722">iferror(index(fatty_acid!$G:$G,match($A722,fatty_acid!$A:$A,0)))</f>
        <v>BFA29-51</v>
      </c>
      <c r="G722" t="str">
        <f t="array" ref="G722">iferror(index(fatty_acid!$J:$J,match($A722,fatty_acid!$A:$A,0)))</f>
        <v>N</v>
      </c>
      <c r="H722" t="str">
        <f t="array" ref="H722">iferror(index(isotopes!$G:$G,match($A722,isotopes!$A:$A,0)))</f>
        <v>BIS30-72</v>
      </c>
      <c r="I722" t="str">
        <f t="array" ref="I722">iferror(index(isotopes!$J:$J,match($A722,isotopes!$A:$A,0)))</f>
        <v>N</v>
      </c>
      <c r="J722" t="str">
        <f t="array" ref="J722">iferror(index(extra_muscle!$G:$G,match($A722,extra_muscle!$A:$A,0)))</f>
        <v>BXM30-37</v>
      </c>
      <c r="K722" t="str">
        <f t="array" ref="K722">iferror(index(extra_muscle!$J:$J,match($A722,extra_muscle!$A:$A,0)))</f>
        <v>N</v>
      </c>
      <c r="L722" s="59" t="str">
        <f t="array" ref="L722">iferror(index(dna!$G:$G,match($A722,dna!$A:$A,0)))</f>
        <v/>
      </c>
      <c r="M722" s="60" t="str">
        <f t="array" ref="M722">iferror(index(dna!$J:$J,match($A722,dna!$A:$A,0)))</f>
        <v/>
      </c>
      <c r="N722" t="str">
        <f t="array" ref="N722">iferror(index(stomachs!$G:$G,match($A722,stomachs!$A:$A,0)))</f>
        <v/>
      </c>
      <c r="O722" t="str">
        <f t="array" ref="O722">iferror(index(stomachs!$J:$J,match($A722,stomachs!$A:$A,0)))</f>
        <v/>
      </c>
      <c r="P722" t="str">
        <f t="array" ref="P722">iferror(index(sea_lice!$G:$G,match($A722,sea_lice!$A:$A,0)))</f>
        <v>BSL6-63</v>
      </c>
      <c r="Q722" t="str">
        <f t="array" ref="Q722">iferror(index(sea_lice!$J:$J,match($A722,sea_lice!$A:$A,0)))</f>
        <v>N</v>
      </c>
      <c r="R722" s="40" t="str">
        <f t="array" ref="R722">iferror(index(dissected_fish!$F:$F,match($A722,dissected_fish!$A:$A,0)))</f>
        <v>BCA106</v>
      </c>
      <c r="S722" s="40" t="str">
        <f t="array" ref="S722">iferror(index(dissected_fish!$K:$K,match($A722,dissected_fish!$A:$A,0)))</f>
        <v>N</v>
      </c>
      <c r="T722" s="61" t="str">
        <f t="array" ref="T722">index(fish_lab_data!O:O,match(A722,fish_lab_data!C:C,0))</f>
        <v>EJ</v>
      </c>
      <c r="U722" s="61">
        <f t="array" ref="U722">if(A722="","",index(fish_lab_data!X:X,match(A722,fish_lab_data!C:C,0)))</f>
        <v>721</v>
      </c>
    </row>
    <row r="723">
      <c r="A723" t="str">
        <f>fish_lab_data!C723</f>
        <v>U16919</v>
      </c>
      <c r="B723" t="str">
        <f t="array" ref="B723">iferror(index('rna-muscle'!$I:$I,match($A723,'rna-muscle'!$A:$A,0)))</f>
        <v>BRN64M-H11</v>
      </c>
      <c r="C723" t="str">
        <f t="array" ref="C723">iferror(index('rna-muscle'!$L:$L,match($A723,'rna-muscle'!$A:$A,0)))</f>
        <v>N</v>
      </c>
      <c r="D723" t="str">
        <f t="array" ref="D723">iferror(index('rna-gill'!$I:$I,match($A723,'rna-gill'!$A:$A,0)))</f>
        <v>BRN64G-H11</v>
      </c>
      <c r="E723" t="str">
        <f t="array" ref="E723">iferror(index('rna-gill'!$L:$L,match($A723,'rna-gill'!$A:$A,0)))</f>
        <v>N</v>
      </c>
      <c r="F723" t="str">
        <f t="array" ref="F723">iferror(index(fatty_acid!$G:$G,match($A723,fatty_acid!$A:$A,0)))</f>
        <v>BFA29-52</v>
      </c>
      <c r="G723" t="str">
        <f t="array" ref="G723">iferror(index(fatty_acid!$J:$J,match($A723,fatty_acid!$A:$A,0)))</f>
        <v>N</v>
      </c>
      <c r="H723" t="str">
        <f t="array" ref="H723">iferror(index(isotopes!$G:$G,match($A723,isotopes!$A:$A,0)))</f>
        <v>BIS30-73</v>
      </c>
      <c r="I723" t="str">
        <f t="array" ref="I723">iferror(index(isotopes!$J:$J,match($A723,isotopes!$A:$A,0)))</f>
        <v>N</v>
      </c>
      <c r="J723" t="str">
        <f t="array" ref="J723">iferror(index(extra_muscle!$G:$G,match($A723,extra_muscle!$A:$A,0)))</f>
        <v>BXM30-38</v>
      </c>
      <c r="K723" t="str">
        <f t="array" ref="K723">iferror(index(extra_muscle!$J:$J,match($A723,extra_muscle!$A:$A,0)))</f>
        <v>N</v>
      </c>
      <c r="L723" s="59" t="str">
        <f t="array" ref="L723">iferror(index(dna!$G:$G,match($A723,dna!$A:$A,0)))</f>
        <v/>
      </c>
      <c r="M723" s="60" t="str">
        <f t="array" ref="M723">iferror(index(dna!$J:$J,match($A723,dna!$A:$A,0)))</f>
        <v/>
      </c>
      <c r="N723" t="str">
        <f t="array" ref="N723">iferror(index(stomachs!$G:$G,match($A723,stomachs!$A:$A,0)))</f>
        <v/>
      </c>
      <c r="O723" t="str">
        <f t="array" ref="O723">iferror(index(stomachs!$J:$J,match($A723,stomachs!$A:$A,0)))</f>
        <v/>
      </c>
      <c r="P723" t="str">
        <f t="array" ref="P723">iferror(index(sea_lice!$G:$G,match($A723,sea_lice!$A:$A,0)))</f>
        <v>BSL6-64</v>
      </c>
      <c r="Q723" t="str">
        <f t="array" ref="Q723">iferror(index(sea_lice!$J:$J,match($A723,sea_lice!$A:$A,0)))</f>
        <v>N</v>
      </c>
      <c r="R723" s="40" t="str">
        <f t="array" ref="R723">iferror(index(dissected_fish!$F:$F,match($A723,dissected_fish!$A:$A,0)))</f>
        <v>BCA106</v>
      </c>
      <c r="S723" s="40" t="str">
        <f t="array" ref="S723">iferror(index(dissected_fish!$K:$K,match($A723,dissected_fish!$A:$A,0)))</f>
        <v>N</v>
      </c>
      <c r="T723" s="61" t="str">
        <f t="array" ref="T723">index(fish_lab_data!O:O,match(A723,fish_lab_data!C:C,0))</f>
        <v>EJ</v>
      </c>
      <c r="U723" s="61">
        <f t="array" ref="U723">if(A723="","",index(fish_lab_data!X:X,match(A723,fish_lab_data!C:C,0)))</f>
        <v>722</v>
      </c>
    </row>
    <row r="724">
      <c r="A724" t="str">
        <f>fish_lab_data!C724</f>
        <v>U16920</v>
      </c>
      <c r="B724" t="str">
        <f t="array" ref="B724">iferror(index('rna-muscle'!$I:$I,match($A724,'rna-muscle'!$A:$A,0)))</f>
        <v>BRN64M-G11</v>
      </c>
      <c r="C724" t="str">
        <f t="array" ref="C724">iferror(index('rna-muscle'!$L:$L,match($A724,'rna-muscle'!$A:$A,0)))</f>
        <v>N</v>
      </c>
      <c r="D724" t="str">
        <f t="array" ref="D724">iferror(index('rna-gill'!$I:$I,match($A724,'rna-gill'!$A:$A,0)))</f>
        <v>BRN64G-G11</v>
      </c>
      <c r="E724" t="str">
        <f t="array" ref="E724">iferror(index('rna-gill'!$L:$L,match($A724,'rna-gill'!$A:$A,0)))</f>
        <v>N</v>
      </c>
      <c r="F724" t="str">
        <f t="array" ref="F724">iferror(index(fatty_acid!$G:$G,match($A724,fatty_acid!$A:$A,0)))</f>
        <v>BFA29-53</v>
      </c>
      <c r="G724" t="str">
        <f t="array" ref="G724">iferror(index(fatty_acid!$J:$J,match($A724,fatty_acid!$A:$A,0)))</f>
        <v>N</v>
      </c>
      <c r="H724" t="str">
        <f t="array" ref="H724">iferror(index(isotopes!$G:$G,match($A724,isotopes!$A:$A,0)))</f>
        <v>BIS30-74</v>
      </c>
      <c r="I724" t="str">
        <f t="array" ref="I724">iferror(index(isotopes!$J:$J,match($A724,isotopes!$A:$A,0)))</f>
        <v>N</v>
      </c>
      <c r="J724" t="str">
        <f t="array" ref="J724">iferror(index(extra_muscle!$G:$G,match($A724,extra_muscle!$A:$A,0)))</f>
        <v>BXM30-39</v>
      </c>
      <c r="K724" t="str">
        <f t="array" ref="K724">iferror(index(extra_muscle!$J:$J,match($A724,extra_muscle!$A:$A,0)))</f>
        <v>N</v>
      </c>
      <c r="L724" s="59" t="str">
        <f t="array" ref="L724">iferror(index(dna!$G:$G,match($A724,dna!$A:$A,0)))</f>
        <v/>
      </c>
      <c r="M724" s="60" t="str">
        <f t="array" ref="M724">iferror(index(dna!$J:$J,match($A724,dna!$A:$A,0)))</f>
        <v/>
      </c>
      <c r="N724" t="str">
        <f t="array" ref="N724">iferror(index(stomachs!$G:$G,match($A724,stomachs!$A:$A,0)))</f>
        <v/>
      </c>
      <c r="O724" t="str">
        <f t="array" ref="O724">iferror(index(stomachs!$J:$J,match($A724,stomachs!$A:$A,0)))</f>
        <v/>
      </c>
      <c r="P724" t="str">
        <f t="array" ref="P724">iferror(index(sea_lice!$G:$G,match($A724,sea_lice!$A:$A,0)))</f>
        <v>BSL6-65</v>
      </c>
      <c r="Q724" t="str">
        <f t="array" ref="Q724">iferror(index(sea_lice!$J:$J,match($A724,sea_lice!$A:$A,0)))</f>
        <v>N</v>
      </c>
      <c r="R724" s="40" t="str">
        <f t="array" ref="R724">iferror(index(dissected_fish!$F:$F,match($A724,dissected_fish!$A:$A,0)))</f>
        <v>BCA106</v>
      </c>
      <c r="S724" s="40" t="str">
        <f t="array" ref="S724">iferror(index(dissected_fish!$K:$K,match($A724,dissected_fish!$A:$A,0)))</f>
        <v>N</v>
      </c>
      <c r="T724" s="61" t="str">
        <f t="array" ref="T724">index(fish_lab_data!O:O,match(A724,fish_lab_data!C:C,0))</f>
        <v>EJ</v>
      </c>
      <c r="U724" s="61">
        <f t="array" ref="U724">if(A724="","",index(fish_lab_data!X:X,match(A724,fish_lab_data!C:C,0)))</f>
        <v>723</v>
      </c>
    </row>
    <row r="725">
      <c r="A725" t="str">
        <f>fish_lab_data!C725</f>
        <v>U17441</v>
      </c>
      <c r="B725" t="str">
        <f t="array" ref="B725">iferror(index('rna-muscle'!$I:$I,match($A725,'rna-muscle'!$A:$A,0)))</f>
        <v>BRN64M-F11</v>
      </c>
      <c r="C725" t="str">
        <f t="array" ref="C725">iferror(index('rna-muscle'!$L:$L,match($A725,'rna-muscle'!$A:$A,0)))</f>
        <v>N</v>
      </c>
      <c r="D725" t="str">
        <f t="array" ref="D725">iferror(index('rna-gill'!$I:$I,match($A725,'rna-gill'!$A:$A,0)))</f>
        <v>BRN64G-F11</v>
      </c>
      <c r="E725" t="str">
        <f t="array" ref="E725">iferror(index('rna-gill'!$L:$L,match($A725,'rna-gill'!$A:$A,0)))</f>
        <v>N</v>
      </c>
      <c r="F725" t="str">
        <f t="array" ref="F725">iferror(index(fatty_acid!$G:$G,match($A725,fatty_acid!$A:$A,0)))</f>
        <v>BFA29-54</v>
      </c>
      <c r="G725" t="str">
        <f t="array" ref="G725">iferror(index(fatty_acid!$J:$J,match($A725,fatty_acid!$A:$A,0)))</f>
        <v>N</v>
      </c>
      <c r="H725" t="str">
        <f t="array" ref="H725">iferror(index(isotopes!$G:$G,match($A725,isotopes!$A:$A,0)))</f>
        <v>BIS30-75</v>
      </c>
      <c r="I725" t="str">
        <f t="array" ref="I725">iferror(index(isotopes!$J:$J,match($A725,isotopes!$A:$A,0)))</f>
        <v>N</v>
      </c>
      <c r="J725" t="str">
        <f t="array" ref="J725">iferror(index(extra_muscle!$G:$G,match($A725,extra_muscle!$A:$A,0)))</f>
        <v>BXM30-40</v>
      </c>
      <c r="K725" t="str">
        <f t="array" ref="K725">iferror(index(extra_muscle!$J:$J,match($A725,extra_muscle!$A:$A,0)))</f>
        <v>N</v>
      </c>
      <c r="L725" s="59" t="str">
        <f t="array" ref="L725">iferror(index(dna!$G:$G,match($A725,dna!$A:$A,0)))</f>
        <v/>
      </c>
      <c r="M725" s="60" t="str">
        <f t="array" ref="M725">iferror(index(dna!$J:$J,match($A725,dna!$A:$A,0)))</f>
        <v/>
      </c>
      <c r="N725" t="str">
        <f t="array" ref="N725">iferror(index(stomachs!$G:$G,match($A725,stomachs!$A:$A,0)))</f>
        <v/>
      </c>
      <c r="O725" t="str">
        <f t="array" ref="O725">iferror(index(stomachs!$J:$J,match($A725,stomachs!$A:$A,0)))</f>
        <v/>
      </c>
      <c r="P725" t="str">
        <f t="array" ref="P725">iferror(index(sea_lice!$G:$G,match($A725,sea_lice!$A:$A,0)))</f>
        <v/>
      </c>
      <c r="Q725" t="str">
        <f t="array" ref="Q725">iferror(index(sea_lice!$J:$J,match($A725,sea_lice!$A:$A,0)))</f>
        <v/>
      </c>
      <c r="R725" s="40" t="str">
        <f t="array" ref="R725">iferror(index(dissected_fish!$F:$F,match($A725,dissected_fish!$A:$A,0)))</f>
        <v>BCA107</v>
      </c>
      <c r="S725" s="40" t="str">
        <f t="array" ref="S725">iferror(index(dissected_fish!$K:$K,match($A725,dissected_fish!$A:$A,0)))</f>
        <v>N</v>
      </c>
      <c r="T725" s="61" t="str">
        <f t="array" ref="T725">index(fish_lab_data!O:O,match(A725,fish_lab_data!C:C,0))</f>
        <v>EJ</v>
      </c>
      <c r="U725" s="61">
        <f t="array" ref="U725">if(A725="","",index(fish_lab_data!X:X,match(A725,fish_lab_data!C:C,0)))</f>
        <v>724</v>
      </c>
    </row>
    <row r="726">
      <c r="A726" t="str">
        <f>fish_lab_data!C726</f>
        <v>U17442</v>
      </c>
      <c r="B726" t="str">
        <f t="array" ref="B726">iferror(index('rna-muscle'!$I:$I,match($A726,'rna-muscle'!$A:$A,0)))</f>
        <v>BRN64M-E11</v>
      </c>
      <c r="C726" t="str">
        <f t="array" ref="C726">iferror(index('rna-muscle'!$L:$L,match($A726,'rna-muscle'!$A:$A,0)))</f>
        <v>N</v>
      </c>
      <c r="D726" t="str">
        <f t="array" ref="D726">iferror(index('rna-gill'!$I:$I,match($A726,'rna-gill'!$A:$A,0)))</f>
        <v>BRN64G-E11</v>
      </c>
      <c r="E726" t="str">
        <f t="array" ref="E726">iferror(index('rna-gill'!$L:$L,match($A726,'rna-gill'!$A:$A,0)))</f>
        <v>N</v>
      </c>
      <c r="F726" t="str">
        <f t="array" ref="F726">iferror(index(fatty_acid!$G:$G,match($A726,fatty_acid!$A:$A,0)))</f>
        <v>BFA29-55</v>
      </c>
      <c r="G726" t="str">
        <f t="array" ref="G726">iferror(index(fatty_acid!$J:$J,match($A726,fatty_acid!$A:$A,0)))</f>
        <v>N</v>
      </c>
      <c r="H726" t="str">
        <f t="array" ref="H726">iferror(index(isotopes!$G:$G,match($A726,isotopes!$A:$A,0)))</f>
        <v>BIS30-76</v>
      </c>
      <c r="I726" t="str">
        <f t="array" ref="I726">iferror(index(isotopes!$J:$J,match($A726,isotopes!$A:$A,0)))</f>
        <v>N</v>
      </c>
      <c r="J726" t="str">
        <f t="array" ref="J726">iferror(index(extra_muscle!$G:$G,match($A726,extra_muscle!$A:$A,0)))</f>
        <v>BXM30-41</v>
      </c>
      <c r="K726" t="str">
        <f t="array" ref="K726">iferror(index(extra_muscle!$J:$J,match($A726,extra_muscle!$A:$A,0)))</f>
        <v>N</v>
      </c>
      <c r="L726" s="59" t="str">
        <f t="array" ref="L726">iferror(index(dna!$G:$G,match($A726,dna!$A:$A,0)))</f>
        <v/>
      </c>
      <c r="M726" s="60" t="str">
        <f t="array" ref="M726">iferror(index(dna!$J:$J,match($A726,dna!$A:$A,0)))</f>
        <v/>
      </c>
      <c r="N726" t="str">
        <f t="array" ref="N726">iferror(index(stomachs!$G:$G,match($A726,stomachs!$A:$A,0)))</f>
        <v/>
      </c>
      <c r="O726" t="str">
        <f t="array" ref="O726">iferror(index(stomachs!$J:$J,match($A726,stomachs!$A:$A,0)))</f>
        <v/>
      </c>
      <c r="P726" t="str">
        <f t="array" ref="P726">iferror(index(sea_lice!$G:$G,match($A726,sea_lice!$A:$A,0)))</f>
        <v/>
      </c>
      <c r="Q726" t="str">
        <f t="array" ref="Q726">iferror(index(sea_lice!$J:$J,match($A726,sea_lice!$A:$A,0)))</f>
        <v/>
      </c>
      <c r="R726" s="40" t="str">
        <f t="array" ref="R726">iferror(index(dissected_fish!$F:$F,match($A726,dissected_fish!$A:$A,0)))</f>
        <v>BCA107</v>
      </c>
      <c r="S726" s="40" t="str">
        <f t="array" ref="S726">iferror(index(dissected_fish!$K:$K,match($A726,dissected_fish!$A:$A,0)))</f>
        <v>N</v>
      </c>
      <c r="T726" s="61" t="str">
        <f t="array" ref="T726">index(fish_lab_data!O:O,match(A726,fish_lab_data!C:C,0))</f>
        <v>EJ</v>
      </c>
      <c r="U726" s="61">
        <f t="array" ref="U726">if(A726="","",index(fish_lab_data!X:X,match(A726,fish_lab_data!C:C,0)))</f>
        <v>725</v>
      </c>
    </row>
    <row r="727">
      <c r="A727" t="str">
        <f>fish_lab_data!C727</f>
        <v>U17443</v>
      </c>
      <c r="B727" t="str">
        <f t="array" ref="B727">iferror(index('rna-muscle'!$I:$I,match($A727,'rna-muscle'!$A:$A,0)))</f>
        <v>BRN64M-D11</v>
      </c>
      <c r="C727" t="str">
        <f t="array" ref="C727">iferror(index('rna-muscle'!$L:$L,match($A727,'rna-muscle'!$A:$A,0)))</f>
        <v>N</v>
      </c>
      <c r="D727" t="str">
        <f t="array" ref="D727">iferror(index('rna-gill'!$I:$I,match($A727,'rna-gill'!$A:$A,0)))</f>
        <v>BRN64G-D11</v>
      </c>
      <c r="E727" t="str">
        <f t="array" ref="E727">iferror(index('rna-gill'!$L:$L,match($A727,'rna-gill'!$A:$A,0)))</f>
        <v>N</v>
      </c>
      <c r="F727" t="str">
        <f t="array" ref="F727">iferror(index(fatty_acid!$G:$G,match($A727,fatty_acid!$A:$A,0)))</f>
        <v>BFA29-56</v>
      </c>
      <c r="G727" t="str">
        <f t="array" ref="G727">iferror(index(fatty_acid!$J:$J,match($A727,fatty_acid!$A:$A,0)))</f>
        <v>N</v>
      </c>
      <c r="H727" t="str">
        <f t="array" ref="H727">iferror(index(isotopes!$G:$G,match($A727,isotopes!$A:$A,0)))</f>
        <v>BIS30-77</v>
      </c>
      <c r="I727" t="str">
        <f t="array" ref="I727">iferror(index(isotopes!$J:$J,match($A727,isotopes!$A:$A,0)))</f>
        <v>N</v>
      </c>
      <c r="J727" t="str">
        <f t="array" ref="J727">iferror(index(extra_muscle!$G:$G,match($A727,extra_muscle!$A:$A,0)))</f>
        <v>BXM30-42</v>
      </c>
      <c r="K727" t="str">
        <f t="array" ref="K727">iferror(index(extra_muscle!$J:$J,match($A727,extra_muscle!$A:$A,0)))</f>
        <v>N</v>
      </c>
      <c r="L727" s="59" t="str">
        <f t="array" ref="L727">iferror(index(dna!$G:$G,match($A727,dna!$A:$A,0)))</f>
        <v/>
      </c>
      <c r="M727" s="60" t="str">
        <f t="array" ref="M727">iferror(index(dna!$J:$J,match($A727,dna!$A:$A,0)))</f>
        <v/>
      </c>
      <c r="N727" t="str">
        <f t="array" ref="N727">iferror(index(stomachs!$G:$G,match($A727,stomachs!$A:$A,0)))</f>
        <v/>
      </c>
      <c r="O727" t="str">
        <f t="array" ref="O727">iferror(index(stomachs!$J:$J,match($A727,stomachs!$A:$A,0)))</f>
        <v/>
      </c>
      <c r="P727" t="str">
        <f t="array" ref="P727">iferror(index(sea_lice!$G:$G,match($A727,sea_lice!$A:$A,0)))</f>
        <v/>
      </c>
      <c r="Q727" t="str">
        <f t="array" ref="Q727">iferror(index(sea_lice!$J:$J,match($A727,sea_lice!$A:$A,0)))</f>
        <v/>
      </c>
      <c r="R727" s="40" t="str">
        <f t="array" ref="R727">iferror(index(dissected_fish!$F:$F,match($A727,dissected_fish!$A:$A,0)))</f>
        <v>BCA107</v>
      </c>
      <c r="S727" s="40" t="str">
        <f t="array" ref="S727">iferror(index(dissected_fish!$K:$K,match($A727,dissected_fish!$A:$A,0)))</f>
        <v>N</v>
      </c>
      <c r="T727" s="61" t="str">
        <f t="array" ref="T727">index(fish_lab_data!O:O,match(A727,fish_lab_data!C:C,0))</f>
        <v>EJ</v>
      </c>
      <c r="U727" s="61">
        <f t="array" ref="U727">if(A727="","",index(fish_lab_data!X:X,match(A727,fish_lab_data!C:C,0)))</f>
        <v>726</v>
      </c>
    </row>
    <row r="728">
      <c r="A728" t="str">
        <f>fish_lab_data!C728</f>
        <v>U17444</v>
      </c>
      <c r="B728" t="str">
        <f t="array" ref="B728">iferror(index('rna-muscle'!$I:$I,match($A728,'rna-muscle'!$A:$A,0)))</f>
        <v>BRN64M-C11</v>
      </c>
      <c r="C728" t="str">
        <f t="array" ref="C728">iferror(index('rna-muscle'!$L:$L,match($A728,'rna-muscle'!$A:$A,0)))</f>
        <v>N</v>
      </c>
      <c r="D728" t="str">
        <f t="array" ref="D728">iferror(index('rna-gill'!$I:$I,match($A728,'rna-gill'!$A:$A,0)))</f>
        <v>BRN64G-C11</v>
      </c>
      <c r="E728" t="str">
        <f t="array" ref="E728">iferror(index('rna-gill'!$L:$L,match($A728,'rna-gill'!$A:$A,0)))</f>
        <v>N</v>
      </c>
      <c r="F728" t="str">
        <f t="array" ref="F728">iferror(index(fatty_acid!$G:$G,match($A728,fatty_acid!$A:$A,0)))</f>
        <v>BFA29-57</v>
      </c>
      <c r="G728" t="str">
        <f t="array" ref="G728">iferror(index(fatty_acid!$J:$J,match($A728,fatty_acid!$A:$A,0)))</f>
        <v>N</v>
      </c>
      <c r="H728" t="str">
        <f t="array" ref="H728">iferror(index(isotopes!$G:$G,match($A728,isotopes!$A:$A,0)))</f>
        <v>BIS30-78</v>
      </c>
      <c r="I728" t="str">
        <f t="array" ref="I728">iferror(index(isotopes!$J:$J,match($A728,isotopes!$A:$A,0)))</f>
        <v>N</v>
      </c>
      <c r="J728" t="str">
        <f t="array" ref="J728">iferror(index(extra_muscle!$G:$G,match($A728,extra_muscle!$A:$A,0)))</f>
        <v>BXM30-43</v>
      </c>
      <c r="K728" t="str">
        <f t="array" ref="K728">iferror(index(extra_muscle!$J:$J,match($A728,extra_muscle!$A:$A,0)))</f>
        <v>N</v>
      </c>
      <c r="L728" s="59" t="str">
        <f t="array" ref="L728">iferror(index(dna!$G:$G,match($A728,dna!$A:$A,0)))</f>
        <v/>
      </c>
      <c r="M728" s="60" t="str">
        <f t="array" ref="M728">iferror(index(dna!$J:$J,match($A728,dna!$A:$A,0)))</f>
        <v/>
      </c>
      <c r="N728" t="str">
        <f t="array" ref="N728">iferror(index(stomachs!$G:$G,match($A728,stomachs!$A:$A,0)))</f>
        <v/>
      </c>
      <c r="O728" t="str">
        <f t="array" ref="O728">iferror(index(stomachs!$J:$J,match($A728,stomachs!$A:$A,0)))</f>
        <v/>
      </c>
      <c r="P728" t="str">
        <f t="array" ref="P728">iferror(index(sea_lice!$G:$G,match($A728,sea_lice!$A:$A,0)))</f>
        <v/>
      </c>
      <c r="Q728" t="str">
        <f t="array" ref="Q728">iferror(index(sea_lice!$J:$J,match($A728,sea_lice!$A:$A,0)))</f>
        <v/>
      </c>
      <c r="R728" s="40" t="str">
        <f t="array" ref="R728">iferror(index(dissected_fish!$F:$F,match($A728,dissected_fish!$A:$A,0)))</f>
        <v>BCA107</v>
      </c>
      <c r="S728" s="40" t="str">
        <f t="array" ref="S728">iferror(index(dissected_fish!$K:$K,match($A728,dissected_fish!$A:$A,0)))</f>
        <v>N</v>
      </c>
      <c r="T728" s="61" t="str">
        <f t="array" ref="T728">index(fish_lab_data!O:O,match(A728,fish_lab_data!C:C,0))</f>
        <v>EJ</v>
      </c>
      <c r="U728" s="61">
        <f t="array" ref="U728">if(A728="","",index(fish_lab_data!X:X,match(A728,fish_lab_data!C:C,0)))</f>
        <v>727</v>
      </c>
    </row>
    <row r="729">
      <c r="A729" t="str">
        <f>fish_lab_data!C729</f>
        <v>U17445</v>
      </c>
      <c r="B729" t="str">
        <f t="array" ref="B729">iferror(index('rna-muscle'!$I:$I,match($A729,'rna-muscle'!$A:$A,0)))</f>
        <v>BRN64M-B11</v>
      </c>
      <c r="C729" t="str">
        <f t="array" ref="C729">iferror(index('rna-muscle'!$L:$L,match($A729,'rna-muscle'!$A:$A,0)))</f>
        <v>N</v>
      </c>
      <c r="D729" t="str">
        <f t="array" ref="D729">iferror(index('rna-gill'!$I:$I,match($A729,'rna-gill'!$A:$A,0)))</f>
        <v>BRN64G-B11</v>
      </c>
      <c r="E729" t="str">
        <f t="array" ref="E729">iferror(index('rna-gill'!$L:$L,match($A729,'rna-gill'!$A:$A,0)))</f>
        <v>N</v>
      </c>
      <c r="F729" t="str">
        <f t="array" ref="F729">iferror(index(fatty_acid!$G:$G,match($A729,fatty_acid!$A:$A,0)))</f>
        <v>BFA29-58</v>
      </c>
      <c r="G729" t="str">
        <f t="array" ref="G729">iferror(index(fatty_acid!$J:$J,match($A729,fatty_acid!$A:$A,0)))</f>
        <v>N</v>
      </c>
      <c r="H729" t="str">
        <f t="array" ref="H729">iferror(index(isotopes!$G:$G,match($A729,isotopes!$A:$A,0)))</f>
        <v>BIS30-79</v>
      </c>
      <c r="I729" t="str">
        <f t="array" ref="I729">iferror(index(isotopes!$J:$J,match($A729,isotopes!$A:$A,0)))</f>
        <v>N</v>
      </c>
      <c r="J729" t="str">
        <f t="array" ref="J729">iferror(index(extra_muscle!$G:$G,match($A729,extra_muscle!$A:$A,0)))</f>
        <v>BXM30-44</v>
      </c>
      <c r="K729" t="str">
        <f t="array" ref="K729">iferror(index(extra_muscle!$J:$J,match($A729,extra_muscle!$A:$A,0)))</f>
        <v>N</v>
      </c>
      <c r="L729" s="59" t="str">
        <f t="array" ref="L729">iferror(index(dna!$G:$G,match($A729,dna!$A:$A,0)))</f>
        <v/>
      </c>
      <c r="M729" s="60" t="str">
        <f t="array" ref="M729">iferror(index(dna!$J:$J,match($A729,dna!$A:$A,0)))</f>
        <v/>
      </c>
      <c r="N729" t="str">
        <f t="array" ref="N729">iferror(index(stomachs!$G:$G,match($A729,stomachs!$A:$A,0)))</f>
        <v/>
      </c>
      <c r="O729" t="str">
        <f t="array" ref="O729">iferror(index(stomachs!$J:$J,match($A729,stomachs!$A:$A,0)))</f>
        <v/>
      </c>
      <c r="P729" t="str">
        <f t="array" ref="P729">iferror(index(sea_lice!$G:$G,match($A729,sea_lice!$A:$A,0)))</f>
        <v/>
      </c>
      <c r="Q729" t="str">
        <f t="array" ref="Q729">iferror(index(sea_lice!$J:$J,match($A729,sea_lice!$A:$A,0)))</f>
        <v/>
      </c>
      <c r="R729" s="40" t="str">
        <f t="array" ref="R729">iferror(index(dissected_fish!$F:$F,match($A729,dissected_fish!$A:$A,0)))</f>
        <v>BCA107</v>
      </c>
      <c r="S729" s="40" t="str">
        <f t="array" ref="S729">iferror(index(dissected_fish!$K:$K,match($A729,dissected_fish!$A:$A,0)))</f>
        <v>N</v>
      </c>
      <c r="T729" s="61" t="str">
        <f t="array" ref="T729">index(fish_lab_data!O:O,match(A729,fish_lab_data!C:C,0))</f>
        <v>EJ</v>
      </c>
      <c r="U729" s="61">
        <f t="array" ref="U729">if(A729="","",index(fish_lab_data!X:X,match(A729,fish_lab_data!C:C,0)))</f>
        <v>728</v>
      </c>
    </row>
    <row r="730">
      <c r="A730" t="str">
        <f>fish_lab_data!C730</f>
        <v>U17446</v>
      </c>
      <c r="B730" t="str">
        <f t="array" ref="B730">iferror(index('rna-muscle'!$I:$I,match($A730,'rna-muscle'!$A:$A,0)))</f>
        <v>BRN64M-A11</v>
      </c>
      <c r="C730" t="str">
        <f t="array" ref="C730">iferror(index('rna-muscle'!$L:$L,match($A730,'rna-muscle'!$A:$A,0)))</f>
        <v>N</v>
      </c>
      <c r="D730" t="str">
        <f t="array" ref="D730">iferror(index('rna-gill'!$I:$I,match($A730,'rna-gill'!$A:$A,0)))</f>
        <v>BRN64G-A11</v>
      </c>
      <c r="E730" t="str">
        <f t="array" ref="E730">iferror(index('rna-gill'!$L:$L,match($A730,'rna-gill'!$A:$A,0)))</f>
        <v>N</v>
      </c>
      <c r="F730" t="str">
        <f t="array" ref="F730">iferror(index(fatty_acid!$G:$G,match($A730,fatty_acid!$A:$A,0)))</f>
        <v>BFA29-59</v>
      </c>
      <c r="G730" t="str">
        <f t="array" ref="G730">iferror(index(fatty_acid!$J:$J,match($A730,fatty_acid!$A:$A,0)))</f>
        <v>N</v>
      </c>
      <c r="H730" t="str">
        <f t="array" ref="H730">iferror(index(isotopes!$G:$G,match($A730,isotopes!$A:$A,0)))</f>
        <v>BIS30-80</v>
      </c>
      <c r="I730" t="str">
        <f t="array" ref="I730">iferror(index(isotopes!$J:$J,match($A730,isotopes!$A:$A,0)))</f>
        <v>N</v>
      </c>
      <c r="J730" t="str">
        <f t="array" ref="J730">iferror(index(extra_muscle!$G:$G,match($A730,extra_muscle!$A:$A,0)))</f>
        <v>BXM30-45</v>
      </c>
      <c r="K730" t="str">
        <f t="array" ref="K730">iferror(index(extra_muscle!$J:$J,match($A730,extra_muscle!$A:$A,0)))</f>
        <v>N</v>
      </c>
      <c r="L730" s="59" t="str">
        <f t="array" ref="L730">iferror(index(dna!$G:$G,match($A730,dna!$A:$A,0)))</f>
        <v/>
      </c>
      <c r="M730" s="60" t="str">
        <f t="array" ref="M730">iferror(index(dna!$J:$J,match($A730,dna!$A:$A,0)))</f>
        <v/>
      </c>
      <c r="N730" t="str">
        <f t="array" ref="N730">iferror(index(stomachs!$G:$G,match($A730,stomachs!$A:$A,0)))</f>
        <v/>
      </c>
      <c r="O730" t="str">
        <f t="array" ref="O730">iferror(index(stomachs!$J:$J,match($A730,stomachs!$A:$A,0)))</f>
        <v/>
      </c>
      <c r="P730" t="str">
        <f t="array" ref="P730">iferror(index(sea_lice!$G:$G,match($A730,sea_lice!$A:$A,0)))</f>
        <v/>
      </c>
      <c r="Q730" t="str">
        <f t="array" ref="Q730">iferror(index(sea_lice!$J:$J,match($A730,sea_lice!$A:$A,0)))</f>
        <v/>
      </c>
      <c r="R730" s="40" t="str">
        <f t="array" ref="R730">iferror(index(dissected_fish!$F:$F,match($A730,dissected_fish!$A:$A,0)))</f>
        <v>BCA107</v>
      </c>
      <c r="S730" s="40" t="str">
        <f t="array" ref="S730">iferror(index(dissected_fish!$K:$K,match($A730,dissected_fish!$A:$A,0)))</f>
        <v>N</v>
      </c>
      <c r="T730" s="61" t="str">
        <f t="array" ref="T730">index(fish_lab_data!O:O,match(A730,fish_lab_data!C:C,0))</f>
        <v>EJ</v>
      </c>
      <c r="U730" s="61">
        <f t="array" ref="U730">if(A730="","",index(fish_lab_data!X:X,match(A730,fish_lab_data!C:C,0)))</f>
        <v>729</v>
      </c>
    </row>
    <row r="731">
      <c r="A731" t="str">
        <f>fish_lab_data!C731</f>
        <v>U17447</v>
      </c>
      <c r="B731" t="str">
        <f t="array" ref="B731">iferror(index('rna-muscle'!$I:$I,match($A731,'rna-muscle'!$A:$A,0)))</f>
        <v>BRN69M-H2</v>
      </c>
      <c r="C731" t="str">
        <f t="array" ref="C731">iferror(index('rna-muscle'!$L:$L,match($A731,'rna-muscle'!$A:$A,0)))</f>
        <v>N</v>
      </c>
      <c r="D731" t="str">
        <f t="array" ref="D731">iferror(index('rna-gill'!$I:$I,match($A731,'rna-gill'!$A:$A,0)))</f>
        <v>BRN69G-H2</v>
      </c>
      <c r="E731" t="str">
        <f t="array" ref="E731">iferror(index('rna-gill'!$L:$L,match($A731,'rna-gill'!$A:$A,0)))</f>
        <v>N</v>
      </c>
      <c r="F731" t="str">
        <f t="array" ref="F731">iferror(index(fatty_acid!$G:$G,match($A731,fatty_acid!$A:$A,0)))</f>
        <v>BFA29-60</v>
      </c>
      <c r="G731" t="str">
        <f t="array" ref="G731">iferror(index(fatty_acid!$J:$J,match($A731,fatty_acid!$A:$A,0)))</f>
        <v>N</v>
      </c>
      <c r="H731" t="str">
        <f t="array" ref="H731">iferror(index(isotopes!$G:$G,match($A731,isotopes!$A:$A,0)))</f>
        <v>BIS32-1</v>
      </c>
      <c r="I731" t="str">
        <f t="array" ref="I731">iferror(index(isotopes!$J:$J,match($A731,isotopes!$A:$A,0)))</f>
        <v>N</v>
      </c>
      <c r="J731" t="str">
        <f t="array" ref="J731">iferror(index(extra_muscle!$G:$G,match($A731,extra_muscle!$A:$A,0)))</f>
        <v>BXM30-46</v>
      </c>
      <c r="K731" t="str">
        <f t="array" ref="K731">iferror(index(extra_muscle!$J:$J,match($A731,extra_muscle!$A:$A,0)))</f>
        <v>N</v>
      </c>
      <c r="L731" s="59" t="str">
        <f t="array" ref="L731">iferror(index(dna!$G:$G,match($A731,dna!$A:$A,0)))</f>
        <v/>
      </c>
      <c r="M731" s="60" t="str">
        <f t="array" ref="M731">iferror(index(dna!$J:$J,match($A731,dna!$A:$A,0)))</f>
        <v/>
      </c>
      <c r="N731" t="str">
        <f t="array" ref="N731">iferror(index(stomachs!$G:$G,match($A731,stomachs!$A:$A,0)))</f>
        <v/>
      </c>
      <c r="O731" t="str">
        <f t="array" ref="O731">iferror(index(stomachs!$J:$J,match($A731,stomachs!$A:$A,0)))</f>
        <v/>
      </c>
      <c r="P731" t="str">
        <f t="array" ref="P731">iferror(index(sea_lice!$G:$G,match($A731,sea_lice!$A:$A,0)))</f>
        <v/>
      </c>
      <c r="Q731" t="str">
        <f t="array" ref="Q731">iferror(index(sea_lice!$J:$J,match($A731,sea_lice!$A:$A,0)))</f>
        <v/>
      </c>
      <c r="R731" s="40" t="str">
        <f t="array" ref="R731">iferror(index(dissected_fish!$F:$F,match($A731,dissected_fish!$A:$A,0)))</f>
        <v>BCA107</v>
      </c>
      <c r="S731" s="40" t="str">
        <f t="array" ref="S731">iferror(index(dissected_fish!$K:$K,match($A731,dissected_fish!$A:$A,0)))</f>
        <v>N</v>
      </c>
      <c r="T731" s="61" t="str">
        <f t="array" ref="T731">index(fish_lab_data!O:O,match(A731,fish_lab_data!C:C,0))</f>
        <v>EJ</v>
      </c>
      <c r="U731" s="61">
        <f t="array" ref="U731">if(A731="","",index(fish_lab_data!X:X,match(A731,fish_lab_data!C:C,0)))</f>
        <v>730</v>
      </c>
    </row>
    <row r="732">
      <c r="A732" t="str">
        <f>fish_lab_data!C732</f>
        <v>U17121</v>
      </c>
      <c r="B732" t="str">
        <f t="array" ref="B732">iferror(index('rna-muscle'!$I:$I,match($A732,'rna-muscle'!$A:$A,0)))</f>
        <v>BRN64M-B9</v>
      </c>
      <c r="C732" t="str">
        <f t="array" ref="C732">iferror(index('rna-muscle'!$L:$L,match($A732,'rna-muscle'!$A:$A,0)))</f>
        <v>N</v>
      </c>
      <c r="D732" t="str">
        <f t="array" ref="D732">iferror(index('rna-gill'!$I:$I,match($A732,'rna-gill'!$A:$A,0)))</f>
        <v>BRN64G-B9</v>
      </c>
      <c r="E732" t="str">
        <f t="array" ref="E732">iferror(index('rna-gill'!$L:$L,match($A732,'rna-gill'!$A:$A,0)))</f>
        <v>N</v>
      </c>
      <c r="F732" t="str">
        <f t="array" ref="F732">iferror(index(fatty_acid!$G:$G,match($A732,fatty_acid!$A:$A,0)))</f>
        <v>BFA28-59</v>
      </c>
      <c r="G732" t="str">
        <f t="array" ref="G732">iferror(index(fatty_acid!$J:$J,match($A732,fatty_acid!$A:$A,0)))</f>
        <v>N</v>
      </c>
      <c r="H732" t="str">
        <f t="array" ref="H732">iferror(index(isotopes!$G:$G,match($A732,isotopes!$A:$A,0)))</f>
        <v>BIS31-59</v>
      </c>
      <c r="I732" t="str">
        <f t="array" ref="I732">iferror(index(isotopes!$J:$J,match($A732,isotopes!$A:$A,0)))</f>
        <v>N</v>
      </c>
      <c r="J732" t="str">
        <f t="array" ref="J732">iferror(index(extra_muscle!$G:$G,match($A732,extra_muscle!$A:$A,0)))</f>
        <v>BXM29-59</v>
      </c>
      <c r="K732" t="str">
        <f t="array" ref="K732">iferror(index(extra_muscle!$J:$J,match($A732,extra_muscle!$A:$A,0)))</f>
        <v>N</v>
      </c>
      <c r="L732" s="59" t="str">
        <f t="array" ref="L732">iferror(index(dna!$G:$G,match($A732,dna!$A:$A,0)))</f>
        <v/>
      </c>
      <c r="M732" s="60" t="str">
        <f t="array" ref="M732">iferror(index(dna!$J:$J,match($A732,dna!$A:$A,0)))</f>
        <v/>
      </c>
      <c r="N732" t="str">
        <f t="array" ref="N732">iferror(index(stomachs!$G:$G,match($A732,stomachs!$A:$A,0)))</f>
        <v/>
      </c>
      <c r="O732" t="str">
        <f t="array" ref="O732">iferror(index(stomachs!$J:$J,match($A732,stomachs!$A:$A,0)))</f>
        <v/>
      </c>
      <c r="P732" t="str">
        <f t="array" ref="P732">iferror(index(sea_lice!$G:$G,match($A732,sea_lice!$A:$A,0)))</f>
        <v/>
      </c>
      <c r="Q732" t="str">
        <f t="array" ref="Q732">iferror(index(sea_lice!$J:$J,match($A732,sea_lice!$A:$A,0)))</f>
        <v/>
      </c>
      <c r="R732" s="40" t="str">
        <f t="array" ref="R732">iferror(index(dissected_fish!$F:$F,match($A732,dissected_fish!$A:$A,0)))</f>
        <v>BCA106</v>
      </c>
      <c r="S732" s="40" t="str">
        <f t="array" ref="S732">iferror(index(dissected_fish!$K:$K,match($A732,dissected_fish!$A:$A,0)))</f>
        <v>N</v>
      </c>
      <c r="T732" s="61" t="str">
        <f t="array" ref="T732">index(fish_lab_data!O:O,match(A732,fish_lab_data!C:C,0))</f>
        <v>KB</v>
      </c>
      <c r="U732" s="61">
        <f t="array" ref="U732">if(A732="","",index(fish_lab_data!X:X,match(A732,fish_lab_data!C:C,0)))</f>
        <v>731</v>
      </c>
    </row>
    <row r="733">
      <c r="A733" t="str">
        <f>fish_lab_data!C733</f>
        <v>U17126</v>
      </c>
      <c r="B733" t="str">
        <f t="array" ref="B733">iferror(index('rna-muscle'!$I:$I,match($A733,'rna-muscle'!$A:$A,0)))</f>
        <v>BRN64M-A9</v>
      </c>
      <c r="C733" t="str">
        <f t="array" ref="C733">iferror(index('rna-muscle'!$L:$L,match($A733,'rna-muscle'!$A:$A,0)))</f>
        <v>N</v>
      </c>
      <c r="D733" t="str">
        <f t="array" ref="D733">iferror(index('rna-gill'!$I:$I,match($A733,'rna-gill'!$A:$A,0)))</f>
        <v>BRN64G-A9</v>
      </c>
      <c r="E733" t="str">
        <f t="array" ref="E733">iferror(index('rna-gill'!$L:$L,match($A733,'rna-gill'!$A:$A,0)))</f>
        <v>N</v>
      </c>
      <c r="F733" t="str">
        <f t="array" ref="F733">iferror(index(fatty_acid!$G:$G,match($A733,fatty_acid!$A:$A,0)))</f>
        <v>BFA28-60</v>
      </c>
      <c r="G733" t="str">
        <f t="array" ref="G733">iferror(index(fatty_acid!$J:$J,match($A733,fatty_acid!$A:$A,0)))</f>
        <v>N</v>
      </c>
      <c r="H733" t="str">
        <f t="array" ref="H733">iferror(index(isotopes!$G:$G,match($A733,isotopes!$A:$A,0)))</f>
        <v>BIS31-60</v>
      </c>
      <c r="I733" t="str">
        <f t="array" ref="I733">iferror(index(isotopes!$J:$J,match($A733,isotopes!$A:$A,0)))</f>
        <v>N</v>
      </c>
      <c r="J733" t="str">
        <f t="array" ref="J733">iferror(index(extra_muscle!$G:$G,match($A733,extra_muscle!$A:$A,0)))</f>
        <v>BXM29-60</v>
      </c>
      <c r="K733" t="str">
        <f t="array" ref="K733">iferror(index(extra_muscle!$J:$J,match($A733,extra_muscle!$A:$A,0)))</f>
        <v>N</v>
      </c>
      <c r="L733" s="59" t="str">
        <f t="array" ref="L733">iferror(index(dna!$G:$G,match($A733,dna!$A:$A,0)))</f>
        <v/>
      </c>
      <c r="M733" s="60" t="str">
        <f t="array" ref="M733">iferror(index(dna!$J:$J,match($A733,dna!$A:$A,0)))</f>
        <v/>
      </c>
      <c r="N733" t="str">
        <f t="array" ref="N733">iferror(index(stomachs!$G:$G,match($A733,stomachs!$A:$A,0)))</f>
        <v/>
      </c>
      <c r="O733" t="str">
        <f t="array" ref="O733">iferror(index(stomachs!$J:$J,match($A733,stomachs!$A:$A,0)))</f>
        <v/>
      </c>
      <c r="P733" t="str">
        <f t="array" ref="P733">iferror(index(sea_lice!$G:$G,match($A733,sea_lice!$A:$A,0)))</f>
        <v/>
      </c>
      <c r="Q733" t="str">
        <f t="array" ref="Q733">iferror(index(sea_lice!$J:$J,match($A733,sea_lice!$A:$A,0)))</f>
        <v/>
      </c>
      <c r="R733" s="40" t="str">
        <f t="array" ref="R733">iferror(index(dissected_fish!$F:$F,match($A733,dissected_fish!$A:$A,0)))</f>
        <v>BCA106</v>
      </c>
      <c r="S733" s="40" t="str">
        <f t="array" ref="S733">iferror(index(dissected_fish!$K:$K,match($A733,dissected_fish!$A:$A,0)))</f>
        <v>N</v>
      </c>
      <c r="T733" s="61" t="str">
        <f t="array" ref="T733">index(fish_lab_data!O:O,match(A733,fish_lab_data!C:C,0))</f>
        <v>KB</v>
      </c>
      <c r="U733" s="61">
        <f t="array" ref="U733">if(A733="","",index(fish_lab_data!X:X,match(A733,fish_lab_data!C:C,0)))</f>
        <v>732</v>
      </c>
    </row>
    <row r="734">
      <c r="A734" t="str">
        <f>fish_lab_data!C734</f>
        <v>U16832</v>
      </c>
      <c r="B734" t="str">
        <f t="array" ref="B734">iferror(index('rna-muscle'!$I:$I,match($A734,'rna-muscle'!$A:$A,0)))</f>
        <v>BRN64M-G12</v>
      </c>
      <c r="C734" t="str">
        <f t="array" ref="C734">iferror(index('rna-muscle'!$L:$L,match($A734,'rna-muscle'!$A:$A,0)))</f>
        <v>N</v>
      </c>
      <c r="D734" t="str">
        <f t="array" ref="D734">iferror(index('rna-gill'!$I:$I,match($A734,'rna-gill'!$A:$A,0)))</f>
        <v>BRN64G-G12</v>
      </c>
      <c r="E734" t="str">
        <f t="array" ref="E734">iferror(index('rna-gill'!$L:$L,match($A734,'rna-gill'!$A:$A,0)))</f>
        <v>N</v>
      </c>
      <c r="F734" t="str">
        <f t="array" ref="F734">iferror(index(fatty_acid!$G:$G,match($A734,fatty_acid!$A:$A,0)))</f>
        <v>BFA28-61</v>
      </c>
      <c r="G734" t="str">
        <f t="array" ref="G734">iferror(index(fatty_acid!$J:$J,match($A734,fatty_acid!$A:$A,0)))</f>
        <v>N</v>
      </c>
      <c r="H734" t="str">
        <f t="array" ref="H734">iferror(index(isotopes!$G:$G,match($A734,isotopes!$A:$A,0)))</f>
        <v>BIS31-61</v>
      </c>
      <c r="I734" t="str">
        <f t="array" ref="I734">iferror(index(isotopes!$J:$J,match($A734,isotopes!$A:$A,0)))</f>
        <v>N</v>
      </c>
      <c r="J734" t="str">
        <f t="array" ref="J734">iferror(index(extra_muscle!$G:$G,match($A734,extra_muscle!$A:$A,0)))</f>
        <v>BXM29-61</v>
      </c>
      <c r="K734" t="str">
        <f t="array" ref="K734">iferror(index(extra_muscle!$J:$J,match($A734,extra_muscle!$A:$A,0)))</f>
        <v>N</v>
      </c>
      <c r="L734" s="59" t="str">
        <f t="array" ref="L734">iferror(index(dna!$G:$G,match($A734,dna!$A:$A,0)))</f>
        <v/>
      </c>
      <c r="M734" s="60" t="str">
        <f t="array" ref="M734">iferror(index(dna!$J:$J,match($A734,dna!$A:$A,0)))</f>
        <v/>
      </c>
      <c r="N734" t="str">
        <f t="array" ref="N734">iferror(index(stomachs!$G:$G,match($A734,stomachs!$A:$A,0)))</f>
        <v/>
      </c>
      <c r="O734" t="str">
        <f t="array" ref="O734">iferror(index(stomachs!$J:$J,match($A734,stomachs!$A:$A,0)))</f>
        <v/>
      </c>
      <c r="P734" t="str">
        <f t="array" ref="P734">iferror(index(sea_lice!$G:$G,match($A734,sea_lice!$A:$A,0)))</f>
        <v/>
      </c>
      <c r="Q734" t="str">
        <f t="array" ref="Q734">iferror(index(sea_lice!$J:$J,match($A734,sea_lice!$A:$A,0)))</f>
        <v/>
      </c>
      <c r="R734" s="40" t="str">
        <f t="array" ref="R734">iferror(index(dissected_fish!$F:$F,match($A734,dissected_fish!$A:$A,0)))</f>
        <v>BCA106</v>
      </c>
      <c r="S734" s="40" t="str">
        <f t="array" ref="S734">iferror(index(dissected_fish!$K:$K,match($A734,dissected_fish!$A:$A,0)))</f>
        <v>N</v>
      </c>
      <c r="T734" s="61" t="str">
        <f t="array" ref="T734">index(fish_lab_data!O:O,match(A734,fish_lab_data!C:C,0))</f>
        <v>KB</v>
      </c>
      <c r="U734" s="61">
        <f t="array" ref="U734">if(A734="","",index(fish_lab_data!X:X,match(A734,fish_lab_data!C:C,0)))</f>
        <v>733</v>
      </c>
    </row>
    <row r="735">
      <c r="A735" t="str">
        <f>fish_lab_data!C735</f>
        <v>U16835</v>
      </c>
      <c r="B735" t="str">
        <f t="array" ref="B735">iferror(index('rna-muscle'!$I:$I,match($A735,'rna-muscle'!$A:$A,0)))</f>
        <v>BRN64M-F12</v>
      </c>
      <c r="C735" t="str">
        <f t="array" ref="C735">iferror(index('rna-muscle'!$L:$L,match($A735,'rna-muscle'!$A:$A,0)))</f>
        <v>N</v>
      </c>
      <c r="D735" t="str">
        <f t="array" ref="D735">iferror(index('rna-gill'!$I:$I,match($A735,'rna-gill'!$A:$A,0)))</f>
        <v>BRN64G-F12</v>
      </c>
      <c r="E735" t="str">
        <f t="array" ref="E735">iferror(index('rna-gill'!$L:$L,match($A735,'rna-gill'!$A:$A,0)))</f>
        <v>N</v>
      </c>
      <c r="F735" t="str">
        <f t="array" ref="F735">iferror(index(fatty_acid!$G:$G,match($A735,fatty_acid!$A:$A,0)))</f>
        <v>BFA28-62</v>
      </c>
      <c r="G735" t="str">
        <f t="array" ref="G735">iferror(index(fatty_acid!$J:$J,match($A735,fatty_acid!$A:$A,0)))</f>
        <v>N</v>
      </c>
      <c r="H735" t="str">
        <f t="array" ref="H735">iferror(index(isotopes!$G:$G,match($A735,isotopes!$A:$A,0)))</f>
        <v>BIS31-62</v>
      </c>
      <c r="I735" t="str">
        <f t="array" ref="I735">iferror(index(isotopes!$J:$J,match($A735,isotopes!$A:$A,0)))</f>
        <v>N</v>
      </c>
      <c r="J735" t="str">
        <f t="array" ref="J735">iferror(index(extra_muscle!$G:$G,match($A735,extra_muscle!$A:$A,0)))</f>
        <v>BXM29-62</v>
      </c>
      <c r="K735" t="str">
        <f t="array" ref="K735">iferror(index(extra_muscle!$J:$J,match($A735,extra_muscle!$A:$A,0)))</f>
        <v>N</v>
      </c>
      <c r="L735" s="59" t="str">
        <f t="array" ref="L735">iferror(index(dna!$G:$G,match($A735,dna!$A:$A,0)))</f>
        <v/>
      </c>
      <c r="M735" s="60" t="str">
        <f t="array" ref="M735">iferror(index(dna!$J:$J,match($A735,dna!$A:$A,0)))</f>
        <v/>
      </c>
      <c r="N735" t="str">
        <f t="array" ref="N735">iferror(index(stomachs!$G:$G,match($A735,stomachs!$A:$A,0)))</f>
        <v/>
      </c>
      <c r="O735" t="str">
        <f t="array" ref="O735">iferror(index(stomachs!$J:$J,match($A735,stomachs!$A:$A,0)))</f>
        <v/>
      </c>
      <c r="P735" t="str">
        <f t="array" ref="P735">iferror(index(sea_lice!$G:$G,match($A735,sea_lice!$A:$A,0)))</f>
        <v/>
      </c>
      <c r="Q735" t="str">
        <f t="array" ref="Q735">iferror(index(sea_lice!$J:$J,match($A735,sea_lice!$A:$A,0)))</f>
        <v/>
      </c>
      <c r="R735" s="40" t="str">
        <f t="array" ref="R735">iferror(index(dissected_fish!$F:$F,match($A735,dissected_fish!$A:$A,0)))</f>
        <v>BCA106</v>
      </c>
      <c r="S735" s="40" t="str">
        <f t="array" ref="S735">iferror(index(dissected_fish!$K:$K,match($A735,dissected_fish!$A:$A,0)))</f>
        <v>N</v>
      </c>
      <c r="T735" s="61" t="str">
        <f t="array" ref="T735">index(fish_lab_data!O:O,match(A735,fish_lab_data!C:C,0))</f>
        <v>KB</v>
      </c>
      <c r="U735" s="61">
        <f t="array" ref="U735">if(A735="","",index(fish_lab_data!X:X,match(A735,fish_lab_data!C:C,0)))</f>
        <v>734</v>
      </c>
    </row>
    <row r="736">
      <c r="A736" t="str">
        <f>fish_lab_data!C736</f>
        <v>U16837</v>
      </c>
      <c r="B736" t="str">
        <f t="array" ref="B736">iferror(index('rna-muscle'!$I:$I,match($A736,'rna-muscle'!$A:$A,0)))</f>
        <v>BRN64M-E12</v>
      </c>
      <c r="C736" t="str">
        <f t="array" ref="C736">iferror(index('rna-muscle'!$L:$L,match($A736,'rna-muscle'!$A:$A,0)))</f>
        <v>N</v>
      </c>
      <c r="D736" t="str">
        <f t="array" ref="D736">iferror(index('rna-gill'!$I:$I,match($A736,'rna-gill'!$A:$A,0)))</f>
        <v>BRN64G-E12</v>
      </c>
      <c r="E736" t="str">
        <f t="array" ref="E736">iferror(index('rna-gill'!$L:$L,match($A736,'rna-gill'!$A:$A,0)))</f>
        <v>N</v>
      </c>
      <c r="F736" t="str">
        <f t="array" ref="F736">iferror(index(fatty_acid!$G:$G,match($A736,fatty_acid!$A:$A,0)))</f>
        <v>BFA28-63</v>
      </c>
      <c r="G736" t="str">
        <f t="array" ref="G736">iferror(index(fatty_acid!$J:$J,match($A736,fatty_acid!$A:$A,0)))</f>
        <v>N</v>
      </c>
      <c r="H736" t="str">
        <f t="array" ref="H736">iferror(index(isotopes!$G:$G,match($A736,isotopes!$A:$A,0)))</f>
        <v>BIS31-63</v>
      </c>
      <c r="I736" t="str">
        <f t="array" ref="I736">iferror(index(isotopes!$J:$J,match($A736,isotopes!$A:$A,0)))</f>
        <v>N</v>
      </c>
      <c r="J736" t="str">
        <f t="array" ref="J736">iferror(index(extra_muscle!$G:$G,match($A736,extra_muscle!$A:$A,0)))</f>
        <v>BXM29-63</v>
      </c>
      <c r="K736" t="str">
        <f t="array" ref="K736">iferror(index(extra_muscle!$J:$J,match($A736,extra_muscle!$A:$A,0)))</f>
        <v>N</v>
      </c>
      <c r="L736" s="59" t="str">
        <f t="array" ref="L736">iferror(index(dna!$G:$G,match($A736,dna!$A:$A,0)))</f>
        <v/>
      </c>
      <c r="M736" s="60" t="str">
        <f t="array" ref="M736">iferror(index(dna!$J:$J,match($A736,dna!$A:$A,0)))</f>
        <v/>
      </c>
      <c r="N736" t="str">
        <f t="array" ref="N736">iferror(index(stomachs!$G:$G,match($A736,stomachs!$A:$A,0)))</f>
        <v/>
      </c>
      <c r="O736" t="str">
        <f t="array" ref="O736">iferror(index(stomachs!$J:$J,match($A736,stomachs!$A:$A,0)))</f>
        <v/>
      </c>
      <c r="P736" t="str">
        <f t="array" ref="P736">iferror(index(sea_lice!$G:$G,match($A736,sea_lice!$A:$A,0)))</f>
        <v>BSL6-66</v>
      </c>
      <c r="Q736" t="str">
        <f t="array" ref="Q736">iferror(index(sea_lice!$J:$J,match($A736,sea_lice!$A:$A,0)))</f>
        <v>N</v>
      </c>
      <c r="R736" s="40" t="str">
        <f t="array" ref="R736">iferror(index(dissected_fish!$F:$F,match($A736,dissected_fish!$A:$A,0)))</f>
        <v>BCA106</v>
      </c>
      <c r="S736" s="40" t="str">
        <f t="array" ref="S736">iferror(index(dissected_fish!$K:$K,match($A736,dissected_fish!$A:$A,0)))</f>
        <v>N</v>
      </c>
      <c r="T736" s="61" t="str">
        <f t="array" ref="T736">index(fish_lab_data!O:O,match(A736,fish_lab_data!C:C,0))</f>
        <v>KB</v>
      </c>
      <c r="U736" s="61">
        <f t="array" ref="U736">if(A736="","",index(fish_lab_data!X:X,match(A736,fish_lab_data!C:C,0)))</f>
        <v>735</v>
      </c>
    </row>
    <row r="737">
      <c r="A737" t="str">
        <f>fish_lab_data!C737</f>
        <v>U16838</v>
      </c>
      <c r="B737" t="str">
        <f t="array" ref="B737">iferror(index('rna-muscle'!$I:$I,match($A737,'rna-muscle'!$A:$A,0)))</f>
        <v>BRN64M-D12</v>
      </c>
      <c r="C737" t="str">
        <f t="array" ref="C737">iferror(index('rna-muscle'!$L:$L,match($A737,'rna-muscle'!$A:$A,0)))</f>
        <v>N</v>
      </c>
      <c r="D737" t="str">
        <f t="array" ref="D737">iferror(index('rna-gill'!$I:$I,match($A737,'rna-gill'!$A:$A,0)))</f>
        <v>BRN64G-D12</v>
      </c>
      <c r="E737" t="str">
        <f t="array" ref="E737">iferror(index('rna-gill'!$L:$L,match($A737,'rna-gill'!$A:$A,0)))</f>
        <v>N</v>
      </c>
      <c r="F737" t="str">
        <f t="array" ref="F737">iferror(index(fatty_acid!$G:$G,match($A737,fatty_acid!$A:$A,0)))</f>
        <v>BFA28-64</v>
      </c>
      <c r="G737" t="str">
        <f t="array" ref="G737">iferror(index(fatty_acid!$J:$J,match($A737,fatty_acid!$A:$A,0)))</f>
        <v>N</v>
      </c>
      <c r="H737" t="str">
        <f t="array" ref="H737">iferror(index(isotopes!$G:$G,match($A737,isotopes!$A:$A,0)))</f>
        <v>BIS31-64</v>
      </c>
      <c r="I737" t="str">
        <f t="array" ref="I737">iferror(index(isotopes!$J:$J,match($A737,isotopes!$A:$A,0)))</f>
        <v>N</v>
      </c>
      <c r="J737" t="str">
        <f t="array" ref="J737">iferror(index(extra_muscle!$G:$G,match($A737,extra_muscle!$A:$A,0)))</f>
        <v>BXM29-64</v>
      </c>
      <c r="K737" t="str">
        <f t="array" ref="K737">iferror(index(extra_muscle!$J:$J,match($A737,extra_muscle!$A:$A,0)))</f>
        <v>N</v>
      </c>
      <c r="L737" s="59" t="str">
        <f t="array" ref="L737">iferror(index(dna!$G:$G,match($A737,dna!$A:$A,0)))</f>
        <v/>
      </c>
      <c r="M737" s="60" t="str">
        <f t="array" ref="M737">iferror(index(dna!$J:$J,match($A737,dna!$A:$A,0)))</f>
        <v/>
      </c>
      <c r="N737" t="str">
        <f t="array" ref="N737">iferror(index(stomachs!$G:$G,match($A737,stomachs!$A:$A,0)))</f>
        <v/>
      </c>
      <c r="O737" t="str">
        <f t="array" ref="O737">iferror(index(stomachs!$J:$J,match($A737,stomachs!$A:$A,0)))</f>
        <v/>
      </c>
      <c r="P737" t="str">
        <f t="array" ref="P737">iferror(index(sea_lice!$G:$G,match($A737,sea_lice!$A:$A,0)))</f>
        <v/>
      </c>
      <c r="Q737" t="str">
        <f t="array" ref="Q737">iferror(index(sea_lice!$J:$J,match($A737,sea_lice!$A:$A,0)))</f>
        <v/>
      </c>
      <c r="R737" s="40" t="str">
        <f t="array" ref="R737">iferror(index(dissected_fish!$F:$F,match($A737,dissected_fish!$A:$A,0)))</f>
        <v>BCA106</v>
      </c>
      <c r="S737" s="40" t="str">
        <f t="array" ref="S737">iferror(index(dissected_fish!$K:$K,match($A737,dissected_fish!$A:$A,0)))</f>
        <v>N</v>
      </c>
      <c r="T737" s="61" t="str">
        <f t="array" ref="T737">index(fish_lab_data!O:O,match(A737,fish_lab_data!C:C,0))</f>
        <v>KB</v>
      </c>
      <c r="U737" s="61">
        <f t="array" ref="U737">if(A737="","",index(fish_lab_data!X:X,match(A737,fish_lab_data!C:C,0)))</f>
        <v>736</v>
      </c>
    </row>
    <row r="738">
      <c r="A738" t="str">
        <f>fish_lab_data!C738</f>
        <v>U16836</v>
      </c>
      <c r="B738" t="str">
        <f t="array" ref="B738">iferror(index('rna-muscle'!$I:$I,match($A738,'rna-muscle'!$A:$A,0)))</f>
        <v>BRN64M-C12</v>
      </c>
      <c r="C738" t="str">
        <f t="array" ref="C738">iferror(index('rna-muscle'!$L:$L,match($A738,'rna-muscle'!$A:$A,0)))</f>
        <v>N</v>
      </c>
      <c r="D738" t="str">
        <f t="array" ref="D738">iferror(index('rna-gill'!$I:$I,match($A738,'rna-gill'!$A:$A,0)))</f>
        <v>BRN64G-C12</v>
      </c>
      <c r="E738" t="str">
        <f t="array" ref="E738">iferror(index('rna-gill'!$L:$L,match($A738,'rna-gill'!$A:$A,0)))</f>
        <v>N</v>
      </c>
      <c r="F738" t="str">
        <f t="array" ref="F738">iferror(index(fatty_acid!$G:$G,match($A738,fatty_acid!$A:$A,0)))</f>
        <v>BFA28-65</v>
      </c>
      <c r="G738" t="str">
        <f t="array" ref="G738">iferror(index(fatty_acid!$J:$J,match($A738,fatty_acid!$A:$A,0)))</f>
        <v>N</v>
      </c>
      <c r="H738" t="str">
        <f t="array" ref="H738">iferror(index(isotopes!$G:$G,match($A738,isotopes!$A:$A,0)))</f>
        <v>BIS31-65</v>
      </c>
      <c r="I738" t="str">
        <f t="array" ref="I738">iferror(index(isotopes!$J:$J,match($A738,isotopes!$A:$A,0)))</f>
        <v>N</v>
      </c>
      <c r="J738" t="str">
        <f t="array" ref="J738">iferror(index(extra_muscle!$G:$G,match($A738,extra_muscle!$A:$A,0)))</f>
        <v>BXM29-65</v>
      </c>
      <c r="K738" t="str">
        <f t="array" ref="K738">iferror(index(extra_muscle!$J:$J,match($A738,extra_muscle!$A:$A,0)))</f>
        <v>N</v>
      </c>
      <c r="L738" s="59" t="str">
        <f t="array" ref="L738">iferror(index(dna!$G:$G,match($A738,dna!$A:$A,0)))</f>
        <v/>
      </c>
      <c r="M738" s="60" t="str">
        <f t="array" ref="M738">iferror(index(dna!$J:$J,match($A738,dna!$A:$A,0)))</f>
        <v/>
      </c>
      <c r="N738" t="str">
        <f t="array" ref="N738">iferror(index(stomachs!$G:$G,match($A738,stomachs!$A:$A,0)))</f>
        <v/>
      </c>
      <c r="O738" t="str">
        <f t="array" ref="O738">iferror(index(stomachs!$J:$J,match($A738,stomachs!$A:$A,0)))</f>
        <v/>
      </c>
      <c r="P738" t="str">
        <f t="array" ref="P738">iferror(index(sea_lice!$G:$G,match($A738,sea_lice!$A:$A,0)))</f>
        <v/>
      </c>
      <c r="Q738" t="str">
        <f t="array" ref="Q738">iferror(index(sea_lice!$J:$J,match($A738,sea_lice!$A:$A,0)))</f>
        <v/>
      </c>
      <c r="R738" s="40" t="str">
        <f t="array" ref="R738">iferror(index(dissected_fish!$F:$F,match($A738,dissected_fish!$A:$A,0)))</f>
        <v>BCA106</v>
      </c>
      <c r="S738" s="40" t="str">
        <f t="array" ref="S738">iferror(index(dissected_fish!$K:$K,match($A738,dissected_fish!$A:$A,0)))</f>
        <v>N</v>
      </c>
      <c r="T738" s="61" t="str">
        <f t="array" ref="T738">index(fish_lab_data!O:O,match(A738,fish_lab_data!C:C,0))</f>
        <v>KB</v>
      </c>
      <c r="U738" s="61">
        <f t="array" ref="U738">if(A738="","",index(fish_lab_data!X:X,match(A738,fish_lab_data!C:C,0)))</f>
        <v>737</v>
      </c>
    </row>
    <row r="739">
      <c r="A739" t="str">
        <f>fish_lab_data!C739</f>
        <v>U16839</v>
      </c>
      <c r="B739" t="str">
        <f t="array" ref="B739">iferror(index('rna-muscle'!$I:$I,match($A739,'rna-muscle'!$A:$A,0)))</f>
        <v>BRN64M-B12</v>
      </c>
      <c r="C739" t="str">
        <f t="array" ref="C739">iferror(index('rna-muscle'!$L:$L,match($A739,'rna-muscle'!$A:$A,0)))</f>
        <v>N</v>
      </c>
      <c r="D739" t="str">
        <f t="array" ref="D739">iferror(index('rna-gill'!$I:$I,match($A739,'rna-gill'!$A:$A,0)))</f>
        <v>BRN64G-B12</v>
      </c>
      <c r="E739" t="str">
        <f t="array" ref="E739">iferror(index('rna-gill'!$L:$L,match($A739,'rna-gill'!$A:$A,0)))</f>
        <v>N</v>
      </c>
      <c r="F739" t="str">
        <f t="array" ref="F739">iferror(index(fatty_acid!$G:$G,match($A739,fatty_acid!$A:$A,0)))</f>
        <v>BFA28-66</v>
      </c>
      <c r="G739" t="str">
        <f t="array" ref="G739">iferror(index(fatty_acid!$J:$J,match($A739,fatty_acid!$A:$A,0)))</f>
        <v>N</v>
      </c>
      <c r="H739" t="str">
        <f t="array" ref="H739">iferror(index(isotopes!$G:$G,match($A739,isotopes!$A:$A,0)))</f>
        <v>BIS31-66</v>
      </c>
      <c r="I739" t="str">
        <f t="array" ref="I739">iferror(index(isotopes!$J:$J,match($A739,isotopes!$A:$A,0)))</f>
        <v>N</v>
      </c>
      <c r="J739" t="str">
        <f t="array" ref="J739">iferror(index(extra_muscle!$G:$G,match($A739,extra_muscle!$A:$A,0)))</f>
        <v>BXM29-66</v>
      </c>
      <c r="K739" t="str">
        <f t="array" ref="K739">iferror(index(extra_muscle!$J:$J,match($A739,extra_muscle!$A:$A,0)))</f>
        <v>N</v>
      </c>
      <c r="L739" s="59" t="str">
        <f t="array" ref="L739">iferror(index(dna!$G:$G,match($A739,dna!$A:$A,0)))</f>
        <v/>
      </c>
      <c r="M739" s="60" t="str">
        <f t="array" ref="M739">iferror(index(dna!$J:$J,match($A739,dna!$A:$A,0)))</f>
        <v/>
      </c>
      <c r="N739" t="str">
        <f t="array" ref="N739">iferror(index(stomachs!$G:$G,match($A739,stomachs!$A:$A,0)))</f>
        <v/>
      </c>
      <c r="O739" t="str">
        <f t="array" ref="O739">iferror(index(stomachs!$J:$J,match($A739,stomachs!$A:$A,0)))</f>
        <v/>
      </c>
      <c r="P739" t="str">
        <f t="array" ref="P739">iferror(index(sea_lice!$G:$G,match($A739,sea_lice!$A:$A,0)))</f>
        <v>BSL6-67</v>
      </c>
      <c r="Q739" t="str">
        <f t="array" ref="Q739">iferror(index(sea_lice!$J:$J,match($A739,sea_lice!$A:$A,0)))</f>
        <v>N</v>
      </c>
      <c r="R739" s="40" t="str">
        <f t="array" ref="R739">iferror(index(dissected_fish!$F:$F,match($A739,dissected_fish!$A:$A,0)))</f>
        <v>BCA106</v>
      </c>
      <c r="S739" s="40" t="str">
        <f t="array" ref="S739">iferror(index(dissected_fish!$K:$K,match($A739,dissected_fish!$A:$A,0)))</f>
        <v>N</v>
      </c>
      <c r="T739" s="61" t="str">
        <f t="array" ref="T739">index(fish_lab_data!O:O,match(A739,fish_lab_data!C:C,0))</f>
        <v>KB</v>
      </c>
      <c r="U739" s="61">
        <f t="array" ref="U739">if(A739="","",index(fish_lab_data!X:X,match(A739,fish_lab_data!C:C,0)))</f>
        <v>738</v>
      </c>
    </row>
    <row r="740">
      <c r="A740" t="str">
        <f>fish_lab_data!C740</f>
        <v>U16840</v>
      </c>
      <c r="B740" t="str">
        <f t="array" ref="B740">iferror(index('rna-muscle'!$I:$I,match($A740,'rna-muscle'!$A:$A,0)))</f>
        <v>BRN64M-A12</v>
      </c>
      <c r="C740" t="str">
        <f t="array" ref="C740">iferror(index('rna-muscle'!$L:$L,match($A740,'rna-muscle'!$A:$A,0)))</f>
        <v>N</v>
      </c>
      <c r="D740" t="str">
        <f t="array" ref="D740">iferror(index('rna-gill'!$I:$I,match($A740,'rna-gill'!$A:$A,0)))</f>
        <v>BRN64G-A12</v>
      </c>
      <c r="E740" t="str">
        <f t="array" ref="E740">iferror(index('rna-gill'!$L:$L,match($A740,'rna-gill'!$A:$A,0)))</f>
        <v>N</v>
      </c>
      <c r="F740" t="str">
        <f t="array" ref="F740">iferror(index(fatty_acid!$G:$G,match($A740,fatty_acid!$A:$A,0)))</f>
        <v>BFA28-67</v>
      </c>
      <c r="G740" t="str">
        <f t="array" ref="G740">iferror(index(fatty_acid!$J:$J,match($A740,fatty_acid!$A:$A,0)))</f>
        <v>N</v>
      </c>
      <c r="H740" t="str">
        <f t="array" ref="H740">iferror(index(isotopes!$G:$G,match($A740,isotopes!$A:$A,0)))</f>
        <v>BIS31-67</v>
      </c>
      <c r="I740" t="str">
        <f t="array" ref="I740">iferror(index(isotopes!$J:$J,match($A740,isotopes!$A:$A,0)))</f>
        <v>N</v>
      </c>
      <c r="J740" t="str">
        <f t="array" ref="J740">iferror(index(extra_muscle!$G:$G,match($A740,extra_muscle!$A:$A,0)))</f>
        <v>BXM29-67</v>
      </c>
      <c r="K740" t="str">
        <f t="array" ref="K740">iferror(index(extra_muscle!$J:$J,match($A740,extra_muscle!$A:$A,0)))</f>
        <v>N</v>
      </c>
      <c r="L740" s="59" t="str">
        <f t="array" ref="L740">iferror(index(dna!$G:$G,match($A740,dna!$A:$A,0)))</f>
        <v/>
      </c>
      <c r="M740" s="60" t="str">
        <f t="array" ref="M740">iferror(index(dna!$J:$J,match($A740,dna!$A:$A,0)))</f>
        <v/>
      </c>
      <c r="N740" t="str">
        <f t="array" ref="N740">iferror(index(stomachs!$G:$G,match($A740,stomachs!$A:$A,0)))</f>
        <v/>
      </c>
      <c r="O740" t="str">
        <f t="array" ref="O740">iferror(index(stomachs!$J:$J,match($A740,stomachs!$A:$A,0)))</f>
        <v/>
      </c>
      <c r="P740" t="str">
        <f t="array" ref="P740">iferror(index(sea_lice!$G:$G,match($A740,sea_lice!$A:$A,0)))</f>
        <v/>
      </c>
      <c r="Q740" t="str">
        <f t="array" ref="Q740">iferror(index(sea_lice!$J:$J,match($A740,sea_lice!$A:$A,0)))</f>
        <v/>
      </c>
      <c r="R740" s="40" t="str">
        <f t="array" ref="R740">iferror(index(dissected_fish!$F:$F,match($A740,dissected_fish!$A:$A,0)))</f>
        <v>BCA106</v>
      </c>
      <c r="S740" s="40" t="str">
        <f t="array" ref="S740">iferror(index(dissected_fish!$K:$K,match($A740,dissected_fish!$A:$A,0)))</f>
        <v>N</v>
      </c>
      <c r="T740" s="61" t="str">
        <f t="array" ref="T740">index(fish_lab_data!O:O,match(A740,fish_lab_data!C:C,0))</f>
        <v>KB</v>
      </c>
      <c r="U740" s="61">
        <f t="array" ref="U740">if(A740="","",index(fish_lab_data!X:X,match(A740,fish_lab_data!C:C,0)))</f>
        <v>739</v>
      </c>
    </row>
    <row r="741">
      <c r="A741" t="str">
        <f>fish_lab_data!C741</f>
        <v>U16833</v>
      </c>
      <c r="B741" t="str">
        <f t="array" ref="B741">iferror(index('rna-muscle'!$I:$I,match($A741,'rna-muscle'!$A:$A,0)))</f>
        <v>BRN69M-H1</v>
      </c>
      <c r="C741" t="str">
        <f t="array" ref="C741">iferror(index('rna-muscle'!$L:$L,match($A741,'rna-muscle'!$A:$A,0)))</f>
        <v>N</v>
      </c>
      <c r="D741" t="str">
        <f t="array" ref="D741">iferror(index('rna-gill'!$I:$I,match($A741,'rna-gill'!$A:$A,0)))</f>
        <v>BRN69G-H1</v>
      </c>
      <c r="E741" t="str">
        <f t="array" ref="E741">iferror(index('rna-gill'!$L:$L,match($A741,'rna-gill'!$A:$A,0)))</f>
        <v>N</v>
      </c>
      <c r="F741" t="str">
        <f t="array" ref="F741">iferror(index(fatty_acid!$G:$G,match($A741,fatty_acid!$A:$A,0)))</f>
        <v>BFA28-68</v>
      </c>
      <c r="G741" t="str">
        <f t="array" ref="G741">iferror(index(fatty_acid!$J:$J,match($A741,fatty_acid!$A:$A,0)))</f>
        <v>N</v>
      </c>
      <c r="H741" t="str">
        <f t="array" ref="H741">iferror(index(isotopes!$G:$G,match($A741,isotopes!$A:$A,0)))</f>
        <v>BIS31-68</v>
      </c>
      <c r="I741" t="str">
        <f t="array" ref="I741">iferror(index(isotopes!$J:$J,match($A741,isotopes!$A:$A,0)))</f>
        <v>N</v>
      </c>
      <c r="J741" t="str">
        <f t="array" ref="J741">iferror(index(extra_muscle!$G:$G,match($A741,extra_muscle!$A:$A,0)))</f>
        <v>BXM29-68</v>
      </c>
      <c r="K741" t="str">
        <f t="array" ref="K741">iferror(index(extra_muscle!$J:$J,match($A741,extra_muscle!$A:$A,0)))</f>
        <v>N</v>
      </c>
      <c r="L741" s="59" t="str">
        <f t="array" ref="L741">iferror(index(dna!$G:$G,match($A741,dna!$A:$A,0)))</f>
        <v/>
      </c>
      <c r="M741" s="60" t="str">
        <f t="array" ref="M741">iferror(index(dna!$J:$J,match($A741,dna!$A:$A,0)))</f>
        <v/>
      </c>
      <c r="N741" t="str">
        <f t="array" ref="N741">iferror(index(stomachs!$G:$G,match($A741,stomachs!$A:$A,0)))</f>
        <v/>
      </c>
      <c r="O741" t="str">
        <f t="array" ref="O741">iferror(index(stomachs!$J:$J,match($A741,stomachs!$A:$A,0)))</f>
        <v/>
      </c>
      <c r="P741" t="str">
        <f t="array" ref="P741">iferror(index(sea_lice!$G:$G,match($A741,sea_lice!$A:$A,0)))</f>
        <v/>
      </c>
      <c r="Q741" t="str">
        <f t="array" ref="Q741">iferror(index(sea_lice!$J:$J,match($A741,sea_lice!$A:$A,0)))</f>
        <v/>
      </c>
      <c r="R741" s="40" t="str">
        <f t="array" ref="R741">iferror(index(dissected_fish!$F:$F,match($A741,dissected_fish!$A:$A,0)))</f>
        <v>BCA106</v>
      </c>
      <c r="S741" s="40" t="str">
        <f t="array" ref="S741">iferror(index(dissected_fish!$K:$K,match($A741,dissected_fish!$A:$A,0)))</f>
        <v>N</v>
      </c>
      <c r="T741" s="61" t="str">
        <f t="array" ref="T741">index(fish_lab_data!O:O,match(A741,fish_lab_data!C:C,0))</f>
        <v>KB</v>
      </c>
      <c r="U741" s="61">
        <f t="array" ref="U741">if(A741="","",index(fish_lab_data!X:X,match(A741,fish_lab_data!C:C,0)))</f>
        <v>740</v>
      </c>
    </row>
    <row r="742">
      <c r="A742" t="str">
        <f>fish_lab_data!C742</f>
        <v>U16834</v>
      </c>
      <c r="B742" t="str">
        <f t="array" ref="B742">iferror(index('rna-muscle'!$I:$I,match($A742,'rna-muscle'!$A:$A,0)))</f>
        <v>BRN69M-G1</v>
      </c>
      <c r="C742" t="str">
        <f t="array" ref="C742">iferror(index('rna-muscle'!$L:$L,match($A742,'rna-muscle'!$A:$A,0)))</f>
        <v>N</v>
      </c>
      <c r="D742" t="str">
        <f t="array" ref="D742">iferror(index('rna-gill'!$I:$I,match($A742,'rna-gill'!$A:$A,0)))</f>
        <v>BRN69G-G1</v>
      </c>
      <c r="E742" t="str">
        <f t="array" ref="E742">iferror(index('rna-gill'!$L:$L,match($A742,'rna-gill'!$A:$A,0)))</f>
        <v>N</v>
      </c>
      <c r="F742" t="str">
        <f t="array" ref="F742">iferror(index(fatty_acid!$G:$G,match($A742,fatty_acid!$A:$A,0)))</f>
        <v>BFA28-69</v>
      </c>
      <c r="G742" t="str">
        <f t="array" ref="G742">iferror(index(fatty_acid!$J:$J,match($A742,fatty_acid!$A:$A,0)))</f>
        <v>N</v>
      </c>
      <c r="H742" t="str">
        <f t="array" ref="H742">iferror(index(isotopes!$G:$G,match($A742,isotopes!$A:$A,0)))</f>
        <v>BIS31-69</v>
      </c>
      <c r="I742" t="str">
        <f t="array" ref="I742">iferror(index(isotopes!$J:$J,match($A742,isotopes!$A:$A,0)))</f>
        <v>N</v>
      </c>
      <c r="J742" t="str">
        <f t="array" ref="J742">iferror(index(extra_muscle!$G:$G,match($A742,extra_muscle!$A:$A,0)))</f>
        <v>BXM29-69</v>
      </c>
      <c r="K742" t="str">
        <f t="array" ref="K742">iferror(index(extra_muscle!$J:$J,match($A742,extra_muscle!$A:$A,0)))</f>
        <v>N</v>
      </c>
      <c r="L742" s="59" t="str">
        <f t="array" ref="L742">iferror(index(dna!$G:$G,match($A742,dna!$A:$A,0)))</f>
        <v/>
      </c>
      <c r="M742" s="60" t="str">
        <f t="array" ref="M742">iferror(index(dna!$J:$J,match($A742,dna!$A:$A,0)))</f>
        <v/>
      </c>
      <c r="N742" t="str">
        <f t="array" ref="N742">iferror(index(stomachs!$G:$G,match($A742,stomachs!$A:$A,0)))</f>
        <v/>
      </c>
      <c r="O742" t="str">
        <f t="array" ref="O742">iferror(index(stomachs!$J:$J,match($A742,stomachs!$A:$A,0)))</f>
        <v/>
      </c>
      <c r="P742" t="str">
        <f t="array" ref="P742">iferror(index(sea_lice!$G:$G,match($A742,sea_lice!$A:$A,0)))</f>
        <v/>
      </c>
      <c r="Q742" t="str">
        <f t="array" ref="Q742">iferror(index(sea_lice!$J:$J,match($A742,sea_lice!$A:$A,0)))</f>
        <v/>
      </c>
      <c r="R742" s="40" t="str">
        <f t="array" ref="R742">iferror(index(dissected_fish!$F:$F,match($A742,dissected_fish!$A:$A,0)))</f>
        <v>BCA106</v>
      </c>
      <c r="S742" s="40" t="str">
        <f t="array" ref="S742">iferror(index(dissected_fish!$K:$K,match($A742,dissected_fish!$A:$A,0)))</f>
        <v>N</v>
      </c>
      <c r="T742" s="61" t="str">
        <f t="array" ref="T742">index(fish_lab_data!O:O,match(A742,fish_lab_data!C:C,0))</f>
        <v>KB</v>
      </c>
      <c r="U742" s="61">
        <f t="array" ref="U742">if(A742="","",index(fish_lab_data!X:X,match(A742,fish_lab_data!C:C,0)))</f>
        <v>741</v>
      </c>
    </row>
    <row r="743">
      <c r="A743" t="str">
        <f>fish_lab_data!C743</f>
        <v>U16831</v>
      </c>
      <c r="B743" t="str">
        <f t="array" ref="B743">iferror(index('rna-muscle'!$I:$I,match($A743,'rna-muscle'!$A:$A,0)))</f>
        <v>BRN69M-F1</v>
      </c>
      <c r="C743" t="str">
        <f t="array" ref="C743">iferror(index('rna-muscle'!$L:$L,match($A743,'rna-muscle'!$A:$A,0)))</f>
        <v>N</v>
      </c>
      <c r="D743" t="str">
        <f t="array" ref="D743">iferror(index('rna-gill'!$I:$I,match($A743,'rna-gill'!$A:$A,0)))</f>
        <v>BRN69G-F1</v>
      </c>
      <c r="E743" t="str">
        <f t="array" ref="E743">iferror(index('rna-gill'!$L:$L,match($A743,'rna-gill'!$A:$A,0)))</f>
        <v>N</v>
      </c>
      <c r="F743" t="str">
        <f t="array" ref="F743">iferror(index(fatty_acid!$G:$G,match($A743,fatty_acid!$A:$A,0)))</f>
        <v>BFA28-70</v>
      </c>
      <c r="G743" t="str">
        <f t="array" ref="G743">iferror(index(fatty_acid!$J:$J,match($A743,fatty_acid!$A:$A,0)))</f>
        <v>N</v>
      </c>
      <c r="H743" t="str">
        <f t="array" ref="H743">iferror(index(isotopes!$G:$G,match($A743,isotopes!$A:$A,0)))</f>
        <v>BIS31-70</v>
      </c>
      <c r="I743" t="str">
        <f t="array" ref="I743">iferror(index(isotopes!$J:$J,match($A743,isotopes!$A:$A,0)))</f>
        <v>N</v>
      </c>
      <c r="J743" t="str">
        <f t="array" ref="J743">iferror(index(extra_muscle!$G:$G,match($A743,extra_muscle!$A:$A,0)))</f>
        <v>BXM29-70</v>
      </c>
      <c r="K743" t="str">
        <f t="array" ref="K743">iferror(index(extra_muscle!$J:$J,match($A743,extra_muscle!$A:$A,0)))</f>
        <v>N</v>
      </c>
      <c r="L743" s="59" t="str">
        <f t="array" ref="L743">iferror(index(dna!$G:$G,match($A743,dna!$A:$A,0)))</f>
        <v/>
      </c>
      <c r="M743" s="60" t="str">
        <f t="array" ref="M743">iferror(index(dna!$J:$J,match($A743,dna!$A:$A,0)))</f>
        <v/>
      </c>
      <c r="N743" t="str">
        <f t="array" ref="N743">iferror(index(stomachs!$G:$G,match($A743,stomachs!$A:$A,0)))</f>
        <v/>
      </c>
      <c r="O743" t="str">
        <f t="array" ref="O743">iferror(index(stomachs!$J:$J,match($A743,stomachs!$A:$A,0)))</f>
        <v/>
      </c>
      <c r="P743" t="str">
        <f t="array" ref="P743">iferror(index(sea_lice!$G:$G,match($A743,sea_lice!$A:$A,0)))</f>
        <v/>
      </c>
      <c r="Q743" t="str">
        <f t="array" ref="Q743">iferror(index(sea_lice!$J:$J,match($A743,sea_lice!$A:$A,0)))</f>
        <v/>
      </c>
      <c r="R743" s="40" t="str">
        <f t="array" ref="R743">iferror(index(dissected_fish!$F:$F,match($A743,dissected_fish!$A:$A,0)))</f>
        <v>BCA106</v>
      </c>
      <c r="S743" s="40" t="str">
        <f t="array" ref="S743">iferror(index(dissected_fish!$K:$K,match($A743,dissected_fish!$A:$A,0)))</f>
        <v>N</v>
      </c>
      <c r="T743" s="61" t="str">
        <f t="array" ref="T743">index(fish_lab_data!O:O,match(A743,fish_lab_data!C:C,0))</f>
        <v>KB</v>
      </c>
      <c r="U743" s="61">
        <f t="array" ref="U743">if(A743="","",index(fish_lab_data!X:X,match(A743,fish_lab_data!C:C,0)))</f>
        <v>742</v>
      </c>
    </row>
    <row r="744">
      <c r="A744" t="str">
        <f>fish_lab_data!C744</f>
        <v>U16948</v>
      </c>
      <c r="B744" t="str">
        <f t="array" ref="B744">iferror(index('rna-muscle'!$I:$I,match($A744,'rna-muscle'!$A:$A,0)))</f>
        <v>BRN69M-E1</v>
      </c>
      <c r="C744" t="str">
        <f t="array" ref="C744">iferror(index('rna-muscle'!$L:$L,match($A744,'rna-muscle'!$A:$A,0)))</f>
        <v>N</v>
      </c>
      <c r="D744" t="str">
        <f t="array" ref="D744">iferror(index('rna-gill'!$I:$I,match($A744,'rna-gill'!$A:$A,0)))</f>
        <v>BRN69G-E1</v>
      </c>
      <c r="E744" t="str">
        <f t="array" ref="E744">iferror(index('rna-gill'!$L:$L,match($A744,'rna-gill'!$A:$A,0)))</f>
        <v>N</v>
      </c>
      <c r="F744" t="str">
        <f t="array" ref="F744">iferror(index(fatty_acid!$G:$G,match($A744,fatty_acid!$A:$A,0)))</f>
        <v>BFA28-71</v>
      </c>
      <c r="G744" t="str">
        <f t="array" ref="G744">iferror(index(fatty_acid!$J:$J,match($A744,fatty_acid!$A:$A,0)))</f>
        <v>N</v>
      </c>
      <c r="H744" t="str">
        <f t="array" ref="H744">iferror(index(isotopes!$G:$G,match($A744,isotopes!$A:$A,0)))</f>
        <v>BIS31-71</v>
      </c>
      <c r="I744" t="str">
        <f t="array" ref="I744">iferror(index(isotopes!$J:$J,match($A744,isotopes!$A:$A,0)))</f>
        <v>N</v>
      </c>
      <c r="J744" t="str">
        <f t="array" ref="J744">iferror(index(extra_muscle!$G:$G,match($A744,extra_muscle!$A:$A,0)))</f>
        <v>BXM29-71</v>
      </c>
      <c r="K744" t="str">
        <f t="array" ref="K744">iferror(index(extra_muscle!$J:$J,match($A744,extra_muscle!$A:$A,0)))</f>
        <v>N</v>
      </c>
      <c r="L744" s="59" t="str">
        <f t="array" ref="L744">iferror(index(dna!$G:$G,match($A744,dna!$A:$A,0)))</f>
        <v/>
      </c>
      <c r="M744" s="60" t="str">
        <f t="array" ref="M744">iferror(index(dna!$J:$J,match($A744,dna!$A:$A,0)))</f>
        <v/>
      </c>
      <c r="N744" t="str">
        <f t="array" ref="N744">iferror(index(stomachs!$G:$G,match($A744,stomachs!$A:$A,0)))</f>
        <v/>
      </c>
      <c r="O744" t="str">
        <f t="array" ref="O744">iferror(index(stomachs!$J:$J,match($A744,stomachs!$A:$A,0)))</f>
        <v/>
      </c>
      <c r="P744" t="str">
        <f t="array" ref="P744">iferror(index(sea_lice!$G:$G,match($A744,sea_lice!$A:$A,0)))</f>
        <v>BSL6-68</v>
      </c>
      <c r="Q744" t="str">
        <f t="array" ref="Q744">iferror(index(sea_lice!$J:$J,match($A744,sea_lice!$A:$A,0)))</f>
        <v>N</v>
      </c>
      <c r="R744" s="40" t="str">
        <f t="array" ref="R744">iferror(index(dissected_fish!$F:$F,match($A744,dissected_fish!$A:$A,0)))</f>
        <v>BCA107</v>
      </c>
      <c r="S744" s="40" t="str">
        <f t="array" ref="S744">iferror(index(dissected_fish!$K:$K,match($A744,dissected_fish!$A:$A,0)))</f>
        <v>N</v>
      </c>
      <c r="T744" s="61" t="str">
        <f t="array" ref="T744">index(fish_lab_data!O:O,match(A744,fish_lab_data!C:C,0))</f>
        <v>KB</v>
      </c>
      <c r="U744" s="61">
        <f t="array" ref="U744">if(A744="","",index(fish_lab_data!X:X,match(A744,fish_lab_data!C:C,0)))</f>
        <v>743</v>
      </c>
    </row>
    <row r="745">
      <c r="A745" t="str">
        <f>fish_lab_data!C745</f>
        <v>U16942</v>
      </c>
      <c r="B745" t="str">
        <f t="array" ref="B745">iferror(index('rna-muscle'!$I:$I,match($A745,'rna-muscle'!$A:$A,0)))</f>
        <v>BRN69M-D1</v>
      </c>
      <c r="C745" t="str">
        <f t="array" ref="C745">iferror(index('rna-muscle'!$L:$L,match($A745,'rna-muscle'!$A:$A,0)))</f>
        <v>N</v>
      </c>
      <c r="D745" t="str">
        <f t="array" ref="D745">iferror(index('rna-gill'!$I:$I,match($A745,'rna-gill'!$A:$A,0)))</f>
        <v>BRN69G-D1</v>
      </c>
      <c r="E745" t="str">
        <f t="array" ref="E745">iferror(index('rna-gill'!$L:$L,match($A745,'rna-gill'!$A:$A,0)))</f>
        <v>N</v>
      </c>
      <c r="F745" t="str">
        <f t="array" ref="F745">iferror(index(fatty_acid!$G:$G,match($A745,fatty_acid!$A:$A,0)))</f>
        <v>BFA28-72</v>
      </c>
      <c r="G745" t="str">
        <f t="array" ref="G745">iferror(index(fatty_acid!$J:$J,match($A745,fatty_acid!$A:$A,0)))</f>
        <v>N</v>
      </c>
      <c r="H745" t="str">
        <f t="array" ref="H745">iferror(index(isotopes!$G:$G,match($A745,isotopes!$A:$A,0)))</f>
        <v>BIS31-72</v>
      </c>
      <c r="I745" t="str">
        <f t="array" ref="I745">iferror(index(isotopes!$J:$J,match($A745,isotopes!$A:$A,0)))</f>
        <v>N</v>
      </c>
      <c r="J745" t="str">
        <f t="array" ref="J745">iferror(index(extra_muscle!$G:$G,match($A745,extra_muscle!$A:$A,0)))</f>
        <v>BXM29-72</v>
      </c>
      <c r="K745" t="str">
        <f t="array" ref="K745">iferror(index(extra_muscle!$J:$J,match($A745,extra_muscle!$A:$A,0)))</f>
        <v>N</v>
      </c>
      <c r="L745" s="59" t="str">
        <f t="array" ref="L745">iferror(index(dna!$G:$G,match($A745,dna!$A:$A,0)))</f>
        <v/>
      </c>
      <c r="M745" s="60" t="str">
        <f t="array" ref="M745">iferror(index(dna!$J:$J,match($A745,dna!$A:$A,0)))</f>
        <v/>
      </c>
      <c r="N745" t="str">
        <f t="array" ref="N745">iferror(index(stomachs!$G:$G,match($A745,stomachs!$A:$A,0)))</f>
        <v/>
      </c>
      <c r="O745" t="str">
        <f t="array" ref="O745">iferror(index(stomachs!$J:$J,match($A745,stomachs!$A:$A,0)))</f>
        <v/>
      </c>
      <c r="P745" t="str">
        <f t="array" ref="P745">iferror(index(sea_lice!$G:$G,match($A745,sea_lice!$A:$A,0)))</f>
        <v>BSL6-69</v>
      </c>
      <c r="Q745" t="str">
        <f t="array" ref="Q745">iferror(index(sea_lice!$J:$J,match($A745,sea_lice!$A:$A,0)))</f>
        <v>N</v>
      </c>
      <c r="R745" s="40" t="str">
        <f t="array" ref="R745">iferror(index(dissected_fish!$F:$F,match($A745,dissected_fish!$A:$A,0)))</f>
        <v>BCA107</v>
      </c>
      <c r="S745" s="40" t="str">
        <f t="array" ref="S745">iferror(index(dissected_fish!$K:$K,match($A745,dissected_fish!$A:$A,0)))</f>
        <v>N</v>
      </c>
      <c r="T745" s="61" t="str">
        <f t="array" ref="T745">index(fish_lab_data!O:O,match(A745,fish_lab_data!C:C,0))</f>
        <v>KB</v>
      </c>
      <c r="U745" s="61">
        <f t="array" ref="U745">if(A745="","",index(fish_lab_data!X:X,match(A745,fish_lab_data!C:C,0)))</f>
        <v>744</v>
      </c>
    </row>
    <row r="746">
      <c r="A746" t="str">
        <f>fish_lab_data!C746</f>
        <v>U16950</v>
      </c>
      <c r="B746" t="str">
        <f t="array" ref="B746">iferror(index('rna-muscle'!$I:$I,match($A746,'rna-muscle'!$A:$A,0)))</f>
        <v>BRN69M-C1</v>
      </c>
      <c r="C746" t="str">
        <f t="array" ref="C746">iferror(index('rna-muscle'!$L:$L,match($A746,'rna-muscle'!$A:$A,0)))</f>
        <v>N</v>
      </c>
      <c r="D746" t="str">
        <f t="array" ref="D746">iferror(index('rna-gill'!$I:$I,match($A746,'rna-gill'!$A:$A,0)))</f>
        <v>BRN69G-C1</v>
      </c>
      <c r="E746" t="str">
        <f t="array" ref="E746">iferror(index('rna-gill'!$L:$L,match($A746,'rna-gill'!$A:$A,0)))</f>
        <v>N</v>
      </c>
      <c r="F746" t="str">
        <f t="array" ref="F746">iferror(index(fatty_acid!$G:$G,match($A746,fatty_acid!$A:$A,0)))</f>
        <v>BFA28-73</v>
      </c>
      <c r="G746" t="str">
        <f t="array" ref="G746">iferror(index(fatty_acid!$J:$J,match($A746,fatty_acid!$A:$A,0)))</f>
        <v>N</v>
      </c>
      <c r="H746" t="str">
        <f t="array" ref="H746">iferror(index(isotopes!$G:$G,match($A746,isotopes!$A:$A,0)))</f>
        <v>BIS31-73</v>
      </c>
      <c r="I746" t="str">
        <f t="array" ref="I746">iferror(index(isotopes!$J:$J,match($A746,isotopes!$A:$A,0)))</f>
        <v>N</v>
      </c>
      <c r="J746" t="str">
        <f t="array" ref="J746">iferror(index(extra_muscle!$G:$G,match($A746,extra_muscle!$A:$A,0)))</f>
        <v>BXM29-73</v>
      </c>
      <c r="K746" t="str">
        <f t="array" ref="K746">iferror(index(extra_muscle!$J:$J,match($A746,extra_muscle!$A:$A,0)))</f>
        <v>N</v>
      </c>
      <c r="L746" s="59" t="str">
        <f t="array" ref="L746">iferror(index(dna!$G:$G,match($A746,dna!$A:$A,0)))</f>
        <v/>
      </c>
      <c r="M746" s="60" t="str">
        <f t="array" ref="M746">iferror(index(dna!$J:$J,match($A746,dna!$A:$A,0)))</f>
        <v/>
      </c>
      <c r="N746" t="str">
        <f t="array" ref="N746">iferror(index(stomachs!$G:$G,match($A746,stomachs!$A:$A,0)))</f>
        <v/>
      </c>
      <c r="O746" t="str">
        <f t="array" ref="O746">iferror(index(stomachs!$J:$J,match($A746,stomachs!$A:$A,0)))</f>
        <v/>
      </c>
      <c r="P746" t="str">
        <f t="array" ref="P746">iferror(index(sea_lice!$G:$G,match($A746,sea_lice!$A:$A,0)))</f>
        <v>BSL6-70</v>
      </c>
      <c r="Q746" t="str">
        <f t="array" ref="Q746">iferror(index(sea_lice!$J:$J,match($A746,sea_lice!$A:$A,0)))</f>
        <v>N</v>
      </c>
      <c r="R746" s="40" t="str">
        <f t="array" ref="R746">iferror(index(dissected_fish!$F:$F,match($A746,dissected_fish!$A:$A,0)))</f>
        <v>BCA107</v>
      </c>
      <c r="S746" s="40" t="str">
        <f t="array" ref="S746">iferror(index(dissected_fish!$K:$K,match($A746,dissected_fish!$A:$A,0)))</f>
        <v>N</v>
      </c>
      <c r="T746" s="61" t="str">
        <f t="array" ref="T746">index(fish_lab_data!O:O,match(A746,fish_lab_data!C:C,0))</f>
        <v>KB</v>
      </c>
      <c r="U746" s="61">
        <f t="array" ref="U746">if(A746="","",index(fish_lab_data!X:X,match(A746,fish_lab_data!C:C,0)))</f>
        <v>745</v>
      </c>
    </row>
    <row r="747">
      <c r="A747" t="str">
        <f>fish_lab_data!C747</f>
        <v>U16944</v>
      </c>
      <c r="B747" t="str">
        <f t="array" ref="B747">iferror(index('rna-muscle'!$I:$I,match($A747,'rna-muscle'!$A:$A,0)))</f>
        <v>BRN69M-B1</v>
      </c>
      <c r="C747" t="str">
        <f t="array" ref="C747">iferror(index('rna-muscle'!$L:$L,match($A747,'rna-muscle'!$A:$A,0)))</f>
        <v>N</v>
      </c>
      <c r="D747" t="str">
        <f t="array" ref="D747">iferror(index('rna-gill'!$I:$I,match($A747,'rna-gill'!$A:$A,0)))</f>
        <v>BRN69G-B1</v>
      </c>
      <c r="E747" t="str">
        <f t="array" ref="E747">iferror(index('rna-gill'!$L:$L,match($A747,'rna-gill'!$A:$A,0)))</f>
        <v>N</v>
      </c>
      <c r="F747" t="str">
        <f t="array" ref="F747">iferror(index(fatty_acid!$G:$G,match($A747,fatty_acid!$A:$A,0)))</f>
        <v>BFA28-74</v>
      </c>
      <c r="G747" t="str">
        <f t="array" ref="G747">iferror(index(fatty_acid!$J:$J,match($A747,fatty_acid!$A:$A,0)))</f>
        <v>N</v>
      </c>
      <c r="H747" t="str">
        <f t="array" ref="H747">iferror(index(isotopes!$G:$G,match($A747,isotopes!$A:$A,0)))</f>
        <v>BIS31-74</v>
      </c>
      <c r="I747" t="str">
        <f t="array" ref="I747">iferror(index(isotopes!$J:$J,match($A747,isotopes!$A:$A,0)))</f>
        <v>N</v>
      </c>
      <c r="J747" t="str">
        <f t="array" ref="J747">iferror(index(extra_muscle!$G:$G,match($A747,extra_muscle!$A:$A,0)))</f>
        <v>BXM29-74</v>
      </c>
      <c r="K747" t="str">
        <f t="array" ref="K747">iferror(index(extra_muscle!$J:$J,match($A747,extra_muscle!$A:$A,0)))</f>
        <v>N</v>
      </c>
      <c r="L747" s="59" t="str">
        <f t="array" ref="L747">iferror(index(dna!$G:$G,match($A747,dna!$A:$A,0)))</f>
        <v/>
      </c>
      <c r="M747" s="60" t="str">
        <f t="array" ref="M747">iferror(index(dna!$J:$J,match($A747,dna!$A:$A,0)))</f>
        <v/>
      </c>
      <c r="N747" t="str">
        <f t="array" ref="N747">iferror(index(stomachs!$G:$G,match($A747,stomachs!$A:$A,0)))</f>
        <v/>
      </c>
      <c r="O747" t="str">
        <f t="array" ref="O747">iferror(index(stomachs!$J:$J,match($A747,stomachs!$A:$A,0)))</f>
        <v/>
      </c>
      <c r="P747" t="str">
        <f t="array" ref="P747">iferror(index(sea_lice!$G:$G,match($A747,sea_lice!$A:$A,0)))</f>
        <v>BSL6-71</v>
      </c>
      <c r="Q747" t="str">
        <f t="array" ref="Q747">iferror(index(sea_lice!$J:$J,match($A747,sea_lice!$A:$A,0)))</f>
        <v>N</v>
      </c>
      <c r="R747" s="40" t="str">
        <f t="array" ref="R747">iferror(index(dissected_fish!$F:$F,match($A747,dissected_fish!$A:$A,0)))</f>
        <v>BCA107</v>
      </c>
      <c r="S747" s="40" t="str">
        <f t="array" ref="S747">iferror(index(dissected_fish!$K:$K,match($A747,dissected_fish!$A:$A,0)))</f>
        <v>N</v>
      </c>
      <c r="T747" s="61" t="str">
        <f t="array" ref="T747">index(fish_lab_data!O:O,match(A747,fish_lab_data!C:C,0))</f>
        <v>KB</v>
      </c>
      <c r="U747" s="61">
        <f t="array" ref="U747">if(A747="","",index(fish_lab_data!X:X,match(A747,fish_lab_data!C:C,0)))</f>
        <v>746</v>
      </c>
    </row>
    <row r="748">
      <c r="A748" t="str">
        <f>fish_lab_data!C748</f>
        <v>U16945</v>
      </c>
      <c r="B748" t="str">
        <f t="array" ref="B748">iferror(index('rna-muscle'!$I:$I,match($A748,'rna-muscle'!$A:$A,0)))</f>
        <v>BRN69M-A1</v>
      </c>
      <c r="C748" t="str">
        <f t="array" ref="C748">iferror(index('rna-muscle'!$L:$L,match($A748,'rna-muscle'!$A:$A,0)))</f>
        <v>N</v>
      </c>
      <c r="D748" t="str">
        <f t="array" ref="D748">iferror(index('rna-gill'!$I:$I,match($A748,'rna-gill'!$A:$A,0)))</f>
        <v>BRN69G-A1</v>
      </c>
      <c r="E748" t="str">
        <f t="array" ref="E748">iferror(index('rna-gill'!$L:$L,match($A748,'rna-gill'!$A:$A,0)))</f>
        <v>N</v>
      </c>
      <c r="F748" t="str">
        <f t="array" ref="F748">iferror(index(fatty_acid!$G:$G,match($A748,fatty_acid!$A:$A,0)))</f>
        <v>BFA28-75</v>
      </c>
      <c r="G748" t="str">
        <f t="array" ref="G748">iferror(index(fatty_acid!$J:$J,match($A748,fatty_acid!$A:$A,0)))</f>
        <v>N</v>
      </c>
      <c r="H748" t="str">
        <f t="array" ref="H748">iferror(index(isotopes!$G:$G,match($A748,isotopes!$A:$A,0)))</f>
        <v>BIS31-75</v>
      </c>
      <c r="I748" t="str">
        <f t="array" ref="I748">iferror(index(isotopes!$J:$J,match($A748,isotopes!$A:$A,0)))</f>
        <v>N</v>
      </c>
      <c r="J748" t="str">
        <f t="array" ref="J748">iferror(index(extra_muscle!$G:$G,match($A748,extra_muscle!$A:$A,0)))</f>
        <v>BXM29-75</v>
      </c>
      <c r="K748" t="str">
        <f t="array" ref="K748">iferror(index(extra_muscle!$J:$J,match($A748,extra_muscle!$A:$A,0)))</f>
        <v>N</v>
      </c>
      <c r="L748" s="59" t="str">
        <f t="array" ref="L748">iferror(index(dna!$G:$G,match($A748,dna!$A:$A,0)))</f>
        <v/>
      </c>
      <c r="M748" s="60" t="str">
        <f t="array" ref="M748">iferror(index(dna!$J:$J,match($A748,dna!$A:$A,0)))</f>
        <v/>
      </c>
      <c r="N748" t="str">
        <f t="array" ref="N748">iferror(index(stomachs!$G:$G,match($A748,stomachs!$A:$A,0)))</f>
        <v/>
      </c>
      <c r="O748" t="str">
        <f t="array" ref="O748">iferror(index(stomachs!$J:$J,match($A748,stomachs!$A:$A,0)))</f>
        <v/>
      </c>
      <c r="P748" t="str">
        <f t="array" ref="P748">iferror(index(sea_lice!$G:$G,match($A748,sea_lice!$A:$A,0)))</f>
        <v>BSL6-72</v>
      </c>
      <c r="Q748" t="str">
        <f t="array" ref="Q748">iferror(index(sea_lice!$J:$J,match($A748,sea_lice!$A:$A,0)))</f>
        <v>N</v>
      </c>
      <c r="R748" s="40" t="str">
        <f t="array" ref="R748">iferror(index(dissected_fish!$F:$F,match($A748,dissected_fish!$A:$A,0)))</f>
        <v>BCA107</v>
      </c>
      <c r="S748" s="40" t="str">
        <f t="array" ref="S748">iferror(index(dissected_fish!$K:$K,match($A748,dissected_fish!$A:$A,0)))</f>
        <v>N</v>
      </c>
      <c r="T748" s="61" t="str">
        <f t="array" ref="T748">index(fish_lab_data!O:O,match(A748,fish_lab_data!C:C,0))</f>
        <v>KB</v>
      </c>
      <c r="U748" s="61">
        <f t="array" ref="U748">if(A748="","",index(fish_lab_data!X:X,match(A748,fish_lab_data!C:C,0)))</f>
        <v>747</v>
      </c>
    </row>
    <row r="749">
      <c r="A749" t="str">
        <f>fish_lab_data!C749</f>
        <v>U16947</v>
      </c>
      <c r="B749" t="str">
        <f t="array" ref="B749">iferror(index('rna-muscle'!$I:$I,match($A749,'rna-muscle'!$A:$A,0)))</f>
        <v>BRN69M-H3</v>
      </c>
      <c r="C749" t="str">
        <f t="array" ref="C749">iferror(index('rna-muscle'!$L:$L,match($A749,'rna-muscle'!$A:$A,0)))</f>
        <v>N</v>
      </c>
      <c r="D749" t="str">
        <f t="array" ref="D749">iferror(index('rna-gill'!$I:$I,match($A749,'rna-gill'!$A:$A,0)))</f>
        <v>BRN69G-H3</v>
      </c>
      <c r="E749" t="str">
        <f t="array" ref="E749">iferror(index('rna-gill'!$L:$L,match($A749,'rna-gill'!$A:$A,0)))</f>
        <v>N</v>
      </c>
      <c r="F749" t="str">
        <f t="array" ref="F749">iferror(index(fatty_acid!$G:$G,match($A749,fatty_acid!$A:$A,0)))</f>
        <v>BFA28-76</v>
      </c>
      <c r="G749" t="str">
        <f t="array" ref="G749">iferror(index(fatty_acid!$J:$J,match($A749,fatty_acid!$A:$A,0)))</f>
        <v>N</v>
      </c>
      <c r="H749" t="str">
        <f t="array" ref="H749">iferror(index(isotopes!$G:$G,match($A749,isotopes!$A:$A,0)))</f>
        <v>BIS31-76</v>
      </c>
      <c r="I749" t="str">
        <f t="array" ref="I749">iferror(index(isotopes!$J:$J,match($A749,isotopes!$A:$A,0)))</f>
        <v>N</v>
      </c>
      <c r="J749" t="str">
        <f t="array" ref="J749">iferror(index(extra_muscle!$G:$G,match($A749,extra_muscle!$A:$A,0)))</f>
        <v>BXM29-76</v>
      </c>
      <c r="K749" t="str">
        <f t="array" ref="K749">iferror(index(extra_muscle!$J:$J,match($A749,extra_muscle!$A:$A,0)))</f>
        <v>N</v>
      </c>
      <c r="L749" s="59" t="str">
        <f t="array" ref="L749">iferror(index(dna!$G:$G,match($A749,dna!$A:$A,0)))</f>
        <v/>
      </c>
      <c r="M749" s="60" t="str">
        <f t="array" ref="M749">iferror(index(dna!$J:$J,match($A749,dna!$A:$A,0)))</f>
        <v/>
      </c>
      <c r="N749" t="str">
        <f t="array" ref="N749">iferror(index(stomachs!$G:$G,match($A749,stomachs!$A:$A,0)))</f>
        <v/>
      </c>
      <c r="O749" t="str">
        <f t="array" ref="O749">iferror(index(stomachs!$J:$J,match($A749,stomachs!$A:$A,0)))</f>
        <v/>
      </c>
      <c r="P749" t="str">
        <f t="array" ref="P749">iferror(index(sea_lice!$G:$G,match($A749,sea_lice!$A:$A,0)))</f>
        <v/>
      </c>
      <c r="Q749" t="str">
        <f t="array" ref="Q749">iferror(index(sea_lice!$J:$J,match($A749,sea_lice!$A:$A,0)))</f>
        <v/>
      </c>
      <c r="R749" s="40" t="str">
        <f t="array" ref="R749">iferror(index(dissected_fish!$F:$F,match($A749,dissected_fish!$A:$A,0)))</f>
        <v>BCA107</v>
      </c>
      <c r="S749" s="40" t="str">
        <f t="array" ref="S749">iferror(index(dissected_fish!$K:$K,match($A749,dissected_fish!$A:$A,0)))</f>
        <v>N</v>
      </c>
      <c r="T749" s="61" t="str">
        <f t="array" ref="T749">index(fish_lab_data!O:O,match(A749,fish_lab_data!C:C,0))</f>
        <v>KB</v>
      </c>
      <c r="U749" s="61">
        <f t="array" ref="U749">if(A749="","",index(fish_lab_data!X:X,match(A749,fish_lab_data!C:C,0)))</f>
        <v>748</v>
      </c>
    </row>
    <row r="750">
      <c r="A750" t="str">
        <f>fish_lab_data!C750</f>
        <v>U16946</v>
      </c>
      <c r="B750" t="str">
        <f t="array" ref="B750">iferror(index('rna-muscle'!$I:$I,match($A750,'rna-muscle'!$A:$A,0)))</f>
        <v>BRN69M-G3</v>
      </c>
      <c r="C750" t="str">
        <f t="array" ref="C750">iferror(index('rna-muscle'!$L:$L,match($A750,'rna-muscle'!$A:$A,0)))</f>
        <v>N</v>
      </c>
      <c r="D750" t="str">
        <f t="array" ref="D750">iferror(index('rna-gill'!$I:$I,match($A750,'rna-gill'!$A:$A,0)))</f>
        <v>BRN69G-G3</v>
      </c>
      <c r="E750" t="str">
        <f t="array" ref="E750">iferror(index('rna-gill'!$L:$L,match($A750,'rna-gill'!$A:$A,0)))</f>
        <v>N</v>
      </c>
      <c r="F750" t="str">
        <f t="array" ref="F750">iferror(index(fatty_acid!$G:$G,match($A750,fatty_acid!$A:$A,0)))</f>
        <v>BFA28-77</v>
      </c>
      <c r="G750" t="str">
        <f t="array" ref="G750">iferror(index(fatty_acid!$J:$J,match($A750,fatty_acid!$A:$A,0)))</f>
        <v>N</v>
      </c>
      <c r="H750" t="str">
        <f t="array" ref="H750">iferror(index(isotopes!$G:$G,match($A750,isotopes!$A:$A,0)))</f>
        <v>BIS31-77</v>
      </c>
      <c r="I750" t="str">
        <f t="array" ref="I750">iferror(index(isotopes!$J:$J,match($A750,isotopes!$A:$A,0)))</f>
        <v>N</v>
      </c>
      <c r="J750" t="str">
        <f t="array" ref="J750">iferror(index(extra_muscle!$G:$G,match($A750,extra_muscle!$A:$A,0)))</f>
        <v>BXM29-77</v>
      </c>
      <c r="K750" t="str">
        <f t="array" ref="K750">iferror(index(extra_muscle!$J:$J,match($A750,extra_muscle!$A:$A,0)))</f>
        <v>N</v>
      </c>
      <c r="L750" s="59" t="str">
        <f t="array" ref="L750">iferror(index(dna!$G:$G,match($A750,dna!$A:$A,0)))</f>
        <v/>
      </c>
      <c r="M750" s="60" t="str">
        <f t="array" ref="M750">iferror(index(dna!$J:$J,match($A750,dna!$A:$A,0)))</f>
        <v/>
      </c>
      <c r="N750" t="str">
        <f t="array" ref="N750">iferror(index(stomachs!$G:$G,match($A750,stomachs!$A:$A,0)))</f>
        <v/>
      </c>
      <c r="O750" t="str">
        <f t="array" ref="O750">iferror(index(stomachs!$J:$J,match($A750,stomachs!$A:$A,0)))</f>
        <v/>
      </c>
      <c r="P750" t="str">
        <f t="array" ref="P750">iferror(index(sea_lice!$G:$G,match($A750,sea_lice!$A:$A,0)))</f>
        <v/>
      </c>
      <c r="Q750" t="str">
        <f t="array" ref="Q750">iferror(index(sea_lice!$J:$J,match($A750,sea_lice!$A:$A,0)))</f>
        <v/>
      </c>
      <c r="R750" s="40" t="str">
        <f t="array" ref="R750">iferror(index(dissected_fish!$F:$F,match($A750,dissected_fish!$A:$A,0)))</f>
        <v>BCA107</v>
      </c>
      <c r="S750" s="40" t="str">
        <f t="array" ref="S750">iferror(index(dissected_fish!$K:$K,match($A750,dissected_fish!$A:$A,0)))</f>
        <v>N</v>
      </c>
      <c r="T750" s="61" t="str">
        <f t="array" ref="T750">index(fish_lab_data!O:O,match(A750,fish_lab_data!C:C,0))</f>
        <v>KB</v>
      </c>
      <c r="U750" s="61">
        <f t="array" ref="U750">if(A750="","",index(fish_lab_data!X:X,match(A750,fish_lab_data!C:C,0)))</f>
        <v>749</v>
      </c>
    </row>
    <row r="751">
      <c r="A751" t="str">
        <f>fish_lab_data!C751</f>
        <v>U16949</v>
      </c>
      <c r="B751" t="str">
        <f t="array" ref="B751">iferror(index('rna-muscle'!$I:$I,match($A751,'rna-muscle'!$A:$A,0)))</f>
        <v>BRN69M-F3</v>
      </c>
      <c r="C751" t="str">
        <f t="array" ref="C751">iferror(index('rna-muscle'!$L:$L,match($A751,'rna-muscle'!$A:$A,0)))</f>
        <v>N</v>
      </c>
      <c r="D751" t="str">
        <f t="array" ref="D751">iferror(index('rna-gill'!$I:$I,match($A751,'rna-gill'!$A:$A,0)))</f>
        <v>BRN69G-F3</v>
      </c>
      <c r="E751" t="str">
        <f t="array" ref="E751">iferror(index('rna-gill'!$L:$L,match($A751,'rna-gill'!$A:$A,0)))</f>
        <v>N</v>
      </c>
      <c r="F751" t="str">
        <f t="array" ref="F751">iferror(index(fatty_acid!$G:$G,match($A751,fatty_acid!$A:$A,0)))</f>
        <v>BFA28-78</v>
      </c>
      <c r="G751" t="str">
        <f t="array" ref="G751">iferror(index(fatty_acid!$J:$J,match($A751,fatty_acid!$A:$A,0)))</f>
        <v>N</v>
      </c>
      <c r="H751" t="str">
        <f t="array" ref="H751">iferror(index(isotopes!$G:$G,match($A751,isotopes!$A:$A,0)))</f>
        <v>BIS31-78</v>
      </c>
      <c r="I751" t="str">
        <f t="array" ref="I751">iferror(index(isotopes!$J:$J,match($A751,isotopes!$A:$A,0)))</f>
        <v>N</v>
      </c>
      <c r="J751" t="str">
        <f t="array" ref="J751">iferror(index(extra_muscle!$G:$G,match($A751,extra_muscle!$A:$A,0)))</f>
        <v>BXM29-78</v>
      </c>
      <c r="K751" t="str">
        <f t="array" ref="K751">iferror(index(extra_muscle!$J:$J,match($A751,extra_muscle!$A:$A,0)))</f>
        <v>N</v>
      </c>
      <c r="L751" s="59" t="str">
        <f t="array" ref="L751">iferror(index(dna!$G:$G,match($A751,dna!$A:$A,0)))</f>
        <v/>
      </c>
      <c r="M751" s="60" t="str">
        <f t="array" ref="M751">iferror(index(dna!$J:$J,match($A751,dna!$A:$A,0)))</f>
        <v/>
      </c>
      <c r="N751" t="str">
        <f t="array" ref="N751">iferror(index(stomachs!$G:$G,match($A751,stomachs!$A:$A,0)))</f>
        <v/>
      </c>
      <c r="O751" t="str">
        <f t="array" ref="O751">iferror(index(stomachs!$J:$J,match($A751,stomachs!$A:$A,0)))</f>
        <v/>
      </c>
      <c r="P751" t="str">
        <f t="array" ref="P751">iferror(index(sea_lice!$G:$G,match($A751,sea_lice!$A:$A,0)))</f>
        <v/>
      </c>
      <c r="Q751" t="str">
        <f t="array" ref="Q751">iferror(index(sea_lice!$J:$J,match($A751,sea_lice!$A:$A,0)))</f>
        <v/>
      </c>
      <c r="R751" s="40" t="str">
        <f t="array" ref="R751">iferror(index(dissected_fish!$F:$F,match($A751,dissected_fish!$A:$A,0)))</f>
        <v>BCA107</v>
      </c>
      <c r="S751" s="40" t="str">
        <f t="array" ref="S751">iferror(index(dissected_fish!$K:$K,match($A751,dissected_fish!$A:$A,0)))</f>
        <v>N</v>
      </c>
      <c r="T751" s="61" t="str">
        <f t="array" ref="T751">index(fish_lab_data!O:O,match(A751,fish_lab_data!C:C,0))</f>
        <v>KB</v>
      </c>
      <c r="U751" s="61">
        <f t="array" ref="U751">if(A751="","",index(fish_lab_data!X:X,match(A751,fish_lab_data!C:C,0)))</f>
        <v>750</v>
      </c>
    </row>
    <row r="752">
      <c r="A752" t="str">
        <f>fish_lab_data!C752</f>
        <v>U16943</v>
      </c>
      <c r="B752" t="str">
        <f t="array" ref="B752">iferror(index('rna-muscle'!$I:$I,match($A752,'rna-muscle'!$A:$A,0)))</f>
        <v>BRN69M-E3</v>
      </c>
      <c r="C752" t="str">
        <f t="array" ref="C752">iferror(index('rna-muscle'!$L:$L,match($A752,'rna-muscle'!$A:$A,0)))</f>
        <v>N</v>
      </c>
      <c r="D752" t="str">
        <f t="array" ref="D752">iferror(index('rna-gill'!$I:$I,match($A752,'rna-gill'!$A:$A,0)))</f>
        <v>BRN69G-E3</v>
      </c>
      <c r="E752" t="str">
        <f t="array" ref="E752">iferror(index('rna-gill'!$L:$L,match($A752,'rna-gill'!$A:$A,0)))</f>
        <v>N</v>
      </c>
      <c r="F752" t="str">
        <f t="array" ref="F752">iferror(index(fatty_acid!$G:$G,match($A752,fatty_acid!$A:$A,0)))</f>
        <v>BFA28-79</v>
      </c>
      <c r="G752" t="str">
        <f t="array" ref="G752">iferror(index(fatty_acid!$J:$J,match($A752,fatty_acid!$A:$A,0)))</f>
        <v>N</v>
      </c>
      <c r="H752" t="str">
        <f t="array" ref="H752">iferror(index(isotopes!$G:$G,match($A752,isotopes!$A:$A,0)))</f>
        <v>BIS31-79</v>
      </c>
      <c r="I752" t="str">
        <f t="array" ref="I752">iferror(index(isotopes!$J:$J,match($A752,isotopes!$A:$A,0)))</f>
        <v>N</v>
      </c>
      <c r="J752" t="str">
        <f t="array" ref="J752">iferror(index(extra_muscle!$G:$G,match($A752,extra_muscle!$A:$A,0)))</f>
        <v>BXM29-79</v>
      </c>
      <c r="K752" t="str">
        <f t="array" ref="K752">iferror(index(extra_muscle!$J:$J,match($A752,extra_muscle!$A:$A,0)))</f>
        <v>N</v>
      </c>
      <c r="L752" s="59" t="str">
        <f t="array" ref="L752">iferror(index(dna!$G:$G,match($A752,dna!$A:$A,0)))</f>
        <v/>
      </c>
      <c r="M752" s="60" t="str">
        <f t="array" ref="M752">iferror(index(dna!$J:$J,match($A752,dna!$A:$A,0)))</f>
        <v/>
      </c>
      <c r="N752" t="str">
        <f t="array" ref="N752">iferror(index(stomachs!$G:$G,match($A752,stomachs!$A:$A,0)))</f>
        <v/>
      </c>
      <c r="O752" t="str">
        <f t="array" ref="O752">iferror(index(stomachs!$J:$J,match($A752,stomachs!$A:$A,0)))</f>
        <v/>
      </c>
      <c r="P752" t="str">
        <f t="array" ref="P752">iferror(index(sea_lice!$G:$G,match($A752,sea_lice!$A:$A,0)))</f>
        <v/>
      </c>
      <c r="Q752" t="str">
        <f t="array" ref="Q752">iferror(index(sea_lice!$J:$J,match($A752,sea_lice!$A:$A,0)))</f>
        <v/>
      </c>
      <c r="R752" s="40" t="str">
        <f t="array" ref="R752">iferror(index(dissected_fish!$F:$F,match($A752,dissected_fish!$A:$A,0)))</f>
        <v>BCA107</v>
      </c>
      <c r="S752" s="40" t="str">
        <f t="array" ref="S752">iferror(index(dissected_fish!$K:$K,match($A752,dissected_fish!$A:$A,0)))</f>
        <v>N</v>
      </c>
      <c r="T752" s="61" t="str">
        <f t="array" ref="T752">index(fish_lab_data!O:O,match(A752,fish_lab_data!C:C,0))</f>
        <v>KB</v>
      </c>
      <c r="U752" s="61">
        <f t="array" ref="U752">if(A752="","",index(fish_lab_data!X:X,match(A752,fish_lab_data!C:C,0)))</f>
        <v>751</v>
      </c>
    </row>
    <row r="753">
      <c r="A753" t="str">
        <f>fish_lab_data!C753</f>
        <v>U16941</v>
      </c>
      <c r="B753" t="str">
        <f t="array" ref="B753">iferror(index('rna-muscle'!$I:$I,match($A753,'rna-muscle'!$A:$A,0)))</f>
        <v>BRN69M-D3</v>
      </c>
      <c r="C753" t="str">
        <f t="array" ref="C753">iferror(index('rna-muscle'!$L:$L,match($A753,'rna-muscle'!$A:$A,0)))</f>
        <v>N</v>
      </c>
      <c r="D753" t="str">
        <f t="array" ref="D753">iferror(index('rna-gill'!$I:$I,match($A753,'rna-gill'!$A:$A,0)))</f>
        <v>BRN69G-D3</v>
      </c>
      <c r="E753" t="str">
        <f t="array" ref="E753">iferror(index('rna-gill'!$L:$L,match($A753,'rna-gill'!$A:$A,0)))</f>
        <v>N</v>
      </c>
      <c r="F753" t="str">
        <f t="array" ref="F753">iferror(index(fatty_acid!$G:$G,match($A753,fatty_acid!$A:$A,0)))</f>
        <v>BFA28-80</v>
      </c>
      <c r="G753" t="str">
        <f t="array" ref="G753">iferror(index(fatty_acid!$J:$J,match($A753,fatty_acid!$A:$A,0)))</f>
        <v>N</v>
      </c>
      <c r="H753" t="str">
        <f t="array" ref="H753">iferror(index(isotopes!$G:$G,match($A753,isotopes!$A:$A,0)))</f>
        <v>BIS31-80</v>
      </c>
      <c r="I753" t="str">
        <f t="array" ref="I753">iferror(index(isotopes!$J:$J,match($A753,isotopes!$A:$A,0)))</f>
        <v>N</v>
      </c>
      <c r="J753" t="str">
        <f t="array" ref="J753">iferror(index(extra_muscle!$G:$G,match($A753,extra_muscle!$A:$A,0)))</f>
        <v>BXM29-80</v>
      </c>
      <c r="K753" t="str">
        <f t="array" ref="K753">iferror(index(extra_muscle!$J:$J,match($A753,extra_muscle!$A:$A,0)))</f>
        <v>N</v>
      </c>
      <c r="L753" s="59" t="str">
        <f t="array" ref="L753">iferror(index(dna!$G:$G,match($A753,dna!$A:$A,0)))</f>
        <v/>
      </c>
      <c r="M753" s="60" t="str">
        <f t="array" ref="M753">iferror(index(dna!$J:$J,match($A753,dna!$A:$A,0)))</f>
        <v/>
      </c>
      <c r="N753" t="str">
        <f t="array" ref="N753">iferror(index(stomachs!$G:$G,match($A753,stomachs!$A:$A,0)))</f>
        <v/>
      </c>
      <c r="O753" t="str">
        <f t="array" ref="O753">iferror(index(stomachs!$J:$J,match($A753,stomachs!$A:$A,0)))</f>
        <v/>
      </c>
      <c r="P753" t="str">
        <f t="array" ref="P753">iferror(index(sea_lice!$G:$G,match($A753,sea_lice!$A:$A,0)))</f>
        <v>BSL6-73</v>
      </c>
      <c r="Q753" t="str">
        <f t="array" ref="Q753">iferror(index(sea_lice!$J:$J,match($A753,sea_lice!$A:$A,0)))</f>
        <v>N</v>
      </c>
      <c r="R753" s="40" t="str">
        <f t="array" ref="R753">iferror(index(dissected_fish!$F:$F,match($A753,dissected_fish!$A:$A,0)))</f>
        <v>BCA107</v>
      </c>
      <c r="S753" s="40" t="str">
        <f t="array" ref="S753">iferror(index(dissected_fish!$K:$K,match($A753,dissected_fish!$A:$A,0)))</f>
        <v>N</v>
      </c>
      <c r="T753" s="61" t="str">
        <f t="array" ref="T753">index(fish_lab_data!O:O,match(A753,fish_lab_data!C:C,0))</f>
        <v>KB</v>
      </c>
      <c r="U753" s="61">
        <f t="array" ref="U753">if(A753="","",index(fish_lab_data!X:X,match(A753,fish_lab_data!C:C,0)))</f>
        <v>752</v>
      </c>
    </row>
    <row r="754">
      <c r="A754" t="str">
        <f>fish_lab_data!C754</f>
        <v>U17448</v>
      </c>
      <c r="B754" t="str">
        <f t="array" ref="B754">iferror(index('rna-muscle'!$I:$I,match($A754,'rna-muscle'!$A:$A,0)))</f>
        <v>BRN69M-G2</v>
      </c>
      <c r="C754" t="str">
        <f t="array" ref="C754">iferror(index('rna-muscle'!$L:$L,match($A754,'rna-muscle'!$A:$A,0)))</f>
        <v>N</v>
      </c>
      <c r="D754" t="str">
        <f t="array" ref="D754">iferror(index('rna-gill'!$I:$I,match($A754,'rna-gill'!$A:$A,0)))</f>
        <v>BRN69G-G2</v>
      </c>
      <c r="E754" t="str">
        <f t="array" ref="E754">iferror(index('rna-gill'!$L:$L,match($A754,'rna-gill'!$A:$A,0)))</f>
        <v>N</v>
      </c>
      <c r="F754" t="str">
        <f t="array" ref="F754">iferror(index(fatty_acid!$G:$G,match($A754,fatty_acid!$A:$A,0)))</f>
        <v>BFA29-61</v>
      </c>
      <c r="G754" t="str">
        <f t="array" ref="G754">iferror(index(fatty_acid!$J:$J,match($A754,fatty_acid!$A:$A,0)))</f>
        <v>N</v>
      </c>
      <c r="H754" t="str">
        <f t="array" ref="H754">iferror(index(isotopes!$G:$G,match($A754,isotopes!$A:$A,0)))</f>
        <v>BIS32-2</v>
      </c>
      <c r="I754" t="str">
        <f t="array" ref="I754">iferror(index(isotopes!$J:$J,match($A754,isotopes!$A:$A,0)))</f>
        <v>N</v>
      </c>
      <c r="J754" t="str">
        <f t="array" ref="J754">iferror(index(extra_muscle!$G:$G,match($A754,extra_muscle!$A:$A,0)))</f>
        <v>BXM30-47</v>
      </c>
      <c r="K754" t="str">
        <f t="array" ref="K754">iferror(index(extra_muscle!$J:$J,match($A754,extra_muscle!$A:$A,0)))</f>
        <v>N</v>
      </c>
      <c r="L754" s="59" t="str">
        <f t="array" ref="L754">iferror(index(dna!$G:$G,match($A754,dna!$A:$A,0)))</f>
        <v/>
      </c>
      <c r="M754" s="60" t="str">
        <f t="array" ref="M754">iferror(index(dna!$J:$J,match($A754,dna!$A:$A,0)))</f>
        <v/>
      </c>
      <c r="N754" t="str">
        <f t="array" ref="N754">iferror(index(stomachs!$G:$G,match($A754,stomachs!$A:$A,0)))</f>
        <v/>
      </c>
      <c r="O754" t="str">
        <f t="array" ref="O754">iferror(index(stomachs!$J:$J,match($A754,stomachs!$A:$A,0)))</f>
        <v/>
      </c>
      <c r="P754" t="str">
        <f t="array" ref="P754">iferror(index(sea_lice!$G:$G,match($A754,sea_lice!$A:$A,0)))</f>
        <v/>
      </c>
      <c r="Q754" t="str">
        <f t="array" ref="Q754">iferror(index(sea_lice!$J:$J,match($A754,sea_lice!$A:$A,0)))</f>
        <v/>
      </c>
      <c r="R754" s="40" t="str">
        <f t="array" ref="R754">iferror(index(dissected_fish!$F:$F,match($A754,dissected_fish!$A:$A,0)))</f>
        <v>BCA107</v>
      </c>
      <c r="S754" s="40" t="str">
        <f t="array" ref="S754">iferror(index(dissected_fish!$K:$K,match($A754,dissected_fish!$A:$A,0)))</f>
        <v>N</v>
      </c>
      <c r="T754" s="61" t="str">
        <f t="array" ref="T754">index(fish_lab_data!O:O,match(A754,fish_lab_data!C:C,0))</f>
        <v>EJ</v>
      </c>
      <c r="U754" s="61">
        <f t="array" ref="U754">if(A754="","",index(fish_lab_data!X:X,match(A754,fish_lab_data!C:C,0)))</f>
        <v>753</v>
      </c>
    </row>
    <row r="755">
      <c r="A755" t="str">
        <f>fish_lab_data!C755</f>
        <v>U17449</v>
      </c>
      <c r="B755" t="str">
        <f t="array" ref="B755">iferror(index('rna-muscle'!$I:$I,match($A755,'rna-muscle'!$A:$A,0)))</f>
        <v>BRN69M-F2</v>
      </c>
      <c r="C755" t="str">
        <f t="array" ref="C755">iferror(index('rna-muscle'!$L:$L,match($A755,'rna-muscle'!$A:$A,0)))</f>
        <v>N</v>
      </c>
      <c r="D755" t="str">
        <f t="array" ref="D755">iferror(index('rna-gill'!$I:$I,match($A755,'rna-gill'!$A:$A,0)))</f>
        <v>BRN69G-F2</v>
      </c>
      <c r="E755" t="str">
        <f t="array" ref="E755">iferror(index('rna-gill'!$L:$L,match($A755,'rna-gill'!$A:$A,0)))</f>
        <v>N</v>
      </c>
      <c r="F755" t="str">
        <f t="array" ref="F755">iferror(index(fatty_acid!$G:$G,match($A755,fatty_acid!$A:$A,0)))</f>
        <v>BFA29-62</v>
      </c>
      <c r="G755" t="str">
        <f t="array" ref="G755">iferror(index(fatty_acid!$J:$J,match($A755,fatty_acid!$A:$A,0)))</f>
        <v>N</v>
      </c>
      <c r="H755" t="str">
        <f t="array" ref="H755">iferror(index(isotopes!$G:$G,match($A755,isotopes!$A:$A,0)))</f>
        <v>BIS32-3</v>
      </c>
      <c r="I755" t="str">
        <f t="array" ref="I755">iferror(index(isotopes!$J:$J,match($A755,isotopes!$A:$A,0)))</f>
        <v>N</v>
      </c>
      <c r="J755" t="str">
        <f t="array" ref="J755">iferror(index(extra_muscle!$G:$G,match($A755,extra_muscle!$A:$A,0)))</f>
        <v>BXM30-48</v>
      </c>
      <c r="K755" t="str">
        <f t="array" ref="K755">iferror(index(extra_muscle!$J:$J,match($A755,extra_muscle!$A:$A,0)))</f>
        <v>N</v>
      </c>
      <c r="L755" s="59" t="str">
        <f t="array" ref="L755">iferror(index(dna!$G:$G,match($A755,dna!$A:$A,0)))</f>
        <v/>
      </c>
      <c r="M755" s="60" t="str">
        <f t="array" ref="M755">iferror(index(dna!$J:$J,match($A755,dna!$A:$A,0)))</f>
        <v/>
      </c>
      <c r="N755" t="str">
        <f t="array" ref="N755">iferror(index(stomachs!$G:$G,match($A755,stomachs!$A:$A,0)))</f>
        <v/>
      </c>
      <c r="O755" t="str">
        <f t="array" ref="O755">iferror(index(stomachs!$J:$J,match($A755,stomachs!$A:$A,0)))</f>
        <v/>
      </c>
      <c r="P755" t="str">
        <f t="array" ref="P755">iferror(index(sea_lice!$G:$G,match($A755,sea_lice!$A:$A,0)))</f>
        <v/>
      </c>
      <c r="Q755" t="str">
        <f t="array" ref="Q755">iferror(index(sea_lice!$J:$J,match($A755,sea_lice!$A:$A,0)))</f>
        <v/>
      </c>
      <c r="R755" s="40" t="str">
        <f t="array" ref="R755">iferror(index(dissected_fish!$F:$F,match($A755,dissected_fish!$A:$A,0)))</f>
        <v>BCA107</v>
      </c>
      <c r="S755" s="40" t="str">
        <f t="array" ref="S755">iferror(index(dissected_fish!$K:$K,match($A755,dissected_fish!$A:$A,0)))</f>
        <v>N</v>
      </c>
      <c r="T755" s="61" t="str">
        <f t="array" ref="T755">index(fish_lab_data!O:O,match(A755,fish_lab_data!C:C,0))</f>
        <v>EJ</v>
      </c>
      <c r="U755" s="61">
        <f t="array" ref="U755">if(A755="","",index(fish_lab_data!X:X,match(A755,fish_lab_data!C:C,0)))</f>
        <v>754</v>
      </c>
    </row>
    <row r="756">
      <c r="A756" t="str">
        <f>fish_lab_data!C756</f>
        <v>U17450</v>
      </c>
      <c r="B756" t="str">
        <f t="array" ref="B756">iferror(index('rna-muscle'!$I:$I,match($A756,'rna-muscle'!$A:$A,0)))</f>
        <v>BRN69M-E2</v>
      </c>
      <c r="C756" t="str">
        <f t="array" ref="C756">iferror(index('rna-muscle'!$L:$L,match($A756,'rna-muscle'!$A:$A,0)))</f>
        <v>N</v>
      </c>
      <c r="D756" t="str">
        <f t="array" ref="D756">iferror(index('rna-gill'!$I:$I,match($A756,'rna-gill'!$A:$A,0)))</f>
        <v>BRN69G-E2</v>
      </c>
      <c r="E756" t="str">
        <f t="array" ref="E756">iferror(index('rna-gill'!$L:$L,match($A756,'rna-gill'!$A:$A,0)))</f>
        <v>N</v>
      </c>
      <c r="F756" t="str">
        <f t="array" ref="F756">iferror(index(fatty_acid!$G:$G,match($A756,fatty_acid!$A:$A,0)))</f>
        <v>BFA29-63</v>
      </c>
      <c r="G756" t="str">
        <f t="array" ref="G756">iferror(index(fatty_acid!$J:$J,match($A756,fatty_acid!$A:$A,0)))</f>
        <v>N</v>
      </c>
      <c r="H756" t="str">
        <f t="array" ref="H756">iferror(index(isotopes!$G:$G,match($A756,isotopes!$A:$A,0)))</f>
        <v>BIS32-4</v>
      </c>
      <c r="I756" t="str">
        <f t="array" ref="I756">iferror(index(isotopes!$J:$J,match($A756,isotopes!$A:$A,0)))</f>
        <v>N</v>
      </c>
      <c r="J756" t="str">
        <f t="array" ref="J756">iferror(index(extra_muscle!$G:$G,match($A756,extra_muscle!$A:$A,0)))</f>
        <v>BXM30-49</v>
      </c>
      <c r="K756" t="str">
        <f t="array" ref="K756">iferror(index(extra_muscle!$J:$J,match($A756,extra_muscle!$A:$A,0)))</f>
        <v>N</v>
      </c>
      <c r="L756" s="59" t="str">
        <f t="array" ref="L756">iferror(index(dna!$G:$G,match($A756,dna!$A:$A,0)))</f>
        <v/>
      </c>
      <c r="M756" s="60" t="str">
        <f t="array" ref="M756">iferror(index(dna!$J:$J,match($A756,dna!$A:$A,0)))</f>
        <v/>
      </c>
      <c r="N756" t="str">
        <f t="array" ref="N756">iferror(index(stomachs!$G:$G,match($A756,stomachs!$A:$A,0)))</f>
        <v/>
      </c>
      <c r="O756" t="str">
        <f t="array" ref="O756">iferror(index(stomachs!$J:$J,match($A756,stomachs!$A:$A,0)))</f>
        <v/>
      </c>
      <c r="P756" t="str">
        <f t="array" ref="P756">iferror(index(sea_lice!$G:$G,match($A756,sea_lice!$A:$A,0)))</f>
        <v/>
      </c>
      <c r="Q756" t="str">
        <f t="array" ref="Q756">iferror(index(sea_lice!$J:$J,match($A756,sea_lice!$A:$A,0)))</f>
        <v/>
      </c>
      <c r="R756" s="40" t="str">
        <f t="array" ref="R756">iferror(index(dissected_fish!$F:$F,match($A756,dissected_fish!$A:$A,0)))</f>
        <v>BCA107</v>
      </c>
      <c r="S756" s="40" t="str">
        <f t="array" ref="S756">iferror(index(dissected_fish!$K:$K,match($A756,dissected_fish!$A:$A,0)))</f>
        <v>N</v>
      </c>
      <c r="T756" s="61" t="str">
        <f t="array" ref="T756">index(fish_lab_data!O:O,match(A756,fish_lab_data!C:C,0))</f>
        <v>EJ</v>
      </c>
      <c r="U756" s="61">
        <f t="array" ref="U756">if(A756="","",index(fish_lab_data!X:X,match(A756,fish_lab_data!C:C,0)))</f>
        <v>755</v>
      </c>
    </row>
    <row r="757">
      <c r="A757" t="str">
        <f>fish_lab_data!C757</f>
        <v>U16821</v>
      </c>
      <c r="B757" t="str">
        <f t="array" ref="B757">iferror(index('rna-muscle'!$I:$I,match($A757,'rna-muscle'!$A:$A,0)))</f>
        <v>BRN69M-D2</v>
      </c>
      <c r="C757" t="str">
        <f t="array" ref="C757">iferror(index('rna-muscle'!$L:$L,match($A757,'rna-muscle'!$A:$A,0)))</f>
        <v>N</v>
      </c>
      <c r="D757" t="str">
        <f t="array" ref="D757">iferror(index('rna-gill'!$I:$I,match($A757,'rna-gill'!$A:$A,0)))</f>
        <v>BRN69G-D2</v>
      </c>
      <c r="E757" t="str">
        <f t="array" ref="E757">iferror(index('rna-gill'!$L:$L,match($A757,'rna-gill'!$A:$A,0)))</f>
        <v>N</v>
      </c>
      <c r="F757" t="str">
        <f t="array" ref="F757">iferror(index(fatty_acid!$G:$G,match($A757,fatty_acid!$A:$A,0)))</f>
        <v>BFA29-64</v>
      </c>
      <c r="G757" t="str">
        <f t="array" ref="G757">iferror(index(fatty_acid!$J:$J,match($A757,fatty_acid!$A:$A,0)))</f>
        <v>N</v>
      </c>
      <c r="H757" t="str">
        <f t="array" ref="H757">iferror(index(isotopes!$G:$G,match($A757,isotopes!$A:$A,0)))</f>
        <v>BIS32-5</v>
      </c>
      <c r="I757" t="str">
        <f t="array" ref="I757">iferror(index(isotopes!$J:$J,match($A757,isotopes!$A:$A,0)))</f>
        <v>N</v>
      </c>
      <c r="J757" t="str">
        <f t="array" ref="J757">iferror(index(extra_muscle!$G:$G,match($A757,extra_muscle!$A:$A,0)))</f>
        <v>BXM30-50</v>
      </c>
      <c r="K757" t="str">
        <f t="array" ref="K757">iferror(index(extra_muscle!$J:$J,match($A757,extra_muscle!$A:$A,0)))</f>
        <v>N</v>
      </c>
      <c r="L757" s="59" t="str">
        <f t="array" ref="L757">iferror(index(dna!$G:$G,match($A757,dna!$A:$A,0)))</f>
        <v/>
      </c>
      <c r="M757" s="60" t="str">
        <f t="array" ref="M757">iferror(index(dna!$J:$J,match($A757,dna!$A:$A,0)))</f>
        <v/>
      </c>
      <c r="N757" t="str">
        <f t="array" ref="N757">iferror(index(stomachs!$G:$G,match($A757,stomachs!$A:$A,0)))</f>
        <v/>
      </c>
      <c r="O757" t="str">
        <f t="array" ref="O757">iferror(index(stomachs!$J:$J,match($A757,stomachs!$A:$A,0)))</f>
        <v/>
      </c>
      <c r="P757" t="str">
        <f t="array" ref="P757">iferror(index(sea_lice!$G:$G,match($A757,sea_lice!$A:$A,0)))</f>
        <v/>
      </c>
      <c r="Q757" t="str">
        <f t="array" ref="Q757">iferror(index(sea_lice!$J:$J,match($A757,sea_lice!$A:$A,0)))</f>
        <v/>
      </c>
      <c r="R757" s="40" t="str">
        <f t="array" ref="R757">iferror(index(dissected_fish!$F:$F,match($A757,dissected_fish!$A:$A,0)))</f>
        <v>BCA107</v>
      </c>
      <c r="S757" s="40" t="str">
        <f t="array" ref="S757">iferror(index(dissected_fish!$K:$K,match($A757,dissected_fish!$A:$A,0)))</f>
        <v>N</v>
      </c>
      <c r="T757" s="61" t="str">
        <f t="array" ref="T757">index(fish_lab_data!O:O,match(A757,fish_lab_data!C:C,0))</f>
        <v>EJ</v>
      </c>
      <c r="U757" s="61">
        <f t="array" ref="U757">if(A757="","",index(fish_lab_data!X:X,match(A757,fish_lab_data!C:C,0)))</f>
        <v>756</v>
      </c>
    </row>
    <row r="758">
      <c r="A758" t="str">
        <f>fish_lab_data!C758</f>
        <v>U16822</v>
      </c>
      <c r="B758" t="str">
        <f t="array" ref="B758">iferror(index('rna-muscle'!$I:$I,match($A758,'rna-muscle'!$A:$A,0)))</f>
        <v>BRN69M-C2</v>
      </c>
      <c r="C758" t="str">
        <f t="array" ref="C758">iferror(index('rna-muscle'!$L:$L,match($A758,'rna-muscle'!$A:$A,0)))</f>
        <v>N</v>
      </c>
      <c r="D758" t="str">
        <f t="array" ref="D758">iferror(index('rna-gill'!$I:$I,match($A758,'rna-gill'!$A:$A,0)))</f>
        <v>BRN69G-C2</v>
      </c>
      <c r="E758" t="str">
        <f t="array" ref="E758">iferror(index('rna-gill'!$L:$L,match($A758,'rna-gill'!$A:$A,0)))</f>
        <v>N</v>
      </c>
      <c r="F758" t="str">
        <f t="array" ref="F758">iferror(index(fatty_acid!$G:$G,match($A758,fatty_acid!$A:$A,0)))</f>
        <v>BFA29-65</v>
      </c>
      <c r="G758" t="str">
        <f t="array" ref="G758">iferror(index(fatty_acid!$J:$J,match($A758,fatty_acid!$A:$A,0)))</f>
        <v>N</v>
      </c>
      <c r="H758" t="str">
        <f t="array" ref="H758">iferror(index(isotopes!$G:$G,match($A758,isotopes!$A:$A,0)))</f>
        <v>BIS32-6</v>
      </c>
      <c r="I758" t="str">
        <f t="array" ref="I758">iferror(index(isotopes!$J:$J,match($A758,isotopes!$A:$A,0)))</f>
        <v>N</v>
      </c>
      <c r="J758" t="str">
        <f t="array" ref="J758">iferror(index(extra_muscle!$G:$G,match($A758,extra_muscle!$A:$A,0)))</f>
        <v>BXM30-51</v>
      </c>
      <c r="K758" t="str">
        <f t="array" ref="K758">iferror(index(extra_muscle!$J:$J,match($A758,extra_muscle!$A:$A,0)))</f>
        <v>N</v>
      </c>
      <c r="L758" s="59" t="str">
        <f t="array" ref="L758">iferror(index(dna!$G:$G,match($A758,dna!$A:$A,0)))</f>
        <v/>
      </c>
      <c r="M758" s="60" t="str">
        <f t="array" ref="M758">iferror(index(dna!$J:$J,match($A758,dna!$A:$A,0)))</f>
        <v/>
      </c>
      <c r="N758" t="str">
        <f t="array" ref="N758">iferror(index(stomachs!$G:$G,match($A758,stomachs!$A:$A,0)))</f>
        <v/>
      </c>
      <c r="O758" t="str">
        <f t="array" ref="O758">iferror(index(stomachs!$J:$J,match($A758,stomachs!$A:$A,0)))</f>
        <v/>
      </c>
      <c r="P758" t="str">
        <f t="array" ref="P758">iferror(index(sea_lice!$G:$G,match($A758,sea_lice!$A:$A,0)))</f>
        <v/>
      </c>
      <c r="Q758" t="str">
        <f t="array" ref="Q758">iferror(index(sea_lice!$J:$J,match($A758,sea_lice!$A:$A,0)))</f>
        <v/>
      </c>
      <c r="R758" s="40" t="str">
        <f t="array" ref="R758">iferror(index(dissected_fish!$F:$F,match($A758,dissected_fish!$A:$A,0)))</f>
        <v>BCA107</v>
      </c>
      <c r="S758" s="40" t="str">
        <f t="array" ref="S758">iferror(index(dissected_fish!$K:$K,match($A758,dissected_fish!$A:$A,0)))</f>
        <v>N</v>
      </c>
      <c r="T758" s="61" t="str">
        <f t="array" ref="T758">index(fish_lab_data!O:O,match(A758,fish_lab_data!C:C,0))</f>
        <v>EJ</v>
      </c>
      <c r="U758" s="61">
        <f t="array" ref="U758">if(A758="","",index(fish_lab_data!X:X,match(A758,fish_lab_data!C:C,0)))</f>
        <v>757</v>
      </c>
    </row>
    <row r="759">
      <c r="A759" t="str">
        <f>fish_lab_data!C759</f>
        <v>U16823</v>
      </c>
      <c r="B759" t="str">
        <f t="array" ref="B759">iferror(index('rna-muscle'!$I:$I,match($A759,'rna-muscle'!$A:$A,0)))</f>
        <v>BRN69M-B2</v>
      </c>
      <c r="C759" t="str">
        <f t="array" ref="C759">iferror(index('rna-muscle'!$L:$L,match($A759,'rna-muscle'!$A:$A,0)))</f>
        <v>N</v>
      </c>
      <c r="D759" t="str">
        <f t="array" ref="D759">iferror(index('rna-gill'!$I:$I,match($A759,'rna-gill'!$A:$A,0)))</f>
        <v>BRN69G-B2</v>
      </c>
      <c r="E759" t="str">
        <f t="array" ref="E759">iferror(index('rna-gill'!$L:$L,match($A759,'rna-gill'!$A:$A,0)))</f>
        <v>N</v>
      </c>
      <c r="F759" t="str">
        <f t="array" ref="F759">iferror(index(fatty_acid!$G:$G,match($A759,fatty_acid!$A:$A,0)))</f>
        <v>BFA29-66</v>
      </c>
      <c r="G759" t="str">
        <f t="array" ref="G759">iferror(index(fatty_acid!$J:$J,match($A759,fatty_acid!$A:$A,0)))</f>
        <v>N</v>
      </c>
      <c r="H759" t="str">
        <f t="array" ref="H759">iferror(index(isotopes!$G:$G,match($A759,isotopes!$A:$A,0)))</f>
        <v>BIS32-7</v>
      </c>
      <c r="I759" t="str">
        <f t="array" ref="I759">iferror(index(isotopes!$J:$J,match($A759,isotopes!$A:$A,0)))</f>
        <v>N</v>
      </c>
      <c r="J759" t="str">
        <f t="array" ref="J759">iferror(index(extra_muscle!$G:$G,match($A759,extra_muscle!$A:$A,0)))</f>
        <v>BXM30-52</v>
      </c>
      <c r="K759" t="str">
        <f t="array" ref="K759">iferror(index(extra_muscle!$J:$J,match($A759,extra_muscle!$A:$A,0)))</f>
        <v>N</v>
      </c>
      <c r="L759" s="59" t="str">
        <f t="array" ref="L759">iferror(index(dna!$G:$G,match($A759,dna!$A:$A,0)))</f>
        <v/>
      </c>
      <c r="M759" s="60" t="str">
        <f t="array" ref="M759">iferror(index(dna!$J:$J,match($A759,dna!$A:$A,0)))</f>
        <v/>
      </c>
      <c r="N759" t="str">
        <f t="array" ref="N759">iferror(index(stomachs!$G:$G,match($A759,stomachs!$A:$A,0)))</f>
        <v/>
      </c>
      <c r="O759" t="str">
        <f t="array" ref="O759">iferror(index(stomachs!$J:$J,match($A759,stomachs!$A:$A,0)))</f>
        <v/>
      </c>
      <c r="P759" t="str">
        <f t="array" ref="P759">iferror(index(sea_lice!$G:$G,match($A759,sea_lice!$A:$A,0)))</f>
        <v/>
      </c>
      <c r="Q759" t="str">
        <f t="array" ref="Q759">iferror(index(sea_lice!$J:$J,match($A759,sea_lice!$A:$A,0)))</f>
        <v/>
      </c>
      <c r="R759" s="40" t="str">
        <f t="array" ref="R759">iferror(index(dissected_fish!$F:$F,match($A759,dissected_fish!$A:$A,0)))</f>
        <v>BCA107</v>
      </c>
      <c r="S759" s="40" t="str">
        <f t="array" ref="S759">iferror(index(dissected_fish!$K:$K,match($A759,dissected_fish!$A:$A,0)))</f>
        <v>N</v>
      </c>
      <c r="T759" s="61" t="str">
        <f t="array" ref="T759">index(fish_lab_data!O:O,match(A759,fish_lab_data!C:C,0))</f>
        <v>EJ</v>
      </c>
      <c r="U759" s="61">
        <f t="array" ref="U759">if(A759="","",index(fish_lab_data!X:X,match(A759,fish_lab_data!C:C,0)))</f>
        <v>758</v>
      </c>
    </row>
    <row r="760">
      <c r="A760" t="str">
        <f>fish_lab_data!C760</f>
        <v>U16824</v>
      </c>
      <c r="B760" t="str">
        <f t="array" ref="B760">iferror(index('rna-muscle'!$I:$I,match($A760,'rna-muscle'!$A:$A,0)))</f>
        <v>BRN69M-A2</v>
      </c>
      <c r="C760" t="str">
        <f t="array" ref="C760">iferror(index('rna-muscle'!$L:$L,match($A760,'rna-muscle'!$A:$A,0)))</f>
        <v>N</v>
      </c>
      <c r="D760" t="str">
        <f t="array" ref="D760">iferror(index('rna-gill'!$I:$I,match($A760,'rna-gill'!$A:$A,0)))</f>
        <v>BRN69G-A2</v>
      </c>
      <c r="E760" t="str">
        <f t="array" ref="E760">iferror(index('rna-gill'!$L:$L,match($A760,'rna-gill'!$A:$A,0)))</f>
        <v>N</v>
      </c>
      <c r="F760" t="str">
        <f t="array" ref="F760">iferror(index(fatty_acid!$G:$G,match($A760,fatty_acid!$A:$A,0)))</f>
        <v>BFA29-67</v>
      </c>
      <c r="G760" t="str">
        <f t="array" ref="G760">iferror(index(fatty_acid!$J:$J,match($A760,fatty_acid!$A:$A,0)))</f>
        <v>N</v>
      </c>
      <c r="H760" t="str">
        <f t="array" ref="H760">iferror(index(isotopes!$G:$G,match($A760,isotopes!$A:$A,0)))</f>
        <v>BIS32-8</v>
      </c>
      <c r="I760" t="str">
        <f t="array" ref="I760">iferror(index(isotopes!$J:$J,match($A760,isotopes!$A:$A,0)))</f>
        <v>N</v>
      </c>
      <c r="J760" t="str">
        <f t="array" ref="J760">iferror(index(extra_muscle!$G:$G,match($A760,extra_muscle!$A:$A,0)))</f>
        <v>BXM30-53</v>
      </c>
      <c r="K760" t="str">
        <f t="array" ref="K760">iferror(index(extra_muscle!$J:$J,match($A760,extra_muscle!$A:$A,0)))</f>
        <v>N</v>
      </c>
      <c r="L760" s="59" t="str">
        <f t="array" ref="L760">iferror(index(dna!$G:$G,match($A760,dna!$A:$A,0)))</f>
        <v/>
      </c>
      <c r="M760" s="60" t="str">
        <f t="array" ref="M760">iferror(index(dna!$J:$J,match($A760,dna!$A:$A,0)))</f>
        <v/>
      </c>
      <c r="N760" t="str">
        <f t="array" ref="N760">iferror(index(stomachs!$G:$G,match($A760,stomachs!$A:$A,0)))</f>
        <v/>
      </c>
      <c r="O760" t="str">
        <f t="array" ref="O760">iferror(index(stomachs!$J:$J,match($A760,stomachs!$A:$A,0)))</f>
        <v/>
      </c>
      <c r="P760" t="str">
        <f t="array" ref="P760">iferror(index(sea_lice!$G:$G,match($A760,sea_lice!$A:$A,0)))</f>
        <v>BSL6-77</v>
      </c>
      <c r="Q760" t="str">
        <f t="array" ref="Q760">iferror(index(sea_lice!$J:$J,match($A760,sea_lice!$A:$A,0)))</f>
        <v>N</v>
      </c>
      <c r="R760" s="40" t="str">
        <f t="array" ref="R760">iferror(index(dissected_fish!$F:$F,match($A760,dissected_fish!$A:$A,0)))</f>
        <v>BCA107</v>
      </c>
      <c r="S760" s="40" t="str">
        <f t="array" ref="S760">iferror(index(dissected_fish!$K:$K,match($A760,dissected_fish!$A:$A,0)))</f>
        <v>N</v>
      </c>
      <c r="T760" s="61" t="str">
        <f t="array" ref="T760">index(fish_lab_data!O:O,match(A760,fish_lab_data!C:C,0))</f>
        <v>EJ</v>
      </c>
      <c r="U760" s="61">
        <f t="array" ref="U760">if(A760="","",index(fish_lab_data!X:X,match(A760,fish_lab_data!C:C,0)))</f>
        <v>759</v>
      </c>
    </row>
    <row r="761">
      <c r="A761" t="str">
        <f>fish_lab_data!C761</f>
        <v>U16825</v>
      </c>
      <c r="B761" t="str">
        <f t="array" ref="B761">iferror(index('rna-muscle'!$I:$I,match($A761,'rna-muscle'!$A:$A,0)))</f>
        <v>BRN69M-H5</v>
      </c>
      <c r="C761" t="str">
        <f t="array" ref="C761">iferror(index('rna-muscle'!$L:$L,match($A761,'rna-muscle'!$A:$A,0)))</f>
        <v>N</v>
      </c>
      <c r="D761" t="str">
        <f t="array" ref="D761">iferror(index('rna-gill'!$I:$I,match($A761,'rna-gill'!$A:$A,0)))</f>
        <v>BRN69G-H5</v>
      </c>
      <c r="E761" t="str">
        <f t="array" ref="E761">iferror(index('rna-gill'!$L:$L,match($A761,'rna-gill'!$A:$A,0)))</f>
        <v>N</v>
      </c>
      <c r="F761" t="str">
        <f t="array" ref="F761">iferror(index(fatty_acid!$G:$G,match($A761,fatty_acid!$A:$A,0)))</f>
        <v>BFA29-68</v>
      </c>
      <c r="G761" t="str">
        <f t="array" ref="G761">iferror(index(fatty_acid!$J:$J,match($A761,fatty_acid!$A:$A,0)))</f>
        <v>N</v>
      </c>
      <c r="H761" t="str">
        <f t="array" ref="H761">iferror(index(isotopes!$G:$G,match($A761,isotopes!$A:$A,0)))</f>
        <v>BIS32-9</v>
      </c>
      <c r="I761" t="str">
        <f t="array" ref="I761">iferror(index(isotopes!$J:$J,match($A761,isotopes!$A:$A,0)))</f>
        <v>N</v>
      </c>
      <c r="J761" t="str">
        <f t="array" ref="J761">iferror(index(extra_muscle!$G:$G,match($A761,extra_muscle!$A:$A,0)))</f>
        <v>BXM30-54</v>
      </c>
      <c r="K761" t="str">
        <f t="array" ref="K761">iferror(index(extra_muscle!$J:$J,match($A761,extra_muscle!$A:$A,0)))</f>
        <v>N</v>
      </c>
      <c r="L761" s="59" t="str">
        <f t="array" ref="L761">iferror(index(dna!$G:$G,match($A761,dna!$A:$A,0)))</f>
        <v/>
      </c>
      <c r="M761" s="60" t="str">
        <f t="array" ref="M761">iferror(index(dna!$J:$J,match($A761,dna!$A:$A,0)))</f>
        <v/>
      </c>
      <c r="N761" t="str">
        <f t="array" ref="N761">iferror(index(stomachs!$G:$G,match($A761,stomachs!$A:$A,0)))</f>
        <v/>
      </c>
      <c r="O761" t="str">
        <f t="array" ref="O761">iferror(index(stomachs!$J:$J,match($A761,stomachs!$A:$A,0)))</f>
        <v/>
      </c>
      <c r="P761" t="str">
        <f t="array" ref="P761">iferror(index(sea_lice!$G:$G,match($A761,sea_lice!$A:$A,0)))</f>
        <v/>
      </c>
      <c r="Q761" t="str">
        <f t="array" ref="Q761">iferror(index(sea_lice!$J:$J,match($A761,sea_lice!$A:$A,0)))</f>
        <v/>
      </c>
      <c r="R761" s="40" t="str">
        <f t="array" ref="R761">iferror(index(dissected_fish!$F:$F,match($A761,dissected_fish!$A:$A,0)))</f>
        <v>BCA107</v>
      </c>
      <c r="S761" s="40" t="str">
        <f t="array" ref="S761">iferror(index(dissected_fish!$K:$K,match($A761,dissected_fish!$A:$A,0)))</f>
        <v>N</v>
      </c>
      <c r="T761" s="61" t="str">
        <f t="array" ref="T761">index(fish_lab_data!O:O,match(A761,fish_lab_data!C:C,0))</f>
        <v>EJ</v>
      </c>
      <c r="U761" s="61">
        <f t="array" ref="U761">if(A761="","",index(fish_lab_data!X:X,match(A761,fish_lab_data!C:C,0)))</f>
        <v>760</v>
      </c>
    </row>
    <row r="762">
      <c r="A762" t="str">
        <f>fish_lab_data!C762</f>
        <v>U16826</v>
      </c>
      <c r="B762" t="str">
        <f t="array" ref="B762">iferror(index('rna-muscle'!$I:$I,match($A762,'rna-muscle'!$A:$A,0)))</f>
        <v>BRN69M-G5</v>
      </c>
      <c r="C762" t="str">
        <f t="array" ref="C762">iferror(index('rna-muscle'!$L:$L,match($A762,'rna-muscle'!$A:$A,0)))</f>
        <v>N</v>
      </c>
      <c r="D762" t="str">
        <f t="array" ref="D762">iferror(index('rna-gill'!$I:$I,match($A762,'rna-gill'!$A:$A,0)))</f>
        <v>BRN69G-G5</v>
      </c>
      <c r="E762" t="str">
        <f t="array" ref="E762">iferror(index('rna-gill'!$L:$L,match($A762,'rna-gill'!$A:$A,0)))</f>
        <v>N</v>
      </c>
      <c r="F762" t="str">
        <f t="array" ref="F762">iferror(index(fatty_acid!$G:$G,match($A762,fatty_acid!$A:$A,0)))</f>
        <v>BFA29-69</v>
      </c>
      <c r="G762" t="str">
        <f t="array" ref="G762">iferror(index(fatty_acid!$J:$J,match($A762,fatty_acid!$A:$A,0)))</f>
        <v>N</v>
      </c>
      <c r="H762" t="str">
        <f t="array" ref="H762">iferror(index(isotopes!$G:$G,match($A762,isotopes!$A:$A,0)))</f>
        <v>BIS32-10</v>
      </c>
      <c r="I762" t="str">
        <f t="array" ref="I762">iferror(index(isotopes!$J:$J,match($A762,isotopes!$A:$A,0)))</f>
        <v>N</v>
      </c>
      <c r="J762" t="str">
        <f t="array" ref="J762">iferror(index(extra_muscle!$G:$G,match($A762,extra_muscle!$A:$A,0)))</f>
        <v>BXM30-55</v>
      </c>
      <c r="K762" t="str">
        <f t="array" ref="K762">iferror(index(extra_muscle!$J:$J,match($A762,extra_muscle!$A:$A,0)))</f>
        <v>N</v>
      </c>
      <c r="L762" s="59" t="str">
        <f t="array" ref="L762">iferror(index(dna!$G:$G,match($A762,dna!$A:$A,0)))</f>
        <v/>
      </c>
      <c r="M762" s="60" t="str">
        <f t="array" ref="M762">iferror(index(dna!$J:$J,match($A762,dna!$A:$A,0)))</f>
        <v/>
      </c>
      <c r="N762" t="str">
        <f t="array" ref="N762">iferror(index(stomachs!$G:$G,match($A762,stomachs!$A:$A,0)))</f>
        <v/>
      </c>
      <c r="O762" t="str">
        <f t="array" ref="O762">iferror(index(stomachs!$J:$J,match($A762,stomachs!$A:$A,0)))</f>
        <v/>
      </c>
      <c r="P762" t="str">
        <f t="array" ref="P762">iferror(index(sea_lice!$G:$G,match($A762,sea_lice!$A:$A,0)))</f>
        <v/>
      </c>
      <c r="Q762" t="str">
        <f t="array" ref="Q762">iferror(index(sea_lice!$J:$J,match($A762,sea_lice!$A:$A,0)))</f>
        <v/>
      </c>
      <c r="R762" s="40" t="str">
        <f t="array" ref="R762">iferror(index(dissected_fish!$F:$F,match($A762,dissected_fish!$A:$A,0)))</f>
        <v>BCA107</v>
      </c>
      <c r="S762" s="40" t="str">
        <f t="array" ref="S762">iferror(index(dissected_fish!$K:$K,match($A762,dissected_fish!$A:$A,0)))</f>
        <v>N</v>
      </c>
      <c r="T762" s="61" t="str">
        <f t="array" ref="T762">index(fish_lab_data!O:O,match(A762,fish_lab_data!C:C,0))</f>
        <v>EJ</v>
      </c>
      <c r="U762" s="61">
        <f t="array" ref="U762">if(A762="","",index(fish_lab_data!X:X,match(A762,fish_lab_data!C:C,0)))</f>
        <v>761</v>
      </c>
    </row>
    <row r="763">
      <c r="A763" t="str">
        <f>fish_lab_data!C763</f>
        <v>U16827</v>
      </c>
      <c r="B763" t="str">
        <f t="array" ref="B763">iferror(index('rna-muscle'!$I:$I,match($A763,'rna-muscle'!$A:$A,0)))</f>
        <v>BRN69M-F5</v>
      </c>
      <c r="C763" t="str">
        <f t="array" ref="C763">iferror(index('rna-muscle'!$L:$L,match($A763,'rna-muscle'!$A:$A,0)))</f>
        <v>N</v>
      </c>
      <c r="D763" t="str">
        <f t="array" ref="D763">iferror(index('rna-gill'!$I:$I,match($A763,'rna-gill'!$A:$A,0)))</f>
        <v>BRN69G-F5</v>
      </c>
      <c r="E763" t="str">
        <f t="array" ref="E763">iferror(index('rna-gill'!$L:$L,match($A763,'rna-gill'!$A:$A,0)))</f>
        <v>N</v>
      </c>
      <c r="F763" t="str">
        <f t="array" ref="F763">iferror(index(fatty_acid!$G:$G,match($A763,fatty_acid!$A:$A,0)))</f>
        <v>BFA29-70</v>
      </c>
      <c r="G763" t="str">
        <f t="array" ref="G763">iferror(index(fatty_acid!$J:$J,match($A763,fatty_acid!$A:$A,0)))</f>
        <v>N</v>
      </c>
      <c r="H763" t="str">
        <f t="array" ref="H763">iferror(index(isotopes!$G:$G,match($A763,isotopes!$A:$A,0)))</f>
        <v>BIS32-11</v>
      </c>
      <c r="I763" t="str">
        <f t="array" ref="I763">iferror(index(isotopes!$J:$J,match($A763,isotopes!$A:$A,0)))</f>
        <v>N</v>
      </c>
      <c r="J763" t="str">
        <f t="array" ref="J763">iferror(index(extra_muscle!$G:$G,match($A763,extra_muscle!$A:$A,0)))</f>
        <v>BXM30-56</v>
      </c>
      <c r="K763" t="str">
        <f t="array" ref="K763">iferror(index(extra_muscle!$J:$J,match($A763,extra_muscle!$A:$A,0)))</f>
        <v>N</v>
      </c>
      <c r="L763" s="59" t="str">
        <f t="array" ref="L763">iferror(index(dna!$G:$G,match($A763,dna!$A:$A,0)))</f>
        <v/>
      </c>
      <c r="M763" s="60" t="str">
        <f t="array" ref="M763">iferror(index(dna!$J:$J,match($A763,dna!$A:$A,0)))</f>
        <v/>
      </c>
      <c r="N763" t="str">
        <f t="array" ref="N763">iferror(index(stomachs!$G:$G,match($A763,stomachs!$A:$A,0)))</f>
        <v/>
      </c>
      <c r="O763" t="str">
        <f t="array" ref="O763">iferror(index(stomachs!$J:$J,match($A763,stomachs!$A:$A,0)))</f>
        <v/>
      </c>
      <c r="P763" t="str">
        <f t="array" ref="P763">iferror(index(sea_lice!$G:$G,match($A763,sea_lice!$A:$A,0)))</f>
        <v>BSL6-79</v>
      </c>
      <c r="Q763" t="str">
        <f t="array" ref="Q763">iferror(index(sea_lice!$J:$J,match($A763,sea_lice!$A:$A,0)))</f>
        <v>N</v>
      </c>
      <c r="R763" s="40" t="str">
        <f t="array" ref="R763">iferror(index(dissected_fish!$F:$F,match($A763,dissected_fish!$A:$A,0)))</f>
        <v>BCA107</v>
      </c>
      <c r="S763" s="40" t="str">
        <f t="array" ref="S763">iferror(index(dissected_fish!$K:$K,match($A763,dissected_fish!$A:$A,0)))</f>
        <v>N</v>
      </c>
      <c r="T763" s="61" t="str">
        <f t="array" ref="T763">index(fish_lab_data!O:O,match(A763,fish_lab_data!C:C,0))</f>
        <v>EJ</v>
      </c>
      <c r="U763" s="61">
        <f t="array" ref="U763">if(A763="","",index(fish_lab_data!X:X,match(A763,fish_lab_data!C:C,0)))</f>
        <v>762</v>
      </c>
    </row>
    <row r="764">
      <c r="A764" t="str">
        <f>fish_lab_data!C764</f>
        <v>U16828</v>
      </c>
      <c r="B764" t="str">
        <f t="array" ref="B764">iferror(index('rna-muscle'!$I:$I,match($A764,'rna-muscle'!$A:$A,0)))</f>
        <v>BRN69M-E5</v>
      </c>
      <c r="C764" t="str">
        <f t="array" ref="C764">iferror(index('rna-muscle'!$L:$L,match($A764,'rna-muscle'!$A:$A,0)))</f>
        <v>N</v>
      </c>
      <c r="D764" t="str">
        <f t="array" ref="D764">iferror(index('rna-gill'!$I:$I,match($A764,'rna-gill'!$A:$A,0)))</f>
        <v>BRN69G-E5</v>
      </c>
      <c r="E764" t="str">
        <f t="array" ref="E764">iferror(index('rna-gill'!$L:$L,match($A764,'rna-gill'!$A:$A,0)))</f>
        <v>N</v>
      </c>
      <c r="F764" t="str">
        <f t="array" ref="F764">iferror(index(fatty_acid!$G:$G,match($A764,fatty_acid!$A:$A,0)))</f>
        <v>BFA29-71</v>
      </c>
      <c r="G764" t="str">
        <f t="array" ref="G764">iferror(index(fatty_acid!$J:$J,match($A764,fatty_acid!$A:$A,0)))</f>
        <v>N</v>
      </c>
      <c r="H764" t="str">
        <f t="array" ref="H764">iferror(index(isotopes!$G:$G,match($A764,isotopes!$A:$A,0)))</f>
        <v>BIS32-12</v>
      </c>
      <c r="I764" t="str">
        <f t="array" ref="I764">iferror(index(isotopes!$J:$J,match($A764,isotopes!$A:$A,0)))</f>
        <v>N</v>
      </c>
      <c r="J764" t="str">
        <f t="array" ref="J764">iferror(index(extra_muscle!$G:$G,match($A764,extra_muscle!$A:$A,0)))</f>
        <v>BXM30-57</v>
      </c>
      <c r="K764" t="str">
        <f t="array" ref="K764">iferror(index(extra_muscle!$J:$J,match($A764,extra_muscle!$A:$A,0)))</f>
        <v>N</v>
      </c>
      <c r="L764" s="59" t="str">
        <f t="array" ref="L764">iferror(index(dna!$G:$G,match($A764,dna!$A:$A,0)))</f>
        <v/>
      </c>
      <c r="M764" s="60" t="str">
        <f t="array" ref="M764">iferror(index(dna!$J:$J,match($A764,dna!$A:$A,0)))</f>
        <v/>
      </c>
      <c r="N764" t="str">
        <f t="array" ref="N764">iferror(index(stomachs!$G:$G,match($A764,stomachs!$A:$A,0)))</f>
        <v/>
      </c>
      <c r="O764" t="str">
        <f t="array" ref="O764">iferror(index(stomachs!$J:$J,match($A764,stomachs!$A:$A,0)))</f>
        <v/>
      </c>
      <c r="P764" t="str">
        <f t="array" ref="P764">iferror(index(sea_lice!$G:$G,match($A764,sea_lice!$A:$A,0)))</f>
        <v/>
      </c>
      <c r="Q764" t="str">
        <f t="array" ref="Q764">iferror(index(sea_lice!$J:$J,match($A764,sea_lice!$A:$A,0)))</f>
        <v/>
      </c>
      <c r="R764" s="40" t="str">
        <f t="array" ref="R764">iferror(index(dissected_fish!$F:$F,match($A764,dissected_fish!$A:$A,0)))</f>
        <v>BCA107</v>
      </c>
      <c r="S764" s="40" t="str">
        <f t="array" ref="S764">iferror(index(dissected_fish!$K:$K,match($A764,dissected_fish!$A:$A,0)))</f>
        <v>N</v>
      </c>
      <c r="T764" s="61" t="str">
        <f t="array" ref="T764">index(fish_lab_data!O:O,match(A764,fish_lab_data!C:C,0))</f>
        <v>EJ</v>
      </c>
      <c r="U764" s="61">
        <f t="array" ref="U764">if(A764="","",index(fish_lab_data!X:X,match(A764,fish_lab_data!C:C,0)))</f>
        <v>763</v>
      </c>
    </row>
    <row r="765">
      <c r="A765" t="str">
        <f>fish_lab_data!C765</f>
        <v>U16829</v>
      </c>
      <c r="B765" t="str">
        <f t="array" ref="B765">iferror(index('rna-muscle'!$I:$I,match($A765,'rna-muscle'!$A:$A,0)))</f>
        <v>BRN69M-D5</v>
      </c>
      <c r="C765" t="str">
        <f t="array" ref="C765">iferror(index('rna-muscle'!$L:$L,match($A765,'rna-muscle'!$A:$A,0)))</f>
        <v>N</v>
      </c>
      <c r="D765" t="str">
        <f t="array" ref="D765">iferror(index('rna-gill'!$I:$I,match($A765,'rna-gill'!$A:$A,0)))</f>
        <v>BRN69G-D5</v>
      </c>
      <c r="E765" t="str">
        <f t="array" ref="E765">iferror(index('rna-gill'!$L:$L,match($A765,'rna-gill'!$A:$A,0)))</f>
        <v>N</v>
      </c>
      <c r="F765" t="str">
        <f t="array" ref="F765">iferror(index(fatty_acid!$G:$G,match($A765,fatty_acid!$A:$A,0)))</f>
        <v>BFA29-72</v>
      </c>
      <c r="G765" t="str">
        <f t="array" ref="G765">iferror(index(fatty_acid!$J:$J,match($A765,fatty_acid!$A:$A,0)))</f>
        <v>N</v>
      </c>
      <c r="H765" t="str">
        <f t="array" ref="H765">iferror(index(isotopes!$G:$G,match($A765,isotopes!$A:$A,0)))</f>
        <v>BIS32-13</v>
      </c>
      <c r="I765" t="str">
        <f t="array" ref="I765">iferror(index(isotopes!$J:$J,match($A765,isotopes!$A:$A,0)))</f>
        <v>N</v>
      </c>
      <c r="J765" t="str">
        <f t="array" ref="J765">iferror(index(extra_muscle!$G:$G,match($A765,extra_muscle!$A:$A,0)))</f>
        <v>BXM30-58</v>
      </c>
      <c r="K765" t="str">
        <f t="array" ref="K765">iferror(index(extra_muscle!$J:$J,match($A765,extra_muscle!$A:$A,0)))</f>
        <v>N</v>
      </c>
      <c r="L765" s="59" t="str">
        <f t="array" ref="L765">iferror(index(dna!$G:$G,match($A765,dna!$A:$A,0)))</f>
        <v/>
      </c>
      <c r="M765" s="60" t="str">
        <f t="array" ref="M765">iferror(index(dna!$J:$J,match($A765,dna!$A:$A,0)))</f>
        <v/>
      </c>
      <c r="N765" t="str">
        <f t="array" ref="N765">iferror(index(stomachs!$G:$G,match($A765,stomachs!$A:$A,0)))</f>
        <v/>
      </c>
      <c r="O765" t="str">
        <f t="array" ref="O765">iferror(index(stomachs!$J:$J,match($A765,stomachs!$A:$A,0)))</f>
        <v/>
      </c>
      <c r="P765" t="str">
        <f t="array" ref="P765">iferror(index(sea_lice!$G:$G,match($A765,sea_lice!$A:$A,0)))</f>
        <v/>
      </c>
      <c r="Q765" t="str">
        <f t="array" ref="Q765">iferror(index(sea_lice!$J:$J,match($A765,sea_lice!$A:$A,0)))</f>
        <v/>
      </c>
      <c r="R765" s="40" t="str">
        <f t="array" ref="R765">iferror(index(dissected_fish!$F:$F,match($A765,dissected_fish!$A:$A,0)))</f>
        <v>BCA107</v>
      </c>
      <c r="S765" s="40" t="str">
        <f t="array" ref="S765">iferror(index(dissected_fish!$K:$K,match($A765,dissected_fish!$A:$A,0)))</f>
        <v>N</v>
      </c>
      <c r="T765" s="61" t="str">
        <f t="array" ref="T765">index(fish_lab_data!O:O,match(A765,fish_lab_data!C:C,0))</f>
        <v>EJ</v>
      </c>
      <c r="U765" s="61">
        <f t="array" ref="U765">if(A765="","",index(fish_lab_data!X:X,match(A765,fish_lab_data!C:C,0)))</f>
        <v>764</v>
      </c>
    </row>
    <row r="766">
      <c r="A766" t="str">
        <f>fish_lab_data!C766</f>
        <v>U16830</v>
      </c>
      <c r="B766" t="str">
        <f t="array" ref="B766">iferror(index('rna-muscle'!$I:$I,match($A766,'rna-muscle'!$A:$A,0)))</f>
        <v>BRN69M-C5</v>
      </c>
      <c r="C766" t="str">
        <f t="array" ref="C766">iferror(index('rna-muscle'!$L:$L,match($A766,'rna-muscle'!$A:$A,0)))</f>
        <v>N</v>
      </c>
      <c r="D766" t="str">
        <f t="array" ref="D766">iferror(index('rna-gill'!$I:$I,match($A766,'rna-gill'!$A:$A,0)))</f>
        <v>BRN69G-C5</v>
      </c>
      <c r="E766" t="str">
        <f t="array" ref="E766">iferror(index('rna-gill'!$L:$L,match($A766,'rna-gill'!$A:$A,0)))</f>
        <v>N</v>
      </c>
      <c r="F766" t="str">
        <f t="array" ref="F766">iferror(index(fatty_acid!$G:$G,match($A766,fatty_acid!$A:$A,0)))</f>
        <v>BFA29-73</v>
      </c>
      <c r="G766" t="str">
        <f t="array" ref="G766">iferror(index(fatty_acid!$J:$J,match($A766,fatty_acid!$A:$A,0)))</f>
        <v>N</v>
      </c>
      <c r="H766" t="str">
        <f t="array" ref="H766">iferror(index(isotopes!$G:$G,match($A766,isotopes!$A:$A,0)))</f>
        <v>BIS32-14</v>
      </c>
      <c r="I766" t="str">
        <f t="array" ref="I766">iferror(index(isotopes!$J:$J,match($A766,isotopes!$A:$A,0)))</f>
        <v>N</v>
      </c>
      <c r="J766" t="str">
        <f t="array" ref="J766">iferror(index(extra_muscle!$G:$G,match($A766,extra_muscle!$A:$A,0)))</f>
        <v>BXM30-59</v>
      </c>
      <c r="K766" t="str">
        <f t="array" ref="K766">iferror(index(extra_muscle!$J:$J,match($A766,extra_muscle!$A:$A,0)))</f>
        <v>N</v>
      </c>
      <c r="L766" s="59" t="str">
        <f t="array" ref="L766">iferror(index(dna!$G:$G,match($A766,dna!$A:$A,0)))</f>
        <v/>
      </c>
      <c r="M766" s="60" t="str">
        <f t="array" ref="M766">iferror(index(dna!$J:$J,match($A766,dna!$A:$A,0)))</f>
        <v/>
      </c>
      <c r="N766" t="str">
        <f t="array" ref="N766">iferror(index(stomachs!$G:$G,match($A766,stomachs!$A:$A,0)))</f>
        <v/>
      </c>
      <c r="O766" t="str">
        <f t="array" ref="O766">iferror(index(stomachs!$J:$J,match($A766,stomachs!$A:$A,0)))</f>
        <v/>
      </c>
      <c r="P766" t="str">
        <f t="array" ref="P766">iferror(index(sea_lice!$G:$G,match($A766,sea_lice!$A:$A,0)))</f>
        <v/>
      </c>
      <c r="Q766" t="str">
        <f t="array" ref="Q766">iferror(index(sea_lice!$J:$J,match($A766,sea_lice!$A:$A,0)))</f>
        <v/>
      </c>
      <c r="R766" s="40" t="str">
        <f t="array" ref="R766">iferror(index(dissected_fish!$F:$F,match($A766,dissected_fish!$A:$A,0)))</f>
        <v>BCA107</v>
      </c>
      <c r="S766" s="40" t="str">
        <f t="array" ref="S766">iferror(index(dissected_fish!$K:$K,match($A766,dissected_fish!$A:$A,0)))</f>
        <v>N</v>
      </c>
      <c r="T766" s="61" t="str">
        <f t="array" ref="T766">index(fish_lab_data!O:O,match(A766,fish_lab_data!C:C,0))</f>
        <v>EJ</v>
      </c>
      <c r="U766" s="61">
        <f t="array" ref="U766">if(A766="","",index(fish_lab_data!X:X,match(A766,fish_lab_data!C:C,0)))</f>
        <v>765</v>
      </c>
    </row>
    <row r="767">
      <c r="A767" t="str">
        <f>fish_lab_data!C767</f>
        <v>U17051</v>
      </c>
      <c r="B767" t="str">
        <f t="array" ref="B767">iferror(index('rna-muscle'!$I:$I,match($A767,'rna-muscle'!$A:$A,0)))</f>
        <v>BRN69M-B5</v>
      </c>
      <c r="C767" t="str">
        <f t="array" ref="C767">iferror(index('rna-muscle'!$L:$L,match($A767,'rna-muscle'!$A:$A,0)))</f>
        <v>N</v>
      </c>
      <c r="D767" t="str">
        <f t="array" ref="D767">iferror(index('rna-gill'!$I:$I,match($A767,'rna-gill'!$A:$A,0)))</f>
        <v>BRN69G-B5</v>
      </c>
      <c r="E767" t="str">
        <f t="array" ref="E767">iferror(index('rna-gill'!$L:$L,match($A767,'rna-gill'!$A:$A,0)))</f>
        <v>N</v>
      </c>
      <c r="F767" t="str">
        <f t="array" ref="F767">iferror(index(fatty_acid!$G:$G,match($A767,fatty_acid!$A:$A,0)))</f>
        <v>BFA29-74</v>
      </c>
      <c r="G767" t="str">
        <f t="array" ref="G767">iferror(index(fatty_acid!$J:$J,match($A767,fatty_acid!$A:$A,0)))</f>
        <v>N</v>
      </c>
      <c r="H767" t="str">
        <f t="array" ref="H767">iferror(index(isotopes!$G:$G,match($A767,isotopes!$A:$A,0)))</f>
        <v>BIS32-15</v>
      </c>
      <c r="I767" t="str">
        <f t="array" ref="I767">iferror(index(isotopes!$J:$J,match($A767,isotopes!$A:$A,0)))</f>
        <v>N</v>
      </c>
      <c r="J767" t="str">
        <f t="array" ref="J767">iferror(index(extra_muscle!$G:$G,match($A767,extra_muscle!$A:$A,0)))</f>
        <v>BXM30-60</v>
      </c>
      <c r="K767" t="str">
        <f t="array" ref="K767">iferror(index(extra_muscle!$J:$J,match($A767,extra_muscle!$A:$A,0)))</f>
        <v>N</v>
      </c>
      <c r="L767" s="59" t="str">
        <f t="array" ref="L767">iferror(index(dna!$G:$G,match($A767,dna!$A:$A,0)))</f>
        <v/>
      </c>
      <c r="M767" s="60" t="str">
        <f t="array" ref="M767">iferror(index(dna!$J:$J,match($A767,dna!$A:$A,0)))</f>
        <v/>
      </c>
      <c r="N767" t="str">
        <f t="array" ref="N767">iferror(index(stomachs!$G:$G,match($A767,stomachs!$A:$A,0)))</f>
        <v/>
      </c>
      <c r="O767" t="str">
        <f t="array" ref="O767">iferror(index(stomachs!$J:$J,match($A767,stomachs!$A:$A,0)))</f>
        <v/>
      </c>
      <c r="P767" t="str">
        <f t="array" ref="P767">iferror(index(sea_lice!$G:$G,match($A767,sea_lice!$A:$A,0)))</f>
        <v/>
      </c>
      <c r="Q767" t="str">
        <f t="array" ref="Q767">iferror(index(sea_lice!$J:$J,match($A767,sea_lice!$A:$A,0)))</f>
        <v/>
      </c>
      <c r="R767" s="40" t="str">
        <f t="array" ref="R767">iferror(index(dissected_fish!$F:$F,match($A767,dissected_fish!$A:$A,0)))</f>
        <v>BCA107</v>
      </c>
      <c r="S767" s="40" t="str">
        <f t="array" ref="S767">iferror(index(dissected_fish!$K:$K,match($A767,dissected_fish!$A:$A,0)))</f>
        <v>N</v>
      </c>
      <c r="T767" s="61" t="str">
        <f t="array" ref="T767">index(fish_lab_data!O:O,match(A767,fish_lab_data!C:C,0))</f>
        <v>EJ</v>
      </c>
      <c r="U767" s="61">
        <f t="array" ref="U767">if(A767="","",index(fish_lab_data!X:X,match(A767,fish_lab_data!C:C,0)))</f>
        <v>766</v>
      </c>
    </row>
    <row r="768">
      <c r="A768" t="str">
        <f>fish_lab_data!C768</f>
        <v>U17052</v>
      </c>
      <c r="B768" t="str">
        <f t="array" ref="B768">iferror(index('rna-muscle'!$I:$I,match($A768,'rna-muscle'!$A:$A,0)))</f>
        <v>BRN69M-A5</v>
      </c>
      <c r="C768" t="str">
        <f t="array" ref="C768">iferror(index('rna-muscle'!$L:$L,match($A768,'rna-muscle'!$A:$A,0)))</f>
        <v>N</v>
      </c>
      <c r="D768" t="str">
        <f t="array" ref="D768">iferror(index('rna-gill'!$I:$I,match($A768,'rna-gill'!$A:$A,0)))</f>
        <v>BRN69G-A5</v>
      </c>
      <c r="E768" t="str">
        <f t="array" ref="E768">iferror(index('rna-gill'!$L:$L,match($A768,'rna-gill'!$A:$A,0)))</f>
        <v>N</v>
      </c>
      <c r="F768" t="str">
        <f t="array" ref="F768">iferror(index(fatty_acid!$G:$G,match($A768,fatty_acid!$A:$A,0)))</f>
        <v>BFA29-75</v>
      </c>
      <c r="G768" t="str">
        <f t="array" ref="G768">iferror(index(fatty_acid!$J:$J,match($A768,fatty_acid!$A:$A,0)))</f>
        <v>N</v>
      </c>
      <c r="H768" t="str">
        <f t="array" ref="H768">iferror(index(isotopes!$G:$G,match($A768,isotopes!$A:$A,0)))</f>
        <v>BIS32-16</v>
      </c>
      <c r="I768" t="str">
        <f t="array" ref="I768">iferror(index(isotopes!$J:$J,match($A768,isotopes!$A:$A,0)))</f>
        <v>N</v>
      </c>
      <c r="J768" t="str">
        <f t="array" ref="J768">iferror(index(extra_muscle!$G:$G,match($A768,extra_muscle!$A:$A,0)))</f>
        <v>BXM30-61</v>
      </c>
      <c r="K768" t="str">
        <f t="array" ref="K768">iferror(index(extra_muscle!$J:$J,match($A768,extra_muscle!$A:$A,0)))</f>
        <v>N</v>
      </c>
      <c r="L768" s="59" t="str">
        <f t="array" ref="L768">iferror(index(dna!$G:$G,match($A768,dna!$A:$A,0)))</f>
        <v/>
      </c>
      <c r="M768" s="60" t="str">
        <f t="array" ref="M768">iferror(index(dna!$J:$J,match($A768,dna!$A:$A,0)))</f>
        <v/>
      </c>
      <c r="N768" t="str">
        <f t="array" ref="N768">iferror(index(stomachs!$G:$G,match($A768,stomachs!$A:$A,0)))</f>
        <v/>
      </c>
      <c r="O768" t="str">
        <f t="array" ref="O768">iferror(index(stomachs!$J:$J,match($A768,stomachs!$A:$A,0)))</f>
        <v/>
      </c>
      <c r="P768" t="str">
        <f t="array" ref="P768">iferror(index(sea_lice!$G:$G,match($A768,sea_lice!$A:$A,0)))</f>
        <v/>
      </c>
      <c r="Q768" t="str">
        <f t="array" ref="Q768">iferror(index(sea_lice!$J:$J,match($A768,sea_lice!$A:$A,0)))</f>
        <v/>
      </c>
      <c r="R768" s="40" t="str">
        <f t="array" ref="R768">iferror(index(dissected_fish!$F:$F,match($A768,dissected_fish!$A:$A,0)))</f>
        <v>BCA107</v>
      </c>
      <c r="S768" s="40" t="str">
        <f t="array" ref="S768">iferror(index(dissected_fish!$K:$K,match($A768,dissected_fish!$A:$A,0)))</f>
        <v>N</v>
      </c>
      <c r="T768" s="61" t="str">
        <f t="array" ref="T768">index(fish_lab_data!O:O,match(A768,fish_lab_data!C:C,0))</f>
        <v>EJ</v>
      </c>
      <c r="U768" s="61">
        <f t="array" ref="U768">if(A768="","",index(fish_lab_data!X:X,match(A768,fish_lab_data!C:C,0)))</f>
        <v>767</v>
      </c>
    </row>
    <row r="769">
      <c r="A769" t="str">
        <f>fish_lab_data!C769</f>
        <v>U17053</v>
      </c>
      <c r="B769" t="str">
        <f t="array" ref="B769">iferror(index('rna-muscle'!$I:$I,match($A769,'rna-muscle'!$A:$A,0)))</f>
        <v>BRN69M-H7</v>
      </c>
      <c r="C769" t="str">
        <f t="array" ref="C769">iferror(index('rna-muscle'!$L:$L,match($A769,'rna-muscle'!$A:$A,0)))</f>
        <v>N</v>
      </c>
      <c r="D769" t="str">
        <f t="array" ref="D769">iferror(index('rna-gill'!$I:$I,match($A769,'rna-gill'!$A:$A,0)))</f>
        <v>BRN69G-H7</v>
      </c>
      <c r="E769" t="str">
        <f t="array" ref="E769">iferror(index('rna-gill'!$L:$L,match($A769,'rna-gill'!$A:$A,0)))</f>
        <v>N</v>
      </c>
      <c r="F769" t="str">
        <f t="array" ref="F769">iferror(index(fatty_acid!$G:$G,match($A769,fatty_acid!$A:$A,0)))</f>
        <v>BFA29-76</v>
      </c>
      <c r="G769" t="str">
        <f t="array" ref="G769">iferror(index(fatty_acid!$J:$J,match($A769,fatty_acid!$A:$A,0)))</f>
        <v>N</v>
      </c>
      <c r="H769" t="str">
        <f t="array" ref="H769">iferror(index(isotopes!$G:$G,match($A769,isotopes!$A:$A,0)))</f>
        <v>BIS32-17</v>
      </c>
      <c r="I769" t="str">
        <f t="array" ref="I769">iferror(index(isotopes!$J:$J,match($A769,isotopes!$A:$A,0)))</f>
        <v>N</v>
      </c>
      <c r="J769" t="str">
        <f t="array" ref="J769">iferror(index(extra_muscle!$G:$G,match($A769,extra_muscle!$A:$A,0)))</f>
        <v>BXM30-62</v>
      </c>
      <c r="K769" t="str">
        <f t="array" ref="K769">iferror(index(extra_muscle!$J:$J,match($A769,extra_muscle!$A:$A,0)))</f>
        <v>N</v>
      </c>
      <c r="L769" s="59" t="str">
        <f t="array" ref="L769">iferror(index(dna!$G:$G,match($A769,dna!$A:$A,0)))</f>
        <v/>
      </c>
      <c r="M769" s="60" t="str">
        <f t="array" ref="M769">iferror(index(dna!$J:$J,match($A769,dna!$A:$A,0)))</f>
        <v/>
      </c>
      <c r="N769" t="str">
        <f t="array" ref="N769">iferror(index(stomachs!$G:$G,match($A769,stomachs!$A:$A,0)))</f>
        <v/>
      </c>
      <c r="O769" t="str">
        <f t="array" ref="O769">iferror(index(stomachs!$J:$J,match($A769,stomachs!$A:$A,0)))</f>
        <v/>
      </c>
      <c r="P769" t="str">
        <f t="array" ref="P769">iferror(index(sea_lice!$G:$G,match($A769,sea_lice!$A:$A,0)))</f>
        <v/>
      </c>
      <c r="Q769" t="str">
        <f t="array" ref="Q769">iferror(index(sea_lice!$J:$J,match($A769,sea_lice!$A:$A,0)))</f>
        <v/>
      </c>
      <c r="R769" s="40" t="str">
        <f t="array" ref="R769">iferror(index(dissected_fish!$F:$F,match($A769,dissected_fish!$A:$A,0)))</f>
        <v>BCA107</v>
      </c>
      <c r="S769" s="40" t="str">
        <f t="array" ref="S769">iferror(index(dissected_fish!$K:$K,match($A769,dissected_fish!$A:$A,0)))</f>
        <v>N</v>
      </c>
      <c r="T769" s="61" t="str">
        <f t="array" ref="T769">index(fish_lab_data!O:O,match(A769,fish_lab_data!C:C,0))</f>
        <v>EJ</v>
      </c>
      <c r="U769" s="61">
        <f t="array" ref="U769">if(A769="","",index(fish_lab_data!X:X,match(A769,fish_lab_data!C:C,0)))</f>
        <v>768</v>
      </c>
    </row>
    <row r="770">
      <c r="A770" t="str">
        <f>fish_lab_data!C770</f>
        <v>U17054</v>
      </c>
      <c r="B770" t="str">
        <f t="array" ref="B770">iferror(index('rna-muscle'!$I:$I,match($A770,'rna-muscle'!$A:$A,0)))</f>
        <v>BRN69M-G7</v>
      </c>
      <c r="C770" t="str">
        <f t="array" ref="C770">iferror(index('rna-muscle'!$L:$L,match($A770,'rna-muscle'!$A:$A,0)))</f>
        <v>N</v>
      </c>
      <c r="D770" t="str">
        <f t="array" ref="D770">iferror(index('rna-gill'!$I:$I,match($A770,'rna-gill'!$A:$A,0)))</f>
        <v>BRN69G-G7</v>
      </c>
      <c r="E770" t="str">
        <f t="array" ref="E770">iferror(index('rna-gill'!$L:$L,match($A770,'rna-gill'!$A:$A,0)))</f>
        <v>N</v>
      </c>
      <c r="F770" t="str">
        <f t="array" ref="F770">iferror(index(fatty_acid!$G:$G,match($A770,fatty_acid!$A:$A,0)))</f>
        <v>BFA29-77</v>
      </c>
      <c r="G770" t="str">
        <f t="array" ref="G770">iferror(index(fatty_acid!$J:$J,match($A770,fatty_acid!$A:$A,0)))</f>
        <v>N</v>
      </c>
      <c r="H770" t="str">
        <f t="array" ref="H770">iferror(index(isotopes!$G:$G,match($A770,isotopes!$A:$A,0)))</f>
        <v>BIS32-18</v>
      </c>
      <c r="I770" t="str">
        <f t="array" ref="I770">iferror(index(isotopes!$J:$J,match($A770,isotopes!$A:$A,0)))</f>
        <v>N</v>
      </c>
      <c r="J770" t="str">
        <f t="array" ref="J770">iferror(index(extra_muscle!$G:$G,match($A770,extra_muscle!$A:$A,0)))</f>
        <v>BXM30-63</v>
      </c>
      <c r="K770" t="str">
        <f t="array" ref="K770">iferror(index(extra_muscle!$J:$J,match($A770,extra_muscle!$A:$A,0)))</f>
        <v>N</v>
      </c>
      <c r="L770" s="59" t="str">
        <f t="array" ref="L770">iferror(index(dna!$G:$G,match($A770,dna!$A:$A,0)))</f>
        <v/>
      </c>
      <c r="M770" s="60" t="str">
        <f t="array" ref="M770">iferror(index(dna!$J:$J,match($A770,dna!$A:$A,0)))</f>
        <v/>
      </c>
      <c r="N770" t="str">
        <f t="array" ref="N770">iferror(index(stomachs!$G:$G,match($A770,stomachs!$A:$A,0)))</f>
        <v/>
      </c>
      <c r="O770" t="str">
        <f t="array" ref="O770">iferror(index(stomachs!$J:$J,match($A770,stomachs!$A:$A,0)))</f>
        <v/>
      </c>
      <c r="P770" t="str">
        <f t="array" ref="P770">iferror(index(sea_lice!$G:$G,match($A770,sea_lice!$A:$A,0)))</f>
        <v/>
      </c>
      <c r="Q770" t="str">
        <f t="array" ref="Q770">iferror(index(sea_lice!$J:$J,match($A770,sea_lice!$A:$A,0)))</f>
        <v/>
      </c>
      <c r="R770" s="40" t="str">
        <f t="array" ref="R770">iferror(index(dissected_fish!$F:$F,match($A770,dissected_fish!$A:$A,0)))</f>
        <v>BCA107</v>
      </c>
      <c r="S770" s="40" t="str">
        <f t="array" ref="S770">iferror(index(dissected_fish!$K:$K,match($A770,dissected_fish!$A:$A,0)))</f>
        <v>N</v>
      </c>
      <c r="T770" s="61" t="str">
        <f t="array" ref="T770">index(fish_lab_data!O:O,match(A770,fish_lab_data!C:C,0))</f>
        <v>EJ</v>
      </c>
      <c r="U770" s="61">
        <f t="array" ref="U770">if(A770="","",index(fish_lab_data!X:X,match(A770,fish_lab_data!C:C,0)))</f>
        <v>769</v>
      </c>
    </row>
    <row r="771">
      <c r="A771" t="str">
        <f>fish_lab_data!C771</f>
        <v>U17055</v>
      </c>
      <c r="B771" t="str">
        <f t="array" ref="B771">iferror(index('rna-muscle'!$I:$I,match($A771,'rna-muscle'!$A:$A,0)))</f>
        <v>BRN69M-F7</v>
      </c>
      <c r="C771" t="str">
        <f t="array" ref="C771">iferror(index('rna-muscle'!$L:$L,match($A771,'rna-muscle'!$A:$A,0)))</f>
        <v>N</v>
      </c>
      <c r="D771" t="str">
        <f t="array" ref="D771">iferror(index('rna-gill'!$I:$I,match($A771,'rna-gill'!$A:$A,0)))</f>
        <v>BRN69G-F7</v>
      </c>
      <c r="E771" t="str">
        <f t="array" ref="E771">iferror(index('rna-gill'!$L:$L,match($A771,'rna-gill'!$A:$A,0)))</f>
        <v>N</v>
      </c>
      <c r="F771" t="str">
        <f t="array" ref="F771">iferror(index(fatty_acid!$G:$G,match($A771,fatty_acid!$A:$A,0)))</f>
        <v>BFA29-78</v>
      </c>
      <c r="G771" t="str">
        <f t="array" ref="G771">iferror(index(fatty_acid!$J:$J,match($A771,fatty_acid!$A:$A,0)))</f>
        <v>N</v>
      </c>
      <c r="H771" t="str">
        <f t="array" ref="H771">iferror(index(isotopes!$G:$G,match($A771,isotopes!$A:$A,0)))</f>
        <v>BIS32-19</v>
      </c>
      <c r="I771" t="str">
        <f t="array" ref="I771">iferror(index(isotopes!$J:$J,match($A771,isotopes!$A:$A,0)))</f>
        <v>N</v>
      </c>
      <c r="J771" t="str">
        <f t="array" ref="J771">iferror(index(extra_muscle!$G:$G,match($A771,extra_muscle!$A:$A,0)))</f>
        <v>BXM30-64</v>
      </c>
      <c r="K771" t="str">
        <f t="array" ref="K771">iferror(index(extra_muscle!$J:$J,match($A771,extra_muscle!$A:$A,0)))</f>
        <v>N</v>
      </c>
      <c r="L771" s="59" t="str">
        <f t="array" ref="L771">iferror(index(dna!$G:$G,match($A771,dna!$A:$A,0)))</f>
        <v/>
      </c>
      <c r="M771" s="60" t="str">
        <f t="array" ref="M771">iferror(index(dna!$J:$J,match($A771,dna!$A:$A,0)))</f>
        <v/>
      </c>
      <c r="N771" t="str">
        <f t="array" ref="N771">iferror(index(stomachs!$G:$G,match($A771,stomachs!$A:$A,0)))</f>
        <v/>
      </c>
      <c r="O771" t="str">
        <f t="array" ref="O771">iferror(index(stomachs!$J:$J,match($A771,stomachs!$A:$A,0)))</f>
        <v/>
      </c>
      <c r="P771" t="str">
        <f t="array" ref="P771">iferror(index(sea_lice!$G:$G,match($A771,sea_lice!$A:$A,0)))</f>
        <v/>
      </c>
      <c r="Q771" t="str">
        <f t="array" ref="Q771">iferror(index(sea_lice!$J:$J,match($A771,sea_lice!$A:$A,0)))</f>
        <v/>
      </c>
      <c r="R771" s="40" t="str">
        <f t="array" ref="R771">iferror(index(dissected_fish!$F:$F,match($A771,dissected_fish!$A:$A,0)))</f>
        <v>BCA107</v>
      </c>
      <c r="S771" s="40" t="str">
        <f t="array" ref="S771">iferror(index(dissected_fish!$K:$K,match($A771,dissected_fish!$A:$A,0)))</f>
        <v>N</v>
      </c>
      <c r="T771" s="61" t="str">
        <f t="array" ref="T771">index(fish_lab_data!O:O,match(A771,fish_lab_data!C:C,0))</f>
        <v>EJ</v>
      </c>
      <c r="U771" s="61">
        <f t="array" ref="U771">if(A771="","",index(fish_lab_data!X:X,match(A771,fish_lab_data!C:C,0)))</f>
        <v>770</v>
      </c>
    </row>
    <row r="772">
      <c r="A772" t="str">
        <f>fish_lab_data!C772</f>
        <v>U17056</v>
      </c>
      <c r="B772" t="str">
        <f t="array" ref="B772">iferror(index('rna-muscle'!$I:$I,match($A772,'rna-muscle'!$A:$A,0)))</f>
        <v>BRN69M-E7</v>
      </c>
      <c r="C772" t="str">
        <f t="array" ref="C772">iferror(index('rna-muscle'!$L:$L,match($A772,'rna-muscle'!$A:$A,0)))</f>
        <v>N</v>
      </c>
      <c r="D772" t="str">
        <f t="array" ref="D772">iferror(index('rna-gill'!$I:$I,match($A772,'rna-gill'!$A:$A,0)))</f>
        <v>BRN69G-E7</v>
      </c>
      <c r="E772" t="str">
        <f t="array" ref="E772">iferror(index('rna-gill'!$L:$L,match($A772,'rna-gill'!$A:$A,0)))</f>
        <v>N</v>
      </c>
      <c r="F772" t="str">
        <f t="array" ref="F772">iferror(index(fatty_acid!$G:$G,match($A772,fatty_acid!$A:$A,0)))</f>
        <v>BFA29-79</v>
      </c>
      <c r="G772" t="str">
        <f t="array" ref="G772">iferror(index(fatty_acid!$J:$J,match($A772,fatty_acid!$A:$A,0)))</f>
        <v>N</v>
      </c>
      <c r="H772" t="str">
        <f t="array" ref="H772">iferror(index(isotopes!$G:$G,match($A772,isotopes!$A:$A,0)))</f>
        <v>BIS32-20</v>
      </c>
      <c r="I772" t="str">
        <f t="array" ref="I772">iferror(index(isotopes!$J:$J,match($A772,isotopes!$A:$A,0)))</f>
        <v>N</v>
      </c>
      <c r="J772" t="str">
        <f t="array" ref="J772">iferror(index(extra_muscle!$G:$G,match($A772,extra_muscle!$A:$A,0)))</f>
        <v>BXM30-65</v>
      </c>
      <c r="K772" t="str">
        <f t="array" ref="K772">iferror(index(extra_muscle!$J:$J,match($A772,extra_muscle!$A:$A,0)))</f>
        <v>N</v>
      </c>
      <c r="L772" s="59" t="str">
        <f t="array" ref="L772">iferror(index(dna!$G:$G,match($A772,dna!$A:$A,0)))</f>
        <v/>
      </c>
      <c r="M772" s="60" t="str">
        <f t="array" ref="M772">iferror(index(dna!$J:$J,match($A772,dna!$A:$A,0)))</f>
        <v/>
      </c>
      <c r="N772" t="str">
        <f t="array" ref="N772">iferror(index(stomachs!$G:$G,match($A772,stomachs!$A:$A,0)))</f>
        <v/>
      </c>
      <c r="O772" t="str">
        <f t="array" ref="O772">iferror(index(stomachs!$J:$J,match($A772,stomachs!$A:$A,0)))</f>
        <v/>
      </c>
      <c r="P772" t="str">
        <f t="array" ref="P772">iferror(index(sea_lice!$G:$G,match($A772,sea_lice!$A:$A,0)))</f>
        <v/>
      </c>
      <c r="Q772" t="str">
        <f t="array" ref="Q772">iferror(index(sea_lice!$J:$J,match($A772,sea_lice!$A:$A,0)))</f>
        <v/>
      </c>
      <c r="R772" s="40" t="str">
        <f t="array" ref="R772">iferror(index(dissected_fish!$F:$F,match($A772,dissected_fish!$A:$A,0)))</f>
        <v>BCA107</v>
      </c>
      <c r="S772" s="40" t="str">
        <f t="array" ref="S772">iferror(index(dissected_fish!$K:$K,match($A772,dissected_fish!$A:$A,0)))</f>
        <v>N</v>
      </c>
      <c r="T772" s="61" t="str">
        <f t="array" ref="T772">index(fish_lab_data!O:O,match(A772,fish_lab_data!C:C,0))</f>
        <v>EJ</v>
      </c>
      <c r="U772" s="61">
        <f t="array" ref="U772">if(A772="","",index(fish_lab_data!X:X,match(A772,fish_lab_data!C:C,0)))</f>
        <v>771</v>
      </c>
    </row>
    <row r="773">
      <c r="A773" t="str">
        <f>fish_lab_data!C773</f>
        <v>U17057</v>
      </c>
      <c r="B773" t="str">
        <f t="array" ref="B773">iferror(index('rna-muscle'!$I:$I,match($A773,'rna-muscle'!$A:$A,0)))</f>
        <v>BRN69M-D7</v>
      </c>
      <c r="C773" t="str">
        <f t="array" ref="C773">iferror(index('rna-muscle'!$L:$L,match($A773,'rna-muscle'!$A:$A,0)))</f>
        <v>N</v>
      </c>
      <c r="D773" t="str">
        <f t="array" ref="D773">iferror(index('rna-gill'!$I:$I,match($A773,'rna-gill'!$A:$A,0)))</f>
        <v>BRN69G-D7</v>
      </c>
      <c r="E773" t="str">
        <f t="array" ref="E773">iferror(index('rna-gill'!$L:$L,match($A773,'rna-gill'!$A:$A,0)))</f>
        <v>N</v>
      </c>
      <c r="F773" t="str">
        <f t="array" ref="F773">iferror(index(fatty_acid!$G:$G,match($A773,fatty_acid!$A:$A,0)))</f>
        <v>BFA29-80</v>
      </c>
      <c r="G773" t="str">
        <f t="array" ref="G773">iferror(index(fatty_acid!$J:$J,match($A773,fatty_acid!$A:$A,0)))</f>
        <v>N</v>
      </c>
      <c r="H773" t="str">
        <f t="array" ref="H773">iferror(index(isotopes!$G:$G,match($A773,isotopes!$A:$A,0)))</f>
        <v>BIS32-21</v>
      </c>
      <c r="I773" t="str">
        <f t="array" ref="I773">iferror(index(isotopes!$J:$J,match($A773,isotopes!$A:$A,0)))</f>
        <v>N</v>
      </c>
      <c r="J773" t="str">
        <f t="array" ref="J773">iferror(index(extra_muscle!$G:$G,match($A773,extra_muscle!$A:$A,0)))</f>
        <v>BXM30-66</v>
      </c>
      <c r="K773" t="str">
        <f t="array" ref="K773">iferror(index(extra_muscle!$J:$J,match($A773,extra_muscle!$A:$A,0)))</f>
        <v>N</v>
      </c>
      <c r="L773" s="59" t="str">
        <f t="array" ref="L773">iferror(index(dna!$G:$G,match($A773,dna!$A:$A,0)))</f>
        <v/>
      </c>
      <c r="M773" s="60" t="str">
        <f t="array" ref="M773">iferror(index(dna!$J:$J,match($A773,dna!$A:$A,0)))</f>
        <v/>
      </c>
      <c r="N773" t="str">
        <f t="array" ref="N773">iferror(index(stomachs!$G:$G,match($A773,stomachs!$A:$A,0)))</f>
        <v/>
      </c>
      <c r="O773" t="str">
        <f t="array" ref="O773">iferror(index(stomachs!$J:$J,match($A773,stomachs!$A:$A,0)))</f>
        <v/>
      </c>
      <c r="P773" t="str">
        <f t="array" ref="P773">iferror(index(sea_lice!$G:$G,match($A773,sea_lice!$A:$A,0)))</f>
        <v/>
      </c>
      <c r="Q773" t="str">
        <f t="array" ref="Q773">iferror(index(sea_lice!$J:$J,match($A773,sea_lice!$A:$A,0)))</f>
        <v/>
      </c>
      <c r="R773" s="40" t="str">
        <f t="array" ref="R773">iferror(index(dissected_fish!$F:$F,match($A773,dissected_fish!$A:$A,0)))</f>
        <v>BCA107</v>
      </c>
      <c r="S773" s="40" t="str">
        <f t="array" ref="S773">iferror(index(dissected_fish!$K:$K,match($A773,dissected_fish!$A:$A,0)))</f>
        <v>N</v>
      </c>
      <c r="T773" s="61" t="str">
        <f t="array" ref="T773">index(fish_lab_data!O:O,match(A773,fish_lab_data!C:C,0))</f>
        <v>EJ</v>
      </c>
      <c r="U773" s="61">
        <f t="array" ref="U773">if(A773="","",index(fish_lab_data!X:X,match(A773,fish_lab_data!C:C,0)))</f>
        <v>772</v>
      </c>
    </row>
    <row r="774">
      <c r="A774" t="str">
        <f>fish_lab_data!C774</f>
        <v>U17736</v>
      </c>
      <c r="B774" t="str">
        <f t="array" ref="B774">iferror(index('rna-muscle'!$I:$I,match($A774,'rna-muscle'!$A:$A,0)))</f>
        <v>BRN69M-C3</v>
      </c>
      <c r="C774" t="str">
        <f t="array" ref="C774">iferror(index('rna-muscle'!$L:$L,match($A774,'rna-muscle'!$A:$A,0)))</f>
        <v>N</v>
      </c>
      <c r="D774" t="str">
        <f t="array" ref="D774">iferror(index('rna-gill'!$I:$I,match($A774,'rna-gill'!$A:$A,0)))</f>
        <v>BRN69G-C3</v>
      </c>
      <c r="E774" t="str">
        <f t="array" ref="E774">iferror(index('rna-gill'!$L:$L,match($A774,'rna-gill'!$A:$A,0)))</f>
        <v>N</v>
      </c>
      <c r="F774" t="str">
        <f t="array" ref="F774">iferror(index(fatty_acid!$G:$G,match($A774,fatty_acid!$A:$A,0)))</f>
        <v>BFA28-81</v>
      </c>
      <c r="G774" t="str">
        <f t="array" ref="G774">iferror(index(fatty_acid!$J:$J,match($A774,fatty_acid!$A:$A,0)))</f>
        <v>N</v>
      </c>
      <c r="H774" t="str">
        <f t="array" ref="H774">iferror(index(isotopes!$G:$G,match($A774,isotopes!$A:$A,0)))</f>
        <v>BIS31-81</v>
      </c>
      <c r="I774" t="str">
        <f t="array" ref="I774">iferror(index(isotopes!$J:$J,match($A774,isotopes!$A:$A,0)))</f>
        <v>N</v>
      </c>
      <c r="J774" t="str">
        <f t="array" ref="J774">iferror(index(extra_muscle!$G:$G,match($A774,extra_muscle!$A:$A,0)))</f>
        <v>BXM29-81</v>
      </c>
      <c r="K774" t="str">
        <f t="array" ref="K774">iferror(index(extra_muscle!$J:$J,match($A774,extra_muscle!$A:$A,0)))</f>
        <v>N</v>
      </c>
      <c r="L774" s="59" t="str">
        <f t="array" ref="L774">iferror(index(dna!$G:$G,match($A774,dna!$A:$A,0)))</f>
        <v/>
      </c>
      <c r="M774" s="60" t="str">
        <f t="array" ref="M774">iferror(index(dna!$J:$J,match($A774,dna!$A:$A,0)))</f>
        <v/>
      </c>
      <c r="N774" t="str">
        <f t="array" ref="N774">iferror(index(stomachs!$G:$G,match($A774,stomachs!$A:$A,0)))</f>
        <v/>
      </c>
      <c r="O774" t="str">
        <f t="array" ref="O774">iferror(index(stomachs!$J:$J,match($A774,stomachs!$A:$A,0)))</f>
        <v/>
      </c>
      <c r="P774" t="str">
        <f t="array" ref="P774">iferror(index(sea_lice!$G:$G,match($A774,sea_lice!$A:$A,0)))</f>
        <v/>
      </c>
      <c r="Q774" t="str">
        <f t="array" ref="Q774">iferror(index(sea_lice!$J:$J,match($A774,sea_lice!$A:$A,0)))</f>
        <v/>
      </c>
      <c r="R774" s="40" t="str">
        <f t="array" ref="R774">iferror(index(dissected_fish!$F:$F,match($A774,dissected_fish!$A:$A,0)))</f>
        <v>BCA107</v>
      </c>
      <c r="S774" s="40" t="str">
        <f t="array" ref="S774">iferror(index(dissected_fish!$K:$K,match($A774,dissected_fish!$A:$A,0)))</f>
        <v>N</v>
      </c>
      <c r="T774" s="61" t="str">
        <f t="array" ref="T774">index(fish_lab_data!O:O,match(A774,fish_lab_data!C:C,0))</f>
        <v>KB</v>
      </c>
      <c r="U774" s="61">
        <f t="array" ref="U774">if(A774="","",index(fish_lab_data!X:X,match(A774,fish_lab_data!C:C,0)))</f>
        <v>773</v>
      </c>
    </row>
    <row r="775">
      <c r="A775" t="str">
        <f>fish_lab_data!C775</f>
        <v>U17740</v>
      </c>
      <c r="B775" t="str">
        <f t="array" ref="B775">iferror(index('rna-muscle'!$I:$I,match($A775,'rna-muscle'!$A:$A,0)))</f>
        <v>BRN69M-B3</v>
      </c>
      <c r="C775" t="str">
        <f t="array" ref="C775">iferror(index('rna-muscle'!$L:$L,match($A775,'rna-muscle'!$A:$A,0)))</f>
        <v>N</v>
      </c>
      <c r="D775" t="str">
        <f t="array" ref="D775">iferror(index('rna-gill'!$I:$I,match($A775,'rna-gill'!$A:$A,0)))</f>
        <v>BRN69G-B3</v>
      </c>
      <c r="E775" t="str">
        <f t="array" ref="E775">iferror(index('rna-gill'!$L:$L,match($A775,'rna-gill'!$A:$A,0)))</f>
        <v>N</v>
      </c>
      <c r="F775" t="str">
        <f t="array" ref="F775">iferror(index(fatty_acid!$G:$G,match($A775,fatty_acid!$A:$A,0)))</f>
        <v>BFA30-1</v>
      </c>
      <c r="G775" t="str">
        <f t="array" ref="G775">iferror(index(fatty_acid!$J:$J,match($A775,fatty_acid!$A:$A,0)))</f>
        <v>N</v>
      </c>
      <c r="H775" t="str">
        <f t="array" ref="H775">iferror(index(isotopes!$G:$G,match($A775,isotopes!$A:$A,0)))</f>
        <v>BIS33-1</v>
      </c>
      <c r="I775" t="str">
        <f t="array" ref="I775">iferror(index(isotopes!$J:$J,match($A775,isotopes!$A:$A,0)))</f>
        <v>N</v>
      </c>
      <c r="J775" t="str">
        <f t="array" ref="J775">iferror(index(extra_muscle!$G:$G,match($A775,extra_muscle!$A:$A,0)))</f>
        <v>BXM31-1</v>
      </c>
      <c r="K775" t="str">
        <f t="array" ref="K775">iferror(index(extra_muscle!$J:$J,match($A775,extra_muscle!$A:$A,0)))</f>
        <v>N</v>
      </c>
      <c r="L775" s="59" t="str">
        <f t="array" ref="L775">iferror(index(dna!$G:$G,match($A775,dna!$A:$A,0)))</f>
        <v/>
      </c>
      <c r="M775" s="60" t="str">
        <f t="array" ref="M775">iferror(index(dna!$J:$J,match($A775,dna!$A:$A,0)))</f>
        <v/>
      </c>
      <c r="N775" t="str">
        <f t="array" ref="N775">iferror(index(stomachs!$G:$G,match($A775,stomachs!$A:$A,0)))</f>
        <v/>
      </c>
      <c r="O775" t="str">
        <f t="array" ref="O775">iferror(index(stomachs!$J:$J,match($A775,stomachs!$A:$A,0)))</f>
        <v/>
      </c>
      <c r="P775" t="str">
        <f t="array" ref="P775">iferror(index(sea_lice!$G:$G,match($A775,sea_lice!$A:$A,0)))</f>
        <v/>
      </c>
      <c r="Q775" t="str">
        <f t="array" ref="Q775">iferror(index(sea_lice!$J:$J,match($A775,sea_lice!$A:$A,0)))</f>
        <v/>
      </c>
      <c r="R775" s="40" t="str">
        <f t="array" ref="R775">iferror(index(dissected_fish!$F:$F,match($A775,dissected_fish!$A:$A,0)))</f>
        <v>BCA107</v>
      </c>
      <c r="S775" s="40" t="str">
        <f t="array" ref="S775">iferror(index(dissected_fish!$K:$K,match($A775,dissected_fish!$A:$A,0)))</f>
        <v>N</v>
      </c>
      <c r="T775" s="61" t="str">
        <f t="array" ref="T775">index(fish_lab_data!O:O,match(A775,fish_lab_data!C:C,0))</f>
        <v>KB</v>
      </c>
      <c r="U775" s="61">
        <f t="array" ref="U775">if(A775="","",index(fish_lab_data!X:X,match(A775,fish_lab_data!C:C,0)))</f>
        <v>774</v>
      </c>
    </row>
    <row r="776">
      <c r="A776" t="str">
        <f>fish_lab_data!C776</f>
        <v>U17734</v>
      </c>
      <c r="B776" t="str">
        <f t="array" ref="B776">iferror(index('rna-muscle'!$I:$I,match($A776,'rna-muscle'!$A:$A,0)))</f>
        <v>BRN69M-A3</v>
      </c>
      <c r="C776" t="str">
        <f t="array" ref="C776">iferror(index('rna-muscle'!$L:$L,match($A776,'rna-muscle'!$A:$A,0)))</f>
        <v>N</v>
      </c>
      <c r="D776" t="str">
        <f t="array" ref="D776">iferror(index('rna-gill'!$I:$I,match($A776,'rna-gill'!$A:$A,0)))</f>
        <v>BRN69G-A3</v>
      </c>
      <c r="E776" t="str">
        <f t="array" ref="E776">iferror(index('rna-gill'!$L:$L,match($A776,'rna-gill'!$A:$A,0)))</f>
        <v>N</v>
      </c>
      <c r="F776" t="str">
        <f t="array" ref="F776">iferror(index(fatty_acid!$G:$G,match($A776,fatty_acid!$A:$A,0)))</f>
        <v>BFA30-2</v>
      </c>
      <c r="G776" t="str">
        <f t="array" ref="G776">iferror(index(fatty_acid!$J:$J,match($A776,fatty_acid!$A:$A,0)))</f>
        <v>N</v>
      </c>
      <c r="H776" t="str">
        <f t="array" ref="H776">iferror(index(isotopes!$G:$G,match($A776,isotopes!$A:$A,0)))</f>
        <v>BIS33-2</v>
      </c>
      <c r="I776" t="str">
        <f t="array" ref="I776">iferror(index(isotopes!$J:$J,match($A776,isotopes!$A:$A,0)))</f>
        <v>N</v>
      </c>
      <c r="J776" t="str">
        <f t="array" ref="J776">iferror(index(extra_muscle!$G:$G,match($A776,extra_muscle!$A:$A,0)))</f>
        <v>BXM31-2</v>
      </c>
      <c r="K776" t="str">
        <f t="array" ref="K776">iferror(index(extra_muscle!$J:$J,match($A776,extra_muscle!$A:$A,0)))</f>
        <v>N</v>
      </c>
      <c r="L776" s="59" t="str">
        <f t="array" ref="L776">iferror(index(dna!$G:$G,match($A776,dna!$A:$A,0)))</f>
        <v/>
      </c>
      <c r="M776" s="60" t="str">
        <f t="array" ref="M776">iferror(index(dna!$J:$J,match($A776,dna!$A:$A,0)))</f>
        <v/>
      </c>
      <c r="N776" t="str">
        <f t="array" ref="N776">iferror(index(stomachs!$G:$G,match($A776,stomachs!$A:$A,0)))</f>
        <v/>
      </c>
      <c r="O776" t="str">
        <f t="array" ref="O776">iferror(index(stomachs!$J:$J,match($A776,stomachs!$A:$A,0)))</f>
        <v/>
      </c>
      <c r="P776" t="str">
        <f t="array" ref="P776">iferror(index(sea_lice!$G:$G,match($A776,sea_lice!$A:$A,0)))</f>
        <v/>
      </c>
      <c r="Q776" t="str">
        <f t="array" ref="Q776">iferror(index(sea_lice!$J:$J,match($A776,sea_lice!$A:$A,0)))</f>
        <v/>
      </c>
      <c r="R776" s="40" t="str">
        <f t="array" ref="R776">iferror(index(dissected_fish!$F:$F,match($A776,dissected_fish!$A:$A,0)))</f>
        <v>BCA107</v>
      </c>
      <c r="S776" s="40" t="str">
        <f t="array" ref="S776">iferror(index(dissected_fish!$K:$K,match($A776,dissected_fish!$A:$A,0)))</f>
        <v>N</v>
      </c>
      <c r="T776" s="61" t="str">
        <f t="array" ref="T776">index(fish_lab_data!O:O,match(A776,fish_lab_data!C:C,0))</f>
        <v>KB</v>
      </c>
      <c r="U776" s="61">
        <f t="array" ref="U776">if(A776="","",index(fish_lab_data!X:X,match(A776,fish_lab_data!C:C,0)))</f>
        <v>775</v>
      </c>
    </row>
    <row r="777">
      <c r="A777" t="str">
        <f>fish_lab_data!C777</f>
        <v>U17735</v>
      </c>
      <c r="B777" t="str">
        <f t="array" ref="B777">iferror(index('rna-muscle'!$I:$I,match($A777,'rna-muscle'!$A:$A,0)))</f>
        <v>BRN69M-H4</v>
      </c>
      <c r="C777" t="str">
        <f t="array" ref="C777">iferror(index('rna-muscle'!$L:$L,match($A777,'rna-muscle'!$A:$A,0)))</f>
        <v>N</v>
      </c>
      <c r="D777" t="str">
        <f t="array" ref="D777">iferror(index('rna-gill'!$I:$I,match($A777,'rna-gill'!$A:$A,0)))</f>
        <v>BRN69G-H4</v>
      </c>
      <c r="E777" t="str">
        <f t="array" ref="E777">iferror(index('rna-gill'!$L:$L,match($A777,'rna-gill'!$A:$A,0)))</f>
        <v>N</v>
      </c>
      <c r="F777" t="str">
        <f t="array" ref="F777">iferror(index(fatty_acid!$G:$G,match($A777,fatty_acid!$A:$A,0)))</f>
        <v>BFA30-3</v>
      </c>
      <c r="G777" t="str">
        <f t="array" ref="G777">iferror(index(fatty_acid!$J:$J,match($A777,fatty_acid!$A:$A,0)))</f>
        <v>N</v>
      </c>
      <c r="H777" t="str">
        <f t="array" ref="H777">iferror(index(isotopes!$G:$G,match($A777,isotopes!$A:$A,0)))</f>
        <v>BIS33-3</v>
      </c>
      <c r="I777" t="str">
        <f t="array" ref="I777">iferror(index(isotopes!$J:$J,match($A777,isotopes!$A:$A,0)))</f>
        <v>N</v>
      </c>
      <c r="J777" t="str">
        <f t="array" ref="J777">iferror(index(extra_muscle!$G:$G,match($A777,extra_muscle!$A:$A,0)))</f>
        <v>BXM31-3</v>
      </c>
      <c r="K777" t="str">
        <f t="array" ref="K777">iferror(index(extra_muscle!$J:$J,match($A777,extra_muscle!$A:$A,0)))</f>
        <v>N</v>
      </c>
      <c r="L777" s="59" t="str">
        <f t="array" ref="L777">iferror(index(dna!$G:$G,match($A777,dna!$A:$A,0)))</f>
        <v/>
      </c>
      <c r="M777" s="60" t="str">
        <f t="array" ref="M777">iferror(index(dna!$J:$J,match($A777,dna!$A:$A,0)))</f>
        <v/>
      </c>
      <c r="N777" t="str">
        <f t="array" ref="N777">iferror(index(stomachs!$G:$G,match($A777,stomachs!$A:$A,0)))</f>
        <v/>
      </c>
      <c r="O777" t="str">
        <f t="array" ref="O777">iferror(index(stomachs!$J:$J,match($A777,stomachs!$A:$A,0)))</f>
        <v/>
      </c>
      <c r="P777" t="str">
        <f t="array" ref="P777">iferror(index(sea_lice!$G:$G,match($A777,sea_lice!$A:$A,0)))</f>
        <v/>
      </c>
      <c r="Q777" t="str">
        <f t="array" ref="Q777">iferror(index(sea_lice!$J:$J,match($A777,sea_lice!$A:$A,0)))</f>
        <v/>
      </c>
      <c r="R777" s="40" t="str">
        <f t="array" ref="R777">iferror(index(dissected_fish!$F:$F,match($A777,dissected_fish!$A:$A,0)))</f>
        <v>BCA107</v>
      </c>
      <c r="S777" s="40" t="str">
        <f t="array" ref="S777">iferror(index(dissected_fish!$K:$K,match($A777,dissected_fish!$A:$A,0)))</f>
        <v>N</v>
      </c>
      <c r="T777" s="61" t="str">
        <f t="array" ref="T777">index(fish_lab_data!O:O,match(A777,fish_lab_data!C:C,0))</f>
        <v>KB</v>
      </c>
      <c r="U777" s="61">
        <f t="array" ref="U777">if(A777="","",index(fish_lab_data!X:X,match(A777,fish_lab_data!C:C,0)))</f>
        <v>776</v>
      </c>
    </row>
    <row r="778">
      <c r="A778" t="str">
        <f>fish_lab_data!C778</f>
        <v>U17737</v>
      </c>
      <c r="B778" t="str">
        <f t="array" ref="B778">iferror(index('rna-muscle'!$I:$I,match($A778,'rna-muscle'!$A:$A,0)))</f>
        <v>BRN69M-G4</v>
      </c>
      <c r="C778" t="str">
        <f t="array" ref="C778">iferror(index('rna-muscle'!$L:$L,match($A778,'rna-muscle'!$A:$A,0)))</f>
        <v>N</v>
      </c>
      <c r="D778" t="str">
        <f t="array" ref="D778">iferror(index('rna-gill'!$I:$I,match($A778,'rna-gill'!$A:$A,0)))</f>
        <v>BRN69G-G4</v>
      </c>
      <c r="E778" t="str">
        <f t="array" ref="E778">iferror(index('rna-gill'!$L:$L,match($A778,'rna-gill'!$A:$A,0)))</f>
        <v>N</v>
      </c>
      <c r="F778" t="str">
        <f t="array" ref="F778">iferror(index(fatty_acid!$G:$G,match($A778,fatty_acid!$A:$A,0)))</f>
        <v>BFA30-4</v>
      </c>
      <c r="G778" t="str">
        <f t="array" ref="G778">iferror(index(fatty_acid!$J:$J,match($A778,fatty_acid!$A:$A,0)))</f>
        <v>N</v>
      </c>
      <c r="H778" t="str">
        <f t="array" ref="H778">iferror(index(isotopes!$G:$G,match($A778,isotopes!$A:$A,0)))</f>
        <v>BIS33-4</v>
      </c>
      <c r="I778" t="str">
        <f t="array" ref="I778">iferror(index(isotopes!$J:$J,match($A778,isotopes!$A:$A,0)))</f>
        <v>N</v>
      </c>
      <c r="J778" t="str">
        <f t="array" ref="J778">iferror(index(extra_muscle!$G:$G,match($A778,extra_muscle!$A:$A,0)))</f>
        <v>BXM31-4</v>
      </c>
      <c r="K778" t="str">
        <f t="array" ref="K778">iferror(index(extra_muscle!$J:$J,match($A778,extra_muscle!$A:$A,0)))</f>
        <v>N</v>
      </c>
      <c r="L778" s="59" t="str">
        <f t="array" ref="L778">iferror(index(dna!$G:$G,match($A778,dna!$A:$A,0)))</f>
        <v/>
      </c>
      <c r="M778" s="60" t="str">
        <f t="array" ref="M778">iferror(index(dna!$J:$J,match($A778,dna!$A:$A,0)))</f>
        <v/>
      </c>
      <c r="N778" t="str">
        <f t="array" ref="N778">iferror(index(stomachs!$G:$G,match($A778,stomachs!$A:$A,0)))</f>
        <v/>
      </c>
      <c r="O778" t="str">
        <f t="array" ref="O778">iferror(index(stomachs!$J:$J,match($A778,stomachs!$A:$A,0)))</f>
        <v/>
      </c>
      <c r="P778" t="str">
        <f t="array" ref="P778">iferror(index(sea_lice!$G:$G,match($A778,sea_lice!$A:$A,0)))</f>
        <v>BSL6-74</v>
      </c>
      <c r="Q778" t="str">
        <f t="array" ref="Q778">iferror(index(sea_lice!$J:$J,match($A778,sea_lice!$A:$A,0)))</f>
        <v>N</v>
      </c>
      <c r="R778" s="40" t="str">
        <f t="array" ref="R778">iferror(index(dissected_fish!$F:$F,match($A778,dissected_fish!$A:$A,0)))</f>
        <v>BCA107</v>
      </c>
      <c r="S778" s="40" t="str">
        <f t="array" ref="S778">iferror(index(dissected_fish!$K:$K,match($A778,dissected_fish!$A:$A,0)))</f>
        <v>N</v>
      </c>
      <c r="T778" s="61" t="str">
        <f t="array" ref="T778">index(fish_lab_data!O:O,match(A778,fish_lab_data!C:C,0))</f>
        <v>KB</v>
      </c>
      <c r="U778" s="61">
        <f t="array" ref="U778">if(A778="","",index(fish_lab_data!X:X,match(A778,fish_lab_data!C:C,0)))</f>
        <v>777</v>
      </c>
    </row>
    <row r="779">
      <c r="A779" t="str">
        <f>fish_lab_data!C779</f>
        <v>U17733</v>
      </c>
      <c r="B779" t="str">
        <f t="array" ref="B779">iferror(index('rna-muscle'!$I:$I,match($A779,'rna-muscle'!$A:$A,0)))</f>
        <v>BRN69M-F4</v>
      </c>
      <c r="C779" t="str">
        <f t="array" ref="C779">iferror(index('rna-muscle'!$L:$L,match($A779,'rna-muscle'!$A:$A,0)))</f>
        <v>N</v>
      </c>
      <c r="D779" t="str">
        <f t="array" ref="D779">iferror(index('rna-gill'!$I:$I,match($A779,'rna-gill'!$A:$A,0)))</f>
        <v>BRN69G-F4</v>
      </c>
      <c r="E779" t="str">
        <f t="array" ref="E779">iferror(index('rna-gill'!$L:$L,match($A779,'rna-gill'!$A:$A,0)))</f>
        <v>N</v>
      </c>
      <c r="F779" t="str">
        <f t="array" ref="F779">iferror(index(fatty_acid!$G:$G,match($A779,fatty_acid!$A:$A,0)))</f>
        <v>BFA30-5</v>
      </c>
      <c r="G779" t="str">
        <f t="array" ref="G779">iferror(index(fatty_acid!$J:$J,match($A779,fatty_acid!$A:$A,0)))</f>
        <v>N</v>
      </c>
      <c r="H779" t="str">
        <f t="array" ref="H779">iferror(index(isotopes!$G:$G,match($A779,isotopes!$A:$A,0)))</f>
        <v>BIS33-5</v>
      </c>
      <c r="I779" t="str">
        <f t="array" ref="I779">iferror(index(isotopes!$J:$J,match($A779,isotopes!$A:$A,0)))</f>
        <v>N</v>
      </c>
      <c r="J779" t="str">
        <f t="array" ref="J779">iferror(index(extra_muscle!$G:$G,match($A779,extra_muscle!$A:$A,0)))</f>
        <v>BXM31-5</v>
      </c>
      <c r="K779" t="str">
        <f t="array" ref="K779">iferror(index(extra_muscle!$J:$J,match($A779,extra_muscle!$A:$A,0)))</f>
        <v>N</v>
      </c>
      <c r="L779" s="59" t="str">
        <f t="array" ref="L779">iferror(index(dna!$G:$G,match($A779,dna!$A:$A,0)))</f>
        <v/>
      </c>
      <c r="M779" s="60" t="str">
        <f t="array" ref="M779">iferror(index(dna!$J:$J,match($A779,dna!$A:$A,0)))</f>
        <v/>
      </c>
      <c r="N779" t="str">
        <f t="array" ref="N779">iferror(index(stomachs!$G:$G,match($A779,stomachs!$A:$A,0)))</f>
        <v/>
      </c>
      <c r="O779" t="str">
        <f t="array" ref="O779">iferror(index(stomachs!$J:$J,match($A779,stomachs!$A:$A,0)))</f>
        <v/>
      </c>
      <c r="P779" t="str">
        <f t="array" ref="P779">iferror(index(sea_lice!$G:$G,match($A779,sea_lice!$A:$A,0)))</f>
        <v>BSL6-75</v>
      </c>
      <c r="Q779" t="str">
        <f t="array" ref="Q779">iferror(index(sea_lice!$J:$J,match($A779,sea_lice!$A:$A,0)))</f>
        <v>N</v>
      </c>
      <c r="R779" s="40" t="str">
        <f t="array" ref="R779">iferror(index(dissected_fish!$F:$F,match($A779,dissected_fish!$A:$A,0)))</f>
        <v>BCA107</v>
      </c>
      <c r="S779" s="40" t="str">
        <f t="array" ref="S779">iferror(index(dissected_fish!$K:$K,match($A779,dissected_fish!$A:$A,0)))</f>
        <v>N</v>
      </c>
      <c r="T779" s="61" t="str">
        <f t="array" ref="T779">index(fish_lab_data!O:O,match(A779,fish_lab_data!C:C,0))</f>
        <v>KB</v>
      </c>
      <c r="U779" s="61">
        <f t="array" ref="U779">if(A779="","",index(fish_lab_data!X:X,match(A779,fish_lab_data!C:C,0)))</f>
        <v>778</v>
      </c>
    </row>
    <row r="780">
      <c r="A780" t="str">
        <f>fish_lab_data!C780</f>
        <v>U17731</v>
      </c>
      <c r="B780" t="str">
        <f t="array" ref="B780">iferror(index('rna-muscle'!$I:$I,match($A780,'rna-muscle'!$A:$A,0)))</f>
        <v>BRN69M-E4</v>
      </c>
      <c r="C780" t="str">
        <f t="array" ref="C780">iferror(index('rna-muscle'!$L:$L,match($A780,'rna-muscle'!$A:$A,0)))</f>
        <v>N</v>
      </c>
      <c r="D780" t="str">
        <f t="array" ref="D780">iferror(index('rna-gill'!$I:$I,match($A780,'rna-gill'!$A:$A,0)))</f>
        <v>BRN69G-E4</v>
      </c>
      <c r="E780" t="str">
        <f t="array" ref="E780">iferror(index('rna-gill'!$L:$L,match($A780,'rna-gill'!$A:$A,0)))</f>
        <v>N</v>
      </c>
      <c r="F780" t="str">
        <f t="array" ref="F780">iferror(index(fatty_acid!$G:$G,match($A780,fatty_acid!$A:$A,0)))</f>
        <v>BFA30-6</v>
      </c>
      <c r="G780" t="str">
        <f t="array" ref="G780">iferror(index(fatty_acid!$J:$J,match($A780,fatty_acid!$A:$A,0)))</f>
        <v>N</v>
      </c>
      <c r="H780" t="str">
        <f t="array" ref="H780">iferror(index(isotopes!$G:$G,match($A780,isotopes!$A:$A,0)))</f>
        <v>BIS33-6</v>
      </c>
      <c r="I780" t="str">
        <f t="array" ref="I780">iferror(index(isotopes!$J:$J,match($A780,isotopes!$A:$A,0)))</f>
        <v>N</v>
      </c>
      <c r="J780" t="str">
        <f t="array" ref="J780">iferror(index(extra_muscle!$G:$G,match($A780,extra_muscle!$A:$A,0)))</f>
        <v>BXM31-6</v>
      </c>
      <c r="K780" t="str">
        <f t="array" ref="K780">iferror(index(extra_muscle!$J:$J,match($A780,extra_muscle!$A:$A,0)))</f>
        <v>N</v>
      </c>
      <c r="L780" s="59" t="str">
        <f t="array" ref="L780">iferror(index(dna!$G:$G,match($A780,dna!$A:$A,0)))</f>
        <v/>
      </c>
      <c r="M780" s="60" t="str">
        <f t="array" ref="M780">iferror(index(dna!$J:$J,match($A780,dna!$A:$A,0)))</f>
        <v/>
      </c>
      <c r="N780" t="str">
        <f t="array" ref="N780">iferror(index(stomachs!$G:$G,match($A780,stomachs!$A:$A,0)))</f>
        <v/>
      </c>
      <c r="O780" t="str">
        <f t="array" ref="O780">iferror(index(stomachs!$J:$J,match($A780,stomachs!$A:$A,0)))</f>
        <v/>
      </c>
      <c r="P780" t="str">
        <f t="array" ref="P780">iferror(index(sea_lice!$G:$G,match($A780,sea_lice!$A:$A,0)))</f>
        <v>BSL6-76</v>
      </c>
      <c r="Q780" t="str">
        <f t="array" ref="Q780">iferror(index(sea_lice!$J:$J,match($A780,sea_lice!$A:$A,0)))</f>
        <v>N</v>
      </c>
      <c r="R780" s="40" t="str">
        <f t="array" ref="R780">iferror(index(dissected_fish!$F:$F,match($A780,dissected_fish!$A:$A,0)))</f>
        <v>BCA107</v>
      </c>
      <c r="S780" s="40" t="str">
        <f t="array" ref="S780">iferror(index(dissected_fish!$K:$K,match($A780,dissected_fish!$A:$A,0)))</f>
        <v>N</v>
      </c>
      <c r="T780" s="61" t="str">
        <f t="array" ref="T780">index(fish_lab_data!O:O,match(A780,fish_lab_data!C:C,0))</f>
        <v>KB</v>
      </c>
      <c r="U780" s="61">
        <f t="array" ref="U780">if(A780="","",index(fish_lab_data!X:X,match(A780,fish_lab_data!C:C,0)))</f>
        <v>779</v>
      </c>
    </row>
    <row r="781">
      <c r="A781" t="str">
        <f>fish_lab_data!C781</f>
        <v>U17739</v>
      </c>
      <c r="B781" t="str">
        <f t="array" ref="B781">iferror(index('rna-muscle'!$I:$I,match($A781,'rna-muscle'!$A:$A,0)))</f>
        <v>BRN69M-D4</v>
      </c>
      <c r="C781" t="str">
        <f t="array" ref="C781">iferror(index('rna-muscle'!$L:$L,match($A781,'rna-muscle'!$A:$A,0)))</f>
        <v>N</v>
      </c>
      <c r="D781" t="str">
        <f t="array" ref="D781">iferror(index('rna-gill'!$I:$I,match($A781,'rna-gill'!$A:$A,0)))</f>
        <v>BRN69G-D4</v>
      </c>
      <c r="E781" t="str">
        <f t="array" ref="E781">iferror(index('rna-gill'!$L:$L,match($A781,'rna-gill'!$A:$A,0)))</f>
        <v>N</v>
      </c>
      <c r="F781" t="str">
        <f t="array" ref="F781">iferror(index(fatty_acid!$G:$G,match($A781,fatty_acid!$A:$A,0)))</f>
        <v>BFA30-7</v>
      </c>
      <c r="G781" t="str">
        <f t="array" ref="G781">iferror(index(fatty_acid!$J:$J,match($A781,fatty_acid!$A:$A,0)))</f>
        <v>N</v>
      </c>
      <c r="H781" t="str">
        <f t="array" ref="H781">iferror(index(isotopes!$G:$G,match($A781,isotopes!$A:$A,0)))</f>
        <v>BIS33-7</v>
      </c>
      <c r="I781" t="str">
        <f t="array" ref="I781">iferror(index(isotopes!$J:$J,match($A781,isotopes!$A:$A,0)))</f>
        <v>N</v>
      </c>
      <c r="J781" t="str">
        <f t="array" ref="J781">iferror(index(extra_muscle!$G:$G,match($A781,extra_muscle!$A:$A,0)))</f>
        <v>BXM31-7</v>
      </c>
      <c r="K781" t="str">
        <f t="array" ref="K781">iferror(index(extra_muscle!$J:$J,match($A781,extra_muscle!$A:$A,0)))</f>
        <v>N</v>
      </c>
      <c r="L781" s="59" t="str">
        <f t="array" ref="L781">iferror(index(dna!$G:$G,match($A781,dna!$A:$A,0)))</f>
        <v/>
      </c>
      <c r="M781" s="60" t="str">
        <f t="array" ref="M781">iferror(index(dna!$J:$J,match($A781,dna!$A:$A,0)))</f>
        <v/>
      </c>
      <c r="N781" t="str">
        <f t="array" ref="N781">iferror(index(stomachs!$G:$G,match($A781,stomachs!$A:$A,0)))</f>
        <v/>
      </c>
      <c r="O781" t="str">
        <f t="array" ref="O781">iferror(index(stomachs!$J:$J,match($A781,stomachs!$A:$A,0)))</f>
        <v/>
      </c>
      <c r="P781" t="str">
        <f t="array" ref="P781">iferror(index(sea_lice!$G:$G,match($A781,sea_lice!$A:$A,0)))</f>
        <v/>
      </c>
      <c r="Q781" t="str">
        <f t="array" ref="Q781">iferror(index(sea_lice!$J:$J,match($A781,sea_lice!$A:$A,0)))</f>
        <v/>
      </c>
      <c r="R781" s="40" t="str">
        <f t="array" ref="R781">iferror(index(dissected_fish!$F:$F,match($A781,dissected_fish!$A:$A,0)))</f>
        <v>BCA107</v>
      </c>
      <c r="S781" s="40" t="str">
        <f t="array" ref="S781">iferror(index(dissected_fish!$K:$K,match($A781,dissected_fish!$A:$A,0)))</f>
        <v>N</v>
      </c>
      <c r="T781" s="61" t="str">
        <f t="array" ref="T781">index(fish_lab_data!O:O,match(A781,fish_lab_data!C:C,0))</f>
        <v>KB</v>
      </c>
      <c r="U781" s="61">
        <f t="array" ref="U781">if(A781="","",index(fish_lab_data!X:X,match(A781,fish_lab_data!C:C,0)))</f>
        <v>780</v>
      </c>
    </row>
    <row r="782">
      <c r="A782" t="str">
        <f>fish_lab_data!C782</f>
        <v>U17732</v>
      </c>
      <c r="B782" t="str">
        <f t="array" ref="B782">iferror(index('rna-muscle'!$I:$I,match($A782,'rna-muscle'!$A:$A,0)))</f>
        <v>BRN69M-C4</v>
      </c>
      <c r="C782" t="str">
        <f t="array" ref="C782">iferror(index('rna-muscle'!$L:$L,match($A782,'rna-muscle'!$A:$A,0)))</f>
        <v>N</v>
      </c>
      <c r="D782" t="str">
        <f t="array" ref="D782">iferror(index('rna-gill'!$I:$I,match($A782,'rna-gill'!$A:$A,0)))</f>
        <v>BRN69G-C4</v>
      </c>
      <c r="E782" t="str">
        <f t="array" ref="E782">iferror(index('rna-gill'!$L:$L,match($A782,'rna-gill'!$A:$A,0)))</f>
        <v>N</v>
      </c>
      <c r="F782" t="str">
        <f t="array" ref="F782">iferror(index(fatty_acid!$G:$G,match($A782,fatty_acid!$A:$A,0)))</f>
        <v>BFA30-8</v>
      </c>
      <c r="G782" t="str">
        <f t="array" ref="G782">iferror(index(fatty_acid!$J:$J,match($A782,fatty_acid!$A:$A,0)))</f>
        <v>N</v>
      </c>
      <c r="H782" t="str">
        <f t="array" ref="H782">iferror(index(isotopes!$G:$G,match($A782,isotopes!$A:$A,0)))</f>
        <v>BIS33-8</v>
      </c>
      <c r="I782" t="str">
        <f t="array" ref="I782">iferror(index(isotopes!$J:$J,match($A782,isotopes!$A:$A,0)))</f>
        <v>N</v>
      </c>
      <c r="J782" t="str">
        <f t="array" ref="J782">iferror(index(extra_muscle!$G:$G,match($A782,extra_muscle!$A:$A,0)))</f>
        <v>BXM31-8</v>
      </c>
      <c r="K782" t="str">
        <f t="array" ref="K782">iferror(index(extra_muscle!$J:$J,match($A782,extra_muscle!$A:$A,0)))</f>
        <v>N</v>
      </c>
      <c r="L782" s="59" t="str">
        <f t="array" ref="L782">iferror(index(dna!$G:$G,match($A782,dna!$A:$A,0)))</f>
        <v/>
      </c>
      <c r="M782" s="60" t="str">
        <f t="array" ref="M782">iferror(index(dna!$J:$J,match($A782,dna!$A:$A,0)))</f>
        <v/>
      </c>
      <c r="N782" t="str">
        <f t="array" ref="N782">iferror(index(stomachs!$G:$G,match($A782,stomachs!$A:$A,0)))</f>
        <v/>
      </c>
      <c r="O782" t="str">
        <f t="array" ref="O782">iferror(index(stomachs!$J:$J,match($A782,stomachs!$A:$A,0)))</f>
        <v/>
      </c>
      <c r="P782" t="str">
        <f t="array" ref="P782">iferror(index(sea_lice!$G:$G,match($A782,sea_lice!$A:$A,0)))</f>
        <v>BSL6-78</v>
      </c>
      <c r="Q782" t="str">
        <f t="array" ref="Q782">iferror(index(sea_lice!$J:$J,match($A782,sea_lice!$A:$A,0)))</f>
        <v>N</v>
      </c>
      <c r="R782" s="40" t="str">
        <f t="array" ref="R782">iferror(index(dissected_fish!$F:$F,match($A782,dissected_fish!$A:$A,0)))</f>
        <v>BCA107</v>
      </c>
      <c r="S782" s="40" t="str">
        <f t="array" ref="S782">iferror(index(dissected_fish!$K:$K,match($A782,dissected_fish!$A:$A,0)))</f>
        <v>N</v>
      </c>
      <c r="T782" s="61" t="str">
        <f t="array" ref="T782">index(fish_lab_data!O:O,match(A782,fish_lab_data!C:C,0))</f>
        <v>KB</v>
      </c>
      <c r="U782" s="61">
        <f t="array" ref="U782">if(A782="","",index(fish_lab_data!X:X,match(A782,fish_lab_data!C:C,0)))</f>
        <v>781</v>
      </c>
    </row>
    <row r="783">
      <c r="A783" t="str">
        <f>fish_lab_data!C783</f>
        <v>U17738</v>
      </c>
      <c r="B783" t="str">
        <f t="array" ref="B783">iferror(index('rna-muscle'!$I:$I,match($A783,'rna-muscle'!$A:$A,0)))</f>
        <v>BRN69M-B4</v>
      </c>
      <c r="C783" t="str">
        <f t="array" ref="C783">iferror(index('rna-muscle'!$L:$L,match($A783,'rna-muscle'!$A:$A,0)))</f>
        <v>N</v>
      </c>
      <c r="D783" t="str">
        <f t="array" ref="D783">iferror(index('rna-gill'!$I:$I,match($A783,'rna-gill'!$A:$A,0)))</f>
        <v>BRN69G-B4</v>
      </c>
      <c r="E783" t="str">
        <f t="array" ref="E783">iferror(index('rna-gill'!$L:$L,match($A783,'rna-gill'!$A:$A,0)))</f>
        <v>N</v>
      </c>
      <c r="F783" t="str">
        <f t="array" ref="F783">iferror(index(fatty_acid!$G:$G,match($A783,fatty_acid!$A:$A,0)))</f>
        <v>BFA30-9</v>
      </c>
      <c r="G783" t="str">
        <f t="array" ref="G783">iferror(index(fatty_acid!$J:$J,match($A783,fatty_acid!$A:$A,0)))</f>
        <v>N</v>
      </c>
      <c r="H783" t="str">
        <f t="array" ref="H783">iferror(index(isotopes!$G:$G,match($A783,isotopes!$A:$A,0)))</f>
        <v>BIS33-9</v>
      </c>
      <c r="I783" t="str">
        <f t="array" ref="I783">iferror(index(isotopes!$J:$J,match($A783,isotopes!$A:$A,0)))</f>
        <v>N</v>
      </c>
      <c r="J783" t="str">
        <f t="array" ref="J783">iferror(index(extra_muscle!$G:$G,match($A783,extra_muscle!$A:$A,0)))</f>
        <v>BXM31-9</v>
      </c>
      <c r="K783" t="str">
        <f t="array" ref="K783">iferror(index(extra_muscle!$J:$J,match($A783,extra_muscle!$A:$A,0)))</f>
        <v>N</v>
      </c>
      <c r="L783" s="59" t="str">
        <f t="array" ref="L783">iferror(index(dna!$G:$G,match($A783,dna!$A:$A,0)))</f>
        <v/>
      </c>
      <c r="M783" s="60" t="str">
        <f t="array" ref="M783">iferror(index(dna!$J:$J,match($A783,dna!$A:$A,0)))</f>
        <v/>
      </c>
      <c r="N783" t="str">
        <f t="array" ref="N783">iferror(index(stomachs!$G:$G,match($A783,stomachs!$A:$A,0)))</f>
        <v/>
      </c>
      <c r="O783" t="str">
        <f t="array" ref="O783">iferror(index(stomachs!$J:$J,match($A783,stomachs!$A:$A,0)))</f>
        <v/>
      </c>
      <c r="P783" t="str">
        <f t="array" ref="P783">iferror(index(sea_lice!$G:$G,match($A783,sea_lice!$A:$A,0)))</f>
        <v/>
      </c>
      <c r="Q783" t="str">
        <f t="array" ref="Q783">iferror(index(sea_lice!$J:$J,match($A783,sea_lice!$A:$A,0)))</f>
        <v/>
      </c>
      <c r="R783" s="40" t="str">
        <f t="array" ref="R783">iferror(index(dissected_fish!$F:$F,match($A783,dissected_fish!$A:$A,0)))</f>
        <v>BCA107</v>
      </c>
      <c r="S783" s="40" t="str">
        <f t="array" ref="S783">iferror(index(dissected_fish!$K:$K,match($A783,dissected_fish!$A:$A,0)))</f>
        <v>N</v>
      </c>
      <c r="T783" s="61" t="str">
        <f t="array" ref="T783">index(fish_lab_data!O:O,match(A783,fish_lab_data!C:C,0))</f>
        <v>KB</v>
      </c>
      <c r="U783" s="61">
        <f t="array" ref="U783">if(A783="","",index(fish_lab_data!X:X,match(A783,fish_lab_data!C:C,0)))</f>
        <v>782</v>
      </c>
    </row>
    <row r="784">
      <c r="A784" t="str">
        <f>fish_lab_data!C784</f>
        <v>U16647</v>
      </c>
      <c r="B784" t="str">
        <f t="array" ref="B784">iferror(index('rna-muscle'!$I:$I,match($A784,'rna-muscle'!$A:$A,0)))</f>
        <v>BRN69M-A4</v>
      </c>
      <c r="C784" t="str">
        <f t="array" ref="C784">iferror(index('rna-muscle'!$L:$L,match($A784,'rna-muscle'!$A:$A,0)))</f>
        <v>N</v>
      </c>
      <c r="D784" t="str">
        <f t="array" ref="D784">iferror(index('rna-gill'!$I:$I,match($A784,'rna-gill'!$A:$A,0)))</f>
        <v>BRN69G-A4</v>
      </c>
      <c r="E784" t="str">
        <f t="array" ref="E784">iferror(index('rna-gill'!$L:$L,match($A784,'rna-gill'!$A:$A,0)))</f>
        <v>N</v>
      </c>
      <c r="F784" t="str">
        <f t="array" ref="F784">iferror(index(fatty_acid!$G:$G,match($A784,fatty_acid!$A:$A,0)))</f>
        <v>BFA30-10</v>
      </c>
      <c r="G784" t="str">
        <f t="array" ref="G784">iferror(index(fatty_acid!$J:$J,match($A784,fatty_acid!$A:$A,0)))</f>
        <v>N</v>
      </c>
      <c r="H784" t="str">
        <f t="array" ref="H784">iferror(index(isotopes!$G:$G,match($A784,isotopes!$A:$A,0)))</f>
        <v>BIS33-10</v>
      </c>
      <c r="I784" t="str">
        <f t="array" ref="I784">iferror(index(isotopes!$J:$J,match($A784,isotopes!$A:$A,0)))</f>
        <v>N</v>
      </c>
      <c r="J784" t="str">
        <f t="array" ref="J784">iferror(index(extra_muscle!$G:$G,match($A784,extra_muscle!$A:$A,0)))</f>
        <v>BXM31-10</v>
      </c>
      <c r="K784" t="str">
        <f t="array" ref="K784">iferror(index(extra_muscle!$J:$J,match($A784,extra_muscle!$A:$A,0)))</f>
        <v>N</v>
      </c>
      <c r="L784" s="59" t="str">
        <f t="array" ref="L784">iferror(index(dna!$G:$G,match($A784,dna!$A:$A,0)))</f>
        <v/>
      </c>
      <c r="M784" s="60" t="str">
        <f t="array" ref="M784">iferror(index(dna!$J:$J,match($A784,dna!$A:$A,0)))</f>
        <v/>
      </c>
      <c r="N784" t="str">
        <f t="array" ref="N784">iferror(index(stomachs!$G:$G,match($A784,stomachs!$A:$A,0)))</f>
        <v/>
      </c>
      <c r="O784" t="str">
        <f t="array" ref="O784">iferror(index(stomachs!$J:$J,match($A784,stomachs!$A:$A,0)))</f>
        <v/>
      </c>
      <c r="P784" t="str">
        <f t="array" ref="P784">iferror(index(sea_lice!$G:$G,match($A784,sea_lice!$A:$A,0)))</f>
        <v/>
      </c>
      <c r="Q784" t="str">
        <f t="array" ref="Q784">iferror(index(sea_lice!$J:$J,match($A784,sea_lice!$A:$A,0)))</f>
        <v/>
      </c>
      <c r="R784" s="40" t="str">
        <f t="array" ref="R784">iferror(index(dissected_fish!$F:$F,match($A784,dissected_fish!$A:$A,0)))</f>
        <v>BCA107</v>
      </c>
      <c r="S784" s="40" t="str">
        <f t="array" ref="S784">iferror(index(dissected_fish!$K:$K,match($A784,dissected_fish!$A:$A,0)))</f>
        <v>N</v>
      </c>
      <c r="T784" s="61" t="str">
        <f t="array" ref="T784">index(fish_lab_data!O:O,match(A784,fish_lab_data!C:C,0))</f>
        <v>KB</v>
      </c>
      <c r="U784" s="61">
        <f t="array" ref="U784">if(A784="","",index(fish_lab_data!X:X,match(A784,fish_lab_data!C:C,0)))</f>
        <v>783</v>
      </c>
    </row>
    <row r="785">
      <c r="A785" t="str">
        <f>fish_lab_data!C785</f>
        <v>U16646</v>
      </c>
      <c r="B785" t="str">
        <f t="array" ref="B785">iferror(index('rna-muscle'!$I:$I,match($A785,'rna-muscle'!$A:$A,0)))</f>
        <v>BRN69M-G6</v>
      </c>
      <c r="C785" t="str">
        <f t="array" ref="C785">iferror(index('rna-muscle'!$L:$L,match($A785,'rna-muscle'!$A:$A,0)))</f>
        <v>N</v>
      </c>
      <c r="D785" t="str">
        <f t="array" ref="D785">iferror(index('rna-gill'!$I:$I,match($A785,'rna-gill'!$A:$A,0)))</f>
        <v>BRN69G-G6</v>
      </c>
      <c r="E785" t="str">
        <f t="array" ref="E785">iferror(index('rna-gill'!$L:$L,match($A785,'rna-gill'!$A:$A,0)))</f>
        <v>N</v>
      </c>
      <c r="F785" t="str">
        <f t="array" ref="F785">iferror(index(fatty_acid!$G:$G,match($A785,fatty_acid!$A:$A,0)))</f>
        <v>BFA30-11</v>
      </c>
      <c r="G785" t="str">
        <f t="array" ref="G785">iferror(index(fatty_acid!$J:$J,match($A785,fatty_acid!$A:$A,0)))</f>
        <v>N</v>
      </c>
      <c r="H785" t="str">
        <f t="array" ref="H785">iferror(index(isotopes!$G:$G,match($A785,isotopes!$A:$A,0)))</f>
        <v>BIS33-11</v>
      </c>
      <c r="I785" t="str">
        <f t="array" ref="I785">iferror(index(isotopes!$J:$J,match($A785,isotopes!$A:$A,0)))</f>
        <v>N</v>
      </c>
      <c r="J785" t="str">
        <f t="array" ref="J785">iferror(index(extra_muscle!$G:$G,match($A785,extra_muscle!$A:$A,0)))</f>
        <v>BXM31-11</v>
      </c>
      <c r="K785" t="str">
        <f t="array" ref="K785">iferror(index(extra_muscle!$J:$J,match($A785,extra_muscle!$A:$A,0)))</f>
        <v>N</v>
      </c>
      <c r="L785" s="59" t="str">
        <f t="array" ref="L785">iferror(index(dna!$G:$G,match($A785,dna!$A:$A,0)))</f>
        <v/>
      </c>
      <c r="M785" s="60" t="str">
        <f t="array" ref="M785">iferror(index(dna!$J:$J,match($A785,dna!$A:$A,0)))</f>
        <v/>
      </c>
      <c r="N785" t="str">
        <f t="array" ref="N785">iferror(index(stomachs!$G:$G,match($A785,stomachs!$A:$A,0)))</f>
        <v/>
      </c>
      <c r="O785" t="str">
        <f t="array" ref="O785">iferror(index(stomachs!$J:$J,match($A785,stomachs!$A:$A,0)))</f>
        <v/>
      </c>
      <c r="P785" t="str">
        <f t="array" ref="P785">iferror(index(sea_lice!$G:$G,match($A785,sea_lice!$A:$A,0)))</f>
        <v/>
      </c>
      <c r="Q785" t="str">
        <f t="array" ref="Q785">iferror(index(sea_lice!$J:$J,match($A785,sea_lice!$A:$A,0)))</f>
        <v/>
      </c>
      <c r="R785" s="40" t="str">
        <f t="array" ref="R785">iferror(index(dissected_fish!$F:$F,match($A785,dissected_fish!$A:$A,0)))</f>
        <v>BCA107</v>
      </c>
      <c r="S785" s="40" t="str">
        <f t="array" ref="S785">iferror(index(dissected_fish!$K:$K,match($A785,dissected_fish!$A:$A,0)))</f>
        <v>N</v>
      </c>
      <c r="T785" s="61" t="str">
        <f t="array" ref="T785">index(fish_lab_data!O:O,match(A785,fish_lab_data!C:C,0))</f>
        <v>KB</v>
      </c>
      <c r="U785" s="61">
        <f t="array" ref="U785">if(A785="","",index(fish_lab_data!X:X,match(A785,fish_lab_data!C:C,0)))</f>
        <v>784</v>
      </c>
    </row>
    <row r="786">
      <c r="A786" t="str">
        <f>fish_lab_data!C786</f>
        <v>U16642</v>
      </c>
      <c r="B786" t="str">
        <f t="array" ref="B786">iferror(index('rna-muscle'!$I:$I,match($A786,'rna-muscle'!$A:$A,0)))</f>
        <v>BRN69M-F6</v>
      </c>
      <c r="C786" t="str">
        <f t="array" ref="C786">iferror(index('rna-muscle'!$L:$L,match($A786,'rna-muscle'!$A:$A,0)))</f>
        <v>N</v>
      </c>
      <c r="D786" t="str">
        <f t="array" ref="D786">iferror(index('rna-gill'!$I:$I,match($A786,'rna-gill'!$A:$A,0)))</f>
        <v>BRN69G-F6</v>
      </c>
      <c r="E786" t="str">
        <f t="array" ref="E786">iferror(index('rna-gill'!$L:$L,match($A786,'rna-gill'!$A:$A,0)))</f>
        <v>N</v>
      </c>
      <c r="F786" t="str">
        <f t="array" ref="F786">iferror(index(fatty_acid!$G:$G,match($A786,fatty_acid!$A:$A,0)))</f>
        <v>BFA30-12</v>
      </c>
      <c r="G786" t="str">
        <f t="array" ref="G786">iferror(index(fatty_acid!$J:$J,match($A786,fatty_acid!$A:$A,0)))</f>
        <v>N</v>
      </c>
      <c r="H786" t="str">
        <f t="array" ref="H786">iferror(index(isotopes!$G:$G,match($A786,isotopes!$A:$A,0)))</f>
        <v>BIS33-12</v>
      </c>
      <c r="I786" t="str">
        <f t="array" ref="I786">iferror(index(isotopes!$J:$J,match($A786,isotopes!$A:$A,0)))</f>
        <v>N</v>
      </c>
      <c r="J786" t="str">
        <f t="array" ref="J786">iferror(index(extra_muscle!$G:$G,match($A786,extra_muscle!$A:$A,0)))</f>
        <v>BXM31-12</v>
      </c>
      <c r="K786" t="str">
        <f t="array" ref="K786">iferror(index(extra_muscle!$J:$J,match($A786,extra_muscle!$A:$A,0)))</f>
        <v>N</v>
      </c>
      <c r="L786" s="59" t="str">
        <f t="array" ref="L786">iferror(index(dna!$G:$G,match($A786,dna!$A:$A,0)))</f>
        <v/>
      </c>
      <c r="M786" s="60" t="str">
        <f t="array" ref="M786">iferror(index(dna!$J:$J,match($A786,dna!$A:$A,0)))</f>
        <v/>
      </c>
      <c r="N786" t="str">
        <f t="array" ref="N786">iferror(index(stomachs!$G:$G,match($A786,stomachs!$A:$A,0)))</f>
        <v/>
      </c>
      <c r="O786" t="str">
        <f t="array" ref="O786">iferror(index(stomachs!$J:$J,match($A786,stomachs!$A:$A,0)))</f>
        <v/>
      </c>
      <c r="P786" t="str">
        <f t="array" ref="P786">iferror(index(sea_lice!$G:$G,match($A786,sea_lice!$A:$A,0)))</f>
        <v>BSL6-80</v>
      </c>
      <c r="Q786" t="str">
        <f t="array" ref="Q786">iferror(index(sea_lice!$J:$J,match($A786,sea_lice!$A:$A,0)))</f>
        <v>N</v>
      </c>
      <c r="R786" s="40" t="str">
        <f t="array" ref="R786">iferror(index(dissected_fish!$F:$F,match($A786,dissected_fish!$A:$A,0)))</f>
        <v>BCA107</v>
      </c>
      <c r="S786" s="40" t="str">
        <f t="array" ref="S786">iferror(index(dissected_fish!$K:$K,match($A786,dissected_fish!$A:$A,0)))</f>
        <v>N</v>
      </c>
      <c r="T786" s="61" t="str">
        <f t="array" ref="T786">index(fish_lab_data!O:O,match(A786,fish_lab_data!C:C,0))</f>
        <v>KB</v>
      </c>
      <c r="U786" s="61">
        <f t="array" ref="U786">if(A786="","",index(fish_lab_data!X:X,match(A786,fish_lab_data!C:C,0)))</f>
        <v>785</v>
      </c>
    </row>
    <row r="787">
      <c r="A787" t="str">
        <f>fish_lab_data!C787</f>
        <v>U16643</v>
      </c>
      <c r="B787" t="str">
        <f t="array" ref="B787">iferror(index('rna-muscle'!$I:$I,match($A787,'rna-muscle'!$A:$A,0)))</f>
        <v>BRN69M-E6</v>
      </c>
      <c r="C787" t="str">
        <f t="array" ref="C787">iferror(index('rna-muscle'!$L:$L,match($A787,'rna-muscle'!$A:$A,0)))</f>
        <v>N</v>
      </c>
      <c r="D787" t="str">
        <f t="array" ref="D787">iferror(index('rna-gill'!$I:$I,match($A787,'rna-gill'!$A:$A,0)))</f>
        <v>BRN69G-E6</v>
      </c>
      <c r="E787" t="str">
        <f t="array" ref="E787">iferror(index('rna-gill'!$L:$L,match($A787,'rna-gill'!$A:$A,0)))</f>
        <v>N</v>
      </c>
      <c r="F787" t="str">
        <f t="array" ref="F787">iferror(index(fatty_acid!$G:$G,match($A787,fatty_acid!$A:$A,0)))</f>
        <v>BFA30-13</v>
      </c>
      <c r="G787" t="str">
        <f t="array" ref="G787">iferror(index(fatty_acid!$J:$J,match($A787,fatty_acid!$A:$A,0)))</f>
        <v>N</v>
      </c>
      <c r="H787" t="str">
        <f t="array" ref="H787">iferror(index(isotopes!$G:$G,match($A787,isotopes!$A:$A,0)))</f>
        <v>BIS33-13</v>
      </c>
      <c r="I787" t="str">
        <f t="array" ref="I787">iferror(index(isotopes!$J:$J,match($A787,isotopes!$A:$A,0)))</f>
        <v>N</v>
      </c>
      <c r="J787" t="str">
        <f t="array" ref="J787">iferror(index(extra_muscle!$G:$G,match($A787,extra_muscle!$A:$A,0)))</f>
        <v>BXM31-13</v>
      </c>
      <c r="K787" t="str">
        <f t="array" ref="K787">iferror(index(extra_muscle!$J:$J,match($A787,extra_muscle!$A:$A,0)))</f>
        <v>N</v>
      </c>
      <c r="L787" s="59" t="str">
        <f t="array" ref="L787">iferror(index(dna!$G:$G,match($A787,dna!$A:$A,0)))</f>
        <v/>
      </c>
      <c r="M787" s="60" t="str">
        <f t="array" ref="M787">iferror(index(dna!$J:$J,match($A787,dna!$A:$A,0)))</f>
        <v/>
      </c>
      <c r="N787" t="str">
        <f t="array" ref="N787">iferror(index(stomachs!$G:$G,match($A787,stomachs!$A:$A,0)))</f>
        <v/>
      </c>
      <c r="O787" t="str">
        <f t="array" ref="O787">iferror(index(stomachs!$J:$J,match($A787,stomachs!$A:$A,0)))</f>
        <v/>
      </c>
      <c r="P787" t="str">
        <f t="array" ref="P787">iferror(index(sea_lice!$G:$G,match($A787,sea_lice!$A:$A,0)))</f>
        <v/>
      </c>
      <c r="Q787" t="str">
        <f t="array" ref="Q787">iferror(index(sea_lice!$J:$J,match($A787,sea_lice!$A:$A,0)))</f>
        <v/>
      </c>
      <c r="R787" s="40" t="str">
        <f t="array" ref="R787">iferror(index(dissected_fish!$F:$F,match($A787,dissected_fish!$A:$A,0)))</f>
        <v>BCA107</v>
      </c>
      <c r="S787" s="40" t="str">
        <f t="array" ref="S787">iferror(index(dissected_fish!$K:$K,match($A787,dissected_fish!$A:$A,0)))</f>
        <v>N</v>
      </c>
      <c r="T787" s="61" t="str">
        <f t="array" ref="T787">index(fish_lab_data!O:O,match(A787,fish_lab_data!C:C,0))</f>
        <v>KB</v>
      </c>
      <c r="U787" s="61">
        <f t="array" ref="U787">if(A787="","",index(fish_lab_data!X:X,match(A787,fish_lab_data!C:C,0)))</f>
        <v>786</v>
      </c>
    </row>
    <row r="788">
      <c r="A788" t="str">
        <f>fish_lab_data!C788</f>
        <v>U16641</v>
      </c>
      <c r="B788" t="str">
        <f t="array" ref="B788">iferror(index('rna-muscle'!$I:$I,match($A788,'rna-muscle'!$A:$A,0)))</f>
        <v>BRN69M-D6</v>
      </c>
      <c r="C788" t="str">
        <f t="array" ref="C788">iferror(index('rna-muscle'!$L:$L,match($A788,'rna-muscle'!$A:$A,0)))</f>
        <v>N</v>
      </c>
      <c r="D788" t="str">
        <f t="array" ref="D788">iferror(index('rna-gill'!$I:$I,match($A788,'rna-gill'!$A:$A,0)))</f>
        <v>BRN69G-D6</v>
      </c>
      <c r="E788" t="str">
        <f t="array" ref="E788">iferror(index('rna-gill'!$L:$L,match($A788,'rna-gill'!$A:$A,0)))</f>
        <v>N</v>
      </c>
      <c r="F788" t="str">
        <f t="array" ref="F788">iferror(index(fatty_acid!$G:$G,match($A788,fatty_acid!$A:$A,0)))</f>
        <v>BFA30-14</v>
      </c>
      <c r="G788" t="str">
        <f t="array" ref="G788">iferror(index(fatty_acid!$J:$J,match($A788,fatty_acid!$A:$A,0)))</f>
        <v>N</v>
      </c>
      <c r="H788" t="str">
        <f t="array" ref="H788">iferror(index(isotopes!$G:$G,match($A788,isotopes!$A:$A,0)))</f>
        <v>BIS33-14</v>
      </c>
      <c r="I788" t="str">
        <f t="array" ref="I788">iferror(index(isotopes!$J:$J,match($A788,isotopes!$A:$A,0)))</f>
        <v>N</v>
      </c>
      <c r="J788" t="str">
        <f t="array" ref="J788">iferror(index(extra_muscle!$G:$G,match($A788,extra_muscle!$A:$A,0)))</f>
        <v>BXM31-14</v>
      </c>
      <c r="K788" t="str">
        <f t="array" ref="K788">iferror(index(extra_muscle!$J:$J,match($A788,extra_muscle!$A:$A,0)))</f>
        <v>N</v>
      </c>
      <c r="L788" s="59" t="str">
        <f t="array" ref="L788">iferror(index(dna!$G:$G,match($A788,dna!$A:$A,0)))</f>
        <v/>
      </c>
      <c r="M788" s="60" t="str">
        <f t="array" ref="M788">iferror(index(dna!$J:$J,match($A788,dna!$A:$A,0)))</f>
        <v/>
      </c>
      <c r="N788" t="str">
        <f t="array" ref="N788">iferror(index(stomachs!$G:$G,match($A788,stomachs!$A:$A,0)))</f>
        <v/>
      </c>
      <c r="O788" t="str">
        <f t="array" ref="O788">iferror(index(stomachs!$J:$J,match($A788,stomachs!$A:$A,0)))</f>
        <v/>
      </c>
      <c r="P788" t="str">
        <f t="array" ref="P788">iferror(index(sea_lice!$G:$G,match($A788,sea_lice!$A:$A,0)))</f>
        <v>BSL6-81</v>
      </c>
      <c r="Q788" t="str">
        <f t="array" ref="Q788">iferror(index(sea_lice!$J:$J,match($A788,sea_lice!$A:$A,0)))</f>
        <v>N</v>
      </c>
      <c r="R788" s="40" t="str">
        <f t="array" ref="R788">iferror(index(dissected_fish!$F:$F,match($A788,dissected_fish!$A:$A,0)))</f>
        <v>BCA107</v>
      </c>
      <c r="S788" s="40" t="str">
        <f t="array" ref="S788">iferror(index(dissected_fish!$K:$K,match($A788,dissected_fish!$A:$A,0)))</f>
        <v>N</v>
      </c>
      <c r="T788" s="61" t="str">
        <f t="array" ref="T788">index(fish_lab_data!O:O,match(A788,fish_lab_data!C:C,0))</f>
        <v>KB</v>
      </c>
      <c r="U788" s="61">
        <f t="array" ref="U788">if(A788="","",index(fish_lab_data!X:X,match(A788,fish_lab_data!C:C,0)))</f>
        <v>787</v>
      </c>
    </row>
    <row r="789">
      <c r="A789" t="str">
        <f>fish_lab_data!C789</f>
        <v>U16648</v>
      </c>
      <c r="B789" t="str">
        <f t="array" ref="B789">iferror(index('rna-muscle'!$I:$I,match($A789,'rna-muscle'!$A:$A,0)))</f>
        <v>BRN69M-C6</v>
      </c>
      <c r="C789" t="str">
        <f t="array" ref="C789">iferror(index('rna-muscle'!$L:$L,match($A789,'rna-muscle'!$A:$A,0)))</f>
        <v>N</v>
      </c>
      <c r="D789" t="str">
        <f t="array" ref="D789">iferror(index('rna-gill'!$I:$I,match($A789,'rna-gill'!$A:$A,0)))</f>
        <v>BRN69G-C6</v>
      </c>
      <c r="E789" t="str">
        <f t="array" ref="E789">iferror(index('rna-gill'!$L:$L,match($A789,'rna-gill'!$A:$A,0)))</f>
        <v>N</v>
      </c>
      <c r="F789" t="str">
        <f t="array" ref="F789">iferror(index(fatty_acid!$G:$G,match($A789,fatty_acid!$A:$A,0)))</f>
        <v>BFA30-15</v>
      </c>
      <c r="G789" t="str">
        <f t="array" ref="G789">iferror(index(fatty_acid!$J:$J,match($A789,fatty_acid!$A:$A,0)))</f>
        <v>N</v>
      </c>
      <c r="H789" t="str">
        <f t="array" ref="H789">iferror(index(isotopes!$G:$G,match($A789,isotopes!$A:$A,0)))</f>
        <v>BIS33-15</v>
      </c>
      <c r="I789" t="str">
        <f t="array" ref="I789">iferror(index(isotopes!$J:$J,match($A789,isotopes!$A:$A,0)))</f>
        <v>N</v>
      </c>
      <c r="J789" t="str">
        <f t="array" ref="J789">iferror(index(extra_muscle!$G:$G,match($A789,extra_muscle!$A:$A,0)))</f>
        <v>BXM31-15</v>
      </c>
      <c r="K789" t="str">
        <f t="array" ref="K789">iferror(index(extra_muscle!$J:$J,match($A789,extra_muscle!$A:$A,0)))</f>
        <v>N</v>
      </c>
      <c r="L789" s="59" t="str">
        <f t="array" ref="L789">iferror(index(dna!$G:$G,match($A789,dna!$A:$A,0)))</f>
        <v/>
      </c>
      <c r="M789" s="60" t="str">
        <f t="array" ref="M789">iferror(index(dna!$J:$J,match($A789,dna!$A:$A,0)))</f>
        <v/>
      </c>
      <c r="N789" t="str">
        <f t="array" ref="N789">iferror(index(stomachs!$G:$G,match($A789,stomachs!$A:$A,0)))</f>
        <v/>
      </c>
      <c r="O789" t="str">
        <f t="array" ref="O789">iferror(index(stomachs!$J:$J,match($A789,stomachs!$A:$A,0)))</f>
        <v/>
      </c>
      <c r="P789" t="str">
        <f t="array" ref="P789">iferror(index(sea_lice!$G:$G,match($A789,sea_lice!$A:$A,0)))</f>
        <v/>
      </c>
      <c r="Q789" t="str">
        <f t="array" ref="Q789">iferror(index(sea_lice!$J:$J,match($A789,sea_lice!$A:$A,0)))</f>
        <v/>
      </c>
      <c r="R789" s="40" t="str">
        <f t="array" ref="R789">iferror(index(dissected_fish!$F:$F,match($A789,dissected_fish!$A:$A,0)))</f>
        <v>BCA107</v>
      </c>
      <c r="S789" s="40" t="str">
        <f t="array" ref="S789">iferror(index(dissected_fish!$K:$K,match($A789,dissected_fish!$A:$A,0)))</f>
        <v>N</v>
      </c>
      <c r="T789" s="61" t="str">
        <f t="array" ref="T789">index(fish_lab_data!O:O,match(A789,fish_lab_data!C:C,0))</f>
        <v>KB</v>
      </c>
      <c r="U789" s="61">
        <f t="array" ref="U789">if(A789="","",index(fish_lab_data!X:X,match(A789,fish_lab_data!C:C,0)))</f>
        <v>788</v>
      </c>
    </row>
    <row r="790">
      <c r="A790" t="str">
        <f>fish_lab_data!C790</f>
        <v>U16645</v>
      </c>
      <c r="B790" t="str">
        <f t="array" ref="B790">iferror(index('rna-muscle'!$I:$I,match($A790,'rna-muscle'!$A:$A,0)))</f>
        <v>BRN69M-B6</v>
      </c>
      <c r="C790" t="str">
        <f t="array" ref="C790">iferror(index('rna-muscle'!$L:$L,match($A790,'rna-muscle'!$A:$A,0)))</f>
        <v>N</v>
      </c>
      <c r="D790" t="str">
        <f t="array" ref="D790">iferror(index('rna-gill'!$I:$I,match($A790,'rna-gill'!$A:$A,0)))</f>
        <v>BRN69G-B6</v>
      </c>
      <c r="E790" t="str">
        <f t="array" ref="E790">iferror(index('rna-gill'!$L:$L,match($A790,'rna-gill'!$A:$A,0)))</f>
        <v>N</v>
      </c>
      <c r="F790" t="str">
        <f t="array" ref="F790">iferror(index(fatty_acid!$G:$G,match($A790,fatty_acid!$A:$A,0)))</f>
        <v>BFA30-16</v>
      </c>
      <c r="G790" t="str">
        <f t="array" ref="G790">iferror(index(fatty_acid!$J:$J,match($A790,fatty_acid!$A:$A,0)))</f>
        <v>N</v>
      </c>
      <c r="H790" t="str">
        <f t="array" ref="H790">iferror(index(isotopes!$G:$G,match($A790,isotopes!$A:$A,0)))</f>
        <v>BIS33-16</v>
      </c>
      <c r="I790" t="str">
        <f t="array" ref="I790">iferror(index(isotopes!$J:$J,match($A790,isotopes!$A:$A,0)))</f>
        <v>N</v>
      </c>
      <c r="J790" t="str">
        <f t="array" ref="J790">iferror(index(extra_muscle!$G:$G,match($A790,extra_muscle!$A:$A,0)))</f>
        <v>BXM31-16</v>
      </c>
      <c r="K790" t="str">
        <f t="array" ref="K790">iferror(index(extra_muscle!$J:$J,match($A790,extra_muscle!$A:$A,0)))</f>
        <v>N</v>
      </c>
      <c r="L790" s="59" t="str">
        <f t="array" ref="L790">iferror(index(dna!$G:$G,match($A790,dna!$A:$A,0)))</f>
        <v/>
      </c>
      <c r="M790" s="60" t="str">
        <f t="array" ref="M790">iferror(index(dna!$J:$J,match($A790,dna!$A:$A,0)))</f>
        <v/>
      </c>
      <c r="N790" t="str">
        <f t="array" ref="N790">iferror(index(stomachs!$G:$G,match($A790,stomachs!$A:$A,0)))</f>
        <v/>
      </c>
      <c r="O790" t="str">
        <f t="array" ref="O790">iferror(index(stomachs!$J:$J,match($A790,stomachs!$A:$A,0)))</f>
        <v/>
      </c>
      <c r="P790" t="str">
        <f t="array" ref="P790">iferror(index(sea_lice!$G:$G,match($A790,sea_lice!$A:$A,0)))</f>
        <v/>
      </c>
      <c r="Q790" t="str">
        <f t="array" ref="Q790">iferror(index(sea_lice!$J:$J,match($A790,sea_lice!$A:$A,0)))</f>
        <v/>
      </c>
      <c r="R790" s="40" t="str">
        <f t="array" ref="R790">iferror(index(dissected_fish!$F:$F,match($A790,dissected_fish!$A:$A,0)))</f>
        <v>BCA107</v>
      </c>
      <c r="S790" s="40" t="str">
        <f t="array" ref="S790">iferror(index(dissected_fish!$K:$K,match($A790,dissected_fish!$A:$A,0)))</f>
        <v>N</v>
      </c>
      <c r="T790" s="61" t="str">
        <f t="array" ref="T790">index(fish_lab_data!O:O,match(A790,fish_lab_data!C:C,0))</f>
        <v>KB</v>
      </c>
      <c r="U790" s="61">
        <f t="array" ref="U790">if(A790="","",index(fish_lab_data!X:X,match(A790,fish_lab_data!C:C,0)))</f>
        <v>789</v>
      </c>
    </row>
    <row r="791">
      <c r="A791" t="str">
        <f>fish_lab_data!C791</f>
        <v>U16644</v>
      </c>
      <c r="B791" t="str">
        <f t="array" ref="B791">iferror(index('rna-muscle'!$I:$I,match($A791,'rna-muscle'!$A:$A,0)))</f>
        <v>BRN69M-A6</v>
      </c>
      <c r="C791" t="str">
        <f t="array" ref="C791">iferror(index('rna-muscle'!$L:$L,match($A791,'rna-muscle'!$A:$A,0)))</f>
        <v>N</v>
      </c>
      <c r="D791" t="str">
        <f t="array" ref="D791">iferror(index('rna-gill'!$I:$I,match($A791,'rna-gill'!$A:$A,0)))</f>
        <v>BRN69G-A6</v>
      </c>
      <c r="E791" t="str">
        <f t="array" ref="E791">iferror(index('rna-gill'!$L:$L,match($A791,'rna-gill'!$A:$A,0)))</f>
        <v>N</v>
      </c>
      <c r="F791" t="str">
        <f t="array" ref="F791">iferror(index(fatty_acid!$G:$G,match($A791,fatty_acid!$A:$A,0)))</f>
        <v>BFA30-17</v>
      </c>
      <c r="G791" t="str">
        <f t="array" ref="G791">iferror(index(fatty_acid!$J:$J,match($A791,fatty_acid!$A:$A,0)))</f>
        <v>N</v>
      </c>
      <c r="H791" t="str">
        <f t="array" ref="H791">iferror(index(isotopes!$G:$G,match($A791,isotopes!$A:$A,0)))</f>
        <v>BIS33-17</v>
      </c>
      <c r="I791" t="str">
        <f t="array" ref="I791">iferror(index(isotopes!$J:$J,match($A791,isotopes!$A:$A,0)))</f>
        <v>N</v>
      </c>
      <c r="J791" t="str">
        <f t="array" ref="J791">iferror(index(extra_muscle!$G:$G,match($A791,extra_muscle!$A:$A,0)))</f>
        <v>BXM31-17</v>
      </c>
      <c r="K791" t="str">
        <f t="array" ref="K791">iferror(index(extra_muscle!$J:$J,match($A791,extra_muscle!$A:$A,0)))</f>
        <v>N</v>
      </c>
      <c r="L791" s="59" t="str">
        <f t="array" ref="L791">iferror(index(dna!$G:$G,match($A791,dna!$A:$A,0)))</f>
        <v/>
      </c>
      <c r="M791" s="60" t="str">
        <f t="array" ref="M791">iferror(index(dna!$J:$J,match($A791,dna!$A:$A,0)))</f>
        <v/>
      </c>
      <c r="N791" t="str">
        <f t="array" ref="N791">iferror(index(stomachs!$G:$G,match($A791,stomachs!$A:$A,0)))</f>
        <v/>
      </c>
      <c r="O791" t="str">
        <f t="array" ref="O791">iferror(index(stomachs!$J:$J,match($A791,stomachs!$A:$A,0)))</f>
        <v/>
      </c>
      <c r="P791" t="str">
        <f t="array" ref="P791">iferror(index(sea_lice!$G:$G,match($A791,sea_lice!$A:$A,0)))</f>
        <v/>
      </c>
      <c r="Q791" t="str">
        <f t="array" ref="Q791">iferror(index(sea_lice!$J:$J,match($A791,sea_lice!$A:$A,0)))</f>
        <v/>
      </c>
      <c r="R791" s="40" t="str">
        <f t="array" ref="R791">iferror(index(dissected_fish!$F:$F,match($A791,dissected_fish!$A:$A,0)))</f>
        <v>BCA107</v>
      </c>
      <c r="S791" s="40" t="str">
        <f t="array" ref="S791">iferror(index(dissected_fish!$K:$K,match($A791,dissected_fish!$A:$A,0)))</f>
        <v>N</v>
      </c>
      <c r="T791" s="61" t="str">
        <f t="array" ref="T791">index(fish_lab_data!O:O,match(A791,fish_lab_data!C:C,0))</f>
        <v>KB</v>
      </c>
      <c r="U791" s="61">
        <f t="array" ref="U791">if(A791="","",index(fish_lab_data!X:X,match(A791,fish_lab_data!C:C,0)))</f>
        <v>790</v>
      </c>
    </row>
    <row r="792">
      <c r="A792" t="str">
        <f>fish_lab_data!C792</f>
        <v>U16649</v>
      </c>
      <c r="B792" t="str">
        <f t="array" ref="B792">iferror(index('rna-muscle'!$I:$I,match($A792,'rna-muscle'!$A:$A,0)))</f>
        <v>BRN69M-H8</v>
      </c>
      <c r="C792" t="str">
        <f t="array" ref="C792">iferror(index('rna-muscle'!$L:$L,match($A792,'rna-muscle'!$A:$A,0)))</f>
        <v>N</v>
      </c>
      <c r="D792" t="str">
        <f t="array" ref="D792">iferror(index('rna-gill'!$I:$I,match($A792,'rna-gill'!$A:$A,0)))</f>
        <v>BRN69G-H8</v>
      </c>
      <c r="E792" t="str">
        <f t="array" ref="E792">iferror(index('rna-gill'!$L:$L,match($A792,'rna-gill'!$A:$A,0)))</f>
        <v>N</v>
      </c>
      <c r="F792" t="str">
        <f t="array" ref="F792">iferror(index(fatty_acid!$G:$G,match($A792,fatty_acid!$A:$A,0)))</f>
        <v>BFA30-18</v>
      </c>
      <c r="G792" t="str">
        <f t="array" ref="G792">iferror(index(fatty_acid!$J:$J,match($A792,fatty_acid!$A:$A,0)))</f>
        <v>N</v>
      </c>
      <c r="H792" t="str">
        <f t="array" ref="H792">iferror(index(isotopes!$G:$G,match($A792,isotopes!$A:$A,0)))</f>
        <v>BIS33-18</v>
      </c>
      <c r="I792" t="str">
        <f t="array" ref="I792">iferror(index(isotopes!$J:$J,match($A792,isotopes!$A:$A,0)))</f>
        <v>N</v>
      </c>
      <c r="J792" t="str">
        <f t="array" ref="J792">iferror(index(extra_muscle!$G:$G,match($A792,extra_muscle!$A:$A,0)))</f>
        <v>BXM31-18</v>
      </c>
      <c r="K792" t="str">
        <f t="array" ref="K792">iferror(index(extra_muscle!$J:$J,match($A792,extra_muscle!$A:$A,0)))</f>
        <v>N</v>
      </c>
      <c r="L792" s="59" t="str">
        <f t="array" ref="L792">iferror(index(dna!$G:$G,match($A792,dna!$A:$A,0)))</f>
        <v/>
      </c>
      <c r="M792" s="60" t="str">
        <f t="array" ref="M792">iferror(index(dna!$J:$J,match($A792,dna!$A:$A,0)))</f>
        <v/>
      </c>
      <c r="N792" t="str">
        <f t="array" ref="N792">iferror(index(stomachs!$G:$G,match($A792,stomachs!$A:$A,0)))</f>
        <v/>
      </c>
      <c r="O792" t="str">
        <f t="array" ref="O792">iferror(index(stomachs!$J:$J,match($A792,stomachs!$A:$A,0)))</f>
        <v/>
      </c>
      <c r="P792" t="str">
        <f t="array" ref="P792">iferror(index(sea_lice!$G:$G,match($A792,sea_lice!$A:$A,0)))</f>
        <v/>
      </c>
      <c r="Q792" t="str">
        <f t="array" ref="Q792">iferror(index(sea_lice!$J:$J,match($A792,sea_lice!$A:$A,0)))</f>
        <v/>
      </c>
      <c r="R792" s="40" t="str">
        <f t="array" ref="R792">iferror(index(dissected_fish!$F:$F,match($A792,dissected_fish!$A:$A,0)))</f>
        <v>BCA107</v>
      </c>
      <c r="S792" s="40" t="str">
        <f t="array" ref="S792">iferror(index(dissected_fish!$K:$K,match($A792,dissected_fish!$A:$A,0)))</f>
        <v>N</v>
      </c>
      <c r="T792" s="61" t="str">
        <f t="array" ref="T792">index(fish_lab_data!O:O,match(A792,fish_lab_data!C:C,0))</f>
        <v>KB</v>
      </c>
      <c r="U792" s="61">
        <f t="array" ref="U792">if(A792="","",index(fish_lab_data!X:X,match(A792,fish_lab_data!C:C,0)))</f>
        <v>791</v>
      </c>
    </row>
    <row r="793">
      <c r="A793" t="str">
        <f>fish_lab_data!C793</f>
        <v>U16650</v>
      </c>
      <c r="B793" t="str">
        <f t="array" ref="B793">iferror(index('rna-muscle'!$I:$I,match($A793,'rna-muscle'!$A:$A,0)))</f>
        <v>BRN69M-G8</v>
      </c>
      <c r="C793" t="str">
        <f t="array" ref="C793">iferror(index('rna-muscle'!$L:$L,match($A793,'rna-muscle'!$A:$A,0)))</f>
        <v>N</v>
      </c>
      <c r="D793" t="str">
        <f t="array" ref="D793">iferror(index('rna-gill'!$I:$I,match($A793,'rna-gill'!$A:$A,0)))</f>
        <v>BRN69G-G8</v>
      </c>
      <c r="E793" t="str">
        <f t="array" ref="E793">iferror(index('rna-gill'!$L:$L,match($A793,'rna-gill'!$A:$A,0)))</f>
        <v>N</v>
      </c>
      <c r="F793" t="str">
        <f t="array" ref="F793">iferror(index(fatty_acid!$G:$G,match($A793,fatty_acid!$A:$A,0)))</f>
        <v>BFA30-19</v>
      </c>
      <c r="G793" t="str">
        <f t="array" ref="G793">iferror(index(fatty_acid!$J:$J,match($A793,fatty_acid!$A:$A,0)))</f>
        <v>N</v>
      </c>
      <c r="H793" t="str">
        <f t="array" ref="H793">iferror(index(isotopes!$G:$G,match($A793,isotopes!$A:$A,0)))</f>
        <v>BIS33-19</v>
      </c>
      <c r="I793" t="str">
        <f t="array" ref="I793">iferror(index(isotopes!$J:$J,match($A793,isotopes!$A:$A,0)))</f>
        <v>N</v>
      </c>
      <c r="J793" t="str">
        <f t="array" ref="J793">iferror(index(extra_muscle!$G:$G,match($A793,extra_muscle!$A:$A,0)))</f>
        <v>BXM31-19</v>
      </c>
      <c r="K793" t="str">
        <f t="array" ref="K793">iferror(index(extra_muscle!$J:$J,match($A793,extra_muscle!$A:$A,0)))</f>
        <v>N</v>
      </c>
      <c r="L793" s="59" t="str">
        <f t="array" ref="L793">iferror(index(dna!$G:$G,match($A793,dna!$A:$A,0)))</f>
        <v/>
      </c>
      <c r="M793" s="60" t="str">
        <f t="array" ref="M793">iferror(index(dna!$J:$J,match($A793,dna!$A:$A,0)))</f>
        <v/>
      </c>
      <c r="N793" t="str">
        <f t="array" ref="N793">iferror(index(stomachs!$G:$G,match($A793,stomachs!$A:$A,0)))</f>
        <v/>
      </c>
      <c r="O793" t="str">
        <f t="array" ref="O793">iferror(index(stomachs!$J:$J,match($A793,stomachs!$A:$A,0)))</f>
        <v/>
      </c>
      <c r="P793" t="str">
        <f t="array" ref="P793">iferror(index(sea_lice!$G:$G,match($A793,sea_lice!$A:$A,0)))</f>
        <v/>
      </c>
      <c r="Q793" t="str">
        <f t="array" ref="Q793">iferror(index(sea_lice!$J:$J,match($A793,sea_lice!$A:$A,0)))</f>
        <v/>
      </c>
      <c r="R793" s="40" t="str">
        <f t="array" ref="R793">iferror(index(dissected_fish!$F:$F,match($A793,dissected_fish!$A:$A,0)))</f>
        <v>BCA107</v>
      </c>
      <c r="S793" s="40" t="str">
        <f t="array" ref="S793">iferror(index(dissected_fish!$K:$K,match($A793,dissected_fish!$A:$A,0)))</f>
        <v>N</v>
      </c>
      <c r="T793" s="61" t="str">
        <f t="array" ref="T793">index(fish_lab_data!O:O,match(A793,fish_lab_data!C:C,0))</f>
        <v>KB</v>
      </c>
      <c r="U793" s="61">
        <f t="array" ref="U793">if(A793="","",index(fish_lab_data!X:X,match(A793,fish_lab_data!C:C,0)))</f>
        <v>792</v>
      </c>
    </row>
    <row r="794">
      <c r="A794" t="str">
        <f>fish_lab_data!C794</f>
        <v>U17089</v>
      </c>
      <c r="B794" t="str">
        <f t="array" ref="B794">iferror(index('rna-muscle'!$I:$I,match($A794,'rna-muscle'!$A:$A,0)))</f>
        <v>BRN69M-F8</v>
      </c>
      <c r="C794" t="str">
        <f t="array" ref="C794">iferror(index('rna-muscle'!$L:$L,match($A794,'rna-muscle'!$A:$A,0)))</f>
        <v>N</v>
      </c>
      <c r="D794" t="str">
        <f t="array" ref="D794">iferror(index('rna-gill'!$I:$I,match($A794,'rna-gill'!$A:$A,0)))</f>
        <v>BRN69G-F8</v>
      </c>
      <c r="E794" t="str">
        <f t="array" ref="E794">iferror(index('rna-gill'!$L:$L,match($A794,'rna-gill'!$A:$A,0)))</f>
        <v>N</v>
      </c>
      <c r="F794" t="str">
        <f t="array" ref="F794">iferror(index(fatty_acid!$G:$G,match($A794,fatty_acid!$A:$A,0)))</f>
        <v>BFA30-20</v>
      </c>
      <c r="G794" t="str">
        <f t="array" ref="G794">iferror(index(fatty_acid!$J:$J,match($A794,fatty_acid!$A:$A,0)))</f>
        <v>N</v>
      </c>
      <c r="H794" t="str">
        <f t="array" ref="H794">iferror(index(isotopes!$G:$G,match($A794,isotopes!$A:$A,0)))</f>
        <v>BIS33-20</v>
      </c>
      <c r="I794" t="str">
        <f t="array" ref="I794">iferror(index(isotopes!$J:$J,match($A794,isotopes!$A:$A,0)))</f>
        <v>N</v>
      </c>
      <c r="J794" t="str">
        <f t="array" ref="J794">iferror(index(extra_muscle!$G:$G,match($A794,extra_muscle!$A:$A,0)))</f>
        <v>BXM31-20</v>
      </c>
      <c r="K794" t="str">
        <f t="array" ref="K794">iferror(index(extra_muscle!$J:$J,match($A794,extra_muscle!$A:$A,0)))</f>
        <v>N</v>
      </c>
      <c r="L794" s="59" t="str">
        <f t="array" ref="L794">iferror(index(dna!$G:$G,match($A794,dna!$A:$A,0)))</f>
        <v/>
      </c>
      <c r="M794" s="60" t="str">
        <f t="array" ref="M794">iferror(index(dna!$J:$J,match($A794,dna!$A:$A,0)))</f>
        <v/>
      </c>
      <c r="N794" t="str">
        <f t="array" ref="N794">iferror(index(stomachs!$G:$G,match($A794,stomachs!$A:$A,0)))</f>
        <v/>
      </c>
      <c r="O794" t="str">
        <f t="array" ref="O794">iferror(index(stomachs!$J:$J,match($A794,stomachs!$A:$A,0)))</f>
        <v/>
      </c>
      <c r="P794" t="str">
        <f t="array" ref="P794">iferror(index(sea_lice!$G:$G,match($A794,sea_lice!$A:$A,0)))</f>
        <v/>
      </c>
      <c r="Q794" t="str">
        <f t="array" ref="Q794">iferror(index(sea_lice!$J:$J,match($A794,sea_lice!$A:$A,0)))</f>
        <v/>
      </c>
      <c r="R794" s="40" t="str">
        <f t="array" ref="R794">iferror(index(dissected_fish!$F:$F,match($A794,dissected_fish!$A:$A,0)))</f>
        <v>BCA107</v>
      </c>
      <c r="S794" s="40" t="str">
        <f t="array" ref="S794">iferror(index(dissected_fish!$K:$K,match($A794,dissected_fish!$A:$A,0)))</f>
        <v>N</v>
      </c>
      <c r="T794" s="61" t="str">
        <f t="array" ref="T794">index(fish_lab_data!O:O,match(A794,fish_lab_data!C:C,0))</f>
        <v>KB</v>
      </c>
      <c r="U794" s="61">
        <f t="array" ref="U794">if(A794="","",index(fish_lab_data!X:X,match(A794,fish_lab_data!C:C,0)))</f>
        <v>793</v>
      </c>
    </row>
    <row r="795">
      <c r="A795" t="str">
        <f>fish_lab_data!C795</f>
        <v>U17090</v>
      </c>
      <c r="B795" t="str">
        <f t="array" ref="B795">iferror(index('rna-muscle'!$I:$I,match($A795,'rna-muscle'!$A:$A,0)))</f>
        <v>BRN69M-E8</v>
      </c>
      <c r="C795" t="str">
        <f t="array" ref="C795">iferror(index('rna-muscle'!$L:$L,match($A795,'rna-muscle'!$A:$A,0)))</f>
        <v>N</v>
      </c>
      <c r="D795" t="str">
        <f t="array" ref="D795">iferror(index('rna-gill'!$I:$I,match($A795,'rna-gill'!$A:$A,0)))</f>
        <v>BRN69G-E8</v>
      </c>
      <c r="E795" t="str">
        <f t="array" ref="E795">iferror(index('rna-gill'!$L:$L,match($A795,'rna-gill'!$A:$A,0)))</f>
        <v>N</v>
      </c>
      <c r="F795" t="str">
        <f t="array" ref="F795">iferror(index(fatty_acid!$G:$G,match($A795,fatty_acid!$A:$A,0)))</f>
        <v>BFA30-21</v>
      </c>
      <c r="G795" t="str">
        <f t="array" ref="G795">iferror(index(fatty_acid!$J:$J,match($A795,fatty_acid!$A:$A,0)))</f>
        <v>N</v>
      </c>
      <c r="H795" t="str">
        <f t="array" ref="H795">iferror(index(isotopes!$G:$G,match($A795,isotopes!$A:$A,0)))</f>
        <v>BIS33-21</v>
      </c>
      <c r="I795" t="str">
        <f t="array" ref="I795">iferror(index(isotopes!$J:$J,match($A795,isotopes!$A:$A,0)))</f>
        <v>N</v>
      </c>
      <c r="J795" t="str">
        <f t="array" ref="J795">iferror(index(extra_muscle!$G:$G,match($A795,extra_muscle!$A:$A,0)))</f>
        <v>BXM31-21</v>
      </c>
      <c r="K795" t="str">
        <f t="array" ref="K795">iferror(index(extra_muscle!$J:$J,match($A795,extra_muscle!$A:$A,0)))</f>
        <v>N</v>
      </c>
      <c r="L795" s="59" t="str">
        <f t="array" ref="L795">iferror(index(dna!$G:$G,match($A795,dna!$A:$A,0)))</f>
        <v/>
      </c>
      <c r="M795" s="60" t="str">
        <f t="array" ref="M795">iferror(index(dna!$J:$J,match($A795,dna!$A:$A,0)))</f>
        <v/>
      </c>
      <c r="N795" t="str">
        <f t="array" ref="N795">iferror(index(stomachs!$G:$G,match($A795,stomachs!$A:$A,0)))</f>
        <v/>
      </c>
      <c r="O795" t="str">
        <f t="array" ref="O795">iferror(index(stomachs!$J:$J,match($A795,stomachs!$A:$A,0)))</f>
        <v/>
      </c>
      <c r="P795" t="str">
        <f t="array" ref="P795">iferror(index(sea_lice!$G:$G,match($A795,sea_lice!$A:$A,0)))</f>
        <v/>
      </c>
      <c r="Q795" t="str">
        <f t="array" ref="Q795">iferror(index(sea_lice!$J:$J,match($A795,sea_lice!$A:$A,0)))</f>
        <v/>
      </c>
      <c r="R795" s="40" t="str">
        <f t="array" ref="R795">iferror(index(dissected_fish!$F:$F,match($A795,dissected_fish!$A:$A,0)))</f>
        <v>BCA107</v>
      </c>
      <c r="S795" s="40" t="str">
        <f t="array" ref="S795">iferror(index(dissected_fish!$K:$K,match($A795,dissected_fish!$A:$A,0)))</f>
        <v>N</v>
      </c>
      <c r="T795" s="61" t="str">
        <f t="array" ref="T795">index(fish_lab_data!O:O,match(A795,fish_lab_data!C:C,0))</f>
        <v>KB</v>
      </c>
      <c r="U795" s="61">
        <f t="array" ref="U795">if(A795="","",index(fish_lab_data!X:X,match(A795,fish_lab_data!C:C,0)))</f>
        <v>794</v>
      </c>
    </row>
    <row r="796">
      <c r="A796" t="str">
        <f>fish_lab_data!C796</f>
        <v>U17088</v>
      </c>
      <c r="B796" t="str">
        <f t="array" ref="B796">iferror(index('rna-muscle'!$I:$I,match($A796,'rna-muscle'!$A:$A,0)))</f>
        <v>BRN69M-D8</v>
      </c>
      <c r="C796" t="str">
        <f t="array" ref="C796">iferror(index('rna-muscle'!$L:$L,match($A796,'rna-muscle'!$A:$A,0)))</f>
        <v>N</v>
      </c>
      <c r="D796" t="str">
        <f t="array" ref="D796">iferror(index('rna-gill'!$I:$I,match($A796,'rna-gill'!$A:$A,0)))</f>
        <v>BRN69G-D8</v>
      </c>
      <c r="E796" t="str">
        <f t="array" ref="E796">iferror(index('rna-gill'!$L:$L,match($A796,'rna-gill'!$A:$A,0)))</f>
        <v>N</v>
      </c>
      <c r="F796" t="str">
        <f t="array" ref="F796">iferror(index(fatty_acid!$G:$G,match($A796,fatty_acid!$A:$A,0)))</f>
        <v>BFA30-22</v>
      </c>
      <c r="G796" t="str">
        <f t="array" ref="G796">iferror(index(fatty_acid!$J:$J,match($A796,fatty_acid!$A:$A,0)))</f>
        <v>N</v>
      </c>
      <c r="H796" t="str">
        <f t="array" ref="H796">iferror(index(isotopes!$G:$G,match($A796,isotopes!$A:$A,0)))</f>
        <v>BIS33-22</v>
      </c>
      <c r="I796" t="str">
        <f t="array" ref="I796">iferror(index(isotopes!$J:$J,match($A796,isotopes!$A:$A,0)))</f>
        <v>N</v>
      </c>
      <c r="J796" t="str">
        <f t="array" ref="J796">iferror(index(extra_muscle!$G:$G,match($A796,extra_muscle!$A:$A,0)))</f>
        <v>BXM31-22</v>
      </c>
      <c r="K796" t="str">
        <f t="array" ref="K796">iferror(index(extra_muscle!$J:$J,match($A796,extra_muscle!$A:$A,0)))</f>
        <v>N</v>
      </c>
      <c r="L796" s="59" t="str">
        <f t="array" ref="L796">iferror(index(dna!$G:$G,match($A796,dna!$A:$A,0)))</f>
        <v/>
      </c>
      <c r="M796" s="60" t="str">
        <f t="array" ref="M796">iferror(index(dna!$J:$J,match($A796,dna!$A:$A,0)))</f>
        <v/>
      </c>
      <c r="N796" t="str">
        <f t="array" ref="N796">iferror(index(stomachs!$G:$G,match($A796,stomachs!$A:$A,0)))</f>
        <v/>
      </c>
      <c r="O796" t="str">
        <f t="array" ref="O796">iferror(index(stomachs!$J:$J,match($A796,stomachs!$A:$A,0)))</f>
        <v/>
      </c>
      <c r="P796" t="str">
        <f t="array" ref="P796">iferror(index(sea_lice!$G:$G,match($A796,sea_lice!$A:$A,0)))</f>
        <v>BSL6-82</v>
      </c>
      <c r="Q796" t="str">
        <f t="array" ref="Q796">iferror(index(sea_lice!$J:$J,match($A796,sea_lice!$A:$A,0)))</f>
        <v>N</v>
      </c>
      <c r="R796" s="40" t="str">
        <f t="array" ref="R796">iferror(index(dissected_fish!$F:$F,match($A796,dissected_fish!$A:$A,0)))</f>
        <v>BCA107</v>
      </c>
      <c r="S796" s="40" t="str">
        <f t="array" ref="S796">iferror(index(dissected_fish!$K:$K,match($A796,dissected_fish!$A:$A,0)))</f>
        <v>N</v>
      </c>
      <c r="T796" s="61" t="str">
        <f t="array" ref="T796">index(fish_lab_data!O:O,match(A796,fish_lab_data!C:C,0))</f>
        <v>KB</v>
      </c>
      <c r="U796" s="61">
        <f t="array" ref="U796">if(A796="","",index(fish_lab_data!X:X,match(A796,fish_lab_data!C:C,0)))</f>
        <v>795</v>
      </c>
    </row>
    <row r="797">
      <c r="A797" t="str">
        <f>fish_lab_data!C797</f>
        <v>U17087</v>
      </c>
      <c r="B797" t="str">
        <f t="array" ref="B797">iferror(index('rna-muscle'!$I:$I,match($A797,'rna-muscle'!$A:$A,0)))</f>
        <v>BRN69M-C8</v>
      </c>
      <c r="C797" t="str">
        <f t="array" ref="C797">iferror(index('rna-muscle'!$L:$L,match($A797,'rna-muscle'!$A:$A,0)))</f>
        <v>N</v>
      </c>
      <c r="D797" t="str">
        <f t="array" ref="D797">iferror(index('rna-gill'!$I:$I,match($A797,'rna-gill'!$A:$A,0)))</f>
        <v>BRN69G-C8</v>
      </c>
      <c r="E797" t="str">
        <f t="array" ref="E797">iferror(index('rna-gill'!$L:$L,match($A797,'rna-gill'!$A:$A,0)))</f>
        <v>N</v>
      </c>
      <c r="F797" t="str">
        <f t="array" ref="F797">iferror(index(fatty_acid!$G:$G,match($A797,fatty_acid!$A:$A,0)))</f>
        <v>BFA30-23</v>
      </c>
      <c r="G797" t="str">
        <f t="array" ref="G797">iferror(index(fatty_acid!$J:$J,match($A797,fatty_acid!$A:$A,0)))</f>
        <v>N</v>
      </c>
      <c r="H797" t="str">
        <f t="array" ref="H797">iferror(index(isotopes!$G:$G,match($A797,isotopes!$A:$A,0)))</f>
        <v>BIS33-23</v>
      </c>
      <c r="I797" t="str">
        <f t="array" ref="I797">iferror(index(isotopes!$J:$J,match($A797,isotopes!$A:$A,0)))</f>
        <v>N</v>
      </c>
      <c r="J797" t="str">
        <f t="array" ref="J797">iferror(index(extra_muscle!$G:$G,match($A797,extra_muscle!$A:$A,0)))</f>
        <v>BXM31-23</v>
      </c>
      <c r="K797" t="str">
        <f t="array" ref="K797">iferror(index(extra_muscle!$J:$J,match($A797,extra_muscle!$A:$A,0)))</f>
        <v>N</v>
      </c>
      <c r="L797" s="59" t="str">
        <f t="array" ref="L797">iferror(index(dna!$G:$G,match($A797,dna!$A:$A,0)))</f>
        <v/>
      </c>
      <c r="M797" s="60" t="str">
        <f t="array" ref="M797">iferror(index(dna!$J:$J,match($A797,dna!$A:$A,0)))</f>
        <v/>
      </c>
      <c r="N797" t="str">
        <f t="array" ref="N797">iferror(index(stomachs!$G:$G,match($A797,stomachs!$A:$A,0)))</f>
        <v/>
      </c>
      <c r="O797" t="str">
        <f t="array" ref="O797">iferror(index(stomachs!$J:$J,match($A797,stomachs!$A:$A,0)))</f>
        <v/>
      </c>
      <c r="P797" t="str">
        <f t="array" ref="P797">iferror(index(sea_lice!$G:$G,match($A797,sea_lice!$A:$A,0)))</f>
        <v/>
      </c>
      <c r="Q797" t="str">
        <f t="array" ref="Q797">iferror(index(sea_lice!$J:$J,match($A797,sea_lice!$A:$A,0)))</f>
        <v/>
      </c>
      <c r="R797" s="40" t="str">
        <f t="array" ref="R797">iferror(index(dissected_fish!$F:$F,match($A797,dissected_fish!$A:$A,0)))</f>
        <v>BCA107</v>
      </c>
      <c r="S797" s="40" t="str">
        <f t="array" ref="S797">iferror(index(dissected_fish!$K:$K,match($A797,dissected_fish!$A:$A,0)))</f>
        <v>N</v>
      </c>
      <c r="T797" s="61" t="str">
        <f t="array" ref="T797">index(fish_lab_data!O:O,match(A797,fish_lab_data!C:C,0))</f>
        <v>KB</v>
      </c>
      <c r="U797" s="61">
        <f t="array" ref="U797">if(A797="","",index(fish_lab_data!X:X,match(A797,fish_lab_data!C:C,0)))</f>
        <v>796</v>
      </c>
    </row>
    <row r="798">
      <c r="A798" t="str">
        <f>fish_lab_data!C798</f>
        <v>U17086</v>
      </c>
      <c r="B798" t="str">
        <f t="array" ref="B798">iferror(index('rna-muscle'!$I:$I,match($A798,'rna-muscle'!$A:$A,0)))</f>
        <v>BRN69M-B8</v>
      </c>
      <c r="C798" t="str">
        <f t="array" ref="C798">iferror(index('rna-muscle'!$L:$L,match($A798,'rna-muscle'!$A:$A,0)))</f>
        <v>N</v>
      </c>
      <c r="D798" t="str">
        <f t="array" ref="D798">iferror(index('rna-gill'!$I:$I,match($A798,'rna-gill'!$A:$A,0)))</f>
        <v>BRN69G-B8</v>
      </c>
      <c r="E798" t="str">
        <f t="array" ref="E798">iferror(index('rna-gill'!$L:$L,match($A798,'rna-gill'!$A:$A,0)))</f>
        <v>N</v>
      </c>
      <c r="F798" t="str">
        <f t="array" ref="F798">iferror(index(fatty_acid!$G:$G,match($A798,fatty_acid!$A:$A,0)))</f>
        <v>BFA30-24</v>
      </c>
      <c r="G798" t="str">
        <f t="array" ref="G798">iferror(index(fatty_acid!$J:$J,match($A798,fatty_acid!$A:$A,0)))</f>
        <v>N</v>
      </c>
      <c r="H798" t="str">
        <f t="array" ref="H798">iferror(index(isotopes!$G:$G,match($A798,isotopes!$A:$A,0)))</f>
        <v>BIS33-24</v>
      </c>
      <c r="I798" t="str">
        <f t="array" ref="I798">iferror(index(isotopes!$J:$J,match($A798,isotopes!$A:$A,0)))</f>
        <v>N</v>
      </c>
      <c r="J798" t="str">
        <f t="array" ref="J798">iferror(index(extra_muscle!$G:$G,match($A798,extra_muscle!$A:$A,0)))</f>
        <v>BXM31-24</v>
      </c>
      <c r="K798" t="str">
        <f t="array" ref="K798">iferror(index(extra_muscle!$J:$J,match($A798,extra_muscle!$A:$A,0)))</f>
        <v>N</v>
      </c>
      <c r="L798" s="59" t="str">
        <f t="array" ref="L798">iferror(index(dna!$G:$G,match($A798,dna!$A:$A,0)))</f>
        <v/>
      </c>
      <c r="M798" s="60" t="str">
        <f t="array" ref="M798">iferror(index(dna!$J:$J,match($A798,dna!$A:$A,0)))</f>
        <v/>
      </c>
      <c r="N798" t="str">
        <f t="array" ref="N798">iferror(index(stomachs!$G:$G,match($A798,stomachs!$A:$A,0)))</f>
        <v/>
      </c>
      <c r="O798" t="str">
        <f t="array" ref="O798">iferror(index(stomachs!$J:$J,match($A798,stomachs!$A:$A,0)))</f>
        <v/>
      </c>
      <c r="P798" t="str">
        <f t="array" ref="P798">iferror(index(sea_lice!$G:$G,match($A798,sea_lice!$A:$A,0)))</f>
        <v/>
      </c>
      <c r="Q798" t="str">
        <f t="array" ref="Q798">iferror(index(sea_lice!$J:$J,match($A798,sea_lice!$A:$A,0)))</f>
        <v/>
      </c>
      <c r="R798" s="40" t="str">
        <f t="array" ref="R798">iferror(index(dissected_fish!$F:$F,match($A798,dissected_fish!$A:$A,0)))</f>
        <v>BCA107</v>
      </c>
      <c r="S798" s="40" t="str">
        <f t="array" ref="S798">iferror(index(dissected_fish!$K:$K,match($A798,dissected_fish!$A:$A,0)))</f>
        <v>N</v>
      </c>
      <c r="T798" s="61" t="str">
        <f t="array" ref="T798">index(fish_lab_data!O:O,match(A798,fish_lab_data!C:C,0))</f>
        <v>KB</v>
      </c>
      <c r="U798" s="61">
        <f t="array" ref="U798">if(A798="","",index(fish_lab_data!X:X,match(A798,fish_lab_data!C:C,0)))</f>
        <v>797</v>
      </c>
    </row>
    <row r="799">
      <c r="A799" t="str">
        <f>fish_lab_data!C799</f>
        <v>U17085</v>
      </c>
      <c r="B799" t="str">
        <f t="array" ref="B799">iferror(index('rna-muscle'!$I:$I,match($A799,'rna-muscle'!$A:$A,0)))</f>
        <v>BRN69M-A8</v>
      </c>
      <c r="C799" t="str">
        <f t="array" ref="C799">iferror(index('rna-muscle'!$L:$L,match($A799,'rna-muscle'!$A:$A,0)))</f>
        <v>N</v>
      </c>
      <c r="D799" t="str">
        <f t="array" ref="D799">iferror(index('rna-gill'!$I:$I,match($A799,'rna-gill'!$A:$A,0)))</f>
        <v>BRN69G-A8</v>
      </c>
      <c r="E799" t="str">
        <f t="array" ref="E799">iferror(index('rna-gill'!$L:$L,match($A799,'rna-gill'!$A:$A,0)))</f>
        <v>N</v>
      </c>
      <c r="F799" t="str">
        <f t="array" ref="F799">iferror(index(fatty_acid!$G:$G,match($A799,fatty_acid!$A:$A,0)))</f>
        <v>BFA30-25</v>
      </c>
      <c r="G799" t="str">
        <f t="array" ref="G799">iferror(index(fatty_acid!$J:$J,match($A799,fatty_acid!$A:$A,0)))</f>
        <v>N</v>
      </c>
      <c r="H799" t="str">
        <f t="array" ref="H799">iferror(index(isotopes!$G:$G,match($A799,isotopes!$A:$A,0)))</f>
        <v>BIS33-25</v>
      </c>
      <c r="I799" t="str">
        <f t="array" ref="I799">iferror(index(isotopes!$J:$J,match($A799,isotopes!$A:$A,0)))</f>
        <v>N</v>
      </c>
      <c r="J799" t="str">
        <f t="array" ref="J799">iferror(index(extra_muscle!$G:$G,match($A799,extra_muscle!$A:$A,0)))</f>
        <v>BXM31-25</v>
      </c>
      <c r="K799" t="str">
        <f t="array" ref="K799">iferror(index(extra_muscle!$J:$J,match($A799,extra_muscle!$A:$A,0)))</f>
        <v>N</v>
      </c>
      <c r="L799" s="59" t="str">
        <f t="array" ref="L799">iferror(index(dna!$G:$G,match($A799,dna!$A:$A,0)))</f>
        <v/>
      </c>
      <c r="M799" s="60" t="str">
        <f t="array" ref="M799">iferror(index(dna!$J:$J,match($A799,dna!$A:$A,0)))</f>
        <v/>
      </c>
      <c r="N799" t="str">
        <f t="array" ref="N799">iferror(index(stomachs!$G:$G,match($A799,stomachs!$A:$A,0)))</f>
        <v/>
      </c>
      <c r="O799" t="str">
        <f t="array" ref="O799">iferror(index(stomachs!$J:$J,match($A799,stomachs!$A:$A,0)))</f>
        <v/>
      </c>
      <c r="P799" t="str">
        <f t="array" ref="P799">iferror(index(sea_lice!$G:$G,match($A799,sea_lice!$A:$A,0)))</f>
        <v/>
      </c>
      <c r="Q799" t="str">
        <f t="array" ref="Q799">iferror(index(sea_lice!$J:$J,match($A799,sea_lice!$A:$A,0)))</f>
        <v/>
      </c>
      <c r="R799" s="40" t="str">
        <f t="array" ref="R799">iferror(index(dissected_fish!$F:$F,match($A799,dissected_fish!$A:$A,0)))</f>
        <v>BCA107</v>
      </c>
      <c r="S799" s="40" t="str">
        <f t="array" ref="S799">iferror(index(dissected_fish!$K:$K,match($A799,dissected_fish!$A:$A,0)))</f>
        <v>N</v>
      </c>
      <c r="T799" s="61" t="str">
        <f t="array" ref="T799">index(fish_lab_data!O:O,match(A799,fish_lab_data!C:C,0))</f>
        <v>KB</v>
      </c>
      <c r="U799" s="61">
        <f t="array" ref="U799">if(A799="","",index(fish_lab_data!X:X,match(A799,fish_lab_data!C:C,0)))</f>
        <v>798</v>
      </c>
    </row>
    <row r="800">
      <c r="A800" t="str">
        <f>fish_lab_data!C800</f>
        <v>U17084</v>
      </c>
      <c r="B800" t="str">
        <f t="array" ref="B800">iferror(index('rna-muscle'!$I:$I,match($A800,'rna-muscle'!$A:$A,0)))</f>
        <v>BRN69M-H9</v>
      </c>
      <c r="C800" t="str">
        <f t="array" ref="C800">iferror(index('rna-muscle'!$L:$L,match($A800,'rna-muscle'!$A:$A,0)))</f>
        <v>N</v>
      </c>
      <c r="D800" t="str">
        <f t="array" ref="D800">iferror(index('rna-gill'!$I:$I,match($A800,'rna-gill'!$A:$A,0)))</f>
        <v>BRN69G-H9</v>
      </c>
      <c r="E800" t="str">
        <f t="array" ref="E800">iferror(index('rna-gill'!$L:$L,match($A800,'rna-gill'!$A:$A,0)))</f>
        <v>N</v>
      </c>
      <c r="F800" t="str">
        <f t="array" ref="F800">iferror(index(fatty_acid!$G:$G,match($A800,fatty_acid!$A:$A,0)))</f>
        <v>BFA30-26</v>
      </c>
      <c r="G800" t="str">
        <f t="array" ref="G800">iferror(index(fatty_acid!$J:$J,match($A800,fatty_acid!$A:$A,0)))</f>
        <v>N</v>
      </c>
      <c r="H800" t="str">
        <f t="array" ref="H800">iferror(index(isotopes!$G:$G,match($A800,isotopes!$A:$A,0)))</f>
        <v>BIS33-26</v>
      </c>
      <c r="I800" t="str">
        <f t="array" ref="I800">iferror(index(isotopes!$J:$J,match($A800,isotopes!$A:$A,0)))</f>
        <v>N</v>
      </c>
      <c r="J800" t="str">
        <f t="array" ref="J800">iferror(index(extra_muscle!$G:$G,match($A800,extra_muscle!$A:$A,0)))</f>
        <v>BXM31-26</v>
      </c>
      <c r="K800" t="str">
        <f t="array" ref="K800">iferror(index(extra_muscle!$J:$J,match($A800,extra_muscle!$A:$A,0)))</f>
        <v>N</v>
      </c>
      <c r="L800" s="59" t="str">
        <f t="array" ref="L800">iferror(index(dna!$G:$G,match($A800,dna!$A:$A,0)))</f>
        <v/>
      </c>
      <c r="M800" s="60" t="str">
        <f t="array" ref="M800">iferror(index(dna!$J:$J,match($A800,dna!$A:$A,0)))</f>
        <v/>
      </c>
      <c r="N800" t="str">
        <f t="array" ref="N800">iferror(index(stomachs!$G:$G,match($A800,stomachs!$A:$A,0)))</f>
        <v/>
      </c>
      <c r="O800" t="str">
        <f t="array" ref="O800">iferror(index(stomachs!$J:$J,match($A800,stomachs!$A:$A,0)))</f>
        <v/>
      </c>
      <c r="P800" t="str">
        <f t="array" ref="P800">iferror(index(sea_lice!$G:$G,match($A800,sea_lice!$A:$A,0)))</f>
        <v/>
      </c>
      <c r="Q800" t="str">
        <f t="array" ref="Q800">iferror(index(sea_lice!$J:$J,match($A800,sea_lice!$A:$A,0)))</f>
        <v/>
      </c>
      <c r="R800" s="40" t="str">
        <f t="array" ref="R800">iferror(index(dissected_fish!$F:$F,match($A800,dissected_fish!$A:$A,0)))</f>
        <v>BCA107</v>
      </c>
      <c r="S800" s="40" t="str">
        <f t="array" ref="S800">iferror(index(dissected_fish!$K:$K,match($A800,dissected_fish!$A:$A,0)))</f>
        <v>N</v>
      </c>
      <c r="T800" s="61" t="str">
        <f t="array" ref="T800">index(fish_lab_data!O:O,match(A800,fish_lab_data!C:C,0))</f>
        <v>KB</v>
      </c>
      <c r="U800" s="61">
        <f t="array" ref="U800">if(A800="","",index(fish_lab_data!X:X,match(A800,fish_lab_data!C:C,0)))</f>
        <v>799</v>
      </c>
    </row>
    <row r="801">
      <c r="A801" t="str">
        <f>fish_lab_data!C801</f>
        <v>U17081</v>
      </c>
      <c r="B801" t="str">
        <f t="array" ref="B801">iferror(index('rna-muscle'!$I:$I,match($A801,'rna-muscle'!$A:$A,0)))</f>
        <v>BRN69M-G9</v>
      </c>
      <c r="C801" t="str">
        <f t="array" ref="C801">iferror(index('rna-muscle'!$L:$L,match($A801,'rna-muscle'!$A:$A,0)))</f>
        <v>N</v>
      </c>
      <c r="D801" t="str">
        <f t="array" ref="D801">iferror(index('rna-gill'!$I:$I,match($A801,'rna-gill'!$A:$A,0)))</f>
        <v>BRN69G-G9</v>
      </c>
      <c r="E801" t="str">
        <f t="array" ref="E801">iferror(index('rna-gill'!$L:$L,match($A801,'rna-gill'!$A:$A,0)))</f>
        <v>N</v>
      </c>
      <c r="F801" t="str">
        <f t="array" ref="F801">iferror(index(fatty_acid!$G:$G,match($A801,fatty_acid!$A:$A,0)))</f>
        <v>BFA30-27</v>
      </c>
      <c r="G801" t="str">
        <f t="array" ref="G801">iferror(index(fatty_acid!$J:$J,match($A801,fatty_acid!$A:$A,0)))</f>
        <v>N</v>
      </c>
      <c r="H801" t="str">
        <f t="array" ref="H801">iferror(index(isotopes!$G:$G,match($A801,isotopes!$A:$A,0)))</f>
        <v>BIS33-27</v>
      </c>
      <c r="I801" t="str">
        <f t="array" ref="I801">iferror(index(isotopes!$J:$J,match($A801,isotopes!$A:$A,0)))</f>
        <v>N</v>
      </c>
      <c r="J801" t="str">
        <f t="array" ref="J801">iferror(index(extra_muscle!$G:$G,match($A801,extra_muscle!$A:$A,0)))</f>
        <v>BXM31-27</v>
      </c>
      <c r="K801" t="str">
        <f t="array" ref="K801">iferror(index(extra_muscle!$J:$J,match($A801,extra_muscle!$A:$A,0)))</f>
        <v>N</v>
      </c>
      <c r="L801" s="59" t="str">
        <f t="array" ref="L801">iferror(index(dna!$G:$G,match($A801,dna!$A:$A,0)))</f>
        <v/>
      </c>
      <c r="M801" s="60" t="str">
        <f t="array" ref="M801">iferror(index(dna!$J:$J,match($A801,dna!$A:$A,0)))</f>
        <v/>
      </c>
      <c r="N801" t="str">
        <f t="array" ref="N801">iferror(index(stomachs!$G:$G,match($A801,stomachs!$A:$A,0)))</f>
        <v/>
      </c>
      <c r="O801" t="str">
        <f t="array" ref="O801">iferror(index(stomachs!$J:$J,match($A801,stomachs!$A:$A,0)))</f>
        <v/>
      </c>
      <c r="P801" t="str">
        <f t="array" ref="P801">iferror(index(sea_lice!$G:$G,match($A801,sea_lice!$A:$A,0)))</f>
        <v/>
      </c>
      <c r="Q801" t="str">
        <f t="array" ref="Q801">iferror(index(sea_lice!$J:$J,match($A801,sea_lice!$A:$A,0)))</f>
        <v/>
      </c>
      <c r="R801" s="40" t="str">
        <f t="array" ref="R801">iferror(index(dissected_fish!$F:$F,match($A801,dissected_fish!$A:$A,0)))</f>
        <v>BCA107</v>
      </c>
      <c r="S801" s="40" t="str">
        <f t="array" ref="S801">iferror(index(dissected_fish!$K:$K,match($A801,dissected_fish!$A:$A,0)))</f>
        <v>N</v>
      </c>
      <c r="T801" s="61" t="str">
        <f t="array" ref="T801">index(fish_lab_data!O:O,match(A801,fish_lab_data!C:C,0))</f>
        <v>KB</v>
      </c>
      <c r="U801" s="61">
        <f t="array" ref="U801">if(A801="","",index(fish_lab_data!X:X,match(A801,fish_lab_data!C:C,0)))</f>
        <v>800</v>
      </c>
    </row>
    <row r="802">
      <c r="A802" t="str">
        <f>fish_lab_data!C802</f>
        <v>U17082</v>
      </c>
      <c r="B802" t="str">
        <f t="array" ref="B802">iferror(index('rna-muscle'!$I:$I,match($A802,'rna-muscle'!$A:$A,0)))</f>
        <v>BRN69M-F9</v>
      </c>
      <c r="C802" t="str">
        <f t="array" ref="C802">iferror(index('rna-muscle'!$L:$L,match($A802,'rna-muscle'!$A:$A,0)))</f>
        <v>N</v>
      </c>
      <c r="D802" t="str">
        <f t="array" ref="D802">iferror(index('rna-gill'!$I:$I,match($A802,'rna-gill'!$A:$A,0)))</f>
        <v>BRN69G-F9</v>
      </c>
      <c r="E802" t="str">
        <f t="array" ref="E802">iferror(index('rna-gill'!$L:$L,match($A802,'rna-gill'!$A:$A,0)))</f>
        <v>N</v>
      </c>
      <c r="F802" t="str">
        <f t="array" ref="F802">iferror(index(fatty_acid!$G:$G,match($A802,fatty_acid!$A:$A,0)))</f>
        <v>BFA30-28</v>
      </c>
      <c r="G802" t="str">
        <f t="array" ref="G802">iferror(index(fatty_acid!$J:$J,match($A802,fatty_acid!$A:$A,0)))</f>
        <v>N</v>
      </c>
      <c r="H802" t="str">
        <f t="array" ref="H802">iferror(index(isotopes!$G:$G,match($A802,isotopes!$A:$A,0)))</f>
        <v>BIS33-28</v>
      </c>
      <c r="I802" t="str">
        <f t="array" ref="I802">iferror(index(isotopes!$J:$J,match($A802,isotopes!$A:$A,0)))</f>
        <v>N</v>
      </c>
      <c r="J802" t="str">
        <f t="array" ref="J802">iferror(index(extra_muscle!$G:$G,match($A802,extra_muscle!$A:$A,0)))</f>
        <v>BXM31-28</v>
      </c>
      <c r="K802" t="str">
        <f t="array" ref="K802">iferror(index(extra_muscle!$J:$J,match($A802,extra_muscle!$A:$A,0)))</f>
        <v>N</v>
      </c>
      <c r="L802" s="59" t="str">
        <f t="array" ref="L802">iferror(index(dna!$G:$G,match($A802,dna!$A:$A,0)))</f>
        <v/>
      </c>
      <c r="M802" s="60" t="str">
        <f t="array" ref="M802">iferror(index(dna!$J:$J,match($A802,dna!$A:$A,0)))</f>
        <v/>
      </c>
      <c r="N802" t="str">
        <f t="array" ref="N802">iferror(index(stomachs!$G:$G,match($A802,stomachs!$A:$A,0)))</f>
        <v/>
      </c>
      <c r="O802" t="str">
        <f t="array" ref="O802">iferror(index(stomachs!$J:$J,match($A802,stomachs!$A:$A,0)))</f>
        <v/>
      </c>
      <c r="P802" t="str">
        <f t="array" ref="P802">iferror(index(sea_lice!$G:$G,match($A802,sea_lice!$A:$A,0)))</f>
        <v/>
      </c>
      <c r="Q802" t="str">
        <f t="array" ref="Q802">iferror(index(sea_lice!$J:$J,match($A802,sea_lice!$A:$A,0)))</f>
        <v/>
      </c>
      <c r="R802" s="40" t="str">
        <f t="array" ref="R802">iferror(index(dissected_fish!$F:$F,match($A802,dissected_fish!$A:$A,0)))</f>
        <v>BCA107</v>
      </c>
      <c r="S802" s="40" t="str">
        <f t="array" ref="S802">iferror(index(dissected_fish!$K:$K,match($A802,dissected_fish!$A:$A,0)))</f>
        <v>N</v>
      </c>
      <c r="T802" s="61" t="str">
        <f t="array" ref="T802">index(fish_lab_data!O:O,match(A802,fish_lab_data!C:C,0))</f>
        <v>KB</v>
      </c>
      <c r="U802" s="61">
        <f t="array" ref="U802">if(A802="","",index(fish_lab_data!X:X,match(A802,fish_lab_data!C:C,0)))</f>
        <v>801</v>
      </c>
    </row>
    <row r="803">
      <c r="A803" t="str">
        <f>fish_lab_data!C803</f>
        <v>U17083</v>
      </c>
      <c r="B803" t="str">
        <f t="array" ref="B803">iferror(index('rna-muscle'!$I:$I,match($A803,'rna-muscle'!$A:$A,0)))</f>
        <v>BRN69M-E9</v>
      </c>
      <c r="C803" t="str">
        <f t="array" ref="C803">iferror(index('rna-muscle'!$L:$L,match($A803,'rna-muscle'!$A:$A,0)))</f>
        <v>N</v>
      </c>
      <c r="D803" t="str">
        <f t="array" ref="D803">iferror(index('rna-gill'!$I:$I,match($A803,'rna-gill'!$A:$A,0)))</f>
        <v>BRN69G-E9</v>
      </c>
      <c r="E803" t="str">
        <f t="array" ref="E803">iferror(index('rna-gill'!$L:$L,match($A803,'rna-gill'!$A:$A,0)))</f>
        <v>N</v>
      </c>
      <c r="F803" t="str">
        <f t="array" ref="F803">iferror(index(fatty_acid!$G:$G,match($A803,fatty_acid!$A:$A,0)))</f>
        <v>BFA30-29</v>
      </c>
      <c r="G803" t="str">
        <f t="array" ref="G803">iferror(index(fatty_acid!$J:$J,match($A803,fatty_acid!$A:$A,0)))</f>
        <v>N</v>
      </c>
      <c r="H803" t="str">
        <f t="array" ref="H803">iferror(index(isotopes!$G:$G,match($A803,isotopes!$A:$A,0)))</f>
        <v>BIS33-29</v>
      </c>
      <c r="I803" t="str">
        <f t="array" ref="I803">iferror(index(isotopes!$J:$J,match($A803,isotopes!$A:$A,0)))</f>
        <v>N</v>
      </c>
      <c r="J803" t="str">
        <f t="array" ref="J803">iferror(index(extra_muscle!$G:$G,match($A803,extra_muscle!$A:$A,0)))</f>
        <v>BXM31-29</v>
      </c>
      <c r="K803" t="str">
        <f t="array" ref="K803">iferror(index(extra_muscle!$J:$J,match($A803,extra_muscle!$A:$A,0)))</f>
        <v>N</v>
      </c>
      <c r="L803" s="59" t="str">
        <f t="array" ref="L803">iferror(index(dna!$G:$G,match($A803,dna!$A:$A,0)))</f>
        <v/>
      </c>
      <c r="M803" s="60" t="str">
        <f t="array" ref="M803">iferror(index(dna!$J:$J,match($A803,dna!$A:$A,0)))</f>
        <v/>
      </c>
      <c r="N803" t="str">
        <f t="array" ref="N803">iferror(index(stomachs!$G:$G,match($A803,stomachs!$A:$A,0)))</f>
        <v/>
      </c>
      <c r="O803" t="str">
        <f t="array" ref="O803">iferror(index(stomachs!$J:$J,match($A803,stomachs!$A:$A,0)))</f>
        <v/>
      </c>
      <c r="P803" t="str">
        <f t="array" ref="P803">iferror(index(sea_lice!$G:$G,match($A803,sea_lice!$A:$A,0)))</f>
        <v/>
      </c>
      <c r="Q803" t="str">
        <f t="array" ref="Q803">iferror(index(sea_lice!$J:$J,match($A803,sea_lice!$A:$A,0)))</f>
        <v/>
      </c>
      <c r="R803" s="40" t="str">
        <f t="array" ref="R803">iferror(index(dissected_fish!$F:$F,match($A803,dissected_fish!$A:$A,0)))</f>
        <v>BCA107</v>
      </c>
      <c r="S803" s="40" t="str">
        <f t="array" ref="S803">iferror(index(dissected_fish!$K:$K,match($A803,dissected_fish!$A:$A,0)))</f>
        <v>N</v>
      </c>
      <c r="T803" s="61" t="str">
        <f t="array" ref="T803">index(fish_lab_data!O:O,match(A803,fish_lab_data!C:C,0))</f>
        <v>KB</v>
      </c>
      <c r="U803" s="61">
        <f t="array" ref="U803">if(A803="","",index(fish_lab_data!X:X,match(A803,fish_lab_data!C:C,0)))</f>
        <v>802</v>
      </c>
    </row>
    <row r="804">
      <c r="A804" t="str">
        <f>fish_lab_data!C804</f>
        <v>U17341</v>
      </c>
      <c r="B804" t="str">
        <f t="array" ref="B804">iferror(index('rna-muscle'!$I:$I,match($A804,'rna-muscle'!$A:$A,0)))</f>
        <v>BRN69M-D9</v>
      </c>
      <c r="C804" t="str">
        <f t="array" ref="C804">iferror(index('rna-muscle'!$L:$L,match($A804,'rna-muscle'!$A:$A,0)))</f>
        <v>N</v>
      </c>
      <c r="D804" t="str">
        <f t="array" ref="D804">iferror(index('rna-gill'!$I:$I,match($A804,'rna-gill'!$A:$A,0)))</f>
        <v>BRN69G-D9</v>
      </c>
      <c r="E804" t="str">
        <f t="array" ref="E804">iferror(index('rna-gill'!$L:$L,match($A804,'rna-gill'!$A:$A,0)))</f>
        <v>N</v>
      </c>
      <c r="F804" t="str">
        <f t="array" ref="F804">iferror(index(fatty_acid!$G:$G,match($A804,fatty_acid!$A:$A,0)))</f>
        <v>BFA30-30</v>
      </c>
      <c r="G804" t="str">
        <f t="array" ref="G804">iferror(index(fatty_acid!$J:$J,match($A804,fatty_acid!$A:$A,0)))</f>
        <v>N</v>
      </c>
      <c r="H804" t="str">
        <f t="array" ref="H804">iferror(index(isotopes!$G:$G,match($A804,isotopes!$A:$A,0)))</f>
        <v>BIS33-30</v>
      </c>
      <c r="I804" t="str">
        <f t="array" ref="I804">iferror(index(isotopes!$J:$J,match($A804,isotopes!$A:$A,0)))</f>
        <v>N</v>
      </c>
      <c r="J804" t="str">
        <f t="array" ref="J804">iferror(index(extra_muscle!$G:$G,match($A804,extra_muscle!$A:$A,0)))</f>
        <v>BXM31-30</v>
      </c>
      <c r="K804" t="str">
        <f t="array" ref="K804">iferror(index(extra_muscle!$J:$J,match($A804,extra_muscle!$A:$A,0)))</f>
        <v>N</v>
      </c>
      <c r="L804" s="59" t="str">
        <f t="array" ref="L804">iferror(index(dna!$G:$G,match($A804,dna!$A:$A,0)))</f>
        <v/>
      </c>
      <c r="M804" s="60" t="str">
        <f t="array" ref="M804">iferror(index(dna!$J:$J,match($A804,dna!$A:$A,0)))</f>
        <v/>
      </c>
      <c r="N804" t="str">
        <f t="array" ref="N804">iferror(index(stomachs!$G:$G,match($A804,stomachs!$A:$A,0)))</f>
        <v/>
      </c>
      <c r="O804" t="str">
        <f t="array" ref="O804">iferror(index(stomachs!$J:$J,match($A804,stomachs!$A:$A,0)))</f>
        <v/>
      </c>
      <c r="P804" t="str">
        <f t="array" ref="P804">iferror(index(sea_lice!$G:$G,match($A804,sea_lice!$A:$A,0)))</f>
        <v/>
      </c>
      <c r="Q804" t="str">
        <f t="array" ref="Q804">iferror(index(sea_lice!$J:$J,match($A804,sea_lice!$A:$A,0)))</f>
        <v/>
      </c>
      <c r="R804" s="40" t="str">
        <f t="array" ref="R804">iferror(index(dissected_fish!$F:$F,match($A804,dissected_fish!$A:$A,0)))</f>
        <v>BCA107</v>
      </c>
      <c r="S804" s="40" t="str">
        <f t="array" ref="S804">iferror(index(dissected_fish!$K:$K,match($A804,dissected_fish!$A:$A,0)))</f>
        <v>N</v>
      </c>
      <c r="T804" s="61" t="str">
        <f t="array" ref="T804">index(fish_lab_data!O:O,match(A804,fish_lab_data!C:C,0))</f>
        <v>KB</v>
      </c>
      <c r="U804" s="61">
        <f t="array" ref="U804">if(A804="","",index(fish_lab_data!X:X,match(A804,fish_lab_data!C:C,0)))</f>
        <v>803</v>
      </c>
    </row>
    <row r="805">
      <c r="A805" t="str">
        <f>fish_lab_data!C805</f>
        <v>U17350</v>
      </c>
      <c r="B805" t="str">
        <f t="array" ref="B805">iferror(index('rna-muscle'!$I:$I,match($A805,'rna-muscle'!$A:$A,0)))</f>
        <v>BRN69M-C9</v>
      </c>
      <c r="C805" t="str">
        <f t="array" ref="C805">iferror(index('rna-muscle'!$L:$L,match($A805,'rna-muscle'!$A:$A,0)))</f>
        <v>N</v>
      </c>
      <c r="D805" t="str">
        <f t="array" ref="D805">iferror(index('rna-gill'!$I:$I,match($A805,'rna-gill'!$A:$A,0)))</f>
        <v>BRN69G-C9</v>
      </c>
      <c r="E805" t="str">
        <f t="array" ref="E805">iferror(index('rna-gill'!$L:$L,match($A805,'rna-gill'!$A:$A,0)))</f>
        <v>N</v>
      </c>
      <c r="F805" t="str">
        <f t="array" ref="F805">iferror(index(fatty_acid!$G:$G,match($A805,fatty_acid!$A:$A,0)))</f>
        <v>BFA30-31</v>
      </c>
      <c r="G805" t="str">
        <f t="array" ref="G805">iferror(index(fatty_acid!$J:$J,match($A805,fatty_acid!$A:$A,0)))</f>
        <v>N</v>
      </c>
      <c r="H805" t="str">
        <f t="array" ref="H805">iferror(index(isotopes!$G:$G,match($A805,isotopes!$A:$A,0)))</f>
        <v>BIS33-3031</v>
      </c>
      <c r="I805" t="str">
        <f t="array" ref="I805">iferror(index(isotopes!$J:$J,match($A805,isotopes!$A:$A,0)))</f>
        <v>N</v>
      </c>
      <c r="J805" t="str">
        <f t="array" ref="J805">iferror(index(extra_muscle!$G:$G,match($A805,extra_muscle!$A:$A,0)))</f>
        <v>BXM31-31</v>
      </c>
      <c r="K805" t="str">
        <f t="array" ref="K805">iferror(index(extra_muscle!$J:$J,match($A805,extra_muscle!$A:$A,0)))</f>
        <v>N</v>
      </c>
      <c r="L805" s="59" t="str">
        <f t="array" ref="L805">iferror(index(dna!$G:$G,match($A805,dna!$A:$A,0)))</f>
        <v/>
      </c>
      <c r="M805" s="60" t="str">
        <f t="array" ref="M805">iferror(index(dna!$J:$J,match($A805,dna!$A:$A,0)))</f>
        <v/>
      </c>
      <c r="N805" t="str">
        <f t="array" ref="N805">iferror(index(stomachs!$G:$G,match($A805,stomachs!$A:$A,0)))</f>
        <v/>
      </c>
      <c r="O805" t="str">
        <f t="array" ref="O805">iferror(index(stomachs!$J:$J,match($A805,stomachs!$A:$A,0)))</f>
        <v/>
      </c>
      <c r="P805" t="str">
        <f t="array" ref="P805">iferror(index(sea_lice!$G:$G,match($A805,sea_lice!$A:$A,0)))</f>
        <v/>
      </c>
      <c r="Q805" t="str">
        <f t="array" ref="Q805">iferror(index(sea_lice!$J:$J,match($A805,sea_lice!$A:$A,0)))</f>
        <v/>
      </c>
      <c r="R805" s="40" t="str">
        <f t="array" ref="R805">iferror(index(dissected_fish!$F:$F,match($A805,dissected_fish!$A:$A,0)))</f>
        <v>BCA107</v>
      </c>
      <c r="S805" s="40" t="str">
        <f t="array" ref="S805">iferror(index(dissected_fish!$K:$K,match($A805,dissected_fish!$A:$A,0)))</f>
        <v>N</v>
      </c>
      <c r="T805" s="61" t="str">
        <f t="array" ref="T805">index(fish_lab_data!O:O,match(A805,fish_lab_data!C:C,0))</f>
        <v>KB</v>
      </c>
      <c r="U805" s="61">
        <f t="array" ref="U805">if(A805="","",index(fish_lab_data!X:X,match(A805,fish_lab_data!C:C,0)))</f>
        <v>804</v>
      </c>
    </row>
    <row r="806">
      <c r="A806" t="str">
        <f>fish_lab_data!C806</f>
        <v>U17348</v>
      </c>
      <c r="B806" t="str">
        <f t="array" ref="B806">iferror(index('rna-muscle'!$I:$I,match($A806,'rna-muscle'!$A:$A,0)))</f>
        <v>BRN69M-B9</v>
      </c>
      <c r="C806" t="str">
        <f t="array" ref="C806">iferror(index('rna-muscle'!$L:$L,match($A806,'rna-muscle'!$A:$A,0)))</f>
        <v>N</v>
      </c>
      <c r="D806" t="str">
        <f t="array" ref="D806">iferror(index('rna-gill'!$I:$I,match($A806,'rna-gill'!$A:$A,0)))</f>
        <v>BRN69G-B9</v>
      </c>
      <c r="E806" t="str">
        <f t="array" ref="E806">iferror(index('rna-gill'!$L:$L,match($A806,'rna-gill'!$A:$A,0)))</f>
        <v>N</v>
      </c>
      <c r="F806" t="str">
        <f t="array" ref="F806">iferror(index(fatty_acid!$G:$G,match($A806,fatty_acid!$A:$A,0)))</f>
        <v>BFA30-32</v>
      </c>
      <c r="G806" t="str">
        <f t="array" ref="G806">iferror(index(fatty_acid!$J:$J,match($A806,fatty_acid!$A:$A,0)))</f>
        <v>N</v>
      </c>
      <c r="H806" t="str">
        <f t="array" ref="H806">iferror(index(isotopes!$G:$G,match($A806,isotopes!$A:$A,0)))</f>
        <v>BIS33-3132</v>
      </c>
      <c r="I806" t="str">
        <f t="array" ref="I806">iferror(index(isotopes!$J:$J,match($A806,isotopes!$A:$A,0)))</f>
        <v>N</v>
      </c>
      <c r="J806" t="str">
        <f t="array" ref="J806">iferror(index(extra_muscle!$G:$G,match($A806,extra_muscle!$A:$A,0)))</f>
        <v>BXM31-32</v>
      </c>
      <c r="K806" t="str">
        <f t="array" ref="K806">iferror(index(extra_muscle!$J:$J,match($A806,extra_muscle!$A:$A,0)))</f>
        <v>N</v>
      </c>
      <c r="L806" s="59" t="str">
        <f t="array" ref="L806">iferror(index(dna!$G:$G,match($A806,dna!$A:$A,0)))</f>
        <v/>
      </c>
      <c r="M806" s="60" t="str">
        <f t="array" ref="M806">iferror(index(dna!$J:$J,match($A806,dna!$A:$A,0)))</f>
        <v/>
      </c>
      <c r="N806" t="str">
        <f t="array" ref="N806">iferror(index(stomachs!$G:$G,match($A806,stomachs!$A:$A,0)))</f>
        <v/>
      </c>
      <c r="O806" t="str">
        <f t="array" ref="O806">iferror(index(stomachs!$J:$J,match($A806,stomachs!$A:$A,0)))</f>
        <v/>
      </c>
      <c r="P806" t="str">
        <f t="array" ref="P806">iferror(index(sea_lice!$G:$G,match($A806,sea_lice!$A:$A,0)))</f>
        <v/>
      </c>
      <c r="Q806" t="str">
        <f t="array" ref="Q806">iferror(index(sea_lice!$J:$J,match($A806,sea_lice!$A:$A,0)))</f>
        <v/>
      </c>
      <c r="R806" s="40" t="str">
        <f t="array" ref="R806">iferror(index(dissected_fish!$F:$F,match($A806,dissected_fish!$A:$A,0)))</f>
        <v>BCA107</v>
      </c>
      <c r="S806" s="40" t="str">
        <f t="array" ref="S806">iferror(index(dissected_fish!$K:$K,match($A806,dissected_fish!$A:$A,0)))</f>
        <v>N</v>
      </c>
      <c r="T806" s="61" t="str">
        <f t="array" ref="T806">index(fish_lab_data!O:O,match(A806,fish_lab_data!C:C,0))</f>
        <v>KB</v>
      </c>
      <c r="U806" s="61">
        <f t="array" ref="U806">if(A806="","",index(fish_lab_data!X:X,match(A806,fish_lab_data!C:C,0)))</f>
        <v>805</v>
      </c>
    </row>
    <row r="807">
      <c r="A807" t="str">
        <f>fish_lab_data!C807</f>
        <v>U17347</v>
      </c>
      <c r="B807" t="str">
        <f t="array" ref="B807">iferror(index('rna-muscle'!$I:$I,match($A807,'rna-muscle'!$A:$A,0)))</f>
        <v>BRN69M-A9</v>
      </c>
      <c r="C807" t="str">
        <f t="array" ref="C807">iferror(index('rna-muscle'!$L:$L,match($A807,'rna-muscle'!$A:$A,0)))</f>
        <v>N</v>
      </c>
      <c r="D807" t="str">
        <f t="array" ref="D807">iferror(index('rna-gill'!$I:$I,match($A807,'rna-gill'!$A:$A,0)))</f>
        <v>BRN69G-A9</v>
      </c>
      <c r="E807" t="str">
        <f t="array" ref="E807">iferror(index('rna-gill'!$L:$L,match($A807,'rna-gill'!$A:$A,0)))</f>
        <v>N</v>
      </c>
      <c r="F807" t="str">
        <f t="array" ref="F807">iferror(index(fatty_acid!$G:$G,match($A807,fatty_acid!$A:$A,0)))</f>
        <v>BFA30-33</v>
      </c>
      <c r="G807" t="str">
        <f t="array" ref="G807">iferror(index(fatty_acid!$J:$J,match($A807,fatty_acid!$A:$A,0)))</f>
        <v>N</v>
      </c>
      <c r="H807" t="str">
        <f t="array" ref="H807">iferror(index(isotopes!$G:$G,match($A807,isotopes!$A:$A,0)))</f>
        <v>BIS33-3233</v>
      </c>
      <c r="I807" t="str">
        <f t="array" ref="I807">iferror(index(isotopes!$J:$J,match($A807,isotopes!$A:$A,0)))</f>
        <v>N</v>
      </c>
      <c r="J807" t="str">
        <f t="array" ref="J807">iferror(index(extra_muscle!$G:$G,match($A807,extra_muscle!$A:$A,0)))</f>
        <v>BXM31-33</v>
      </c>
      <c r="K807" t="str">
        <f t="array" ref="K807">iferror(index(extra_muscle!$J:$J,match($A807,extra_muscle!$A:$A,0)))</f>
        <v>N</v>
      </c>
      <c r="L807" s="59" t="str">
        <f t="array" ref="L807">iferror(index(dna!$G:$G,match($A807,dna!$A:$A,0)))</f>
        <v/>
      </c>
      <c r="M807" s="60" t="str">
        <f t="array" ref="M807">iferror(index(dna!$J:$J,match($A807,dna!$A:$A,0)))</f>
        <v/>
      </c>
      <c r="N807" t="str">
        <f t="array" ref="N807">iferror(index(stomachs!$G:$G,match($A807,stomachs!$A:$A,0)))</f>
        <v/>
      </c>
      <c r="O807" t="str">
        <f t="array" ref="O807">iferror(index(stomachs!$J:$J,match($A807,stomachs!$A:$A,0)))</f>
        <v/>
      </c>
      <c r="P807" t="str">
        <f t="array" ref="P807">iferror(index(sea_lice!$G:$G,match($A807,sea_lice!$A:$A,0)))</f>
        <v>BSL6-84</v>
      </c>
      <c r="Q807" t="str">
        <f t="array" ref="Q807">iferror(index(sea_lice!$J:$J,match($A807,sea_lice!$A:$A,0)))</f>
        <v>N</v>
      </c>
      <c r="R807" s="40" t="str">
        <f t="array" ref="R807">iferror(index(dissected_fish!$F:$F,match($A807,dissected_fish!$A:$A,0)))</f>
        <v>BCA107</v>
      </c>
      <c r="S807" s="40" t="str">
        <f t="array" ref="S807">iferror(index(dissected_fish!$K:$K,match($A807,dissected_fish!$A:$A,0)))</f>
        <v>N</v>
      </c>
      <c r="T807" s="61" t="str">
        <f t="array" ref="T807">index(fish_lab_data!O:O,match(A807,fish_lab_data!C:C,0))</f>
        <v>KB</v>
      </c>
      <c r="U807" s="61">
        <f t="array" ref="U807">if(A807="","",index(fish_lab_data!X:X,match(A807,fish_lab_data!C:C,0)))</f>
        <v>806</v>
      </c>
    </row>
    <row r="808">
      <c r="A808" t="str">
        <f>fish_lab_data!C808</f>
        <v>U17349</v>
      </c>
      <c r="B808" t="str">
        <f t="array" ref="B808">iferror(index('rna-muscle'!$I:$I,match($A808,'rna-muscle'!$A:$A,0)))</f>
        <v>BRN69M-H11</v>
      </c>
      <c r="C808" t="str">
        <f t="array" ref="C808">iferror(index('rna-muscle'!$L:$L,match($A808,'rna-muscle'!$A:$A,0)))</f>
        <v>N</v>
      </c>
      <c r="D808" t="str">
        <f t="array" ref="D808">iferror(index('rna-gill'!$I:$I,match($A808,'rna-gill'!$A:$A,0)))</f>
        <v>BRN69G-H11</v>
      </c>
      <c r="E808" t="str">
        <f t="array" ref="E808">iferror(index('rna-gill'!$L:$L,match($A808,'rna-gill'!$A:$A,0)))</f>
        <v>N</v>
      </c>
      <c r="F808" t="str">
        <f t="array" ref="F808">iferror(index(fatty_acid!$G:$G,match($A808,fatty_acid!$A:$A,0)))</f>
        <v>BFA30-34</v>
      </c>
      <c r="G808" t="str">
        <f t="array" ref="G808">iferror(index(fatty_acid!$J:$J,match($A808,fatty_acid!$A:$A,0)))</f>
        <v>N</v>
      </c>
      <c r="H808" t="str">
        <f t="array" ref="H808">iferror(index(isotopes!$G:$G,match($A808,isotopes!$A:$A,0)))</f>
        <v>BIS33-3334</v>
      </c>
      <c r="I808" t="str">
        <f t="array" ref="I808">iferror(index(isotopes!$J:$J,match($A808,isotopes!$A:$A,0)))</f>
        <v>N</v>
      </c>
      <c r="J808" t="str">
        <f t="array" ref="J808">iferror(index(extra_muscle!$G:$G,match($A808,extra_muscle!$A:$A,0)))</f>
        <v>BXM31-34</v>
      </c>
      <c r="K808" t="str">
        <f t="array" ref="K808">iferror(index(extra_muscle!$J:$J,match($A808,extra_muscle!$A:$A,0)))</f>
        <v>N</v>
      </c>
      <c r="L808" s="59" t="str">
        <f t="array" ref="L808">iferror(index(dna!$G:$G,match($A808,dna!$A:$A,0)))</f>
        <v/>
      </c>
      <c r="M808" s="60" t="str">
        <f t="array" ref="M808">iferror(index(dna!$J:$J,match($A808,dna!$A:$A,0)))</f>
        <v/>
      </c>
      <c r="N808" t="str">
        <f t="array" ref="N808">iferror(index(stomachs!$G:$G,match($A808,stomachs!$A:$A,0)))</f>
        <v/>
      </c>
      <c r="O808" t="str">
        <f t="array" ref="O808">iferror(index(stomachs!$J:$J,match($A808,stomachs!$A:$A,0)))</f>
        <v/>
      </c>
      <c r="P808" t="str">
        <f t="array" ref="P808">iferror(index(sea_lice!$G:$G,match($A808,sea_lice!$A:$A,0)))</f>
        <v>BSL6-86</v>
      </c>
      <c r="Q808" t="str">
        <f t="array" ref="Q808">iferror(index(sea_lice!$J:$J,match($A808,sea_lice!$A:$A,0)))</f>
        <v>N</v>
      </c>
      <c r="R808" s="40" t="str">
        <f t="array" ref="R808">iferror(index(dissected_fish!$F:$F,match($A808,dissected_fish!$A:$A,0)))</f>
        <v>BCA107</v>
      </c>
      <c r="S808" s="40" t="str">
        <f t="array" ref="S808">iferror(index(dissected_fish!$K:$K,match($A808,dissected_fish!$A:$A,0)))</f>
        <v>N</v>
      </c>
      <c r="T808" s="61" t="str">
        <f t="array" ref="T808">index(fish_lab_data!O:O,match(A808,fish_lab_data!C:C,0))</f>
        <v>KB</v>
      </c>
      <c r="U808" s="61">
        <f t="array" ref="U808">if(A808="","",index(fish_lab_data!X:X,match(A808,fish_lab_data!C:C,0)))</f>
        <v>807</v>
      </c>
    </row>
    <row r="809">
      <c r="A809" t="str">
        <f>fish_lab_data!C809</f>
        <v>U17343</v>
      </c>
      <c r="B809" t="str">
        <f t="array" ref="B809">iferror(index('rna-muscle'!$I:$I,match($A809,'rna-muscle'!$A:$A,0)))</f>
        <v>BRN69M-G11</v>
      </c>
      <c r="C809" t="str">
        <f t="array" ref="C809">iferror(index('rna-muscle'!$L:$L,match($A809,'rna-muscle'!$A:$A,0)))</f>
        <v>N</v>
      </c>
      <c r="D809" t="str">
        <f t="array" ref="D809">iferror(index('rna-gill'!$I:$I,match($A809,'rna-gill'!$A:$A,0)))</f>
        <v>BRN69G-G11</v>
      </c>
      <c r="E809" t="str">
        <f t="array" ref="E809">iferror(index('rna-gill'!$L:$L,match($A809,'rna-gill'!$A:$A,0)))</f>
        <v>N</v>
      </c>
      <c r="F809" t="str">
        <f t="array" ref="F809">iferror(index(fatty_acid!$G:$G,match($A809,fatty_acid!$A:$A,0)))</f>
        <v>BFA30-35</v>
      </c>
      <c r="G809" t="str">
        <f t="array" ref="G809">iferror(index(fatty_acid!$J:$J,match($A809,fatty_acid!$A:$A,0)))</f>
        <v>N</v>
      </c>
      <c r="H809" t="str">
        <f t="array" ref="H809">iferror(index(isotopes!$G:$G,match($A809,isotopes!$A:$A,0)))</f>
        <v>BIS33-3435</v>
      </c>
      <c r="I809" t="str">
        <f t="array" ref="I809">iferror(index(isotopes!$J:$J,match($A809,isotopes!$A:$A,0)))</f>
        <v>N</v>
      </c>
      <c r="J809" t="str">
        <f t="array" ref="J809">iferror(index(extra_muscle!$G:$G,match($A809,extra_muscle!$A:$A,0)))</f>
        <v>BXM31-35</v>
      </c>
      <c r="K809" t="str">
        <f t="array" ref="K809">iferror(index(extra_muscle!$J:$J,match($A809,extra_muscle!$A:$A,0)))</f>
        <v>N</v>
      </c>
      <c r="L809" s="59" t="str">
        <f t="array" ref="L809">iferror(index(dna!$G:$G,match($A809,dna!$A:$A,0)))</f>
        <v/>
      </c>
      <c r="M809" s="60" t="str">
        <f t="array" ref="M809">iferror(index(dna!$J:$J,match($A809,dna!$A:$A,0)))</f>
        <v/>
      </c>
      <c r="N809" t="str">
        <f t="array" ref="N809">iferror(index(stomachs!$G:$G,match($A809,stomachs!$A:$A,0)))</f>
        <v/>
      </c>
      <c r="O809" t="str">
        <f t="array" ref="O809">iferror(index(stomachs!$J:$J,match($A809,stomachs!$A:$A,0)))</f>
        <v/>
      </c>
      <c r="P809" t="str">
        <f t="array" ref="P809">iferror(index(sea_lice!$G:$G,match($A809,sea_lice!$A:$A,0)))</f>
        <v/>
      </c>
      <c r="Q809" t="str">
        <f t="array" ref="Q809">iferror(index(sea_lice!$J:$J,match($A809,sea_lice!$A:$A,0)))</f>
        <v/>
      </c>
      <c r="R809" s="40" t="str">
        <f t="array" ref="R809">iferror(index(dissected_fish!$F:$F,match($A809,dissected_fish!$A:$A,0)))</f>
        <v>BCA107</v>
      </c>
      <c r="S809" s="40" t="str">
        <f t="array" ref="S809">iferror(index(dissected_fish!$K:$K,match($A809,dissected_fish!$A:$A,0)))</f>
        <v>N</v>
      </c>
      <c r="T809" s="61" t="str">
        <f t="array" ref="T809">index(fish_lab_data!O:O,match(A809,fish_lab_data!C:C,0))</f>
        <v>KB</v>
      </c>
      <c r="U809" s="61">
        <f t="array" ref="U809">if(A809="","",index(fish_lab_data!X:X,match(A809,fish_lab_data!C:C,0)))</f>
        <v>808</v>
      </c>
    </row>
    <row r="810">
      <c r="A810" t="str">
        <f>fish_lab_data!C810</f>
        <v>U17342</v>
      </c>
      <c r="B810" t="str">
        <f t="array" ref="B810">iferror(index('rna-muscle'!$I:$I,match($A810,'rna-muscle'!$A:$A,0)))</f>
        <v>BRN69M-F11</v>
      </c>
      <c r="C810" t="str">
        <f t="array" ref="C810">iferror(index('rna-muscle'!$L:$L,match($A810,'rna-muscle'!$A:$A,0)))</f>
        <v>N</v>
      </c>
      <c r="D810" t="str">
        <f t="array" ref="D810">iferror(index('rna-gill'!$I:$I,match($A810,'rna-gill'!$A:$A,0)))</f>
        <v>BRN69G-F11</v>
      </c>
      <c r="E810" t="str">
        <f t="array" ref="E810">iferror(index('rna-gill'!$L:$L,match($A810,'rna-gill'!$A:$A,0)))</f>
        <v>N</v>
      </c>
      <c r="F810" t="str">
        <f t="array" ref="F810">iferror(index(fatty_acid!$G:$G,match($A810,fatty_acid!$A:$A,0)))</f>
        <v>BFA30-36</v>
      </c>
      <c r="G810" t="str">
        <f t="array" ref="G810">iferror(index(fatty_acid!$J:$J,match($A810,fatty_acid!$A:$A,0)))</f>
        <v>N</v>
      </c>
      <c r="H810" t="str">
        <f t="array" ref="H810">iferror(index(isotopes!$G:$G,match($A810,isotopes!$A:$A,0)))</f>
        <v>BIS33-3536</v>
      </c>
      <c r="I810" t="str">
        <f t="array" ref="I810">iferror(index(isotopes!$J:$J,match($A810,isotopes!$A:$A,0)))</f>
        <v>N</v>
      </c>
      <c r="J810" t="str">
        <f t="array" ref="J810">iferror(index(extra_muscle!$G:$G,match($A810,extra_muscle!$A:$A,0)))</f>
        <v>BXM31-36</v>
      </c>
      <c r="K810" t="str">
        <f t="array" ref="K810">iferror(index(extra_muscle!$J:$J,match($A810,extra_muscle!$A:$A,0)))</f>
        <v>N</v>
      </c>
      <c r="L810" s="59" t="str">
        <f t="array" ref="L810">iferror(index(dna!$G:$G,match($A810,dna!$A:$A,0)))</f>
        <v/>
      </c>
      <c r="M810" s="60" t="str">
        <f t="array" ref="M810">iferror(index(dna!$J:$J,match($A810,dna!$A:$A,0)))</f>
        <v/>
      </c>
      <c r="N810" t="str">
        <f t="array" ref="N810">iferror(index(stomachs!$G:$G,match($A810,stomachs!$A:$A,0)))</f>
        <v/>
      </c>
      <c r="O810" t="str">
        <f t="array" ref="O810">iferror(index(stomachs!$J:$J,match($A810,stomachs!$A:$A,0)))</f>
        <v/>
      </c>
      <c r="P810" t="str">
        <f t="array" ref="P810">iferror(index(sea_lice!$G:$G,match($A810,sea_lice!$A:$A,0)))</f>
        <v>BSL6-87</v>
      </c>
      <c r="Q810" t="str">
        <f t="array" ref="Q810">iferror(index(sea_lice!$J:$J,match($A810,sea_lice!$A:$A,0)))</f>
        <v>N</v>
      </c>
      <c r="R810" s="40" t="str">
        <f t="array" ref="R810">iferror(index(dissected_fish!$F:$F,match($A810,dissected_fish!$A:$A,0)))</f>
        <v>BCA107</v>
      </c>
      <c r="S810" s="40" t="str">
        <f t="array" ref="S810">iferror(index(dissected_fish!$K:$K,match($A810,dissected_fish!$A:$A,0)))</f>
        <v>N</v>
      </c>
      <c r="T810" s="61" t="str">
        <f t="array" ref="T810">index(fish_lab_data!O:O,match(A810,fish_lab_data!C:C,0))</f>
        <v>KB</v>
      </c>
      <c r="U810" s="61">
        <f t="array" ref="U810">if(A810="","",index(fish_lab_data!X:X,match(A810,fish_lab_data!C:C,0)))</f>
        <v>809</v>
      </c>
    </row>
    <row r="811">
      <c r="A811" t="str">
        <f>fish_lab_data!C811</f>
        <v>U17345</v>
      </c>
      <c r="B811" t="str">
        <f t="array" ref="B811">iferror(index('rna-muscle'!$I:$I,match($A811,'rna-muscle'!$A:$A,0)))</f>
        <v>BRN69M-E11</v>
      </c>
      <c r="C811" t="str">
        <f t="array" ref="C811">iferror(index('rna-muscle'!$L:$L,match($A811,'rna-muscle'!$A:$A,0)))</f>
        <v>N</v>
      </c>
      <c r="D811" t="str">
        <f t="array" ref="D811">iferror(index('rna-gill'!$I:$I,match($A811,'rna-gill'!$A:$A,0)))</f>
        <v>BRN69G-E11</v>
      </c>
      <c r="E811" t="str">
        <f t="array" ref="E811">iferror(index('rna-gill'!$L:$L,match($A811,'rna-gill'!$A:$A,0)))</f>
        <v>N</v>
      </c>
      <c r="F811" t="str">
        <f t="array" ref="F811">iferror(index(fatty_acid!$G:$G,match($A811,fatty_acid!$A:$A,0)))</f>
        <v>BFA30-37</v>
      </c>
      <c r="G811" t="str">
        <f t="array" ref="G811">iferror(index(fatty_acid!$J:$J,match($A811,fatty_acid!$A:$A,0)))</f>
        <v>N</v>
      </c>
      <c r="H811" t="str">
        <f t="array" ref="H811">iferror(index(isotopes!$G:$G,match($A811,isotopes!$A:$A,0)))</f>
        <v>BIS33-36</v>
      </c>
      <c r="I811" t="str">
        <f t="array" ref="I811">iferror(index(isotopes!$J:$J,match($A811,isotopes!$A:$A,0)))</f>
        <v>N</v>
      </c>
      <c r="J811" t="str">
        <f t="array" ref="J811">iferror(index(extra_muscle!$G:$G,match($A811,extra_muscle!$A:$A,0)))</f>
        <v>BXM31-37</v>
      </c>
      <c r="K811" t="str">
        <f t="array" ref="K811">iferror(index(extra_muscle!$J:$J,match($A811,extra_muscle!$A:$A,0)))</f>
        <v>N</v>
      </c>
      <c r="L811" s="59" t="str">
        <f t="array" ref="L811">iferror(index(dna!$G:$G,match($A811,dna!$A:$A,0)))</f>
        <v/>
      </c>
      <c r="M811" s="60" t="str">
        <f t="array" ref="M811">iferror(index(dna!$J:$J,match($A811,dna!$A:$A,0)))</f>
        <v/>
      </c>
      <c r="N811" t="str">
        <f t="array" ref="N811">iferror(index(stomachs!$G:$G,match($A811,stomachs!$A:$A,0)))</f>
        <v/>
      </c>
      <c r="O811" t="str">
        <f t="array" ref="O811">iferror(index(stomachs!$J:$J,match($A811,stomachs!$A:$A,0)))</f>
        <v/>
      </c>
      <c r="P811" t="str">
        <f t="array" ref="P811">iferror(index(sea_lice!$G:$G,match($A811,sea_lice!$A:$A,0)))</f>
        <v/>
      </c>
      <c r="Q811" t="str">
        <f t="array" ref="Q811">iferror(index(sea_lice!$J:$J,match($A811,sea_lice!$A:$A,0)))</f>
        <v/>
      </c>
      <c r="R811" s="40" t="str">
        <f t="array" ref="R811">iferror(index(dissected_fish!$F:$F,match($A811,dissected_fish!$A:$A,0)))</f>
        <v>BCA107</v>
      </c>
      <c r="S811" s="40" t="str">
        <f t="array" ref="S811">iferror(index(dissected_fish!$K:$K,match($A811,dissected_fish!$A:$A,0)))</f>
        <v>N</v>
      </c>
      <c r="T811" s="61" t="str">
        <f t="array" ref="T811">index(fish_lab_data!O:O,match(A811,fish_lab_data!C:C,0))</f>
        <v>KB</v>
      </c>
      <c r="U811" s="61">
        <f t="array" ref="U811">if(A811="","",index(fish_lab_data!X:X,match(A811,fish_lab_data!C:C,0)))</f>
        <v>810</v>
      </c>
    </row>
    <row r="812">
      <c r="A812" t="str">
        <f>fish_lab_data!C812</f>
        <v>U17058</v>
      </c>
      <c r="B812" t="str">
        <f t="array" ref="B812">iferror(index('rna-muscle'!$I:$I,match($A812,'rna-muscle'!$A:$A,0)))</f>
        <v>BRN69M-C7</v>
      </c>
      <c r="C812" t="str">
        <f t="array" ref="C812">iferror(index('rna-muscle'!$L:$L,match($A812,'rna-muscle'!$A:$A,0)))</f>
        <v>N</v>
      </c>
      <c r="D812" t="str">
        <f t="array" ref="D812">iferror(index('rna-gill'!$I:$I,match($A812,'rna-gill'!$A:$A,0)))</f>
        <v>BRN69G-C7</v>
      </c>
      <c r="E812" t="str">
        <f t="array" ref="E812">iferror(index('rna-gill'!$L:$L,match($A812,'rna-gill'!$A:$A,0)))</f>
        <v>N</v>
      </c>
      <c r="F812" t="str">
        <f t="array" ref="F812">iferror(index(fatty_acid!$G:$G,match($A812,fatty_acid!$A:$A,0)))</f>
        <v>BFA29-81</v>
      </c>
      <c r="G812" t="str">
        <f t="array" ref="G812">iferror(index(fatty_acid!$J:$J,match($A812,fatty_acid!$A:$A,0)))</f>
        <v>N</v>
      </c>
      <c r="H812" t="str">
        <f t="array" ref="H812">iferror(index(isotopes!$G:$G,match($A812,isotopes!$A:$A,0)))</f>
        <v>BIS32-22</v>
      </c>
      <c r="I812" t="str">
        <f t="array" ref="I812">iferror(index(isotopes!$J:$J,match($A812,isotopes!$A:$A,0)))</f>
        <v>N</v>
      </c>
      <c r="J812" t="str">
        <f t="array" ref="J812">iferror(index(extra_muscle!$G:$G,match($A812,extra_muscle!$A:$A,0)))</f>
        <v>BXM30-67</v>
      </c>
      <c r="K812" t="str">
        <f t="array" ref="K812">iferror(index(extra_muscle!$J:$J,match($A812,extra_muscle!$A:$A,0)))</f>
        <v>N</v>
      </c>
      <c r="L812" s="59" t="str">
        <f t="array" ref="L812">iferror(index(dna!$G:$G,match($A812,dna!$A:$A,0)))</f>
        <v/>
      </c>
      <c r="M812" s="60" t="str">
        <f t="array" ref="M812">iferror(index(dna!$J:$J,match($A812,dna!$A:$A,0)))</f>
        <v/>
      </c>
      <c r="N812" t="str">
        <f t="array" ref="N812">iferror(index(stomachs!$G:$G,match($A812,stomachs!$A:$A,0)))</f>
        <v/>
      </c>
      <c r="O812" t="str">
        <f t="array" ref="O812">iferror(index(stomachs!$J:$J,match($A812,stomachs!$A:$A,0)))</f>
        <v/>
      </c>
      <c r="P812" t="str">
        <f t="array" ref="P812">iferror(index(sea_lice!$G:$G,match($A812,sea_lice!$A:$A,0)))</f>
        <v>BSL6-83</v>
      </c>
      <c r="Q812" t="str">
        <f t="array" ref="Q812">iferror(index(sea_lice!$J:$J,match($A812,sea_lice!$A:$A,0)))</f>
        <v>N</v>
      </c>
      <c r="R812" s="40" t="str">
        <f t="array" ref="R812">iferror(index(dissected_fish!$F:$F,match($A812,dissected_fish!$A:$A,0)))</f>
        <v>BCA107</v>
      </c>
      <c r="S812" s="40" t="str">
        <f t="array" ref="S812">iferror(index(dissected_fish!$K:$K,match($A812,dissected_fish!$A:$A,0)))</f>
        <v>N</v>
      </c>
      <c r="T812" s="61" t="str">
        <f t="array" ref="T812">index(fish_lab_data!O:O,match(A812,fish_lab_data!C:C,0))</f>
        <v>EJ</v>
      </c>
      <c r="U812" s="61">
        <f t="array" ref="U812">if(A812="","",index(fish_lab_data!X:X,match(A812,fish_lab_data!C:C,0)))</f>
        <v>811</v>
      </c>
    </row>
    <row r="813">
      <c r="A813" t="str">
        <f>fish_lab_data!C813</f>
        <v>U17059</v>
      </c>
      <c r="B813" t="str">
        <f t="array" ref="B813">iferror(index('rna-muscle'!$I:$I,match($A813,'rna-muscle'!$A:$A,0)))</f>
        <v>BRN69M-B7</v>
      </c>
      <c r="C813" t="str">
        <f t="array" ref="C813">iferror(index('rna-muscle'!$L:$L,match($A813,'rna-muscle'!$A:$A,0)))</f>
        <v>N</v>
      </c>
      <c r="D813" t="str">
        <f t="array" ref="D813">iferror(index('rna-gill'!$I:$I,match($A813,'rna-gill'!$A:$A,0)))</f>
        <v>BRN69G-B7</v>
      </c>
      <c r="E813" t="str">
        <f t="array" ref="E813">iferror(index('rna-gill'!$L:$L,match($A813,'rna-gill'!$A:$A,0)))</f>
        <v>N</v>
      </c>
      <c r="F813" t="str">
        <f t="array" ref="F813">iferror(index(fatty_acid!$G:$G,match($A813,fatty_acid!$A:$A,0)))</f>
        <v>BFA31-1</v>
      </c>
      <c r="G813" t="str">
        <f t="array" ref="G813">iferror(index(fatty_acid!$J:$J,match($A813,fatty_acid!$A:$A,0)))</f>
        <v>N</v>
      </c>
      <c r="H813" t="str">
        <f t="array" ref="H813">iferror(index(isotopes!$G:$G,match($A813,isotopes!$A:$A,0)))</f>
        <v>BIS32-23</v>
      </c>
      <c r="I813" t="str">
        <f t="array" ref="I813">iferror(index(isotopes!$J:$J,match($A813,isotopes!$A:$A,0)))</f>
        <v>N</v>
      </c>
      <c r="J813" t="str">
        <f t="array" ref="J813">iferror(index(extra_muscle!$G:$G,match($A813,extra_muscle!$A:$A,0)))</f>
        <v>BXM30-68</v>
      </c>
      <c r="K813" t="str">
        <f t="array" ref="K813">iferror(index(extra_muscle!$J:$J,match($A813,extra_muscle!$A:$A,0)))</f>
        <v>N</v>
      </c>
      <c r="L813" s="59" t="str">
        <f t="array" ref="L813">iferror(index(dna!$G:$G,match($A813,dna!$A:$A,0)))</f>
        <v/>
      </c>
      <c r="M813" s="60" t="str">
        <f t="array" ref="M813">iferror(index(dna!$J:$J,match($A813,dna!$A:$A,0)))</f>
        <v/>
      </c>
      <c r="N813" t="str">
        <f t="array" ref="N813">iferror(index(stomachs!$G:$G,match($A813,stomachs!$A:$A,0)))</f>
        <v/>
      </c>
      <c r="O813" t="str">
        <f t="array" ref="O813">iferror(index(stomachs!$J:$J,match($A813,stomachs!$A:$A,0)))</f>
        <v/>
      </c>
      <c r="P813" t="str">
        <f t="array" ref="P813">iferror(index(sea_lice!$G:$G,match($A813,sea_lice!$A:$A,0)))</f>
        <v/>
      </c>
      <c r="Q813" t="str">
        <f t="array" ref="Q813">iferror(index(sea_lice!$J:$J,match($A813,sea_lice!$A:$A,0)))</f>
        <v/>
      </c>
      <c r="R813" s="40" t="str">
        <f t="array" ref="R813">iferror(index(dissected_fish!$F:$F,match($A813,dissected_fish!$A:$A,0)))</f>
        <v>BCA107</v>
      </c>
      <c r="S813" s="40" t="str">
        <f t="array" ref="S813">iferror(index(dissected_fish!$K:$K,match($A813,dissected_fish!$A:$A,0)))</f>
        <v>N</v>
      </c>
      <c r="T813" s="61" t="str">
        <f t="array" ref="T813">index(fish_lab_data!O:O,match(A813,fish_lab_data!C:C,0))</f>
        <v>EJ</v>
      </c>
      <c r="U813" s="61">
        <f t="array" ref="U813">if(A813="","",index(fish_lab_data!X:X,match(A813,fish_lab_data!C:C,0)))</f>
        <v>812</v>
      </c>
    </row>
    <row r="814">
      <c r="A814" t="str">
        <f>fish_lab_data!C814</f>
        <v>U17060</v>
      </c>
      <c r="B814" t="str">
        <f t="array" ref="B814">iferror(index('rna-muscle'!$I:$I,match($A814,'rna-muscle'!$A:$A,0)))</f>
        <v>BRN69M-A7</v>
      </c>
      <c r="C814" t="str">
        <f t="array" ref="C814">iferror(index('rna-muscle'!$L:$L,match($A814,'rna-muscle'!$A:$A,0)))</f>
        <v>N</v>
      </c>
      <c r="D814" t="str">
        <f t="array" ref="D814">iferror(index('rna-gill'!$I:$I,match($A814,'rna-gill'!$A:$A,0)))</f>
        <v>BRN69G-A7</v>
      </c>
      <c r="E814" t="str">
        <f t="array" ref="E814">iferror(index('rna-gill'!$L:$L,match($A814,'rna-gill'!$A:$A,0)))</f>
        <v>N</v>
      </c>
      <c r="F814" t="str">
        <f t="array" ref="F814">iferror(index(fatty_acid!$G:$G,match($A814,fatty_acid!$A:$A,0)))</f>
        <v>BFA31-2</v>
      </c>
      <c r="G814" t="str">
        <f t="array" ref="G814">iferror(index(fatty_acid!$J:$J,match($A814,fatty_acid!$A:$A,0)))</f>
        <v>N</v>
      </c>
      <c r="H814" t="str">
        <f t="array" ref="H814">iferror(index(isotopes!$G:$G,match($A814,isotopes!$A:$A,0)))</f>
        <v>BIS32-24</v>
      </c>
      <c r="I814" t="str">
        <f t="array" ref="I814">iferror(index(isotopes!$J:$J,match($A814,isotopes!$A:$A,0)))</f>
        <v>N</v>
      </c>
      <c r="J814" t="str">
        <f t="array" ref="J814">iferror(index(extra_muscle!$G:$G,match($A814,extra_muscle!$A:$A,0)))</f>
        <v>BXM30-69</v>
      </c>
      <c r="K814" t="str">
        <f t="array" ref="K814">iferror(index(extra_muscle!$J:$J,match($A814,extra_muscle!$A:$A,0)))</f>
        <v>N</v>
      </c>
      <c r="L814" s="59" t="str">
        <f t="array" ref="L814">iferror(index(dna!$G:$G,match($A814,dna!$A:$A,0)))</f>
        <v/>
      </c>
      <c r="M814" s="60" t="str">
        <f t="array" ref="M814">iferror(index(dna!$J:$J,match($A814,dna!$A:$A,0)))</f>
        <v/>
      </c>
      <c r="N814" t="str">
        <f t="array" ref="N814">iferror(index(stomachs!$G:$G,match($A814,stomachs!$A:$A,0)))</f>
        <v/>
      </c>
      <c r="O814" t="str">
        <f t="array" ref="O814">iferror(index(stomachs!$J:$J,match($A814,stomachs!$A:$A,0)))</f>
        <v/>
      </c>
      <c r="P814" t="str">
        <f t="array" ref="P814">iferror(index(sea_lice!$G:$G,match($A814,sea_lice!$A:$A,0)))</f>
        <v/>
      </c>
      <c r="Q814" t="str">
        <f t="array" ref="Q814">iferror(index(sea_lice!$J:$J,match($A814,sea_lice!$A:$A,0)))</f>
        <v/>
      </c>
      <c r="R814" s="40" t="str">
        <f t="array" ref="R814">iferror(index(dissected_fish!$F:$F,match($A814,dissected_fish!$A:$A,0)))</f>
        <v>BCA107</v>
      </c>
      <c r="S814" s="40" t="str">
        <f t="array" ref="S814">iferror(index(dissected_fish!$K:$K,match($A814,dissected_fish!$A:$A,0)))</f>
        <v>N</v>
      </c>
      <c r="T814" s="61" t="str">
        <f t="array" ref="T814">index(fish_lab_data!O:O,match(A814,fish_lab_data!C:C,0))</f>
        <v>EJ</v>
      </c>
      <c r="U814" s="61">
        <f t="array" ref="U814">if(A814="","",index(fish_lab_data!X:X,match(A814,fish_lab_data!C:C,0)))</f>
        <v>813</v>
      </c>
    </row>
    <row r="815">
      <c r="A815" t="str">
        <f>fish_lab_data!C815</f>
        <v>U16081</v>
      </c>
      <c r="B815" t="str">
        <f t="array" ref="B815">iferror(index('rna-muscle'!$I:$I,match($A815,'rna-muscle'!$A:$A,0)))</f>
        <v>BRN69M-H10</v>
      </c>
      <c r="C815" t="str">
        <f t="array" ref="C815">iferror(index('rna-muscle'!$L:$L,match($A815,'rna-muscle'!$A:$A,0)))</f>
        <v>N</v>
      </c>
      <c r="D815" t="str">
        <f t="array" ref="D815">iferror(index('rna-gill'!$I:$I,match($A815,'rna-gill'!$A:$A,0)))</f>
        <v>BRN69G-H10</v>
      </c>
      <c r="E815" t="str">
        <f t="array" ref="E815">iferror(index('rna-gill'!$L:$L,match($A815,'rna-gill'!$A:$A,0)))</f>
        <v>N</v>
      </c>
      <c r="F815" t="str">
        <f t="array" ref="F815">iferror(index(fatty_acid!$G:$G,match($A815,fatty_acid!$A:$A,0)))</f>
        <v>BFA31-3</v>
      </c>
      <c r="G815" t="str">
        <f t="array" ref="G815">iferror(index(fatty_acid!$J:$J,match($A815,fatty_acid!$A:$A,0)))</f>
        <v>N</v>
      </c>
      <c r="H815" t="str">
        <f t="array" ref="H815">iferror(index(isotopes!$G:$G,match($A815,isotopes!$A:$A,0)))</f>
        <v>BIS32-25</v>
      </c>
      <c r="I815" t="str">
        <f t="array" ref="I815">iferror(index(isotopes!$J:$J,match($A815,isotopes!$A:$A,0)))</f>
        <v>N</v>
      </c>
      <c r="J815" t="str">
        <f t="array" ref="J815">iferror(index(extra_muscle!$G:$G,match($A815,extra_muscle!$A:$A,0)))</f>
        <v>BXM30-70</v>
      </c>
      <c r="K815" t="str">
        <f t="array" ref="K815">iferror(index(extra_muscle!$J:$J,match($A815,extra_muscle!$A:$A,0)))</f>
        <v>N</v>
      </c>
      <c r="L815" s="59" t="str">
        <f t="array" ref="L815">iferror(index(dna!$G:$G,match($A815,dna!$A:$A,0)))</f>
        <v/>
      </c>
      <c r="M815" s="60" t="str">
        <f t="array" ref="M815">iferror(index(dna!$J:$J,match($A815,dna!$A:$A,0)))</f>
        <v/>
      </c>
      <c r="N815" t="str">
        <f t="array" ref="N815">iferror(index(stomachs!$G:$G,match($A815,stomachs!$A:$A,0)))</f>
        <v/>
      </c>
      <c r="O815" t="str">
        <f t="array" ref="O815">iferror(index(stomachs!$J:$J,match($A815,stomachs!$A:$A,0)))</f>
        <v/>
      </c>
      <c r="P815" t="str">
        <f t="array" ref="P815">iferror(index(sea_lice!$G:$G,match($A815,sea_lice!$A:$A,0)))</f>
        <v>BSL6-85</v>
      </c>
      <c r="Q815" t="str">
        <f t="array" ref="Q815">iferror(index(sea_lice!$J:$J,match($A815,sea_lice!$A:$A,0)))</f>
        <v>N</v>
      </c>
      <c r="R815" s="40" t="str">
        <f t="array" ref="R815">iferror(index(dissected_fish!$F:$F,match($A815,dissected_fish!$A:$A,0)))</f>
        <v>BCA107</v>
      </c>
      <c r="S815" s="40" t="str">
        <f t="array" ref="S815">iferror(index(dissected_fish!$K:$K,match($A815,dissected_fish!$A:$A,0)))</f>
        <v>N</v>
      </c>
      <c r="T815" s="61" t="str">
        <f t="array" ref="T815">index(fish_lab_data!O:O,match(A815,fish_lab_data!C:C,0))</f>
        <v>EJ</v>
      </c>
      <c r="U815" s="61">
        <f t="array" ref="U815">if(A815="","",index(fish_lab_data!X:X,match(A815,fish_lab_data!C:C,0)))</f>
        <v>814</v>
      </c>
    </row>
    <row r="816">
      <c r="A816" t="str">
        <f>fish_lab_data!C816</f>
        <v>U16082</v>
      </c>
      <c r="B816" t="str">
        <f t="array" ref="B816">iferror(index('rna-muscle'!$I:$I,match($A816,'rna-muscle'!$A:$A,0)))</f>
        <v>BRN69M-G10</v>
      </c>
      <c r="C816" t="str">
        <f t="array" ref="C816">iferror(index('rna-muscle'!$L:$L,match($A816,'rna-muscle'!$A:$A,0)))</f>
        <v>N</v>
      </c>
      <c r="D816" t="str">
        <f t="array" ref="D816">iferror(index('rna-gill'!$I:$I,match($A816,'rna-gill'!$A:$A,0)))</f>
        <v>BRN69G-G10</v>
      </c>
      <c r="E816" t="str">
        <f t="array" ref="E816">iferror(index('rna-gill'!$L:$L,match($A816,'rna-gill'!$A:$A,0)))</f>
        <v>N</v>
      </c>
      <c r="F816" t="str">
        <f t="array" ref="F816">iferror(index(fatty_acid!$G:$G,match($A816,fatty_acid!$A:$A,0)))</f>
        <v>BFA31-4</v>
      </c>
      <c r="G816" t="str">
        <f t="array" ref="G816">iferror(index(fatty_acid!$J:$J,match($A816,fatty_acid!$A:$A,0)))</f>
        <v>N</v>
      </c>
      <c r="H816" t="str">
        <f t="array" ref="H816">iferror(index(isotopes!$G:$G,match($A816,isotopes!$A:$A,0)))</f>
        <v>BIS32-26</v>
      </c>
      <c r="I816" t="str">
        <f t="array" ref="I816">iferror(index(isotopes!$J:$J,match($A816,isotopes!$A:$A,0)))</f>
        <v>N</v>
      </c>
      <c r="J816" t="str">
        <f t="array" ref="J816">iferror(index(extra_muscle!$G:$G,match($A816,extra_muscle!$A:$A,0)))</f>
        <v>BXM30-71</v>
      </c>
      <c r="K816" t="str">
        <f t="array" ref="K816">iferror(index(extra_muscle!$J:$J,match($A816,extra_muscle!$A:$A,0)))</f>
        <v>N</v>
      </c>
      <c r="L816" s="59" t="str">
        <f t="array" ref="L816">iferror(index(dna!$G:$G,match($A816,dna!$A:$A,0)))</f>
        <v/>
      </c>
      <c r="M816" s="60" t="str">
        <f t="array" ref="M816">iferror(index(dna!$J:$J,match($A816,dna!$A:$A,0)))</f>
        <v/>
      </c>
      <c r="N816" t="str">
        <f t="array" ref="N816">iferror(index(stomachs!$G:$G,match($A816,stomachs!$A:$A,0)))</f>
        <v/>
      </c>
      <c r="O816" t="str">
        <f t="array" ref="O816">iferror(index(stomachs!$J:$J,match($A816,stomachs!$A:$A,0)))</f>
        <v/>
      </c>
      <c r="P816" t="str">
        <f t="array" ref="P816">iferror(index(sea_lice!$G:$G,match($A816,sea_lice!$A:$A,0)))</f>
        <v/>
      </c>
      <c r="Q816" t="str">
        <f t="array" ref="Q816">iferror(index(sea_lice!$J:$J,match($A816,sea_lice!$A:$A,0)))</f>
        <v/>
      </c>
      <c r="R816" s="40" t="str">
        <f t="array" ref="R816">iferror(index(dissected_fish!$F:$F,match($A816,dissected_fish!$A:$A,0)))</f>
        <v>BCA107</v>
      </c>
      <c r="S816" s="40" t="str">
        <f t="array" ref="S816">iferror(index(dissected_fish!$K:$K,match($A816,dissected_fish!$A:$A,0)))</f>
        <v>N</v>
      </c>
      <c r="T816" s="61" t="str">
        <f t="array" ref="T816">index(fish_lab_data!O:O,match(A816,fish_lab_data!C:C,0))</f>
        <v>EJ</v>
      </c>
      <c r="U816" s="61">
        <f t="array" ref="U816">if(A816="","",index(fish_lab_data!X:X,match(A816,fish_lab_data!C:C,0)))</f>
        <v>815</v>
      </c>
    </row>
    <row r="817">
      <c r="A817" t="str">
        <f>fish_lab_data!C817</f>
        <v>U16083</v>
      </c>
      <c r="B817" t="str">
        <f t="array" ref="B817">iferror(index('rna-muscle'!$I:$I,match($A817,'rna-muscle'!$A:$A,0)))</f>
        <v>BRN69M-F10</v>
      </c>
      <c r="C817" t="str">
        <f t="array" ref="C817">iferror(index('rna-muscle'!$L:$L,match($A817,'rna-muscle'!$A:$A,0)))</f>
        <v>N</v>
      </c>
      <c r="D817" t="str">
        <f t="array" ref="D817">iferror(index('rna-gill'!$I:$I,match($A817,'rna-gill'!$A:$A,0)))</f>
        <v>BRN69G-F10</v>
      </c>
      <c r="E817" t="str">
        <f t="array" ref="E817">iferror(index('rna-gill'!$L:$L,match($A817,'rna-gill'!$A:$A,0)))</f>
        <v>N</v>
      </c>
      <c r="F817" t="str">
        <f t="array" ref="F817">iferror(index(fatty_acid!$G:$G,match($A817,fatty_acid!$A:$A,0)))</f>
        <v>BFA31-5</v>
      </c>
      <c r="G817" t="str">
        <f t="array" ref="G817">iferror(index(fatty_acid!$J:$J,match($A817,fatty_acid!$A:$A,0)))</f>
        <v>N</v>
      </c>
      <c r="H817" t="str">
        <f t="array" ref="H817">iferror(index(isotopes!$G:$G,match($A817,isotopes!$A:$A,0)))</f>
        <v>BIS32-27</v>
      </c>
      <c r="I817" t="str">
        <f t="array" ref="I817">iferror(index(isotopes!$J:$J,match($A817,isotopes!$A:$A,0)))</f>
        <v>N</v>
      </c>
      <c r="J817" t="str">
        <f t="array" ref="J817">iferror(index(extra_muscle!$G:$G,match($A817,extra_muscle!$A:$A,0)))</f>
        <v>BXM30-72</v>
      </c>
      <c r="K817" t="str">
        <f t="array" ref="K817">iferror(index(extra_muscle!$J:$J,match($A817,extra_muscle!$A:$A,0)))</f>
        <v>N</v>
      </c>
      <c r="L817" s="59" t="str">
        <f t="array" ref="L817">iferror(index(dna!$G:$G,match($A817,dna!$A:$A,0)))</f>
        <v/>
      </c>
      <c r="M817" s="60" t="str">
        <f t="array" ref="M817">iferror(index(dna!$J:$J,match($A817,dna!$A:$A,0)))</f>
        <v/>
      </c>
      <c r="N817" t="str">
        <f t="array" ref="N817">iferror(index(stomachs!$G:$G,match($A817,stomachs!$A:$A,0)))</f>
        <v/>
      </c>
      <c r="O817" t="str">
        <f t="array" ref="O817">iferror(index(stomachs!$J:$J,match($A817,stomachs!$A:$A,0)))</f>
        <v/>
      </c>
      <c r="P817" t="str">
        <f t="array" ref="P817">iferror(index(sea_lice!$G:$G,match($A817,sea_lice!$A:$A,0)))</f>
        <v/>
      </c>
      <c r="Q817" t="str">
        <f t="array" ref="Q817">iferror(index(sea_lice!$J:$J,match($A817,sea_lice!$A:$A,0)))</f>
        <v/>
      </c>
      <c r="R817" s="40" t="str">
        <f t="array" ref="R817">iferror(index(dissected_fish!$F:$F,match($A817,dissected_fish!$A:$A,0)))</f>
        <v>BCA107</v>
      </c>
      <c r="S817" s="40" t="str">
        <f t="array" ref="S817">iferror(index(dissected_fish!$K:$K,match($A817,dissected_fish!$A:$A,0)))</f>
        <v>N</v>
      </c>
      <c r="T817" s="61" t="str">
        <f t="array" ref="T817">index(fish_lab_data!O:O,match(A817,fish_lab_data!C:C,0))</f>
        <v>EJ</v>
      </c>
      <c r="U817" s="61">
        <f t="array" ref="U817">if(A817="","",index(fish_lab_data!X:X,match(A817,fish_lab_data!C:C,0)))</f>
        <v>816</v>
      </c>
    </row>
    <row r="818">
      <c r="A818" t="str">
        <f>fish_lab_data!C818</f>
        <v>U16084</v>
      </c>
      <c r="B818" t="str">
        <f t="array" ref="B818">iferror(index('rna-muscle'!$I:$I,match($A818,'rna-muscle'!$A:$A,0)))</f>
        <v>BRN69M-E10</v>
      </c>
      <c r="C818" t="str">
        <f t="array" ref="C818">iferror(index('rna-muscle'!$L:$L,match($A818,'rna-muscle'!$A:$A,0)))</f>
        <v>N</v>
      </c>
      <c r="D818" t="str">
        <f t="array" ref="D818">iferror(index('rna-gill'!$I:$I,match($A818,'rna-gill'!$A:$A,0)))</f>
        <v>BRN69G-E10</v>
      </c>
      <c r="E818" t="str">
        <f t="array" ref="E818">iferror(index('rna-gill'!$L:$L,match($A818,'rna-gill'!$A:$A,0)))</f>
        <v>N</v>
      </c>
      <c r="F818" t="str">
        <f t="array" ref="F818">iferror(index(fatty_acid!$G:$G,match($A818,fatty_acid!$A:$A,0)))</f>
        <v>BFA31-6</v>
      </c>
      <c r="G818" t="str">
        <f t="array" ref="G818">iferror(index(fatty_acid!$J:$J,match($A818,fatty_acid!$A:$A,0)))</f>
        <v>N</v>
      </c>
      <c r="H818" t="str">
        <f t="array" ref="H818">iferror(index(isotopes!$G:$G,match($A818,isotopes!$A:$A,0)))</f>
        <v>BIS32-28</v>
      </c>
      <c r="I818" t="str">
        <f t="array" ref="I818">iferror(index(isotopes!$J:$J,match($A818,isotopes!$A:$A,0)))</f>
        <v>N</v>
      </c>
      <c r="J818" t="str">
        <f t="array" ref="J818">iferror(index(extra_muscle!$G:$G,match($A818,extra_muscle!$A:$A,0)))</f>
        <v>BXM30-73</v>
      </c>
      <c r="K818" t="str">
        <f t="array" ref="K818">iferror(index(extra_muscle!$J:$J,match($A818,extra_muscle!$A:$A,0)))</f>
        <v>N</v>
      </c>
      <c r="L818" s="59" t="str">
        <f t="array" ref="L818">iferror(index(dna!$G:$G,match($A818,dna!$A:$A,0)))</f>
        <v/>
      </c>
      <c r="M818" s="60" t="str">
        <f t="array" ref="M818">iferror(index(dna!$J:$J,match($A818,dna!$A:$A,0)))</f>
        <v/>
      </c>
      <c r="N818" t="str">
        <f t="array" ref="N818">iferror(index(stomachs!$G:$G,match($A818,stomachs!$A:$A,0)))</f>
        <v/>
      </c>
      <c r="O818" t="str">
        <f t="array" ref="O818">iferror(index(stomachs!$J:$J,match($A818,stomachs!$A:$A,0)))</f>
        <v/>
      </c>
      <c r="P818" t="str">
        <f t="array" ref="P818">iferror(index(sea_lice!$G:$G,match($A818,sea_lice!$A:$A,0)))</f>
        <v/>
      </c>
      <c r="Q818" t="str">
        <f t="array" ref="Q818">iferror(index(sea_lice!$J:$J,match($A818,sea_lice!$A:$A,0)))</f>
        <v/>
      </c>
      <c r="R818" s="40" t="str">
        <f t="array" ref="R818">iferror(index(dissected_fish!$F:$F,match($A818,dissected_fish!$A:$A,0)))</f>
        <v>BCA107</v>
      </c>
      <c r="S818" s="40" t="str">
        <f t="array" ref="S818">iferror(index(dissected_fish!$K:$K,match($A818,dissected_fish!$A:$A,0)))</f>
        <v>N</v>
      </c>
      <c r="T818" s="61" t="str">
        <f t="array" ref="T818">index(fish_lab_data!O:O,match(A818,fish_lab_data!C:C,0))</f>
        <v>EJ</v>
      </c>
      <c r="U818" s="61">
        <f t="array" ref="U818">if(A818="","",index(fish_lab_data!X:X,match(A818,fish_lab_data!C:C,0)))</f>
        <v>817</v>
      </c>
    </row>
    <row r="819">
      <c r="A819" t="str">
        <f>fish_lab_data!C819</f>
        <v>U16085</v>
      </c>
      <c r="B819" t="str">
        <f t="array" ref="B819">iferror(index('rna-muscle'!$I:$I,match($A819,'rna-muscle'!$A:$A,0)))</f>
        <v>BRN69M-D10</v>
      </c>
      <c r="C819" t="str">
        <f t="array" ref="C819">iferror(index('rna-muscle'!$L:$L,match($A819,'rna-muscle'!$A:$A,0)))</f>
        <v>N</v>
      </c>
      <c r="D819" t="str">
        <f t="array" ref="D819">iferror(index('rna-gill'!$I:$I,match($A819,'rna-gill'!$A:$A,0)))</f>
        <v>BRN69G-D10</v>
      </c>
      <c r="E819" t="str">
        <f t="array" ref="E819">iferror(index('rna-gill'!$L:$L,match($A819,'rna-gill'!$A:$A,0)))</f>
        <v>N</v>
      </c>
      <c r="F819" t="str">
        <f t="array" ref="F819">iferror(index(fatty_acid!$G:$G,match($A819,fatty_acid!$A:$A,0)))</f>
        <v>BFA31-7</v>
      </c>
      <c r="G819" t="str">
        <f t="array" ref="G819">iferror(index(fatty_acid!$J:$J,match($A819,fatty_acid!$A:$A,0)))</f>
        <v>N</v>
      </c>
      <c r="H819" t="str">
        <f t="array" ref="H819">iferror(index(isotopes!$G:$G,match($A819,isotopes!$A:$A,0)))</f>
        <v>BIS32-29</v>
      </c>
      <c r="I819" t="str">
        <f t="array" ref="I819">iferror(index(isotopes!$J:$J,match($A819,isotopes!$A:$A,0)))</f>
        <v>N</v>
      </c>
      <c r="J819" t="str">
        <f t="array" ref="J819">iferror(index(extra_muscle!$G:$G,match($A819,extra_muscle!$A:$A,0)))</f>
        <v>BXM30-74</v>
      </c>
      <c r="K819" t="str">
        <f t="array" ref="K819">iferror(index(extra_muscle!$J:$J,match($A819,extra_muscle!$A:$A,0)))</f>
        <v>N</v>
      </c>
      <c r="L819" s="59" t="str">
        <f t="array" ref="L819">iferror(index(dna!$G:$G,match($A819,dna!$A:$A,0)))</f>
        <v/>
      </c>
      <c r="M819" s="60" t="str">
        <f t="array" ref="M819">iferror(index(dna!$J:$J,match($A819,dna!$A:$A,0)))</f>
        <v/>
      </c>
      <c r="N819" t="str">
        <f t="array" ref="N819">iferror(index(stomachs!$G:$G,match($A819,stomachs!$A:$A,0)))</f>
        <v/>
      </c>
      <c r="O819" t="str">
        <f t="array" ref="O819">iferror(index(stomachs!$J:$J,match($A819,stomachs!$A:$A,0)))</f>
        <v/>
      </c>
      <c r="P819" t="str">
        <f t="array" ref="P819">iferror(index(sea_lice!$G:$G,match($A819,sea_lice!$A:$A,0)))</f>
        <v/>
      </c>
      <c r="Q819" t="str">
        <f t="array" ref="Q819">iferror(index(sea_lice!$J:$J,match($A819,sea_lice!$A:$A,0)))</f>
        <v/>
      </c>
      <c r="R819" s="40" t="str">
        <f t="array" ref="R819">iferror(index(dissected_fish!$F:$F,match($A819,dissected_fish!$A:$A,0)))</f>
        <v>BCA107</v>
      </c>
      <c r="S819" s="40" t="str">
        <f t="array" ref="S819">iferror(index(dissected_fish!$K:$K,match($A819,dissected_fish!$A:$A,0)))</f>
        <v>N</v>
      </c>
      <c r="T819" s="61" t="str">
        <f t="array" ref="T819">index(fish_lab_data!O:O,match(A819,fish_lab_data!C:C,0))</f>
        <v>EJ</v>
      </c>
      <c r="U819" s="61">
        <f t="array" ref="U819">if(A819="","",index(fish_lab_data!X:X,match(A819,fish_lab_data!C:C,0)))</f>
        <v>818</v>
      </c>
    </row>
    <row r="820">
      <c r="A820" t="str">
        <f>fish_lab_data!C820</f>
        <v>U16086</v>
      </c>
      <c r="B820" t="str">
        <f t="array" ref="B820">iferror(index('rna-muscle'!$I:$I,match($A820,'rna-muscle'!$A:$A,0)))</f>
        <v>BRN69M-C10</v>
      </c>
      <c r="C820" t="str">
        <f t="array" ref="C820">iferror(index('rna-muscle'!$L:$L,match($A820,'rna-muscle'!$A:$A,0)))</f>
        <v>N</v>
      </c>
      <c r="D820" t="str">
        <f t="array" ref="D820">iferror(index('rna-gill'!$I:$I,match($A820,'rna-gill'!$A:$A,0)))</f>
        <v>BRN69G-C10</v>
      </c>
      <c r="E820" t="str">
        <f t="array" ref="E820">iferror(index('rna-gill'!$L:$L,match($A820,'rna-gill'!$A:$A,0)))</f>
        <v>N</v>
      </c>
      <c r="F820" t="str">
        <f t="array" ref="F820">iferror(index(fatty_acid!$G:$G,match($A820,fatty_acid!$A:$A,0)))</f>
        <v>BFA31-8</v>
      </c>
      <c r="G820" t="str">
        <f t="array" ref="G820">iferror(index(fatty_acid!$J:$J,match($A820,fatty_acid!$A:$A,0)))</f>
        <v>N</v>
      </c>
      <c r="H820" t="str">
        <f t="array" ref="H820">iferror(index(isotopes!$G:$G,match($A820,isotopes!$A:$A,0)))</f>
        <v>BIS32-30</v>
      </c>
      <c r="I820" t="str">
        <f t="array" ref="I820">iferror(index(isotopes!$J:$J,match($A820,isotopes!$A:$A,0)))</f>
        <v>N</v>
      </c>
      <c r="J820" t="str">
        <f t="array" ref="J820">iferror(index(extra_muscle!$G:$G,match($A820,extra_muscle!$A:$A,0)))</f>
        <v>BXM30-75</v>
      </c>
      <c r="K820" t="str">
        <f t="array" ref="K820">iferror(index(extra_muscle!$J:$J,match($A820,extra_muscle!$A:$A,0)))</f>
        <v>N</v>
      </c>
      <c r="L820" s="59" t="str">
        <f t="array" ref="L820">iferror(index(dna!$G:$G,match($A820,dna!$A:$A,0)))</f>
        <v/>
      </c>
      <c r="M820" s="60" t="str">
        <f t="array" ref="M820">iferror(index(dna!$J:$J,match($A820,dna!$A:$A,0)))</f>
        <v/>
      </c>
      <c r="N820" t="str">
        <f t="array" ref="N820">iferror(index(stomachs!$G:$G,match($A820,stomachs!$A:$A,0)))</f>
        <v/>
      </c>
      <c r="O820" t="str">
        <f t="array" ref="O820">iferror(index(stomachs!$J:$J,match($A820,stomachs!$A:$A,0)))</f>
        <v/>
      </c>
      <c r="P820" t="str">
        <f t="array" ref="P820">iferror(index(sea_lice!$G:$G,match($A820,sea_lice!$A:$A,0)))</f>
        <v>BSL6-88</v>
      </c>
      <c r="Q820" t="str">
        <f t="array" ref="Q820">iferror(index(sea_lice!$J:$J,match($A820,sea_lice!$A:$A,0)))</f>
        <v>N</v>
      </c>
      <c r="R820" s="40" t="str">
        <f t="array" ref="R820">iferror(index(dissected_fish!$F:$F,match($A820,dissected_fish!$A:$A,0)))</f>
        <v>BCA107</v>
      </c>
      <c r="S820" s="40" t="str">
        <f t="array" ref="S820">iferror(index(dissected_fish!$K:$K,match($A820,dissected_fish!$A:$A,0)))</f>
        <v>N</v>
      </c>
      <c r="T820" s="61" t="str">
        <f t="array" ref="T820">index(fish_lab_data!O:O,match(A820,fish_lab_data!C:C,0))</f>
        <v>EJ</v>
      </c>
      <c r="U820" s="61">
        <f t="array" ref="U820">if(A820="","",index(fish_lab_data!X:X,match(A820,fish_lab_data!C:C,0)))</f>
        <v>819</v>
      </c>
    </row>
    <row r="821">
      <c r="A821" t="str">
        <f>fish_lab_data!C821</f>
        <v>U16087</v>
      </c>
      <c r="B821" t="str">
        <f t="array" ref="B821">iferror(index('rna-muscle'!$I:$I,match($A821,'rna-muscle'!$A:$A,0)))</f>
        <v>BRN69M-B10</v>
      </c>
      <c r="C821" t="str">
        <f t="array" ref="C821">iferror(index('rna-muscle'!$L:$L,match($A821,'rna-muscle'!$A:$A,0)))</f>
        <v>N</v>
      </c>
      <c r="D821" t="str">
        <f t="array" ref="D821">iferror(index('rna-gill'!$I:$I,match($A821,'rna-gill'!$A:$A,0)))</f>
        <v>BRN69G-B10</v>
      </c>
      <c r="E821" t="str">
        <f t="array" ref="E821">iferror(index('rna-gill'!$L:$L,match($A821,'rna-gill'!$A:$A,0)))</f>
        <v>N</v>
      </c>
      <c r="F821" t="str">
        <f t="array" ref="F821">iferror(index(fatty_acid!$G:$G,match($A821,fatty_acid!$A:$A,0)))</f>
        <v>BFA31-9</v>
      </c>
      <c r="G821" t="str">
        <f t="array" ref="G821">iferror(index(fatty_acid!$J:$J,match($A821,fatty_acid!$A:$A,0)))</f>
        <v>N</v>
      </c>
      <c r="H821" t="str">
        <f t="array" ref="H821">iferror(index(isotopes!$G:$G,match($A821,isotopes!$A:$A,0)))</f>
        <v>BIS32-31</v>
      </c>
      <c r="I821" t="str">
        <f t="array" ref="I821">iferror(index(isotopes!$J:$J,match($A821,isotopes!$A:$A,0)))</f>
        <v>N</v>
      </c>
      <c r="J821" t="str">
        <f t="array" ref="J821">iferror(index(extra_muscle!$G:$G,match($A821,extra_muscle!$A:$A,0)))</f>
        <v>BXM30-76</v>
      </c>
      <c r="K821" t="str">
        <f t="array" ref="K821">iferror(index(extra_muscle!$J:$J,match($A821,extra_muscle!$A:$A,0)))</f>
        <v>N</v>
      </c>
      <c r="L821" s="59" t="str">
        <f t="array" ref="L821">iferror(index(dna!$G:$G,match($A821,dna!$A:$A,0)))</f>
        <v/>
      </c>
      <c r="M821" s="60" t="str">
        <f t="array" ref="M821">iferror(index(dna!$J:$J,match($A821,dna!$A:$A,0)))</f>
        <v/>
      </c>
      <c r="N821" t="str">
        <f t="array" ref="N821">iferror(index(stomachs!$G:$G,match($A821,stomachs!$A:$A,0)))</f>
        <v/>
      </c>
      <c r="O821" t="str">
        <f t="array" ref="O821">iferror(index(stomachs!$J:$J,match($A821,stomachs!$A:$A,0)))</f>
        <v/>
      </c>
      <c r="P821" t="str">
        <f t="array" ref="P821">iferror(index(sea_lice!$G:$G,match($A821,sea_lice!$A:$A,0)))</f>
        <v/>
      </c>
      <c r="Q821" t="str">
        <f t="array" ref="Q821">iferror(index(sea_lice!$J:$J,match($A821,sea_lice!$A:$A,0)))</f>
        <v/>
      </c>
      <c r="R821" s="40" t="str">
        <f t="array" ref="R821">iferror(index(dissected_fish!$F:$F,match($A821,dissected_fish!$A:$A,0)))</f>
        <v>BCA107</v>
      </c>
      <c r="S821" s="40" t="str">
        <f t="array" ref="S821">iferror(index(dissected_fish!$K:$K,match($A821,dissected_fish!$A:$A,0)))</f>
        <v>N</v>
      </c>
      <c r="T821" s="61" t="str">
        <f t="array" ref="T821">index(fish_lab_data!O:O,match(A821,fish_lab_data!C:C,0))</f>
        <v>EJ</v>
      </c>
      <c r="U821" s="61">
        <f t="array" ref="U821">if(A821="","",index(fish_lab_data!X:X,match(A821,fish_lab_data!C:C,0)))</f>
        <v>820</v>
      </c>
    </row>
    <row r="822">
      <c r="A822" t="str">
        <f>fish_lab_data!C822</f>
        <v>U16088</v>
      </c>
      <c r="B822" t="str">
        <f t="array" ref="B822">iferror(index('rna-muscle'!$I:$I,match($A822,'rna-muscle'!$A:$A,0)))</f>
        <v>BRN69M-A10</v>
      </c>
      <c r="C822" t="str">
        <f t="array" ref="C822">iferror(index('rna-muscle'!$L:$L,match($A822,'rna-muscle'!$A:$A,0)))</f>
        <v>N</v>
      </c>
      <c r="D822" t="str">
        <f t="array" ref="D822">iferror(index('rna-gill'!$I:$I,match($A822,'rna-gill'!$A:$A,0)))</f>
        <v>BRN69G-A10</v>
      </c>
      <c r="E822" t="str">
        <f t="array" ref="E822">iferror(index('rna-gill'!$L:$L,match($A822,'rna-gill'!$A:$A,0)))</f>
        <v>N</v>
      </c>
      <c r="F822" t="str">
        <f t="array" ref="F822">iferror(index(fatty_acid!$G:$G,match($A822,fatty_acid!$A:$A,0)))</f>
        <v>BFA31-10</v>
      </c>
      <c r="G822" t="str">
        <f t="array" ref="G822">iferror(index(fatty_acid!$J:$J,match($A822,fatty_acid!$A:$A,0)))</f>
        <v>N</v>
      </c>
      <c r="H822" t="str">
        <f t="array" ref="H822">iferror(index(isotopes!$G:$G,match($A822,isotopes!$A:$A,0)))</f>
        <v>BIS32-32</v>
      </c>
      <c r="I822" t="str">
        <f t="array" ref="I822">iferror(index(isotopes!$J:$J,match($A822,isotopes!$A:$A,0)))</f>
        <v>N</v>
      </c>
      <c r="J822" t="str">
        <f t="array" ref="J822">iferror(index(extra_muscle!$G:$G,match($A822,extra_muscle!$A:$A,0)))</f>
        <v>BXM30-77</v>
      </c>
      <c r="K822" t="str">
        <f t="array" ref="K822">iferror(index(extra_muscle!$J:$J,match($A822,extra_muscle!$A:$A,0)))</f>
        <v>N</v>
      </c>
      <c r="L822" s="59" t="str">
        <f t="array" ref="L822">iferror(index(dna!$G:$G,match($A822,dna!$A:$A,0)))</f>
        <v/>
      </c>
      <c r="M822" s="60" t="str">
        <f t="array" ref="M822">iferror(index(dna!$J:$J,match($A822,dna!$A:$A,0)))</f>
        <v/>
      </c>
      <c r="N822" t="str">
        <f t="array" ref="N822">iferror(index(stomachs!$G:$G,match($A822,stomachs!$A:$A,0)))</f>
        <v/>
      </c>
      <c r="O822" t="str">
        <f t="array" ref="O822">iferror(index(stomachs!$J:$J,match($A822,stomachs!$A:$A,0)))</f>
        <v/>
      </c>
      <c r="P822" t="str">
        <f t="array" ref="P822">iferror(index(sea_lice!$G:$G,match($A822,sea_lice!$A:$A,0)))</f>
        <v/>
      </c>
      <c r="Q822" t="str">
        <f t="array" ref="Q822">iferror(index(sea_lice!$J:$J,match($A822,sea_lice!$A:$A,0)))</f>
        <v/>
      </c>
      <c r="R822" s="40" t="str">
        <f t="array" ref="R822">iferror(index(dissected_fish!$F:$F,match($A822,dissected_fish!$A:$A,0)))</f>
        <v>BCA107</v>
      </c>
      <c r="S822" s="40" t="str">
        <f t="array" ref="S822">iferror(index(dissected_fish!$K:$K,match($A822,dissected_fish!$A:$A,0)))</f>
        <v>N</v>
      </c>
      <c r="T822" s="61" t="str">
        <f t="array" ref="T822">index(fish_lab_data!O:O,match(A822,fish_lab_data!C:C,0))</f>
        <v>EJ</v>
      </c>
      <c r="U822" s="61">
        <f t="array" ref="U822">if(A822="","",index(fish_lab_data!X:X,match(A822,fish_lab_data!C:C,0)))</f>
        <v>821</v>
      </c>
    </row>
    <row r="823">
      <c r="A823" t="str">
        <f>fish_lab_data!C823</f>
        <v>U16089</v>
      </c>
      <c r="B823" t="str">
        <f t="array" ref="B823">iferror(index('rna-muscle'!$I:$I,match($A823,'rna-muscle'!$A:$A,0)))</f>
        <v>BRN69M-G12</v>
      </c>
      <c r="C823" t="str">
        <f t="array" ref="C823">iferror(index('rna-muscle'!$L:$L,match($A823,'rna-muscle'!$A:$A,0)))</f>
        <v>N</v>
      </c>
      <c r="D823" t="str">
        <f t="array" ref="D823">iferror(index('rna-gill'!$I:$I,match($A823,'rna-gill'!$A:$A,0)))</f>
        <v>BRN69G-G12</v>
      </c>
      <c r="E823" t="str">
        <f t="array" ref="E823">iferror(index('rna-gill'!$L:$L,match($A823,'rna-gill'!$A:$A,0)))</f>
        <v>N</v>
      </c>
      <c r="F823" t="str">
        <f t="array" ref="F823">iferror(index(fatty_acid!$G:$G,match($A823,fatty_acid!$A:$A,0)))</f>
        <v>BFA31-11</v>
      </c>
      <c r="G823" t="str">
        <f t="array" ref="G823">iferror(index(fatty_acid!$J:$J,match($A823,fatty_acid!$A:$A,0)))</f>
        <v>N</v>
      </c>
      <c r="H823" t="str">
        <f t="array" ref="H823">iferror(index(isotopes!$G:$G,match($A823,isotopes!$A:$A,0)))</f>
        <v>BIS32-33</v>
      </c>
      <c r="I823" t="str">
        <f t="array" ref="I823">iferror(index(isotopes!$J:$J,match($A823,isotopes!$A:$A,0)))</f>
        <v>N</v>
      </c>
      <c r="J823" t="str">
        <f t="array" ref="J823">iferror(index(extra_muscle!$G:$G,match($A823,extra_muscle!$A:$A,0)))</f>
        <v>BXM30-78</v>
      </c>
      <c r="K823" t="str">
        <f t="array" ref="K823">iferror(index(extra_muscle!$J:$J,match($A823,extra_muscle!$A:$A,0)))</f>
        <v>N</v>
      </c>
      <c r="L823" s="59" t="str">
        <f t="array" ref="L823">iferror(index(dna!$G:$G,match($A823,dna!$A:$A,0)))</f>
        <v/>
      </c>
      <c r="M823" s="60" t="str">
        <f t="array" ref="M823">iferror(index(dna!$J:$J,match($A823,dna!$A:$A,0)))</f>
        <v/>
      </c>
      <c r="N823" t="str">
        <f t="array" ref="N823">iferror(index(stomachs!$G:$G,match($A823,stomachs!$A:$A,0)))</f>
        <v/>
      </c>
      <c r="O823" t="str">
        <f t="array" ref="O823">iferror(index(stomachs!$J:$J,match($A823,stomachs!$A:$A,0)))</f>
        <v/>
      </c>
      <c r="P823" t="str">
        <f t="array" ref="P823">iferror(index(sea_lice!$G:$G,match($A823,sea_lice!$A:$A,0)))</f>
        <v/>
      </c>
      <c r="Q823" t="str">
        <f t="array" ref="Q823">iferror(index(sea_lice!$J:$J,match($A823,sea_lice!$A:$A,0)))</f>
        <v/>
      </c>
      <c r="R823" s="40" t="str">
        <f t="array" ref="R823">iferror(index(dissected_fish!$F:$F,match($A823,dissected_fish!$A:$A,0)))</f>
        <v>BCA107</v>
      </c>
      <c r="S823" s="40" t="str">
        <f t="array" ref="S823">iferror(index(dissected_fish!$K:$K,match($A823,dissected_fish!$A:$A,0)))</f>
        <v>N</v>
      </c>
      <c r="T823" s="61" t="str">
        <f t="array" ref="T823">index(fish_lab_data!O:O,match(A823,fish_lab_data!C:C,0))</f>
        <v>EJ</v>
      </c>
      <c r="U823" s="61">
        <f t="array" ref="U823">if(A823="","",index(fish_lab_data!X:X,match(A823,fish_lab_data!C:C,0)))</f>
        <v>822</v>
      </c>
    </row>
    <row r="824">
      <c r="A824" t="str">
        <f>fish_lab_data!C824</f>
        <v>U16090</v>
      </c>
      <c r="B824" t="str">
        <f t="array" ref="B824">iferror(index('rna-muscle'!$I:$I,match($A824,'rna-muscle'!$A:$A,0)))</f>
        <v>BRN69M-F12</v>
      </c>
      <c r="C824" t="str">
        <f t="array" ref="C824">iferror(index('rna-muscle'!$L:$L,match($A824,'rna-muscle'!$A:$A,0)))</f>
        <v>N</v>
      </c>
      <c r="D824" t="str">
        <f t="array" ref="D824">iferror(index('rna-gill'!$I:$I,match($A824,'rna-gill'!$A:$A,0)))</f>
        <v>BRN69G-F12</v>
      </c>
      <c r="E824" t="str">
        <f t="array" ref="E824">iferror(index('rna-gill'!$L:$L,match($A824,'rna-gill'!$A:$A,0)))</f>
        <v>N</v>
      </c>
      <c r="F824" t="str">
        <f t="array" ref="F824">iferror(index(fatty_acid!$G:$G,match($A824,fatty_acid!$A:$A,0)))</f>
        <v>BFA31-12</v>
      </c>
      <c r="G824" t="str">
        <f t="array" ref="G824">iferror(index(fatty_acid!$J:$J,match($A824,fatty_acid!$A:$A,0)))</f>
        <v>N</v>
      </c>
      <c r="H824" t="str">
        <f t="array" ref="H824">iferror(index(isotopes!$G:$G,match($A824,isotopes!$A:$A,0)))</f>
        <v>BIS32-34</v>
      </c>
      <c r="I824" t="str">
        <f t="array" ref="I824">iferror(index(isotopes!$J:$J,match($A824,isotopes!$A:$A,0)))</f>
        <v>N</v>
      </c>
      <c r="J824" t="str">
        <f t="array" ref="J824">iferror(index(extra_muscle!$G:$G,match($A824,extra_muscle!$A:$A,0)))</f>
        <v>BXM30-79</v>
      </c>
      <c r="K824" t="str">
        <f t="array" ref="K824">iferror(index(extra_muscle!$J:$J,match($A824,extra_muscle!$A:$A,0)))</f>
        <v>N</v>
      </c>
      <c r="L824" s="59" t="str">
        <f t="array" ref="L824">iferror(index(dna!$G:$G,match($A824,dna!$A:$A,0)))</f>
        <v/>
      </c>
      <c r="M824" s="60" t="str">
        <f t="array" ref="M824">iferror(index(dna!$J:$J,match($A824,dna!$A:$A,0)))</f>
        <v/>
      </c>
      <c r="N824" t="str">
        <f t="array" ref="N824">iferror(index(stomachs!$G:$G,match($A824,stomachs!$A:$A,0)))</f>
        <v/>
      </c>
      <c r="O824" t="str">
        <f t="array" ref="O824">iferror(index(stomachs!$J:$J,match($A824,stomachs!$A:$A,0)))</f>
        <v/>
      </c>
      <c r="P824" t="str">
        <f t="array" ref="P824">iferror(index(sea_lice!$G:$G,match($A824,sea_lice!$A:$A,0)))</f>
        <v/>
      </c>
      <c r="Q824" t="str">
        <f t="array" ref="Q824">iferror(index(sea_lice!$J:$J,match($A824,sea_lice!$A:$A,0)))</f>
        <v/>
      </c>
      <c r="R824" s="40" t="str">
        <f t="array" ref="R824">iferror(index(dissected_fish!$F:$F,match($A824,dissected_fish!$A:$A,0)))</f>
        <v>BCA107</v>
      </c>
      <c r="S824" s="40" t="str">
        <f t="array" ref="S824">iferror(index(dissected_fish!$K:$K,match($A824,dissected_fish!$A:$A,0)))</f>
        <v>N</v>
      </c>
      <c r="T824" s="61" t="str">
        <f t="array" ref="T824">index(fish_lab_data!O:O,match(A824,fish_lab_data!C:C,0))</f>
        <v>EJ</v>
      </c>
      <c r="U824" s="61">
        <f t="array" ref="U824">if(A824="","",index(fish_lab_data!X:X,match(A824,fish_lab_data!C:C,0)))</f>
        <v>823</v>
      </c>
    </row>
    <row r="825">
      <c r="A825" t="str">
        <f>fish_lab_data!C825</f>
        <v>U17141</v>
      </c>
      <c r="B825" t="str">
        <f t="array" ref="B825">iferror(index('rna-muscle'!$I:$I,match($A825,'rna-muscle'!$A:$A,0)))</f>
        <v>BRN69M-E12</v>
      </c>
      <c r="C825" t="str">
        <f t="array" ref="C825">iferror(index('rna-muscle'!$L:$L,match($A825,'rna-muscle'!$A:$A,0)))</f>
        <v>N</v>
      </c>
      <c r="D825" t="str">
        <f t="array" ref="D825">iferror(index('rna-gill'!$I:$I,match($A825,'rna-gill'!$A:$A,0)))</f>
        <v>BRN69G-E12</v>
      </c>
      <c r="E825" t="str">
        <f t="array" ref="E825">iferror(index('rna-gill'!$L:$L,match($A825,'rna-gill'!$A:$A,0)))</f>
        <v>N</v>
      </c>
      <c r="F825" t="str">
        <f t="array" ref="F825">iferror(index(fatty_acid!$G:$G,match($A825,fatty_acid!$A:$A,0)))</f>
        <v>BFA31-13</v>
      </c>
      <c r="G825" t="str">
        <f t="array" ref="G825">iferror(index(fatty_acid!$J:$J,match($A825,fatty_acid!$A:$A,0)))</f>
        <v>N</v>
      </c>
      <c r="H825" t="str">
        <f t="array" ref="H825">iferror(index(isotopes!$G:$G,match($A825,isotopes!$A:$A,0)))</f>
        <v>BIS32-35</v>
      </c>
      <c r="I825" t="str">
        <f t="array" ref="I825">iferror(index(isotopes!$J:$J,match($A825,isotopes!$A:$A,0)))</f>
        <v>N</v>
      </c>
      <c r="J825" t="str">
        <f t="array" ref="J825">iferror(index(extra_muscle!$G:$G,match($A825,extra_muscle!$A:$A,0)))</f>
        <v>BXM30-80</v>
      </c>
      <c r="K825" t="str">
        <f t="array" ref="K825">iferror(index(extra_muscle!$J:$J,match($A825,extra_muscle!$A:$A,0)))</f>
        <v>N</v>
      </c>
      <c r="L825" s="59" t="str">
        <f t="array" ref="L825">iferror(index(dna!$G:$G,match($A825,dna!$A:$A,0)))</f>
        <v/>
      </c>
      <c r="M825" s="60" t="str">
        <f t="array" ref="M825">iferror(index(dna!$J:$J,match($A825,dna!$A:$A,0)))</f>
        <v/>
      </c>
      <c r="N825" t="str">
        <f t="array" ref="N825">iferror(index(stomachs!$G:$G,match($A825,stomachs!$A:$A,0)))</f>
        <v/>
      </c>
      <c r="O825" t="str">
        <f t="array" ref="O825">iferror(index(stomachs!$J:$J,match($A825,stomachs!$A:$A,0)))</f>
        <v/>
      </c>
      <c r="P825" t="str">
        <f t="array" ref="P825">iferror(index(sea_lice!$G:$G,match($A825,sea_lice!$A:$A,0)))</f>
        <v/>
      </c>
      <c r="Q825" t="str">
        <f t="array" ref="Q825">iferror(index(sea_lice!$J:$J,match($A825,sea_lice!$A:$A,0)))</f>
        <v/>
      </c>
      <c r="R825" s="40" t="str">
        <f t="array" ref="R825">iferror(index(dissected_fish!$F:$F,match($A825,dissected_fish!$A:$A,0)))</f>
        <v>BCA107</v>
      </c>
      <c r="S825" s="40" t="str">
        <f t="array" ref="S825">iferror(index(dissected_fish!$K:$K,match($A825,dissected_fish!$A:$A,0)))</f>
        <v>N</v>
      </c>
      <c r="T825" s="61" t="str">
        <f t="array" ref="T825">index(fish_lab_data!O:O,match(A825,fish_lab_data!C:C,0))</f>
        <v>EJ</v>
      </c>
      <c r="U825" s="61">
        <f t="array" ref="U825">if(A825="","",index(fish_lab_data!X:X,match(A825,fish_lab_data!C:C,0)))</f>
        <v>824</v>
      </c>
    </row>
    <row r="826">
      <c r="A826" t="str">
        <f>fish_lab_data!C826</f>
        <v>U17142</v>
      </c>
      <c r="B826" t="str">
        <f t="array" ref="B826">iferror(index('rna-muscle'!$I:$I,match($A826,'rna-muscle'!$A:$A,0)))</f>
        <v>BRN69M-D12</v>
      </c>
      <c r="C826" t="str">
        <f t="array" ref="C826">iferror(index('rna-muscle'!$L:$L,match($A826,'rna-muscle'!$A:$A,0)))</f>
        <v>N</v>
      </c>
      <c r="D826" t="str">
        <f t="array" ref="D826">iferror(index('rna-gill'!$I:$I,match($A826,'rna-gill'!$A:$A,0)))</f>
        <v>BRN69G-D12</v>
      </c>
      <c r="E826" t="str">
        <f t="array" ref="E826">iferror(index('rna-gill'!$L:$L,match($A826,'rna-gill'!$A:$A,0)))</f>
        <v>N</v>
      </c>
      <c r="F826" t="str">
        <f t="array" ref="F826">iferror(index(fatty_acid!$G:$G,match($A826,fatty_acid!$A:$A,0)))</f>
        <v>BFA31-14</v>
      </c>
      <c r="G826" t="str">
        <f t="array" ref="G826">iferror(index(fatty_acid!$J:$J,match($A826,fatty_acid!$A:$A,0)))</f>
        <v>N</v>
      </c>
      <c r="H826" t="str">
        <f t="array" ref="H826">iferror(index(isotopes!$G:$G,match($A826,isotopes!$A:$A,0)))</f>
        <v>BIS32-36</v>
      </c>
      <c r="I826" t="str">
        <f t="array" ref="I826">iferror(index(isotopes!$J:$J,match($A826,isotopes!$A:$A,0)))</f>
        <v>N</v>
      </c>
      <c r="J826" t="str">
        <f t="array" ref="J826">iferror(index(extra_muscle!$G:$G,match($A826,extra_muscle!$A:$A,0)))</f>
        <v>BXM30-81</v>
      </c>
      <c r="K826" t="str">
        <f t="array" ref="K826">iferror(index(extra_muscle!$J:$J,match($A826,extra_muscle!$A:$A,0)))</f>
        <v>N</v>
      </c>
      <c r="L826" s="59" t="str">
        <f t="array" ref="L826">iferror(index(dna!$G:$G,match($A826,dna!$A:$A,0)))</f>
        <v/>
      </c>
      <c r="M826" s="60" t="str">
        <f t="array" ref="M826">iferror(index(dna!$J:$J,match($A826,dna!$A:$A,0)))</f>
        <v/>
      </c>
      <c r="N826" t="str">
        <f t="array" ref="N826">iferror(index(stomachs!$G:$G,match($A826,stomachs!$A:$A,0)))</f>
        <v/>
      </c>
      <c r="O826" t="str">
        <f t="array" ref="O826">iferror(index(stomachs!$J:$J,match($A826,stomachs!$A:$A,0)))</f>
        <v/>
      </c>
      <c r="P826" t="str">
        <f t="array" ref="P826">iferror(index(sea_lice!$G:$G,match($A826,sea_lice!$A:$A,0)))</f>
        <v/>
      </c>
      <c r="Q826" t="str">
        <f t="array" ref="Q826">iferror(index(sea_lice!$J:$J,match($A826,sea_lice!$A:$A,0)))</f>
        <v/>
      </c>
      <c r="R826" s="40" t="str">
        <f t="array" ref="R826">iferror(index(dissected_fish!$F:$F,match($A826,dissected_fish!$A:$A,0)))</f>
        <v>BCA107</v>
      </c>
      <c r="S826" s="40" t="str">
        <f t="array" ref="S826">iferror(index(dissected_fish!$K:$K,match($A826,dissected_fish!$A:$A,0)))</f>
        <v>N</v>
      </c>
      <c r="T826" s="61" t="str">
        <f t="array" ref="T826">index(fish_lab_data!O:O,match(A826,fish_lab_data!C:C,0))</f>
        <v>EJ</v>
      </c>
      <c r="U826" s="61">
        <f t="array" ref="U826">if(A826="","",index(fish_lab_data!X:X,match(A826,fish_lab_data!C:C,0)))</f>
        <v>825</v>
      </c>
    </row>
    <row r="827">
      <c r="A827" t="str">
        <f>fish_lab_data!C827</f>
        <v>U17143</v>
      </c>
      <c r="B827" t="str">
        <f t="array" ref="B827">iferror(index('rna-muscle'!$I:$I,match($A827,'rna-muscle'!$A:$A,0)))</f>
        <v>BRN69M-C12</v>
      </c>
      <c r="C827" t="str">
        <f t="array" ref="C827">iferror(index('rna-muscle'!$L:$L,match($A827,'rna-muscle'!$A:$A,0)))</f>
        <v>N</v>
      </c>
      <c r="D827" t="str">
        <f t="array" ref="D827">iferror(index('rna-gill'!$I:$I,match($A827,'rna-gill'!$A:$A,0)))</f>
        <v>BRN69G-C12</v>
      </c>
      <c r="E827" t="str">
        <f t="array" ref="E827">iferror(index('rna-gill'!$L:$L,match($A827,'rna-gill'!$A:$A,0)))</f>
        <v>N</v>
      </c>
      <c r="F827" t="str">
        <f t="array" ref="F827">iferror(index(fatty_acid!$G:$G,match($A827,fatty_acid!$A:$A,0)))</f>
        <v>BFA31-15</v>
      </c>
      <c r="G827" t="str">
        <f t="array" ref="G827">iferror(index(fatty_acid!$J:$J,match($A827,fatty_acid!$A:$A,0)))</f>
        <v>N</v>
      </c>
      <c r="H827" t="str">
        <f t="array" ref="H827">iferror(index(isotopes!$G:$G,match($A827,isotopes!$A:$A,0)))</f>
        <v>BIS32-37</v>
      </c>
      <c r="I827" t="str">
        <f t="array" ref="I827">iferror(index(isotopes!$J:$J,match($A827,isotopes!$A:$A,0)))</f>
        <v>N</v>
      </c>
      <c r="J827" t="str">
        <f t="array" ref="J827">iferror(index(extra_muscle!$G:$G,match($A827,extra_muscle!$A:$A,0)))</f>
        <v>BXM32-1</v>
      </c>
      <c r="K827" t="str">
        <f t="array" ref="K827">iferror(index(extra_muscle!$J:$J,match($A827,extra_muscle!$A:$A,0)))</f>
        <v>N</v>
      </c>
      <c r="L827" s="59" t="str">
        <f t="array" ref="L827">iferror(index(dna!$G:$G,match($A827,dna!$A:$A,0)))</f>
        <v/>
      </c>
      <c r="M827" s="60" t="str">
        <f t="array" ref="M827">iferror(index(dna!$J:$J,match($A827,dna!$A:$A,0)))</f>
        <v/>
      </c>
      <c r="N827" t="str">
        <f t="array" ref="N827">iferror(index(stomachs!$G:$G,match($A827,stomachs!$A:$A,0)))</f>
        <v/>
      </c>
      <c r="O827" t="str">
        <f t="array" ref="O827">iferror(index(stomachs!$J:$J,match($A827,stomachs!$A:$A,0)))</f>
        <v/>
      </c>
      <c r="P827" t="str">
        <f t="array" ref="P827">iferror(index(sea_lice!$G:$G,match($A827,sea_lice!$A:$A,0)))</f>
        <v/>
      </c>
      <c r="Q827" t="str">
        <f t="array" ref="Q827">iferror(index(sea_lice!$J:$J,match($A827,sea_lice!$A:$A,0)))</f>
        <v/>
      </c>
      <c r="R827" s="40" t="str">
        <f t="array" ref="R827">iferror(index(dissected_fish!$F:$F,match($A827,dissected_fish!$A:$A,0)))</f>
        <v>BCA107</v>
      </c>
      <c r="S827" s="40" t="str">
        <f t="array" ref="S827">iferror(index(dissected_fish!$K:$K,match($A827,dissected_fish!$A:$A,0)))</f>
        <v>N</v>
      </c>
      <c r="T827" s="61" t="str">
        <f t="array" ref="T827">index(fish_lab_data!O:O,match(A827,fish_lab_data!C:C,0))</f>
        <v>EJ</v>
      </c>
      <c r="U827" s="61">
        <f t="array" ref="U827">if(A827="","",index(fish_lab_data!X:X,match(A827,fish_lab_data!C:C,0)))</f>
        <v>826</v>
      </c>
    </row>
    <row r="828">
      <c r="A828" t="str">
        <f>fish_lab_data!C828</f>
        <v>U17144</v>
      </c>
      <c r="B828" t="str">
        <f t="array" ref="B828">iferror(index('rna-muscle'!$I:$I,match($A828,'rna-muscle'!$A:$A,0)))</f>
        <v>BRN69M-B12</v>
      </c>
      <c r="C828" t="str">
        <f t="array" ref="C828">iferror(index('rna-muscle'!$L:$L,match($A828,'rna-muscle'!$A:$A,0)))</f>
        <v>N</v>
      </c>
      <c r="D828" t="str">
        <f t="array" ref="D828">iferror(index('rna-gill'!$I:$I,match($A828,'rna-gill'!$A:$A,0)))</f>
        <v>BRN69G-B12</v>
      </c>
      <c r="E828" t="str">
        <f t="array" ref="E828">iferror(index('rna-gill'!$L:$L,match($A828,'rna-gill'!$A:$A,0)))</f>
        <v>N</v>
      </c>
      <c r="F828" t="str">
        <f t="array" ref="F828">iferror(index(fatty_acid!$G:$G,match($A828,fatty_acid!$A:$A,0)))</f>
        <v>BFA31-16</v>
      </c>
      <c r="G828" t="str">
        <f t="array" ref="G828">iferror(index(fatty_acid!$J:$J,match($A828,fatty_acid!$A:$A,0)))</f>
        <v>N</v>
      </c>
      <c r="H828" t="str">
        <f t="array" ref="H828">iferror(index(isotopes!$G:$G,match($A828,isotopes!$A:$A,0)))</f>
        <v>BIS32-38</v>
      </c>
      <c r="I828" t="str">
        <f t="array" ref="I828">iferror(index(isotopes!$J:$J,match($A828,isotopes!$A:$A,0)))</f>
        <v>N</v>
      </c>
      <c r="J828" t="str">
        <f t="array" ref="J828">iferror(index(extra_muscle!$G:$G,match($A828,extra_muscle!$A:$A,0)))</f>
        <v>BXM32-2</v>
      </c>
      <c r="K828" t="str">
        <f t="array" ref="K828">iferror(index(extra_muscle!$J:$J,match($A828,extra_muscle!$A:$A,0)))</f>
        <v>N</v>
      </c>
      <c r="L828" s="59" t="str">
        <f t="array" ref="L828">iferror(index(dna!$G:$G,match($A828,dna!$A:$A,0)))</f>
        <v/>
      </c>
      <c r="M828" s="60" t="str">
        <f t="array" ref="M828">iferror(index(dna!$J:$J,match($A828,dna!$A:$A,0)))</f>
        <v/>
      </c>
      <c r="N828" t="str">
        <f t="array" ref="N828">iferror(index(stomachs!$G:$G,match($A828,stomachs!$A:$A,0)))</f>
        <v/>
      </c>
      <c r="O828" t="str">
        <f t="array" ref="O828">iferror(index(stomachs!$J:$J,match($A828,stomachs!$A:$A,0)))</f>
        <v/>
      </c>
      <c r="P828" t="str">
        <f t="array" ref="P828">iferror(index(sea_lice!$G:$G,match($A828,sea_lice!$A:$A,0)))</f>
        <v>BSL6-89</v>
      </c>
      <c r="Q828" t="str">
        <f t="array" ref="Q828">iferror(index(sea_lice!$J:$J,match($A828,sea_lice!$A:$A,0)))</f>
        <v>N</v>
      </c>
      <c r="R828" s="40" t="str">
        <f t="array" ref="R828">iferror(index(dissected_fish!$F:$F,match($A828,dissected_fish!$A:$A,0)))</f>
        <v>BCA107</v>
      </c>
      <c r="S828" s="40" t="str">
        <f t="array" ref="S828">iferror(index(dissected_fish!$K:$K,match($A828,dissected_fish!$A:$A,0)))</f>
        <v>N</v>
      </c>
      <c r="T828" s="61" t="str">
        <f t="array" ref="T828">index(fish_lab_data!O:O,match(A828,fish_lab_data!C:C,0))</f>
        <v>EJ</v>
      </c>
      <c r="U828" s="61">
        <f t="array" ref="U828">if(A828="","",index(fish_lab_data!X:X,match(A828,fish_lab_data!C:C,0)))</f>
        <v>827</v>
      </c>
    </row>
    <row r="829">
      <c r="A829" t="str">
        <f>fish_lab_data!C829</f>
        <v>U17145</v>
      </c>
      <c r="B829" t="str">
        <f t="array" ref="B829">iferror(index('rna-muscle'!$I:$I,match($A829,'rna-muscle'!$A:$A,0)))</f>
        <v>BRN69M-A12</v>
      </c>
      <c r="C829" t="str">
        <f t="array" ref="C829">iferror(index('rna-muscle'!$L:$L,match($A829,'rna-muscle'!$A:$A,0)))</f>
        <v>N</v>
      </c>
      <c r="D829" t="str">
        <f t="array" ref="D829">iferror(index('rna-gill'!$I:$I,match($A829,'rna-gill'!$A:$A,0)))</f>
        <v>BRN69G-A12</v>
      </c>
      <c r="E829" t="str">
        <f t="array" ref="E829">iferror(index('rna-gill'!$L:$L,match($A829,'rna-gill'!$A:$A,0)))</f>
        <v>N</v>
      </c>
      <c r="F829" t="str">
        <f t="array" ref="F829">iferror(index(fatty_acid!$G:$G,match($A829,fatty_acid!$A:$A,0)))</f>
        <v>BFA31-17</v>
      </c>
      <c r="G829" t="str">
        <f t="array" ref="G829">iferror(index(fatty_acid!$J:$J,match($A829,fatty_acid!$A:$A,0)))</f>
        <v>N</v>
      </c>
      <c r="H829" t="str">
        <f t="array" ref="H829">iferror(index(isotopes!$G:$G,match($A829,isotopes!$A:$A,0)))</f>
        <v>BIS32-39</v>
      </c>
      <c r="I829" t="str">
        <f t="array" ref="I829">iferror(index(isotopes!$J:$J,match($A829,isotopes!$A:$A,0)))</f>
        <v>N</v>
      </c>
      <c r="J829" t="str">
        <f t="array" ref="J829">iferror(index(extra_muscle!$G:$G,match($A829,extra_muscle!$A:$A,0)))</f>
        <v>BXM32-3</v>
      </c>
      <c r="K829" t="str">
        <f t="array" ref="K829">iferror(index(extra_muscle!$J:$J,match($A829,extra_muscle!$A:$A,0)))</f>
        <v>N</v>
      </c>
      <c r="L829" s="59" t="str">
        <f t="array" ref="L829">iferror(index(dna!$G:$G,match($A829,dna!$A:$A,0)))</f>
        <v/>
      </c>
      <c r="M829" s="60" t="str">
        <f t="array" ref="M829">iferror(index(dna!$J:$J,match($A829,dna!$A:$A,0)))</f>
        <v/>
      </c>
      <c r="N829" t="str">
        <f t="array" ref="N829">iferror(index(stomachs!$G:$G,match($A829,stomachs!$A:$A,0)))</f>
        <v/>
      </c>
      <c r="O829" t="str">
        <f t="array" ref="O829">iferror(index(stomachs!$J:$J,match($A829,stomachs!$A:$A,0)))</f>
        <v/>
      </c>
      <c r="P829" t="str">
        <f t="array" ref="P829">iferror(index(sea_lice!$G:$G,match($A829,sea_lice!$A:$A,0)))</f>
        <v/>
      </c>
      <c r="Q829" t="str">
        <f t="array" ref="Q829">iferror(index(sea_lice!$J:$J,match($A829,sea_lice!$A:$A,0)))</f>
        <v/>
      </c>
      <c r="R829" s="40" t="str">
        <f t="array" ref="R829">iferror(index(dissected_fish!$F:$F,match($A829,dissected_fish!$A:$A,0)))</f>
        <v>BCA107</v>
      </c>
      <c r="S829" s="40" t="str">
        <f t="array" ref="S829">iferror(index(dissected_fish!$K:$K,match($A829,dissected_fish!$A:$A,0)))</f>
        <v>N</v>
      </c>
      <c r="T829" s="61" t="str">
        <f t="array" ref="T829">index(fish_lab_data!O:O,match(A829,fish_lab_data!C:C,0))</f>
        <v>EJ</v>
      </c>
      <c r="U829" s="61">
        <f t="array" ref="U829">if(A829="","",index(fish_lab_data!X:X,match(A829,fish_lab_data!C:C,0)))</f>
        <v>828</v>
      </c>
    </row>
    <row r="830">
      <c r="A830" t="str">
        <f>fish_lab_data!C830</f>
        <v>U17146</v>
      </c>
      <c r="B830" t="str">
        <f t="array" ref="B830">iferror(index('rna-muscle'!$I:$I,match($A830,'rna-muscle'!$A:$A,0)))</f>
        <v>BRN70M-H1</v>
      </c>
      <c r="C830" t="str">
        <f t="array" ref="C830">iferror(index('rna-muscle'!$L:$L,match($A830,'rna-muscle'!$A:$A,0)))</f>
        <v>N</v>
      </c>
      <c r="D830" t="str">
        <f t="array" ref="D830">iferror(index('rna-gill'!$I:$I,match($A830,'rna-gill'!$A:$A,0)))</f>
        <v>BRN70G-H1</v>
      </c>
      <c r="E830" t="str">
        <f t="array" ref="E830">iferror(index('rna-gill'!$L:$L,match($A830,'rna-gill'!$A:$A,0)))</f>
        <v>N</v>
      </c>
      <c r="F830" t="str">
        <f t="array" ref="F830">iferror(index(fatty_acid!$G:$G,match($A830,fatty_acid!$A:$A,0)))</f>
        <v>BFA31-18</v>
      </c>
      <c r="G830" t="str">
        <f t="array" ref="G830">iferror(index(fatty_acid!$J:$J,match($A830,fatty_acid!$A:$A,0)))</f>
        <v>N</v>
      </c>
      <c r="H830" t="str">
        <f t="array" ref="H830">iferror(index(isotopes!$G:$G,match($A830,isotopes!$A:$A,0)))</f>
        <v>BIS32-40</v>
      </c>
      <c r="I830" t="str">
        <f t="array" ref="I830">iferror(index(isotopes!$J:$J,match($A830,isotopes!$A:$A,0)))</f>
        <v>N</v>
      </c>
      <c r="J830" t="str">
        <f t="array" ref="J830">iferror(index(extra_muscle!$G:$G,match($A830,extra_muscle!$A:$A,0)))</f>
        <v>BXM32-4</v>
      </c>
      <c r="K830" t="str">
        <f t="array" ref="K830">iferror(index(extra_muscle!$J:$J,match($A830,extra_muscle!$A:$A,0)))</f>
        <v>N</v>
      </c>
      <c r="L830" s="59" t="str">
        <f t="array" ref="L830">iferror(index(dna!$G:$G,match($A830,dna!$A:$A,0)))</f>
        <v/>
      </c>
      <c r="M830" s="60" t="str">
        <f t="array" ref="M830">iferror(index(dna!$J:$J,match($A830,dna!$A:$A,0)))</f>
        <v/>
      </c>
      <c r="N830" t="str">
        <f t="array" ref="N830">iferror(index(stomachs!$G:$G,match($A830,stomachs!$A:$A,0)))</f>
        <v/>
      </c>
      <c r="O830" t="str">
        <f t="array" ref="O830">iferror(index(stomachs!$J:$J,match($A830,stomachs!$A:$A,0)))</f>
        <v/>
      </c>
      <c r="P830" t="str">
        <f t="array" ref="P830">iferror(index(sea_lice!$G:$G,match($A830,sea_lice!$A:$A,0)))</f>
        <v/>
      </c>
      <c r="Q830" t="str">
        <f t="array" ref="Q830">iferror(index(sea_lice!$J:$J,match($A830,sea_lice!$A:$A,0)))</f>
        <v/>
      </c>
      <c r="R830" s="40" t="str">
        <f t="array" ref="R830">iferror(index(dissected_fish!$F:$F,match($A830,dissected_fish!$A:$A,0)))</f>
        <v>BCA107</v>
      </c>
      <c r="S830" s="40" t="str">
        <f t="array" ref="S830">iferror(index(dissected_fish!$K:$K,match($A830,dissected_fish!$A:$A,0)))</f>
        <v>N</v>
      </c>
      <c r="T830" s="61" t="str">
        <f t="array" ref="T830">index(fish_lab_data!O:O,match(A830,fish_lab_data!C:C,0))</f>
        <v>EJ</v>
      </c>
      <c r="U830" s="61">
        <f t="array" ref="U830">if(A830="","",index(fish_lab_data!X:X,match(A830,fish_lab_data!C:C,0)))</f>
        <v>829</v>
      </c>
    </row>
    <row r="831">
      <c r="A831" t="str">
        <f>fish_lab_data!C831</f>
        <v>U17147</v>
      </c>
      <c r="B831" t="str">
        <f t="array" ref="B831">iferror(index('rna-muscle'!$I:$I,match($A831,'rna-muscle'!$A:$A,0)))</f>
        <v>BRN70M-G1</v>
      </c>
      <c r="C831" t="str">
        <f t="array" ref="C831">iferror(index('rna-muscle'!$L:$L,match($A831,'rna-muscle'!$A:$A,0)))</f>
        <v>N</v>
      </c>
      <c r="D831" t="str">
        <f t="array" ref="D831">iferror(index('rna-gill'!$I:$I,match($A831,'rna-gill'!$A:$A,0)))</f>
        <v>BRN70G-G1</v>
      </c>
      <c r="E831" t="str">
        <f t="array" ref="E831">iferror(index('rna-gill'!$L:$L,match($A831,'rna-gill'!$A:$A,0)))</f>
        <v>N</v>
      </c>
      <c r="F831" t="str">
        <f t="array" ref="F831">iferror(index(fatty_acid!$G:$G,match($A831,fatty_acid!$A:$A,0)))</f>
        <v>BFA31-19</v>
      </c>
      <c r="G831" t="str">
        <f t="array" ref="G831">iferror(index(fatty_acid!$J:$J,match($A831,fatty_acid!$A:$A,0)))</f>
        <v>N</v>
      </c>
      <c r="H831" t="str">
        <f t="array" ref="H831">iferror(index(isotopes!$G:$G,match($A831,isotopes!$A:$A,0)))</f>
        <v>BIS32-41</v>
      </c>
      <c r="I831" t="str">
        <f t="array" ref="I831">iferror(index(isotopes!$J:$J,match($A831,isotopes!$A:$A,0)))</f>
        <v>N</v>
      </c>
      <c r="J831" t="str">
        <f t="array" ref="J831">iferror(index(extra_muscle!$G:$G,match($A831,extra_muscle!$A:$A,0)))</f>
        <v>BXM32-5</v>
      </c>
      <c r="K831" t="str">
        <f t="array" ref="K831">iferror(index(extra_muscle!$J:$J,match($A831,extra_muscle!$A:$A,0)))</f>
        <v>N</v>
      </c>
      <c r="L831" s="59" t="str">
        <f t="array" ref="L831">iferror(index(dna!$G:$G,match($A831,dna!$A:$A,0)))</f>
        <v/>
      </c>
      <c r="M831" s="60" t="str">
        <f t="array" ref="M831">iferror(index(dna!$J:$J,match($A831,dna!$A:$A,0)))</f>
        <v/>
      </c>
      <c r="N831" t="str">
        <f t="array" ref="N831">iferror(index(stomachs!$G:$G,match($A831,stomachs!$A:$A,0)))</f>
        <v/>
      </c>
      <c r="O831" t="str">
        <f t="array" ref="O831">iferror(index(stomachs!$J:$J,match($A831,stomachs!$A:$A,0)))</f>
        <v/>
      </c>
      <c r="P831" t="str">
        <f t="array" ref="P831">iferror(index(sea_lice!$G:$G,match($A831,sea_lice!$A:$A,0)))</f>
        <v/>
      </c>
      <c r="Q831" t="str">
        <f t="array" ref="Q831">iferror(index(sea_lice!$J:$J,match($A831,sea_lice!$A:$A,0)))</f>
        <v/>
      </c>
      <c r="R831" s="40" t="str">
        <f t="array" ref="R831">iferror(index(dissected_fish!$F:$F,match($A831,dissected_fish!$A:$A,0)))</f>
        <v>BCA107</v>
      </c>
      <c r="S831" s="40" t="str">
        <f t="array" ref="S831">iferror(index(dissected_fish!$K:$K,match($A831,dissected_fish!$A:$A,0)))</f>
        <v>N</v>
      </c>
      <c r="T831" s="61" t="str">
        <f t="array" ref="T831">index(fish_lab_data!O:O,match(A831,fish_lab_data!C:C,0))</f>
        <v>EJ</v>
      </c>
      <c r="U831" s="61">
        <f t="array" ref="U831">if(A831="","",index(fish_lab_data!X:X,match(A831,fish_lab_data!C:C,0)))</f>
        <v>830</v>
      </c>
    </row>
    <row r="832">
      <c r="A832" t="str">
        <f>fish_lab_data!C832</f>
        <v>U17148</v>
      </c>
      <c r="B832" t="str">
        <f t="array" ref="B832">iferror(index('rna-muscle'!$I:$I,match($A832,'rna-muscle'!$A:$A,0)))</f>
        <v>BRN70M-F1</v>
      </c>
      <c r="C832" t="str">
        <f t="array" ref="C832">iferror(index('rna-muscle'!$L:$L,match($A832,'rna-muscle'!$A:$A,0)))</f>
        <v>N</v>
      </c>
      <c r="D832" t="str">
        <f t="array" ref="D832">iferror(index('rna-gill'!$I:$I,match($A832,'rna-gill'!$A:$A,0)))</f>
        <v>BRN70G-F1</v>
      </c>
      <c r="E832" t="str">
        <f t="array" ref="E832">iferror(index('rna-gill'!$L:$L,match($A832,'rna-gill'!$A:$A,0)))</f>
        <v>N</v>
      </c>
      <c r="F832" t="str">
        <f t="array" ref="F832">iferror(index(fatty_acid!$G:$G,match($A832,fatty_acid!$A:$A,0)))</f>
        <v>BFA31-20</v>
      </c>
      <c r="G832" t="str">
        <f t="array" ref="G832">iferror(index(fatty_acid!$J:$J,match($A832,fatty_acid!$A:$A,0)))</f>
        <v>N</v>
      </c>
      <c r="H832" t="str">
        <f t="array" ref="H832">iferror(index(isotopes!$G:$G,match($A832,isotopes!$A:$A,0)))</f>
        <v>BIS32-42</v>
      </c>
      <c r="I832" t="str">
        <f t="array" ref="I832">iferror(index(isotopes!$J:$J,match($A832,isotopes!$A:$A,0)))</f>
        <v>N</v>
      </c>
      <c r="J832" t="str">
        <f t="array" ref="J832">iferror(index(extra_muscle!$G:$G,match($A832,extra_muscle!$A:$A,0)))</f>
        <v>BXM32-6</v>
      </c>
      <c r="K832" t="str">
        <f t="array" ref="K832">iferror(index(extra_muscle!$J:$J,match($A832,extra_muscle!$A:$A,0)))</f>
        <v>N</v>
      </c>
      <c r="L832" s="59" t="str">
        <f t="array" ref="L832">iferror(index(dna!$G:$G,match($A832,dna!$A:$A,0)))</f>
        <v/>
      </c>
      <c r="M832" s="60" t="str">
        <f t="array" ref="M832">iferror(index(dna!$J:$J,match($A832,dna!$A:$A,0)))</f>
        <v/>
      </c>
      <c r="N832" t="str">
        <f t="array" ref="N832">iferror(index(stomachs!$G:$G,match($A832,stomachs!$A:$A,0)))</f>
        <v/>
      </c>
      <c r="O832" t="str">
        <f t="array" ref="O832">iferror(index(stomachs!$J:$J,match($A832,stomachs!$A:$A,0)))</f>
        <v/>
      </c>
      <c r="P832" t="str">
        <f t="array" ref="P832">iferror(index(sea_lice!$G:$G,match($A832,sea_lice!$A:$A,0)))</f>
        <v/>
      </c>
      <c r="Q832" t="str">
        <f t="array" ref="Q832">iferror(index(sea_lice!$J:$J,match($A832,sea_lice!$A:$A,0)))</f>
        <v/>
      </c>
      <c r="R832" s="40" t="str">
        <f t="array" ref="R832">iferror(index(dissected_fish!$F:$F,match($A832,dissected_fish!$A:$A,0)))</f>
        <v>BCA107</v>
      </c>
      <c r="S832" s="40" t="str">
        <f t="array" ref="S832">iferror(index(dissected_fish!$K:$K,match($A832,dissected_fish!$A:$A,0)))</f>
        <v>N</v>
      </c>
      <c r="T832" s="61" t="str">
        <f t="array" ref="T832">index(fish_lab_data!O:O,match(A832,fish_lab_data!C:C,0))</f>
        <v>EJ</v>
      </c>
      <c r="U832" s="61">
        <f t="array" ref="U832">if(A832="","",index(fish_lab_data!X:X,match(A832,fish_lab_data!C:C,0)))</f>
        <v>831</v>
      </c>
    </row>
    <row r="833">
      <c r="A833" t="str">
        <f>fish_lab_data!C833</f>
        <v>U17149</v>
      </c>
      <c r="B833" t="str">
        <f t="array" ref="B833">iferror(index('rna-muscle'!$I:$I,match($A833,'rna-muscle'!$A:$A,0)))</f>
        <v>BRN70M-E1</v>
      </c>
      <c r="C833" t="str">
        <f t="array" ref="C833">iferror(index('rna-muscle'!$L:$L,match($A833,'rna-muscle'!$A:$A,0)))</f>
        <v>N</v>
      </c>
      <c r="D833" t="str">
        <f t="array" ref="D833">iferror(index('rna-gill'!$I:$I,match($A833,'rna-gill'!$A:$A,0)))</f>
        <v>BRN70G-E1</v>
      </c>
      <c r="E833" t="str">
        <f t="array" ref="E833">iferror(index('rna-gill'!$L:$L,match($A833,'rna-gill'!$A:$A,0)))</f>
        <v>N</v>
      </c>
      <c r="F833" t="str">
        <f t="array" ref="F833">iferror(index(fatty_acid!$G:$G,match($A833,fatty_acid!$A:$A,0)))</f>
        <v>BFA31-21</v>
      </c>
      <c r="G833" t="str">
        <f t="array" ref="G833">iferror(index(fatty_acid!$J:$J,match($A833,fatty_acid!$A:$A,0)))</f>
        <v>N</v>
      </c>
      <c r="H833" t="str">
        <f t="array" ref="H833">iferror(index(isotopes!$G:$G,match($A833,isotopes!$A:$A,0)))</f>
        <v>BIS32-43</v>
      </c>
      <c r="I833" t="str">
        <f t="array" ref="I833">iferror(index(isotopes!$J:$J,match($A833,isotopes!$A:$A,0)))</f>
        <v>N</v>
      </c>
      <c r="J833" t="str">
        <f t="array" ref="J833">iferror(index(extra_muscle!$G:$G,match($A833,extra_muscle!$A:$A,0)))</f>
        <v>BXM32-7</v>
      </c>
      <c r="K833" t="str">
        <f t="array" ref="K833">iferror(index(extra_muscle!$J:$J,match($A833,extra_muscle!$A:$A,0)))</f>
        <v>N</v>
      </c>
      <c r="L833" s="59" t="str">
        <f t="array" ref="L833">iferror(index(dna!$G:$G,match($A833,dna!$A:$A,0)))</f>
        <v/>
      </c>
      <c r="M833" s="60" t="str">
        <f t="array" ref="M833">iferror(index(dna!$J:$J,match($A833,dna!$A:$A,0)))</f>
        <v/>
      </c>
      <c r="N833" t="str">
        <f t="array" ref="N833">iferror(index(stomachs!$G:$G,match($A833,stomachs!$A:$A,0)))</f>
        <v/>
      </c>
      <c r="O833" t="str">
        <f t="array" ref="O833">iferror(index(stomachs!$J:$J,match($A833,stomachs!$A:$A,0)))</f>
        <v/>
      </c>
      <c r="P833" t="str">
        <f t="array" ref="P833">iferror(index(sea_lice!$G:$G,match($A833,sea_lice!$A:$A,0)))</f>
        <v/>
      </c>
      <c r="Q833" t="str">
        <f t="array" ref="Q833">iferror(index(sea_lice!$J:$J,match($A833,sea_lice!$A:$A,0)))</f>
        <v/>
      </c>
      <c r="R833" s="40" t="str">
        <f t="array" ref="R833">iferror(index(dissected_fish!$F:$F,match($A833,dissected_fish!$A:$A,0)))</f>
        <v>BCA107</v>
      </c>
      <c r="S833" s="40" t="str">
        <f t="array" ref="S833">iferror(index(dissected_fish!$K:$K,match($A833,dissected_fish!$A:$A,0)))</f>
        <v>N</v>
      </c>
      <c r="T833" s="61" t="str">
        <f t="array" ref="T833">index(fish_lab_data!O:O,match(A833,fish_lab_data!C:C,0))</f>
        <v>EJ</v>
      </c>
      <c r="U833" s="61">
        <f t="array" ref="U833">if(A833="","",index(fish_lab_data!X:X,match(A833,fish_lab_data!C:C,0)))</f>
        <v>832</v>
      </c>
    </row>
    <row r="834">
      <c r="A834" t="str">
        <f>fish_lab_data!C834</f>
        <v>U17150</v>
      </c>
      <c r="B834" t="str">
        <f t="array" ref="B834">iferror(index('rna-muscle'!$I:$I,match($A834,'rna-muscle'!$A:$A,0)))</f>
        <v>BRN70M-D1</v>
      </c>
      <c r="C834" t="str">
        <f t="array" ref="C834">iferror(index('rna-muscle'!$L:$L,match($A834,'rna-muscle'!$A:$A,0)))</f>
        <v>N</v>
      </c>
      <c r="D834" t="str">
        <f t="array" ref="D834">iferror(index('rna-gill'!$I:$I,match($A834,'rna-gill'!$A:$A,0)))</f>
        <v>BRN70G-D1</v>
      </c>
      <c r="E834" t="str">
        <f t="array" ref="E834">iferror(index('rna-gill'!$L:$L,match($A834,'rna-gill'!$A:$A,0)))</f>
        <v>N</v>
      </c>
      <c r="F834" t="str">
        <f t="array" ref="F834">iferror(index(fatty_acid!$G:$G,match($A834,fatty_acid!$A:$A,0)))</f>
        <v>BFA31-22</v>
      </c>
      <c r="G834" t="str">
        <f t="array" ref="G834">iferror(index(fatty_acid!$J:$J,match($A834,fatty_acid!$A:$A,0)))</f>
        <v>N</v>
      </c>
      <c r="H834" t="str">
        <f t="array" ref="H834">iferror(index(isotopes!$G:$G,match($A834,isotopes!$A:$A,0)))</f>
        <v>BIS32-44</v>
      </c>
      <c r="I834" t="str">
        <f t="array" ref="I834">iferror(index(isotopes!$J:$J,match($A834,isotopes!$A:$A,0)))</f>
        <v>N</v>
      </c>
      <c r="J834" t="str">
        <f t="array" ref="J834">iferror(index(extra_muscle!$G:$G,match($A834,extra_muscle!$A:$A,0)))</f>
        <v>BXM32-8</v>
      </c>
      <c r="K834" t="str">
        <f t="array" ref="K834">iferror(index(extra_muscle!$J:$J,match($A834,extra_muscle!$A:$A,0)))</f>
        <v>N</v>
      </c>
      <c r="L834" s="59" t="str">
        <f t="array" ref="L834">iferror(index(dna!$G:$G,match($A834,dna!$A:$A,0)))</f>
        <v/>
      </c>
      <c r="M834" s="60" t="str">
        <f t="array" ref="M834">iferror(index(dna!$J:$J,match($A834,dna!$A:$A,0)))</f>
        <v/>
      </c>
      <c r="N834" t="str">
        <f t="array" ref="N834">iferror(index(stomachs!$G:$G,match($A834,stomachs!$A:$A,0)))</f>
        <v/>
      </c>
      <c r="O834" t="str">
        <f t="array" ref="O834">iferror(index(stomachs!$J:$J,match($A834,stomachs!$A:$A,0)))</f>
        <v/>
      </c>
      <c r="P834" t="str">
        <f t="array" ref="P834">iferror(index(sea_lice!$G:$G,match($A834,sea_lice!$A:$A,0)))</f>
        <v/>
      </c>
      <c r="Q834" t="str">
        <f t="array" ref="Q834">iferror(index(sea_lice!$J:$J,match($A834,sea_lice!$A:$A,0)))</f>
        <v/>
      </c>
      <c r="R834" s="40" t="str">
        <f t="array" ref="R834">iferror(index(dissected_fish!$F:$F,match($A834,dissected_fish!$A:$A,0)))</f>
        <v>BCA107</v>
      </c>
      <c r="S834" s="40" t="str">
        <f t="array" ref="S834">iferror(index(dissected_fish!$K:$K,match($A834,dissected_fish!$A:$A,0)))</f>
        <v>N</v>
      </c>
      <c r="T834" s="61" t="str">
        <f t="array" ref="T834">index(fish_lab_data!O:O,match(A834,fish_lab_data!C:C,0))</f>
        <v>EJ</v>
      </c>
      <c r="U834" s="61">
        <f t="array" ref="U834">if(A834="","",index(fish_lab_data!X:X,match(A834,fish_lab_data!C:C,0)))</f>
        <v>833</v>
      </c>
    </row>
    <row r="835">
      <c r="A835" t="str">
        <f>fish_lab_data!C835</f>
        <v>U17321</v>
      </c>
      <c r="B835" t="str">
        <f t="array" ref="B835">iferror(index('rna-muscle'!$I:$I,match($A835,'rna-muscle'!$A:$A,0)))</f>
        <v>BRN70M-C1</v>
      </c>
      <c r="C835" t="str">
        <f t="array" ref="C835">iferror(index('rna-muscle'!$L:$L,match($A835,'rna-muscle'!$A:$A,0)))</f>
        <v>N</v>
      </c>
      <c r="D835" t="str">
        <f t="array" ref="D835">iferror(index('rna-gill'!$I:$I,match($A835,'rna-gill'!$A:$A,0)))</f>
        <v>BRN70G-C1</v>
      </c>
      <c r="E835" t="str">
        <f t="array" ref="E835">iferror(index('rna-gill'!$L:$L,match($A835,'rna-gill'!$A:$A,0)))</f>
        <v>N</v>
      </c>
      <c r="F835" t="str">
        <f t="array" ref="F835">iferror(index(fatty_acid!$G:$G,match($A835,fatty_acid!$A:$A,0)))</f>
        <v>BFA31-23</v>
      </c>
      <c r="G835" t="str">
        <f t="array" ref="G835">iferror(index(fatty_acid!$J:$J,match($A835,fatty_acid!$A:$A,0)))</f>
        <v>N</v>
      </c>
      <c r="H835" t="str">
        <f t="array" ref="H835">iferror(index(isotopes!$G:$G,match($A835,isotopes!$A:$A,0)))</f>
        <v>BIS32-45</v>
      </c>
      <c r="I835" t="str">
        <f t="array" ref="I835">iferror(index(isotopes!$J:$J,match($A835,isotopes!$A:$A,0)))</f>
        <v>N</v>
      </c>
      <c r="J835" t="str">
        <f t="array" ref="J835">iferror(index(extra_muscle!$G:$G,match($A835,extra_muscle!$A:$A,0)))</f>
        <v>BXM32-9</v>
      </c>
      <c r="K835" t="str">
        <f t="array" ref="K835">iferror(index(extra_muscle!$J:$J,match($A835,extra_muscle!$A:$A,0)))</f>
        <v>N</v>
      </c>
      <c r="L835" s="59" t="str">
        <f t="array" ref="L835">iferror(index(dna!$G:$G,match($A835,dna!$A:$A,0)))</f>
        <v/>
      </c>
      <c r="M835" s="60" t="str">
        <f t="array" ref="M835">iferror(index(dna!$J:$J,match($A835,dna!$A:$A,0)))</f>
        <v/>
      </c>
      <c r="N835" t="str">
        <f t="array" ref="N835">iferror(index(stomachs!$G:$G,match($A835,stomachs!$A:$A,0)))</f>
        <v/>
      </c>
      <c r="O835" t="str">
        <f t="array" ref="O835">iferror(index(stomachs!$J:$J,match($A835,stomachs!$A:$A,0)))</f>
        <v/>
      </c>
      <c r="P835" t="str">
        <f t="array" ref="P835">iferror(index(sea_lice!$G:$G,match($A835,sea_lice!$A:$A,0)))</f>
        <v/>
      </c>
      <c r="Q835" t="str">
        <f t="array" ref="Q835">iferror(index(sea_lice!$J:$J,match($A835,sea_lice!$A:$A,0)))</f>
        <v/>
      </c>
      <c r="R835" s="40" t="str">
        <f t="array" ref="R835">iferror(index(dissected_fish!$F:$F,match($A835,dissected_fish!$A:$A,0)))</f>
        <v>BCA107</v>
      </c>
      <c r="S835" s="40" t="str">
        <f t="array" ref="S835">iferror(index(dissected_fish!$K:$K,match($A835,dissected_fish!$A:$A,0)))</f>
        <v>N</v>
      </c>
      <c r="T835" s="61" t="str">
        <f t="array" ref="T835">index(fish_lab_data!O:O,match(A835,fish_lab_data!C:C,0))</f>
        <v>EJ</v>
      </c>
      <c r="U835" s="61">
        <f t="array" ref="U835">if(A835="","",index(fish_lab_data!X:X,match(A835,fish_lab_data!C:C,0)))</f>
        <v>834</v>
      </c>
    </row>
    <row r="836">
      <c r="A836" t="str">
        <f>fish_lab_data!C836</f>
        <v>U17322</v>
      </c>
      <c r="B836" t="str">
        <f t="array" ref="B836">iferror(index('rna-muscle'!$I:$I,match($A836,'rna-muscle'!$A:$A,0)))</f>
        <v>BRN70M-B1</v>
      </c>
      <c r="C836" t="str">
        <f t="array" ref="C836">iferror(index('rna-muscle'!$L:$L,match($A836,'rna-muscle'!$A:$A,0)))</f>
        <v>N</v>
      </c>
      <c r="D836" t="str">
        <f t="array" ref="D836">iferror(index('rna-gill'!$I:$I,match($A836,'rna-gill'!$A:$A,0)))</f>
        <v>BRN70G-B1</v>
      </c>
      <c r="E836" t="str">
        <f t="array" ref="E836">iferror(index('rna-gill'!$L:$L,match($A836,'rna-gill'!$A:$A,0)))</f>
        <v>N</v>
      </c>
      <c r="F836" t="str">
        <f t="array" ref="F836">iferror(index(fatty_acid!$G:$G,match($A836,fatty_acid!$A:$A,0)))</f>
        <v>BFA31-24</v>
      </c>
      <c r="G836" t="str">
        <f t="array" ref="G836">iferror(index(fatty_acid!$J:$J,match($A836,fatty_acid!$A:$A,0)))</f>
        <v>N</v>
      </c>
      <c r="H836" t="str">
        <f t="array" ref="H836">iferror(index(isotopes!$G:$G,match($A836,isotopes!$A:$A,0)))</f>
        <v>BIS32-46</v>
      </c>
      <c r="I836" t="str">
        <f t="array" ref="I836">iferror(index(isotopes!$J:$J,match($A836,isotopes!$A:$A,0)))</f>
        <v>N</v>
      </c>
      <c r="J836" t="str">
        <f t="array" ref="J836">iferror(index(extra_muscle!$G:$G,match($A836,extra_muscle!$A:$A,0)))</f>
        <v>BXM32-10</v>
      </c>
      <c r="K836" t="str">
        <f t="array" ref="K836">iferror(index(extra_muscle!$J:$J,match($A836,extra_muscle!$A:$A,0)))</f>
        <v>N</v>
      </c>
      <c r="L836" s="59" t="str">
        <f t="array" ref="L836">iferror(index(dna!$G:$G,match($A836,dna!$A:$A,0)))</f>
        <v/>
      </c>
      <c r="M836" s="60" t="str">
        <f t="array" ref="M836">iferror(index(dna!$J:$J,match($A836,dna!$A:$A,0)))</f>
        <v/>
      </c>
      <c r="N836" t="str">
        <f t="array" ref="N836">iferror(index(stomachs!$G:$G,match($A836,stomachs!$A:$A,0)))</f>
        <v/>
      </c>
      <c r="O836" t="str">
        <f t="array" ref="O836">iferror(index(stomachs!$J:$J,match($A836,stomachs!$A:$A,0)))</f>
        <v/>
      </c>
      <c r="P836" t="str">
        <f t="array" ref="P836">iferror(index(sea_lice!$G:$G,match($A836,sea_lice!$A:$A,0)))</f>
        <v/>
      </c>
      <c r="Q836" t="str">
        <f t="array" ref="Q836">iferror(index(sea_lice!$J:$J,match($A836,sea_lice!$A:$A,0)))</f>
        <v/>
      </c>
      <c r="R836" s="40" t="str">
        <f t="array" ref="R836">iferror(index(dissected_fish!$F:$F,match($A836,dissected_fish!$A:$A,0)))</f>
        <v>BCA107</v>
      </c>
      <c r="S836" s="40" t="str">
        <f t="array" ref="S836">iferror(index(dissected_fish!$K:$K,match($A836,dissected_fish!$A:$A,0)))</f>
        <v>N</v>
      </c>
      <c r="T836" s="61" t="str">
        <f t="array" ref="T836">index(fish_lab_data!O:O,match(A836,fish_lab_data!C:C,0))</f>
        <v>EJ</v>
      </c>
      <c r="U836" s="61">
        <f t="array" ref="U836">if(A836="","",index(fish_lab_data!X:X,match(A836,fish_lab_data!C:C,0)))</f>
        <v>835</v>
      </c>
    </row>
    <row r="837">
      <c r="A837" t="str">
        <f>fish_lab_data!C837</f>
        <v>U17323</v>
      </c>
      <c r="B837" t="str">
        <f t="array" ref="B837">iferror(index('rna-muscle'!$I:$I,match($A837,'rna-muscle'!$A:$A,0)))</f>
        <v>BRN70M-A1</v>
      </c>
      <c r="C837" t="str">
        <f t="array" ref="C837">iferror(index('rna-muscle'!$L:$L,match($A837,'rna-muscle'!$A:$A,0)))</f>
        <v>N</v>
      </c>
      <c r="D837" t="str">
        <f t="array" ref="D837">iferror(index('rna-gill'!$I:$I,match($A837,'rna-gill'!$A:$A,0)))</f>
        <v>BRN70G-A1</v>
      </c>
      <c r="E837" t="str">
        <f t="array" ref="E837">iferror(index('rna-gill'!$L:$L,match($A837,'rna-gill'!$A:$A,0)))</f>
        <v>N</v>
      </c>
      <c r="F837" t="str">
        <f t="array" ref="F837">iferror(index(fatty_acid!$G:$G,match($A837,fatty_acid!$A:$A,0)))</f>
        <v>BFA31-25</v>
      </c>
      <c r="G837" t="str">
        <f t="array" ref="G837">iferror(index(fatty_acid!$J:$J,match($A837,fatty_acid!$A:$A,0)))</f>
        <v>N</v>
      </c>
      <c r="H837" t="str">
        <f t="array" ref="H837">iferror(index(isotopes!$G:$G,match($A837,isotopes!$A:$A,0)))</f>
        <v>BIS32-47</v>
      </c>
      <c r="I837" t="str">
        <f t="array" ref="I837">iferror(index(isotopes!$J:$J,match($A837,isotopes!$A:$A,0)))</f>
        <v>N</v>
      </c>
      <c r="J837" t="str">
        <f t="array" ref="J837">iferror(index(extra_muscle!$G:$G,match($A837,extra_muscle!$A:$A,0)))</f>
        <v>BXM32-11</v>
      </c>
      <c r="K837" t="str">
        <f t="array" ref="K837">iferror(index(extra_muscle!$J:$J,match($A837,extra_muscle!$A:$A,0)))</f>
        <v>N</v>
      </c>
      <c r="L837" s="59" t="str">
        <f t="array" ref="L837">iferror(index(dna!$G:$G,match($A837,dna!$A:$A,0)))</f>
        <v/>
      </c>
      <c r="M837" s="60" t="str">
        <f t="array" ref="M837">iferror(index(dna!$J:$J,match($A837,dna!$A:$A,0)))</f>
        <v/>
      </c>
      <c r="N837" t="str">
        <f t="array" ref="N837">iferror(index(stomachs!$G:$G,match($A837,stomachs!$A:$A,0)))</f>
        <v/>
      </c>
      <c r="O837" t="str">
        <f t="array" ref="O837">iferror(index(stomachs!$J:$J,match($A837,stomachs!$A:$A,0)))</f>
        <v/>
      </c>
      <c r="P837" t="str">
        <f t="array" ref="P837">iferror(index(sea_lice!$G:$G,match($A837,sea_lice!$A:$A,0)))</f>
        <v/>
      </c>
      <c r="Q837" t="str">
        <f t="array" ref="Q837">iferror(index(sea_lice!$J:$J,match($A837,sea_lice!$A:$A,0)))</f>
        <v/>
      </c>
      <c r="R837" s="40" t="str">
        <f t="array" ref="R837">iferror(index(dissected_fish!$F:$F,match($A837,dissected_fish!$A:$A,0)))</f>
        <v>BCA107</v>
      </c>
      <c r="S837" s="40" t="str">
        <f t="array" ref="S837">iferror(index(dissected_fish!$K:$K,match($A837,dissected_fish!$A:$A,0)))</f>
        <v>N</v>
      </c>
      <c r="T837" s="61" t="str">
        <f t="array" ref="T837">index(fish_lab_data!O:O,match(A837,fish_lab_data!C:C,0))</f>
        <v>EJ</v>
      </c>
      <c r="U837" s="61">
        <f t="array" ref="U837">if(A837="","",index(fish_lab_data!X:X,match(A837,fish_lab_data!C:C,0)))</f>
        <v>836</v>
      </c>
    </row>
    <row r="838">
      <c r="A838" t="str">
        <f>fish_lab_data!C838</f>
        <v>U17324</v>
      </c>
      <c r="B838" t="str">
        <f t="array" ref="B838">iferror(index('rna-muscle'!$I:$I,match($A838,'rna-muscle'!$A:$A,0)))</f>
        <v>BRN70M-H2</v>
      </c>
      <c r="C838" t="str">
        <f t="array" ref="C838">iferror(index('rna-muscle'!$L:$L,match($A838,'rna-muscle'!$A:$A,0)))</f>
        <v>N</v>
      </c>
      <c r="D838" t="str">
        <f t="array" ref="D838">iferror(index('rna-gill'!$I:$I,match($A838,'rna-gill'!$A:$A,0)))</f>
        <v>BRN70G-H2</v>
      </c>
      <c r="E838" t="str">
        <f t="array" ref="E838">iferror(index('rna-gill'!$L:$L,match($A838,'rna-gill'!$A:$A,0)))</f>
        <v>N</v>
      </c>
      <c r="F838" t="str">
        <f t="array" ref="F838">iferror(index(fatty_acid!$G:$G,match($A838,fatty_acid!$A:$A,0)))</f>
        <v>BFA31-26</v>
      </c>
      <c r="G838" t="str">
        <f t="array" ref="G838">iferror(index(fatty_acid!$J:$J,match($A838,fatty_acid!$A:$A,0)))</f>
        <v>N</v>
      </c>
      <c r="H838" t="str">
        <f t="array" ref="H838">iferror(index(isotopes!$G:$G,match($A838,isotopes!$A:$A,0)))</f>
        <v>BIS32-48</v>
      </c>
      <c r="I838" t="str">
        <f t="array" ref="I838">iferror(index(isotopes!$J:$J,match($A838,isotopes!$A:$A,0)))</f>
        <v>N</v>
      </c>
      <c r="J838" t="str">
        <f t="array" ref="J838">iferror(index(extra_muscle!$G:$G,match($A838,extra_muscle!$A:$A,0)))</f>
        <v>BXM32-12</v>
      </c>
      <c r="K838" t="str">
        <f t="array" ref="K838">iferror(index(extra_muscle!$J:$J,match($A838,extra_muscle!$A:$A,0)))</f>
        <v>N</v>
      </c>
      <c r="L838" s="59" t="str">
        <f t="array" ref="L838">iferror(index(dna!$G:$G,match($A838,dna!$A:$A,0)))</f>
        <v/>
      </c>
      <c r="M838" s="60" t="str">
        <f t="array" ref="M838">iferror(index(dna!$J:$J,match($A838,dna!$A:$A,0)))</f>
        <v/>
      </c>
      <c r="N838" t="str">
        <f t="array" ref="N838">iferror(index(stomachs!$G:$G,match($A838,stomachs!$A:$A,0)))</f>
        <v/>
      </c>
      <c r="O838" t="str">
        <f t="array" ref="O838">iferror(index(stomachs!$J:$J,match($A838,stomachs!$A:$A,0)))</f>
        <v/>
      </c>
      <c r="P838" t="str">
        <f t="array" ref="P838">iferror(index(sea_lice!$G:$G,match($A838,sea_lice!$A:$A,0)))</f>
        <v/>
      </c>
      <c r="Q838" t="str">
        <f t="array" ref="Q838">iferror(index(sea_lice!$J:$J,match($A838,sea_lice!$A:$A,0)))</f>
        <v/>
      </c>
      <c r="R838" s="40" t="str">
        <f t="array" ref="R838">iferror(index(dissected_fish!$F:$F,match($A838,dissected_fish!$A:$A,0)))</f>
        <v>BCA107</v>
      </c>
      <c r="S838" s="40" t="str">
        <f t="array" ref="S838">iferror(index(dissected_fish!$K:$K,match($A838,dissected_fish!$A:$A,0)))</f>
        <v>N</v>
      </c>
      <c r="T838" s="61" t="str">
        <f t="array" ref="T838">index(fish_lab_data!O:O,match(A838,fish_lab_data!C:C,0))</f>
        <v>EJ</v>
      </c>
      <c r="U838" s="61">
        <f t="array" ref="U838">if(A838="","",index(fish_lab_data!X:X,match(A838,fish_lab_data!C:C,0)))</f>
        <v>837</v>
      </c>
    </row>
    <row r="839">
      <c r="A839" t="str">
        <f>fish_lab_data!C839</f>
        <v>U17325</v>
      </c>
      <c r="B839" t="str">
        <f t="array" ref="B839">iferror(index('rna-muscle'!$I:$I,match($A839,'rna-muscle'!$A:$A,0)))</f>
        <v>BRN70M-G2</v>
      </c>
      <c r="C839" t="str">
        <f t="array" ref="C839">iferror(index('rna-muscle'!$L:$L,match($A839,'rna-muscle'!$A:$A,0)))</f>
        <v>N</v>
      </c>
      <c r="D839" t="str">
        <f t="array" ref="D839">iferror(index('rna-gill'!$I:$I,match($A839,'rna-gill'!$A:$A,0)))</f>
        <v>BRN70G-G2</v>
      </c>
      <c r="E839" t="str">
        <f t="array" ref="E839">iferror(index('rna-gill'!$L:$L,match($A839,'rna-gill'!$A:$A,0)))</f>
        <v>N</v>
      </c>
      <c r="F839" t="str">
        <f t="array" ref="F839">iferror(index(fatty_acid!$G:$G,match($A839,fatty_acid!$A:$A,0)))</f>
        <v>BFA31-27</v>
      </c>
      <c r="G839" t="str">
        <f t="array" ref="G839">iferror(index(fatty_acid!$J:$J,match($A839,fatty_acid!$A:$A,0)))</f>
        <v>N</v>
      </c>
      <c r="H839" t="str">
        <f t="array" ref="H839">iferror(index(isotopes!$G:$G,match($A839,isotopes!$A:$A,0)))</f>
        <v>BIS32-49</v>
      </c>
      <c r="I839" t="str">
        <f t="array" ref="I839">iferror(index(isotopes!$J:$J,match($A839,isotopes!$A:$A,0)))</f>
        <v>N</v>
      </c>
      <c r="J839" t="str">
        <f t="array" ref="J839">iferror(index(extra_muscle!$G:$G,match($A839,extra_muscle!$A:$A,0)))</f>
        <v>BXM32-13</v>
      </c>
      <c r="K839" t="str">
        <f t="array" ref="K839">iferror(index(extra_muscle!$J:$J,match($A839,extra_muscle!$A:$A,0)))</f>
        <v>N</v>
      </c>
      <c r="L839" s="59" t="str">
        <f t="array" ref="L839">iferror(index(dna!$G:$G,match($A839,dna!$A:$A,0)))</f>
        <v/>
      </c>
      <c r="M839" s="60" t="str">
        <f t="array" ref="M839">iferror(index(dna!$J:$J,match($A839,dna!$A:$A,0)))</f>
        <v/>
      </c>
      <c r="N839" t="str">
        <f t="array" ref="N839">iferror(index(stomachs!$G:$G,match($A839,stomachs!$A:$A,0)))</f>
        <v/>
      </c>
      <c r="O839" t="str">
        <f t="array" ref="O839">iferror(index(stomachs!$J:$J,match($A839,stomachs!$A:$A,0)))</f>
        <v/>
      </c>
      <c r="P839" t="str">
        <f t="array" ref="P839">iferror(index(sea_lice!$G:$G,match($A839,sea_lice!$A:$A,0)))</f>
        <v/>
      </c>
      <c r="Q839" t="str">
        <f t="array" ref="Q839">iferror(index(sea_lice!$J:$J,match($A839,sea_lice!$A:$A,0)))</f>
        <v/>
      </c>
      <c r="R839" s="40" t="str">
        <f t="array" ref="R839">iferror(index(dissected_fish!$F:$F,match($A839,dissected_fish!$A:$A,0)))</f>
        <v>BCA107</v>
      </c>
      <c r="S839" s="40" t="str">
        <f t="array" ref="S839">iferror(index(dissected_fish!$K:$K,match($A839,dissected_fish!$A:$A,0)))</f>
        <v>N</v>
      </c>
      <c r="T839" s="61" t="str">
        <f t="array" ref="T839">index(fish_lab_data!O:O,match(A839,fish_lab_data!C:C,0))</f>
        <v>EJ</v>
      </c>
      <c r="U839" s="61">
        <f t="array" ref="U839">if(A839="","",index(fish_lab_data!X:X,match(A839,fish_lab_data!C:C,0)))</f>
        <v>838</v>
      </c>
    </row>
    <row r="840">
      <c r="A840" t="str">
        <f>fish_lab_data!C840</f>
        <v>U17346</v>
      </c>
      <c r="B840" t="str">
        <f t="array" ref="B840">iferror(index('rna-muscle'!$I:$I,match($A840,'rna-muscle'!$A:$A,0)))</f>
        <v>BRN69M-D11</v>
      </c>
      <c r="C840" t="str">
        <f t="array" ref="C840">iferror(index('rna-muscle'!$L:$L,match($A840,'rna-muscle'!$A:$A,0)))</f>
        <v>N</v>
      </c>
      <c r="D840" t="str">
        <f t="array" ref="D840">iferror(index('rna-gill'!$I:$I,match($A840,'rna-gill'!$A:$A,0)))</f>
        <v>BRN69G-D11</v>
      </c>
      <c r="E840" t="str">
        <f t="array" ref="E840">iferror(index('rna-gill'!$L:$L,match($A840,'rna-gill'!$A:$A,0)))</f>
        <v>N</v>
      </c>
      <c r="F840" t="str">
        <f t="array" ref="F840">iferror(index(fatty_acid!$G:$G,match($A840,fatty_acid!$A:$A,0)))</f>
        <v>BFA30-38</v>
      </c>
      <c r="G840" t="str">
        <f t="array" ref="G840">iferror(index(fatty_acid!$J:$J,match($A840,fatty_acid!$A:$A,0)))</f>
        <v>N</v>
      </c>
      <c r="H840" t="str">
        <f t="array" ref="H840">iferror(index(isotopes!$G:$G,match($A840,isotopes!$A:$A,0)))</f>
        <v>BIS33-38</v>
      </c>
      <c r="I840" t="str">
        <f t="array" ref="I840">iferror(index(isotopes!$J:$J,match($A840,isotopes!$A:$A,0)))</f>
        <v>N</v>
      </c>
      <c r="J840" t="str">
        <f t="array" ref="J840">iferror(index(extra_muscle!$G:$G,match($A840,extra_muscle!$A:$A,0)))</f>
        <v>BXM31-38</v>
      </c>
      <c r="K840" t="str">
        <f t="array" ref="K840">iferror(index(extra_muscle!$J:$J,match($A840,extra_muscle!$A:$A,0)))</f>
        <v>N</v>
      </c>
      <c r="L840" s="59" t="str">
        <f t="array" ref="L840">iferror(index(dna!$G:$G,match($A840,dna!$A:$A,0)))</f>
        <v/>
      </c>
      <c r="M840" s="60" t="str">
        <f t="array" ref="M840">iferror(index(dna!$J:$J,match($A840,dna!$A:$A,0)))</f>
        <v/>
      </c>
      <c r="N840" t="str">
        <f t="array" ref="N840">iferror(index(stomachs!$G:$G,match($A840,stomachs!$A:$A,0)))</f>
        <v/>
      </c>
      <c r="O840" t="str">
        <f t="array" ref="O840">iferror(index(stomachs!$J:$J,match($A840,stomachs!$A:$A,0)))</f>
        <v/>
      </c>
      <c r="P840" t="str">
        <f t="array" ref="P840">iferror(index(sea_lice!$G:$G,match($A840,sea_lice!$A:$A,0)))</f>
        <v/>
      </c>
      <c r="Q840" t="str">
        <f t="array" ref="Q840">iferror(index(sea_lice!$J:$J,match($A840,sea_lice!$A:$A,0)))</f>
        <v/>
      </c>
      <c r="R840" s="40" t="str">
        <f t="array" ref="R840">iferror(index(dissected_fish!$F:$F,match($A840,dissected_fish!$A:$A,0)))</f>
        <v>BCA107</v>
      </c>
      <c r="S840" s="40" t="str">
        <f t="array" ref="S840">iferror(index(dissected_fish!$K:$K,match($A840,dissected_fish!$A:$A,0)))</f>
        <v>N</v>
      </c>
      <c r="T840" s="61" t="str">
        <f t="array" ref="T840">index(fish_lab_data!O:O,match(A840,fish_lab_data!C:C,0))</f>
        <v>KB</v>
      </c>
      <c r="U840" s="61">
        <f t="array" ref="U840">if(A840="","",index(fish_lab_data!X:X,match(A840,fish_lab_data!C:C,0)))</f>
        <v>839</v>
      </c>
    </row>
    <row r="841">
      <c r="A841" t="str">
        <f>fish_lab_data!C841</f>
        <v>U17344</v>
      </c>
      <c r="B841" t="str">
        <f t="array" ref="B841">iferror(index('rna-muscle'!$I:$I,match($A841,'rna-muscle'!$A:$A,0)))</f>
        <v>BRN69M-C11</v>
      </c>
      <c r="C841" t="str">
        <f t="array" ref="C841">iferror(index('rna-muscle'!$L:$L,match($A841,'rna-muscle'!$A:$A,0)))</f>
        <v>N</v>
      </c>
      <c r="D841" t="str">
        <f t="array" ref="D841">iferror(index('rna-gill'!$I:$I,match($A841,'rna-gill'!$A:$A,0)))</f>
        <v>BRN69G-C11</v>
      </c>
      <c r="E841" t="str">
        <f t="array" ref="E841">iferror(index('rna-gill'!$L:$L,match($A841,'rna-gill'!$A:$A,0)))</f>
        <v>N</v>
      </c>
      <c r="F841" t="str">
        <f t="array" ref="F841">iferror(index(fatty_acid!$G:$G,match($A841,fatty_acid!$A:$A,0)))</f>
        <v>BFA30-39</v>
      </c>
      <c r="G841" t="str">
        <f t="array" ref="G841">iferror(index(fatty_acid!$J:$J,match($A841,fatty_acid!$A:$A,0)))</f>
        <v>N</v>
      </c>
      <c r="H841" t="str">
        <f t="array" ref="H841">iferror(index(isotopes!$G:$G,match($A841,isotopes!$A:$A,0)))</f>
        <v>BIS33-39</v>
      </c>
      <c r="I841" t="str">
        <f t="array" ref="I841">iferror(index(isotopes!$J:$J,match($A841,isotopes!$A:$A,0)))</f>
        <v>N</v>
      </c>
      <c r="J841" t="str">
        <f t="array" ref="J841">iferror(index(extra_muscle!$G:$G,match($A841,extra_muscle!$A:$A,0)))</f>
        <v>BXM31-39</v>
      </c>
      <c r="K841" t="str">
        <f t="array" ref="K841">iferror(index(extra_muscle!$J:$J,match($A841,extra_muscle!$A:$A,0)))</f>
        <v>N</v>
      </c>
      <c r="L841" s="59" t="str">
        <f t="array" ref="L841">iferror(index(dna!$G:$G,match($A841,dna!$A:$A,0)))</f>
        <v/>
      </c>
      <c r="M841" s="60" t="str">
        <f t="array" ref="M841">iferror(index(dna!$J:$J,match($A841,dna!$A:$A,0)))</f>
        <v/>
      </c>
      <c r="N841" t="str">
        <f t="array" ref="N841">iferror(index(stomachs!$G:$G,match($A841,stomachs!$A:$A,0)))</f>
        <v/>
      </c>
      <c r="O841" t="str">
        <f t="array" ref="O841">iferror(index(stomachs!$J:$J,match($A841,stomachs!$A:$A,0)))</f>
        <v/>
      </c>
      <c r="P841" t="str">
        <f t="array" ref="P841">iferror(index(sea_lice!$G:$G,match($A841,sea_lice!$A:$A,0)))</f>
        <v/>
      </c>
      <c r="Q841" t="str">
        <f t="array" ref="Q841">iferror(index(sea_lice!$J:$J,match($A841,sea_lice!$A:$A,0)))</f>
        <v/>
      </c>
      <c r="R841" s="40" t="str">
        <f t="array" ref="R841">iferror(index(dissected_fish!$F:$F,match($A841,dissected_fish!$A:$A,0)))</f>
        <v>BCA107</v>
      </c>
      <c r="S841" s="40" t="str">
        <f t="array" ref="S841">iferror(index(dissected_fish!$K:$K,match($A841,dissected_fish!$A:$A,0)))</f>
        <v>N</v>
      </c>
      <c r="T841" s="61" t="str">
        <f t="array" ref="T841">index(fish_lab_data!O:O,match(A841,fish_lab_data!C:C,0))</f>
        <v>KB</v>
      </c>
      <c r="U841" s="61">
        <f t="array" ref="U841">if(A841="","",index(fish_lab_data!X:X,match(A841,fish_lab_data!C:C,0)))</f>
        <v>840</v>
      </c>
    </row>
    <row r="842">
      <c r="A842" t="str">
        <f>fish_lab_data!C842</f>
        <v>U17218</v>
      </c>
      <c r="B842" t="str">
        <f t="array" ref="B842">iferror(index('rna-muscle'!$I:$I,match($A842,'rna-muscle'!$A:$A,0)))</f>
        <v>BRN69M-B11</v>
      </c>
      <c r="C842" t="str">
        <f t="array" ref="C842">iferror(index('rna-muscle'!$L:$L,match($A842,'rna-muscle'!$A:$A,0)))</f>
        <v>N</v>
      </c>
      <c r="D842" t="str">
        <f t="array" ref="D842">iferror(index('rna-gill'!$I:$I,match($A842,'rna-gill'!$A:$A,0)))</f>
        <v>BRN69G-B11</v>
      </c>
      <c r="E842" t="str">
        <f t="array" ref="E842">iferror(index('rna-gill'!$L:$L,match($A842,'rna-gill'!$A:$A,0)))</f>
        <v>N</v>
      </c>
      <c r="F842" t="str">
        <f t="array" ref="F842">iferror(index(fatty_acid!$G:$G,match($A842,fatty_acid!$A:$A,0)))</f>
        <v>BFA30-40</v>
      </c>
      <c r="G842" t="str">
        <f t="array" ref="G842">iferror(index(fatty_acid!$J:$J,match($A842,fatty_acid!$A:$A,0)))</f>
        <v>N</v>
      </c>
      <c r="H842" t="str">
        <f t="array" ref="H842">iferror(index(isotopes!$G:$G,match($A842,isotopes!$A:$A,0)))</f>
        <v>BIS33-40</v>
      </c>
      <c r="I842" t="str">
        <f t="array" ref="I842">iferror(index(isotopes!$J:$J,match($A842,isotopes!$A:$A,0)))</f>
        <v>N</v>
      </c>
      <c r="J842" t="str">
        <f t="array" ref="J842">iferror(index(extra_muscle!$G:$G,match($A842,extra_muscle!$A:$A,0)))</f>
        <v>BXM31-40</v>
      </c>
      <c r="K842" t="str">
        <f t="array" ref="K842">iferror(index(extra_muscle!$J:$J,match($A842,extra_muscle!$A:$A,0)))</f>
        <v>N</v>
      </c>
      <c r="L842" s="59" t="str">
        <f t="array" ref="L842">iferror(index(dna!$G:$G,match($A842,dna!$A:$A,0)))</f>
        <v/>
      </c>
      <c r="M842" s="60" t="str">
        <f t="array" ref="M842">iferror(index(dna!$J:$J,match($A842,dna!$A:$A,0)))</f>
        <v/>
      </c>
      <c r="N842" t="str">
        <f t="array" ref="N842">iferror(index(stomachs!$G:$G,match($A842,stomachs!$A:$A,0)))</f>
        <v/>
      </c>
      <c r="O842" t="str">
        <f t="array" ref="O842">iferror(index(stomachs!$J:$J,match($A842,stomachs!$A:$A,0)))</f>
        <v/>
      </c>
      <c r="P842" t="str">
        <f t="array" ref="P842">iferror(index(sea_lice!$G:$G,match($A842,sea_lice!$A:$A,0)))</f>
        <v/>
      </c>
      <c r="Q842" t="str">
        <f t="array" ref="Q842">iferror(index(sea_lice!$J:$J,match($A842,sea_lice!$A:$A,0)))</f>
        <v/>
      </c>
      <c r="R842" s="40" t="str">
        <f t="array" ref="R842">iferror(index(dissected_fish!$F:$F,match($A842,dissected_fish!$A:$A,0)))</f>
        <v>BCA107</v>
      </c>
      <c r="S842" s="40" t="str">
        <f t="array" ref="S842">iferror(index(dissected_fish!$K:$K,match($A842,dissected_fish!$A:$A,0)))</f>
        <v>N</v>
      </c>
      <c r="T842" s="61" t="str">
        <f t="array" ref="T842">index(fish_lab_data!O:O,match(A842,fish_lab_data!C:C,0))</f>
        <v>KB</v>
      </c>
      <c r="U842" s="61">
        <f t="array" ref="U842">if(A842="","",index(fish_lab_data!X:X,match(A842,fish_lab_data!C:C,0)))</f>
        <v>841</v>
      </c>
    </row>
    <row r="843">
      <c r="A843" t="str">
        <f>fish_lab_data!C843</f>
        <v>U17215</v>
      </c>
      <c r="B843" t="str">
        <f t="array" ref="B843">iferror(index('rna-muscle'!$I:$I,match($A843,'rna-muscle'!$A:$A,0)))</f>
        <v>BRN69M-A11</v>
      </c>
      <c r="C843" t="str">
        <f t="array" ref="C843">iferror(index('rna-muscle'!$L:$L,match($A843,'rna-muscle'!$A:$A,0)))</f>
        <v>N</v>
      </c>
      <c r="D843" t="str">
        <f t="array" ref="D843">iferror(index('rna-gill'!$I:$I,match($A843,'rna-gill'!$A:$A,0)))</f>
        <v>BRN69G-A11</v>
      </c>
      <c r="E843" t="str">
        <f t="array" ref="E843">iferror(index('rna-gill'!$L:$L,match($A843,'rna-gill'!$A:$A,0)))</f>
        <v>N</v>
      </c>
      <c r="F843" t="str">
        <f t="array" ref="F843">iferror(index(fatty_acid!$G:$G,match($A843,fatty_acid!$A:$A,0)))</f>
        <v>BFA30-41</v>
      </c>
      <c r="G843" t="str">
        <f t="array" ref="G843">iferror(index(fatty_acid!$J:$J,match($A843,fatty_acid!$A:$A,0)))</f>
        <v>N</v>
      </c>
      <c r="H843" t="str">
        <f t="array" ref="H843">iferror(index(isotopes!$G:$G,match($A843,isotopes!$A:$A,0)))</f>
        <v>BIS33-41</v>
      </c>
      <c r="I843" t="str">
        <f t="array" ref="I843">iferror(index(isotopes!$J:$J,match($A843,isotopes!$A:$A,0)))</f>
        <v>N</v>
      </c>
      <c r="J843" t="str">
        <f t="array" ref="J843">iferror(index(extra_muscle!$G:$G,match($A843,extra_muscle!$A:$A,0)))</f>
        <v>BXM31-41</v>
      </c>
      <c r="K843" t="str">
        <f t="array" ref="K843">iferror(index(extra_muscle!$J:$J,match($A843,extra_muscle!$A:$A,0)))</f>
        <v>N</v>
      </c>
      <c r="L843" s="59" t="str">
        <f t="array" ref="L843">iferror(index(dna!$G:$G,match($A843,dna!$A:$A,0)))</f>
        <v/>
      </c>
      <c r="M843" s="60" t="str">
        <f t="array" ref="M843">iferror(index(dna!$J:$J,match($A843,dna!$A:$A,0)))</f>
        <v/>
      </c>
      <c r="N843" t="str">
        <f t="array" ref="N843">iferror(index(stomachs!$G:$G,match($A843,stomachs!$A:$A,0)))</f>
        <v/>
      </c>
      <c r="O843" t="str">
        <f t="array" ref="O843">iferror(index(stomachs!$J:$J,match($A843,stomachs!$A:$A,0)))</f>
        <v/>
      </c>
      <c r="P843" t="str">
        <f t="array" ref="P843">iferror(index(sea_lice!$G:$G,match($A843,sea_lice!$A:$A,0)))</f>
        <v>BSL6-90</v>
      </c>
      <c r="Q843" t="str">
        <f t="array" ref="Q843">iferror(index(sea_lice!$J:$J,match($A843,sea_lice!$A:$A,0)))</f>
        <v>N</v>
      </c>
      <c r="R843" s="40" t="str">
        <f t="array" ref="R843">iferror(index(dissected_fish!$F:$F,match($A843,dissected_fish!$A:$A,0)))</f>
        <v>BCA107</v>
      </c>
      <c r="S843" s="40" t="str">
        <f t="array" ref="S843">iferror(index(dissected_fish!$K:$K,match($A843,dissected_fish!$A:$A,0)))</f>
        <v>N</v>
      </c>
      <c r="T843" s="61" t="str">
        <f t="array" ref="T843">index(fish_lab_data!O:O,match(A843,fish_lab_data!C:C,0))</f>
        <v>KB</v>
      </c>
      <c r="U843" s="61">
        <f t="array" ref="U843">if(A843="","",index(fish_lab_data!X:X,match(A843,fish_lab_data!C:C,0)))</f>
        <v>842</v>
      </c>
    </row>
    <row r="844">
      <c r="A844" t="str">
        <f>fish_lab_data!C844</f>
        <v>U17219</v>
      </c>
      <c r="B844" t="str">
        <f t="array" ref="B844">iferror(index('rna-muscle'!$I:$I,match($A844,'rna-muscle'!$A:$A,0)))</f>
        <v>BRN70M-H3</v>
      </c>
      <c r="C844" t="str">
        <f t="array" ref="C844">iferror(index('rna-muscle'!$L:$L,match($A844,'rna-muscle'!$A:$A,0)))</f>
        <v>N</v>
      </c>
      <c r="D844" t="str">
        <f t="array" ref="D844">iferror(index('rna-gill'!$I:$I,match($A844,'rna-gill'!$A:$A,0)))</f>
        <v>BRN70G-H3</v>
      </c>
      <c r="E844" t="str">
        <f t="array" ref="E844">iferror(index('rna-gill'!$L:$L,match($A844,'rna-gill'!$A:$A,0)))</f>
        <v>N</v>
      </c>
      <c r="F844" t="str">
        <f t="array" ref="F844">iferror(index(fatty_acid!$G:$G,match($A844,fatty_acid!$A:$A,0)))</f>
        <v>BFA30-42</v>
      </c>
      <c r="G844" t="str">
        <f t="array" ref="G844">iferror(index(fatty_acid!$J:$J,match($A844,fatty_acid!$A:$A,0)))</f>
        <v>N</v>
      </c>
      <c r="H844" t="str">
        <f t="array" ref="H844">iferror(index(isotopes!$G:$G,match($A844,isotopes!$A:$A,0)))</f>
        <v>BIS33-42</v>
      </c>
      <c r="I844" t="str">
        <f t="array" ref="I844">iferror(index(isotopes!$J:$J,match($A844,isotopes!$A:$A,0)))</f>
        <v>N</v>
      </c>
      <c r="J844" t="str">
        <f t="array" ref="J844">iferror(index(extra_muscle!$G:$G,match($A844,extra_muscle!$A:$A,0)))</f>
        <v>BXM31-42</v>
      </c>
      <c r="K844" t="str">
        <f t="array" ref="K844">iferror(index(extra_muscle!$J:$J,match($A844,extra_muscle!$A:$A,0)))</f>
        <v>N</v>
      </c>
      <c r="L844" s="59" t="str">
        <f t="array" ref="L844">iferror(index(dna!$G:$G,match($A844,dna!$A:$A,0)))</f>
        <v/>
      </c>
      <c r="M844" s="60" t="str">
        <f t="array" ref="M844">iferror(index(dna!$J:$J,match($A844,dna!$A:$A,0)))</f>
        <v/>
      </c>
      <c r="N844" t="str">
        <f t="array" ref="N844">iferror(index(stomachs!$G:$G,match($A844,stomachs!$A:$A,0)))</f>
        <v/>
      </c>
      <c r="O844" t="str">
        <f t="array" ref="O844">iferror(index(stomachs!$J:$J,match($A844,stomachs!$A:$A,0)))</f>
        <v/>
      </c>
      <c r="P844" t="str">
        <f t="array" ref="P844">iferror(index(sea_lice!$G:$G,match($A844,sea_lice!$A:$A,0)))</f>
        <v/>
      </c>
      <c r="Q844" t="str">
        <f t="array" ref="Q844">iferror(index(sea_lice!$J:$J,match($A844,sea_lice!$A:$A,0)))</f>
        <v/>
      </c>
      <c r="R844" s="40" t="str">
        <f t="array" ref="R844">iferror(index(dissected_fish!$F:$F,match($A844,dissected_fish!$A:$A,0)))</f>
        <v>BCA107</v>
      </c>
      <c r="S844" s="40" t="str">
        <f t="array" ref="S844">iferror(index(dissected_fish!$K:$K,match($A844,dissected_fish!$A:$A,0)))</f>
        <v>N</v>
      </c>
      <c r="T844" s="61" t="str">
        <f t="array" ref="T844">index(fish_lab_data!O:O,match(A844,fish_lab_data!C:C,0))</f>
        <v>KB</v>
      </c>
      <c r="U844" s="61">
        <f t="array" ref="U844">if(A844="","",index(fish_lab_data!X:X,match(A844,fish_lab_data!C:C,0)))</f>
        <v>843</v>
      </c>
    </row>
    <row r="845">
      <c r="A845" t="str">
        <f>fish_lab_data!C845</f>
        <v>U17220</v>
      </c>
      <c r="B845" t="str">
        <f t="array" ref="B845">iferror(index('rna-muscle'!$I:$I,match($A845,'rna-muscle'!$A:$A,0)))</f>
        <v>BRN70M-G3</v>
      </c>
      <c r="C845" t="str">
        <f t="array" ref="C845">iferror(index('rna-muscle'!$L:$L,match($A845,'rna-muscle'!$A:$A,0)))</f>
        <v>N</v>
      </c>
      <c r="D845" t="str">
        <f t="array" ref="D845">iferror(index('rna-gill'!$I:$I,match($A845,'rna-gill'!$A:$A,0)))</f>
        <v>BRN70G-G3</v>
      </c>
      <c r="E845" t="str">
        <f t="array" ref="E845">iferror(index('rna-gill'!$L:$L,match($A845,'rna-gill'!$A:$A,0)))</f>
        <v>N</v>
      </c>
      <c r="F845" t="str">
        <f t="array" ref="F845">iferror(index(fatty_acid!$G:$G,match($A845,fatty_acid!$A:$A,0)))</f>
        <v>BFA30-43</v>
      </c>
      <c r="G845" t="str">
        <f t="array" ref="G845">iferror(index(fatty_acid!$J:$J,match($A845,fatty_acid!$A:$A,0)))</f>
        <v>N</v>
      </c>
      <c r="H845" t="str">
        <f t="array" ref="H845">iferror(index(isotopes!$G:$G,match($A845,isotopes!$A:$A,0)))</f>
        <v>BIS33-43</v>
      </c>
      <c r="I845" t="str">
        <f t="array" ref="I845">iferror(index(isotopes!$J:$J,match($A845,isotopes!$A:$A,0)))</f>
        <v>N</v>
      </c>
      <c r="J845" t="str">
        <f t="array" ref="J845">iferror(index(extra_muscle!$G:$G,match($A845,extra_muscle!$A:$A,0)))</f>
        <v>BXM31-43</v>
      </c>
      <c r="K845" t="str">
        <f t="array" ref="K845">iferror(index(extra_muscle!$J:$J,match($A845,extra_muscle!$A:$A,0)))</f>
        <v>N</v>
      </c>
      <c r="L845" s="59" t="str">
        <f t="array" ref="L845">iferror(index(dna!$G:$G,match($A845,dna!$A:$A,0)))</f>
        <v/>
      </c>
      <c r="M845" s="60" t="str">
        <f t="array" ref="M845">iferror(index(dna!$J:$J,match($A845,dna!$A:$A,0)))</f>
        <v/>
      </c>
      <c r="N845" t="str">
        <f t="array" ref="N845">iferror(index(stomachs!$G:$G,match($A845,stomachs!$A:$A,0)))</f>
        <v/>
      </c>
      <c r="O845" t="str">
        <f t="array" ref="O845">iferror(index(stomachs!$J:$J,match($A845,stomachs!$A:$A,0)))</f>
        <v/>
      </c>
      <c r="P845" t="str">
        <f t="array" ref="P845">iferror(index(sea_lice!$G:$G,match($A845,sea_lice!$A:$A,0)))</f>
        <v/>
      </c>
      <c r="Q845" t="str">
        <f t="array" ref="Q845">iferror(index(sea_lice!$J:$J,match($A845,sea_lice!$A:$A,0)))</f>
        <v/>
      </c>
      <c r="R845" s="40" t="str">
        <f t="array" ref="R845">iferror(index(dissected_fish!$F:$F,match($A845,dissected_fish!$A:$A,0)))</f>
        <v>BCA107</v>
      </c>
      <c r="S845" s="40" t="str">
        <f t="array" ref="S845">iferror(index(dissected_fish!$K:$K,match($A845,dissected_fish!$A:$A,0)))</f>
        <v>N</v>
      </c>
      <c r="T845" s="61" t="str">
        <f t="array" ref="T845">index(fish_lab_data!O:O,match(A845,fish_lab_data!C:C,0))</f>
        <v>KB</v>
      </c>
      <c r="U845" s="61">
        <f t="array" ref="U845">if(A845="","",index(fish_lab_data!X:X,match(A845,fish_lab_data!C:C,0)))</f>
        <v>844</v>
      </c>
    </row>
    <row r="846">
      <c r="A846" t="str">
        <f>fish_lab_data!C846</f>
        <v>U17211</v>
      </c>
      <c r="B846" t="str">
        <f t="array" ref="B846">iferror(index('rna-muscle'!$I:$I,match($A846,'rna-muscle'!$A:$A,0)))</f>
        <v>BRN70M-F3</v>
      </c>
      <c r="C846" t="str">
        <f t="array" ref="C846">iferror(index('rna-muscle'!$L:$L,match($A846,'rna-muscle'!$A:$A,0)))</f>
        <v>N</v>
      </c>
      <c r="D846" t="str">
        <f t="array" ref="D846">iferror(index('rna-gill'!$I:$I,match($A846,'rna-gill'!$A:$A,0)))</f>
        <v>BRN70G-F3</v>
      </c>
      <c r="E846" t="str">
        <f t="array" ref="E846">iferror(index('rna-gill'!$L:$L,match($A846,'rna-gill'!$A:$A,0)))</f>
        <v>N</v>
      </c>
      <c r="F846" t="str">
        <f t="array" ref="F846">iferror(index(fatty_acid!$G:$G,match($A846,fatty_acid!$A:$A,0)))</f>
        <v>BFA30-44</v>
      </c>
      <c r="G846" t="str">
        <f t="array" ref="G846">iferror(index(fatty_acid!$J:$J,match($A846,fatty_acid!$A:$A,0)))</f>
        <v>N</v>
      </c>
      <c r="H846" t="str">
        <f t="array" ref="H846">iferror(index(isotopes!$G:$G,match($A846,isotopes!$A:$A,0)))</f>
        <v>BIS33-44</v>
      </c>
      <c r="I846" t="str">
        <f t="array" ref="I846">iferror(index(isotopes!$J:$J,match($A846,isotopes!$A:$A,0)))</f>
        <v>N</v>
      </c>
      <c r="J846" t="str">
        <f t="array" ref="J846">iferror(index(extra_muscle!$G:$G,match($A846,extra_muscle!$A:$A,0)))</f>
        <v>BXM31-44</v>
      </c>
      <c r="K846" t="str">
        <f t="array" ref="K846">iferror(index(extra_muscle!$J:$J,match($A846,extra_muscle!$A:$A,0)))</f>
        <v>N</v>
      </c>
      <c r="L846" s="59" t="str">
        <f t="array" ref="L846">iferror(index(dna!$G:$G,match($A846,dna!$A:$A,0)))</f>
        <v/>
      </c>
      <c r="M846" s="60" t="str">
        <f t="array" ref="M846">iferror(index(dna!$J:$J,match($A846,dna!$A:$A,0)))</f>
        <v/>
      </c>
      <c r="N846" t="str">
        <f t="array" ref="N846">iferror(index(stomachs!$G:$G,match($A846,stomachs!$A:$A,0)))</f>
        <v/>
      </c>
      <c r="O846" t="str">
        <f t="array" ref="O846">iferror(index(stomachs!$J:$J,match($A846,stomachs!$A:$A,0)))</f>
        <v/>
      </c>
      <c r="P846" t="str">
        <f t="array" ref="P846">iferror(index(sea_lice!$G:$G,match($A846,sea_lice!$A:$A,0)))</f>
        <v/>
      </c>
      <c r="Q846" t="str">
        <f t="array" ref="Q846">iferror(index(sea_lice!$J:$J,match($A846,sea_lice!$A:$A,0)))</f>
        <v/>
      </c>
      <c r="R846" s="40" t="str">
        <f t="array" ref="R846">iferror(index(dissected_fish!$F:$F,match($A846,dissected_fish!$A:$A,0)))</f>
        <v>BCA107</v>
      </c>
      <c r="S846" s="40" t="str">
        <f t="array" ref="S846">iferror(index(dissected_fish!$K:$K,match($A846,dissected_fish!$A:$A,0)))</f>
        <v>N</v>
      </c>
      <c r="T846" s="61" t="str">
        <f t="array" ref="T846">index(fish_lab_data!O:O,match(A846,fish_lab_data!C:C,0))</f>
        <v>KB</v>
      </c>
      <c r="U846" s="61">
        <f t="array" ref="U846">if(A846="","",index(fish_lab_data!X:X,match(A846,fish_lab_data!C:C,0)))</f>
        <v>845</v>
      </c>
    </row>
    <row r="847">
      <c r="A847" t="str">
        <f>fish_lab_data!C847</f>
        <v>U17217</v>
      </c>
      <c r="B847" t="str">
        <f t="array" ref="B847">iferror(index('rna-muscle'!$I:$I,match($A847,'rna-muscle'!$A:$A,0)))</f>
        <v>BRN70M-E3</v>
      </c>
      <c r="C847" t="str">
        <f t="array" ref="C847">iferror(index('rna-muscle'!$L:$L,match($A847,'rna-muscle'!$A:$A,0)))</f>
        <v>N</v>
      </c>
      <c r="D847" t="str">
        <f t="array" ref="D847">iferror(index('rna-gill'!$I:$I,match($A847,'rna-gill'!$A:$A,0)))</f>
        <v>BRN70G-E3</v>
      </c>
      <c r="E847" t="str">
        <f t="array" ref="E847">iferror(index('rna-gill'!$L:$L,match($A847,'rna-gill'!$A:$A,0)))</f>
        <v>N</v>
      </c>
      <c r="F847" t="str">
        <f t="array" ref="F847">iferror(index(fatty_acid!$G:$G,match($A847,fatty_acid!$A:$A,0)))</f>
        <v>BFA30-45</v>
      </c>
      <c r="G847" t="str">
        <f t="array" ref="G847">iferror(index(fatty_acid!$J:$J,match($A847,fatty_acid!$A:$A,0)))</f>
        <v>N</v>
      </c>
      <c r="H847" t="str">
        <f t="array" ref="H847">iferror(index(isotopes!$G:$G,match($A847,isotopes!$A:$A,0)))</f>
        <v>BIS33-45</v>
      </c>
      <c r="I847" t="str">
        <f t="array" ref="I847">iferror(index(isotopes!$J:$J,match($A847,isotopes!$A:$A,0)))</f>
        <v>N</v>
      </c>
      <c r="J847" t="str">
        <f t="array" ref="J847">iferror(index(extra_muscle!$G:$G,match($A847,extra_muscle!$A:$A,0)))</f>
        <v>BXM31-45</v>
      </c>
      <c r="K847" t="str">
        <f t="array" ref="K847">iferror(index(extra_muscle!$J:$J,match($A847,extra_muscle!$A:$A,0)))</f>
        <v>N</v>
      </c>
      <c r="L847" s="59" t="str">
        <f t="array" ref="L847">iferror(index(dna!$G:$G,match($A847,dna!$A:$A,0)))</f>
        <v/>
      </c>
      <c r="M847" s="60" t="str">
        <f t="array" ref="M847">iferror(index(dna!$J:$J,match($A847,dna!$A:$A,0)))</f>
        <v/>
      </c>
      <c r="N847" t="str">
        <f t="array" ref="N847">iferror(index(stomachs!$G:$G,match($A847,stomachs!$A:$A,0)))</f>
        <v/>
      </c>
      <c r="O847" t="str">
        <f t="array" ref="O847">iferror(index(stomachs!$J:$J,match($A847,stomachs!$A:$A,0)))</f>
        <v/>
      </c>
      <c r="P847" t="str">
        <f t="array" ref="P847">iferror(index(sea_lice!$G:$G,match($A847,sea_lice!$A:$A,0)))</f>
        <v/>
      </c>
      <c r="Q847" t="str">
        <f t="array" ref="Q847">iferror(index(sea_lice!$J:$J,match($A847,sea_lice!$A:$A,0)))</f>
        <v/>
      </c>
      <c r="R847" s="40" t="str">
        <f t="array" ref="R847">iferror(index(dissected_fish!$F:$F,match($A847,dissected_fish!$A:$A,0)))</f>
        <v>BCA107</v>
      </c>
      <c r="S847" s="40" t="str">
        <f t="array" ref="S847">iferror(index(dissected_fish!$K:$K,match($A847,dissected_fish!$A:$A,0)))</f>
        <v>N</v>
      </c>
      <c r="T847" s="61" t="str">
        <f t="array" ref="T847">index(fish_lab_data!O:O,match(A847,fish_lab_data!C:C,0))</f>
        <v>KB</v>
      </c>
      <c r="U847" s="61">
        <f t="array" ref="U847">if(A847="","",index(fish_lab_data!X:X,match(A847,fish_lab_data!C:C,0)))</f>
        <v>846</v>
      </c>
    </row>
    <row r="848">
      <c r="A848" t="str">
        <f>fish_lab_data!C848</f>
        <v>U17213</v>
      </c>
      <c r="B848" t="str">
        <f t="array" ref="B848">iferror(index('rna-muscle'!$I:$I,match($A848,'rna-muscle'!$A:$A,0)))</f>
        <v>BRN70M-D3</v>
      </c>
      <c r="C848" t="str">
        <f t="array" ref="C848">iferror(index('rna-muscle'!$L:$L,match($A848,'rna-muscle'!$A:$A,0)))</f>
        <v>N</v>
      </c>
      <c r="D848" t="str">
        <f t="array" ref="D848">iferror(index('rna-gill'!$I:$I,match($A848,'rna-gill'!$A:$A,0)))</f>
        <v>BRN70G-D3</v>
      </c>
      <c r="E848" t="str">
        <f t="array" ref="E848">iferror(index('rna-gill'!$L:$L,match($A848,'rna-gill'!$A:$A,0)))</f>
        <v>N</v>
      </c>
      <c r="F848" t="str">
        <f t="array" ref="F848">iferror(index(fatty_acid!$G:$G,match($A848,fatty_acid!$A:$A,0)))</f>
        <v>BFA30-46</v>
      </c>
      <c r="G848" t="str">
        <f t="array" ref="G848">iferror(index(fatty_acid!$J:$J,match($A848,fatty_acid!$A:$A,0)))</f>
        <v>N</v>
      </c>
      <c r="H848" t="str">
        <f t="array" ref="H848">iferror(index(isotopes!$G:$G,match($A848,isotopes!$A:$A,0)))</f>
        <v>BIS33-46</v>
      </c>
      <c r="I848" t="str">
        <f t="array" ref="I848">iferror(index(isotopes!$J:$J,match($A848,isotopes!$A:$A,0)))</f>
        <v>N</v>
      </c>
      <c r="J848" t="str">
        <f t="array" ref="J848">iferror(index(extra_muscle!$G:$G,match($A848,extra_muscle!$A:$A,0)))</f>
        <v>BXM31-46</v>
      </c>
      <c r="K848" t="str">
        <f t="array" ref="K848">iferror(index(extra_muscle!$J:$J,match($A848,extra_muscle!$A:$A,0)))</f>
        <v>N</v>
      </c>
      <c r="L848" s="59" t="str">
        <f t="array" ref="L848">iferror(index(dna!$G:$G,match($A848,dna!$A:$A,0)))</f>
        <v/>
      </c>
      <c r="M848" s="60" t="str">
        <f t="array" ref="M848">iferror(index(dna!$J:$J,match($A848,dna!$A:$A,0)))</f>
        <v/>
      </c>
      <c r="N848" t="str">
        <f t="array" ref="N848">iferror(index(stomachs!$G:$G,match($A848,stomachs!$A:$A,0)))</f>
        <v/>
      </c>
      <c r="O848" t="str">
        <f t="array" ref="O848">iferror(index(stomachs!$J:$J,match($A848,stomachs!$A:$A,0)))</f>
        <v/>
      </c>
      <c r="P848" t="str">
        <f t="array" ref="P848">iferror(index(sea_lice!$G:$G,match($A848,sea_lice!$A:$A,0)))</f>
        <v/>
      </c>
      <c r="Q848" t="str">
        <f t="array" ref="Q848">iferror(index(sea_lice!$J:$J,match($A848,sea_lice!$A:$A,0)))</f>
        <v/>
      </c>
      <c r="R848" s="40" t="str">
        <f t="array" ref="R848">iferror(index(dissected_fish!$F:$F,match($A848,dissected_fish!$A:$A,0)))</f>
        <v>BCA107</v>
      </c>
      <c r="S848" s="40" t="str">
        <f t="array" ref="S848">iferror(index(dissected_fish!$K:$K,match($A848,dissected_fish!$A:$A,0)))</f>
        <v>N</v>
      </c>
      <c r="T848" s="61" t="str">
        <f t="array" ref="T848">index(fish_lab_data!O:O,match(A848,fish_lab_data!C:C,0))</f>
        <v>KB</v>
      </c>
      <c r="U848" s="61">
        <f t="array" ref="U848">if(A848="","",index(fish_lab_data!X:X,match(A848,fish_lab_data!C:C,0)))</f>
        <v>847</v>
      </c>
    </row>
    <row r="849">
      <c r="A849" t="str">
        <f>fish_lab_data!C849</f>
        <v>U17212</v>
      </c>
      <c r="B849" t="str">
        <f t="array" ref="B849">iferror(index('rna-muscle'!$I:$I,match($A849,'rna-muscle'!$A:$A,0)))</f>
        <v>BRN70M-C3</v>
      </c>
      <c r="C849" t="str">
        <f t="array" ref="C849">iferror(index('rna-muscle'!$L:$L,match($A849,'rna-muscle'!$A:$A,0)))</f>
        <v>N</v>
      </c>
      <c r="D849" t="str">
        <f t="array" ref="D849">iferror(index('rna-gill'!$I:$I,match($A849,'rna-gill'!$A:$A,0)))</f>
        <v>BRN70G-C3</v>
      </c>
      <c r="E849" t="str">
        <f t="array" ref="E849">iferror(index('rna-gill'!$L:$L,match($A849,'rna-gill'!$A:$A,0)))</f>
        <v>N</v>
      </c>
      <c r="F849" t="str">
        <f t="array" ref="F849">iferror(index(fatty_acid!$G:$G,match($A849,fatty_acid!$A:$A,0)))</f>
        <v>BFA30-47</v>
      </c>
      <c r="G849" t="str">
        <f t="array" ref="G849">iferror(index(fatty_acid!$J:$J,match($A849,fatty_acid!$A:$A,0)))</f>
        <v>N</v>
      </c>
      <c r="H849" t="str">
        <f t="array" ref="H849">iferror(index(isotopes!$G:$G,match($A849,isotopes!$A:$A,0)))</f>
        <v>BIS33-47</v>
      </c>
      <c r="I849" t="str">
        <f t="array" ref="I849">iferror(index(isotopes!$J:$J,match($A849,isotopes!$A:$A,0)))</f>
        <v>N</v>
      </c>
      <c r="J849" t="str">
        <f t="array" ref="J849">iferror(index(extra_muscle!$G:$G,match($A849,extra_muscle!$A:$A,0)))</f>
        <v>BXM31-47</v>
      </c>
      <c r="K849" t="str">
        <f t="array" ref="K849">iferror(index(extra_muscle!$J:$J,match($A849,extra_muscle!$A:$A,0)))</f>
        <v>N</v>
      </c>
      <c r="L849" s="59" t="str">
        <f t="array" ref="L849">iferror(index(dna!$G:$G,match($A849,dna!$A:$A,0)))</f>
        <v/>
      </c>
      <c r="M849" s="60" t="str">
        <f t="array" ref="M849">iferror(index(dna!$J:$J,match($A849,dna!$A:$A,0)))</f>
        <v/>
      </c>
      <c r="N849" t="str">
        <f t="array" ref="N849">iferror(index(stomachs!$G:$G,match($A849,stomachs!$A:$A,0)))</f>
        <v/>
      </c>
      <c r="O849" t="str">
        <f t="array" ref="O849">iferror(index(stomachs!$J:$J,match($A849,stomachs!$A:$A,0)))</f>
        <v/>
      </c>
      <c r="P849" t="str">
        <f t="array" ref="P849">iferror(index(sea_lice!$G:$G,match($A849,sea_lice!$A:$A,0)))</f>
        <v/>
      </c>
      <c r="Q849" t="str">
        <f t="array" ref="Q849">iferror(index(sea_lice!$J:$J,match($A849,sea_lice!$A:$A,0)))</f>
        <v/>
      </c>
      <c r="R849" s="40" t="str">
        <f t="array" ref="R849">iferror(index(dissected_fish!$F:$F,match($A849,dissected_fish!$A:$A,0)))</f>
        <v>BCA107</v>
      </c>
      <c r="S849" s="40" t="str">
        <f t="array" ref="S849">iferror(index(dissected_fish!$K:$K,match($A849,dissected_fish!$A:$A,0)))</f>
        <v>N</v>
      </c>
      <c r="T849" s="61" t="str">
        <f t="array" ref="T849">index(fish_lab_data!O:O,match(A849,fish_lab_data!C:C,0))</f>
        <v>KB</v>
      </c>
      <c r="U849" s="61">
        <f t="array" ref="U849">if(A849="","",index(fish_lab_data!X:X,match(A849,fish_lab_data!C:C,0)))</f>
        <v>848</v>
      </c>
    </row>
    <row r="850">
      <c r="A850" t="str">
        <f>fish_lab_data!C850</f>
        <v>U17216</v>
      </c>
      <c r="B850" t="str">
        <f t="array" ref="B850">iferror(index('rna-muscle'!$I:$I,match($A850,'rna-muscle'!$A:$A,0)))</f>
        <v>BRN70M-B3</v>
      </c>
      <c r="C850" t="str">
        <f t="array" ref="C850">iferror(index('rna-muscle'!$L:$L,match($A850,'rna-muscle'!$A:$A,0)))</f>
        <v>N</v>
      </c>
      <c r="D850" t="str">
        <f t="array" ref="D850">iferror(index('rna-gill'!$I:$I,match($A850,'rna-gill'!$A:$A,0)))</f>
        <v>BRN70G-B3</v>
      </c>
      <c r="E850" t="str">
        <f t="array" ref="E850">iferror(index('rna-gill'!$L:$L,match($A850,'rna-gill'!$A:$A,0)))</f>
        <v>N</v>
      </c>
      <c r="F850" t="str">
        <f t="array" ref="F850">iferror(index(fatty_acid!$G:$G,match($A850,fatty_acid!$A:$A,0)))</f>
        <v>BFA30-48</v>
      </c>
      <c r="G850" t="str">
        <f t="array" ref="G850">iferror(index(fatty_acid!$J:$J,match($A850,fatty_acid!$A:$A,0)))</f>
        <v>N</v>
      </c>
      <c r="H850" t="str">
        <f t="array" ref="H850">iferror(index(isotopes!$G:$G,match($A850,isotopes!$A:$A,0)))</f>
        <v>BIS33-48</v>
      </c>
      <c r="I850" t="str">
        <f t="array" ref="I850">iferror(index(isotopes!$J:$J,match($A850,isotopes!$A:$A,0)))</f>
        <v>N</v>
      </c>
      <c r="J850" t="str">
        <f t="array" ref="J850">iferror(index(extra_muscle!$G:$G,match($A850,extra_muscle!$A:$A,0)))</f>
        <v>BXM31-48</v>
      </c>
      <c r="K850" t="str">
        <f t="array" ref="K850">iferror(index(extra_muscle!$J:$J,match($A850,extra_muscle!$A:$A,0)))</f>
        <v>N</v>
      </c>
      <c r="L850" s="59" t="str">
        <f t="array" ref="L850">iferror(index(dna!$G:$G,match($A850,dna!$A:$A,0)))</f>
        <v/>
      </c>
      <c r="M850" s="60" t="str">
        <f t="array" ref="M850">iferror(index(dna!$J:$J,match($A850,dna!$A:$A,0)))</f>
        <v/>
      </c>
      <c r="N850" t="str">
        <f t="array" ref="N850">iferror(index(stomachs!$G:$G,match($A850,stomachs!$A:$A,0)))</f>
        <v/>
      </c>
      <c r="O850" t="str">
        <f t="array" ref="O850">iferror(index(stomachs!$J:$J,match($A850,stomachs!$A:$A,0)))</f>
        <v/>
      </c>
      <c r="P850" t="str">
        <f t="array" ref="P850">iferror(index(sea_lice!$G:$G,match($A850,sea_lice!$A:$A,0)))</f>
        <v/>
      </c>
      <c r="Q850" t="str">
        <f t="array" ref="Q850">iferror(index(sea_lice!$J:$J,match($A850,sea_lice!$A:$A,0)))</f>
        <v/>
      </c>
      <c r="R850" s="40" t="str">
        <f t="array" ref="R850">iferror(index(dissected_fish!$F:$F,match($A850,dissected_fish!$A:$A,0)))</f>
        <v>BCA107</v>
      </c>
      <c r="S850" s="40" t="str">
        <f t="array" ref="S850">iferror(index(dissected_fish!$K:$K,match($A850,dissected_fish!$A:$A,0)))</f>
        <v>N</v>
      </c>
      <c r="T850" s="61" t="str">
        <f t="array" ref="T850">index(fish_lab_data!O:O,match(A850,fish_lab_data!C:C,0))</f>
        <v>KB</v>
      </c>
      <c r="U850" s="61">
        <f t="array" ref="U850">if(A850="","",index(fish_lab_data!X:X,match(A850,fish_lab_data!C:C,0)))</f>
        <v>849</v>
      </c>
    </row>
    <row r="851">
      <c r="A851" t="str">
        <f>fish_lab_data!C851</f>
        <v>U17214</v>
      </c>
      <c r="B851" t="str">
        <f t="array" ref="B851">iferror(index('rna-muscle'!$I:$I,match($A851,'rna-muscle'!$A:$A,0)))</f>
        <v>BRN70M-A3</v>
      </c>
      <c r="C851" t="str">
        <f t="array" ref="C851">iferror(index('rna-muscle'!$L:$L,match($A851,'rna-muscle'!$A:$A,0)))</f>
        <v>N</v>
      </c>
      <c r="D851" t="str">
        <f t="array" ref="D851">iferror(index('rna-gill'!$I:$I,match($A851,'rna-gill'!$A:$A,0)))</f>
        <v>BRN70G-A3</v>
      </c>
      <c r="E851" t="str">
        <f t="array" ref="E851">iferror(index('rna-gill'!$L:$L,match($A851,'rna-gill'!$A:$A,0)))</f>
        <v>N</v>
      </c>
      <c r="F851" t="str">
        <f t="array" ref="F851">iferror(index(fatty_acid!$G:$G,match($A851,fatty_acid!$A:$A,0)))</f>
        <v>BFA30-49</v>
      </c>
      <c r="G851" t="str">
        <f t="array" ref="G851">iferror(index(fatty_acid!$J:$J,match($A851,fatty_acid!$A:$A,0)))</f>
        <v>N</v>
      </c>
      <c r="H851" t="str">
        <f t="array" ref="H851">iferror(index(isotopes!$G:$G,match($A851,isotopes!$A:$A,0)))</f>
        <v>BIS33-49</v>
      </c>
      <c r="I851" t="str">
        <f t="array" ref="I851">iferror(index(isotopes!$J:$J,match($A851,isotopes!$A:$A,0)))</f>
        <v>N</v>
      </c>
      <c r="J851" t="str">
        <f t="array" ref="J851">iferror(index(extra_muscle!$G:$G,match($A851,extra_muscle!$A:$A,0)))</f>
        <v>BXM31-49</v>
      </c>
      <c r="K851" t="str">
        <f t="array" ref="K851">iferror(index(extra_muscle!$J:$J,match($A851,extra_muscle!$A:$A,0)))</f>
        <v>N</v>
      </c>
      <c r="L851" s="59" t="str">
        <f t="array" ref="L851">iferror(index(dna!$G:$G,match($A851,dna!$A:$A,0)))</f>
        <v/>
      </c>
      <c r="M851" s="60" t="str">
        <f t="array" ref="M851">iferror(index(dna!$J:$J,match($A851,dna!$A:$A,0)))</f>
        <v/>
      </c>
      <c r="N851" t="str">
        <f t="array" ref="N851">iferror(index(stomachs!$G:$G,match($A851,stomachs!$A:$A,0)))</f>
        <v/>
      </c>
      <c r="O851" t="str">
        <f t="array" ref="O851">iferror(index(stomachs!$J:$J,match($A851,stomachs!$A:$A,0)))</f>
        <v/>
      </c>
      <c r="P851" t="str">
        <f t="array" ref="P851">iferror(index(sea_lice!$G:$G,match($A851,sea_lice!$A:$A,0)))</f>
        <v/>
      </c>
      <c r="Q851" t="str">
        <f t="array" ref="Q851">iferror(index(sea_lice!$J:$J,match($A851,sea_lice!$A:$A,0)))</f>
        <v/>
      </c>
      <c r="R851" s="40" t="str">
        <f t="array" ref="R851">iferror(index(dissected_fish!$F:$F,match($A851,dissected_fish!$A:$A,0)))</f>
        <v>BCA107</v>
      </c>
      <c r="S851" s="40" t="str">
        <f t="array" ref="S851">iferror(index(dissected_fish!$K:$K,match($A851,dissected_fish!$A:$A,0)))</f>
        <v>N</v>
      </c>
      <c r="T851" s="61" t="str">
        <f t="array" ref="T851">index(fish_lab_data!O:O,match(A851,fish_lab_data!C:C,0))</f>
        <v>KB</v>
      </c>
      <c r="U851" s="61">
        <f t="array" ref="U851">if(A851="","",index(fish_lab_data!X:X,match(A851,fish_lab_data!C:C,0)))</f>
        <v>850</v>
      </c>
    </row>
    <row r="852">
      <c r="A852" t="str">
        <f>fish_lab_data!C852</f>
        <v>U17170</v>
      </c>
      <c r="B852" t="str">
        <f t="array" ref="B852">iferror(index('rna-muscle'!$I:$I,match($A852,'rna-muscle'!$A:$A,0)))</f>
        <v>BRN70M-H5</v>
      </c>
      <c r="C852" t="str">
        <f t="array" ref="C852">iferror(index('rna-muscle'!$L:$L,match($A852,'rna-muscle'!$A:$A,0)))</f>
        <v>N</v>
      </c>
      <c r="D852" t="str">
        <f t="array" ref="D852">iferror(index('rna-gill'!$I:$I,match($A852,'rna-gill'!$A:$A,0)))</f>
        <v>BRN70G-H5</v>
      </c>
      <c r="E852" t="str">
        <f t="array" ref="E852">iferror(index('rna-gill'!$L:$L,match($A852,'rna-gill'!$A:$A,0)))</f>
        <v>N</v>
      </c>
      <c r="F852" t="str">
        <f t="array" ref="F852">iferror(index(fatty_acid!$G:$G,match($A852,fatty_acid!$A:$A,0)))</f>
        <v>BFA30-50</v>
      </c>
      <c r="G852" t="str">
        <f t="array" ref="G852">iferror(index(fatty_acid!$J:$J,match($A852,fatty_acid!$A:$A,0)))</f>
        <v>N</v>
      </c>
      <c r="H852" t="str">
        <f t="array" ref="H852">iferror(index(isotopes!$G:$G,match($A852,isotopes!$A:$A,0)))</f>
        <v>BIS33-50</v>
      </c>
      <c r="I852" t="str">
        <f t="array" ref="I852">iferror(index(isotopes!$J:$J,match($A852,isotopes!$A:$A,0)))</f>
        <v>N</v>
      </c>
      <c r="J852" t="str">
        <f t="array" ref="J852">iferror(index(extra_muscle!$G:$G,match($A852,extra_muscle!$A:$A,0)))</f>
        <v>BXM31-50</v>
      </c>
      <c r="K852" t="str">
        <f t="array" ref="K852">iferror(index(extra_muscle!$J:$J,match($A852,extra_muscle!$A:$A,0)))</f>
        <v>N</v>
      </c>
      <c r="L852" s="59" t="str">
        <f t="array" ref="L852">iferror(index(dna!$G:$G,match($A852,dna!$A:$A,0)))</f>
        <v/>
      </c>
      <c r="M852" s="60" t="str">
        <f t="array" ref="M852">iferror(index(dna!$J:$J,match($A852,dna!$A:$A,0)))</f>
        <v/>
      </c>
      <c r="N852" t="str">
        <f t="array" ref="N852">iferror(index(stomachs!$G:$G,match($A852,stomachs!$A:$A,0)))</f>
        <v/>
      </c>
      <c r="O852" t="str">
        <f t="array" ref="O852">iferror(index(stomachs!$J:$J,match($A852,stomachs!$A:$A,0)))</f>
        <v/>
      </c>
      <c r="P852" t="str">
        <f t="array" ref="P852">iferror(index(sea_lice!$G:$G,match($A852,sea_lice!$A:$A,0)))</f>
        <v>BSL6-91</v>
      </c>
      <c r="Q852" t="str">
        <f t="array" ref="Q852">iferror(index(sea_lice!$J:$J,match($A852,sea_lice!$A:$A,0)))</f>
        <v>N</v>
      </c>
      <c r="R852" s="40" t="str">
        <f t="array" ref="R852">iferror(index(dissected_fish!$F:$F,match($A852,dissected_fish!$A:$A,0)))</f>
        <v>BCA108</v>
      </c>
      <c r="S852" s="40" t="str">
        <f t="array" ref="S852">iferror(index(dissected_fish!$K:$K,match($A852,dissected_fish!$A:$A,0)))</f>
        <v>N</v>
      </c>
      <c r="T852" s="61" t="str">
        <f t="array" ref="T852">index(fish_lab_data!O:O,match(A852,fish_lab_data!C:C,0))</f>
        <v>KB</v>
      </c>
      <c r="U852" s="61">
        <f t="array" ref="U852">if(A852="","",index(fish_lab_data!X:X,match(A852,fish_lab_data!C:C,0)))</f>
        <v>851</v>
      </c>
    </row>
    <row r="853">
      <c r="A853" t="str">
        <f>fish_lab_data!C853</f>
        <v>U17161</v>
      </c>
      <c r="B853" t="str">
        <f t="array" ref="B853">iferror(index('rna-muscle'!$I:$I,match($A853,'rna-muscle'!$A:$A,0)))</f>
        <v>BRN70M-G5</v>
      </c>
      <c r="C853" t="str">
        <f t="array" ref="C853">iferror(index('rna-muscle'!$L:$L,match($A853,'rna-muscle'!$A:$A,0)))</f>
        <v>N</v>
      </c>
      <c r="D853" t="str">
        <f t="array" ref="D853">iferror(index('rna-gill'!$I:$I,match($A853,'rna-gill'!$A:$A,0)))</f>
        <v>BRN70G-G5</v>
      </c>
      <c r="E853" t="str">
        <f t="array" ref="E853">iferror(index('rna-gill'!$L:$L,match($A853,'rna-gill'!$A:$A,0)))</f>
        <v>N</v>
      </c>
      <c r="F853" t="str">
        <f t="array" ref="F853">iferror(index(fatty_acid!$G:$G,match($A853,fatty_acid!$A:$A,0)))</f>
        <v>BFA30-51</v>
      </c>
      <c r="G853" t="str">
        <f t="array" ref="G853">iferror(index(fatty_acid!$J:$J,match($A853,fatty_acid!$A:$A,0)))</f>
        <v>N</v>
      </c>
      <c r="H853" t="str">
        <f t="array" ref="H853">iferror(index(isotopes!$G:$G,match($A853,isotopes!$A:$A,0)))</f>
        <v>BIS33-51</v>
      </c>
      <c r="I853" t="str">
        <f t="array" ref="I853">iferror(index(isotopes!$J:$J,match($A853,isotopes!$A:$A,0)))</f>
        <v>N</v>
      </c>
      <c r="J853" t="str">
        <f t="array" ref="J853">iferror(index(extra_muscle!$G:$G,match($A853,extra_muscle!$A:$A,0)))</f>
        <v>BXM31-51</v>
      </c>
      <c r="K853" t="str">
        <f t="array" ref="K853">iferror(index(extra_muscle!$J:$J,match($A853,extra_muscle!$A:$A,0)))</f>
        <v>N</v>
      </c>
      <c r="L853" s="59" t="str">
        <f t="array" ref="L853">iferror(index(dna!$G:$G,match($A853,dna!$A:$A,0)))</f>
        <v/>
      </c>
      <c r="M853" s="60" t="str">
        <f t="array" ref="M853">iferror(index(dna!$J:$J,match($A853,dna!$A:$A,0)))</f>
        <v/>
      </c>
      <c r="N853" t="str">
        <f t="array" ref="N853">iferror(index(stomachs!$G:$G,match($A853,stomachs!$A:$A,0)))</f>
        <v/>
      </c>
      <c r="O853" t="str">
        <f t="array" ref="O853">iferror(index(stomachs!$J:$J,match($A853,stomachs!$A:$A,0)))</f>
        <v/>
      </c>
      <c r="P853" t="str">
        <f t="array" ref="P853">iferror(index(sea_lice!$G:$G,match($A853,sea_lice!$A:$A,0)))</f>
        <v/>
      </c>
      <c r="Q853" t="str">
        <f t="array" ref="Q853">iferror(index(sea_lice!$J:$J,match($A853,sea_lice!$A:$A,0)))</f>
        <v/>
      </c>
      <c r="R853" s="40" t="str">
        <f t="array" ref="R853">iferror(index(dissected_fish!$F:$F,match($A853,dissected_fish!$A:$A,0)))</f>
        <v>BCA108</v>
      </c>
      <c r="S853" s="40" t="str">
        <f t="array" ref="S853">iferror(index(dissected_fish!$K:$K,match($A853,dissected_fish!$A:$A,0)))</f>
        <v>N</v>
      </c>
      <c r="T853" s="61" t="str">
        <f t="array" ref="T853">index(fish_lab_data!O:O,match(A853,fish_lab_data!C:C,0))</f>
        <v>KB</v>
      </c>
      <c r="U853" s="61">
        <f t="array" ref="U853">if(A853="","",index(fish_lab_data!X:X,match(A853,fish_lab_data!C:C,0)))</f>
        <v>852</v>
      </c>
    </row>
    <row r="854">
      <c r="A854" t="str">
        <f>fish_lab_data!C854</f>
        <v>U17165</v>
      </c>
      <c r="B854" t="str">
        <f t="array" ref="B854">iferror(index('rna-muscle'!$I:$I,match($A854,'rna-muscle'!$A:$A,0)))</f>
        <v>BRN70M-F5</v>
      </c>
      <c r="C854" t="str">
        <f t="array" ref="C854">iferror(index('rna-muscle'!$L:$L,match($A854,'rna-muscle'!$A:$A,0)))</f>
        <v>N</v>
      </c>
      <c r="D854" t="str">
        <f t="array" ref="D854">iferror(index('rna-gill'!$I:$I,match($A854,'rna-gill'!$A:$A,0)))</f>
        <v>BRN70G-F5</v>
      </c>
      <c r="E854" t="str">
        <f t="array" ref="E854">iferror(index('rna-gill'!$L:$L,match($A854,'rna-gill'!$A:$A,0)))</f>
        <v>N</v>
      </c>
      <c r="F854" t="str">
        <f t="array" ref="F854">iferror(index(fatty_acid!$G:$G,match($A854,fatty_acid!$A:$A,0)))</f>
        <v>BFA30-52</v>
      </c>
      <c r="G854" t="str">
        <f t="array" ref="G854">iferror(index(fatty_acid!$J:$J,match($A854,fatty_acid!$A:$A,0)))</f>
        <v>N</v>
      </c>
      <c r="H854" t="str">
        <f t="array" ref="H854">iferror(index(isotopes!$G:$G,match($A854,isotopes!$A:$A,0)))</f>
        <v>BIS33-52</v>
      </c>
      <c r="I854" t="str">
        <f t="array" ref="I854">iferror(index(isotopes!$J:$J,match($A854,isotopes!$A:$A,0)))</f>
        <v>N</v>
      </c>
      <c r="J854" t="str">
        <f t="array" ref="J854">iferror(index(extra_muscle!$G:$G,match($A854,extra_muscle!$A:$A,0)))</f>
        <v>BXM31-52</v>
      </c>
      <c r="K854" t="str">
        <f t="array" ref="K854">iferror(index(extra_muscle!$J:$J,match($A854,extra_muscle!$A:$A,0)))</f>
        <v>N</v>
      </c>
      <c r="L854" s="59" t="str">
        <f t="array" ref="L854">iferror(index(dna!$G:$G,match($A854,dna!$A:$A,0)))</f>
        <v/>
      </c>
      <c r="M854" s="60" t="str">
        <f t="array" ref="M854">iferror(index(dna!$J:$J,match($A854,dna!$A:$A,0)))</f>
        <v/>
      </c>
      <c r="N854" t="str">
        <f t="array" ref="N854">iferror(index(stomachs!$G:$G,match($A854,stomachs!$A:$A,0)))</f>
        <v/>
      </c>
      <c r="O854" t="str">
        <f t="array" ref="O854">iferror(index(stomachs!$J:$J,match($A854,stomachs!$A:$A,0)))</f>
        <v/>
      </c>
      <c r="P854" t="str">
        <f t="array" ref="P854">iferror(index(sea_lice!$G:$G,match($A854,sea_lice!$A:$A,0)))</f>
        <v>BSL6-93</v>
      </c>
      <c r="Q854" t="str">
        <f t="array" ref="Q854">iferror(index(sea_lice!$J:$J,match($A854,sea_lice!$A:$A,0)))</f>
        <v>N</v>
      </c>
      <c r="R854" s="40" t="str">
        <f t="array" ref="R854">iferror(index(dissected_fish!$F:$F,match($A854,dissected_fish!$A:$A,0)))</f>
        <v>BCA108</v>
      </c>
      <c r="S854" s="40" t="str">
        <f t="array" ref="S854">iferror(index(dissected_fish!$K:$K,match($A854,dissected_fish!$A:$A,0)))</f>
        <v>N</v>
      </c>
      <c r="T854" s="61" t="str">
        <f t="array" ref="T854">index(fish_lab_data!O:O,match(A854,fish_lab_data!C:C,0))</f>
        <v>KB</v>
      </c>
      <c r="U854" s="61">
        <f t="array" ref="U854">if(A854="","",index(fish_lab_data!X:X,match(A854,fish_lab_data!C:C,0)))</f>
        <v>853</v>
      </c>
    </row>
    <row r="855">
      <c r="A855" t="str">
        <f>fish_lab_data!C855</f>
        <v>U17166</v>
      </c>
      <c r="B855" t="str">
        <f t="array" ref="B855">iferror(index('rna-muscle'!$I:$I,match($A855,'rna-muscle'!$A:$A,0)))</f>
        <v>BRN70M-E5</v>
      </c>
      <c r="C855" t="str">
        <f t="array" ref="C855">iferror(index('rna-muscle'!$L:$L,match($A855,'rna-muscle'!$A:$A,0)))</f>
        <v>N</v>
      </c>
      <c r="D855" t="str">
        <f t="array" ref="D855">iferror(index('rna-gill'!$I:$I,match($A855,'rna-gill'!$A:$A,0)))</f>
        <v>BRN70G-E5</v>
      </c>
      <c r="E855" t="str">
        <f t="array" ref="E855">iferror(index('rna-gill'!$L:$L,match($A855,'rna-gill'!$A:$A,0)))</f>
        <v>N</v>
      </c>
      <c r="F855" t="str">
        <f t="array" ref="F855">iferror(index(fatty_acid!$G:$G,match($A855,fatty_acid!$A:$A,0)))</f>
        <v>BFA30-53</v>
      </c>
      <c r="G855" t="str">
        <f t="array" ref="G855">iferror(index(fatty_acid!$J:$J,match($A855,fatty_acid!$A:$A,0)))</f>
        <v>N</v>
      </c>
      <c r="H855" t="str">
        <f t="array" ref="H855">iferror(index(isotopes!$G:$G,match($A855,isotopes!$A:$A,0)))</f>
        <v>BIS33-53</v>
      </c>
      <c r="I855" t="str">
        <f t="array" ref="I855">iferror(index(isotopes!$J:$J,match($A855,isotopes!$A:$A,0)))</f>
        <v>N</v>
      </c>
      <c r="J855" t="str">
        <f t="array" ref="J855">iferror(index(extra_muscle!$G:$G,match($A855,extra_muscle!$A:$A,0)))</f>
        <v>BXM31-53</v>
      </c>
      <c r="K855" t="str">
        <f t="array" ref="K855">iferror(index(extra_muscle!$J:$J,match($A855,extra_muscle!$A:$A,0)))</f>
        <v>N</v>
      </c>
      <c r="L855" s="59" t="str">
        <f t="array" ref="L855">iferror(index(dna!$G:$G,match($A855,dna!$A:$A,0)))</f>
        <v/>
      </c>
      <c r="M855" s="60" t="str">
        <f t="array" ref="M855">iferror(index(dna!$J:$J,match($A855,dna!$A:$A,0)))</f>
        <v/>
      </c>
      <c r="N855" t="str">
        <f t="array" ref="N855">iferror(index(stomachs!$G:$G,match($A855,stomachs!$A:$A,0)))</f>
        <v/>
      </c>
      <c r="O855" t="str">
        <f t="array" ref="O855">iferror(index(stomachs!$J:$J,match($A855,stomachs!$A:$A,0)))</f>
        <v/>
      </c>
      <c r="P855" t="str">
        <f t="array" ref="P855">iferror(index(sea_lice!$G:$G,match($A855,sea_lice!$A:$A,0)))</f>
        <v>BSL6-94</v>
      </c>
      <c r="Q855" t="str">
        <f t="array" ref="Q855">iferror(index(sea_lice!$J:$J,match($A855,sea_lice!$A:$A,0)))</f>
        <v>N</v>
      </c>
      <c r="R855" s="40" t="str">
        <f t="array" ref="R855">iferror(index(dissected_fish!$F:$F,match($A855,dissected_fish!$A:$A,0)))</f>
        <v>BCA108</v>
      </c>
      <c r="S855" s="40" t="str">
        <f t="array" ref="S855">iferror(index(dissected_fish!$K:$K,match($A855,dissected_fish!$A:$A,0)))</f>
        <v>N</v>
      </c>
      <c r="T855" s="61" t="str">
        <f t="array" ref="T855">index(fish_lab_data!O:O,match(A855,fish_lab_data!C:C,0))</f>
        <v>KB</v>
      </c>
      <c r="U855" s="61">
        <f t="array" ref="U855">if(A855="","",index(fish_lab_data!X:X,match(A855,fish_lab_data!C:C,0)))</f>
        <v>854</v>
      </c>
    </row>
    <row r="856">
      <c r="A856" t="str">
        <f>fish_lab_data!C856</f>
        <v>U17167</v>
      </c>
      <c r="B856" t="str">
        <f t="array" ref="B856">iferror(index('rna-muscle'!$I:$I,match($A856,'rna-muscle'!$A:$A,0)))</f>
        <v>BRN70M-D5</v>
      </c>
      <c r="C856" t="str">
        <f t="array" ref="C856">iferror(index('rna-muscle'!$L:$L,match($A856,'rna-muscle'!$A:$A,0)))</f>
        <v>N</v>
      </c>
      <c r="D856" t="str">
        <f t="array" ref="D856">iferror(index('rna-gill'!$I:$I,match($A856,'rna-gill'!$A:$A,0)))</f>
        <v>BRN70G-D5</v>
      </c>
      <c r="E856" t="str">
        <f t="array" ref="E856">iferror(index('rna-gill'!$L:$L,match($A856,'rna-gill'!$A:$A,0)))</f>
        <v>N</v>
      </c>
      <c r="F856" t="str">
        <f t="array" ref="F856">iferror(index(fatty_acid!$G:$G,match($A856,fatty_acid!$A:$A,0)))</f>
        <v>BFA30-54</v>
      </c>
      <c r="G856" t="str">
        <f t="array" ref="G856">iferror(index(fatty_acid!$J:$J,match($A856,fatty_acid!$A:$A,0)))</f>
        <v>N</v>
      </c>
      <c r="H856" t="str">
        <f t="array" ref="H856">iferror(index(isotopes!$G:$G,match($A856,isotopes!$A:$A,0)))</f>
        <v>BIS33-54</v>
      </c>
      <c r="I856" t="str">
        <f t="array" ref="I856">iferror(index(isotopes!$J:$J,match($A856,isotopes!$A:$A,0)))</f>
        <v>N</v>
      </c>
      <c r="J856" t="str">
        <f t="array" ref="J856">iferror(index(extra_muscle!$G:$G,match($A856,extra_muscle!$A:$A,0)))</f>
        <v>BXM31-54</v>
      </c>
      <c r="K856" t="str">
        <f t="array" ref="K856">iferror(index(extra_muscle!$J:$J,match($A856,extra_muscle!$A:$A,0)))</f>
        <v>N</v>
      </c>
      <c r="L856" s="59" t="str">
        <f t="array" ref="L856">iferror(index(dna!$G:$G,match($A856,dna!$A:$A,0)))</f>
        <v/>
      </c>
      <c r="M856" s="60" t="str">
        <f t="array" ref="M856">iferror(index(dna!$J:$J,match($A856,dna!$A:$A,0)))</f>
        <v/>
      </c>
      <c r="N856" t="str">
        <f t="array" ref="N856">iferror(index(stomachs!$G:$G,match($A856,stomachs!$A:$A,0)))</f>
        <v/>
      </c>
      <c r="O856" t="str">
        <f t="array" ref="O856">iferror(index(stomachs!$J:$J,match($A856,stomachs!$A:$A,0)))</f>
        <v/>
      </c>
      <c r="P856" t="str">
        <f t="array" ref="P856">iferror(index(sea_lice!$G:$G,match($A856,sea_lice!$A:$A,0)))</f>
        <v>BSL6-95</v>
      </c>
      <c r="Q856" t="str">
        <f t="array" ref="Q856">iferror(index(sea_lice!$J:$J,match($A856,sea_lice!$A:$A,0)))</f>
        <v>N</v>
      </c>
      <c r="R856" s="40" t="str">
        <f t="array" ref="R856">iferror(index(dissected_fish!$F:$F,match($A856,dissected_fish!$A:$A,0)))</f>
        <v>BCA108</v>
      </c>
      <c r="S856" s="40" t="str">
        <f t="array" ref="S856">iferror(index(dissected_fish!$K:$K,match($A856,dissected_fish!$A:$A,0)))</f>
        <v>N</v>
      </c>
      <c r="T856" s="61" t="str">
        <f t="array" ref="T856">index(fish_lab_data!O:O,match(A856,fish_lab_data!C:C,0))</f>
        <v>KB</v>
      </c>
      <c r="U856" s="61">
        <f t="array" ref="U856">if(A856="","",index(fish_lab_data!X:X,match(A856,fish_lab_data!C:C,0)))</f>
        <v>855</v>
      </c>
    </row>
    <row r="857">
      <c r="A857" t="str">
        <f>fish_lab_data!C857</f>
        <v>U17169</v>
      </c>
      <c r="B857" t="str">
        <f t="array" ref="B857">iferror(index('rna-muscle'!$I:$I,match($A857,'rna-muscle'!$A:$A,0)))</f>
        <v>BRN70M-C5</v>
      </c>
      <c r="C857" t="str">
        <f t="array" ref="C857">iferror(index('rna-muscle'!$L:$L,match($A857,'rna-muscle'!$A:$A,0)))</f>
        <v>N</v>
      </c>
      <c r="D857" t="str">
        <f t="array" ref="D857">iferror(index('rna-gill'!$I:$I,match($A857,'rna-gill'!$A:$A,0)))</f>
        <v>BRN70G-C5</v>
      </c>
      <c r="E857" t="str">
        <f t="array" ref="E857">iferror(index('rna-gill'!$L:$L,match($A857,'rna-gill'!$A:$A,0)))</f>
        <v>N</v>
      </c>
      <c r="F857" t="str">
        <f t="array" ref="F857">iferror(index(fatty_acid!$G:$G,match($A857,fatty_acid!$A:$A,0)))</f>
        <v>BFA30-55</v>
      </c>
      <c r="G857" t="str">
        <f t="array" ref="G857">iferror(index(fatty_acid!$J:$J,match($A857,fatty_acid!$A:$A,0)))</f>
        <v>N</v>
      </c>
      <c r="H857" t="str">
        <f t="array" ref="H857">iferror(index(isotopes!$G:$G,match($A857,isotopes!$A:$A,0)))</f>
        <v>BIS33-55</v>
      </c>
      <c r="I857" t="str">
        <f t="array" ref="I857">iferror(index(isotopes!$J:$J,match($A857,isotopes!$A:$A,0)))</f>
        <v>N</v>
      </c>
      <c r="J857" t="str">
        <f t="array" ref="J857">iferror(index(extra_muscle!$G:$G,match($A857,extra_muscle!$A:$A,0)))</f>
        <v>BXM31-55</v>
      </c>
      <c r="K857" t="str">
        <f t="array" ref="K857">iferror(index(extra_muscle!$J:$J,match($A857,extra_muscle!$A:$A,0)))</f>
        <v>N</v>
      </c>
      <c r="L857" s="59" t="str">
        <f t="array" ref="L857">iferror(index(dna!$G:$G,match($A857,dna!$A:$A,0)))</f>
        <v/>
      </c>
      <c r="M857" s="60" t="str">
        <f t="array" ref="M857">iferror(index(dna!$J:$J,match($A857,dna!$A:$A,0)))</f>
        <v/>
      </c>
      <c r="N857" t="str">
        <f t="array" ref="N857">iferror(index(stomachs!$G:$G,match($A857,stomachs!$A:$A,0)))</f>
        <v/>
      </c>
      <c r="O857" t="str">
        <f t="array" ref="O857">iferror(index(stomachs!$J:$J,match($A857,stomachs!$A:$A,0)))</f>
        <v/>
      </c>
      <c r="P857" t="str">
        <f t="array" ref="P857">iferror(index(sea_lice!$G:$G,match($A857,sea_lice!$A:$A,0)))</f>
        <v>BSL6-96</v>
      </c>
      <c r="Q857" t="str">
        <f t="array" ref="Q857">iferror(index(sea_lice!$J:$J,match($A857,sea_lice!$A:$A,0)))</f>
        <v>N</v>
      </c>
      <c r="R857" s="40" t="str">
        <f t="array" ref="R857">iferror(index(dissected_fish!$F:$F,match($A857,dissected_fish!$A:$A,0)))</f>
        <v>BCA108</v>
      </c>
      <c r="S857" s="40" t="str">
        <f t="array" ref="S857">iferror(index(dissected_fish!$K:$K,match($A857,dissected_fish!$A:$A,0)))</f>
        <v>N</v>
      </c>
      <c r="T857" s="61" t="str">
        <f t="array" ref="T857">index(fish_lab_data!O:O,match(A857,fish_lab_data!C:C,0))</f>
        <v>KB</v>
      </c>
      <c r="U857" s="61">
        <f t="array" ref="U857">if(A857="","",index(fish_lab_data!X:X,match(A857,fish_lab_data!C:C,0)))</f>
        <v>856</v>
      </c>
    </row>
    <row r="858">
      <c r="A858" t="str">
        <f>fish_lab_data!C858</f>
        <v>U17168</v>
      </c>
      <c r="B858" t="str">
        <f t="array" ref="B858">iferror(index('rna-muscle'!$I:$I,match($A858,'rna-muscle'!$A:$A,0)))</f>
        <v>BRN70M-B5</v>
      </c>
      <c r="C858" t="str">
        <f t="array" ref="C858">iferror(index('rna-muscle'!$L:$L,match($A858,'rna-muscle'!$A:$A,0)))</f>
        <v>N</v>
      </c>
      <c r="D858" t="str">
        <f t="array" ref="D858">iferror(index('rna-gill'!$I:$I,match($A858,'rna-gill'!$A:$A,0)))</f>
        <v>BRN70G-B5</v>
      </c>
      <c r="E858" t="str">
        <f t="array" ref="E858">iferror(index('rna-gill'!$L:$L,match($A858,'rna-gill'!$A:$A,0)))</f>
        <v>N</v>
      </c>
      <c r="F858" t="str">
        <f t="array" ref="F858">iferror(index(fatty_acid!$G:$G,match($A858,fatty_acid!$A:$A,0)))</f>
        <v>BFA30-56</v>
      </c>
      <c r="G858" t="str">
        <f t="array" ref="G858">iferror(index(fatty_acid!$J:$J,match($A858,fatty_acid!$A:$A,0)))</f>
        <v>N</v>
      </c>
      <c r="H858" t="str">
        <f t="array" ref="H858">iferror(index(isotopes!$G:$G,match($A858,isotopes!$A:$A,0)))</f>
        <v>BIS33-56</v>
      </c>
      <c r="I858" t="str">
        <f t="array" ref="I858">iferror(index(isotopes!$J:$J,match($A858,isotopes!$A:$A,0)))</f>
        <v>N</v>
      </c>
      <c r="J858" t="str">
        <f t="array" ref="J858">iferror(index(extra_muscle!$G:$G,match($A858,extra_muscle!$A:$A,0)))</f>
        <v>BXM31-56</v>
      </c>
      <c r="K858" t="str">
        <f t="array" ref="K858">iferror(index(extra_muscle!$J:$J,match($A858,extra_muscle!$A:$A,0)))</f>
        <v>N</v>
      </c>
      <c r="L858" s="59" t="str">
        <f t="array" ref="L858">iferror(index(dna!$G:$G,match($A858,dna!$A:$A,0)))</f>
        <v/>
      </c>
      <c r="M858" s="60" t="str">
        <f t="array" ref="M858">iferror(index(dna!$J:$J,match($A858,dna!$A:$A,0)))</f>
        <v/>
      </c>
      <c r="N858" t="str">
        <f t="array" ref="N858">iferror(index(stomachs!$G:$G,match($A858,stomachs!$A:$A,0)))</f>
        <v/>
      </c>
      <c r="O858" t="str">
        <f t="array" ref="O858">iferror(index(stomachs!$J:$J,match($A858,stomachs!$A:$A,0)))</f>
        <v/>
      </c>
      <c r="P858" t="str">
        <f t="array" ref="P858">iferror(index(sea_lice!$G:$G,match($A858,sea_lice!$A:$A,0)))</f>
        <v>BSL6-97</v>
      </c>
      <c r="Q858" t="str">
        <f t="array" ref="Q858">iferror(index(sea_lice!$J:$J,match($A858,sea_lice!$A:$A,0)))</f>
        <v>N</v>
      </c>
      <c r="R858" s="40" t="str">
        <f t="array" ref="R858">iferror(index(dissected_fish!$F:$F,match($A858,dissected_fish!$A:$A,0)))</f>
        <v>BCA108</v>
      </c>
      <c r="S858" s="40" t="str">
        <f t="array" ref="S858">iferror(index(dissected_fish!$K:$K,match($A858,dissected_fish!$A:$A,0)))</f>
        <v>N</v>
      </c>
      <c r="T858" s="61" t="str">
        <f t="array" ref="T858">index(fish_lab_data!O:O,match(A858,fish_lab_data!C:C,0))</f>
        <v>KB</v>
      </c>
      <c r="U858" s="61">
        <f t="array" ref="U858">if(A858="","",index(fish_lab_data!X:X,match(A858,fish_lab_data!C:C,0)))</f>
        <v>857</v>
      </c>
    </row>
    <row r="859">
      <c r="A859" t="str">
        <f>fish_lab_data!C859</f>
        <v>U17164</v>
      </c>
      <c r="B859" t="str">
        <f t="array" ref="B859">iferror(index('rna-muscle'!$I:$I,match($A859,'rna-muscle'!$A:$A,0)))</f>
        <v>BRN70M-A5</v>
      </c>
      <c r="C859" t="str">
        <f t="array" ref="C859">iferror(index('rna-muscle'!$L:$L,match($A859,'rna-muscle'!$A:$A,0)))</f>
        <v>N</v>
      </c>
      <c r="D859" t="str">
        <f t="array" ref="D859">iferror(index('rna-gill'!$I:$I,match($A859,'rna-gill'!$A:$A,0)))</f>
        <v>BRN70G-A5</v>
      </c>
      <c r="E859" t="str">
        <f t="array" ref="E859">iferror(index('rna-gill'!$L:$L,match($A859,'rna-gill'!$A:$A,0)))</f>
        <v>N</v>
      </c>
      <c r="F859" t="str">
        <f t="array" ref="F859">iferror(index(fatty_acid!$G:$G,match($A859,fatty_acid!$A:$A,0)))</f>
        <v>BFA30-57</v>
      </c>
      <c r="G859" t="str">
        <f t="array" ref="G859">iferror(index(fatty_acid!$J:$J,match($A859,fatty_acid!$A:$A,0)))</f>
        <v>N</v>
      </c>
      <c r="H859" t="str">
        <f t="array" ref="H859">iferror(index(isotopes!$G:$G,match($A859,isotopes!$A:$A,0)))</f>
        <v>BIS33-57</v>
      </c>
      <c r="I859" t="str">
        <f t="array" ref="I859">iferror(index(isotopes!$J:$J,match($A859,isotopes!$A:$A,0)))</f>
        <v>N</v>
      </c>
      <c r="J859" t="str">
        <f t="array" ref="J859">iferror(index(extra_muscle!$G:$G,match($A859,extra_muscle!$A:$A,0)))</f>
        <v>BXM31-57</v>
      </c>
      <c r="K859" t="str">
        <f t="array" ref="K859">iferror(index(extra_muscle!$J:$J,match($A859,extra_muscle!$A:$A,0)))</f>
        <v>N</v>
      </c>
      <c r="L859" s="59" t="str">
        <f t="array" ref="L859">iferror(index(dna!$G:$G,match($A859,dna!$A:$A,0)))</f>
        <v/>
      </c>
      <c r="M859" s="60" t="str">
        <f t="array" ref="M859">iferror(index(dna!$J:$J,match($A859,dna!$A:$A,0)))</f>
        <v/>
      </c>
      <c r="N859" t="str">
        <f t="array" ref="N859">iferror(index(stomachs!$G:$G,match($A859,stomachs!$A:$A,0)))</f>
        <v/>
      </c>
      <c r="O859" t="str">
        <f t="array" ref="O859">iferror(index(stomachs!$J:$J,match($A859,stomachs!$A:$A,0)))</f>
        <v/>
      </c>
      <c r="P859" t="str">
        <f t="array" ref="P859">iferror(index(sea_lice!$G:$G,match($A859,sea_lice!$A:$A,0)))</f>
        <v>BSL6-98</v>
      </c>
      <c r="Q859" t="str">
        <f t="array" ref="Q859">iferror(index(sea_lice!$J:$J,match($A859,sea_lice!$A:$A,0)))</f>
        <v>N</v>
      </c>
      <c r="R859" s="40" t="str">
        <f t="array" ref="R859">iferror(index(dissected_fish!$F:$F,match($A859,dissected_fish!$A:$A,0)))</f>
        <v>BCA108</v>
      </c>
      <c r="S859" s="40" t="str">
        <f t="array" ref="S859">iferror(index(dissected_fish!$K:$K,match($A859,dissected_fish!$A:$A,0)))</f>
        <v>N</v>
      </c>
      <c r="T859" s="61" t="str">
        <f t="array" ref="T859">index(fish_lab_data!O:O,match(A859,fish_lab_data!C:C,0))</f>
        <v>KB</v>
      </c>
      <c r="U859" s="61">
        <f t="array" ref="U859">if(A859="","",index(fish_lab_data!X:X,match(A859,fish_lab_data!C:C,0)))</f>
        <v>858</v>
      </c>
    </row>
    <row r="860">
      <c r="A860" t="str">
        <f>fish_lab_data!C860</f>
        <v>U17326</v>
      </c>
      <c r="B860" t="str">
        <f t="array" ref="B860">iferror(index('rna-muscle'!$I:$I,match($A860,'rna-muscle'!$A:$A,0)))</f>
        <v>BRN70M-F2</v>
      </c>
      <c r="C860" t="str">
        <f t="array" ref="C860">iferror(index('rna-muscle'!$L:$L,match($A860,'rna-muscle'!$A:$A,0)))</f>
        <v>N</v>
      </c>
      <c r="D860" t="str">
        <f t="array" ref="D860">iferror(index('rna-gill'!$I:$I,match($A860,'rna-gill'!$A:$A,0)))</f>
        <v>BRN70G-F2</v>
      </c>
      <c r="E860" t="str">
        <f t="array" ref="E860">iferror(index('rna-gill'!$L:$L,match($A860,'rna-gill'!$A:$A,0)))</f>
        <v>N</v>
      </c>
      <c r="F860" t="str">
        <f t="array" ref="F860">iferror(index(fatty_acid!$G:$G,match($A860,fatty_acid!$A:$A,0)))</f>
        <v>BFA31-28</v>
      </c>
      <c r="G860" t="str">
        <f t="array" ref="G860">iferror(index(fatty_acid!$J:$J,match($A860,fatty_acid!$A:$A,0)))</f>
        <v>N</v>
      </c>
      <c r="H860" t="str">
        <f t="array" ref="H860">iferror(index(isotopes!$G:$G,match($A860,isotopes!$A:$A,0)))</f>
        <v>BIS32-50</v>
      </c>
      <c r="I860" t="str">
        <f t="array" ref="I860">iferror(index(isotopes!$J:$J,match($A860,isotopes!$A:$A,0)))</f>
        <v>N</v>
      </c>
      <c r="J860" t="str">
        <f t="array" ref="J860">iferror(index(extra_muscle!$G:$G,match($A860,extra_muscle!$A:$A,0)))</f>
        <v>BXM32-14</v>
      </c>
      <c r="K860" t="str">
        <f t="array" ref="K860">iferror(index(extra_muscle!$J:$J,match($A860,extra_muscle!$A:$A,0)))</f>
        <v>N</v>
      </c>
      <c r="L860" s="59" t="str">
        <f t="array" ref="L860">iferror(index(dna!$G:$G,match($A860,dna!$A:$A,0)))</f>
        <v/>
      </c>
      <c r="M860" s="60" t="str">
        <f t="array" ref="M860">iferror(index(dna!$J:$J,match($A860,dna!$A:$A,0)))</f>
        <v/>
      </c>
      <c r="N860" t="str">
        <f t="array" ref="N860">iferror(index(stomachs!$G:$G,match($A860,stomachs!$A:$A,0)))</f>
        <v/>
      </c>
      <c r="O860" t="str">
        <f t="array" ref="O860">iferror(index(stomachs!$J:$J,match($A860,stomachs!$A:$A,0)))</f>
        <v/>
      </c>
      <c r="P860" t="str">
        <f t="array" ref="P860">iferror(index(sea_lice!$G:$G,match($A860,sea_lice!$A:$A,0)))</f>
        <v>BSL2-60</v>
      </c>
      <c r="Q860" t="str">
        <f t="array" ref="Q860">iferror(index(sea_lice!$J:$J,match($A860,sea_lice!$A:$A,0)))</f>
        <v>N</v>
      </c>
      <c r="R860" s="40" t="str">
        <f t="array" ref="R860">iferror(index(dissected_fish!$F:$F,match($A860,dissected_fish!$A:$A,0)))</f>
        <v>BCA107</v>
      </c>
      <c r="S860" s="40" t="str">
        <f t="array" ref="S860">iferror(index(dissected_fish!$K:$K,match($A860,dissected_fish!$A:$A,0)))</f>
        <v>N</v>
      </c>
      <c r="T860" s="61" t="str">
        <f t="array" ref="T860">index(fish_lab_data!O:O,match(A860,fish_lab_data!C:C,0))</f>
        <v>EJ</v>
      </c>
      <c r="U860" s="61">
        <f t="array" ref="U860">if(A860="","",index(fish_lab_data!X:X,match(A860,fish_lab_data!C:C,0)))</f>
        <v>859</v>
      </c>
    </row>
    <row r="861">
      <c r="A861" t="str">
        <f>fish_lab_data!C861</f>
        <v>U17327</v>
      </c>
      <c r="B861" t="str">
        <f t="array" ref="B861">iferror(index('rna-muscle'!$I:$I,match($A861,'rna-muscle'!$A:$A,0)))</f>
        <v>BRN70M-E2</v>
      </c>
      <c r="C861" t="str">
        <f t="array" ref="C861">iferror(index('rna-muscle'!$L:$L,match($A861,'rna-muscle'!$A:$A,0)))</f>
        <v>N</v>
      </c>
      <c r="D861" t="str">
        <f t="array" ref="D861">iferror(index('rna-gill'!$I:$I,match($A861,'rna-gill'!$A:$A,0)))</f>
        <v>BRN70G-E2</v>
      </c>
      <c r="E861" t="str">
        <f t="array" ref="E861">iferror(index('rna-gill'!$L:$L,match($A861,'rna-gill'!$A:$A,0)))</f>
        <v>N</v>
      </c>
      <c r="F861" t="str">
        <f t="array" ref="F861">iferror(index(fatty_acid!$G:$G,match($A861,fatty_acid!$A:$A,0)))</f>
        <v>BFA31-29</v>
      </c>
      <c r="G861" t="str">
        <f t="array" ref="G861">iferror(index(fatty_acid!$J:$J,match($A861,fatty_acid!$A:$A,0)))</f>
        <v>N</v>
      </c>
      <c r="H861" t="str">
        <f t="array" ref="H861">iferror(index(isotopes!$G:$G,match($A861,isotopes!$A:$A,0)))</f>
        <v>BIS32-51</v>
      </c>
      <c r="I861" t="str">
        <f t="array" ref="I861">iferror(index(isotopes!$J:$J,match($A861,isotopes!$A:$A,0)))</f>
        <v>N</v>
      </c>
      <c r="J861" t="str">
        <f t="array" ref="J861">iferror(index(extra_muscle!$G:$G,match($A861,extra_muscle!$A:$A,0)))</f>
        <v>BXM32-15</v>
      </c>
      <c r="K861" t="str">
        <f t="array" ref="K861">iferror(index(extra_muscle!$J:$J,match($A861,extra_muscle!$A:$A,0)))</f>
        <v>N</v>
      </c>
      <c r="L861" s="59" t="str">
        <f t="array" ref="L861">iferror(index(dna!$G:$G,match($A861,dna!$A:$A,0)))</f>
        <v/>
      </c>
      <c r="M861" s="60" t="str">
        <f t="array" ref="M861">iferror(index(dna!$J:$J,match($A861,dna!$A:$A,0)))</f>
        <v/>
      </c>
      <c r="N861" t="str">
        <f t="array" ref="N861">iferror(index(stomachs!$G:$G,match($A861,stomachs!$A:$A,0)))</f>
        <v/>
      </c>
      <c r="O861" t="str">
        <f t="array" ref="O861">iferror(index(stomachs!$J:$J,match($A861,stomachs!$A:$A,0)))</f>
        <v/>
      </c>
      <c r="P861" t="str">
        <f t="array" ref="P861">iferror(index(sea_lice!$G:$G,match($A861,sea_lice!$A:$A,0)))</f>
        <v/>
      </c>
      <c r="Q861" t="str">
        <f t="array" ref="Q861">iferror(index(sea_lice!$J:$J,match($A861,sea_lice!$A:$A,0)))</f>
        <v/>
      </c>
      <c r="R861" s="40" t="str">
        <f t="array" ref="R861">iferror(index(dissected_fish!$F:$F,match($A861,dissected_fish!$A:$A,0)))</f>
        <v>BCA107</v>
      </c>
      <c r="S861" s="40" t="str">
        <f t="array" ref="S861">iferror(index(dissected_fish!$K:$K,match($A861,dissected_fish!$A:$A,0)))</f>
        <v>N</v>
      </c>
      <c r="T861" s="61" t="str">
        <f t="array" ref="T861">index(fish_lab_data!O:O,match(A861,fish_lab_data!C:C,0))</f>
        <v>EJ</v>
      </c>
      <c r="U861" s="61">
        <f t="array" ref="U861">if(A861="","",index(fish_lab_data!X:X,match(A861,fish_lab_data!C:C,0)))</f>
        <v>860</v>
      </c>
    </row>
    <row r="862">
      <c r="A862" t="str">
        <f>fish_lab_data!C862</f>
        <v>U17328</v>
      </c>
      <c r="B862" t="str">
        <f t="array" ref="B862">iferror(index('rna-muscle'!$I:$I,match($A862,'rna-muscle'!$A:$A,0)))</f>
        <v>BRN70M-D2</v>
      </c>
      <c r="C862" t="str">
        <f t="array" ref="C862">iferror(index('rna-muscle'!$L:$L,match($A862,'rna-muscle'!$A:$A,0)))</f>
        <v>N</v>
      </c>
      <c r="D862" t="str">
        <f t="array" ref="D862">iferror(index('rna-gill'!$I:$I,match($A862,'rna-gill'!$A:$A,0)))</f>
        <v>BRN70G-D2</v>
      </c>
      <c r="E862" t="str">
        <f t="array" ref="E862">iferror(index('rna-gill'!$L:$L,match($A862,'rna-gill'!$A:$A,0)))</f>
        <v>N</v>
      </c>
      <c r="F862" t="str">
        <f t="array" ref="F862">iferror(index(fatty_acid!$G:$G,match($A862,fatty_acid!$A:$A,0)))</f>
        <v>BFA31-30</v>
      </c>
      <c r="G862" t="str">
        <f t="array" ref="G862">iferror(index(fatty_acid!$J:$J,match($A862,fatty_acid!$A:$A,0)))</f>
        <v>N</v>
      </c>
      <c r="H862" t="str">
        <f t="array" ref="H862">iferror(index(isotopes!$G:$G,match($A862,isotopes!$A:$A,0)))</f>
        <v>BIS32-52</v>
      </c>
      <c r="I862" t="str">
        <f t="array" ref="I862">iferror(index(isotopes!$J:$J,match($A862,isotopes!$A:$A,0)))</f>
        <v>N</v>
      </c>
      <c r="J862" t="str">
        <f t="array" ref="J862">iferror(index(extra_muscle!$G:$G,match($A862,extra_muscle!$A:$A,0)))</f>
        <v>BXM32-16</v>
      </c>
      <c r="K862" t="str">
        <f t="array" ref="K862">iferror(index(extra_muscle!$J:$J,match($A862,extra_muscle!$A:$A,0)))</f>
        <v>N</v>
      </c>
      <c r="L862" s="59" t="str">
        <f t="array" ref="L862">iferror(index(dna!$G:$G,match($A862,dna!$A:$A,0)))</f>
        <v/>
      </c>
      <c r="M862" s="60" t="str">
        <f t="array" ref="M862">iferror(index(dna!$J:$J,match($A862,dna!$A:$A,0)))</f>
        <v/>
      </c>
      <c r="N862" t="str">
        <f t="array" ref="N862">iferror(index(stomachs!$G:$G,match($A862,stomachs!$A:$A,0)))</f>
        <v/>
      </c>
      <c r="O862" t="str">
        <f t="array" ref="O862">iferror(index(stomachs!$J:$J,match($A862,stomachs!$A:$A,0)))</f>
        <v/>
      </c>
      <c r="P862" t="str">
        <f t="array" ref="P862">iferror(index(sea_lice!$G:$G,match($A862,sea_lice!$A:$A,0)))</f>
        <v/>
      </c>
      <c r="Q862" t="str">
        <f t="array" ref="Q862">iferror(index(sea_lice!$J:$J,match($A862,sea_lice!$A:$A,0)))</f>
        <v/>
      </c>
      <c r="R862" s="40" t="str">
        <f t="array" ref="R862">iferror(index(dissected_fish!$F:$F,match($A862,dissected_fish!$A:$A,0)))</f>
        <v>BCA107</v>
      </c>
      <c r="S862" s="40" t="str">
        <f t="array" ref="S862">iferror(index(dissected_fish!$K:$K,match($A862,dissected_fish!$A:$A,0)))</f>
        <v>N</v>
      </c>
      <c r="T862" s="61" t="str">
        <f t="array" ref="T862">index(fish_lab_data!O:O,match(A862,fish_lab_data!C:C,0))</f>
        <v>EJ</v>
      </c>
      <c r="U862" s="61">
        <f t="array" ref="U862">if(A862="","",index(fish_lab_data!X:X,match(A862,fish_lab_data!C:C,0)))</f>
        <v>861</v>
      </c>
    </row>
    <row r="863">
      <c r="A863" t="str">
        <f>fish_lab_data!C863</f>
        <v>U17329</v>
      </c>
      <c r="B863" t="str">
        <f t="array" ref="B863">iferror(index('rna-muscle'!$I:$I,match($A863,'rna-muscle'!$A:$A,0)))</f>
        <v>BRN70M-C2</v>
      </c>
      <c r="C863" t="str">
        <f t="array" ref="C863">iferror(index('rna-muscle'!$L:$L,match($A863,'rna-muscle'!$A:$A,0)))</f>
        <v>N</v>
      </c>
      <c r="D863" t="str">
        <f t="array" ref="D863">iferror(index('rna-gill'!$I:$I,match($A863,'rna-gill'!$A:$A,0)))</f>
        <v>BRN70G-C2</v>
      </c>
      <c r="E863" t="str">
        <f t="array" ref="E863">iferror(index('rna-gill'!$L:$L,match($A863,'rna-gill'!$A:$A,0)))</f>
        <v>N</v>
      </c>
      <c r="F863" t="str">
        <f t="array" ref="F863">iferror(index(fatty_acid!$G:$G,match($A863,fatty_acid!$A:$A,0)))</f>
        <v>BFA31-31</v>
      </c>
      <c r="G863" t="str">
        <f t="array" ref="G863">iferror(index(fatty_acid!$J:$J,match($A863,fatty_acid!$A:$A,0)))</f>
        <v>N</v>
      </c>
      <c r="H863" t="str">
        <f t="array" ref="H863">iferror(index(isotopes!$G:$G,match($A863,isotopes!$A:$A,0)))</f>
        <v>BIS32-53</v>
      </c>
      <c r="I863" t="str">
        <f t="array" ref="I863">iferror(index(isotopes!$J:$J,match($A863,isotopes!$A:$A,0)))</f>
        <v>N</v>
      </c>
      <c r="J863" t="str">
        <f t="array" ref="J863">iferror(index(extra_muscle!$G:$G,match($A863,extra_muscle!$A:$A,0)))</f>
        <v>BXM32-17</v>
      </c>
      <c r="K863" t="str">
        <f t="array" ref="K863">iferror(index(extra_muscle!$J:$J,match($A863,extra_muscle!$A:$A,0)))</f>
        <v>N</v>
      </c>
      <c r="L863" s="59" t="str">
        <f t="array" ref="L863">iferror(index(dna!$G:$G,match($A863,dna!$A:$A,0)))</f>
        <v/>
      </c>
      <c r="M863" s="60" t="str">
        <f t="array" ref="M863">iferror(index(dna!$J:$J,match($A863,dna!$A:$A,0)))</f>
        <v/>
      </c>
      <c r="N863" t="str">
        <f t="array" ref="N863">iferror(index(stomachs!$G:$G,match($A863,stomachs!$A:$A,0)))</f>
        <v/>
      </c>
      <c r="O863" t="str">
        <f t="array" ref="O863">iferror(index(stomachs!$J:$J,match($A863,stomachs!$A:$A,0)))</f>
        <v/>
      </c>
      <c r="P863" t="str">
        <f t="array" ref="P863">iferror(index(sea_lice!$G:$G,match($A863,sea_lice!$A:$A,0)))</f>
        <v/>
      </c>
      <c r="Q863" t="str">
        <f t="array" ref="Q863">iferror(index(sea_lice!$J:$J,match($A863,sea_lice!$A:$A,0)))</f>
        <v/>
      </c>
      <c r="R863" s="40" t="str">
        <f t="array" ref="R863">iferror(index(dissected_fish!$F:$F,match($A863,dissected_fish!$A:$A,0)))</f>
        <v>BCA107</v>
      </c>
      <c r="S863" s="40" t="str">
        <f t="array" ref="S863">iferror(index(dissected_fish!$K:$K,match($A863,dissected_fish!$A:$A,0)))</f>
        <v>N</v>
      </c>
      <c r="T863" s="61" t="str">
        <f t="array" ref="T863">index(fish_lab_data!O:O,match(A863,fish_lab_data!C:C,0))</f>
        <v>EJ</v>
      </c>
      <c r="U863" s="61">
        <f t="array" ref="U863">if(A863="","",index(fish_lab_data!X:X,match(A863,fish_lab_data!C:C,0)))</f>
        <v>862</v>
      </c>
    </row>
    <row r="864">
      <c r="A864" t="str">
        <f>fish_lab_data!C864</f>
        <v>U17330</v>
      </c>
      <c r="B864" t="str">
        <f t="array" ref="B864">iferror(index('rna-muscle'!$I:$I,match($A864,'rna-muscle'!$A:$A,0)))</f>
        <v>BRN70M-B2</v>
      </c>
      <c r="C864" t="str">
        <f t="array" ref="C864">iferror(index('rna-muscle'!$L:$L,match($A864,'rna-muscle'!$A:$A,0)))</f>
        <v>N</v>
      </c>
      <c r="D864" t="str">
        <f t="array" ref="D864">iferror(index('rna-gill'!$I:$I,match($A864,'rna-gill'!$A:$A,0)))</f>
        <v>BRN70G-B2</v>
      </c>
      <c r="E864" t="str">
        <f t="array" ref="E864">iferror(index('rna-gill'!$L:$L,match($A864,'rna-gill'!$A:$A,0)))</f>
        <v>N</v>
      </c>
      <c r="F864" t="str">
        <f t="array" ref="F864">iferror(index(fatty_acid!$G:$G,match($A864,fatty_acid!$A:$A,0)))</f>
        <v>BFA31-32</v>
      </c>
      <c r="G864" t="str">
        <f t="array" ref="G864">iferror(index(fatty_acid!$J:$J,match($A864,fatty_acid!$A:$A,0)))</f>
        <v>N</v>
      </c>
      <c r="H864" t="str">
        <f t="array" ref="H864">iferror(index(isotopes!$G:$G,match($A864,isotopes!$A:$A,0)))</f>
        <v>BIS32-54</v>
      </c>
      <c r="I864" t="str">
        <f t="array" ref="I864">iferror(index(isotopes!$J:$J,match($A864,isotopes!$A:$A,0)))</f>
        <v>N</v>
      </c>
      <c r="J864" t="str">
        <f t="array" ref="J864">iferror(index(extra_muscle!$G:$G,match($A864,extra_muscle!$A:$A,0)))</f>
        <v>BXM32-18</v>
      </c>
      <c r="K864" t="str">
        <f t="array" ref="K864">iferror(index(extra_muscle!$J:$J,match($A864,extra_muscle!$A:$A,0)))</f>
        <v>N</v>
      </c>
      <c r="L864" s="59" t="str">
        <f t="array" ref="L864">iferror(index(dna!$G:$G,match($A864,dna!$A:$A,0)))</f>
        <v/>
      </c>
      <c r="M864" s="60" t="str">
        <f t="array" ref="M864">iferror(index(dna!$J:$J,match($A864,dna!$A:$A,0)))</f>
        <v/>
      </c>
      <c r="N864" t="str">
        <f t="array" ref="N864">iferror(index(stomachs!$G:$G,match($A864,stomachs!$A:$A,0)))</f>
        <v/>
      </c>
      <c r="O864" t="str">
        <f t="array" ref="O864">iferror(index(stomachs!$J:$J,match($A864,stomachs!$A:$A,0)))</f>
        <v/>
      </c>
      <c r="P864" t="str">
        <f t="array" ref="P864">iferror(index(sea_lice!$G:$G,match($A864,sea_lice!$A:$A,0)))</f>
        <v/>
      </c>
      <c r="Q864" t="str">
        <f t="array" ref="Q864">iferror(index(sea_lice!$J:$J,match($A864,sea_lice!$A:$A,0)))</f>
        <v/>
      </c>
      <c r="R864" s="40" t="str">
        <f t="array" ref="R864">iferror(index(dissected_fish!$F:$F,match($A864,dissected_fish!$A:$A,0)))</f>
        <v>BCA107</v>
      </c>
      <c r="S864" s="40" t="str">
        <f t="array" ref="S864">iferror(index(dissected_fish!$K:$K,match($A864,dissected_fish!$A:$A,0)))</f>
        <v>N</v>
      </c>
      <c r="T864" s="61" t="str">
        <f t="array" ref="T864">index(fish_lab_data!O:O,match(A864,fish_lab_data!C:C,0))</f>
        <v>EJ</v>
      </c>
      <c r="U864" s="61">
        <f t="array" ref="U864">if(A864="","",index(fish_lab_data!X:X,match(A864,fish_lab_data!C:C,0)))</f>
        <v>863</v>
      </c>
    </row>
    <row r="865">
      <c r="A865" t="str">
        <f>fish_lab_data!C865</f>
        <v>U17021</v>
      </c>
      <c r="B865" t="str">
        <f t="array" ref="B865">iferror(index('rna-muscle'!$I:$I,match($A865,'rna-muscle'!$A:$A,0)))</f>
        <v>BRN70M-A2</v>
      </c>
      <c r="C865" t="str">
        <f t="array" ref="C865">iferror(index('rna-muscle'!$L:$L,match($A865,'rna-muscle'!$A:$A,0)))</f>
        <v>N</v>
      </c>
      <c r="D865" t="str">
        <f t="array" ref="D865">iferror(index('rna-gill'!$I:$I,match($A865,'rna-gill'!$A:$A,0)))</f>
        <v>BRN70G-A2</v>
      </c>
      <c r="E865" t="str">
        <f t="array" ref="E865">iferror(index('rna-gill'!$L:$L,match($A865,'rna-gill'!$A:$A,0)))</f>
        <v>N</v>
      </c>
      <c r="F865" t="str">
        <f t="array" ref="F865">iferror(index(fatty_acid!$G:$G,match($A865,fatty_acid!$A:$A,0)))</f>
        <v>BFA31-33</v>
      </c>
      <c r="G865" t="str">
        <f t="array" ref="G865">iferror(index(fatty_acid!$J:$J,match($A865,fatty_acid!$A:$A,0)))</f>
        <v>N</v>
      </c>
      <c r="H865" t="str">
        <f t="array" ref="H865">iferror(index(isotopes!$G:$G,match($A865,isotopes!$A:$A,0)))</f>
        <v>BIS32-55</v>
      </c>
      <c r="I865" t="str">
        <f t="array" ref="I865">iferror(index(isotopes!$J:$J,match($A865,isotopes!$A:$A,0)))</f>
        <v>N</v>
      </c>
      <c r="J865" t="str">
        <f t="array" ref="J865">iferror(index(extra_muscle!$G:$G,match($A865,extra_muscle!$A:$A,0)))</f>
        <v>BXM32-19</v>
      </c>
      <c r="K865" t="str">
        <f t="array" ref="K865">iferror(index(extra_muscle!$J:$J,match($A865,extra_muscle!$A:$A,0)))</f>
        <v>N</v>
      </c>
      <c r="L865" s="59" t="str">
        <f t="array" ref="L865">iferror(index(dna!$G:$G,match($A865,dna!$A:$A,0)))</f>
        <v/>
      </c>
      <c r="M865" s="60" t="str">
        <f t="array" ref="M865">iferror(index(dna!$J:$J,match($A865,dna!$A:$A,0)))</f>
        <v/>
      </c>
      <c r="N865" t="str">
        <f t="array" ref="N865">iferror(index(stomachs!$G:$G,match($A865,stomachs!$A:$A,0)))</f>
        <v/>
      </c>
      <c r="O865" t="str">
        <f t="array" ref="O865">iferror(index(stomachs!$J:$J,match($A865,stomachs!$A:$A,0)))</f>
        <v/>
      </c>
      <c r="P865" t="str">
        <f t="array" ref="P865">iferror(index(sea_lice!$G:$G,match($A865,sea_lice!$A:$A,0)))</f>
        <v/>
      </c>
      <c r="Q865" t="str">
        <f t="array" ref="Q865">iferror(index(sea_lice!$J:$J,match($A865,sea_lice!$A:$A,0)))</f>
        <v/>
      </c>
      <c r="R865" s="40" t="str">
        <f t="array" ref="R865">iferror(index(dissected_fish!$F:$F,match($A865,dissected_fish!$A:$A,0)))</f>
        <v>BCA108</v>
      </c>
      <c r="S865" s="40" t="str">
        <f t="array" ref="S865">iferror(index(dissected_fish!$K:$K,match($A865,dissected_fish!$A:$A,0)))</f>
        <v>N</v>
      </c>
      <c r="T865" s="61" t="str">
        <f t="array" ref="T865">index(fish_lab_data!O:O,match(A865,fish_lab_data!C:C,0))</f>
        <v>EJ</v>
      </c>
      <c r="U865" s="61">
        <f t="array" ref="U865">if(A865="","",index(fish_lab_data!X:X,match(A865,fish_lab_data!C:C,0)))</f>
        <v>864</v>
      </c>
    </row>
    <row r="866">
      <c r="A866" t="str">
        <f>fish_lab_data!C866</f>
        <v>U17022</v>
      </c>
      <c r="B866" t="str">
        <f t="array" ref="B866">iferror(index('rna-muscle'!$I:$I,match($A866,'rna-muscle'!$A:$A,0)))</f>
        <v>BRN70M-H4</v>
      </c>
      <c r="C866" t="str">
        <f t="array" ref="C866">iferror(index('rna-muscle'!$L:$L,match($A866,'rna-muscle'!$A:$A,0)))</f>
        <v>N</v>
      </c>
      <c r="D866" t="str">
        <f t="array" ref="D866">iferror(index('rna-gill'!$I:$I,match($A866,'rna-gill'!$A:$A,0)))</f>
        <v>BRN70G-H4</v>
      </c>
      <c r="E866" t="str">
        <f t="array" ref="E866">iferror(index('rna-gill'!$L:$L,match($A866,'rna-gill'!$A:$A,0)))</f>
        <v>N</v>
      </c>
      <c r="F866" t="str">
        <f t="array" ref="F866">iferror(index(fatty_acid!$G:$G,match($A866,fatty_acid!$A:$A,0)))</f>
        <v>BFA31-34</v>
      </c>
      <c r="G866" t="str">
        <f t="array" ref="G866">iferror(index(fatty_acid!$J:$J,match($A866,fatty_acid!$A:$A,0)))</f>
        <v>N</v>
      </c>
      <c r="H866" t="str">
        <f t="array" ref="H866">iferror(index(isotopes!$G:$G,match($A866,isotopes!$A:$A,0)))</f>
        <v>BIS32-56</v>
      </c>
      <c r="I866" t="str">
        <f t="array" ref="I866">iferror(index(isotopes!$J:$J,match($A866,isotopes!$A:$A,0)))</f>
        <v>N</v>
      </c>
      <c r="J866" t="str">
        <f t="array" ref="J866">iferror(index(extra_muscle!$G:$G,match($A866,extra_muscle!$A:$A,0)))</f>
        <v>BXM32-20</v>
      </c>
      <c r="K866" t="str">
        <f t="array" ref="K866">iferror(index(extra_muscle!$J:$J,match($A866,extra_muscle!$A:$A,0)))</f>
        <v>N</v>
      </c>
      <c r="L866" s="59" t="str">
        <f t="array" ref="L866">iferror(index(dna!$G:$G,match($A866,dna!$A:$A,0)))</f>
        <v/>
      </c>
      <c r="M866" s="60" t="str">
        <f t="array" ref="M866">iferror(index(dna!$J:$J,match($A866,dna!$A:$A,0)))</f>
        <v/>
      </c>
      <c r="N866" t="str">
        <f t="array" ref="N866">iferror(index(stomachs!$G:$G,match($A866,stomachs!$A:$A,0)))</f>
        <v/>
      </c>
      <c r="O866" t="str">
        <f t="array" ref="O866">iferror(index(stomachs!$J:$J,match($A866,stomachs!$A:$A,0)))</f>
        <v/>
      </c>
      <c r="P866" t="str">
        <f t="array" ref="P866">iferror(index(sea_lice!$G:$G,match($A866,sea_lice!$A:$A,0)))</f>
        <v/>
      </c>
      <c r="Q866" t="str">
        <f t="array" ref="Q866">iferror(index(sea_lice!$J:$J,match($A866,sea_lice!$A:$A,0)))</f>
        <v/>
      </c>
      <c r="R866" s="40" t="str">
        <f t="array" ref="R866">iferror(index(dissected_fish!$F:$F,match($A866,dissected_fish!$A:$A,0)))</f>
        <v>BCA108</v>
      </c>
      <c r="S866" s="40" t="str">
        <f t="array" ref="S866">iferror(index(dissected_fish!$K:$K,match($A866,dissected_fish!$A:$A,0)))</f>
        <v>N</v>
      </c>
      <c r="T866" s="61" t="str">
        <f t="array" ref="T866">index(fish_lab_data!O:O,match(A866,fish_lab_data!C:C,0))</f>
        <v>EJ</v>
      </c>
      <c r="U866" s="61">
        <f t="array" ref="U866">if(A866="","",index(fish_lab_data!X:X,match(A866,fish_lab_data!C:C,0)))</f>
        <v>865</v>
      </c>
    </row>
    <row r="867">
      <c r="A867" t="str">
        <f>fish_lab_data!C867</f>
        <v>U17023</v>
      </c>
      <c r="B867" t="str">
        <f t="array" ref="B867">iferror(index('rna-muscle'!$I:$I,match($A867,'rna-muscle'!$A:$A,0)))</f>
        <v>BRN70M-G4</v>
      </c>
      <c r="C867" t="str">
        <f t="array" ref="C867">iferror(index('rna-muscle'!$L:$L,match($A867,'rna-muscle'!$A:$A,0)))</f>
        <v>N</v>
      </c>
      <c r="D867" t="str">
        <f t="array" ref="D867">iferror(index('rna-gill'!$I:$I,match($A867,'rna-gill'!$A:$A,0)))</f>
        <v>BRN70G-G4</v>
      </c>
      <c r="E867" t="str">
        <f t="array" ref="E867">iferror(index('rna-gill'!$L:$L,match($A867,'rna-gill'!$A:$A,0)))</f>
        <v>N</v>
      </c>
      <c r="F867" t="str">
        <f t="array" ref="F867">iferror(index(fatty_acid!$G:$G,match($A867,fatty_acid!$A:$A,0)))</f>
        <v>BFA31-35</v>
      </c>
      <c r="G867" t="str">
        <f t="array" ref="G867">iferror(index(fatty_acid!$J:$J,match($A867,fatty_acid!$A:$A,0)))</f>
        <v>N</v>
      </c>
      <c r="H867" t="str">
        <f t="array" ref="H867">iferror(index(isotopes!$G:$G,match($A867,isotopes!$A:$A,0)))</f>
        <v>BIS32-57</v>
      </c>
      <c r="I867" t="str">
        <f t="array" ref="I867">iferror(index(isotopes!$J:$J,match($A867,isotopes!$A:$A,0)))</f>
        <v>N</v>
      </c>
      <c r="J867" t="str">
        <f t="array" ref="J867">iferror(index(extra_muscle!$G:$G,match($A867,extra_muscle!$A:$A,0)))</f>
        <v>BXM32-21</v>
      </c>
      <c r="K867" t="str">
        <f t="array" ref="K867">iferror(index(extra_muscle!$J:$J,match($A867,extra_muscle!$A:$A,0)))</f>
        <v>N</v>
      </c>
      <c r="L867" s="59" t="str">
        <f t="array" ref="L867">iferror(index(dna!$G:$G,match($A867,dna!$A:$A,0)))</f>
        <v/>
      </c>
      <c r="M867" s="60" t="str">
        <f t="array" ref="M867">iferror(index(dna!$J:$J,match($A867,dna!$A:$A,0)))</f>
        <v/>
      </c>
      <c r="N867" t="str">
        <f t="array" ref="N867">iferror(index(stomachs!$G:$G,match($A867,stomachs!$A:$A,0)))</f>
        <v/>
      </c>
      <c r="O867" t="str">
        <f t="array" ref="O867">iferror(index(stomachs!$J:$J,match($A867,stomachs!$A:$A,0)))</f>
        <v/>
      </c>
      <c r="P867" t="str">
        <f t="array" ref="P867">iferror(index(sea_lice!$G:$G,match($A867,sea_lice!$A:$A,0)))</f>
        <v/>
      </c>
      <c r="Q867" t="str">
        <f t="array" ref="Q867">iferror(index(sea_lice!$J:$J,match($A867,sea_lice!$A:$A,0)))</f>
        <v/>
      </c>
      <c r="R867" s="40" t="str">
        <f t="array" ref="R867">iferror(index(dissected_fish!$F:$F,match($A867,dissected_fish!$A:$A,0)))</f>
        <v>BCA108</v>
      </c>
      <c r="S867" s="40" t="str">
        <f t="array" ref="S867">iferror(index(dissected_fish!$K:$K,match($A867,dissected_fish!$A:$A,0)))</f>
        <v>N</v>
      </c>
      <c r="T867" s="61" t="str">
        <f t="array" ref="T867">index(fish_lab_data!O:O,match(A867,fish_lab_data!C:C,0))</f>
        <v>EJ</v>
      </c>
      <c r="U867" s="61">
        <f t="array" ref="U867">if(A867="","",index(fish_lab_data!X:X,match(A867,fish_lab_data!C:C,0)))</f>
        <v>866</v>
      </c>
    </row>
    <row r="868">
      <c r="A868" t="str">
        <f>fish_lab_data!C868</f>
        <v>U17024</v>
      </c>
      <c r="B868" t="str">
        <f t="array" ref="B868">iferror(index('rna-muscle'!$I:$I,match($A868,'rna-muscle'!$A:$A,0)))</f>
        <v>BRN70M-F4</v>
      </c>
      <c r="C868" t="str">
        <f t="array" ref="C868">iferror(index('rna-muscle'!$L:$L,match($A868,'rna-muscle'!$A:$A,0)))</f>
        <v>N</v>
      </c>
      <c r="D868" t="str">
        <f t="array" ref="D868">iferror(index('rna-gill'!$I:$I,match($A868,'rna-gill'!$A:$A,0)))</f>
        <v>BRN70G-F4</v>
      </c>
      <c r="E868" t="str">
        <f t="array" ref="E868">iferror(index('rna-gill'!$L:$L,match($A868,'rna-gill'!$A:$A,0)))</f>
        <v>N</v>
      </c>
      <c r="F868" t="str">
        <f t="array" ref="F868">iferror(index(fatty_acid!$G:$G,match($A868,fatty_acid!$A:$A,0)))</f>
        <v>BFA31-36</v>
      </c>
      <c r="G868" t="str">
        <f t="array" ref="G868">iferror(index(fatty_acid!$J:$J,match($A868,fatty_acid!$A:$A,0)))</f>
        <v>N</v>
      </c>
      <c r="H868" t="str">
        <f t="array" ref="H868">iferror(index(isotopes!$G:$G,match($A868,isotopes!$A:$A,0)))</f>
        <v>BIS32-58</v>
      </c>
      <c r="I868" t="str">
        <f t="array" ref="I868">iferror(index(isotopes!$J:$J,match($A868,isotopes!$A:$A,0)))</f>
        <v>N</v>
      </c>
      <c r="J868" t="str">
        <f t="array" ref="J868">iferror(index(extra_muscle!$G:$G,match($A868,extra_muscle!$A:$A,0)))</f>
        <v>BXM32-22</v>
      </c>
      <c r="K868" t="str">
        <f t="array" ref="K868">iferror(index(extra_muscle!$J:$J,match($A868,extra_muscle!$A:$A,0)))</f>
        <v>N</v>
      </c>
      <c r="L868" s="59" t="str">
        <f t="array" ref="L868">iferror(index(dna!$G:$G,match($A868,dna!$A:$A,0)))</f>
        <v/>
      </c>
      <c r="M868" s="60" t="str">
        <f t="array" ref="M868">iferror(index(dna!$J:$J,match($A868,dna!$A:$A,0)))</f>
        <v/>
      </c>
      <c r="N868" t="str">
        <f t="array" ref="N868">iferror(index(stomachs!$G:$G,match($A868,stomachs!$A:$A,0)))</f>
        <v/>
      </c>
      <c r="O868" t="str">
        <f t="array" ref="O868">iferror(index(stomachs!$J:$J,match($A868,stomachs!$A:$A,0)))</f>
        <v/>
      </c>
      <c r="P868" t="str">
        <f t="array" ref="P868">iferror(index(sea_lice!$G:$G,match($A868,sea_lice!$A:$A,0)))</f>
        <v/>
      </c>
      <c r="Q868" t="str">
        <f t="array" ref="Q868">iferror(index(sea_lice!$J:$J,match($A868,sea_lice!$A:$A,0)))</f>
        <v/>
      </c>
      <c r="R868" s="40" t="str">
        <f t="array" ref="R868">iferror(index(dissected_fish!$F:$F,match($A868,dissected_fish!$A:$A,0)))</f>
        <v>BCA108</v>
      </c>
      <c r="S868" s="40" t="str">
        <f t="array" ref="S868">iferror(index(dissected_fish!$K:$K,match($A868,dissected_fish!$A:$A,0)))</f>
        <v>N</v>
      </c>
      <c r="T868" s="61" t="str">
        <f t="array" ref="T868">index(fish_lab_data!O:O,match(A868,fish_lab_data!C:C,0))</f>
        <v>EJ</v>
      </c>
      <c r="U868" s="61">
        <f t="array" ref="U868">if(A868="","",index(fish_lab_data!X:X,match(A868,fish_lab_data!C:C,0)))</f>
        <v>867</v>
      </c>
    </row>
    <row r="869">
      <c r="A869" t="str">
        <f>fish_lab_data!C869</f>
        <v>U17026</v>
      </c>
      <c r="B869" t="str">
        <f t="array" ref="B869">iferror(index('rna-muscle'!$I:$I,match($A869,'rna-muscle'!$A:$A,0)))</f>
        <v>BRN70M-E4</v>
      </c>
      <c r="C869" t="str">
        <f t="array" ref="C869">iferror(index('rna-muscle'!$L:$L,match($A869,'rna-muscle'!$A:$A,0)))</f>
        <v>N</v>
      </c>
      <c r="D869" t="str">
        <f t="array" ref="D869">iferror(index('rna-gill'!$I:$I,match($A869,'rna-gill'!$A:$A,0)))</f>
        <v>BRN70G-E4</v>
      </c>
      <c r="E869" t="str">
        <f t="array" ref="E869">iferror(index('rna-gill'!$L:$L,match($A869,'rna-gill'!$A:$A,0)))</f>
        <v>N</v>
      </c>
      <c r="F869" t="str">
        <f t="array" ref="F869">iferror(index(fatty_acid!$G:$G,match($A869,fatty_acid!$A:$A,0)))</f>
        <v>BFA31-37</v>
      </c>
      <c r="G869" t="str">
        <f t="array" ref="G869">iferror(index(fatty_acid!$J:$J,match($A869,fatty_acid!$A:$A,0)))</f>
        <v>N</v>
      </c>
      <c r="H869" t="str">
        <f t="array" ref="H869">iferror(index(isotopes!$G:$G,match($A869,isotopes!$A:$A,0)))</f>
        <v>BIS32-59</v>
      </c>
      <c r="I869" t="str">
        <f t="array" ref="I869">iferror(index(isotopes!$J:$J,match($A869,isotopes!$A:$A,0)))</f>
        <v>N</v>
      </c>
      <c r="J869" t="str">
        <f t="array" ref="J869">iferror(index(extra_muscle!$G:$G,match($A869,extra_muscle!$A:$A,0)))</f>
        <v>BXM32-23</v>
      </c>
      <c r="K869" t="str">
        <f t="array" ref="K869">iferror(index(extra_muscle!$J:$J,match($A869,extra_muscle!$A:$A,0)))</f>
        <v>N</v>
      </c>
      <c r="L869" s="59" t="str">
        <f t="array" ref="L869">iferror(index(dna!$G:$G,match($A869,dna!$A:$A,0)))</f>
        <v/>
      </c>
      <c r="M869" s="60" t="str">
        <f t="array" ref="M869">iferror(index(dna!$J:$J,match($A869,dna!$A:$A,0)))</f>
        <v/>
      </c>
      <c r="N869" t="str">
        <f t="array" ref="N869">iferror(index(stomachs!$G:$G,match($A869,stomachs!$A:$A,0)))</f>
        <v/>
      </c>
      <c r="O869" t="str">
        <f t="array" ref="O869">iferror(index(stomachs!$J:$J,match($A869,stomachs!$A:$A,0)))</f>
        <v/>
      </c>
      <c r="P869" t="str">
        <f t="array" ref="P869">iferror(index(sea_lice!$G:$G,match($A869,sea_lice!$A:$A,0)))</f>
        <v/>
      </c>
      <c r="Q869" t="str">
        <f t="array" ref="Q869">iferror(index(sea_lice!$J:$J,match($A869,sea_lice!$A:$A,0)))</f>
        <v/>
      </c>
      <c r="R869" s="40" t="str">
        <f t="array" ref="R869">iferror(index(dissected_fish!$F:$F,match($A869,dissected_fish!$A:$A,0)))</f>
        <v>BCA108</v>
      </c>
      <c r="S869" s="40" t="str">
        <f t="array" ref="S869">iferror(index(dissected_fish!$K:$K,match($A869,dissected_fish!$A:$A,0)))</f>
        <v>N</v>
      </c>
      <c r="T869" s="61" t="str">
        <f t="array" ref="T869">index(fish_lab_data!O:O,match(A869,fish_lab_data!C:C,0))</f>
        <v>EJ</v>
      </c>
      <c r="U869" s="61">
        <f t="array" ref="U869">if(A869="","",index(fish_lab_data!X:X,match(A869,fish_lab_data!C:C,0)))</f>
        <v>868</v>
      </c>
    </row>
    <row r="870">
      <c r="A870" t="str">
        <f>fish_lab_data!C870</f>
        <v>U17025</v>
      </c>
      <c r="B870" t="str">
        <f t="array" ref="B870">iferror(index('rna-muscle'!$I:$I,match($A870,'rna-muscle'!$A:$A,0)))</f>
        <v>BRN70M-D4</v>
      </c>
      <c r="C870" t="str">
        <f t="array" ref="C870">iferror(index('rna-muscle'!$L:$L,match($A870,'rna-muscle'!$A:$A,0)))</f>
        <v>N</v>
      </c>
      <c r="D870" t="str">
        <f t="array" ref="D870">iferror(index('rna-gill'!$I:$I,match($A870,'rna-gill'!$A:$A,0)))</f>
        <v>BRN70G-D4</v>
      </c>
      <c r="E870" t="str">
        <f t="array" ref="E870">iferror(index('rna-gill'!$L:$L,match($A870,'rna-gill'!$A:$A,0)))</f>
        <v>N</v>
      </c>
      <c r="F870" t="str">
        <f t="array" ref="F870">iferror(index(fatty_acid!$G:$G,match($A870,fatty_acid!$A:$A,0)))</f>
        <v>BFA31-38</v>
      </c>
      <c r="G870" t="str">
        <f t="array" ref="G870">iferror(index(fatty_acid!$J:$J,match($A870,fatty_acid!$A:$A,0)))</f>
        <v>N</v>
      </c>
      <c r="H870" t="str">
        <f t="array" ref="H870">iferror(index(isotopes!$G:$G,match($A870,isotopes!$A:$A,0)))</f>
        <v>BIS32-60</v>
      </c>
      <c r="I870" t="str">
        <f t="array" ref="I870">iferror(index(isotopes!$J:$J,match($A870,isotopes!$A:$A,0)))</f>
        <v>N</v>
      </c>
      <c r="J870" t="str">
        <f t="array" ref="J870">iferror(index(extra_muscle!$G:$G,match($A870,extra_muscle!$A:$A,0)))</f>
        <v>BXM32-24</v>
      </c>
      <c r="K870" t="str">
        <f t="array" ref="K870">iferror(index(extra_muscle!$J:$J,match($A870,extra_muscle!$A:$A,0)))</f>
        <v>N</v>
      </c>
      <c r="L870" s="59" t="str">
        <f t="array" ref="L870">iferror(index(dna!$G:$G,match($A870,dna!$A:$A,0)))</f>
        <v/>
      </c>
      <c r="M870" s="60" t="str">
        <f t="array" ref="M870">iferror(index(dna!$J:$J,match($A870,dna!$A:$A,0)))</f>
        <v/>
      </c>
      <c r="N870" t="str">
        <f t="array" ref="N870">iferror(index(stomachs!$G:$G,match($A870,stomachs!$A:$A,0)))</f>
        <v/>
      </c>
      <c r="O870" t="str">
        <f t="array" ref="O870">iferror(index(stomachs!$J:$J,match($A870,stomachs!$A:$A,0)))</f>
        <v/>
      </c>
      <c r="P870" t="str">
        <f t="array" ref="P870">iferror(index(sea_lice!$G:$G,match($A870,sea_lice!$A:$A,0)))</f>
        <v/>
      </c>
      <c r="Q870" t="str">
        <f t="array" ref="Q870">iferror(index(sea_lice!$J:$J,match($A870,sea_lice!$A:$A,0)))</f>
        <v/>
      </c>
      <c r="R870" s="40" t="str">
        <f t="array" ref="R870">iferror(index(dissected_fish!$F:$F,match($A870,dissected_fish!$A:$A,0)))</f>
        <v>BCA108</v>
      </c>
      <c r="S870" s="40" t="str">
        <f t="array" ref="S870">iferror(index(dissected_fish!$K:$K,match($A870,dissected_fish!$A:$A,0)))</f>
        <v>N</v>
      </c>
      <c r="T870" s="61" t="str">
        <f t="array" ref="T870">index(fish_lab_data!O:O,match(A870,fish_lab_data!C:C,0))</f>
        <v>EJ</v>
      </c>
      <c r="U870" s="61">
        <f t="array" ref="U870">if(A870="","",index(fish_lab_data!X:X,match(A870,fish_lab_data!C:C,0)))</f>
        <v>869</v>
      </c>
    </row>
    <row r="871">
      <c r="A871" t="str">
        <f>fish_lab_data!C871</f>
        <v>U17027</v>
      </c>
      <c r="B871" t="str">
        <f t="array" ref="B871">iferror(index('rna-muscle'!$I:$I,match($A871,'rna-muscle'!$A:$A,0)))</f>
        <v>BRN70M-C4</v>
      </c>
      <c r="C871" t="str">
        <f t="array" ref="C871">iferror(index('rna-muscle'!$L:$L,match($A871,'rna-muscle'!$A:$A,0)))</f>
        <v>N</v>
      </c>
      <c r="D871" t="str">
        <f t="array" ref="D871">iferror(index('rna-gill'!$I:$I,match($A871,'rna-gill'!$A:$A,0)))</f>
        <v>BRN70G-C4</v>
      </c>
      <c r="E871" t="str">
        <f t="array" ref="E871">iferror(index('rna-gill'!$L:$L,match($A871,'rna-gill'!$A:$A,0)))</f>
        <v>N</v>
      </c>
      <c r="F871" t="str">
        <f t="array" ref="F871">iferror(index(fatty_acid!$G:$G,match($A871,fatty_acid!$A:$A,0)))</f>
        <v>BFA31-39</v>
      </c>
      <c r="G871" t="str">
        <f t="array" ref="G871">iferror(index(fatty_acid!$J:$J,match($A871,fatty_acid!$A:$A,0)))</f>
        <v>N</v>
      </c>
      <c r="H871" t="str">
        <f t="array" ref="H871">iferror(index(isotopes!$G:$G,match($A871,isotopes!$A:$A,0)))</f>
        <v>BIS32-61</v>
      </c>
      <c r="I871" t="str">
        <f t="array" ref="I871">iferror(index(isotopes!$J:$J,match($A871,isotopes!$A:$A,0)))</f>
        <v>N</v>
      </c>
      <c r="J871" t="str">
        <f t="array" ref="J871">iferror(index(extra_muscle!$G:$G,match($A871,extra_muscle!$A:$A,0)))</f>
        <v>BXM32-25</v>
      </c>
      <c r="K871" t="str">
        <f t="array" ref="K871">iferror(index(extra_muscle!$J:$J,match($A871,extra_muscle!$A:$A,0)))</f>
        <v>N</v>
      </c>
      <c r="L871" s="59" t="str">
        <f t="array" ref="L871">iferror(index(dna!$G:$G,match($A871,dna!$A:$A,0)))</f>
        <v/>
      </c>
      <c r="M871" s="60" t="str">
        <f t="array" ref="M871">iferror(index(dna!$J:$J,match($A871,dna!$A:$A,0)))</f>
        <v/>
      </c>
      <c r="N871" t="str">
        <f t="array" ref="N871">iferror(index(stomachs!$G:$G,match($A871,stomachs!$A:$A,0)))</f>
        <v/>
      </c>
      <c r="O871" t="str">
        <f t="array" ref="O871">iferror(index(stomachs!$J:$J,match($A871,stomachs!$A:$A,0)))</f>
        <v/>
      </c>
      <c r="P871" t="str">
        <f t="array" ref="P871">iferror(index(sea_lice!$G:$G,match($A871,sea_lice!$A:$A,0)))</f>
        <v/>
      </c>
      <c r="Q871" t="str">
        <f t="array" ref="Q871">iferror(index(sea_lice!$J:$J,match($A871,sea_lice!$A:$A,0)))</f>
        <v/>
      </c>
      <c r="R871" s="40" t="str">
        <f t="array" ref="R871">iferror(index(dissected_fish!$F:$F,match($A871,dissected_fish!$A:$A,0)))</f>
        <v>BCA108</v>
      </c>
      <c r="S871" s="40" t="str">
        <f t="array" ref="S871">iferror(index(dissected_fish!$K:$K,match($A871,dissected_fish!$A:$A,0)))</f>
        <v>N</v>
      </c>
      <c r="T871" s="61" t="str">
        <f t="array" ref="T871">index(fish_lab_data!O:O,match(A871,fish_lab_data!C:C,0))</f>
        <v>EJ</v>
      </c>
      <c r="U871" s="61">
        <f t="array" ref="U871">if(A871="","",index(fish_lab_data!X:X,match(A871,fish_lab_data!C:C,0)))</f>
        <v>870</v>
      </c>
    </row>
    <row r="872">
      <c r="A872" t="str">
        <f>fish_lab_data!C872</f>
        <v>U17028</v>
      </c>
      <c r="B872" t="str">
        <f t="array" ref="B872">iferror(index('rna-muscle'!$I:$I,match($A872,'rna-muscle'!$A:$A,0)))</f>
        <v>BRN70M-B4</v>
      </c>
      <c r="C872" t="str">
        <f t="array" ref="C872">iferror(index('rna-muscle'!$L:$L,match($A872,'rna-muscle'!$A:$A,0)))</f>
        <v>N</v>
      </c>
      <c r="D872" t="str">
        <f t="array" ref="D872">iferror(index('rna-gill'!$I:$I,match($A872,'rna-gill'!$A:$A,0)))</f>
        <v>BRN70G-B4</v>
      </c>
      <c r="E872" t="str">
        <f t="array" ref="E872">iferror(index('rna-gill'!$L:$L,match($A872,'rna-gill'!$A:$A,0)))</f>
        <v>N</v>
      </c>
      <c r="F872" t="str">
        <f t="array" ref="F872">iferror(index(fatty_acid!$G:$G,match($A872,fatty_acid!$A:$A,0)))</f>
        <v>BFA31-40</v>
      </c>
      <c r="G872" t="str">
        <f t="array" ref="G872">iferror(index(fatty_acid!$J:$J,match($A872,fatty_acid!$A:$A,0)))</f>
        <v>N</v>
      </c>
      <c r="H872" t="str">
        <f t="array" ref="H872">iferror(index(isotopes!$G:$G,match($A872,isotopes!$A:$A,0)))</f>
        <v>BIS32-62</v>
      </c>
      <c r="I872" t="str">
        <f t="array" ref="I872">iferror(index(isotopes!$J:$J,match($A872,isotopes!$A:$A,0)))</f>
        <v>N</v>
      </c>
      <c r="J872" t="str">
        <f t="array" ref="J872">iferror(index(extra_muscle!$G:$G,match($A872,extra_muscle!$A:$A,0)))</f>
        <v>BXM32-26</v>
      </c>
      <c r="K872" t="str">
        <f t="array" ref="K872">iferror(index(extra_muscle!$J:$J,match($A872,extra_muscle!$A:$A,0)))</f>
        <v>N</v>
      </c>
      <c r="L872" s="59" t="str">
        <f t="array" ref="L872">iferror(index(dna!$G:$G,match($A872,dna!$A:$A,0)))</f>
        <v/>
      </c>
      <c r="M872" s="60" t="str">
        <f t="array" ref="M872">iferror(index(dna!$J:$J,match($A872,dna!$A:$A,0)))</f>
        <v/>
      </c>
      <c r="N872" t="str">
        <f t="array" ref="N872">iferror(index(stomachs!$G:$G,match($A872,stomachs!$A:$A,0)))</f>
        <v/>
      </c>
      <c r="O872" t="str">
        <f t="array" ref="O872">iferror(index(stomachs!$J:$J,match($A872,stomachs!$A:$A,0)))</f>
        <v/>
      </c>
      <c r="P872" t="str">
        <f t="array" ref="P872">iferror(index(sea_lice!$G:$G,match($A872,sea_lice!$A:$A,0)))</f>
        <v>BSL6-92</v>
      </c>
      <c r="Q872" t="str">
        <f t="array" ref="Q872">iferror(index(sea_lice!$J:$J,match($A872,sea_lice!$A:$A,0)))</f>
        <v>N</v>
      </c>
      <c r="R872" s="40" t="str">
        <f t="array" ref="R872">iferror(index(dissected_fish!$F:$F,match($A872,dissected_fish!$A:$A,0)))</f>
        <v>BCA108</v>
      </c>
      <c r="S872" s="40" t="str">
        <f t="array" ref="S872">iferror(index(dissected_fish!$K:$K,match($A872,dissected_fish!$A:$A,0)))</f>
        <v>N</v>
      </c>
      <c r="T872" s="61" t="str">
        <f t="array" ref="T872">index(fish_lab_data!O:O,match(A872,fish_lab_data!C:C,0))</f>
        <v>EJ</v>
      </c>
      <c r="U872" s="61">
        <f t="array" ref="U872">if(A872="","",index(fish_lab_data!X:X,match(A872,fish_lab_data!C:C,0)))</f>
        <v>871</v>
      </c>
    </row>
    <row r="873">
      <c r="A873" t="str">
        <f>fish_lab_data!C873</f>
        <v>U17029</v>
      </c>
      <c r="B873" t="str">
        <f t="array" ref="B873">iferror(index('rna-muscle'!$I:$I,match($A873,'rna-muscle'!$A:$A,0)))</f>
        <v>BRN70M-A4</v>
      </c>
      <c r="C873" t="str">
        <f t="array" ref="C873">iferror(index('rna-muscle'!$L:$L,match($A873,'rna-muscle'!$A:$A,0)))</f>
        <v>N</v>
      </c>
      <c r="D873" t="str">
        <f t="array" ref="D873">iferror(index('rna-gill'!$I:$I,match($A873,'rna-gill'!$A:$A,0)))</f>
        <v>BRN70G-A4</v>
      </c>
      <c r="E873" t="str">
        <f t="array" ref="E873">iferror(index('rna-gill'!$L:$L,match($A873,'rna-gill'!$A:$A,0)))</f>
        <v>N</v>
      </c>
      <c r="F873" t="str">
        <f t="array" ref="F873">iferror(index(fatty_acid!$G:$G,match($A873,fatty_acid!$A:$A,0)))</f>
        <v>BFA31-41</v>
      </c>
      <c r="G873" t="str">
        <f t="array" ref="G873">iferror(index(fatty_acid!$J:$J,match($A873,fatty_acid!$A:$A,0)))</f>
        <v>N</v>
      </c>
      <c r="H873" t="str">
        <f t="array" ref="H873">iferror(index(isotopes!$G:$G,match($A873,isotopes!$A:$A,0)))</f>
        <v>BIS32-63</v>
      </c>
      <c r="I873" t="str">
        <f t="array" ref="I873">iferror(index(isotopes!$J:$J,match($A873,isotopes!$A:$A,0)))</f>
        <v>N</v>
      </c>
      <c r="J873" t="str">
        <f t="array" ref="J873">iferror(index(extra_muscle!$G:$G,match($A873,extra_muscle!$A:$A,0)))</f>
        <v>BXM32-27</v>
      </c>
      <c r="K873" t="str">
        <f t="array" ref="K873">iferror(index(extra_muscle!$J:$J,match($A873,extra_muscle!$A:$A,0)))</f>
        <v>N</v>
      </c>
      <c r="L873" s="59" t="str">
        <f t="array" ref="L873">iferror(index(dna!$G:$G,match($A873,dna!$A:$A,0)))</f>
        <v/>
      </c>
      <c r="M873" s="60" t="str">
        <f t="array" ref="M873">iferror(index(dna!$J:$J,match($A873,dna!$A:$A,0)))</f>
        <v/>
      </c>
      <c r="N873" t="str">
        <f t="array" ref="N873">iferror(index(stomachs!$G:$G,match($A873,stomachs!$A:$A,0)))</f>
        <v/>
      </c>
      <c r="O873" t="str">
        <f t="array" ref="O873">iferror(index(stomachs!$J:$J,match($A873,stomachs!$A:$A,0)))</f>
        <v/>
      </c>
      <c r="P873" t="str">
        <f t="array" ref="P873">iferror(index(sea_lice!$G:$G,match($A873,sea_lice!$A:$A,0)))</f>
        <v/>
      </c>
      <c r="Q873" t="str">
        <f t="array" ref="Q873">iferror(index(sea_lice!$J:$J,match($A873,sea_lice!$A:$A,0)))</f>
        <v/>
      </c>
      <c r="R873" s="40" t="str">
        <f t="array" ref="R873">iferror(index(dissected_fish!$F:$F,match($A873,dissected_fish!$A:$A,0)))</f>
        <v>BCA108</v>
      </c>
      <c r="S873" s="40" t="str">
        <f t="array" ref="S873">iferror(index(dissected_fish!$K:$K,match($A873,dissected_fish!$A:$A,0)))</f>
        <v>N</v>
      </c>
      <c r="T873" s="61" t="str">
        <f t="array" ref="T873">index(fish_lab_data!O:O,match(A873,fish_lab_data!C:C,0))</f>
        <v>EJ</v>
      </c>
      <c r="U873" s="61">
        <f t="array" ref="U873">if(A873="","",index(fish_lab_data!X:X,match(A873,fish_lab_data!C:C,0)))</f>
        <v>872</v>
      </c>
    </row>
    <row r="874">
      <c r="A874" t="str">
        <f>fish_lab_data!C874</f>
        <v>U17030</v>
      </c>
      <c r="B874" t="str">
        <f t="array" ref="B874">iferror(index('rna-muscle'!$I:$I,match($A874,'rna-muscle'!$A:$A,0)))</f>
        <v>BRN70M-G6</v>
      </c>
      <c r="C874" t="str">
        <f t="array" ref="C874">iferror(index('rna-muscle'!$L:$L,match($A874,'rna-muscle'!$A:$A,0)))</f>
        <v>N</v>
      </c>
      <c r="D874" t="str">
        <f t="array" ref="D874">iferror(index('rna-gill'!$I:$I,match($A874,'rna-gill'!$A:$A,0)))</f>
        <v>BRN70G-G6</v>
      </c>
      <c r="E874" t="str">
        <f t="array" ref="E874">iferror(index('rna-gill'!$L:$L,match($A874,'rna-gill'!$A:$A,0)))</f>
        <v>N</v>
      </c>
      <c r="F874" t="str">
        <f t="array" ref="F874">iferror(index(fatty_acid!$G:$G,match($A874,fatty_acid!$A:$A,0)))</f>
        <v>BFA31-42</v>
      </c>
      <c r="G874" t="str">
        <f t="array" ref="G874">iferror(index(fatty_acid!$J:$J,match($A874,fatty_acid!$A:$A,0)))</f>
        <v>N</v>
      </c>
      <c r="H874" t="str">
        <f t="array" ref="H874">iferror(index(isotopes!$G:$G,match($A874,isotopes!$A:$A,0)))</f>
        <v>BIS32-64</v>
      </c>
      <c r="I874" t="str">
        <f t="array" ref="I874">iferror(index(isotopes!$J:$J,match($A874,isotopes!$A:$A,0)))</f>
        <v>N</v>
      </c>
      <c r="J874" t="str">
        <f t="array" ref="J874">iferror(index(extra_muscle!$G:$G,match($A874,extra_muscle!$A:$A,0)))</f>
        <v>BXM32-28</v>
      </c>
      <c r="K874" t="str">
        <f t="array" ref="K874">iferror(index(extra_muscle!$J:$J,match($A874,extra_muscle!$A:$A,0)))</f>
        <v>N</v>
      </c>
      <c r="L874" s="59" t="str">
        <f t="array" ref="L874">iferror(index(dna!$G:$G,match($A874,dna!$A:$A,0)))</f>
        <v/>
      </c>
      <c r="M874" s="60" t="str">
        <f t="array" ref="M874">iferror(index(dna!$J:$J,match($A874,dna!$A:$A,0)))</f>
        <v/>
      </c>
      <c r="N874" t="str">
        <f t="array" ref="N874">iferror(index(stomachs!$G:$G,match($A874,stomachs!$A:$A,0)))</f>
        <v/>
      </c>
      <c r="O874" t="str">
        <f t="array" ref="O874">iferror(index(stomachs!$J:$J,match($A874,stomachs!$A:$A,0)))</f>
        <v/>
      </c>
      <c r="P874" t="str">
        <f t="array" ref="P874">iferror(index(sea_lice!$G:$G,match($A874,sea_lice!$A:$A,0)))</f>
        <v/>
      </c>
      <c r="Q874" t="str">
        <f t="array" ref="Q874">iferror(index(sea_lice!$J:$J,match($A874,sea_lice!$A:$A,0)))</f>
        <v/>
      </c>
      <c r="R874" s="40" t="str">
        <f t="array" ref="R874">iferror(index(dissected_fish!$F:$F,match($A874,dissected_fish!$A:$A,0)))</f>
        <v>BCA108</v>
      </c>
      <c r="S874" s="40" t="str">
        <f t="array" ref="S874">iferror(index(dissected_fish!$K:$K,match($A874,dissected_fish!$A:$A,0)))</f>
        <v>N</v>
      </c>
      <c r="T874" s="61" t="str">
        <f t="array" ref="T874">index(fish_lab_data!O:O,match(A874,fish_lab_data!C:C,0))</f>
        <v>EJ</v>
      </c>
      <c r="U874" s="61">
        <f t="array" ref="U874">if(A874="","",index(fish_lab_data!X:X,match(A874,fish_lab_data!C:C,0)))</f>
        <v>873</v>
      </c>
    </row>
    <row r="875">
      <c r="A875" t="str">
        <f>fish_lab_data!C875</f>
        <v>U16461</v>
      </c>
      <c r="B875" t="str">
        <f t="array" ref="B875">iferror(index('rna-muscle'!$I:$I,match($A875,'rna-muscle'!$A:$A,0)))</f>
        <v>BRN70M-F6</v>
      </c>
      <c r="C875" t="str">
        <f t="array" ref="C875">iferror(index('rna-muscle'!$L:$L,match($A875,'rna-muscle'!$A:$A,0)))</f>
        <v>N</v>
      </c>
      <c r="D875" t="str">
        <f t="array" ref="D875">iferror(index('rna-gill'!$I:$I,match($A875,'rna-gill'!$A:$A,0)))</f>
        <v>BRN70G-F6</v>
      </c>
      <c r="E875" t="str">
        <f t="array" ref="E875">iferror(index('rna-gill'!$L:$L,match($A875,'rna-gill'!$A:$A,0)))</f>
        <v>N</v>
      </c>
      <c r="F875" t="str">
        <f t="array" ref="F875">iferror(index(fatty_acid!$G:$G,match($A875,fatty_acid!$A:$A,0)))</f>
        <v>BFA31-43</v>
      </c>
      <c r="G875" t="str">
        <f t="array" ref="G875">iferror(index(fatty_acid!$J:$J,match($A875,fatty_acid!$A:$A,0)))</f>
        <v>N</v>
      </c>
      <c r="H875" t="str">
        <f t="array" ref="H875">iferror(index(isotopes!$G:$G,match($A875,isotopes!$A:$A,0)))</f>
        <v>BIS32-65</v>
      </c>
      <c r="I875" t="str">
        <f t="array" ref="I875">iferror(index(isotopes!$J:$J,match($A875,isotopes!$A:$A,0)))</f>
        <v>N</v>
      </c>
      <c r="J875" t="str">
        <f t="array" ref="J875">iferror(index(extra_muscle!$G:$G,match($A875,extra_muscle!$A:$A,0)))</f>
        <v>BXM32-29</v>
      </c>
      <c r="K875" t="str">
        <f t="array" ref="K875">iferror(index(extra_muscle!$J:$J,match($A875,extra_muscle!$A:$A,0)))</f>
        <v>N</v>
      </c>
      <c r="L875" s="59" t="str">
        <f t="array" ref="L875">iferror(index(dna!$G:$G,match($A875,dna!$A:$A,0)))</f>
        <v/>
      </c>
      <c r="M875" s="60" t="str">
        <f t="array" ref="M875">iferror(index(dna!$J:$J,match($A875,dna!$A:$A,0)))</f>
        <v/>
      </c>
      <c r="N875" t="str">
        <f t="array" ref="N875">iferror(index(stomachs!$G:$G,match($A875,stomachs!$A:$A,0)))</f>
        <v/>
      </c>
      <c r="O875" t="str">
        <f t="array" ref="O875">iferror(index(stomachs!$J:$J,match($A875,stomachs!$A:$A,0)))</f>
        <v/>
      </c>
      <c r="P875" t="str">
        <f t="array" ref="P875">iferror(index(sea_lice!$G:$G,match($A875,sea_lice!$A:$A,0)))</f>
        <v/>
      </c>
      <c r="Q875" t="str">
        <f t="array" ref="Q875">iferror(index(sea_lice!$J:$J,match($A875,sea_lice!$A:$A,0)))</f>
        <v/>
      </c>
      <c r="R875" s="40" t="str">
        <f t="array" ref="R875">iferror(index(dissected_fish!$F:$F,match($A875,dissected_fish!$A:$A,0)))</f>
        <v>BCA108</v>
      </c>
      <c r="S875" s="40" t="str">
        <f t="array" ref="S875">iferror(index(dissected_fish!$K:$K,match($A875,dissected_fish!$A:$A,0)))</f>
        <v>N</v>
      </c>
      <c r="T875" s="61" t="str">
        <f t="array" ref="T875">index(fish_lab_data!O:O,match(A875,fish_lab_data!C:C,0))</f>
        <v>EJ</v>
      </c>
      <c r="U875" s="61">
        <f t="array" ref="U875">if(A875="","",index(fish_lab_data!X:X,match(A875,fish_lab_data!C:C,0)))</f>
        <v>874</v>
      </c>
    </row>
    <row r="876">
      <c r="A876" t="str">
        <f>fish_lab_data!C876</f>
        <v>U16462</v>
      </c>
      <c r="B876" t="str">
        <f t="array" ref="B876">iferror(index('rna-muscle'!$I:$I,match($A876,'rna-muscle'!$A:$A,0)))</f>
        <v>BRN70M-E6</v>
      </c>
      <c r="C876" t="str">
        <f t="array" ref="C876">iferror(index('rna-muscle'!$L:$L,match($A876,'rna-muscle'!$A:$A,0)))</f>
        <v>N</v>
      </c>
      <c r="D876" t="str">
        <f t="array" ref="D876">iferror(index('rna-gill'!$I:$I,match($A876,'rna-gill'!$A:$A,0)))</f>
        <v>BRN70G-E6</v>
      </c>
      <c r="E876" t="str">
        <f t="array" ref="E876">iferror(index('rna-gill'!$L:$L,match($A876,'rna-gill'!$A:$A,0)))</f>
        <v>N</v>
      </c>
      <c r="F876" t="str">
        <f t="array" ref="F876">iferror(index(fatty_acid!$G:$G,match($A876,fatty_acid!$A:$A,0)))</f>
        <v>BFA31-44</v>
      </c>
      <c r="G876" t="str">
        <f t="array" ref="G876">iferror(index(fatty_acid!$J:$J,match($A876,fatty_acid!$A:$A,0)))</f>
        <v>N</v>
      </c>
      <c r="H876" t="str">
        <f t="array" ref="H876">iferror(index(isotopes!$G:$G,match($A876,isotopes!$A:$A,0)))</f>
        <v>BIS32-66</v>
      </c>
      <c r="I876" t="str">
        <f t="array" ref="I876">iferror(index(isotopes!$J:$J,match($A876,isotopes!$A:$A,0)))</f>
        <v>N</v>
      </c>
      <c r="J876" t="str">
        <f t="array" ref="J876">iferror(index(extra_muscle!$G:$G,match($A876,extra_muscle!$A:$A,0)))</f>
        <v>BXM32-30</v>
      </c>
      <c r="K876" t="str">
        <f t="array" ref="K876">iferror(index(extra_muscle!$J:$J,match($A876,extra_muscle!$A:$A,0)))</f>
        <v>N</v>
      </c>
      <c r="L876" s="59" t="str">
        <f t="array" ref="L876">iferror(index(dna!$G:$G,match($A876,dna!$A:$A,0)))</f>
        <v/>
      </c>
      <c r="M876" s="60" t="str">
        <f t="array" ref="M876">iferror(index(dna!$J:$J,match($A876,dna!$A:$A,0)))</f>
        <v/>
      </c>
      <c r="N876" t="str">
        <f t="array" ref="N876">iferror(index(stomachs!$G:$G,match($A876,stomachs!$A:$A,0)))</f>
        <v/>
      </c>
      <c r="O876" t="str">
        <f t="array" ref="O876">iferror(index(stomachs!$J:$J,match($A876,stomachs!$A:$A,0)))</f>
        <v/>
      </c>
      <c r="P876" t="str">
        <f t="array" ref="P876">iferror(index(sea_lice!$G:$G,match($A876,sea_lice!$A:$A,0)))</f>
        <v/>
      </c>
      <c r="Q876" t="str">
        <f t="array" ref="Q876">iferror(index(sea_lice!$J:$J,match($A876,sea_lice!$A:$A,0)))</f>
        <v/>
      </c>
      <c r="R876" s="40" t="str">
        <f t="array" ref="R876">iferror(index(dissected_fish!$F:$F,match($A876,dissected_fish!$A:$A,0)))</f>
        <v>BCA108</v>
      </c>
      <c r="S876" s="40" t="str">
        <f t="array" ref="S876">iferror(index(dissected_fish!$K:$K,match($A876,dissected_fish!$A:$A,0)))</f>
        <v>N</v>
      </c>
      <c r="T876" s="61" t="str">
        <f t="array" ref="T876">index(fish_lab_data!O:O,match(A876,fish_lab_data!C:C,0))</f>
        <v>EJ</v>
      </c>
      <c r="U876" s="61">
        <f t="array" ref="U876">if(A876="","",index(fish_lab_data!X:X,match(A876,fish_lab_data!C:C,0)))</f>
        <v>875</v>
      </c>
    </row>
    <row r="877">
      <c r="A877" t="str">
        <f>fish_lab_data!C877</f>
        <v>U16463</v>
      </c>
      <c r="B877" t="str">
        <f t="array" ref="B877">iferror(index('rna-muscle'!$I:$I,match($A877,'rna-muscle'!$A:$A,0)))</f>
        <v>BRN70M-D6</v>
      </c>
      <c r="C877" t="str">
        <f t="array" ref="C877">iferror(index('rna-muscle'!$L:$L,match($A877,'rna-muscle'!$A:$A,0)))</f>
        <v>N</v>
      </c>
      <c r="D877" t="str">
        <f t="array" ref="D877">iferror(index('rna-gill'!$I:$I,match($A877,'rna-gill'!$A:$A,0)))</f>
        <v>BRN70G-D6</v>
      </c>
      <c r="E877" t="str">
        <f t="array" ref="E877">iferror(index('rna-gill'!$L:$L,match($A877,'rna-gill'!$A:$A,0)))</f>
        <v>N</v>
      </c>
      <c r="F877" t="str">
        <f t="array" ref="F877">iferror(index(fatty_acid!$G:$G,match($A877,fatty_acid!$A:$A,0)))</f>
        <v>BFA31-45</v>
      </c>
      <c r="G877" t="str">
        <f t="array" ref="G877">iferror(index(fatty_acid!$J:$J,match($A877,fatty_acid!$A:$A,0)))</f>
        <v>N</v>
      </c>
      <c r="H877" t="str">
        <f t="array" ref="H877">iferror(index(isotopes!$G:$G,match($A877,isotopes!$A:$A,0)))</f>
        <v>BIS32-67</v>
      </c>
      <c r="I877" t="str">
        <f t="array" ref="I877">iferror(index(isotopes!$J:$J,match($A877,isotopes!$A:$A,0)))</f>
        <v>N</v>
      </c>
      <c r="J877" t="str">
        <f t="array" ref="J877">iferror(index(extra_muscle!$G:$G,match($A877,extra_muscle!$A:$A,0)))</f>
        <v>BXM32-31</v>
      </c>
      <c r="K877" t="str">
        <f t="array" ref="K877">iferror(index(extra_muscle!$J:$J,match($A877,extra_muscle!$A:$A,0)))</f>
        <v>N</v>
      </c>
      <c r="L877" s="59" t="str">
        <f t="array" ref="L877">iferror(index(dna!$G:$G,match($A877,dna!$A:$A,0)))</f>
        <v/>
      </c>
      <c r="M877" s="60" t="str">
        <f t="array" ref="M877">iferror(index(dna!$J:$J,match($A877,dna!$A:$A,0)))</f>
        <v/>
      </c>
      <c r="N877" t="str">
        <f t="array" ref="N877">iferror(index(stomachs!$G:$G,match($A877,stomachs!$A:$A,0)))</f>
        <v/>
      </c>
      <c r="O877" t="str">
        <f t="array" ref="O877">iferror(index(stomachs!$J:$J,match($A877,stomachs!$A:$A,0)))</f>
        <v/>
      </c>
      <c r="P877" t="str">
        <f t="array" ref="P877">iferror(index(sea_lice!$G:$G,match($A877,sea_lice!$A:$A,0)))</f>
        <v/>
      </c>
      <c r="Q877" t="str">
        <f t="array" ref="Q877">iferror(index(sea_lice!$J:$J,match($A877,sea_lice!$A:$A,0)))</f>
        <v/>
      </c>
      <c r="R877" s="40" t="str">
        <f t="array" ref="R877">iferror(index(dissected_fish!$F:$F,match($A877,dissected_fish!$A:$A,0)))</f>
        <v>BCA108</v>
      </c>
      <c r="S877" s="40" t="str">
        <f t="array" ref="S877">iferror(index(dissected_fish!$K:$K,match($A877,dissected_fish!$A:$A,0)))</f>
        <v>N</v>
      </c>
      <c r="T877" s="61" t="str">
        <f t="array" ref="T877">index(fish_lab_data!O:O,match(A877,fish_lab_data!C:C,0))</f>
        <v>EJ</v>
      </c>
      <c r="U877" s="61">
        <f t="array" ref="U877">if(A877="","",index(fish_lab_data!X:X,match(A877,fish_lab_data!C:C,0)))</f>
        <v>876</v>
      </c>
    </row>
    <row r="878">
      <c r="A878" t="str">
        <f>fish_lab_data!C878</f>
        <v>U16464</v>
      </c>
      <c r="B878" t="str">
        <f t="array" ref="B878">iferror(index('rna-muscle'!$I:$I,match($A878,'rna-muscle'!$A:$A,0)))</f>
        <v>BRN70M-C6</v>
      </c>
      <c r="C878" t="str">
        <f t="array" ref="C878">iferror(index('rna-muscle'!$L:$L,match($A878,'rna-muscle'!$A:$A,0)))</f>
        <v>N</v>
      </c>
      <c r="D878" t="str">
        <f t="array" ref="D878">iferror(index('rna-gill'!$I:$I,match($A878,'rna-gill'!$A:$A,0)))</f>
        <v>BRN70G-C6</v>
      </c>
      <c r="E878" t="str">
        <f t="array" ref="E878">iferror(index('rna-gill'!$L:$L,match($A878,'rna-gill'!$A:$A,0)))</f>
        <v>N</v>
      </c>
      <c r="F878" t="str">
        <f t="array" ref="F878">iferror(index(fatty_acid!$G:$G,match($A878,fatty_acid!$A:$A,0)))</f>
        <v>BFA31-46</v>
      </c>
      <c r="G878" t="str">
        <f t="array" ref="G878">iferror(index(fatty_acid!$J:$J,match($A878,fatty_acid!$A:$A,0)))</f>
        <v>N</v>
      </c>
      <c r="H878" t="str">
        <f t="array" ref="H878">iferror(index(isotopes!$G:$G,match($A878,isotopes!$A:$A,0)))</f>
        <v>BIS32-68</v>
      </c>
      <c r="I878" t="str">
        <f t="array" ref="I878">iferror(index(isotopes!$J:$J,match($A878,isotopes!$A:$A,0)))</f>
        <v>N</v>
      </c>
      <c r="J878" t="str">
        <f t="array" ref="J878">iferror(index(extra_muscle!$G:$G,match($A878,extra_muscle!$A:$A,0)))</f>
        <v>BXM32-32</v>
      </c>
      <c r="K878" t="str">
        <f t="array" ref="K878">iferror(index(extra_muscle!$J:$J,match($A878,extra_muscle!$A:$A,0)))</f>
        <v>N</v>
      </c>
      <c r="L878" s="59" t="str">
        <f t="array" ref="L878">iferror(index(dna!$G:$G,match($A878,dna!$A:$A,0)))</f>
        <v/>
      </c>
      <c r="M878" s="60" t="str">
        <f t="array" ref="M878">iferror(index(dna!$J:$J,match($A878,dna!$A:$A,0)))</f>
        <v/>
      </c>
      <c r="N878" t="str">
        <f t="array" ref="N878">iferror(index(stomachs!$G:$G,match($A878,stomachs!$A:$A,0)))</f>
        <v/>
      </c>
      <c r="O878" t="str">
        <f t="array" ref="O878">iferror(index(stomachs!$J:$J,match($A878,stomachs!$A:$A,0)))</f>
        <v/>
      </c>
      <c r="P878" t="str">
        <f t="array" ref="P878">iferror(index(sea_lice!$G:$G,match($A878,sea_lice!$A:$A,0)))</f>
        <v/>
      </c>
      <c r="Q878" t="str">
        <f t="array" ref="Q878">iferror(index(sea_lice!$J:$J,match($A878,sea_lice!$A:$A,0)))</f>
        <v/>
      </c>
      <c r="R878" s="40" t="str">
        <f t="array" ref="R878">iferror(index(dissected_fish!$F:$F,match($A878,dissected_fish!$A:$A,0)))</f>
        <v>BCA108</v>
      </c>
      <c r="S878" s="40" t="str">
        <f t="array" ref="S878">iferror(index(dissected_fish!$K:$K,match($A878,dissected_fish!$A:$A,0)))</f>
        <v>N</v>
      </c>
      <c r="T878" s="61" t="str">
        <f t="array" ref="T878">index(fish_lab_data!O:O,match(A878,fish_lab_data!C:C,0))</f>
        <v>EJ</v>
      </c>
      <c r="U878" s="61">
        <f t="array" ref="U878">if(A878="","",index(fish_lab_data!X:X,match(A878,fish_lab_data!C:C,0)))</f>
        <v>877</v>
      </c>
    </row>
    <row r="879">
      <c r="A879" t="str">
        <f>fish_lab_data!C879</f>
        <v>U16465</v>
      </c>
      <c r="B879" t="str">
        <f t="array" ref="B879">iferror(index('rna-muscle'!$I:$I,match($A879,'rna-muscle'!$A:$A,0)))</f>
        <v>BRN70M-B6</v>
      </c>
      <c r="C879" t="str">
        <f t="array" ref="C879">iferror(index('rna-muscle'!$L:$L,match($A879,'rna-muscle'!$A:$A,0)))</f>
        <v>N</v>
      </c>
      <c r="D879" t="str">
        <f t="array" ref="D879">iferror(index('rna-gill'!$I:$I,match($A879,'rna-gill'!$A:$A,0)))</f>
        <v>BRN70G-B6</v>
      </c>
      <c r="E879" t="str">
        <f t="array" ref="E879">iferror(index('rna-gill'!$L:$L,match($A879,'rna-gill'!$A:$A,0)))</f>
        <v>N</v>
      </c>
      <c r="F879" t="str">
        <f t="array" ref="F879">iferror(index(fatty_acid!$G:$G,match($A879,fatty_acid!$A:$A,0)))</f>
        <v>BFA31-47</v>
      </c>
      <c r="G879" t="str">
        <f t="array" ref="G879">iferror(index(fatty_acid!$J:$J,match($A879,fatty_acid!$A:$A,0)))</f>
        <v>N</v>
      </c>
      <c r="H879" t="str">
        <f t="array" ref="H879">iferror(index(isotopes!$G:$G,match($A879,isotopes!$A:$A,0)))</f>
        <v>BIS32-69</v>
      </c>
      <c r="I879" t="str">
        <f t="array" ref="I879">iferror(index(isotopes!$J:$J,match($A879,isotopes!$A:$A,0)))</f>
        <v>N</v>
      </c>
      <c r="J879" t="str">
        <f t="array" ref="J879">iferror(index(extra_muscle!$G:$G,match($A879,extra_muscle!$A:$A,0)))</f>
        <v>BXM32-33</v>
      </c>
      <c r="K879" t="str">
        <f t="array" ref="K879">iferror(index(extra_muscle!$J:$J,match($A879,extra_muscle!$A:$A,0)))</f>
        <v>N</v>
      </c>
      <c r="L879" s="59" t="str">
        <f t="array" ref="L879">iferror(index(dna!$G:$G,match($A879,dna!$A:$A,0)))</f>
        <v/>
      </c>
      <c r="M879" s="60" t="str">
        <f t="array" ref="M879">iferror(index(dna!$J:$J,match($A879,dna!$A:$A,0)))</f>
        <v/>
      </c>
      <c r="N879" t="str">
        <f t="array" ref="N879">iferror(index(stomachs!$G:$G,match($A879,stomachs!$A:$A,0)))</f>
        <v/>
      </c>
      <c r="O879" t="str">
        <f t="array" ref="O879">iferror(index(stomachs!$J:$J,match($A879,stomachs!$A:$A,0)))</f>
        <v/>
      </c>
      <c r="P879" t="str">
        <f t="array" ref="P879">iferror(index(sea_lice!$G:$G,match($A879,sea_lice!$A:$A,0)))</f>
        <v/>
      </c>
      <c r="Q879" t="str">
        <f t="array" ref="Q879">iferror(index(sea_lice!$J:$J,match($A879,sea_lice!$A:$A,0)))</f>
        <v/>
      </c>
      <c r="R879" s="40" t="str">
        <f t="array" ref="R879">iferror(index(dissected_fish!$F:$F,match($A879,dissected_fish!$A:$A,0)))</f>
        <v>BCA108</v>
      </c>
      <c r="S879" s="40" t="str">
        <f t="array" ref="S879">iferror(index(dissected_fish!$K:$K,match($A879,dissected_fish!$A:$A,0)))</f>
        <v>N</v>
      </c>
      <c r="T879" s="61" t="str">
        <f t="array" ref="T879">index(fish_lab_data!O:O,match(A879,fish_lab_data!C:C,0))</f>
        <v>EJ</v>
      </c>
      <c r="U879" s="61">
        <f t="array" ref="U879">if(A879="","",index(fish_lab_data!X:X,match(A879,fish_lab_data!C:C,0)))</f>
        <v>878</v>
      </c>
    </row>
    <row r="880">
      <c r="A880" t="str">
        <f>fish_lab_data!C880</f>
        <v>U17163</v>
      </c>
      <c r="B880" t="str">
        <f t="array" ref="B880">iferror(index('rna-muscle'!$I:$I,match($A880,'rna-muscle'!$A:$A,0)))</f>
        <v>BRN70M-H7</v>
      </c>
      <c r="C880" t="str">
        <f t="array" ref="C880">iferror(index('rna-muscle'!$L:$L,match($A880,'rna-muscle'!$A:$A,0)))</f>
        <v>N</v>
      </c>
      <c r="D880" t="str">
        <f t="array" ref="D880">iferror(index('rna-gill'!$I:$I,match($A880,'rna-gill'!$A:$A,0)))</f>
        <v>BRN70G-H7</v>
      </c>
      <c r="E880" t="str">
        <f t="array" ref="E880">iferror(index('rna-gill'!$L:$L,match($A880,'rna-gill'!$A:$A,0)))</f>
        <v>N</v>
      </c>
      <c r="F880" t="str">
        <f t="array" ref="F880">iferror(index(fatty_acid!$G:$G,match($A880,fatty_acid!$A:$A,0)))</f>
        <v>BFA30-58</v>
      </c>
      <c r="G880" t="str">
        <f t="array" ref="G880">iferror(index(fatty_acid!$J:$J,match($A880,fatty_acid!$A:$A,0)))</f>
        <v>N</v>
      </c>
      <c r="H880" t="str">
        <f t="array" ref="H880">iferror(index(isotopes!$G:$G,match($A880,isotopes!$A:$A,0)))</f>
        <v>BIS33-58</v>
      </c>
      <c r="I880" t="str">
        <f t="array" ref="I880">iferror(index(isotopes!$J:$J,match($A880,isotopes!$A:$A,0)))</f>
        <v>N</v>
      </c>
      <c r="J880" t="str">
        <f t="array" ref="J880">iferror(index(extra_muscle!$G:$G,match($A880,extra_muscle!$A:$A,0)))</f>
        <v>BXM31-58</v>
      </c>
      <c r="K880" t="str">
        <f t="array" ref="K880">iferror(index(extra_muscle!$J:$J,match($A880,extra_muscle!$A:$A,0)))</f>
        <v>N</v>
      </c>
      <c r="L880" s="59" t="str">
        <f t="array" ref="L880">iferror(index(dna!$G:$G,match($A880,dna!$A:$A,0)))</f>
        <v/>
      </c>
      <c r="M880" s="60" t="str">
        <f t="array" ref="M880">iferror(index(dna!$J:$J,match($A880,dna!$A:$A,0)))</f>
        <v/>
      </c>
      <c r="N880" t="str">
        <f t="array" ref="N880">iferror(index(stomachs!$G:$G,match($A880,stomachs!$A:$A,0)))</f>
        <v/>
      </c>
      <c r="O880" t="str">
        <f t="array" ref="O880">iferror(index(stomachs!$J:$J,match($A880,stomachs!$A:$A,0)))</f>
        <v/>
      </c>
      <c r="P880" t="str">
        <f t="array" ref="P880">iferror(index(sea_lice!$G:$G,match($A880,sea_lice!$A:$A,0)))</f>
        <v/>
      </c>
      <c r="Q880" t="str">
        <f t="array" ref="Q880">iferror(index(sea_lice!$J:$J,match($A880,sea_lice!$A:$A,0)))</f>
        <v/>
      </c>
      <c r="R880" s="40" t="str">
        <f t="array" ref="R880">iferror(index(dissected_fish!$F:$F,match($A880,dissected_fish!$A:$A,0)))</f>
        <v>BCA108</v>
      </c>
      <c r="S880" s="40" t="str">
        <f t="array" ref="S880">iferror(index(dissected_fish!$K:$K,match($A880,dissected_fish!$A:$A,0)))</f>
        <v>N</v>
      </c>
      <c r="T880" s="61" t="str">
        <f t="array" ref="T880">index(fish_lab_data!O:O,match(A880,fish_lab_data!C:C,0))</f>
        <v>KB</v>
      </c>
      <c r="U880" s="61">
        <f t="array" ref="U880">if(A880="","",index(fish_lab_data!X:X,match(A880,fish_lab_data!C:C,0)))</f>
        <v>879</v>
      </c>
    </row>
    <row r="881">
      <c r="A881" t="str">
        <f>fish_lab_data!C881</f>
        <v>U17162</v>
      </c>
      <c r="B881" t="str">
        <f t="array" ref="B881">iferror(index('rna-muscle'!$I:$I,match($A881,'rna-muscle'!$A:$A,0)))</f>
        <v>BRN70M-G7</v>
      </c>
      <c r="C881" t="str">
        <f t="array" ref="C881">iferror(index('rna-muscle'!$L:$L,match($A881,'rna-muscle'!$A:$A,0)))</f>
        <v>N</v>
      </c>
      <c r="D881" t="str">
        <f t="array" ref="D881">iferror(index('rna-gill'!$I:$I,match($A881,'rna-gill'!$A:$A,0)))</f>
        <v>BRN70G-G7</v>
      </c>
      <c r="E881" t="str">
        <f t="array" ref="E881">iferror(index('rna-gill'!$L:$L,match($A881,'rna-gill'!$A:$A,0)))</f>
        <v>N</v>
      </c>
      <c r="F881" t="str">
        <f t="array" ref="F881">iferror(index(fatty_acid!$G:$G,match($A881,fatty_acid!$A:$A,0)))</f>
        <v>BFA30-59</v>
      </c>
      <c r="G881" t="str">
        <f t="array" ref="G881">iferror(index(fatty_acid!$J:$J,match($A881,fatty_acid!$A:$A,0)))</f>
        <v>N</v>
      </c>
      <c r="H881" t="str">
        <f t="array" ref="H881">iferror(index(isotopes!$G:$G,match($A881,isotopes!$A:$A,0)))</f>
        <v>BIS33-59</v>
      </c>
      <c r="I881" t="str">
        <f t="array" ref="I881">iferror(index(isotopes!$J:$J,match($A881,isotopes!$A:$A,0)))</f>
        <v>N</v>
      </c>
      <c r="J881" t="str">
        <f t="array" ref="J881">iferror(index(extra_muscle!$G:$G,match($A881,extra_muscle!$A:$A,0)))</f>
        <v>BXM31-59</v>
      </c>
      <c r="K881" t="str">
        <f t="array" ref="K881">iferror(index(extra_muscle!$J:$J,match($A881,extra_muscle!$A:$A,0)))</f>
        <v>N</v>
      </c>
      <c r="L881" s="59" t="str">
        <f t="array" ref="L881">iferror(index(dna!$G:$G,match($A881,dna!$A:$A,0)))</f>
        <v/>
      </c>
      <c r="M881" s="60" t="str">
        <f t="array" ref="M881">iferror(index(dna!$J:$J,match($A881,dna!$A:$A,0)))</f>
        <v/>
      </c>
      <c r="N881" t="str">
        <f t="array" ref="N881">iferror(index(stomachs!$G:$G,match($A881,stomachs!$A:$A,0)))</f>
        <v/>
      </c>
      <c r="O881" t="str">
        <f t="array" ref="O881">iferror(index(stomachs!$J:$J,match($A881,stomachs!$A:$A,0)))</f>
        <v/>
      </c>
      <c r="P881" t="str">
        <f t="array" ref="P881">iferror(index(sea_lice!$G:$G,match($A881,sea_lice!$A:$A,0)))</f>
        <v/>
      </c>
      <c r="Q881" t="str">
        <f t="array" ref="Q881">iferror(index(sea_lice!$J:$J,match($A881,sea_lice!$A:$A,0)))</f>
        <v/>
      </c>
      <c r="R881" s="40" t="str">
        <f t="array" ref="R881">iferror(index(dissected_fish!$F:$F,match($A881,dissected_fish!$A:$A,0)))</f>
        <v>BCA108</v>
      </c>
      <c r="S881" s="40" t="str">
        <f t="array" ref="S881">iferror(index(dissected_fish!$K:$K,match($A881,dissected_fish!$A:$A,0)))</f>
        <v>N</v>
      </c>
      <c r="T881" s="61" t="str">
        <f t="array" ref="T881">index(fish_lab_data!O:O,match(A881,fish_lab_data!C:C,0))</f>
        <v>KB</v>
      </c>
      <c r="U881" s="61">
        <f t="array" ref="U881">if(A881="","",index(fish_lab_data!X:X,match(A881,fish_lab_data!C:C,0)))</f>
        <v>880</v>
      </c>
    </row>
    <row r="882">
      <c r="A882" t="str">
        <f>fish_lab_data!C882</f>
        <v>U16261</v>
      </c>
      <c r="B882" t="str">
        <f t="array" ref="B882">iferror(index('rna-muscle'!$I:$I,match($A882,'rna-muscle'!$A:$A,0)))</f>
        <v>BRN70M-F7</v>
      </c>
      <c r="C882" t="str">
        <f t="array" ref="C882">iferror(index('rna-muscle'!$L:$L,match($A882,'rna-muscle'!$A:$A,0)))</f>
        <v>N</v>
      </c>
      <c r="D882" t="str">
        <f t="array" ref="D882">iferror(index('rna-gill'!$I:$I,match($A882,'rna-gill'!$A:$A,0)))</f>
        <v>BRN70G-F7</v>
      </c>
      <c r="E882" t="str">
        <f t="array" ref="E882">iferror(index('rna-gill'!$L:$L,match($A882,'rna-gill'!$A:$A,0)))</f>
        <v>N</v>
      </c>
      <c r="F882" t="str">
        <f t="array" ref="F882">iferror(index(fatty_acid!$G:$G,match($A882,fatty_acid!$A:$A,0)))</f>
        <v>BFA30-60</v>
      </c>
      <c r="G882" t="str">
        <f t="array" ref="G882">iferror(index(fatty_acid!$J:$J,match($A882,fatty_acid!$A:$A,0)))</f>
        <v>N</v>
      </c>
      <c r="H882" t="str">
        <f t="array" ref="H882">iferror(index(isotopes!$G:$G,match($A882,isotopes!$A:$A,0)))</f>
        <v>BIS33-60</v>
      </c>
      <c r="I882" t="str">
        <f t="array" ref="I882">iferror(index(isotopes!$J:$J,match($A882,isotopes!$A:$A,0)))</f>
        <v>N</v>
      </c>
      <c r="J882" t="str">
        <f t="array" ref="J882">iferror(index(extra_muscle!$G:$G,match($A882,extra_muscle!$A:$A,0)))</f>
        <v>BXM31-60</v>
      </c>
      <c r="K882" t="str">
        <f t="array" ref="K882">iferror(index(extra_muscle!$J:$J,match($A882,extra_muscle!$A:$A,0)))</f>
        <v>N</v>
      </c>
      <c r="L882" s="59" t="str">
        <f t="array" ref="L882">iferror(index(dna!$G:$G,match($A882,dna!$A:$A,0)))</f>
        <v/>
      </c>
      <c r="M882" s="60" t="str">
        <f t="array" ref="M882">iferror(index(dna!$J:$J,match($A882,dna!$A:$A,0)))</f>
        <v/>
      </c>
      <c r="N882" t="str">
        <f t="array" ref="N882">iferror(index(stomachs!$G:$G,match($A882,stomachs!$A:$A,0)))</f>
        <v/>
      </c>
      <c r="O882" t="str">
        <f t="array" ref="O882">iferror(index(stomachs!$J:$J,match($A882,stomachs!$A:$A,0)))</f>
        <v/>
      </c>
      <c r="P882" t="str">
        <f t="array" ref="P882">iferror(index(sea_lice!$G:$G,match($A882,sea_lice!$A:$A,0)))</f>
        <v/>
      </c>
      <c r="Q882" t="str">
        <f t="array" ref="Q882">iferror(index(sea_lice!$J:$J,match($A882,sea_lice!$A:$A,0)))</f>
        <v/>
      </c>
      <c r="R882" s="40" t="str">
        <f t="array" ref="R882">iferror(index(dissected_fish!$F:$F,match($A882,dissected_fish!$A:$A,0)))</f>
        <v>BCA108</v>
      </c>
      <c r="S882" s="40" t="str">
        <f t="array" ref="S882">iferror(index(dissected_fish!$K:$K,match($A882,dissected_fish!$A:$A,0)))</f>
        <v>N</v>
      </c>
      <c r="T882" s="61" t="str">
        <f t="array" ref="T882">index(fish_lab_data!O:O,match(A882,fish_lab_data!C:C,0))</f>
        <v>KB</v>
      </c>
      <c r="U882" s="61">
        <f t="array" ref="U882">if(A882="","",index(fish_lab_data!X:X,match(A882,fish_lab_data!C:C,0)))</f>
        <v>881</v>
      </c>
    </row>
    <row r="883">
      <c r="A883" t="str">
        <f>fish_lab_data!C883</f>
        <v>U16262</v>
      </c>
      <c r="B883" t="str">
        <f t="array" ref="B883">iferror(index('rna-muscle'!$I:$I,match($A883,'rna-muscle'!$A:$A,0)))</f>
        <v>BRN70M-E7</v>
      </c>
      <c r="C883" t="str">
        <f t="array" ref="C883">iferror(index('rna-muscle'!$L:$L,match($A883,'rna-muscle'!$A:$A,0)))</f>
        <v>N</v>
      </c>
      <c r="D883" t="str">
        <f t="array" ref="D883">iferror(index('rna-gill'!$I:$I,match($A883,'rna-gill'!$A:$A,0)))</f>
        <v>BRN70G-E7</v>
      </c>
      <c r="E883" t="str">
        <f t="array" ref="E883">iferror(index('rna-gill'!$L:$L,match($A883,'rna-gill'!$A:$A,0)))</f>
        <v>N</v>
      </c>
      <c r="F883" t="str">
        <f t="array" ref="F883">iferror(index(fatty_acid!$G:$G,match($A883,fatty_acid!$A:$A,0)))</f>
        <v>BFA30-61</v>
      </c>
      <c r="G883" t="str">
        <f t="array" ref="G883">iferror(index(fatty_acid!$J:$J,match($A883,fatty_acid!$A:$A,0)))</f>
        <v>N</v>
      </c>
      <c r="H883" t="str">
        <f t="array" ref="H883">iferror(index(isotopes!$G:$G,match($A883,isotopes!$A:$A,0)))</f>
        <v>BIS33-61</v>
      </c>
      <c r="I883" t="str">
        <f t="array" ref="I883">iferror(index(isotopes!$J:$J,match($A883,isotopes!$A:$A,0)))</f>
        <v>N</v>
      </c>
      <c r="J883" t="str">
        <f t="array" ref="J883">iferror(index(extra_muscle!$G:$G,match($A883,extra_muscle!$A:$A,0)))</f>
        <v>BXM31-61</v>
      </c>
      <c r="K883" t="str">
        <f t="array" ref="K883">iferror(index(extra_muscle!$J:$J,match($A883,extra_muscle!$A:$A,0)))</f>
        <v>N</v>
      </c>
      <c r="L883" s="59" t="str">
        <f t="array" ref="L883">iferror(index(dna!$G:$G,match($A883,dna!$A:$A,0)))</f>
        <v/>
      </c>
      <c r="M883" s="60" t="str">
        <f t="array" ref="M883">iferror(index(dna!$J:$J,match($A883,dna!$A:$A,0)))</f>
        <v/>
      </c>
      <c r="N883" t="str">
        <f t="array" ref="N883">iferror(index(stomachs!$G:$G,match($A883,stomachs!$A:$A,0)))</f>
        <v/>
      </c>
      <c r="O883" t="str">
        <f t="array" ref="O883">iferror(index(stomachs!$J:$J,match($A883,stomachs!$A:$A,0)))</f>
        <v/>
      </c>
      <c r="P883" t="str">
        <f t="array" ref="P883">iferror(index(sea_lice!$G:$G,match($A883,sea_lice!$A:$A,0)))</f>
        <v/>
      </c>
      <c r="Q883" t="str">
        <f t="array" ref="Q883">iferror(index(sea_lice!$J:$J,match($A883,sea_lice!$A:$A,0)))</f>
        <v/>
      </c>
      <c r="R883" s="40" t="str">
        <f t="array" ref="R883">iferror(index(dissected_fish!$F:$F,match($A883,dissected_fish!$A:$A,0)))</f>
        <v>BCA108</v>
      </c>
      <c r="S883" s="40" t="str">
        <f t="array" ref="S883">iferror(index(dissected_fish!$K:$K,match($A883,dissected_fish!$A:$A,0)))</f>
        <v>N</v>
      </c>
      <c r="T883" s="61" t="str">
        <f t="array" ref="T883">index(fish_lab_data!O:O,match(A883,fish_lab_data!C:C,0))</f>
        <v>KB</v>
      </c>
      <c r="U883" s="61">
        <f t="array" ref="U883">if(A883="","",index(fish_lab_data!X:X,match(A883,fish_lab_data!C:C,0)))</f>
        <v>882</v>
      </c>
    </row>
    <row r="884">
      <c r="A884" t="str">
        <f>fish_lab_data!C884</f>
        <v>U16263</v>
      </c>
      <c r="B884" t="str">
        <f t="array" ref="B884">iferror(index('rna-muscle'!$I:$I,match($A884,'rna-muscle'!$A:$A,0)))</f>
        <v>BRN70M-D7</v>
      </c>
      <c r="C884" t="str">
        <f t="array" ref="C884">iferror(index('rna-muscle'!$L:$L,match($A884,'rna-muscle'!$A:$A,0)))</f>
        <v>N</v>
      </c>
      <c r="D884" t="str">
        <f t="array" ref="D884">iferror(index('rna-gill'!$I:$I,match($A884,'rna-gill'!$A:$A,0)))</f>
        <v>BRN70G-D7</v>
      </c>
      <c r="E884" t="str">
        <f t="array" ref="E884">iferror(index('rna-gill'!$L:$L,match($A884,'rna-gill'!$A:$A,0)))</f>
        <v>N</v>
      </c>
      <c r="F884" t="str">
        <f t="array" ref="F884">iferror(index(fatty_acid!$G:$G,match($A884,fatty_acid!$A:$A,0)))</f>
        <v>BFA30-62</v>
      </c>
      <c r="G884" t="str">
        <f t="array" ref="G884">iferror(index(fatty_acid!$J:$J,match($A884,fatty_acid!$A:$A,0)))</f>
        <v>N</v>
      </c>
      <c r="H884" t="str">
        <f t="array" ref="H884">iferror(index(isotopes!$G:$G,match($A884,isotopes!$A:$A,0)))</f>
        <v>BIS33-62</v>
      </c>
      <c r="I884" t="str">
        <f t="array" ref="I884">iferror(index(isotopes!$J:$J,match($A884,isotopes!$A:$A,0)))</f>
        <v>N</v>
      </c>
      <c r="J884" t="str">
        <f t="array" ref="J884">iferror(index(extra_muscle!$G:$G,match($A884,extra_muscle!$A:$A,0)))</f>
        <v>BXM31-62</v>
      </c>
      <c r="K884" t="str">
        <f t="array" ref="K884">iferror(index(extra_muscle!$J:$J,match($A884,extra_muscle!$A:$A,0)))</f>
        <v>N</v>
      </c>
      <c r="L884" s="59" t="str">
        <f t="array" ref="L884">iferror(index(dna!$G:$G,match($A884,dna!$A:$A,0)))</f>
        <v/>
      </c>
      <c r="M884" s="60" t="str">
        <f t="array" ref="M884">iferror(index(dna!$J:$J,match($A884,dna!$A:$A,0)))</f>
        <v/>
      </c>
      <c r="N884" t="str">
        <f t="array" ref="N884">iferror(index(stomachs!$G:$G,match($A884,stomachs!$A:$A,0)))</f>
        <v/>
      </c>
      <c r="O884" t="str">
        <f t="array" ref="O884">iferror(index(stomachs!$J:$J,match($A884,stomachs!$A:$A,0)))</f>
        <v/>
      </c>
      <c r="P884" t="str">
        <f t="array" ref="P884">iferror(index(sea_lice!$G:$G,match($A884,sea_lice!$A:$A,0)))</f>
        <v/>
      </c>
      <c r="Q884" t="str">
        <f t="array" ref="Q884">iferror(index(sea_lice!$J:$J,match($A884,sea_lice!$A:$A,0)))</f>
        <v/>
      </c>
      <c r="R884" s="40" t="str">
        <f t="array" ref="R884">iferror(index(dissected_fish!$F:$F,match($A884,dissected_fish!$A:$A,0)))</f>
        <v>BCA108</v>
      </c>
      <c r="S884" s="40" t="str">
        <f t="array" ref="S884">iferror(index(dissected_fish!$K:$K,match($A884,dissected_fish!$A:$A,0)))</f>
        <v>N</v>
      </c>
      <c r="T884" s="61" t="str">
        <f t="array" ref="T884">index(fish_lab_data!O:O,match(A884,fish_lab_data!C:C,0))</f>
        <v>KB</v>
      </c>
      <c r="U884" s="61">
        <f t="array" ref="U884">if(A884="","",index(fish_lab_data!X:X,match(A884,fish_lab_data!C:C,0)))</f>
        <v>883</v>
      </c>
    </row>
    <row r="885">
      <c r="A885" t="str">
        <f>fish_lab_data!C885</f>
        <v>U16466</v>
      </c>
      <c r="B885" t="str">
        <f t="array" ref="B885">iferror(index('rna-muscle'!$I:$I,match($A885,'rna-muscle'!$A:$A,0)))</f>
        <v>BRN70M-A6</v>
      </c>
      <c r="C885" t="str">
        <f t="array" ref="C885">iferror(index('rna-muscle'!$L:$L,match($A885,'rna-muscle'!$A:$A,0)))</f>
        <v>N</v>
      </c>
      <c r="D885" t="str">
        <f t="array" ref="D885">iferror(index('rna-gill'!$I:$I,match($A885,'rna-gill'!$A:$A,0)))</f>
        <v>BRN70G-A6</v>
      </c>
      <c r="E885" t="str">
        <f t="array" ref="E885">iferror(index('rna-gill'!$L:$L,match($A885,'rna-gill'!$A:$A,0)))</f>
        <v>N</v>
      </c>
      <c r="F885" t="str">
        <f t="array" ref="F885">iferror(index(fatty_acid!$G:$G,match($A885,fatty_acid!$A:$A,0)))</f>
        <v>BFA31-48</v>
      </c>
      <c r="G885" t="str">
        <f t="array" ref="G885">iferror(index(fatty_acid!$J:$J,match($A885,fatty_acid!$A:$A,0)))</f>
        <v>N</v>
      </c>
      <c r="H885" t="str">
        <f t="array" ref="H885">iferror(index(isotopes!$G:$G,match($A885,isotopes!$A:$A,0)))</f>
        <v>BIS32-70</v>
      </c>
      <c r="I885" t="str">
        <f t="array" ref="I885">iferror(index(isotopes!$J:$J,match($A885,isotopes!$A:$A,0)))</f>
        <v>N</v>
      </c>
      <c r="J885" t="str">
        <f t="array" ref="J885">iferror(index(extra_muscle!$G:$G,match($A885,extra_muscle!$A:$A,0)))</f>
        <v>BXM32-34</v>
      </c>
      <c r="K885" t="str">
        <f t="array" ref="K885">iferror(index(extra_muscle!$J:$J,match($A885,extra_muscle!$A:$A,0)))</f>
        <v>N</v>
      </c>
      <c r="L885" s="59" t="str">
        <f t="array" ref="L885">iferror(index(dna!$G:$G,match($A885,dna!$A:$A,0)))</f>
        <v/>
      </c>
      <c r="M885" s="60" t="str">
        <f t="array" ref="M885">iferror(index(dna!$J:$J,match($A885,dna!$A:$A,0)))</f>
        <v/>
      </c>
      <c r="N885" t="str">
        <f t="array" ref="N885">iferror(index(stomachs!$G:$G,match($A885,stomachs!$A:$A,0)))</f>
        <v/>
      </c>
      <c r="O885" t="str">
        <f t="array" ref="O885">iferror(index(stomachs!$J:$J,match($A885,stomachs!$A:$A,0)))</f>
        <v/>
      </c>
      <c r="P885" t="str">
        <f t="array" ref="P885">iferror(index(sea_lice!$G:$G,match($A885,sea_lice!$A:$A,0)))</f>
        <v/>
      </c>
      <c r="Q885" t="str">
        <f t="array" ref="Q885">iferror(index(sea_lice!$J:$J,match($A885,sea_lice!$A:$A,0)))</f>
        <v/>
      </c>
      <c r="R885" s="40" t="str">
        <f t="array" ref="R885">iferror(index(dissected_fish!$F:$F,match($A885,dissected_fish!$A:$A,0)))</f>
        <v>BCA108</v>
      </c>
      <c r="S885" s="40" t="str">
        <f t="array" ref="S885">iferror(index(dissected_fish!$K:$K,match($A885,dissected_fish!$A:$A,0)))</f>
        <v>N</v>
      </c>
      <c r="T885" s="61" t="str">
        <f t="array" ref="T885">index(fish_lab_data!O:O,match(A885,fish_lab_data!C:C,0))</f>
        <v>EJ</v>
      </c>
      <c r="U885" s="61">
        <f t="array" ref="U885">if(A885="","",index(fish_lab_data!X:X,match(A885,fish_lab_data!C:C,0)))</f>
        <v>884</v>
      </c>
    </row>
    <row r="886">
      <c r="A886" t="str">
        <f>fish_lab_data!C886</f>
        <v>U16467</v>
      </c>
      <c r="B886" t="str">
        <f t="array" ref="B886">iferror(index('rna-muscle'!$I:$I,match($A886,'rna-muscle'!$A:$A,0)))</f>
        <v>BRN70M-H8</v>
      </c>
      <c r="C886" t="str">
        <f t="array" ref="C886">iferror(index('rna-muscle'!$L:$L,match($A886,'rna-muscle'!$A:$A,0)))</f>
        <v>N</v>
      </c>
      <c r="D886" t="str">
        <f t="array" ref="D886">iferror(index('rna-gill'!$I:$I,match($A886,'rna-gill'!$A:$A,0)))</f>
        <v>BRN70G-H8</v>
      </c>
      <c r="E886" t="str">
        <f t="array" ref="E886">iferror(index('rna-gill'!$L:$L,match($A886,'rna-gill'!$A:$A,0)))</f>
        <v>N</v>
      </c>
      <c r="F886" t="str">
        <f t="array" ref="F886">iferror(index(fatty_acid!$G:$G,match($A886,fatty_acid!$A:$A,0)))</f>
        <v>BFA31-49</v>
      </c>
      <c r="G886" t="str">
        <f t="array" ref="G886">iferror(index(fatty_acid!$J:$J,match($A886,fatty_acid!$A:$A,0)))</f>
        <v>N</v>
      </c>
      <c r="H886" t="str">
        <f t="array" ref="H886">iferror(index(isotopes!$G:$G,match($A886,isotopes!$A:$A,0)))</f>
        <v>BIS32-71</v>
      </c>
      <c r="I886" t="str">
        <f t="array" ref="I886">iferror(index(isotopes!$J:$J,match($A886,isotopes!$A:$A,0)))</f>
        <v>N</v>
      </c>
      <c r="J886" t="str">
        <f t="array" ref="J886">iferror(index(extra_muscle!$G:$G,match($A886,extra_muscle!$A:$A,0)))</f>
        <v>BXM32-35</v>
      </c>
      <c r="K886" t="str">
        <f t="array" ref="K886">iferror(index(extra_muscle!$J:$J,match($A886,extra_muscle!$A:$A,0)))</f>
        <v>N</v>
      </c>
      <c r="L886" s="59" t="str">
        <f t="array" ref="L886">iferror(index(dna!$G:$G,match($A886,dna!$A:$A,0)))</f>
        <v/>
      </c>
      <c r="M886" s="60" t="str">
        <f t="array" ref="M886">iferror(index(dna!$J:$J,match($A886,dna!$A:$A,0)))</f>
        <v/>
      </c>
      <c r="N886" t="str">
        <f t="array" ref="N886">iferror(index(stomachs!$G:$G,match($A886,stomachs!$A:$A,0)))</f>
        <v/>
      </c>
      <c r="O886" t="str">
        <f t="array" ref="O886">iferror(index(stomachs!$J:$J,match($A886,stomachs!$A:$A,0)))</f>
        <v/>
      </c>
      <c r="P886" t="str">
        <f t="array" ref="P886">iferror(index(sea_lice!$G:$G,match($A886,sea_lice!$A:$A,0)))</f>
        <v/>
      </c>
      <c r="Q886" t="str">
        <f t="array" ref="Q886">iferror(index(sea_lice!$J:$J,match($A886,sea_lice!$A:$A,0)))</f>
        <v/>
      </c>
      <c r="R886" s="40" t="str">
        <f t="array" ref="R886">iferror(index(dissected_fish!$F:$F,match($A886,dissected_fish!$A:$A,0)))</f>
        <v>BCA108</v>
      </c>
      <c r="S886" s="40" t="str">
        <f t="array" ref="S886">iferror(index(dissected_fish!$K:$K,match($A886,dissected_fish!$A:$A,0)))</f>
        <v>N</v>
      </c>
      <c r="T886" s="61" t="str">
        <f t="array" ref="T886">index(fish_lab_data!O:O,match(A886,fish_lab_data!C:C,0))</f>
        <v>EJ</v>
      </c>
      <c r="U886" s="61">
        <f t="array" ref="U886">if(A886="","",index(fish_lab_data!X:X,match(A886,fish_lab_data!C:C,0)))</f>
        <v>885</v>
      </c>
    </row>
    <row r="887">
      <c r="A887" t="str">
        <f>fish_lab_data!C887</f>
        <v>U16468</v>
      </c>
      <c r="B887" t="str">
        <f t="array" ref="B887">iferror(index('rna-muscle'!$I:$I,match($A887,'rna-muscle'!$A:$A,0)))</f>
        <v>BRN70M-G8</v>
      </c>
      <c r="C887" t="str">
        <f t="array" ref="C887">iferror(index('rna-muscle'!$L:$L,match($A887,'rna-muscle'!$A:$A,0)))</f>
        <v>N</v>
      </c>
      <c r="D887" t="str">
        <f t="array" ref="D887">iferror(index('rna-gill'!$I:$I,match($A887,'rna-gill'!$A:$A,0)))</f>
        <v>BRN70G-G8</v>
      </c>
      <c r="E887" t="str">
        <f t="array" ref="E887">iferror(index('rna-gill'!$L:$L,match($A887,'rna-gill'!$A:$A,0)))</f>
        <v>N</v>
      </c>
      <c r="F887" t="str">
        <f t="array" ref="F887">iferror(index(fatty_acid!$G:$G,match($A887,fatty_acid!$A:$A,0)))</f>
        <v>BFA31-50</v>
      </c>
      <c r="G887" t="str">
        <f t="array" ref="G887">iferror(index(fatty_acid!$J:$J,match($A887,fatty_acid!$A:$A,0)))</f>
        <v>N</v>
      </c>
      <c r="H887" t="str">
        <f t="array" ref="H887">iferror(index(isotopes!$G:$G,match($A887,isotopes!$A:$A,0)))</f>
        <v>BIS32-72</v>
      </c>
      <c r="I887" t="str">
        <f t="array" ref="I887">iferror(index(isotopes!$J:$J,match($A887,isotopes!$A:$A,0)))</f>
        <v>N</v>
      </c>
      <c r="J887" t="str">
        <f t="array" ref="J887">iferror(index(extra_muscle!$G:$G,match($A887,extra_muscle!$A:$A,0)))</f>
        <v>BXM32-36</v>
      </c>
      <c r="K887" t="str">
        <f t="array" ref="K887">iferror(index(extra_muscle!$J:$J,match($A887,extra_muscle!$A:$A,0)))</f>
        <v>N</v>
      </c>
      <c r="L887" s="59" t="str">
        <f t="array" ref="L887">iferror(index(dna!$G:$G,match($A887,dna!$A:$A,0)))</f>
        <v/>
      </c>
      <c r="M887" s="60" t="str">
        <f t="array" ref="M887">iferror(index(dna!$J:$J,match($A887,dna!$A:$A,0)))</f>
        <v/>
      </c>
      <c r="N887" t="str">
        <f t="array" ref="N887">iferror(index(stomachs!$G:$G,match($A887,stomachs!$A:$A,0)))</f>
        <v/>
      </c>
      <c r="O887" t="str">
        <f t="array" ref="O887">iferror(index(stomachs!$J:$J,match($A887,stomachs!$A:$A,0)))</f>
        <v/>
      </c>
      <c r="P887" t="str">
        <f t="array" ref="P887">iferror(index(sea_lice!$G:$G,match($A887,sea_lice!$A:$A,0)))</f>
        <v/>
      </c>
      <c r="Q887" t="str">
        <f t="array" ref="Q887">iferror(index(sea_lice!$J:$J,match($A887,sea_lice!$A:$A,0)))</f>
        <v/>
      </c>
      <c r="R887" s="40" t="str">
        <f t="array" ref="R887">iferror(index(dissected_fish!$F:$F,match($A887,dissected_fish!$A:$A,0)))</f>
        <v>BCA108</v>
      </c>
      <c r="S887" s="40" t="str">
        <f t="array" ref="S887">iferror(index(dissected_fish!$K:$K,match($A887,dissected_fish!$A:$A,0)))</f>
        <v>N</v>
      </c>
      <c r="T887" s="61" t="str">
        <f t="array" ref="T887">index(fish_lab_data!O:O,match(A887,fish_lab_data!C:C,0))</f>
        <v>EJ</v>
      </c>
      <c r="U887" s="61">
        <f t="array" ref="U887">if(A887="","",index(fish_lab_data!X:X,match(A887,fish_lab_data!C:C,0)))</f>
        <v>886</v>
      </c>
    </row>
    <row r="888">
      <c r="A888" t="str">
        <f>fish_lab_data!C888</f>
        <v>U16469</v>
      </c>
      <c r="B888" t="str">
        <f t="array" ref="B888">iferror(index('rna-muscle'!$I:$I,match($A888,'rna-muscle'!$A:$A,0)))</f>
        <v>BRN70M-F8</v>
      </c>
      <c r="C888" t="str">
        <f t="array" ref="C888">iferror(index('rna-muscle'!$L:$L,match($A888,'rna-muscle'!$A:$A,0)))</f>
        <v>N</v>
      </c>
      <c r="D888" t="str">
        <f t="array" ref="D888">iferror(index('rna-gill'!$I:$I,match($A888,'rna-gill'!$A:$A,0)))</f>
        <v>BRN70G-F8</v>
      </c>
      <c r="E888" t="str">
        <f t="array" ref="E888">iferror(index('rna-gill'!$L:$L,match($A888,'rna-gill'!$A:$A,0)))</f>
        <v>N</v>
      </c>
      <c r="F888" t="str">
        <f t="array" ref="F888">iferror(index(fatty_acid!$G:$G,match($A888,fatty_acid!$A:$A,0)))</f>
        <v>BFA31-51</v>
      </c>
      <c r="G888" t="str">
        <f t="array" ref="G888">iferror(index(fatty_acid!$J:$J,match($A888,fatty_acid!$A:$A,0)))</f>
        <v>N</v>
      </c>
      <c r="H888" t="str">
        <f t="array" ref="H888">iferror(index(isotopes!$G:$G,match($A888,isotopes!$A:$A,0)))</f>
        <v>BIS32-73</v>
      </c>
      <c r="I888" t="str">
        <f t="array" ref="I888">iferror(index(isotopes!$J:$J,match($A888,isotopes!$A:$A,0)))</f>
        <v>N</v>
      </c>
      <c r="J888" t="str">
        <f t="array" ref="J888">iferror(index(extra_muscle!$G:$G,match($A888,extra_muscle!$A:$A,0)))</f>
        <v>BXM32-37</v>
      </c>
      <c r="K888" t="str">
        <f t="array" ref="K888">iferror(index(extra_muscle!$J:$J,match($A888,extra_muscle!$A:$A,0)))</f>
        <v>N</v>
      </c>
      <c r="L888" s="59" t="str">
        <f t="array" ref="L888">iferror(index(dna!$G:$G,match($A888,dna!$A:$A,0)))</f>
        <v/>
      </c>
      <c r="M888" s="60" t="str">
        <f t="array" ref="M888">iferror(index(dna!$J:$J,match($A888,dna!$A:$A,0)))</f>
        <v/>
      </c>
      <c r="N888" t="str">
        <f t="array" ref="N888">iferror(index(stomachs!$G:$G,match($A888,stomachs!$A:$A,0)))</f>
        <v/>
      </c>
      <c r="O888" t="str">
        <f t="array" ref="O888">iferror(index(stomachs!$J:$J,match($A888,stomachs!$A:$A,0)))</f>
        <v/>
      </c>
      <c r="P888" t="str">
        <f t="array" ref="P888">iferror(index(sea_lice!$G:$G,match($A888,sea_lice!$A:$A,0)))</f>
        <v/>
      </c>
      <c r="Q888" t="str">
        <f t="array" ref="Q888">iferror(index(sea_lice!$J:$J,match($A888,sea_lice!$A:$A,0)))</f>
        <v/>
      </c>
      <c r="R888" s="40" t="str">
        <f t="array" ref="R888">iferror(index(dissected_fish!$F:$F,match($A888,dissected_fish!$A:$A,0)))</f>
        <v>BCA108</v>
      </c>
      <c r="S888" s="40" t="str">
        <f t="array" ref="S888">iferror(index(dissected_fish!$K:$K,match($A888,dissected_fish!$A:$A,0)))</f>
        <v>N</v>
      </c>
      <c r="T888" s="61" t="str">
        <f t="array" ref="T888">index(fish_lab_data!O:O,match(A888,fish_lab_data!C:C,0))</f>
        <v>EJ</v>
      </c>
      <c r="U888" s="61">
        <f t="array" ref="U888">if(A888="","",index(fish_lab_data!X:X,match(A888,fish_lab_data!C:C,0)))</f>
        <v>887</v>
      </c>
    </row>
    <row r="889">
      <c r="A889" t="str">
        <f>fish_lab_data!C889</f>
        <v>U16470</v>
      </c>
      <c r="B889" t="str">
        <f t="array" ref="B889">iferror(index('rna-muscle'!$I:$I,match($A889,'rna-muscle'!$A:$A,0)))</f>
        <v>BRN70M-E8</v>
      </c>
      <c r="C889" t="str">
        <f t="array" ref="C889">iferror(index('rna-muscle'!$L:$L,match($A889,'rna-muscle'!$A:$A,0)))</f>
        <v>N</v>
      </c>
      <c r="D889" t="str">
        <f t="array" ref="D889">iferror(index('rna-gill'!$I:$I,match($A889,'rna-gill'!$A:$A,0)))</f>
        <v>BRN70G-E8</v>
      </c>
      <c r="E889" t="str">
        <f t="array" ref="E889">iferror(index('rna-gill'!$L:$L,match($A889,'rna-gill'!$A:$A,0)))</f>
        <v>N</v>
      </c>
      <c r="F889" t="str">
        <f t="array" ref="F889">iferror(index(fatty_acid!$G:$G,match($A889,fatty_acid!$A:$A,0)))</f>
        <v>BFA31-52</v>
      </c>
      <c r="G889" t="str">
        <f t="array" ref="G889">iferror(index(fatty_acid!$J:$J,match($A889,fatty_acid!$A:$A,0)))</f>
        <v>N</v>
      </c>
      <c r="H889" t="str">
        <f t="array" ref="H889">iferror(index(isotopes!$G:$G,match($A889,isotopes!$A:$A,0)))</f>
        <v>BIS32-74</v>
      </c>
      <c r="I889" t="str">
        <f t="array" ref="I889">iferror(index(isotopes!$J:$J,match($A889,isotopes!$A:$A,0)))</f>
        <v>N</v>
      </c>
      <c r="J889" t="str">
        <f t="array" ref="J889">iferror(index(extra_muscle!$G:$G,match($A889,extra_muscle!$A:$A,0)))</f>
        <v>BXM32-38</v>
      </c>
      <c r="K889" t="str">
        <f t="array" ref="K889">iferror(index(extra_muscle!$J:$J,match($A889,extra_muscle!$A:$A,0)))</f>
        <v>N</v>
      </c>
      <c r="L889" s="59" t="str">
        <f t="array" ref="L889">iferror(index(dna!$G:$G,match($A889,dna!$A:$A,0)))</f>
        <v/>
      </c>
      <c r="M889" s="60" t="str">
        <f t="array" ref="M889">iferror(index(dna!$J:$J,match($A889,dna!$A:$A,0)))</f>
        <v/>
      </c>
      <c r="N889" t="str">
        <f t="array" ref="N889">iferror(index(stomachs!$G:$G,match($A889,stomachs!$A:$A,0)))</f>
        <v/>
      </c>
      <c r="O889" t="str">
        <f t="array" ref="O889">iferror(index(stomachs!$J:$J,match($A889,stomachs!$A:$A,0)))</f>
        <v/>
      </c>
      <c r="P889" t="str">
        <f t="array" ref="P889">iferror(index(sea_lice!$G:$G,match($A889,sea_lice!$A:$A,0)))</f>
        <v/>
      </c>
      <c r="Q889" t="str">
        <f t="array" ref="Q889">iferror(index(sea_lice!$J:$J,match($A889,sea_lice!$A:$A,0)))</f>
        <v/>
      </c>
      <c r="R889" s="40" t="str">
        <f t="array" ref="R889">iferror(index(dissected_fish!$F:$F,match($A889,dissected_fish!$A:$A,0)))</f>
        <v>BCA108</v>
      </c>
      <c r="S889" s="40" t="str">
        <f t="array" ref="S889">iferror(index(dissected_fish!$K:$K,match($A889,dissected_fish!$A:$A,0)))</f>
        <v>N</v>
      </c>
      <c r="T889" s="61" t="str">
        <f t="array" ref="T889">index(fish_lab_data!O:O,match(A889,fish_lab_data!C:C,0))</f>
        <v>EJ</v>
      </c>
      <c r="U889" s="61">
        <f t="array" ref="U889">if(A889="","",index(fish_lab_data!X:X,match(A889,fish_lab_data!C:C,0)))</f>
        <v>888</v>
      </c>
    </row>
    <row r="890">
      <c r="A890" t="str">
        <f>fish_lab_data!C890</f>
        <v>U16437</v>
      </c>
      <c r="B890" t="str">
        <f t="array" ref="B890">iferror(index('rna-muscle'!$I:$I,match($A890,'rna-muscle'!$A:$A,0)))</f>
        <v>BRN70M-D8</v>
      </c>
      <c r="C890" t="str">
        <f t="array" ref="C890">iferror(index('rna-muscle'!$L:$L,match($A890,'rna-muscle'!$A:$A,0)))</f>
        <v>N</v>
      </c>
      <c r="D890" t="str">
        <f t="array" ref="D890">iferror(index('rna-gill'!$I:$I,match($A890,'rna-gill'!$A:$A,0)))</f>
        <v>BRN70G-D8</v>
      </c>
      <c r="E890" t="str">
        <f t="array" ref="E890">iferror(index('rna-gill'!$L:$L,match($A890,'rna-gill'!$A:$A,0)))</f>
        <v>N</v>
      </c>
      <c r="F890" t="str">
        <f t="array" ref="F890">iferror(index(fatty_acid!$G:$G,match($A890,fatty_acid!$A:$A,0)))</f>
        <v>BFA31-53</v>
      </c>
      <c r="G890" t="str">
        <f t="array" ref="G890">iferror(index(fatty_acid!$J:$J,match($A890,fatty_acid!$A:$A,0)))</f>
        <v>N</v>
      </c>
      <c r="H890" t="str">
        <f t="array" ref="H890">iferror(index(isotopes!$G:$G,match($A890,isotopes!$A:$A,0)))</f>
        <v>BIS32-75</v>
      </c>
      <c r="I890" t="str">
        <f t="array" ref="I890">iferror(index(isotopes!$J:$J,match($A890,isotopes!$A:$A,0)))</f>
        <v>N</v>
      </c>
      <c r="J890" t="str">
        <f t="array" ref="J890">iferror(index(extra_muscle!$G:$G,match($A890,extra_muscle!$A:$A,0)))</f>
        <v>BXM32-39</v>
      </c>
      <c r="K890" t="str">
        <f t="array" ref="K890">iferror(index(extra_muscle!$J:$J,match($A890,extra_muscle!$A:$A,0)))</f>
        <v>N</v>
      </c>
      <c r="L890" s="59" t="str">
        <f t="array" ref="L890">iferror(index(dna!$G:$G,match($A890,dna!$A:$A,0)))</f>
        <v/>
      </c>
      <c r="M890" s="60" t="str">
        <f t="array" ref="M890">iferror(index(dna!$J:$J,match($A890,dna!$A:$A,0)))</f>
        <v/>
      </c>
      <c r="N890" t="str">
        <f t="array" ref="N890">iferror(index(stomachs!$G:$G,match($A890,stomachs!$A:$A,0)))</f>
        <v/>
      </c>
      <c r="O890" t="str">
        <f t="array" ref="O890">iferror(index(stomachs!$J:$J,match($A890,stomachs!$A:$A,0)))</f>
        <v/>
      </c>
      <c r="P890" t="str">
        <f t="array" ref="P890">iferror(index(sea_lice!$G:$G,match($A890,sea_lice!$A:$A,0)))</f>
        <v/>
      </c>
      <c r="Q890" t="str">
        <f t="array" ref="Q890">iferror(index(sea_lice!$J:$J,match($A890,sea_lice!$A:$A,0)))</f>
        <v/>
      </c>
      <c r="R890" s="40" t="str">
        <f t="array" ref="R890">iferror(index(dissected_fish!$F:$F,match($A890,dissected_fish!$A:$A,0)))</f>
        <v>BCA108</v>
      </c>
      <c r="S890" s="40" t="str">
        <f t="array" ref="S890">iferror(index(dissected_fish!$K:$K,match($A890,dissected_fish!$A:$A,0)))</f>
        <v>N</v>
      </c>
      <c r="T890" s="61" t="str">
        <f t="array" ref="T890">index(fish_lab_data!O:O,match(A890,fish_lab_data!C:C,0))</f>
        <v>EJ</v>
      </c>
      <c r="U890" s="61">
        <f t="array" ref="U890">if(A890="","",index(fish_lab_data!X:X,match(A890,fish_lab_data!C:C,0)))</f>
        <v>889</v>
      </c>
    </row>
    <row r="891">
      <c r="A891" t="str">
        <f>fish_lab_data!C891</f>
        <v>U16440</v>
      </c>
      <c r="B891" t="str">
        <f t="array" ref="B891">iferror(index('rna-muscle'!$I:$I,match($A891,'rna-muscle'!$A:$A,0)))</f>
        <v>BRN70M-C8</v>
      </c>
      <c r="C891" t="str">
        <f t="array" ref="C891">iferror(index('rna-muscle'!$L:$L,match($A891,'rna-muscle'!$A:$A,0)))</f>
        <v>N</v>
      </c>
      <c r="D891" t="str">
        <f t="array" ref="D891">iferror(index('rna-gill'!$I:$I,match($A891,'rna-gill'!$A:$A,0)))</f>
        <v>BRN70G-C8</v>
      </c>
      <c r="E891" t="str">
        <f t="array" ref="E891">iferror(index('rna-gill'!$L:$L,match($A891,'rna-gill'!$A:$A,0)))</f>
        <v>N</v>
      </c>
      <c r="F891" t="str">
        <f t="array" ref="F891">iferror(index(fatty_acid!$G:$G,match($A891,fatty_acid!$A:$A,0)))</f>
        <v>BFA31-54</v>
      </c>
      <c r="G891" t="str">
        <f t="array" ref="G891">iferror(index(fatty_acid!$J:$J,match($A891,fatty_acid!$A:$A,0)))</f>
        <v>N</v>
      </c>
      <c r="H891" t="str">
        <f t="array" ref="H891">iferror(index(isotopes!$G:$G,match($A891,isotopes!$A:$A,0)))</f>
        <v>BIS32-76</v>
      </c>
      <c r="I891" t="str">
        <f t="array" ref="I891">iferror(index(isotopes!$J:$J,match($A891,isotopes!$A:$A,0)))</f>
        <v>N</v>
      </c>
      <c r="J891" t="str">
        <f t="array" ref="J891">iferror(index(extra_muscle!$G:$G,match($A891,extra_muscle!$A:$A,0)))</f>
        <v>BXM32-40</v>
      </c>
      <c r="K891" t="str">
        <f t="array" ref="K891">iferror(index(extra_muscle!$J:$J,match($A891,extra_muscle!$A:$A,0)))</f>
        <v>N</v>
      </c>
      <c r="L891" s="59" t="str">
        <f t="array" ref="L891">iferror(index(dna!$G:$G,match($A891,dna!$A:$A,0)))</f>
        <v/>
      </c>
      <c r="M891" s="60" t="str">
        <f t="array" ref="M891">iferror(index(dna!$J:$J,match($A891,dna!$A:$A,0)))</f>
        <v/>
      </c>
      <c r="N891" t="str">
        <f t="array" ref="N891">iferror(index(stomachs!$G:$G,match($A891,stomachs!$A:$A,0)))</f>
        <v/>
      </c>
      <c r="O891" t="str">
        <f t="array" ref="O891">iferror(index(stomachs!$J:$J,match($A891,stomachs!$A:$A,0)))</f>
        <v/>
      </c>
      <c r="P891" t="str">
        <f t="array" ref="P891">iferror(index(sea_lice!$G:$G,match($A891,sea_lice!$A:$A,0)))</f>
        <v/>
      </c>
      <c r="Q891" t="str">
        <f t="array" ref="Q891">iferror(index(sea_lice!$J:$J,match($A891,sea_lice!$A:$A,0)))</f>
        <v/>
      </c>
      <c r="R891" s="40" t="str">
        <f t="array" ref="R891">iferror(index(dissected_fish!$F:$F,match($A891,dissected_fish!$A:$A,0)))</f>
        <v>BCA108</v>
      </c>
      <c r="S891" s="40" t="str">
        <f t="array" ref="S891">iferror(index(dissected_fish!$K:$K,match($A891,dissected_fish!$A:$A,0)))</f>
        <v>N</v>
      </c>
      <c r="T891" s="61" t="str">
        <f t="array" ref="T891">index(fish_lab_data!O:O,match(A891,fish_lab_data!C:C,0))</f>
        <v>EJ</v>
      </c>
      <c r="U891" s="61">
        <f t="array" ref="U891">if(A891="","",index(fish_lab_data!X:X,match(A891,fish_lab_data!C:C,0)))</f>
        <v>890</v>
      </c>
    </row>
    <row r="892">
      <c r="A892" t="str">
        <f>fish_lab_data!C892</f>
        <v>U16438</v>
      </c>
      <c r="B892" t="str">
        <f t="array" ref="B892">iferror(index('rna-muscle'!$I:$I,match($A892,'rna-muscle'!$A:$A,0)))</f>
        <v>BRN70M-B8</v>
      </c>
      <c r="C892" t="str">
        <f t="array" ref="C892">iferror(index('rna-muscle'!$L:$L,match($A892,'rna-muscle'!$A:$A,0)))</f>
        <v>N</v>
      </c>
      <c r="D892" t="str">
        <f t="array" ref="D892">iferror(index('rna-gill'!$I:$I,match($A892,'rna-gill'!$A:$A,0)))</f>
        <v>BRN70G-B8</v>
      </c>
      <c r="E892" t="str">
        <f t="array" ref="E892">iferror(index('rna-gill'!$L:$L,match($A892,'rna-gill'!$A:$A,0)))</f>
        <v>N</v>
      </c>
      <c r="F892" t="str">
        <f t="array" ref="F892">iferror(index(fatty_acid!$G:$G,match($A892,fatty_acid!$A:$A,0)))</f>
        <v>BFA31-55</v>
      </c>
      <c r="G892" t="str">
        <f t="array" ref="G892">iferror(index(fatty_acid!$J:$J,match($A892,fatty_acid!$A:$A,0)))</f>
        <v>N</v>
      </c>
      <c r="H892" t="str">
        <f t="array" ref="H892">iferror(index(isotopes!$G:$G,match($A892,isotopes!$A:$A,0)))</f>
        <v>BIS32-77</v>
      </c>
      <c r="I892" t="str">
        <f t="array" ref="I892">iferror(index(isotopes!$J:$J,match($A892,isotopes!$A:$A,0)))</f>
        <v>N</v>
      </c>
      <c r="J892" t="str">
        <f t="array" ref="J892">iferror(index(extra_muscle!$G:$G,match($A892,extra_muscle!$A:$A,0)))</f>
        <v>BXM32-41</v>
      </c>
      <c r="K892" t="str">
        <f t="array" ref="K892">iferror(index(extra_muscle!$J:$J,match($A892,extra_muscle!$A:$A,0)))</f>
        <v>N</v>
      </c>
      <c r="L892" s="59" t="str">
        <f t="array" ref="L892">iferror(index(dna!$G:$G,match($A892,dna!$A:$A,0)))</f>
        <v/>
      </c>
      <c r="M892" s="60" t="str">
        <f t="array" ref="M892">iferror(index(dna!$J:$J,match($A892,dna!$A:$A,0)))</f>
        <v/>
      </c>
      <c r="N892" t="str">
        <f t="array" ref="N892">iferror(index(stomachs!$G:$G,match($A892,stomachs!$A:$A,0)))</f>
        <v/>
      </c>
      <c r="O892" t="str">
        <f t="array" ref="O892">iferror(index(stomachs!$J:$J,match($A892,stomachs!$A:$A,0)))</f>
        <v/>
      </c>
      <c r="P892" t="str">
        <f t="array" ref="P892">iferror(index(sea_lice!$G:$G,match($A892,sea_lice!$A:$A,0)))</f>
        <v>BSL7-1</v>
      </c>
      <c r="Q892" t="str">
        <f t="array" ref="Q892">iferror(index(sea_lice!$J:$J,match($A892,sea_lice!$A:$A,0)))</f>
        <v>N</v>
      </c>
      <c r="R892" s="40" t="str">
        <f t="array" ref="R892">iferror(index(dissected_fish!$F:$F,match($A892,dissected_fish!$A:$A,0)))</f>
        <v>BCA108</v>
      </c>
      <c r="S892" s="40" t="str">
        <f t="array" ref="S892">iferror(index(dissected_fish!$K:$K,match($A892,dissected_fish!$A:$A,0)))</f>
        <v>N</v>
      </c>
      <c r="T892" s="61" t="str">
        <f t="array" ref="T892">index(fish_lab_data!O:O,match(A892,fish_lab_data!C:C,0))</f>
        <v>EJ</v>
      </c>
      <c r="U892" s="61">
        <f t="array" ref="U892">if(A892="","",index(fish_lab_data!X:X,match(A892,fish_lab_data!C:C,0)))</f>
        <v>891</v>
      </c>
    </row>
    <row r="893">
      <c r="A893" t="str">
        <f>fish_lab_data!C893</f>
        <v>U16436</v>
      </c>
      <c r="B893" t="str">
        <f t="array" ref="B893">iferror(index('rna-muscle'!$I:$I,match($A893,'rna-muscle'!$A:$A,0)))</f>
        <v>BRN70M-A8</v>
      </c>
      <c r="C893" t="str">
        <f t="array" ref="C893">iferror(index('rna-muscle'!$L:$L,match($A893,'rna-muscle'!$A:$A,0)))</f>
        <v>N</v>
      </c>
      <c r="D893" t="str">
        <f t="array" ref="D893">iferror(index('rna-gill'!$I:$I,match($A893,'rna-gill'!$A:$A,0)))</f>
        <v>BRN70G-A8</v>
      </c>
      <c r="E893" t="str">
        <f t="array" ref="E893">iferror(index('rna-gill'!$L:$L,match($A893,'rna-gill'!$A:$A,0)))</f>
        <v>N</v>
      </c>
      <c r="F893" t="str">
        <f t="array" ref="F893">iferror(index(fatty_acid!$G:$G,match($A893,fatty_acid!$A:$A,0)))</f>
        <v>BFA31-56</v>
      </c>
      <c r="G893" t="str">
        <f t="array" ref="G893">iferror(index(fatty_acid!$J:$J,match($A893,fatty_acid!$A:$A,0)))</f>
        <v>N</v>
      </c>
      <c r="H893" t="str">
        <f t="array" ref="H893">iferror(index(isotopes!$G:$G,match($A893,isotopes!$A:$A,0)))</f>
        <v>BIS32-78</v>
      </c>
      <c r="I893" t="str">
        <f t="array" ref="I893">iferror(index(isotopes!$J:$J,match($A893,isotopes!$A:$A,0)))</f>
        <v>N</v>
      </c>
      <c r="J893" t="str">
        <f t="array" ref="J893">iferror(index(extra_muscle!$G:$G,match($A893,extra_muscle!$A:$A,0)))</f>
        <v>BXM32-42</v>
      </c>
      <c r="K893" t="str">
        <f t="array" ref="K893">iferror(index(extra_muscle!$J:$J,match($A893,extra_muscle!$A:$A,0)))</f>
        <v>N</v>
      </c>
      <c r="L893" s="59" t="str">
        <f t="array" ref="L893">iferror(index(dna!$G:$G,match($A893,dna!$A:$A,0)))</f>
        <v/>
      </c>
      <c r="M893" s="60" t="str">
        <f t="array" ref="M893">iferror(index(dna!$J:$J,match($A893,dna!$A:$A,0)))</f>
        <v/>
      </c>
      <c r="N893" t="str">
        <f t="array" ref="N893">iferror(index(stomachs!$G:$G,match($A893,stomachs!$A:$A,0)))</f>
        <v/>
      </c>
      <c r="O893" t="str">
        <f t="array" ref="O893">iferror(index(stomachs!$J:$J,match($A893,stomachs!$A:$A,0)))</f>
        <v/>
      </c>
      <c r="P893" t="str">
        <f t="array" ref="P893">iferror(index(sea_lice!$G:$G,match($A893,sea_lice!$A:$A,0)))</f>
        <v/>
      </c>
      <c r="Q893" t="str">
        <f t="array" ref="Q893">iferror(index(sea_lice!$J:$J,match($A893,sea_lice!$A:$A,0)))</f>
        <v/>
      </c>
      <c r="R893" s="40" t="str">
        <f t="array" ref="R893">iferror(index(dissected_fish!$F:$F,match($A893,dissected_fish!$A:$A,0)))</f>
        <v>BCA108</v>
      </c>
      <c r="S893" s="40" t="str">
        <f t="array" ref="S893">iferror(index(dissected_fish!$K:$K,match($A893,dissected_fish!$A:$A,0)))</f>
        <v>N</v>
      </c>
      <c r="T893" s="61" t="str">
        <f t="array" ref="T893">index(fish_lab_data!O:O,match(A893,fish_lab_data!C:C,0))</f>
        <v>EJ</v>
      </c>
      <c r="U893" s="61">
        <f t="array" ref="U893">if(A893="","",index(fish_lab_data!X:X,match(A893,fish_lab_data!C:C,0)))</f>
        <v>892</v>
      </c>
    </row>
    <row r="894">
      <c r="A894" t="str">
        <f>fish_lab_data!C894</f>
        <v>U16435</v>
      </c>
      <c r="B894" t="str">
        <f t="array" ref="B894">iferror(index('rna-muscle'!$I:$I,match($A894,'rna-muscle'!$A:$A,0)))</f>
        <v>BRN70M-H10</v>
      </c>
      <c r="C894" t="str">
        <f t="array" ref="C894">iferror(index('rna-muscle'!$L:$L,match($A894,'rna-muscle'!$A:$A,0)))</f>
        <v>N</v>
      </c>
      <c r="D894" t="str">
        <f t="array" ref="D894">iferror(index('rna-gill'!$I:$I,match($A894,'rna-gill'!$A:$A,0)))</f>
        <v>BRN70G-H10</v>
      </c>
      <c r="E894" t="str">
        <f t="array" ref="E894">iferror(index('rna-gill'!$L:$L,match($A894,'rna-gill'!$A:$A,0)))</f>
        <v>N</v>
      </c>
      <c r="F894" t="str">
        <f t="array" ref="F894">iferror(index(fatty_acid!$G:$G,match($A894,fatty_acid!$A:$A,0)))</f>
        <v>BFA31-57</v>
      </c>
      <c r="G894" t="str">
        <f t="array" ref="G894">iferror(index(fatty_acid!$J:$J,match($A894,fatty_acid!$A:$A,0)))</f>
        <v>N</v>
      </c>
      <c r="H894" t="str">
        <f t="array" ref="H894">iferror(index(isotopes!$G:$G,match($A894,isotopes!$A:$A,0)))</f>
        <v>BIS32-79</v>
      </c>
      <c r="I894" t="str">
        <f t="array" ref="I894">iferror(index(isotopes!$J:$J,match($A894,isotopes!$A:$A,0)))</f>
        <v>N</v>
      </c>
      <c r="J894" t="str">
        <f t="array" ref="J894">iferror(index(extra_muscle!$G:$G,match($A894,extra_muscle!$A:$A,0)))</f>
        <v>BXM32-43</v>
      </c>
      <c r="K894" t="str">
        <f t="array" ref="K894">iferror(index(extra_muscle!$J:$J,match($A894,extra_muscle!$A:$A,0)))</f>
        <v>N</v>
      </c>
      <c r="L894" s="59" t="str">
        <f t="array" ref="L894">iferror(index(dna!$G:$G,match($A894,dna!$A:$A,0)))</f>
        <v/>
      </c>
      <c r="M894" s="60" t="str">
        <f t="array" ref="M894">iferror(index(dna!$J:$J,match($A894,dna!$A:$A,0)))</f>
        <v/>
      </c>
      <c r="N894" t="str">
        <f t="array" ref="N894">iferror(index(stomachs!$G:$G,match($A894,stomachs!$A:$A,0)))</f>
        <v/>
      </c>
      <c r="O894" t="str">
        <f t="array" ref="O894">iferror(index(stomachs!$J:$J,match($A894,stomachs!$A:$A,0)))</f>
        <v/>
      </c>
      <c r="P894" t="str">
        <f t="array" ref="P894">iferror(index(sea_lice!$G:$G,match($A894,sea_lice!$A:$A,0)))</f>
        <v/>
      </c>
      <c r="Q894" t="str">
        <f t="array" ref="Q894">iferror(index(sea_lice!$J:$J,match($A894,sea_lice!$A:$A,0)))</f>
        <v/>
      </c>
      <c r="R894" s="40" t="str">
        <f t="array" ref="R894">iferror(index(dissected_fish!$F:$F,match($A894,dissected_fish!$A:$A,0)))</f>
        <v>BCA108</v>
      </c>
      <c r="S894" s="40" t="str">
        <f t="array" ref="S894">iferror(index(dissected_fish!$K:$K,match($A894,dissected_fish!$A:$A,0)))</f>
        <v>N</v>
      </c>
      <c r="T894" s="61" t="str">
        <f t="array" ref="T894">index(fish_lab_data!O:O,match(A894,fish_lab_data!C:C,0))</f>
        <v>EJ</v>
      </c>
      <c r="U894" s="61">
        <f t="array" ref="U894">if(A894="","",index(fish_lab_data!X:X,match(A894,fish_lab_data!C:C,0)))</f>
        <v>893</v>
      </c>
    </row>
    <row r="895">
      <c r="A895" t="str">
        <f>fish_lab_data!C895</f>
        <v>U16439</v>
      </c>
      <c r="B895" t="str">
        <f t="array" ref="B895">iferror(index('rna-muscle'!$I:$I,match($A895,'rna-muscle'!$A:$A,0)))</f>
        <v>BRN70M-G10</v>
      </c>
      <c r="C895" t="str">
        <f t="array" ref="C895">iferror(index('rna-muscle'!$L:$L,match($A895,'rna-muscle'!$A:$A,0)))</f>
        <v>N</v>
      </c>
      <c r="D895" t="str">
        <f t="array" ref="D895">iferror(index('rna-gill'!$I:$I,match($A895,'rna-gill'!$A:$A,0)))</f>
        <v>BRN70G-G10</v>
      </c>
      <c r="E895" t="str">
        <f t="array" ref="E895">iferror(index('rna-gill'!$L:$L,match($A895,'rna-gill'!$A:$A,0)))</f>
        <v>N</v>
      </c>
      <c r="F895" t="str">
        <f t="array" ref="F895">iferror(index(fatty_acid!$G:$G,match($A895,fatty_acid!$A:$A,0)))</f>
        <v>BFA31-58</v>
      </c>
      <c r="G895" t="str">
        <f t="array" ref="G895">iferror(index(fatty_acid!$J:$J,match($A895,fatty_acid!$A:$A,0)))</f>
        <v>N</v>
      </c>
      <c r="H895" t="str">
        <f t="array" ref="H895">iferror(index(isotopes!$G:$G,match($A895,isotopes!$A:$A,0)))</f>
        <v>BIS32-80</v>
      </c>
      <c r="I895" t="str">
        <f t="array" ref="I895">iferror(index(isotopes!$J:$J,match($A895,isotopes!$A:$A,0)))</f>
        <v>N</v>
      </c>
      <c r="J895" t="str">
        <f t="array" ref="J895">iferror(index(extra_muscle!$G:$G,match($A895,extra_muscle!$A:$A,0)))</f>
        <v>BXM32-44</v>
      </c>
      <c r="K895" t="str">
        <f t="array" ref="K895">iferror(index(extra_muscle!$J:$J,match($A895,extra_muscle!$A:$A,0)))</f>
        <v>N</v>
      </c>
      <c r="L895" s="59" t="str">
        <f t="array" ref="L895">iferror(index(dna!$G:$G,match($A895,dna!$A:$A,0)))</f>
        <v/>
      </c>
      <c r="M895" s="60" t="str">
        <f t="array" ref="M895">iferror(index(dna!$J:$J,match($A895,dna!$A:$A,0)))</f>
        <v/>
      </c>
      <c r="N895" t="str">
        <f t="array" ref="N895">iferror(index(stomachs!$G:$G,match($A895,stomachs!$A:$A,0)))</f>
        <v/>
      </c>
      <c r="O895" t="str">
        <f t="array" ref="O895">iferror(index(stomachs!$J:$J,match($A895,stomachs!$A:$A,0)))</f>
        <v/>
      </c>
      <c r="P895" t="str">
        <f t="array" ref="P895">iferror(index(sea_lice!$G:$G,match($A895,sea_lice!$A:$A,0)))</f>
        <v/>
      </c>
      <c r="Q895" t="str">
        <f t="array" ref="Q895">iferror(index(sea_lice!$J:$J,match($A895,sea_lice!$A:$A,0)))</f>
        <v/>
      </c>
      <c r="R895" s="40" t="str">
        <f t="array" ref="R895">iferror(index(dissected_fish!$F:$F,match($A895,dissected_fish!$A:$A,0)))</f>
        <v>BCA108</v>
      </c>
      <c r="S895" s="40" t="str">
        <f t="array" ref="S895">iferror(index(dissected_fish!$K:$K,match($A895,dissected_fish!$A:$A,0)))</f>
        <v>N</v>
      </c>
      <c r="T895" s="61" t="str">
        <f t="array" ref="T895">index(fish_lab_data!O:O,match(A895,fish_lab_data!C:C,0))</f>
        <v>EJ</v>
      </c>
      <c r="U895" s="61">
        <f t="array" ref="U895">if(A895="","",index(fish_lab_data!X:X,match(A895,fish_lab_data!C:C,0)))</f>
        <v>894</v>
      </c>
    </row>
    <row r="896">
      <c r="A896" t="str">
        <f>fish_lab_data!C896</f>
        <v>U16433</v>
      </c>
      <c r="B896" t="str">
        <f t="array" ref="B896">iferror(index('rna-muscle'!$I:$I,match($A896,'rna-muscle'!$A:$A,0)))</f>
        <v>BRN70M-F10</v>
      </c>
      <c r="C896" t="str">
        <f t="array" ref="C896">iferror(index('rna-muscle'!$L:$L,match($A896,'rna-muscle'!$A:$A,0)))</f>
        <v>N</v>
      </c>
      <c r="D896" t="str">
        <f t="array" ref="D896">iferror(index('rna-gill'!$I:$I,match($A896,'rna-gill'!$A:$A,0)))</f>
        <v>BRN70G-F10</v>
      </c>
      <c r="E896" t="str">
        <f t="array" ref="E896">iferror(index('rna-gill'!$L:$L,match($A896,'rna-gill'!$A:$A,0)))</f>
        <v>N</v>
      </c>
      <c r="F896" t="str">
        <f t="array" ref="F896">iferror(index(fatty_acid!$G:$G,match($A896,fatty_acid!$A:$A,0)))</f>
        <v>BFA31-59</v>
      </c>
      <c r="G896" t="str">
        <f t="array" ref="G896">iferror(index(fatty_acid!$J:$J,match($A896,fatty_acid!$A:$A,0)))</f>
        <v>N</v>
      </c>
      <c r="H896" t="str">
        <f t="array" ref="H896">iferror(index(isotopes!$G:$G,match($A896,isotopes!$A:$A,0)))</f>
        <v>BIS34-1</v>
      </c>
      <c r="I896" t="str">
        <f t="array" ref="I896">iferror(index(isotopes!$J:$J,match($A896,isotopes!$A:$A,0)))</f>
        <v>N</v>
      </c>
      <c r="J896" t="str">
        <f t="array" ref="J896">iferror(index(extra_muscle!$G:$G,match($A896,extra_muscle!$A:$A,0)))</f>
        <v>BXM32-45</v>
      </c>
      <c r="K896" t="str">
        <f t="array" ref="K896">iferror(index(extra_muscle!$J:$J,match($A896,extra_muscle!$A:$A,0)))</f>
        <v>N</v>
      </c>
      <c r="L896" s="59" t="str">
        <f t="array" ref="L896">iferror(index(dna!$G:$G,match($A896,dna!$A:$A,0)))</f>
        <v/>
      </c>
      <c r="M896" s="60" t="str">
        <f t="array" ref="M896">iferror(index(dna!$J:$J,match($A896,dna!$A:$A,0)))</f>
        <v/>
      </c>
      <c r="N896" t="str">
        <f t="array" ref="N896">iferror(index(stomachs!$G:$G,match($A896,stomachs!$A:$A,0)))</f>
        <v/>
      </c>
      <c r="O896" t="str">
        <f t="array" ref="O896">iferror(index(stomachs!$J:$J,match($A896,stomachs!$A:$A,0)))</f>
        <v/>
      </c>
      <c r="P896" t="str">
        <f t="array" ref="P896">iferror(index(sea_lice!$G:$G,match($A896,sea_lice!$A:$A,0)))</f>
        <v/>
      </c>
      <c r="Q896" t="str">
        <f t="array" ref="Q896">iferror(index(sea_lice!$J:$J,match($A896,sea_lice!$A:$A,0)))</f>
        <v/>
      </c>
      <c r="R896" s="40" t="str">
        <f t="array" ref="R896">iferror(index(dissected_fish!$F:$F,match($A896,dissected_fish!$A:$A,0)))</f>
        <v>BCA108</v>
      </c>
      <c r="S896" s="40" t="str">
        <f t="array" ref="S896">iferror(index(dissected_fish!$K:$K,match($A896,dissected_fish!$A:$A,0)))</f>
        <v>N</v>
      </c>
      <c r="T896" s="61" t="str">
        <f t="array" ref="T896">index(fish_lab_data!O:O,match(A896,fish_lab_data!C:C,0))</f>
        <v>EJ</v>
      </c>
      <c r="U896" s="61">
        <f t="array" ref="U896">if(A896="","",index(fish_lab_data!X:X,match(A896,fish_lab_data!C:C,0)))</f>
        <v>895</v>
      </c>
    </row>
    <row r="897">
      <c r="A897" t="str">
        <f>fish_lab_data!C897</f>
        <v>U16264</v>
      </c>
      <c r="B897" t="str">
        <f t="array" ref="B897">iferror(index('rna-muscle'!$I:$I,match($A897,'rna-muscle'!$A:$A,0)))</f>
        <v>BRN70M-C7</v>
      </c>
      <c r="C897" t="str">
        <f t="array" ref="C897">iferror(index('rna-muscle'!$L:$L,match($A897,'rna-muscle'!$A:$A,0)))</f>
        <v>N</v>
      </c>
      <c r="D897" t="str">
        <f t="array" ref="D897">iferror(index('rna-gill'!$I:$I,match($A897,'rna-gill'!$A:$A,0)))</f>
        <v>BRN70G-C7</v>
      </c>
      <c r="E897" t="str">
        <f t="array" ref="E897">iferror(index('rna-gill'!$L:$L,match($A897,'rna-gill'!$A:$A,0)))</f>
        <v>N</v>
      </c>
      <c r="F897" t="str">
        <f t="array" ref="F897">iferror(index(fatty_acid!$G:$G,match($A897,fatty_acid!$A:$A,0)))</f>
        <v>BFA30-63</v>
      </c>
      <c r="G897" t="str">
        <f t="array" ref="G897">iferror(index(fatty_acid!$J:$J,match($A897,fatty_acid!$A:$A,0)))</f>
        <v>N</v>
      </c>
      <c r="H897" t="str">
        <f t="array" ref="H897">iferror(index(isotopes!$G:$G,match($A897,isotopes!$A:$A,0)))</f>
        <v>BIS33-63</v>
      </c>
      <c r="I897" t="str">
        <f t="array" ref="I897">iferror(index(isotopes!$J:$J,match($A897,isotopes!$A:$A,0)))</f>
        <v>N</v>
      </c>
      <c r="J897" t="str">
        <f t="array" ref="J897">iferror(index(extra_muscle!$G:$G,match($A897,extra_muscle!$A:$A,0)))</f>
        <v>BXM31-63</v>
      </c>
      <c r="K897" t="str">
        <f t="array" ref="K897">iferror(index(extra_muscle!$J:$J,match($A897,extra_muscle!$A:$A,0)))</f>
        <v>N</v>
      </c>
      <c r="L897" s="59" t="str">
        <f t="array" ref="L897">iferror(index(dna!$G:$G,match($A897,dna!$A:$A,0)))</f>
        <v/>
      </c>
      <c r="M897" s="60" t="str">
        <f t="array" ref="M897">iferror(index(dna!$J:$J,match($A897,dna!$A:$A,0)))</f>
        <v/>
      </c>
      <c r="N897" t="str">
        <f t="array" ref="N897">iferror(index(stomachs!$G:$G,match($A897,stomachs!$A:$A,0)))</f>
        <v/>
      </c>
      <c r="O897" t="str">
        <f t="array" ref="O897">iferror(index(stomachs!$J:$J,match($A897,stomachs!$A:$A,0)))</f>
        <v/>
      </c>
      <c r="P897" t="str">
        <f t="array" ref="P897">iferror(index(sea_lice!$G:$G,match($A897,sea_lice!$A:$A,0)))</f>
        <v/>
      </c>
      <c r="Q897" t="str">
        <f t="array" ref="Q897">iferror(index(sea_lice!$J:$J,match($A897,sea_lice!$A:$A,0)))</f>
        <v/>
      </c>
      <c r="R897" s="40" t="str">
        <f t="array" ref="R897">iferror(index(dissected_fish!$F:$F,match($A897,dissected_fish!$A:$A,0)))</f>
        <v>BCA108</v>
      </c>
      <c r="S897" s="40" t="str">
        <f t="array" ref="S897">iferror(index(dissected_fish!$K:$K,match($A897,dissected_fish!$A:$A,0)))</f>
        <v>N</v>
      </c>
      <c r="T897" s="61" t="str">
        <f t="array" ref="T897">index(fish_lab_data!O:O,match(A897,fish_lab_data!C:C,0))</f>
        <v>KB</v>
      </c>
      <c r="U897" s="61">
        <f t="array" ref="U897">if(A897="","",index(fish_lab_data!X:X,match(A897,fish_lab_data!C:C,0)))</f>
        <v>896</v>
      </c>
    </row>
    <row r="898">
      <c r="A898" t="str">
        <f>fish_lab_data!C898</f>
        <v>U16265</v>
      </c>
      <c r="B898" t="str">
        <f t="array" ref="B898">iferror(index('rna-muscle'!$I:$I,match($A898,'rna-muscle'!$A:$A,0)))</f>
        <v>BRN70M-B7</v>
      </c>
      <c r="C898" t="str">
        <f t="array" ref="C898">iferror(index('rna-muscle'!$L:$L,match($A898,'rna-muscle'!$A:$A,0)))</f>
        <v>N</v>
      </c>
      <c r="D898" t="str">
        <f t="array" ref="D898">iferror(index('rna-gill'!$I:$I,match($A898,'rna-gill'!$A:$A,0)))</f>
        <v>BRN70G-B7</v>
      </c>
      <c r="E898" t="str">
        <f t="array" ref="E898">iferror(index('rna-gill'!$L:$L,match($A898,'rna-gill'!$A:$A,0)))</f>
        <v>N</v>
      </c>
      <c r="F898" t="str">
        <f t="array" ref="F898">iferror(index(fatty_acid!$G:$G,match($A898,fatty_acid!$A:$A,0)))</f>
        <v>BFA30-64</v>
      </c>
      <c r="G898" t="str">
        <f t="array" ref="G898">iferror(index(fatty_acid!$J:$J,match($A898,fatty_acid!$A:$A,0)))</f>
        <v>N</v>
      </c>
      <c r="H898" t="str">
        <f t="array" ref="H898">iferror(index(isotopes!$G:$G,match($A898,isotopes!$A:$A,0)))</f>
        <v>BIS33-64</v>
      </c>
      <c r="I898" t="str">
        <f t="array" ref="I898">iferror(index(isotopes!$J:$J,match($A898,isotopes!$A:$A,0)))</f>
        <v>N</v>
      </c>
      <c r="J898" t="str">
        <f t="array" ref="J898">iferror(index(extra_muscle!$G:$G,match($A898,extra_muscle!$A:$A,0)))</f>
        <v>BXM31-64</v>
      </c>
      <c r="K898" t="str">
        <f t="array" ref="K898">iferror(index(extra_muscle!$J:$J,match($A898,extra_muscle!$A:$A,0)))</f>
        <v>N</v>
      </c>
      <c r="L898" s="59" t="str">
        <f t="array" ref="L898">iferror(index(dna!$G:$G,match($A898,dna!$A:$A,0)))</f>
        <v/>
      </c>
      <c r="M898" s="60" t="str">
        <f t="array" ref="M898">iferror(index(dna!$J:$J,match($A898,dna!$A:$A,0)))</f>
        <v/>
      </c>
      <c r="N898" t="str">
        <f t="array" ref="N898">iferror(index(stomachs!$G:$G,match($A898,stomachs!$A:$A,0)))</f>
        <v/>
      </c>
      <c r="O898" t="str">
        <f t="array" ref="O898">iferror(index(stomachs!$J:$J,match($A898,stomachs!$A:$A,0)))</f>
        <v/>
      </c>
      <c r="P898" t="str">
        <f t="array" ref="P898">iferror(index(sea_lice!$G:$G,match($A898,sea_lice!$A:$A,0)))</f>
        <v/>
      </c>
      <c r="Q898" t="str">
        <f t="array" ref="Q898">iferror(index(sea_lice!$J:$J,match($A898,sea_lice!$A:$A,0)))</f>
        <v/>
      </c>
      <c r="R898" s="40" t="str">
        <f t="array" ref="R898">iferror(index(dissected_fish!$F:$F,match($A898,dissected_fish!$A:$A,0)))</f>
        <v>BCA108</v>
      </c>
      <c r="S898" s="40" t="str">
        <f t="array" ref="S898">iferror(index(dissected_fish!$K:$K,match($A898,dissected_fish!$A:$A,0)))</f>
        <v>N</v>
      </c>
      <c r="T898" s="61" t="str">
        <f t="array" ref="T898">index(fish_lab_data!O:O,match(A898,fish_lab_data!C:C,0))</f>
        <v>KB</v>
      </c>
      <c r="U898" s="61">
        <f t="array" ref="U898">if(A898="","",index(fish_lab_data!X:X,match(A898,fish_lab_data!C:C,0)))</f>
        <v>897</v>
      </c>
    </row>
    <row r="899">
      <c r="A899" t="str">
        <f>fish_lab_data!C899</f>
        <v>U16268</v>
      </c>
      <c r="B899" t="str">
        <f t="array" ref="B899">iferror(index('rna-muscle'!$I:$I,match($A899,'rna-muscle'!$A:$A,0)))</f>
        <v>BRN70M-A7</v>
      </c>
      <c r="C899" t="str">
        <f t="array" ref="C899">iferror(index('rna-muscle'!$L:$L,match($A899,'rna-muscle'!$A:$A,0)))</f>
        <v>N</v>
      </c>
      <c r="D899" t="str">
        <f t="array" ref="D899">iferror(index('rna-gill'!$I:$I,match($A899,'rna-gill'!$A:$A,0)))</f>
        <v>BRN70G-A7</v>
      </c>
      <c r="E899" t="str">
        <f t="array" ref="E899">iferror(index('rna-gill'!$L:$L,match($A899,'rna-gill'!$A:$A,0)))</f>
        <v>N</v>
      </c>
      <c r="F899" t="str">
        <f t="array" ref="F899">iferror(index(fatty_acid!$G:$G,match($A899,fatty_acid!$A:$A,0)))</f>
        <v>BFA30-65</v>
      </c>
      <c r="G899" t="str">
        <f t="array" ref="G899">iferror(index(fatty_acid!$J:$J,match($A899,fatty_acid!$A:$A,0)))</f>
        <v>N</v>
      </c>
      <c r="H899" t="str">
        <f t="array" ref="H899">iferror(index(isotopes!$G:$G,match($A899,isotopes!$A:$A,0)))</f>
        <v>BIS33-65</v>
      </c>
      <c r="I899" t="str">
        <f t="array" ref="I899">iferror(index(isotopes!$J:$J,match($A899,isotopes!$A:$A,0)))</f>
        <v>N</v>
      </c>
      <c r="J899" t="str">
        <f t="array" ref="J899">iferror(index(extra_muscle!$G:$G,match($A899,extra_muscle!$A:$A,0)))</f>
        <v>BXM31-65</v>
      </c>
      <c r="K899" t="str">
        <f t="array" ref="K899">iferror(index(extra_muscle!$J:$J,match($A899,extra_muscle!$A:$A,0)))</f>
        <v>N</v>
      </c>
      <c r="L899" s="59" t="str">
        <f t="array" ref="L899">iferror(index(dna!$G:$G,match($A899,dna!$A:$A,0)))</f>
        <v/>
      </c>
      <c r="M899" s="60" t="str">
        <f t="array" ref="M899">iferror(index(dna!$J:$J,match($A899,dna!$A:$A,0)))</f>
        <v/>
      </c>
      <c r="N899" t="str">
        <f t="array" ref="N899">iferror(index(stomachs!$G:$G,match($A899,stomachs!$A:$A,0)))</f>
        <v/>
      </c>
      <c r="O899" t="str">
        <f t="array" ref="O899">iferror(index(stomachs!$J:$J,match($A899,stomachs!$A:$A,0)))</f>
        <v/>
      </c>
      <c r="P899" t="str">
        <f t="array" ref="P899">iferror(index(sea_lice!$G:$G,match($A899,sea_lice!$A:$A,0)))</f>
        <v/>
      </c>
      <c r="Q899" t="str">
        <f t="array" ref="Q899">iferror(index(sea_lice!$J:$J,match($A899,sea_lice!$A:$A,0)))</f>
        <v/>
      </c>
      <c r="R899" s="40" t="str">
        <f t="array" ref="R899">iferror(index(dissected_fish!$F:$F,match($A899,dissected_fish!$A:$A,0)))</f>
        <v>BCA108</v>
      </c>
      <c r="S899" s="40" t="str">
        <f t="array" ref="S899">iferror(index(dissected_fish!$K:$K,match($A899,dissected_fish!$A:$A,0)))</f>
        <v>N</v>
      </c>
      <c r="T899" s="61" t="str">
        <f t="array" ref="T899">index(fish_lab_data!O:O,match(A899,fish_lab_data!C:C,0))</f>
        <v>KB</v>
      </c>
      <c r="U899" s="61">
        <f t="array" ref="U899">if(A899="","",index(fish_lab_data!X:X,match(A899,fish_lab_data!C:C,0)))</f>
        <v>898</v>
      </c>
    </row>
    <row r="900">
      <c r="A900" t="str">
        <f>fish_lab_data!C900</f>
        <v>U16269</v>
      </c>
      <c r="B900" t="str">
        <f t="array" ref="B900">iferror(index('rna-muscle'!$I:$I,match($A900,'rna-muscle'!$A:$A,0)))</f>
        <v>BRN70M-H9</v>
      </c>
      <c r="C900" t="str">
        <f t="array" ref="C900">iferror(index('rna-muscle'!$L:$L,match($A900,'rna-muscle'!$A:$A,0)))</f>
        <v>N</v>
      </c>
      <c r="D900" t="str">
        <f t="array" ref="D900">iferror(index('rna-gill'!$I:$I,match($A900,'rna-gill'!$A:$A,0)))</f>
        <v>BRN70G-H9</v>
      </c>
      <c r="E900" t="str">
        <f t="array" ref="E900">iferror(index('rna-gill'!$L:$L,match($A900,'rna-gill'!$A:$A,0)))</f>
        <v>N</v>
      </c>
      <c r="F900" t="str">
        <f t="array" ref="F900">iferror(index(fatty_acid!$G:$G,match($A900,fatty_acid!$A:$A,0)))</f>
        <v>BFA30-66</v>
      </c>
      <c r="G900" t="str">
        <f t="array" ref="G900">iferror(index(fatty_acid!$J:$J,match($A900,fatty_acid!$A:$A,0)))</f>
        <v>N</v>
      </c>
      <c r="H900" t="str">
        <f t="array" ref="H900">iferror(index(isotopes!$G:$G,match($A900,isotopes!$A:$A,0)))</f>
        <v>BIS33-66</v>
      </c>
      <c r="I900" t="str">
        <f t="array" ref="I900">iferror(index(isotopes!$J:$J,match($A900,isotopes!$A:$A,0)))</f>
        <v>N</v>
      </c>
      <c r="J900" t="str">
        <f t="array" ref="J900">iferror(index(extra_muscle!$G:$G,match($A900,extra_muscle!$A:$A,0)))</f>
        <v>BXM31-66</v>
      </c>
      <c r="K900" t="str">
        <f t="array" ref="K900">iferror(index(extra_muscle!$J:$J,match($A900,extra_muscle!$A:$A,0)))</f>
        <v>N</v>
      </c>
      <c r="L900" s="59" t="str">
        <f t="array" ref="L900">iferror(index(dna!$G:$G,match($A900,dna!$A:$A,0)))</f>
        <v/>
      </c>
      <c r="M900" s="60" t="str">
        <f t="array" ref="M900">iferror(index(dna!$J:$J,match($A900,dna!$A:$A,0)))</f>
        <v/>
      </c>
      <c r="N900" t="str">
        <f t="array" ref="N900">iferror(index(stomachs!$G:$G,match($A900,stomachs!$A:$A,0)))</f>
        <v/>
      </c>
      <c r="O900" t="str">
        <f t="array" ref="O900">iferror(index(stomachs!$J:$J,match($A900,stomachs!$A:$A,0)))</f>
        <v/>
      </c>
      <c r="P900" t="str">
        <f t="array" ref="P900">iferror(index(sea_lice!$G:$G,match($A900,sea_lice!$A:$A,0)))</f>
        <v/>
      </c>
      <c r="Q900" t="str">
        <f t="array" ref="Q900">iferror(index(sea_lice!$J:$J,match($A900,sea_lice!$A:$A,0)))</f>
        <v/>
      </c>
      <c r="R900" s="40" t="str">
        <f t="array" ref="R900">iferror(index(dissected_fish!$F:$F,match($A900,dissected_fish!$A:$A,0)))</f>
        <v>BCA108</v>
      </c>
      <c r="S900" s="40" t="str">
        <f t="array" ref="S900">iferror(index(dissected_fish!$K:$K,match($A900,dissected_fish!$A:$A,0)))</f>
        <v>N</v>
      </c>
      <c r="T900" s="61" t="str">
        <f t="array" ref="T900">index(fish_lab_data!O:O,match(A900,fish_lab_data!C:C,0))</f>
        <v>KB</v>
      </c>
      <c r="U900" s="61">
        <f t="array" ref="U900">if(A900="","",index(fish_lab_data!X:X,match(A900,fish_lab_data!C:C,0)))</f>
        <v>899</v>
      </c>
    </row>
    <row r="901">
      <c r="A901" t="str">
        <f>fish_lab_data!C901</f>
        <v>U16266</v>
      </c>
      <c r="B901" t="str">
        <f t="array" ref="B901">iferror(index('rna-muscle'!$I:$I,match($A901,'rna-muscle'!$A:$A,0)))</f>
        <v>BRN70M-G9</v>
      </c>
      <c r="C901" t="str">
        <f t="array" ref="C901">iferror(index('rna-muscle'!$L:$L,match($A901,'rna-muscle'!$A:$A,0)))</f>
        <v>N</v>
      </c>
      <c r="D901" t="str">
        <f t="array" ref="D901">iferror(index('rna-gill'!$I:$I,match($A901,'rna-gill'!$A:$A,0)))</f>
        <v>BRN70G-G9</v>
      </c>
      <c r="E901" t="str">
        <f t="array" ref="E901">iferror(index('rna-gill'!$L:$L,match($A901,'rna-gill'!$A:$A,0)))</f>
        <v>N</v>
      </c>
      <c r="F901" t="str">
        <f t="array" ref="F901">iferror(index(fatty_acid!$G:$G,match($A901,fatty_acid!$A:$A,0)))</f>
        <v>BFA30-67</v>
      </c>
      <c r="G901" t="str">
        <f t="array" ref="G901">iferror(index(fatty_acid!$J:$J,match($A901,fatty_acid!$A:$A,0)))</f>
        <v>N</v>
      </c>
      <c r="H901" t="str">
        <f t="array" ref="H901">iferror(index(isotopes!$G:$G,match($A901,isotopes!$A:$A,0)))</f>
        <v>BIS33-67</v>
      </c>
      <c r="I901" t="str">
        <f t="array" ref="I901">iferror(index(isotopes!$J:$J,match($A901,isotopes!$A:$A,0)))</f>
        <v>N</v>
      </c>
      <c r="J901" t="str">
        <f t="array" ref="J901">iferror(index(extra_muscle!$G:$G,match($A901,extra_muscle!$A:$A,0)))</f>
        <v>BXM31-67</v>
      </c>
      <c r="K901" t="str">
        <f t="array" ref="K901">iferror(index(extra_muscle!$J:$J,match($A901,extra_muscle!$A:$A,0)))</f>
        <v>N</v>
      </c>
      <c r="L901" s="59" t="str">
        <f t="array" ref="L901">iferror(index(dna!$G:$G,match($A901,dna!$A:$A,0)))</f>
        <v/>
      </c>
      <c r="M901" s="60" t="str">
        <f t="array" ref="M901">iferror(index(dna!$J:$J,match($A901,dna!$A:$A,0)))</f>
        <v/>
      </c>
      <c r="N901" t="str">
        <f t="array" ref="N901">iferror(index(stomachs!$G:$G,match($A901,stomachs!$A:$A,0)))</f>
        <v/>
      </c>
      <c r="O901" t="str">
        <f t="array" ref="O901">iferror(index(stomachs!$J:$J,match($A901,stomachs!$A:$A,0)))</f>
        <v/>
      </c>
      <c r="P901" t="str">
        <f t="array" ref="P901">iferror(index(sea_lice!$G:$G,match($A901,sea_lice!$A:$A,0)))</f>
        <v/>
      </c>
      <c r="Q901" t="str">
        <f t="array" ref="Q901">iferror(index(sea_lice!$J:$J,match($A901,sea_lice!$A:$A,0)))</f>
        <v/>
      </c>
      <c r="R901" s="40" t="str">
        <f t="array" ref="R901">iferror(index(dissected_fish!$F:$F,match($A901,dissected_fish!$A:$A,0)))</f>
        <v>BCA108</v>
      </c>
      <c r="S901" s="40" t="str">
        <f t="array" ref="S901">iferror(index(dissected_fish!$K:$K,match($A901,dissected_fish!$A:$A,0)))</f>
        <v>N</v>
      </c>
      <c r="T901" s="61" t="str">
        <f t="array" ref="T901">index(fish_lab_data!O:O,match(A901,fish_lab_data!C:C,0))</f>
        <v>KB</v>
      </c>
      <c r="U901" s="61">
        <f t="array" ref="U901">if(A901="","",index(fish_lab_data!X:X,match(A901,fish_lab_data!C:C,0)))</f>
        <v>900</v>
      </c>
    </row>
    <row r="902">
      <c r="A902" t="str">
        <f>fish_lab_data!C902</f>
        <v>U16270</v>
      </c>
      <c r="B902" t="str">
        <f t="array" ref="B902">iferror(index('rna-muscle'!$I:$I,match($A902,'rna-muscle'!$A:$A,0)))</f>
        <v>BRN70M-F9</v>
      </c>
      <c r="C902" t="str">
        <f t="array" ref="C902">iferror(index('rna-muscle'!$L:$L,match($A902,'rna-muscle'!$A:$A,0)))</f>
        <v>N</v>
      </c>
      <c r="D902" t="str">
        <f t="array" ref="D902">iferror(index('rna-gill'!$I:$I,match($A902,'rna-gill'!$A:$A,0)))</f>
        <v>BRN70G-F9</v>
      </c>
      <c r="E902" t="str">
        <f t="array" ref="E902">iferror(index('rna-gill'!$L:$L,match($A902,'rna-gill'!$A:$A,0)))</f>
        <v>N</v>
      </c>
      <c r="F902" t="str">
        <f t="array" ref="F902">iferror(index(fatty_acid!$G:$G,match($A902,fatty_acid!$A:$A,0)))</f>
        <v>BFA30-68</v>
      </c>
      <c r="G902" t="str">
        <f t="array" ref="G902">iferror(index(fatty_acid!$J:$J,match($A902,fatty_acid!$A:$A,0)))</f>
        <v>N</v>
      </c>
      <c r="H902" t="str">
        <f t="array" ref="H902">iferror(index(isotopes!$G:$G,match($A902,isotopes!$A:$A,0)))</f>
        <v>BIS33-68</v>
      </c>
      <c r="I902" t="str">
        <f t="array" ref="I902">iferror(index(isotopes!$J:$J,match($A902,isotopes!$A:$A,0)))</f>
        <v>N</v>
      </c>
      <c r="J902" t="str">
        <f t="array" ref="J902">iferror(index(extra_muscle!$G:$G,match($A902,extra_muscle!$A:$A,0)))</f>
        <v>BXM31-68</v>
      </c>
      <c r="K902" t="str">
        <f t="array" ref="K902">iferror(index(extra_muscle!$J:$J,match($A902,extra_muscle!$A:$A,0)))</f>
        <v>N</v>
      </c>
      <c r="L902" s="59" t="str">
        <f t="array" ref="L902">iferror(index(dna!$G:$G,match($A902,dna!$A:$A,0)))</f>
        <v/>
      </c>
      <c r="M902" s="60" t="str">
        <f t="array" ref="M902">iferror(index(dna!$J:$J,match($A902,dna!$A:$A,0)))</f>
        <v/>
      </c>
      <c r="N902" t="str">
        <f t="array" ref="N902">iferror(index(stomachs!$G:$G,match($A902,stomachs!$A:$A,0)))</f>
        <v/>
      </c>
      <c r="O902" t="str">
        <f t="array" ref="O902">iferror(index(stomachs!$J:$J,match($A902,stomachs!$A:$A,0)))</f>
        <v/>
      </c>
      <c r="P902" t="str">
        <f t="array" ref="P902">iferror(index(sea_lice!$G:$G,match($A902,sea_lice!$A:$A,0)))</f>
        <v>BSL6-99</v>
      </c>
      <c r="Q902" t="str">
        <f t="array" ref="Q902">iferror(index(sea_lice!$J:$J,match($A902,sea_lice!$A:$A,0)))</f>
        <v>N</v>
      </c>
      <c r="R902" s="40" t="str">
        <f t="array" ref="R902">iferror(index(dissected_fish!$F:$F,match($A902,dissected_fish!$A:$A,0)))</f>
        <v>BCA108</v>
      </c>
      <c r="S902" s="40" t="str">
        <f t="array" ref="S902">iferror(index(dissected_fish!$K:$K,match($A902,dissected_fish!$A:$A,0)))</f>
        <v>N</v>
      </c>
      <c r="T902" s="61" t="str">
        <f t="array" ref="T902">index(fish_lab_data!O:O,match(A902,fish_lab_data!C:C,0))</f>
        <v>KB</v>
      </c>
      <c r="U902" s="61">
        <f t="array" ref="U902">if(A902="","",index(fish_lab_data!X:X,match(A902,fish_lab_data!C:C,0)))</f>
        <v>901</v>
      </c>
    </row>
    <row r="903">
      <c r="A903" t="str">
        <f>fish_lab_data!C903</f>
        <v>U16267</v>
      </c>
      <c r="B903" t="str">
        <f t="array" ref="B903">iferror(index('rna-muscle'!$I:$I,match($A903,'rna-muscle'!$A:$A,0)))</f>
        <v>BRN70M-E9</v>
      </c>
      <c r="C903" t="str">
        <f t="array" ref="C903">iferror(index('rna-muscle'!$L:$L,match($A903,'rna-muscle'!$A:$A,0)))</f>
        <v>N</v>
      </c>
      <c r="D903" t="str">
        <f t="array" ref="D903">iferror(index('rna-gill'!$I:$I,match($A903,'rna-gill'!$A:$A,0)))</f>
        <v>BRN70G-E9</v>
      </c>
      <c r="E903" t="str">
        <f t="array" ref="E903">iferror(index('rna-gill'!$L:$L,match($A903,'rna-gill'!$A:$A,0)))</f>
        <v>N</v>
      </c>
      <c r="F903" t="str">
        <f t="array" ref="F903">iferror(index(fatty_acid!$G:$G,match($A903,fatty_acid!$A:$A,0)))</f>
        <v>BFA30-69</v>
      </c>
      <c r="G903" t="str">
        <f t="array" ref="G903">iferror(index(fatty_acid!$J:$J,match($A903,fatty_acid!$A:$A,0)))</f>
        <v>N</v>
      </c>
      <c r="H903" t="str">
        <f t="array" ref="H903">iferror(index(isotopes!$G:$G,match($A903,isotopes!$A:$A,0)))</f>
        <v>BIS33-69</v>
      </c>
      <c r="I903" t="str">
        <f t="array" ref="I903">iferror(index(isotopes!$J:$J,match($A903,isotopes!$A:$A,0)))</f>
        <v>N</v>
      </c>
      <c r="J903" t="str">
        <f t="array" ref="J903">iferror(index(extra_muscle!$G:$G,match($A903,extra_muscle!$A:$A,0)))</f>
        <v>BXM31-69</v>
      </c>
      <c r="K903" t="str">
        <f t="array" ref="K903">iferror(index(extra_muscle!$J:$J,match($A903,extra_muscle!$A:$A,0)))</f>
        <v>N</v>
      </c>
      <c r="L903" s="59" t="str">
        <f t="array" ref="L903">iferror(index(dna!$G:$G,match($A903,dna!$A:$A,0)))</f>
        <v/>
      </c>
      <c r="M903" s="60" t="str">
        <f t="array" ref="M903">iferror(index(dna!$J:$J,match($A903,dna!$A:$A,0)))</f>
        <v/>
      </c>
      <c r="N903" t="str">
        <f t="array" ref="N903">iferror(index(stomachs!$G:$G,match($A903,stomachs!$A:$A,0)))</f>
        <v/>
      </c>
      <c r="O903" t="str">
        <f t="array" ref="O903">iferror(index(stomachs!$J:$J,match($A903,stomachs!$A:$A,0)))</f>
        <v/>
      </c>
      <c r="P903" t="str">
        <f t="array" ref="P903">iferror(index(sea_lice!$G:$G,match($A903,sea_lice!$A:$A,0)))</f>
        <v>BSL6-100</v>
      </c>
      <c r="Q903" t="str">
        <f t="array" ref="Q903">iferror(index(sea_lice!$J:$J,match($A903,sea_lice!$A:$A,0)))</f>
        <v>N</v>
      </c>
      <c r="R903" s="40" t="str">
        <f t="array" ref="R903">iferror(index(dissected_fish!$F:$F,match($A903,dissected_fish!$A:$A,0)))</f>
        <v>BCA108</v>
      </c>
      <c r="S903" s="40" t="str">
        <f t="array" ref="S903">iferror(index(dissected_fish!$K:$K,match($A903,dissected_fish!$A:$A,0)))</f>
        <v>N</v>
      </c>
      <c r="T903" s="61" t="str">
        <f t="array" ref="T903">index(fish_lab_data!O:O,match(A903,fish_lab_data!C:C,0))</f>
        <v>KB</v>
      </c>
      <c r="U903" s="61">
        <f t="array" ref="U903">if(A903="","",index(fish_lab_data!X:X,match(A903,fish_lab_data!C:C,0)))</f>
        <v>902</v>
      </c>
    </row>
    <row r="904">
      <c r="A904" t="str">
        <f>fish_lab_data!C904</f>
        <v>U17382</v>
      </c>
      <c r="B904" t="str">
        <f t="array" ref="B904">iferror(index('rna-muscle'!$I:$I,match($A904,'rna-muscle'!$A:$A,0)))</f>
        <v>BRN70M-D9</v>
      </c>
      <c r="C904" t="str">
        <f t="array" ref="C904">iferror(index('rna-muscle'!$L:$L,match($A904,'rna-muscle'!$A:$A,0)))</f>
        <v>N</v>
      </c>
      <c r="D904" t="str">
        <f t="array" ref="D904">iferror(index('rna-gill'!$I:$I,match($A904,'rna-gill'!$A:$A,0)))</f>
        <v>BRN70G-D9</v>
      </c>
      <c r="E904" t="str">
        <f t="array" ref="E904">iferror(index('rna-gill'!$L:$L,match($A904,'rna-gill'!$A:$A,0)))</f>
        <v>N</v>
      </c>
      <c r="F904" t="str">
        <f t="array" ref="F904">iferror(index(fatty_acid!$G:$G,match($A904,fatty_acid!$A:$A,0)))</f>
        <v>BFA30-70</v>
      </c>
      <c r="G904" t="str">
        <f t="array" ref="G904">iferror(index(fatty_acid!$J:$J,match($A904,fatty_acid!$A:$A,0)))</f>
        <v>N</v>
      </c>
      <c r="H904" t="str">
        <f t="array" ref="H904">iferror(index(isotopes!$G:$G,match($A904,isotopes!$A:$A,0)))</f>
        <v>BIS33-70</v>
      </c>
      <c r="I904" t="str">
        <f t="array" ref="I904">iferror(index(isotopes!$J:$J,match($A904,isotopes!$A:$A,0)))</f>
        <v>N</v>
      </c>
      <c r="J904" t="str">
        <f t="array" ref="J904">iferror(index(extra_muscle!$G:$G,match($A904,extra_muscle!$A:$A,0)))</f>
        <v>BXM31-70</v>
      </c>
      <c r="K904" t="str">
        <f t="array" ref="K904">iferror(index(extra_muscle!$J:$J,match($A904,extra_muscle!$A:$A,0)))</f>
        <v>N</v>
      </c>
      <c r="L904" s="59" t="str">
        <f t="array" ref="L904">iferror(index(dna!$G:$G,match($A904,dna!$A:$A,0)))</f>
        <v/>
      </c>
      <c r="M904" s="60" t="str">
        <f t="array" ref="M904">iferror(index(dna!$J:$J,match($A904,dna!$A:$A,0)))</f>
        <v/>
      </c>
      <c r="N904" t="str">
        <f t="array" ref="N904">iferror(index(stomachs!$G:$G,match($A904,stomachs!$A:$A,0)))</f>
        <v/>
      </c>
      <c r="O904" t="str">
        <f t="array" ref="O904">iferror(index(stomachs!$J:$J,match($A904,stomachs!$A:$A,0)))</f>
        <v/>
      </c>
      <c r="P904" t="str">
        <f t="array" ref="P904">iferror(index(sea_lice!$G:$G,match($A904,sea_lice!$A:$A,0)))</f>
        <v/>
      </c>
      <c r="Q904" t="str">
        <f t="array" ref="Q904">iferror(index(sea_lice!$J:$J,match($A904,sea_lice!$A:$A,0)))</f>
        <v/>
      </c>
      <c r="R904" s="40" t="str">
        <f t="array" ref="R904">iferror(index(dissected_fish!$F:$F,match($A904,dissected_fish!$A:$A,0)))</f>
        <v>BCA108</v>
      </c>
      <c r="S904" s="40" t="str">
        <f t="array" ref="S904">iferror(index(dissected_fish!$K:$K,match($A904,dissected_fish!$A:$A,0)))</f>
        <v>N</v>
      </c>
      <c r="T904" s="61" t="str">
        <f t="array" ref="T904">index(fish_lab_data!O:O,match(A904,fish_lab_data!C:C,0))</f>
        <v>KB</v>
      </c>
      <c r="U904" s="61">
        <f t="array" ref="U904">if(A904="","",index(fish_lab_data!X:X,match(A904,fish_lab_data!C:C,0)))</f>
        <v>903</v>
      </c>
    </row>
    <row r="905">
      <c r="A905" t="str">
        <f>fish_lab_data!C905</f>
        <v>U17381</v>
      </c>
      <c r="B905" t="str">
        <f t="array" ref="B905">iferror(index('rna-muscle'!$I:$I,match($A905,'rna-muscle'!$A:$A,0)))</f>
        <v>BRN70M-C9</v>
      </c>
      <c r="C905" t="str">
        <f t="array" ref="C905">iferror(index('rna-muscle'!$L:$L,match($A905,'rna-muscle'!$A:$A,0)))</f>
        <v>N</v>
      </c>
      <c r="D905" t="str">
        <f t="array" ref="D905">iferror(index('rna-gill'!$I:$I,match($A905,'rna-gill'!$A:$A,0)))</f>
        <v>BRN70G-C9</v>
      </c>
      <c r="E905" t="str">
        <f t="array" ref="E905">iferror(index('rna-gill'!$L:$L,match($A905,'rna-gill'!$A:$A,0)))</f>
        <v>N</v>
      </c>
      <c r="F905" t="str">
        <f t="array" ref="F905">iferror(index(fatty_acid!$G:$G,match($A905,fatty_acid!$A:$A,0)))</f>
        <v>BFA30-71</v>
      </c>
      <c r="G905" t="str">
        <f t="array" ref="G905">iferror(index(fatty_acid!$J:$J,match($A905,fatty_acid!$A:$A,0)))</f>
        <v>N</v>
      </c>
      <c r="H905" t="str">
        <f t="array" ref="H905">iferror(index(isotopes!$G:$G,match($A905,isotopes!$A:$A,0)))</f>
        <v>BIS33-71</v>
      </c>
      <c r="I905" t="str">
        <f t="array" ref="I905">iferror(index(isotopes!$J:$J,match($A905,isotopes!$A:$A,0)))</f>
        <v>N</v>
      </c>
      <c r="J905" t="str">
        <f t="array" ref="J905">iferror(index(extra_muscle!$G:$G,match($A905,extra_muscle!$A:$A,0)))</f>
        <v>BXM31-71</v>
      </c>
      <c r="K905" t="str">
        <f t="array" ref="K905">iferror(index(extra_muscle!$J:$J,match($A905,extra_muscle!$A:$A,0)))</f>
        <v>N</v>
      </c>
      <c r="L905" s="59" t="str">
        <f t="array" ref="L905">iferror(index(dna!$G:$G,match($A905,dna!$A:$A,0)))</f>
        <v/>
      </c>
      <c r="M905" s="60" t="str">
        <f t="array" ref="M905">iferror(index(dna!$J:$J,match($A905,dna!$A:$A,0)))</f>
        <v/>
      </c>
      <c r="N905" t="str">
        <f t="array" ref="N905">iferror(index(stomachs!$G:$G,match($A905,stomachs!$A:$A,0)))</f>
        <v/>
      </c>
      <c r="O905" t="str">
        <f t="array" ref="O905">iferror(index(stomachs!$J:$J,match($A905,stomachs!$A:$A,0)))</f>
        <v/>
      </c>
      <c r="P905" t="str">
        <f t="array" ref="P905">iferror(index(sea_lice!$G:$G,match($A905,sea_lice!$A:$A,0)))</f>
        <v>BSL2-61</v>
      </c>
      <c r="Q905" t="str">
        <f t="array" ref="Q905">iferror(index(sea_lice!$J:$J,match($A905,sea_lice!$A:$A,0)))</f>
        <v>N</v>
      </c>
      <c r="R905" s="40" t="str">
        <f t="array" ref="R905">iferror(index(dissected_fish!$F:$F,match($A905,dissected_fish!$A:$A,0)))</f>
        <v>BCA108</v>
      </c>
      <c r="S905" s="40" t="str">
        <f t="array" ref="S905">iferror(index(dissected_fish!$K:$K,match($A905,dissected_fish!$A:$A,0)))</f>
        <v>N</v>
      </c>
      <c r="T905" s="61" t="str">
        <f t="array" ref="T905">index(fish_lab_data!O:O,match(A905,fish_lab_data!C:C,0))</f>
        <v>KB</v>
      </c>
      <c r="U905" s="61">
        <f t="array" ref="U905">if(A905="","",index(fish_lab_data!X:X,match(A905,fish_lab_data!C:C,0)))</f>
        <v>904</v>
      </c>
    </row>
    <row r="906">
      <c r="A906" t="str">
        <f>fish_lab_data!C906</f>
        <v>U17383</v>
      </c>
      <c r="B906" t="str">
        <f t="array" ref="B906">iferror(index('rna-muscle'!$I:$I,match($A906,'rna-muscle'!$A:$A,0)))</f>
        <v>BRN70M-B9</v>
      </c>
      <c r="C906" t="str">
        <f t="array" ref="C906">iferror(index('rna-muscle'!$L:$L,match($A906,'rna-muscle'!$A:$A,0)))</f>
        <v>N</v>
      </c>
      <c r="D906" t="str">
        <f t="array" ref="D906">iferror(index('rna-gill'!$I:$I,match($A906,'rna-gill'!$A:$A,0)))</f>
        <v>BRN70G-B9</v>
      </c>
      <c r="E906" t="str">
        <f t="array" ref="E906">iferror(index('rna-gill'!$L:$L,match($A906,'rna-gill'!$A:$A,0)))</f>
        <v>N</v>
      </c>
      <c r="F906" t="str">
        <f t="array" ref="F906">iferror(index(fatty_acid!$G:$G,match($A906,fatty_acid!$A:$A,0)))</f>
        <v>BFA30-72</v>
      </c>
      <c r="G906" t="str">
        <f t="array" ref="G906">iferror(index(fatty_acid!$J:$J,match($A906,fatty_acid!$A:$A,0)))</f>
        <v>N</v>
      </c>
      <c r="H906" t="str">
        <f t="array" ref="H906">iferror(index(isotopes!$G:$G,match($A906,isotopes!$A:$A,0)))</f>
        <v>BIS33-72</v>
      </c>
      <c r="I906" t="str">
        <f t="array" ref="I906">iferror(index(isotopes!$J:$J,match($A906,isotopes!$A:$A,0)))</f>
        <v>N</v>
      </c>
      <c r="J906" t="str">
        <f t="array" ref="J906">iferror(index(extra_muscle!$G:$G,match($A906,extra_muscle!$A:$A,0)))</f>
        <v>BXM31-72</v>
      </c>
      <c r="K906" t="str">
        <f t="array" ref="K906">iferror(index(extra_muscle!$J:$J,match($A906,extra_muscle!$A:$A,0)))</f>
        <v>N</v>
      </c>
      <c r="L906" s="59" t="str">
        <f t="array" ref="L906">iferror(index(dna!$G:$G,match($A906,dna!$A:$A,0)))</f>
        <v/>
      </c>
      <c r="M906" s="60" t="str">
        <f t="array" ref="M906">iferror(index(dna!$J:$J,match($A906,dna!$A:$A,0)))</f>
        <v/>
      </c>
      <c r="N906" t="str">
        <f t="array" ref="N906">iferror(index(stomachs!$G:$G,match($A906,stomachs!$A:$A,0)))</f>
        <v/>
      </c>
      <c r="O906" t="str">
        <f t="array" ref="O906">iferror(index(stomachs!$J:$J,match($A906,stomachs!$A:$A,0)))</f>
        <v/>
      </c>
      <c r="P906" t="str">
        <f t="array" ref="P906">iferror(index(sea_lice!$G:$G,match($A906,sea_lice!$A:$A,0)))</f>
        <v/>
      </c>
      <c r="Q906" t="str">
        <f t="array" ref="Q906">iferror(index(sea_lice!$J:$J,match($A906,sea_lice!$A:$A,0)))</f>
        <v/>
      </c>
      <c r="R906" s="40" t="str">
        <f t="array" ref="R906">iferror(index(dissected_fish!$F:$F,match($A906,dissected_fish!$A:$A,0)))</f>
        <v>BCA108</v>
      </c>
      <c r="S906" s="40" t="str">
        <f t="array" ref="S906">iferror(index(dissected_fish!$K:$K,match($A906,dissected_fish!$A:$A,0)))</f>
        <v>N</v>
      </c>
      <c r="T906" s="61" t="str">
        <f t="array" ref="T906">index(fish_lab_data!O:O,match(A906,fish_lab_data!C:C,0))</f>
        <v>KB</v>
      </c>
      <c r="U906" s="61">
        <f t="array" ref="U906">if(A906="","",index(fish_lab_data!X:X,match(A906,fish_lab_data!C:C,0)))</f>
        <v>905</v>
      </c>
    </row>
    <row r="907">
      <c r="A907" t="str">
        <f>fish_lab_data!C907</f>
        <v>U17384</v>
      </c>
      <c r="B907" t="str">
        <f t="array" ref="B907">iferror(index('rna-muscle'!$I:$I,match($A907,'rna-muscle'!$A:$A,0)))</f>
        <v>BRN70M-A9</v>
      </c>
      <c r="C907" t="str">
        <f t="array" ref="C907">iferror(index('rna-muscle'!$L:$L,match($A907,'rna-muscle'!$A:$A,0)))</f>
        <v>N</v>
      </c>
      <c r="D907" t="str">
        <f t="array" ref="D907">iferror(index('rna-gill'!$I:$I,match($A907,'rna-gill'!$A:$A,0)))</f>
        <v>BRN70G-A9</v>
      </c>
      <c r="E907" t="str">
        <f t="array" ref="E907">iferror(index('rna-gill'!$L:$L,match($A907,'rna-gill'!$A:$A,0)))</f>
        <v>N</v>
      </c>
      <c r="F907" t="str">
        <f t="array" ref="F907">iferror(index(fatty_acid!$G:$G,match($A907,fatty_acid!$A:$A,0)))</f>
        <v>BFA30-73</v>
      </c>
      <c r="G907" t="str">
        <f t="array" ref="G907">iferror(index(fatty_acid!$J:$J,match($A907,fatty_acid!$A:$A,0)))</f>
        <v>N</v>
      </c>
      <c r="H907" t="str">
        <f t="array" ref="H907">iferror(index(isotopes!$G:$G,match($A907,isotopes!$A:$A,0)))</f>
        <v>BIS33-73</v>
      </c>
      <c r="I907" t="str">
        <f t="array" ref="I907">iferror(index(isotopes!$J:$J,match($A907,isotopes!$A:$A,0)))</f>
        <v>N</v>
      </c>
      <c r="J907" t="str">
        <f t="array" ref="J907">iferror(index(extra_muscle!$G:$G,match($A907,extra_muscle!$A:$A,0)))</f>
        <v>BXM31-73</v>
      </c>
      <c r="K907" t="str">
        <f t="array" ref="K907">iferror(index(extra_muscle!$J:$J,match($A907,extra_muscle!$A:$A,0)))</f>
        <v>N</v>
      </c>
      <c r="L907" s="59" t="str">
        <f t="array" ref="L907">iferror(index(dna!$G:$G,match($A907,dna!$A:$A,0)))</f>
        <v/>
      </c>
      <c r="M907" s="60" t="str">
        <f t="array" ref="M907">iferror(index(dna!$J:$J,match($A907,dna!$A:$A,0)))</f>
        <v/>
      </c>
      <c r="N907" t="str">
        <f t="array" ref="N907">iferror(index(stomachs!$G:$G,match($A907,stomachs!$A:$A,0)))</f>
        <v/>
      </c>
      <c r="O907" t="str">
        <f t="array" ref="O907">iferror(index(stomachs!$J:$J,match($A907,stomachs!$A:$A,0)))</f>
        <v/>
      </c>
      <c r="P907" t="str">
        <f t="array" ref="P907">iferror(index(sea_lice!$G:$G,match($A907,sea_lice!$A:$A,0)))</f>
        <v/>
      </c>
      <c r="Q907" t="str">
        <f t="array" ref="Q907">iferror(index(sea_lice!$J:$J,match($A907,sea_lice!$A:$A,0)))</f>
        <v/>
      </c>
      <c r="R907" s="40" t="str">
        <f t="array" ref="R907">iferror(index(dissected_fish!$F:$F,match($A907,dissected_fish!$A:$A,0)))</f>
        <v>BCA108</v>
      </c>
      <c r="S907" s="40" t="str">
        <f t="array" ref="S907">iferror(index(dissected_fish!$K:$K,match($A907,dissected_fish!$A:$A,0)))</f>
        <v>N</v>
      </c>
      <c r="T907" s="61" t="str">
        <f t="array" ref="T907">index(fish_lab_data!O:O,match(A907,fish_lab_data!C:C,0))</f>
        <v>KB</v>
      </c>
      <c r="U907" s="61">
        <f t="array" ref="U907">if(A907="","",index(fish_lab_data!X:X,match(A907,fish_lab_data!C:C,0)))</f>
        <v>906</v>
      </c>
    </row>
    <row r="908">
      <c r="A908" t="str">
        <f>fish_lab_data!C908</f>
        <v>U17385</v>
      </c>
      <c r="B908" t="str">
        <f t="array" ref="B908">iferror(index('rna-muscle'!$I:$I,match($A908,'rna-muscle'!$A:$A,0)))</f>
        <v>BRN70M-H11</v>
      </c>
      <c r="C908" t="str">
        <f t="array" ref="C908">iferror(index('rna-muscle'!$L:$L,match($A908,'rna-muscle'!$A:$A,0)))</f>
        <v>N</v>
      </c>
      <c r="D908" t="str">
        <f t="array" ref="D908">iferror(index('rna-gill'!$I:$I,match($A908,'rna-gill'!$A:$A,0)))</f>
        <v>BRN70G-H11</v>
      </c>
      <c r="E908" t="str">
        <f t="array" ref="E908">iferror(index('rna-gill'!$L:$L,match($A908,'rna-gill'!$A:$A,0)))</f>
        <v>N</v>
      </c>
      <c r="F908" t="str">
        <f t="array" ref="F908">iferror(index(fatty_acid!$G:$G,match($A908,fatty_acid!$A:$A,0)))</f>
        <v>BFA30-74</v>
      </c>
      <c r="G908" t="str">
        <f t="array" ref="G908">iferror(index(fatty_acid!$J:$J,match($A908,fatty_acid!$A:$A,0)))</f>
        <v>N</v>
      </c>
      <c r="H908" t="str">
        <f t="array" ref="H908">iferror(index(isotopes!$G:$G,match($A908,isotopes!$A:$A,0)))</f>
        <v>BIS33-74</v>
      </c>
      <c r="I908" t="str">
        <f t="array" ref="I908">iferror(index(isotopes!$J:$J,match($A908,isotopes!$A:$A,0)))</f>
        <v>N</v>
      </c>
      <c r="J908" t="str">
        <f t="array" ref="J908">iferror(index(extra_muscle!$G:$G,match($A908,extra_muscle!$A:$A,0)))</f>
        <v>BXM31-74</v>
      </c>
      <c r="K908" t="str">
        <f t="array" ref="K908">iferror(index(extra_muscle!$J:$J,match($A908,extra_muscle!$A:$A,0)))</f>
        <v>N</v>
      </c>
      <c r="L908" s="59" t="str">
        <f t="array" ref="L908">iferror(index(dna!$G:$G,match($A908,dna!$A:$A,0)))</f>
        <v/>
      </c>
      <c r="M908" s="60" t="str">
        <f t="array" ref="M908">iferror(index(dna!$J:$J,match($A908,dna!$A:$A,0)))</f>
        <v/>
      </c>
      <c r="N908" t="str">
        <f t="array" ref="N908">iferror(index(stomachs!$G:$G,match($A908,stomachs!$A:$A,0)))</f>
        <v/>
      </c>
      <c r="O908" t="str">
        <f t="array" ref="O908">iferror(index(stomachs!$J:$J,match($A908,stomachs!$A:$A,0)))</f>
        <v/>
      </c>
      <c r="P908" t="str">
        <f t="array" ref="P908">iferror(index(sea_lice!$G:$G,match($A908,sea_lice!$A:$A,0)))</f>
        <v/>
      </c>
      <c r="Q908" t="str">
        <f t="array" ref="Q908">iferror(index(sea_lice!$J:$J,match($A908,sea_lice!$A:$A,0)))</f>
        <v/>
      </c>
      <c r="R908" s="40" t="str">
        <f t="array" ref="R908">iferror(index(dissected_fish!$F:$F,match($A908,dissected_fish!$A:$A,0)))</f>
        <v>BCA108</v>
      </c>
      <c r="S908" s="40" t="str">
        <f t="array" ref="S908">iferror(index(dissected_fish!$K:$K,match($A908,dissected_fish!$A:$A,0)))</f>
        <v>N</v>
      </c>
      <c r="T908" s="61" t="str">
        <f t="array" ref="T908">index(fish_lab_data!O:O,match(A908,fish_lab_data!C:C,0))</f>
        <v>KB</v>
      </c>
      <c r="U908" s="61">
        <f t="array" ref="U908">if(A908="","",index(fish_lab_data!X:X,match(A908,fish_lab_data!C:C,0)))</f>
        <v>907</v>
      </c>
    </row>
    <row r="909">
      <c r="A909" t="str">
        <f>fish_lab_data!C909</f>
        <v>U17386</v>
      </c>
      <c r="B909" t="str">
        <f t="array" ref="B909">iferror(index('rna-muscle'!$I:$I,match($A909,'rna-muscle'!$A:$A,0)))</f>
        <v>BRN70M-G11</v>
      </c>
      <c r="C909" t="str">
        <f t="array" ref="C909">iferror(index('rna-muscle'!$L:$L,match($A909,'rna-muscle'!$A:$A,0)))</f>
        <v>N</v>
      </c>
      <c r="D909" t="str">
        <f t="array" ref="D909">iferror(index('rna-gill'!$I:$I,match($A909,'rna-gill'!$A:$A,0)))</f>
        <v>BRN70G-G11</v>
      </c>
      <c r="E909" t="str">
        <f t="array" ref="E909">iferror(index('rna-gill'!$L:$L,match($A909,'rna-gill'!$A:$A,0)))</f>
        <v>N</v>
      </c>
      <c r="F909" t="str">
        <f t="array" ref="F909">iferror(index(fatty_acid!$G:$G,match($A909,fatty_acid!$A:$A,0)))</f>
        <v>BFA30-75</v>
      </c>
      <c r="G909" t="str">
        <f t="array" ref="G909">iferror(index(fatty_acid!$J:$J,match($A909,fatty_acid!$A:$A,0)))</f>
        <v>N</v>
      </c>
      <c r="H909" t="str">
        <f t="array" ref="H909">iferror(index(isotopes!$G:$G,match($A909,isotopes!$A:$A,0)))</f>
        <v>BIS33-75</v>
      </c>
      <c r="I909" t="str">
        <f t="array" ref="I909">iferror(index(isotopes!$J:$J,match($A909,isotopes!$A:$A,0)))</f>
        <v>N</v>
      </c>
      <c r="J909" t="str">
        <f t="array" ref="J909">iferror(index(extra_muscle!$G:$G,match($A909,extra_muscle!$A:$A,0)))</f>
        <v>BXM31-75</v>
      </c>
      <c r="K909" t="str">
        <f t="array" ref="K909">iferror(index(extra_muscle!$J:$J,match($A909,extra_muscle!$A:$A,0)))</f>
        <v>N</v>
      </c>
      <c r="L909" s="59" t="str">
        <f t="array" ref="L909">iferror(index(dna!$G:$G,match($A909,dna!$A:$A,0)))</f>
        <v/>
      </c>
      <c r="M909" s="60" t="str">
        <f t="array" ref="M909">iferror(index(dna!$J:$J,match($A909,dna!$A:$A,0)))</f>
        <v/>
      </c>
      <c r="N909" t="str">
        <f t="array" ref="N909">iferror(index(stomachs!$G:$G,match($A909,stomachs!$A:$A,0)))</f>
        <v/>
      </c>
      <c r="O909" t="str">
        <f t="array" ref="O909">iferror(index(stomachs!$J:$J,match($A909,stomachs!$A:$A,0)))</f>
        <v/>
      </c>
      <c r="P909" t="str">
        <f t="array" ref="P909">iferror(index(sea_lice!$G:$G,match($A909,sea_lice!$A:$A,0)))</f>
        <v/>
      </c>
      <c r="Q909" t="str">
        <f t="array" ref="Q909">iferror(index(sea_lice!$J:$J,match($A909,sea_lice!$A:$A,0)))</f>
        <v/>
      </c>
      <c r="R909" s="40" t="str">
        <f t="array" ref="R909">iferror(index(dissected_fish!$F:$F,match($A909,dissected_fish!$A:$A,0)))</f>
        <v>BCA108</v>
      </c>
      <c r="S909" s="40" t="str">
        <f t="array" ref="S909">iferror(index(dissected_fish!$K:$K,match($A909,dissected_fish!$A:$A,0)))</f>
        <v>N</v>
      </c>
      <c r="T909" s="61" t="str">
        <f t="array" ref="T909">index(fish_lab_data!O:O,match(A909,fish_lab_data!C:C,0))</f>
        <v>KB</v>
      </c>
      <c r="U909" s="61">
        <f t="array" ref="U909">if(A909="","",index(fish_lab_data!X:X,match(A909,fish_lab_data!C:C,0)))</f>
        <v>908</v>
      </c>
    </row>
    <row r="910">
      <c r="A910" t="str">
        <f>fish_lab_data!C910</f>
        <v>U17388</v>
      </c>
      <c r="B910" t="str">
        <f t="array" ref="B910">iferror(index('rna-muscle'!$I:$I,match($A910,'rna-muscle'!$A:$A,0)))</f>
        <v>BRN70M-F11</v>
      </c>
      <c r="C910" t="str">
        <f t="array" ref="C910">iferror(index('rna-muscle'!$L:$L,match($A910,'rna-muscle'!$A:$A,0)))</f>
        <v>N</v>
      </c>
      <c r="D910" t="str">
        <f t="array" ref="D910">iferror(index('rna-gill'!$I:$I,match($A910,'rna-gill'!$A:$A,0)))</f>
        <v>BRN70G-F11</v>
      </c>
      <c r="E910" t="str">
        <f t="array" ref="E910">iferror(index('rna-gill'!$L:$L,match($A910,'rna-gill'!$A:$A,0)))</f>
        <v>N</v>
      </c>
      <c r="F910" t="str">
        <f t="array" ref="F910">iferror(index(fatty_acid!$G:$G,match($A910,fatty_acid!$A:$A,0)))</f>
        <v>BFA30-76</v>
      </c>
      <c r="G910" t="str">
        <f t="array" ref="G910">iferror(index(fatty_acid!$J:$J,match($A910,fatty_acid!$A:$A,0)))</f>
        <v>N</v>
      </c>
      <c r="H910" t="str">
        <f t="array" ref="H910">iferror(index(isotopes!$G:$G,match($A910,isotopes!$A:$A,0)))</f>
        <v>BIS33-76</v>
      </c>
      <c r="I910" t="str">
        <f t="array" ref="I910">iferror(index(isotopes!$J:$J,match($A910,isotopes!$A:$A,0)))</f>
        <v>N</v>
      </c>
      <c r="J910" t="str">
        <f t="array" ref="J910">iferror(index(extra_muscle!$G:$G,match($A910,extra_muscle!$A:$A,0)))</f>
        <v>BXM31-76</v>
      </c>
      <c r="K910" t="str">
        <f t="array" ref="K910">iferror(index(extra_muscle!$J:$J,match($A910,extra_muscle!$A:$A,0)))</f>
        <v>N</v>
      </c>
      <c r="L910" s="59" t="str">
        <f t="array" ref="L910">iferror(index(dna!$G:$G,match($A910,dna!$A:$A,0)))</f>
        <v/>
      </c>
      <c r="M910" s="60" t="str">
        <f t="array" ref="M910">iferror(index(dna!$J:$J,match($A910,dna!$A:$A,0)))</f>
        <v/>
      </c>
      <c r="N910" t="str">
        <f t="array" ref="N910">iferror(index(stomachs!$G:$G,match($A910,stomachs!$A:$A,0)))</f>
        <v/>
      </c>
      <c r="O910" t="str">
        <f t="array" ref="O910">iferror(index(stomachs!$J:$J,match($A910,stomachs!$A:$A,0)))</f>
        <v/>
      </c>
      <c r="P910" t="str">
        <f t="array" ref="P910">iferror(index(sea_lice!$G:$G,match($A910,sea_lice!$A:$A,0)))</f>
        <v/>
      </c>
      <c r="Q910" t="str">
        <f t="array" ref="Q910">iferror(index(sea_lice!$J:$J,match($A910,sea_lice!$A:$A,0)))</f>
        <v/>
      </c>
      <c r="R910" s="40" t="str">
        <f t="array" ref="R910">iferror(index(dissected_fish!$F:$F,match($A910,dissected_fish!$A:$A,0)))</f>
        <v>BCA108</v>
      </c>
      <c r="S910" s="40" t="str">
        <f t="array" ref="S910">iferror(index(dissected_fish!$K:$K,match($A910,dissected_fish!$A:$A,0)))</f>
        <v>N</v>
      </c>
      <c r="T910" s="61" t="str">
        <f t="array" ref="T910">index(fish_lab_data!O:O,match(A910,fish_lab_data!C:C,0))</f>
        <v>KB</v>
      </c>
      <c r="U910" s="61">
        <f t="array" ref="U910">if(A910="","",index(fish_lab_data!X:X,match(A910,fish_lab_data!C:C,0)))</f>
        <v>909</v>
      </c>
    </row>
    <row r="911">
      <c r="A911" t="str">
        <f>fish_lab_data!C911</f>
        <v>U17389</v>
      </c>
      <c r="B911" t="str">
        <f t="array" ref="B911">iferror(index('rna-muscle'!$I:$I,match($A911,'rna-muscle'!$A:$A,0)))</f>
        <v>BRN70M-E11</v>
      </c>
      <c r="C911" t="str">
        <f t="array" ref="C911">iferror(index('rna-muscle'!$L:$L,match($A911,'rna-muscle'!$A:$A,0)))</f>
        <v>N</v>
      </c>
      <c r="D911" t="str">
        <f t="array" ref="D911">iferror(index('rna-gill'!$I:$I,match($A911,'rna-gill'!$A:$A,0)))</f>
        <v>BRN70G-E11</v>
      </c>
      <c r="E911" t="str">
        <f t="array" ref="E911">iferror(index('rna-gill'!$L:$L,match($A911,'rna-gill'!$A:$A,0)))</f>
        <v>N</v>
      </c>
      <c r="F911" t="str">
        <f t="array" ref="F911">iferror(index(fatty_acid!$G:$G,match($A911,fatty_acid!$A:$A,0)))</f>
        <v>BFA30-77</v>
      </c>
      <c r="G911" t="str">
        <f t="array" ref="G911">iferror(index(fatty_acid!$J:$J,match($A911,fatty_acid!$A:$A,0)))</f>
        <v>N</v>
      </c>
      <c r="H911" t="str">
        <f t="array" ref="H911">iferror(index(isotopes!$G:$G,match($A911,isotopes!$A:$A,0)))</f>
        <v>BIS33-77</v>
      </c>
      <c r="I911" t="str">
        <f t="array" ref="I911">iferror(index(isotopes!$J:$J,match($A911,isotopes!$A:$A,0)))</f>
        <v>N</v>
      </c>
      <c r="J911" t="str">
        <f t="array" ref="J911">iferror(index(extra_muscle!$G:$G,match($A911,extra_muscle!$A:$A,0)))</f>
        <v>BXM31-77</v>
      </c>
      <c r="K911" t="str">
        <f t="array" ref="K911">iferror(index(extra_muscle!$J:$J,match($A911,extra_muscle!$A:$A,0)))</f>
        <v>N</v>
      </c>
      <c r="L911" s="59" t="str">
        <f t="array" ref="L911">iferror(index(dna!$G:$G,match($A911,dna!$A:$A,0)))</f>
        <v/>
      </c>
      <c r="M911" s="60" t="str">
        <f t="array" ref="M911">iferror(index(dna!$J:$J,match($A911,dna!$A:$A,0)))</f>
        <v/>
      </c>
      <c r="N911" t="str">
        <f t="array" ref="N911">iferror(index(stomachs!$G:$G,match($A911,stomachs!$A:$A,0)))</f>
        <v/>
      </c>
      <c r="O911" t="str">
        <f t="array" ref="O911">iferror(index(stomachs!$J:$J,match($A911,stomachs!$A:$A,0)))</f>
        <v/>
      </c>
      <c r="P911" t="str">
        <f t="array" ref="P911">iferror(index(sea_lice!$G:$G,match($A911,sea_lice!$A:$A,0)))</f>
        <v>BSL2-63</v>
      </c>
      <c r="Q911" t="str">
        <f t="array" ref="Q911">iferror(index(sea_lice!$J:$J,match($A911,sea_lice!$A:$A,0)))</f>
        <v>N</v>
      </c>
      <c r="R911" s="40" t="str">
        <f t="array" ref="R911">iferror(index(dissected_fish!$F:$F,match($A911,dissected_fish!$A:$A,0)))</f>
        <v>BCA108</v>
      </c>
      <c r="S911" s="40" t="str">
        <f t="array" ref="S911">iferror(index(dissected_fish!$K:$K,match($A911,dissected_fish!$A:$A,0)))</f>
        <v>N</v>
      </c>
      <c r="T911" s="61" t="str">
        <f t="array" ref="T911">index(fish_lab_data!O:O,match(A911,fish_lab_data!C:C,0))</f>
        <v>KB</v>
      </c>
      <c r="U911" s="61">
        <f t="array" ref="U911">if(A911="","",index(fish_lab_data!X:X,match(A911,fish_lab_data!C:C,0)))</f>
        <v>910</v>
      </c>
    </row>
    <row r="912">
      <c r="A912" t="str">
        <f>fish_lab_data!C912</f>
        <v>U17387</v>
      </c>
      <c r="B912" t="str">
        <f t="array" ref="B912">iferror(index('rna-muscle'!$I:$I,match($A912,'rna-muscle'!$A:$A,0)))</f>
        <v>BRN70M-D11</v>
      </c>
      <c r="C912" t="str">
        <f t="array" ref="C912">iferror(index('rna-muscle'!$L:$L,match($A912,'rna-muscle'!$A:$A,0)))</f>
        <v>N</v>
      </c>
      <c r="D912" t="str">
        <f t="array" ref="D912">iferror(index('rna-gill'!$I:$I,match($A912,'rna-gill'!$A:$A,0)))</f>
        <v>BRN70G-D11</v>
      </c>
      <c r="E912" t="str">
        <f t="array" ref="E912">iferror(index('rna-gill'!$L:$L,match($A912,'rna-gill'!$A:$A,0)))</f>
        <v>N</v>
      </c>
      <c r="F912" t="str">
        <f t="array" ref="F912">iferror(index(fatty_acid!$G:$G,match($A912,fatty_acid!$A:$A,0)))</f>
        <v>BFA30-78</v>
      </c>
      <c r="G912" t="str">
        <f t="array" ref="G912">iferror(index(fatty_acid!$J:$J,match($A912,fatty_acid!$A:$A,0)))</f>
        <v>N</v>
      </c>
      <c r="H912" t="str">
        <f t="array" ref="H912">iferror(index(isotopes!$G:$G,match($A912,isotopes!$A:$A,0)))</f>
        <v>BIS33-78</v>
      </c>
      <c r="I912" t="str">
        <f t="array" ref="I912">iferror(index(isotopes!$J:$J,match($A912,isotopes!$A:$A,0)))</f>
        <v>N</v>
      </c>
      <c r="J912" t="str">
        <f t="array" ref="J912">iferror(index(extra_muscle!$G:$G,match($A912,extra_muscle!$A:$A,0)))</f>
        <v>BXM31-78</v>
      </c>
      <c r="K912" t="str">
        <f t="array" ref="K912">iferror(index(extra_muscle!$J:$J,match($A912,extra_muscle!$A:$A,0)))</f>
        <v>N</v>
      </c>
      <c r="L912" s="59" t="str">
        <f t="array" ref="L912">iferror(index(dna!$G:$G,match($A912,dna!$A:$A,0)))</f>
        <v/>
      </c>
      <c r="M912" s="60" t="str">
        <f t="array" ref="M912">iferror(index(dna!$J:$J,match($A912,dna!$A:$A,0)))</f>
        <v/>
      </c>
      <c r="N912" t="str">
        <f t="array" ref="N912">iferror(index(stomachs!$G:$G,match($A912,stomachs!$A:$A,0)))</f>
        <v/>
      </c>
      <c r="O912" t="str">
        <f t="array" ref="O912">iferror(index(stomachs!$J:$J,match($A912,stomachs!$A:$A,0)))</f>
        <v/>
      </c>
      <c r="P912" t="str">
        <f t="array" ref="P912">iferror(index(sea_lice!$G:$G,match($A912,sea_lice!$A:$A,0)))</f>
        <v/>
      </c>
      <c r="Q912" t="str">
        <f t="array" ref="Q912">iferror(index(sea_lice!$J:$J,match($A912,sea_lice!$A:$A,0)))</f>
        <v/>
      </c>
      <c r="R912" s="40" t="str">
        <f t="array" ref="R912">iferror(index(dissected_fish!$F:$F,match($A912,dissected_fish!$A:$A,0)))</f>
        <v>BCA108</v>
      </c>
      <c r="S912" s="40" t="str">
        <f t="array" ref="S912">iferror(index(dissected_fish!$K:$K,match($A912,dissected_fish!$A:$A,0)))</f>
        <v>N</v>
      </c>
      <c r="T912" s="61" t="str">
        <f t="array" ref="T912">index(fish_lab_data!O:O,match(A912,fish_lab_data!C:C,0))</f>
        <v>KB</v>
      </c>
      <c r="U912" s="61">
        <f t="array" ref="U912">if(A912="","",index(fish_lab_data!X:X,match(A912,fish_lab_data!C:C,0)))</f>
        <v>911</v>
      </c>
    </row>
    <row r="913">
      <c r="A913" t="str">
        <f>fish_lab_data!C913</f>
        <v>U17390</v>
      </c>
      <c r="B913" t="str">
        <f t="array" ref="B913">iferror(index('rna-muscle'!$I:$I,match($A913,'rna-muscle'!$A:$A,0)))</f>
        <v>BRN70M-C11</v>
      </c>
      <c r="C913" t="str">
        <f t="array" ref="C913">iferror(index('rna-muscle'!$L:$L,match($A913,'rna-muscle'!$A:$A,0)))</f>
        <v>N</v>
      </c>
      <c r="D913" t="str">
        <f t="array" ref="D913">iferror(index('rna-gill'!$I:$I,match($A913,'rna-gill'!$A:$A,0)))</f>
        <v>BRN70G-C11</v>
      </c>
      <c r="E913" t="str">
        <f t="array" ref="E913">iferror(index('rna-gill'!$L:$L,match($A913,'rna-gill'!$A:$A,0)))</f>
        <v>N</v>
      </c>
      <c r="F913" t="str">
        <f t="array" ref="F913">iferror(index(fatty_acid!$G:$G,match($A913,fatty_acid!$A:$A,0)))</f>
        <v>BFA30-79</v>
      </c>
      <c r="G913" t="str">
        <f t="array" ref="G913">iferror(index(fatty_acid!$J:$J,match($A913,fatty_acid!$A:$A,0)))</f>
        <v>N</v>
      </c>
      <c r="H913" t="str">
        <f t="array" ref="H913">iferror(index(isotopes!$G:$G,match($A913,isotopes!$A:$A,0)))</f>
        <v>BIS33-79</v>
      </c>
      <c r="I913" t="str">
        <f t="array" ref="I913">iferror(index(isotopes!$J:$J,match($A913,isotopes!$A:$A,0)))</f>
        <v>N</v>
      </c>
      <c r="J913" t="str">
        <f t="array" ref="J913">iferror(index(extra_muscle!$G:$G,match($A913,extra_muscle!$A:$A,0)))</f>
        <v>BXM31-79</v>
      </c>
      <c r="K913" t="str">
        <f t="array" ref="K913">iferror(index(extra_muscle!$J:$J,match($A913,extra_muscle!$A:$A,0)))</f>
        <v>N</v>
      </c>
      <c r="L913" s="59" t="str">
        <f t="array" ref="L913">iferror(index(dna!$G:$G,match($A913,dna!$A:$A,0)))</f>
        <v/>
      </c>
      <c r="M913" s="60" t="str">
        <f t="array" ref="M913">iferror(index(dna!$J:$J,match($A913,dna!$A:$A,0)))</f>
        <v/>
      </c>
      <c r="N913" t="str">
        <f t="array" ref="N913">iferror(index(stomachs!$G:$G,match($A913,stomachs!$A:$A,0)))</f>
        <v/>
      </c>
      <c r="O913" t="str">
        <f t="array" ref="O913">iferror(index(stomachs!$J:$J,match($A913,stomachs!$A:$A,0)))</f>
        <v/>
      </c>
      <c r="P913" t="str">
        <f t="array" ref="P913">iferror(index(sea_lice!$G:$G,match($A913,sea_lice!$A:$A,0)))</f>
        <v/>
      </c>
      <c r="Q913" t="str">
        <f t="array" ref="Q913">iferror(index(sea_lice!$J:$J,match($A913,sea_lice!$A:$A,0)))</f>
        <v/>
      </c>
      <c r="R913" s="40" t="str">
        <f t="array" ref="R913">iferror(index(dissected_fish!$F:$F,match($A913,dissected_fish!$A:$A,0)))</f>
        <v>BCA108</v>
      </c>
      <c r="S913" s="40" t="str">
        <f t="array" ref="S913">iferror(index(dissected_fish!$K:$K,match($A913,dissected_fish!$A:$A,0)))</f>
        <v>N</v>
      </c>
      <c r="T913" s="61" t="str">
        <f t="array" ref="T913">index(fish_lab_data!O:O,match(A913,fish_lab_data!C:C,0))</f>
        <v>KB</v>
      </c>
      <c r="U913" s="61">
        <f t="array" ref="U913">if(A913="","",index(fish_lab_data!X:X,match(A913,fish_lab_data!C:C,0)))</f>
        <v>912</v>
      </c>
    </row>
    <row r="914">
      <c r="A914" t="str">
        <f>fish_lab_data!C914</f>
        <v>U17711</v>
      </c>
      <c r="B914" t="str">
        <f t="array" ref="B914">iferror(index('rna-muscle'!$I:$I,match($A914,'rna-muscle'!$A:$A,0)))</f>
        <v>BRN70M-B11</v>
      </c>
      <c r="C914" t="str">
        <f t="array" ref="C914">iferror(index('rna-muscle'!$L:$L,match($A914,'rna-muscle'!$A:$A,0)))</f>
        <v>N</v>
      </c>
      <c r="D914" t="str">
        <f t="array" ref="D914">iferror(index('rna-gill'!$I:$I,match($A914,'rna-gill'!$A:$A,0)))</f>
        <v>BRN70G-B11</v>
      </c>
      <c r="E914" t="str">
        <f t="array" ref="E914">iferror(index('rna-gill'!$L:$L,match($A914,'rna-gill'!$A:$A,0)))</f>
        <v>N</v>
      </c>
      <c r="F914" t="str">
        <f t="array" ref="F914">iferror(index(fatty_acid!$G:$G,match($A914,fatty_acid!$A:$A,0)))</f>
        <v>BFA30-80</v>
      </c>
      <c r="G914" t="str">
        <f t="array" ref="G914">iferror(index(fatty_acid!$J:$J,match($A914,fatty_acid!$A:$A,0)))</f>
        <v>N</v>
      </c>
      <c r="H914" t="str">
        <f t="array" ref="H914">iferror(index(isotopes!$G:$G,match($A914,isotopes!$A:$A,0)))</f>
        <v>BIS33-80</v>
      </c>
      <c r="I914" t="str">
        <f t="array" ref="I914">iferror(index(isotopes!$J:$J,match($A914,isotopes!$A:$A,0)))</f>
        <v>N</v>
      </c>
      <c r="J914" t="str">
        <f t="array" ref="J914">iferror(index(extra_muscle!$G:$G,match($A914,extra_muscle!$A:$A,0)))</f>
        <v>BXM31-80</v>
      </c>
      <c r="K914" t="str">
        <f t="array" ref="K914">iferror(index(extra_muscle!$J:$J,match($A914,extra_muscle!$A:$A,0)))</f>
        <v>N</v>
      </c>
      <c r="L914" s="59" t="str">
        <f t="array" ref="L914">iferror(index(dna!$G:$G,match($A914,dna!$A:$A,0)))</f>
        <v/>
      </c>
      <c r="M914" s="60" t="str">
        <f t="array" ref="M914">iferror(index(dna!$J:$J,match($A914,dna!$A:$A,0)))</f>
        <v/>
      </c>
      <c r="N914" t="str">
        <f t="array" ref="N914">iferror(index(stomachs!$G:$G,match($A914,stomachs!$A:$A,0)))</f>
        <v/>
      </c>
      <c r="O914" t="str">
        <f t="array" ref="O914">iferror(index(stomachs!$J:$J,match($A914,stomachs!$A:$A,0)))</f>
        <v/>
      </c>
      <c r="P914" t="str">
        <f t="array" ref="P914">iferror(index(sea_lice!$G:$G,match($A914,sea_lice!$A:$A,0)))</f>
        <v>BSL7-5</v>
      </c>
      <c r="Q914" t="str">
        <f t="array" ref="Q914">iferror(index(sea_lice!$J:$J,match($A914,sea_lice!$A:$A,0)))</f>
        <v>N</v>
      </c>
      <c r="R914" s="40" t="str">
        <f t="array" ref="R914">iferror(index(dissected_fish!$F:$F,match($A914,dissected_fish!$A:$A,0)))</f>
        <v>BCA108</v>
      </c>
      <c r="S914" s="40" t="str">
        <f t="array" ref="S914">iferror(index(dissected_fish!$K:$K,match($A914,dissected_fish!$A:$A,0)))</f>
        <v>N</v>
      </c>
      <c r="T914" s="61" t="str">
        <f t="array" ref="T914">index(fish_lab_data!O:O,match(A914,fish_lab_data!C:C,0))</f>
        <v>KB</v>
      </c>
      <c r="U914" s="61">
        <f t="array" ref="U914">if(A914="","",index(fish_lab_data!X:X,match(A914,fish_lab_data!C:C,0)))</f>
        <v>913</v>
      </c>
    </row>
    <row r="915">
      <c r="A915" t="str">
        <f>fish_lab_data!C915</f>
        <v>U17715</v>
      </c>
      <c r="B915" t="str">
        <f t="array" ref="B915">iferror(index('rna-muscle'!$I:$I,match($A915,'rna-muscle'!$A:$A,0)))</f>
        <v>BRN70M-A11</v>
      </c>
      <c r="C915" t="str">
        <f t="array" ref="C915">iferror(index('rna-muscle'!$L:$L,match($A915,'rna-muscle'!$A:$A,0)))</f>
        <v>N</v>
      </c>
      <c r="D915" t="str">
        <f t="array" ref="D915">iferror(index('rna-gill'!$I:$I,match($A915,'rna-gill'!$A:$A,0)))</f>
        <v>BRN70G-A11</v>
      </c>
      <c r="E915" t="str">
        <f t="array" ref="E915">iferror(index('rna-gill'!$L:$L,match($A915,'rna-gill'!$A:$A,0)))</f>
        <v>N</v>
      </c>
      <c r="F915" t="str">
        <f t="array" ref="F915">iferror(index(fatty_acid!$G:$G,match($A915,fatty_acid!$A:$A,0)))</f>
        <v>BFA30-81</v>
      </c>
      <c r="G915" t="str">
        <f t="array" ref="G915">iferror(index(fatty_acid!$J:$J,match($A915,fatty_acid!$A:$A,0)))</f>
        <v>N</v>
      </c>
      <c r="H915" t="str">
        <f t="array" ref="H915">iferror(index(isotopes!$G:$G,match($A915,isotopes!$A:$A,0)))</f>
        <v>BIS33-81</v>
      </c>
      <c r="I915" t="str">
        <f t="array" ref="I915">iferror(index(isotopes!$J:$J,match($A915,isotopes!$A:$A,0)))</f>
        <v>N</v>
      </c>
      <c r="J915" t="str">
        <f t="array" ref="J915">iferror(index(extra_muscle!$G:$G,match($A915,extra_muscle!$A:$A,0)))</f>
        <v>BXM31-81</v>
      </c>
      <c r="K915" t="str">
        <f t="array" ref="K915">iferror(index(extra_muscle!$J:$J,match($A915,extra_muscle!$A:$A,0)))</f>
        <v>N</v>
      </c>
      <c r="L915" s="59" t="str">
        <f t="array" ref="L915">iferror(index(dna!$G:$G,match($A915,dna!$A:$A,0)))</f>
        <v/>
      </c>
      <c r="M915" s="60" t="str">
        <f t="array" ref="M915">iferror(index(dna!$J:$J,match($A915,dna!$A:$A,0)))</f>
        <v/>
      </c>
      <c r="N915" t="str">
        <f t="array" ref="N915">iferror(index(stomachs!$G:$G,match($A915,stomachs!$A:$A,0)))</f>
        <v/>
      </c>
      <c r="O915" t="str">
        <f t="array" ref="O915">iferror(index(stomachs!$J:$J,match($A915,stomachs!$A:$A,0)))</f>
        <v/>
      </c>
      <c r="P915" t="str">
        <f t="array" ref="P915">iferror(index(sea_lice!$G:$G,match($A915,sea_lice!$A:$A,0)))</f>
        <v/>
      </c>
      <c r="Q915" t="str">
        <f t="array" ref="Q915">iferror(index(sea_lice!$J:$J,match($A915,sea_lice!$A:$A,0)))</f>
        <v/>
      </c>
      <c r="R915" s="40" t="str">
        <f t="array" ref="R915">iferror(index(dissected_fish!$F:$F,match($A915,dissected_fish!$A:$A,0)))</f>
        <v>BCA108</v>
      </c>
      <c r="S915" s="40" t="str">
        <f t="array" ref="S915">iferror(index(dissected_fish!$K:$K,match($A915,dissected_fish!$A:$A,0)))</f>
        <v>N</v>
      </c>
      <c r="T915" s="61" t="str">
        <f t="array" ref="T915">index(fish_lab_data!O:O,match(A915,fish_lab_data!C:C,0))</f>
        <v>KB</v>
      </c>
      <c r="U915" s="61">
        <f t="array" ref="U915">if(A915="","",index(fish_lab_data!X:X,match(A915,fish_lab_data!C:C,0)))</f>
        <v>914</v>
      </c>
    </row>
    <row r="916">
      <c r="A916" t="str">
        <f>fish_lab_data!C916</f>
        <v>U17717</v>
      </c>
      <c r="B916" t="str">
        <f t="array" ref="B916">iferror(index('rna-muscle'!$I:$I,match($A916,'rna-muscle'!$A:$A,0)))</f>
        <v>BRN71M-H1</v>
      </c>
      <c r="C916" t="str">
        <f t="array" ref="C916">iferror(index('rna-muscle'!$L:$L,match($A916,'rna-muscle'!$A:$A,0)))</f>
        <v>N</v>
      </c>
      <c r="D916" t="str">
        <f t="array" ref="D916">iferror(index('rna-gill'!$I:$I,match($A916,'rna-gill'!$A:$A,0)))</f>
        <v>BRN71G-H1</v>
      </c>
      <c r="E916" t="str">
        <f t="array" ref="E916">iferror(index('rna-gill'!$L:$L,match($A916,'rna-gill'!$A:$A,0)))</f>
        <v>N</v>
      </c>
      <c r="F916" t="str">
        <f t="array" ref="F916">iferror(index(fatty_acid!$G:$G,match($A916,fatty_acid!$A:$A,0)))</f>
        <v>BFA32-1</v>
      </c>
      <c r="G916" t="str">
        <f t="array" ref="G916">iferror(index(fatty_acid!$J:$J,match($A916,fatty_acid!$A:$A,0)))</f>
        <v>N</v>
      </c>
      <c r="H916" t="str">
        <f t="array" ref="H916">iferror(index(isotopes!$G:$G,match($A916,isotopes!$A:$A,0)))</f>
        <v>BIS35-1</v>
      </c>
      <c r="I916" t="str">
        <f t="array" ref="I916">iferror(index(isotopes!$J:$J,match($A916,isotopes!$A:$A,0)))</f>
        <v>N</v>
      </c>
      <c r="J916" t="str">
        <f t="array" ref="J916">iferror(index(extra_muscle!$G:$G,match($A916,extra_muscle!$A:$A,0)))</f>
        <v>BXM33-1</v>
      </c>
      <c r="K916" t="str">
        <f t="array" ref="K916">iferror(index(extra_muscle!$J:$J,match($A916,extra_muscle!$A:$A,0)))</f>
        <v>N</v>
      </c>
      <c r="L916" s="59" t="str">
        <f t="array" ref="L916">iferror(index(dna!$G:$G,match($A916,dna!$A:$A,0)))</f>
        <v/>
      </c>
      <c r="M916" s="60" t="str">
        <f t="array" ref="M916">iferror(index(dna!$J:$J,match($A916,dna!$A:$A,0)))</f>
        <v/>
      </c>
      <c r="N916" t="str">
        <f t="array" ref="N916">iferror(index(stomachs!$G:$G,match($A916,stomachs!$A:$A,0)))</f>
        <v/>
      </c>
      <c r="O916" t="str">
        <f t="array" ref="O916">iferror(index(stomachs!$J:$J,match($A916,stomachs!$A:$A,0)))</f>
        <v/>
      </c>
      <c r="P916" t="str">
        <f t="array" ref="P916">iferror(index(sea_lice!$G:$G,match($A916,sea_lice!$A:$A,0)))</f>
        <v>BSL7-9</v>
      </c>
      <c r="Q916" t="str">
        <f t="array" ref="Q916">iferror(index(sea_lice!$J:$J,match($A916,sea_lice!$A:$A,0)))</f>
        <v>N</v>
      </c>
      <c r="R916" s="40" t="str">
        <f t="array" ref="R916">iferror(index(dissected_fish!$F:$F,match($A916,dissected_fish!$A:$A,0)))</f>
        <v>BCA108</v>
      </c>
      <c r="S916" s="40" t="str">
        <f t="array" ref="S916">iferror(index(dissected_fish!$K:$K,match($A916,dissected_fish!$A:$A,0)))</f>
        <v>N</v>
      </c>
      <c r="T916" s="61" t="str">
        <f t="array" ref="T916">index(fish_lab_data!O:O,match(A916,fish_lab_data!C:C,0))</f>
        <v>KB</v>
      </c>
      <c r="U916" s="61">
        <f t="array" ref="U916">if(A916="","",index(fish_lab_data!X:X,match(A916,fish_lab_data!C:C,0)))</f>
        <v>915</v>
      </c>
    </row>
    <row r="917">
      <c r="A917" t="str">
        <f>fish_lab_data!C917</f>
        <v>U17719</v>
      </c>
      <c r="B917" t="str">
        <f t="array" ref="B917">iferror(index('rna-muscle'!$I:$I,match($A917,'rna-muscle'!$A:$A,0)))</f>
        <v>BRN71M-G1</v>
      </c>
      <c r="C917" t="str">
        <f t="array" ref="C917">iferror(index('rna-muscle'!$L:$L,match($A917,'rna-muscle'!$A:$A,0)))</f>
        <v>N</v>
      </c>
      <c r="D917" t="str">
        <f t="array" ref="D917">iferror(index('rna-gill'!$I:$I,match($A917,'rna-gill'!$A:$A,0)))</f>
        <v>BRN71G-G1</v>
      </c>
      <c r="E917" t="str">
        <f t="array" ref="E917">iferror(index('rna-gill'!$L:$L,match($A917,'rna-gill'!$A:$A,0)))</f>
        <v>N</v>
      </c>
      <c r="F917" t="str">
        <f t="array" ref="F917">iferror(index(fatty_acid!$G:$G,match($A917,fatty_acid!$A:$A,0)))</f>
        <v>BFA32-2</v>
      </c>
      <c r="G917" t="str">
        <f t="array" ref="G917">iferror(index(fatty_acid!$J:$J,match($A917,fatty_acid!$A:$A,0)))</f>
        <v>N</v>
      </c>
      <c r="H917" t="str">
        <f t="array" ref="H917">iferror(index(isotopes!$G:$G,match($A917,isotopes!$A:$A,0)))</f>
        <v>BIS35-2</v>
      </c>
      <c r="I917" t="str">
        <f t="array" ref="I917">iferror(index(isotopes!$J:$J,match($A917,isotopes!$A:$A,0)))</f>
        <v>N</v>
      </c>
      <c r="J917" t="str">
        <f t="array" ref="J917">iferror(index(extra_muscle!$G:$G,match($A917,extra_muscle!$A:$A,0)))</f>
        <v>BXM33-2</v>
      </c>
      <c r="K917" t="str">
        <f t="array" ref="K917">iferror(index(extra_muscle!$J:$J,match($A917,extra_muscle!$A:$A,0)))</f>
        <v>N</v>
      </c>
      <c r="L917" s="59" t="str">
        <f t="array" ref="L917">iferror(index(dna!$G:$G,match($A917,dna!$A:$A,0)))</f>
        <v/>
      </c>
      <c r="M917" s="60" t="str">
        <f t="array" ref="M917">iferror(index(dna!$J:$J,match($A917,dna!$A:$A,0)))</f>
        <v/>
      </c>
      <c r="N917" t="str">
        <f t="array" ref="N917">iferror(index(stomachs!$G:$G,match($A917,stomachs!$A:$A,0)))</f>
        <v/>
      </c>
      <c r="O917" t="str">
        <f t="array" ref="O917">iferror(index(stomachs!$J:$J,match($A917,stomachs!$A:$A,0)))</f>
        <v/>
      </c>
      <c r="P917" t="str">
        <f t="array" ref="P917">iferror(index(sea_lice!$G:$G,match($A917,sea_lice!$A:$A,0)))</f>
        <v/>
      </c>
      <c r="Q917" t="str">
        <f t="array" ref="Q917">iferror(index(sea_lice!$J:$J,match($A917,sea_lice!$A:$A,0)))</f>
        <v/>
      </c>
      <c r="R917" s="40" t="str">
        <f t="array" ref="R917">iferror(index(dissected_fish!$F:$F,match($A917,dissected_fish!$A:$A,0)))</f>
        <v>BCA108</v>
      </c>
      <c r="S917" s="40" t="str">
        <f t="array" ref="S917">iferror(index(dissected_fish!$K:$K,match($A917,dissected_fish!$A:$A,0)))</f>
        <v>N</v>
      </c>
      <c r="T917" s="61" t="str">
        <f t="array" ref="T917">index(fish_lab_data!O:O,match(A917,fish_lab_data!C:C,0))</f>
        <v>KB</v>
      </c>
      <c r="U917" s="61">
        <f t="array" ref="U917">if(A917="","",index(fish_lab_data!X:X,match(A917,fish_lab_data!C:C,0)))</f>
        <v>916</v>
      </c>
    </row>
    <row r="918">
      <c r="A918" t="str">
        <f>fish_lab_data!C918</f>
        <v>U17713</v>
      </c>
      <c r="B918" t="str">
        <f t="array" ref="B918">iferror(index('rna-muscle'!$I:$I,match($A918,'rna-muscle'!$A:$A,0)))</f>
        <v>BRN71M-F1</v>
      </c>
      <c r="C918" t="str">
        <f t="array" ref="C918">iferror(index('rna-muscle'!$L:$L,match($A918,'rna-muscle'!$A:$A,0)))</f>
        <v>N</v>
      </c>
      <c r="D918" t="str">
        <f t="array" ref="D918">iferror(index('rna-gill'!$I:$I,match($A918,'rna-gill'!$A:$A,0)))</f>
        <v>BRN71G-F1</v>
      </c>
      <c r="E918" t="str">
        <f t="array" ref="E918">iferror(index('rna-gill'!$L:$L,match($A918,'rna-gill'!$A:$A,0)))</f>
        <v>N</v>
      </c>
      <c r="F918" t="str">
        <f t="array" ref="F918">iferror(index(fatty_acid!$G:$G,match($A918,fatty_acid!$A:$A,0)))</f>
        <v>BFA32-3</v>
      </c>
      <c r="G918" t="str">
        <f t="array" ref="G918">iferror(index(fatty_acid!$J:$J,match($A918,fatty_acid!$A:$A,0)))</f>
        <v>N</v>
      </c>
      <c r="H918" t="str">
        <f t="array" ref="H918">iferror(index(isotopes!$G:$G,match($A918,isotopes!$A:$A,0)))</f>
        <v>BIS35-3</v>
      </c>
      <c r="I918" t="str">
        <f t="array" ref="I918">iferror(index(isotopes!$J:$J,match($A918,isotopes!$A:$A,0)))</f>
        <v>N</v>
      </c>
      <c r="J918" t="str">
        <f t="array" ref="J918">iferror(index(extra_muscle!$G:$G,match($A918,extra_muscle!$A:$A,0)))</f>
        <v>BXM33-3</v>
      </c>
      <c r="K918" t="str">
        <f t="array" ref="K918">iferror(index(extra_muscle!$J:$J,match($A918,extra_muscle!$A:$A,0)))</f>
        <v>N</v>
      </c>
      <c r="L918" s="59" t="str">
        <f t="array" ref="L918">iferror(index(dna!$G:$G,match($A918,dna!$A:$A,0)))</f>
        <v/>
      </c>
      <c r="M918" s="60" t="str">
        <f t="array" ref="M918">iferror(index(dna!$J:$J,match($A918,dna!$A:$A,0)))</f>
        <v/>
      </c>
      <c r="N918" t="str">
        <f t="array" ref="N918">iferror(index(stomachs!$G:$G,match($A918,stomachs!$A:$A,0)))</f>
        <v/>
      </c>
      <c r="O918" t="str">
        <f t="array" ref="O918">iferror(index(stomachs!$J:$J,match($A918,stomachs!$A:$A,0)))</f>
        <v/>
      </c>
      <c r="P918" t="str">
        <f t="array" ref="P918">iferror(index(sea_lice!$G:$G,match($A918,sea_lice!$A:$A,0)))</f>
        <v>BSL7-10</v>
      </c>
      <c r="Q918" t="str">
        <f t="array" ref="Q918">iferror(index(sea_lice!$J:$J,match($A918,sea_lice!$A:$A,0)))</f>
        <v>N</v>
      </c>
      <c r="R918" s="40" t="str">
        <f t="array" ref="R918">iferror(index(dissected_fish!$F:$F,match($A918,dissected_fish!$A:$A,0)))</f>
        <v>BCA108</v>
      </c>
      <c r="S918" s="40" t="str">
        <f t="array" ref="S918">iferror(index(dissected_fish!$K:$K,match($A918,dissected_fish!$A:$A,0)))</f>
        <v>N</v>
      </c>
      <c r="T918" s="61" t="str">
        <f t="array" ref="T918">index(fish_lab_data!O:O,match(A918,fish_lab_data!C:C,0))</f>
        <v>KB</v>
      </c>
      <c r="U918" s="61">
        <f t="array" ref="U918">if(A918="","",index(fish_lab_data!X:X,match(A918,fish_lab_data!C:C,0)))</f>
        <v>917</v>
      </c>
    </row>
    <row r="919">
      <c r="A919" t="str">
        <f>fish_lab_data!C919</f>
        <v>U17720</v>
      </c>
      <c r="B919" t="str">
        <f t="array" ref="B919">iferror(index('rna-muscle'!$I:$I,match($A919,'rna-muscle'!$A:$A,0)))</f>
        <v>BRN71M-E1</v>
      </c>
      <c r="C919" t="str">
        <f t="array" ref="C919">iferror(index('rna-muscle'!$L:$L,match($A919,'rna-muscle'!$A:$A,0)))</f>
        <v>N</v>
      </c>
      <c r="D919" t="str">
        <f t="array" ref="D919">iferror(index('rna-gill'!$I:$I,match($A919,'rna-gill'!$A:$A,0)))</f>
        <v>BRN71G-E1</v>
      </c>
      <c r="E919" t="str">
        <f t="array" ref="E919">iferror(index('rna-gill'!$L:$L,match($A919,'rna-gill'!$A:$A,0)))</f>
        <v>N</v>
      </c>
      <c r="F919" t="str">
        <f t="array" ref="F919">iferror(index(fatty_acid!$G:$G,match($A919,fatty_acid!$A:$A,0)))</f>
        <v>BFA32-4</v>
      </c>
      <c r="G919" t="str">
        <f t="array" ref="G919">iferror(index(fatty_acid!$J:$J,match($A919,fatty_acid!$A:$A,0)))</f>
        <v>N</v>
      </c>
      <c r="H919" t="str">
        <f t="array" ref="H919">iferror(index(isotopes!$G:$G,match($A919,isotopes!$A:$A,0)))</f>
        <v>BIS35-4</v>
      </c>
      <c r="I919" t="str">
        <f t="array" ref="I919">iferror(index(isotopes!$J:$J,match($A919,isotopes!$A:$A,0)))</f>
        <v>N</v>
      </c>
      <c r="J919" t="str">
        <f t="array" ref="J919">iferror(index(extra_muscle!$G:$G,match($A919,extra_muscle!$A:$A,0)))</f>
        <v>BXM33-4</v>
      </c>
      <c r="K919" t="str">
        <f t="array" ref="K919">iferror(index(extra_muscle!$J:$J,match($A919,extra_muscle!$A:$A,0)))</f>
        <v>N</v>
      </c>
      <c r="L919" s="59" t="str">
        <f t="array" ref="L919">iferror(index(dna!$G:$G,match($A919,dna!$A:$A,0)))</f>
        <v/>
      </c>
      <c r="M919" s="60" t="str">
        <f t="array" ref="M919">iferror(index(dna!$J:$J,match($A919,dna!$A:$A,0)))</f>
        <v/>
      </c>
      <c r="N919" t="str">
        <f t="array" ref="N919">iferror(index(stomachs!$G:$G,match($A919,stomachs!$A:$A,0)))</f>
        <v/>
      </c>
      <c r="O919" t="str">
        <f t="array" ref="O919">iferror(index(stomachs!$J:$J,match($A919,stomachs!$A:$A,0)))</f>
        <v/>
      </c>
      <c r="P919" t="str">
        <f t="array" ref="P919">iferror(index(sea_lice!$G:$G,match($A919,sea_lice!$A:$A,0)))</f>
        <v/>
      </c>
      <c r="Q919" t="str">
        <f t="array" ref="Q919">iferror(index(sea_lice!$J:$J,match($A919,sea_lice!$A:$A,0)))</f>
        <v/>
      </c>
      <c r="R919" s="40" t="str">
        <f t="array" ref="R919">iferror(index(dissected_fish!$F:$F,match($A919,dissected_fish!$A:$A,0)))</f>
        <v>BCA108</v>
      </c>
      <c r="S919" s="40" t="str">
        <f t="array" ref="S919">iferror(index(dissected_fish!$K:$K,match($A919,dissected_fish!$A:$A,0)))</f>
        <v>N</v>
      </c>
      <c r="T919" s="61" t="str">
        <f t="array" ref="T919">index(fish_lab_data!O:O,match(A919,fish_lab_data!C:C,0))</f>
        <v>KB</v>
      </c>
      <c r="U919" s="61">
        <f t="array" ref="U919">if(A919="","",index(fish_lab_data!X:X,match(A919,fish_lab_data!C:C,0)))</f>
        <v>918</v>
      </c>
    </row>
    <row r="920">
      <c r="A920" t="str">
        <f>fish_lab_data!C920</f>
        <v>U17716</v>
      </c>
      <c r="B920" t="str">
        <f t="array" ref="B920">iferror(index('rna-muscle'!$I:$I,match($A920,'rna-muscle'!$A:$A,0)))</f>
        <v>BRN71M-D1</v>
      </c>
      <c r="C920" t="str">
        <f t="array" ref="C920">iferror(index('rna-muscle'!$L:$L,match($A920,'rna-muscle'!$A:$A,0)))</f>
        <v>N</v>
      </c>
      <c r="D920" t="str">
        <f t="array" ref="D920">iferror(index('rna-gill'!$I:$I,match($A920,'rna-gill'!$A:$A,0)))</f>
        <v>BRN71G-D1</v>
      </c>
      <c r="E920" t="str">
        <f t="array" ref="E920">iferror(index('rna-gill'!$L:$L,match($A920,'rna-gill'!$A:$A,0)))</f>
        <v>N</v>
      </c>
      <c r="F920" t="str">
        <f t="array" ref="F920">iferror(index(fatty_acid!$G:$G,match($A920,fatty_acid!$A:$A,0)))</f>
        <v>BFA32-5</v>
      </c>
      <c r="G920" t="str">
        <f t="array" ref="G920">iferror(index(fatty_acid!$J:$J,match($A920,fatty_acid!$A:$A,0)))</f>
        <v>N</v>
      </c>
      <c r="H920" t="str">
        <f t="array" ref="H920">iferror(index(isotopes!$G:$G,match($A920,isotopes!$A:$A,0)))</f>
        <v>BIS35-5</v>
      </c>
      <c r="I920" t="str">
        <f t="array" ref="I920">iferror(index(isotopes!$J:$J,match($A920,isotopes!$A:$A,0)))</f>
        <v>N</v>
      </c>
      <c r="J920" t="str">
        <f t="array" ref="J920">iferror(index(extra_muscle!$G:$G,match($A920,extra_muscle!$A:$A,0)))</f>
        <v>BXM33-5</v>
      </c>
      <c r="K920" t="str">
        <f t="array" ref="K920">iferror(index(extra_muscle!$J:$J,match($A920,extra_muscle!$A:$A,0)))</f>
        <v>N</v>
      </c>
      <c r="L920" s="59" t="str">
        <f t="array" ref="L920">iferror(index(dna!$G:$G,match($A920,dna!$A:$A,0)))</f>
        <v/>
      </c>
      <c r="M920" s="60" t="str">
        <f t="array" ref="M920">iferror(index(dna!$J:$J,match($A920,dna!$A:$A,0)))</f>
        <v/>
      </c>
      <c r="N920" t="str">
        <f t="array" ref="N920">iferror(index(stomachs!$G:$G,match($A920,stomachs!$A:$A,0)))</f>
        <v/>
      </c>
      <c r="O920" t="str">
        <f t="array" ref="O920">iferror(index(stomachs!$J:$J,match($A920,stomachs!$A:$A,0)))</f>
        <v/>
      </c>
      <c r="P920" t="str">
        <f t="array" ref="P920">iferror(index(sea_lice!$G:$G,match($A920,sea_lice!$A:$A,0)))</f>
        <v/>
      </c>
      <c r="Q920" t="str">
        <f t="array" ref="Q920">iferror(index(sea_lice!$J:$J,match($A920,sea_lice!$A:$A,0)))</f>
        <v/>
      </c>
      <c r="R920" s="40" t="str">
        <f t="array" ref="R920">iferror(index(dissected_fish!$F:$F,match($A920,dissected_fish!$A:$A,0)))</f>
        <v>BCA108</v>
      </c>
      <c r="S920" s="40" t="str">
        <f t="array" ref="S920">iferror(index(dissected_fish!$K:$K,match($A920,dissected_fish!$A:$A,0)))</f>
        <v>N</v>
      </c>
      <c r="T920" s="61" t="str">
        <f t="array" ref="T920">index(fish_lab_data!O:O,match(A920,fish_lab_data!C:C,0))</f>
        <v>KB</v>
      </c>
      <c r="U920" s="61">
        <f t="array" ref="U920">if(A920="","",index(fish_lab_data!X:X,match(A920,fish_lab_data!C:C,0)))</f>
        <v>919</v>
      </c>
    </row>
    <row r="921">
      <c r="A921" t="str">
        <f>fish_lab_data!C921</f>
        <v>U17718</v>
      </c>
      <c r="B921" t="str">
        <f t="array" ref="B921">iferror(index('rna-muscle'!$I:$I,match($A921,'rna-muscle'!$A:$A,0)))</f>
        <v>BRN71M-C1</v>
      </c>
      <c r="C921" t="str">
        <f t="array" ref="C921">iferror(index('rna-muscle'!$L:$L,match($A921,'rna-muscle'!$A:$A,0)))</f>
        <v>N</v>
      </c>
      <c r="D921" t="str">
        <f t="array" ref="D921">iferror(index('rna-gill'!$I:$I,match($A921,'rna-gill'!$A:$A,0)))</f>
        <v>BRN71G-C1</v>
      </c>
      <c r="E921" t="str">
        <f t="array" ref="E921">iferror(index('rna-gill'!$L:$L,match($A921,'rna-gill'!$A:$A,0)))</f>
        <v>N</v>
      </c>
      <c r="F921" t="str">
        <f t="array" ref="F921">iferror(index(fatty_acid!$G:$G,match($A921,fatty_acid!$A:$A,0)))</f>
        <v>BFA32-6</v>
      </c>
      <c r="G921" t="str">
        <f t="array" ref="G921">iferror(index(fatty_acid!$J:$J,match($A921,fatty_acid!$A:$A,0)))</f>
        <v>N</v>
      </c>
      <c r="H921" t="str">
        <f t="array" ref="H921">iferror(index(isotopes!$G:$G,match($A921,isotopes!$A:$A,0)))</f>
        <v>BIS35-6</v>
      </c>
      <c r="I921" t="str">
        <f t="array" ref="I921">iferror(index(isotopes!$J:$J,match($A921,isotopes!$A:$A,0)))</f>
        <v>N</v>
      </c>
      <c r="J921" t="str">
        <f t="array" ref="J921">iferror(index(extra_muscle!$G:$G,match($A921,extra_muscle!$A:$A,0)))</f>
        <v>BXM33-6</v>
      </c>
      <c r="K921" t="str">
        <f t="array" ref="K921">iferror(index(extra_muscle!$J:$J,match($A921,extra_muscle!$A:$A,0)))</f>
        <v>N</v>
      </c>
      <c r="L921" s="59" t="str">
        <f t="array" ref="L921">iferror(index(dna!$G:$G,match($A921,dna!$A:$A,0)))</f>
        <v/>
      </c>
      <c r="M921" s="60" t="str">
        <f t="array" ref="M921">iferror(index(dna!$J:$J,match($A921,dna!$A:$A,0)))</f>
        <v/>
      </c>
      <c r="N921" t="str">
        <f t="array" ref="N921">iferror(index(stomachs!$G:$G,match($A921,stomachs!$A:$A,0)))</f>
        <v/>
      </c>
      <c r="O921" t="str">
        <f t="array" ref="O921">iferror(index(stomachs!$J:$J,match($A921,stomachs!$A:$A,0)))</f>
        <v/>
      </c>
      <c r="P921" t="str">
        <f t="array" ref="P921">iferror(index(sea_lice!$G:$G,match($A921,sea_lice!$A:$A,0)))</f>
        <v/>
      </c>
      <c r="Q921" t="str">
        <f t="array" ref="Q921">iferror(index(sea_lice!$J:$J,match($A921,sea_lice!$A:$A,0)))</f>
        <v/>
      </c>
      <c r="R921" s="40" t="str">
        <f t="array" ref="R921">iferror(index(dissected_fish!$F:$F,match($A921,dissected_fish!$A:$A,0)))</f>
        <v>BCA108</v>
      </c>
      <c r="S921" s="40" t="str">
        <f t="array" ref="S921">iferror(index(dissected_fish!$K:$K,match($A921,dissected_fish!$A:$A,0)))</f>
        <v>N</v>
      </c>
      <c r="T921" s="61" t="str">
        <f t="array" ref="T921">index(fish_lab_data!O:O,match(A921,fish_lab_data!C:C,0))</f>
        <v>KB</v>
      </c>
      <c r="U921" s="61">
        <f t="array" ref="U921">if(A921="","",index(fish_lab_data!X:X,match(A921,fish_lab_data!C:C,0)))</f>
        <v>920</v>
      </c>
    </row>
    <row r="922">
      <c r="A922" t="str">
        <f>fish_lab_data!C922</f>
        <v>U17712</v>
      </c>
      <c r="B922" t="str">
        <f t="array" ref="B922">iferror(index('rna-muscle'!$I:$I,match($A922,'rna-muscle'!$A:$A,0)))</f>
        <v>BRN71M-B1</v>
      </c>
      <c r="C922" t="str">
        <f t="array" ref="C922">iferror(index('rna-muscle'!$L:$L,match($A922,'rna-muscle'!$A:$A,0)))</f>
        <v>N</v>
      </c>
      <c r="D922" t="str">
        <f t="array" ref="D922">iferror(index('rna-gill'!$I:$I,match($A922,'rna-gill'!$A:$A,0)))</f>
        <v>BRN71G-B1</v>
      </c>
      <c r="E922" t="str">
        <f t="array" ref="E922">iferror(index('rna-gill'!$L:$L,match($A922,'rna-gill'!$A:$A,0)))</f>
        <v>N</v>
      </c>
      <c r="F922" t="str">
        <f t="array" ref="F922">iferror(index(fatty_acid!$G:$G,match($A922,fatty_acid!$A:$A,0)))</f>
        <v>BFA32-7</v>
      </c>
      <c r="G922" t="str">
        <f t="array" ref="G922">iferror(index(fatty_acid!$J:$J,match($A922,fatty_acid!$A:$A,0)))</f>
        <v>N</v>
      </c>
      <c r="H922" t="str">
        <f t="array" ref="H922">iferror(index(isotopes!$G:$G,match($A922,isotopes!$A:$A,0)))</f>
        <v>BIS35-7</v>
      </c>
      <c r="I922" t="str">
        <f t="array" ref="I922">iferror(index(isotopes!$J:$J,match($A922,isotopes!$A:$A,0)))</f>
        <v>N</v>
      </c>
      <c r="J922" t="str">
        <f t="array" ref="J922">iferror(index(extra_muscle!$G:$G,match($A922,extra_muscle!$A:$A,0)))</f>
        <v>BXM33-7</v>
      </c>
      <c r="K922" t="str">
        <f t="array" ref="K922">iferror(index(extra_muscle!$J:$J,match($A922,extra_muscle!$A:$A,0)))</f>
        <v>N</v>
      </c>
      <c r="L922" s="59" t="str">
        <f t="array" ref="L922">iferror(index(dna!$G:$G,match($A922,dna!$A:$A,0)))</f>
        <v/>
      </c>
      <c r="M922" s="60" t="str">
        <f t="array" ref="M922">iferror(index(dna!$J:$J,match($A922,dna!$A:$A,0)))</f>
        <v/>
      </c>
      <c r="N922" t="str">
        <f t="array" ref="N922">iferror(index(stomachs!$G:$G,match($A922,stomachs!$A:$A,0)))</f>
        <v/>
      </c>
      <c r="O922" t="str">
        <f t="array" ref="O922">iferror(index(stomachs!$J:$J,match($A922,stomachs!$A:$A,0)))</f>
        <v/>
      </c>
      <c r="P922" t="str">
        <f t="array" ref="P922">iferror(index(sea_lice!$G:$G,match($A922,sea_lice!$A:$A,0)))</f>
        <v>BSL7-12</v>
      </c>
      <c r="Q922" t="str">
        <f t="array" ref="Q922">iferror(index(sea_lice!$J:$J,match($A922,sea_lice!$A:$A,0)))</f>
        <v>N</v>
      </c>
      <c r="R922" s="40" t="str">
        <f t="array" ref="R922">iferror(index(dissected_fish!$F:$F,match($A922,dissected_fish!$A:$A,0)))</f>
        <v>BCA108</v>
      </c>
      <c r="S922" s="40" t="str">
        <f t="array" ref="S922">iferror(index(dissected_fish!$K:$K,match($A922,dissected_fish!$A:$A,0)))</f>
        <v>N</v>
      </c>
      <c r="T922" s="61" t="str">
        <f t="array" ref="T922">index(fish_lab_data!O:O,match(A922,fish_lab_data!C:C,0))</f>
        <v>KB</v>
      </c>
      <c r="U922" s="61">
        <f t="array" ref="U922">if(A922="","",index(fish_lab_data!X:X,match(A922,fish_lab_data!C:C,0)))</f>
        <v>921</v>
      </c>
    </row>
    <row r="923">
      <c r="A923" t="str">
        <f>fish_lab_data!C923</f>
        <v>U16432</v>
      </c>
      <c r="B923" t="str">
        <f t="array" ref="B923">iferror(index('rna-muscle'!$I:$I,match($A923,'rna-muscle'!$A:$A,0)))</f>
        <v>BRN70M-E10</v>
      </c>
      <c r="C923" t="str">
        <f t="array" ref="C923">iferror(index('rna-muscle'!$L:$L,match($A923,'rna-muscle'!$A:$A,0)))</f>
        <v>N</v>
      </c>
      <c r="D923" t="str">
        <f t="array" ref="D923">iferror(index('rna-gill'!$I:$I,match($A923,'rna-gill'!$A:$A,0)))</f>
        <v>BRN70G-E10</v>
      </c>
      <c r="E923" t="str">
        <f t="array" ref="E923">iferror(index('rna-gill'!$L:$L,match($A923,'rna-gill'!$A:$A,0)))</f>
        <v>N</v>
      </c>
      <c r="F923" t="str">
        <f t="array" ref="F923">iferror(index(fatty_acid!$G:$G,match($A923,fatty_acid!$A:$A,0)))</f>
        <v>BFA31-60</v>
      </c>
      <c r="G923" t="str">
        <f t="array" ref="G923">iferror(index(fatty_acid!$J:$J,match($A923,fatty_acid!$A:$A,0)))</f>
        <v>N</v>
      </c>
      <c r="H923" t="str">
        <f t="array" ref="H923">iferror(index(isotopes!$G:$G,match($A923,isotopes!$A:$A,0)))</f>
        <v>BIS34-2</v>
      </c>
      <c r="I923" t="str">
        <f t="array" ref="I923">iferror(index(isotopes!$J:$J,match($A923,isotopes!$A:$A,0)))</f>
        <v>N</v>
      </c>
      <c r="J923" t="str">
        <f t="array" ref="J923">iferror(index(extra_muscle!$G:$G,match($A923,extra_muscle!$A:$A,0)))</f>
        <v>BXM32-46</v>
      </c>
      <c r="K923" t="str">
        <f t="array" ref="K923">iferror(index(extra_muscle!$J:$J,match($A923,extra_muscle!$A:$A,0)))</f>
        <v>N</v>
      </c>
      <c r="L923" s="59" t="str">
        <f t="array" ref="L923">iferror(index(dna!$G:$G,match($A923,dna!$A:$A,0)))</f>
        <v/>
      </c>
      <c r="M923" s="60" t="str">
        <f t="array" ref="M923">iferror(index(dna!$J:$J,match($A923,dna!$A:$A,0)))</f>
        <v/>
      </c>
      <c r="N923" t="str">
        <f t="array" ref="N923">iferror(index(stomachs!$G:$G,match($A923,stomachs!$A:$A,0)))</f>
        <v/>
      </c>
      <c r="O923" t="str">
        <f t="array" ref="O923">iferror(index(stomachs!$J:$J,match($A923,stomachs!$A:$A,0)))</f>
        <v/>
      </c>
      <c r="P923" t="str">
        <f t="array" ref="P923">iferror(index(sea_lice!$G:$G,match($A923,sea_lice!$A:$A,0)))</f>
        <v/>
      </c>
      <c r="Q923" t="str">
        <f t="array" ref="Q923">iferror(index(sea_lice!$J:$J,match($A923,sea_lice!$A:$A,0)))</f>
        <v/>
      </c>
      <c r="R923" s="40" t="str">
        <f t="array" ref="R923">iferror(index(dissected_fish!$F:$F,match($A923,dissected_fish!$A:$A,0)))</f>
        <v>BCA108</v>
      </c>
      <c r="S923" s="40" t="str">
        <f t="array" ref="S923">iferror(index(dissected_fish!$K:$K,match($A923,dissected_fish!$A:$A,0)))</f>
        <v>N</v>
      </c>
      <c r="T923" s="61" t="str">
        <f t="array" ref="T923">index(fish_lab_data!O:O,match(A923,fish_lab_data!C:C,0))</f>
        <v>EJ</v>
      </c>
      <c r="U923" s="61">
        <f t="array" ref="U923">if(A923="","",index(fish_lab_data!X:X,match(A923,fish_lab_data!C:C,0)))</f>
        <v>922</v>
      </c>
    </row>
    <row r="924">
      <c r="A924" t="str">
        <f>fish_lab_data!C924</f>
        <v>U16434</v>
      </c>
      <c r="B924" t="str">
        <f t="array" ref="B924">iferror(index('rna-muscle'!$I:$I,match($A924,'rna-muscle'!$A:$A,0)))</f>
        <v>BRN70M-D10</v>
      </c>
      <c r="C924" t="str">
        <f t="array" ref="C924">iferror(index('rna-muscle'!$L:$L,match($A924,'rna-muscle'!$A:$A,0)))</f>
        <v>N</v>
      </c>
      <c r="D924" t="str">
        <f t="array" ref="D924">iferror(index('rna-gill'!$I:$I,match($A924,'rna-gill'!$A:$A,0)))</f>
        <v>BRN70G-D10</v>
      </c>
      <c r="E924" t="str">
        <f t="array" ref="E924">iferror(index('rna-gill'!$L:$L,match($A924,'rna-gill'!$A:$A,0)))</f>
        <v>N</v>
      </c>
      <c r="F924" t="str">
        <f t="array" ref="F924">iferror(index(fatty_acid!$G:$G,match($A924,fatty_acid!$A:$A,0)))</f>
        <v>BFA31-61</v>
      </c>
      <c r="G924" t="str">
        <f t="array" ref="G924">iferror(index(fatty_acid!$J:$J,match($A924,fatty_acid!$A:$A,0)))</f>
        <v>N</v>
      </c>
      <c r="H924" t="str">
        <f t="array" ref="H924">iferror(index(isotopes!$G:$G,match($A924,isotopes!$A:$A,0)))</f>
        <v>BIS34-3</v>
      </c>
      <c r="I924" t="str">
        <f t="array" ref="I924">iferror(index(isotopes!$J:$J,match($A924,isotopes!$A:$A,0)))</f>
        <v>N</v>
      </c>
      <c r="J924" t="str">
        <f t="array" ref="J924">iferror(index(extra_muscle!$G:$G,match($A924,extra_muscle!$A:$A,0)))</f>
        <v>BXM32-47</v>
      </c>
      <c r="K924" t="str">
        <f t="array" ref="K924">iferror(index(extra_muscle!$J:$J,match($A924,extra_muscle!$A:$A,0)))</f>
        <v>N</v>
      </c>
      <c r="L924" s="59" t="str">
        <f t="array" ref="L924">iferror(index(dna!$G:$G,match($A924,dna!$A:$A,0)))</f>
        <v/>
      </c>
      <c r="M924" s="60" t="str">
        <f t="array" ref="M924">iferror(index(dna!$J:$J,match($A924,dna!$A:$A,0)))</f>
        <v/>
      </c>
      <c r="N924" t="str">
        <f t="array" ref="N924">iferror(index(stomachs!$G:$G,match($A924,stomachs!$A:$A,0)))</f>
        <v/>
      </c>
      <c r="O924" t="str">
        <f t="array" ref="O924">iferror(index(stomachs!$J:$J,match($A924,stomachs!$A:$A,0)))</f>
        <v/>
      </c>
      <c r="P924" t="str">
        <f t="array" ref="P924">iferror(index(sea_lice!$G:$G,match($A924,sea_lice!$A:$A,0)))</f>
        <v/>
      </c>
      <c r="Q924" t="str">
        <f t="array" ref="Q924">iferror(index(sea_lice!$J:$J,match($A924,sea_lice!$A:$A,0)))</f>
        <v/>
      </c>
      <c r="R924" s="40" t="str">
        <f t="array" ref="R924">iferror(index(dissected_fish!$F:$F,match($A924,dissected_fish!$A:$A,0)))</f>
        <v>BCA108</v>
      </c>
      <c r="S924" s="40" t="str">
        <f t="array" ref="S924">iferror(index(dissected_fish!$K:$K,match($A924,dissected_fish!$A:$A,0)))</f>
        <v>N</v>
      </c>
      <c r="T924" s="61" t="str">
        <f t="array" ref="T924">index(fish_lab_data!O:O,match(A924,fish_lab_data!C:C,0))</f>
        <v>EJ</v>
      </c>
      <c r="U924" s="61">
        <f t="array" ref="U924">if(A924="","",index(fish_lab_data!X:X,match(A924,fish_lab_data!C:C,0)))</f>
        <v>923</v>
      </c>
    </row>
    <row r="925">
      <c r="A925" t="str">
        <f>fish_lab_data!C925</f>
        <v>U16431</v>
      </c>
      <c r="B925" t="str">
        <f t="array" ref="B925">iferror(index('rna-muscle'!$I:$I,match($A925,'rna-muscle'!$A:$A,0)))</f>
        <v>BRN70M-C10</v>
      </c>
      <c r="C925" t="str">
        <f t="array" ref="C925">iferror(index('rna-muscle'!$L:$L,match($A925,'rna-muscle'!$A:$A,0)))</f>
        <v>N</v>
      </c>
      <c r="D925" t="str">
        <f t="array" ref="D925">iferror(index('rna-gill'!$I:$I,match($A925,'rna-gill'!$A:$A,0)))</f>
        <v>BRN70G-C10</v>
      </c>
      <c r="E925" t="str">
        <f t="array" ref="E925">iferror(index('rna-gill'!$L:$L,match($A925,'rna-gill'!$A:$A,0)))</f>
        <v>N</v>
      </c>
      <c r="F925" t="str">
        <f t="array" ref="F925">iferror(index(fatty_acid!$G:$G,match($A925,fatty_acid!$A:$A,0)))</f>
        <v>BFA31-62</v>
      </c>
      <c r="G925" t="str">
        <f t="array" ref="G925">iferror(index(fatty_acid!$J:$J,match($A925,fatty_acid!$A:$A,0)))</f>
        <v>N</v>
      </c>
      <c r="H925" t="str">
        <f t="array" ref="H925">iferror(index(isotopes!$G:$G,match($A925,isotopes!$A:$A,0)))</f>
        <v>BIS34-4</v>
      </c>
      <c r="I925" t="str">
        <f t="array" ref="I925">iferror(index(isotopes!$J:$J,match($A925,isotopes!$A:$A,0)))</f>
        <v>N</v>
      </c>
      <c r="J925" t="str">
        <f t="array" ref="J925">iferror(index(extra_muscle!$G:$G,match($A925,extra_muscle!$A:$A,0)))</f>
        <v>BXM32-48</v>
      </c>
      <c r="K925" t="str">
        <f t="array" ref="K925">iferror(index(extra_muscle!$J:$J,match($A925,extra_muscle!$A:$A,0)))</f>
        <v>N</v>
      </c>
      <c r="L925" s="59" t="str">
        <f t="array" ref="L925">iferror(index(dna!$G:$G,match($A925,dna!$A:$A,0)))</f>
        <v/>
      </c>
      <c r="M925" s="60" t="str">
        <f t="array" ref="M925">iferror(index(dna!$J:$J,match($A925,dna!$A:$A,0)))</f>
        <v/>
      </c>
      <c r="N925" t="str">
        <f t="array" ref="N925">iferror(index(stomachs!$G:$G,match($A925,stomachs!$A:$A,0)))</f>
        <v/>
      </c>
      <c r="O925" t="str">
        <f t="array" ref="O925">iferror(index(stomachs!$J:$J,match($A925,stomachs!$A:$A,0)))</f>
        <v/>
      </c>
      <c r="P925" t="str">
        <f t="array" ref="P925">iferror(index(sea_lice!$G:$G,match($A925,sea_lice!$A:$A,0)))</f>
        <v/>
      </c>
      <c r="Q925" t="str">
        <f t="array" ref="Q925">iferror(index(sea_lice!$J:$J,match($A925,sea_lice!$A:$A,0)))</f>
        <v/>
      </c>
      <c r="R925" s="40" t="str">
        <f t="array" ref="R925">iferror(index(dissected_fish!$F:$F,match($A925,dissected_fish!$A:$A,0)))</f>
        <v>BCA108</v>
      </c>
      <c r="S925" s="40" t="str">
        <f t="array" ref="S925">iferror(index(dissected_fish!$K:$K,match($A925,dissected_fish!$A:$A,0)))</f>
        <v>N</v>
      </c>
      <c r="T925" s="61" t="str">
        <f t="array" ref="T925">index(fish_lab_data!O:O,match(A925,fish_lab_data!C:C,0))</f>
        <v>EJ</v>
      </c>
      <c r="U925" s="61">
        <f t="array" ref="U925">if(A925="","",index(fish_lab_data!X:X,match(A925,fish_lab_data!C:C,0)))</f>
        <v>924</v>
      </c>
    </row>
    <row r="926">
      <c r="A926" t="str">
        <f>fish_lab_data!C926</f>
        <v>U17971</v>
      </c>
      <c r="B926" t="str">
        <f t="array" ref="B926">iferror(index('rna-muscle'!$I:$I,match($A926,'rna-muscle'!$A:$A,0)))</f>
        <v>BRN70M-B10</v>
      </c>
      <c r="C926" t="str">
        <f t="array" ref="C926">iferror(index('rna-muscle'!$L:$L,match($A926,'rna-muscle'!$A:$A,0)))</f>
        <v>N</v>
      </c>
      <c r="D926" t="str">
        <f t="array" ref="D926">iferror(index('rna-gill'!$I:$I,match($A926,'rna-gill'!$A:$A,0)))</f>
        <v>BRN70G-B10</v>
      </c>
      <c r="E926" t="str">
        <f t="array" ref="E926">iferror(index('rna-gill'!$L:$L,match($A926,'rna-gill'!$A:$A,0)))</f>
        <v>N</v>
      </c>
      <c r="F926" t="str">
        <f t="array" ref="F926">iferror(index(fatty_acid!$G:$G,match($A926,fatty_acid!$A:$A,0)))</f>
        <v>BFA31-63</v>
      </c>
      <c r="G926" t="str">
        <f t="array" ref="G926">iferror(index(fatty_acid!$J:$J,match($A926,fatty_acid!$A:$A,0)))</f>
        <v>N</v>
      </c>
      <c r="H926" t="str">
        <f t="array" ref="H926">iferror(index(isotopes!$G:$G,match($A926,isotopes!$A:$A,0)))</f>
        <v>BIS34-5</v>
      </c>
      <c r="I926" t="str">
        <f t="array" ref="I926">iferror(index(isotopes!$J:$J,match($A926,isotopes!$A:$A,0)))</f>
        <v>N</v>
      </c>
      <c r="J926" t="str">
        <f t="array" ref="J926">iferror(index(extra_muscle!$G:$G,match($A926,extra_muscle!$A:$A,0)))</f>
        <v>BXM32-49</v>
      </c>
      <c r="K926" t="str">
        <f t="array" ref="K926">iferror(index(extra_muscle!$J:$J,match($A926,extra_muscle!$A:$A,0)))</f>
        <v>N</v>
      </c>
      <c r="L926" s="59" t="str">
        <f t="array" ref="L926">iferror(index(dna!$G:$G,match($A926,dna!$A:$A,0)))</f>
        <v/>
      </c>
      <c r="M926" s="60" t="str">
        <f t="array" ref="M926">iferror(index(dna!$J:$J,match($A926,dna!$A:$A,0)))</f>
        <v/>
      </c>
      <c r="N926" t="str">
        <f t="array" ref="N926">iferror(index(stomachs!$G:$G,match($A926,stomachs!$A:$A,0)))</f>
        <v/>
      </c>
      <c r="O926" t="str">
        <f t="array" ref="O926">iferror(index(stomachs!$J:$J,match($A926,stomachs!$A:$A,0)))</f>
        <v/>
      </c>
      <c r="P926" t="str">
        <f t="array" ref="P926">iferror(index(sea_lice!$G:$G,match($A926,sea_lice!$A:$A,0)))</f>
        <v>BSL7-2</v>
      </c>
      <c r="Q926" t="str">
        <f t="array" ref="Q926">iferror(index(sea_lice!$J:$J,match($A926,sea_lice!$A:$A,0)))</f>
        <v>N</v>
      </c>
      <c r="R926" s="40" t="str">
        <f t="array" ref="R926">iferror(index(dissected_fish!$F:$F,match($A926,dissected_fish!$A:$A,0)))</f>
        <v>BCA108</v>
      </c>
      <c r="S926" s="40" t="str">
        <f t="array" ref="S926">iferror(index(dissected_fish!$K:$K,match($A926,dissected_fish!$A:$A,0)))</f>
        <v>N</v>
      </c>
      <c r="T926" s="61" t="str">
        <f t="array" ref="T926">index(fish_lab_data!O:O,match(A926,fish_lab_data!C:C,0))</f>
        <v>EJ</v>
      </c>
      <c r="U926" s="61">
        <f t="array" ref="U926">if(A926="","",index(fish_lab_data!X:X,match(A926,fish_lab_data!C:C,0)))</f>
        <v>925</v>
      </c>
    </row>
    <row r="927">
      <c r="A927" t="str">
        <f>fish_lab_data!C927</f>
        <v>U17972</v>
      </c>
      <c r="B927" t="str">
        <f t="array" ref="B927">iferror(index('rna-muscle'!$I:$I,match($A927,'rna-muscle'!$A:$A,0)))</f>
        <v>BRN70M-A10</v>
      </c>
      <c r="C927" t="str">
        <f t="array" ref="C927">iferror(index('rna-muscle'!$L:$L,match($A927,'rna-muscle'!$A:$A,0)))</f>
        <v>N</v>
      </c>
      <c r="D927" t="str">
        <f t="array" ref="D927">iferror(index('rna-gill'!$I:$I,match($A927,'rna-gill'!$A:$A,0)))</f>
        <v>BRN70G-A10</v>
      </c>
      <c r="E927" t="str">
        <f t="array" ref="E927">iferror(index('rna-gill'!$L:$L,match($A927,'rna-gill'!$A:$A,0)))</f>
        <v>N</v>
      </c>
      <c r="F927" t="str">
        <f t="array" ref="F927">iferror(index(fatty_acid!$G:$G,match($A927,fatty_acid!$A:$A,0)))</f>
        <v>BFA31-64</v>
      </c>
      <c r="G927" t="str">
        <f t="array" ref="G927">iferror(index(fatty_acid!$J:$J,match($A927,fatty_acid!$A:$A,0)))</f>
        <v>N</v>
      </c>
      <c r="H927" t="str">
        <f t="array" ref="H927">iferror(index(isotopes!$G:$G,match($A927,isotopes!$A:$A,0)))</f>
        <v>BIS34-6</v>
      </c>
      <c r="I927" t="str">
        <f t="array" ref="I927">iferror(index(isotopes!$J:$J,match($A927,isotopes!$A:$A,0)))</f>
        <v>N</v>
      </c>
      <c r="J927" t="str">
        <f t="array" ref="J927">iferror(index(extra_muscle!$G:$G,match($A927,extra_muscle!$A:$A,0)))</f>
        <v>BXM32-50</v>
      </c>
      <c r="K927" t="str">
        <f t="array" ref="K927">iferror(index(extra_muscle!$J:$J,match($A927,extra_muscle!$A:$A,0)))</f>
        <v>N</v>
      </c>
      <c r="L927" s="59" t="str">
        <f t="array" ref="L927">iferror(index(dna!$G:$G,match($A927,dna!$A:$A,0)))</f>
        <v/>
      </c>
      <c r="M927" s="60" t="str">
        <f t="array" ref="M927">iferror(index(dna!$J:$J,match($A927,dna!$A:$A,0)))</f>
        <v/>
      </c>
      <c r="N927" t="str">
        <f t="array" ref="N927">iferror(index(stomachs!$G:$G,match($A927,stomachs!$A:$A,0)))</f>
        <v/>
      </c>
      <c r="O927" t="str">
        <f t="array" ref="O927">iferror(index(stomachs!$J:$J,match($A927,stomachs!$A:$A,0)))</f>
        <v/>
      </c>
      <c r="P927" t="str">
        <f t="array" ref="P927">iferror(index(sea_lice!$G:$G,match($A927,sea_lice!$A:$A,0)))</f>
        <v/>
      </c>
      <c r="Q927" t="str">
        <f t="array" ref="Q927">iferror(index(sea_lice!$J:$J,match($A927,sea_lice!$A:$A,0)))</f>
        <v/>
      </c>
      <c r="R927" s="40" t="str">
        <f t="array" ref="R927">iferror(index(dissected_fish!$F:$F,match($A927,dissected_fish!$A:$A,0)))</f>
        <v>BCA108</v>
      </c>
      <c r="S927" s="40" t="str">
        <f t="array" ref="S927">iferror(index(dissected_fish!$K:$K,match($A927,dissected_fish!$A:$A,0)))</f>
        <v>N</v>
      </c>
      <c r="T927" s="61" t="str">
        <f t="array" ref="T927">index(fish_lab_data!O:O,match(A927,fish_lab_data!C:C,0))</f>
        <v>EJ</v>
      </c>
      <c r="U927" s="61">
        <f t="array" ref="U927">if(A927="","",index(fish_lab_data!X:X,match(A927,fish_lab_data!C:C,0)))</f>
        <v>926</v>
      </c>
    </row>
    <row r="928">
      <c r="A928" t="str">
        <f>fish_lab_data!C928</f>
        <v>U17973</v>
      </c>
      <c r="B928" t="str">
        <f t="array" ref="B928">iferror(index('rna-muscle'!$I:$I,match($A928,'rna-muscle'!$A:$A,0)))</f>
        <v>BRN70M-G12</v>
      </c>
      <c r="C928" t="str">
        <f t="array" ref="C928">iferror(index('rna-muscle'!$L:$L,match($A928,'rna-muscle'!$A:$A,0)))</f>
        <v>N</v>
      </c>
      <c r="D928" t="str">
        <f t="array" ref="D928">iferror(index('rna-gill'!$I:$I,match($A928,'rna-gill'!$A:$A,0)))</f>
        <v>BRN70G-G12</v>
      </c>
      <c r="E928" t="str">
        <f t="array" ref="E928">iferror(index('rna-gill'!$L:$L,match($A928,'rna-gill'!$A:$A,0)))</f>
        <v>N</v>
      </c>
      <c r="F928" t="str">
        <f t="array" ref="F928">iferror(index(fatty_acid!$G:$G,match($A928,fatty_acid!$A:$A,0)))</f>
        <v>BFA31-65</v>
      </c>
      <c r="G928" t="str">
        <f t="array" ref="G928">iferror(index(fatty_acid!$J:$J,match($A928,fatty_acid!$A:$A,0)))</f>
        <v>N</v>
      </c>
      <c r="H928" t="str">
        <f t="array" ref="H928">iferror(index(isotopes!$G:$G,match($A928,isotopes!$A:$A,0)))</f>
        <v>BIS34-7</v>
      </c>
      <c r="I928" t="str">
        <f t="array" ref="I928">iferror(index(isotopes!$J:$J,match($A928,isotopes!$A:$A,0)))</f>
        <v>N</v>
      </c>
      <c r="J928" t="str">
        <f t="array" ref="J928">iferror(index(extra_muscle!$G:$G,match($A928,extra_muscle!$A:$A,0)))</f>
        <v>BXM32-51</v>
      </c>
      <c r="K928" t="str">
        <f t="array" ref="K928">iferror(index(extra_muscle!$J:$J,match($A928,extra_muscle!$A:$A,0)))</f>
        <v>N</v>
      </c>
      <c r="L928" s="59" t="str">
        <f t="array" ref="L928">iferror(index(dna!$G:$G,match($A928,dna!$A:$A,0)))</f>
        <v/>
      </c>
      <c r="M928" s="60" t="str">
        <f t="array" ref="M928">iferror(index(dna!$J:$J,match($A928,dna!$A:$A,0)))</f>
        <v/>
      </c>
      <c r="N928" t="str">
        <f t="array" ref="N928">iferror(index(stomachs!$G:$G,match($A928,stomachs!$A:$A,0)))</f>
        <v/>
      </c>
      <c r="O928" t="str">
        <f t="array" ref="O928">iferror(index(stomachs!$J:$J,match($A928,stomachs!$A:$A,0)))</f>
        <v/>
      </c>
      <c r="P928" t="str">
        <f t="array" ref="P928">iferror(index(sea_lice!$G:$G,match($A928,sea_lice!$A:$A,0)))</f>
        <v>BSL7-3</v>
      </c>
      <c r="Q928" t="str">
        <f t="array" ref="Q928">iferror(index(sea_lice!$J:$J,match($A928,sea_lice!$A:$A,0)))</f>
        <v>N</v>
      </c>
      <c r="R928" s="40" t="str">
        <f t="array" ref="R928">iferror(index(dissected_fish!$F:$F,match($A928,dissected_fish!$A:$A,0)))</f>
        <v>BCA108</v>
      </c>
      <c r="S928" s="40" t="str">
        <f t="array" ref="S928">iferror(index(dissected_fish!$K:$K,match($A928,dissected_fish!$A:$A,0)))</f>
        <v>N</v>
      </c>
      <c r="T928" s="61" t="str">
        <f t="array" ref="T928">index(fish_lab_data!O:O,match(A928,fish_lab_data!C:C,0))</f>
        <v>EJ</v>
      </c>
      <c r="U928" s="61">
        <f t="array" ref="U928">if(A928="","",index(fish_lab_data!X:X,match(A928,fish_lab_data!C:C,0)))</f>
        <v>927</v>
      </c>
    </row>
    <row r="929">
      <c r="A929" t="str">
        <f>fish_lab_data!C929</f>
        <v>U17974</v>
      </c>
      <c r="B929" t="str">
        <f t="array" ref="B929">iferror(index('rna-muscle'!$I:$I,match($A929,'rna-muscle'!$A:$A,0)))</f>
        <v>BRN70M-F12</v>
      </c>
      <c r="C929" t="str">
        <f t="array" ref="C929">iferror(index('rna-muscle'!$L:$L,match($A929,'rna-muscle'!$A:$A,0)))</f>
        <v>N</v>
      </c>
      <c r="D929" t="str">
        <f t="array" ref="D929">iferror(index('rna-gill'!$I:$I,match($A929,'rna-gill'!$A:$A,0)))</f>
        <v>BRN70G-F12</v>
      </c>
      <c r="E929" t="str">
        <f t="array" ref="E929">iferror(index('rna-gill'!$L:$L,match($A929,'rna-gill'!$A:$A,0)))</f>
        <v>N</v>
      </c>
      <c r="F929" t="str">
        <f t="array" ref="F929">iferror(index(fatty_acid!$G:$G,match($A929,fatty_acid!$A:$A,0)))</f>
        <v>BFA31-66</v>
      </c>
      <c r="G929" t="str">
        <f t="array" ref="G929">iferror(index(fatty_acid!$J:$J,match($A929,fatty_acid!$A:$A,0)))</f>
        <v>N</v>
      </c>
      <c r="H929" t="str">
        <f t="array" ref="H929">iferror(index(isotopes!$G:$G,match($A929,isotopes!$A:$A,0)))</f>
        <v>BIS34-8</v>
      </c>
      <c r="I929" t="str">
        <f t="array" ref="I929">iferror(index(isotopes!$J:$J,match($A929,isotopes!$A:$A,0)))</f>
        <v>N</v>
      </c>
      <c r="J929" t="str">
        <f t="array" ref="J929">iferror(index(extra_muscle!$G:$G,match($A929,extra_muscle!$A:$A,0)))</f>
        <v>BXM32-52</v>
      </c>
      <c r="K929" t="str">
        <f t="array" ref="K929">iferror(index(extra_muscle!$J:$J,match($A929,extra_muscle!$A:$A,0)))</f>
        <v>N</v>
      </c>
      <c r="L929" s="59" t="str">
        <f t="array" ref="L929">iferror(index(dna!$G:$G,match($A929,dna!$A:$A,0)))</f>
        <v/>
      </c>
      <c r="M929" s="60" t="str">
        <f t="array" ref="M929">iferror(index(dna!$J:$J,match($A929,dna!$A:$A,0)))</f>
        <v/>
      </c>
      <c r="N929" t="str">
        <f t="array" ref="N929">iferror(index(stomachs!$G:$G,match($A929,stomachs!$A:$A,0)))</f>
        <v/>
      </c>
      <c r="O929" t="str">
        <f t="array" ref="O929">iferror(index(stomachs!$J:$J,match($A929,stomachs!$A:$A,0)))</f>
        <v/>
      </c>
      <c r="P929" t="str">
        <f t="array" ref="P929">iferror(index(sea_lice!$G:$G,match($A929,sea_lice!$A:$A,0)))</f>
        <v/>
      </c>
      <c r="Q929" t="str">
        <f t="array" ref="Q929">iferror(index(sea_lice!$J:$J,match($A929,sea_lice!$A:$A,0)))</f>
        <v/>
      </c>
      <c r="R929" s="40" t="str">
        <f t="array" ref="R929">iferror(index(dissected_fish!$F:$F,match($A929,dissected_fish!$A:$A,0)))</f>
        <v>BCA108</v>
      </c>
      <c r="S929" s="40" t="str">
        <f t="array" ref="S929">iferror(index(dissected_fish!$K:$K,match($A929,dissected_fish!$A:$A,0)))</f>
        <v>N</v>
      </c>
      <c r="T929" s="61" t="str">
        <f t="array" ref="T929">index(fish_lab_data!O:O,match(A929,fish_lab_data!C:C,0))</f>
        <v>EJ</v>
      </c>
      <c r="U929" s="61">
        <f t="array" ref="U929">if(A929="","",index(fish_lab_data!X:X,match(A929,fish_lab_data!C:C,0)))</f>
        <v>928</v>
      </c>
    </row>
    <row r="930">
      <c r="A930" t="str">
        <f>fish_lab_data!C930</f>
        <v>U17975</v>
      </c>
      <c r="B930" t="str">
        <f t="array" ref="B930">iferror(index('rna-muscle'!$I:$I,match($A930,'rna-muscle'!$A:$A,0)))</f>
        <v>BRN70M-E12</v>
      </c>
      <c r="C930" t="str">
        <f t="array" ref="C930">iferror(index('rna-muscle'!$L:$L,match($A930,'rna-muscle'!$A:$A,0)))</f>
        <v>N</v>
      </c>
      <c r="D930" t="str">
        <f t="array" ref="D930">iferror(index('rna-gill'!$I:$I,match($A930,'rna-gill'!$A:$A,0)))</f>
        <v>BRN70G-E12</v>
      </c>
      <c r="E930" t="str">
        <f t="array" ref="E930">iferror(index('rna-gill'!$L:$L,match($A930,'rna-gill'!$A:$A,0)))</f>
        <v>N</v>
      </c>
      <c r="F930" t="str">
        <f t="array" ref="F930">iferror(index(fatty_acid!$G:$G,match($A930,fatty_acid!$A:$A,0)))</f>
        <v>BFA31-67</v>
      </c>
      <c r="G930" t="str">
        <f t="array" ref="G930">iferror(index(fatty_acid!$J:$J,match($A930,fatty_acid!$A:$A,0)))</f>
        <v>N</v>
      </c>
      <c r="H930" t="str">
        <f t="array" ref="H930">iferror(index(isotopes!$G:$G,match($A930,isotopes!$A:$A,0)))</f>
        <v>BIS34-9</v>
      </c>
      <c r="I930" t="str">
        <f t="array" ref="I930">iferror(index(isotopes!$J:$J,match($A930,isotopes!$A:$A,0)))</f>
        <v>N</v>
      </c>
      <c r="J930" t="str">
        <f t="array" ref="J930">iferror(index(extra_muscle!$G:$G,match($A930,extra_muscle!$A:$A,0)))</f>
        <v>BXM32-53</v>
      </c>
      <c r="K930" t="str">
        <f t="array" ref="K930">iferror(index(extra_muscle!$J:$J,match($A930,extra_muscle!$A:$A,0)))</f>
        <v>N</v>
      </c>
      <c r="L930" s="59" t="str">
        <f t="array" ref="L930">iferror(index(dna!$G:$G,match($A930,dna!$A:$A,0)))</f>
        <v/>
      </c>
      <c r="M930" s="60" t="str">
        <f t="array" ref="M930">iferror(index(dna!$J:$J,match($A930,dna!$A:$A,0)))</f>
        <v/>
      </c>
      <c r="N930" t="str">
        <f t="array" ref="N930">iferror(index(stomachs!$G:$G,match($A930,stomachs!$A:$A,0)))</f>
        <v/>
      </c>
      <c r="O930" t="str">
        <f t="array" ref="O930">iferror(index(stomachs!$J:$J,match($A930,stomachs!$A:$A,0)))</f>
        <v/>
      </c>
      <c r="P930" t="str">
        <f t="array" ref="P930">iferror(index(sea_lice!$G:$G,match($A930,sea_lice!$A:$A,0)))</f>
        <v>BSL7-4</v>
      </c>
      <c r="Q930" t="str">
        <f t="array" ref="Q930">iferror(index(sea_lice!$J:$J,match($A930,sea_lice!$A:$A,0)))</f>
        <v>N</v>
      </c>
      <c r="R930" s="40" t="str">
        <f t="array" ref="R930">iferror(index(dissected_fish!$F:$F,match($A930,dissected_fish!$A:$A,0)))</f>
        <v>BCA108</v>
      </c>
      <c r="S930" s="40" t="str">
        <f t="array" ref="S930">iferror(index(dissected_fish!$K:$K,match($A930,dissected_fish!$A:$A,0)))</f>
        <v>N</v>
      </c>
      <c r="T930" s="61" t="str">
        <f t="array" ref="T930">index(fish_lab_data!O:O,match(A930,fish_lab_data!C:C,0))</f>
        <v>EJ</v>
      </c>
      <c r="U930" s="61">
        <f t="array" ref="U930">if(A930="","",index(fish_lab_data!X:X,match(A930,fish_lab_data!C:C,0)))</f>
        <v>929</v>
      </c>
    </row>
    <row r="931">
      <c r="A931" t="str">
        <f>fish_lab_data!C931</f>
        <v>U17976</v>
      </c>
      <c r="B931" t="str">
        <f t="array" ref="B931">iferror(index('rna-muscle'!$I:$I,match($A931,'rna-muscle'!$A:$A,0)))</f>
        <v>BRN70M-D12</v>
      </c>
      <c r="C931" t="str">
        <f t="array" ref="C931">iferror(index('rna-muscle'!$L:$L,match($A931,'rna-muscle'!$A:$A,0)))</f>
        <v>N</v>
      </c>
      <c r="D931" t="str">
        <f t="array" ref="D931">iferror(index('rna-gill'!$I:$I,match($A931,'rna-gill'!$A:$A,0)))</f>
        <v>BRN70G-D12</v>
      </c>
      <c r="E931" t="str">
        <f t="array" ref="E931">iferror(index('rna-gill'!$L:$L,match($A931,'rna-gill'!$A:$A,0)))</f>
        <v>N</v>
      </c>
      <c r="F931" t="str">
        <f t="array" ref="F931">iferror(index(fatty_acid!$G:$G,match($A931,fatty_acid!$A:$A,0)))</f>
        <v>BFA31-68</v>
      </c>
      <c r="G931" t="str">
        <f t="array" ref="G931">iferror(index(fatty_acid!$J:$J,match($A931,fatty_acid!$A:$A,0)))</f>
        <v>N</v>
      </c>
      <c r="H931" t="str">
        <f t="array" ref="H931">iferror(index(isotopes!$G:$G,match($A931,isotopes!$A:$A,0)))</f>
        <v>BIS34-10</v>
      </c>
      <c r="I931" t="str">
        <f t="array" ref="I931">iferror(index(isotopes!$J:$J,match($A931,isotopes!$A:$A,0)))</f>
        <v>N</v>
      </c>
      <c r="J931" t="str">
        <f t="array" ref="J931">iferror(index(extra_muscle!$G:$G,match($A931,extra_muscle!$A:$A,0)))</f>
        <v>BXM32-54</v>
      </c>
      <c r="K931" t="str">
        <f t="array" ref="K931">iferror(index(extra_muscle!$J:$J,match($A931,extra_muscle!$A:$A,0)))</f>
        <v>N</v>
      </c>
      <c r="L931" s="59" t="str">
        <f t="array" ref="L931">iferror(index(dna!$G:$G,match($A931,dna!$A:$A,0)))</f>
        <v/>
      </c>
      <c r="M931" s="60" t="str">
        <f t="array" ref="M931">iferror(index(dna!$J:$J,match($A931,dna!$A:$A,0)))</f>
        <v/>
      </c>
      <c r="N931" t="str">
        <f t="array" ref="N931">iferror(index(stomachs!$G:$G,match($A931,stomachs!$A:$A,0)))</f>
        <v/>
      </c>
      <c r="O931" t="str">
        <f t="array" ref="O931">iferror(index(stomachs!$J:$J,match($A931,stomachs!$A:$A,0)))</f>
        <v/>
      </c>
      <c r="P931" t="str">
        <f t="array" ref="P931">iferror(index(sea_lice!$G:$G,match($A931,sea_lice!$A:$A,0)))</f>
        <v>BSL7-6</v>
      </c>
      <c r="Q931" t="str">
        <f t="array" ref="Q931">iferror(index(sea_lice!$J:$J,match($A931,sea_lice!$A:$A,0)))</f>
        <v>N</v>
      </c>
      <c r="R931" s="40" t="str">
        <f t="array" ref="R931">iferror(index(dissected_fish!$F:$F,match($A931,dissected_fish!$A:$A,0)))</f>
        <v>BCA108</v>
      </c>
      <c r="S931" s="40" t="str">
        <f t="array" ref="S931">iferror(index(dissected_fish!$K:$K,match($A931,dissected_fish!$A:$A,0)))</f>
        <v>N</v>
      </c>
      <c r="T931" s="61" t="str">
        <f t="array" ref="T931">index(fish_lab_data!O:O,match(A931,fish_lab_data!C:C,0))</f>
        <v>EJ</v>
      </c>
      <c r="U931" s="61">
        <f t="array" ref="U931">if(A931="","",index(fish_lab_data!X:X,match(A931,fish_lab_data!C:C,0)))</f>
        <v>930</v>
      </c>
    </row>
    <row r="932">
      <c r="A932" t="str">
        <f>fish_lab_data!C932</f>
        <v>U17977</v>
      </c>
      <c r="B932" t="str">
        <f t="array" ref="B932">iferror(index('rna-muscle'!$I:$I,match($A932,'rna-muscle'!$A:$A,0)))</f>
        <v>BRN70M-C12</v>
      </c>
      <c r="C932" t="str">
        <f t="array" ref="C932">iferror(index('rna-muscle'!$L:$L,match($A932,'rna-muscle'!$A:$A,0)))</f>
        <v>N</v>
      </c>
      <c r="D932" t="str">
        <f t="array" ref="D932">iferror(index('rna-gill'!$I:$I,match($A932,'rna-gill'!$A:$A,0)))</f>
        <v>BRN70G-C12</v>
      </c>
      <c r="E932" t="str">
        <f t="array" ref="E932">iferror(index('rna-gill'!$L:$L,match($A932,'rna-gill'!$A:$A,0)))</f>
        <v>N</v>
      </c>
      <c r="F932" t="str">
        <f t="array" ref="F932">iferror(index(fatty_acid!$G:$G,match($A932,fatty_acid!$A:$A,0)))</f>
        <v>BFA31-69</v>
      </c>
      <c r="G932" t="str">
        <f t="array" ref="G932">iferror(index(fatty_acid!$J:$J,match($A932,fatty_acid!$A:$A,0)))</f>
        <v>N</v>
      </c>
      <c r="H932" t="str">
        <f t="array" ref="H932">iferror(index(isotopes!$G:$G,match($A932,isotopes!$A:$A,0)))</f>
        <v>BIS34-11</v>
      </c>
      <c r="I932" t="str">
        <f t="array" ref="I932">iferror(index(isotopes!$J:$J,match($A932,isotopes!$A:$A,0)))</f>
        <v>N</v>
      </c>
      <c r="J932" t="str">
        <f t="array" ref="J932">iferror(index(extra_muscle!$G:$G,match($A932,extra_muscle!$A:$A,0)))</f>
        <v>BXM32-55</v>
      </c>
      <c r="K932" t="str">
        <f t="array" ref="K932">iferror(index(extra_muscle!$J:$J,match($A932,extra_muscle!$A:$A,0)))</f>
        <v>N</v>
      </c>
      <c r="L932" s="59" t="str">
        <f t="array" ref="L932">iferror(index(dna!$G:$G,match($A932,dna!$A:$A,0)))</f>
        <v/>
      </c>
      <c r="M932" s="60" t="str">
        <f t="array" ref="M932">iferror(index(dna!$J:$J,match($A932,dna!$A:$A,0)))</f>
        <v/>
      </c>
      <c r="N932" t="str">
        <f t="array" ref="N932">iferror(index(stomachs!$G:$G,match($A932,stomachs!$A:$A,0)))</f>
        <v/>
      </c>
      <c r="O932" t="str">
        <f t="array" ref="O932">iferror(index(stomachs!$J:$J,match($A932,stomachs!$A:$A,0)))</f>
        <v/>
      </c>
      <c r="P932" t="str">
        <f t="array" ref="P932">iferror(index(sea_lice!$G:$G,match($A932,sea_lice!$A:$A,0)))</f>
        <v>BSL7-7</v>
      </c>
      <c r="Q932" t="str">
        <f t="array" ref="Q932">iferror(index(sea_lice!$J:$J,match($A932,sea_lice!$A:$A,0)))</f>
        <v>N</v>
      </c>
      <c r="R932" s="40" t="str">
        <f t="array" ref="R932">iferror(index(dissected_fish!$F:$F,match($A932,dissected_fish!$A:$A,0)))</f>
        <v>BCA108</v>
      </c>
      <c r="S932" s="40" t="str">
        <f t="array" ref="S932">iferror(index(dissected_fish!$K:$K,match($A932,dissected_fish!$A:$A,0)))</f>
        <v>N</v>
      </c>
      <c r="T932" s="61" t="str">
        <f t="array" ref="T932">index(fish_lab_data!O:O,match(A932,fish_lab_data!C:C,0))</f>
        <v>EJ</v>
      </c>
      <c r="U932" s="61">
        <f t="array" ref="U932">if(A932="","",index(fish_lab_data!X:X,match(A932,fish_lab_data!C:C,0)))</f>
        <v>931</v>
      </c>
    </row>
    <row r="933">
      <c r="A933" t="str">
        <f>fish_lab_data!C933</f>
        <v>U17978</v>
      </c>
      <c r="B933" t="str">
        <f t="array" ref="B933">iferror(index('rna-muscle'!$I:$I,match($A933,'rna-muscle'!$A:$A,0)))</f>
        <v>BRN70M-B12</v>
      </c>
      <c r="C933" t="str">
        <f t="array" ref="C933">iferror(index('rna-muscle'!$L:$L,match($A933,'rna-muscle'!$A:$A,0)))</f>
        <v>N</v>
      </c>
      <c r="D933" t="str">
        <f t="array" ref="D933">iferror(index('rna-gill'!$I:$I,match($A933,'rna-gill'!$A:$A,0)))</f>
        <v>BRN70G-B12</v>
      </c>
      <c r="E933" t="str">
        <f t="array" ref="E933">iferror(index('rna-gill'!$L:$L,match($A933,'rna-gill'!$A:$A,0)))</f>
        <v>N</v>
      </c>
      <c r="F933" t="str">
        <f t="array" ref="F933">iferror(index(fatty_acid!$G:$G,match($A933,fatty_acid!$A:$A,0)))</f>
        <v>BFA31-70</v>
      </c>
      <c r="G933" t="str">
        <f t="array" ref="G933">iferror(index(fatty_acid!$J:$J,match($A933,fatty_acid!$A:$A,0)))</f>
        <v>N</v>
      </c>
      <c r="H933" t="str">
        <f t="array" ref="H933">iferror(index(isotopes!$G:$G,match($A933,isotopes!$A:$A,0)))</f>
        <v>BIS34-12</v>
      </c>
      <c r="I933" t="str">
        <f t="array" ref="I933">iferror(index(isotopes!$J:$J,match($A933,isotopes!$A:$A,0)))</f>
        <v>N</v>
      </c>
      <c r="J933" t="str">
        <f t="array" ref="J933">iferror(index(extra_muscle!$G:$G,match($A933,extra_muscle!$A:$A,0)))</f>
        <v>BXM32-56</v>
      </c>
      <c r="K933" t="str">
        <f t="array" ref="K933">iferror(index(extra_muscle!$J:$J,match($A933,extra_muscle!$A:$A,0)))</f>
        <v>N</v>
      </c>
      <c r="L933" s="59" t="str">
        <f t="array" ref="L933">iferror(index(dna!$G:$G,match($A933,dna!$A:$A,0)))</f>
        <v/>
      </c>
      <c r="M933" s="60" t="str">
        <f t="array" ref="M933">iferror(index(dna!$J:$J,match($A933,dna!$A:$A,0)))</f>
        <v/>
      </c>
      <c r="N933" t="str">
        <f t="array" ref="N933">iferror(index(stomachs!$G:$G,match($A933,stomachs!$A:$A,0)))</f>
        <v/>
      </c>
      <c r="O933" t="str">
        <f t="array" ref="O933">iferror(index(stomachs!$J:$J,match($A933,stomachs!$A:$A,0)))</f>
        <v/>
      </c>
      <c r="P933" t="str">
        <f t="array" ref="P933">iferror(index(sea_lice!$G:$G,match($A933,sea_lice!$A:$A,0)))</f>
        <v/>
      </c>
      <c r="Q933" t="str">
        <f t="array" ref="Q933">iferror(index(sea_lice!$J:$J,match($A933,sea_lice!$A:$A,0)))</f>
        <v/>
      </c>
      <c r="R933" s="40" t="str">
        <f t="array" ref="R933">iferror(index(dissected_fish!$F:$F,match($A933,dissected_fish!$A:$A,0)))</f>
        <v>BCA108</v>
      </c>
      <c r="S933" s="40" t="str">
        <f t="array" ref="S933">iferror(index(dissected_fish!$K:$K,match($A933,dissected_fish!$A:$A,0)))</f>
        <v>N</v>
      </c>
      <c r="T933" s="61" t="str">
        <f t="array" ref="T933">index(fish_lab_data!O:O,match(A933,fish_lab_data!C:C,0))</f>
        <v>EJ</v>
      </c>
      <c r="U933" s="61">
        <f t="array" ref="U933">if(A933="","",index(fish_lab_data!X:X,match(A933,fish_lab_data!C:C,0)))</f>
        <v>932</v>
      </c>
    </row>
    <row r="934">
      <c r="A934" t="str">
        <f>fish_lab_data!C934</f>
        <v>U17979</v>
      </c>
      <c r="B934" t="str">
        <f t="array" ref="B934">iferror(index('rna-muscle'!$I:$I,match($A934,'rna-muscle'!$A:$A,0)))</f>
        <v>BRN70M-A12</v>
      </c>
      <c r="C934" t="str">
        <f t="array" ref="C934">iferror(index('rna-muscle'!$L:$L,match($A934,'rna-muscle'!$A:$A,0)))</f>
        <v>N</v>
      </c>
      <c r="D934" t="str">
        <f t="array" ref="D934">iferror(index('rna-gill'!$I:$I,match($A934,'rna-gill'!$A:$A,0)))</f>
        <v>BRN70G-A12</v>
      </c>
      <c r="E934" t="str">
        <f t="array" ref="E934">iferror(index('rna-gill'!$L:$L,match($A934,'rna-gill'!$A:$A,0)))</f>
        <v>N</v>
      </c>
      <c r="F934" t="str">
        <f t="array" ref="F934">iferror(index(fatty_acid!$G:$G,match($A934,fatty_acid!$A:$A,0)))</f>
        <v>BFA31-71</v>
      </c>
      <c r="G934" t="str">
        <f t="array" ref="G934">iferror(index(fatty_acid!$J:$J,match($A934,fatty_acid!$A:$A,0)))</f>
        <v>N</v>
      </c>
      <c r="H934" t="str">
        <f t="array" ref="H934">iferror(index(isotopes!$G:$G,match($A934,isotopes!$A:$A,0)))</f>
        <v>BIS34-13</v>
      </c>
      <c r="I934" t="str">
        <f t="array" ref="I934">iferror(index(isotopes!$J:$J,match($A934,isotopes!$A:$A,0)))</f>
        <v>N</v>
      </c>
      <c r="J934" t="str">
        <f t="array" ref="J934">iferror(index(extra_muscle!$G:$G,match($A934,extra_muscle!$A:$A,0)))</f>
        <v>BXM32-57</v>
      </c>
      <c r="K934" t="str">
        <f t="array" ref="K934">iferror(index(extra_muscle!$J:$J,match($A934,extra_muscle!$A:$A,0)))</f>
        <v>N</v>
      </c>
      <c r="L934" s="59" t="str">
        <f t="array" ref="L934">iferror(index(dna!$G:$G,match($A934,dna!$A:$A,0)))</f>
        <v/>
      </c>
      <c r="M934" s="60" t="str">
        <f t="array" ref="M934">iferror(index(dna!$J:$J,match($A934,dna!$A:$A,0)))</f>
        <v/>
      </c>
      <c r="N934" t="str">
        <f t="array" ref="N934">iferror(index(stomachs!$G:$G,match($A934,stomachs!$A:$A,0)))</f>
        <v/>
      </c>
      <c r="O934" t="str">
        <f t="array" ref="O934">iferror(index(stomachs!$J:$J,match($A934,stomachs!$A:$A,0)))</f>
        <v/>
      </c>
      <c r="P934" t="str">
        <f t="array" ref="P934">iferror(index(sea_lice!$G:$G,match($A934,sea_lice!$A:$A,0)))</f>
        <v>BSL7-8</v>
      </c>
      <c r="Q934" t="str">
        <f t="array" ref="Q934">iferror(index(sea_lice!$J:$J,match($A934,sea_lice!$A:$A,0)))</f>
        <v>N</v>
      </c>
      <c r="R934" s="40" t="str">
        <f t="array" ref="R934">iferror(index(dissected_fish!$F:$F,match($A934,dissected_fish!$A:$A,0)))</f>
        <v>BCA108</v>
      </c>
      <c r="S934" s="40" t="str">
        <f t="array" ref="S934">iferror(index(dissected_fish!$K:$K,match($A934,dissected_fish!$A:$A,0)))</f>
        <v>N</v>
      </c>
      <c r="T934" s="61" t="str">
        <f t="array" ref="T934">index(fish_lab_data!O:O,match(A934,fish_lab_data!C:C,0))</f>
        <v>EJ</v>
      </c>
      <c r="U934" s="61">
        <f t="array" ref="U934">if(A934="","",index(fish_lab_data!X:X,match(A934,fish_lab_data!C:C,0)))</f>
        <v>933</v>
      </c>
    </row>
    <row r="935">
      <c r="A935" t="str">
        <f>fish_lab_data!C935</f>
        <v>U17980</v>
      </c>
      <c r="B935" t="str">
        <f t="array" ref="B935">iferror(index('rna-muscle'!$I:$I,match($A935,'rna-muscle'!$A:$A,0)))</f>
        <v>BRN71M-H2</v>
      </c>
      <c r="C935" t="str">
        <f t="array" ref="C935">iferror(index('rna-muscle'!$L:$L,match($A935,'rna-muscle'!$A:$A,0)))</f>
        <v>N</v>
      </c>
      <c r="D935" t="str">
        <f t="array" ref="D935">iferror(index('rna-gill'!$I:$I,match($A935,'rna-gill'!$A:$A,0)))</f>
        <v>BRN71G-H2</v>
      </c>
      <c r="E935" t="str">
        <f t="array" ref="E935">iferror(index('rna-gill'!$L:$L,match($A935,'rna-gill'!$A:$A,0)))</f>
        <v>N</v>
      </c>
      <c r="F935" t="str">
        <f t="array" ref="F935">iferror(index(fatty_acid!$G:$G,match($A935,fatty_acid!$A:$A,0)))</f>
        <v>BFA31-72</v>
      </c>
      <c r="G935" t="str">
        <f t="array" ref="G935">iferror(index(fatty_acid!$J:$J,match($A935,fatty_acid!$A:$A,0)))</f>
        <v>N</v>
      </c>
      <c r="H935" t="str">
        <f t="array" ref="H935">iferror(index(isotopes!$G:$G,match($A935,isotopes!$A:$A,0)))</f>
        <v>BIS34-14</v>
      </c>
      <c r="I935" t="str">
        <f t="array" ref="I935">iferror(index(isotopes!$J:$J,match($A935,isotopes!$A:$A,0)))</f>
        <v>N</v>
      </c>
      <c r="J935" t="str">
        <f t="array" ref="J935">iferror(index(extra_muscle!$G:$G,match($A935,extra_muscle!$A:$A,0)))</f>
        <v>BXM32-58</v>
      </c>
      <c r="K935" t="str">
        <f t="array" ref="K935">iferror(index(extra_muscle!$J:$J,match($A935,extra_muscle!$A:$A,0)))</f>
        <v>N</v>
      </c>
      <c r="L935" s="59" t="str">
        <f t="array" ref="L935">iferror(index(dna!$G:$G,match($A935,dna!$A:$A,0)))</f>
        <v/>
      </c>
      <c r="M935" s="60" t="str">
        <f t="array" ref="M935">iferror(index(dna!$J:$J,match($A935,dna!$A:$A,0)))</f>
        <v/>
      </c>
      <c r="N935" t="str">
        <f t="array" ref="N935">iferror(index(stomachs!$G:$G,match($A935,stomachs!$A:$A,0)))</f>
        <v/>
      </c>
      <c r="O935" t="str">
        <f t="array" ref="O935">iferror(index(stomachs!$J:$J,match($A935,stomachs!$A:$A,0)))</f>
        <v/>
      </c>
      <c r="P935" t="str">
        <f t="array" ref="P935">iferror(index(sea_lice!$G:$G,match($A935,sea_lice!$A:$A,0)))</f>
        <v/>
      </c>
      <c r="Q935" t="str">
        <f t="array" ref="Q935">iferror(index(sea_lice!$J:$J,match($A935,sea_lice!$A:$A,0)))</f>
        <v/>
      </c>
      <c r="R935" s="40" t="str">
        <f t="array" ref="R935">iferror(index(dissected_fish!$F:$F,match($A935,dissected_fish!$A:$A,0)))</f>
        <v>BCA108</v>
      </c>
      <c r="S935" s="40" t="str">
        <f t="array" ref="S935">iferror(index(dissected_fish!$K:$K,match($A935,dissected_fish!$A:$A,0)))</f>
        <v>N</v>
      </c>
      <c r="T935" s="61" t="str">
        <f t="array" ref="T935">index(fish_lab_data!O:O,match(A935,fish_lab_data!C:C,0))</f>
        <v>EJ</v>
      </c>
      <c r="U935" s="61">
        <f t="array" ref="U935">if(A935="","",index(fish_lab_data!X:X,match(A935,fish_lab_data!C:C,0)))</f>
        <v>934</v>
      </c>
    </row>
    <row r="936">
      <c r="A936" t="str">
        <f>fish_lab_data!C936</f>
        <v>U17561</v>
      </c>
      <c r="B936" t="str">
        <f t="array" ref="B936">iferror(index('rna-muscle'!$I:$I,match($A936,'rna-muscle'!$A:$A,0)))</f>
        <v>BRN71M-G2</v>
      </c>
      <c r="C936" t="str">
        <f t="array" ref="C936">iferror(index('rna-muscle'!$L:$L,match($A936,'rna-muscle'!$A:$A,0)))</f>
        <v>N</v>
      </c>
      <c r="D936" t="str">
        <f t="array" ref="D936">iferror(index('rna-gill'!$I:$I,match($A936,'rna-gill'!$A:$A,0)))</f>
        <v>BRN71G-G2</v>
      </c>
      <c r="E936" t="str">
        <f t="array" ref="E936">iferror(index('rna-gill'!$L:$L,match($A936,'rna-gill'!$A:$A,0)))</f>
        <v>N</v>
      </c>
      <c r="F936" t="str">
        <f t="array" ref="F936">iferror(index(fatty_acid!$G:$G,match($A936,fatty_acid!$A:$A,0)))</f>
        <v>BFA31-73</v>
      </c>
      <c r="G936" t="str">
        <f t="array" ref="G936">iferror(index(fatty_acid!$J:$J,match($A936,fatty_acid!$A:$A,0)))</f>
        <v>N</v>
      </c>
      <c r="H936" t="str">
        <f t="array" ref="H936">iferror(index(isotopes!$G:$G,match($A936,isotopes!$A:$A,0)))</f>
        <v>BIS34-15</v>
      </c>
      <c r="I936" t="str">
        <f t="array" ref="I936">iferror(index(isotopes!$J:$J,match($A936,isotopes!$A:$A,0)))</f>
        <v>N</v>
      </c>
      <c r="J936" t="str">
        <f t="array" ref="J936">iferror(index(extra_muscle!$G:$G,match($A936,extra_muscle!$A:$A,0)))</f>
        <v>BXM32-59</v>
      </c>
      <c r="K936" t="str">
        <f t="array" ref="K936">iferror(index(extra_muscle!$J:$J,match($A936,extra_muscle!$A:$A,0)))</f>
        <v>N</v>
      </c>
      <c r="L936" s="59" t="str">
        <f t="array" ref="L936">iferror(index(dna!$G:$G,match($A936,dna!$A:$A,0)))</f>
        <v/>
      </c>
      <c r="M936" s="60" t="str">
        <f t="array" ref="M936">iferror(index(dna!$J:$J,match($A936,dna!$A:$A,0)))</f>
        <v/>
      </c>
      <c r="N936" t="str">
        <f t="array" ref="N936">iferror(index(stomachs!$G:$G,match($A936,stomachs!$A:$A,0)))</f>
        <v/>
      </c>
      <c r="O936" t="str">
        <f t="array" ref="O936">iferror(index(stomachs!$J:$J,match($A936,stomachs!$A:$A,0)))</f>
        <v/>
      </c>
      <c r="P936" t="str">
        <f t="array" ref="P936">iferror(index(sea_lice!$G:$G,match($A936,sea_lice!$A:$A,0)))</f>
        <v/>
      </c>
      <c r="Q936" t="str">
        <f t="array" ref="Q936">iferror(index(sea_lice!$J:$J,match($A936,sea_lice!$A:$A,0)))</f>
        <v/>
      </c>
      <c r="R936" s="40" t="str">
        <f t="array" ref="R936">iferror(index(dissected_fish!$F:$F,match($A936,dissected_fish!$A:$A,0)))</f>
        <v>BCA108</v>
      </c>
      <c r="S936" s="40" t="str">
        <f t="array" ref="S936">iferror(index(dissected_fish!$K:$K,match($A936,dissected_fish!$A:$A,0)))</f>
        <v>N</v>
      </c>
      <c r="T936" s="61" t="str">
        <f t="array" ref="T936">index(fish_lab_data!O:O,match(A936,fish_lab_data!C:C,0))</f>
        <v>EJ</v>
      </c>
      <c r="U936" s="61">
        <f t="array" ref="U936">if(A936="","",index(fish_lab_data!X:X,match(A936,fish_lab_data!C:C,0)))</f>
        <v>935</v>
      </c>
    </row>
    <row r="937">
      <c r="A937" t="str">
        <f>fish_lab_data!C937</f>
        <v>U17562</v>
      </c>
      <c r="B937" t="str">
        <f t="array" ref="B937">iferror(index('rna-muscle'!$I:$I,match($A937,'rna-muscle'!$A:$A,0)))</f>
        <v>BRN71M-F2</v>
      </c>
      <c r="C937" t="str">
        <f t="array" ref="C937">iferror(index('rna-muscle'!$L:$L,match($A937,'rna-muscle'!$A:$A,0)))</f>
        <v>N</v>
      </c>
      <c r="D937" t="str">
        <f t="array" ref="D937">iferror(index('rna-gill'!$I:$I,match($A937,'rna-gill'!$A:$A,0)))</f>
        <v>BRN71G-F2</v>
      </c>
      <c r="E937" t="str">
        <f t="array" ref="E937">iferror(index('rna-gill'!$L:$L,match($A937,'rna-gill'!$A:$A,0)))</f>
        <v>N</v>
      </c>
      <c r="F937" t="str">
        <f t="array" ref="F937">iferror(index(fatty_acid!$G:$G,match($A937,fatty_acid!$A:$A,0)))</f>
        <v>BFA31-74</v>
      </c>
      <c r="G937" t="str">
        <f t="array" ref="G937">iferror(index(fatty_acid!$J:$J,match($A937,fatty_acid!$A:$A,0)))</f>
        <v>N</v>
      </c>
      <c r="H937" t="str">
        <f t="array" ref="H937">iferror(index(isotopes!$G:$G,match($A937,isotopes!$A:$A,0)))</f>
        <v>BIS34-16</v>
      </c>
      <c r="I937" t="str">
        <f t="array" ref="I937">iferror(index(isotopes!$J:$J,match($A937,isotopes!$A:$A,0)))</f>
        <v>N</v>
      </c>
      <c r="J937" t="str">
        <f t="array" ref="J937">iferror(index(extra_muscle!$G:$G,match($A937,extra_muscle!$A:$A,0)))</f>
        <v>BXM32-60</v>
      </c>
      <c r="K937" t="str">
        <f t="array" ref="K937">iferror(index(extra_muscle!$J:$J,match($A937,extra_muscle!$A:$A,0)))</f>
        <v>N</v>
      </c>
      <c r="L937" s="59" t="str">
        <f t="array" ref="L937">iferror(index(dna!$G:$G,match($A937,dna!$A:$A,0)))</f>
        <v/>
      </c>
      <c r="M937" s="60" t="str">
        <f t="array" ref="M937">iferror(index(dna!$J:$J,match($A937,dna!$A:$A,0)))</f>
        <v/>
      </c>
      <c r="N937" t="str">
        <f t="array" ref="N937">iferror(index(stomachs!$G:$G,match($A937,stomachs!$A:$A,0)))</f>
        <v/>
      </c>
      <c r="O937" t="str">
        <f t="array" ref="O937">iferror(index(stomachs!$J:$J,match($A937,stomachs!$A:$A,0)))</f>
        <v/>
      </c>
      <c r="P937" t="str">
        <f t="array" ref="P937">iferror(index(sea_lice!$G:$G,match($A937,sea_lice!$A:$A,0)))</f>
        <v/>
      </c>
      <c r="Q937" t="str">
        <f t="array" ref="Q937">iferror(index(sea_lice!$J:$J,match($A937,sea_lice!$A:$A,0)))</f>
        <v/>
      </c>
      <c r="R937" s="40" t="str">
        <f t="array" ref="R937">iferror(index(dissected_fish!$F:$F,match($A937,dissected_fish!$A:$A,0)))</f>
        <v>BCA108</v>
      </c>
      <c r="S937" s="40" t="str">
        <f t="array" ref="S937">iferror(index(dissected_fish!$K:$K,match($A937,dissected_fish!$A:$A,0)))</f>
        <v>N</v>
      </c>
      <c r="T937" s="61" t="str">
        <f t="array" ref="T937">index(fish_lab_data!O:O,match(A937,fish_lab_data!C:C,0))</f>
        <v>EJ</v>
      </c>
      <c r="U937" s="61">
        <f t="array" ref="U937">if(A937="","",index(fish_lab_data!X:X,match(A937,fish_lab_data!C:C,0)))</f>
        <v>936</v>
      </c>
    </row>
    <row r="938">
      <c r="A938" t="str">
        <f>fish_lab_data!C938</f>
        <v>U17563</v>
      </c>
      <c r="B938" t="str">
        <f t="array" ref="B938">iferror(index('rna-muscle'!$I:$I,match($A938,'rna-muscle'!$A:$A,0)))</f>
        <v>BRN71M-E2</v>
      </c>
      <c r="C938" t="str">
        <f t="array" ref="C938">iferror(index('rna-muscle'!$L:$L,match($A938,'rna-muscle'!$A:$A,0)))</f>
        <v>N</v>
      </c>
      <c r="D938" t="str">
        <f t="array" ref="D938">iferror(index('rna-gill'!$I:$I,match($A938,'rna-gill'!$A:$A,0)))</f>
        <v>BRN71G-E2</v>
      </c>
      <c r="E938" t="str">
        <f t="array" ref="E938">iferror(index('rna-gill'!$L:$L,match($A938,'rna-gill'!$A:$A,0)))</f>
        <v>N</v>
      </c>
      <c r="F938" t="str">
        <f t="array" ref="F938">iferror(index(fatty_acid!$G:$G,match($A938,fatty_acid!$A:$A,0)))</f>
        <v>BFA31-75</v>
      </c>
      <c r="G938" t="str">
        <f t="array" ref="G938">iferror(index(fatty_acid!$J:$J,match($A938,fatty_acid!$A:$A,0)))</f>
        <v>N</v>
      </c>
      <c r="H938" t="str">
        <f t="array" ref="H938">iferror(index(isotopes!$G:$G,match($A938,isotopes!$A:$A,0)))</f>
        <v>BIS34-17</v>
      </c>
      <c r="I938" t="str">
        <f t="array" ref="I938">iferror(index(isotopes!$J:$J,match($A938,isotopes!$A:$A,0)))</f>
        <v>N</v>
      </c>
      <c r="J938" t="str">
        <f t="array" ref="J938">iferror(index(extra_muscle!$G:$G,match($A938,extra_muscle!$A:$A,0)))</f>
        <v>BXM32-61</v>
      </c>
      <c r="K938" t="str">
        <f t="array" ref="K938">iferror(index(extra_muscle!$J:$J,match($A938,extra_muscle!$A:$A,0)))</f>
        <v>N</v>
      </c>
      <c r="L938" s="59" t="str">
        <f t="array" ref="L938">iferror(index(dna!$G:$G,match($A938,dna!$A:$A,0)))</f>
        <v/>
      </c>
      <c r="M938" s="60" t="str">
        <f t="array" ref="M938">iferror(index(dna!$J:$J,match($A938,dna!$A:$A,0)))</f>
        <v/>
      </c>
      <c r="N938" t="str">
        <f t="array" ref="N938">iferror(index(stomachs!$G:$G,match($A938,stomachs!$A:$A,0)))</f>
        <v/>
      </c>
      <c r="O938" t="str">
        <f t="array" ref="O938">iferror(index(stomachs!$J:$J,match($A938,stomachs!$A:$A,0)))</f>
        <v/>
      </c>
      <c r="P938" t="str">
        <f t="array" ref="P938">iferror(index(sea_lice!$G:$G,match($A938,sea_lice!$A:$A,0)))</f>
        <v>BSL7-11</v>
      </c>
      <c r="Q938" t="str">
        <f t="array" ref="Q938">iferror(index(sea_lice!$J:$J,match($A938,sea_lice!$A:$A,0)))</f>
        <v>N</v>
      </c>
      <c r="R938" s="40" t="str">
        <f t="array" ref="R938">iferror(index(dissected_fish!$F:$F,match($A938,dissected_fish!$A:$A,0)))</f>
        <v>BCA108</v>
      </c>
      <c r="S938" s="40" t="str">
        <f t="array" ref="S938">iferror(index(dissected_fish!$K:$K,match($A938,dissected_fish!$A:$A,0)))</f>
        <v>N</v>
      </c>
      <c r="T938" s="61" t="str">
        <f t="array" ref="T938">index(fish_lab_data!O:O,match(A938,fish_lab_data!C:C,0))</f>
        <v>EJ</v>
      </c>
      <c r="U938" s="61">
        <f t="array" ref="U938">if(A938="","",index(fish_lab_data!X:X,match(A938,fish_lab_data!C:C,0)))</f>
        <v>937</v>
      </c>
    </row>
    <row r="939">
      <c r="A939" t="str">
        <f>fish_lab_data!C939</f>
        <v>U17564</v>
      </c>
      <c r="B939" t="str">
        <f t="array" ref="B939">iferror(index('rna-muscle'!$I:$I,match($A939,'rna-muscle'!$A:$A,0)))</f>
        <v>BRN71M-D2</v>
      </c>
      <c r="C939" t="str">
        <f t="array" ref="C939">iferror(index('rna-muscle'!$L:$L,match($A939,'rna-muscle'!$A:$A,0)))</f>
        <v>N</v>
      </c>
      <c r="D939" t="str">
        <f t="array" ref="D939">iferror(index('rna-gill'!$I:$I,match($A939,'rna-gill'!$A:$A,0)))</f>
        <v>BRN71G-D2</v>
      </c>
      <c r="E939" t="str">
        <f t="array" ref="E939">iferror(index('rna-gill'!$L:$L,match($A939,'rna-gill'!$A:$A,0)))</f>
        <v>N</v>
      </c>
      <c r="F939" t="str">
        <f t="array" ref="F939">iferror(index(fatty_acid!$G:$G,match($A939,fatty_acid!$A:$A,0)))</f>
        <v>BFA31-76</v>
      </c>
      <c r="G939" t="str">
        <f t="array" ref="G939">iferror(index(fatty_acid!$J:$J,match($A939,fatty_acid!$A:$A,0)))</f>
        <v>N</v>
      </c>
      <c r="H939" t="str">
        <f t="array" ref="H939">iferror(index(isotopes!$G:$G,match($A939,isotopes!$A:$A,0)))</f>
        <v>BIS34-18</v>
      </c>
      <c r="I939" t="str">
        <f t="array" ref="I939">iferror(index(isotopes!$J:$J,match($A939,isotopes!$A:$A,0)))</f>
        <v>N</v>
      </c>
      <c r="J939" t="str">
        <f t="array" ref="J939">iferror(index(extra_muscle!$G:$G,match($A939,extra_muscle!$A:$A,0)))</f>
        <v>BXM32-62</v>
      </c>
      <c r="K939" t="str">
        <f t="array" ref="K939">iferror(index(extra_muscle!$J:$J,match($A939,extra_muscle!$A:$A,0)))</f>
        <v>N</v>
      </c>
      <c r="L939" s="59" t="str">
        <f t="array" ref="L939">iferror(index(dna!$G:$G,match($A939,dna!$A:$A,0)))</f>
        <v/>
      </c>
      <c r="M939" s="60" t="str">
        <f t="array" ref="M939">iferror(index(dna!$J:$J,match($A939,dna!$A:$A,0)))</f>
        <v/>
      </c>
      <c r="N939" t="str">
        <f t="array" ref="N939">iferror(index(stomachs!$G:$G,match($A939,stomachs!$A:$A,0)))</f>
        <v/>
      </c>
      <c r="O939" t="str">
        <f t="array" ref="O939">iferror(index(stomachs!$J:$J,match($A939,stomachs!$A:$A,0)))</f>
        <v/>
      </c>
      <c r="P939" t="str">
        <f t="array" ref="P939">iferror(index(sea_lice!$G:$G,match($A939,sea_lice!$A:$A,0)))</f>
        <v/>
      </c>
      <c r="Q939" t="str">
        <f t="array" ref="Q939">iferror(index(sea_lice!$J:$J,match($A939,sea_lice!$A:$A,0)))</f>
        <v/>
      </c>
      <c r="R939" s="40" t="str">
        <f t="array" ref="R939">iferror(index(dissected_fish!$F:$F,match($A939,dissected_fish!$A:$A,0)))</f>
        <v>BCA108</v>
      </c>
      <c r="S939" s="40" t="str">
        <f t="array" ref="S939">iferror(index(dissected_fish!$K:$K,match($A939,dissected_fish!$A:$A,0)))</f>
        <v>N</v>
      </c>
      <c r="T939" s="61" t="str">
        <f t="array" ref="T939">index(fish_lab_data!O:O,match(A939,fish_lab_data!C:C,0))</f>
        <v>EJ</v>
      </c>
      <c r="U939" s="61">
        <f t="array" ref="U939">if(A939="","",index(fish_lab_data!X:X,match(A939,fish_lab_data!C:C,0)))</f>
        <v>938</v>
      </c>
    </row>
    <row r="940">
      <c r="A940" t="str">
        <f>fish_lab_data!C940</f>
        <v>U17565</v>
      </c>
      <c r="B940" t="str">
        <f t="array" ref="B940">iferror(index('rna-muscle'!$I:$I,match($A940,'rna-muscle'!$A:$A,0)))</f>
        <v>BRN71M-C2</v>
      </c>
      <c r="C940" t="str">
        <f t="array" ref="C940">iferror(index('rna-muscle'!$L:$L,match($A940,'rna-muscle'!$A:$A,0)))</f>
        <v>N</v>
      </c>
      <c r="D940" t="str">
        <f t="array" ref="D940">iferror(index('rna-gill'!$I:$I,match($A940,'rna-gill'!$A:$A,0)))</f>
        <v>BRN71G-C2</v>
      </c>
      <c r="E940" t="str">
        <f t="array" ref="E940">iferror(index('rna-gill'!$L:$L,match($A940,'rna-gill'!$A:$A,0)))</f>
        <v>N</v>
      </c>
      <c r="F940" t="str">
        <f t="array" ref="F940">iferror(index(fatty_acid!$G:$G,match($A940,fatty_acid!$A:$A,0)))</f>
        <v>BFA31-77</v>
      </c>
      <c r="G940" t="str">
        <f t="array" ref="G940">iferror(index(fatty_acid!$J:$J,match($A940,fatty_acid!$A:$A,0)))</f>
        <v>N</v>
      </c>
      <c r="H940" t="str">
        <f t="array" ref="H940">iferror(index(isotopes!$G:$G,match($A940,isotopes!$A:$A,0)))</f>
        <v>BIS34-19</v>
      </c>
      <c r="I940" t="str">
        <f t="array" ref="I940">iferror(index(isotopes!$J:$J,match($A940,isotopes!$A:$A,0)))</f>
        <v>N</v>
      </c>
      <c r="J940" t="str">
        <f t="array" ref="J940">iferror(index(extra_muscle!$G:$G,match($A940,extra_muscle!$A:$A,0)))</f>
        <v>BXM32-63</v>
      </c>
      <c r="K940" t="str">
        <f t="array" ref="K940">iferror(index(extra_muscle!$J:$J,match($A940,extra_muscle!$A:$A,0)))</f>
        <v>N</v>
      </c>
      <c r="L940" s="59" t="str">
        <f t="array" ref="L940">iferror(index(dna!$G:$G,match($A940,dna!$A:$A,0)))</f>
        <v/>
      </c>
      <c r="M940" s="60" t="str">
        <f t="array" ref="M940">iferror(index(dna!$J:$J,match($A940,dna!$A:$A,0)))</f>
        <v/>
      </c>
      <c r="N940" t="str">
        <f t="array" ref="N940">iferror(index(stomachs!$G:$G,match($A940,stomachs!$A:$A,0)))</f>
        <v/>
      </c>
      <c r="O940" t="str">
        <f t="array" ref="O940">iferror(index(stomachs!$J:$J,match($A940,stomachs!$A:$A,0)))</f>
        <v/>
      </c>
      <c r="P940" t="str">
        <f t="array" ref="P940">iferror(index(sea_lice!$G:$G,match($A940,sea_lice!$A:$A,0)))</f>
        <v/>
      </c>
      <c r="Q940" t="str">
        <f t="array" ref="Q940">iferror(index(sea_lice!$J:$J,match($A940,sea_lice!$A:$A,0)))</f>
        <v/>
      </c>
      <c r="R940" s="40" t="str">
        <f t="array" ref="R940">iferror(index(dissected_fish!$F:$F,match($A940,dissected_fish!$A:$A,0)))</f>
        <v>BCA108</v>
      </c>
      <c r="S940" s="40" t="str">
        <f t="array" ref="S940">iferror(index(dissected_fish!$K:$K,match($A940,dissected_fish!$A:$A,0)))</f>
        <v>N</v>
      </c>
      <c r="T940" s="61" t="str">
        <f t="array" ref="T940">index(fish_lab_data!O:O,match(A940,fish_lab_data!C:C,0))</f>
        <v>EJ</v>
      </c>
      <c r="U940" s="61">
        <f t="array" ref="U940">if(A940="","",index(fish_lab_data!X:X,match(A940,fish_lab_data!C:C,0)))</f>
        <v>939</v>
      </c>
    </row>
    <row r="941">
      <c r="A941" t="str">
        <f>fish_lab_data!C941</f>
        <v>U17566</v>
      </c>
      <c r="B941" t="str">
        <f t="array" ref="B941">iferror(index('rna-muscle'!$I:$I,match($A941,'rna-muscle'!$A:$A,0)))</f>
        <v>BRN71M-B2</v>
      </c>
      <c r="C941" t="str">
        <f t="array" ref="C941">iferror(index('rna-muscle'!$L:$L,match($A941,'rna-muscle'!$A:$A,0)))</f>
        <v>N</v>
      </c>
      <c r="D941" t="str">
        <f t="array" ref="D941">iferror(index('rna-gill'!$I:$I,match($A941,'rna-gill'!$A:$A,0)))</f>
        <v>BRN71G-B2</v>
      </c>
      <c r="E941" t="str">
        <f t="array" ref="E941">iferror(index('rna-gill'!$L:$L,match($A941,'rna-gill'!$A:$A,0)))</f>
        <v>N</v>
      </c>
      <c r="F941" t="str">
        <f t="array" ref="F941">iferror(index(fatty_acid!$G:$G,match($A941,fatty_acid!$A:$A,0)))</f>
        <v>BFA31-78</v>
      </c>
      <c r="G941" t="str">
        <f t="array" ref="G941">iferror(index(fatty_acid!$J:$J,match($A941,fatty_acid!$A:$A,0)))</f>
        <v>N</v>
      </c>
      <c r="H941" t="str">
        <f t="array" ref="H941">iferror(index(isotopes!$G:$G,match($A941,isotopes!$A:$A,0)))</f>
        <v>BIS34-20</v>
      </c>
      <c r="I941" t="str">
        <f t="array" ref="I941">iferror(index(isotopes!$J:$J,match($A941,isotopes!$A:$A,0)))</f>
        <v>N</v>
      </c>
      <c r="J941" t="str">
        <f t="array" ref="J941">iferror(index(extra_muscle!$G:$G,match($A941,extra_muscle!$A:$A,0)))</f>
        <v>BXM32-64</v>
      </c>
      <c r="K941" t="str">
        <f t="array" ref="K941">iferror(index(extra_muscle!$J:$J,match($A941,extra_muscle!$A:$A,0)))</f>
        <v>N</v>
      </c>
      <c r="L941" s="59" t="str">
        <f t="array" ref="L941">iferror(index(dna!$G:$G,match($A941,dna!$A:$A,0)))</f>
        <v/>
      </c>
      <c r="M941" s="60" t="str">
        <f t="array" ref="M941">iferror(index(dna!$J:$J,match($A941,dna!$A:$A,0)))</f>
        <v/>
      </c>
      <c r="N941" t="str">
        <f t="array" ref="N941">iferror(index(stomachs!$G:$G,match($A941,stomachs!$A:$A,0)))</f>
        <v/>
      </c>
      <c r="O941" t="str">
        <f t="array" ref="O941">iferror(index(stomachs!$J:$J,match($A941,stomachs!$A:$A,0)))</f>
        <v/>
      </c>
      <c r="P941" t="str">
        <f t="array" ref="P941">iferror(index(sea_lice!$G:$G,match($A941,sea_lice!$A:$A,0)))</f>
        <v>BSL7-13</v>
      </c>
      <c r="Q941" t="str">
        <f t="array" ref="Q941">iferror(index(sea_lice!$J:$J,match($A941,sea_lice!$A:$A,0)))</f>
        <v>N</v>
      </c>
      <c r="R941" s="40" t="str">
        <f t="array" ref="R941">iferror(index(dissected_fish!$F:$F,match($A941,dissected_fish!$A:$A,0)))</f>
        <v>BCA108</v>
      </c>
      <c r="S941" s="40" t="str">
        <f t="array" ref="S941">iferror(index(dissected_fish!$K:$K,match($A941,dissected_fish!$A:$A,0)))</f>
        <v>N</v>
      </c>
      <c r="T941" s="61" t="str">
        <f t="array" ref="T941">index(fish_lab_data!O:O,match(A941,fish_lab_data!C:C,0))</f>
        <v>EJ</v>
      </c>
      <c r="U941" s="61">
        <f t="array" ref="U941">if(A941="","",index(fish_lab_data!X:X,match(A941,fish_lab_data!C:C,0)))</f>
        <v>940</v>
      </c>
    </row>
    <row r="942">
      <c r="A942" t="str">
        <f>fish_lab_data!C942</f>
        <v>U17568</v>
      </c>
      <c r="B942" t="str">
        <f t="array" ref="B942">iferror(index('rna-muscle'!$I:$I,match($A942,'rna-muscle'!$A:$A,0)))</f>
        <v>BRN71M-A2</v>
      </c>
      <c r="C942" t="str">
        <f t="array" ref="C942">iferror(index('rna-muscle'!$L:$L,match($A942,'rna-muscle'!$A:$A,0)))</f>
        <v>N</v>
      </c>
      <c r="D942" t="str">
        <f t="array" ref="D942">iferror(index('rna-gill'!$I:$I,match($A942,'rna-gill'!$A:$A,0)))</f>
        <v>BRN71G-A2</v>
      </c>
      <c r="E942" t="str">
        <f t="array" ref="E942">iferror(index('rna-gill'!$L:$L,match($A942,'rna-gill'!$A:$A,0)))</f>
        <v>N</v>
      </c>
      <c r="F942" t="str">
        <f t="array" ref="F942">iferror(index(fatty_acid!$G:$G,match($A942,fatty_acid!$A:$A,0)))</f>
        <v>BFA31-79</v>
      </c>
      <c r="G942" t="str">
        <f t="array" ref="G942">iferror(index(fatty_acid!$J:$J,match($A942,fatty_acid!$A:$A,0)))</f>
        <v>N</v>
      </c>
      <c r="H942" t="str">
        <f t="array" ref="H942">iferror(index(isotopes!$G:$G,match($A942,isotopes!$A:$A,0)))</f>
        <v>BIS34-21</v>
      </c>
      <c r="I942" t="str">
        <f t="array" ref="I942">iferror(index(isotopes!$J:$J,match($A942,isotopes!$A:$A,0)))</f>
        <v>N</v>
      </c>
      <c r="J942" t="str">
        <f t="array" ref="J942">iferror(index(extra_muscle!$G:$G,match($A942,extra_muscle!$A:$A,0)))</f>
        <v>BXM32-65</v>
      </c>
      <c r="K942" t="str">
        <f t="array" ref="K942">iferror(index(extra_muscle!$J:$J,match($A942,extra_muscle!$A:$A,0)))</f>
        <v>N</v>
      </c>
      <c r="L942" s="59" t="str">
        <f t="array" ref="L942">iferror(index(dna!$G:$G,match($A942,dna!$A:$A,0)))</f>
        <v/>
      </c>
      <c r="M942" s="60" t="str">
        <f t="array" ref="M942">iferror(index(dna!$J:$J,match($A942,dna!$A:$A,0)))</f>
        <v/>
      </c>
      <c r="N942" t="str">
        <f t="array" ref="N942">iferror(index(stomachs!$G:$G,match($A942,stomachs!$A:$A,0)))</f>
        <v/>
      </c>
      <c r="O942" t="str">
        <f t="array" ref="O942">iferror(index(stomachs!$J:$J,match($A942,stomachs!$A:$A,0)))</f>
        <v/>
      </c>
      <c r="P942" t="str">
        <f t="array" ref="P942">iferror(index(sea_lice!$G:$G,match($A942,sea_lice!$A:$A,0)))</f>
        <v/>
      </c>
      <c r="Q942" t="str">
        <f t="array" ref="Q942">iferror(index(sea_lice!$J:$J,match($A942,sea_lice!$A:$A,0)))</f>
        <v/>
      </c>
      <c r="R942" s="40" t="str">
        <f t="array" ref="R942">iferror(index(dissected_fish!$F:$F,match($A942,dissected_fish!$A:$A,0)))</f>
        <v>BCA108</v>
      </c>
      <c r="S942" s="40" t="str">
        <f t="array" ref="S942">iferror(index(dissected_fish!$K:$K,match($A942,dissected_fish!$A:$A,0)))</f>
        <v>N</v>
      </c>
      <c r="T942" s="61" t="str">
        <f t="array" ref="T942">index(fish_lab_data!O:O,match(A942,fish_lab_data!C:C,0))</f>
        <v>EJ</v>
      </c>
      <c r="U942" s="61">
        <f t="array" ref="U942">if(A942="","",index(fish_lab_data!X:X,match(A942,fish_lab_data!C:C,0)))</f>
        <v>941</v>
      </c>
    </row>
    <row r="943">
      <c r="A943" t="str">
        <f>fish_lab_data!C943</f>
        <v>U17567</v>
      </c>
      <c r="B943" t="str">
        <f t="array" ref="B943">iferror(index('rna-muscle'!$I:$I,match($A943,'rna-muscle'!$A:$A,0)))</f>
        <v>BRN71M-H3</v>
      </c>
      <c r="C943" t="str">
        <f t="array" ref="C943">iferror(index('rna-muscle'!$L:$L,match($A943,'rna-muscle'!$A:$A,0)))</f>
        <v>N</v>
      </c>
      <c r="D943" t="str">
        <f t="array" ref="D943">iferror(index('rna-gill'!$I:$I,match($A943,'rna-gill'!$A:$A,0)))</f>
        <v>BRN71G-H3</v>
      </c>
      <c r="E943" t="str">
        <f t="array" ref="E943">iferror(index('rna-gill'!$L:$L,match($A943,'rna-gill'!$A:$A,0)))</f>
        <v>N</v>
      </c>
      <c r="F943" t="str">
        <f t="array" ref="F943">iferror(index(fatty_acid!$G:$G,match($A943,fatty_acid!$A:$A,0)))</f>
        <v>BFA31-80</v>
      </c>
      <c r="G943" t="str">
        <f t="array" ref="G943">iferror(index(fatty_acid!$J:$J,match($A943,fatty_acid!$A:$A,0)))</f>
        <v>N</v>
      </c>
      <c r="H943" t="str">
        <f t="array" ref="H943">iferror(index(isotopes!$G:$G,match($A943,isotopes!$A:$A,0)))</f>
        <v>BIS34-22</v>
      </c>
      <c r="I943" t="str">
        <f t="array" ref="I943">iferror(index(isotopes!$J:$J,match($A943,isotopes!$A:$A,0)))</f>
        <v>N</v>
      </c>
      <c r="J943" t="str">
        <f t="array" ref="J943">iferror(index(extra_muscle!$G:$G,match($A943,extra_muscle!$A:$A,0)))</f>
        <v>BXM32-66</v>
      </c>
      <c r="K943" t="str">
        <f t="array" ref="K943">iferror(index(extra_muscle!$J:$J,match($A943,extra_muscle!$A:$A,0)))</f>
        <v>N</v>
      </c>
      <c r="L943" s="59" t="str">
        <f t="array" ref="L943">iferror(index(dna!$G:$G,match($A943,dna!$A:$A,0)))</f>
        <v/>
      </c>
      <c r="M943" s="60" t="str">
        <f t="array" ref="M943">iferror(index(dna!$J:$J,match($A943,dna!$A:$A,0)))</f>
        <v/>
      </c>
      <c r="N943" t="str">
        <f t="array" ref="N943">iferror(index(stomachs!$G:$G,match($A943,stomachs!$A:$A,0)))</f>
        <v/>
      </c>
      <c r="O943" t="str">
        <f t="array" ref="O943">iferror(index(stomachs!$J:$J,match($A943,stomachs!$A:$A,0)))</f>
        <v/>
      </c>
      <c r="P943" t="str">
        <f t="array" ref="P943">iferror(index(sea_lice!$G:$G,match($A943,sea_lice!$A:$A,0)))</f>
        <v/>
      </c>
      <c r="Q943" t="str">
        <f t="array" ref="Q943">iferror(index(sea_lice!$J:$J,match($A943,sea_lice!$A:$A,0)))</f>
        <v/>
      </c>
      <c r="R943" s="40" t="str">
        <f t="array" ref="R943">iferror(index(dissected_fish!$F:$F,match($A943,dissected_fish!$A:$A,0)))</f>
        <v>BCA108</v>
      </c>
      <c r="S943" s="40" t="str">
        <f t="array" ref="S943">iferror(index(dissected_fish!$K:$K,match($A943,dissected_fish!$A:$A,0)))</f>
        <v>N</v>
      </c>
      <c r="T943" s="61" t="str">
        <f t="array" ref="T943">index(fish_lab_data!O:O,match(A943,fish_lab_data!C:C,0))</f>
        <v>EJ</v>
      </c>
      <c r="U943" s="61">
        <f t="array" ref="U943">if(A943="","",index(fish_lab_data!X:X,match(A943,fish_lab_data!C:C,0)))</f>
        <v>942</v>
      </c>
    </row>
    <row r="944">
      <c r="A944" t="str">
        <f>fish_lab_data!C944</f>
        <v>U17569</v>
      </c>
      <c r="B944" t="str">
        <f t="array" ref="B944">iferror(index('rna-muscle'!$I:$I,match($A944,'rna-muscle'!$A:$A,0)))</f>
        <v>BRN71M-G3</v>
      </c>
      <c r="C944" t="str">
        <f t="array" ref="C944">iferror(index('rna-muscle'!$L:$L,match($A944,'rna-muscle'!$A:$A,0)))</f>
        <v>N</v>
      </c>
      <c r="D944" t="str">
        <f t="array" ref="D944">iferror(index('rna-gill'!$I:$I,match($A944,'rna-gill'!$A:$A,0)))</f>
        <v>BRN71G-G3</v>
      </c>
      <c r="E944" t="str">
        <f t="array" ref="E944">iferror(index('rna-gill'!$L:$L,match($A944,'rna-gill'!$A:$A,0)))</f>
        <v>N</v>
      </c>
      <c r="F944" t="str">
        <f t="array" ref="F944">iferror(index(fatty_acid!$G:$G,match($A944,fatty_acid!$A:$A,0)))</f>
        <v>BFA31-81</v>
      </c>
      <c r="G944" t="str">
        <f t="array" ref="G944">iferror(index(fatty_acid!$J:$J,match($A944,fatty_acid!$A:$A,0)))</f>
        <v>N</v>
      </c>
      <c r="H944" t="str">
        <f t="array" ref="H944">iferror(index(isotopes!$G:$G,match($A944,isotopes!$A:$A,0)))</f>
        <v>BIS34-23</v>
      </c>
      <c r="I944" t="str">
        <f t="array" ref="I944">iferror(index(isotopes!$J:$J,match($A944,isotopes!$A:$A,0)))</f>
        <v>N</v>
      </c>
      <c r="J944" t="str">
        <f t="array" ref="J944">iferror(index(extra_muscle!$G:$G,match($A944,extra_muscle!$A:$A,0)))</f>
        <v>BXM32-67</v>
      </c>
      <c r="K944" t="str">
        <f t="array" ref="K944">iferror(index(extra_muscle!$J:$J,match($A944,extra_muscle!$A:$A,0)))</f>
        <v>N</v>
      </c>
      <c r="L944" s="59" t="str">
        <f t="array" ref="L944">iferror(index(dna!$G:$G,match($A944,dna!$A:$A,0)))</f>
        <v/>
      </c>
      <c r="M944" s="60" t="str">
        <f t="array" ref="M944">iferror(index(dna!$J:$J,match($A944,dna!$A:$A,0)))</f>
        <v/>
      </c>
      <c r="N944" t="str">
        <f t="array" ref="N944">iferror(index(stomachs!$G:$G,match($A944,stomachs!$A:$A,0)))</f>
        <v/>
      </c>
      <c r="O944" t="str">
        <f t="array" ref="O944">iferror(index(stomachs!$J:$J,match($A944,stomachs!$A:$A,0)))</f>
        <v/>
      </c>
      <c r="P944" t="str">
        <f t="array" ref="P944">iferror(index(sea_lice!$G:$G,match($A944,sea_lice!$A:$A,0)))</f>
        <v>BSL7-14</v>
      </c>
      <c r="Q944" t="str">
        <f t="array" ref="Q944">iferror(index(sea_lice!$J:$J,match($A944,sea_lice!$A:$A,0)))</f>
        <v>N</v>
      </c>
      <c r="R944" s="40" t="str">
        <f t="array" ref="R944">iferror(index(dissected_fish!$F:$F,match($A944,dissected_fish!$A:$A,0)))</f>
        <v>BCA108</v>
      </c>
      <c r="S944" s="40" t="str">
        <f t="array" ref="S944">iferror(index(dissected_fish!$K:$K,match($A944,dissected_fish!$A:$A,0)))</f>
        <v>N</v>
      </c>
      <c r="T944" s="61" t="str">
        <f t="array" ref="T944">index(fish_lab_data!O:O,match(A944,fish_lab_data!C:C,0))</f>
        <v>EJ</v>
      </c>
      <c r="U944" s="61">
        <f t="array" ref="U944">if(A944="","",index(fish_lab_data!X:X,match(A944,fish_lab_data!C:C,0)))</f>
        <v>943</v>
      </c>
    </row>
    <row r="945">
      <c r="A945" t="str">
        <f>fish_lab_data!C945</f>
        <v>U16065</v>
      </c>
      <c r="B945" t="str">
        <f t="array" ref="B945">iferror(index('rna-muscle'!$I:$I,match($A945,'rna-muscle'!$A:$A,0)))</f>
        <v>BRN61M-G12</v>
      </c>
      <c r="C945" t="str">
        <f t="array" ref="C945">iferror(index('rna-muscle'!$L:$L,match($A945,'rna-muscle'!$A:$A,0)))</f>
        <v>N</v>
      </c>
      <c r="D945" t="str">
        <f t="array" ref="D945">iferror(index('rna-gill'!$I:$I,match($A945,'rna-gill'!$A:$A,0)))</f>
        <v>BRN61G-G12</v>
      </c>
      <c r="E945" t="str">
        <f t="array" ref="E945">iferror(index('rna-gill'!$L:$L,match($A945,'rna-gill'!$A:$A,0)))</f>
        <v>N</v>
      </c>
      <c r="F945" t="str">
        <f t="array" ref="F945">iferror(index(fatty_acid!$G:$G,match($A945,fatty_acid!$A:$A,0)))</f>
        <v>BFA22-25</v>
      </c>
      <c r="G945" t="str">
        <f t="array" ref="G945">iferror(index(fatty_acid!$J:$J,match($A945,fatty_acid!$A:$A,0)))</f>
        <v>N</v>
      </c>
      <c r="H945" t="str">
        <f t="array" ref="H945">iferror(index(isotopes!$G:$G,match($A945,isotopes!$A:$A,0)))</f>
        <v>BIS36-1</v>
      </c>
      <c r="I945" t="str">
        <f t="array" ref="I945">iferror(index(isotopes!$J:$J,match($A945,isotopes!$A:$A,0)))</f>
        <v>N</v>
      </c>
      <c r="J945" t="str">
        <f t="array" ref="J945">iferror(index(extra_muscle!$G:$G,match($A945,extra_muscle!$A:$A,0)))</f>
        <v>BXM34-1</v>
      </c>
      <c r="K945" t="str">
        <f t="array" ref="K945">iferror(index(extra_muscle!$J:$J,match($A945,extra_muscle!$A:$A,0)))</f>
        <v>N</v>
      </c>
      <c r="L945" s="59" t="str">
        <f t="array" ref="L945">iferror(index(dna!$G:$G,match($A945,dna!$A:$A,0)))</f>
        <v/>
      </c>
      <c r="M945" s="60" t="str">
        <f t="array" ref="M945">iferror(index(dna!$J:$J,match($A945,dna!$A:$A,0)))</f>
        <v/>
      </c>
      <c r="N945" t="str">
        <f t="array" ref="N945">iferror(index(stomachs!$G:$G,match($A945,stomachs!$A:$A,0)))</f>
        <v/>
      </c>
      <c r="O945" t="str">
        <f t="array" ref="O945">iferror(index(stomachs!$J:$J,match($A945,stomachs!$A:$A,0)))</f>
        <v/>
      </c>
      <c r="P945" t="str">
        <f t="array" ref="P945">iferror(index(sea_lice!$G:$G,match($A945,sea_lice!$A:$A,0)))</f>
        <v/>
      </c>
      <c r="Q945" t="str">
        <f t="array" ref="Q945">iferror(index(sea_lice!$J:$J,match($A945,sea_lice!$A:$A,0)))</f>
        <v/>
      </c>
      <c r="R945" s="40" t="str">
        <f t="array" ref="R945">iferror(index(dissected_fish!$F:$F,match($A945,dissected_fish!$A:$A,0)))</f>
        <v>BCA108</v>
      </c>
      <c r="S945" s="40" t="str">
        <f t="array" ref="S945">iferror(index(dissected_fish!$K:$K,match($A945,dissected_fish!$A:$A,0)))</f>
        <v>N</v>
      </c>
      <c r="T945" s="61" t="str">
        <f t="array" ref="T945">index(fish_lab_data!O:O,match(A945,fish_lab_data!C:C,0))</f>
        <v>JG</v>
      </c>
      <c r="U945" s="61">
        <f t="array" ref="U945">if(A945="","",index(fish_lab_data!X:X,match(A945,fish_lab_data!C:C,0)))</f>
        <v>944</v>
      </c>
    </row>
    <row r="946">
      <c r="A946" t="str">
        <f>fish_lab_data!C946</f>
        <v>U16069</v>
      </c>
      <c r="B946" t="str">
        <f t="array" ref="B946">iferror(index('rna-muscle'!$I:$I,match($A946,'rna-muscle'!$A:$A,0)))</f>
        <v>BRN61M-F12</v>
      </c>
      <c r="C946" t="str">
        <f t="array" ref="C946">iferror(index('rna-muscle'!$L:$L,match($A946,'rna-muscle'!$A:$A,0)))</f>
        <v>N</v>
      </c>
      <c r="D946" t="str">
        <f t="array" ref="D946">iferror(index('rna-gill'!$I:$I,match($A946,'rna-gill'!$A:$A,0)))</f>
        <v>BRN61G-F12</v>
      </c>
      <c r="E946" t="str">
        <f t="array" ref="E946">iferror(index('rna-gill'!$L:$L,match($A946,'rna-gill'!$A:$A,0)))</f>
        <v>N</v>
      </c>
      <c r="F946" t="str">
        <f t="array" ref="F946">iferror(index(fatty_acid!$G:$G,match($A946,fatty_acid!$A:$A,0)))</f>
        <v>BFA22-26</v>
      </c>
      <c r="G946" t="str">
        <f t="array" ref="G946">iferror(index(fatty_acid!$J:$J,match($A946,fatty_acid!$A:$A,0)))</f>
        <v>N</v>
      </c>
      <c r="H946" t="str">
        <f t="array" ref="H946">iferror(index(isotopes!$G:$G,match($A946,isotopes!$A:$A,0)))</f>
        <v>BIS36-2</v>
      </c>
      <c r="I946" t="str">
        <f t="array" ref="I946">iferror(index(isotopes!$J:$J,match($A946,isotopes!$A:$A,0)))</f>
        <v>N</v>
      </c>
      <c r="J946" t="str">
        <f t="array" ref="J946">iferror(index(extra_muscle!$G:$G,match($A946,extra_muscle!$A:$A,0)))</f>
        <v>BXM34-2</v>
      </c>
      <c r="K946" t="str">
        <f t="array" ref="K946">iferror(index(extra_muscle!$J:$J,match($A946,extra_muscle!$A:$A,0)))</f>
        <v>N</v>
      </c>
      <c r="L946" s="59" t="str">
        <f t="array" ref="L946">iferror(index(dna!$G:$G,match($A946,dna!$A:$A,0)))</f>
        <v/>
      </c>
      <c r="M946" s="60" t="str">
        <f t="array" ref="M946">iferror(index(dna!$J:$J,match($A946,dna!$A:$A,0)))</f>
        <v/>
      </c>
      <c r="N946" t="str">
        <f t="array" ref="N946">iferror(index(stomachs!$G:$G,match($A946,stomachs!$A:$A,0)))</f>
        <v/>
      </c>
      <c r="O946" t="str">
        <f t="array" ref="O946">iferror(index(stomachs!$J:$J,match($A946,stomachs!$A:$A,0)))</f>
        <v/>
      </c>
      <c r="P946" t="str">
        <f t="array" ref="P946">iferror(index(sea_lice!$G:$G,match($A946,sea_lice!$A:$A,0)))</f>
        <v/>
      </c>
      <c r="Q946" t="str">
        <f t="array" ref="Q946">iferror(index(sea_lice!$J:$J,match($A946,sea_lice!$A:$A,0)))</f>
        <v/>
      </c>
      <c r="R946" s="40" t="str">
        <f t="array" ref="R946">iferror(index(dissected_fish!$F:$F,match($A946,dissected_fish!$A:$A,0)))</f>
        <v>BCA108</v>
      </c>
      <c r="S946" s="40" t="str">
        <f t="array" ref="S946">iferror(index(dissected_fish!$K:$K,match($A946,dissected_fish!$A:$A,0)))</f>
        <v>N</v>
      </c>
      <c r="T946" s="61" t="str">
        <f t="array" ref="T946">index(fish_lab_data!O:O,match(A946,fish_lab_data!C:C,0))</f>
        <v>JG</v>
      </c>
      <c r="U946" s="61">
        <f t="array" ref="U946">if(A946="","",index(fish_lab_data!X:X,match(A946,fish_lab_data!C:C,0)))</f>
        <v>945</v>
      </c>
    </row>
    <row r="947">
      <c r="A947" t="str">
        <f>fish_lab_data!C947</f>
        <v>U16064</v>
      </c>
      <c r="B947" t="str">
        <f t="array" ref="B947">iferror(index('rna-muscle'!$I:$I,match($A947,'rna-muscle'!$A:$A,0)))</f>
        <v>BRN61M-E12</v>
      </c>
      <c r="C947" t="str">
        <f t="array" ref="C947">iferror(index('rna-muscle'!$L:$L,match($A947,'rna-muscle'!$A:$A,0)))</f>
        <v>N</v>
      </c>
      <c r="D947" t="str">
        <f t="array" ref="D947">iferror(index('rna-gill'!$I:$I,match($A947,'rna-gill'!$A:$A,0)))</f>
        <v>BRN61G-E12</v>
      </c>
      <c r="E947" t="str">
        <f t="array" ref="E947">iferror(index('rna-gill'!$L:$L,match($A947,'rna-gill'!$A:$A,0)))</f>
        <v>N</v>
      </c>
      <c r="F947" t="str">
        <f t="array" ref="F947">iferror(index(fatty_acid!$G:$G,match($A947,fatty_acid!$A:$A,0)))</f>
        <v>BFA22-27</v>
      </c>
      <c r="G947" t="str">
        <f t="array" ref="G947">iferror(index(fatty_acid!$J:$J,match($A947,fatty_acid!$A:$A,0)))</f>
        <v>N</v>
      </c>
      <c r="H947" t="str">
        <f t="array" ref="H947">iferror(index(isotopes!$G:$G,match($A947,isotopes!$A:$A,0)))</f>
        <v>BIS36-3</v>
      </c>
      <c r="I947" t="str">
        <f t="array" ref="I947">iferror(index(isotopes!$J:$J,match($A947,isotopes!$A:$A,0)))</f>
        <v>N</v>
      </c>
      <c r="J947" t="str">
        <f t="array" ref="J947">iferror(index(extra_muscle!$G:$G,match($A947,extra_muscle!$A:$A,0)))</f>
        <v>BXM34-3</v>
      </c>
      <c r="K947" t="str">
        <f t="array" ref="K947">iferror(index(extra_muscle!$J:$J,match($A947,extra_muscle!$A:$A,0)))</f>
        <v>N</v>
      </c>
      <c r="L947" s="59" t="str">
        <f t="array" ref="L947">iferror(index(dna!$G:$G,match($A947,dna!$A:$A,0)))</f>
        <v/>
      </c>
      <c r="M947" s="60" t="str">
        <f t="array" ref="M947">iferror(index(dna!$J:$J,match($A947,dna!$A:$A,0)))</f>
        <v/>
      </c>
      <c r="N947" t="str">
        <f t="array" ref="N947">iferror(index(stomachs!$G:$G,match($A947,stomachs!$A:$A,0)))</f>
        <v/>
      </c>
      <c r="O947" t="str">
        <f t="array" ref="O947">iferror(index(stomachs!$J:$J,match($A947,stomachs!$A:$A,0)))</f>
        <v/>
      </c>
      <c r="P947" t="str">
        <f t="array" ref="P947">iferror(index(sea_lice!$G:$G,match($A947,sea_lice!$A:$A,0)))</f>
        <v/>
      </c>
      <c r="Q947" t="str">
        <f t="array" ref="Q947">iferror(index(sea_lice!$J:$J,match($A947,sea_lice!$A:$A,0)))</f>
        <v/>
      </c>
      <c r="R947" s="40" t="str">
        <f t="array" ref="R947">iferror(index(dissected_fish!$F:$F,match($A947,dissected_fish!$A:$A,0)))</f>
        <v>BCA108</v>
      </c>
      <c r="S947" s="40" t="str">
        <f t="array" ref="S947">iferror(index(dissected_fish!$K:$K,match($A947,dissected_fish!$A:$A,0)))</f>
        <v>N</v>
      </c>
      <c r="T947" s="61" t="str">
        <f t="array" ref="T947">index(fish_lab_data!O:O,match(A947,fish_lab_data!C:C,0))</f>
        <v>JG</v>
      </c>
      <c r="U947" s="61">
        <f t="array" ref="U947">if(A947="","",index(fish_lab_data!X:X,match(A947,fish_lab_data!C:C,0)))</f>
        <v>946</v>
      </c>
    </row>
    <row r="948">
      <c r="A948" t="str">
        <f>fish_lab_data!C948</f>
        <v>U16068</v>
      </c>
      <c r="B948" t="str">
        <f t="array" ref="B948">iferror(index('rna-muscle'!$I:$I,match($A948,'rna-muscle'!$A:$A,0)))</f>
        <v>BRN61M-D12</v>
      </c>
      <c r="C948" t="str">
        <f t="array" ref="C948">iferror(index('rna-muscle'!$L:$L,match($A948,'rna-muscle'!$A:$A,0)))</f>
        <v>N</v>
      </c>
      <c r="D948" t="str">
        <f t="array" ref="D948">iferror(index('rna-gill'!$I:$I,match($A948,'rna-gill'!$A:$A,0)))</f>
        <v>BRN61G-D12</v>
      </c>
      <c r="E948" t="str">
        <f t="array" ref="E948">iferror(index('rna-gill'!$L:$L,match($A948,'rna-gill'!$A:$A,0)))</f>
        <v>N</v>
      </c>
      <c r="F948" t="str">
        <f t="array" ref="F948">iferror(index(fatty_acid!$G:$G,match($A948,fatty_acid!$A:$A,0)))</f>
        <v>BFA22-28</v>
      </c>
      <c r="G948" t="str">
        <f t="array" ref="G948">iferror(index(fatty_acid!$J:$J,match($A948,fatty_acid!$A:$A,0)))</f>
        <v>N</v>
      </c>
      <c r="H948" t="str">
        <f t="array" ref="H948">iferror(index(isotopes!$G:$G,match($A948,isotopes!$A:$A,0)))</f>
        <v>BIS36-4</v>
      </c>
      <c r="I948" t="str">
        <f t="array" ref="I948">iferror(index(isotopes!$J:$J,match($A948,isotopes!$A:$A,0)))</f>
        <v>N</v>
      </c>
      <c r="J948" t="str">
        <f t="array" ref="J948">iferror(index(extra_muscle!$G:$G,match($A948,extra_muscle!$A:$A,0)))</f>
        <v>BXM34-4</v>
      </c>
      <c r="K948" t="str">
        <f t="array" ref="K948">iferror(index(extra_muscle!$J:$J,match($A948,extra_muscle!$A:$A,0)))</f>
        <v>N</v>
      </c>
      <c r="L948" s="59" t="str">
        <f t="array" ref="L948">iferror(index(dna!$G:$G,match($A948,dna!$A:$A,0)))</f>
        <v/>
      </c>
      <c r="M948" s="60" t="str">
        <f t="array" ref="M948">iferror(index(dna!$J:$J,match($A948,dna!$A:$A,0)))</f>
        <v/>
      </c>
      <c r="N948" t="str">
        <f t="array" ref="N948">iferror(index(stomachs!$G:$G,match($A948,stomachs!$A:$A,0)))</f>
        <v/>
      </c>
      <c r="O948" t="str">
        <f t="array" ref="O948">iferror(index(stomachs!$J:$J,match($A948,stomachs!$A:$A,0)))</f>
        <v/>
      </c>
      <c r="P948" t="str">
        <f t="array" ref="P948">iferror(index(sea_lice!$G:$G,match($A948,sea_lice!$A:$A,0)))</f>
        <v/>
      </c>
      <c r="Q948" t="str">
        <f t="array" ref="Q948">iferror(index(sea_lice!$J:$J,match($A948,sea_lice!$A:$A,0)))</f>
        <v/>
      </c>
      <c r="R948" s="40" t="str">
        <f t="array" ref="R948">iferror(index(dissected_fish!$F:$F,match($A948,dissected_fish!$A:$A,0)))</f>
        <v>BCA108</v>
      </c>
      <c r="S948" s="40" t="str">
        <f t="array" ref="S948">iferror(index(dissected_fish!$K:$K,match($A948,dissected_fish!$A:$A,0)))</f>
        <v>N</v>
      </c>
      <c r="T948" s="61" t="str">
        <f t="array" ref="T948">index(fish_lab_data!O:O,match(A948,fish_lab_data!C:C,0))</f>
        <v>JG</v>
      </c>
      <c r="U948" s="61">
        <f t="array" ref="U948">if(A948="","",index(fish_lab_data!X:X,match(A948,fish_lab_data!C:C,0)))</f>
        <v>947</v>
      </c>
    </row>
    <row r="949">
      <c r="A949" t="str">
        <f>fish_lab_data!C949</f>
        <v>U16062</v>
      </c>
      <c r="B949" t="str">
        <f t="array" ref="B949">iferror(index('rna-muscle'!$I:$I,match($A949,'rna-muscle'!$A:$A,0)))</f>
        <v>BRN61M-C12</v>
      </c>
      <c r="C949" t="str">
        <f t="array" ref="C949">iferror(index('rna-muscle'!$L:$L,match($A949,'rna-muscle'!$A:$A,0)))</f>
        <v>N</v>
      </c>
      <c r="D949" t="str">
        <f t="array" ref="D949">iferror(index('rna-gill'!$I:$I,match($A949,'rna-gill'!$A:$A,0)))</f>
        <v>BRN61G-C12</v>
      </c>
      <c r="E949" t="str">
        <f t="array" ref="E949">iferror(index('rna-gill'!$L:$L,match($A949,'rna-gill'!$A:$A,0)))</f>
        <v>N</v>
      </c>
      <c r="F949" t="str">
        <f t="array" ref="F949">iferror(index(fatty_acid!$G:$G,match($A949,fatty_acid!$A:$A,0)))</f>
        <v>BFA22-29</v>
      </c>
      <c r="G949" t="str">
        <f t="array" ref="G949">iferror(index(fatty_acid!$J:$J,match($A949,fatty_acid!$A:$A,0)))</f>
        <v>N</v>
      </c>
      <c r="H949" t="str">
        <f t="array" ref="H949">iferror(index(isotopes!$G:$G,match($A949,isotopes!$A:$A,0)))</f>
        <v>BIS36-5</v>
      </c>
      <c r="I949" t="str">
        <f t="array" ref="I949">iferror(index(isotopes!$J:$J,match($A949,isotopes!$A:$A,0)))</f>
        <v>N</v>
      </c>
      <c r="J949" t="str">
        <f t="array" ref="J949">iferror(index(extra_muscle!$G:$G,match($A949,extra_muscle!$A:$A,0)))</f>
        <v>BXM34-5</v>
      </c>
      <c r="K949" t="str">
        <f t="array" ref="K949">iferror(index(extra_muscle!$J:$J,match($A949,extra_muscle!$A:$A,0)))</f>
        <v>N</v>
      </c>
      <c r="L949" s="59" t="str">
        <f t="array" ref="L949">iferror(index(dna!$G:$G,match($A949,dna!$A:$A,0)))</f>
        <v/>
      </c>
      <c r="M949" s="60" t="str">
        <f t="array" ref="M949">iferror(index(dna!$J:$J,match($A949,dna!$A:$A,0)))</f>
        <v/>
      </c>
      <c r="N949" t="str">
        <f t="array" ref="N949">iferror(index(stomachs!$G:$G,match($A949,stomachs!$A:$A,0)))</f>
        <v/>
      </c>
      <c r="O949" t="str">
        <f t="array" ref="O949">iferror(index(stomachs!$J:$J,match($A949,stomachs!$A:$A,0)))</f>
        <v/>
      </c>
      <c r="P949" t="str">
        <f t="array" ref="P949">iferror(index(sea_lice!$G:$G,match($A949,sea_lice!$A:$A,0)))</f>
        <v/>
      </c>
      <c r="Q949" t="str">
        <f t="array" ref="Q949">iferror(index(sea_lice!$J:$J,match($A949,sea_lice!$A:$A,0)))</f>
        <v/>
      </c>
      <c r="R949" s="40" t="str">
        <f t="array" ref="R949">iferror(index(dissected_fish!$F:$F,match($A949,dissected_fish!$A:$A,0)))</f>
        <v>BCA108</v>
      </c>
      <c r="S949" s="40" t="str">
        <f t="array" ref="S949">iferror(index(dissected_fish!$K:$K,match($A949,dissected_fish!$A:$A,0)))</f>
        <v>N</v>
      </c>
      <c r="T949" s="61" t="str">
        <f t="array" ref="T949">index(fish_lab_data!O:O,match(A949,fish_lab_data!C:C,0))</f>
        <v>JG</v>
      </c>
      <c r="U949" s="61">
        <f t="array" ref="U949">if(A949="","",index(fish_lab_data!X:X,match(A949,fish_lab_data!C:C,0)))</f>
        <v>948</v>
      </c>
    </row>
    <row r="950">
      <c r="A950" t="str">
        <f>fish_lab_data!C950</f>
        <v>U16070</v>
      </c>
      <c r="B950" t="str">
        <f t="array" ref="B950">iferror(index('rna-muscle'!$I:$I,match($A950,'rna-muscle'!$A:$A,0)))</f>
        <v>BRN61M-B12</v>
      </c>
      <c r="C950" t="str">
        <f t="array" ref="C950">iferror(index('rna-muscle'!$L:$L,match($A950,'rna-muscle'!$A:$A,0)))</f>
        <v>N</v>
      </c>
      <c r="D950" t="str">
        <f t="array" ref="D950">iferror(index('rna-gill'!$I:$I,match($A950,'rna-gill'!$A:$A,0)))</f>
        <v>BRN61G-B12</v>
      </c>
      <c r="E950" t="str">
        <f t="array" ref="E950">iferror(index('rna-gill'!$L:$L,match($A950,'rna-gill'!$A:$A,0)))</f>
        <v>N</v>
      </c>
      <c r="F950" t="str">
        <f t="array" ref="F950">iferror(index(fatty_acid!$G:$G,match($A950,fatty_acid!$A:$A,0)))</f>
        <v>BFA22-30</v>
      </c>
      <c r="G950" t="str">
        <f t="array" ref="G950">iferror(index(fatty_acid!$J:$J,match($A950,fatty_acid!$A:$A,0)))</f>
        <v>N</v>
      </c>
      <c r="H950" t="str">
        <f t="array" ref="H950">iferror(index(isotopes!$G:$G,match($A950,isotopes!$A:$A,0)))</f>
        <v>BIS36-6</v>
      </c>
      <c r="I950" t="str">
        <f t="array" ref="I950">iferror(index(isotopes!$J:$J,match($A950,isotopes!$A:$A,0)))</f>
        <v>N</v>
      </c>
      <c r="J950" t="str">
        <f t="array" ref="J950">iferror(index(extra_muscle!$G:$G,match($A950,extra_muscle!$A:$A,0)))</f>
        <v>BXM34-6</v>
      </c>
      <c r="K950" t="str">
        <f t="array" ref="K950">iferror(index(extra_muscle!$J:$J,match($A950,extra_muscle!$A:$A,0)))</f>
        <v>N</v>
      </c>
      <c r="L950" s="59" t="str">
        <f t="array" ref="L950">iferror(index(dna!$G:$G,match($A950,dna!$A:$A,0)))</f>
        <v/>
      </c>
      <c r="M950" s="60" t="str">
        <f t="array" ref="M950">iferror(index(dna!$J:$J,match($A950,dna!$A:$A,0)))</f>
        <v/>
      </c>
      <c r="N950" t="str">
        <f t="array" ref="N950">iferror(index(stomachs!$G:$G,match($A950,stomachs!$A:$A,0)))</f>
        <v/>
      </c>
      <c r="O950" t="str">
        <f t="array" ref="O950">iferror(index(stomachs!$J:$J,match($A950,stomachs!$A:$A,0)))</f>
        <v/>
      </c>
      <c r="P950" t="str">
        <f t="array" ref="P950">iferror(index(sea_lice!$G:$G,match($A950,sea_lice!$A:$A,0)))</f>
        <v>BSL7-15</v>
      </c>
      <c r="Q950" t="str">
        <f t="array" ref="Q950">iferror(index(sea_lice!$J:$J,match($A950,sea_lice!$A:$A,0)))</f>
        <v>N</v>
      </c>
      <c r="R950" s="40" t="str">
        <f t="array" ref="R950">iferror(index(dissected_fish!$F:$F,match($A950,dissected_fish!$A:$A,0)))</f>
        <v>BCA108</v>
      </c>
      <c r="S950" s="40" t="str">
        <f t="array" ref="S950">iferror(index(dissected_fish!$K:$K,match($A950,dissected_fish!$A:$A,0)))</f>
        <v>N</v>
      </c>
      <c r="T950" s="61" t="str">
        <f t="array" ref="T950">index(fish_lab_data!O:O,match(A950,fish_lab_data!C:C,0))</f>
        <v>JG</v>
      </c>
      <c r="U950" s="61">
        <f t="array" ref="U950">if(A950="","",index(fish_lab_data!X:X,match(A950,fish_lab_data!C:C,0)))</f>
        <v>949</v>
      </c>
    </row>
    <row r="951">
      <c r="A951" t="str">
        <f>fish_lab_data!C951</f>
        <v>U16066</v>
      </c>
      <c r="B951" t="str">
        <f t="array" ref="B951">iferror(index('rna-muscle'!$I:$I,match($A951,'rna-muscle'!$A:$A,0)))</f>
        <v>BRN61M-A12</v>
      </c>
      <c r="C951" t="str">
        <f t="array" ref="C951">iferror(index('rna-muscle'!$L:$L,match($A951,'rna-muscle'!$A:$A,0)))</f>
        <v>N</v>
      </c>
      <c r="D951" t="str">
        <f t="array" ref="D951">iferror(index('rna-gill'!$I:$I,match($A951,'rna-gill'!$A:$A,0)))</f>
        <v>BRN61G-A12</v>
      </c>
      <c r="E951" t="str">
        <f t="array" ref="E951">iferror(index('rna-gill'!$L:$L,match($A951,'rna-gill'!$A:$A,0)))</f>
        <v>N</v>
      </c>
      <c r="F951" t="str">
        <f t="array" ref="F951">iferror(index(fatty_acid!$G:$G,match($A951,fatty_acid!$A:$A,0)))</f>
        <v>BFA22-31</v>
      </c>
      <c r="G951" t="str">
        <f t="array" ref="G951">iferror(index(fatty_acid!$J:$J,match($A951,fatty_acid!$A:$A,0)))</f>
        <v>N</v>
      </c>
      <c r="H951" t="str">
        <f t="array" ref="H951">iferror(index(isotopes!$G:$G,match($A951,isotopes!$A:$A,0)))</f>
        <v>BIS36-7</v>
      </c>
      <c r="I951" t="str">
        <f t="array" ref="I951">iferror(index(isotopes!$J:$J,match($A951,isotopes!$A:$A,0)))</f>
        <v>N</v>
      </c>
      <c r="J951" t="str">
        <f t="array" ref="J951">iferror(index(extra_muscle!$G:$G,match($A951,extra_muscle!$A:$A,0)))</f>
        <v>BXM34-7</v>
      </c>
      <c r="K951" t="str">
        <f t="array" ref="K951">iferror(index(extra_muscle!$J:$J,match($A951,extra_muscle!$A:$A,0)))</f>
        <v>N</v>
      </c>
      <c r="L951" s="59" t="str">
        <f t="array" ref="L951">iferror(index(dna!$G:$G,match($A951,dna!$A:$A,0)))</f>
        <v/>
      </c>
      <c r="M951" s="60" t="str">
        <f t="array" ref="M951">iferror(index(dna!$J:$J,match($A951,dna!$A:$A,0)))</f>
        <v/>
      </c>
      <c r="N951" t="str">
        <f t="array" ref="N951">iferror(index(stomachs!$G:$G,match($A951,stomachs!$A:$A,0)))</f>
        <v/>
      </c>
      <c r="O951" t="str">
        <f t="array" ref="O951">iferror(index(stomachs!$J:$J,match($A951,stomachs!$A:$A,0)))</f>
        <v/>
      </c>
      <c r="P951" t="str">
        <f t="array" ref="P951">iferror(index(sea_lice!$G:$G,match($A951,sea_lice!$A:$A,0)))</f>
        <v>BSL7-16</v>
      </c>
      <c r="Q951" t="str">
        <f t="array" ref="Q951">iferror(index(sea_lice!$J:$J,match($A951,sea_lice!$A:$A,0)))</f>
        <v>N</v>
      </c>
      <c r="R951" s="40" t="str">
        <f t="array" ref="R951">iferror(index(dissected_fish!$F:$F,match($A951,dissected_fish!$A:$A,0)))</f>
        <v>BCA108</v>
      </c>
      <c r="S951" s="40" t="str">
        <f t="array" ref="S951">iferror(index(dissected_fish!$K:$K,match($A951,dissected_fish!$A:$A,0)))</f>
        <v>N</v>
      </c>
      <c r="T951" s="61" t="str">
        <f t="array" ref="T951">index(fish_lab_data!O:O,match(A951,fish_lab_data!C:C,0))</f>
        <v>JG</v>
      </c>
      <c r="U951" s="61">
        <f t="array" ref="U951">if(A951="","",index(fish_lab_data!X:X,match(A951,fish_lab_data!C:C,0)))</f>
        <v>950</v>
      </c>
    </row>
    <row r="952">
      <c r="A952" t="str">
        <f>fish_lab_data!C952</f>
        <v>U16063</v>
      </c>
      <c r="B952" t="str">
        <f t="array" ref="B952">iferror(index('rna-muscle'!$I:$I,match($A952,'rna-muscle'!$A:$A,0)))</f>
        <v>BRN72M-H1</v>
      </c>
      <c r="C952" t="str">
        <f t="array" ref="C952">iferror(index('rna-muscle'!$L:$L,match($A952,'rna-muscle'!$A:$A,0)))</f>
        <v>N</v>
      </c>
      <c r="D952" t="str">
        <f t="array" ref="D952">iferror(index('rna-gill'!$I:$I,match($A952,'rna-gill'!$A:$A,0)))</f>
        <v>BRN72G-H1</v>
      </c>
      <c r="E952" t="str">
        <f t="array" ref="E952">iferror(index('rna-gill'!$L:$L,match($A952,'rna-gill'!$A:$A,0)))</f>
        <v>N</v>
      </c>
      <c r="F952" t="str">
        <f t="array" ref="F952">iferror(index(fatty_acid!$G:$G,match($A952,fatty_acid!$A:$A,0)))</f>
        <v>BFA22-32</v>
      </c>
      <c r="G952" t="str">
        <f t="array" ref="G952">iferror(index(fatty_acid!$J:$J,match($A952,fatty_acid!$A:$A,0)))</f>
        <v>N</v>
      </c>
      <c r="H952" t="str">
        <f t="array" ref="H952">iferror(index(isotopes!$G:$G,match($A952,isotopes!$A:$A,0)))</f>
        <v>BIS36-8</v>
      </c>
      <c r="I952" t="str">
        <f t="array" ref="I952">iferror(index(isotopes!$J:$J,match($A952,isotopes!$A:$A,0)))</f>
        <v>N</v>
      </c>
      <c r="J952" t="str">
        <f t="array" ref="J952">iferror(index(extra_muscle!$G:$G,match($A952,extra_muscle!$A:$A,0)))</f>
        <v>BXM34-8</v>
      </c>
      <c r="K952" t="str">
        <f t="array" ref="K952">iferror(index(extra_muscle!$J:$J,match($A952,extra_muscle!$A:$A,0)))</f>
        <v>N</v>
      </c>
      <c r="L952" s="59" t="str">
        <f t="array" ref="L952">iferror(index(dna!$G:$G,match($A952,dna!$A:$A,0)))</f>
        <v/>
      </c>
      <c r="M952" s="60" t="str">
        <f t="array" ref="M952">iferror(index(dna!$J:$J,match($A952,dna!$A:$A,0)))</f>
        <v/>
      </c>
      <c r="N952" t="str">
        <f t="array" ref="N952">iferror(index(stomachs!$G:$G,match($A952,stomachs!$A:$A,0)))</f>
        <v/>
      </c>
      <c r="O952" t="str">
        <f t="array" ref="O952">iferror(index(stomachs!$J:$J,match($A952,stomachs!$A:$A,0)))</f>
        <v/>
      </c>
      <c r="P952" t="str">
        <f t="array" ref="P952">iferror(index(sea_lice!$G:$G,match($A952,sea_lice!$A:$A,0)))</f>
        <v/>
      </c>
      <c r="Q952" t="str">
        <f t="array" ref="Q952">iferror(index(sea_lice!$J:$J,match($A952,sea_lice!$A:$A,0)))</f>
        <v/>
      </c>
      <c r="R952" s="40" t="str">
        <f t="array" ref="R952">iferror(index(dissected_fish!$F:$F,match($A952,dissected_fish!$A:$A,0)))</f>
        <v>BCA108</v>
      </c>
      <c r="S952" s="40" t="str">
        <f t="array" ref="S952">iferror(index(dissected_fish!$K:$K,match($A952,dissected_fish!$A:$A,0)))</f>
        <v>N</v>
      </c>
      <c r="T952" s="61" t="str">
        <f t="array" ref="T952">index(fish_lab_data!O:O,match(A952,fish_lab_data!C:C,0))</f>
        <v>JG</v>
      </c>
      <c r="U952" s="61">
        <f t="array" ref="U952">if(A952="","",index(fish_lab_data!X:X,match(A952,fish_lab_data!C:C,0)))</f>
        <v>951</v>
      </c>
    </row>
    <row r="953">
      <c r="A953" t="str">
        <f>fish_lab_data!C953</f>
        <v>U16067</v>
      </c>
      <c r="B953" t="str">
        <f t="array" ref="B953">iferror(index('rna-muscle'!$I:$I,match($A953,'rna-muscle'!$A:$A,0)))</f>
        <v>BRN72M-G1</v>
      </c>
      <c r="C953" t="str">
        <f t="array" ref="C953">iferror(index('rna-muscle'!$L:$L,match($A953,'rna-muscle'!$A:$A,0)))</f>
        <v>N</v>
      </c>
      <c r="D953" t="str">
        <f t="array" ref="D953">iferror(index('rna-gill'!$I:$I,match($A953,'rna-gill'!$A:$A,0)))</f>
        <v>BRN72G-G1</v>
      </c>
      <c r="E953" t="str">
        <f t="array" ref="E953">iferror(index('rna-gill'!$L:$L,match($A953,'rna-gill'!$A:$A,0)))</f>
        <v>N</v>
      </c>
      <c r="F953" t="str">
        <f t="array" ref="F953">iferror(index(fatty_acid!$G:$G,match($A953,fatty_acid!$A:$A,0)))</f>
        <v>BFA22-33</v>
      </c>
      <c r="G953" t="str">
        <f t="array" ref="G953">iferror(index(fatty_acid!$J:$J,match($A953,fatty_acid!$A:$A,0)))</f>
        <v>N</v>
      </c>
      <c r="H953" t="str">
        <f t="array" ref="H953">iferror(index(isotopes!$G:$G,match($A953,isotopes!$A:$A,0)))</f>
        <v>BIS36-9</v>
      </c>
      <c r="I953" t="str">
        <f t="array" ref="I953">iferror(index(isotopes!$J:$J,match($A953,isotopes!$A:$A,0)))</f>
        <v>N</v>
      </c>
      <c r="J953" t="str">
        <f t="array" ref="J953">iferror(index(extra_muscle!$G:$G,match($A953,extra_muscle!$A:$A,0)))</f>
        <v>BXM34-9</v>
      </c>
      <c r="K953" t="str">
        <f t="array" ref="K953">iferror(index(extra_muscle!$J:$J,match($A953,extra_muscle!$A:$A,0)))</f>
        <v>N</v>
      </c>
      <c r="L953" s="59" t="str">
        <f t="array" ref="L953">iferror(index(dna!$G:$G,match($A953,dna!$A:$A,0)))</f>
        <v/>
      </c>
      <c r="M953" s="60" t="str">
        <f t="array" ref="M953">iferror(index(dna!$J:$J,match($A953,dna!$A:$A,0)))</f>
        <v/>
      </c>
      <c r="N953" t="str">
        <f t="array" ref="N953">iferror(index(stomachs!$G:$G,match($A953,stomachs!$A:$A,0)))</f>
        <v/>
      </c>
      <c r="O953" t="str">
        <f t="array" ref="O953">iferror(index(stomachs!$J:$J,match($A953,stomachs!$A:$A,0)))</f>
        <v/>
      </c>
      <c r="P953" t="str">
        <f t="array" ref="P953">iferror(index(sea_lice!$G:$G,match($A953,sea_lice!$A:$A,0)))</f>
        <v>BSL7-17</v>
      </c>
      <c r="Q953" t="str">
        <f t="array" ref="Q953">iferror(index(sea_lice!$J:$J,match($A953,sea_lice!$A:$A,0)))</f>
        <v>N</v>
      </c>
      <c r="R953" s="40" t="str">
        <f t="array" ref="R953">iferror(index(dissected_fish!$F:$F,match($A953,dissected_fish!$A:$A,0)))</f>
        <v>BCA108</v>
      </c>
      <c r="S953" s="40" t="str">
        <f t="array" ref="S953">iferror(index(dissected_fish!$K:$K,match($A953,dissected_fish!$A:$A,0)))</f>
        <v>N</v>
      </c>
      <c r="T953" s="61" t="str">
        <f t="array" ref="T953">index(fish_lab_data!O:O,match(A953,fish_lab_data!C:C,0))</f>
        <v>JG</v>
      </c>
      <c r="U953" s="61">
        <f t="array" ref="U953">if(A953="","",index(fish_lab_data!X:X,match(A953,fish_lab_data!C:C,0)))</f>
        <v>952</v>
      </c>
    </row>
    <row r="954">
      <c r="A954" t="str">
        <f>fish_lab_data!C954</f>
        <v>U16061</v>
      </c>
      <c r="B954" t="str">
        <f t="array" ref="B954">iferror(index('rna-muscle'!$I:$I,match($A954,'rna-muscle'!$A:$A,0)))</f>
        <v>BRN72M-F1</v>
      </c>
      <c r="C954" t="str">
        <f t="array" ref="C954">iferror(index('rna-muscle'!$L:$L,match($A954,'rna-muscle'!$A:$A,0)))</f>
        <v>N</v>
      </c>
      <c r="D954" t="str">
        <f t="array" ref="D954">iferror(index('rna-gill'!$I:$I,match($A954,'rna-gill'!$A:$A,0)))</f>
        <v>BRN72G-F1</v>
      </c>
      <c r="E954" t="str">
        <f t="array" ref="E954">iferror(index('rna-gill'!$L:$L,match($A954,'rna-gill'!$A:$A,0)))</f>
        <v>N</v>
      </c>
      <c r="F954" t="str">
        <f t="array" ref="F954">iferror(index(fatty_acid!$G:$G,match($A954,fatty_acid!$A:$A,0)))</f>
        <v>BFA22-34</v>
      </c>
      <c r="G954" t="str">
        <f t="array" ref="G954">iferror(index(fatty_acid!$J:$J,match($A954,fatty_acid!$A:$A,0)))</f>
        <v>N</v>
      </c>
      <c r="H954" t="str">
        <f t="array" ref="H954">iferror(index(isotopes!$G:$G,match($A954,isotopes!$A:$A,0)))</f>
        <v>BIS36-10</v>
      </c>
      <c r="I954" t="str">
        <f t="array" ref="I954">iferror(index(isotopes!$J:$J,match($A954,isotopes!$A:$A,0)))</f>
        <v>N</v>
      </c>
      <c r="J954" t="str">
        <f t="array" ref="J954">iferror(index(extra_muscle!$G:$G,match($A954,extra_muscle!$A:$A,0)))</f>
        <v>BXM34-10</v>
      </c>
      <c r="K954" t="str">
        <f t="array" ref="K954">iferror(index(extra_muscle!$J:$J,match($A954,extra_muscle!$A:$A,0)))</f>
        <v>N</v>
      </c>
      <c r="L954" s="59" t="str">
        <f t="array" ref="L954">iferror(index(dna!$G:$G,match($A954,dna!$A:$A,0)))</f>
        <v/>
      </c>
      <c r="M954" s="60" t="str">
        <f t="array" ref="M954">iferror(index(dna!$J:$J,match($A954,dna!$A:$A,0)))</f>
        <v/>
      </c>
      <c r="N954" t="str">
        <f t="array" ref="N954">iferror(index(stomachs!$G:$G,match($A954,stomachs!$A:$A,0)))</f>
        <v/>
      </c>
      <c r="O954" t="str">
        <f t="array" ref="O954">iferror(index(stomachs!$J:$J,match($A954,stomachs!$A:$A,0)))</f>
        <v/>
      </c>
      <c r="P954" t="str">
        <f t="array" ref="P954">iferror(index(sea_lice!$G:$G,match($A954,sea_lice!$A:$A,0)))</f>
        <v/>
      </c>
      <c r="Q954" t="str">
        <f t="array" ref="Q954">iferror(index(sea_lice!$J:$J,match($A954,sea_lice!$A:$A,0)))</f>
        <v/>
      </c>
      <c r="R954" s="40" t="str">
        <f t="array" ref="R954">iferror(index(dissected_fish!$F:$F,match($A954,dissected_fish!$A:$A,0)))</f>
        <v>BCA108</v>
      </c>
      <c r="S954" s="40" t="str">
        <f t="array" ref="S954">iferror(index(dissected_fish!$K:$K,match($A954,dissected_fish!$A:$A,0)))</f>
        <v>N</v>
      </c>
      <c r="T954" s="61" t="str">
        <f t="array" ref="T954">index(fish_lab_data!O:O,match(A954,fish_lab_data!C:C,0))</f>
        <v>JG</v>
      </c>
      <c r="U954" s="61">
        <f t="array" ref="U954">if(A954="","",index(fish_lab_data!X:X,match(A954,fish_lab_data!C:C,0)))</f>
        <v>953</v>
      </c>
    </row>
    <row r="955">
      <c r="A955" t="str">
        <f>fish_lab_data!C955</f>
        <v>U17714</v>
      </c>
      <c r="B955" t="str">
        <f t="array" ref="B955">iferror(index('rna-muscle'!$I:$I,match($A955,'rna-muscle'!$A:$A,0)))</f>
        <v>BRN71M-A1</v>
      </c>
      <c r="C955" t="str">
        <f t="array" ref="C955">iferror(index('rna-muscle'!$L:$L,match($A955,'rna-muscle'!$A:$A,0)))</f>
        <v>N</v>
      </c>
      <c r="D955" t="str">
        <f t="array" ref="D955">iferror(index('rna-gill'!$I:$I,match($A955,'rna-gill'!$A:$A,0)))</f>
        <v>BRN71G-A1</v>
      </c>
      <c r="E955" t="str">
        <f t="array" ref="E955">iferror(index('rna-gill'!$L:$L,match($A955,'rna-gill'!$A:$A,0)))</f>
        <v>N</v>
      </c>
      <c r="F955" t="str">
        <f t="array" ref="F955">iferror(index(fatty_acid!$G:$G,match($A955,fatty_acid!$A:$A,0)))</f>
        <v>BFA32-8</v>
      </c>
      <c r="G955" t="str">
        <f t="array" ref="G955">iferror(index(fatty_acid!$J:$J,match($A955,fatty_acid!$A:$A,0)))</f>
        <v>N</v>
      </c>
      <c r="H955" t="str">
        <f t="array" ref="H955">iferror(index(isotopes!$G:$G,match($A955,isotopes!$A:$A,0)))</f>
        <v>BIS35-8</v>
      </c>
      <c r="I955" t="str">
        <f t="array" ref="I955">iferror(index(isotopes!$J:$J,match($A955,isotopes!$A:$A,0)))</f>
        <v>N</v>
      </c>
      <c r="J955" t="str">
        <f t="array" ref="J955">iferror(index(extra_muscle!$G:$G,match($A955,extra_muscle!$A:$A,0)))</f>
        <v>BXM33-8</v>
      </c>
      <c r="K955" t="str">
        <f t="array" ref="K955">iferror(index(extra_muscle!$J:$J,match($A955,extra_muscle!$A:$A,0)))</f>
        <v>N</v>
      </c>
      <c r="L955" s="59" t="str">
        <f t="array" ref="L955">iferror(index(dna!$G:$G,match($A955,dna!$A:$A,0)))</f>
        <v/>
      </c>
      <c r="M955" s="60" t="str">
        <f t="array" ref="M955">iferror(index(dna!$J:$J,match($A955,dna!$A:$A,0)))</f>
        <v/>
      </c>
      <c r="N955" t="str">
        <f t="array" ref="N955">iferror(index(stomachs!$G:$G,match($A955,stomachs!$A:$A,0)))</f>
        <v/>
      </c>
      <c r="O955" t="str">
        <f t="array" ref="O955">iferror(index(stomachs!$J:$J,match($A955,stomachs!$A:$A,0)))</f>
        <v/>
      </c>
      <c r="P955" t="str">
        <f t="array" ref="P955">iferror(index(sea_lice!$G:$G,match($A955,sea_lice!$A:$A,0)))</f>
        <v/>
      </c>
      <c r="Q955" t="str">
        <f t="array" ref="Q955">iferror(index(sea_lice!$J:$J,match($A955,sea_lice!$A:$A,0)))</f>
        <v/>
      </c>
      <c r="R955" s="40" t="str">
        <f t="array" ref="R955">iferror(index(dissected_fish!$F:$F,match($A955,dissected_fish!$A:$A,0)))</f>
        <v>BCA108</v>
      </c>
      <c r="S955" s="40" t="str">
        <f t="array" ref="S955">iferror(index(dissected_fish!$K:$K,match($A955,dissected_fish!$A:$A,0)))</f>
        <v>N</v>
      </c>
      <c r="T955" s="61" t="str">
        <f t="array" ref="T955">index(fish_lab_data!O:O,match(A955,fish_lab_data!C:C,0))</f>
        <v>KB</v>
      </c>
      <c r="U955" s="61">
        <f t="array" ref="U955">if(A955="","",index(fish_lab_data!X:X,match(A955,fish_lab_data!C:C,0)))</f>
        <v>954</v>
      </c>
    </row>
    <row r="956">
      <c r="A956" t="str">
        <f>fish_lab_data!C956</f>
        <v>U17116</v>
      </c>
      <c r="B956" t="str">
        <f t="array" ref="B956">iferror(index('rna-muscle'!$I:$I,match($A956,'rna-muscle'!$A:$A,0)))</f>
        <v>BRN71M-H4</v>
      </c>
      <c r="C956" t="str">
        <f t="array" ref="C956">iferror(index('rna-muscle'!$L:$L,match($A956,'rna-muscle'!$A:$A,0)))</f>
        <v>N</v>
      </c>
      <c r="D956" t="str">
        <f t="array" ref="D956">iferror(index('rna-gill'!$I:$I,match($A956,'rna-gill'!$A:$A,0)))</f>
        <v>BRN71G-H4</v>
      </c>
      <c r="E956" t="str">
        <f t="array" ref="E956">iferror(index('rna-gill'!$L:$L,match($A956,'rna-gill'!$A:$A,0)))</f>
        <v>N</v>
      </c>
      <c r="F956" t="str">
        <f t="array" ref="F956">iferror(index(fatty_acid!$G:$G,match($A956,fatty_acid!$A:$A,0)))</f>
        <v>BFA32-9</v>
      </c>
      <c r="G956" t="str">
        <f t="array" ref="G956">iferror(index(fatty_acid!$J:$J,match($A956,fatty_acid!$A:$A,0)))</f>
        <v>N</v>
      </c>
      <c r="H956" t="str">
        <f t="array" ref="H956">iferror(index(isotopes!$G:$G,match($A956,isotopes!$A:$A,0)))</f>
        <v>BIS35-9</v>
      </c>
      <c r="I956" t="str">
        <f t="array" ref="I956">iferror(index(isotopes!$J:$J,match($A956,isotopes!$A:$A,0)))</f>
        <v>N</v>
      </c>
      <c r="J956" t="str">
        <f t="array" ref="J956">iferror(index(extra_muscle!$G:$G,match($A956,extra_muscle!$A:$A,0)))</f>
        <v>BXM33-9</v>
      </c>
      <c r="K956" t="str">
        <f t="array" ref="K956">iferror(index(extra_muscle!$J:$J,match($A956,extra_muscle!$A:$A,0)))</f>
        <v>N</v>
      </c>
      <c r="L956" s="59" t="str">
        <f t="array" ref="L956">iferror(index(dna!$G:$G,match($A956,dna!$A:$A,0)))</f>
        <v/>
      </c>
      <c r="M956" s="60" t="str">
        <f t="array" ref="M956">iferror(index(dna!$J:$J,match($A956,dna!$A:$A,0)))</f>
        <v/>
      </c>
      <c r="N956" t="str">
        <f t="array" ref="N956">iferror(index(stomachs!$G:$G,match($A956,stomachs!$A:$A,0)))</f>
        <v/>
      </c>
      <c r="O956" t="str">
        <f t="array" ref="O956">iferror(index(stomachs!$J:$J,match($A956,stomachs!$A:$A,0)))</f>
        <v/>
      </c>
      <c r="P956" t="str">
        <f t="array" ref="P956">iferror(index(sea_lice!$G:$G,match($A956,sea_lice!$A:$A,0)))</f>
        <v/>
      </c>
      <c r="Q956" t="str">
        <f t="array" ref="Q956">iferror(index(sea_lice!$J:$J,match($A956,sea_lice!$A:$A,0)))</f>
        <v/>
      </c>
      <c r="R956" s="40" t="str">
        <f t="array" ref="R956">iferror(index(dissected_fish!$F:$F,match($A956,dissected_fish!$A:$A,0)))</f>
        <v>BCA108</v>
      </c>
      <c r="S956" s="40" t="str">
        <f t="array" ref="S956">iferror(index(dissected_fish!$K:$K,match($A956,dissected_fish!$A:$A,0)))</f>
        <v>N</v>
      </c>
      <c r="T956" s="61" t="str">
        <f t="array" ref="T956">index(fish_lab_data!O:O,match(A956,fish_lab_data!C:C,0))</f>
        <v>KB</v>
      </c>
      <c r="U956" s="61">
        <f t="array" ref="U956">if(A956="","",index(fish_lab_data!X:X,match(A956,fish_lab_data!C:C,0)))</f>
        <v>955</v>
      </c>
    </row>
    <row r="957">
      <c r="A957" t="str">
        <f>fish_lab_data!C957</f>
        <v>U17115</v>
      </c>
      <c r="B957" t="str">
        <f t="array" ref="B957">iferror(index('rna-muscle'!$I:$I,match($A957,'rna-muscle'!$A:$A,0)))</f>
        <v>BRN71M-G4</v>
      </c>
      <c r="C957" t="str">
        <f t="array" ref="C957">iferror(index('rna-muscle'!$L:$L,match($A957,'rna-muscle'!$A:$A,0)))</f>
        <v>N</v>
      </c>
      <c r="D957" t="str">
        <f t="array" ref="D957">iferror(index('rna-gill'!$I:$I,match($A957,'rna-gill'!$A:$A,0)))</f>
        <v>BRN71G-G4</v>
      </c>
      <c r="E957" t="str">
        <f t="array" ref="E957">iferror(index('rna-gill'!$L:$L,match($A957,'rna-gill'!$A:$A,0)))</f>
        <v>N</v>
      </c>
      <c r="F957" t="str">
        <f t="array" ref="F957">iferror(index(fatty_acid!$G:$G,match($A957,fatty_acid!$A:$A,0)))</f>
        <v>BFA32-10</v>
      </c>
      <c r="G957" t="str">
        <f t="array" ref="G957">iferror(index(fatty_acid!$J:$J,match($A957,fatty_acid!$A:$A,0)))</f>
        <v>N</v>
      </c>
      <c r="H957" t="str">
        <f t="array" ref="H957">iferror(index(isotopes!$G:$G,match($A957,isotopes!$A:$A,0)))</f>
        <v>BIS35-10</v>
      </c>
      <c r="I957" t="str">
        <f t="array" ref="I957">iferror(index(isotopes!$J:$J,match($A957,isotopes!$A:$A,0)))</f>
        <v>N</v>
      </c>
      <c r="J957" t="str">
        <f t="array" ref="J957">iferror(index(extra_muscle!$G:$G,match($A957,extra_muscle!$A:$A,0)))</f>
        <v>BXM33-10</v>
      </c>
      <c r="K957" t="str">
        <f t="array" ref="K957">iferror(index(extra_muscle!$J:$J,match($A957,extra_muscle!$A:$A,0)))</f>
        <v>N</v>
      </c>
      <c r="L957" s="59" t="str">
        <f t="array" ref="L957">iferror(index(dna!$G:$G,match($A957,dna!$A:$A,0)))</f>
        <v/>
      </c>
      <c r="M957" s="60" t="str">
        <f t="array" ref="M957">iferror(index(dna!$J:$J,match($A957,dna!$A:$A,0)))</f>
        <v/>
      </c>
      <c r="N957" t="str">
        <f t="array" ref="N957">iferror(index(stomachs!$G:$G,match($A957,stomachs!$A:$A,0)))</f>
        <v/>
      </c>
      <c r="O957" t="str">
        <f t="array" ref="O957">iferror(index(stomachs!$J:$J,match($A957,stomachs!$A:$A,0)))</f>
        <v/>
      </c>
      <c r="P957" t="str">
        <f t="array" ref="P957">iferror(index(sea_lice!$G:$G,match($A957,sea_lice!$A:$A,0)))</f>
        <v/>
      </c>
      <c r="Q957" t="str">
        <f t="array" ref="Q957">iferror(index(sea_lice!$J:$J,match($A957,sea_lice!$A:$A,0)))</f>
        <v/>
      </c>
      <c r="R957" s="40" t="str">
        <f t="array" ref="R957">iferror(index(dissected_fish!$F:$F,match($A957,dissected_fish!$A:$A,0)))</f>
        <v>BCA108</v>
      </c>
      <c r="S957" s="40" t="str">
        <f t="array" ref="S957">iferror(index(dissected_fish!$K:$K,match($A957,dissected_fish!$A:$A,0)))</f>
        <v>N</v>
      </c>
      <c r="T957" s="61" t="str">
        <f t="array" ref="T957">index(fish_lab_data!O:O,match(A957,fish_lab_data!C:C,0))</f>
        <v>KB</v>
      </c>
      <c r="U957" s="61">
        <f t="array" ref="U957">if(A957="","",index(fish_lab_data!X:X,match(A957,fish_lab_data!C:C,0)))</f>
        <v>956</v>
      </c>
    </row>
    <row r="958">
      <c r="A958" t="str">
        <f>fish_lab_data!C958</f>
        <v>U17119</v>
      </c>
      <c r="B958" t="str">
        <f t="array" ref="B958">iferror(index('rna-muscle'!$I:$I,match($A958,'rna-muscle'!$A:$A,0)))</f>
        <v>BRN71M-F4</v>
      </c>
      <c r="C958" t="str">
        <f t="array" ref="C958">iferror(index('rna-muscle'!$L:$L,match($A958,'rna-muscle'!$A:$A,0)))</f>
        <v>N</v>
      </c>
      <c r="D958" t="str">
        <f t="array" ref="D958">iferror(index('rna-gill'!$I:$I,match($A958,'rna-gill'!$A:$A,0)))</f>
        <v>BRN71G-F4</v>
      </c>
      <c r="E958" t="str">
        <f t="array" ref="E958">iferror(index('rna-gill'!$L:$L,match($A958,'rna-gill'!$A:$A,0)))</f>
        <v>N</v>
      </c>
      <c r="F958" t="str">
        <f t="array" ref="F958">iferror(index(fatty_acid!$G:$G,match($A958,fatty_acid!$A:$A,0)))</f>
        <v>BFA32-11</v>
      </c>
      <c r="G958" t="str">
        <f t="array" ref="G958">iferror(index(fatty_acid!$J:$J,match($A958,fatty_acid!$A:$A,0)))</f>
        <v>N</v>
      </c>
      <c r="H958" t="str">
        <f t="array" ref="H958">iferror(index(isotopes!$G:$G,match($A958,isotopes!$A:$A,0)))</f>
        <v>BIS35-11</v>
      </c>
      <c r="I958" t="str">
        <f t="array" ref="I958">iferror(index(isotopes!$J:$J,match($A958,isotopes!$A:$A,0)))</f>
        <v>N</v>
      </c>
      <c r="J958" t="str">
        <f t="array" ref="J958">iferror(index(extra_muscle!$G:$G,match($A958,extra_muscle!$A:$A,0)))</f>
        <v>BXM33-11</v>
      </c>
      <c r="K958" t="str">
        <f t="array" ref="K958">iferror(index(extra_muscle!$J:$J,match($A958,extra_muscle!$A:$A,0)))</f>
        <v>N</v>
      </c>
      <c r="L958" s="59" t="str">
        <f t="array" ref="L958">iferror(index(dna!$G:$G,match($A958,dna!$A:$A,0)))</f>
        <v/>
      </c>
      <c r="M958" s="60" t="str">
        <f t="array" ref="M958">iferror(index(dna!$J:$J,match($A958,dna!$A:$A,0)))</f>
        <v/>
      </c>
      <c r="N958" t="str">
        <f t="array" ref="N958">iferror(index(stomachs!$G:$G,match($A958,stomachs!$A:$A,0)))</f>
        <v/>
      </c>
      <c r="O958" t="str">
        <f t="array" ref="O958">iferror(index(stomachs!$J:$J,match($A958,stomachs!$A:$A,0)))</f>
        <v/>
      </c>
      <c r="P958" t="str">
        <f t="array" ref="P958">iferror(index(sea_lice!$G:$G,match($A958,sea_lice!$A:$A,0)))</f>
        <v/>
      </c>
      <c r="Q958" t="str">
        <f t="array" ref="Q958">iferror(index(sea_lice!$J:$J,match($A958,sea_lice!$A:$A,0)))</f>
        <v/>
      </c>
      <c r="R958" s="40" t="str">
        <f t="array" ref="R958">iferror(index(dissected_fish!$F:$F,match($A958,dissected_fish!$A:$A,0)))</f>
        <v>BCA108</v>
      </c>
      <c r="S958" s="40" t="str">
        <f t="array" ref="S958">iferror(index(dissected_fish!$K:$K,match($A958,dissected_fish!$A:$A,0)))</f>
        <v>N</v>
      </c>
      <c r="T958" s="61" t="str">
        <f t="array" ref="T958">index(fish_lab_data!O:O,match(A958,fish_lab_data!C:C,0))</f>
        <v>KB</v>
      </c>
      <c r="U958" s="61">
        <f t="array" ref="U958">if(A958="","",index(fish_lab_data!X:X,match(A958,fish_lab_data!C:C,0)))</f>
        <v>957</v>
      </c>
    </row>
    <row r="959">
      <c r="A959" t="str">
        <f>fish_lab_data!C959</f>
        <v>U17117</v>
      </c>
      <c r="B959" t="str">
        <f t="array" ref="B959">iferror(index('rna-muscle'!$I:$I,match($A959,'rna-muscle'!$A:$A,0)))</f>
        <v>BRN71M-E4</v>
      </c>
      <c r="C959" t="str">
        <f t="array" ref="C959">iferror(index('rna-muscle'!$L:$L,match($A959,'rna-muscle'!$A:$A,0)))</f>
        <v>N</v>
      </c>
      <c r="D959" t="str">
        <f t="array" ref="D959">iferror(index('rna-gill'!$I:$I,match($A959,'rna-gill'!$A:$A,0)))</f>
        <v>BRN71G-E4</v>
      </c>
      <c r="E959" t="str">
        <f t="array" ref="E959">iferror(index('rna-gill'!$L:$L,match($A959,'rna-gill'!$A:$A,0)))</f>
        <v>N</v>
      </c>
      <c r="F959" t="str">
        <f t="array" ref="F959">iferror(index(fatty_acid!$G:$G,match($A959,fatty_acid!$A:$A,0)))</f>
        <v>BFA32-12</v>
      </c>
      <c r="G959" t="str">
        <f t="array" ref="G959">iferror(index(fatty_acid!$J:$J,match($A959,fatty_acid!$A:$A,0)))</f>
        <v>N</v>
      </c>
      <c r="H959" t="str">
        <f t="array" ref="H959">iferror(index(isotopes!$G:$G,match($A959,isotopes!$A:$A,0)))</f>
        <v>BIS35-12</v>
      </c>
      <c r="I959" t="str">
        <f t="array" ref="I959">iferror(index(isotopes!$J:$J,match($A959,isotopes!$A:$A,0)))</f>
        <v>N</v>
      </c>
      <c r="J959" t="str">
        <f t="array" ref="J959">iferror(index(extra_muscle!$G:$G,match($A959,extra_muscle!$A:$A,0)))</f>
        <v>BXM33-12</v>
      </c>
      <c r="K959" t="str">
        <f t="array" ref="K959">iferror(index(extra_muscle!$J:$J,match($A959,extra_muscle!$A:$A,0)))</f>
        <v>N</v>
      </c>
      <c r="L959" s="59" t="str">
        <f t="array" ref="L959">iferror(index(dna!$G:$G,match($A959,dna!$A:$A,0)))</f>
        <v/>
      </c>
      <c r="M959" s="60" t="str">
        <f t="array" ref="M959">iferror(index(dna!$J:$J,match($A959,dna!$A:$A,0)))</f>
        <v/>
      </c>
      <c r="N959" t="str">
        <f t="array" ref="N959">iferror(index(stomachs!$G:$G,match($A959,stomachs!$A:$A,0)))</f>
        <v/>
      </c>
      <c r="O959" t="str">
        <f t="array" ref="O959">iferror(index(stomachs!$J:$J,match($A959,stomachs!$A:$A,0)))</f>
        <v/>
      </c>
      <c r="P959" t="str">
        <f t="array" ref="P959">iferror(index(sea_lice!$G:$G,match($A959,sea_lice!$A:$A,0)))</f>
        <v>BSL2-65</v>
      </c>
      <c r="Q959" t="str">
        <f t="array" ref="Q959">iferror(index(sea_lice!$J:$J,match($A959,sea_lice!$A:$A,0)))</f>
        <v>N</v>
      </c>
      <c r="R959" s="40" t="str">
        <f t="array" ref="R959">iferror(index(dissected_fish!$F:$F,match($A959,dissected_fish!$A:$A,0)))</f>
        <v>BCA108</v>
      </c>
      <c r="S959" s="40" t="str">
        <f t="array" ref="S959">iferror(index(dissected_fish!$K:$K,match($A959,dissected_fish!$A:$A,0)))</f>
        <v>N</v>
      </c>
      <c r="T959" s="61" t="str">
        <f t="array" ref="T959">index(fish_lab_data!O:O,match(A959,fish_lab_data!C:C,0))</f>
        <v>KB</v>
      </c>
      <c r="U959" s="61">
        <f t="array" ref="U959">if(A959="","",index(fish_lab_data!X:X,match(A959,fish_lab_data!C:C,0)))</f>
        <v>958</v>
      </c>
    </row>
    <row r="960">
      <c r="A960" t="str">
        <f>fish_lab_data!C960</f>
        <v>U17111</v>
      </c>
      <c r="B960" t="str">
        <f t="array" ref="B960">iferror(index('rna-muscle'!$I:$I,match($A960,'rna-muscle'!$A:$A,0)))</f>
        <v>BRN71M-D4</v>
      </c>
      <c r="C960" t="str">
        <f t="array" ref="C960">iferror(index('rna-muscle'!$L:$L,match($A960,'rna-muscle'!$A:$A,0)))</f>
        <v>N</v>
      </c>
      <c r="D960" t="str">
        <f t="array" ref="D960">iferror(index('rna-gill'!$I:$I,match($A960,'rna-gill'!$A:$A,0)))</f>
        <v>BRN71G-D4</v>
      </c>
      <c r="E960" t="str">
        <f t="array" ref="E960">iferror(index('rna-gill'!$L:$L,match($A960,'rna-gill'!$A:$A,0)))</f>
        <v>N</v>
      </c>
      <c r="F960" t="str">
        <f t="array" ref="F960">iferror(index(fatty_acid!$G:$G,match($A960,fatty_acid!$A:$A,0)))</f>
        <v>BFA32-13</v>
      </c>
      <c r="G960" t="str">
        <f t="array" ref="G960">iferror(index(fatty_acid!$J:$J,match($A960,fatty_acid!$A:$A,0)))</f>
        <v>N</v>
      </c>
      <c r="H960" t="str">
        <f t="array" ref="H960">iferror(index(isotopes!$G:$G,match($A960,isotopes!$A:$A,0)))</f>
        <v>BIS35-13</v>
      </c>
      <c r="I960" t="str">
        <f t="array" ref="I960">iferror(index(isotopes!$J:$J,match($A960,isotopes!$A:$A,0)))</f>
        <v>N</v>
      </c>
      <c r="J960" t="str">
        <f t="array" ref="J960">iferror(index(extra_muscle!$G:$G,match($A960,extra_muscle!$A:$A,0)))</f>
        <v>BXM33-13</v>
      </c>
      <c r="K960" t="str">
        <f t="array" ref="K960">iferror(index(extra_muscle!$J:$J,match($A960,extra_muscle!$A:$A,0)))</f>
        <v>N</v>
      </c>
      <c r="L960" s="59" t="str">
        <f t="array" ref="L960">iferror(index(dna!$G:$G,match($A960,dna!$A:$A,0)))</f>
        <v/>
      </c>
      <c r="M960" s="60" t="str">
        <f t="array" ref="M960">iferror(index(dna!$J:$J,match($A960,dna!$A:$A,0)))</f>
        <v/>
      </c>
      <c r="N960" t="str">
        <f t="array" ref="N960">iferror(index(stomachs!$G:$G,match($A960,stomachs!$A:$A,0)))</f>
        <v/>
      </c>
      <c r="O960" t="str">
        <f t="array" ref="O960">iferror(index(stomachs!$J:$J,match($A960,stomachs!$A:$A,0)))</f>
        <v/>
      </c>
      <c r="P960" t="str">
        <f t="array" ref="P960">iferror(index(sea_lice!$G:$G,match($A960,sea_lice!$A:$A,0)))</f>
        <v>BSL2-67</v>
      </c>
      <c r="Q960" t="str">
        <f t="array" ref="Q960">iferror(index(sea_lice!$J:$J,match($A960,sea_lice!$A:$A,0)))</f>
        <v>N</v>
      </c>
      <c r="R960" s="40" t="str">
        <f t="array" ref="R960">iferror(index(dissected_fish!$F:$F,match($A960,dissected_fish!$A:$A,0)))</f>
        <v>BCA108</v>
      </c>
      <c r="S960" s="40" t="str">
        <f t="array" ref="S960">iferror(index(dissected_fish!$K:$K,match($A960,dissected_fish!$A:$A,0)))</f>
        <v>N</v>
      </c>
      <c r="T960" s="61" t="str">
        <f t="array" ref="T960">index(fish_lab_data!O:O,match(A960,fish_lab_data!C:C,0))</f>
        <v>KB</v>
      </c>
      <c r="U960" s="61">
        <f t="array" ref="U960">if(A960="","",index(fish_lab_data!X:X,match(A960,fish_lab_data!C:C,0)))</f>
        <v>959</v>
      </c>
    </row>
    <row r="961">
      <c r="A961" t="str">
        <f>fish_lab_data!C961</f>
        <v>U17113</v>
      </c>
      <c r="B961" t="str">
        <f t="array" ref="B961">iferror(index('rna-muscle'!$I:$I,match($A961,'rna-muscle'!$A:$A,0)))</f>
        <v>BRN71M-C4</v>
      </c>
      <c r="C961" t="str">
        <f t="array" ref="C961">iferror(index('rna-muscle'!$L:$L,match($A961,'rna-muscle'!$A:$A,0)))</f>
        <v>N</v>
      </c>
      <c r="D961" t="str">
        <f t="array" ref="D961">iferror(index('rna-gill'!$I:$I,match($A961,'rna-gill'!$A:$A,0)))</f>
        <v>BRN71G-C4</v>
      </c>
      <c r="E961" t="str">
        <f t="array" ref="E961">iferror(index('rna-gill'!$L:$L,match($A961,'rna-gill'!$A:$A,0)))</f>
        <v>N</v>
      </c>
      <c r="F961" t="str">
        <f t="array" ref="F961">iferror(index(fatty_acid!$G:$G,match($A961,fatty_acid!$A:$A,0)))</f>
        <v>BFA32-14</v>
      </c>
      <c r="G961" t="str">
        <f t="array" ref="G961">iferror(index(fatty_acid!$J:$J,match($A961,fatty_acid!$A:$A,0)))</f>
        <v>N</v>
      </c>
      <c r="H961" t="str">
        <f t="array" ref="H961">iferror(index(isotopes!$G:$G,match($A961,isotopes!$A:$A,0)))</f>
        <v>BIS35-14</v>
      </c>
      <c r="I961" t="str">
        <f t="array" ref="I961">iferror(index(isotopes!$J:$J,match($A961,isotopes!$A:$A,0)))</f>
        <v>N</v>
      </c>
      <c r="J961" t="str">
        <f t="array" ref="J961">iferror(index(extra_muscle!$G:$G,match($A961,extra_muscle!$A:$A,0)))</f>
        <v>BXM33-14</v>
      </c>
      <c r="K961" t="str">
        <f t="array" ref="K961">iferror(index(extra_muscle!$J:$J,match($A961,extra_muscle!$A:$A,0)))</f>
        <v>N</v>
      </c>
      <c r="L961" s="59" t="str">
        <f t="array" ref="L961">iferror(index(dna!$G:$G,match($A961,dna!$A:$A,0)))</f>
        <v/>
      </c>
      <c r="M961" s="60" t="str">
        <f t="array" ref="M961">iferror(index(dna!$J:$J,match($A961,dna!$A:$A,0)))</f>
        <v/>
      </c>
      <c r="N961" t="str">
        <f t="array" ref="N961">iferror(index(stomachs!$G:$G,match($A961,stomachs!$A:$A,0)))</f>
        <v/>
      </c>
      <c r="O961" t="str">
        <f t="array" ref="O961">iferror(index(stomachs!$J:$J,match($A961,stomachs!$A:$A,0)))</f>
        <v/>
      </c>
      <c r="P961" t="str">
        <f t="array" ref="P961">iferror(index(sea_lice!$G:$G,match($A961,sea_lice!$A:$A,0)))</f>
        <v/>
      </c>
      <c r="Q961" t="str">
        <f t="array" ref="Q961">iferror(index(sea_lice!$J:$J,match($A961,sea_lice!$A:$A,0)))</f>
        <v/>
      </c>
      <c r="R961" s="40" t="str">
        <f t="array" ref="R961">iferror(index(dissected_fish!$F:$F,match($A961,dissected_fish!$A:$A,0)))</f>
        <v>BCA108</v>
      </c>
      <c r="S961" s="40" t="str">
        <f t="array" ref="S961">iferror(index(dissected_fish!$K:$K,match($A961,dissected_fish!$A:$A,0)))</f>
        <v>N</v>
      </c>
      <c r="T961" s="61" t="str">
        <f t="array" ref="T961">index(fish_lab_data!O:O,match(A961,fish_lab_data!C:C,0))</f>
        <v>KB</v>
      </c>
      <c r="U961" s="61">
        <f t="array" ref="U961">if(A961="","",index(fish_lab_data!X:X,match(A961,fish_lab_data!C:C,0)))</f>
        <v>960</v>
      </c>
    </row>
    <row r="962">
      <c r="A962" t="str">
        <f>fish_lab_data!C962</f>
        <v>U17114</v>
      </c>
      <c r="B962" t="str">
        <f t="array" ref="B962">iferror(index('rna-muscle'!$I:$I,match($A962,'rna-muscle'!$A:$A,0)))</f>
        <v>BRN71M-B4</v>
      </c>
      <c r="C962" t="str">
        <f t="array" ref="C962">iferror(index('rna-muscle'!$L:$L,match($A962,'rna-muscle'!$A:$A,0)))</f>
        <v>N</v>
      </c>
      <c r="D962" t="str">
        <f t="array" ref="D962">iferror(index('rna-gill'!$I:$I,match($A962,'rna-gill'!$A:$A,0)))</f>
        <v>BRN71G-B4</v>
      </c>
      <c r="E962" t="str">
        <f t="array" ref="E962">iferror(index('rna-gill'!$L:$L,match($A962,'rna-gill'!$A:$A,0)))</f>
        <v>N</v>
      </c>
      <c r="F962" t="str">
        <f t="array" ref="F962">iferror(index(fatty_acid!$G:$G,match($A962,fatty_acid!$A:$A,0)))</f>
        <v>BFA32-15</v>
      </c>
      <c r="G962" t="str">
        <f t="array" ref="G962">iferror(index(fatty_acid!$J:$J,match($A962,fatty_acid!$A:$A,0)))</f>
        <v>N</v>
      </c>
      <c r="H962" t="str">
        <f t="array" ref="H962">iferror(index(isotopes!$G:$G,match($A962,isotopes!$A:$A,0)))</f>
        <v>BIS35-15</v>
      </c>
      <c r="I962" t="str">
        <f t="array" ref="I962">iferror(index(isotopes!$J:$J,match($A962,isotopes!$A:$A,0)))</f>
        <v>N</v>
      </c>
      <c r="J962" t="str">
        <f t="array" ref="J962">iferror(index(extra_muscle!$G:$G,match($A962,extra_muscle!$A:$A,0)))</f>
        <v>BXM33-15</v>
      </c>
      <c r="K962" t="str">
        <f t="array" ref="K962">iferror(index(extra_muscle!$J:$J,match($A962,extra_muscle!$A:$A,0)))</f>
        <v>N</v>
      </c>
      <c r="L962" s="59" t="str">
        <f t="array" ref="L962">iferror(index(dna!$G:$G,match($A962,dna!$A:$A,0)))</f>
        <v/>
      </c>
      <c r="M962" s="60" t="str">
        <f t="array" ref="M962">iferror(index(dna!$J:$J,match($A962,dna!$A:$A,0)))</f>
        <v/>
      </c>
      <c r="N962" t="str">
        <f t="array" ref="N962">iferror(index(stomachs!$G:$G,match($A962,stomachs!$A:$A,0)))</f>
        <v/>
      </c>
      <c r="O962" t="str">
        <f t="array" ref="O962">iferror(index(stomachs!$J:$J,match($A962,stomachs!$A:$A,0)))</f>
        <v/>
      </c>
      <c r="P962" t="str">
        <f t="array" ref="P962">iferror(index(sea_lice!$G:$G,match($A962,sea_lice!$A:$A,0)))</f>
        <v/>
      </c>
      <c r="Q962" t="str">
        <f t="array" ref="Q962">iferror(index(sea_lice!$J:$J,match($A962,sea_lice!$A:$A,0)))</f>
        <v/>
      </c>
      <c r="R962" s="40" t="str">
        <f t="array" ref="R962">iferror(index(dissected_fish!$F:$F,match($A962,dissected_fish!$A:$A,0)))</f>
        <v>BCA108</v>
      </c>
      <c r="S962" s="40" t="str">
        <f t="array" ref="S962">iferror(index(dissected_fish!$K:$K,match($A962,dissected_fish!$A:$A,0)))</f>
        <v>N</v>
      </c>
      <c r="T962" s="61" t="str">
        <f t="array" ref="T962">index(fish_lab_data!O:O,match(A962,fish_lab_data!C:C,0))</f>
        <v>KB</v>
      </c>
      <c r="U962" s="61">
        <f t="array" ref="U962">if(A962="","",index(fish_lab_data!X:X,match(A962,fish_lab_data!C:C,0)))</f>
        <v>961</v>
      </c>
    </row>
    <row r="963">
      <c r="A963" t="str">
        <f>fish_lab_data!C963</f>
        <v>U17120</v>
      </c>
      <c r="B963" t="str">
        <f t="array" ref="B963">iferror(index('rna-muscle'!$I:$I,match($A963,'rna-muscle'!$A:$A,0)))</f>
        <v>BRN71M-A4</v>
      </c>
      <c r="C963" t="str">
        <f t="array" ref="C963">iferror(index('rna-muscle'!$L:$L,match($A963,'rna-muscle'!$A:$A,0)))</f>
        <v>N</v>
      </c>
      <c r="D963" t="str">
        <f t="array" ref="D963">iferror(index('rna-gill'!$I:$I,match($A963,'rna-gill'!$A:$A,0)))</f>
        <v>BRN71G-A4</v>
      </c>
      <c r="E963" t="str">
        <f t="array" ref="E963">iferror(index('rna-gill'!$L:$L,match($A963,'rna-gill'!$A:$A,0)))</f>
        <v>N</v>
      </c>
      <c r="F963" t="str">
        <f t="array" ref="F963">iferror(index(fatty_acid!$G:$G,match($A963,fatty_acid!$A:$A,0)))</f>
        <v>BFA32-16</v>
      </c>
      <c r="G963" t="str">
        <f t="array" ref="G963">iferror(index(fatty_acid!$J:$J,match($A963,fatty_acid!$A:$A,0)))</f>
        <v>N</v>
      </c>
      <c r="H963" t="str">
        <f t="array" ref="H963">iferror(index(isotopes!$G:$G,match($A963,isotopes!$A:$A,0)))</f>
        <v>BIS35-16</v>
      </c>
      <c r="I963" t="str">
        <f t="array" ref="I963">iferror(index(isotopes!$J:$J,match($A963,isotopes!$A:$A,0)))</f>
        <v>N</v>
      </c>
      <c r="J963" t="str">
        <f t="array" ref="J963">iferror(index(extra_muscle!$G:$G,match($A963,extra_muscle!$A:$A,0)))</f>
        <v>BXM33-16</v>
      </c>
      <c r="K963" t="str">
        <f t="array" ref="K963">iferror(index(extra_muscle!$J:$J,match($A963,extra_muscle!$A:$A,0)))</f>
        <v>N</v>
      </c>
      <c r="L963" s="59" t="str">
        <f t="array" ref="L963">iferror(index(dna!$G:$G,match($A963,dna!$A:$A,0)))</f>
        <v/>
      </c>
      <c r="M963" s="60" t="str">
        <f t="array" ref="M963">iferror(index(dna!$J:$J,match($A963,dna!$A:$A,0)))</f>
        <v/>
      </c>
      <c r="N963" t="str">
        <f t="array" ref="N963">iferror(index(stomachs!$G:$G,match($A963,stomachs!$A:$A,0)))</f>
        <v/>
      </c>
      <c r="O963" t="str">
        <f t="array" ref="O963">iferror(index(stomachs!$J:$J,match($A963,stomachs!$A:$A,0)))</f>
        <v/>
      </c>
      <c r="P963" t="str">
        <f t="array" ref="P963">iferror(index(sea_lice!$G:$G,match($A963,sea_lice!$A:$A,0)))</f>
        <v/>
      </c>
      <c r="Q963" t="str">
        <f t="array" ref="Q963">iferror(index(sea_lice!$J:$J,match($A963,sea_lice!$A:$A,0)))</f>
        <v/>
      </c>
      <c r="R963" s="40" t="str">
        <f t="array" ref="R963">iferror(index(dissected_fish!$F:$F,match($A963,dissected_fish!$A:$A,0)))</f>
        <v>BCA108</v>
      </c>
      <c r="S963" s="40" t="str">
        <f t="array" ref="S963">iferror(index(dissected_fish!$K:$K,match($A963,dissected_fish!$A:$A,0)))</f>
        <v>N</v>
      </c>
      <c r="T963" s="61" t="str">
        <f t="array" ref="T963">index(fish_lab_data!O:O,match(A963,fish_lab_data!C:C,0))</f>
        <v>KB</v>
      </c>
      <c r="U963" s="61">
        <f t="array" ref="U963">if(A963="","",index(fish_lab_data!X:X,match(A963,fish_lab_data!C:C,0)))</f>
        <v>962</v>
      </c>
    </row>
    <row r="964">
      <c r="A964" t="str">
        <f>fish_lab_data!C964</f>
        <v>U17118</v>
      </c>
      <c r="B964" t="str">
        <f t="array" ref="B964">iferror(index('rna-muscle'!$I:$I,match($A964,'rna-muscle'!$A:$A,0)))</f>
        <v>BRN71M-G6</v>
      </c>
      <c r="C964" t="str">
        <f t="array" ref="C964">iferror(index('rna-muscle'!$L:$L,match($A964,'rna-muscle'!$A:$A,0)))</f>
        <v>N</v>
      </c>
      <c r="D964" t="str">
        <f t="array" ref="D964">iferror(index('rna-gill'!$I:$I,match($A964,'rna-gill'!$A:$A,0)))</f>
        <v>BRN71G-G6</v>
      </c>
      <c r="E964" t="str">
        <f t="array" ref="E964">iferror(index('rna-gill'!$L:$L,match($A964,'rna-gill'!$A:$A,0)))</f>
        <v>N</v>
      </c>
      <c r="F964" t="str">
        <f t="array" ref="F964">iferror(index(fatty_acid!$G:$G,match($A964,fatty_acid!$A:$A,0)))</f>
        <v>BFA32-17</v>
      </c>
      <c r="G964" t="str">
        <f t="array" ref="G964">iferror(index(fatty_acid!$J:$J,match($A964,fatty_acid!$A:$A,0)))</f>
        <v>N</v>
      </c>
      <c r="H964" t="str">
        <f t="array" ref="H964">iferror(index(isotopes!$G:$G,match($A964,isotopes!$A:$A,0)))</f>
        <v>BIS35-17</v>
      </c>
      <c r="I964" t="str">
        <f t="array" ref="I964">iferror(index(isotopes!$J:$J,match($A964,isotopes!$A:$A,0)))</f>
        <v>N</v>
      </c>
      <c r="J964" t="str">
        <f t="array" ref="J964">iferror(index(extra_muscle!$G:$G,match($A964,extra_muscle!$A:$A,0)))</f>
        <v>BXM33-17</v>
      </c>
      <c r="K964" t="str">
        <f t="array" ref="K964">iferror(index(extra_muscle!$J:$J,match($A964,extra_muscle!$A:$A,0)))</f>
        <v>N</v>
      </c>
      <c r="L964" s="59" t="str">
        <f t="array" ref="L964">iferror(index(dna!$G:$G,match($A964,dna!$A:$A,0)))</f>
        <v/>
      </c>
      <c r="M964" s="60" t="str">
        <f t="array" ref="M964">iferror(index(dna!$J:$J,match($A964,dna!$A:$A,0)))</f>
        <v/>
      </c>
      <c r="N964" t="str">
        <f t="array" ref="N964">iferror(index(stomachs!$G:$G,match($A964,stomachs!$A:$A,0)))</f>
        <v/>
      </c>
      <c r="O964" t="str">
        <f t="array" ref="O964">iferror(index(stomachs!$J:$J,match($A964,stomachs!$A:$A,0)))</f>
        <v/>
      </c>
      <c r="P964" t="str">
        <f t="array" ref="P964">iferror(index(sea_lice!$G:$G,match($A964,sea_lice!$A:$A,0)))</f>
        <v>BSL2-69</v>
      </c>
      <c r="Q964" t="str">
        <f t="array" ref="Q964">iferror(index(sea_lice!$J:$J,match($A964,sea_lice!$A:$A,0)))</f>
        <v>N</v>
      </c>
      <c r="R964" s="40" t="str">
        <f t="array" ref="R964">iferror(index(dissected_fish!$F:$F,match($A964,dissected_fish!$A:$A,0)))</f>
        <v>BCA108</v>
      </c>
      <c r="S964" s="40" t="str">
        <f t="array" ref="S964">iferror(index(dissected_fish!$K:$K,match($A964,dissected_fish!$A:$A,0)))</f>
        <v>N</v>
      </c>
      <c r="T964" s="61" t="str">
        <f t="array" ref="T964">index(fish_lab_data!O:O,match(A964,fish_lab_data!C:C,0))</f>
        <v>KB</v>
      </c>
      <c r="U964" s="61">
        <f t="array" ref="U964">if(A964="","",index(fish_lab_data!X:X,match(A964,fish_lab_data!C:C,0)))</f>
        <v>963</v>
      </c>
    </row>
    <row r="965">
      <c r="A965" t="str">
        <f>fish_lab_data!C965</f>
        <v>U17112</v>
      </c>
      <c r="B965" t="str">
        <f t="array" ref="B965">iferror(index('rna-muscle'!$I:$I,match($A965,'rna-muscle'!$A:$A,0)))</f>
        <v>BRN71M-F6</v>
      </c>
      <c r="C965" t="str">
        <f t="array" ref="C965">iferror(index('rna-muscle'!$L:$L,match($A965,'rna-muscle'!$A:$A,0)))</f>
        <v>N</v>
      </c>
      <c r="D965" t="str">
        <f t="array" ref="D965">iferror(index('rna-gill'!$I:$I,match($A965,'rna-gill'!$A:$A,0)))</f>
        <v>BRN71G-F6</v>
      </c>
      <c r="E965" t="str">
        <f t="array" ref="E965">iferror(index('rna-gill'!$L:$L,match($A965,'rna-gill'!$A:$A,0)))</f>
        <v>N</v>
      </c>
      <c r="F965" t="str">
        <f t="array" ref="F965">iferror(index(fatty_acid!$G:$G,match($A965,fatty_acid!$A:$A,0)))</f>
        <v>BFA32-18</v>
      </c>
      <c r="G965" t="str">
        <f t="array" ref="G965">iferror(index(fatty_acid!$J:$J,match($A965,fatty_acid!$A:$A,0)))</f>
        <v>N</v>
      </c>
      <c r="H965" t="str">
        <f t="array" ref="H965">iferror(index(isotopes!$G:$G,match($A965,isotopes!$A:$A,0)))</f>
        <v>BIS35-18</v>
      </c>
      <c r="I965" t="str">
        <f t="array" ref="I965">iferror(index(isotopes!$J:$J,match($A965,isotopes!$A:$A,0)))</f>
        <v>N</v>
      </c>
      <c r="J965" t="str">
        <f t="array" ref="J965">iferror(index(extra_muscle!$G:$G,match($A965,extra_muscle!$A:$A,0)))</f>
        <v>BXM33-18</v>
      </c>
      <c r="K965" t="str">
        <f t="array" ref="K965">iferror(index(extra_muscle!$J:$J,match($A965,extra_muscle!$A:$A,0)))</f>
        <v>N</v>
      </c>
      <c r="L965" s="59" t="str">
        <f t="array" ref="L965">iferror(index(dna!$G:$G,match($A965,dna!$A:$A,0)))</f>
        <v/>
      </c>
      <c r="M965" s="60" t="str">
        <f t="array" ref="M965">iferror(index(dna!$J:$J,match($A965,dna!$A:$A,0)))</f>
        <v/>
      </c>
      <c r="N965" t="str">
        <f t="array" ref="N965">iferror(index(stomachs!$G:$G,match($A965,stomachs!$A:$A,0)))</f>
        <v/>
      </c>
      <c r="O965" t="str">
        <f t="array" ref="O965">iferror(index(stomachs!$J:$J,match($A965,stomachs!$A:$A,0)))</f>
        <v/>
      </c>
      <c r="P965" t="str">
        <f t="array" ref="P965">iferror(index(sea_lice!$G:$G,match($A965,sea_lice!$A:$A,0)))</f>
        <v/>
      </c>
      <c r="Q965" t="str">
        <f t="array" ref="Q965">iferror(index(sea_lice!$J:$J,match($A965,sea_lice!$A:$A,0)))</f>
        <v/>
      </c>
      <c r="R965" s="40" t="str">
        <f t="array" ref="R965">iferror(index(dissected_fish!$F:$F,match($A965,dissected_fish!$A:$A,0)))</f>
        <v>BCA108</v>
      </c>
      <c r="S965" s="40" t="str">
        <f t="array" ref="S965">iferror(index(dissected_fish!$K:$K,match($A965,dissected_fish!$A:$A,0)))</f>
        <v>N</v>
      </c>
      <c r="T965" s="61" t="str">
        <f t="array" ref="T965">index(fish_lab_data!O:O,match(A965,fish_lab_data!C:C,0))</f>
        <v>KB</v>
      </c>
      <c r="U965" s="61">
        <f t="array" ref="U965">if(A965="","",index(fish_lab_data!X:X,match(A965,fish_lab_data!C:C,0)))</f>
        <v>964</v>
      </c>
    </row>
    <row r="966">
      <c r="A966" t="str">
        <f>fish_lab_data!C966</f>
        <v>U17570</v>
      </c>
      <c r="B966" t="str">
        <f t="array" ref="B966">iferror(index('rna-muscle'!$I:$I,match($A966,'rna-muscle'!$A:$A,0)))</f>
        <v>BRN71M-F3</v>
      </c>
      <c r="C966" t="str">
        <f t="array" ref="C966">iferror(index('rna-muscle'!$L:$L,match($A966,'rna-muscle'!$A:$A,0)))</f>
        <v>N</v>
      </c>
      <c r="D966" t="str">
        <f t="array" ref="D966">iferror(index('rna-gill'!$I:$I,match($A966,'rna-gill'!$A:$A,0)))</f>
        <v>BRN71G-F3</v>
      </c>
      <c r="E966" t="str">
        <f t="array" ref="E966">iferror(index('rna-gill'!$L:$L,match($A966,'rna-gill'!$A:$A,0)))</f>
        <v>N</v>
      </c>
      <c r="F966" t="str">
        <f t="array" ref="F966">iferror(index(fatty_acid!$G:$G,match($A966,fatty_acid!$A:$A,0)))</f>
        <v>BFA33-1</v>
      </c>
      <c r="G966" t="str">
        <f t="array" ref="G966">iferror(index(fatty_acid!$J:$J,match($A966,fatty_acid!$A:$A,0)))</f>
        <v>N</v>
      </c>
      <c r="H966" t="str">
        <f t="array" ref="H966">iferror(index(isotopes!$G:$G,match($A966,isotopes!$A:$A,0)))</f>
        <v>BIS34-24</v>
      </c>
      <c r="I966" t="str">
        <f t="array" ref="I966">iferror(index(isotopes!$J:$J,match($A966,isotopes!$A:$A,0)))</f>
        <v>N</v>
      </c>
      <c r="J966" t="str">
        <f t="array" ref="J966">iferror(index(extra_muscle!$G:$G,match($A966,extra_muscle!$A:$A,0)))</f>
        <v>BXM32-68</v>
      </c>
      <c r="K966" t="str">
        <f t="array" ref="K966">iferror(index(extra_muscle!$J:$J,match($A966,extra_muscle!$A:$A,0)))</f>
        <v>N</v>
      </c>
      <c r="L966" s="59" t="str">
        <f t="array" ref="L966">iferror(index(dna!$G:$G,match($A966,dna!$A:$A,0)))</f>
        <v/>
      </c>
      <c r="M966" s="60" t="str">
        <f t="array" ref="M966">iferror(index(dna!$J:$J,match($A966,dna!$A:$A,0)))</f>
        <v/>
      </c>
      <c r="N966" t="str">
        <f t="array" ref="N966">iferror(index(stomachs!$G:$G,match($A966,stomachs!$A:$A,0)))</f>
        <v/>
      </c>
      <c r="O966" t="str">
        <f t="array" ref="O966">iferror(index(stomachs!$J:$J,match($A966,stomachs!$A:$A,0)))</f>
        <v/>
      </c>
      <c r="P966" t="str">
        <f t="array" ref="P966">iferror(index(sea_lice!$G:$G,match($A966,sea_lice!$A:$A,0)))</f>
        <v>BSL7-18</v>
      </c>
      <c r="Q966" t="str">
        <f t="array" ref="Q966">iferror(index(sea_lice!$J:$J,match($A966,sea_lice!$A:$A,0)))</f>
        <v>N</v>
      </c>
      <c r="R966" s="40" t="str">
        <f t="array" ref="R966">iferror(index(dissected_fish!$F:$F,match($A966,dissected_fish!$A:$A,0)))</f>
        <v>BCA108</v>
      </c>
      <c r="S966" s="40" t="str">
        <f t="array" ref="S966">iferror(index(dissected_fish!$K:$K,match($A966,dissected_fish!$A:$A,0)))</f>
        <v>N</v>
      </c>
      <c r="T966" s="61" t="str">
        <f t="array" ref="T966">index(fish_lab_data!O:O,match(A966,fish_lab_data!C:C,0))</f>
        <v>EJ</v>
      </c>
      <c r="U966" s="61">
        <f t="array" ref="U966">if(A966="","",index(fish_lab_data!X:X,match(A966,fish_lab_data!C:C,0)))</f>
        <v>965</v>
      </c>
    </row>
    <row r="967">
      <c r="A967" t="str">
        <f>fish_lab_data!C967</f>
        <v>U17631</v>
      </c>
      <c r="B967" t="str">
        <f t="array" ref="B967">iferror(index('rna-muscle'!$I:$I,match($A967,'rna-muscle'!$A:$A,0)))</f>
        <v>BRN71M-E3</v>
      </c>
      <c r="C967" t="str">
        <f t="array" ref="C967">iferror(index('rna-muscle'!$L:$L,match($A967,'rna-muscle'!$A:$A,0)))</f>
        <v>N</v>
      </c>
      <c r="D967" t="str">
        <f t="array" ref="D967">iferror(index('rna-gill'!$I:$I,match($A967,'rna-gill'!$A:$A,0)))</f>
        <v>BRN71G-E3</v>
      </c>
      <c r="E967" t="str">
        <f t="array" ref="E967">iferror(index('rna-gill'!$L:$L,match($A967,'rna-gill'!$A:$A,0)))</f>
        <v>N</v>
      </c>
      <c r="F967" t="str">
        <f t="array" ref="F967">iferror(index(fatty_acid!$G:$G,match($A967,fatty_acid!$A:$A,0)))</f>
        <v>BFA33-2</v>
      </c>
      <c r="G967" t="str">
        <f t="array" ref="G967">iferror(index(fatty_acid!$J:$J,match($A967,fatty_acid!$A:$A,0)))</f>
        <v>N</v>
      </c>
      <c r="H967" t="str">
        <f t="array" ref="H967">iferror(index(isotopes!$G:$G,match($A967,isotopes!$A:$A,0)))</f>
        <v>BIS34-25</v>
      </c>
      <c r="I967" t="str">
        <f t="array" ref="I967">iferror(index(isotopes!$J:$J,match($A967,isotopes!$A:$A,0)))</f>
        <v>N</v>
      </c>
      <c r="J967" t="str">
        <f t="array" ref="J967">iferror(index(extra_muscle!$G:$G,match($A967,extra_muscle!$A:$A,0)))</f>
        <v>BXM32-69</v>
      </c>
      <c r="K967" t="str">
        <f t="array" ref="K967">iferror(index(extra_muscle!$J:$J,match($A967,extra_muscle!$A:$A,0)))</f>
        <v>N</v>
      </c>
      <c r="L967" s="59" t="str">
        <f t="array" ref="L967">iferror(index(dna!$G:$G,match($A967,dna!$A:$A,0)))</f>
        <v/>
      </c>
      <c r="M967" s="60" t="str">
        <f t="array" ref="M967">iferror(index(dna!$J:$J,match($A967,dna!$A:$A,0)))</f>
        <v/>
      </c>
      <c r="N967" t="str">
        <f t="array" ref="N967">iferror(index(stomachs!$G:$G,match($A967,stomachs!$A:$A,0)))</f>
        <v/>
      </c>
      <c r="O967" t="str">
        <f t="array" ref="O967">iferror(index(stomachs!$J:$J,match($A967,stomachs!$A:$A,0)))</f>
        <v/>
      </c>
      <c r="P967" t="str">
        <f t="array" ref="P967">iferror(index(sea_lice!$G:$G,match($A967,sea_lice!$A:$A,0)))</f>
        <v>BSL7-19</v>
      </c>
      <c r="Q967" t="str">
        <f t="array" ref="Q967">iferror(index(sea_lice!$J:$J,match($A967,sea_lice!$A:$A,0)))</f>
        <v>N</v>
      </c>
      <c r="R967" s="40" t="str">
        <f t="array" ref="R967">iferror(index(dissected_fish!$F:$F,match($A967,dissected_fish!$A:$A,0)))</f>
        <v>BCA108</v>
      </c>
      <c r="S967" s="40" t="str">
        <f t="array" ref="S967">iferror(index(dissected_fish!$K:$K,match($A967,dissected_fish!$A:$A,0)))</f>
        <v>N</v>
      </c>
      <c r="T967" s="61" t="str">
        <f t="array" ref="T967">index(fish_lab_data!O:O,match(A967,fish_lab_data!C:C,0))</f>
        <v>EJ</v>
      </c>
      <c r="U967" s="61">
        <f t="array" ref="U967">if(A967="","",index(fish_lab_data!X:X,match(A967,fish_lab_data!C:C,0)))</f>
        <v>966</v>
      </c>
    </row>
    <row r="968">
      <c r="A968" t="str">
        <f>fish_lab_data!C968</f>
        <v>U17632</v>
      </c>
      <c r="B968" t="str">
        <f t="array" ref="B968">iferror(index('rna-muscle'!$I:$I,match($A968,'rna-muscle'!$A:$A,0)))</f>
        <v>BRN71M-D3</v>
      </c>
      <c r="C968" t="str">
        <f t="array" ref="C968">iferror(index('rna-muscle'!$L:$L,match($A968,'rna-muscle'!$A:$A,0)))</f>
        <v>N</v>
      </c>
      <c r="D968" t="str">
        <f t="array" ref="D968">iferror(index('rna-gill'!$I:$I,match($A968,'rna-gill'!$A:$A,0)))</f>
        <v>BRN71G-D3</v>
      </c>
      <c r="E968" t="str">
        <f t="array" ref="E968">iferror(index('rna-gill'!$L:$L,match($A968,'rna-gill'!$A:$A,0)))</f>
        <v>N</v>
      </c>
      <c r="F968" t="str">
        <f t="array" ref="F968">iferror(index(fatty_acid!$G:$G,match($A968,fatty_acid!$A:$A,0)))</f>
        <v>BFA33-3</v>
      </c>
      <c r="G968" t="str">
        <f t="array" ref="G968">iferror(index(fatty_acid!$J:$J,match($A968,fatty_acid!$A:$A,0)))</f>
        <v>N</v>
      </c>
      <c r="H968" t="str">
        <f t="array" ref="H968">iferror(index(isotopes!$G:$G,match($A968,isotopes!$A:$A,0)))</f>
        <v>BIS34-26</v>
      </c>
      <c r="I968" t="str">
        <f t="array" ref="I968">iferror(index(isotopes!$J:$J,match($A968,isotopes!$A:$A,0)))</f>
        <v>N</v>
      </c>
      <c r="J968" t="str">
        <f t="array" ref="J968">iferror(index(extra_muscle!$G:$G,match($A968,extra_muscle!$A:$A,0)))</f>
        <v>BXM32-70</v>
      </c>
      <c r="K968" t="str">
        <f t="array" ref="K968">iferror(index(extra_muscle!$J:$J,match($A968,extra_muscle!$A:$A,0)))</f>
        <v>N</v>
      </c>
      <c r="L968" s="59" t="str">
        <f t="array" ref="L968">iferror(index(dna!$G:$G,match($A968,dna!$A:$A,0)))</f>
        <v/>
      </c>
      <c r="M968" s="60" t="str">
        <f t="array" ref="M968">iferror(index(dna!$J:$J,match($A968,dna!$A:$A,0)))</f>
        <v/>
      </c>
      <c r="N968" t="str">
        <f t="array" ref="N968">iferror(index(stomachs!$G:$G,match($A968,stomachs!$A:$A,0)))</f>
        <v/>
      </c>
      <c r="O968" t="str">
        <f t="array" ref="O968">iferror(index(stomachs!$J:$J,match($A968,stomachs!$A:$A,0)))</f>
        <v/>
      </c>
      <c r="P968" t="str">
        <f t="array" ref="P968">iferror(index(sea_lice!$G:$G,match($A968,sea_lice!$A:$A,0)))</f>
        <v/>
      </c>
      <c r="Q968" t="str">
        <f t="array" ref="Q968">iferror(index(sea_lice!$J:$J,match($A968,sea_lice!$A:$A,0)))</f>
        <v/>
      </c>
      <c r="R968" s="40" t="str">
        <f t="array" ref="R968">iferror(index(dissected_fish!$F:$F,match($A968,dissected_fish!$A:$A,0)))</f>
        <v>BCA108</v>
      </c>
      <c r="S968" s="40" t="str">
        <f t="array" ref="S968">iferror(index(dissected_fish!$K:$K,match($A968,dissected_fish!$A:$A,0)))</f>
        <v>N</v>
      </c>
      <c r="T968" s="61" t="str">
        <f t="array" ref="T968">index(fish_lab_data!O:O,match(A968,fish_lab_data!C:C,0))</f>
        <v>EJ</v>
      </c>
      <c r="U968" s="61">
        <f t="array" ref="U968">if(A968="","",index(fish_lab_data!X:X,match(A968,fish_lab_data!C:C,0)))</f>
        <v>967</v>
      </c>
    </row>
    <row r="969">
      <c r="A969" t="str">
        <f>fish_lab_data!C969</f>
        <v>U17633</v>
      </c>
      <c r="B969" t="str">
        <f t="array" ref="B969">iferror(index('rna-muscle'!$I:$I,match($A969,'rna-muscle'!$A:$A,0)))</f>
        <v>BRN71M-C3</v>
      </c>
      <c r="C969" t="str">
        <f t="array" ref="C969">iferror(index('rna-muscle'!$L:$L,match($A969,'rna-muscle'!$A:$A,0)))</f>
        <v>N</v>
      </c>
      <c r="D969" t="str">
        <f t="array" ref="D969">iferror(index('rna-gill'!$I:$I,match($A969,'rna-gill'!$A:$A,0)))</f>
        <v>BRN71G-C3</v>
      </c>
      <c r="E969" t="str">
        <f t="array" ref="E969">iferror(index('rna-gill'!$L:$L,match($A969,'rna-gill'!$A:$A,0)))</f>
        <v>N</v>
      </c>
      <c r="F969" t="str">
        <f t="array" ref="F969">iferror(index(fatty_acid!$G:$G,match($A969,fatty_acid!$A:$A,0)))</f>
        <v>BFA33-4</v>
      </c>
      <c r="G969" t="str">
        <f t="array" ref="G969">iferror(index(fatty_acid!$J:$J,match($A969,fatty_acid!$A:$A,0)))</f>
        <v>N</v>
      </c>
      <c r="H969" t="str">
        <f t="array" ref="H969">iferror(index(isotopes!$G:$G,match($A969,isotopes!$A:$A,0)))</f>
        <v>BIS34-27</v>
      </c>
      <c r="I969" t="str">
        <f t="array" ref="I969">iferror(index(isotopes!$J:$J,match($A969,isotopes!$A:$A,0)))</f>
        <v>N</v>
      </c>
      <c r="J969" t="str">
        <f t="array" ref="J969">iferror(index(extra_muscle!$G:$G,match($A969,extra_muscle!$A:$A,0)))</f>
        <v>BXM32-71</v>
      </c>
      <c r="K969" t="str">
        <f t="array" ref="K969">iferror(index(extra_muscle!$J:$J,match($A969,extra_muscle!$A:$A,0)))</f>
        <v>N</v>
      </c>
      <c r="L969" s="59" t="str">
        <f t="array" ref="L969">iferror(index(dna!$G:$G,match($A969,dna!$A:$A,0)))</f>
        <v/>
      </c>
      <c r="M969" s="60" t="str">
        <f t="array" ref="M969">iferror(index(dna!$J:$J,match($A969,dna!$A:$A,0)))</f>
        <v/>
      </c>
      <c r="N969" t="str">
        <f t="array" ref="N969">iferror(index(stomachs!$G:$G,match($A969,stomachs!$A:$A,0)))</f>
        <v/>
      </c>
      <c r="O969" t="str">
        <f t="array" ref="O969">iferror(index(stomachs!$J:$J,match($A969,stomachs!$A:$A,0)))</f>
        <v/>
      </c>
      <c r="P969" t="str">
        <f t="array" ref="P969">iferror(index(sea_lice!$G:$G,match($A969,sea_lice!$A:$A,0)))</f>
        <v>BSL7-20</v>
      </c>
      <c r="Q969" t="str">
        <f t="array" ref="Q969">iferror(index(sea_lice!$J:$J,match($A969,sea_lice!$A:$A,0)))</f>
        <v>N</v>
      </c>
      <c r="R969" s="40" t="str">
        <f t="array" ref="R969">iferror(index(dissected_fish!$F:$F,match($A969,dissected_fish!$A:$A,0)))</f>
        <v>BCA108</v>
      </c>
      <c r="S969" s="40" t="str">
        <f t="array" ref="S969">iferror(index(dissected_fish!$K:$K,match($A969,dissected_fish!$A:$A,0)))</f>
        <v>N</v>
      </c>
      <c r="T969" s="61" t="str">
        <f t="array" ref="T969">index(fish_lab_data!O:O,match(A969,fish_lab_data!C:C,0))</f>
        <v>EJ</v>
      </c>
      <c r="U969" s="61">
        <f t="array" ref="U969">if(A969="","",index(fish_lab_data!X:X,match(A969,fish_lab_data!C:C,0)))</f>
        <v>968</v>
      </c>
    </row>
    <row r="970">
      <c r="A970" t="str">
        <f>fish_lab_data!C970</f>
        <v>U17634</v>
      </c>
      <c r="B970" t="str">
        <f t="array" ref="B970">iferror(index('rna-muscle'!$I:$I,match($A970,'rna-muscle'!$A:$A,0)))</f>
        <v>BRN71M-B3</v>
      </c>
      <c r="C970" t="str">
        <f t="array" ref="C970">iferror(index('rna-muscle'!$L:$L,match($A970,'rna-muscle'!$A:$A,0)))</f>
        <v>N</v>
      </c>
      <c r="D970" t="str">
        <f t="array" ref="D970">iferror(index('rna-gill'!$I:$I,match($A970,'rna-gill'!$A:$A,0)))</f>
        <v>BRN71G-B3</v>
      </c>
      <c r="E970" t="str">
        <f t="array" ref="E970">iferror(index('rna-gill'!$L:$L,match($A970,'rna-gill'!$A:$A,0)))</f>
        <v>N</v>
      </c>
      <c r="F970" t="str">
        <f t="array" ref="F970">iferror(index(fatty_acid!$G:$G,match($A970,fatty_acid!$A:$A,0)))</f>
        <v>BFA33-5</v>
      </c>
      <c r="G970" t="str">
        <f t="array" ref="G970">iferror(index(fatty_acid!$J:$J,match($A970,fatty_acid!$A:$A,0)))</f>
        <v>N</v>
      </c>
      <c r="H970" t="str">
        <f t="array" ref="H970">iferror(index(isotopes!$G:$G,match($A970,isotopes!$A:$A,0)))</f>
        <v>BIS34-28</v>
      </c>
      <c r="I970" t="str">
        <f t="array" ref="I970">iferror(index(isotopes!$J:$J,match($A970,isotopes!$A:$A,0)))</f>
        <v>N</v>
      </c>
      <c r="J970" t="str">
        <f t="array" ref="J970">iferror(index(extra_muscle!$G:$G,match($A970,extra_muscle!$A:$A,0)))</f>
        <v>BXM32-72</v>
      </c>
      <c r="K970" t="str">
        <f t="array" ref="K970">iferror(index(extra_muscle!$J:$J,match($A970,extra_muscle!$A:$A,0)))</f>
        <v>N</v>
      </c>
      <c r="L970" s="59" t="str">
        <f t="array" ref="L970">iferror(index(dna!$G:$G,match($A970,dna!$A:$A,0)))</f>
        <v/>
      </c>
      <c r="M970" s="60" t="str">
        <f t="array" ref="M970">iferror(index(dna!$J:$J,match($A970,dna!$A:$A,0)))</f>
        <v/>
      </c>
      <c r="N970" t="str">
        <f t="array" ref="N970">iferror(index(stomachs!$G:$G,match($A970,stomachs!$A:$A,0)))</f>
        <v/>
      </c>
      <c r="O970" t="str">
        <f t="array" ref="O970">iferror(index(stomachs!$J:$J,match($A970,stomachs!$A:$A,0)))</f>
        <v/>
      </c>
      <c r="P970" t="str">
        <f t="array" ref="P970">iferror(index(sea_lice!$G:$G,match($A970,sea_lice!$A:$A,0)))</f>
        <v>BSL7-21</v>
      </c>
      <c r="Q970" t="str">
        <f t="array" ref="Q970">iferror(index(sea_lice!$J:$J,match($A970,sea_lice!$A:$A,0)))</f>
        <v>N</v>
      </c>
      <c r="R970" s="40" t="str">
        <f t="array" ref="R970">iferror(index(dissected_fish!$F:$F,match($A970,dissected_fish!$A:$A,0)))</f>
        <v>BCA108</v>
      </c>
      <c r="S970" s="40" t="str">
        <f t="array" ref="S970">iferror(index(dissected_fish!$K:$K,match($A970,dissected_fish!$A:$A,0)))</f>
        <v>N</v>
      </c>
      <c r="T970" s="61" t="str">
        <f t="array" ref="T970">index(fish_lab_data!O:O,match(A970,fish_lab_data!C:C,0))</f>
        <v>EJ</v>
      </c>
      <c r="U970" s="61">
        <f t="array" ref="U970">if(A970="","",index(fish_lab_data!X:X,match(A970,fish_lab_data!C:C,0)))</f>
        <v>969</v>
      </c>
    </row>
    <row r="971">
      <c r="A971" t="str">
        <f>fish_lab_data!C971</f>
        <v>U17635</v>
      </c>
      <c r="B971" t="str">
        <f t="array" ref="B971">iferror(index('rna-muscle'!$I:$I,match($A971,'rna-muscle'!$A:$A,0)))</f>
        <v>BRN71M-A3</v>
      </c>
      <c r="C971" t="str">
        <f t="array" ref="C971">iferror(index('rna-muscle'!$L:$L,match($A971,'rna-muscle'!$A:$A,0)))</f>
        <v>N</v>
      </c>
      <c r="D971" t="str">
        <f t="array" ref="D971">iferror(index('rna-gill'!$I:$I,match($A971,'rna-gill'!$A:$A,0)))</f>
        <v>BRN71G-A3</v>
      </c>
      <c r="E971" t="str">
        <f t="array" ref="E971">iferror(index('rna-gill'!$L:$L,match($A971,'rna-gill'!$A:$A,0)))</f>
        <v>N</v>
      </c>
      <c r="F971" t="str">
        <f t="array" ref="F971">iferror(index(fatty_acid!$G:$G,match($A971,fatty_acid!$A:$A,0)))</f>
        <v>BFA33-6</v>
      </c>
      <c r="G971" t="str">
        <f t="array" ref="G971">iferror(index(fatty_acid!$J:$J,match($A971,fatty_acid!$A:$A,0)))</f>
        <v>N</v>
      </c>
      <c r="H971" t="str">
        <f t="array" ref="H971">iferror(index(isotopes!$G:$G,match($A971,isotopes!$A:$A,0)))</f>
        <v>BIS34-29</v>
      </c>
      <c r="I971" t="str">
        <f t="array" ref="I971">iferror(index(isotopes!$J:$J,match($A971,isotopes!$A:$A,0)))</f>
        <v>N</v>
      </c>
      <c r="J971" t="str">
        <f t="array" ref="J971">iferror(index(extra_muscle!$G:$G,match($A971,extra_muscle!$A:$A,0)))</f>
        <v>BXM32-73</v>
      </c>
      <c r="K971" t="str">
        <f t="array" ref="K971">iferror(index(extra_muscle!$J:$J,match($A971,extra_muscle!$A:$A,0)))</f>
        <v>N</v>
      </c>
      <c r="L971" s="59" t="str">
        <f t="array" ref="L971">iferror(index(dna!$G:$G,match($A971,dna!$A:$A,0)))</f>
        <v/>
      </c>
      <c r="M971" s="60" t="str">
        <f t="array" ref="M971">iferror(index(dna!$J:$J,match($A971,dna!$A:$A,0)))</f>
        <v/>
      </c>
      <c r="N971" t="str">
        <f t="array" ref="N971">iferror(index(stomachs!$G:$G,match($A971,stomachs!$A:$A,0)))</f>
        <v/>
      </c>
      <c r="O971" t="str">
        <f t="array" ref="O971">iferror(index(stomachs!$J:$J,match($A971,stomachs!$A:$A,0)))</f>
        <v/>
      </c>
      <c r="P971" t="str">
        <f t="array" ref="P971">iferror(index(sea_lice!$G:$G,match($A971,sea_lice!$A:$A,0)))</f>
        <v>BSL7-22</v>
      </c>
      <c r="Q971" t="str">
        <f t="array" ref="Q971">iferror(index(sea_lice!$J:$J,match($A971,sea_lice!$A:$A,0)))</f>
        <v>N</v>
      </c>
      <c r="R971" s="40" t="str">
        <f t="array" ref="R971">iferror(index(dissected_fish!$F:$F,match($A971,dissected_fish!$A:$A,0)))</f>
        <v>BCA108</v>
      </c>
      <c r="S971" s="40" t="str">
        <f t="array" ref="S971">iferror(index(dissected_fish!$K:$K,match($A971,dissected_fish!$A:$A,0)))</f>
        <v>N</v>
      </c>
      <c r="T971" s="61" t="str">
        <f t="array" ref="T971">index(fish_lab_data!O:O,match(A971,fish_lab_data!C:C,0))</f>
        <v>EJ</v>
      </c>
      <c r="U971" s="61">
        <f t="array" ref="U971">if(A971="","",index(fish_lab_data!X:X,match(A971,fish_lab_data!C:C,0)))</f>
        <v>970</v>
      </c>
    </row>
    <row r="972">
      <c r="A972" t="str">
        <f>fish_lab_data!C972</f>
        <v>U17636</v>
      </c>
      <c r="B972" t="str">
        <f t="array" ref="B972">iferror(index('rna-muscle'!$I:$I,match($A972,'rna-muscle'!$A:$A,0)))</f>
        <v>BRN71M-H5</v>
      </c>
      <c r="C972" t="str">
        <f t="array" ref="C972">iferror(index('rna-muscle'!$L:$L,match($A972,'rna-muscle'!$A:$A,0)))</f>
        <v>N</v>
      </c>
      <c r="D972" t="str">
        <f t="array" ref="D972">iferror(index('rna-gill'!$I:$I,match($A972,'rna-gill'!$A:$A,0)))</f>
        <v>BRN71G-H5</v>
      </c>
      <c r="E972" t="str">
        <f t="array" ref="E972">iferror(index('rna-gill'!$L:$L,match($A972,'rna-gill'!$A:$A,0)))</f>
        <v>N</v>
      </c>
      <c r="F972" t="str">
        <f t="array" ref="F972">iferror(index(fatty_acid!$G:$G,match($A972,fatty_acid!$A:$A,0)))</f>
        <v>BFA33-7</v>
      </c>
      <c r="G972" t="str">
        <f t="array" ref="G972">iferror(index(fatty_acid!$J:$J,match($A972,fatty_acid!$A:$A,0)))</f>
        <v>N</v>
      </c>
      <c r="H972" t="str">
        <f t="array" ref="H972">iferror(index(isotopes!$G:$G,match($A972,isotopes!$A:$A,0)))</f>
        <v>BIS34-30</v>
      </c>
      <c r="I972" t="str">
        <f t="array" ref="I972">iferror(index(isotopes!$J:$J,match($A972,isotopes!$A:$A,0)))</f>
        <v>N</v>
      </c>
      <c r="J972" t="str">
        <f t="array" ref="J972">iferror(index(extra_muscle!$G:$G,match($A972,extra_muscle!$A:$A,0)))</f>
        <v>BXM32-74</v>
      </c>
      <c r="K972" t="str">
        <f t="array" ref="K972">iferror(index(extra_muscle!$J:$J,match($A972,extra_muscle!$A:$A,0)))</f>
        <v>N</v>
      </c>
      <c r="L972" s="59" t="str">
        <f t="array" ref="L972">iferror(index(dna!$G:$G,match($A972,dna!$A:$A,0)))</f>
        <v/>
      </c>
      <c r="M972" s="60" t="str">
        <f t="array" ref="M972">iferror(index(dna!$J:$J,match($A972,dna!$A:$A,0)))</f>
        <v/>
      </c>
      <c r="N972" t="str">
        <f t="array" ref="N972">iferror(index(stomachs!$G:$G,match($A972,stomachs!$A:$A,0)))</f>
        <v/>
      </c>
      <c r="O972" t="str">
        <f t="array" ref="O972">iferror(index(stomachs!$J:$J,match($A972,stomachs!$A:$A,0)))</f>
        <v/>
      </c>
      <c r="P972" t="str">
        <f t="array" ref="P972">iferror(index(sea_lice!$G:$G,match($A972,sea_lice!$A:$A,0)))</f>
        <v>BSL7-23</v>
      </c>
      <c r="Q972" t="str">
        <f t="array" ref="Q972">iferror(index(sea_lice!$J:$J,match($A972,sea_lice!$A:$A,0)))</f>
        <v>N</v>
      </c>
      <c r="R972" s="40" t="str">
        <f t="array" ref="R972">iferror(index(dissected_fish!$F:$F,match($A972,dissected_fish!$A:$A,0)))</f>
        <v>BCA108</v>
      </c>
      <c r="S972" s="40" t="str">
        <f t="array" ref="S972">iferror(index(dissected_fish!$K:$K,match($A972,dissected_fish!$A:$A,0)))</f>
        <v>N</v>
      </c>
      <c r="T972" s="61" t="str">
        <f t="array" ref="T972">index(fish_lab_data!O:O,match(A972,fish_lab_data!C:C,0))</f>
        <v>EJ</v>
      </c>
      <c r="U972" s="61">
        <f t="array" ref="U972">if(A972="","",index(fish_lab_data!X:X,match(A972,fish_lab_data!C:C,0)))</f>
        <v>971</v>
      </c>
    </row>
    <row r="973">
      <c r="A973" t="str">
        <f>fish_lab_data!C973</f>
        <v>U17637</v>
      </c>
      <c r="B973" t="str">
        <f t="array" ref="B973">iferror(index('rna-muscle'!$I:$I,match($A973,'rna-muscle'!$A:$A,0)))</f>
        <v>BRN71M-G5</v>
      </c>
      <c r="C973" t="str">
        <f t="array" ref="C973">iferror(index('rna-muscle'!$L:$L,match($A973,'rna-muscle'!$A:$A,0)))</f>
        <v>N</v>
      </c>
      <c r="D973" t="str">
        <f t="array" ref="D973">iferror(index('rna-gill'!$I:$I,match($A973,'rna-gill'!$A:$A,0)))</f>
        <v>BRN71G-G5</v>
      </c>
      <c r="E973" t="str">
        <f t="array" ref="E973">iferror(index('rna-gill'!$L:$L,match($A973,'rna-gill'!$A:$A,0)))</f>
        <v>N</v>
      </c>
      <c r="F973" t="str">
        <f t="array" ref="F973">iferror(index(fatty_acid!$G:$G,match($A973,fatty_acid!$A:$A,0)))</f>
        <v>BFA33-8</v>
      </c>
      <c r="G973" t="str">
        <f t="array" ref="G973">iferror(index(fatty_acid!$J:$J,match($A973,fatty_acid!$A:$A,0)))</f>
        <v>N</v>
      </c>
      <c r="H973" t="str">
        <f t="array" ref="H973">iferror(index(isotopes!$G:$G,match($A973,isotopes!$A:$A,0)))</f>
        <v>BIS34-31</v>
      </c>
      <c r="I973" t="str">
        <f t="array" ref="I973">iferror(index(isotopes!$J:$J,match($A973,isotopes!$A:$A,0)))</f>
        <v>N</v>
      </c>
      <c r="J973" t="str">
        <f t="array" ref="J973">iferror(index(extra_muscle!$G:$G,match($A973,extra_muscle!$A:$A,0)))</f>
        <v>BXM32-75</v>
      </c>
      <c r="K973" t="str">
        <f t="array" ref="K973">iferror(index(extra_muscle!$J:$J,match($A973,extra_muscle!$A:$A,0)))</f>
        <v>N</v>
      </c>
      <c r="L973" s="59" t="str">
        <f t="array" ref="L973">iferror(index(dna!$G:$G,match($A973,dna!$A:$A,0)))</f>
        <v/>
      </c>
      <c r="M973" s="60" t="str">
        <f t="array" ref="M973">iferror(index(dna!$J:$J,match($A973,dna!$A:$A,0)))</f>
        <v/>
      </c>
      <c r="N973" t="str">
        <f t="array" ref="N973">iferror(index(stomachs!$G:$G,match($A973,stomachs!$A:$A,0)))</f>
        <v/>
      </c>
      <c r="O973" t="str">
        <f t="array" ref="O973">iferror(index(stomachs!$J:$J,match($A973,stomachs!$A:$A,0)))</f>
        <v/>
      </c>
      <c r="P973" t="str">
        <f t="array" ref="P973">iferror(index(sea_lice!$G:$G,match($A973,sea_lice!$A:$A,0)))</f>
        <v>BSL7-24</v>
      </c>
      <c r="Q973" t="str">
        <f t="array" ref="Q973">iferror(index(sea_lice!$J:$J,match($A973,sea_lice!$A:$A,0)))</f>
        <v>N</v>
      </c>
      <c r="R973" s="40" t="str">
        <f t="array" ref="R973">iferror(index(dissected_fish!$F:$F,match($A973,dissected_fish!$A:$A,0)))</f>
        <v>BCA108</v>
      </c>
      <c r="S973" s="40" t="str">
        <f t="array" ref="S973">iferror(index(dissected_fish!$K:$K,match($A973,dissected_fish!$A:$A,0)))</f>
        <v>N</v>
      </c>
      <c r="T973" s="61" t="str">
        <f t="array" ref="T973">index(fish_lab_data!O:O,match(A973,fish_lab_data!C:C,0))</f>
        <v>EJ</v>
      </c>
      <c r="U973" s="61">
        <f t="array" ref="U973">if(A973="","",index(fish_lab_data!X:X,match(A973,fish_lab_data!C:C,0)))</f>
        <v>972</v>
      </c>
    </row>
    <row r="974">
      <c r="A974" t="str">
        <f>fish_lab_data!C974</f>
        <v>U17638</v>
      </c>
      <c r="B974" t="str">
        <f t="array" ref="B974">iferror(index('rna-muscle'!$I:$I,match($A974,'rna-muscle'!$A:$A,0)))</f>
        <v>BRN71M-F5</v>
      </c>
      <c r="C974" t="str">
        <f t="array" ref="C974">iferror(index('rna-muscle'!$L:$L,match($A974,'rna-muscle'!$A:$A,0)))</f>
        <v>N</v>
      </c>
      <c r="D974" t="str">
        <f t="array" ref="D974">iferror(index('rna-gill'!$I:$I,match($A974,'rna-gill'!$A:$A,0)))</f>
        <v>BRN71G-F5</v>
      </c>
      <c r="E974" t="str">
        <f t="array" ref="E974">iferror(index('rna-gill'!$L:$L,match($A974,'rna-gill'!$A:$A,0)))</f>
        <v>N</v>
      </c>
      <c r="F974" t="str">
        <f t="array" ref="F974">iferror(index(fatty_acid!$G:$G,match($A974,fatty_acid!$A:$A,0)))</f>
        <v>BFA33-9</v>
      </c>
      <c r="G974" t="str">
        <f t="array" ref="G974">iferror(index(fatty_acid!$J:$J,match($A974,fatty_acid!$A:$A,0)))</f>
        <v>N</v>
      </c>
      <c r="H974" t="str">
        <f t="array" ref="H974">iferror(index(isotopes!$G:$G,match($A974,isotopes!$A:$A,0)))</f>
        <v>BIS34-32</v>
      </c>
      <c r="I974" t="str">
        <f t="array" ref="I974">iferror(index(isotopes!$J:$J,match($A974,isotopes!$A:$A,0)))</f>
        <v>N</v>
      </c>
      <c r="J974" t="str">
        <f t="array" ref="J974">iferror(index(extra_muscle!$G:$G,match($A974,extra_muscle!$A:$A,0)))</f>
        <v>BXM32-76</v>
      </c>
      <c r="K974" t="str">
        <f t="array" ref="K974">iferror(index(extra_muscle!$J:$J,match($A974,extra_muscle!$A:$A,0)))</f>
        <v>N</v>
      </c>
      <c r="L974" s="59" t="str">
        <f t="array" ref="L974">iferror(index(dna!$G:$G,match($A974,dna!$A:$A,0)))</f>
        <v/>
      </c>
      <c r="M974" s="60" t="str">
        <f t="array" ref="M974">iferror(index(dna!$J:$J,match($A974,dna!$A:$A,0)))</f>
        <v/>
      </c>
      <c r="N974" t="str">
        <f t="array" ref="N974">iferror(index(stomachs!$G:$G,match($A974,stomachs!$A:$A,0)))</f>
        <v/>
      </c>
      <c r="O974" t="str">
        <f t="array" ref="O974">iferror(index(stomachs!$J:$J,match($A974,stomachs!$A:$A,0)))</f>
        <v/>
      </c>
      <c r="P974" t="str">
        <f t="array" ref="P974">iferror(index(sea_lice!$G:$G,match($A974,sea_lice!$A:$A,0)))</f>
        <v>BSL7-25</v>
      </c>
      <c r="Q974" t="str">
        <f t="array" ref="Q974">iferror(index(sea_lice!$J:$J,match($A974,sea_lice!$A:$A,0)))</f>
        <v>N</v>
      </c>
      <c r="R974" s="40" t="str">
        <f t="array" ref="R974">iferror(index(dissected_fish!$F:$F,match($A974,dissected_fish!$A:$A,0)))</f>
        <v>BCA108</v>
      </c>
      <c r="S974" s="40" t="str">
        <f t="array" ref="S974">iferror(index(dissected_fish!$K:$K,match($A974,dissected_fish!$A:$A,0)))</f>
        <v>N</v>
      </c>
      <c r="T974" s="61" t="str">
        <f t="array" ref="T974">index(fish_lab_data!O:O,match(A974,fish_lab_data!C:C,0))</f>
        <v>EJ</v>
      </c>
      <c r="U974" s="61">
        <f t="array" ref="U974">if(A974="","",index(fish_lab_data!X:X,match(A974,fish_lab_data!C:C,0)))</f>
        <v>973</v>
      </c>
    </row>
    <row r="975">
      <c r="A975" t="str">
        <f>fish_lab_data!C975</f>
        <v>U17639</v>
      </c>
      <c r="B975" t="str">
        <f t="array" ref="B975">iferror(index('rna-muscle'!$I:$I,match($A975,'rna-muscle'!$A:$A,0)))</f>
        <v>BRN71M-E5</v>
      </c>
      <c r="C975" t="str">
        <f t="array" ref="C975">iferror(index('rna-muscle'!$L:$L,match($A975,'rna-muscle'!$A:$A,0)))</f>
        <v>N</v>
      </c>
      <c r="D975" t="str">
        <f t="array" ref="D975">iferror(index('rna-gill'!$I:$I,match($A975,'rna-gill'!$A:$A,0)))</f>
        <v>BRN71G-E5</v>
      </c>
      <c r="E975" t="str">
        <f t="array" ref="E975">iferror(index('rna-gill'!$L:$L,match($A975,'rna-gill'!$A:$A,0)))</f>
        <v>N</v>
      </c>
      <c r="F975" t="str">
        <f t="array" ref="F975">iferror(index(fatty_acid!$G:$G,match($A975,fatty_acid!$A:$A,0)))</f>
        <v>BFA33-10</v>
      </c>
      <c r="G975" t="str">
        <f t="array" ref="G975">iferror(index(fatty_acid!$J:$J,match($A975,fatty_acid!$A:$A,0)))</f>
        <v>N</v>
      </c>
      <c r="H975" t="str">
        <f t="array" ref="H975">iferror(index(isotopes!$G:$G,match($A975,isotopes!$A:$A,0)))</f>
        <v>BIS34-33</v>
      </c>
      <c r="I975" t="str">
        <f t="array" ref="I975">iferror(index(isotopes!$J:$J,match($A975,isotopes!$A:$A,0)))</f>
        <v>N</v>
      </c>
      <c r="J975" t="str">
        <f t="array" ref="J975">iferror(index(extra_muscle!$G:$G,match($A975,extra_muscle!$A:$A,0)))</f>
        <v>BXM32-77</v>
      </c>
      <c r="K975" t="str">
        <f t="array" ref="K975">iferror(index(extra_muscle!$J:$J,match($A975,extra_muscle!$A:$A,0)))</f>
        <v>N</v>
      </c>
      <c r="L975" s="59" t="str">
        <f t="array" ref="L975">iferror(index(dna!$G:$G,match($A975,dna!$A:$A,0)))</f>
        <v/>
      </c>
      <c r="M975" s="60" t="str">
        <f t="array" ref="M975">iferror(index(dna!$J:$J,match($A975,dna!$A:$A,0)))</f>
        <v/>
      </c>
      <c r="N975" t="str">
        <f t="array" ref="N975">iferror(index(stomachs!$G:$G,match($A975,stomachs!$A:$A,0)))</f>
        <v/>
      </c>
      <c r="O975" t="str">
        <f t="array" ref="O975">iferror(index(stomachs!$J:$J,match($A975,stomachs!$A:$A,0)))</f>
        <v/>
      </c>
      <c r="P975" t="str">
        <f t="array" ref="P975">iferror(index(sea_lice!$G:$G,match($A975,sea_lice!$A:$A,0)))</f>
        <v/>
      </c>
      <c r="Q975" t="str">
        <f t="array" ref="Q975">iferror(index(sea_lice!$J:$J,match($A975,sea_lice!$A:$A,0)))</f>
        <v/>
      </c>
      <c r="R975" s="40" t="str">
        <f t="array" ref="R975">iferror(index(dissected_fish!$F:$F,match($A975,dissected_fish!$A:$A,0)))</f>
        <v>BCA108</v>
      </c>
      <c r="S975" s="40" t="str">
        <f t="array" ref="S975">iferror(index(dissected_fish!$K:$K,match($A975,dissected_fish!$A:$A,0)))</f>
        <v>N</v>
      </c>
      <c r="T975" s="61" t="str">
        <f t="array" ref="T975">index(fish_lab_data!O:O,match(A975,fish_lab_data!C:C,0))</f>
        <v>EJ</v>
      </c>
      <c r="U975" s="61">
        <f t="array" ref="U975">if(A975="","",index(fish_lab_data!X:X,match(A975,fish_lab_data!C:C,0)))</f>
        <v>974</v>
      </c>
    </row>
    <row r="976">
      <c r="A976" t="str">
        <f>fish_lab_data!C976</f>
        <v>U17640</v>
      </c>
      <c r="B976" t="str">
        <f t="array" ref="B976">iferror(index('rna-muscle'!$I:$I,match($A976,'rna-muscle'!$A:$A,0)))</f>
        <v>BRN71M-D5</v>
      </c>
      <c r="C976" t="str">
        <f t="array" ref="C976">iferror(index('rna-muscle'!$L:$L,match($A976,'rna-muscle'!$A:$A,0)))</f>
        <v>N</v>
      </c>
      <c r="D976" t="str">
        <f t="array" ref="D976">iferror(index('rna-gill'!$I:$I,match($A976,'rna-gill'!$A:$A,0)))</f>
        <v>BRN71G-D5</v>
      </c>
      <c r="E976" t="str">
        <f t="array" ref="E976">iferror(index('rna-gill'!$L:$L,match($A976,'rna-gill'!$A:$A,0)))</f>
        <v>N</v>
      </c>
      <c r="F976" t="str">
        <f t="array" ref="F976">iferror(index(fatty_acid!$G:$G,match($A976,fatty_acid!$A:$A,0)))</f>
        <v>BFA33-11</v>
      </c>
      <c r="G976" t="str">
        <f t="array" ref="G976">iferror(index(fatty_acid!$J:$J,match($A976,fatty_acid!$A:$A,0)))</f>
        <v>N</v>
      </c>
      <c r="H976" t="str">
        <f t="array" ref="H976">iferror(index(isotopes!$G:$G,match($A976,isotopes!$A:$A,0)))</f>
        <v>BIS34-34</v>
      </c>
      <c r="I976" t="str">
        <f t="array" ref="I976">iferror(index(isotopes!$J:$J,match($A976,isotopes!$A:$A,0)))</f>
        <v>N</v>
      </c>
      <c r="J976" t="str">
        <f t="array" ref="J976">iferror(index(extra_muscle!$G:$G,match($A976,extra_muscle!$A:$A,0)))</f>
        <v>BXM32-78</v>
      </c>
      <c r="K976" t="str">
        <f t="array" ref="K976">iferror(index(extra_muscle!$J:$J,match($A976,extra_muscle!$A:$A,0)))</f>
        <v>N</v>
      </c>
      <c r="L976" s="59" t="str">
        <f t="array" ref="L976">iferror(index(dna!$G:$G,match($A976,dna!$A:$A,0)))</f>
        <v/>
      </c>
      <c r="M976" s="60" t="str">
        <f t="array" ref="M976">iferror(index(dna!$J:$J,match($A976,dna!$A:$A,0)))</f>
        <v/>
      </c>
      <c r="N976" t="str">
        <f t="array" ref="N976">iferror(index(stomachs!$G:$G,match($A976,stomachs!$A:$A,0)))</f>
        <v/>
      </c>
      <c r="O976" t="str">
        <f t="array" ref="O976">iferror(index(stomachs!$J:$J,match($A976,stomachs!$A:$A,0)))</f>
        <v/>
      </c>
      <c r="P976" t="str">
        <f t="array" ref="P976">iferror(index(sea_lice!$G:$G,match($A976,sea_lice!$A:$A,0)))</f>
        <v/>
      </c>
      <c r="Q976" t="str">
        <f t="array" ref="Q976">iferror(index(sea_lice!$J:$J,match($A976,sea_lice!$A:$A,0)))</f>
        <v/>
      </c>
      <c r="R976" s="40" t="str">
        <f t="array" ref="R976">iferror(index(dissected_fish!$F:$F,match($A976,dissected_fish!$A:$A,0)))</f>
        <v>BCA108</v>
      </c>
      <c r="S976" s="40" t="str">
        <f t="array" ref="S976">iferror(index(dissected_fish!$K:$K,match($A976,dissected_fish!$A:$A,0)))</f>
        <v>N</v>
      </c>
      <c r="T976" s="61" t="str">
        <f t="array" ref="T976">index(fish_lab_data!O:O,match(A976,fish_lab_data!C:C,0))</f>
        <v>EJ</v>
      </c>
      <c r="U976" s="61">
        <f t="array" ref="U976">if(A976="","",index(fish_lab_data!X:X,match(A976,fish_lab_data!C:C,0)))</f>
        <v>975</v>
      </c>
    </row>
    <row r="977">
      <c r="A977" t="str">
        <f>fish_lab_data!C977</f>
        <v>U17317</v>
      </c>
      <c r="B977" t="str">
        <f t="array" ref="B977">iferror(index('rna-muscle'!$I:$I,match($A977,'rna-muscle'!$A:$A,0)))</f>
        <v>BRN71M-E6</v>
      </c>
      <c r="C977" t="str">
        <f t="array" ref="C977">iferror(index('rna-muscle'!$L:$L,match($A977,'rna-muscle'!$A:$A,0)))</f>
        <v>N</v>
      </c>
      <c r="D977" t="str">
        <f t="array" ref="D977">iferror(index('rna-gill'!$I:$I,match($A977,'rna-gill'!$A:$A,0)))</f>
        <v>BRN71G-E6</v>
      </c>
      <c r="E977" t="str">
        <f t="array" ref="E977">iferror(index('rna-gill'!$L:$L,match($A977,'rna-gill'!$A:$A,0)))</f>
        <v>N</v>
      </c>
      <c r="F977" t="str">
        <f t="array" ref="F977">iferror(index(fatty_acid!$G:$G,match($A977,fatty_acid!$A:$A,0)))</f>
        <v>BFA32-19</v>
      </c>
      <c r="G977" t="str">
        <f t="array" ref="G977">iferror(index(fatty_acid!$J:$J,match($A977,fatty_acid!$A:$A,0)))</f>
        <v>N</v>
      </c>
      <c r="H977" t="str">
        <f t="array" ref="H977">iferror(index(isotopes!$G:$G,match($A977,isotopes!$A:$A,0)))</f>
        <v>BIS35-19</v>
      </c>
      <c r="I977" t="str">
        <f t="array" ref="I977">iferror(index(isotopes!$J:$J,match($A977,isotopes!$A:$A,0)))</f>
        <v>N</v>
      </c>
      <c r="J977" t="str">
        <f t="array" ref="J977">iferror(index(extra_muscle!$G:$G,match($A977,extra_muscle!$A:$A,0)))</f>
        <v>BXM33-19</v>
      </c>
      <c r="K977" t="str">
        <f t="array" ref="K977">iferror(index(extra_muscle!$J:$J,match($A977,extra_muscle!$A:$A,0)))</f>
        <v>N</v>
      </c>
      <c r="L977" s="59" t="str">
        <f t="array" ref="L977">iferror(index(dna!$G:$G,match($A977,dna!$A:$A,0)))</f>
        <v/>
      </c>
      <c r="M977" s="60" t="str">
        <f t="array" ref="M977">iferror(index(dna!$J:$J,match($A977,dna!$A:$A,0)))</f>
        <v/>
      </c>
      <c r="N977" t="str">
        <f t="array" ref="N977">iferror(index(stomachs!$G:$G,match($A977,stomachs!$A:$A,0)))</f>
        <v/>
      </c>
      <c r="O977" t="str">
        <f t="array" ref="O977">iferror(index(stomachs!$J:$J,match($A977,stomachs!$A:$A,0)))</f>
        <v/>
      </c>
      <c r="P977" t="str">
        <f t="array" ref="P977">iferror(index(sea_lice!$G:$G,match($A977,sea_lice!$A:$A,0)))</f>
        <v/>
      </c>
      <c r="Q977" t="str">
        <f t="array" ref="Q977">iferror(index(sea_lice!$J:$J,match($A977,sea_lice!$A:$A,0)))</f>
        <v/>
      </c>
      <c r="R977" s="40" t="str">
        <f t="array" ref="R977">iferror(index(dissected_fish!$F:$F,match($A977,dissected_fish!$A:$A,0)))</f>
        <v>BCA109</v>
      </c>
      <c r="S977" s="40" t="str">
        <f t="array" ref="S977">iferror(index(dissected_fish!$K:$K,match($A977,dissected_fish!$A:$A,0)))</f>
        <v>N</v>
      </c>
      <c r="T977" s="61" t="str">
        <f t="array" ref="T977">index(fish_lab_data!O:O,match(A977,fish_lab_data!C:C,0))</f>
        <v>KB</v>
      </c>
      <c r="U977" s="61">
        <f t="array" ref="U977">if(A977="","",index(fish_lab_data!X:X,match(A977,fish_lab_data!C:C,0)))</f>
        <v>976</v>
      </c>
    </row>
    <row r="978">
      <c r="A978" t="str">
        <f>fish_lab_data!C978</f>
        <v>U17315</v>
      </c>
      <c r="B978" t="str">
        <f t="array" ref="B978">iferror(index('rna-muscle'!$I:$I,match($A978,'rna-muscle'!$A:$A,0)))</f>
        <v>BRN71M-D6</v>
      </c>
      <c r="C978" t="str">
        <f t="array" ref="C978">iferror(index('rna-muscle'!$L:$L,match($A978,'rna-muscle'!$A:$A,0)))</f>
        <v>N</v>
      </c>
      <c r="D978" t="str">
        <f t="array" ref="D978">iferror(index('rna-gill'!$I:$I,match($A978,'rna-gill'!$A:$A,0)))</f>
        <v>BRN71G-D6</v>
      </c>
      <c r="E978" t="str">
        <f t="array" ref="E978">iferror(index('rna-gill'!$L:$L,match($A978,'rna-gill'!$A:$A,0)))</f>
        <v>N</v>
      </c>
      <c r="F978" t="str">
        <f t="array" ref="F978">iferror(index(fatty_acid!$G:$G,match($A978,fatty_acid!$A:$A,0)))</f>
        <v>BFA32-20</v>
      </c>
      <c r="G978" t="str">
        <f t="array" ref="G978">iferror(index(fatty_acid!$J:$J,match($A978,fatty_acid!$A:$A,0)))</f>
        <v>N</v>
      </c>
      <c r="H978" t="str">
        <f t="array" ref="H978">iferror(index(isotopes!$G:$G,match($A978,isotopes!$A:$A,0)))</f>
        <v>BIS35-20</v>
      </c>
      <c r="I978" t="str">
        <f t="array" ref="I978">iferror(index(isotopes!$J:$J,match($A978,isotopes!$A:$A,0)))</f>
        <v>N</v>
      </c>
      <c r="J978" t="str">
        <f t="array" ref="J978">iferror(index(extra_muscle!$G:$G,match($A978,extra_muscle!$A:$A,0)))</f>
        <v>BXM33-20</v>
      </c>
      <c r="K978" t="str">
        <f t="array" ref="K978">iferror(index(extra_muscle!$J:$J,match($A978,extra_muscle!$A:$A,0)))</f>
        <v>N</v>
      </c>
      <c r="L978" s="59" t="str">
        <f t="array" ref="L978">iferror(index(dna!$G:$G,match($A978,dna!$A:$A,0)))</f>
        <v/>
      </c>
      <c r="M978" s="60" t="str">
        <f t="array" ref="M978">iferror(index(dna!$J:$J,match($A978,dna!$A:$A,0)))</f>
        <v/>
      </c>
      <c r="N978" t="str">
        <f t="array" ref="N978">iferror(index(stomachs!$G:$G,match($A978,stomachs!$A:$A,0)))</f>
        <v/>
      </c>
      <c r="O978" t="str">
        <f t="array" ref="O978">iferror(index(stomachs!$J:$J,match($A978,stomachs!$A:$A,0)))</f>
        <v/>
      </c>
      <c r="P978" t="str">
        <f t="array" ref="P978">iferror(index(sea_lice!$G:$G,match($A978,sea_lice!$A:$A,0)))</f>
        <v/>
      </c>
      <c r="Q978" t="str">
        <f t="array" ref="Q978">iferror(index(sea_lice!$J:$J,match($A978,sea_lice!$A:$A,0)))</f>
        <v/>
      </c>
      <c r="R978" s="40" t="str">
        <f t="array" ref="R978">iferror(index(dissected_fish!$F:$F,match($A978,dissected_fish!$A:$A,0)))</f>
        <v>BCA109</v>
      </c>
      <c r="S978" s="40" t="str">
        <f t="array" ref="S978">iferror(index(dissected_fish!$K:$K,match($A978,dissected_fish!$A:$A,0)))</f>
        <v>N</v>
      </c>
      <c r="T978" s="61" t="str">
        <f t="array" ref="T978">index(fish_lab_data!O:O,match(A978,fish_lab_data!C:C,0))</f>
        <v>KB</v>
      </c>
      <c r="U978" s="61">
        <f t="array" ref="U978">if(A978="","",index(fish_lab_data!X:X,match(A978,fish_lab_data!C:C,0)))</f>
        <v>977</v>
      </c>
    </row>
    <row r="979">
      <c r="A979" t="str">
        <f>fish_lab_data!C979</f>
        <v>U17316</v>
      </c>
      <c r="B979" t="str">
        <f t="array" ref="B979">iferror(index('rna-muscle'!$I:$I,match($A979,'rna-muscle'!$A:$A,0)))</f>
        <v>BRN71M-C6</v>
      </c>
      <c r="C979" t="str">
        <f t="array" ref="C979">iferror(index('rna-muscle'!$L:$L,match($A979,'rna-muscle'!$A:$A,0)))</f>
        <v>N</v>
      </c>
      <c r="D979" t="str">
        <f t="array" ref="D979">iferror(index('rna-gill'!$I:$I,match($A979,'rna-gill'!$A:$A,0)))</f>
        <v>BRN71G-C6</v>
      </c>
      <c r="E979" t="str">
        <f t="array" ref="E979">iferror(index('rna-gill'!$L:$L,match($A979,'rna-gill'!$A:$A,0)))</f>
        <v>N</v>
      </c>
      <c r="F979" t="str">
        <f t="array" ref="F979">iferror(index(fatty_acid!$G:$G,match($A979,fatty_acid!$A:$A,0)))</f>
        <v>BFA32-21</v>
      </c>
      <c r="G979" t="str">
        <f t="array" ref="G979">iferror(index(fatty_acid!$J:$J,match($A979,fatty_acid!$A:$A,0)))</f>
        <v>N</v>
      </c>
      <c r="H979" t="str">
        <f t="array" ref="H979">iferror(index(isotopes!$G:$G,match($A979,isotopes!$A:$A,0)))</f>
        <v>BIS35-21</v>
      </c>
      <c r="I979" t="str">
        <f t="array" ref="I979">iferror(index(isotopes!$J:$J,match($A979,isotopes!$A:$A,0)))</f>
        <v>N</v>
      </c>
      <c r="J979" t="str">
        <f t="array" ref="J979">iferror(index(extra_muscle!$G:$G,match($A979,extra_muscle!$A:$A,0)))</f>
        <v>BXM33-21</v>
      </c>
      <c r="K979" t="str">
        <f t="array" ref="K979">iferror(index(extra_muscle!$J:$J,match($A979,extra_muscle!$A:$A,0)))</f>
        <v>N</v>
      </c>
      <c r="L979" s="59" t="str">
        <f t="array" ref="L979">iferror(index(dna!$G:$G,match($A979,dna!$A:$A,0)))</f>
        <v/>
      </c>
      <c r="M979" s="60" t="str">
        <f t="array" ref="M979">iferror(index(dna!$J:$J,match($A979,dna!$A:$A,0)))</f>
        <v/>
      </c>
      <c r="N979" t="str">
        <f t="array" ref="N979">iferror(index(stomachs!$G:$G,match($A979,stomachs!$A:$A,0)))</f>
        <v/>
      </c>
      <c r="O979" t="str">
        <f t="array" ref="O979">iferror(index(stomachs!$J:$J,match($A979,stomachs!$A:$A,0)))</f>
        <v/>
      </c>
      <c r="P979" t="str">
        <f t="array" ref="P979">iferror(index(sea_lice!$G:$G,match($A979,sea_lice!$A:$A,0)))</f>
        <v/>
      </c>
      <c r="Q979" t="str">
        <f t="array" ref="Q979">iferror(index(sea_lice!$J:$J,match($A979,sea_lice!$A:$A,0)))</f>
        <v/>
      </c>
      <c r="R979" s="40" t="str">
        <f t="array" ref="R979">iferror(index(dissected_fish!$F:$F,match($A979,dissected_fish!$A:$A,0)))</f>
        <v>BCA109</v>
      </c>
      <c r="S979" s="40" t="str">
        <f t="array" ref="S979">iferror(index(dissected_fish!$K:$K,match($A979,dissected_fish!$A:$A,0)))</f>
        <v>N</v>
      </c>
      <c r="T979" s="61" t="str">
        <f t="array" ref="T979">index(fish_lab_data!O:O,match(A979,fish_lab_data!C:C,0))</f>
        <v>KB</v>
      </c>
      <c r="U979" s="61">
        <f t="array" ref="U979">if(A979="","",index(fish_lab_data!X:X,match(A979,fish_lab_data!C:C,0)))</f>
        <v>978</v>
      </c>
    </row>
    <row r="980">
      <c r="A980" t="str">
        <f>fish_lab_data!C980</f>
        <v>U17319</v>
      </c>
      <c r="B980" t="str">
        <f t="array" ref="B980">iferror(index('rna-muscle'!$I:$I,match($A980,'rna-muscle'!$A:$A,0)))</f>
        <v>BRN71M-B6</v>
      </c>
      <c r="C980" t="str">
        <f t="array" ref="C980">iferror(index('rna-muscle'!$L:$L,match($A980,'rna-muscle'!$A:$A,0)))</f>
        <v>N</v>
      </c>
      <c r="D980" t="str">
        <f t="array" ref="D980">iferror(index('rna-gill'!$I:$I,match($A980,'rna-gill'!$A:$A,0)))</f>
        <v>BRN71G-B6</v>
      </c>
      <c r="E980" t="str">
        <f t="array" ref="E980">iferror(index('rna-gill'!$L:$L,match($A980,'rna-gill'!$A:$A,0)))</f>
        <v>N</v>
      </c>
      <c r="F980" t="str">
        <f t="array" ref="F980">iferror(index(fatty_acid!$G:$G,match($A980,fatty_acid!$A:$A,0)))</f>
        <v>BFA32-22</v>
      </c>
      <c r="G980" t="str">
        <f t="array" ref="G980">iferror(index(fatty_acid!$J:$J,match($A980,fatty_acid!$A:$A,0)))</f>
        <v>N</v>
      </c>
      <c r="H980" t="str">
        <f t="array" ref="H980">iferror(index(isotopes!$G:$G,match($A980,isotopes!$A:$A,0)))</f>
        <v>BIS35-22</v>
      </c>
      <c r="I980" t="str">
        <f t="array" ref="I980">iferror(index(isotopes!$J:$J,match($A980,isotopes!$A:$A,0)))</f>
        <v>N</v>
      </c>
      <c r="J980" t="str">
        <f t="array" ref="J980">iferror(index(extra_muscle!$G:$G,match($A980,extra_muscle!$A:$A,0)))</f>
        <v>BXM33-22</v>
      </c>
      <c r="K980" t="str">
        <f t="array" ref="K980">iferror(index(extra_muscle!$J:$J,match($A980,extra_muscle!$A:$A,0)))</f>
        <v>N</v>
      </c>
      <c r="L980" s="59" t="str">
        <f t="array" ref="L980">iferror(index(dna!$G:$G,match($A980,dna!$A:$A,0)))</f>
        <v/>
      </c>
      <c r="M980" s="60" t="str">
        <f t="array" ref="M980">iferror(index(dna!$J:$J,match($A980,dna!$A:$A,0)))</f>
        <v/>
      </c>
      <c r="N980" t="str">
        <f t="array" ref="N980">iferror(index(stomachs!$G:$G,match($A980,stomachs!$A:$A,0)))</f>
        <v/>
      </c>
      <c r="O980" t="str">
        <f t="array" ref="O980">iferror(index(stomachs!$J:$J,match($A980,stomachs!$A:$A,0)))</f>
        <v/>
      </c>
      <c r="P980" t="str">
        <f t="array" ref="P980">iferror(index(sea_lice!$G:$G,match($A980,sea_lice!$A:$A,0)))</f>
        <v>BSL7-26</v>
      </c>
      <c r="Q980" t="str">
        <f t="array" ref="Q980">iferror(index(sea_lice!$J:$J,match($A980,sea_lice!$A:$A,0)))</f>
        <v>N</v>
      </c>
      <c r="R980" s="40" t="str">
        <f t="array" ref="R980">iferror(index(dissected_fish!$F:$F,match($A980,dissected_fish!$A:$A,0)))</f>
        <v>BCA109</v>
      </c>
      <c r="S980" s="40" t="str">
        <f t="array" ref="S980">iferror(index(dissected_fish!$K:$K,match($A980,dissected_fish!$A:$A,0)))</f>
        <v>N</v>
      </c>
      <c r="T980" s="61" t="str">
        <f t="array" ref="T980">index(fish_lab_data!O:O,match(A980,fish_lab_data!C:C,0))</f>
        <v>KB</v>
      </c>
      <c r="U980" s="61">
        <f t="array" ref="U980">if(A980="","",index(fish_lab_data!X:X,match(A980,fish_lab_data!C:C,0)))</f>
        <v>979</v>
      </c>
    </row>
    <row r="981">
      <c r="A981" t="str">
        <f>fish_lab_data!C981</f>
        <v>U17318</v>
      </c>
      <c r="B981" t="str">
        <f t="array" ref="B981">iferror(index('rna-muscle'!$I:$I,match($A981,'rna-muscle'!$A:$A,0)))</f>
        <v>BRN71M-A6</v>
      </c>
      <c r="C981" t="str">
        <f t="array" ref="C981">iferror(index('rna-muscle'!$L:$L,match($A981,'rna-muscle'!$A:$A,0)))</f>
        <v>N</v>
      </c>
      <c r="D981" t="str">
        <f t="array" ref="D981">iferror(index('rna-gill'!$I:$I,match($A981,'rna-gill'!$A:$A,0)))</f>
        <v>BRN71G-A6</v>
      </c>
      <c r="E981" t="str">
        <f t="array" ref="E981">iferror(index('rna-gill'!$L:$L,match($A981,'rna-gill'!$A:$A,0)))</f>
        <v>N</v>
      </c>
      <c r="F981" t="str">
        <f t="array" ref="F981">iferror(index(fatty_acid!$G:$G,match($A981,fatty_acid!$A:$A,0)))</f>
        <v>BFA32-23</v>
      </c>
      <c r="G981" t="str">
        <f t="array" ref="G981">iferror(index(fatty_acid!$J:$J,match($A981,fatty_acid!$A:$A,0)))</f>
        <v>N</v>
      </c>
      <c r="H981" t="str">
        <f t="array" ref="H981">iferror(index(isotopes!$G:$G,match($A981,isotopes!$A:$A,0)))</f>
        <v>BIS35-23</v>
      </c>
      <c r="I981" t="str">
        <f t="array" ref="I981">iferror(index(isotopes!$J:$J,match($A981,isotopes!$A:$A,0)))</f>
        <v>N</v>
      </c>
      <c r="J981" t="str">
        <f t="array" ref="J981">iferror(index(extra_muscle!$G:$G,match($A981,extra_muscle!$A:$A,0)))</f>
        <v>BXM33-23</v>
      </c>
      <c r="K981" t="str">
        <f t="array" ref="K981">iferror(index(extra_muscle!$J:$J,match($A981,extra_muscle!$A:$A,0)))</f>
        <v>N</v>
      </c>
      <c r="L981" s="59" t="str">
        <f t="array" ref="L981">iferror(index(dna!$G:$G,match($A981,dna!$A:$A,0)))</f>
        <v/>
      </c>
      <c r="M981" s="60" t="str">
        <f t="array" ref="M981">iferror(index(dna!$J:$J,match($A981,dna!$A:$A,0)))</f>
        <v/>
      </c>
      <c r="N981" t="str">
        <f t="array" ref="N981">iferror(index(stomachs!$G:$G,match($A981,stomachs!$A:$A,0)))</f>
        <v/>
      </c>
      <c r="O981" t="str">
        <f t="array" ref="O981">iferror(index(stomachs!$J:$J,match($A981,stomachs!$A:$A,0)))</f>
        <v/>
      </c>
      <c r="P981" t="str">
        <f t="array" ref="P981">iferror(index(sea_lice!$G:$G,match($A981,sea_lice!$A:$A,0)))</f>
        <v/>
      </c>
      <c r="Q981" t="str">
        <f t="array" ref="Q981">iferror(index(sea_lice!$J:$J,match($A981,sea_lice!$A:$A,0)))</f>
        <v/>
      </c>
      <c r="R981" s="40" t="str">
        <f t="array" ref="R981">iferror(index(dissected_fish!$F:$F,match($A981,dissected_fish!$A:$A,0)))</f>
        <v>BCA109</v>
      </c>
      <c r="S981" s="40" t="str">
        <f t="array" ref="S981">iferror(index(dissected_fish!$K:$K,match($A981,dissected_fish!$A:$A,0)))</f>
        <v>N</v>
      </c>
      <c r="T981" s="61" t="str">
        <f t="array" ref="T981">index(fish_lab_data!O:O,match(A981,fish_lab_data!C:C,0))</f>
        <v>KB</v>
      </c>
      <c r="U981" s="61">
        <f t="array" ref="U981">if(A981="","",index(fish_lab_data!X:X,match(A981,fish_lab_data!C:C,0)))</f>
        <v>980</v>
      </c>
    </row>
    <row r="982">
      <c r="A982" t="str">
        <f>fish_lab_data!C982</f>
        <v>U17311</v>
      </c>
      <c r="B982" t="str">
        <f t="array" ref="B982">iferror(index('rna-muscle'!$I:$I,match($A982,'rna-muscle'!$A:$A,0)))</f>
        <v>BRN71M-C5</v>
      </c>
      <c r="C982" t="str">
        <f t="array" ref="C982">iferror(index('rna-muscle'!$L:$L,match($A982,'rna-muscle'!$A:$A,0)))</f>
        <v>N</v>
      </c>
      <c r="D982" t="str">
        <f t="array" ref="D982">iferror(index('rna-gill'!$I:$I,match($A982,'rna-gill'!$A:$A,0)))</f>
        <v>BRN71G-C5</v>
      </c>
      <c r="E982" t="str">
        <f t="array" ref="E982">iferror(index('rna-gill'!$L:$L,match($A982,'rna-gill'!$A:$A,0)))</f>
        <v>N</v>
      </c>
      <c r="F982" t="str">
        <f t="array" ref="F982">iferror(index(fatty_acid!$G:$G,match($A982,fatty_acid!$A:$A,0)))</f>
        <v>BFA32-24</v>
      </c>
      <c r="G982" t="str">
        <f t="array" ref="G982">iferror(index(fatty_acid!$J:$J,match($A982,fatty_acid!$A:$A,0)))</f>
        <v>N</v>
      </c>
      <c r="H982" t="str">
        <f t="array" ref="H982">iferror(index(isotopes!$G:$G,match($A982,isotopes!$A:$A,0)))</f>
        <v>BIS35-24</v>
      </c>
      <c r="I982" t="str">
        <f t="array" ref="I982">iferror(index(isotopes!$J:$J,match($A982,isotopes!$A:$A,0)))</f>
        <v>N</v>
      </c>
      <c r="J982" t="str">
        <f t="array" ref="J982">iferror(index(extra_muscle!$G:$G,match($A982,extra_muscle!$A:$A,0)))</f>
        <v>BXM33-24</v>
      </c>
      <c r="K982" t="str">
        <f t="array" ref="K982">iferror(index(extra_muscle!$J:$J,match($A982,extra_muscle!$A:$A,0)))</f>
        <v>N</v>
      </c>
      <c r="L982" s="59" t="str">
        <f t="array" ref="L982">iferror(index(dna!$G:$G,match($A982,dna!$A:$A,0)))</f>
        <v/>
      </c>
      <c r="M982" s="60" t="str">
        <f t="array" ref="M982">iferror(index(dna!$J:$J,match($A982,dna!$A:$A,0)))</f>
        <v/>
      </c>
      <c r="N982" t="str">
        <f t="array" ref="N982">iferror(index(stomachs!$G:$G,match($A982,stomachs!$A:$A,0)))</f>
        <v/>
      </c>
      <c r="O982" t="str">
        <f t="array" ref="O982">iferror(index(stomachs!$J:$J,match($A982,stomachs!$A:$A,0)))</f>
        <v/>
      </c>
      <c r="P982" t="str">
        <f t="array" ref="P982">iferror(index(sea_lice!$G:$G,match($A982,sea_lice!$A:$A,0)))</f>
        <v/>
      </c>
      <c r="Q982" t="str">
        <f t="array" ref="Q982">iferror(index(sea_lice!$J:$J,match($A982,sea_lice!$A:$A,0)))</f>
        <v/>
      </c>
      <c r="R982" s="40" t="str">
        <f t="array" ref="R982">iferror(index(dissected_fish!$F:$F,match($A982,dissected_fish!$A:$A,0)))</f>
        <v>BCA109</v>
      </c>
      <c r="S982" s="40" t="str">
        <f t="array" ref="S982">iferror(index(dissected_fish!$K:$K,match($A982,dissected_fish!$A:$A,0)))</f>
        <v>N</v>
      </c>
      <c r="T982" s="61" t="str">
        <f t="array" ref="T982">index(fish_lab_data!O:O,match(A982,fish_lab_data!C:C,0))</f>
        <v>KB</v>
      </c>
      <c r="U982" s="61">
        <f t="array" ref="U982">if(A982="","",index(fish_lab_data!X:X,match(A982,fish_lab_data!C:C,0)))</f>
        <v>981</v>
      </c>
    </row>
    <row r="983">
      <c r="A983" t="str">
        <f>fish_lab_data!C983</f>
        <v>U17312</v>
      </c>
      <c r="B983" t="str">
        <f t="array" ref="B983">iferror(index('rna-muscle'!$I:$I,match($A983,'rna-muscle'!$A:$A,0)))</f>
        <v>BRN71M-B5</v>
      </c>
      <c r="C983" t="str">
        <f t="array" ref="C983">iferror(index('rna-muscle'!$L:$L,match($A983,'rna-muscle'!$A:$A,0)))</f>
        <v>N</v>
      </c>
      <c r="D983" t="str">
        <f t="array" ref="D983">iferror(index('rna-gill'!$I:$I,match($A983,'rna-gill'!$A:$A,0)))</f>
        <v>BRN71G-B5</v>
      </c>
      <c r="E983" t="str">
        <f t="array" ref="E983">iferror(index('rna-gill'!$L:$L,match($A983,'rna-gill'!$A:$A,0)))</f>
        <v>N</v>
      </c>
      <c r="F983" t="str">
        <f t="array" ref="F983">iferror(index(fatty_acid!$G:$G,match($A983,fatty_acid!$A:$A,0)))</f>
        <v>BFA32-25</v>
      </c>
      <c r="G983" t="str">
        <f t="array" ref="G983">iferror(index(fatty_acid!$J:$J,match($A983,fatty_acid!$A:$A,0)))</f>
        <v>N</v>
      </c>
      <c r="H983" t="str">
        <f t="array" ref="H983">iferror(index(isotopes!$G:$G,match($A983,isotopes!$A:$A,0)))</f>
        <v>BIS35-25</v>
      </c>
      <c r="I983" t="str">
        <f t="array" ref="I983">iferror(index(isotopes!$J:$J,match($A983,isotopes!$A:$A,0)))</f>
        <v>N</v>
      </c>
      <c r="J983" t="str">
        <f t="array" ref="J983">iferror(index(extra_muscle!$G:$G,match($A983,extra_muscle!$A:$A,0)))</f>
        <v>BXM33-25</v>
      </c>
      <c r="K983" t="str">
        <f t="array" ref="K983">iferror(index(extra_muscle!$J:$J,match($A983,extra_muscle!$A:$A,0)))</f>
        <v>N</v>
      </c>
      <c r="L983" s="59" t="str">
        <f t="array" ref="L983">iferror(index(dna!$G:$G,match($A983,dna!$A:$A,0)))</f>
        <v/>
      </c>
      <c r="M983" s="60" t="str">
        <f t="array" ref="M983">iferror(index(dna!$J:$J,match($A983,dna!$A:$A,0)))</f>
        <v/>
      </c>
      <c r="N983" t="str">
        <f t="array" ref="N983">iferror(index(stomachs!$G:$G,match($A983,stomachs!$A:$A,0)))</f>
        <v/>
      </c>
      <c r="O983" t="str">
        <f t="array" ref="O983">iferror(index(stomachs!$J:$J,match($A983,stomachs!$A:$A,0)))</f>
        <v/>
      </c>
      <c r="P983" t="str">
        <f t="array" ref="P983">iferror(index(sea_lice!$G:$G,match($A983,sea_lice!$A:$A,0)))</f>
        <v/>
      </c>
      <c r="Q983" t="str">
        <f t="array" ref="Q983">iferror(index(sea_lice!$J:$J,match($A983,sea_lice!$A:$A,0)))</f>
        <v/>
      </c>
      <c r="R983" s="40" t="str">
        <f t="array" ref="R983">iferror(index(dissected_fish!$F:$F,match($A983,dissected_fish!$A:$A,0)))</f>
        <v>BCA109</v>
      </c>
      <c r="S983" s="40" t="str">
        <f t="array" ref="S983">iferror(index(dissected_fish!$K:$K,match($A983,dissected_fish!$A:$A,0)))</f>
        <v>N</v>
      </c>
      <c r="T983" s="61" t="str">
        <f t="array" ref="T983">index(fish_lab_data!O:O,match(A983,fish_lab_data!C:C,0))</f>
        <v>KB</v>
      </c>
      <c r="U983" s="61">
        <f t="array" ref="U983">if(A983="","",index(fish_lab_data!X:X,match(A983,fish_lab_data!C:C,0)))</f>
        <v>982</v>
      </c>
    </row>
    <row r="984">
      <c r="A984" t="str">
        <f>fish_lab_data!C984</f>
        <v>U17313</v>
      </c>
      <c r="B984" t="str">
        <f t="array" ref="B984">iferror(index('rna-muscle'!$I:$I,match($A984,'rna-muscle'!$A:$A,0)))</f>
        <v>BRN71M-A5</v>
      </c>
      <c r="C984" t="str">
        <f t="array" ref="C984">iferror(index('rna-muscle'!$L:$L,match($A984,'rna-muscle'!$A:$A,0)))</f>
        <v>N</v>
      </c>
      <c r="D984" t="str">
        <f t="array" ref="D984">iferror(index('rna-gill'!$I:$I,match($A984,'rna-gill'!$A:$A,0)))</f>
        <v>BRN71G-A5</v>
      </c>
      <c r="E984" t="str">
        <f t="array" ref="E984">iferror(index('rna-gill'!$L:$L,match($A984,'rna-gill'!$A:$A,0)))</f>
        <v>N</v>
      </c>
      <c r="F984" t="str">
        <f t="array" ref="F984">iferror(index(fatty_acid!$G:$G,match($A984,fatty_acid!$A:$A,0)))</f>
        <v>BFA32-26</v>
      </c>
      <c r="G984" t="str">
        <f t="array" ref="G984">iferror(index(fatty_acid!$J:$J,match($A984,fatty_acid!$A:$A,0)))</f>
        <v>N</v>
      </c>
      <c r="H984" t="str">
        <f t="array" ref="H984">iferror(index(isotopes!$G:$G,match($A984,isotopes!$A:$A,0)))</f>
        <v>BIS35-26</v>
      </c>
      <c r="I984" t="str">
        <f t="array" ref="I984">iferror(index(isotopes!$J:$J,match($A984,isotopes!$A:$A,0)))</f>
        <v>N</v>
      </c>
      <c r="J984" t="str">
        <f t="array" ref="J984">iferror(index(extra_muscle!$G:$G,match($A984,extra_muscle!$A:$A,0)))</f>
        <v>BXM33-26</v>
      </c>
      <c r="K984" t="str">
        <f t="array" ref="K984">iferror(index(extra_muscle!$J:$J,match($A984,extra_muscle!$A:$A,0)))</f>
        <v>N</v>
      </c>
      <c r="L984" s="59" t="str">
        <f t="array" ref="L984">iferror(index(dna!$G:$G,match($A984,dna!$A:$A,0)))</f>
        <v/>
      </c>
      <c r="M984" s="60" t="str">
        <f t="array" ref="M984">iferror(index(dna!$J:$J,match($A984,dna!$A:$A,0)))</f>
        <v/>
      </c>
      <c r="N984" t="str">
        <f t="array" ref="N984">iferror(index(stomachs!$G:$G,match($A984,stomachs!$A:$A,0)))</f>
        <v/>
      </c>
      <c r="O984" t="str">
        <f t="array" ref="O984">iferror(index(stomachs!$J:$J,match($A984,stomachs!$A:$A,0)))</f>
        <v/>
      </c>
      <c r="P984" t="str">
        <f t="array" ref="P984">iferror(index(sea_lice!$G:$G,match($A984,sea_lice!$A:$A,0)))</f>
        <v/>
      </c>
      <c r="Q984" t="str">
        <f t="array" ref="Q984">iferror(index(sea_lice!$J:$J,match($A984,sea_lice!$A:$A,0)))</f>
        <v/>
      </c>
      <c r="R984" s="40" t="str">
        <f t="array" ref="R984">iferror(index(dissected_fish!$F:$F,match($A984,dissected_fish!$A:$A,0)))</f>
        <v>BCA109</v>
      </c>
      <c r="S984" s="40" t="str">
        <f t="array" ref="S984">iferror(index(dissected_fish!$K:$K,match($A984,dissected_fish!$A:$A,0)))</f>
        <v>N</v>
      </c>
      <c r="T984" s="61" t="str">
        <f t="array" ref="T984">index(fish_lab_data!O:O,match(A984,fish_lab_data!C:C,0))</f>
        <v>KB</v>
      </c>
      <c r="U984" s="61">
        <f t="array" ref="U984">if(A984="","",index(fish_lab_data!X:X,match(A984,fish_lab_data!C:C,0)))</f>
        <v>983</v>
      </c>
    </row>
    <row r="985">
      <c r="A985" t="str">
        <f>fish_lab_data!C985</f>
        <v>U17320</v>
      </c>
      <c r="B985" t="str">
        <f t="array" ref="B985">iferror(index('rna-muscle'!$I:$I,match($A985,'rna-muscle'!$A:$A,0)))</f>
        <v>BRN71M-H7</v>
      </c>
      <c r="C985" t="str">
        <f t="array" ref="C985">iferror(index('rna-muscle'!$L:$L,match($A985,'rna-muscle'!$A:$A,0)))</f>
        <v>N</v>
      </c>
      <c r="D985" t="str">
        <f t="array" ref="D985">iferror(index('rna-gill'!$I:$I,match($A985,'rna-gill'!$A:$A,0)))</f>
        <v>BRN71G-H7</v>
      </c>
      <c r="E985" t="str">
        <f t="array" ref="E985">iferror(index('rna-gill'!$L:$L,match($A985,'rna-gill'!$A:$A,0)))</f>
        <v>N</v>
      </c>
      <c r="F985" t="str">
        <f t="array" ref="F985">iferror(index(fatty_acid!$G:$G,match($A985,fatty_acid!$A:$A,0)))</f>
        <v>BFA32-27</v>
      </c>
      <c r="G985" t="str">
        <f t="array" ref="G985">iferror(index(fatty_acid!$J:$J,match($A985,fatty_acid!$A:$A,0)))</f>
        <v>N</v>
      </c>
      <c r="H985" t="str">
        <f t="array" ref="H985">iferror(index(isotopes!$G:$G,match($A985,isotopes!$A:$A,0)))</f>
        <v>BIS35-27</v>
      </c>
      <c r="I985" t="str">
        <f t="array" ref="I985">iferror(index(isotopes!$J:$J,match($A985,isotopes!$A:$A,0)))</f>
        <v>N</v>
      </c>
      <c r="J985" t="str">
        <f t="array" ref="J985">iferror(index(extra_muscle!$G:$G,match($A985,extra_muscle!$A:$A,0)))</f>
        <v>BXM33-27</v>
      </c>
      <c r="K985" t="str">
        <f t="array" ref="K985">iferror(index(extra_muscle!$J:$J,match($A985,extra_muscle!$A:$A,0)))</f>
        <v>N</v>
      </c>
      <c r="L985" s="59" t="str">
        <f t="array" ref="L985">iferror(index(dna!$G:$G,match($A985,dna!$A:$A,0)))</f>
        <v/>
      </c>
      <c r="M985" s="60" t="str">
        <f t="array" ref="M985">iferror(index(dna!$J:$J,match($A985,dna!$A:$A,0)))</f>
        <v/>
      </c>
      <c r="N985" t="str">
        <f t="array" ref="N985">iferror(index(stomachs!$G:$G,match($A985,stomachs!$A:$A,0)))</f>
        <v/>
      </c>
      <c r="O985" t="str">
        <f t="array" ref="O985">iferror(index(stomachs!$J:$J,match($A985,stomachs!$A:$A,0)))</f>
        <v/>
      </c>
      <c r="P985" t="str">
        <f t="array" ref="P985">iferror(index(sea_lice!$G:$G,match($A985,sea_lice!$A:$A,0)))</f>
        <v/>
      </c>
      <c r="Q985" t="str">
        <f t="array" ref="Q985">iferror(index(sea_lice!$J:$J,match($A985,sea_lice!$A:$A,0)))</f>
        <v/>
      </c>
      <c r="R985" s="40" t="str">
        <f t="array" ref="R985">iferror(index(dissected_fish!$F:$F,match($A985,dissected_fish!$A:$A,0)))</f>
        <v>BCA109</v>
      </c>
      <c r="S985" s="40" t="str">
        <f t="array" ref="S985">iferror(index(dissected_fish!$K:$K,match($A985,dissected_fish!$A:$A,0)))</f>
        <v>N</v>
      </c>
      <c r="T985" s="61" t="str">
        <f t="array" ref="T985">index(fish_lab_data!O:O,match(A985,fish_lab_data!C:C,0))</f>
        <v>KB</v>
      </c>
      <c r="U985" s="61">
        <f t="array" ref="U985">if(A985="","",index(fish_lab_data!X:X,match(A985,fish_lab_data!C:C,0)))</f>
        <v>984</v>
      </c>
    </row>
    <row r="986">
      <c r="A986" t="str">
        <f>fish_lab_data!C986</f>
        <v>U17314</v>
      </c>
      <c r="B986" t="str">
        <f t="array" ref="B986">iferror(index('rna-muscle'!$I:$I,match($A986,'rna-muscle'!$A:$A,0)))</f>
        <v>BRN71M-G7</v>
      </c>
      <c r="C986" t="str">
        <f t="array" ref="C986">iferror(index('rna-muscle'!$L:$L,match($A986,'rna-muscle'!$A:$A,0)))</f>
        <v>N</v>
      </c>
      <c r="D986" t="str">
        <f t="array" ref="D986">iferror(index('rna-gill'!$I:$I,match($A986,'rna-gill'!$A:$A,0)))</f>
        <v>BRN71G-G7</v>
      </c>
      <c r="E986" t="str">
        <f t="array" ref="E986">iferror(index('rna-gill'!$L:$L,match($A986,'rna-gill'!$A:$A,0)))</f>
        <v>N</v>
      </c>
      <c r="F986" t="str">
        <f t="array" ref="F986">iferror(index(fatty_acid!$G:$G,match($A986,fatty_acid!$A:$A,0)))</f>
        <v>BFA32-28</v>
      </c>
      <c r="G986" t="str">
        <f t="array" ref="G986">iferror(index(fatty_acid!$J:$J,match($A986,fatty_acid!$A:$A,0)))</f>
        <v>N</v>
      </c>
      <c r="H986" t="str">
        <f t="array" ref="H986">iferror(index(isotopes!$G:$G,match($A986,isotopes!$A:$A,0)))</f>
        <v>BIS35-28</v>
      </c>
      <c r="I986" t="str">
        <f t="array" ref="I986">iferror(index(isotopes!$J:$J,match($A986,isotopes!$A:$A,0)))</f>
        <v>N</v>
      </c>
      <c r="J986" t="str">
        <f t="array" ref="J986">iferror(index(extra_muscle!$G:$G,match($A986,extra_muscle!$A:$A,0)))</f>
        <v>BXM33-28</v>
      </c>
      <c r="K986" t="str">
        <f t="array" ref="K986">iferror(index(extra_muscle!$J:$J,match($A986,extra_muscle!$A:$A,0)))</f>
        <v>N</v>
      </c>
      <c r="L986" s="59" t="str">
        <f t="array" ref="L986">iferror(index(dna!$G:$G,match($A986,dna!$A:$A,0)))</f>
        <v/>
      </c>
      <c r="M986" s="60" t="str">
        <f t="array" ref="M986">iferror(index(dna!$J:$J,match($A986,dna!$A:$A,0)))</f>
        <v/>
      </c>
      <c r="N986" t="str">
        <f t="array" ref="N986">iferror(index(stomachs!$G:$G,match($A986,stomachs!$A:$A,0)))</f>
        <v/>
      </c>
      <c r="O986" t="str">
        <f t="array" ref="O986">iferror(index(stomachs!$J:$J,match($A986,stomachs!$A:$A,0)))</f>
        <v/>
      </c>
      <c r="P986" t="str">
        <f t="array" ref="P986">iferror(index(sea_lice!$G:$G,match($A986,sea_lice!$A:$A,0)))</f>
        <v/>
      </c>
      <c r="Q986" t="str">
        <f t="array" ref="Q986">iferror(index(sea_lice!$J:$J,match($A986,sea_lice!$A:$A,0)))</f>
        <v/>
      </c>
      <c r="R986" s="40" t="str">
        <f t="array" ref="R986">iferror(index(dissected_fish!$F:$F,match($A986,dissected_fish!$A:$A,0)))</f>
        <v>BCA109</v>
      </c>
      <c r="S986" s="40" t="str">
        <f t="array" ref="S986">iferror(index(dissected_fish!$K:$K,match($A986,dissected_fish!$A:$A,0)))</f>
        <v>N</v>
      </c>
      <c r="T986" s="61" t="str">
        <f t="array" ref="T986">index(fish_lab_data!O:O,match(A986,fish_lab_data!C:C,0))</f>
        <v>KB</v>
      </c>
      <c r="U986" s="61">
        <f t="array" ref="U986">if(A986="","",index(fish_lab_data!X:X,match(A986,fish_lab_data!C:C,0)))</f>
        <v>985</v>
      </c>
    </row>
    <row r="987">
      <c r="A987" t="str">
        <f>fish_lab_data!C987</f>
        <v>U16117</v>
      </c>
      <c r="B987" t="str">
        <f t="array" ref="B987">iferror(index('rna-muscle'!$I:$I,match($A987,'rna-muscle'!$A:$A,0)))</f>
        <v>BRN71M-F7</v>
      </c>
      <c r="C987" t="str">
        <f t="array" ref="C987">iferror(index('rna-muscle'!$L:$L,match($A987,'rna-muscle'!$A:$A,0)))</f>
        <v>N</v>
      </c>
      <c r="D987" t="str">
        <f t="array" ref="D987">iferror(index('rna-gill'!$I:$I,match($A987,'rna-gill'!$A:$A,0)))</f>
        <v>BRN71G-F7</v>
      </c>
      <c r="E987" t="str">
        <f t="array" ref="E987">iferror(index('rna-gill'!$L:$L,match($A987,'rna-gill'!$A:$A,0)))</f>
        <v>N</v>
      </c>
      <c r="F987" t="str">
        <f t="array" ref="F987">iferror(index(fatty_acid!$G:$G,match($A987,fatty_acid!$A:$A,0)))</f>
        <v>BFA32-29</v>
      </c>
      <c r="G987" t="str">
        <f t="array" ref="G987">iferror(index(fatty_acid!$J:$J,match($A987,fatty_acid!$A:$A,0)))</f>
        <v>N</v>
      </c>
      <c r="H987" t="str">
        <f t="array" ref="H987">iferror(index(isotopes!$G:$G,match($A987,isotopes!$A:$A,0)))</f>
        <v>BIS35-29</v>
      </c>
      <c r="I987" t="str">
        <f t="array" ref="I987">iferror(index(isotopes!$J:$J,match($A987,isotopes!$A:$A,0)))</f>
        <v>N</v>
      </c>
      <c r="J987" t="str">
        <f t="array" ref="J987">iferror(index(extra_muscle!$G:$G,match($A987,extra_muscle!$A:$A,0)))</f>
        <v>BXM33-29</v>
      </c>
      <c r="K987" t="str">
        <f t="array" ref="K987">iferror(index(extra_muscle!$J:$J,match($A987,extra_muscle!$A:$A,0)))</f>
        <v>N</v>
      </c>
      <c r="L987" s="59" t="str">
        <f t="array" ref="L987">iferror(index(dna!$G:$G,match($A987,dna!$A:$A,0)))</f>
        <v>BDN3-62</v>
      </c>
      <c r="M987" s="60" t="str">
        <f t="array" ref="M987">iferror(index(dna!$J:$J,match($A987,dna!$A:$A,0)))</f>
        <v>N</v>
      </c>
      <c r="N987" t="str">
        <f t="array" ref="N987">iferror(index(stomachs!$G:$G,match($A987,stomachs!$A:$A,0)))</f>
        <v/>
      </c>
      <c r="O987" t="str">
        <f t="array" ref="O987">iferror(index(stomachs!$J:$J,match($A987,stomachs!$A:$A,0)))</f>
        <v/>
      </c>
      <c r="P987" t="str">
        <f t="array" ref="P987">iferror(index(sea_lice!$G:$G,match($A987,sea_lice!$A:$A,0)))</f>
        <v/>
      </c>
      <c r="Q987" t="str">
        <f t="array" ref="Q987">iferror(index(sea_lice!$J:$J,match($A987,sea_lice!$A:$A,0)))</f>
        <v/>
      </c>
      <c r="R987" s="40" t="str">
        <f t="array" ref="R987">iferror(index(dissected_fish!$F:$F,match($A987,dissected_fish!$A:$A,0)))</f>
        <v>BCA109</v>
      </c>
      <c r="S987" s="40" t="str">
        <f t="array" ref="S987">iferror(index(dissected_fish!$K:$K,match($A987,dissected_fish!$A:$A,0)))</f>
        <v>N</v>
      </c>
      <c r="T987" s="61" t="str">
        <f t="array" ref="T987">index(fish_lab_data!O:O,match(A987,fish_lab_data!C:C,0))</f>
        <v>KB</v>
      </c>
      <c r="U987" s="61">
        <f t="array" ref="U987">if(A987="","",index(fish_lab_data!X:X,match(A987,fish_lab_data!C:C,0)))</f>
        <v>986</v>
      </c>
    </row>
    <row r="988">
      <c r="A988" t="str">
        <f>fish_lab_data!C988</f>
        <v>U16114</v>
      </c>
      <c r="B988" t="str">
        <f t="array" ref="B988">iferror(index('rna-muscle'!$I:$I,match($A988,'rna-muscle'!$A:$A,0)))</f>
        <v>BRN71M-E7</v>
      </c>
      <c r="C988" t="str">
        <f t="array" ref="C988">iferror(index('rna-muscle'!$L:$L,match($A988,'rna-muscle'!$A:$A,0)))</f>
        <v>N</v>
      </c>
      <c r="D988" t="str">
        <f t="array" ref="D988">iferror(index('rna-gill'!$I:$I,match($A988,'rna-gill'!$A:$A,0)))</f>
        <v>BRN71G-E7</v>
      </c>
      <c r="E988" t="str">
        <f t="array" ref="E988">iferror(index('rna-gill'!$L:$L,match($A988,'rna-gill'!$A:$A,0)))</f>
        <v>N</v>
      </c>
      <c r="F988" t="str">
        <f t="array" ref="F988">iferror(index(fatty_acid!$G:$G,match($A988,fatty_acid!$A:$A,0)))</f>
        <v>BFA32-30</v>
      </c>
      <c r="G988" t="str">
        <f t="array" ref="G988">iferror(index(fatty_acid!$J:$J,match($A988,fatty_acid!$A:$A,0)))</f>
        <v>N</v>
      </c>
      <c r="H988" t="str">
        <f t="array" ref="H988">iferror(index(isotopes!$G:$G,match($A988,isotopes!$A:$A,0)))</f>
        <v>BIS35-30</v>
      </c>
      <c r="I988" t="str">
        <f t="array" ref="I988">iferror(index(isotopes!$J:$J,match($A988,isotopes!$A:$A,0)))</f>
        <v>N</v>
      </c>
      <c r="J988" t="str">
        <f t="array" ref="J988">iferror(index(extra_muscle!$G:$G,match($A988,extra_muscle!$A:$A,0)))</f>
        <v>BXM33-30</v>
      </c>
      <c r="K988" t="str">
        <f t="array" ref="K988">iferror(index(extra_muscle!$J:$J,match($A988,extra_muscle!$A:$A,0)))</f>
        <v>N</v>
      </c>
      <c r="L988" s="59" t="str">
        <f t="array" ref="L988">iferror(index(dna!$G:$G,match($A988,dna!$A:$A,0)))</f>
        <v>BDN3-63</v>
      </c>
      <c r="M988" s="60" t="str">
        <f t="array" ref="M988">iferror(index(dna!$J:$J,match($A988,dna!$A:$A,0)))</f>
        <v>N</v>
      </c>
      <c r="N988" t="str">
        <f t="array" ref="N988">iferror(index(stomachs!$G:$G,match($A988,stomachs!$A:$A,0)))</f>
        <v/>
      </c>
      <c r="O988" t="str">
        <f t="array" ref="O988">iferror(index(stomachs!$J:$J,match($A988,stomachs!$A:$A,0)))</f>
        <v/>
      </c>
      <c r="P988" t="str">
        <f t="array" ref="P988">iferror(index(sea_lice!$G:$G,match($A988,sea_lice!$A:$A,0)))</f>
        <v/>
      </c>
      <c r="Q988" t="str">
        <f t="array" ref="Q988">iferror(index(sea_lice!$J:$J,match($A988,sea_lice!$A:$A,0)))</f>
        <v/>
      </c>
      <c r="R988" s="40" t="str">
        <f t="array" ref="R988">iferror(index(dissected_fish!$F:$F,match($A988,dissected_fish!$A:$A,0)))</f>
        <v>BCA109</v>
      </c>
      <c r="S988" s="40" t="str">
        <f t="array" ref="S988">iferror(index(dissected_fish!$K:$K,match($A988,dissected_fish!$A:$A,0)))</f>
        <v>N</v>
      </c>
      <c r="T988" s="61" t="str">
        <f t="array" ref="T988">index(fish_lab_data!O:O,match(A988,fish_lab_data!C:C,0))</f>
        <v>KB</v>
      </c>
      <c r="U988" s="61">
        <f t="array" ref="U988">if(A988="","",index(fish_lab_data!X:X,match(A988,fish_lab_data!C:C,0)))</f>
        <v>987</v>
      </c>
    </row>
    <row r="989">
      <c r="A989" t="str">
        <f>fish_lab_data!C989</f>
        <v>U16115</v>
      </c>
      <c r="B989" t="str">
        <f t="array" ref="B989">iferror(index('rna-muscle'!$I:$I,match($A989,'rna-muscle'!$A:$A,0)))</f>
        <v>BRN71M-D7</v>
      </c>
      <c r="C989" t="str">
        <f t="array" ref="C989">iferror(index('rna-muscle'!$L:$L,match($A989,'rna-muscle'!$A:$A,0)))</f>
        <v>N</v>
      </c>
      <c r="D989" t="str">
        <f t="array" ref="D989">iferror(index('rna-gill'!$I:$I,match($A989,'rna-gill'!$A:$A,0)))</f>
        <v>BRN71G-D7</v>
      </c>
      <c r="E989" t="str">
        <f t="array" ref="E989">iferror(index('rna-gill'!$L:$L,match($A989,'rna-gill'!$A:$A,0)))</f>
        <v>N</v>
      </c>
      <c r="F989" t="str">
        <f t="array" ref="F989">iferror(index(fatty_acid!$G:$G,match($A989,fatty_acid!$A:$A,0)))</f>
        <v>BFA32-31</v>
      </c>
      <c r="G989" t="str">
        <f t="array" ref="G989">iferror(index(fatty_acid!$J:$J,match($A989,fatty_acid!$A:$A,0)))</f>
        <v>N</v>
      </c>
      <c r="H989" t="str">
        <f t="array" ref="H989">iferror(index(isotopes!$G:$G,match($A989,isotopes!$A:$A,0)))</f>
        <v>BIS35-31</v>
      </c>
      <c r="I989" t="str">
        <f t="array" ref="I989">iferror(index(isotopes!$J:$J,match($A989,isotopes!$A:$A,0)))</f>
        <v>N</v>
      </c>
      <c r="J989" t="str">
        <f t="array" ref="J989">iferror(index(extra_muscle!$G:$G,match($A989,extra_muscle!$A:$A,0)))</f>
        <v>BXM33-31</v>
      </c>
      <c r="K989" t="str">
        <f t="array" ref="K989">iferror(index(extra_muscle!$J:$J,match($A989,extra_muscle!$A:$A,0)))</f>
        <v>N</v>
      </c>
      <c r="L989" s="59" t="str">
        <f t="array" ref="L989">iferror(index(dna!$G:$G,match($A989,dna!$A:$A,0)))</f>
        <v>BDN3-64</v>
      </c>
      <c r="M989" s="60" t="str">
        <f t="array" ref="M989">iferror(index(dna!$J:$J,match($A989,dna!$A:$A,0)))</f>
        <v>N</v>
      </c>
      <c r="N989" t="str">
        <f t="array" ref="N989">iferror(index(stomachs!$G:$G,match($A989,stomachs!$A:$A,0)))</f>
        <v/>
      </c>
      <c r="O989" t="str">
        <f t="array" ref="O989">iferror(index(stomachs!$J:$J,match($A989,stomachs!$A:$A,0)))</f>
        <v/>
      </c>
      <c r="P989" t="str">
        <f t="array" ref="P989">iferror(index(sea_lice!$G:$G,match($A989,sea_lice!$A:$A,0)))</f>
        <v>BSL7-27</v>
      </c>
      <c r="Q989" t="str">
        <f t="array" ref="Q989">iferror(index(sea_lice!$J:$J,match($A989,sea_lice!$A:$A,0)))</f>
        <v>N</v>
      </c>
      <c r="R989" s="40" t="str">
        <f t="array" ref="R989">iferror(index(dissected_fish!$F:$F,match($A989,dissected_fish!$A:$A,0)))</f>
        <v>BCA109</v>
      </c>
      <c r="S989" s="40" t="str">
        <f t="array" ref="S989">iferror(index(dissected_fish!$K:$K,match($A989,dissected_fish!$A:$A,0)))</f>
        <v>N</v>
      </c>
      <c r="T989" s="61" t="str">
        <f t="array" ref="T989">index(fish_lab_data!O:O,match(A989,fish_lab_data!C:C,0))</f>
        <v>KB</v>
      </c>
      <c r="U989" s="61">
        <f t="array" ref="U989">if(A989="","",index(fish_lab_data!X:X,match(A989,fish_lab_data!C:C,0)))</f>
        <v>988</v>
      </c>
    </row>
    <row r="990">
      <c r="A990" t="str">
        <f>fish_lab_data!C990</f>
        <v>U16116</v>
      </c>
      <c r="B990" t="str">
        <f t="array" ref="B990">iferror(index('rna-muscle'!$I:$I,match($A990,'rna-muscle'!$A:$A,0)))</f>
        <v>BRN71M-C7</v>
      </c>
      <c r="C990" t="str">
        <f t="array" ref="C990">iferror(index('rna-muscle'!$L:$L,match($A990,'rna-muscle'!$A:$A,0)))</f>
        <v>N</v>
      </c>
      <c r="D990" t="str">
        <f t="array" ref="D990">iferror(index('rna-gill'!$I:$I,match($A990,'rna-gill'!$A:$A,0)))</f>
        <v>BRN71G-C7</v>
      </c>
      <c r="E990" t="str">
        <f t="array" ref="E990">iferror(index('rna-gill'!$L:$L,match($A990,'rna-gill'!$A:$A,0)))</f>
        <v>N</v>
      </c>
      <c r="F990" t="str">
        <f t="array" ref="F990">iferror(index(fatty_acid!$G:$G,match($A990,fatty_acid!$A:$A,0)))</f>
        <v>BFA32-32</v>
      </c>
      <c r="G990" t="str">
        <f t="array" ref="G990">iferror(index(fatty_acid!$J:$J,match($A990,fatty_acid!$A:$A,0)))</f>
        <v>N</v>
      </c>
      <c r="H990" t="str">
        <f t="array" ref="H990">iferror(index(isotopes!$G:$G,match($A990,isotopes!$A:$A,0)))</f>
        <v>BIS35-32</v>
      </c>
      <c r="I990" t="str">
        <f t="array" ref="I990">iferror(index(isotopes!$J:$J,match($A990,isotopes!$A:$A,0)))</f>
        <v>N</v>
      </c>
      <c r="J990" t="str">
        <f t="array" ref="J990">iferror(index(extra_muscle!$G:$G,match($A990,extra_muscle!$A:$A,0)))</f>
        <v>BXM33-32</v>
      </c>
      <c r="K990" t="str">
        <f t="array" ref="K990">iferror(index(extra_muscle!$J:$J,match($A990,extra_muscle!$A:$A,0)))</f>
        <v>N</v>
      </c>
      <c r="L990" s="59" t="str">
        <f t="array" ref="L990">iferror(index(dna!$G:$G,match($A990,dna!$A:$A,0)))</f>
        <v>BDN3-65</v>
      </c>
      <c r="M990" s="60" t="str">
        <f t="array" ref="M990">iferror(index(dna!$J:$J,match($A990,dna!$A:$A,0)))</f>
        <v>N</v>
      </c>
      <c r="N990" t="str">
        <f t="array" ref="N990">iferror(index(stomachs!$G:$G,match($A990,stomachs!$A:$A,0)))</f>
        <v/>
      </c>
      <c r="O990" t="str">
        <f t="array" ref="O990">iferror(index(stomachs!$J:$J,match($A990,stomachs!$A:$A,0)))</f>
        <v/>
      </c>
      <c r="P990" t="str">
        <f t="array" ref="P990">iferror(index(sea_lice!$G:$G,match($A990,sea_lice!$A:$A,0)))</f>
        <v/>
      </c>
      <c r="Q990" t="str">
        <f t="array" ref="Q990">iferror(index(sea_lice!$J:$J,match($A990,sea_lice!$A:$A,0)))</f>
        <v/>
      </c>
      <c r="R990" s="40" t="str">
        <f t="array" ref="R990">iferror(index(dissected_fish!$F:$F,match($A990,dissected_fish!$A:$A,0)))</f>
        <v>BCA109</v>
      </c>
      <c r="S990" s="40" t="str">
        <f t="array" ref="S990">iferror(index(dissected_fish!$K:$K,match($A990,dissected_fish!$A:$A,0)))</f>
        <v>N</v>
      </c>
      <c r="T990" s="61" t="str">
        <f t="array" ref="T990">index(fish_lab_data!O:O,match(A990,fish_lab_data!C:C,0))</f>
        <v>KB</v>
      </c>
      <c r="U990" s="61">
        <f t="array" ref="U990">if(A990="","",index(fish_lab_data!X:X,match(A990,fish_lab_data!C:C,0)))</f>
        <v>989</v>
      </c>
    </row>
    <row r="991">
      <c r="A991" t="str">
        <f>fish_lab_data!C991</f>
        <v>U16118</v>
      </c>
      <c r="B991" t="str">
        <f t="array" ref="B991">iferror(index('rna-muscle'!$I:$I,match($A991,'rna-muscle'!$A:$A,0)))</f>
        <v>BRN71M-B7</v>
      </c>
      <c r="C991" t="str">
        <f t="array" ref="C991">iferror(index('rna-muscle'!$L:$L,match($A991,'rna-muscle'!$A:$A,0)))</f>
        <v>N</v>
      </c>
      <c r="D991" t="str">
        <f t="array" ref="D991">iferror(index('rna-gill'!$I:$I,match($A991,'rna-gill'!$A:$A,0)))</f>
        <v>BRN71G-B7</v>
      </c>
      <c r="E991" t="str">
        <f t="array" ref="E991">iferror(index('rna-gill'!$L:$L,match($A991,'rna-gill'!$A:$A,0)))</f>
        <v>N</v>
      </c>
      <c r="F991" t="str">
        <f t="array" ref="F991">iferror(index(fatty_acid!$G:$G,match($A991,fatty_acid!$A:$A,0)))</f>
        <v>BFA32-33</v>
      </c>
      <c r="G991" t="str">
        <f t="array" ref="G991">iferror(index(fatty_acid!$J:$J,match($A991,fatty_acid!$A:$A,0)))</f>
        <v>N</v>
      </c>
      <c r="H991" t="str">
        <f t="array" ref="H991">iferror(index(isotopes!$G:$G,match($A991,isotopes!$A:$A,0)))</f>
        <v>BIS35-33</v>
      </c>
      <c r="I991" t="str">
        <f t="array" ref="I991">iferror(index(isotopes!$J:$J,match($A991,isotopes!$A:$A,0)))</f>
        <v>N</v>
      </c>
      <c r="J991" t="str">
        <f t="array" ref="J991">iferror(index(extra_muscle!$G:$G,match($A991,extra_muscle!$A:$A,0)))</f>
        <v>BXM33-33</v>
      </c>
      <c r="K991" t="str">
        <f t="array" ref="K991">iferror(index(extra_muscle!$J:$J,match($A991,extra_muscle!$A:$A,0)))</f>
        <v>N</v>
      </c>
      <c r="L991" s="59" t="str">
        <f t="array" ref="L991">iferror(index(dna!$G:$G,match($A991,dna!$A:$A,0)))</f>
        <v>BDN3-66</v>
      </c>
      <c r="M991" s="60" t="str">
        <f t="array" ref="M991">iferror(index(dna!$J:$J,match($A991,dna!$A:$A,0)))</f>
        <v>N</v>
      </c>
      <c r="N991" t="str">
        <f t="array" ref="N991">iferror(index(stomachs!$G:$G,match($A991,stomachs!$A:$A,0)))</f>
        <v/>
      </c>
      <c r="O991" t="str">
        <f t="array" ref="O991">iferror(index(stomachs!$J:$J,match($A991,stomachs!$A:$A,0)))</f>
        <v/>
      </c>
      <c r="P991" t="str">
        <f t="array" ref="P991">iferror(index(sea_lice!$G:$G,match($A991,sea_lice!$A:$A,0)))</f>
        <v/>
      </c>
      <c r="Q991" t="str">
        <f t="array" ref="Q991">iferror(index(sea_lice!$J:$J,match($A991,sea_lice!$A:$A,0)))</f>
        <v/>
      </c>
      <c r="R991" s="40" t="str">
        <f t="array" ref="R991">iferror(index(dissected_fish!$F:$F,match($A991,dissected_fish!$A:$A,0)))</f>
        <v>BCA109</v>
      </c>
      <c r="S991" s="40" t="str">
        <f t="array" ref="S991">iferror(index(dissected_fish!$K:$K,match($A991,dissected_fish!$A:$A,0)))</f>
        <v>N</v>
      </c>
      <c r="T991" s="61" t="str">
        <f t="array" ref="T991">index(fish_lab_data!O:O,match(A991,fish_lab_data!C:C,0))</f>
        <v>KB</v>
      </c>
      <c r="U991" s="61">
        <f t="array" ref="U991">if(A991="","",index(fish_lab_data!X:X,match(A991,fish_lab_data!C:C,0)))</f>
        <v>990</v>
      </c>
    </row>
    <row r="992">
      <c r="A992" t="str">
        <f>fish_lab_data!C992</f>
        <v>U16112</v>
      </c>
      <c r="B992" t="str">
        <f t="array" ref="B992">iferror(index('rna-muscle'!$I:$I,match($A992,'rna-muscle'!$A:$A,0)))</f>
        <v>BRN71M-A7</v>
      </c>
      <c r="C992" t="str">
        <f t="array" ref="C992">iferror(index('rna-muscle'!$L:$L,match($A992,'rna-muscle'!$A:$A,0)))</f>
        <v>N</v>
      </c>
      <c r="D992" t="str">
        <f t="array" ref="D992">iferror(index('rna-gill'!$I:$I,match($A992,'rna-gill'!$A:$A,0)))</f>
        <v>BRN71G-A7</v>
      </c>
      <c r="E992" t="str">
        <f t="array" ref="E992">iferror(index('rna-gill'!$L:$L,match($A992,'rna-gill'!$A:$A,0)))</f>
        <v>N</v>
      </c>
      <c r="F992" t="str">
        <f t="array" ref="F992">iferror(index(fatty_acid!$G:$G,match($A992,fatty_acid!$A:$A,0)))</f>
        <v>BFA32-34</v>
      </c>
      <c r="G992" t="str">
        <f t="array" ref="G992">iferror(index(fatty_acid!$J:$J,match($A992,fatty_acid!$A:$A,0)))</f>
        <v>N</v>
      </c>
      <c r="H992" t="str">
        <f t="array" ref="H992">iferror(index(isotopes!$G:$G,match($A992,isotopes!$A:$A,0)))</f>
        <v>BIS35-34</v>
      </c>
      <c r="I992" t="str">
        <f t="array" ref="I992">iferror(index(isotopes!$J:$J,match($A992,isotopes!$A:$A,0)))</f>
        <v>N</v>
      </c>
      <c r="J992" t="str">
        <f t="array" ref="J992">iferror(index(extra_muscle!$G:$G,match($A992,extra_muscle!$A:$A,0)))</f>
        <v>BXM33-34</v>
      </c>
      <c r="K992" t="str">
        <f t="array" ref="K992">iferror(index(extra_muscle!$J:$J,match($A992,extra_muscle!$A:$A,0)))</f>
        <v>N</v>
      </c>
      <c r="L992" s="59" t="str">
        <f t="array" ref="L992">iferror(index(dna!$G:$G,match($A992,dna!$A:$A,0)))</f>
        <v>BDN3-67</v>
      </c>
      <c r="M992" s="60" t="str">
        <f t="array" ref="M992">iferror(index(dna!$J:$J,match($A992,dna!$A:$A,0)))</f>
        <v>N</v>
      </c>
      <c r="N992" t="str">
        <f t="array" ref="N992">iferror(index(stomachs!$G:$G,match($A992,stomachs!$A:$A,0)))</f>
        <v/>
      </c>
      <c r="O992" t="str">
        <f t="array" ref="O992">iferror(index(stomachs!$J:$J,match($A992,stomachs!$A:$A,0)))</f>
        <v/>
      </c>
      <c r="P992" t="str">
        <f t="array" ref="P992">iferror(index(sea_lice!$G:$G,match($A992,sea_lice!$A:$A,0)))</f>
        <v/>
      </c>
      <c r="Q992" t="str">
        <f t="array" ref="Q992">iferror(index(sea_lice!$J:$J,match($A992,sea_lice!$A:$A,0)))</f>
        <v/>
      </c>
      <c r="R992" s="40" t="str">
        <f t="array" ref="R992">iferror(index(dissected_fish!$F:$F,match($A992,dissected_fish!$A:$A,0)))</f>
        <v>BCA109</v>
      </c>
      <c r="S992" s="40" t="str">
        <f t="array" ref="S992">iferror(index(dissected_fish!$K:$K,match($A992,dissected_fish!$A:$A,0)))</f>
        <v>N</v>
      </c>
      <c r="T992" s="61" t="str">
        <f t="array" ref="T992">index(fish_lab_data!O:O,match(A992,fish_lab_data!C:C,0))</f>
        <v>KB</v>
      </c>
      <c r="U992" s="61">
        <f t="array" ref="U992">if(A992="","",index(fish_lab_data!X:X,match(A992,fish_lab_data!C:C,0)))</f>
        <v>991</v>
      </c>
    </row>
    <row r="993">
      <c r="A993" t="str">
        <f>fish_lab_data!C993</f>
        <v>U16113</v>
      </c>
      <c r="B993" t="str">
        <f t="array" ref="B993">iferror(index('rna-muscle'!$I:$I,match($A993,'rna-muscle'!$A:$A,0)))</f>
        <v>BRN71M-H8</v>
      </c>
      <c r="C993" t="str">
        <f t="array" ref="C993">iferror(index('rna-muscle'!$L:$L,match($A993,'rna-muscle'!$A:$A,0)))</f>
        <v>N</v>
      </c>
      <c r="D993" t="str">
        <f t="array" ref="D993">iferror(index('rna-gill'!$I:$I,match($A993,'rna-gill'!$A:$A,0)))</f>
        <v>BRN71G-H8</v>
      </c>
      <c r="E993" t="str">
        <f t="array" ref="E993">iferror(index('rna-gill'!$L:$L,match($A993,'rna-gill'!$A:$A,0)))</f>
        <v>N</v>
      </c>
      <c r="F993" t="str">
        <f t="array" ref="F993">iferror(index(fatty_acid!$G:$G,match($A993,fatty_acid!$A:$A,0)))</f>
        <v>BFA32-35</v>
      </c>
      <c r="G993" t="str">
        <f t="array" ref="G993">iferror(index(fatty_acid!$J:$J,match($A993,fatty_acid!$A:$A,0)))</f>
        <v>N</v>
      </c>
      <c r="H993" t="str">
        <f t="array" ref="H993">iferror(index(isotopes!$G:$G,match($A993,isotopes!$A:$A,0)))</f>
        <v>BIS35-35</v>
      </c>
      <c r="I993" t="str">
        <f t="array" ref="I993">iferror(index(isotopes!$J:$J,match($A993,isotopes!$A:$A,0)))</f>
        <v>N</v>
      </c>
      <c r="J993" t="str">
        <f t="array" ref="J993">iferror(index(extra_muscle!$G:$G,match($A993,extra_muscle!$A:$A,0)))</f>
        <v>BXM33-35</v>
      </c>
      <c r="K993" t="str">
        <f t="array" ref="K993">iferror(index(extra_muscle!$J:$J,match($A993,extra_muscle!$A:$A,0)))</f>
        <v>N</v>
      </c>
      <c r="L993" s="59" t="str">
        <f t="array" ref="L993">iferror(index(dna!$G:$G,match($A993,dna!$A:$A,0)))</f>
        <v>BDN3-68</v>
      </c>
      <c r="M993" s="60" t="str">
        <f t="array" ref="M993">iferror(index(dna!$J:$J,match($A993,dna!$A:$A,0)))</f>
        <v>N</v>
      </c>
      <c r="N993" t="str">
        <f t="array" ref="N993">iferror(index(stomachs!$G:$G,match($A993,stomachs!$A:$A,0)))</f>
        <v/>
      </c>
      <c r="O993" t="str">
        <f t="array" ref="O993">iferror(index(stomachs!$J:$J,match($A993,stomachs!$A:$A,0)))</f>
        <v/>
      </c>
      <c r="P993" t="str">
        <f t="array" ref="P993">iferror(index(sea_lice!$G:$G,match($A993,sea_lice!$A:$A,0)))</f>
        <v/>
      </c>
      <c r="Q993" t="str">
        <f t="array" ref="Q993">iferror(index(sea_lice!$J:$J,match($A993,sea_lice!$A:$A,0)))</f>
        <v/>
      </c>
      <c r="R993" s="40" t="str">
        <f t="array" ref="R993">iferror(index(dissected_fish!$F:$F,match($A993,dissected_fish!$A:$A,0)))</f>
        <v>BCA109</v>
      </c>
      <c r="S993" s="40" t="str">
        <f t="array" ref="S993">iferror(index(dissected_fish!$K:$K,match($A993,dissected_fish!$A:$A,0)))</f>
        <v>N</v>
      </c>
      <c r="T993" s="61" t="str">
        <f t="array" ref="T993">index(fish_lab_data!O:O,match(A993,fish_lab_data!C:C,0))</f>
        <v>KB</v>
      </c>
      <c r="U993" s="61">
        <f t="array" ref="U993">if(A993="","",index(fish_lab_data!X:X,match(A993,fish_lab_data!C:C,0)))</f>
        <v>992</v>
      </c>
    </row>
    <row r="994">
      <c r="A994" t="str">
        <f>fish_lab_data!C994</f>
        <v>U16111</v>
      </c>
      <c r="B994" t="str">
        <f t="array" ref="B994">iferror(index('rna-muscle'!$I:$I,match($A994,'rna-muscle'!$A:$A,0)))</f>
        <v>BRN71M-G8</v>
      </c>
      <c r="C994" t="str">
        <f t="array" ref="C994">iferror(index('rna-muscle'!$L:$L,match($A994,'rna-muscle'!$A:$A,0)))</f>
        <v>N</v>
      </c>
      <c r="D994" t="str">
        <f t="array" ref="D994">iferror(index('rna-gill'!$I:$I,match($A994,'rna-gill'!$A:$A,0)))</f>
        <v>BRN71G-G8</v>
      </c>
      <c r="E994" t="str">
        <f t="array" ref="E994">iferror(index('rna-gill'!$L:$L,match($A994,'rna-gill'!$A:$A,0)))</f>
        <v>N</v>
      </c>
      <c r="F994" t="str">
        <f t="array" ref="F994">iferror(index(fatty_acid!$G:$G,match($A994,fatty_acid!$A:$A,0)))</f>
        <v>BFA32-36</v>
      </c>
      <c r="G994" t="str">
        <f t="array" ref="G994">iferror(index(fatty_acid!$J:$J,match($A994,fatty_acid!$A:$A,0)))</f>
        <v>N</v>
      </c>
      <c r="H994" t="str">
        <f t="array" ref="H994">iferror(index(isotopes!$G:$G,match($A994,isotopes!$A:$A,0)))</f>
        <v>BIS35-36</v>
      </c>
      <c r="I994" t="str">
        <f t="array" ref="I994">iferror(index(isotopes!$J:$J,match($A994,isotopes!$A:$A,0)))</f>
        <v>N</v>
      </c>
      <c r="J994" t="str">
        <f t="array" ref="J994">iferror(index(extra_muscle!$G:$G,match($A994,extra_muscle!$A:$A,0)))</f>
        <v>BXM33-36</v>
      </c>
      <c r="K994" t="str">
        <f t="array" ref="K994">iferror(index(extra_muscle!$J:$J,match($A994,extra_muscle!$A:$A,0)))</f>
        <v>N</v>
      </c>
      <c r="L994" s="59" t="str">
        <f t="array" ref="L994">iferror(index(dna!$G:$G,match($A994,dna!$A:$A,0)))</f>
        <v>BDN3-69</v>
      </c>
      <c r="M994" s="60" t="str">
        <f t="array" ref="M994">iferror(index(dna!$J:$J,match($A994,dna!$A:$A,0)))</f>
        <v>N</v>
      </c>
      <c r="N994" t="str">
        <f t="array" ref="N994">iferror(index(stomachs!$G:$G,match($A994,stomachs!$A:$A,0)))</f>
        <v/>
      </c>
      <c r="O994" t="str">
        <f t="array" ref="O994">iferror(index(stomachs!$J:$J,match($A994,stomachs!$A:$A,0)))</f>
        <v/>
      </c>
      <c r="P994" t="str">
        <f t="array" ref="P994">iferror(index(sea_lice!$G:$G,match($A994,sea_lice!$A:$A,0)))</f>
        <v>BSL7-28</v>
      </c>
      <c r="Q994" t="str">
        <f t="array" ref="Q994">iferror(index(sea_lice!$J:$J,match($A994,sea_lice!$A:$A,0)))</f>
        <v>N</v>
      </c>
      <c r="R994" s="40" t="str">
        <f t="array" ref="R994">iferror(index(dissected_fish!$F:$F,match($A994,dissected_fish!$A:$A,0)))</f>
        <v>BCA109</v>
      </c>
      <c r="S994" s="40" t="str">
        <f t="array" ref="S994">iferror(index(dissected_fish!$K:$K,match($A994,dissected_fish!$A:$A,0)))</f>
        <v>N</v>
      </c>
      <c r="T994" s="61" t="str">
        <f t="array" ref="T994">index(fish_lab_data!O:O,match(A994,fish_lab_data!C:C,0))</f>
        <v>KB</v>
      </c>
      <c r="U994" s="61">
        <f t="array" ref="U994">if(A994="","",index(fish_lab_data!X:X,match(A994,fish_lab_data!C:C,0)))</f>
        <v>993</v>
      </c>
    </row>
    <row r="995">
      <c r="A995" t="str">
        <f>fish_lab_data!C995</f>
        <v>U16602</v>
      </c>
      <c r="B995" t="str">
        <f t="array" ref="B995">iferror(index('rna-muscle'!$I:$I,match($A995,'rna-muscle'!$A:$A,0)))</f>
        <v>BRN71M-F8</v>
      </c>
      <c r="C995" t="str">
        <f t="array" ref="C995">iferror(index('rna-muscle'!$L:$L,match($A995,'rna-muscle'!$A:$A,0)))</f>
        <v>N</v>
      </c>
      <c r="D995" t="str">
        <f t="array" ref="D995">iferror(index('rna-gill'!$I:$I,match($A995,'rna-gill'!$A:$A,0)))</f>
        <v>BRN71G-F8</v>
      </c>
      <c r="E995" t="str">
        <f t="array" ref="E995">iferror(index('rna-gill'!$L:$L,match($A995,'rna-gill'!$A:$A,0)))</f>
        <v>N</v>
      </c>
      <c r="F995" t="str">
        <f t="array" ref="F995">iferror(index(fatty_acid!$G:$G,match($A995,fatty_acid!$A:$A,0)))</f>
        <v>BFA32-37</v>
      </c>
      <c r="G995" t="str">
        <f t="array" ref="G995">iferror(index(fatty_acid!$J:$J,match($A995,fatty_acid!$A:$A,0)))</f>
        <v>N</v>
      </c>
      <c r="H995" t="str">
        <f t="array" ref="H995">iferror(index(isotopes!$G:$G,match($A995,isotopes!$A:$A,0)))</f>
        <v>BIS35-37</v>
      </c>
      <c r="I995" t="str">
        <f t="array" ref="I995">iferror(index(isotopes!$J:$J,match($A995,isotopes!$A:$A,0)))</f>
        <v>N</v>
      </c>
      <c r="J995" t="str">
        <f t="array" ref="J995">iferror(index(extra_muscle!$G:$G,match($A995,extra_muscle!$A:$A,0)))</f>
        <v>BXM33-37</v>
      </c>
      <c r="K995" t="str">
        <f t="array" ref="K995">iferror(index(extra_muscle!$J:$J,match($A995,extra_muscle!$A:$A,0)))</f>
        <v>N</v>
      </c>
      <c r="L995" s="59" t="str">
        <f t="array" ref="L995">iferror(index(dna!$G:$G,match($A995,dna!$A:$A,0)))</f>
        <v>BDN3-70</v>
      </c>
      <c r="M995" s="60" t="str">
        <f t="array" ref="M995">iferror(index(dna!$J:$J,match($A995,dna!$A:$A,0)))</f>
        <v>N</v>
      </c>
      <c r="N995" t="str">
        <f t="array" ref="N995">iferror(index(stomachs!$G:$G,match($A995,stomachs!$A:$A,0)))</f>
        <v/>
      </c>
      <c r="O995" t="str">
        <f t="array" ref="O995">iferror(index(stomachs!$J:$J,match($A995,stomachs!$A:$A,0)))</f>
        <v/>
      </c>
      <c r="P995" t="str">
        <f t="array" ref="P995">iferror(index(sea_lice!$G:$G,match($A995,sea_lice!$A:$A,0)))</f>
        <v/>
      </c>
      <c r="Q995" t="str">
        <f t="array" ref="Q995">iferror(index(sea_lice!$J:$J,match($A995,sea_lice!$A:$A,0)))</f>
        <v/>
      </c>
      <c r="R995" s="40" t="str">
        <f t="array" ref="R995">iferror(index(dissected_fish!$F:$F,match($A995,dissected_fish!$A:$A,0)))</f>
        <v>BCA109</v>
      </c>
      <c r="S995" s="40" t="str">
        <f t="array" ref="S995">iferror(index(dissected_fish!$K:$K,match($A995,dissected_fish!$A:$A,0)))</f>
        <v>N</v>
      </c>
      <c r="T995" s="61" t="str">
        <f t="array" ref="T995">index(fish_lab_data!O:O,match(A995,fish_lab_data!C:C,0))</f>
        <v>KB</v>
      </c>
      <c r="U995" s="61">
        <f t="array" ref="U995">if(A995="","",index(fish_lab_data!X:X,match(A995,fish_lab_data!C:C,0)))</f>
        <v>994</v>
      </c>
    </row>
    <row r="996">
      <c r="A996" t="str">
        <f>fish_lab_data!C996</f>
        <v>U16610</v>
      </c>
      <c r="B996" t="str">
        <f t="array" ref="B996">iferror(index('rna-muscle'!$I:$I,match($A996,'rna-muscle'!$A:$A,0)))</f>
        <v>BRN71M-E8</v>
      </c>
      <c r="C996" t="str">
        <f t="array" ref="C996">iferror(index('rna-muscle'!$L:$L,match($A996,'rna-muscle'!$A:$A,0)))</f>
        <v>N</v>
      </c>
      <c r="D996" t="str">
        <f t="array" ref="D996">iferror(index('rna-gill'!$I:$I,match($A996,'rna-gill'!$A:$A,0)))</f>
        <v>BRN71G-E8</v>
      </c>
      <c r="E996" t="str">
        <f t="array" ref="E996">iferror(index('rna-gill'!$L:$L,match($A996,'rna-gill'!$A:$A,0)))</f>
        <v>N</v>
      </c>
      <c r="F996" t="str">
        <f t="array" ref="F996">iferror(index(fatty_acid!$G:$G,match($A996,fatty_acid!$A:$A,0)))</f>
        <v>BFA32-38</v>
      </c>
      <c r="G996" t="str">
        <f t="array" ref="G996">iferror(index(fatty_acid!$J:$J,match($A996,fatty_acid!$A:$A,0)))</f>
        <v>N</v>
      </c>
      <c r="H996" t="str">
        <f t="array" ref="H996">iferror(index(isotopes!$G:$G,match($A996,isotopes!$A:$A,0)))</f>
        <v>BIS35-38</v>
      </c>
      <c r="I996" t="str">
        <f t="array" ref="I996">iferror(index(isotopes!$J:$J,match($A996,isotopes!$A:$A,0)))</f>
        <v>N</v>
      </c>
      <c r="J996" t="str">
        <f t="array" ref="J996">iferror(index(extra_muscle!$G:$G,match($A996,extra_muscle!$A:$A,0)))</f>
        <v>BXM33-38</v>
      </c>
      <c r="K996" t="str">
        <f t="array" ref="K996">iferror(index(extra_muscle!$J:$J,match($A996,extra_muscle!$A:$A,0)))</f>
        <v>N</v>
      </c>
      <c r="L996" s="59" t="str">
        <f t="array" ref="L996">iferror(index(dna!$G:$G,match($A996,dna!$A:$A,0)))</f>
        <v>BDN3-71</v>
      </c>
      <c r="M996" s="60" t="str">
        <f t="array" ref="M996">iferror(index(dna!$J:$J,match($A996,dna!$A:$A,0)))</f>
        <v>N</v>
      </c>
      <c r="N996" t="str">
        <f t="array" ref="N996">iferror(index(stomachs!$G:$G,match($A996,stomachs!$A:$A,0)))</f>
        <v/>
      </c>
      <c r="O996" t="str">
        <f t="array" ref="O996">iferror(index(stomachs!$J:$J,match($A996,stomachs!$A:$A,0)))</f>
        <v/>
      </c>
      <c r="P996" t="str">
        <f t="array" ref="P996">iferror(index(sea_lice!$G:$G,match($A996,sea_lice!$A:$A,0)))</f>
        <v/>
      </c>
      <c r="Q996" t="str">
        <f t="array" ref="Q996">iferror(index(sea_lice!$J:$J,match($A996,sea_lice!$A:$A,0)))</f>
        <v/>
      </c>
      <c r="R996" s="40" t="str">
        <f t="array" ref="R996">iferror(index(dissected_fish!$F:$F,match($A996,dissected_fish!$A:$A,0)))</f>
        <v>BCA109</v>
      </c>
      <c r="S996" s="40" t="str">
        <f t="array" ref="S996">iferror(index(dissected_fish!$K:$K,match($A996,dissected_fish!$A:$A,0)))</f>
        <v>N</v>
      </c>
      <c r="T996" s="61" t="str">
        <f t="array" ref="T996">index(fish_lab_data!O:O,match(A996,fish_lab_data!C:C,0))</f>
        <v>KB</v>
      </c>
      <c r="U996" s="61">
        <f t="array" ref="U996">if(A996="","",index(fish_lab_data!X:X,match(A996,fish_lab_data!C:C,0)))</f>
        <v>995</v>
      </c>
    </row>
    <row r="997">
      <c r="A997" t="str">
        <f>fish_lab_data!C997</f>
        <v>U16608</v>
      </c>
      <c r="B997" t="str">
        <f t="array" ref="B997">iferror(index('rna-muscle'!$I:$I,match($A997,'rna-muscle'!$A:$A,0)))</f>
        <v>BRN71M-D8</v>
      </c>
      <c r="C997" t="str">
        <f t="array" ref="C997">iferror(index('rna-muscle'!$L:$L,match($A997,'rna-muscle'!$A:$A,0)))</f>
        <v>N</v>
      </c>
      <c r="D997" t="str">
        <f t="array" ref="D997">iferror(index('rna-gill'!$I:$I,match($A997,'rna-gill'!$A:$A,0)))</f>
        <v>BRN71G-D8</v>
      </c>
      <c r="E997" t="str">
        <f t="array" ref="E997">iferror(index('rna-gill'!$L:$L,match($A997,'rna-gill'!$A:$A,0)))</f>
        <v>N</v>
      </c>
      <c r="F997" t="str">
        <f t="array" ref="F997">iferror(index(fatty_acid!$G:$G,match($A997,fatty_acid!$A:$A,0)))</f>
        <v>BFA32-39</v>
      </c>
      <c r="G997" t="str">
        <f t="array" ref="G997">iferror(index(fatty_acid!$J:$J,match($A997,fatty_acid!$A:$A,0)))</f>
        <v>N</v>
      </c>
      <c r="H997" t="str">
        <f t="array" ref="H997">iferror(index(isotopes!$G:$G,match($A997,isotopes!$A:$A,0)))</f>
        <v>BIS35-39</v>
      </c>
      <c r="I997" t="str">
        <f t="array" ref="I997">iferror(index(isotopes!$J:$J,match($A997,isotopes!$A:$A,0)))</f>
        <v>N</v>
      </c>
      <c r="J997" t="str">
        <f t="array" ref="J997">iferror(index(extra_muscle!$G:$G,match($A997,extra_muscle!$A:$A,0)))</f>
        <v>BXM33-39</v>
      </c>
      <c r="K997" t="str">
        <f t="array" ref="K997">iferror(index(extra_muscle!$J:$J,match($A997,extra_muscle!$A:$A,0)))</f>
        <v>N</v>
      </c>
      <c r="L997" s="59" t="str">
        <f t="array" ref="L997">iferror(index(dna!$G:$G,match($A997,dna!$A:$A,0)))</f>
        <v>BDN3-72</v>
      </c>
      <c r="M997" s="60" t="str">
        <f t="array" ref="M997">iferror(index(dna!$J:$J,match($A997,dna!$A:$A,0)))</f>
        <v>N</v>
      </c>
      <c r="N997" t="str">
        <f t="array" ref="N997">iferror(index(stomachs!$G:$G,match($A997,stomachs!$A:$A,0)))</f>
        <v/>
      </c>
      <c r="O997" t="str">
        <f t="array" ref="O997">iferror(index(stomachs!$J:$J,match($A997,stomachs!$A:$A,0)))</f>
        <v/>
      </c>
      <c r="P997" t="str">
        <f t="array" ref="P997">iferror(index(sea_lice!$G:$G,match($A997,sea_lice!$A:$A,0)))</f>
        <v/>
      </c>
      <c r="Q997" t="str">
        <f t="array" ref="Q997">iferror(index(sea_lice!$J:$J,match($A997,sea_lice!$A:$A,0)))</f>
        <v/>
      </c>
      <c r="R997" s="40" t="str">
        <f t="array" ref="R997">iferror(index(dissected_fish!$F:$F,match($A997,dissected_fish!$A:$A,0)))</f>
        <v>BCA109</v>
      </c>
      <c r="S997" s="40" t="str">
        <f t="array" ref="S997">iferror(index(dissected_fish!$K:$K,match($A997,dissected_fish!$A:$A,0)))</f>
        <v>N</v>
      </c>
      <c r="T997" s="61" t="str">
        <f t="array" ref="T997">index(fish_lab_data!O:O,match(A997,fish_lab_data!C:C,0))</f>
        <v>KB</v>
      </c>
      <c r="U997" s="61">
        <f t="array" ref="U997">if(A997="","",index(fish_lab_data!X:X,match(A997,fish_lab_data!C:C,0)))</f>
        <v>996</v>
      </c>
    </row>
    <row r="998">
      <c r="A998" t="str">
        <f>fish_lab_data!C998</f>
        <v>U16601</v>
      </c>
      <c r="B998" t="str">
        <f t="array" ref="B998">iferror(index('rna-muscle'!$I:$I,match($A998,'rna-muscle'!$A:$A,0)))</f>
        <v>BRN71M-C8</v>
      </c>
      <c r="C998" t="str">
        <f t="array" ref="C998">iferror(index('rna-muscle'!$L:$L,match($A998,'rna-muscle'!$A:$A,0)))</f>
        <v>N</v>
      </c>
      <c r="D998" t="str">
        <f t="array" ref="D998">iferror(index('rna-gill'!$I:$I,match($A998,'rna-gill'!$A:$A,0)))</f>
        <v>BRN71G-C8</v>
      </c>
      <c r="E998" t="str">
        <f t="array" ref="E998">iferror(index('rna-gill'!$L:$L,match($A998,'rna-gill'!$A:$A,0)))</f>
        <v>N</v>
      </c>
      <c r="F998" t="str">
        <f t="array" ref="F998">iferror(index(fatty_acid!$G:$G,match($A998,fatty_acid!$A:$A,0)))</f>
        <v>BFA32-40</v>
      </c>
      <c r="G998" t="str">
        <f t="array" ref="G998">iferror(index(fatty_acid!$J:$J,match($A998,fatty_acid!$A:$A,0)))</f>
        <v>N</v>
      </c>
      <c r="H998" t="str">
        <f t="array" ref="H998">iferror(index(isotopes!$G:$G,match($A998,isotopes!$A:$A,0)))</f>
        <v>BIS35-40</v>
      </c>
      <c r="I998" t="str">
        <f t="array" ref="I998">iferror(index(isotopes!$J:$J,match($A998,isotopes!$A:$A,0)))</f>
        <v>N</v>
      </c>
      <c r="J998" t="str">
        <f t="array" ref="J998">iferror(index(extra_muscle!$G:$G,match($A998,extra_muscle!$A:$A,0)))</f>
        <v>BXM33-40</v>
      </c>
      <c r="K998" t="str">
        <f t="array" ref="K998">iferror(index(extra_muscle!$J:$J,match($A998,extra_muscle!$A:$A,0)))</f>
        <v>N</v>
      </c>
      <c r="L998" s="59" t="str">
        <f t="array" ref="L998">iferror(index(dna!$G:$G,match($A998,dna!$A:$A,0)))</f>
        <v>BDN3-73</v>
      </c>
      <c r="M998" s="60" t="str">
        <f t="array" ref="M998">iferror(index(dna!$J:$J,match($A998,dna!$A:$A,0)))</f>
        <v>N</v>
      </c>
      <c r="N998" t="str">
        <f t="array" ref="N998">iferror(index(stomachs!$G:$G,match($A998,stomachs!$A:$A,0)))</f>
        <v/>
      </c>
      <c r="O998" t="str">
        <f t="array" ref="O998">iferror(index(stomachs!$J:$J,match($A998,stomachs!$A:$A,0)))</f>
        <v/>
      </c>
      <c r="P998" t="str">
        <f t="array" ref="P998">iferror(index(sea_lice!$G:$G,match($A998,sea_lice!$A:$A,0)))</f>
        <v/>
      </c>
      <c r="Q998" t="str">
        <f t="array" ref="Q998">iferror(index(sea_lice!$J:$J,match($A998,sea_lice!$A:$A,0)))</f>
        <v/>
      </c>
      <c r="R998" s="40" t="str">
        <f t="array" ref="R998">iferror(index(dissected_fish!$F:$F,match($A998,dissected_fish!$A:$A,0)))</f>
        <v>BCA109</v>
      </c>
      <c r="S998" s="40" t="str">
        <f t="array" ref="S998">iferror(index(dissected_fish!$K:$K,match($A998,dissected_fish!$A:$A,0)))</f>
        <v>N</v>
      </c>
      <c r="T998" s="61" t="str">
        <f t="array" ref="T998">index(fish_lab_data!O:O,match(A998,fish_lab_data!C:C,0))</f>
        <v>KB</v>
      </c>
      <c r="U998" s="61">
        <f t="array" ref="U998">if(A998="","",index(fish_lab_data!X:X,match(A998,fish_lab_data!C:C,0)))</f>
        <v>997</v>
      </c>
    </row>
    <row r="999">
      <c r="A999" t="str">
        <f>fish_lab_data!C999</f>
        <v>U16605</v>
      </c>
      <c r="B999" t="str">
        <f t="array" ref="B999">iferror(index('rna-muscle'!$I:$I,match($A999,'rna-muscle'!$A:$A,0)))</f>
        <v>BRN71M-B8</v>
      </c>
      <c r="C999" t="str">
        <f t="array" ref="C999">iferror(index('rna-muscle'!$L:$L,match($A999,'rna-muscle'!$A:$A,0)))</f>
        <v>N</v>
      </c>
      <c r="D999" t="str">
        <f t="array" ref="D999">iferror(index('rna-gill'!$I:$I,match($A999,'rna-gill'!$A:$A,0)))</f>
        <v>BRN71G-B8</v>
      </c>
      <c r="E999" t="str">
        <f t="array" ref="E999">iferror(index('rna-gill'!$L:$L,match($A999,'rna-gill'!$A:$A,0)))</f>
        <v>N</v>
      </c>
      <c r="F999" t="str">
        <f t="array" ref="F999">iferror(index(fatty_acid!$G:$G,match($A999,fatty_acid!$A:$A,0)))</f>
        <v>BFA32-41</v>
      </c>
      <c r="G999" t="str">
        <f t="array" ref="G999">iferror(index(fatty_acid!$J:$J,match($A999,fatty_acid!$A:$A,0)))</f>
        <v>N</v>
      </c>
      <c r="H999" t="str">
        <f t="array" ref="H999">iferror(index(isotopes!$G:$G,match($A999,isotopes!$A:$A,0)))</f>
        <v>BIS35-41</v>
      </c>
      <c r="I999" t="str">
        <f t="array" ref="I999">iferror(index(isotopes!$J:$J,match($A999,isotopes!$A:$A,0)))</f>
        <v>N</v>
      </c>
      <c r="J999" t="str">
        <f t="array" ref="J999">iferror(index(extra_muscle!$G:$G,match($A999,extra_muscle!$A:$A,0)))</f>
        <v>BXM33-41</v>
      </c>
      <c r="K999" t="str">
        <f t="array" ref="K999">iferror(index(extra_muscle!$J:$J,match($A999,extra_muscle!$A:$A,0)))</f>
        <v>N</v>
      </c>
      <c r="L999" s="59" t="str">
        <f t="array" ref="L999">iferror(index(dna!$G:$G,match($A999,dna!$A:$A,0)))</f>
        <v>BDN3-74</v>
      </c>
      <c r="M999" s="60" t="str">
        <f t="array" ref="M999">iferror(index(dna!$J:$J,match($A999,dna!$A:$A,0)))</f>
        <v>N</v>
      </c>
      <c r="N999" t="str">
        <f t="array" ref="N999">iferror(index(stomachs!$G:$G,match($A999,stomachs!$A:$A,0)))</f>
        <v/>
      </c>
      <c r="O999" t="str">
        <f t="array" ref="O999">iferror(index(stomachs!$J:$J,match($A999,stomachs!$A:$A,0)))</f>
        <v/>
      </c>
      <c r="P999" t="str">
        <f t="array" ref="P999">iferror(index(sea_lice!$G:$G,match($A999,sea_lice!$A:$A,0)))</f>
        <v/>
      </c>
      <c r="Q999" t="str">
        <f t="array" ref="Q999">iferror(index(sea_lice!$J:$J,match($A999,sea_lice!$A:$A,0)))</f>
        <v/>
      </c>
      <c r="R999" s="40" t="str">
        <f t="array" ref="R999">iferror(index(dissected_fish!$F:$F,match($A999,dissected_fish!$A:$A,0)))</f>
        <v>BCA109</v>
      </c>
      <c r="S999" s="40" t="str">
        <f t="array" ref="S999">iferror(index(dissected_fish!$K:$K,match($A999,dissected_fish!$A:$A,0)))</f>
        <v>N</v>
      </c>
      <c r="T999" s="61" t="str">
        <f t="array" ref="T999">index(fish_lab_data!O:O,match(A999,fish_lab_data!C:C,0))</f>
        <v>KB</v>
      </c>
      <c r="U999" s="61">
        <f t="array" ref="U999">if(A999="","",index(fish_lab_data!X:X,match(A999,fish_lab_data!C:C,0)))</f>
        <v>998</v>
      </c>
    </row>
    <row r="1000">
      <c r="A1000" t="str">
        <f>fish_lab_data!C1000</f>
        <v>U16604</v>
      </c>
      <c r="B1000" t="str">
        <f t="array" ref="B1000">iferror(index('rna-muscle'!$I:$I,match($A1000,'rna-muscle'!$A:$A,0)))</f>
        <v>BRN71M-A8</v>
      </c>
      <c r="C1000" t="str">
        <f t="array" ref="C1000">iferror(index('rna-muscle'!$L:$L,match($A1000,'rna-muscle'!$A:$A,0)))</f>
        <v>N</v>
      </c>
      <c r="D1000" t="str">
        <f t="array" ref="D1000">iferror(index('rna-gill'!$I:$I,match($A1000,'rna-gill'!$A:$A,0)))</f>
        <v>BRN71G-A8</v>
      </c>
      <c r="E1000" t="str">
        <f t="array" ref="E1000">iferror(index('rna-gill'!$L:$L,match($A1000,'rna-gill'!$A:$A,0)))</f>
        <v>N</v>
      </c>
      <c r="F1000" t="str">
        <f t="array" ref="F1000">iferror(index(fatty_acid!$G:$G,match($A1000,fatty_acid!$A:$A,0)))</f>
        <v>BFA32-42</v>
      </c>
      <c r="G1000" t="str">
        <f t="array" ref="G1000">iferror(index(fatty_acid!$J:$J,match($A1000,fatty_acid!$A:$A,0)))</f>
        <v>N</v>
      </c>
      <c r="H1000" t="str">
        <f t="array" ref="H1000">iferror(index(isotopes!$G:$G,match($A1000,isotopes!$A:$A,0)))</f>
        <v>BIS35-42</v>
      </c>
      <c r="I1000" t="str">
        <f t="array" ref="I1000">iferror(index(isotopes!$J:$J,match($A1000,isotopes!$A:$A,0)))</f>
        <v>N</v>
      </c>
      <c r="J1000" t="str">
        <f t="array" ref="J1000">iferror(index(extra_muscle!$G:$G,match($A1000,extra_muscle!$A:$A,0)))</f>
        <v>BXM33-42</v>
      </c>
      <c r="K1000" t="str">
        <f t="array" ref="K1000">iferror(index(extra_muscle!$J:$J,match($A1000,extra_muscle!$A:$A,0)))</f>
        <v>N</v>
      </c>
      <c r="L1000" s="59" t="str">
        <f t="array" ref="L1000">iferror(index(dna!$G:$G,match($A1000,dna!$A:$A,0)))</f>
        <v>BDN3-75</v>
      </c>
      <c r="M1000" s="60" t="str">
        <f t="array" ref="M1000">iferror(index(dna!$J:$J,match($A1000,dna!$A:$A,0)))</f>
        <v>N</v>
      </c>
      <c r="N1000" t="str">
        <f t="array" ref="N1000">iferror(index(stomachs!$G:$G,match($A1000,stomachs!$A:$A,0)))</f>
        <v/>
      </c>
      <c r="O1000" t="str">
        <f t="array" ref="O1000">iferror(index(stomachs!$J:$J,match($A1000,stomachs!$A:$A,0)))</f>
        <v/>
      </c>
      <c r="P1000" t="str">
        <f t="array" ref="P1000">iferror(index(sea_lice!$G:$G,match($A1000,sea_lice!$A:$A,0)))</f>
        <v/>
      </c>
      <c r="Q1000" t="str">
        <f t="array" ref="Q1000">iferror(index(sea_lice!$J:$J,match($A1000,sea_lice!$A:$A,0)))</f>
        <v/>
      </c>
      <c r="R1000" s="40" t="str">
        <f t="array" ref="R1000">iferror(index(dissected_fish!$F:$F,match($A1000,dissected_fish!$A:$A,0)))</f>
        <v>BCA109</v>
      </c>
      <c r="S1000" s="40" t="str">
        <f t="array" ref="S1000">iferror(index(dissected_fish!$K:$K,match($A1000,dissected_fish!$A:$A,0)))</f>
        <v>N</v>
      </c>
      <c r="T1000" s="61" t="str">
        <f t="array" ref="T1000">index(fish_lab_data!O:O,match(A1000,fish_lab_data!C:C,0))</f>
        <v>KB</v>
      </c>
      <c r="U1000" s="61">
        <f t="array" ref="U1000">if(A1000="","",index(fish_lab_data!X:X,match(A1000,fish_lab_data!C:C,0)))</f>
        <v>999</v>
      </c>
    </row>
    <row r="1001">
      <c r="A1001" t="str">
        <f>fish_lab_data!C1001</f>
        <v>U16606</v>
      </c>
      <c r="B1001" t="str">
        <f t="array" ref="B1001">iferror(index('rna-muscle'!$I:$I,match($A1001,'rna-muscle'!$A:$A,0)))</f>
        <v>BRN71M-H9</v>
      </c>
      <c r="C1001" t="str">
        <f t="array" ref="C1001">iferror(index('rna-muscle'!$L:$L,match($A1001,'rna-muscle'!$A:$A,0)))</f>
        <v>N</v>
      </c>
      <c r="D1001" t="str">
        <f t="array" ref="D1001">iferror(index('rna-gill'!$I:$I,match($A1001,'rna-gill'!$A:$A,0)))</f>
        <v>BRN71G-H9</v>
      </c>
      <c r="E1001" t="str">
        <f t="array" ref="E1001">iferror(index('rna-gill'!$L:$L,match($A1001,'rna-gill'!$A:$A,0)))</f>
        <v>N</v>
      </c>
      <c r="F1001" t="str">
        <f t="array" ref="F1001">iferror(index(fatty_acid!$G:$G,match($A1001,fatty_acid!$A:$A,0)))</f>
        <v>BFA32-43</v>
      </c>
      <c r="G1001" t="str">
        <f t="array" ref="G1001">iferror(index(fatty_acid!$J:$J,match($A1001,fatty_acid!$A:$A,0)))</f>
        <v>N</v>
      </c>
      <c r="H1001" t="str">
        <f t="array" ref="H1001">iferror(index(isotopes!$G:$G,match($A1001,isotopes!$A:$A,0)))</f>
        <v>BIS35-43</v>
      </c>
      <c r="I1001" t="str">
        <f t="array" ref="I1001">iferror(index(isotopes!$J:$J,match($A1001,isotopes!$A:$A,0)))</f>
        <v>N</v>
      </c>
      <c r="J1001" t="str">
        <f t="array" ref="J1001">iferror(index(extra_muscle!$G:$G,match($A1001,extra_muscle!$A:$A,0)))</f>
        <v>BXM33-43</v>
      </c>
      <c r="K1001" t="str">
        <f t="array" ref="K1001">iferror(index(extra_muscle!$J:$J,match($A1001,extra_muscle!$A:$A,0)))</f>
        <v>N</v>
      </c>
      <c r="L1001" s="59" t="str">
        <f t="array" ref="L1001">iferror(index(dna!$G:$G,match($A1001,dna!$A:$A,0)))</f>
        <v>BDN3-76</v>
      </c>
      <c r="M1001" s="60" t="str">
        <f t="array" ref="M1001">iferror(index(dna!$J:$J,match($A1001,dna!$A:$A,0)))</f>
        <v>N</v>
      </c>
      <c r="N1001" t="str">
        <f t="array" ref="N1001">iferror(index(stomachs!$G:$G,match($A1001,stomachs!$A:$A,0)))</f>
        <v/>
      </c>
      <c r="O1001" t="str">
        <f t="array" ref="O1001">iferror(index(stomachs!$J:$J,match($A1001,stomachs!$A:$A,0)))</f>
        <v/>
      </c>
      <c r="P1001" t="str">
        <f t="array" ref="P1001">iferror(index(sea_lice!$G:$G,match($A1001,sea_lice!$A:$A,0)))</f>
        <v/>
      </c>
      <c r="Q1001" t="str">
        <f t="array" ref="Q1001">iferror(index(sea_lice!$J:$J,match($A1001,sea_lice!$A:$A,0)))</f>
        <v/>
      </c>
      <c r="R1001" s="40" t="str">
        <f t="array" ref="R1001">iferror(index(dissected_fish!$F:$F,match($A1001,dissected_fish!$A:$A,0)))</f>
        <v>BCA109</v>
      </c>
      <c r="S1001" s="40" t="str">
        <f t="array" ref="S1001">iferror(index(dissected_fish!$K:$K,match($A1001,dissected_fish!$A:$A,0)))</f>
        <v>N</v>
      </c>
      <c r="T1001" s="61" t="str">
        <f t="array" ref="T1001">index(fish_lab_data!O:O,match(A1001,fish_lab_data!C:C,0))</f>
        <v>KB</v>
      </c>
      <c r="U1001" s="61">
        <f t="array" ref="U1001">if(A1001="","",index(fish_lab_data!X:X,match(A1001,fish_lab_data!C:C,0)))</f>
        <v>1000</v>
      </c>
    </row>
    <row r="1002">
      <c r="A1002" t="str">
        <f>fish_lab_data!C1002</f>
        <v>U16603</v>
      </c>
      <c r="B1002" t="str">
        <f t="array" ref="B1002">iferror(index('rna-muscle'!$I:$I,match($A1002,'rna-muscle'!$A:$A,0)))</f>
        <v>BRN71M-G9</v>
      </c>
      <c r="C1002" t="str">
        <f t="array" ref="C1002">iferror(index('rna-muscle'!$L:$L,match($A1002,'rna-muscle'!$A:$A,0)))</f>
        <v>N</v>
      </c>
      <c r="D1002" t="str">
        <f t="array" ref="D1002">iferror(index('rna-gill'!$I:$I,match($A1002,'rna-gill'!$A:$A,0)))</f>
        <v>BRN71G-G9</v>
      </c>
      <c r="E1002" t="str">
        <f t="array" ref="E1002">iferror(index('rna-gill'!$L:$L,match($A1002,'rna-gill'!$A:$A,0)))</f>
        <v>N</v>
      </c>
      <c r="F1002" t="str">
        <f t="array" ref="F1002">iferror(index(fatty_acid!$G:$G,match($A1002,fatty_acid!$A:$A,0)))</f>
        <v>BFA32-44</v>
      </c>
      <c r="G1002" t="str">
        <f t="array" ref="G1002">iferror(index(fatty_acid!$J:$J,match($A1002,fatty_acid!$A:$A,0)))</f>
        <v>N</v>
      </c>
      <c r="H1002" t="str">
        <f t="array" ref="H1002">iferror(index(isotopes!$G:$G,match($A1002,isotopes!$A:$A,0)))</f>
        <v>BIS35-44</v>
      </c>
      <c r="I1002" t="str">
        <f t="array" ref="I1002">iferror(index(isotopes!$J:$J,match($A1002,isotopes!$A:$A,0)))</f>
        <v>N</v>
      </c>
      <c r="J1002" t="str">
        <f t="array" ref="J1002">iferror(index(extra_muscle!$G:$G,match($A1002,extra_muscle!$A:$A,0)))</f>
        <v>BXM33-44</v>
      </c>
      <c r="K1002" t="str">
        <f t="array" ref="K1002">iferror(index(extra_muscle!$J:$J,match($A1002,extra_muscle!$A:$A,0)))</f>
        <v>N</v>
      </c>
      <c r="L1002" s="59" t="str">
        <f t="array" ref="L1002">iferror(index(dna!$G:$G,match($A1002,dna!$A:$A,0)))</f>
        <v>BDN3-77</v>
      </c>
      <c r="M1002" s="60" t="str">
        <f t="array" ref="M1002">iferror(index(dna!$J:$J,match($A1002,dna!$A:$A,0)))</f>
        <v>N</v>
      </c>
      <c r="N1002" t="str">
        <f t="array" ref="N1002">iferror(index(stomachs!$G:$G,match($A1002,stomachs!$A:$A,0)))</f>
        <v/>
      </c>
      <c r="O1002" t="str">
        <f t="array" ref="O1002">iferror(index(stomachs!$J:$J,match($A1002,stomachs!$A:$A,0)))</f>
        <v/>
      </c>
      <c r="P1002" t="str">
        <f t="array" ref="P1002">iferror(index(sea_lice!$G:$G,match($A1002,sea_lice!$A:$A,0)))</f>
        <v/>
      </c>
      <c r="Q1002" t="str">
        <f t="array" ref="Q1002">iferror(index(sea_lice!$J:$J,match($A1002,sea_lice!$A:$A,0)))</f>
        <v/>
      </c>
      <c r="R1002" s="40" t="str">
        <f t="array" ref="R1002">iferror(index(dissected_fish!$F:$F,match($A1002,dissected_fish!$A:$A,0)))</f>
        <v>BCA109</v>
      </c>
      <c r="S1002" s="40" t="str">
        <f t="array" ref="S1002">iferror(index(dissected_fish!$K:$K,match($A1002,dissected_fish!$A:$A,0)))</f>
        <v>N</v>
      </c>
      <c r="T1002" s="61" t="str">
        <f t="array" ref="T1002">index(fish_lab_data!O:O,match(A1002,fish_lab_data!C:C,0))</f>
        <v>KB</v>
      </c>
      <c r="U1002" s="61">
        <f t="array" ref="U1002">if(A1002="","",index(fish_lab_data!X:X,match(A1002,fish_lab_data!C:C,0)))</f>
        <v>1001</v>
      </c>
    </row>
    <row r="1003">
      <c r="A1003" t="str">
        <f>fish_lab_data!C1003</f>
        <v>U16609</v>
      </c>
      <c r="B1003" t="str">
        <f t="array" ref="B1003">iferror(index('rna-muscle'!$I:$I,match($A1003,'rna-muscle'!$A:$A,0)))</f>
        <v>BRN71M-F9</v>
      </c>
      <c r="C1003" t="str">
        <f t="array" ref="C1003">iferror(index('rna-muscle'!$L:$L,match($A1003,'rna-muscle'!$A:$A,0)))</f>
        <v>N</v>
      </c>
      <c r="D1003" t="str">
        <f t="array" ref="D1003">iferror(index('rna-gill'!$I:$I,match($A1003,'rna-gill'!$A:$A,0)))</f>
        <v>BRN71G-F9</v>
      </c>
      <c r="E1003" t="str">
        <f t="array" ref="E1003">iferror(index('rna-gill'!$L:$L,match($A1003,'rna-gill'!$A:$A,0)))</f>
        <v>N</v>
      </c>
      <c r="F1003" t="str">
        <f t="array" ref="F1003">iferror(index(fatty_acid!$G:$G,match($A1003,fatty_acid!$A:$A,0)))</f>
        <v>BFA32-45</v>
      </c>
      <c r="G1003" t="str">
        <f t="array" ref="G1003">iferror(index(fatty_acid!$J:$J,match($A1003,fatty_acid!$A:$A,0)))</f>
        <v>N</v>
      </c>
      <c r="H1003" t="str">
        <f t="array" ref="H1003">iferror(index(isotopes!$G:$G,match($A1003,isotopes!$A:$A,0)))</f>
        <v>BIS35-45</v>
      </c>
      <c r="I1003" t="str">
        <f t="array" ref="I1003">iferror(index(isotopes!$J:$J,match($A1003,isotopes!$A:$A,0)))</f>
        <v>N</v>
      </c>
      <c r="J1003" t="str">
        <f t="array" ref="J1003">iferror(index(extra_muscle!$G:$G,match($A1003,extra_muscle!$A:$A,0)))</f>
        <v>BXM33-45</v>
      </c>
      <c r="K1003" t="str">
        <f t="array" ref="K1003">iferror(index(extra_muscle!$J:$J,match($A1003,extra_muscle!$A:$A,0)))</f>
        <v>N</v>
      </c>
      <c r="L1003" s="59" t="str">
        <f t="array" ref="L1003">iferror(index(dna!$G:$G,match($A1003,dna!$A:$A,0)))</f>
        <v>BDN3-78</v>
      </c>
      <c r="M1003" s="60" t="str">
        <f t="array" ref="M1003">iferror(index(dna!$J:$J,match($A1003,dna!$A:$A,0)))</f>
        <v>N</v>
      </c>
      <c r="N1003" t="str">
        <f t="array" ref="N1003">iferror(index(stomachs!$G:$G,match($A1003,stomachs!$A:$A,0)))</f>
        <v/>
      </c>
      <c r="O1003" t="str">
        <f t="array" ref="O1003">iferror(index(stomachs!$J:$J,match($A1003,stomachs!$A:$A,0)))</f>
        <v/>
      </c>
      <c r="P1003" t="str">
        <f t="array" ref="P1003">iferror(index(sea_lice!$G:$G,match($A1003,sea_lice!$A:$A,0)))</f>
        <v/>
      </c>
      <c r="Q1003" t="str">
        <f t="array" ref="Q1003">iferror(index(sea_lice!$J:$J,match($A1003,sea_lice!$A:$A,0)))</f>
        <v/>
      </c>
      <c r="R1003" s="40" t="str">
        <f t="array" ref="R1003">iferror(index(dissected_fish!$F:$F,match($A1003,dissected_fish!$A:$A,0)))</f>
        <v>BCA109</v>
      </c>
      <c r="S1003" s="40" t="str">
        <f t="array" ref="S1003">iferror(index(dissected_fish!$K:$K,match($A1003,dissected_fish!$A:$A,0)))</f>
        <v>N</v>
      </c>
      <c r="T1003" s="61" t="str">
        <f t="array" ref="T1003">index(fish_lab_data!O:O,match(A1003,fish_lab_data!C:C,0))</f>
        <v>KB</v>
      </c>
      <c r="U1003" s="61">
        <f t="array" ref="U1003">if(A1003="","",index(fish_lab_data!X:X,match(A1003,fish_lab_data!C:C,0)))</f>
        <v>1002</v>
      </c>
    </row>
    <row r="1004">
      <c r="A1004" t="str">
        <f>fish_lab_data!C1004</f>
        <v>U16607</v>
      </c>
      <c r="B1004" t="str">
        <f t="array" ref="B1004">iferror(index('rna-muscle'!$I:$I,match($A1004,'rna-muscle'!$A:$A,0)))</f>
        <v>BRN71M-E9</v>
      </c>
      <c r="C1004" t="str">
        <f t="array" ref="C1004">iferror(index('rna-muscle'!$L:$L,match($A1004,'rna-muscle'!$A:$A,0)))</f>
        <v>N</v>
      </c>
      <c r="D1004" t="str">
        <f t="array" ref="D1004">iferror(index('rna-gill'!$I:$I,match($A1004,'rna-gill'!$A:$A,0)))</f>
        <v>BRN71G-E9</v>
      </c>
      <c r="E1004" t="str">
        <f t="array" ref="E1004">iferror(index('rna-gill'!$L:$L,match($A1004,'rna-gill'!$A:$A,0)))</f>
        <v>N</v>
      </c>
      <c r="F1004" t="str">
        <f t="array" ref="F1004">iferror(index(fatty_acid!$G:$G,match($A1004,fatty_acid!$A:$A,0)))</f>
        <v>BFA32-46</v>
      </c>
      <c r="G1004" t="str">
        <f t="array" ref="G1004">iferror(index(fatty_acid!$J:$J,match($A1004,fatty_acid!$A:$A,0)))</f>
        <v>N</v>
      </c>
      <c r="H1004" t="str">
        <f t="array" ref="H1004">iferror(index(isotopes!$G:$G,match($A1004,isotopes!$A:$A,0)))</f>
        <v>BIS35-46</v>
      </c>
      <c r="I1004" t="str">
        <f t="array" ref="I1004">iferror(index(isotopes!$J:$J,match($A1004,isotopes!$A:$A,0)))</f>
        <v>N</v>
      </c>
      <c r="J1004" t="str">
        <f t="array" ref="J1004">iferror(index(extra_muscle!$G:$G,match($A1004,extra_muscle!$A:$A,0)))</f>
        <v>BXM33-46</v>
      </c>
      <c r="K1004" t="str">
        <f t="array" ref="K1004">iferror(index(extra_muscle!$J:$J,match($A1004,extra_muscle!$A:$A,0)))</f>
        <v>N</v>
      </c>
      <c r="L1004" s="59" t="str">
        <f t="array" ref="L1004">iferror(index(dna!$G:$G,match($A1004,dna!$A:$A,0)))</f>
        <v>BDN3-79</v>
      </c>
      <c r="M1004" s="60" t="str">
        <f t="array" ref="M1004">iferror(index(dna!$J:$J,match($A1004,dna!$A:$A,0)))</f>
        <v>N</v>
      </c>
      <c r="N1004" t="str">
        <f t="array" ref="N1004">iferror(index(stomachs!$G:$G,match($A1004,stomachs!$A:$A,0)))</f>
        <v/>
      </c>
      <c r="O1004" t="str">
        <f t="array" ref="O1004">iferror(index(stomachs!$J:$J,match($A1004,stomachs!$A:$A,0)))</f>
        <v/>
      </c>
      <c r="P1004" t="str">
        <f t="array" ref="P1004">iferror(index(sea_lice!$G:$G,match($A1004,sea_lice!$A:$A,0)))</f>
        <v/>
      </c>
      <c r="Q1004" t="str">
        <f t="array" ref="Q1004">iferror(index(sea_lice!$J:$J,match($A1004,sea_lice!$A:$A,0)))</f>
        <v/>
      </c>
      <c r="R1004" s="40" t="str">
        <f t="array" ref="R1004">iferror(index(dissected_fish!$F:$F,match($A1004,dissected_fish!$A:$A,0)))</f>
        <v>BCA109</v>
      </c>
      <c r="S1004" s="40" t="str">
        <f t="array" ref="S1004">iferror(index(dissected_fish!$K:$K,match($A1004,dissected_fish!$A:$A,0)))</f>
        <v>N</v>
      </c>
      <c r="T1004" s="61" t="str">
        <f t="array" ref="T1004">index(fish_lab_data!O:O,match(A1004,fish_lab_data!C:C,0))</f>
        <v>KB</v>
      </c>
      <c r="U1004" s="61">
        <f t="array" ref="U1004">if(A1004="","",index(fish_lab_data!X:X,match(A1004,fish_lab_data!C:C,0)))</f>
        <v>1003</v>
      </c>
    </row>
    <row r="1005">
      <c r="A1005" t="str">
        <f>fish_lab_data!C1005</f>
        <v>U16981</v>
      </c>
      <c r="B1005" t="str">
        <f t="array" ref="B1005">iferror(index('rna-muscle'!$I:$I,match($A1005,'rna-muscle'!$A:$A,0)))</f>
        <v>BRN71M-D9</v>
      </c>
      <c r="C1005" t="str">
        <f t="array" ref="C1005">iferror(index('rna-muscle'!$L:$L,match($A1005,'rna-muscle'!$A:$A,0)))</f>
        <v>N</v>
      </c>
      <c r="D1005" t="str">
        <f t="array" ref="D1005">iferror(index('rna-gill'!$I:$I,match($A1005,'rna-gill'!$A:$A,0)))</f>
        <v>BRN71G-D9</v>
      </c>
      <c r="E1005" t="str">
        <f t="array" ref="E1005">iferror(index('rna-gill'!$L:$L,match($A1005,'rna-gill'!$A:$A,0)))</f>
        <v>N</v>
      </c>
      <c r="F1005" t="str">
        <f t="array" ref="F1005">iferror(index(fatty_acid!$G:$G,match($A1005,fatty_acid!$A:$A,0)))</f>
        <v>BFA32-47</v>
      </c>
      <c r="G1005" t="str">
        <f t="array" ref="G1005">iferror(index(fatty_acid!$J:$J,match($A1005,fatty_acid!$A:$A,0)))</f>
        <v>N</v>
      </c>
      <c r="H1005" t="str">
        <f t="array" ref="H1005">iferror(index(isotopes!$G:$G,match($A1005,isotopes!$A:$A,0)))</f>
        <v>BIS35-47</v>
      </c>
      <c r="I1005" t="str">
        <f t="array" ref="I1005">iferror(index(isotopes!$J:$J,match($A1005,isotopes!$A:$A,0)))</f>
        <v>N</v>
      </c>
      <c r="J1005" t="str">
        <f t="array" ref="J1005">iferror(index(extra_muscle!$G:$G,match($A1005,extra_muscle!$A:$A,0)))</f>
        <v>BXM33-47</v>
      </c>
      <c r="K1005" t="str">
        <f t="array" ref="K1005">iferror(index(extra_muscle!$J:$J,match($A1005,extra_muscle!$A:$A,0)))</f>
        <v>N</v>
      </c>
      <c r="L1005" s="59" t="str">
        <f t="array" ref="L1005">iferror(index(dna!$G:$G,match($A1005,dna!$A:$A,0)))</f>
        <v>BDN3-80</v>
      </c>
      <c r="M1005" s="60" t="str">
        <f t="array" ref="M1005">iferror(index(dna!$J:$J,match($A1005,dna!$A:$A,0)))</f>
        <v>N</v>
      </c>
      <c r="N1005" t="str">
        <f t="array" ref="N1005">iferror(index(stomachs!$G:$G,match($A1005,stomachs!$A:$A,0)))</f>
        <v/>
      </c>
      <c r="O1005" t="str">
        <f t="array" ref="O1005">iferror(index(stomachs!$J:$J,match($A1005,stomachs!$A:$A,0)))</f>
        <v/>
      </c>
      <c r="P1005" t="str">
        <f t="array" ref="P1005">iferror(index(sea_lice!$G:$G,match($A1005,sea_lice!$A:$A,0)))</f>
        <v>BSL7-29</v>
      </c>
      <c r="Q1005" t="str">
        <f t="array" ref="Q1005">iferror(index(sea_lice!$J:$J,match($A1005,sea_lice!$A:$A,0)))</f>
        <v>N</v>
      </c>
      <c r="R1005" s="40" t="str">
        <f t="array" ref="R1005">iferror(index(dissected_fish!$F:$F,match($A1005,dissected_fish!$A:$A,0)))</f>
        <v>BCA109</v>
      </c>
      <c r="S1005" s="40" t="str">
        <f t="array" ref="S1005">iferror(index(dissected_fish!$K:$K,match($A1005,dissected_fish!$A:$A,0)))</f>
        <v>N</v>
      </c>
      <c r="T1005" s="61" t="str">
        <f t="array" ref="T1005">index(fish_lab_data!O:O,match(A1005,fish_lab_data!C:C,0))</f>
        <v>KB</v>
      </c>
      <c r="U1005" s="61">
        <f t="array" ref="U1005">if(A1005="","",index(fish_lab_data!X:X,match(A1005,fish_lab_data!C:C,0)))</f>
        <v>1004</v>
      </c>
    </row>
    <row r="1006">
      <c r="A1006" t="str">
        <f>fish_lab_data!C1006</f>
        <v>U16982</v>
      </c>
      <c r="B1006" t="str">
        <f t="array" ref="B1006">iferror(index('rna-muscle'!$I:$I,match($A1006,'rna-muscle'!$A:$A,0)))</f>
        <v>BRN71M-C9</v>
      </c>
      <c r="C1006" t="str">
        <f t="array" ref="C1006">iferror(index('rna-muscle'!$L:$L,match($A1006,'rna-muscle'!$A:$A,0)))</f>
        <v>N</v>
      </c>
      <c r="D1006" t="str">
        <f t="array" ref="D1006">iferror(index('rna-gill'!$I:$I,match($A1006,'rna-gill'!$A:$A,0)))</f>
        <v>BRN71G-C9</v>
      </c>
      <c r="E1006" t="str">
        <f t="array" ref="E1006">iferror(index('rna-gill'!$L:$L,match($A1006,'rna-gill'!$A:$A,0)))</f>
        <v>N</v>
      </c>
      <c r="F1006" t="str">
        <f t="array" ref="F1006">iferror(index(fatty_acid!$G:$G,match($A1006,fatty_acid!$A:$A,0)))</f>
        <v>BFA32-48</v>
      </c>
      <c r="G1006" t="str">
        <f t="array" ref="G1006">iferror(index(fatty_acid!$J:$J,match($A1006,fatty_acid!$A:$A,0)))</f>
        <v>N</v>
      </c>
      <c r="H1006" t="str">
        <f t="array" ref="H1006">iferror(index(isotopes!$G:$G,match($A1006,isotopes!$A:$A,0)))</f>
        <v>BIS35-48</v>
      </c>
      <c r="I1006" t="str">
        <f t="array" ref="I1006">iferror(index(isotopes!$J:$J,match($A1006,isotopes!$A:$A,0)))</f>
        <v>N</v>
      </c>
      <c r="J1006" t="str">
        <f t="array" ref="J1006">iferror(index(extra_muscle!$G:$G,match($A1006,extra_muscle!$A:$A,0)))</f>
        <v>BXM33-48</v>
      </c>
      <c r="K1006" t="str">
        <f t="array" ref="K1006">iferror(index(extra_muscle!$J:$J,match($A1006,extra_muscle!$A:$A,0)))</f>
        <v>N</v>
      </c>
      <c r="L1006" s="59" t="str">
        <f t="array" ref="L1006">iferror(index(dna!$G:$G,match($A1006,dna!$A:$A,0)))</f>
        <v>BDN3-81</v>
      </c>
      <c r="M1006" s="60" t="str">
        <f t="array" ref="M1006">iferror(index(dna!$J:$J,match($A1006,dna!$A:$A,0)))</f>
        <v>N</v>
      </c>
      <c r="N1006" t="str">
        <f t="array" ref="N1006">iferror(index(stomachs!$G:$G,match($A1006,stomachs!$A:$A,0)))</f>
        <v/>
      </c>
      <c r="O1006" t="str">
        <f t="array" ref="O1006">iferror(index(stomachs!$J:$J,match($A1006,stomachs!$A:$A,0)))</f>
        <v/>
      </c>
      <c r="P1006" t="str">
        <f t="array" ref="P1006">iferror(index(sea_lice!$G:$G,match($A1006,sea_lice!$A:$A,0)))</f>
        <v/>
      </c>
      <c r="Q1006" t="str">
        <f t="array" ref="Q1006">iferror(index(sea_lice!$J:$J,match($A1006,sea_lice!$A:$A,0)))</f>
        <v/>
      </c>
      <c r="R1006" s="40" t="str">
        <f t="array" ref="R1006">iferror(index(dissected_fish!$F:$F,match($A1006,dissected_fish!$A:$A,0)))</f>
        <v>BCA109</v>
      </c>
      <c r="S1006" s="40" t="str">
        <f t="array" ref="S1006">iferror(index(dissected_fish!$K:$K,match($A1006,dissected_fish!$A:$A,0)))</f>
        <v>N</v>
      </c>
      <c r="T1006" s="61" t="str">
        <f t="array" ref="T1006">index(fish_lab_data!O:O,match(A1006,fish_lab_data!C:C,0))</f>
        <v>KB</v>
      </c>
      <c r="U1006" s="61">
        <f t="array" ref="U1006">if(A1006="","",index(fish_lab_data!X:X,match(A1006,fish_lab_data!C:C,0)))</f>
        <v>1005</v>
      </c>
    </row>
    <row r="1007">
      <c r="A1007" t="str">
        <f>fish_lab_data!C1007</f>
        <v>U16983</v>
      </c>
      <c r="B1007" t="str">
        <f t="array" ref="B1007">iferror(index('rna-muscle'!$I:$I,match($A1007,'rna-muscle'!$A:$A,0)))</f>
        <v>BRN71M-B9</v>
      </c>
      <c r="C1007" t="str">
        <f t="array" ref="C1007">iferror(index('rna-muscle'!$L:$L,match($A1007,'rna-muscle'!$A:$A,0)))</f>
        <v>N</v>
      </c>
      <c r="D1007" t="str">
        <f t="array" ref="D1007">iferror(index('rna-gill'!$I:$I,match($A1007,'rna-gill'!$A:$A,0)))</f>
        <v>BRN71G-B9</v>
      </c>
      <c r="E1007" t="str">
        <f t="array" ref="E1007">iferror(index('rna-gill'!$L:$L,match($A1007,'rna-gill'!$A:$A,0)))</f>
        <v>N</v>
      </c>
      <c r="F1007" t="str">
        <f t="array" ref="F1007">iferror(index(fatty_acid!$G:$G,match($A1007,fatty_acid!$A:$A,0)))</f>
        <v>BFA32-49</v>
      </c>
      <c r="G1007" t="str">
        <f t="array" ref="G1007">iferror(index(fatty_acid!$J:$J,match($A1007,fatty_acid!$A:$A,0)))</f>
        <v>N</v>
      </c>
      <c r="H1007" t="str">
        <f t="array" ref="H1007">iferror(index(isotopes!$G:$G,match($A1007,isotopes!$A:$A,0)))</f>
        <v>BIS35-49</v>
      </c>
      <c r="I1007" t="str">
        <f t="array" ref="I1007">iferror(index(isotopes!$J:$J,match($A1007,isotopes!$A:$A,0)))</f>
        <v>N</v>
      </c>
      <c r="J1007" t="str">
        <f t="array" ref="J1007">iferror(index(extra_muscle!$G:$G,match($A1007,extra_muscle!$A:$A,0)))</f>
        <v>BXM33-49</v>
      </c>
      <c r="K1007" t="str">
        <f t="array" ref="K1007">iferror(index(extra_muscle!$J:$J,match($A1007,extra_muscle!$A:$A,0)))</f>
        <v>N</v>
      </c>
      <c r="L1007" s="59" t="str">
        <f t="array" ref="L1007">iferror(index(dna!$G:$G,match($A1007,dna!$A:$A,0)))</f>
        <v>BDN3-82</v>
      </c>
      <c r="M1007" s="60" t="str">
        <f t="array" ref="M1007">iferror(index(dna!$J:$J,match($A1007,dna!$A:$A,0)))</f>
        <v>N</v>
      </c>
      <c r="N1007" t="str">
        <f t="array" ref="N1007">iferror(index(stomachs!$G:$G,match($A1007,stomachs!$A:$A,0)))</f>
        <v/>
      </c>
      <c r="O1007" t="str">
        <f t="array" ref="O1007">iferror(index(stomachs!$J:$J,match($A1007,stomachs!$A:$A,0)))</f>
        <v/>
      </c>
      <c r="P1007" t="str">
        <f t="array" ref="P1007">iferror(index(sea_lice!$G:$G,match($A1007,sea_lice!$A:$A,0)))</f>
        <v>BSL7-30</v>
      </c>
      <c r="Q1007" t="str">
        <f t="array" ref="Q1007">iferror(index(sea_lice!$J:$J,match($A1007,sea_lice!$A:$A,0)))</f>
        <v>N</v>
      </c>
      <c r="R1007" s="40" t="str">
        <f t="array" ref="R1007">iferror(index(dissected_fish!$F:$F,match($A1007,dissected_fish!$A:$A,0)))</f>
        <v>BCA109</v>
      </c>
      <c r="S1007" s="40" t="str">
        <f t="array" ref="S1007">iferror(index(dissected_fish!$K:$K,match($A1007,dissected_fish!$A:$A,0)))</f>
        <v>N</v>
      </c>
      <c r="T1007" s="61" t="str">
        <f t="array" ref="T1007">index(fish_lab_data!O:O,match(A1007,fish_lab_data!C:C,0))</f>
        <v>KB</v>
      </c>
      <c r="U1007" s="61">
        <f t="array" ref="U1007">if(A1007="","",index(fish_lab_data!X:X,match(A1007,fish_lab_data!C:C,0)))</f>
        <v>1006</v>
      </c>
    </row>
    <row r="1008">
      <c r="A1008" t="str">
        <f>fish_lab_data!C1008</f>
        <v>U16984</v>
      </c>
      <c r="B1008" t="str">
        <f t="array" ref="B1008">iferror(index('rna-muscle'!$I:$I,match($A1008,'rna-muscle'!$A:$A,0)))</f>
        <v>BRN71M-A9</v>
      </c>
      <c r="C1008" t="str">
        <f t="array" ref="C1008">iferror(index('rna-muscle'!$L:$L,match($A1008,'rna-muscle'!$A:$A,0)))</f>
        <v>N</v>
      </c>
      <c r="D1008" t="str">
        <f t="array" ref="D1008">iferror(index('rna-gill'!$I:$I,match($A1008,'rna-gill'!$A:$A,0)))</f>
        <v>BRN71G-A9</v>
      </c>
      <c r="E1008" t="str">
        <f t="array" ref="E1008">iferror(index('rna-gill'!$L:$L,match($A1008,'rna-gill'!$A:$A,0)))</f>
        <v>N</v>
      </c>
      <c r="F1008" t="str">
        <f t="array" ref="F1008">iferror(index(fatty_acid!$G:$G,match($A1008,fatty_acid!$A:$A,0)))</f>
        <v>BFA32-50</v>
      </c>
      <c r="G1008" t="str">
        <f t="array" ref="G1008">iferror(index(fatty_acid!$J:$J,match($A1008,fatty_acid!$A:$A,0)))</f>
        <v>N</v>
      </c>
      <c r="H1008" t="str">
        <f t="array" ref="H1008">iferror(index(isotopes!$G:$G,match($A1008,isotopes!$A:$A,0)))</f>
        <v>BIS35-50</v>
      </c>
      <c r="I1008" t="str">
        <f t="array" ref="I1008">iferror(index(isotopes!$J:$J,match($A1008,isotopes!$A:$A,0)))</f>
        <v>N</v>
      </c>
      <c r="J1008" t="str">
        <f t="array" ref="J1008">iferror(index(extra_muscle!$G:$G,match($A1008,extra_muscle!$A:$A,0)))</f>
        <v>BXM33-50</v>
      </c>
      <c r="K1008" t="str">
        <f t="array" ref="K1008">iferror(index(extra_muscle!$J:$J,match($A1008,extra_muscle!$A:$A,0)))</f>
        <v>N</v>
      </c>
      <c r="L1008" s="59" t="str">
        <f t="array" ref="L1008">iferror(index(dna!$G:$G,match($A1008,dna!$A:$A,0)))</f>
        <v>BDN3-83</v>
      </c>
      <c r="M1008" s="60" t="str">
        <f t="array" ref="M1008">iferror(index(dna!$J:$J,match($A1008,dna!$A:$A,0)))</f>
        <v>N</v>
      </c>
      <c r="N1008" t="str">
        <f t="array" ref="N1008">iferror(index(stomachs!$G:$G,match($A1008,stomachs!$A:$A,0)))</f>
        <v/>
      </c>
      <c r="O1008" t="str">
        <f t="array" ref="O1008">iferror(index(stomachs!$J:$J,match($A1008,stomachs!$A:$A,0)))</f>
        <v/>
      </c>
      <c r="P1008" t="str">
        <f t="array" ref="P1008">iferror(index(sea_lice!$G:$G,match($A1008,sea_lice!$A:$A,0)))</f>
        <v>BSL7-31</v>
      </c>
      <c r="Q1008" t="str">
        <f t="array" ref="Q1008">iferror(index(sea_lice!$J:$J,match($A1008,sea_lice!$A:$A,0)))</f>
        <v>N</v>
      </c>
      <c r="R1008" s="40" t="str">
        <f t="array" ref="R1008">iferror(index(dissected_fish!$F:$F,match($A1008,dissected_fish!$A:$A,0)))</f>
        <v>BCA109</v>
      </c>
      <c r="S1008" s="40" t="str">
        <f t="array" ref="S1008">iferror(index(dissected_fish!$K:$K,match($A1008,dissected_fish!$A:$A,0)))</f>
        <v>N</v>
      </c>
      <c r="T1008" s="61" t="str">
        <f t="array" ref="T1008">index(fish_lab_data!O:O,match(A1008,fish_lab_data!C:C,0))</f>
        <v>KB</v>
      </c>
      <c r="U1008" s="61">
        <f t="array" ref="U1008">if(A1008="","",index(fish_lab_data!X:X,match(A1008,fish_lab_data!C:C,0)))</f>
        <v>1007</v>
      </c>
    </row>
    <row r="1009">
      <c r="A1009" t="str">
        <f>fish_lab_data!C1009</f>
        <v>U16989</v>
      </c>
      <c r="B1009" t="str">
        <f t="array" ref="B1009">iferror(index('rna-muscle'!$I:$I,match($A1009,'rna-muscle'!$A:$A,0)))</f>
        <v>BRN71M-H10</v>
      </c>
      <c r="C1009" t="str">
        <f t="array" ref="C1009">iferror(index('rna-muscle'!$L:$L,match($A1009,'rna-muscle'!$A:$A,0)))</f>
        <v>N</v>
      </c>
      <c r="D1009" t="str">
        <f t="array" ref="D1009">iferror(index('rna-gill'!$I:$I,match($A1009,'rna-gill'!$A:$A,0)))</f>
        <v>BRN71G-H10</v>
      </c>
      <c r="E1009" t="str">
        <f t="array" ref="E1009">iferror(index('rna-gill'!$L:$L,match($A1009,'rna-gill'!$A:$A,0)))</f>
        <v>N</v>
      </c>
      <c r="F1009" t="str">
        <f t="array" ref="F1009">iferror(index(fatty_acid!$G:$G,match($A1009,fatty_acid!$A:$A,0)))</f>
        <v>BFA32-51</v>
      </c>
      <c r="G1009" t="str">
        <f t="array" ref="G1009">iferror(index(fatty_acid!$J:$J,match($A1009,fatty_acid!$A:$A,0)))</f>
        <v>N</v>
      </c>
      <c r="H1009" t="str">
        <f t="array" ref="H1009">iferror(index(isotopes!$G:$G,match($A1009,isotopes!$A:$A,0)))</f>
        <v>BIS35-51</v>
      </c>
      <c r="I1009" t="str">
        <f t="array" ref="I1009">iferror(index(isotopes!$J:$J,match($A1009,isotopes!$A:$A,0)))</f>
        <v>N</v>
      </c>
      <c r="J1009" t="str">
        <f t="array" ref="J1009">iferror(index(extra_muscle!$G:$G,match($A1009,extra_muscle!$A:$A,0)))</f>
        <v>BXM33-51</v>
      </c>
      <c r="K1009" t="str">
        <f t="array" ref="K1009">iferror(index(extra_muscle!$J:$J,match($A1009,extra_muscle!$A:$A,0)))</f>
        <v>N</v>
      </c>
      <c r="L1009" s="59" t="str">
        <f t="array" ref="L1009">iferror(index(dna!$G:$G,match($A1009,dna!$A:$A,0)))</f>
        <v>BDN3-84</v>
      </c>
      <c r="M1009" s="60" t="str">
        <f t="array" ref="M1009">iferror(index(dna!$J:$J,match($A1009,dna!$A:$A,0)))</f>
        <v>N</v>
      </c>
      <c r="N1009" t="str">
        <f t="array" ref="N1009">iferror(index(stomachs!$G:$G,match($A1009,stomachs!$A:$A,0)))</f>
        <v/>
      </c>
      <c r="O1009" t="str">
        <f t="array" ref="O1009">iferror(index(stomachs!$J:$J,match($A1009,stomachs!$A:$A,0)))</f>
        <v/>
      </c>
      <c r="P1009" t="str">
        <f t="array" ref="P1009">iferror(index(sea_lice!$G:$G,match($A1009,sea_lice!$A:$A,0)))</f>
        <v/>
      </c>
      <c r="Q1009" t="str">
        <f t="array" ref="Q1009">iferror(index(sea_lice!$J:$J,match($A1009,sea_lice!$A:$A,0)))</f>
        <v/>
      </c>
      <c r="R1009" s="40" t="str">
        <f t="array" ref="R1009">iferror(index(dissected_fish!$F:$F,match($A1009,dissected_fish!$A:$A,0)))</f>
        <v>BCA109</v>
      </c>
      <c r="S1009" s="40" t="str">
        <f t="array" ref="S1009">iferror(index(dissected_fish!$K:$K,match($A1009,dissected_fish!$A:$A,0)))</f>
        <v>N</v>
      </c>
      <c r="T1009" s="61" t="str">
        <f t="array" ref="T1009">index(fish_lab_data!O:O,match(A1009,fish_lab_data!C:C,0))</f>
        <v>KB</v>
      </c>
      <c r="U1009" s="61">
        <f t="array" ref="U1009">if(A1009="","",index(fish_lab_data!X:X,match(A1009,fish_lab_data!C:C,0)))</f>
        <v>1008</v>
      </c>
    </row>
    <row r="1010">
      <c r="A1010" t="str">
        <f>fish_lab_data!C1010</f>
        <v>U16987</v>
      </c>
      <c r="B1010" t="str">
        <f t="array" ref="B1010">iferror(index('rna-muscle'!$I:$I,match($A1010,'rna-muscle'!$A:$A,0)))</f>
        <v>BRN71M-G10</v>
      </c>
      <c r="C1010" t="str">
        <f t="array" ref="C1010">iferror(index('rna-muscle'!$L:$L,match($A1010,'rna-muscle'!$A:$A,0)))</f>
        <v>N</v>
      </c>
      <c r="D1010" t="str">
        <f t="array" ref="D1010">iferror(index('rna-gill'!$I:$I,match($A1010,'rna-gill'!$A:$A,0)))</f>
        <v>BRN71G-G10</v>
      </c>
      <c r="E1010" t="str">
        <f t="array" ref="E1010">iferror(index('rna-gill'!$L:$L,match($A1010,'rna-gill'!$A:$A,0)))</f>
        <v>N</v>
      </c>
      <c r="F1010" t="str">
        <f t="array" ref="F1010">iferror(index(fatty_acid!$G:$G,match($A1010,fatty_acid!$A:$A,0)))</f>
        <v>BFA32-52</v>
      </c>
      <c r="G1010" t="str">
        <f t="array" ref="G1010">iferror(index(fatty_acid!$J:$J,match($A1010,fatty_acid!$A:$A,0)))</f>
        <v>N</v>
      </c>
      <c r="H1010" t="str">
        <f t="array" ref="H1010">iferror(index(isotopes!$G:$G,match($A1010,isotopes!$A:$A,0)))</f>
        <v>BIS35-52</v>
      </c>
      <c r="I1010" t="str">
        <f t="array" ref="I1010">iferror(index(isotopes!$J:$J,match($A1010,isotopes!$A:$A,0)))</f>
        <v>N</v>
      </c>
      <c r="J1010" t="str">
        <f t="array" ref="J1010">iferror(index(extra_muscle!$G:$G,match($A1010,extra_muscle!$A:$A,0)))</f>
        <v>BXM33-52</v>
      </c>
      <c r="K1010" t="str">
        <f t="array" ref="K1010">iferror(index(extra_muscle!$J:$J,match($A1010,extra_muscle!$A:$A,0)))</f>
        <v>N</v>
      </c>
      <c r="L1010" s="59" t="str">
        <f t="array" ref="L1010">iferror(index(dna!$G:$G,match($A1010,dna!$A:$A,0)))</f>
        <v>BDN3-85</v>
      </c>
      <c r="M1010" s="60" t="str">
        <f t="array" ref="M1010">iferror(index(dna!$J:$J,match($A1010,dna!$A:$A,0)))</f>
        <v>N</v>
      </c>
      <c r="N1010" t="str">
        <f t="array" ref="N1010">iferror(index(stomachs!$G:$G,match($A1010,stomachs!$A:$A,0)))</f>
        <v/>
      </c>
      <c r="O1010" t="str">
        <f t="array" ref="O1010">iferror(index(stomachs!$J:$J,match($A1010,stomachs!$A:$A,0)))</f>
        <v/>
      </c>
      <c r="P1010" t="str">
        <f t="array" ref="P1010">iferror(index(sea_lice!$G:$G,match($A1010,sea_lice!$A:$A,0)))</f>
        <v/>
      </c>
      <c r="Q1010" t="str">
        <f t="array" ref="Q1010">iferror(index(sea_lice!$J:$J,match($A1010,sea_lice!$A:$A,0)))</f>
        <v/>
      </c>
      <c r="R1010" s="40" t="str">
        <f t="array" ref="R1010">iferror(index(dissected_fish!$F:$F,match($A1010,dissected_fish!$A:$A,0)))</f>
        <v>BCA109</v>
      </c>
      <c r="S1010" s="40" t="str">
        <f t="array" ref="S1010">iferror(index(dissected_fish!$K:$K,match($A1010,dissected_fish!$A:$A,0)))</f>
        <v>N</v>
      </c>
      <c r="T1010" s="61" t="str">
        <f t="array" ref="T1010">index(fish_lab_data!O:O,match(A1010,fish_lab_data!C:C,0))</f>
        <v>KB</v>
      </c>
      <c r="U1010" s="61">
        <f t="array" ref="U1010">if(A1010="","",index(fish_lab_data!X:X,match(A1010,fish_lab_data!C:C,0)))</f>
        <v>1009</v>
      </c>
    </row>
    <row r="1011">
      <c r="A1011" t="str">
        <f>fish_lab_data!C1011</f>
        <v>U16986</v>
      </c>
      <c r="B1011" t="str">
        <f t="array" ref="B1011">iferror(index('rna-muscle'!$I:$I,match($A1011,'rna-muscle'!$A:$A,0)))</f>
        <v>BRN71M-F10</v>
      </c>
      <c r="C1011" t="str">
        <f t="array" ref="C1011">iferror(index('rna-muscle'!$L:$L,match($A1011,'rna-muscle'!$A:$A,0)))</f>
        <v>N</v>
      </c>
      <c r="D1011" t="str">
        <f t="array" ref="D1011">iferror(index('rna-gill'!$I:$I,match($A1011,'rna-gill'!$A:$A,0)))</f>
        <v>BRN71G-F10</v>
      </c>
      <c r="E1011" t="str">
        <f t="array" ref="E1011">iferror(index('rna-gill'!$L:$L,match($A1011,'rna-gill'!$A:$A,0)))</f>
        <v>N</v>
      </c>
      <c r="F1011" t="str">
        <f t="array" ref="F1011">iferror(index(fatty_acid!$G:$G,match($A1011,fatty_acid!$A:$A,0)))</f>
        <v>BFA32-53</v>
      </c>
      <c r="G1011" t="str">
        <f t="array" ref="G1011">iferror(index(fatty_acid!$J:$J,match($A1011,fatty_acid!$A:$A,0)))</f>
        <v>N</v>
      </c>
      <c r="H1011" t="str">
        <f t="array" ref="H1011">iferror(index(isotopes!$G:$G,match($A1011,isotopes!$A:$A,0)))</f>
        <v>BIS35-53</v>
      </c>
      <c r="I1011" t="str">
        <f t="array" ref="I1011">iferror(index(isotopes!$J:$J,match($A1011,isotopes!$A:$A,0)))</f>
        <v>N</v>
      </c>
      <c r="J1011" t="str">
        <f t="array" ref="J1011">iferror(index(extra_muscle!$G:$G,match($A1011,extra_muscle!$A:$A,0)))</f>
        <v>BXM33-53</v>
      </c>
      <c r="K1011" t="str">
        <f t="array" ref="K1011">iferror(index(extra_muscle!$J:$J,match($A1011,extra_muscle!$A:$A,0)))</f>
        <v>N</v>
      </c>
      <c r="L1011" s="59" t="str">
        <f t="array" ref="L1011">iferror(index(dna!$G:$G,match($A1011,dna!$A:$A,0)))</f>
        <v>BDN3-86</v>
      </c>
      <c r="M1011" s="60" t="str">
        <f t="array" ref="M1011">iferror(index(dna!$J:$J,match($A1011,dna!$A:$A,0)))</f>
        <v>N</v>
      </c>
      <c r="N1011" t="str">
        <f t="array" ref="N1011">iferror(index(stomachs!$G:$G,match($A1011,stomachs!$A:$A,0)))</f>
        <v/>
      </c>
      <c r="O1011" t="str">
        <f t="array" ref="O1011">iferror(index(stomachs!$J:$J,match($A1011,stomachs!$A:$A,0)))</f>
        <v/>
      </c>
      <c r="P1011" t="str">
        <f t="array" ref="P1011">iferror(index(sea_lice!$G:$G,match($A1011,sea_lice!$A:$A,0)))</f>
        <v/>
      </c>
      <c r="Q1011" t="str">
        <f t="array" ref="Q1011">iferror(index(sea_lice!$J:$J,match($A1011,sea_lice!$A:$A,0)))</f>
        <v/>
      </c>
      <c r="R1011" s="40" t="str">
        <f t="array" ref="R1011">iferror(index(dissected_fish!$F:$F,match($A1011,dissected_fish!$A:$A,0)))</f>
        <v>BCA109</v>
      </c>
      <c r="S1011" s="40" t="str">
        <f t="array" ref="S1011">iferror(index(dissected_fish!$K:$K,match($A1011,dissected_fish!$A:$A,0)))</f>
        <v>N</v>
      </c>
      <c r="T1011" s="61" t="str">
        <f t="array" ref="T1011">index(fish_lab_data!O:O,match(A1011,fish_lab_data!C:C,0))</f>
        <v>KB</v>
      </c>
      <c r="U1011" s="61">
        <f t="array" ref="U1011">if(A1011="","",index(fish_lab_data!X:X,match(A1011,fish_lab_data!C:C,0)))</f>
        <v>1010</v>
      </c>
    </row>
    <row r="1012">
      <c r="A1012" t="str">
        <f>fish_lab_data!C1012</f>
        <v>U16990</v>
      </c>
      <c r="B1012" t="str">
        <f t="array" ref="B1012">iferror(index('rna-muscle'!$I:$I,match($A1012,'rna-muscle'!$A:$A,0)))</f>
        <v>BRN71M-E10</v>
      </c>
      <c r="C1012" t="str">
        <f t="array" ref="C1012">iferror(index('rna-muscle'!$L:$L,match($A1012,'rna-muscle'!$A:$A,0)))</f>
        <v>N</v>
      </c>
      <c r="D1012" t="str">
        <f t="array" ref="D1012">iferror(index('rna-gill'!$I:$I,match($A1012,'rna-gill'!$A:$A,0)))</f>
        <v>BRN71G-E10</v>
      </c>
      <c r="E1012" t="str">
        <f t="array" ref="E1012">iferror(index('rna-gill'!$L:$L,match($A1012,'rna-gill'!$A:$A,0)))</f>
        <v>N</v>
      </c>
      <c r="F1012" t="str">
        <f t="array" ref="F1012">iferror(index(fatty_acid!$G:$G,match($A1012,fatty_acid!$A:$A,0)))</f>
        <v>BFA32-54</v>
      </c>
      <c r="G1012" t="str">
        <f t="array" ref="G1012">iferror(index(fatty_acid!$J:$J,match($A1012,fatty_acid!$A:$A,0)))</f>
        <v>N</v>
      </c>
      <c r="H1012" t="str">
        <f t="array" ref="H1012">iferror(index(isotopes!$G:$G,match($A1012,isotopes!$A:$A,0)))</f>
        <v>BIS35-54</v>
      </c>
      <c r="I1012" t="str">
        <f t="array" ref="I1012">iferror(index(isotopes!$J:$J,match($A1012,isotopes!$A:$A,0)))</f>
        <v>N</v>
      </c>
      <c r="J1012" t="str">
        <f t="array" ref="J1012">iferror(index(extra_muscle!$G:$G,match($A1012,extra_muscle!$A:$A,0)))</f>
        <v>BXM33-54</v>
      </c>
      <c r="K1012" t="str">
        <f t="array" ref="K1012">iferror(index(extra_muscle!$J:$J,match($A1012,extra_muscle!$A:$A,0)))</f>
        <v>N</v>
      </c>
      <c r="L1012" s="59" t="str">
        <f t="array" ref="L1012">iferror(index(dna!$G:$G,match($A1012,dna!$A:$A,0)))</f>
        <v>BDN3-87</v>
      </c>
      <c r="M1012" s="60" t="str">
        <f t="array" ref="M1012">iferror(index(dna!$J:$J,match($A1012,dna!$A:$A,0)))</f>
        <v>N</v>
      </c>
      <c r="N1012" t="str">
        <f t="array" ref="N1012">iferror(index(stomachs!$G:$G,match($A1012,stomachs!$A:$A,0)))</f>
        <v/>
      </c>
      <c r="O1012" t="str">
        <f t="array" ref="O1012">iferror(index(stomachs!$J:$J,match($A1012,stomachs!$A:$A,0)))</f>
        <v/>
      </c>
      <c r="P1012" t="str">
        <f t="array" ref="P1012">iferror(index(sea_lice!$G:$G,match($A1012,sea_lice!$A:$A,0)))</f>
        <v>BSL7-32</v>
      </c>
      <c r="Q1012" t="str">
        <f t="array" ref="Q1012">iferror(index(sea_lice!$J:$J,match($A1012,sea_lice!$A:$A,0)))</f>
        <v>N</v>
      </c>
      <c r="R1012" s="40" t="str">
        <f t="array" ref="R1012">iferror(index(dissected_fish!$F:$F,match($A1012,dissected_fish!$A:$A,0)))</f>
        <v>BCA109</v>
      </c>
      <c r="S1012" s="40" t="str">
        <f t="array" ref="S1012">iferror(index(dissected_fish!$K:$K,match($A1012,dissected_fish!$A:$A,0)))</f>
        <v>N</v>
      </c>
      <c r="T1012" s="61" t="str">
        <f t="array" ref="T1012">index(fish_lab_data!O:O,match(A1012,fish_lab_data!C:C,0))</f>
        <v>KB</v>
      </c>
      <c r="U1012" s="61">
        <f t="array" ref="U1012">if(A1012="","",index(fish_lab_data!X:X,match(A1012,fish_lab_data!C:C,0)))</f>
        <v>1011</v>
      </c>
    </row>
    <row r="1013">
      <c r="A1013" t="str">
        <f>fish_lab_data!C1013</f>
        <v>U16988</v>
      </c>
      <c r="B1013" t="str">
        <f t="array" ref="B1013">iferror(index('rna-muscle'!$I:$I,match($A1013,'rna-muscle'!$A:$A,0)))</f>
        <v>BRN71M-D10</v>
      </c>
      <c r="C1013" t="str">
        <f t="array" ref="C1013">iferror(index('rna-muscle'!$L:$L,match($A1013,'rna-muscle'!$A:$A,0)))</f>
        <v>N</v>
      </c>
      <c r="D1013" t="str">
        <f t="array" ref="D1013">iferror(index('rna-gill'!$I:$I,match($A1013,'rna-gill'!$A:$A,0)))</f>
        <v>BRN71G-D10</v>
      </c>
      <c r="E1013" t="str">
        <f t="array" ref="E1013">iferror(index('rna-gill'!$L:$L,match($A1013,'rna-gill'!$A:$A,0)))</f>
        <v>N</v>
      </c>
      <c r="F1013" t="str">
        <f t="array" ref="F1013">iferror(index(fatty_acid!$G:$G,match($A1013,fatty_acid!$A:$A,0)))</f>
        <v>BFA32-55</v>
      </c>
      <c r="G1013" t="str">
        <f t="array" ref="G1013">iferror(index(fatty_acid!$J:$J,match($A1013,fatty_acid!$A:$A,0)))</f>
        <v>N</v>
      </c>
      <c r="H1013" t="str">
        <f t="array" ref="H1013">iferror(index(isotopes!$G:$G,match($A1013,isotopes!$A:$A,0)))</f>
        <v>BIS35-55</v>
      </c>
      <c r="I1013" t="str">
        <f t="array" ref="I1013">iferror(index(isotopes!$J:$J,match($A1013,isotopes!$A:$A,0)))</f>
        <v>N</v>
      </c>
      <c r="J1013" t="str">
        <f t="array" ref="J1013">iferror(index(extra_muscle!$G:$G,match($A1013,extra_muscle!$A:$A,0)))</f>
        <v>BXM33-55</v>
      </c>
      <c r="K1013" t="str">
        <f t="array" ref="K1013">iferror(index(extra_muscle!$J:$J,match($A1013,extra_muscle!$A:$A,0)))</f>
        <v>N</v>
      </c>
      <c r="L1013" s="59" t="str">
        <f t="array" ref="L1013">iferror(index(dna!$G:$G,match($A1013,dna!$A:$A,0)))</f>
        <v>BDN3-88</v>
      </c>
      <c r="M1013" s="60" t="str">
        <f t="array" ref="M1013">iferror(index(dna!$J:$J,match($A1013,dna!$A:$A,0)))</f>
        <v>N</v>
      </c>
      <c r="N1013" t="str">
        <f t="array" ref="N1013">iferror(index(stomachs!$G:$G,match($A1013,stomachs!$A:$A,0)))</f>
        <v/>
      </c>
      <c r="O1013" t="str">
        <f t="array" ref="O1013">iferror(index(stomachs!$J:$J,match($A1013,stomachs!$A:$A,0)))</f>
        <v/>
      </c>
      <c r="P1013" t="str">
        <f t="array" ref="P1013">iferror(index(sea_lice!$G:$G,match($A1013,sea_lice!$A:$A,0)))</f>
        <v>BSL7-33</v>
      </c>
      <c r="Q1013" t="str">
        <f t="array" ref="Q1013">iferror(index(sea_lice!$J:$J,match($A1013,sea_lice!$A:$A,0)))</f>
        <v>N</v>
      </c>
      <c r="R1013" s="40" t="str">
        <f t="array" ref="R1013">iferror(index(dissected_fish!$F:$F,match($A1013,dissected_fish!$A:$A,0)))</f>
        <v>BCA109</v>
      </c>
      <c r="S1013" s="40" t="str">
        <f t="array" ref="S1013">iferror(index(dissected_fish!$K:$K,match($A1013,dissected_fish!$A:$A,0)))</f>
        <v>N</v>
      </c>
      <c r="T1013" s="61" t="str">
        <f t="array" ref="T1013">index(fish_lab_data!O:O,match(A1013,fish_lab_data!C:C,0))</f>
        <v>KB</v>
      </c>
      <c r="U1013" s="61">
        <f t="array" ref="U1013">if(A1013="","",index(fish_lab_data!X:X,match(A1013,fish_lab_data!C:C,0)))</f>
        <v>1012</v>
      </c>
    </row>
    <row r="1014">
      <c r="A1014" t="str">
        <f>fish_lab_data!C1014</f>
        <v>U16985</v>
      </c>
      <c r="B1014" t="str">
        <f t="array" ref="B1014">iferror(index('rna-muscle'!$I:$I,match($A1014,'rna-muscle'!$A:$A,0)))</f>
        <v>BRN71M-C10</v>
      </c>
      <c r="C1014" t="str">
        <f t="array" ref="C1014">iferror(index('rna-muscle'!$L:$L,match($A1014,'rna-muscle'!$A:$A,0)))</f>
        <v>N</v>
      </c>
      <c r="D1014" t="str">
        <f t="array" ref="D1014">iferror(index('rna-gill'!$I:$I,match($A1014,'rna-gill'!$A:$A,0)))</f>
        <v>BRN71G-C10</v>
      </c>
      <c r="E1014" t="str">
        <f t="array" ref="E1014">iferror(index('rna-gill'!$L:$L,match($A1014,'rna-gill'!$A:$A,0)))</f>
        <v>N</v>
      </c>
      <c r="F1014" t="str">
        <f t="array" ref="F1014">iferror(index(fatty_acid!$G:$G,match($A1014,fatty_acid!$A:$A,0)))</f>
        <v>BFA32-56</v>
      </c>
      <c r="G1014" t="str">
        <f t="array" ref="G1014">iferror(index(fatty_acid!$J:$J,match($A1014,fatty_acid!$A:$A,0)))</f>
        <v>N</v>
      </c>
      <c r="H1014" t="str">
        <f t="array" ref="H1014">iferror(index(isotopes!$G:$G,match($A1014,isotopes!$A:$A,0)))</f>
        <v>BIS35-56</v>
      </c>
      <c r="I1014" t="str">
        <f t="array" ref="I1014">iferror(index(isotopes!$J:$J,match($A1014,isotopes!$A:$A,0)))</f>
        <v>N</v>
      </c>
      <c r="J1014" t="str">
        <f t="array" ref="J1014">iferror(index(extra_muscle!$G:$G,match($A1014,extra_muscle!$A:$A,0)))</f>
        <v>BXM33-56</v>
      </c>
      <c r="K1014" t="str">
        <f t="array" ref="K1014">iferror(index(extra_muscle!$J:$J,match($A1014,extra_muscle!$A:$A,0)))</f>
        <v>N</v>
      </c>
      <c r="L1014" s="59" t="str">
        <f t="array" ref="L1014">iferror(index(dna!$G:$G,match($A1014,dna!$A:$A,0)))</f>
        <v>BDN3-89</v>
      </c>
      <c r="M1014" s="60" t="str">
        <f t="array" ref="M1014">iferror(index(dna!$J:$J,match($A1014,dna!$A:$A,0)))</f>
        <v>N</v>
      </c>
      <c r="N1014" t="str">
        <f t="array" ref="N1014">iferror(index(stomachs!$G:$G,match($A1014,stomachs!$A:$A,0)))</f>
        <v/>
      </c>
      <c r="O1014" t="str">
        <f t="array" ref="O1014">iferror(index(stomachs!$J:$J,match($A1014,stomachs!$A:$A,0)))</f>
        <v/>
      </c>
      <c r="P1014" t="str">
        <f t="array" ref="P1014">iferror(index(sea_lice!$G:$G,match($A1014,sea_lice!$A:$A,0)))</f>
        <v/>
      </c>
      <c r="Q1014" t="str">
        <f t="array" ref="Q1014">iferror(index(sea_lice!$J:$J,match($A1014,sea_lice!$A:$A,0)))</f>
        <v/>
      </c>
      <c r="R1014" s="40" t="str">
        <f t="array" ref="R1014">iferror(index(dissected_fish!$F:$F,match($A1014,dissected_fish!$A:$A,0)))</f>
        <v>BCA109</v>
      </c>
      <c r="S1014" s="40" t="str">
        <f t="array" ref="S1014">iferror(index(dissected_fish!$K:$K,match($A1014,dissected_fish!$A:$A,0)))</f>
        <v>N</v>
      </c>
      <c r="T1014" s="61" t="str">
        <f t="array" ref="T1014">index(fish_lab_data!O:O,match(A1014,fish_lab_data!C:C,0))</f>
        <v>KB</v>
      </c>
      <c r="U1014" s="61">
        <f t="array" ref="U1014">if(A1014="","",index(fish_lab_data!X:X,match(A1014,fish_lab_data!C:C,0)))</f>
        <v>1013</v>
      </c>
    </row>
    <row r="1015">
      <c r="A1015" t="str">
        <f>fish_lab_data!C1015</f>
        <v>U16231</v>
      </c>
      <c r="B1015" t="str">
        <f t="array" ref="B1015">iferror(index('rna-muscle'!$I:$I,match($A1015,'rna-muscle'!$A:$A,0)))</f>
        <v>BRN71M-B10</v>
      </c>
      <c r="C1015" t="str">
        <f t="array" ref="C1015">iferror(index('rna-muscle'!$L:$L,match($A1015,'rna-muscle'!$A:$A,0)))</f>
        <v>N</v>
      </c>
      <c r="D1015" t="str">
        <f t="array" ref="D1015">iferror(index('rna-gill'!$I:$I,match($A1015,'rna-gill'!$A:$A,0)))</f>
        <v>BRN71G-B10</v>
      </c>
      <c r="E1015" t="str">
        <f t="array" ref="E1015">iferror(index('rna-gill'!$L:$L,match($A1015,'rna-gill'!$A:$A,0)))</f>
        <v>N</v>
      </c>
      <c r="F1015" t="str">
        <f t="array" ref="F1015">iferror(index(fatty_acid!$G:$G,match($A1015,fatty_acid!$A:$A,0)))</f>
        <v>BFA32-57</v>
      </c>
      <c r="G1015" t="str">
        <f t="array" ref="G1015">iferror(index(fatty_acid!$J:$J,match($A1015,fatty_acid!$A:$A,0)))</f>
        <v>N</v>
      </c>
      <c r="H1015" t="str">
        <f t="array" ref="H1015">iferror(index(isotopes!$G:$G,match($A1015,isotopes!$A:$A,0)))</f>
        <v>BIS35-57</v>
      </c>
      <c r="I1015" t="str">
        <f t="array" ref="I1015">iferror(index(isotopes!$J:$J,match($A1015,isotopes!$A:$A,0)))</f>
        <v>N</v>
      </c>
      <c r="J1015" t="str">
        <f t="array" ref="J1015">iferror(index(extra_muscle!$G:$G,match($A1015,extra_muscle!$A:$A,0)))</f>
        <v>BXM33-57</v>
      </c>
      <c r="K1015" t="str">
        <f t="array" ref="K1015">iferror(index(extra_muscle!$J:$J,match($A1015,extra_muscle!$A:$A,0)))</f>
        <v>N</v>
      </c>
      <c r="L1015" s="59" t="str">
        <f t="array" ref="L1015">iferror(index(dna!$G:$G,match($A1015,dna!$A:$A,0)))</f>
        <v>BDN3-90</v>
      </c>
      <c r="M1015" s="60" t="str">
        <f t="array" ref="M1015">iferror(index(dna!$J:$J,match($A1015,dna!$A:$A,0)))</f>
        <v>N</v>
      </c>
      <c r="N1015" t="str">
        <f t="array" ref="N1015">iferror(index(stomachs!$G:$G,match($A1015,stomachs!$A:$A,0)))</f>
        <v/>
      </c>
      <c r="O1015" t="str">
        <f t="array" ref="O1015">iferror(index(stomachs!$J:$J,match($A1015,stomachs!$A:$A,0)))</f>
        <v/>
      </c>
      <c r="P1015" t="str">
        <f t="array" ref="P1015">iferror(index(sea_lice!$G:$G,match($A1015,sea_lice!$A:$A,0)))</f>
        <v/>
      </c>
      <c r="Q1015" t="str">
        <f t="array" ref="Q1015">iferror(index(sea_lice!$J:$J,match($A1015,sea_lice!$A:$A,0)))</f>
        <v/>
      </c>
      <c r="R1015" s="40" t="str">
        <f t="array" ref="R1015">iferror(index(dissected_fish!$F:$F,match($A1015,dissected_fish!$A:$A,0)))</f>
        <v>BCA109</v>
      </c>
      <c r="S1015" s="40" t="str">
        <f t="array" ref="S1015">iferror(index(dissected_fish!$K:$K,match($A1015,dissected_fish!$A:$A,0)))</f>
        <v>N</v>
      </c>
      <c r="T1015" s="61" t="str">
        <f t="array" ref="T1015">index(fish_lab_data!O:O,match(A1015,fish_lab_data!C:C,0))</f>
        <v>KB</v>
      </c>
      <c r="U1015" s="61">
        <f t="array" ref="U1015">if(A1015="","",index(fish_lab_data!X:X,match(A1015,fish_lab_data!C:C,0)))</f>
        <v>1014</v>
      </c>
    </row>
    <row r="1016">
      <c r="A1016" t="str">
        <f>fish_lab_data!C1016</f>
        <v>U16232</v>
      </c>
      <c r="B1016" t="str">
        <f t="array" ref="B1016">iferror(index('rna-muscle'!$I:$I,match($A1016,'rna-muscle'!$A:$A,0)))</f>
        <v>BRN71M-A10</v>
      </c>
      <c r="C1016" t="str">
        <f t="array" ref="C1016">iferror(index('rna-muscle'!$L:$L,match($A1016,'rna-muscle'!$A:$A,0)))</f>
        <v>N</v>
      </c>
      <c r="D1016" t="str">
        <f t="array" ref="D1016">iferror(index('rna-gill'!$I:$I,match($A1016,'rna-gill'!$A:$A,0)))</f>
        <v>BRN71G-A10</v>
      </c>
      <c r="E1016" t="str">
        <f t="array" ref="E1016">iferror(index('rna-gill'!$L:$L,match($A1016,'rna-gill'!$A:$A,0)))</f>
        <v>N</v>
      </c>
      <c r="F1016" t="str">
        <f t="array" ref="F1016">iferror(index(fatty_acid!$G:$G,match($A1016,fatty_acid!$A:$A,0)))</f>
        <v>BFA32-58</v>
      </c>
      <c r="G1016" t="str">
        <f t="array" ref="G1016">iferror(index(fatty_acid!$J:$J,match($A1016,fatty_acid!$A:$A,0)))</f>
        <v>N</v>
      </c>
      <c r="H1016" t="str">
        <f t="array" ref="H1016">iferror(index(isotopes!$G:$G,match($A1016,isotopes!$A:$A,0)))</f>
        <v>BIS35-58</v>
      </c>
      <c r="I1016" t="str">
        <f t="array" ref="I1016">iferror(index(isotopes!$J:$J,match($A1016,isotopes!$A:$A,0)))</f>
        <v>N</v>
      </c>
      <c r="J1016" t="str">
        <f t="array" ref="J1016">iferror(index(extra_muscle!$G:$G,match($A1016,extra_muscle!$A:$A,0)))</f>
        <v>BXM33-58</v>
      </c>
      <c r="K1016" t="str">
        <f t="array" ref="K1016">iferror(index(extra_muscle!$J:$J,match($A1016,extra_muscle!$A:$A,0)))</f>
        <v>N</v>
      </c>
      <c r="L1016" s="59" t="str">
        <f t="array" ref="L1016">iferror(index(dna!$G:$G,match($A1016,dna!$A:$A,0)))</f>
        <v>BDN3-91</v>
      </c>
      <c r="M1016" s="60" t="str">
        <f t="array" ref="M1016">iferror(index(dna!$J:$J,match($A1016,dna!$A:$A,0)))</f>
        <v>N</v>
      </c>
      <c r="N1016" t="str">
        <f t="array" ref="N1016">iferror(index(stomachs!$G:$G,match($A1016,stomachs!$A:$A,0)))</f>
        <v/>
      </c>
      <c r="O1016" t="str">
        <f t="array" ref="O1016">iferror(index(stomachs!$J:$J,match($A1016,stomachs!$A:$A,0)))</f>
        <v/>
      </c>
      <c r="P1016" t="str">
        <f t="array" ref="P1016">iferror(index(sea_lice!$G:$G,match($A1016,sea_lice!$A:$A,0)))</f>
        <v/>
      </c>
      <c r="Q1016" t="str">
        <f t="array" ref="Q1016">iferror(index(sea_lice!$J:$J,match($A1016,sea_lice!$A:$A,0)))</f>
        <v/>
      </c>
      <c r="R1016" s="40" t="str">
        <f t="array" ref="R1016">iferror(index(dissected_fish!$F:$F,match($A1016,dissected_fish!$A:$A,0)))</f>
        <v>BCA109</v>
      </c>
      <c r="S1016" s="40" t="str">
        <f t="array" ref="S1016">iferror(index(dissected_fish!$K:$K,match($A1016,dissected_fish!$A:$A,0)))</f>
        <v>N</v>
      </c>
      <c r="T1016" s="61" t="str">
        <f t="array" ref="T1016">index(fish_lab_data!O:O,match(A1016,fish_lab_data!C:C,0))</f>
        <v>KB</v>
      </c>
      <c r="U1016" s="61">
        <f t="array" ref="U1016">if(A1016="","",index(fish_lab_data!X:X,match(A1016,fish_lab_data!C:C,0)))</f>
        <v>1015</v>
      </c>
    </row>
    <row r="1017">
      <c r="A1017" t="str">
        <f>fish_lab_data!C1017</f>
        <v>U16234</v>
      </c>
      <c r="B1017" t="str">
        <f t="array" ref="B1017">iferror(index('rna-muscle'!$I:$I,match($A1017,'rna-muscle'!$A:$A,0)))</f>
        <v>BRN71M-H11</v>
      </c>
      <c r="C1017" t="str">
        <f t="array" ref="C1017">iferror(index('rna-muscle'!$L:$L,match($A1017,'rna-muscle'!$A:$A,0)))</f>
        <v>N</v>
      </c>
      <c r="D1017" t="str">
        <f t="array" ref="D1017">iferror(index('rna-gill'!$I:$I,match($A1017,'rna-gill'!$A:$A,0)))</f>
        <v>BRN71G-H11</v>
      </c>
      <c r="E1017" t="str">
        <f t="array" ref="E1017">iferror(index('rna-gill'!$L:$L,match($A1017,'rna-gill'!$A:$A,0)))</f>
        <v>N</v>
      </c>
      <c r="F1017" t="str">
        <f t="array" ref="F1017">iferror(index(fatty_acid!$G:$G,match($A1017,fatty_acid!$A:$A,0)))</f>
        <v>BFA32-59</v>
      </c>
      <c r="G1017" t="str">
        <f t="array" ref="G1017">iferror(index(fatty_acid!$J:$J,match($A1017,fatty_acid!$A:$A,0)))</f>
        <v>N</v>
      </c>
      <c r="H1017" t="str">
        <f t="array" ref="H1017">iferror(index(isotopes!$G:$G,match($A1017,isotopes!$A:$A,0)))</f>
        <v>BIS35-59</v>
      </c>
      <c r="I1017" t="str">
        <f t="array" ref="I1017">iferror(index(isotopes!$J:$J,match($A1017,isotopes!$A:$A,0)))</f>
        <v>N</v>
      </c>
      <c r="J1017" t="str">
        <f t="array" ref="J1017">iferror(index(extra_muscle!$G:$G,match($A1017,extra_muscle!$A:$A,0)))</f>
        <v>BXM33-59</v>
      </c>
      <c r="K1017" t="str">
        <f t="array" ref="K1017">iferror(index(extra_muscle!$J:$J,match($A1017,extra_muscle!$A:$A,0)))</f>
        <v>N</v>
      </c>
      <c r="L1017" s="59" t="str">
        <f t="array" ref="L1017">iferror(index(dna!$G:$G,match($A1017,dna!$A:$A,0)))</f>
        <v>BDN3-92</v>
      </c>
      <c r="M1017" s="60" t="str">
        <f t="array" ref="M1017">iferror(index(dna!$J:$J,match($A1017,dna!$A:$A,0)))</f>
        <v>N</v>
      </c>
      <c r="N1017" t="str">
        <f t="array" ref="N1017">iferror(index(stomachs!$G:$G,match($A1017,stomachs!$A:$A,0)))</f>
        <v/>
      </c>
      <c r="O1017" t="str">
        <f t="array" ref="O1017">iferror(index(stomachs!$J:$J,match($A1017,stomachs!$A:$A,0)))</f>
        <v/>
      </c>
      <c r="P1017" t="str">
        <f t="array" ref="P1017">iferror(index(sea_lice!$G:$G,match($A1017,sea_lice!$A:$A,0)))</f>
        <v>BSL7-34</v>
      </c>
      <c r="Q1017" t="str">
        <f t="array" ref="Q1017">iferror(index(sea_lice!$J:$J,match($A1017,sea_lice!$A:$A,0)))</f>
        <v>N</v>
      </c>
      <c r="R1017" s="40" t="str">
        <f t="array" ref="R1017">iferror(index(dissected_fish!$F:$F,match($A1017,dissected_fish!$A:$A,0)))</f>
        <v>BCA109</v>
      </c>
      <c r="S1017" s="40" t="str">
        <f t="array" ref="S1017">iferror(index(dissected_fish!$K:$K,match($A1017,dissected_fish!$A:$A,0)))</f>
        <v>N</v>
      </c>
      <c r="T1017" s="61" t="str">
        <f t="array" ref="T1017">index(fish_lab_data!O:O,match(A1017,fish_lab_data!C:C,0))</f>
        <v>KB</v>
      </c>
      <c r="U1017" s="61">
        <f t="array" ref="U1017">if(A1017="","",index(fish_lab_data!X:X,match(A1017,fish_lab_data!C:C,0)))</f>
        <v>1016</v>
      </c>
    </row>
    <row r="1018">
      <c r="A1018" t="str">
        <f>fish_lab_data!C1018</f>
        <v>U16233</v>
      </c>
      <c r="B1018" t="str">
        <f t="array" ref="B1018">iferror(index('rna-muscle'!$I:$I,match($A1018,'rna-muscle'!$A:$A,0)))</f>
        <v>BRN71M-G11</v>
      </c>
      <c r="C1018" t="str">
        <f t="array" ref="C1018">iferror(index('rna-muscle'!$L:$L,match($A1018,'rna-muscle'!$A:$A,0)))</f>
        <v>N</v>
      </c>
      <c r="D1018" t="str">
        <f t="array" ref="D1018">iferror(index('rna-gill'!$I:$I,match($A1018,'rna-gill'!$A:$A,0)))</f>
        <v>BRN71G-G11</v>
      </c>
      <c r="E1018" t="str">
        <f t="array" ref="E1018">iferror(index('rna-gill'!$L:$L,match($A1018,'rna-gill'!$A:$A,0)))</f>
        <v>N</v>
      </c>
      <c r="F1018" t="str">
        <f t="array" ref="F1018">iferror(index(fatty_acid!$G:$G,match($A1018,fatty_acid!$A:$A,0)))</f>
        <v>BFA32-60</v>
      </c>
      <c r="G1018" t="str">
        <f t="array" ref="G1018">iferror(index(fatty_acid!$J:$J,match($A1018,fatty_acid!$A:$A,0)))</f>
        <v>N</v>
      </c>
      <c r="H1018" t="str">
        <f t="array" ref="H1018">iferror(index(isotopes!$G:$G,match($A1018,isotopes!$A:$A,0)))</f>
        <v>BIS35-60</v>
      </c>
      <c r="I1018" t="str">
        <f t="array" ref="I1018">iferror(index(isotopes!$J:$J,match($A1018,isotopes!$A:$A,0)))</f>
        <v>N</v>
      </c>
      <c r="J1018" t="str">
        <f t="array" ref="J1018">iferror(index(extra_muscle!$G:$G,match($A1018,extra_muscle!$A:$A,0)))</f>
        <v>BXM33-60</v>
      </c>
      <c r="K1018" t="str">
        <f t="array" ref="K1018">iferror(index(extra_muscle!$J:$J,match($A1018,extra_muscle!$A:$A,0)))</f>
        <v>N</v>
      </c>
      <c r="L1018" s="59" t="str">
        <f t="array" ref="L1018">iferror(index(dna!$G:$G,match($A1018,dna!$A:$A,0)))</f>
        <v>BDN3-93</v>
      </c>
      <c r="M1018" s="60" t="str">
        <f t="array" ref="M1018">iferror(index(dna!$J:$J,match($A1018,dna!$A:$A,0)))</f>
        <v>N</v>
      </c>
      <c r="N1018" t="str">
        <f t="array" ref="N1018">iferror(index(stomachs!$G:$G,match($A1018,stomachs!$A:$A,0)))</f>
        <v/>
      </c>
      <c r="O1018" t="str">
        <f t="array" ref="O1018">iferror(index(stomachs!$J:$J,match($A1018,stomachs!$A:$A,0)))</f>
        <v/>
      </c>
      <c r="P1018" t="str">
        <f t="array" ref="P1018">iferror(index(sea_lice!$G:$G,match($A1018,sea_lice!$A:$A,0)))</f>
        <v/>
      </c>
      <c r="Q1018" t="str">
        <f t="array" ref="Q1018">iferror(index(sea_lice!$J:$J,match($A1018,sea_lice!$A:$A,0)))</f>
        <v/>
      </c>
      <c r="R1018" s="40" t="str">
        <f t="array" ref="R1018">iferror(index(dissected_fish!$F:$F,match($A1018,dissected_fish!$A:$A,0)))</f>
        <v>BCA109</v>
      </c>
      <c r="S1018" s="40" t="str">
        <f t="array" ref="S1018">iferror(index(dissected_fish!$K:$K,match($A1018,dissected_fish!$A:$A,0)))</f>
        <v>N</v>
      </c>
      <c r="T1018" s="61" t="str">
        <f t="array" ref="T1018">index(fish_lab_data!O:O,match(A1018,fish_lab_data!C:C,0))</f>
        <v>KB</v>
      </c>
      <c r="U1018" s="61">
        <f t="array" ref="U1018">if(A1018="","",index(fish_lab_data!X:X,match(A1018,fish_lab_data!C:C,0)))</f>
        <v>1017</v>
      </c>
    </row>
    <row r="1019">
      <c r="A1019" t="str">
        <f>fish_lab_data!C1019</f>
        <v>U16235</v>
      </c>
      <c r="B1019" t="str">
        <f t="array" ref="B1019">iferror(index('rna-muscle'!$I:$I,match($A1019,'rna-muscle'!$A:$A,0)))</f>
        <v>BRN71M-F11</v>
      </c>
      <c r="C1019" t="str">
        <f t="array" ref="C1019">iferror(index('rna-muscle'!$L:$L,match($A1019,'rna-muscle'!$A:$A,0)))</f>
        <v>N</v>
      </c>
      <c r="D1019" t="str">
        <f t="array" ref="D1019">iferror(index('rna-gill'!$I:$I,match($A1019,'rna-gill'!$A:$A,0)))</f>
        <v>BRN71G-F11</v>
      </c>
      <c r="E1019" t="str">
        <f t="array" ref="E1019">iferror(index('rna-gill'!$L:$L,match($A1019,'rna-gill'!$A:$A,0)))</f>
        <v>N</v>
      </c>
      <c r="F1019" t="str">
        <f t="array" ref="F1019">iferror(index(fatty_acid!$G:$G,match($A1019,fatty_acid!$A:$A,0)))</f>
        <v>BFA32-61</v>
      </c>
      <c r="G1019" t="str">
        <f t="array" ref="G1019">iferror(index(fatty_acid!$J:$J,match($A1019,fatty_acid!$A:$A,0)))</f>
        <v>N</v>
      </c>
      <c r="H1019" t="str">
        <f t="array" ref="H1019">iferror(index(isotopes!$G:$G,match($A1019,isotopes!$A:$A,0)))</f>
        <v>BIS35-61</v>
      </c>
      <c r="I1019" t="str">
        <f t="array" ref="I1019">iferror(index(isotopes!$J:$J,match($A1019,isotopes!$A:$A,0)))</f>
        <v>N</v>
      </c>
      <c r="J1019" t="str">
        <f t="array" ref="J1019">iferror(index(extra_muscle!$G:$G,match($A1019,extra_muscle!$A:$A,0)))</f>
        <v>BXM33-61</v>
      </c>
      <c r="K1019" t="str">
        <f t="array" ref="K1019">iferror(index(extra_muscle!$J:$J,match($A1019,extra_muscle!$A:$A,0)))</f>
        <v>N</v>
      </c>
      <c r="L1019" s="59" t="str">
        <f t="array" ref="L1019">iferror(index(dna!$G:$G,match($A1019,dna!$A:$A,0)))</f>
        <v>BDN3-94</v>
      </c>
      <c r="M1019" s="60" t="str">
        <f t="array" ref="M1019">iferror(index(dna!$J:$J,match($A1019,dna!$A:$A,0)))</f>
        <v>N</v>
      </c>
      <c r="N1019" t="str">
        <f t="array" ref="N1019">iferror(index(stomachs!$G:$G,match($A1019,stomachs!$A:$A,0)))</f>
        <v/>
      </c>
      <c r="O1019" t="str">
        <f t="array" ref="O1019">iferror(index(stomachs!$J:$J,match($A1019,stomachs!$A:$A,0)))</f>
        <v/>
      </c>
      <c r="P1019" t="str">
        <f t="array" ref="P1019">iferror(index(sea_lice!$G:$G,match($A1019,sea_lice!$A:$A,0)))</f>
        <v/>
      </c>
      <c r="Q1019" t="str">
        <f t="array" ref="Q1019">iferror(index(sea_lice!$J:$J,match($A1019,sea_lice!$A:$A,0)))</f>
        <v/>
      </c>
      <c r="R1019" s="40" t="str">
        <f t="array" ref="R1019">iferror(index(dissected_fish!$F:$F,match($A1019,dissected_fish!$A:$A,0)))</f>
        <v>BCA109</v>
      </c>
      <c r="S1019" s="40" t="str">
        <f t="array" ref="S1019">iferror(index(dissected_fish!$K:$K,match($A1019,dissected_fish!$A:$A,0)))</f>
        <v>N</v>
      </c>
      <c r="T1019" s="61" t="str">
        <f t="array" ref="T1019">index(fish_lab_data!O:O,match(A1019,fish_lab_data!C:C,0))</f>
        <v>KB</v>
      </c>
      <c r="U1019" s="61">
        <f t="array" ref="U1019">if(A1019="","",index(fish_lab_data!X:X,match(A1019,fish_lab_data!C:C,0)))</f>
        <v>1018</v>
      </c>
    </row>
    <row r="1020">
      <c r="A1020" t="str">
        <f>fish_lab_data!C1020</f>
        <v>U16236</v>
      </c>
      <c r="B1020" t="str">
        <f t="array" ref="B1020">iferror(index('rna-muscle'!$I:$I,match($A1020,'rna-muscle'!$A:$A,0)))</f>
        <v>BRN71M-E11</v>
      </c>
      <c r="C1020" t="str">
        <f t="array" ref="C1020">iferror(index('rna-muscle'!$L:$L,match($A1020,'rna-muscle'!$A:$A,0)))</f>
        <v>N</v>
      </c>
      <c r="D1020" t="str">
        <f t="array" ref="D1020">iferror(index('rna-gill'!$I:$I,match($A1020,'rna-gill'!$A:$A,0)))</f>
        <v>BRN71G-E11</v>
      </c>
      <c r="E1020" t="str">
        <f t="array" ref="E1020">iferror(index('rna-gill'!$L:$L,match($A1020,'rna-gill'!$A:$A,0)))</f>
        <v>N</v>
      </c>
      <c r="F1020" t="str">
        <f t="array" ref="F1020">iferror(index(fatty_acid!$G:$G,match($A1020,fatty_acid!$A:$A,0)))</f>
        <v>BFA32-62</v>
      </c>
      <c r="G1020" t="str">
        <f t="array" ref="G1020">iferror(index(fatty_acid!$J:$J,match($A1020,fatty_acid!$A:$A,0)))</f>
        <v>N</v>
      </c>
      <c r="H1020" t="str">
        <f t="array" ref="H1020">iferror(index(isotopes!$G:$G,match($A1020,isotopes!$A:$A,0)))</f>
        <v>BIS35-62</v>
      </c>
      <c r="I1020" t="str">
        <f t="array" ref="I1020">iferror(index(isotopes!$J:$J,match($A1020,isotopes!$A:$A,0)))</f>
        <v>N</v>
      </c>
      <c r="J1020" t="str">
        <f t="array" ref="J1020">iferror(index(extra_muscle!$G:$G,match($A1020,extra_muscle!$A:$A,0)))</f>
        <v>BXM33-62</v>
      </c>
      <c r="K1020" t="str">
        <f t="array" ref="K1020">iferror(index(extra_muscle!$J:$J,match($A1020,extra_muscle!$A:$A,0)))</f>
        <v>N</v>
      </c>
      <c r="L1020" s="59" t="str">
        <f t="array" ref="L1020">iferror(index(dna!$G:$G,match($A1020,dna!$A:$A,0)))</f>
        <v>BDN3-95</v>
      </c>
      <c r="M1020" s="60" t="str">
        <f t="array" ref="M1020">iferror(index(dna!$J:$J,match($A1020,dna!$A:$A,0)))</f>
        <v>N</v>
      </c>
      <c r="N1020" t="str">
        <f t="array" ref="N1020">iferror(index(stomachs!$G:$G,match($A1020,stomachs!$A:$A,0)))</f>
        <v/>
      </c>
      <c r="O1020" t="str">
        <f t="array" ref="O1020">iferror(index(stomachs!$J:$J,match($A1020,stomachs!$A:$A,0)))</f>
        <v/>
      </c>
      <c r="P1020" t="str">
        <f t="array" ref="P1020">iferror(index(sea_lice!$G:$G,match($A1020,sea_lice!$A:$A,0)))</f>
        <v/>
      </c>
      <c r="Q1020" t="str">
        <f t="array" ref="Q1020">iferror(index(sea_lice!$J:$J,match($A1020,sea_lice!$A:$A,0)))</f>
        <v/>
      </c>
      <c r="R1020" s="40" t="str">
        <f t="array" ref="R1020">iferror(index(dissected_fish!$F:$F,match($A1020,dissected_fish!$A:$A,0)))</f>
        <v>BCA109</v>
      </c>
      <c r="S1020" s="40" t="str">
        <f t="array" ref="S1020">iferror(index(dissected_fish!$K:$K,match($A1020,dissected_fish!$A:$A,0)))</f>
        <v>N</v>
      </c>
      <c r="T1020" s="61" t="str">
        <f t="array" ref="T1020">index(fish_lab_data!O:O,match(A1020,fish_lab_data!C:C,0))</f>
        <v>KB</v>
      </c>
      <c r="U1020" s="61">
        <f t="array" ref="U1020">if(A1020="","",index(fish_lab_data!X:X,match(A1020,fish_lab_data!C:C,0)))</f>
        <v>1019</v>
      </c>
    </row>
    <row r="1021">
      <c r="A1021" t="str">
        <f>fish_lab_data!C1021</f>
        <v>U16240</v>
      </c>
      <c r="B1021" t="str">
        <f t="array" ref="B1021">iferror(index('rna-muscle'!$I:$I,match($A1021,'rna-muscle'!$A:$A,0)))</f>
        <v>BRN71M-D11</v>
      </c>
      <c r="C1021" t="str">
        <f t="array" ref="C1021">iferror(index('rna-muscle'!$L:$L,match($A1021,'rna-muscle'!$A:$A,0)))</f>
        <v>N</v>
      </c>
      <c r="D1021" t="str">
        <f t="array" ref="D1021">iferror(index('rna-gill'!$I:$I,match($A1021,'rna-gill'!$A:$A,0)))</f>
        <v>BRN71G-D11</v>
      </c>
      <c r="E1021" t="str">
        <f t="array" ref="E1021">iferror(index('rna-gill'!$L:$L,match($A1021,'rna-gill'!$A:$A,0)))</f>
        <v>N</v>
      </c>
      <c r="F1021" t="str">
        <f t="array" ref="F1021">iferror(index(fatty_acid!$G:$G,match($A1021,fatty_acid!$A:$A,0)))</f>
        <v>BFA32-63</v>
      </c>
      <c r="G1021" t="str">
        <f t="array" ref="G1021">iferror(index(fatty_acid!$J:$J,match($A1021,fatty_acid!$A:$A,0)))</f>
        <v>N</v>
      </c>
      <c r="H1021" t="str">
        <f t="array" ref="H1021">iferror(index(isotopes!$G:$G,match($A1021,isotopes!$A:$A,0)))</f>
        <v>BIS35-63</v>
      </c>
      <c r="I1021" t="str">
        <f t="array" ref="I1021">iferror(index(isotopes!$J:$J,match($A1021,isotopes!$A:$A,0)))</f>
        <v>N</v>
      </c>
      <c r="J1021" t="str">
        <f t="array" ref="J1021">iferror(index(extra_muscle!$G:$G,match($A1021,extra_muscle!$A:$A,0)))</f>
        <v>BXM33-63</v>
      </c>
      <c r="K1021" t="str">
        <f t="array" ref="K1021">iferror(index(extra_muscle!$J:$J,match($A1021,extra_muscle!$A:$A,0)))</f>
        <v>N</v>
      </c>
      <c r="L1021" s="59" t="str">
        <f t="array" ref="L1021">iferror(index(dna!$G:$G,match($A1021,dna!$A:$A,0)))</f>
        <v>BDN3-96</v>
      </c>
      <c r="M1021" s="60" t="str">
        <f t="array" ref="M1021">iferror(index(dna!$J:$J,match($A1021,dna!$A:$A,0)))</f>
        <v>N</v>
      </c>
      <c r="N1021" t="str">
        <f t="array" ref="N1021">iferror(index(stomachs!$G:$G,match($A1021,stomachs!$A:$A,0)))</f>
        <v/>
      </c>
      <c r="O1021" t="str">
        <f t="array" ref="O1021">iferror(index(stomachs!$J:$J,match($A1021,stomachs!$A:$A,0)))</f>
        <v/>
      </c>
      <c r="P1021" t="str">
        <f t="array" ref="P1021">iferror(index(sea_lice!$G:$G,match($A1021,sea_lice!$A:$A,0)))</f>
        <v/>
      </c>
      <c r="Q1021" t="str">
        <f t="array" ref="Q1021">iferror(index(sea_lice!$J:$J,match($A1021,sea_lice!$A:$A,0)))</f>
        <v/>
      </c>
      <c r="R1021" s="40" t="str">
        <f t="array" ref="R1021">iferror(index(dissected_fish!$F:$F,match($A1021,dissected_fish!$A:$A,0)))</f>
        <v>BCA109</v>
      </c>
      <c r="S1021" s="40" t="str">
        <f t="array" ref="S1021">iferror(index(dissected_fish!$K:$K,match($A1021,dissected_fish!$A:$A,0)))</f>
        <v>N</v>
      </c>
      <c r="T1021" s="61" t="str">
        <f t="array" ref="T1021">index(fish_lab_data!O:O,match(A1021,fish_lab_data!C:C,0))</f>
        <v>KB</v>
      </c>
      <c r="U1021" s="61">
        <f t="array" ref="U1021">if(A1021="","",index(fish_lab_data!X:X,match(A1021,fish_lab_data!C:C,0)))</f>
        <v>1020</v>
      </c>
    </row>
    <row r="1022">
      <c r="A1022" t="str">
        <f>fish_lab_data!C1022</f>
        <v>U16238</v>
      </c>
      <c r="B1022" t="str">
        <f t="array" ref="B1022">iferror(index('rna-muscle'!$I:$I,match($A1022,'rna-muscle'!$A:$A,0)))</f>
        <v>BRN71M-C11</v>
      </c>
      <c r="C1022" t="str">
        <f t="array" ref="C1022">iferror(index('rna-muscle'!$L:$L,match($A1022,'rna-muscle'!$A:$A,0)))</f>
        <v>N</v>
      </c>
      <c r="D1022" t="str">
        <f t="array" ref="D1022">iferror(index('rna-gill'!$I:$I,match($A1022,'rna-gill'!$A:$A,0)))</f>
        <v>BRN71G-C11</v>
      </c>
      <c r="E1022" t="str">
        <f t="array" ref="E1022">iferror(index('rna-gill'!$L:$L,match($A1022,'rna-gill'!$A:$A,0)))</f>
        <v>N</v>
      </c>
      <c r="F1022" t="str">
        <f t="array" ref="F1022">iferror(index(fatty_acid!$G:$G,match($A1022,fatty_acid!$A:$A,0)))</f>
        <v>BFA32-64</v>
      </c>
      <c r="G1022" t="str">
        <f t="array" ref="G1022">iferror(index(fatty_acid!$J:$J,match($A1022,fatty_acid!$A:$A,0)))</f>
        <v>N</v>
      </c>
      <c r="H1022" t="str">
        <f t="array" ref="H1022">iferror(index(isotopes!$G:$G,match($A1022,isotopes!$A:$A,0)))</f>
        <v>BIS35-64</v>
      </c>
      <c r="I1022" t="str">
        <f t="array" ref="I1022">iferror(index(isotopes!$J:$J,match($A1022,isotopes!$A:$A,0)))</f>
        <v>N</v>
      </c>
      <c r="J1022" t="str">
        <f t="array" ref="J1022">iferror(index(extra_muscle!$G:$G,match($A1022,extra_muscle!$A:$A,0)))</f>
        <v>BXM33-64</v>
      </c>
      <c r="K1022" t="str">
        <f t="array" ref="K1022">iferror(index(extra_muscle!$J:$J,match($A1022,extra_muscle!$A:$A,0)))</f>
        <v>N</v>
      </c>
      <c r="L1022" s="59" t="str">
        <f t="array" ref="L1022">iferror(index(dna!$G:$G,match($A1022,dna!$A:$A,0)))</f>
        <v>BDN3-97</v>
      </c>
      <c r="M1022" s="60" t="str">
        <f t="array" ref="M1022">iferror(index(dna!$J:$J,match($A1022,dna!$A:$A,0)))</f>
        <v>N</v>
      </c>
      <c r="N1022" t="str">
        <f t="array" ref="N1022">iferror(index(stomachs!$G:$G,match($A1022,stomachs!$A:$A,0)))</f>
        <v/>
      </c>
      <c r="O1022" t="str">
        <f t="array" ref="O1022">iferror(index(stomachs!$J:$J,match($A1022,stomachs!$A:$A,0)))</f>
        <v/>
      </c>
      <c r="P1022" t="str">
        <f t="array" ref="P1022">iferror(index(sea_lice!$G:$G,match($A1022,sea_lice!$A:$A,0)))</f>
        <v/>
      </c>
      <c r="Q1022" t="str">
        <f t="array" ref="Q1022">iferror(index(sea_lice!$J:$J,match($A1022,sea_lice!$A:$A,0)))</f>
        <v/>
      </c>
      <c r="R1022" s="40" t="str">
        <f t="array" ref="R1022">iferror(index(dissected_fish!$F:$F,match($A1022,dissected_fish!$A:$A,0)))</f>
        <v>BCA109</v>
      </c>
      <c r="S1022" s="40" t="str">
        <f t="array" ref="S1022">iferror(index(dissected_fish!$K:$K,match($A1022,dissected_fish!$A:$A,0)))</f>
        <v>N</v>
      </c>
      <c r="T1022" s="61" t="str">
        <f t="array" ref="T1022">index(fish_lab_data!O:O,match(A1022,fish_lab_data!C:C,0))</f>
        <v>KB</v>
      </c>
      <c r="U1022" s="61">
        <f t="array" ref="U1022">if(A1022="","",index(fish_lab_data!X:X,match(A1022,fish_lab_data!C:C,0)))</f>
        <v>1021</v>
      </c>
    </row>
    <row r="1023">
      <c r="A1023" t="str">
        <f>fish_lab_data!C1023</f>
        <v>U16239</v>
      </c>
      <c r="B1023" t="str">
        <f t="array" ref="B1023">iferror(index('rna-muscle'!$I:$I,match($A1023,'rna-muscle'!$A:$A,0)))</f>
        <v>BRN71M-B11</v>
      </c>
      <c r="C1023" t="str">
        <f t="array" ref="C1023">iferror(index('rna-muscle'!$L:$L,match($A1023,'rna-muscle'!$A:$A,0)))</f>
        <v>N</v>
      </c>
      <c r="D1023" t="str">
        <f t="array" ref="D1023">iferror(index('rna-gill'!$I:$I,match($A1023,'rna-gill'!$A:$A,0)))</f>
        <v>BRN71G-B11</v>
      </c>
      <c r="E1023" t="str">
        <f t="array" ref="E1023">iferror(index('rna-gill'!$L:$L,match($A1023,'rna-gill'!$A:$A,0)))</f>
        <v>N</v>
      </c>
      <c r="F1023" t="str">
        <f t="array" ref="F1023">iferror(index(fatty_acid!$G:$G,match($A1023,fatty_acid!$A:$A,0)))</f>
        <v>BFA32-65</v>
      </c>
      <c r="G1023" t="str">
        <f t="array" ref="G1023">iferror(index(fatty_acid!$J:$J,match($A1023,fatty_acid!$A:$A,0)))</f>
        <v>N</v>
      </c>
      <c r="H1023" t="str">
        <f t="array" ref="H1023">iferror(index(isotopes!$G:$G,match($A1023,isotopes!$A:$A,0)))</f>
        <v>BIS35-65</v>
      </c>
      <c r="I1023" t="str">
        <f t="array" ref="I1023">iferror(index(isotopes!$J:$J,match($A1023,isotopes!$A:$A,0)))</f>
        <v>N</v>
      </c>
      <c r="J1023" t="str">
        <f t="array" ref="J1023">iferror(index(extra_muscle!$G:$G,match($A1023,extra_muscle!$A:$A,0)))</f>
        <v>BXM33-65</v>
      </c>
      <c r="K1023" t="str">
        <f t="array" ref="K1023">iferror(index(extra_muscle!$J:$J,match($A1023,extra_muscle!$A:$A,0)))</f>
        <v>N</v>
      </c>
      <c r="L1023" s="59" t="str">
        <f t="array" ref="L1023">iferror(index(dna!$G:$G,match($A1023,dna!$A:$A,0)))</f>
        <v>BDN3-98</v>
      </c>
      <c r="M1023" s="60" t="str">
        <f t="array" ref="M1023">iferror(index(dna!$J:$J,match($A1023,dna!$A:$A,0)))</f>
        <v>N</v>
      </c>
      <c r="N1023" t="str">
        <f t="array" ref="N1023">iferror(index(stomachs!$G:$G,match($A1023,stomachs!$A:$A,0)))</f>
        <v/>
      </c>
      <c r="O1023" t="str">
        <f t="array" ref="O1023">iferror(index(stomachs!$J:$J,match($A1023,stomachs!$A:$A,0)))</f>
        <v/>
      </c>
      <c r="P1023" t="str">
        <f t="array" ref="P1023">iferror(index(sea_lice!$G:$G,match($A1023,sea_lice!$A:$A,0)))</f>
        <v/>
      </c>
      <c r="Q1023" t="str">
        <f t="array" ref="Q1023">iferror(index(sea_lice!$J:$J,match($A1023,sea_lice!$A:$A,0)))</f>
        <v/>
      </c>
      <c r="R1023" s="40" t="str">
        <f t="array" ref="R1023">iferror(index(dissected_fish!$F:$F,match($A1023,dissected_fish!$A:$A,0)))</f>
        <v>BCA109</v>
      </c>
      <c r="S1023" s="40" t="str">
        <f t="array" ref="S1023">iferror(index(dissected_fish!$K:$K,match($A1023,dissected_fish!$A:$A,0)))</f>
        <v>N</v>
      </c>
      <c r="T1023" s="61" t="str">
        <f t="array" ref="T1023">index(fish_lab_data!O:O,match(A1023,fish_lab_data!C:C,0))</f>
        <v>KB</v>
      </c>
      <c r="U1023" s="61">
        <f t="array" ref="U1023">if(A1023="","",index(fish_lab_data!X:X,match(A1023,fish_lab_data!C:C,0)))</f>
        <v>1022</v>
      </c>
    </row>
    <row r="1024">
      <c r="A1024" t="str">
        <f>fish_lab_data!C1024</f>
        <v>U16237</v>
      </c>
      <c r="B1024" t="str">
        <f t="array" ref="B1024">iferror(index('rna-muscle'!$I:$I,match($A1024,'rna-muscle'!$A:$A,0)))</f>
        <v>BRN71M-A11</v>
      </c>
      <c r="C1024" t="str">
        <f t="array" ref="C1024">iferror(index('rna-muscle'!$L:$L,match($A1024,'rna-muscle'!$A:$A,0)))</f>
        <v>N</v>
      </c>
      <c r="D1024" t="str">
        <f t="array" ref="D1024">iferror(index('rna-gill'!$I:$I,match($A1024,'rna-gill'!$A:$A,0)))</f>
        <v>BRN71G-A11</v>
      </c>
      <c r="E1024" t="str">
        <f t="array" ref="E1024">iferror(index('rna-gill'!$L:$L,match($A1024,'rna-gill'!$A:$A,0)))</f>
        <v>N</v>
      </c>
      <c r="F1024" t="str">
        <f t="array" ref="F1024">iferror(index(fatty_acid!$G:$G,match($A1024,fatty_acid!$A:$A,0)))</f>
        <v>BFA32-66</v>
      </c>
      <c r="G1024" t="str">
        <f t="array" ref="G1024">iferror(index(fatty_acid!$J:$J,match($A1024,fatty_acid!$A:$A,0)))</f>
        <v>N</v>
      </c>
      <c r="H1024" t="str">
        <f t="array" ref="H1024">iferror(index(isotopes!$G:$G,match($A1024,isotopes!$A:$A,0)))</f>
        <v>BIS35-66</v>
      </c>
      <c r="I1024" t="str">
        <f t="array" ref="I1024">iferror(index(isotopes!$J:$J,match($A1024,isotopes!$A:$A,0)))</f>
        <v>N</v>
      </c>
      <c r="J1024" t="str">
        <f t="array" ref="J1024">iferror(index(extra_muscle!$G:$G,match($A1024,extra_muscle!$A:$A,0)))</f>
        <v>BXM33-66</v>
      </c>
      <c r="K1024" t="str">
        <f t="array" ref="K1024">iferror(index(extra_muscle!$J:$J,match($A1024,extra_muscle!$A:$A,0)))</f>
        <v>N</v>
      </c>
      <c r="L1024" s="59" t="str">
        <f t="array" ref="L1024">iferror(index(dna!$G:$G,match($A1024,dna!$A:$A,0)))</f>
        <v>BDN3-99</v>
      </c>
      <c r="M1024" s="60" t="str">
        <f t="array" ref="M1024">iferror(index(dna!$J:$J,match($A1024,dna!$A:$A,0)))</f>
        <v>N</v>
      </c>
      <c r="N1024" t="str">
        <f t="array" ref="N1024">iferror(index(stomachs!$G:$G,match($A1024,stomachs!$A:$A,0)))</f>
        <v/>
      </c>
      <c r="O1024" t="str">
        <f t="array" ref="O1024">iferror(index(stomachs!$J:$J,match($A1024,stomachs!$A:$A,0)))</f>
        <v/>
      </c>
      <c r="P1024" t="str">
        <f t="array" ref="P1024">iferror(index(sea_lice!$G:$G,match($A1024,sea_lice!$A:$A,0)))</f>
        <v/>
      </c>
      <c r="Q1024" t="str">
        <f t="array" ref="Q1024">iferror(index(sea_lice!$J:$J,match($A1024,sea_lice!$A:$A,0)))</f>
        <v/>
      </c>
      <c r="R1024" s="40" t="str">
        <f t="array" ref="R1024">iferror(index(dissected_fish!$F:$F,match($A1024,dissected_fish!$A:$A,0)))</f>
        <v>BCA109</v>
      </c>
      <c r="S1024" s="40" t="str">
        <f t="array" ref="S1024">iferror(index(dissected_fish!$K:$K,match($A1024,dissected_fish!$A:$A,0)))</f>
        <v>N</v>
      </c>
      <c r="T1024" s="61" t="str">
        <f t="array" ref="T1024">index(fish_lab_data!O:O,match(A1024,fish_lab_data!C:C,0))</f>
        <v>KB</v>
      </c>
      <c r="U1024" s="61">
        <f t="array" ref="U1024">if(A1024="","",index(fish_lab_data!X:X,match(A1024,fish_lab_data!C:C,0)))</f>
        <v>1023</v>
      </c>
    </row>
    <row r="1025">
      <c r="A1025" t="str">
        <f>fish_lab_data!C1025</f>
        <v>U16529</v>
      </c>
      <c r="B1025" t="str">
        <f t="array" ref="B1025">iferror(index('rna-muscle'!$I:$I,match($A1025,'rna-muscle'!$A:$A,0)))</f>
        <v>BRN71M-G12</v>
      </c>
      <c r="C1025" t="str">
        <f t="array" ref="C1025">iferror(index('rna-muscle'!$L:$L,match($A1025,'rna-muscle'!$A:$A,0)))</f>
        <v>N</v>
      </c>
      <c r="D1025" t="str">
        <f t="array" ref="D1025">iferror(index('rna-gill'!$I:$I,match($A1025,'rna-gill'!$A:$A,0)))</f>
        <v>BRN71G-G12</v>
      </c>
      <c r="E1025" t="str">
        <f t="array" ref="E1025">iferror(index('rna-gill'!$L:$L,match($A1025,'rna-gill'!$A:$A,0)))</f>
        <v>N</v>
      </c>
      <c r="F1025" t="str">
        <f t="array" ref="F1025">iferror(index(fatty_acid!$G:$G,match($A1025,fatty_acid!$A:$A,0)))</f>
        <v>BFA32-67</v>
      </c>
      <c r="G1025" t="str">
        <f t="array" ref="G1025">iferror(index(fatty_acid!$J:$J,match($A1025,fatty_acid!$A:$A,0)))</f>
        <v>N</v>
      </c>
      <c r="H1025" t="str">
        <f t="array" ref="H1025">iferror(index(isotopes!$G:$G,match($A1025,isotopes!$A:$A,0)))</f>
        <v>BIS35-67</v>
      </c>
      <c r="I1025" t="str">
        <f t="array" ref="I1025">iferror(index(isotopes!$J:$J,match($A1025,isotopes!$A:$A,0)))</f>
        <v>N</v>
      </c>
      <c r="J1025" t="str">
        <f t="array" ref="J1025">iferror(index(extra_muscle!$G:$G,match($A1025,extra_muscle!$A:$A,0)))</f>
        <v>BXM33-67</v>
      </c>
      <c r="K1025" t="str">
        <f t="array" ref="K1025">iferror(index(extra_muscle!$J:$J,match($A1025,extra_muscle!$A:$A,0)))</f>
        <v>N</v>
      </c>
      <c r="L1025" s="59" t="str">
        <f t="array" ref="L1025">iferror(index(dna!$G:$G,match($A1025,dna!$A:$A,0)))</f>
        <v>BDN3-100</v>
      </c>
      <c r="M1025" s="60" t="str">
        <f t="array" ref="M1025">iferror(index(dna!$J:$J,match($A1025,dna!$A:$A,0)))</f>
        <v>N</v>
      </c>
      <c r="N1025" t="str">
        <f t="array" ref="N1025">iferror(index(stomachs!$G:$G,match($A1025,stomachs!$A:$A,0)))</f>
        <v/>
      </c>
      <c r="O1025" t="str">
        <f t="array" ref="O1025">iferror(index(stomachs!$J:$J,match($A1025,stomachs!$A:$A,0)))</f>
        <v/>
      </c>
      <c r="P1025" t="str">
        <f t="array" ref="P1025">iferror(index(sea_lice!$G:$G,match($A1025,sea_lice!$A:$A,0)))</f>
        <v/>
      </c>
      <c r="Q1025" t="str">
        <f t="array" ref="Q1025">iferror(index(sea_lice!$J:$J,match($A1025,sea_lice!$A:$A,0)))</f>
        <v/>
      </c>
      <c r="R1025" s="40" t="str">
        <f t="array" ref="R1025">iferror(index(dissected_fish!$F:$F,match($A1025,dissected_fish!$A:$A,0)))</f>
        <v>BCA109</v>
      </c>
      <c r="S1025" s="40" t="str">
        <f t="array" ref="S1025">iferror(index(dissected_fish!$K:$K,match($A1025,dissected_fish!$A:$A,0)))</f>
        <v>N</v>
      </c>
      <c r="T1025" s="61" t="str">
        <f t="array" ref="T1025">index(fish_lab_data!O:O,match(A1025,fish_lab_data!C:C,0))</f>
        <v>KB</v>
      </c>
      <c r="U1025" s="61">
        <f t="array" ref="U1025">if(A1025="","",index(fish_lab_data!X:X,match(A1025,fish_lab_data!C:C,0)))</f>
        <v>1024</v>
      </c>
    </row>
    <row r="1026">
      <c r="A1026" t="str">
        <f>fish_lab_data!C1026</f>
        <v>U16525</v>
      </c>
      <c r="B1026" t="str">
        <f t="array" ref="B1026">iferror(index('rna-muscle'!$I:$I,match($A1026,'rna-muscle'!$A:$A,0)))</f>
        <v>BRN71M-F12</v>
      </c>
      <c r="C1026" t="str">
        <f t="array" ref="C1026">iferror(index('rna-muscle'!$L:$L,match($A1026,'rna-muscle'!$A:$A,0)))</f>
        <v>N</v>
      </c>
      <c r="D1026" t="str">
        <f t="array" ref="D1026">iferror(index('rna-gill'!$I:$I,match($A1026,'rna-gill'!$A:$A,0)))</f>
        <v>BRN71G-F12</v>
      </c>
      <c r="E1026" t="str">
        <f t="array" ref="E1026">iferror(index('rna-gill'!$L:$L,match($A1026,'rna-gill'!$A:$A,0)))</f>
        <v>N</v>
      </c>
      <c r="F1026" t="str">
        <f t="array" ref="F1026">iferror(index(fatty_acid!$G:$G,match($A1026,fatty_acid!$A:$A,0)))</f>
        <v>BFA32-68</v>
      </c>
      <c r="G1026" t="str">
        <f t="array" ref="G1026">iferror(index(fatty_acid!$J:$J,match($A1026,fatty_acid!$A:$A,0)))</f>
        <v>N</v>
      </c>
      <c r="H1026" t="str">
        <f t="array" ref="H1026">iferror(index(isotopes!$G:$G,match($A1026,isotopes!$A:$A,0)))</f>
        <v>BIS35-68</v>
      </c>
      <c r="I1026" t="str">
        <f t="array" ref="I1026">iferror(index(isotopes!$J:$J,match($A1026,isotopes!$A:$A,0)))</f>
        <v>N</v>
      </c>
      <c r="J1026" t="str">
        <f t="array" ref="J1026">iferror(index(extra_muscle!$G:$G,match($A1026,extra_muscle!$A:$A,0)))</f>
        <v>BXM33-68</v>
      </c>
      <c r="K1026" t="str">
        <f t="array" ref="K1026">iferror(index(extra_muscle!$J:$J,match($A1026,extra_muscle!$A:$A,0)))</f>
        <v>N</v>
      </c>
      <c r="L1026" s="59" t="str">
        <f t="array" ref="L1026">iferror(index(dna!$G:$G,match($A1026,dna!$A:$A,0)))</f>
        <v>BDN4-1</v>
      </c>
      <c r="M1026" s="60" t="str">
        <f t="array" ref="M1026">iferror(index(dna!$J:$J,match($A1026,dna!$A:$A,0)))</f>
        <v>N</v>
      </c>
      <c r="N1026" t="str">
        <f t="array" ref="N1026">iferror(index(stomachs!$G:$G,match($A1026,stomachs!$A:$A,0)))</f>
        <v/>
      </c>
      <c r="O1026" t="str">
        <f t="array" ref="O1026">iferror(index(stomachs!$J:$J,match($A1026,stomachs!$A:$A,0)))</f>
        <v/>
      </c>
      <c r="P1026" t="str">
        <f t="array" ref="P1026">iferror(index(sea_lice!$G:$G,match($A1026,sea_lice!$A:$A,0)))</f>
        <v/>
      </c>
      <c r="Q1026" t="str">
        <f t="array" ref="Q1026">iferror(index(sea_lice!$J:$J,match($A1026,sea_lice!$A:$A,0)))</f>
        <v/>
      </c>
      <c r="R1026" s="40" t="str">
        <f t="array" ref="R1026">iferror(index(dissected_fish!$F:$F,match($A1026,dissected_fish!$A:$A,0)))</f>
        <v>BCA109</v>
      </c>
      <c r="S1026" s="40" t="str">
        <f t="array" ref="S1026">iferror(index(dissected_fish!$K:$K,match($A1026,dissected_fish!$A:$A,0)))</f>
        <v>N</v>
      </c>
      <c r="T1026" s="61" t="str">
        <f t="array" ref="T1026">index(fish_lab_data!O:O,match(A1026,fish_lab_data!C:C,0))</f>
        <v>KB</v>
      </c>
      <c r="U1026" s="61">
        <f t="array" ref="U1026">if(A1026="","",index(fish_lab_data!X:X,match(A1026,fish_lab_data!C:C,0)))</f>
        <v>1025</v>
      </c>
    </row>
    <row r="1027">
      <c r="A1027" t="str">
        <f>fish_lab_data!C1027</f>
        <v>U16528</v>
      </c>
      <c r="B1027" t="str">
        <f t="array" ref="B1027">iferror(index('rna-muscle'!$I:$I,match($A1027,'rna-muscle'!$A:$A,0)))</f>
        <v>BRN71M-E12</v>
      </c>
      <c r="C1027" t="str">
        <f t="array" ref="C1027">iferror(index('rna-muscle'!$L:$L,match($A1027,'rna-muscle'!$A:$A,0)))</f>
        <v>N</v>
      </c>
      <c r="D1027" t="str">
        <f t="array" ref="D1027">iferror(index('rna-gill'!$I:$I,match($A1027,'rna-gill'!$A:$A,0)))</f>
        <v>BRN71G-E12</v>
      </c>
      <c r="E1027" t="str">
        <f t="array" ref="E1027">iferror(index('rna-gill'!$L:$L,match($A1027,'rna-gill'!$A:$A,0)))</f>
        <v>N</v>
      </c>
      <c r="F1027" t="str">
        <f t="array" ref="F1027">iferror(index(fatty_acid!$G:$G,match($A1027,fatty_acid!$A:$A,0)))</f>
        <v>BFA32-69</v>
      </c>
      <c r="G1027" t="str">
        <f t="array" ref="G1027">iferror(index(fatty_acid!$J:$J,match($A1027,fatty_acid!$A:$A,0)))</f>
        <v>N</v>
      </c>
      <c r="H1027" t="str">
        <f t="array" ref="H1027">iferror(index(isotopes!$G:$G,match($A1027,isotopes!$A:$A,0)))</f>
        <v>BIS35-69</v>
      </c>
      <c r="I1027" t="str">
        <f t="array" ref="I1027">iferror(index(isotopes!$J:$J,match($A1027,isotopes!$A:$A,0)))</f>
        <v>N</v>
      </c>
      <c r="J1027" t="str">
        <f t="array" ref="J1027">iferror(index(extra_muscle!$G:$G,match($A1027,extra_muscle!$A:$A,0)))</f>
        <v>BXM33-69</v>
      </c>
      <c r="K1027" t="str">
        <f t="array" ref="K1027">iferror(index(extra_muscle!$J:$J,match($A1027,extra_muscle!$A:$A,0)))</f>
        <v>N</v>
      </c>
      <c r="L1027" s="59" t="str">
        <f t="array" ref="L1027">iferror(index(dna!$G:$G,match($A1027,dna!$A:$A,0)))</f>
        <v>BDN4-2</v>
      </c>
      <c r="M1027" s="60" t="str">
        <f t="array" ref="M1027">iferror(index(dna!$J:$J,match($A1027,dna!$A:$A,0)))</f>
        <v>N</v>
      </c>
      <c r="N1027" t="str">
        <f t="array" ref="N1027">iferror(index(stomachs!$G:$G,match($A1027,stomachs!$A:$A,0)))</f>
        <v/>
      </c>
      <c r="O1027" t="str">
        <f t="array" ref="O1027">iferror(index(stomachs!$J:$J,match($A1027,stomachs!$A:$A,0)))</f>
        <v/>
      </c>
      <c r="P1027" t="str">
        <f t="array" ref="P1027">iferror(index(sea_lice!$G:$G,match($A1027,sea_lice!$A:$A,0)))</f>
        <v/>
      </c>
      <c r="Q1027" t="str">
        <f t="array" ref="Q1027">iferror(index(sea_lice!$J:$J,match($A1027,sea_lice!$A:$A,0)))</f>
        <v/>
      </c>
      <c r="R1027" s="40" t="str">
        <f t="array" ref="R1027">iferror(index(dissected_fish!$F:$F,match($A1027,dissected_fish!$A:$A,0)))</f>
        <v>BCA109</v>
      </c>
      <c r="S1027" s="40" t="str">
        <f t="array" ref="S1027">iferror(index(dissected_fish!$K:$K,match($A1027,dissected_fish!$A:$A,0)))</f>
        <v>N</v>
      </c>
      <c r="T1027" s="61" t="str">
        <f t="array" ref="T1027">index(fish_lab_data!O:O,match(A1027,fish_lab_data!C:C,0))</f>
        <v>KB</v>
      </c>
      <c r="U1027" s="61">
        <f t="array" ref="U1027">if(A1027="","",index(fish_lab_data!X:X,match(A1027,fish_lab_data!C:C,0)))</f>
        <v>1026</v>
      </c>
    </row>
    <row r="1028">
      <c r="A1028" t="str">
        <f>fish_lab_data!C1028</f>
        <v>U16527</v>
      </c>
      <c r="B1028" t="str">
        <f t="array" ref="B1028">iferror(index('rna-muscle'!$I:$I,match($A1028,'rna-muscle'!$A:$A,0)))</f>
        <v>BRN71M-D12</v>
      </c>
      <c r="C1028" t="str">
        <f t="array" ref="C1028">iferror(index('rna-muscle'!$L:$L,match($A1028,'rna-muscle'!$A:$A,0)))</f>
        <v>N</v>
      </c>
      <c r="D1028" t="str">
        <f t="array" ref="D1028">iferror(index('rna-gill'!$I:$I,match($A1028,'rna-gill'!$A:$A,0)))</f>
        <v>BRN71G-D12</v>
      </c>
      <c r="E1028" t="str">
        <f t="array" ref="E1028">iferror(index('rna-gill'!$L:$L,match($A1028,'rna-gill'!$A:$A,0)))</f>
        <v>N</v>
      </c>
      <c r="F1028" t="str">
        <f t="array" ref="F1028">iferror(index(fatty_acid!$G:$G,match($A1028,fatty_acid!$A:$A,0)))</f>
        <v>BFA32-70</v>
      </c>
      <c r="G1028" t="str">
        <f t="array" ref="G1028">iferror(index(fatty_acid!$J:$J,match($A1028,fatty_acid!$A:$A,0)))</f>
        <v>N</v>
      </c>
      <c r="H1028" t="str">
        <f t="array" ref="H1028">iferror(index(isotopes!$G:$G,match($A1028,isotopes!$A:$A,0)))</f>
        <v>BIS35-70</v>
      </c>
      <c r="I1028" t="str">
        <f t="array" ref="I1028">iferror(index(isotopes!$J:$J,match($A1028,isotopes!$A:$A,0)))</f>
        <v>N</v>
      </c>
      <c r="J1028" t="str">
        <f t="array" ref="J1028">iferror(index(extra_muscle!$G:$G,match($A1028,extra_muscle!$A:$A,0)))</f>
        <v>BXM33-70</v>
      </c>
      <c r="K1028" t="str">
        <f t="array" ref="K1028">iferror(index(extra_muscle!$J:$J,match($A1028,extra_muscle!$A:$A,0)))</f>
        <v>N</v>
      </c>
      <c r="L1028" s="59" t="str">
        <f t="array" ref="L1028">iferror(index(dna!$G:$G,match($A1028,dna!$A:$A,0)))</f>
        <v>BDN4-3</v>
      </c>
      <c r="M1028" s="60" t="str">
        <f t="array" ref="M1028">iferror(index(dna!$J:$J,match($A1028,dna!$A:$A,0)))</f>
        <v>N</v>
      </c>
      <c r="N1028" t="str">
        <f t="array" ref="N1028">iferror(index(stomachs!$G:$G,match($A1028,stomachs!$A:$A,0)))</f>
        <v/>
      </c>
      <c r="O1028" t="str">
        <f t="array" ref="O1028">iferror(index(stomachs!$J:$J,match($A1028,stomachs!$A:$A,0)))</f>
        <v/>
      </c>
      <c r="P1028" t="str">
        <f t="array" ref="P1028">iferror(index(sea_lice!$G:$G,match($A1028,sea_lice!$A:$A,0)))</f>
        <v/>
      </c>
      <c r="Q1028" t="str">
        <f t="array" ref="Q1028">iferror(index(sea_lice!$J:$J,match($A1028,sea_lice!$A:$A,0)))</f>
        <v/>
      </c>
      <c r="R1028" s="40" t="str">
        <f t="array" ref="R1028">iferror(index(dissected_fish!$F:$F,match($A1028,dissected_fish!$A:$A,0)))</f>
        <v>BCA109</v>
      </c>
      <c r="S1028" s="40" t="str">
        <f t="array" ref="S1028">iferror(index(dissected_fish!$K:$K,match($A1028,dissected_fish!$A:$A,0)))</f>
        <v>N</v>
      </c>
      <c r="T1028" s="61" t="str">
        <f t="array" ref="T1028">index(fish_lab_data!O:O,match(A1028,fish_lab_data!C:C,0))</f>
        <v>KB</v>
      </c>
      <c r="U1028" s="61">
        <f t="array" ref="U1028">if(A1028="","",index(fish_lab_data!X:X,match(A1028,fish_lab_data!C:C,0)))</f>
        <v>1027</v>
      </c>
    </row>
    <row r="1029">
      <c r="A1029" t="str">
        <f>fish_lab_data!C1029</f>
        <v>U16526</v>
      </c>
      <c r="B1029" t="str">
        <f t="array" ref="B1029">iferror(index('rna-muscle'!$I:$I,match($A1029,'rna-muscle'!$A:$A,0)))</f>
        <v>BRN71M-C12</v>
      </c>
      <c r="C1029" t="str">
        <f t="array" ref="C1029">iferror(index('rna-muscle'!$L:$L,match($A1029,'rna-muscle'!$A:$A,0)))</f>
        <v>N</v>
      </c>
      <c r="D1029" t="str">
        <f t="array" ref="D1029">iferror(index('rna-gill'!$I:$I,match($A1029,'rna-gill'!$A:$A,0)))</f>
        <v>BRN71G-C12</v>
      </c>
      <c r="E1029" t="str">
        <f t="array" ref="E1029">iferror(index('rna-gill'!$L:$L,match($A1029,'rna-gill'!$A:$A,0)))</f>
        <v>N</v>
      </c>
      <c r="F1029" t="str">
        <f t="array" ref="F1029">iferror(index(fatty_acid!$G:$G,match($A1029,fatty_acid!$A:$A,0)))</f>
        <v>BFA32-71</v>
      </c>
      <c r="G1029" t="str">
        <f t="array" ref="G1029">iferror(index(fatty_acid!$J:$J,match($A1029,fatty_acid!$A:$A,0)))</f>
        <v>N</v>
      </c>
      <c r="H1029" t="str">
        <f t="array" ref="H1029">iferror(index(isotopes!$G:$G,match($A1029,isotopes!$A:$A,0)))</f>
        <v>BIS35-71</v>
      </c>
      <c r="I1029" t="str">
        <f t="array" ref="I1029">iferror(index(isotopes!$J:$J,match($A1029,isotopes!$A:$A,0)))</f>
        <v>N</v>
      </c>
      <c r="J1029" t="str">
        <f t="array" ref="J1029">iferror(index(extra_muscle!$G:$G,match($A1029,extra_muscle!$A:$A,0)))</f>
        <v>BXM33-71</v>
      </c>
      <c r="K1029" t="str">
        <f t="array" ref="K1029">iferror(index(extra_muscle!$J:$J,match($A1029,extra_muscle!$A:$A,0)))</f>
        <v>N</v>
      </c>
      <c r="L1029" s="59" t="str">
        <f t="array" ref="L1029">iferror(index(dna!$G:$G,match($A1029,dna!$A:$A,0)))</f>
        <v>BDN4-4</v>
      </c>
      <c r="M1029" s="60" t="str">
        <f t="array" ref="M1029">iferror(index(dna!$J:$J,match($A1029,dna!$A:$A,0)))</f>
        <v>N</v>
      </c>
      <c r="N1029" t="str">
        <f t="array" ref="N1029">iferror(index(stomachs!$G:$G,match($A1029,stomachs!$A:$A,0)))</f>
        <v/>
      </c>
      <c r="O1029" t="str">
        <f t="array" ref="O1029">iferror(index(stomachs!$J:$J,match($A1029,stomachs!$A:$A,0)))</f>
        <v/>
      </c>
      <c r="P1029" t="str">
        <f t="array" ref="P1029">iferror(index(sea_lice!$G:$G,match($A1029,sea_lice!$A:$A,0)))</f>
        <v>BSL7-35</v>
      </c>
      <c r="Q1029" t="str">
        <f t="array" ref="Q1029">iferror(index(sea_lice!$J:$J,match($A1029,sea_lice!$A:$A,0)))</f>
        <v>N</v>
      </c>
      <c r="R1029" s="40" t="str">
        <f t="array" ref="R1029">iferror(index(dissected_fish!$F:$F,match($A1029,dissected_fish!$A:$A,0)))</f>
        <v>BCA109</v>
      </c>
      <c r="S1029" s="40" t="str">
        <f t="array" ref="S1029">iferror(index(dissected_fish!$K:$K,match($A1029,dissected_fish!$A:$A,0)))</f>
        <v>N</v>
      </c>
      <c r="T1029" s="61" t="str">
        <f t="array" ref="T1029">index(fish_lab_data!O:O,match(A1029,fish_lab_data!C:C,0))</f>
        <v>KB</v>
      </c>
      <c r="U1029" s="61">
        <f t="array" ref="U1029">if(A1029="","",index(fish_lab_data!X:X,match(A1029,fish_lab_data!C:C,0)))</f>
        <v>1028</v>
      </c>
    </row>
    <row r="1030">
      <c r="A1030" t="str">
        <f>fish_lab_data!C1030</f>
        <v>U16523</v>
      </c>
      <c r="B1030" t="str">
        <f t="array" ref="B1030">iferror(index('rna-muscle'!$I:$I,match($A1030,'rna-muscle'!$A:$A,0)))</f>
        <v>BRN71M-B12</v>
      </c>
      <c r="C1030" t="str">
        <f t="array" ref="C1030">iferror(index('rna-muscle'!$L:$L,match($A1030,'rna-muscle'!$A:$A,0)))</f>
        <v>N</v>
      </c>
      <c r="D1030" t="str">
        <f t="array" ref="D1030">iferror(index('rna-gill'!$I:$I,match($A1030,'rna-gill'!$A:$A,0)))</f>
        <v>BRN71G-B12</v>
      </c>
      <c r="E1030" t="str">
        <f t="array" ref="E1030">iferror(index('rna-gill'!$L:$L,match($A1030,'rna-gill'!$A:$A,0)))</f>
        <v>N</v>
      </c>
      <c r="F1030" t="str">
        <f t="array" ref="F1030">iferror(index(fatty_acid!$G:$G,match($A1030,fatty_acid!$A:$A,0)))</f>
        <v>BFA32-72</v>
      </c>
      <c r="G1030" t="str">
        <f t="array" ref="G1030">iferror(index(fatty_acid!$J:$J,match($A1030,fatty_acid!$A:$A,0)))</f>
        <v>N</v>
      </c>
      <c r="H1030" t="str">
        <f t="array" ref="H1030">iferror(index(isotopes!$G:$G,match($A1030,isotopes!$A:$A,0)))</f>
        <v>BIS35-72</v>
      </c>
      <c r="I1030" t="str">
        <f t="array" ref="I1030">iferror(index(isotopes!$J:$J,match($A1030,isotopes!$A:$A,0)))</f>
        <v>N</v>
      </c>
      <c r="J1030" t="str">
        <f t="array" ref="J1030">iferror(index(extra_muscle!$G:$G,match($A1030,extra_muscle!$A:$A,0)))</f>
        <v>BXM33-72</v>
      </c>
      <c r="K1030" t="str">
        <f t="array" ref="K1030">iferror(index(extra_muscle!$J:$J,match($A1030,extra_muscle!$A:$A,0)))</f>
        <v>N</v>
      </c>
      <c r="L1030" s="59" t="str">
        <f t="array" ref="L1030">iferror(index(dna!$G:$G,match($A1030,dna!$A:$A,0)))</f>
        <v>BDN4-5</v>
      </c>
      <c r="M1030" s="60" t="str">
        <f t="array" ref="M1030">iferror(index(dna!$J:$J,match($A1030,dna!$A:$A,0)))</f>
        <v>N</v>
      </c>
      <c r="N1030" t="str">
        <f t="array" ref="N1030">iferror(index(stomachs!$G:$G,match($A1030,stomachs!$A:$A,0)))</f>
        <v/>
      </c>
      <c r="O1030" t="str">
        <f t="array" ref="O1030">iferror(index(stomachs!$J:$J,match($A1030,stomachs!$A:$A,0)))</f>
        <v/>
      </c>
      <c r="P1030" t="str">
        <f t="array" ref="P1030">iferror(index(sea_lice!$G:$G,match($A1030,sea_lice!$A:$A,0)))</f>
        <v/>
      </c>
      <c r="Q1030" t="str">
        <f t="array" ref="Q1030">iferror(index(sea_lice!$J:$J,match($A1030,sea_lice!$A:$A,0)))</f>
        <v/>
      </c>
      <c r="R1030" s="40" t="str">
        <f t="array" ref="R1030">iferror(index(dissected_fish!$F:$F,match($A1030,dissected_fish!$A:$A,0)))</f>
        <v>BCA109</v>
      </c>
      <c r="S1030" s="40" t="str">
        <f t="array" ref="S1030">iferror(index(dissected_fish!$K:$K,match($A1030,dissected_fish!$A:$A,0)))</f>
        <v>N</v>
      </c>
      <c r="T1030" s="61" t="str">
        <f t="array" ref="T1030">index(fish_lab_data!O:O,match(A1030,fish_lab_data!C:C,0))</f>
        <v>KB</v>
      </c>
      <c r="U1030" s="61">
        <f t="array" ref="U1030">if(A1030="","",index(fish_lab_data!X:X,match(A1030,fish_lab_data!C:C,0)))</f>
        <v>1029</v>
      </c>
    </row>
    <row r="1031">
      <c r="A1031" t="str">
        <f>fish_lab_data!C1031</f>
        <v>U16522</v>
      </c>
      <c r="B1031" t="str">
        <f t="array" ref="B1031">iferror(index('rna-muscle'!$I:$I,match($A1031,'rna-muscle'!$A:$A,0)))</f>
        <v>BRN71M-A12</v>
      </c>
      <c r="C1031" t="str">
        <f t="array" ref="C1031">iferror(index('rna-muscle'!$L:$L,match($A1031,'rna-muscle'!$A:$A,0)))</f>
        <v>N</v>
      </c>
      <c r="D1031" t="str">
        <f t="array" ref="D1031">iferror(index('rna-gill'!$I:$I,match($A1031,'rna-gill'!$A:$A,0)))</f>
        <v>BRN71G-A12</v>
      </c>
      <c r="E1031" t="str">
        <f t="array" ref="E1031">iferror(index('rna-gill'!$L:$L,match($A1031,'rna-gill'!$A:$A,0)))</f>
        <v>N</v>
      </c>
      <c r="F1031" t="str">
        <f t="array" ref="F1031">iferror(index(fatty_acid!$G:$G,match($A1031,fatty_acid!$A:$A,0)))</f>
        <v>BFA32-73</v>
      </c>
      <c r="G1031" t="str">
        <f t="array" ref="G1031">iferror(index(fatty_acid!$J:$J,match($A1031,fatty_acid!$A:$A,0)))</f>
        <v>N</v>
      </c>
      <c r="H1031" t="str">
        <f t="array" ref="H1031">iferror(index(isotopes!$G:$G,match($A1031,isotopes!$A:$A,0)))</f>
        <v>BIS35-73</v>
      </c>
      <c r="I1031" t="str">
        <f t="array" ref="I1031">iferror(index(isotopes!$J:$J,match($A1031,isotopes!$A:$A,0)))</f>
        <v>N</v>
      </c>
      <c r="J1031" t="str">
        <f t="array" ref="J1031">iferror(index(extra_muscle!$G:$G,match($A1031,extra_muscle!$A:$A,0)))</f>
        <v>BXM33-73</v>
      </c>
      <c r="K1031" t="str">
        <f t="array" ref="K1031">iferror(index(extra_muscle!$J:$J,match($A1031,extra_muscle!$A:$A,0)))</f>
        <v>N</v>
      </c>
      <c r="L1031" s="59" t="str">
        <f t="array" ref="L1031">iferror(index(dna!$G:$G,match($A1031,dna!$A:$A,0)))</f>
        <v>BDN4-6</v>
      </c>
      <c r="M1031" s="60" t="str">
        <f t="array" ref="M1031">iferror(index(dna!$J:$J,match($A1031,dna!$A:$A,0)))</f>
        <v>N</v>
      </c>
      <c r="N1031" t="str">
        <f t="array" ref="N1031">iferror(index(stomachs!$G:$G,match($A1031,stomachs!$A:$A,0)))</f>
        <v/>
      </c>
      <c r="O1031" t="str">
        <f t="array" ref="O1031">iferror(index(stomachs!$J:$J,match($A1031,stomachs!$A:$A,0)))</f>
        <v/>
      </c>
      <c r="P1031" t="str">
        <f t="array" ref="P1031">iferror(index(sea_lice!$G:$G,match($A1031,sea_lice!$A:$A,0)))</f>
        <v/>
      </c>
      <c r="Q1031" t="str">
        <f t="array" ref="Q1031">iferror(index(sea_lice!$J:$J,match($A1031,sea_lice!$A:$A,0)))</f>
        <v/>
      </c>
      <c r="R1031" s="40" t="str">
        <f t="array" ref="R1031">iferror(index(dissected_fish!$F:$F,match($A1031,dissected_fish!$A:$A,0)))</f>
        <v>BCA109</v>
      </c>
      <c r="S1031" s="40" t="str">
        <f t="array" ref="S1031">iferror(index(dissected_fish!$K:$K,match($A1031,dissected_fish!$A:$A,0)))</f>
        <v>N</v>
      </c>
      <c r="T1031" s="61" t="str">
        <f t="array" ref="T1031">index(fish_lab_data!O:O,match(A1031,fish_lab_data!C:C,0))</f>
        <v>KB</v>
      </c>
      <c r="U1031" s="61">
        <f t="array" ref="U1031">if(A1031="","",index(fish_lab_data!X:X,match(A1031,fish_lab_data!C:C,0)))</f>
        <v>1030</v>
      </c>
    </row>
    <row r="1032">
      <c r="A1032" t="str">
        <f>fish_lab_data!C1032</f>
        <v>U16524</v>
      </c>
      <c r="B1032" t="str">
        <f t="array" ref="B1032">iferror(index('rna-muscle'!$I:$I,match($A1032,'rna-muscle'!$A:$A,0)))</f>
        <v>BRN73M-H1</v>
      </c>
      <c r="C1032" t="str">
        <f t="array" ref="C1032">iferror(index('rna-muscle'!$L:$L,match($A1032,'rna-muscle'!$A:$A,0)))</f>
        <v>N</v>
      </c>
      <c r="D1032" t="str">
        <f t="array" ref="D1032">iferror(index('rna-gill'!$I:$I,match($A1032,'rna-gill'!$A:$A,0)))</f>
        <v>BRN73G-H1</v>
      </c>
      <c r="E1032" t="str">
        <f t="array" ref="E1032">iferror(index('rna-gill'!$L:$L,match($A1032,'rna-gill'!$A:$A,0)))</f>
        <v>N</v>
      </c>
      <c r="F1032" t="str">
        <f t="array" ref="F1032">iferror(index(fatty_acid!$G:$G,match($A1032,fatty_acid!$A:$A,0)))</f>
        <v>BFA32-74</v>
      </c>
      <c r="G1032" t="str">
        <f t="array" ref="G1032">iferror(index(fatty_acid!$J:$J,match($A1032,fatty_acid!$A:$A,0)))</f>
        <v>N</v>
      </c>
      <c r="H1032" t="str">
        <f t="array" ref="H1032">iferror(index(isotopes!$G:$G,match($A1032,isotopes!$A:$A,0)))</f>
        <v>BIS35-74</v>
      </c>
      <c r="I1032" t="str">
        <f t="array" ref="I1032">iferror(index(isotopes!$J:$J,match($A1032,isotopes!$A:$A,0)))</f>
        <v>N</v>
      </c>
      <c r="J1032" t="str">
        <f t="array" ref="J1032">iferror(index(extra_muscle!$G:$G,match($A1032,extra_muscle!$A:$A,0)))</f>
        <v>BXM33-74</v>
      </c>
      <c r="K1032" t="str">
        <f t="array" ref="K1032">iferror(index(extra_muscle!$J:$J,match($A1032,extra_muscle!$A:$A,0)))</f>
        <v>N</v>
      </c>
      <c r="L1032" s="59" t="str">
        <f t="array" ref="L1032">iferror(index(dna!$G:$G,match($A1032,dna!$A:$A,0)))</f>
        <v>BDN4-7</v>
      </c>
      <c r="M1032" s="60" t="str">
        <f t="array" ref="M1032">iferror(index(dna!$J:$J,match($A1032,dna!$A:$A,0)))</f>
        <v>N</v>
      </c>
      <c r="N1032" t="str">
        <f t="array" ref="N1032">iferror(index(stomachs!$G:$G,match($A1032,stomachs!$A:$A,0)))</f>
        <v/>
      </c>
      <c r="O1032" t="str">
        <f t="array" ref="O1032">iferror(index(stomachs!$J:$J,match($A1032,stomachs!$A:$A,0)))</f>
        <v/>
      </c>
      <c r="P1032" t="str">
        <f t="array" ref="P1032">iferror(index(sea_lice!$G:$G,match($A1032,sea_lice!$A:$A,0)))</f>
        <v/>
      </c>
      <c r="Q1032" t="str">
        <f t="array" ref="Q1032">iferror(index(sea_lice!$J:$J,match($A1032,sea_lice!$A:$A,0)))</f>
        <v/>
      </c>
      <c r="R1032" s="40" t="str">
        <f t="array" ref="R1032">iferror(index(dissected_fish!$F:$F,match($A1032,dissected_fish!$A:$A,0)))</f>
        <v>BCA109</v>
      </c>
      <c r="S1032" s="40" t="str">
        <f t="array" ref="S1032">iferror(index(dissected_fish!$K:$K,match($A1032,dissected_fish!$A:$A,0)))</f>
        <v>N</v>
      </c>
      <c r="T1032" s="61" t="str">
        <f t="array" ref="T1032">index(fish_lab_data!O:O,match(A1032,fish_lab_data!C:C,0))</f>
        <v>KB</v>
      </c>
      <c r="U1032" s="61">
        <f t="array" ref="U1032">if(A1032="","",index(fish_lab_data!X:X,match(A1032,fish_lab_data!C:C,0)))</f>
        <v>1031</v>
      </c>
    </row>
    <row r="1033">
      <c r="A1033" t="str">
        <f>fish_lab_data!C1033</f>
        <v>U16530</v>
      </c>
      <c r="B1033" t="str">
        <f t="array" ref="B1033">iferror(index('rna-muscle'!$I:$I,match($A1033,'rna-muscle'!$A:$A,0)))</f>
        <v>BRN73M-G1</v>
      </c>
      <c r="C1033" t="str">
        <f t="array" ref="C1033">iferror(index('rna-muscle'!$L:$L,match($A1033,'rna-muscle'!$A:$A,0)))</f>
        <v>N</v>
      </c>
      <c r="D1033" t="str">
        <f t="array" ref="D1033">iferror(index('rna-gill'!$I:$I,match($A1033,'rna-gill'!$A:$A,0)))</f>
        <v>BRN73G-G1</v>
      </c>
      <c r="E1033" t="str">
        <f t="array" ref="E1033">iferror(index('rna-gill'!$L:$L,match($A1033,'rna-gill'!$A:$A,0)))</f>
        <v>N</v>
      </c>
      <c r="F1033" t="str">
        <f t="array" ref="F1033">iferror(index(fatty_acid!$G:$G,match($A1033,fatty_acid!$A:$A,0)))</f>
        <v>BFA32-75</v>
      </c>
      <c r="G1033" t="str">
        <f t="array" ref="G1033">iferror(index(fatty_acid!$J:$J,match($A1033,fatty_acid!$A:$A,0)))</f>
        <v>N</v>
      </c>
      <c r="H1033" t="str">
        <f t="array" ref="H1033">iferror(index(isotopes!$G:$G,match($A1033,isotopes!$A:$A,0)))</f>
        <v>BIS35-75</v>
      </c>
      <c r="I1033" t="str">
        <f t="array" ref="I1033">iferror(index(isotopes!$J:$J,match($A1033,isotopes!$A:$A,0)))</f>
        <v>N</v>
      </c>
      <c r="J1033" t="str">
        <f t="array" ref="J1033">iferror(index(extra_muscle!$G:$G,match($A1033,extra_muscle!$A:$A,0)))</f>
        <v>BXM33-75</v>
      </c>
      <c r="K1033" t="str">
        <f t="array" ref="K1033">iferror(index(extra_muscle!$J:$J,match($A1033,extra_muscle!$A:$A,0)))</f>
        <v>N</v>
      </c>
      <c r="L1033" s="59" t="str">
        <f t="array" ref="L1033">iferror(index(dna!$G:$G,match($A1033,dna!$A:$A,0)))</f>
        <v>BDN4-8</v>
      </c>
      <c r="M1033" s="60" t="str">
        <f t="array" ref="M1033">iferror(index(dna!$J:$J,match($A1033,dna!$A:$A,0)))</f>
        <v>N</v>
      </c>
      <c r="N1033" t="str">
        <f t="array" ref="N1033">iferror(index(stomachs!$G:$G,match($A1033,stomachs!$A:$A,0)))</f>
        <v/>
      </c>
      <c r="O1033" t="str">
        <f t="array" ref="O1033">iferror(index(stomachs!$J:$J,match($A1033,stomachs!$A:$A,0)))</f>
        <v/>
      </c>
      <c r="P1033" t="str">
        <f t="array" ref="P1033">iferror(index(sea_lice!$G:$G,match($A1033,sea_lice!$A:$A,0)))</f>
        <v/>
      </c>
      <c r="Q1033" t="str">
        <f t="array" ref="Q1033">iferror(index(sea_lice!$J:$J,match($A1033,sea_lice!$A:$A,0)))</f>
        <v/>
      </c>
      <c r="R1033" s="40" t="str">
        <f t="array" ref="R1033">iferror(index(dissected_fish!$F:$F,match($A1033,dissected_fish!$A:$A,0)))</f>
        <v>BCA109</v>
      </c>
      <c r="S1033" s="40" t="str">
        <f t="array" ref="S1033">iferror(index(dissected_fish!$K:$K,match($A1033,dissected_fish!$A:$A,0)))</f>
        <v>N</v>
      </c>
      <c r="T1033" s="61" t="str">
        <f t="array" ref="T1033">index(fish_lab_data!O:O,match(A1033,fish_lab_data!C:C,0))</f>
        <v>KB</v>
      </c>
      <c r="U1033" s="61">
        <f t="array" ref="U1033">if(A1033="","",index(fish_lab_data!X:X,match(A1033,fish_lab_data!C:C,0)))</f>
        <v>1032</v>
      </c>
    </row>
    <row r="1034">
      <c r="A1034" t="str">
        <f>fish_lab_data!C1034</f>
        <v>U16521</v>
      </c>
      <c r="B1034" t="str">
        <f t="array" ref="B1034">iferror(index('rna-muscle'!$I:$I,match($A1034,'rna-muscle'!$A:$A,0)))</f>
        <v>BRN73M-F1</v>
      </c>
      <c r="C1034" t="str">
        <f t="array" ref="C1034">iferror(index('rna-muscle'!$L:$L,match($A1034,'rna-muscle'!$A:$A,0)))</f>
        <v>N</v>
      </c>
      <c r="D1034" t="str">
        <f t="array" ref="D1034">iferror(index('rna-gill'!$I:$I,match($A1034,'rna-gill'!$A:$A,0)))</f>
        <v>BRN73G-F1</v>
      </c>
      <c r="E1034" t="str">
        <f t="array" ref="E1034">iferror(index('rna-gill'!$L:$L,match($A1034,'rna-gill'!$A:$A,0)))</f>
        <v>N</v>
      </c>
      <c r="F1034" t="str">
        <f t="array" ref="F1034">iferror(index(fatty_acid!$G:$G,match($A1034,fatty_acid!$A:$A,0)))</f>
        <v>BFA32-76</v>
      </c>
      <c r="G1034" t="str">
        <f t="array" ref="G1034">iferror(index(fatty_acid!$J:$J,match($A1034,fatty_acid!$A:$A,0)))</f>
        <v>N</v>
      </c>
      <c r="H1034" t="str">
        <f t="array" ref="H1034">iferror(index(isotopes!$G:$G,match($A1034,isotopes!$A:$A,0)))</f>
        <v>BIS35-76</v>
      </c>
      <c r="I1034" t="str">
        <f t="array" ref="I1034">iferror(index(isotopes!$J:$J,match($A1034,isotopes!$A:$A,0)))</f>
        <v>N</v>
      </c>
      <c r="J1034" t="str">
        <f t="array" ref="J1034">iferror(index(extra_muscle!$G:$G,match($A1034,extra_muscle!$A:$A,0)))</f>
        <v>BXM33-76</v>
      </c>
      <c r="K1034" t="str">
        <f t="array" ref="K1034">iferror(index(extra_muscle!$J:$J,match($A1034,extra_muscle!$A:$A,0)))</f>
        <v>N</v>
      </c>
      <c r="L1034" s="59" t="str">
        <f t="array" ref="L1034">iferror(index(dna!$G:$G,match($A1034,dna!$A:$A,0)))</f>
        <v>BDN4-9</v>
      </c>
      <c r="M1034" s="60" t="str">
        <f t="array" ref="M1034">iferror(index(dna!$J:$J,match($A1034,dna!$A:$A,0)))</f>
        <v>N</v>
      </c>
      <c r="N1034" t="str">
        <f t="array" ref="N1034">iferror(index(stomachs!$G:$G,match($A1034,stomachs!$A:$A,0)))</f>
        <v/>
      </c>
      <c r="O1034" t="str">
        <f t="array" ref="O1034">iferror(index(stomachs!$J:$J,match($A1034,stomachs!$A:$A,0)))</f>
        <v/>
      </c>
      <c r="P1034" t="str">
        <f t="array" ref="P1034">iferror(index(sea_lice!$G:$G,match($A1034,sea_lice!$A:$A,0)))</f>
        <v>BSL7-36</v>
      </c>
      <c r="Q1034" t="str">
        <f t="array" ref="Q1034">iferror(index(sea_lice!$J:$J,match($A1034,sea_lice!$A:$A,0)))</f>
        <v>N</v>
      </c>
      <c r="R1034" s="40" t="str">
        <f t="array" ref="R1034">iferror(index(dissected_fish!$F:$F,match($A1034,dissected_fish!$A:$A,0)))</f>
        <v>BCA109</v>
      </c>
      <c r="S1034" s="40" t="str">
        <f t="array" ref="S1034">iferror(index(dissected_fish!$K:$K,match($A1034,dissected_fish!$A:$A,0)))</f>
        <v>N</v>
      </c>
      <c r="T1034" s="61" t="str">
        <f t="array" ref="T1034">index(fish_lab_data!O:O,match(A1034,fish_lab_data!C:C,0))</f>
        <v>KB</v>
      </c>
      <c r="U1034" s="61">
        <f t="array" ref="U1034">if(A1034="","",index(fish_lab_data!X:X,match(A1034,fish_lab_data!C:C,0)))</f>
        <v>1033</v>
      </c>
    </row>
    <row r="1035">
      <c r="A1035" t="str">
        <f>fish_lab_data!C1035</f>
        <v>U16491</v>
      </c>
      <c r="B1035" t="str">
        <f t="array" ref="B1035">iferror(index('rna-muscle'!$I:$I,match($A1035,'rna-muscle'!$A:$A,0)))</f>
        <v>BRN73M-E1</v>
      </c>
      <c r="C1035" t="str">
        <f t="array" ref="C1035">iferror(index('rna-muscle'!$L:$L,match($A1035,'rna-muscle'!$A:$A,0)))</f>
        <v>N</v>
      </c>
      <c r="D1035" t="str">
        <f t="array" ref="D1035">iferror(index('rna-gill'!$I:$I,match($A1035,'rna-gill'!$A:$A,0)))</f>
        <v>BRN73G-E1</v>
      </c>
      <c r="E1035" t="str">
        <f t="array" ref="E1035">iferror(index('rna-gill'!$L:$L,match($A1035,'rna-gill'!$A:$A,0)))</f>
        <v>N</v>
      </c>
      <c r="F1035" t="str">
        <f t="array" ref="F1035">iferror(index(fatty_acid!$G:$G,match($A1035,fatty_acid!$A:$A,0)))</f>
        <v>BFA32-77</v>
      </c>
      <c r="G1035" t="str">
        <f t="array" ref="G1035">iferror(index(fatty_acid!$J:$J,match($A1035,fatty_acid!$A:$A,0)))</f>
        <v>N</v>
      </c>
      <c r="H1035" t="str">
        <f t="array" ref="H1035">iferror(index(isotopes!$G:$G,match($A1035,isotopes!$A:$A,0)))</f>
        <v>BIS35-77</v>
      </c>
      <c r="I1035" t="str">
        <f t="array" ref="I1035">iferror(index(isotopes!$J:$J,match($A1035,isotopes!$A:$A,0)))</f>
        <v>N</v>
      </c>
      <c r="J1035" t="str">
        <f t="array" ref="J1035">iferror(index(extra_muscle!$G:$G,match($A1035,extra_muscle!$A:$A,0)))</f>
        <v>BXM33-77</v>
      </c>
      <c r="K1035" t="str">
        <f t="array" ref="K1035">iferror(index(extra_muscle!$J:$J,match($A1035,extra_muscle!$A:$A,0)))</f>
        <v>N</v>
      </c>
      <c r="L1035" s="59" t="str">
        <f t="array" ref="L1035">iferror(index(dna!$G:$G,match($A1035,dna!$A:$A,0)))</f>
        <v>BDN4-10</v>
      </c>
      <c r="M1035" s="60" t="str">
        <f t="array" ref="M1035">iferror(index(dna!$J:$J,match($A1035,dna!$A:$A,0)))</f>
        <v>N</v>
      </c>
      <c r="N1035" t="str">
        <f t="array" ref="N1035">iferror(index(stomachs!$G:$G,match($A1035,stomachs!$A:$A,0)))</f>
        <v/>
      </c>
      <c r="O1035" t="str">
        <f t="array" ref="O1035">iferror(index(stomachs!$J:$J,match($A1035,stomachs!$A:$A,0)))</f>
        <v/>
      </c>
      <c r="P1035" t="str">
        <f t="array" ref="P1035">iferror(index(sea_lice!$G:$G,match($A1035,sea_lice!$A:$A,0)))</f>
        <v>BSL7-37</v>
      </c>
      <c r="Q1035" t="str">
        <f t="array" ref="Q1035">iferror(index(sea_lice!$J:$J,match($A1035,sea_lice!$A:$A,0)))</f>
        <v>N</v>
      </c>
      <c r="R1035" s="40" t="str">
        <f t="array" ref="R1035">iferror(index(dissected_fish!$F:$F,match($A1035,dissected_fish!$A:$A,0)))</f>
        <v>BCA109</v>
      </c>
      <c r="S1035" s="40" t="str">
        <f t="array" ref="S1035">iferror(index(dissected_fish!$K:$K,match($A1035,dissected_fish!$A:$A,0)))</f>
        <v>N</v>
      </c>
      <c r="T1035" s="61" t="str">
        <f t="array" ref="T1035">index(fish_lab_data!O:O,match(A1035,fish_lab_data!C:C,0))</f>
        <v>KB</v>
      </c>
      <c r="U1035" s="61">
        <f t="array" ref="U1035">if(A1035="","",index(fish_lab_data!X:X,match(A1035,fish_lab_data!C:C,0)))</f>
        <v>1034</v>
      </c>
    </row>
    <row r="1036">
      <c r="A1036" t="str">
        <f>fish_lab_data!C1036</f>
        <v>U16500</v>
      </c>
      <c r="B1036" t="str">
        <f t="array" ref="B1036">iferror(index('rna-muscle'!$I:$I,match($A1036,'rna-muscle'!$A:$A,0)))</f>
        <v>BRN73M-D1</v>
      </c>
      <c r="C1036" t="str">
        <f t="array" ref="C1036">iferror(index('rna-muscle'!$L:$L,match($A1036,'rna-muscle'!$A:$A,0)))</f>
        <v>N</v>
      </c>
      <c r="D1036" t="str">
        <f t="array" ref="D1036">iferror(index('rna-gill'!$I:$I,match($A1036,'rna-gill'!$A:$A,0)))</f>
        <v>BRN73G-D1</v>
      </c>
      <c r="E1036" t="str">
        <f t="array" ref="E1036">iferror(index('rna-gill'!$L:$L,match($A1036,'rna-gill'!$A:$A,0)))</f>
        <v>N</v>
      </c>
      <c r="F1036" t="str">
        <f t="array" ref="F1036">iferror(index(fatty_acid!$G:$G,match($A1036,fatty_acid!$A:$A,0)))</f>
        <v>BFA32-78</v>
      </c>
      <c r="G1036" t="str">
        <f t="array" ref="G1036">iferror(index(fatty_acid!$J:$J,match($A1036,fatty_acid!$A:$A,0)))</f>
        <v>N</v>
      </c>
      <c r="H1036" t="str">
        <f t="array" ref="H1036">iferror(index(isotopes!$G:$G,match($A1036,isotopes!$A:$A,0)))</f>
        <v>BIS35-78</v>
      </c>
      <c r="I1036" t="str">
        <f t="array" ref="I1036">iferror(index(isotopes!$J:$J,match($A1036,isotopes!$A:$A,0)))</f>
        <v>N</v>
      </c>
      <c r="J1036" t="str">
        <f t="array" ref="J1036">iferror(index(extra_muscle!$G:$G,match($A1036,extra_muscle!$A:$A,0)))</f>
        <v>BXM33-78</v>
      </c>
      <c r="K1036" t="str">
        <f t="array" ref="K1036">iferror(index(extra_muscle!$J:$J,match($A1036,extra_muscle!$A:$A,0)))</f>
        <v>N</v>
      </c>
      <c r="L1036" s="59" t="str">
        <f t="array" ref="L1036">iferror(index(dna!$G:$G,match($A1036,dna!$A:$A,0)))</f>
        <v>BDN4-11</v>
      </c>
      <c r="M1036" s="60" t="str">
        <f t="array" ref="M1036">iferror(index(dna!$J:$J,match($A1036,dna!$A:$A,0)))</f>
        <v>N</v>
      </c>
      <c r="N1036" t="str">
        <f t="array" ref="N1036">iferror(index(stomachs!$G:$G,match($A1036,stomachs!$A:$A,0)))</f>
        <v/>
      </c>
      <c r="O1036" t="str">
        <f t="array" ref="O1036">iferror(index(stomachs!$J:$J,match($A1036,stomachs!$A:$A,0)))</f>
        <v/>
      </c>
      <c r="P1036" t="str">
        <f t="array" ref="P1036">iferror(index(sea_lice!$G:$G,match($A1036,sea_lice!$A:$A,0)))</f>
        <v/>
      </c>
      <c r="Q1036" t="str">
        <f t="array" ref="Q1036">iferror(index(sea_lice!$J:$J,match($A1036,sea_lice!$A:$A,0)))</f>
        <v/>
      </c>
      <c r="R1036" s="40" t="str">
        <f t="array" ref="R1036">iferror(index(dissected_fish!$F:$F,match($A1036,dissected_fish!$A:$A,0)))</f>
        <v>BCA109</v>
      </c>
      <c r="S1036" s="40" t="str">
        <f t="array" ref="S1036">iferror(index(dissected_fish!$K:$K,match($A1036,dissected_fish!$A:$A,0)))</f>
        <v>N</v>
      </c>
      <c r="T1036" s="61" t="str">
        <f t="array" ref="T1036">index(fish_lab_data!O:O,match(A1036,fish_lab_data!C:C,0))</f>
        <v>KB</v>
      </c>
      <c r="U1036" s="61">
        <f t="array" ref="U1036">if(A1036="","",index(fish_lab_data!X:X,match(A1036,fish_lab_data!C:C,0)))</f>
        <v>1035</v>
      </c>
    </row>
    <row r="1037">
      <c r="A1037" t="str">
        <f>fish_lab_data!C1037</f>
        <v>U16498</v>
      </c>
      <c r="B1037" t="str">
        <f t="array" ref="B1037">iferror(index('rna-muscle'!$I:$I,match($A1037,'rna-muscle'!$A:$A,0)))</f>
        <v>BRN73M-C1</v>
      </c>
      <c r="C1037" t="str">
        <f t="array" ref="C1037">iferror(index('rna-muscle'!$L:$L,match($A1037,'rna-muscle'!$A:$A,0)))</f>
        <v>N</v>
      </c>
      <c r="D1037" t="str">
        <f t="array" ref="D1037">iferror(index('rna-gill'!$I:$I,match($A1037,'rna-gill'!$A:$A,0)))</f>
        <v>BRN73G-C1</v>
      </c>
      <c r="E1037" t="str">
        <f t="array" ref="E1037">iferror(index('rna-gill'!$L:$L,match($A1037,'rna-gill'!$A:$A,0)))</f>
        <v>N</v>
      </c>
      <c r="F1037" t="str">
        <f t="array" ref="F1037">iferror(index(fatty_acid!$G:$G,match($A1037,fatty_acid!$A:$A,0)))</f>
        <v>BFA32-79</v>
      </c>
      <c r="G1037" t="str">
        <f t="array" ref="G1037">iferror(index(fatty_acid!$J:$J,match($A1037,fatty_acid!$A:$A,0)))</f>
        <v>N</v>
      </c>
      <c r="H1037" t="str">
        <f t="array" ref="H1037">iferror(index(isotopes!$G:$G,match($A1037,isotopes!$A:$A,0)))</f>
        <v>BIS35-79</v>
      </c>
      <c r="I1037" t="str">
        <f t="array" ref="I1037">iferror(index(isotopes!$J:$J,match($A1037,isotopes!$A:$A,0)))</f>
        <v>N</v>
      </c>
      <c r="J1037" t="str">
        <f t="array" ref="J1037">iferror(index(extra_muscle!$G:$G,match($A1037,extra_muscle!$A:$A,0)))</f>
        <v>BXM33-79</v>
      </c>
      <c r="K1037" t="str">
        <f t="array" ref="K1037">iferror(index(extra_muscle!$J:$J,match($A1037,extra_muscle!$A:$A,0)))</f>
        <v>N</v>
      </c>
      <c r="L1037" s="59" t="str">
        <f t="array" ref="L1037">iferror(index(dna!$G:$G,match($A1037,dna!$A:$A,0)))</f>
        <v>BDN4-12</v>
      </c>
      <c r="M1037" s="60" t="str">
        <f t="array" ref="M1037">iferror(index(dna!$J:$J,match($A1037,dna!$A:$A,0)))</f>
        <v>N</v>
      </c>
      <c r="N1037" t="str">
        <f t="array" ref="N1037">iferror(index(stomachs!$G:$G,match($A1037,stomachs!$A:$A,0)))</f>
        <v/>
      </c>
      <c r="O1037" t="str">
        <f t="array" ref="O1037">iferror(index(stomachs!$J:$J,match($A1037,stomachs!$A:$A,0)))</f>
        <v/>
      </c>
      <c r="P1037" t="str">
        <f t="array" ref="P1037">iferror(index(sea_lice!$G:$G,match($A1037,sea_lice!$A:$A,0)))</f>
        <v/>
      </c>
      <c r="Q1037" t="str">
        <f t="array" ref="Q1037">iferror(index(sea_lice!$J:$J,match($A1037,sea_lice!$A:$A,0)))</f>
        <v/>
      </c>
      <c r="R1037" s="40" t="str">
        <f t="array" ref="R1037">iferror(index(dissected_fish!$F:$F,match($A1037,dissected_fish!$A:$A,0)))</f>
        <v>BCA109</v>
      </c>
      <c r="S1037" s="40" t="str">
        <f t="array" ref="S1037">iferror(index(dissected_fish!$K:$K,match($A1037,dissected_fish!$A:$A,0)))</f>
        <v>N</v>
      </c>
      <c r="T1037" s="61" t="str">
        <f t="array" ref="T1037">index(fish_lab_data!O:O,match(A1037,fish_lab_data!C:C,0))</f>
        <v>KB</v>
      </c>
      <c r="U1037" s="61">
        <f t="array" ref="U1037">if(A1037="","",index(fish_lab_data!X:X,match(A1037,fish_lab_data!C:C,0)))</f>
        <v>1036</v>
      </c>
    </row>
    <row r="1038">
      <c r="A1038" t="str">
        <f>fish_lab_data!C1038</f>
        <v>U16499</v>
      </c>
      <c r="B1038" t="str">
        <f t="array" ref="B1038">iferror(index('rna-muscle'!$I:$I,match($A1038,'rna-muscle'!$A:$A,0)))</f>
        <v>BRN73M-B1</v>
      </c>
      <c r="C1038" t="str">
        <f t="array" ref="C1038">iferror(index('rna-muscle'!$L:$L,match($A1038,'rna-muscle'!$A:$A,0)))</f>
        <v>N</v>
      </c>
      <c r="D1038" t="str">
        <f t="array" ref="D1038">iferror(index('rna-gill'!$I:$I,match($A1038,'rna-gill'!$A:$A,0)))</f>
        <v>BRN73G-B1</v>
      </c>
      <c r="E1038" t="str">
        <f t="array" ref="E1038">iferror(index('rna-gill'!$L:$L,match($A1038,'rna-gill'!$A:$A,0)))</f>
        <v>N</v>
      </c>
      <c r="F1038" t="str">
        <f t="array" ref="F1038">iferror(index(fatty_acid!$G:$G,match($A1038,fatty_acid!$A:$A,0)))</f>
        <v>BFA32-80</v>
      </c>
      <c r="G1038" t="str">
        <f t="array" ref="G1038">iferror(index(fatty_acid!$J:$J,match($A1038,fatty_acid!$A:$A,0)))</f>
        <v>N</v>
      </c>
      <c r="H1038" t="str">
        <f t="array" ref="H1038">iferror(index(isotopes!$G:$G,match($A1038,isotopes!$A:$A,0)))</f>
        <v>BIS35-80</v>
      </c>
      <c r="I1038" t="str">
        <f t="array" ref="I1038">iferror(index(isotopes!$J:$J,match($A1038,isotopes!$A:$A,0)))</f>
        <v>N</v>
      </c>
      <c r="J1038" t="str">
        <f t="array" ref="J1038">iferror(index(extra_muscle!$G:$G,match($A1038,extra_muscle!$A:$A,0)))</f>
        <v>BXM33-80</v>
      </c>
      <c r="K1038" t="str">
        <f t="array" ref="K1038">iferror(index(extra_muscle!$J:$J,match($A1038,extra_muscle!$A:$A,0)))</f>
        <v>N</v>
      </c>
      <c r="L1038" s="59" t="str">
        <f t="array" ref="L1038">iferror(index(dna!$G:$G,match($A1038,dna!$A:$A,0)))</f>
        <v>BDN4-13</v>
      </c>
      <c r="M1038" s="60" t="str">
        <f t="array" ref="M1038">iferror(index(dna!$J:$J,match($A1038,dna!$A:$A,0)))</f>
        <v>N</v>
      </c>
      <c r="N1038" t="str">
        <f t="array" ref="N1038">iferror(index(stomachs!$G:$G,match($A1038,stomachs!$A:$A,0)))</f>
        <v/>
      </c>
      <c r="O1038" t="str">
        <f t="array" ref="O1038">iferror(index(stomachs!$J:$J,match($A1038,stomachs!$A:$A,0)))</f>
        <v/>
      </c>
      <c r="P1038" t="str">
        <f t="array" ref="P1038">iferror(index(sea_lice!$G:$G,match($A1038,sea_lice!$A:$A,0)))</f>
        <v>BSL7-39</v>
      </c>
      <c r="Q1038" t="str">
        <f t="array" ref="Q1038">iferror(index(sea_lice!$J:$J,match($A1038,sea_lice!$A:$A,0)))</f>
        <v>N</v>
      </c>
      <c r="R1038" s="40" t="str">
        <f t="array" ref="R1038">iferror(index(dissected_fish!$F:$F,match($A1038,dissected_fish!$A:$A,0)))</f>
        <v>BCA109</v>
      </c>
      <c r="S1038" s="40" t="str">
        <f t="array" ref="S1038">iferror(index(dissected_fish!$K:$K,match($A1038,dissected_fish!$A:$A,0)))</f>
        <v>N</v>
      </c>
      <c r="T1038" s="61" t="str">
        <f t="array" ref="T1038">index(fish_lab_data!O:O,match(A1038,fish_lab_data!C:C,0))</f>
        <v>KB</v>
      </c>
      <c r="U1038" s="61">
        <f t="array" ref="U1038">if(A1038="","",index(fish_lab_data!X:X,match(A1038,fish_lab_data!C:C,0)))</f>
        <v>1037</v>
      </c>
    </row>
    <row r="1039">
      <c r="A1039" t="str">
        <f>fish_lab_data!C1039</f>
        <v>U16496</v>
      </c>
      <c r="B1039" t="str">
        <f t="array" ref="B1039">iferror(index('rna-muscle'!$I:$I,match($A1039,'rna-muscle'!$A:$A,0)))</f>
        <v>BRN73M-A1</v>
      </c>
      <c r="C1039" t="str">
        <f t="array" ref="C1039">iferror(index('rna-muscle'!$L:$L,match($A1039,'rna-muscle'!$A:$A,0)))</f>
        <v>N</v>
      </c>
      <c r="D1039" t="str">
        <f t="array" ref="D1039">iferror(index('rna-gill'!$I:$I,match($A1039,'rna-gill'!$A:$A,0)))</f>
        <v>BRN73G-A1</v>
      </c>
      <c r="E1039" t="str">
        <f t="array" ref="E1039">iferror(index('rna-gill'!$L:$L,match($A1039,'rna-gill'!$A:$A,0)))</f>
        <v>N</v>
      </c>
      <c r="F1039" t="str">
        <f t="array" ref="F1039">iferror(index(fatty_acid!$G:$G,match($A1039,fatty_acid!$A:$A,0)))</f>
        <v>BFA32-81</v>
      </c>
      <c r="G1039" t="str">
        <f t="array" ref="G1039">iferror(index(fatty_acid!$J:$J,match($A1039,fatty_acid!$A:$A,0)))</f>
        <v>N</v>
      </c>
      <c r="H1039" t="str">
        <f t="array" ref="H1039">iferror(index(isotopes!$G:$G,match($A1039,isotopes!$A:$A,0)))</f>
        <v>BIS35-81</v>
      </c>
      <c r="I1039" t="str">
        <f t="array" ref="I1039">iferror(index(isotopes!$J:$J,match($A1039,isotopes!$A:$A,0)))</f>
        <v>N</v>
      </c>
      <c r="J1039" t="str">
        <f t="array" ref="J1039">iferror(index(extra_muscle!$G:$G,match($A1039,extra_muscle!$A:$A,0)))</f>
        <v>BXM33-81</v>
      </c>
      <c r="K1039" t="str">
        <f t="array" ref="K1039">iferror(index(extra_muscle!$J:$J,match($A1039,extra_muscle!$A:$A,0)))</f>
        <v>N</v>
      </c>
      <c r="L1039" s="59" t="str">
        <f t="array" ref="L1039">iferror(index(dna!$G:$G,match($A1039,dna!$A:$A,0)))</f>
        <v>BDN4-14</v>
      </c>
      <c r="M1039" s="60" t="str">
        <f t="array" ref="M1039">iferror(index(dna!$J:$J,match($A1039,dna!$A:$A,0)))</f>
        <v>N</v>
      </c>
      <c r="N1039" t="str">
        <f t="array" ref="N1039">iferror(index(stomachs!$G:$G,match($A1039,stomachs!$A:$A,0)))</f>
        <v/>
      </c>
      <c r="O1039" t="str">
        <f t="array" ref="O1039">iferror(index(stomachs!$J:$J,match($A1039,stomachs!$A:$A,0)))</f>
        <v/>
      </c>
      <c r="P1039" t="str">
        <f t="array" ref="P1039">iferror(index(sea_lice!$G:$G,match($A1039,sea_lice!$A:$A,0)))</f>
        <v/>
      </c>
      <c r="Q1039" t="str">
        <f t="array" ref="Q1039">iferror(index(sea_lice!$J:$J,match($A1039,sea_lice!$A:$A,0)))</f>
        <v/>
      </c>
      <c r="R1039" s="40" t="str">
        <f t="array" ref="R1039">iferror(index(dissected_fish!$F:$F,match($A1039,dissected_fish!$A:$A,0)))</f>
        <v>BCA109</v>
      </c>
      <c r="S1039" s="40" t="str">
        <f t="array" ref="S1039">iferror(index(dissected_fish!$K:$K,match($A1039,dissected_fish!$A:$A,0)))</f>
        <v>N</v>
      </c>
      <c r="T1039" s="61" t="str">
        <f t="array" ref="T1039">index(fish_lab_data!O:O,match(A1039,fish_lab_data!C:C,0))</f>
        <v>KB</v>
      </c>
      <c r="U1039" s="61">
        <f t="array" ref="U1039">if(A1039="","",index(fish_lab_data!X:X,match(A1039,fish_lab_data!C:C,0)))</f>
        <v>1038</v>
      </c>
    </row>
    <row r="1040">
      <c r="A1040" t="str">
        <f>fish_lab_data!C1040</f>
        <v>U5450</v>
      </c>
      <c r="B1040" t="str">
        <f t="array" ref="B1040">iferror(index('rna-muscle'!$I:$I,match($A1040,'rna-muscle'!$A:$A,0)))</f>
        <v>BRN73M-H2</v>
      </c>
      <c r="C1040" t="str">
        <f t="array" ref="C1040">iferror(index('rna-muscle'!$L:$L,match($A1040,'rna-muscle'!$A:$A,0)))</f>
        <v>N</v>
      </c>
      <c r="D1040" t="str">
        <f t="array" ref="D1040">iferror(index('rna-gill'!$I:$I,match($A1040,'rna-gill'!$A:$A,0)))</f>
        <v>BRN73G-H2</v>
      </c>
      <c r="E1040" t="str">
        <f t="array" ref="E1040">iferror(index('rna-gill'!$L:$L,match($A1040,'rna-gill'!$A:$A,0)))</f>
        <v>N</v>
      </c>
      <c r="F1040" t="str">
        <f t="array" ref="F1040">iferror(index(fatty_acid!$G:$G,match($A1040,fatty_acid!$A:$A,0)))</f>
        <v>BFA22-35</v>
      </c>
      <c r="G1040" t="str">
        <f t="array" ref="G1040">iferror(index(fatty_acid!$J:$J,match($A1040,fatty_acid!$A:$A,0)))</f>
        <v>N</v>
      </c>
      <c r="H1040" t="str">
        <f t="array" ref="H1040">iferror(index(isotopes!$G:$G,match($A1040,isotopes!$A:$A,0)))</f>
        <v>BIS36-11</v>
      </c>
      <c r="I1040" t="str">
        <f t="array" ref="I1040">iferror(index(isotopes!$J:$J,match($A1040,isotopes!$A:$A,0)))</f>
        <v>N</v>
      </c>
      <c r="J1040" t="str">
        <f t="array" ref="J1040">iferror(index(extra_muscle!$G:$G,match($A1040,extra_muscle!$A:$A,0)))</f>
        <v>BXM34-11</v>
      </c>
      <c r="K1040" t="str">
        <f t="array" ref="K1040">iferror(index(extra_muscle!$J:$J,match($A1040,extra_muscle!$A:$A,0)))</f>
        <v>N</v>
      </c>
      <c r="L1040" s="59" t="str">
        <f t="array" ref="L1040">iferror(index(dna!$G:$G,match($A1040,dna!$A:$A,0)))</f>
        <v>BDN10-1</v>
      </c>
      <c r="M1040" s="60" t="str">
        <f t="array" ref="M1040">iferror(index(dna!$J:$J,match($A1040,dna!$A:$A,0)))</f>
        <v>N</v>
      </c>
      <c r="N1040" t="str">
        <f t="array" ref="N1040">iferror(index(stomachs!$G:$G,match($A1040,stomachs!$A:$A,0)))</f>
        <v>BST246-1</v>
      </c>
      <c r="O1040" t="str">
        <f t="array" ref="O1040">iferror(index(stomachs!$J:$J,match($A1040,stomachs!$A:$A,0)))</f>
        <v>N</v>
      </c>
      <c r="P1040" t="str">
        <f t="array" ref="P1040">iferror(index(sea_lice!$G:$G,match($A1040,sea_lice!$A:$A,0)))</f>
        <v>BSL7-38</v>
      </c>
      <c r="Q1040" t="str">
        <f t="array" ref="Q1040">iferror(index(sea_lice!$J:$J,match($A1040,sea_lice!$A:$A,0)))</f>
        <v>N</v>
      </c>
      <c r="R1040" s="40" t="str">
        <f t="array" ref="R1040">iferror(index(dissected_fish!$F:$F,match($A1040,dissected_fish!$A:$A,0)))</f>
        <v>BCA109</v>
      </c>
      <c r="S1040" s="40" t="str">
        <f t="array" ref="S1040">iferror(index(dissected_fish!$K:$K,match($A1040,dissected_fish!$A:$A,0)))</f>
        <v>N</v>
      </c>
      <c r="T1040" s="61" t="str">
        <f t="array" ref="T1040">index(fish_lab_data!O:O,match(A1040,fish_lab_data!C:C,0))</f>
        <v>JG</v>
      </c>
      <c r="U1040" s="61">
        <f t="array" ref="U1040">if(A1040="","",index(fish_lab_data!X:X,match(A1040,fish_lab_data!C:C,0)))</f>
        <v>1039</v>
      </c>
    </row>
    <row r="1041">
      <c r="A1041" t="str">
        <f>fish_lab_data!C1041</f>
        <v>U5451</v>
      </c>
      <c r="B1041" t="str">
        <f t="array" ref="B1041">iferror(index('rna-muscle'!$I:$I,match($A1041,'rna-muscle'!$A:$A,0)))</f>
        <v>BRN73M-G2</v>
      </c>
      <c r="C1041" t="str">
        <f t="array" ref="C1041">iferror(index('rna-muscle'!$L:$L,match($A1041,'rna-muscle'!$A:$A,0)))</f>
        <v>N</v>
      </c>
      <c r="D1041" t="str">
        <f t="array" ref="D1041">iferror(index('rna-gill'!$I:$I,match($A1041,'rna-gill'!$A:$A,0)))</f>
        <v>BRN73G-G2</v>
      </c>
      <c r="E1041" t="str">
        <f t="array" ref="E1041">iferror(index('rna-gill'!$L:$L,match($A1041,'rna-gill'!$A:$A,0)))</f>
        <v>N</v>
      </c>
      <c r="F1041" t="str">
        <f t="array" ref="F1041">iferror(index(fatty_acid!$G:$G,match($A1041,fatty_acid!$A:$A,0)))</f>
        <v>BFA22-36</v>
      </c>
      <c r="G1041" t="str">
        <f t="array" ref="G1041">iferror(index(fatty_acid!$J:$J,match($A1041,fatty_acid!$A:$A,0)))</f>
        <v>N</v>
      </c>
      <c r="H1041" t="str">
        <f t="array" ref="H1041">iferror(index(isotopes!$G:$G,match($A1041,isotopes!$A:$A,0)))</f>
        <v>BIS36-12</v>
      </c>
      <c r="I1041" t="str">
        <f t="array" ref="I1041">iferror(index(isotopes!$J:$J,match($A1041,isotopes!$A:$A,0)))</f>
        <v>N</v>
      </c>
      <c r="J1041" t="str">
        <f t="array" ref="J1041">iferror(index(extra_muscle!$G:$G,match($A1041,extra_muscle!$A:$A,0)))</f>
        <v>BXM34-12</v>
      </c>
      <c r="K1041" t="str">
        <f t="array" ref="K1041">iferror(index(extra_muscle!$J:$J,match($A1041,extra_muscle!$A:$A,0)))</f>
        <v>N</v>
      </c>
      <c r="L1041" s="59" t="str">
        <f t="array" ref="L1041">iferror(index(dna!$G:$G,match($A1041,dna!$A:$A,0)))</f>
        <v>BDN10-2</v>
      </c>
      <c r="M1041" s="60" t="str">
        <f t="array" ref="M1041">iferror(index(dna!$J:$J,match($A1041,dna!$A:$A,0)))</f>
        <v>N</v>
      </c>
      <c r="N1041" t="str">
        <f t="array" ref="N1041">iferror(index(stomachs!$G:$G,match($A1041,stomachs!$A:$A,0)))</f>
        <v>BST246-2</v>
      </c>
      <c r="O1041" t="str">
        <f t="array" ref="O1041">iferror(index(stomachs!$J:$J,match($A1041,stomachs!$A:$A,0)))</f>
        <v>N</v>
      </c>
      <c r="P1041" t="str">
        <f t="array" ref="P1041">iferror(index(sea_lice!$G:$G,match($A1041,sea_lice!$A:$A,0)))</f>
        <v>BSL7-40</v>
      </c>
      <c r="Q1041" t="str">
        <f t="array" ref="Q1041">iferror(index(sea_lice!$J:$J,match($A1041,sea_lice!$A:$A,0)))</f>
        <v>N</v>
      </c>
      <c r="R1041" s="40" t="str">
        <f t="array" ref="R1041">iferror(index(dissected_fish!$F:$F,match($A1041,dissected_fish!$A:$A,0)))</f>
        <v>BCA109</v>
      </c>
      <c r="S1041" s="40" t="str">
        <f t="array" ref="S1041">iferror(index(dissected_fish!$K:$K,match($A1041,dissected_fish!$A:$A,0)))</f>
        <v>N</v>
      </c>
      <c r="T1041" s="61" t="str">
        <f t="array" ref="T1041">index(fish_lab_data!O:O,match(A1041,fish_lab_data!C:C,0))</f>
        <v>JG</v>
      </c>
      <c r="U1041" s="61">
        <f t="array" ref="U1041">if(A1041="","",index(fish_lab_data!X:X,match(A1041,fish_lab_data!C:C,0)))</f>
        <v>1040</v>
      </c>
    </row>
    <row r="1042">
      <c r="A1042" t="str">
        <f>fish_lab_data!C1042</f>
        <v>U5452</v>
      </c>
      <c r="B1042" t="str">
        <f t="array" ref="B1042">iferror(index('rna-muscle'!$I:$I,match($A1042,'rna-muscle'!$A:$A,0)))</f>
        <v>BRN73M-F2</v>
      </c>
      <c r="C1042" t="str">
        <f t="array" ref="C1042">iferror(index('rna-muscle'!$L:$L,match($A1042,'rna-muscle'!$A:$A,0)))</f>
        <v>N</v>
      </c>
      <c r="D1042" t="str">
        <f t="array" ref="D1042">iferror(index('rna-gill'!$I:$I,match($A1042,'rna-gill'!$A:$A,0)))</f>
        <v>BRN73G-F2</v>
      </c>
      <c r="E1042" t="str">
        <f t="array" ref="E1042">iferror(index('rna-gill'!$L:$L,match($A1042,'rna-gill'!$A:$A,0)))</f>
        <v>N</v>
      </c>
      <c r="F1042" t="str">
        <f t="array" ref="F1042">iferror(index(fatty_acid!$G:$G,match($A1042,fatty_acid!$A:$A,0)))</f>
        <v>BFA22-37</v>
      </c>
      <c r="G1042" t="str">
        <f t="array" ref="G1042">iferror(index(fatty_acid!$J:$J,match($A1042,fatty_acid!$A:$A,0)))</f>
        <v>N</v>
      </c>
      <c r="H1042" t="str">
        <f t="array" ref="H1042">iferror(index(isotopes!$G:$G,match($A1042,isotopes!$A:$A,0)))</f>
        <v>BIS36-13</v>
      </c>
      <c r="I1042" t="str">
        <f t="array" ref="I1042">iferror(index(isotopes!$J:$J,match($A1042,isotopes!$A:$A,0)))</f>
        <v>N</v>
      </c>
      <c r="J1042" t="str">
        <f t="array" ref="J1042">iferror(index(extra_muscle!$G:$G,match($A1042,extra_muscle!$A:$A,0)))</f>
        <v>BXM34-13</v>
      </c>
      <c r="K1042" t="str">
        <f t="array" ref="K1042">iferror(index(extra_muscle!$J:$J,match($A1042,extra_muscle!$A:$A,0)))</f>
        <v>N</v>
      </c>
      <c r="L1042" s="59" t="str">
        <f t="array" ref="L1042">iferror(index(dna!$G:$G,match($A1042,dna!$A:$A,0)))</f>
        <v>BDN10-3</v>
      </c>
      <c r="M1042" s="60" t="str">
        <f t="array" ref="M1042">iferror(index(dna!$J:$J,match($A1042,dna!$A:$A,0)))</f>
        <v>N</v>
      </c>
      <c r="N1042" t="str">
        <f t="array" ref="N1042">iferror(index(stomachs!$G:$G,match($A1042,stomachs!$A:$A,0)))</f>
        <v>BST246-3</v>
      </c>
      <c r="O1042" t="str">
        <f t="array" ref="O1042">iferror(index(stomachs!$J:$J,match($A1042,stomachs!$A:$A,0)))</f>
        <v>N</v>
      </c>
      <c r="P1042" t="str">
        <f t="array" ref="P1042">iferror(index(sea_lice!$G:$G,match($A1042,sea_lice!$A:$A,0)))</f>
        <v/>
      </c>
      <c r="Q1042" t="str">
        <f t="array" ref="Q1042">iferror(index(sea_lice!$J:$J,match($A1042,sea_lice!$A:$A,0)))</f>
        <v/>
      </c>
      <c r="R1042" s="40" t="str">
        <f t="array" ref="R1042">iferror(index(dissected_fish!$F:$F,match($A1042,dissected_fish!$A:$A,0)))</f>
        <v>BCA109</v>
      </c>
      <c r="S1042" s="40" t="str">
        <f t="array" ref="S1042">iferror(index(dissected_fish!$K:$K,match($A1042,dissected_fish!$A:$A,0)))</f>
        <v>N</v>
      </c>
      <c r="T1042" s="61" t="str">
        <f t="array" ref="T1042">index(fish_lab_data!O:O,match(A1042,fish_lab_data!C:C,0))</f>
        <v>JG</v>
      </c>
      <c r="U1042" s="61">
        <f t="array" ref="U1042">if(A1042="","",index(fish_lab_data!X:X,match(A1042,fish_lab_data!C:C,0)))</f>
        <v>1041</v>
      </c>
    </row>
    <row r="1043">
      <c r="A1043" t="str">
        <f>fish_lab_data!C1043</f>
        <v>U5453</v>
      </c>
      <c r="B1043" t="str">
        <f t="array" ref="B1043">iferror(index('rna-muscle'!$I:$I,match($A1043,'rna-muscle'!$A:$A,0)))</f>
        <v>BRN73M-E2</v>
      </c>
      <c r="C1043" t="str">
        <f t="array" ref="C1043">iferror(index('rna-muscle'!$L:$L,match($A1043,'rna-muscle'!$A:$A,0)))</f>
        <v>N</v>
      </c>
      <c r="D1043" t="str">
        <f t="array" ref="D1043">iferror(index('rna-gill'!$I:$I,match($A1043,'rna-gill'!$A:$A,0)))</f>
        <v>BRN73G-E2</v>
      </c>
      <c r="E1043" t="str">
        <f t="array" ref="E1043">iferror(index('rna-gill'!$L:$L,match($A1043,'rna-gill'!$A:$A,0)))</f>
        <v>N</v>
      </c>
      <c r="F1043" t="str">
        <f t="array" ref="F1043">iferror(index(fatty_acid!$G:$G,match($A1043,fatty_acid!$A:$A,0)))</f>
        <v>BFA22-38</v>
      </c>
      <c r="G1043" t="str">
        <f t="array" ref="G1043">iferror(index(fatty_acid!$J:$J,match($A1043,fatty_acid!$A:$A,0)))</f>
        <v>N</v>
      </c>
      <c r="H1043" t="str">
        <f t="array" ref="H1043">iferror(index(isotopes!$G:$G,match($A1043,isotopes!$A:$A,0)))</f>
        <v>BIS36-14</v>
      </c>
      <c r="I1043" t="str">
        <f t="array" ref="I1043">iferror(index(isotopes!$J:$J,match($A1043,isotopes!$A:$A,0)))</f>
        <v>N</v>
      </c>
      <c r="J1043" t="str">
        <f t="array" ref="J1043">iferror(index(extra_muscle!$G:$G,match($A1043,extra_muscle!$A:$A,0)))</f>
        <v>BXM34-14</v>
      </c>
      <c r="K1043" t="str">
        <f t="array" ref="K1043">iferror(index(extra_muscle!$J:$J,match($A1043,extra_muscle!$A:$A,0)))</f>
        <v>N</v>
      </c>
      <c r="L1043" s="59" t="str">
        <f t="array" ref="L1043">iferror(index(dna!$G:$G,match($A1043,dna!$A:$A,0)))</f>
        <v>BDN10-4</v>
      </c>
      <c r="M1043" s="60" t="str">
        <f t="array" ref="M1043">iferror(index(dna!$J:$J,match($A1043,dna!$A:$A,0)))</f>
        <v>N</v>
      </c>
      <c r="N1043" t="str">
        <f t="array" ref="N1043">iferror(index(stomachs!$G:$G,match($A1043,stomachs!$A:$A,0)))</f>
        <v>BST246-4</v>
      </c>
      <c r="O1043" t="str">
        <f t="array" ref="O1043">iferror(index(stomachs!$J:$J,match($A1043,stomachs!$A:$A,0)))</f>
        <v>N</v>
      </c>
      <c r="P1043" t="str">
        <f t="array" ref="P1043">iferror(index(sea_lice!$G:$G,match($A1043,sea_lice!$A:$A,0)))</f>
        <v>BSL7-41</v>
      </c>
      <c r="Q1043" t="str">
        <f t="array" ref="Q1043">iferror(index(sea_lice!$J:$J,match($A1043,sea_lice!$A:$A,0)))</f>
        <v>N</v>
      </c>
      <c r="R1043" s="40" t="str">
        <f t="array" ref="R1043">iferror(index(dissected_fish!$F:$F,match($A1043,dissected_fish!$A:$A,0)))</f>
        <v>BCA109</v>
      </c>
      <c r="S1043" s="40" t="str">
        <f t="array" ref="S1043">iferror(index(dissected_fish!$K:$K,match($A1043,dissected_fish!$A:$A,0)))</f>
        <v>N</v>
      </c>
      <c r="T1043" s="61" t="str">
        <f t="array" ref="T1043">index(fish_lab_data!O:O,match(A1043,fish_lab_data!C:C,0))</f>
        <v>JG</v>
      </c>
      <c r="U1043" s="61">
        <f t="array" ref="U1043">if(A1043="","",index(fish_lab_data!X:X,match(A1043,fish_lab_data!C:C,0)))</f>
        <v>1042</v>
      </c>
    </row>
    <row r="1044">
      <c r="A1044" t="str">
        <f>fish_lab_data!C1044</f>
        <v>U5454</v>
      </c>
      <c r="B1044" t="str">
        <f t="array" ref="B1044">iferror(index('rna-muscle'!$I:$I,match($A1044,'rna-muscle'!$A:$A,0)))</f>
        <v>BRN73M-D2</v>
      </c>
      <c r="C1044" t="str">
        <f t="array" ref="C1044">iferror(index('rna-muscle'!$L:$L,match($A1044,'rna-muscle'!$A:$A,0)))</f>
        <v>N</v>
      </c>
      <c r="D1044" t="str">
        <f t="array" ref="D1044">iferror(index('rna-gill'!$I:$I,match($A1044,'rna-gill'!$A:$A,0)))</f>
        <v>BRN73G-D2</v>
      </c>
      <c r="E1044" t="str">
        <f t="array" ref="E1044">iferror(index('rna-gill'!$L:$L,match($A1044,'rna-gill'!$A:$A,0)))</f>
        <v>N</v>
      </c>
      <c r="F1044" t="str">
        <f t="array" ref="F1044">iferror(index(fatty_acid!$G:$G,match($A1044,fatty_acid!$A:$A,0)))</f>
        <v>BFA22-39</v>
      </c>
      <c r="G1044" t="str">
        <f t="array" ref="G1044">iferror(index(fatty_acid!$J:$J,match($A1044,fatty_acid!$A:$A,0)))</f>
        <v>N</v>
      </c>
      <c r="H1044" t="str">
        <f t="array" ref="H1044">iferror(index(isotopes!$G:$G,match($A1044,isotopes!$A:$A,0)))</f>
        <v>BIS36-15</v>
      </c>
      <c r="I1044" t="str">
        <f t="array" ref="I1044">iferror(index(isotopes!$J:$J,match($A1044,isotopes!$A:$A,0)))</f>
        <v>N</v>
      </c>
      <c r="J1044" t="str">
        <f t="array" ref="J1044">iferror(index(extra_muscle!$G:$G,match($A1044,extra_muscle!$A:$A,0)))</f>
        <v>BXM34-15</v>
      </c>
      <c r="K1044" t="str">
        <f t="array" ref="K1044">iferror(index(extra_muscle!$J:$J,match($A1044,extra_muscle!$A:$A,0)))</f>
        <v>N</v>
      </c>
      <c r="L1044" s="59" t="str">
        <f t="array" ref="L1044">iferror(index(dna!$G:$G,match($A1044,dna!$A:$A,0)))</f>
        <v>BDN10-5</v>
      </c>
      <c r="M1044" s="60" t="str">
        <f t="array" ref="M1044">iferror(index(dna!$J:$J,match($A1044,dna!$A:$A,0)))</f>
        <v>N</v>
      </c>
      <c r="N1044" t="str">
        <f t="array" ref="N1044">iferror(index(stomachs!$G:$G,match($A1044,stomachs!$A:$A,0)))</f>
        <v>BST246-5</v>
      </c>
      <c r="O1044" t="str">
        <f t="array" ref="O1044">iferror(index(stomachs!$J:$J,match($A1044,stomachs!$A:$A,0)))</f>
        <v>N</v>
      </c>
      <c r="P1044" t="str">
        <f t="array" ref="P1044">iferror(index(sea_lice!$G:$G,match($A1044,sea_lice!$A:$A,0)))</f>
        <v/>
      </c>
      <c r="Q1044" t="str">
        <f t="array" ref="Q1044">iferror(index(sea_lice!$J:$J,match($A1044,sea_lice!$A:$A,0)))</f>
        <v/>
      </c>
      <c r="R1044" s="40" t="str">
        <f t="array" ref="R1044">iferror(index(dissected_fish!$F:$F,match($A1044,dissected_fish!$A:$A,0)))</f>
        <v>BCA109</v>
      </c>
      <c r="S1044" s="40" t="str">
        <f t="array" ref="S1044">iferror(index(dissected_fish!$K:$K,match($A1044,dissected_fish!$A:$A,0)))</f>
        <v>N</v>
      </c>
      <c r="T1044" s="61" t="str">
        <f t="array" ref="T1044">index(fish_lab_data!O:O,match(A1044,fish_lab_data!C:C,0))</f>
        <v>JG</v>
      </c>
      <c r="U1044" s="61">
        <f t="array" ref="U1044">if(A1044="","",index(fish_lab_data!X:X,match(A1044,fish_lab_data!C:C,0)))</f>
        <v>1043</v>
      </c>
    </row>
    <row r="1045">
      <c r="A1045" t="str">
        <f>fish_lab_data!C1045</f>
        <v>U5455</v>
      </c>
      <c r="B1045" t="str">
        <f t="array" ref="B1045">iferror(index('rna-muscle'!$I:$I,match($A1045,'rna-muscle'!$A:$A,0)))</f>
        <v>BRN73M-C2</v>
      </c>
      <c r="C1045" t="str">
        <f t="array" ref="C1045">iferror(index('rna-muscle'!$L:$L,match($A1045,'rna-muscle'!$A:$A,0)))</f>
        <v>N</v>
      </c>
      <c r="D1045" t="str">
        <f t="array" ref="D1045">iferror(index('rna-gill'!$I:$I,match($A1045,'rna-gill'!$A:$A,0)))</f>
        <v>BRN73G-C2</v>
      </c>
      <c r="E1045" t="str">
        <f t="array" ref="E1045">iferror(index('rna-gill'!$L:$L,match($A1045,'rna-gill'!$A:$A,0)))</f>
        <v>N</v>
      </c>
      <c r="F1045" t="str">
        <f t="array" ref="F1045">iferror(index(fatty_acid!$G:$G,match($A1045,fatty_acid!$A:$A,0)))</f>
        <v>BFA22-40</v>
      </c>
      <c r="G1045" t="str">
        <f t="array" ref="G1045">iferror(index(fatty_acid!$J:$J,match($A1045,fatty_acid!$A:$A,0)))</f>
        <v>N</v>
      </c>
      <c r="H1045" t="str">
        <f t="array" ref="H1045">iferror(index(isotopes!$G:$G,match($A1045,isotopes!$A:$A,0)))</f>
        <v>BIS36-16</v>
      </c>
      <c r="I1045" t="str">
        <f t="array" ref="I1045">iferror(index(isotopes!$J:$J,match($A1045,isotopes!$A:$A,0)))</f>
        <v>N</v>
      </c>
      <c r="J1045" t="str">
        <f t="array" ref="J1045">iferror(index(extra_muscle!$G:$G,match($A1045,extra_muscle!$A:$A,0)))</f>
        <v>BXM34-16</v>
      </c>
      <c r="K1045" t="str">
        <f t="array" ref="K1045">iferror(index(extra_muscle!$J:$J,match($A1045,extra_muscle!$A:$A,0)))</f>
        <v>N</v>
      </c>
      <c r="L1045" s="59" t="str">
        <f t="array" ref="L1045">iferror(index(dna!$G:$G,match($A1045,dna!$A:$A,0)))</f>
        <v>BDN10-6</v>
      </c>
      <c r="M1045" s="60" t="str">
        <f t="array" ref="M1045">iferror(index(dna!$J:$J,match($A1045,dna!$A:$A,0)))</f>
        <v>N</v>
      </c>
      <c r="N1045" t="str">
        <f t="array" ref="N1045">iferror(index(stomachs!$G:$G,match($A1045,stomachs!$A:$A,0)))</f>
        <v>BST246-6</v>
      </c>
      <c r="O1045" t="str">
        <f t="array" ref="O1045">iferror(index(stomachs!$J:$J,match($A1045,stomachs!$A:$A,0)))</f>
        <v>N</v>
      </c>
      <c r="P1045" t="str">
        <f t="array" ref="P1045">iferror(index(sea_lice!$G:$G,match($A1045,sea_lice!$A:$A,0)))</f>
        <v/>
      </c>
      <c r="Q1045" t="str">
        <f t="array" ref="Q1045">iferror(index(sea_lice!$J:$J,match($A1045,sea_lice!$A:$A,0)))</f>
        <v/>
      </c>
      <c r="R1045" s="40" t="str">
        <f t="array" ref="R1045">iferror(index(dissected_fish!$F:$F,match($A1045,dissected_fish!$A:$A,0)))</f>
        <v>BCA109</v>
      </c>
      <c r="S1045" s="40" t="str">
        <f t="array" ref="S1045">iferror(index(dissected_fish!$K:$K,match($A1045,dissected_fish!$A:$A,0)))</f>
        <v>N</v>
      </c>
      <c r="T1045" s="61" t="str">
        <f t="array" ref="T1045">index(fish_lab_data!O:O,match(A1045,fish_lab_data!C:C,0))</f>
        <v>JG</v>
      </c>
      <c r="U1045" s="61">
        <f t="array" ref="U1045">if(A1045="","",index(fish_lab_data!X:X,match(A1045,fish_lab_data!C:C,0)))</f>
        <v>1044</v>
      </c>
    </row>
    <row r="1046">
      <c r="A1046" t="str">
        <f>fish_lab_data!C1046</f>
        <v>U5456</v>
      </c>
      <c r="B1046" t="str">
        <f t="array" ref="B1046">iferror(index('rna-muscle'!$I:$I,match($A1046,'rna-muscle'!$A:$A,0)))</f>
        <v>BRN73M-B2</v>
      </c>
      <c r="C1046" t="str">
        <f t="array" ref="C1046">iferror(index('rna-muscle'!$L:$L,match($A1046,'rna-muscle'!$A:$A,0)))</f>
        <v>N</v>
      </c>
      <c r="D1046" t="str">
        <f t="array" ref="D1046">iferror(index('rna-gill'!$I:$I,match($A1046,'rna-gill'!$A:$A,0)))</f>
        <v>BRN73G-B2</v>
      </c>
      <c r="E1046" t="str">
        <f t="array" ref="E1046">iferror(index('rna-gill'!$L:$L,match($A1046,'rna-gill'!$A:$A,0)))</f>
        <v>N</v>
      </c>
      <c r="F1046" t="str">
        <f t="array" ref="F1046">iferror(index(fatty_acid!$G:$G,match($A1046,fatty_acid!$A:$A,0)))</f>
        <v>BFA22-41</v>
      </c>
      <c r="G1046" t="str">
        <f t="array" ref="G1046">iferror(index(fatty_acid!$J:$J,match($A1046,fatty_acid!$A:$A,0)))</f>
        <v>N</v>
      </c>
      <c r="H1046" t="str">
        <f t="array" ref="H1046">iferror(index(isotopes!$G:$G,match($A1046,isotopes!$A:$A,0)))</f>
        <v>BIS36-17</v>
      </c>
      <c r="I1046" t="str">
        <f t="array" ref="I1046">iferror(index(isotopes!$J:$J,match($A1046,isotopes!$A:$A,0)))</f>
        <v>N</v>
      </c>
      <c r="J1046" t="str">
        <f t="array" ref="J1046">iferror(index(extra_muscle!$G:$G,match($A1046,extra_muscle!$A:$A,0)))</f>
        <v>BXM34-17</v>
      </c>
      <c r="K1046" t="str">
        <f t="array" ref="K1046">iferror(index(extra_muscle!$J:$J,match($A1046,extra_muscle!$A:$A,0)))</f>
        <v>N</v>
      </c>
      <c r="L1046" s="59" t="str">
        <f t="array" ref="L1046">iferror(index(dna!$G:$G,match($A1046,dna!$A:$A,0)))</f>
        <v>BDN10-7</v>
      </c>
      <c r="M1046" s="60" t="str">
        <f t="array" ref="M1046">iferror(index(dna!$J:$J,match($A1046,dna!$A:$A,0)))</f>
        <v>N</v>
      </c>
      <c r="N1046" t="str">
        <f t="array" ref="N1046">iferror(index(stomachs!$G:$G,match($A1046,stomachs!$A:$A,0)))</f>
        <v>BST246-7</v>
      </c>
      <c r="O1046" t="str">
        <f t="array" ref="O1046">iferror(index(stomachs!$J:$J,match($A1046,stomachs!$A:$A,0)))</f>
        <v>N</v>
      </c>
      <c r="P1046" t="str">
        <f t="array" ref="P1046">iferror(index(sea_lice!$G:$G,match($A1046,sea_lice!$A:$A,0)))</f>
        <v>BSL7-42</v>
      </c>
      <c r="Q1046" t="str">
        <f t="array" ref="Q1046">iferror(index(sea_lice!$J:$J,match($A1046,sea_lice!$A:$A,0)))</f>
        <v>N</v>
      </c>
      <c r="R1046" s="40" t="str">
        <f t="array" ref="R1046">iferror(index(dissected_fish!$F:$F,match($A1046,dissected_fish!$A:$A,0)))</f>
        <v>BCA109</v>
      </c>
      <c r="S1046" s="40" t="str">
        <f t="array" ref="S1046">iferror(index(dissected_fish!$K:$K,match($A1046,dissected_fish!$A:$A,0)))</f>
        <v>N</v>
      </c>
      <c r="T1046" s="61" t="str">
        <f t="array" ref="T1046">index(fish_lab_data!O:O,match(A1046,fish_lab_data!C:C,0))</f>
        <v>JG</v>
      </c>
      <c r="U1046" s="61">
        <f t="array" ref="U1046">if(A1046="","",index(fish_lab_data!X:X,match(A1046,fish_lab_data!C:C,0)))</f>
        <v>1045</v>
      </c>
    </row>
    <row r="1047">
      <c r="A1047" t="str">
        <f>fish_lab_data!C1047</f>
        <v>U5457</v>
      </c>
      <c r="B1047" t="str">
        <f t="array" ref="B1047">iferror(index('rna-muscle'!$I:$I,match($A1047,'rna-muscle'!$A:$A,0)))</f>
        <v>BRN73M-A2</v>
      </c>
      <c r="C1047" t="str">
        <f t="array" ref="C1047">iferror(index('rna-muscle'!$L:$L,match($A1047,'rna-muscle'!$A:$A,0)))</f>
        <v>N</v>
      </c>
      <c r="D1047" t="str">
        <f t="array" ref="D1047">iferror(index('rna-gill'!$I:$I,match($A1047,'rna-gill'!$A:$A,0)))</f>
        <v>BRN73G-A2</v>
      </c>
      <c r="E1047" t="str">
        <f t="array" ref="E1047">iferror(index('rna-gill'!$L:$L,match($A1047,'rna-gill'!$A:$A,0)))</f>
        <v>N</v>
      </c>
      <c r="F1047" t="str">
        <f t="array" ref="F1047">iferror(index(fatty_acid!$G:$G,match($A1047,fatty_acid!$A:$A,0)))</f>
        <v>BFA22-42</v>
      </c>
      <c r="G1047" t="str">
        <f t="array" ref="G1047">iferror(index(fatty_acid!$J:$J,match($A1047,fatty_acid!$A:$A,0)))</f>
        <v>N</v>
      </c>
      <c r="H1047" t="str">
        <f t="array" ref="H1047">iferror(index(isotopes!$G:$G,match($A1047,isotopes!$A:$A,0)))</f>
        <v>BIS36-18</v>
      </c>
      <c r="I1047" t="str">
        <f t="array" ref="I1047">iferror(index(isotopes!$J:$J,match($A1047,isotopes!$A:$A,0)))</f>
        <v>N</v>
      </c>
      <c r="J1047" t="str">
        <f t="array" ref="J1047">iferror(index(extra_muscle!$G:$G,match($A1047,extra_muscle!$A:$A,0)))</f>
        <v>BXM34-18</v>
      </c>
      <c r="K1047" t="str">
        <f t="array" ref="K1047">iferror(index(extra_muscle!$J:$J,match($A1047,extra_muscle!$A:$A,0)))</f>
        <v>N</v>
      </c>
      <c r="L1047" s="59" t="str">
        <f t="array" ref="L1047">iferror(index(dna!$G:$G,match($A1047,dna!$A:$A,0)))</f>
        <v>BDN10-8</v>
      </c>
      <c r="M1047" s="60" t="str">
        <f t="array" ref="M1047">iferror(index(dna!$J:$J,match($A1047,dna!$A:$A,0)))</f>
        <v>N</v>
      </c>
      <c r="N1047" t="str">
        <f t="array" ref="N1047">iferror(index(stomachs!$G:$G,match($A1047,stomachs!$A:$A,0)))</f>
        <v>BST246-8</v>
      </c>
      <c r="O1047" t="str">
        <f t="array" ref="O1047">iferror(index(stomachs!$J:$J,match($A1047,stomachs!$A:$A,0)))</f>
        <v>N</v>
      </c>
      <c r="P1047" t="str">
        <f t="array" ref="P1047">iferror(index(sea_lice!$G:$G,match($A1047,sea_lice!$A:$A,0)))</f>
        <v/>
      </c>
      <c r="Q1047" t="str">
        <f t="array" ref="Q1047">iferror(index(sea_lice!$J:$J,match($A1047,sea_lice!$A:$A,0)))</f>
        <v/>
      </c>
      <c r="R1047" s="40" t="str">
        <f t="array" ref="R1047">iferror(index(dissected_fish!$F:$F,match($A1047,dissected_fish!$A:$A,0)))</f>
        <v>BCA109</v>
      </c>
      <c r="S1047" s="40" t="str">
        <f t="array" ref="S1047">iferror(index(dissected_fish!$K:$K,match($A1047,dissected_fish!$A:$A,0)))</f>
        <v>N</v>
      </c>
      <c r="T1047" s="61" t="str">
        <f t="array" ref="T1047">index(fish_lab_data!O:O,match(A1047,fish_lab_data!C:C,0))</f>
        <v>JG</v>
      </c>
      <c r="U1047" s="61">
        <f t="array" ref="U1047">if(A1047="","",index(fish_lab_data!X:X,match(A1047,fish_lab_data!C:C,0)))</f>
        <v>1046</v>
      </c>
    </row>
    <row r="1048">
      <c r="A1048" t="str">
        <f>fish_lab_data!C1048</f>
        <v>U5458</v>
      </c>
      <c r="B1048" t="str">
        <f t="array" ref="B1048">iferror(index('rna-muscle'!$I:$I,match($A1048,'rna-muscle'!$A:$A,0)))</f>
        <v>BRN73M-H3</v>
      </c>
      <c r="C1048" t="str">
        <f t="array" ref="C1048">iferror(index('rna-muscle'!$L:$L,match($A1048,'rna-muscle'!$A:$A,0)))</f>
        <v>N</v>
      </c>
      <c r="D1048" t="str">
        <f t="array" ref="D1048">iferror(index('rna-gill'!$I:$I,match($A1048,'rna-gill'!$A:$A,0)))</f>
        <v>BRN73G-H3</v>
      </c>
      <c r="E1048" t="str">
        <f t="array" ref="E1048">iferror(index('rna-gill'!$L:$L,match($A1048,'rna-gill'!$A:$A,0)))</f>
        <v>N</v>
      </c>
      <c r="F1048" t="str">
        <f t="array" ref="F1048">iferror(index(fatty_acid!$G:$G,match($A1048,fatty_acid!$A:$A,0)))</f>
        <v>BFA22-43</v>
      </c>
      <c r="G1048" t="str">
        <f t="array" ref="G1048">iferror(index(fatty_acid!$J:$J,match($A1048,fatty_acid!$A:$A,0)))</f>
        <v>N</v>
      </c>
      <c r="H1048" t="str">
        <f t="array" ref="H1048">iferror(index(isotopes!$G:$G,match($A1048,isotopes!$A:$A,0)))</f>
        <v>BIS36-19</v>
      </c>
      <c r="I1048" t="str">
        <f t="array" ref="I1048">iferror(index(isotopes!$J:$J,match($A1048,isotopes!$A:$A,0)))</f>
        <v>N</v>
      </c>
      <c r="J1048" t="str">
        <f t="array" ref="J1048">iferror(index(extra_muscle!$G:$G,match($A1048,extra_muscle!$A:$A,0)))</f>
        <v>BXM34-19</v>
      </c>
      <c r="K1048" t="str">
        <f t="array" ref="K1048">iferror(index(extra_muscle!$J:$J,match($A1048,extra_muscle!$A:$A,0)))</f>
        <v>N</v>
      </c>
      <c r="L1048" s="59" t="str">
        <f t="array" ref="L1048">iferror(index(dna!$G:$G,match($A1048,dna!$A:$A,0)))</f>
        <v>BDN10-9</v>
      </c>
      <c r="M1048" s="60" t="str">
        <f t="array" ref="M1048">iferror(index(dna!$J:$J,match($A1048,dna!$A:$A,0)))</f>
        <v>N</v>
      </c>
      <c r="N1048" t="str">
        <f t="array" ref="N1048">iferror(index(stomachs!$G:$G,match($A1048,stomachs!$A:$A,0)))</f>
        <v>BST246-9</v>
      </c>
      <c r="O1048" t="str">
        <f t="array" ref="O1048">iferror(index(stomachs!$J:$J,match($A1048,stomachs!$A:$A,0)))</f>
        <v>N</v>
      </c>
      <c r="P1048" t="str">
        <f t="array" ref="P1048">iferror(index(sea_lice!$G:$G,match($A1048,sea_lice!$A:$A,0)))</f>
        <v>BSL7-43</v>
      </c>
      <c r="Q1048" t="str">
        <f t="array" ref="Q1048">iferror(index(sea_lice!$J:$J,match($A1048,sea_lice!$A:$A,0)))</f>
        <v>N</v>
      </c>
      <c r="R1048" s="40" t="str">
        <f t="array" ref="R1048">iferror(index(dissected_fish!$F:$F,match($A1048,dissected_fish!$A:$A,0)))</f>
        <v>BCA109</v>
      </c>
      <c r="S1048" s="40" t="str">
        <f t="array" ref="S1048">iferror(index(dissected_fish!$K:$K,match($A1048,dissected_fish!$A:$A,0)))</f>
        <v>N</v>
      </c>
      <c r="T1048" s="61" t="str">
        <f t="array" ref="T1048">index(fish_lab_data!O:O,match(A1048,fish_lab_data!C:C,0))</f>
        <v>JG</v>
      </c>
      <c r="U1048" s="61">
        <f t="array" ref="U1048">if(A1048="","",index(fish_lab_data!X:X,match(A1048,fish_lab_data!C:C,0)))</f>
        <v>1047</v>
      </c>
    </row>
    <row r="1049">
      <c r="A1049" t="str">
        <f>fish_lab_data!C1049</f>
        <v>U5459</v>
      </c>
      <c r="B1049" t="str">
        <f t="array" ref="B1049">iferror(index('rna-muscle'!$I:$I,match($A1049,'rna-muscle'!$A:$A,0)))</f>
        <v>BRN73M-G3</v>
      </c>
      <c r="C1049" t="str">
        <f t="array" ref="C1049">iferror(index('rna-muscle'!$L:$L,match($A1049,'rna-muscle'!$A:$A,0)))</f>
        <v>N</v>
      </c>
      <c r="D1049" t="str">
        <f t="array" ref="D1049">iferror(index('rna-gill'!$I:$I,match($A1049,'rna-gill'!$A:$A,0)))</f>
        <v>BRN73G-G3</v>
      </c>
      <c r="E1049" t="str">
        <f t="array" ref="E1049">iferror(index('rna-gill'!$L:$L,match($A1049,'rna-gill'!$A:$A,0)))</f>
        <v>N</v>
      </c>
      <c r="F1049" t="str">
        <f t="array" ref="F1049">iferror(index(fatty_acid!$G:$G,match($A1049,fatty_acid!$A:$A,0)))</f>
        <v>BFA22-44</v>
      </c>
      <c r="G1049" t="str">
        <f t="array" ref="G1049">iferror(index(fatty_acid!$J:$J,match($A1049,fatty_acid!$A:$A,0)))</f>
        <v>N</v>
      </c>
      <c r="H1049" t="str">
        <f t="array" ref="H1049">iferror(index(isotopes!$G:$G,match($A1049,isotopes!$A:$A,0)))</f>
        <v>BIS36-20</v>
      </c>
      <c r="I1049" t="str">
        <f t="array" ref="I1049">iferror(index(isotopes!$J:$J,match($A1049,isotopes!$A:$A,0)))</f>
        <v>N</v>
      </c>
      <c r="J1049" t="str">
        <f t="array" ref="J1049">iferror(index(extra_muscle!$G:$G,match($A1049,extra_muscle!$A:$A,0)))</f>
        <v>BXM34-20</v>
      </c>
      <c r="K1049" t="str">
        <f t="array" ref="K1049">iferror(index(extra_muscle!$J:$J,match($A1049,extra_muscle!$A:$A,0)))</f>
        <v>N</v>
      </c>
      <c r="L1049" s="59" t="str">
        <f t="array" ref="L1049">iferror(index(dna!$G:$G,match($A1049,dna!$A:$A,0)))</f>
        <v>BDN10-10</v>
      </c>
      <c r="M1049" s="60" t="str">
        <f t="array" ref="M1049">iferror(index(dna!$J:$J,match($A1049,dna!$A:$A,0)))</f>
        <v>N</v>
      </c>
      <c r="N1049" t="str">
        <f t="array" ref="N1049">iferror(index(stomachs!$G:$G,match($A1049,stomachs!$A:$A,0)))</f>
        <v>BST246-10</v>
      </c>
      <c r="O1049" t="str">
        <f t="array" ref="O1049">iferror(index(stomachs!$J:$J,match($A1049,stomachs!$A:$A,0)))</f>
        <v>N</v>
      </c>
      <c r="P1049" t="str">
        <f t="array" ref="P1049">iferror(index(sea_lice!$G:$G,match($A1049,sea_lice!$A:$A,0)))</f>
        <v/>
      </c>
      <c r="Q1049" t="str">
        <f t="array" ref="Q1049">iferror(index(sea_lice!$J:$J,match($A1049,sea_lice!$A:$A,0)))</f>
        <v/>
      </c>
      <c r="R1049" s="40" t="str">
        <f t="array" ref="R1049">iferror(index(dissected_fish!$F:$F,match($A1049,dissected_fish!$A:$A,0)))</f>
        <v>BCA109</v>
      </c>
      <c r="S1049" s="40" t="str">
        <f t="array" ref="S1049">iferror(index(dissected_fish!$K:$K,match($A1049,dissected_fish!$A:$A,0)))</f>
        <v>N</v>
      </c>
      <c r="T1049" s="61" t="str">
        <f t="array" ref="T1049">index(fish_lab_data!O:O,match(A1049,fish_lab_data!C:C,0))</f>
        <v>JG</v>
      </c>
      <c r="U1049" s="61">
        <f t="array" ref="U1049">if(A1049="","",index(fish_lab_data!X:X,match(A1049,fish_lab_data!C:C,0)))</f>
        <v>1048</v>
      </c>
    </row>
    <row r="1050">
      <c r="A1050" t="str">
        <f>fish_lab_data!C1050</f>
        <v>U5460</v>
      </c>
      <c r="B1050" t="str">
        <f t="array" ref="B1050">iferror(index('rna-muscle'!$I:$I,match($A1050,'rna-muscle'!$A:$A,0)))</f>
        <v>BRN65M-C7</v>
      </c>
      <c r="C1050" t="str">
        <f t="array" ref="C1050">iferror(index('rna-muscle'!$L:$L,match($A1050,'rna-muscle'!$A:$A,0)))</f>
        <v>N</v>
      </c>
      <c r="D1050" t="str">
        <f t="array" ref="D1050">iferror(index('rna-gill'!$I:$I,match($A1050,'rna-gill'!$A:$A,0)))</f>
        <v>BRN65G-C7</v>
      </c>
      <c r="E1050" t="str">
        <f t="array" ref="E1050">iferror(index('rna-gill'!$L:$L,match($A1050,'rna-gill'!$A:$A,0)))</f>
        <v>N</v>
      </c>
      <c r="F1050" t="str">
        <f t="array" ref="F1050">iferror(index(fatty_acid!$G:$G,match($A1050,fatty_acid!$A:$A,0)))</f>
        <v>BFA22-45</v>
      </c>
      <c r="G1050" t="str">
        <f t="array" ref="G1050">iferror(index(fatty_acid!$J:$J,match($A1050,fatty_acid!$A:$A,0)))</f>
        <v>N</v>
      </c>
      <c r="H1050" t="str">
        <f t="array" ref="H1050">iferror(index(isotopes!$G:$G,match($A1050,isotopes!$A:$A,0)))</f>
        <v>BIS36-21</v>
      </c>
      <c r="I1050" t="str">
        <f t="array" ref="I1050">iferror(index(isotopes!$J:$J,match($A1050,isotopes!$A:$A,0)))</f>
        <v>N</v>
      </c>
      <c r="J1050" t="str">
        <f t="array" ref="J1050">iferror(index(extra_muscle!$G:$G,match($A1050,extra_muscle!$A:$A,0)))</f>
        <v>BXM34-21</v>
      </c>
      <c r="K1050" t="str">
        <f t="array" ref="K1050">iferror(index(extra_muscle!$J:$J,match($A1050,extra_muscle!$A:$A,0)))</f>
        <v>N</v>
      </c>
      <c r="L1050" s="59" t="str">
        <f t="array" ref="L1050">iferror(index(dna!$G:$G,match($A1050,dna!$A:$A,0)))</f>
        <v>BDN10-11</v>
      </c>
      <c r="M1050" s="60" t="str">
        <f t="array" ref="M1050">iferror(index(dna!$J:$J,match($A1050,dna!$A:$A,0)))</f>
        <v>N</v>
      </c>
      <c r="N1050" t="str">
        <f t="array" ref="N1050">iferror(index(stomachs!$G:$G,match($A1050,stomachs!$A:$A,0)))</f>
        <v>BST246-11</v>
      </c>
      <c r="O1050" t="str">
        <f t="array" ref="O1050">iferror(index(stomachs!$J:$J,match($A1050,stomachs!$A:$A,0)))</f>
        <v>N</v>
      </c>
      <c r="P1050" t="str">
        <f t="array" ref="P1050">iferror(index(sea_lice!$G:$G,match($A1050,sea_lice!$A:$A,0)))</f>
        <v/>
      </c>
      <c r="Q1050" t="str">
        <f t="array" ref="Q1050">iferror(index(sea_lice!$J:$J,match($A1050,sea_lice!$A:$A,0)))</f>
        <v/>
      </c>
      <c r="R1050" s="40" t="str">
        <f t="array" ref="R1050">iferror(index(dissected_fish!$F:$F,match($A1050,dissected_fish!$A:$A,0)))</f>
        <v>BCA109</v>
      </c>
      <c r="S1050" s="40" t="str">
        <f t="array" ref="S1050">iferror(index(dissected_fish!$K:$K,match($A1050,dissected_fish!$A:$A,0)))</f>
        <v>N</v>
      </c>
      <c r="T1050" s="61" t="str">
        <f t="array" ref="T1050">index(fish_lab_data!O:O,match(A1050,fish_lab_data!C:C,0))</f>
        <v>JG</v>
      </c>
      <c r="U1050" s="61">
        <f t="array" ref="U1050">if(A1050="","",index(fish_lab_data!X:X,match(A1050,fish_lab_data!C:C,0)))</f>
        <v>1049</v>
      </c>
    </row>
    <row r="1051">
      <c r="A1051" t="str">
        <f>fish_lab_data!C1051</f>
        <v>U5461</v>
      </c>
      <c r="B1051" t="str">
        <f t="array" ref="B1051">iferror(index('rna-muscle'!$I:$I,match($A1051,'rna-muscle'!$A:$A,0)))</f>
        <v>BRN65M-B7</v>
      </c>
      <c r="C1051" t="str">
        <f t="array" ref="C1051">iferror(index('rna-muscle'!$L:$L,match($A1051,'rna-muscle'!$A:$A,0)))</f>
        <v>N</v>
      </c>
      <c r="D1051" t="str">
        <f t="array" ref="D1051">iferror(index('rna-gill'!$I:$I,match($A1051,'rna-gill'!$A:$A,0)))</f>
        <v>BRN65G-B7</v>
      </c>
      <c r="E1051" t="str">
        <f t="array" ref="E1051">iferror(index('rna-gill'!$L:$L,match($A1051,'rna-gill'!$A:$A,0)))</f>
        <v>N</v>
      </c>
      <c r="F1051" t="str">
        <f t="array" ref="F1051">iferror(index(fatty_acid!$G:$G,match($A1051,fatty_acid!$A:$A,0)))</f>
        <v>BFA22-46</v>
      </c>
      <c r="G1051" t="str">
        <f t="array" ref="G1051">iferror(index(fatty_acid!$J:$J,match($A1051,fatty_acid!$A:$A,0)))</f>
        <v>N</v>
      </c>
      <c r="H1051" t="str">
        <f t="array" ref="H1051">iferror(index(isotopes!$G:$G,match($A1051,isotopes!$A:$A,0)))</f>
        <v>BIS36-22</v>
      </c>
      <c r="I1051" t="str">
        <f t="array" ref="I1051">iferror(index(isotopes!$J:$J,match($A1051,isotopes!$A:$A,0)))</f>
        <v>N</v>
      </c>
      <c r="J1051" t="str">
        <f t="array" ref="J1051">iferror(index(extra_muscle!$G:$G,match($A1051,extra_muscle!$A:$A,0)))</f>
        <v>BXM34-22</v>
      </c>
      <c r="K1051" t="str">
        <f t="array" ref="K1051">iferror(index(extra_muscle!$J:$J,match($A1051,extra_muscle!$A:$A,0)))</f>
        <v>N</v>
      </c>
      <c r="L1051" s="59" t="str">
        <f t="array" ref="L1051">iferror(index(dna!$G:$G,match($A1051,dna!$A:$A,0)))</f>
        <v>BDN10-12</v>
      </c>
      <c r="M1051" s="60" t="str">
        <f t="array" ref="M1051">iferror(index(dna!$J:$J,match($A1051,dna!$A:$A,0)))</f>
        <v>N</v>
      </c>
      <c r="N1051" t="str">
        <f t="array" ref="N1051">iferror(index(stomachs!$G:$G,match($A1051,stomachs!$A:$A,0)))</f>
        <v>BST246-12</v>
      </c>
      <c r="O1051" t="str">
        <f t="array" ref="O1051">iferror(index(stomachs!$J:$J,match($A1051,stomachs!$A:$A,0)))</f>
        <v>N</v>
      </c>
      <c r="P1051" t="str">
        <f t="array" ref="P1051">iferror(index(sea_lice!$G:$G,match($A1051,sea_lice!$A:$A,0)))</f>
        <v/>
      </c>
      <c r="Q1051" t="str">
        <f t="array" ref="Q1051">iferror(index(sea_lice!$J:$J,match($A1051,sea_lice!$A:$A,0)))</f>
        <v/>
      </c>
      <c r="R1051" s="40" t="str">
        <f t="array" ref="R1051">iferror(index(dissected_fish!$F:$F,match($A1051,dissected_fish!$A:$A,0)))</f>
        <v>BCA109</v>
      </c>
      <c r="S1051" s="40" t="str">
        <f t="array" ref="S1051">iferror(index(dissected_fish!$K:$K,match($A1051,dissected_fish!$A:$A,0)))</f>
        <v>N</v>
      </c>
      <c r="T1051" s="61" t="str">
        <f t="array" ref="T1051">index(fish_lab_data!O:O,match(A1051,fish_lab_data!C:C,0))</f>
        <v>JG</v>
      </c>
      <c r="U1051" s="61">
        <f t="array" ref="U1051">if(A1051="","",index(fish_lab_data!X:X,match(A1051,fish_lab_data!C:C,0)))</f>
        <v>1050</v>
      </c>
    </row>
    <row r="1052">
      <c r="A1052" t="str">
        <f>fish_lab_data!C1052</f>
        <v>U16495</v>
      </c>
      <c r="B1052" t="str">
        <f t="array" ref="B1052">iferror(index('rna-muscle'!$I:$I,match($A1052,'rna-muscle'!$A:$A,0)))</f>
        <v>BRN73M-H4</v>
      </c>
      <c r="C1052" t="str">
        <f t="array" ref="C1052">iferror(index('rna-muscle'!$L:$L,match($A1052,'rna-muscle'!$A:$A,0)))</f>
        <v>N</v>
      </c>
      <c r="D1052" t="str">
        <f t="array" ref="D1052">iferror(index('rna-gill'!$I:$I,match($A1052,'rna-gill'!$A:$A,0)))</f>
        <v>BRN73G-H4</v>
      </c>
      <c r="E1052" t="str">
        <f t="array" ref="E1052">iferror(index('rna-gill'!$L:$L,match($A1052,'rna-gill'!$A:$A,0)))</f>
        <v>N</v>
      </c>
      <c r="F1052" t="str">
        <f t="array" ref="F1052">iferror(index(fatty_acid!$G:$G,match($A1052,fatty_acid!$A:$A,0)))</f>
        <v>BFA34-1</v>
      </c>
      <c r="G1052" t="str">
        <f t="array" ref="G1052">iferror(index(fatty_acid!$J:$J,match($A1052,fatty_acid!$A:$A,0)))</f>
        <v>N</v>
      </c>
      <c r="H1052" t="str">
        <f t="array" ref="H1052">iferror(index(isotopes!$G:$G,match($A1052,isotopes!$A:$A,0)))</f>
        <v>BIS37-1</v>
      </c>
      <c r="I1052" t="str">
        <f t="array" ref="I1052">iferror(index(isotopes!$J:$J,match($A1052,isotopes!$A:$A,0)))</f>
        <v>N</v>
      </c>
      <c r="J1052" t="str">
        <f t="array" ref="J1052">iferror(index(extra_muscle!$G:$G,match($A1052,extra_muscle!$A:$A,0)))</f>
        <v>BXM35-1</v>
      </c>
      <c r="K1052" t="str">
        <f t="array" ref="K1052">iferror(index(extra_muscle!$J:$J,match($A1052,extra_muscle!$A:$A,0)))</f>
        <v>N</v>
      </c>
      <c r="L1052" s="59" t="str">
        <f t="array" ref="L1052">iferror(index(dna!$G:$G,match($A1052,dna!$A:$A,0)))</f>
        <v>BDN4-15</v>
      </c>
      <c r="M1052" s="60" t="str">
        <f t="array" ref="M1052">iferror(index(dna!$J:$J,match($A1052,dna!$A:$A,0)))</f>
        <v>N</v>
      </c>
      <c r="N1052" t="str">
        <f t="array" ref="N1052">iferror(index(stomachs!$G:$G,match($A1052,stomachs!$A:$A,0)))</f>
        <v/>
      </c>
      <c r="O1052" t="str">
        <f t="array" ref="O1052">iferror(index(stomachs!$J:$J,match($A1052,stomachs!$A:$A,0)))</f>
        <v/>
      </c>
      <c r="P1052" t="str">
        <f t="array" ref="P1052">iferror(index(sea_lice!$G:$G,match($A1052,sea_lice!$A:$A,0)))</f>
        <v/>
      </c>
      <c r="Q1052" t="str">
        <f t="array" ref="Q1052">iferror(index(sea_lice!$J:$J,match($A1052,sea_lice!$A:$A,0)))</f>
        <v/>
      </c>
      <c r="R1052" s="40" t="str">
        <f t="array" ref="R1052">iferror(index(dissected_fish!$F:$F,match($A1052,dissected_fish!$A:$A,0)))</f>
        <v>BCA109</v>
      </c>
      <c r="S1052" s="40" t="str">
        <f t="array" ref="S1052">iferror(index(dissected_fish!$K:$K,match($A1052,dissected_fish!$A:$A,0)))</f>
        <v>N</v>
      </c>
      <c r="T1052" s="61" t="str">
        <f t="array" ref="T1052">index(fish_lab_data!O:O,match(A1052,fish_lab_data!C:C,0))</f>
        <v>KB</v>
      </c>
      <c r="U1052" s="61">
        <f t="array" ref="U1052">if(A1052="","",index(fish_lab_data!X:X,match(A1052,fish_lab_data!C:C,0)))</f>
        <v>1051</v>
      </c>
    </row>
    <row r="1053">
      <c r="A1053" t="str">
        <f>fish_lab_data!C1053</f>
        <v>U16497</v>
      </c>
      <c r="B1053" t="str">
        <f t="array" ref="B1053">iferror(index('rna-muscle'!$I:$I,match($A1053,'rna-muscle'!$A:$A,0)))</f>
        <v>BRN73M-G4</v>
      </c>
      <c r="C1053" t="str">
        <f t="array" ref="C1053">iferror(index('rna-muscle'!$L:$L,match($A1053,'rna-muscle'!$A:$A,0)))</f>
        <v>N</v>
      </c>
      <c r="D1053" t="str">
        <f t="array" ref="D1053">iferror(index('rna-gill'!$I:$I,match($A1053,'rna-gill'!$A:$A,0)))</f>
        <v>BRN73G-G4</v>
      </c>
      <c r="E1053" t="str">
        <f t="array" ref="E1053">iferror(index('rna-gill'!$L:$L,match($A1053,'rna-gill'!$A:$A,0)))</f>
        <v>N</v>
      </c>
      <c r="F1053" t="str">
        <f t="array" ref="F1053">iferror(index(fatty_acid!$G:$G,match($A1053,fatty_acid!$A:$A,0)))</f>
        <v>BFA34-2</v>
      </c>
      <c r="G1053" t="str">
        <f t="array" ref="G1053">iferror(index(fatty_acid!$J:$J,match($A1053,fatty_acid!$A:$A,0)))</f>
        <v>N</v>
      </c>
      <c r="H1053" t="str">
        <f t="array" ref="H1053">iferror(index(isotopes!$G:$G,match($A1053,isotopes!$A:$A,0)))</f>
        <v>BIS37-2</v>
      </c>
      <c r="I1053" t="str">
        <f t="array" ref="I1053">iferror(index(isotopes!$J:$J,match($A1053,isotopes!$A:$A,0)))</f>
        <v>N</v>
      </c>
      <c r="J1053" t="str">
        <f t="array" ref="J1053">iferror(index(extra_muscle!$G:$G,match($A1053,extra_muscle!$A:$A,0)))</f>
        <v>BXM35-2</v>
      </c>
      <c r="K1053" t="str">
        <f t="array" ref="K1053">iferror(index(extra_muscle!$J:$J,match($A1053,extra_muscle!$A:$A,0)))</f>
        <v>N</v>
      </c>
      <c r="L1053" s="59" t="str">
        <f t="array" ref="L1053">iferror(index(dna!$G:$G,match($A1053,dna!$A:$A,0)))</f>
        <v>BDN4-16</v>
      </c>
      <c r="M1053" s="60" t="str">
        <f t="array" ref="M1053">iferror(index(dna!$J:$J,match($A1053,dna!$A:$A,0)))</f>
        <v>N</v>
      </c>
      <c r="N1053" t="str">
        <f t="array" ref="N1053">iferror(index(stomachs!$G:$G,match($A1053,stomachs!$A:$A,0)))</f>
        <v/>
      </c>
      <c r="O1053" t="str">
        <f t="array" ref="O1053">iferror(index(stomachs!$J:$J,match($A1053,stomachs!$A:$A,0)))</f>
        <v/>
      </c>
      <c r="P1053" t="str">
        <f t="array" ref="P1053">iferror(index(sea_lice!$G:$G,match($A1053,sea_lice!$A:$A,0)))</f>
        <v/>
      </c>
      <c r="Q1053" t="str">
        <f t="array" ref="Q1053">iferror(index(sea_lice!$J:$J,match($A1053,sea_lice!$A:$A,0)))</f>
        <v/>
      </c>
      <c r="R1053" s="40" t="str">
        <f t="array" ref="R1053">iferror(index(dissected_fish!$F:$F,match($A1053,dissected_fish!$A:$A,0)))</f>
        <v>BCA109</v>
      </c>
      <c r="S1053" s="40" t="str">
        <f t="array" ref="S1053">iferror(index(dissected_fish!$K:$K,match($A1053,dissected_fish!$A:$A,0)))</f>
        <v>N</v>
      </c>
      <c r="T1053" s="61" t="str">
        <f t="array" ref="T1053">index(fish_lab_data!O:O,match(A1053,fish_lab_data!C:C,0))</f>
        <v>KB</v>
      </c>
      <c r="U1053" s="61">
        <f t="array" ref="U1053">if(A1053="","",index(fish_lab_data!X:X,match(A1053,fish_lab_data!C:C,0)))</f>
        <v>1052</v>
      </c>
    </row>
    <row r="1054">
      <c r="A1054" t="str">
        <f>fish_lab_data!C1054</f>
        <v>U16493</v>
      </c>
      <c r="B1054" t="str">
        <f t="array" ref="B1054">iferror(index('rna-muscle'!$I:$I,match($A1054,'rna-muscle'!$A:$A,0)))</f>
        <v>BRN73M-F4</v>
      </c>
      <c r="C1054" t="str">
        <f t="array" ref="C1054">iferror(index('rna-muscle'!$L:$L,match($A1054,'rna-muscle'!$A:$A,0)))</f>
        <v>N</v>
      </c>
      <c r="D1054" t="str">
        <f t="array" ref="D1054">iferror(index('rna-gill'!$I:$I,match($A1054,'rna-gill'!$A:$A,0)))</f>
        <v>BRN73G-F4</v>
      </c>
      <c r="E1054" t="str">
        <f t="array" ref="E1054">iferror(index('rna-gill'!$L:$L,match($A1054,'rna-gill'!$A:$A,0)))</f>
        <v>N</v>
      </c>
      <c r="F1054" t="str">
        <f t="array" ref="F1054">iferror(index(fatty_acid!$G:$G,match($A1054,fatty_acid!$A:$A,0)))</f>
        <v>BFA34-3</v>
      </c>
      <c r="G1054" t="str">
        <f t="array" ref="G1054">iferror(index(fatty_acid!$J:$J,match($A1054,fatty_acid!$A:$A,0)))</f>
        <v>N</v>
      </c>
      <c r="H1054" t="str">
        <f t="array" ref="H1054">iferror(index(isotopes!$G:$G,match($A1054,isotopes!$A:$A,0)))</f>
        <v>BIS37-3</v>
      </c>
      <c r="I1054" t="str">
        <f t="array" ref="I1054">iferror(index(isotopes!$J:$J,match($A1054,isotopes!$A:$A,0)))</f>
        <v>N</v>
      </c>
      <c r="J1054" t="str">
        <f t="array" ref="J1054">iferror(index(extra_muscle!$G:$G,match($A1054,extra_muscle!$A:$A,0)))</f>
        <v>BXM35-3</v>
      </c>
      <c r="K1054" t="str">
        <f t="array" ref="K1054">iferror(index(extra_muscle!$J:$J,match($A1054,extra_muscle!$A:$A,0)))</f>
        <v>N</v>
      </c>
      <c r="L1054" s="59" t="str">
        <f t="array" ref="L1054">iferror(index(dna!$G:$G,match($A1054,dna!$A:$A,0)))</f>
        <v>BDN4-17</v>
      </c>
      <c r="M1054" s="60" t="str">
        <f t="array" ref="M1054">iferror(index(dna!$J:$J,match($A1054,dna!$A:$A,0)))</f>
        <v>N</v>
      </c>
      <c r="N1054" t="str">
        <f t="array" ref="N1054">iferror(index(stomachs!$G:$G,match($A1054,stomachs!$A:$A,0)))</f>
        <v/>
      </c>
      <c r="O1054" t="str">
        <f t="array" ref="O1054">iferror(index(stomachs!$J:$J,match($A1054,stomachs!$A:$A,0)))</f>
        <v/>
      </c>
      <c r="P1054" t="str">
        <f t="array" ref="P1054">iferror(index(sea_lice!$G:$G,match($A1054,sea_lice!$A:$A,0)))</f>
        <v/>
      </c>
      <c r="Q1054" t="str">
        <f t="array" ref="Q1054">iferror(index(sea_lice!$J:$J,match($A1054,sea_lice!$A:$A,0)))</f>
        <v/>
      </c>
      <c r="R1054" s="40" t="str">
        <f t="array" ref="R1054">iferror(index(dissected_fish!$F:$F,match($A1054,dissected_fish!$A:$A,0)))</f>
        <v>BCA109</v>
      </c>
      <c r="S1054" s="40" t="str">
        <f t="array" ref="S1054">iferror(index(dissected_fish!$K:$K,match($A1054,dissected_fish!$A:$A,0)))</f>
        <v>N</v>
      </c>
      <c r="T1054" s="61" t="str">
        <f t="array" ref="T1054">index(fish_lab_data!O:O,match(A1054,fish_lab_data!C:C,0))</f>
        <v>KB</v>
      </c>
      <c r="U1054" s="61">
        <f t="array" ref="U1054">if(A1054="","",index(fish_lab_data!X:X,match(A1054,fish_lab_data!C:C,0)))</f>
        <v>1053</v>
      </c>
    </row>
    <row r="1055">
      <c r="A1055" t="str">
        <f>fish_lab_data!C1055</f>
        <v>U16492</v>
      </c>
      <c r="B1055" t="str">
        <f t="array" ref="B1055">iferror(index('rna-muscle'!$I:$I,match($A1055,'rna-muscle'!$A:$A,0)))</f>
        <v>BRN73M-E4</v>
      </c>
      <c r="C1055" t="str">
        <f t="array" ref="C1055">iferror(index('rna-muscle'!$L:$L,match($A1055,'rna-muscle'!$A:$A,0)))</f>
        <v>N</v>
      </c>
      <c r="D1055" t="str">
        <f t="array" ref="D1055">iferror(index('rna-gill'!$I:$I,match($A1055,'rna-gill'!$A:$A,0)))</f>
        <v>BRN73G-E4</v>
      </c>
      <c r="E1055" t="str">
        <f t="array" ref="E1055">iferror(index('rna-gill'!$L:$L,match($A1055,'rna-gill'!$A:$A,0)))</f>
        <v>N</v>
      </c>
      <c r="F1055" t="str">
        <f t="array" ref="F1055">iferror(index(fatty_acid!$G:$G,match($A1055,fatty_acid!$A:$A,0)))</f>
        <v>BFA34-4</v>
      </c>
      <c r="G1055" t="str">
        <f t="array" ref="G1055">iferror(index(fatty_acid!$J:$J,match($A1055,fatty_acid!$A:$A,0)))</f>
        <v>N</v>
      </c>
      <c r="H1055" t="str">
        <f t="array" ref="H1055">iferror(index(isotopes!$G:$G,match($A1055,isotopes!$A:$A,0)))</f>
        <v>BIS37-4</v>
      </c>
      <c r="I1055" t="str">
        <f t="array" ref="I1055">iferror(index(isotopes!$J:$J,match($A1055,isotopes!$A:$A,0)))</f>
        <v>N</v>
      </c>
      <c r="J1055" t="str">
        <f t="array" ref="J1055">iferror(index(extra_muscle!$G:$G,match($A1055,extra_muscle!$A:$A,0)))</f>
        <v>BXM35-4</v>
      </c>
      <c r="K1055" t="str">
        <f t="array" ref="K1055">iferror(index(extra_muscle!$J:$J,match($A1055,extra_muscle!$A:$A,0)))</f>
        <v>N</v>
      </c>
      <c r="L1055" s="59" t="str">
        <f t="array" ref="L1055">iferror(index(dna!$G:$G,match($A1055,dna!$A:$A,0)))</f>
        <v>BDN4-18</v>
      </c>
      <c r="M1055" s="60" t="str">
        <f t="array" ref="M1055">iferror(index(dna!$J:$J,match($A1055,dna!$A:$A,0)))</f>
        <v>N</v>
      </c>
      <c r="N1055" t="str">
        <f t="array" ref="N1055">iferror(index(stomachs!$G:$G,match($A1055,stomachs!$A:$A,0)))</f>
        <v/>
      </c>
      <c r="O1055" t="str">
        <f t="array" ref="O1055">iferror(index(stomachs!$J:$J,match($A1055,stomachs!$A:$A,0)))</f>
        <v/>
      </c>
      <c r="P1055" t="str">
        <f t="array" ref="P1055">iferror(index(sea_lice!$G:$G,match($A1055,sea_lice!$A:$A,0)))</f>
        <v/>
      </c>
      <c r="Q1055" t="str">
        <f t="array" ref="Q1055">iferror(index(sea_lice!$J:$J,match($A1055,sea_lice!$A:$A,0)))</f>
        <v/>
      </c>
      <c r="R1055" s="40" t="str">
        <f t="array" ref="R1055">iferror(index(dissected_fish!$F:$F,match($A1055,dissected_fish!$A:$A,0)))</f>
        <v>BCA109</v>
      </c>
      <c r="S1055" s="40" t="str">
        <f t="array" ref="S1055">iferror(index(dissected_fish!$K:$K,match($A1055,dissected_fish!$A:$A,0)))</f>
        <v>N</v>
      </c>
      <c r="T1055" s="61" t="str">
        <f t="array" ref="T1055">index(fish_lab_data!O:O,match(A1055,fish_lab_data!C:C,0))</f>
        <v>KB</v>
      </c>
      <c r="U1055" s="61">
        <f t="array" ref="U1055">if(A1055="","",index(fish_lab_data!X:X,match(A1055,fish_lab_data!C:C,0)))</f>
        <v>1054</v>
      </c>
    </row>
    <row r="1056">
      <c r="A1056" t="str">
        <f>fish_lab_data!C1056</f>
        <v>U16494</v>
      </c>
      <c r="B1056" t="str">
        <f t="array" ref="B1056">iferror(index('rna-muscle'!$I:$I,match($A1056,'rna-muscle'!$A:$A,0)))</f>
        <v>BRN73M-D4</v>
      </c>
      <c r="C1056" t="str">
        <f t="array" ref="C1056">iferror(index('rna-muscle'!$L:$L,match($A1056,'rna-muscle'!$A:$A,0)))</f>
        <v>N</v>
      </c>
      <c r="D1056" t="str">
        <f t="array" ref="D1056">iferror(index('rna-gill'!$I:$I,match($A1056,'rna-gill'!$A:$A,0)))</f>
        <v>BRN73G-D4</v>
      </c>
      <c r="E1056" t="str">
        <f t="array" ref="E1056">iferror(index('rna-gill'!$L:$L,match($A1056,'rna-gill'!$A:$A,0)))</f>
        <v>N</v>
      </c>
      <c r="F1056" t="str">
        <f t="array" ref="F1056">iferror(index(fatty_acid!$G:$G,match($A1056,fatty_acid!$A:$A,0)))</f>
        <v>BFA34-5</v>
      </c>
      <c r="G1056" t="str">
        <f t="array" ref="G1056">iferror(index(fatty_acid!$J:$J,match($A1056,fatty_acid!$A:$A,0)))</f>
        <v>N</v>
      </c>
      <c r="H1056" t="str">
        <f t="array" ref="H1056">iferror(index(isotopes!$G:$G,match($A1056,isotopes!$A:$A,0)))</f>
        <v>BIS37-5</v>
      </c>
      <c r="I1056" t="str">
        <f t="array" ref="I1056">iferror(index(isotopes!$J:$J,match($A1056,isotopes!$A:$A,0)))</f>
        <v>N</v>
      </c>
      <c r="J1056" t="str">
        <f t="array" ref="J1056">iferror(index(extra_muscle!$G:$G,match($A1056,extra_muscle!$A:$A,0)))</f>
        <v>BXM35-5</v>
      </c>
      <c r="K1056" t="str">
        <f t="array" ref="K1056">iferror(index(extra_muscle!$J:$J,match($A1056,extra_muscle!$A:$A,0)))</f>
        <v>N</v>
      </c>
      <c r="L1056" s="59" t="str">
        <f t="array" ref="L1056">iferror(index(dna!$G:$G,match($A1056,dna!$A:$A,0)))</f>
        <v>BDN4-19</v>
      </c>
      <c r="M1056" s="60" t="str">
        <f t="array" ref="M1056">iferror(index(dna!$J:$J,match($A1056,dna!$A:$A,0)))</f>
        <v>N</v>
      </c>
      <c r="N1056" t="str">
        <f t="array" ref="N1056">iferror(index(stomachs!$G:$G,match($A1056,stomachs!$A:$A,0)))</f>
        <v/>
      </c>
      <c r="O1056" t="str">
        <f t="array" ref="O1056">iferror(index(stomachs!$J:$J,match($A1056,stomachs!$A:$A,0)))</f>
        <v/>
      </c>
      <c r="P1056" t="str">
        <f t="array" ref="P1056">iferror(index(sea_lice!$G:$G,match($A1056,sea_lice!$A:$A,0)))</f>
        <v/>
      </c>
      <c r="Q1056" t="str">
        <f t="array" ref="Q1056">iferror(index(sea_lice!$J:$J,match($A1056,sea_lice!$A:$A,0)))</f>
        <v/>
      </c>
      <c r="R1056" s="40" t="str">
        <f t="array" ref="R1056">iferror(index(dissected_fish!$F:$F,match($A1056,dissected_fish!$A:$A,0)))</f>
        <v>BCA109</v>
      </c>
      <c r="S1056" s="40" t="str">
        <f t="array" ref="S1056">iferror(index(dissected_fish!$K:$K,match($A1056,dissected_fish!$A:$A,0)))</f>
        <v>N</v>
      </c>
      <c r="T1056" s="61" t="str">
        <f t="array" ref="T1056">index(fish_lab_data!O:O,match(A1056,fish_lab_data!C:C,0))</f>
        <v>KB</v>
      </c>
      <c r="U1056" s="61">
        <f t="array" ref="U1056">if(A1056="","",index(fish_lab_data!X:X,match(A1056,fish_lab_data!C:C,0)))</f>
        <v>1055</v>
      </c>
    </row>
    <row r="1057">
      <c r="A1057" t="str">
        <f>fish_lab_data!C1057</f>
        <v>U16242</v>
      </c>
      <c r="B1057" t="str">
        <f t="array" ref="B1057">iferror(index('rna-muscle'!$I:$I,match($A1057,'rna-muscle'!$A:$A,0)))</f>
        <v>BRN73M-C4</v>
      </c>
      <c r="C1057" t="str">
        <f t="array" ref="C1057">iferror(index('rna-muscle'!$L:$L,match($A1057,'rna-muscle'!$A:$A,0)))</f>
        <v>N</v>
      </c>
      <c r="D1057" t="str">
        <f t="array" ref="D1057">iferror(index('rna-gill'!$I:$I,match($A1057,'rna-gill'!$A:$A,0)))</f>
        <v>BRN73G-C4</v>
      </c>
      <c r="E1057" t="str">
        <f t="array" ref="E1057">iferror(index('rna-gill'!$L:$L,match($A1057,'rna-gill'!$A:$A,0)))</f>
        <v>N</v>
      </c>
      <c r="F1057" t="str">
        <f t="array" ref="F1057">iferror(index(fatty_acid!$G:$G,match($A1057,fatty_acid!$A:$A,0)))</f>
        <v>BFA34-6</v>
      </c>
      <c r="G1057" t="str">
        <f t="array" ref="G1057">iferror(index(fatty_acid!$J:$J,match($A1057,fatty_acid!$A:$A,0)))</f>
        <v>N</v>
      </c>
      <c r="H1057" t="str">
        <f t="array" ref="H1057">iferror(index(isotopes!$G:$G,match($A1057,isotopes!$A:$A,0)))</f>
        <v>BIS37-6</v>
      </c>
      <c r="I1057" t="str">
        <f t="array" ref="I1057">iferror(index(isotopes!$J:$J,match($A1057,isotopes!$A:$A,0)))</f>
        <v>N</v>
      </c>
      <c r="J1057" t="str">
        <f t="array" ref="J1057">iferror(index(extra_muscle!$G:$G,match($A1057,extra_muscle!$A:$A,0)))</f>
        <v>BXM35-6</v>
      </c>
      <c r="K1057" t="str">
        <f t="array" ref="K1057">iferror(index(extra_muscle!$J:$J,match($A1057,extra_muscle!$A:$A,0)))</f>
        <v>N</v>
      </c>
      <c r="L1057" s="59" t="str">
        <f t="array" ref="L1057">iferror(index(dna!$G:$G,match($A1057,dna!$A:$A,0)))</f>
        <v>BDN4-20</v>
      </c>
      <c r="M1057" s="60" t="str">
        <f t="array" ref="M1057">iferror(index(dna!$J:$J,match($A1057,dna!$A:$A,0)))</f>
        <v>N</v>
      </c>
      <c r="N1057" t="str">
        <f t="array" ref="N1057">iferror(index(stomachs!$G:$G,match($A1057,stomachs!$A:$A,0)))</f>
        <v/>
      </c>
      <c r="O1057" t="str">
        <f t="array" ref="O1057">iferror(index(stomachs!$J:$J,match($A1057,stomachs!$A:$A,0)))</f>
        <v/>
      </c>
      <c r="P1057" t="str">
        <f t="array" ref="P1057">iferror(index(sea_lice!$G:$G,match($A1057,sea_lice!$A:$A,0)))</f>
        <v/>
      </c>
      <c r="Q1057" t="str">
        <f t="array" ref="Q1057">iferror(index(sea_lice!$J:$J,match($A1057,sea_lice!$A:$A,0)))</f>
        <v/>
      </c>
      <c r="R1057" s="40" t="str">
        <f t="array" ref="R1057">iferror(index(dissected_fish!$F:$F,match($A1057,dissected_fish!$A:$A,0)))</f>
        <v>BCA109</v>
      </c>
      <c r="S1057" s="40" t="str">
        <f t="array" ref="S1057">iferror(index(dissected_fish!$K:$K,match($A1057,dissected_fish!$A:$A,0)))</f>
        <v>N</v>
      </c>
      <c r="T1057" s="61" t="str">
        <f t="array" ref="T1057">index(fish_lab_data!O:O,match(A1057,fish_lab_data!C:C,0))</f>
        <v>KB</v>
      </c>
      <c r="U1057" s="61">
        <f t="array" ref="U1057">if(A1057="","",index(fish_lab_data!X:X,match(A1057,fish_lab_data!C:C,0)))</f>
        <v>1056</v>
      </c>
    </row>
    <row r="1058">
      <c r="A1058" t="str">
        <f>fish_lab_data!C1058</f>
        <v>U16246</v>
      </c>
      <c r="B1058" t="str">
        <f t="array" ref="B1058">iferror(index('rna-muscle'!$I:$I,match($A1058,'rna-muscle'!$A:$A,0)))</f>
        <v>BRN73M-B4</v>
      </c>
      <c r="C1058" t="str">
        <f t="array" ref="C1058">iferror(index('rna-muscle'!$L:$L,match($A1058,'rna-muscle'!$A:$A,0)))</f>
        <v>N</v>
      </c>
      <c r="D1058" t="str">
        <f t="array" ref="D1058">iferror(index('rna-gill'!$I:$I,match($A1058,'rna-gill'!$A:$A,0)))</f>
        <v>BRN73G-B4</v>
      </c>
      <c r="E1058" t="str">
        <f t="array" ref="E1058">iferror(index('rna-gill'!$L:$L,match($A1058,'rna-gill'!$A:$A,0)))</f>
        <v>N</v>
      </c>
      <c r="F1058" t="str">
        <f t="array" ref="F1058">iferror(index(fatty_acid!$G:$G,match($A1058,fatty_acid!$A:$A,0)))</f>
        <v>BFA34-7</v>
      </c>
      <c r="G1058" t="str">
        <f t="array" ref="G1058">iferror(index(fatty_acid!$J:$J,match($A1058,fatty_acid!$A:$A,0)))</f>
        <v>N</v>
      </c>
      <c r="H1058" t="str">
        <f t="array" ref="H1058">iferror(index(isotopes!$G:$G,match($A1058,isotopes!$A:$A,0)))</f>
        <v>BIS37-7</v>
      </c>
      <c r="I1058" t="str">
        <f t="array" ref="I1058">iferror(index(isotopes!$J:$J,match($A1058,isotopes!$A:$A,0)))</f>
        <v>N</v>
      </c>
      <c r="J1058" t="str">
        <f t="array" ref="J1058">iferror(index(extra_muscle!$G:$G,match($A1058,extra_muscle!$A:$A,0)))</f>
        <v>BXM35-7</v>
      </c>
      <c r="K1058" t="str">
        <f t="array" ref="K1058">iferror(index(extra_muscle!$J:$J,match($A1058,extra_muscle!$A:$A,0)))</f>
        <v>N</v>
      </c>
      <c r="L1058" s="59" t="str">
        <f t="array" ref="L1058">iferror(index(dna!$G:$G,match($A1058,dna!$A:$A,0)))</f>
        <v>BDN4-21</v>
      </c>
      <c r="M1058" s="60" t="str">
        <f t="array" ref="M1058">iferror(index(dna!$J:$J,match($A1058,dna!$A:$A,0)))</f>
        <v>N</v>
      </c>
      <c r="N1058" t="str">
        <f t="array" ref="N1058">iferror(index(stomachs!$G:$G,match($A1058,stomachs!$A:$A,0)))</f>
        <v/>
      </c>
      <c r="O1058" t="str">
        <f t="array" ref="O1058">iferror(index(stomachs!$J:$J,match($A1058,stomachs!$A:$A,0)))</f>
        <v/>
      </c>
      <c r="P1058" t="str">
        <f t="array" ref="P1058">iferror(index(sea_lice!$G:$G,match($A1058,sea_lice!$A:$A,0)))</f>
        <v/>
      </c>
      <c r="Q1058" t="str">
        <f t="array" ref="Q1058">iferror(index(sea_lice!$J:$J,match($A1058,sea_lice!$A:$A,0)))</f>
        <v/>
      </c>
      <c r="R1058" s="40" t="str">
        <f t="array" ref="R1058">iferror(index(dissected_fish!$F:$F,match($A1058,dissected_fish!$A:$A,0)))</f>
        <v>BCA109</v>
      </c>
      <c r="S1058" s="40" t="str">
        <f t="array" ref="S1058">iferror(index(dissected_fish!$K:$K,match($A1058,dissected_fish!$A:$A,0)))</f>
        <v>N</v>
      </c>
      <c r="T1058" s="61" t="str">
        <f t="array" ref="T1058">index(fish_lab_data!O:O,match(A1058,fish_lab_data!C:C,0))</f>
        <v>KB</v>
      </c>
      <c r="U1058" s="61">
        <f t="array" ref="U1058">if(A1058="","",index(fish_lab_data!X:X,match(A1058,fish_lab_data!C:C,0)))</f>
        <v>1057</v>
      </c>
    </row>
    <row r="1059">
      <c r="A1059" t="str">
        <f>fish_lab_data!C1059</f>
        <v>U16248</v>
      </c>
      <c r="B1059" t="str">
        <f t="array" ref="B1059">iferror(index('rna-muscle'!$I:$I,match($A1059,'rna-muscle'!$A:$A,0)))</f>
        <v>BRN73M-A4</v>
      </c>
      <c r="C1059" t="str">
        <f t="array" ref="C1059">iferror(index('rna-muscle'!$L:$L,match($A1059,'rna-muscle'!$A:$A,0)))</f>
        <v>N</v>
      </c>
      <c r="D1059" t="str">
        <f t="array" ref="D1059">iferror(index('rna-gill'!$I:$I,match($A1059,'rna-gill'!$A:$A,0)))</f>
        <v>BRN73G-A4</v>
      </c>
      <c r="E1059" t="str">
        <f t="array" ref="E1059">iferror(index('rna-gill'!$L:$L,match($A1059,'rna-gill'!$A:$A,0)))</f>
        <v>N</v>
      </c>
      <c r="F1059" t="str">
        <f t="array" ref="F1059">iferror(index(fatty_acid!$G:$G,match($A1059,fatty_acid!$A:$A,0)))</f>
        <v>BFA34-8</v>
      </c>
      <c r="G1059" t="str">
        <f t="array" ref="G1059">iferror(index(fatty_acid!$J:$J,match($A1059,fatty_acid!$A:$A,0)))</f>
        <v>N</v>
      </c>
      <c r="H1059" t="str">
        <f t="array" ref="H1059">iferror(index(isotopes!$G:$G,match($A1059,isotopes!$A:$A,0)))</f>
        <v>BIS37-8</v>
      </c>
      <c r="I1059" t="str">
        <f t="array" ref="I1059">iferror(index(isotopes!$J:$J,match($A1059,isotopes!$A:$A,0)))</f>
        <v>N</v>
      </c>
      <c r="J1059" t="str">
        <f t="array" ref="J1059">iferror(index(extra_muscle!$G:$G,match($A1059,extra_muscle!$A:$A,0)))</f>
        <v>BXM35-8</v>
      </c>
      <c r="K1059" t="str">
        <f t="array" ref="K1059">iferror(index(extra_muscle!$J:$J,match($A1059,extra_muscle!$A:$A,0)))</f>
        <v>N</v>
      </c>
      <c r="L1059" s="59" t="str">
        <f t="array" ref="L1059">iferror(index(dna!$G:$G,match($A1059,dna!$A:$A,0)))</f>
        <v>BDN4-22</v>
      </c>
      <c r="M1059" s="60" t="str">
        <f t="array" ref="M1059">iferror(index(dna!$J:$J,match($A1059,dna!$A:$A,0)))</f>
        <v>N</v>
      </c>
      <c r="N1059" t="str">
        <f t="array" ref="N1059">iferror(index(stomachs!$G:$G,match($A1059,stomachs!$A:$A,0)))</f>
        <v/>
      </c>
      <c r="O1059" t="str">
        <f t="array" ref="O1059">iferror(index(stomachs!$J:$J,match($A1059,stomachs!$A:$A,0)))</f>
        <v/>
      </c>
      <c r="P1059" t="str">
        <f t="array" ref="P1059">iferror(index(sea_lice!$G:$G,match($A1059,sea_lice!$A:$A,0)))</f>
        <v/>
      </c>
      <c r="Q1059" t="str">
        <f t="array" ref="Q1059">iferror(index(sea_lice!$J:$J,match($A1059,sea_lice!$A:$A,0)))</f>
        <v/>
      </c>
      <c r="R1059" s="40" t="str">
        <f t="array" ref="R1059">iferror(index(dissected_fish!$F:$F,match($A1059,dissected_fish!$A:$A,0)))</f>
        <v>BCA109</v>
      </c>
      <c r="S1059" s="40" t="str">
        <f t="array" ref="S1059">iferror(index(dissected_fish!$K:$K,match($A1059,dissected_fish!$A:$A,0)))</f>
        <v>N</v>
      </c>
      <c r="T1059" s="61" t="str">
        <f t="array" ref="T1059">index(fish_lab_data!O:O,match(A1059,fish_lab_data!C:C,0))</f>
        <v>KB</v>
      </c>
      <c r="U1059" s="61">
        <f t="array" ref="U1059">if(A1059="","",index(fish_lab_data!X:X,match(A1059,fish_lab_data!C:C,0)))</f>
        <v>1058</v>
      </c>
    </row>
    <row r="1060">
      <c r="A1060" t="str">
        <f>fish_lab_data!C1060</f>
        <v>U16249</v>
      </c>
      <c r="B1060" t="str">
        <f t="array" ref="B1060">iferror(index('rna-muscle'!$I:$I,match($A1060,'rna-muscle'!$A:$A,0)))</f>
        <v>BRN73M-H5</v>
      </c>
      <c r="C1060" t="str">
        <f t="array" ref="C1060">iferror(index('rna-muscle'!$L:$L,match($A1060,'rna-muscle'!$A:$A,0)))</f>
        <v>N</v>
      </c>
      <c r="D1060" t="str">
        <f t="array" ref="D1060">iferror(index('rna-gill'!$I:$I,match($A1060,'rna-gill'!$A:$A,0)))</f>
        <v>BRN73G-H5</v>
      </c>
      <c r="E1060" t="str">
        <f t="array" ref="E1060">iferror(index('rna-gill'!$L:$L,match($A1060,'rna-gill'!$A:$A,0)))</f>
        <v>N</v>
      </c>
      <c r="F1060" t="str">
        <f t="array" ref="F1060">iferror(index(fatty_acid!$G:$G,match($A1060,fatty_acid!$A:$A,0)))</f>
        <v>BFA34-9</v>
      </c>
      <c r="G1060" t="str">
        <f t="array" ref="G1060">iferror(index(fatty_acid!$J:$J,match($A1060,fatty_acid!$A:$A,0)))</f>
        <v>N</v>
      </c>
      <c r="H1060" t="str">
        <f t="array" ref="H1060">iferror(index(isotopes!$G:$G,match($A1060,isotopes!$A:$A,0)))</f>
        <v>BIS37-9</v>
      </c>
      <c r="I1060" t="str">
        <f t="array" ref="I1060">iferror(index(isotopes!$J:$J,match($A1060,isotopes!$A:$A,0)))</f>
        <v>N</v>
      </c>
      <c r="J1060" t="str">
        <f t="array" ref="J1060">iferror(index(extra_muscle!$G:$G,match($A1060,extra_muscle!$A:$A,0)))</f>
        <v>BXM35-9</v>
      </c>
      <c r="K1060" t="str">
        <f t="array" ref="K1060">iferror(index(extra_muscle!$J:$J,match($A1060,extra_muscle!$A:$A,0)))</f>
        <v>N</v>
      </c>
      <c r="L1060" s="59" t="str">
        <f t="array" ref="L1060">iferror(index(dna!$G:$G,match($A1060,dna!$A:$A,0)))</f>
        <v>BDN4-23</v>
      </c>
      <c r="M1060" s="60" t="str">
        <f t="array" ref="M1060">iferror(index(dna!$J:$J,match($A1060,dna!$A:$A,0)))</f>
        <v>N</v>
      </c>
      <c r="N1060" t="str">
        <f t="array" ref="N1060">iferror(index(stomachs!$G:$G,match($A1060,stomachs!$A:$A,0)))</f>
        <v/>
      </c>
      <c r="O1060" t="str">
        <f t="array" ref="O1060">iferror(index(stomachs!$J:$J,match($A1060,stomachs!$A:$A,0)))</f>
        <v/>
      </c>
      <c r="P1060" t="str">
        <f t="array" ref="P1060">iferror(index(sea_lice!$G:$G,match($A1060,sea_lice!$A:$A,0)))</f>
        <v/>
      </c>
      <c r="Q1060" t="str">
        <f t="array" ref="Q1060">iferror(index(sea_lice!$J:$J,match($A1060,sea_lice!$A:$A,0)))</f>
        <v/>
      </c>
      <c r="R1060" s="40" t="str">
        <f t="array" ref="R1060">iferror(index(dissected_fish!$F:$F,match($A1060,dissected_fish!$A:$A,0)))</f>
        <v>BCA109</v>
      </c>
      <c r="S1060" s="40" t="str">
        <f t="array" ref="S1060">iferror(index(dissected_fish!$K:$K,match($A1060,dissected_fish!$A:$A,0)))</f>
        <v>N</v>
      </c>
      <c r="T1060" s="61" t="str">
        <f t="array" ref="T1060">index(fish_lab_data!O:O,match(A1060,fish_lab_data!C:C,0))</f>
        <v>KB</v>
      </c>
      <c r="U1060" s="61">
        <f t="array" ref="U1060">if(A1060="","",index(fish_lab_data!X:X,match(A1060,fish_lab_data!C:C,0)))</f>
        <v>1059</v>
      </c>
    </row>
    <row r="1061">
      <c r="A1061" t="str">
        <f>fish_lab_data!C1061</f>
        <v>U16241</v>
      </c>
      <c r="B1061" t="str">
        <f t="array" ref="B1061">iferror(index('rna-muscle'!$I:$I,match($A1061,'rna-muscle'!$A:$A,0)))</f>
        <v>BRN73M-G5</v>
      </c>
      <c r="C1061" t="str">
        <f t="array" ref="C1061">iferror(index('rna-muscle'!$L:$L,match($A1061,'rna-muscle'!$A:$A,0)))</f>
        <v>N</v>
      </c>
      <c r="D1061" t="str">
        <f t="array" ref="D1061">iferror(index('rna-gill'!$I:$I,match($A1061,'rna-gill'!$A:$A,0)))</f>
        <v>BRN73G-G5</v>
      </c>
      <c r="E1061" t="str">
        <f t="array" ref="E1061">iferror(index('rna-gill'!$L:$L,match($A1061,'rna-gill'!$A:$A,0)))</f>
        <v>N</v>
      </c>
      <c r="F1061" t="str">
        <f t="array" ref="F1061">iferror(index(fatty_acid!$G:$G,match($A1061,fatty_acid!$A:$A,0)))</f>
        <v>BFA34-10</v>
      </c>
      <c r="G1061" t="str">
        <f t="array" ref="G1061">iferror(index(fatty_acid!$J:$J,match($A1061,fatty_acid!$A:$A,0)))</f>
        <v>N</v>
      </c>
      <c r="H1061" t="str">
        <f t="array" ref="H1061">iferror(index(isotopes!$G:$G,match($A1061,isotopes!$A:$A,0)))</f>
        <v>BIS37-10</v>
      </c>
      <c r="I1061" t="str">
        <f t="array" ref="I1061">iferror(index(isotopes!$J:$J,match($A1061,isotopes!$A:$A,0)))</f>
        <v>N</v>
      </c>
      <c r="J1061" t="str">
        <f t="array" ref="J1061">iferror(index(extra_muscle!$G:$G,match($A1061,extra_muscle!$A:$A,0)))</f>
        <v>BXM35-10</v>
      </c>
      <c r="K1061" t="str">
        <f t="array" ref="K1061">iferror(index(extra_muscle!$J:$J,match($A1061,extra_muscle!$A:$A,0)))</f>
        <v>N</v>
      </c>
      <c r="L1061" s="59" t="str">
        <f t="array" ref="L1061">iferror(index(dna!$G:$G,match($A1061,dna!$A:$A,0)))</f>
        <v>BDN4-24</v>
      </c>
      <c r="M1061" s="60" t="str">
        <f t="array" ref="M1061">iferror(index(dna!$J:$J,match($A1061,dna!$A:$A,0)))</f>
        <v>N</v>
      </c>
      <c r="N1061" t="str">
        <f t="array" ref="N1061">iferror(index(stomachs!$G:$G,match($A1061,stomachs!$A:$A,0)))</f>
        <v/>
      </c>
      <c r="O1061" t="str">
        <f t="array" ref="O1061">iferror(index(stomachs!$J:$J,match($A1061,stomachs!$A:$A,0)))</f>
        <v/>
      </c>
      <c r="P1061" t="str">
        <f t="array" ref="P1061">iferror(index(sea_lice!$G:$G,match($A1061,sea_lice!$A:$A,0)))</f>
        <v/>
      </c>
      <c r="Q1061" t="str">
        <f t="array" ref="Q1061">iferror(index(sea_lice!$J:$J,match($A1061,sea_lice!$A:$A,0)))</f>
        <v/>
      </c>
      <c r="R1061" s="40" t="str">
        <f t="array" ref="R1061">iferror(index(dissected_fish!$F:$F,match($A1061,dissected_fish!$A:$A,0)))</f>
        <v>BCA109</v>
      </c>
      <c r="S1061" s="40" t="str">
        <f t="array" ref="S1061">iferror(index(dissected_fish!$K:$K,match($A1061,dissected_fish!$A:$A,0)))</f>
        <v>N</v>
      </c>
      <c r="T1061" s="61" t="str">
        <f t="array" ref="T1061">index(fish_lab_data!O:O,match(A1061,fish_lab_data!C:C,0))</f>
        <v>KB</v>
      </c>
      <c r="U1061" s="61">
        <f t="array" ref="U1061">if(A1061="","",index(fish_lab_data!X:X,match(A1061,fish_lab_data!C:C,0)))</f>
        <v>1060</v>
      </c>
    </row>
    <row r="1062">
      <c r="A1062" t="str">
        <f>fish_lab_data!C1062</f>
        <v>U16244</v>
      </c>
      <c r="B1062" t="str">
        <f t="array" ref="B1062">iferror(index('rna-muscle'!$I:$I,match($A1062,'rna-muscle'!$A:$A,0)))</f>
        <v>BRN73M-F5</v>
      </c>
      <c r="C1062" t="str">
        <f t="array" ref="C1062">iferror(index('rna-muscle'!$L:$L,match($A1062,'rna-muscle'!$A:$A,0)))</f>
        <v>N</v>
      </c>
      <c r="D1062" t="str">
        <f t="array" ref="D1062">iferror(index('rna-gill'!$I:$I,match($A1062,'rna-gill'!$A:$A,0)))</f>
        <v>BRN73G-F5</v>
      </c>
      <c r="E1062" t="str">
        <f t="array" ref="E1062">iferror(index('rna-gill'!$L:$L,match($A1062,'rna-gill'!$A:$A,0)))</f>
        <v>N</v>
      </c>
      <c r="F1062" t="str">
        <f t="array" ref="F1062">iferror(index(fatty_acid!$G:$G,match($A1062,fatty_acid!$A:$A,0)))</f>
        <v>BFA34-11</v>
      </c>
      <c r="G1062" t="str">
        <f t="array" ref="G1062">iferror(index(fatty_acid!$J:$J,match($A1062,fatty_acid!$A:$A,0)))</f>
        <v>N</v>
      </c>
      <c r="H1062" t="str">
        <f t="array" ref="H1062">iferror(index(isotopes!$G:$G,match($A1062,isotopes!$A:$A,0)))</f>
        <v>BIS37-11</v>
      </c>
      <c r="I1062" t="str">
        <f t="array" ref="I1062">iferror(index(isotopes!$J:$J,match($A1062,isotopes!$A:$A,0)))</f>
        <v>N</v>
      </c>
      <c r="J1062" t="str">
        <f t="array" ref="J1062">iferror(index(extra_muscle!$G:$G,match($A1062,extra_muscle!$A:$A,0)))</f>
        <v>BXM35-11</v>
      </c>
      <c r="K1062" t="str">
        <f t="array" ref="K1062">iferror(index(extra_muscle!$J:$J,match($A1062,extra_muscle!$A:$A,0)))</f>
        <v>N</v>
      </c>
      <c r="L1062" s="59" t="str">
        <f t="array" ref="L1062">iferror(index(dna!$G:$G,match($A1062,dna!$A:$A,0)))</f>
        <v>BDN4-25</v>
      </c>
      <c r="M1062" s="60" t="str">
        <f t="array" ref="M1062">iferror(index(dna!$J:$J,match($A1062,dna!$A:$A,0)))</f>
        <v>N</v>
      </c>
      <c r="N1062" t="str">
        <f t="array" ref="N1062">iferror(index(stomachs!$G:$G,match($A1062,stomachs!$A:$A,0)))</f>
        <v/>
      </c>
      <c r="O1062" t="str">
        <f t="array" ref="O1062">iferror(index(stomachs!$J:$J,match($A1062,stomachs!$A:$A,0)))</f>
        <v/>
      </c>
      <c r="P1062" t="str">
        <f t="array" ref="P1062">iferror(index(sea_lice!$G:$G,match($A1062,sea_lice!$A:$A,0)))</f>
        <v/>
      </c>
      <c r="Q1062" t="str">
        <f t="array" ref="Q1062">iferror(index(sea_lice!$J:$J,match($A1062,sea_lice!$A:$A,0)))</f>
        <v/>
      </c>
      <c r="R1062" s="40" t="str">
        <f t="array" ref="R1062">iferror(index(dissected_fish!$F:$F,match($A1062,dissected_fish!$A:$A,0)))</f>
        <v>BCA109</v>
      </c>
      <c r="S1062" s="40" t="str">
        <f t="array" ref="S1062">iferror(index(dissected_fish!$K:$K,match($A1062,dissected_fish!$A:$A,0)))</f>
        <v>N</v>
      </c>
      <c r="T1062" s="61" t="str">
        <f t="array" ref="T1062">index(fish_lab_data!O:O,match(A1062,fish_lab_data!C:C,0))</f>
        <v>KB</v>
      </c>
      <c r="U1062" s="61">
        <f t="array" ref="U1062">if(A1062="","",index(fish_lab_data!X:X,match(A1062,fish_lab_data!C:C,0)))</f>
        <v>1061</v>
      </c>
    </row>
    <row r="1063">
      <c r="A1063" t="str">
        <f>fish_lab_data!C1063</f>
        <v>U16243</v>
      </c>
      <c r="B1063" t="str">
        <f t="array" ref="B1063">iferror(index('rna-muscle'!$I:$I,match($A1063,'rna-muscle'!$A:$A,0)))</f>
        <v>BRN73M-E5</v>
      </c>
      <c r="C1063" t="str">
        <f t="array" ref="C1063">iferror(index('rna-muscle'!$L:$L,match($A1063,'rna-muscle'!$A:$A,0)))</f>
        <v>N</v>
      </c>
      <c r="D1063" t="str">
        <f t="array" ref="D1063">iferror(index('rna-gill'!$I:$I,match($A1063,'rna-gill'!$A:$A,0)))</f>
        <v>BRN73G-E5</v>
      </c>
      <c r="E1063" t="str">
        <f t="array" ref="E1063">iferror(index('rna-gill'!$L:$L,match($A1063,'rna-gill'!$A:$A,0)))</f>
        <v>N</v>
      </c>
      <c r="F1063" t="str">
        <f t="array" ref="F1063">iferror(index(fatty_acid!$G:$G,match($A1063,fatty_acid!$A:$A,0)))</f>
        <v>BFA34-12</v>
      </c>
      <c r="G1063" t="str">
        <f t="array" ref="G1063">iferror(index(fatty_acid!$J:$J,match($A1063,fatty_acid!$A:$A,0)))</f>
        <v>N</v>
      </c>
      <c r="H1063" t="str">
        <f t="array" ref="H1063">iferror(index(isotopes!$G:$G,match($A1063,isotopes!$A:$A,0)))</f>
        <v>BIS37-12</v>
      </c>
      <c r="I1063" t="str">
        <f t="array" ref="I1063">iferror(index(isotopes!$J:$J,match($A1063,isotopes!$A:$A,0)))</f>
        <v>N</v>
      </c>
      <c r="J1063" t="str">
        <f t="array" ref="J1063">iferror(index(extra_muscle!$G:$G,match($A1063,extra_muscle!$A:$A,0)))</f>
        <v>BXM35-12</v>
      </c>
      <c r="K1063" t="str">
        <f t="array" ref="K1063">iferror(index(extra_muscle!$J:$J,match($A1063,extra_muscle!$A:$A,0)))</f>
        <v>N</v>
      </c>
      <c r="L1063" s="59" t="str">
        <f t="array" ref="L1063">iferror(index(dna!$G:$G,match($A1063,dna!$A:$A,0)))</f>
        <v>BDN4-26</v>
      </c>
      <c r="M1063" s="60" t="str">
        <f t="array" ref="M1063">iferror(index(dna!$J:$J,match($A1063,dna!$A:$A,0)))</f>
        <v>N</v>
      </c>
      <c r="N1063" t="str">
        <f t="array" ref="N1063">iferror(index(stomachs!$G:$G,match($A1063,stomachs!$A:$A,0)))</f>
        <v/>
      </c>
      <c r="O1063" t="str">
        <f t="array" ref="O1063">iferror(index(stomachs!$J:$J,match($A1063,stomachs!$A:$A,0)))</f>
        <v/>
      </c>
      <c r="P1063" t="str">
        <f t="array" ref="P1063">iferror(index(sea_lice!$G:$G,match($A1063,sea_lice!$A:$A,0)))</f>
        <v/>
      </c>
      <c r="Q1063" t="str">
        <f t="array" ref="Q1063">iferror(index(sea_lice!$J:$J,match($A1063,sea_lice!$A:$A,0)))</f>
        <v/>
      </c>
      <c r="R1063" s="40" t="str">
        <f t="array" ref="R1063">iferror(index(dissected_fish!$F:$F,match($A1063,dissected_fish!$A:$A,0)))</f>
        <v>BCA109</v>
      </c>
      <c r="S1063" s="40" t="str">
        <f t="array" ref="S1063">iferror(index(dissected_fish!$K:$K,match($A1063,dissected_fish!$A:$A,0)))</f>
        <v>N</v>
      </c>
      <c r="T1063" s="61" t="str">
        <f t="array" ref="T1063">index(fish_lab_data!O:O,match(A1063,fish_lab_data!C:C,0))</f>
        <v>KB</v>
      </c>
      <c r="U1063" s="61">
        <f t="array" ref="U1063">if(A1063="","",index(fish_lab_data!X:X,match(A1063,fish_lab_data!C:C,0)))</f>
        <v>1062</v>
      </c>
    </row>
    <row r="1064">
      <c r="A1064" t="str">
        <f>fish_lab_data!C1064</f>
        <v>U16247</v>
      </c>
      <c r="B1064" t="str">
        <f t="array" ref="B1064">iferror(index('rna-muscle'!$I:$I,match($A1064,'rna-muscle'!$A:$A,0)))</f>
        <v>BRN73M-D5</v>
      </c>
      <c r="C1064" t="str">
        <f t="array" ref="C1064">iferror(index('rna-muscle'!$L:$L,match($A1064,'rna-muscle'!$A:$A,0)))</f>
        <v>N</v>
      </c>
      <c r="D1064" t="str">
        <f t="array" ref="D1064">iferror(index('rna-gill'!$I:$I,match($A1064,'rna-gill'!$A:$A,0)))</f>
        <v>BRN73G-D5</v>
      </c>
      <c r="E1064" t="str">
        <f t="array" ref="E1064">iferror(index('rna-gill'!$L:$L,match($A1064,'rna-gill'!$A:$A,0)))</f>
        <v>N</v>
      </c>
      <c r="F1064" t="str">
        <f t="array" ref="F1064">iferror(index(fatty_acid!$G:$G,match($A1064,fatty_acid!$A:$A,0)))</f>
        <v>BFA34-13</v>
      </c>
      <c r="G1064" t="str">
        <f t="array" ref="G1064">iferror(index(fatty_acid!$J:$J,match($A1064,fatty_acid!$A:$A,0)))</f>
        <v>N</v>
      </c>
      <c r="H1064" t="str">
        <f t="array" ref="H1064">iferror(index(isotopes!$G:$G,match($A1064,isotopes!$A:$A,0)))</f>
        <v>BIS37-13</v>
      </c>
      <c r="I1064" t="str">
        <f t="array" ref="I1064">iferror(index(isotopes!$J:$J,match($A1064,isotopes!$A:$A,0)))</f>
        <v>N</v>
      </c>
      <c r="J1064" t="str">
        <f t="array" ref="J1064">iferror(index(extra_muscle!$G:$G,match($A1064,extra_muscle!$A:$A,0)))</f>
        <v>BXM35-13</v>
      </c>
      <c r="K1064" t="str">
        <f t="array" ref="K1064">iferror(index(extra_muscle!$J:$J,match($A1064,extra_muscle!$A:$A,0)))</f>
        <v>N</v>
      </c>
      <c r="L1064" s="59" t="str">
        <f t="array" ref="L1064">iferror(index(dna!$G:$G,match($A1064,dna!$A:$A,0)))</f>
        <v>BDN4-27</v>
      </c>
      <c r="M1064" s="60" t="str">
        <f t="array" ref="M1064">iferror(index(dna!$J:$J,match($A1064,dna!$A:$A,0)))</f>
        <v>N</v>
      </c>
      <c r="N1064" t="str">
        <f t="array" ref="N1064">iferror(index(stomachs!$G:$G,match($A1064,stomachs!$A:$A,0)))</f>
        <v/>
      </c>
      <c r="O1064" t="str">
        <f t="array" ref="O1064">iferror(index(stomachs!$J:$J,match($A1064,stomachs!$A:$A,0)))</f>
        <v/>
      </c>
      <c r="P1064" t="str">
        <f t="array" ref="P1064">iferror(index(sea_lice!$G:$G,match($A1064,sea_lice!$A:$A,0)))</f>
        <v/>
      </c>
      <c r="Q1064" t="str">
        <f t="array" ref="Q1064">iferror(index(sea_lice!$J:$J,match($A1064,sea_lice!$A:$A,0)))</f>
        <v/>
      </c>
      <c r="R1064" s="40" t="str">
        <f t="array" ref="R1064">iferror(index(dissected_fish!$F:$F,match($A1064,dissected_fish!$A:$A,0)))</f>
        <v>BCA109</v>
      </c>
      <c r="S1064" s="40" t="str">
        <f t="array" ref="S1064">iferror(index(dissected_fish!$K:$K,match($A1064,dissected_fish!$A:$A,0)))</f>
        <v>N</v>
      </c>
      <c r="T1064" s="61" t="str">
        <f t="array" ref="T1064">index(fish_lab_data!O:O,match(A1064,fish_lab_data!C:C,0))</f>
        <v>KB</v>
      </c>
      <c r="U1064" s="61">
        <f t="array" ref="U1064">if(A1064="","",index(fish_lab_data!X:X,match(A1064,fish_lab_data!C:C,0)))</f>
        <v>1063</v>
      </c>
    </row>
    <row r="1065">
      <c r="A1065" t="str">
        <f>fish_lab_data!C1065</f>
        <v>U16245</v>
      </c>
      <c r="B1065" t="str">
        <f t="array" ref="B1065">iferror(index('rna-muscle'!$I:$I,match($A1065,'rna-muscle'!$A:$A,0)))</f>
        <v>BRN73M-C5</v>
      </c>
      <c r="C1065" t="str">
        <f t="array" ref="C1065">iferror(index('rna-muscle'!$L:$L,match($A1065,'rna-muscle'!$A:$A,0)))</f>
        <v>N</v>
      </c>
      <c r="D1065" t="str">
        <f t="array" ref="D1065">iferror(index('rna-gill'!$I:$I,match($A1065,'rna-gill'!$A:$A,0)))</f>
        <v>BRN73G-C5</v>
      </c>
      <c r="E1065" t="str">
        <f t="array" ref="E1065">iferror(index('rna-gill'!$L:$L,match($A1065,'rna-gill'!$A:$A,0)))</f>
        <v>N</v>
      </c>
      <c r="F1065" t="str">
        <f t="array" ref="F1065">iferror(index(fatty_acid!$G:$G,match($A1065,fatty_acid!$A:$A,0)))</f>
        <v>BFA34-14</v>
      </c>
      <c r="G1065" t="str">
        <f t="array" ref="G1065">iferror(index(fatty_acid!$J:$J,match($A1065,fatty_acid!$A:$A,0)))</f>
        <v>N</v>
      </c>
      <c r="H1065" t="str">
        <f t="array" ref="H1065">iferror(index(isotopes!$G:$G,match($A1065,isotopes!$A:$A,0)))</f>
        <v>BIS37-14</v>
      </c>
      <c r="I1065" t="str">
        <f t="array" ref="I1065">iferror(index(isotopes!$J:$J,match($A1065,isotopes!$A:$A,0)))</f>
        <v>N</v>
      </c>
      <c r="J1065" t="str">
        <f t="array" ref="J1065">iferror(index(extra_muscle!$G:$G,match($A1065,extra_muscle!$A:$A,0)))</f>
        <v>BXM35-14</v>
      </c>
      <c r="K1065" t="str">
        <f t="array" ref="K1065">iferror(index(extra_muscle!$J:$J,match($A1065,extra_muscle!$A:$A,0)))</f>
        <v>N</v>
      </c>
      <c r="L1065" s="59" t="str">
        <f t="array" ref="L1065">iferror(index(dna!$G:$G,match($A1065,dna!$A:$A,0)))</f>
        <v>BDN4-28</v>
      </c>
      <c r="M1065" s="60" t="str">
        <f t="array" ref="M1065">iferror(index(dna!$J:$J,match($A1065,dna!$A:$A,0)))</f>
        <v>N</v>
      </c>
      <c r="N1065" t="str">
        <f t="array" ref="N1065">iferror(index(stomachs!$G:$G,match($A1065,stomachs!$A:$A,0)))</f>
        <v/>
      </c>
      <c r="O1065" t="str">
        <f t="array" ref="O1065">iferror(index(stomachs!$J:$J,match($A1065,stomachs!$A:$A,0)))</f>
        <v/>
      </c>
      <c r="P1065" t="str">
        <f t="array" ref="P1065">iferror(index(sea_lice!$G:$G,match($A1065,sea_lice!$A:$A,0)))</f>
        <v/>
      </c>
      <c r="Q1065" t="str">
        <f t="array" ref="Q1065">iferror(index(sea_lice!$J:$J,match($A1065,sea_lice!$A:$A,0)))</f>
        <v/>
      </c>
      <c r="R1065" s="40" t="str">
        <f t="array" ref="R1065">iferror(index(dissected_fish!$F:$F,match($A1065,dissected_fish!$A:$A,0)))</f>
        <v>BCA109</v>
      </c>
      <c r="S1065" s="40" t="str">
        <f t="array" ref="S1065">iferror(index(dissected_fish!$K:$K,match($A1065,dissected_fish!$A:$A,0)))</f>
        <v>N</v>
      </c>
      <c r="T1065" s="61" t="str">
        <f t="array" ref="T1065">index(fish_lab_data!O:O,match(A1065,fish_lab_data!C:C,0))</f>
        <v>KB</v>
      </c>
      <c r="U1065" s="61">
        <f t="array" ref="U1065">if(A1065="","",index(fish_lab_data!X:X,match(A1065,fish_lab_data!C:C,0)))</f>
        <v>1064</v>
      </c>
    </row>
    <row r="1066">
      <c r="A1066" t="str">
        <f>fish_lab_data!C1066</f>
        <v>U16102</v>
      </c>
      <c r="B1066" t="str">
        <f t="array" ref="B1066">iferror(index('rna-muscle'!$I:$I,match($A1066,'rna-muscle'!$A:$A,0)))</f>
        <v>BRN73M-B5</v>
      </c>
      <c r="C1066" t="str">
        <f t="array" ref="C1066">iferror(index('rna-muscle'!$L:$L,match($A1066,'rna-muscle'!$A:$A,0)))</f>
        <v>N</v>
      </c>
      <c r="D1066" t="str">
        <f t="array" ref="D1066">iferror(index('rna-gill'!$I:$I,match($A1066,'rna-gill'!$A:$A,0)))</f>
        <v>BRN73G-B5</v>
      </c>
      <c r="E1066" t="str">
        <f t="array" ref="E1066">iferror(index('rna-gill'!$L:$L,match($A1066,'rna-gill'!$A:$A,0)))</f>
        <v>N</v>
      </c>
      <c r="F1066" t="str">
        <f t="array" ref="F1066">iferror(index(fatty_acid!$G:$G,match($A1066,fatty_acid!$A:$A,0)))</f>
        <v>BFA34-15</v>
      </c>
      <c r="G1066" t="str">
        <f t="array" ref="G1066">iferror(index(fatty_acid!$J:$J,match($A1066,fatty_acid!$A:$A,0)))</f>
        <v>N</v>
      </c>
      <c r="H1066" t="str">
        <f t="array" ref="H1066">iferror(index(isotopes!$G:$G,match($A1066,isotopes!$A:$A,0)))</f>
        <v>BIS37-15</v>
      </c>
      <c r="I1066" t="str">
        <f t="array" ref="I1066">iferror(index(isotopes!$J:$J,match($A1066,isotopes!$A:$A,0)))</f>
        <v>N</v>
      </c>
      <c r="J1066" t="str">
        <f t="array" ref="J1066">iferror(index(extra_muscle!$G:$G,match($A1066,extra_muscle!$A:$A,0)))</f>
        <v>BXM35-15</v>
      </c>
      <c r="K1066" t="str">
        <f t="array" ref="K1066">iferror(index(extra_muscle!$J:$J,match($A1066,extra_muscle!$A:$A,0)))</f>
        <v>N</v>
      </c>
      <c r="L1066" s="59" t="str">
        <f t="array" ref="L1066">iferror(index(dna!$G:$G,match($A1066,dna!$A:$A,0)))</f>
        <v>BDN4-29</v>
      </c>
      <c r="M1066" s="60" t="str">
        <f t="array" ref="M1066">iferror(index(dna!$J:$J,match($A1066,dna!$A:$A,0)))</f>
        <v>N</v>
      </c>
      <c r="N1066" t="str">
        <f t="array" ref="N1066">iferror(index(stomachs!$G:$G,match($A1066,stomachs!$A:$A,0)))</f>
        <v/>
      </c>
      <c r="O1066" t="str">
        <f t="array" ref="O1066">iferror(index(stomachs!$J:$J,match($A1066,stomachs!$A:$A,0)))</f>
        <v/>
      </c>
      <c r="P1066" t="str">
        <f t="array" ref="P1066">iferror(index(sea_lice!$G:$G,match($A1066,sea_lice!$A:$A,0)))</f>
        <v/>
      </c>
      <c r="Q1066" t="str">
        <f t="array" ref="Q1066">iferror(index(sea_lice!$J:$J,match($A1066,sea_lice!$A:$A,0)))</f>
        <v/>
      </c>
      <c r="R1066" s="40" t="str">
        <f t="array" ref="R1066">iferror(index(dissected_fish!$F:$F,match($A1066,dissected_fish!$A:$A,0)))</f>
        <v>BCA109</v>
      </c>
      <c r="S1066" s="40" t="str">
        <f t="array" ref="S1066">iferror(index(dissected_fish!$K:$K,match($A1066,dissected_fish!$A:$A,0)))</f>
        <v>N</v>
      </c>
      <c r="T1066" s="61" t="str">
        <f t="array" ref="T1066">index(fish_lab_data!O:O,match(A1066,fish_lab_data!C:C,0))</f>
        <v>KB</v>
      </c>
      <c r="U1066" s="61">
        <f t="array" ref="U1066">if(A1066="","",index(fish_lab_data!X:X,match(A1066,fish_lab_data!C:C,0)))</f>
        <v>1065</v>
      </c>
    </row>
    <row r="1067">
      <c r="A1067" t="str">
        <f>fish_lab_data!C1067</f>
        <v>U16107</v>
      </c>
      <c r="B1067" t="str">
        <f t="array" ref="B1067">iferror(index('rna-muscle'!$I:$I,match($A1067,'rna-muscle'!$A:$A,0)))</f>
        <v>BRN73M-A5</v>
      </c>
      <c r="C1067" t="str">
        <f t="array" ref="C1067">iferror(index('rna-muscle'!$L:$L,match($A1067,'rna-muscle'!$A:$A,0)))</f>
        <v>N</v>
      </c>
      <c r="D1067" t="str">
        <f t="array" ref="D1067">iferror(index('rna-gill'!$I:$I,match($A1067,'rna-gill'!$A:$A,0)))</f>
        <v>BRN73G-A5</v>
      </c>
      <c r="E1067" t="str">
        <f t="array" ref="E1067">iferror(index('rna-gill'!$L:$L,match($A1067,'rna-gill'!$A:$A,0)))</f>
        <v>N</v>
      </c>
      <c r="F1067" t="str">
        <f t="array" ref="F1067">iferror(index(fatty_acid!$G:$G,match($A1067,fatty_acid!$A:$A,0)))</f>
        <v>BFA34-16</v>
      </c>
      <c r="G1067" t="str">
        <f t="array" ref="G1067">iferror(index(fatty_acid!$J:$J,match($A1067,fatty_acid!$A:$A,0)))</f>
        <v>N</v>
      </c>
      <c r="H1067" t="str">
        <f t="array" ref="H1067">iferror(index(isotopes!$G:$G,match($A1067,isotopes!$A:$A,0)))</f>
        <v>BIS37-16</v>
      </c>
      <c r="I1067" t="str">
        <f t="array" ref="I1067">iferror(index(isotopes!$J:$J,match($A1067,isotopes!$A:$A,0)))</f>
        <v>N</v>
      </c>
      <c r="J1067" t="str">
        <f t="array" ref="J1067">iferror(index(extra_muscle!$G:$G,match($A1067,extra_muscle!$A:$A,0)))</f>
        <v>BXM35-16</v>
      </c>
      <c r="K1067" t="str">
        <f t="array" ref="K1067">iferror(index(extra_muscle!$J:$J,match($A1067,extra_muscle!$A:$A,0)))</f>
        <v>N</v>
      </c>
      <c r="L1067" s="59" t="str">
        <f t="array" ref="L1067">iferror(index(dna!$G:$G,match($A1067,dna!$A:$A,0)))</f>
        <v>BDN4-30</v>
      </c>
      <c r="M1067" s="60" t="str">
        <f t="array" ref="M1067">iferror(index(dna!$J:$J,match($A1067,dna!$A:$A,0)))</f>
        <v>N</v>
      </c>
      <c r="N1067" t="str">
        <f t="array" ref="N1067">iferror(index(stomachs!$G:$G,match($A1067,stomachs!$A:$A,0)))</f>
        <v/>
      </c>
      <c r="O1067" t="str">
        <f t="array" ref="O1067">iferror(index(stomachs!$J:$J,match($A1067,stomachs!$A:$A,0)))</f>
        <v/>
      </c>
      <c r="P1067" t="str">
        <f t="array" ref="P1067">iferror(index(sea_lice!$G:$G,match($A1067,sea_lice!$A:$A,0)))</f>
        <v/>
      </c>
      <c r="Q1067" t="str">
        <f t="array" ref="Q1067">iferror(index(sea_lice!$J:$J,match($A1067,sea_lice!$A:$A,0)))</f>
        <v/>
      </c>
      <c r="R1067" s="40" t="str">
        <f t="array" ref="R1067">iferror(index(dissected_fish!$F:$F,match($A1067,dissected_fish!$A:$A,0)))</f>
        <v>BCA109</v>
      </c>
      <c r="S1067" s="40" t="str">
        <f t="array" ref="S1067">iferror(index(dissected_fish!$K:$K,match($A1067,dissected_fish!$A:$A,0)))</f>
        <v>N</v>
      </c>
      <c r="T1067" s="61" t="str">
        <f t="array" ref="T1067">index(fish_lab_data!O:O,match(A1067,fish_lab_data!C:C,0))</f>
        <v>KB</v>
      </c>
      <c r="U1067" s="61">
        <f t="array" ref="U1067">if(A1067="","",index(fish_lab_data!X:X,match(A1067,fish_lab_data!C:C,0)))</f>
        <v>1066</v>
      </c>
    </row>
    <row r="1068">
      <c r="A1068" t="str">
        <f>fish_lab_data!C1068</f>
        <v>U16106</v>
      </c>
      <c r="B1068" t="str">
        <f t="array" ref="B1068">iferror(index('rna-muscle'!$I:$I,match($A1068,'rna-muscle'!$A:$A,0)))</f>
        <v>BRN73M-G6</v>
      </c>
      <c r="C1068" t="str">
        <f t="array" ref="C1068">iferror(index('rna-muscle'!$L:$L,match($A1068,'rna-muscle'!$A:$A,0)))</f>
        <v>N</v>
      </c>
      <c r="D1068" t="str">
        <f t="array" ref="D1068">iferror(index('rna-gill'!$I:$I,match($A1068,'rna-gill'!$A:$A,0)))</f>
        <v>BRN73G-G6</v>
      </c>
      <c r="E1068" t="str">
        <f t="array" ref="E1068">iferror(index('rna-gill'!$L:$L,match($A1068,'rna-gill'!$A:$A,0)))</f>
        <v>N</v>
      </c>
      <c r="F1068" t="str">
        <f t="array" ref="F1068">iferror(index(fatty_acid!$G:$G,match($A1068,fatty_acid!$A:$A,0)))</f>
        <v>BFA34-17</v>
      </c>
      <c r="G1068" t="str">
        <f t="array" ref="G1068">iferror(index(fatty_acid!$J:$J,match($A1068,fatty_acid!$A:$A,0)))</f>
        <v>N</v>
      </c>
      <c r="H1068" t="str">
        <f t="array" ref="H1068">iferror(index(isotopes!$G:$G,match($A1068,isotopes!$A:$A,0)))</f>
        <v>BIS37-17</v>
      </c>
      <c r="I1068" t="str">
        <f t="array" ref="I1068">iferror(index(isotopes!$J:$J,match($A1068,isotopes!$A:$A,0)))</f>
        <v>N</v>
      </c>
      <c r="J1068" t="str">
        <f t="array" ref="J1068">iferror(index(extra_muscle!$G:$G,match($A1068,extra_muscle!$A:$A,0)))</f>
        <v>BXM35-17</v>
      </c>
      <c r="K1068" t="str">
        <f t="array" ref="K1068">iferror(index(extra_muscle!$J:$J,match($A1068,extra_muscle!$A:$A,0)))</f>
        <v>N</v>
      </c>
      <c r="L1068" s="59" t="str">
        <f t="array" ref="L1068">iferror(index(dna!$G:$G,match($A1068,dna!$A:$A,0)))</f>
        <v>BDN4-31</v>
      </c>
      <c r="M1068" s="60" t="str">
        <f t="array" ref="M1068">iferror(index(dna!$J:$J,match($A1068,dna!$A:$A,0)))</f>
        <v>N</v>
      </c>
      <c r="N1068" t="str">
        <f t="array" ref="N1068">iferror(index(stomachs!$G:$G,match($A1068,stomachs!$A:$A,0)))</f>
        <v/>
      </c>
      <c r="O1068" t="str">
        <f t="array" ref="O1068">iferror(index(stomachs!$J:$J,match($A1068,stomachs!$A:$A,0)))</f>
        <v/>
      </c>
      <c r="P1068" t="str">
        <f t="array" ref="P1068">iferror(index(sea_lice!$G:$G,match($A1068,sea_lice!$A:$A,0)))</f>
        <v/>
      </c>
      <c r="Q1068" t="str">
        <f t="array" ref="Q1068">iferror(index(sea_lice!$J:$J,match($A1068,sea_lice!$A:$A,0)))</f>
        <v/>
      </c>
      <c r="R1068" s="40" t="str">
        <f t="array" ref="R1068">iferror(index(dissected_fish!$F:$F,match($A1068,dissected_fish!$A:$A,0)))</f>
        <v>BCA109</v>
      </c>
      <c r="S1068" s="40" t="str">
        <f t="array" ref="S1068">iferror(index(dissected_fish!$K:$K,match($A1068,dissected_fish!$A:$A,0)))</f>
        <v>N</v>
      </c>
      <c r="T1068" s="61" t="str">
        <f t="array" ref="T1068">index(fish_lab_data!O:O,match(A1068,fish_lab_data!C:C,0))</f>
        <v>KB</v>
      </c>
      <c r="U1068" s="61">
        <f t="array" ref="U1068">if(A1068="","",index(fish_lab_data!X:X,match(A1068,fish_lab_data!C:C,0)))</f>
        <v>1067</v>
      </c>
    </row>
    <row r="1069">
      <c r="A1069" t="str">
        <f>fish_lab_data!C1069</f>
        <v>U16105</v>
      </c>
      <c r="B1069" t="str">
        <f t="array" ref="B1069">iferror(index('rna-muscle'!$I:$I,match($A1069,'rna-muscle'!$A:$A,0)))</f>
        <v>BRN73M-F6</v>
      </c>
      <c r="C1069" t="str">
        <f t="array" ref="C1069">iferror(index('rna-muscle'!$L:$L,match($A1069,'rna-muscle'!$A:$A,0)))</f>
        <v>N</v>
      </c>
      <c r="D1069" t="str">
        <f t="array" ref="D1069">iferror(index('rna-gill'!$I:$I,match($A1069,'rna-gill'!$A:$A,0)))</f>
        <v>BRN73G-F6</v>
      </c>
      <c r="E1069" t="str">
        <f t="array" ref="E1069">iferror(index('rna-gill'!$L:$L,match($A1069,'rna-gill'!$A:$A,0)))</f>
        <v>N</v>
      </c>
      <c r="F1069" t="str">
        <f t="array" ref="F1069">iferror(index(fatty_acid!$G:$G,match($A1069,fatty_acid!$A:$A,0)))</f>
        <v>BFA34-18</v>
      </c>
      <c r="G1069" t="str">
        <f t="array" ref="G1069">iferror(index(fatty_acid!$J:$J,match($A1069,fatty_acid!$A:$A,0)))</f>
        <v>N</v>
      </c>
      <c r="H1069" t="str">
        <f t="array" ref="H1069">iferror(index(isotopes!$G:$G,match($A1069,isotopes!$A:$A,0)))</f>
        <v>BIS37-18</v>
      </c>
      <c r="I1069" t="str">
        <f t="array" ref="I1069">iferror(index(isotopes!$J:$J,match($A1069,isotopes!$A:$A,0)))</f>
        <v>N</v>
      </c>
      <c r="J1069" t="str">
        <f t="array" ref="J1069">iferror(index(extra_muscle!$G:$G,match($A1069,extra_muscle!$A:$A,0)))</f>
        <v>BXM35-18</v>
      </c>
      <c r="K1069" t="str">
        <f t="array" ref="K1069">iferror(index(extra_muscle!$J:$J,match($A1069,extra_muscle!$A:$A,0)))</f>
        <v>N</v>
      </c>
      <c r="L1069" s="59" t="str">
        <f t="array" ref="L1069">iferror(index(dna!$G:$G,match($A1069,dna!$A:$A,0)))</f>
        <v>BDN4-32</v>
      </c>
      <c r="M1069" s="60" t="str">
        <f t="array" ref="M1069">iferror(index(dna!$J:$J,match($A1069,dna!$A:$A,0)))</f>
        <v>N</v>
      </c>
      <c r="N1069" t="str">
        <f t="array" ref="N1069">iferror(index(stomachs!$G:$G,match($A1069,stomachs!$A:$A,0)))</f>
        <v/>
      </c>
      <c r="O1069" t="str">
        <f t="array" ref="O1069">iferror(index(stomachs!$J:$J,match($A1069,stomachs!$A:$A,0)))</f>
        <v/>
      </c>
      <c r="P1069" t="str">
        <f t="array" ref="P1069">iferror(index(sea_lice!$G:$G,match($A1069,sea_lice!$A:$A,0)))</f>
        <v/>
      </c>
      <c r="Q1069" t="str">
        <f t="array" ref="Q1069">iferror(index(sea_lice!$J:$J,match($A1069,sea_lice!$A:$A,0)))</f>
        <v/>
      </c>
      <c r="R1069" s="40" t="str">
        <f t="array" ref="R1069">iferror(index(dissected_fish!$F:$F,match($A1069,dissected_fish!$A:$A,0)))</f>
        <v>BCA110</v>
      </c>
      <c r="S1069" s="40" t="str">
        <f t="array" ref="S1069">iferror(index(dissected_fish!$K:$K,match($A1069,dissected_fish!$A:$A,0)))</f>
        <v>N</v>
      </c>
      <c r="T1069" s="61" t="str">
        <f t="array" ref="T1069">index(fish_lab_data!O:O,match(A1069,fish_lab_data!C:C,0))</f>
        <v>KB</v>
      </c>
      <c r="U1069" s="61">
        <f t="array" ref="U1069">if(A1069="","",index(fish_lab_data!X:X,match(A1069,fish_lab_data!C:C,0)))</f>
        <v>1068</v>
      </c>
    </row>
    <row r="1070">
      <c r="A1070" t="str">
        <f>fish_lab_data!C1070</f>
        <v>U16101</v>
      </c>
      <c r="B1070" t="str">
        <f t="array" ref="B1070">iferror(index('rna-muscle'!$I:$I,match($A1070,'rna-muscle'!$A:$A,0)))</f>
        <v>BRN73M-E6</v>
      </c>
      <c r="C1070" t="str">
        <f t="array" ref="C1070">iferror(index('rna-muscle'!$L:$L,match($A1070,'rna-muscle'!$A:$A,0)))</f>
        <v>N</v>
      </c>
      <c r="D1070" t="str">
        <f t="array" ref="D1070">iferror(index('rna-gill'!$I:$I,match($A1070,'rna-gill'!$A:$A,0)))</f>
        <v>BRN73G-E6</v>
      </c>
      <c r="E1070" t="str">
        <f t="array" ref="E1070">iferror(index('rna-gill'!$L:$L,match($A1070,'rna-gill'!$A:$A,0)))</f>
        <v>N</v>
      </c>
      <c r="F1070" t="str">
        <f t="array" ref="F1070">iferror(index(fatty_acid!$G:$G,match($A1070,fatty_acid!$A:$A,0)))</f>
        <v>BFA34-19</v>
      </c>
      <c r="G1070" t="str">
        <f t="array" ref="G1070">iferror(index(fatty_acid!$J:$J,match($A1070,fatty_acid!$A:$A,0)))</f>
        <v>N</v>
      </c>
      <c r="H1070" t="str">
        <f t="array" ref="H1070">iferror(index(isotopes!$G:$G,match($A1070,isotopes!$A:$A,0)))</f>
        <v>BIS37-19</v>
      </c>
      <c r="I1070" t="str">
        <f t="array" ref="I1070">iferror(index(isotopes!$J:$J,match($A1070,isotopes!$A:$A,0)))</f>
        <v>N</v>
      </c>
      <c r="J1070" t="str">
        <f t="array" ref="J1070">iferror(index(extra_muscle!$G:$G,match($A1070,extra_muscle!$A:$A,0)))</f>
        <v>BXM35-19</v>
      </c>
      <c r="K1070" t="str">
        <f t="array" ref="K1070">iferror(index(extra_muscle!$J:$J,match($A1070,extra_muscle!$A:$A,0)))</f>
        <v>N</v>
      </c>
      <c r="L1070" s="59" t="str">
        <f t="array" ref="L1070">iferror(index(dna!$G:$G,match($A1070,dna!$A:$A,0)))</f>
        <v>BDN4-33</v>
      </c>
      <c r="M1070" s="60" t="str">
        <f t="array" ref="M1070">iferror(index(dna!$J:$J,match($A1070,dna!$A:$A,0)))</f>
        <v>N</v>
      </c>
      <c r="N1070" t="str">
        <f t="array" ref="N1070">iferror(index(stomachs!$G:$G,match($A1070,stomachs!$A:$A,0)))</f>
        <v/>
      </c>
      <c r="O1070" t="str">
        <f t="array" ref="O1070">iferror(index(stomachs!$J:$J,match($A1070,stomachs!$A:$A,0)))</f>
        <v/>
      </c>
      <c r="P1070" t="str">
        <f t="array" ref="P1070">iferror(index(sea_lice!$G:$G,match($A1070,sea_lice!$A:$A,0)))</f>
        <v/>
      </c>
      <c r="Q1070" t="str">
        <f t="array" ref="Q1070">iferror(index(sea_lice!$J:$J,match($A1070,sea_lice!$A:$A,0)))</f>
        <v/>
      </c>
      <c r="R1070" s="40" t="str">
        <f t="array" ref="R1070">iferror(index(dissected_fish!$F:$F,match($A1070,dissected_fish!$A:$A,0)))</f>
        <v>BCA110</v>
      </c>
      <c r="S1070" s="40" t="str">
        <f t="array" ref="S1070">iferror(index(dissected_fish!$K:$K,match($A1070,dissected_fish!$A:$A,0)))</f>
        <v>N</v>
      </c>
      <c r="T1070" s="61" t="str">
        <f t="array" ref="T1070">index(fish_lab_data!O:O,match(A1070,fish_lab_data!C:C,0))</f>
        <v>KB</v>
      </c>
      <c r="U1070" s="61">
        <f t="array" ref="U1070">if(A1070="","",index(fish_lab_data!X:X,match(A1070,fish_lab_data!C:C,0)))</f>
        <v>1069</v>
      </c>
    </row>
    <row r="1071">
      <c r="A1071" t="str">
        <f>fish_lab_data!C1071</f>
        <v>U16103</v>
      </c>
      <c r="B1071" t="str">
        <f t="array" ref="B1071">iferror(index('rna-muscle'!$I:$I,match($A1071,'rna-muscle'!$A:$A,0)))</f>
        <v>BRN73M-D6</v>
      </c>
      <c r="C1071" t="str">
        <f t="array" ref="C1071">iferror(index('rna-muscle'!$L:$L,match($A1071,'rna-muscle'!$A:$A,0)))</f>
        <v>N</v>
      </c>
      <c r="D1071" t="str">
        <f t="array" ref="D1071">iferror(index('rna-gill'!$I:$I,match($A1071,'rna-gill'!$A:$A,0)))</f>
        <v>BRN73G-D6</v>
      </c>
      <c r="E1071" t="str">
        <f t="array" ref="E1071">iferror(index('rna-gill'!$L:$L,match($A1071,'rna-gill'!$A:$A,0)))</f>
        <v>N</v>
      </c>
      <c r="F1071" t="str">
        <f t="array" ref="F1071">iferror(index(fatty_acid!$G:$G,match($A1071,fatty_acid!$A:$A,0)))</f>
        <v>BFA34-20</v>
      </c>
      <c r="G1071" t="str">
        <f t="array" ref="G1071">iferror(index(fatty_acid!$J:$J,match($A1071,fatty_acid!$A:$A,0)))</f>
        <v>N</v>
      </c>
      <c r="H1071" t="str">
        <f t="array" ref="H1071">iferror(index(isotopes!$G:$G,match($A1071,isotopes!$A:$A,0)))</f>
        <v>BIS37-20</v>
      </c>
      <c r="I1071" t="str">
        <f t="array" ref="I1071">iferror(index(isotopes!$J:$J,match($A1071,isotopes!$A:$A,0)))</f>
        <v>N</v>
      </c>
      <c r="J1071" t="str">
        <f t="array" ref="J1071">iferror(index(extra_muscle!$G:$G,match($A1071,extra_muscle!$A:$A,0)))</f>
        <v>BXM35-20</v>
      </c>
      <c r="K1071" t="str">
        <f t="array" ref="K1071">iferror(index(extra_muscle!$J:$J,match($A1071,extra_muscle!$A:$A,0)))</f>
        <v>N</v>
      </c>
      <c r="L1071" s="59" t="str">
        <f t="array" ref="L1071">iferror(index(dna!$G:$G,match($A1071,dna!$A:$A,0)))</f>
        <v>BDN4-34</v>
      </c>
      <c r="M1071" s="60" t="str">
        <f t="array" ref="M1071">iferror(index(dna!$J:$J,match($A1071,dna!$A:$A,0)))</f>
        <v>N</v>
      </c>
      <c r="N1071" t="str">
        <f t="array" ref="N1071">iferror(index(stomachs!$G:$G,match($A1071,stomachs!$A:$A,0)))</f>
        <v/>
      </c>
      <c r="O1071" t="str">
        <f t="array" ref="O1071">iferror(index(stomachs!$J:$J,match($A1071,stomachs!$A:$A,0)))</f>
        <v/>
      </c>
      <c r="P1071" t="str">
        <f t="array" ref="P1071">iferror(index(sea_lice!$G:$G,match($A1071,sea_lice!$A:$A,0)))</f>
        <v/>
      </c>
      <c r="Q1071" t="str">
        <f t="array" ref="Q1071">iferror(index(sea_lice!$J:$J,match($A1071,sea_lice!$A:$A,0)))</f>
        <v/>
      </c>
      <c r="R1071" s="40" t="str">
        <f t="array" ref="R1071">iferror(index(dissected_fish!$F:$F,match($A1071,dissected_fish!$A:$A,0)))</f>
        <v>BCA110</v>
      </c>
      <c r="S1071" s="40" t="str">
        <f t="array" ref="S1071">iferror(index(dissected_fish!$K:$K,match($A1071,dissected_fish!$A:$A,0)))</f>
        <v>N</v>
      </c>
      <c r="T1071" s="61" t="str">
        <f t="array" ref="T1071">index(fish_lab_data!O:O,match(A1071,fish_lab_data!C:C,0))</f>
        <v>KB</v>
      </c>
      <c r="U1071" s="61">
        <f t="array" ref="U1071">if(A1071="","",index(fish_lab_data!X:X,match(A1071,fish_lab_data!C:C,0)))</f>
        <v>1070</v>
      </c>
    </row>
    <row r="1072">
      <c r="A1072" t="str">
        <f>fish_lab_data!C1072</f>
        <v>U16104</v>
      </c>
      <c r="B1072" t="str">
        <f t="array" ref="B1072">iferror(index('rna-muscle'!$I:$I,match($A1072,'rna-muscle'!$A:$A,0)))</f>
        <v>BRN73M-C6</v>
      </c>
      <c r="C1072" t="str">
        <f t="array" ref="C1072">iferror(index('rna-muscle'!$L:$L,match($A1072,'rna-muscle'!$A:$A,0)))</f>
        <v>N</v>
      </c>
      <c r="D1072" t="str">
        <f t="array" ref="D1072">iferror(index('rna-gill'!$I:$I,match($A1072,'rna-gill'!$A:$A,0)))</f>
        <v>BRN73G-C6</v>
      </c>
      <c r="E1072" t="str">
        <f t="array" ref="E1072">iferror(index('rna-gill'!$L:$L,match($A1072,'rna-gill'!$A:$A,0)))</f>
        <v>N</v>
      </c>
      <c r="F1072" t="str">
        <f t="array" ref="F1072">iferror(index(fatty_acid!$G:$G,match($A1072,fatty_acid!$A:$A,0)))</f>
        <v>BFA34-21</v>
      </c>
      <c r="G1072" t="str">
        <f t="array" ref="G1072">iferror(index(fatty_acid!$J:$J,match($A1072,fatty_acid!$A:$A,0)))</f>
        <v>N</v>
      </c>
      <c r="H1072" t="str">
        <f t="array" ref="H1072">iferror(index(isotopes!$G:$G,match($A1072,isotopes!$A:$A,0)))</f>
        <v>BIS37-21</v>
      </c>
      <c r="I1072" t="str">
        <f t="array" ref="I1072">iferror(index(isotopes!$J:$J,match($A1072,isotopes!$A:$A,0)))</f>
        <v>N</v>
      </c>
      <c r="J1072" t="str">
        <f t="array" ref="J1072">iferror(index(extra_muscle!$G:$G,match($A1072,extra_muscle!$A:$A,0)))</f>
        <v>BXM35-21</v>
      </c>
      <c r="K1072" t="str">
        <f t="array" ref="K1072">iferror(index(extra_muscle!$J:$J,match($A1072,extra_muscle!$A:$A,0)))</f>
        <v>N</v>
      </c>
      <c r="L1072" s="59" t="str">
        <f t="array" ref="L1072">iferror(index(dna!$G:$G,match($A1072,dna!$A:$A,0)))</f>
        <v>BDN4-35</v>
      </c>
      <c r="M1072" s="60" t="str">
        <f t="array" ref="M1072">iferror(index(dna!$J:$J,match($A1072,dna!$A:$A,0)))</f>
        <v>N</v>
      </c>
      <c r="N1072" t="str">
        <f t="array" ref="N1072">iferror(index(stomachs!$G:$G,match($A1072,stomachs!$A:$A,0)))</f>
        <v/>
      </c>
      <c r="O1072" t="str">
        <f t="array" ref="O1072">iferror(index(stomachs!$J:$J,match($A1072,stomachs!$A:$A,0)))</f>
        <v/>
      </c>
      <c r="P1072" t="str">
        <f t="array" ref="P1072">iferror(index(sea_lice!$G:$G,match($A1072,sea_lice!$A:$A,0)))</f>
        <v/>
      </c>
      <c r="Q1072" t="str">
        <f t="array" ref="Q1072">iferror(index(sea_lice!$J:$J,match($A1072,sea_lice!$A:$A,0)))</f>
        <v/>
      </c>
      <c r="R1072" s="40" t="str">
        <f t="array" ref="R1072">iferror(index(dissected_fish!$F:$F,match($A1072,dissected_fish!$A:$A,0)))</f>
        <v>BCA110</v>
      </c>
      <c r="S1072" s="40" t="str">
        <f t="array" ref="S1072">iferror(index(dissected_fish!$K:$K,match($A1072,dissected_fish!$A:$A,0)))</f>
        <v>N</v>
      </c>
      <c r="T1072" s="61" t="str">
        <f t="array" ref="T1072">index(fish_lab_data!O:O,match(A1072,fish_lab_data!C:C,0))</f>
        <v>KB</v>
      </c>
      <c r="U1072" s="61">
        <f t="array" ref="U1072">if(A1072="","",index(fish_lab_data!X:X,match(A1072,fish_lab_data!C:C,0)))</f>
        <v>1071</v>
      </c>
    </row>
    <row r="1073">
      <c r="A1073" t="str">
        <f>fish_lab_data!C1073</f>
        <v>U16363</v>
      </c>
      <c r="B1073" t="str">
        <f t="array" ref="B1073">iferror(index('rna-muscle'!$I:$I,match($A1073,'rna-muscle'!$A:$A,0)))</f>
        <v>BRN73M-B6</v>
      </c>
      <c r="C1073" t="str">
        <f t="array" ref="C1073">iferror(index('rna-muscle'!$L:$L,match($A1073,'rna-muscle'!$A:$A,0)))</f>
        <v>N</v>
      </c>
      <c r="D1073" t="str">
        <f t="array" ref="D1073">iferror(index('rna-gill'!$I:$I,match($A1073,'rna-gill'!$A:$A,0)))</f>
        <v>BRN73G-B6</v>
      </c>
      <c r="E1073" t="str">
        <f t="array" ref="E1073">iferror(index('rna-gill'!$L:$L,match($A1073,'rna-gill'!$A:$A,0)))</f>
        <v>N</v>
      </c>
      <c r="F1073" t="str">
        <f t="array" ref="F1073">iferror(index(fatty_acid!$G:$G,match($A1073,fatty_acid!$A:$A,0)))</f>
        <v>BFA34-22</v>
      </c>
      <c r="G1073" t="str">
        <f t="array" ref="G1073">iferror(index(fatty_acid!$J:$J,match($A1073,fatty_acid!$A:$A,0)))</f>
        <v>N</v>
      </c>
      <c r="H1073" t="str">
        <f t="array" ref="H1073">iferror(index(isotopes!$G:$G,match($A1073,isotopes!$A:$A,0)))</f>
        <v>BIS37-22</v>
      </c>
      <c r="I1073" t="str">
        <f t="array" ref="I1073">iferror(index(isotopes!$J:$J,match($A1073,isotopes!$A:$A,0)))</f>
        <v>N</v>
      </c>
      <c r="J1073" t="str">
        <f t="array" ref="J1073">iferror(index(extra_muscle!$G:$G,match($A1073,extra_muscle!$A:$A,0)))</f>
        <v>BXM35-22</v>
      </c>
      <c r="K1073" t="str">
        <f t="array" ref="K1073">iferror(index(extra_muscle!$J:$J,match($A1073,extra_muscle!$A:$A,0)))</f>
        <v>N</v>
      </c>
      <c r="L1073" s="59" t="str">
        <f t="array" ref="L1073">iferror(index(dna!$G:$G,match($A1073,dna!$A:$A,0)))</f>
        <v>BDN4-36</v>
      </c>
      <c r="M1073" s="60" t="str">
        <f t="array" ref="M1073">iferror(index(dna!$J:$J,match($A1073,dna!$A:$A,0)))</f>
        <v>N</v>
      </c>
      <c r="N1073" t="str">
        <f t="array" ref="N1073">iferror(index(stomachs!$G:$G,match($A1073,stomachs!$A:$A,0)))</f>
        <v/>
      </c>
      <c r="O1073" t="str">
        <f t="array" ref="O1073">iferror(index(stomachs!$J:$J,match($A1073,stomachs!$A:$A,0)))</f>
        <v/>
      </c>
      <c r="P1073" t="str">
        <f t="array" ref="P1073">iferror(index(sea_lice!$G:$G,match($A1073,sea_lice!$A:$A,0)))</f>
        <v/>
      </c>
      <c r="Q1073" t="str">
        <f t="array" ref="Q1073">iferror(index(sea_lice!$J:$J,match($A1073,sea_lice!$A:$A,0)))</f>
        <v/>
      </c>
      <c r="R1073" s="40" t="str">
        <f t="array" ref="R1073">iferror(index(dissected_fish!$F:$F,match($A1073,dissected_fish!$A:$A,0)))</f>
        <v>BCA110</v>
      </c>
      <c r="S1073" s="40" t="str">
        <f t="array" ref="S1073">iferror(index(dissected_fish!$K:$K,match($A1073,dissected_fish!$A:$A,0)))</f>
        <v>N</v>
      </c>
      <c r="T1073" s="61" t="str">
        <f t="array" ref="T1073">index(fish_lab_data!O:O,match(A1073,fish_lab_data!C:C,0))</f>
        <v>KB</v>
      </c>
      <c r="U1073" s="61">
        <f t="array" ref="U1073">if(A1073="","",index(fish_lab_data!X:X,match(A1073,fish_lab_data!C:C,0)))</f>
        <v>1072</v>
      </c>
    </row>
    <row r="1074">
      <c r="A1074" t="str">
        <f>fish_lab_data!C1074</f>
        <v>U16362</v>
      </c>
      <c r="B1074" t="str">
        <f t="array" ref="B1074">iferror(index('rna-muscle'!$I:$I,match($A1074,'rna-muscle'!$A:$A,0)))</f>
        <v>BRN73M-A6</v>
      </c>
      <c r="C1074" t="str">
        <f t="array" ref="C1074">iferror(index('rna-muscle'!$L:$L,match($A1074,'rna-muscle'!$A:$A,0)))</f>
        <v>N</v>
      </c>
      <c r="D1074" t="str">
        <f t="array" ref="D1074">iferror(index('rna-gill'!$I:$I,match($A1074,'rna-gill'!$A:$A,0)))</f>
        <v>BRN73G-A6</v>
      </c>
      <c r="E1074" t="str">
        <f t="array" ref="E1074">iferror(index('rna-gill'!$L:$L,match($A1074,'rna-gill'!$A:$A,0)))</f>
        <v>N</v>
      </c>
      <c r="F1074" t="str">
        <f t="array" ref="F1074">iferror(index(fatty_acid!$G:$G,match($A1074,fatty_acid!$A:$A,0)))</f>
        <v>BFA34-23</v>
      </c>
      <c r="G1074" t="str">
        <f t="array" ref="G1074">iferror(index(fatty_acid!$J:$J,match($A1074,fatty_acid!$A:$A,0)))</f>
        <v>N</v>
      </c>
      <c r="H1074" t="str">
        <f t="array" ref="H1074">iferror(index(isotopes!$G:$G,match($A1074,isotopes!$A:$A,0)))</f>
        <v>BIS37-23</v>
      </c>
      <c r="I1074" t="str">
        <f t="array" ref="I1074">iferror(index(isotopes!$J:$J,match($A1074,isotopes!$A:$A,0)))</f>
        <v>N</v>
      </c>
      <c r="J1074" t="str">
        <f t="array" ref="J1074">iferror(index(extra_muscle!$G:$G,match($A1074,extra_muscle!$A:$A,0)))</f>
        <v>BXM35-23</v>
      </c>
      <c r="K1074" t="str">
        <f t="array" ref="K1074">iferror(index(extra_muscle!$J:$J,match($A1074,extra_muscle!$A:$A,0)))</f>
        <v>N</v>
      </c>
      <c r="L1074" s="59" t="str">
        <f t="array" ref="L1074">iferror(index(dna!$G:$G,match($A1074,dna!$A:$A,0)))</f>
        <v>BDN4-37</v>
      </c>
      <c r="M1074" s="60" t="str">
        <f t="array" ref="M1074">iferror(index(dna!$J:$J,match($A1074,dna!$A:$A,0)))</f>
        <v>N</v>
      </c>
      <c r="N1074" t="str">
        <f t="array" ref="N1074">iferror(index(stomachs!$G:$G,match($A1074,stomachs!$A:$A,0)))</f>
        <v/>
      </c>
      <c r="O1074" t="str">
        <f t="array" ref="O1074">iferror(index(stomachs!$J:$J,match($A1074,stomachs!$A:$A,0)))</f>
        <v/>
      </c>
      <c r="P1074" t="str">
        <f t="array" ref="P1074">iferror(index(sea_lice!$G:$G,match($A1074,sea_lice!$A:$A,0)))</f>
        <v/>
      </c>
      <c r="Q1074" t="str">
        <f t="array" ref="Q1074">iferror(index(sea_lice!$J:$J,match($A1074,sea_lice!$A:$A,0)))</f>
        <v/>
      </c>
      <c r="R1074" s="40" t="str">
        <f t="array" ref="R1074">iferror(index(dissected_fish!$F:$F,match($A1074,dissected_fish!$A:$A,0)))</f>
        <v>BCA110</v>
      </c>
      <c r="S1074" s="40" t="str">
        <f t="array" ref="S1074">iferror(index(dissected_fish!$K:$K,match($A1074,dissected_fish!$A:$A,0)))</f>
        <v>N</v>
      </c>
      <c r="T1074" s="61" t="str">
        <f t="array" ref="T1074">index(fish_lab_data!O:O,match(A1074,fish_lab_data!C:C,0))</f>
        <v>KB</v>
      </c>
      <c r="U1074" s="61">
        <f t="array" ref="U1074">if(A1074="","",index(fish_lab_data!X:X,match(A1074,fish_lab_data!C:C,0)))</f>
        <v>1073</v>
      </c>
    </row>
    <row r="1075">
      <c r="A1075" t="str">
        <f>fish_lab_data!C1075</f>
        <v>U16364</v>
      </c>
      <c r="B1075" t="str">
        <f t="array" ref="B1075">iferror(index('rna-muscle'!$I:$I,match($A1075,'rna-muscle'!$A:$A,0)))</f>
        <v>BRN73M-E3</v>
      </c>
      <c r="C1075" t="str">
        <f t="array" ref="C1075">iferror(index('rna-muscle'!$L:$L,match($A1075,'rna-muscle'!$A:$A,0)))</f>
        <v>N</v>
      </c>
      <c r="D1075" t="str">
        <f t="array" ref="D1075">iferror(index('rna-gill'!$I:$I,match($A1075,'rna-gill'!$A:$A,0)))</f>
        <v>BRN73G-F3</v>
      </c>
      <c r="E1075" t="str">
        <f t="array" ref="E1075">iferror(index('rna-gill'!$L:$L,match($A1075,'rna-gill'!$A:$A,0)))</f>
        <v>N</v>
      </c>
      <c r="F1075" t="str">
        <f t="array" ref="F1075">iferror(index(fatty_acid!$G:$G,match($A1075,fatty_acid!$A:$A,0)))</f>
        <v>BFA34-24</v>
      </c>
      <c r="G1075" t="str">
        <f t="array" ref="G1075">iferror(index(fatty_acid!$J:$J,match($A1075,fatty_acid!$A:$A,0)))</f>
        <v>N</v>
      </c>
      <c r="H1075" t="str">
        <f t="array" ref="H1075">iferror(index(isotopes!$G:$G,match($A1075,isotopes!$A:$A,0)))</f>
        <v>BIS37-24</v>
      </c>
      <c r="I1075" t="str">
        <f t="array" ref="I1075">iferror(index(isotopes!$J:$J,match($A1075,isotopes!$A:$A,0)))</f>
        <v>N</v>
      </c>
      <c r="J1075" t="str">
        <f t="array" ref="J1075">iferror(index(extra_muscle!$G:$G,match($A1075,extra_muscle!$A:$A,0)))</f>
        <v>BXM35-24</v>
      </c>
      <c r="K1075" t="str">
        <f t="array" ref="K1075">iferror(index(extra_muscle!$J:$J,match($A1075,extra_muscle!$A:$A,0)))</f>
        <v>N</v>
      </c>
      <c r="L1075" s="59" t="str">
        <f t="array" ref="L1075">iferror(index(dna!$G:$G,match($A1075,dna!$A:$A,0)))</f>
        <v>BDN4-38</v>
      </c>
      <c r="M1075" s="60" t="str">
        <f t="array" ref="M1075">iferror(index(dna!$J:$J,match($A1075,dna!$A:$A,0)))</f>
        <v>N</v>
      </c>
      <c r="N1075" t="str">
        <f t="array" ref="N1075">iferror(index(stomachs!$G:$G,match($A1075,stomachs!$A:$A,0)))</f>
        <v/>
      </c>
      <c r="O1075" t="str">
        <f t="array" ref="O1075">iferror(index(stomachs!$J:$J,match($A1075,stomachs!$A:$A,0)))</f>
        <v/>
      </c>
      <c r="P1075" t="str">
        <f t="array" ref="P1075">iferror(index(sea_lice!$G:$G,match($A1075,sea_lice!$A:$A,0)))</f>
        <v/>
      </c>
      <c r="Q1075" t="str">
        <f t="array" ref="Q1075">iferror(index(sea_lice!$J:$J,match($A1075,sea_lice!$A:$A,0)))</f>
        <v/>
      </c>
      <c r="R1075" s="40" t="str">
        <f t="array" ref="R1075">iferror(index(dissected_fish!$F:$F,match($A1075,dissected_fish!$A:$A,0)))</f>
        <v>BCA110</v>
      </c>
      <c r="S1075" s="40" t="str">
        <f t="array" ref="S1075">iferror(index(dissected_fish!$K:$K,match($A1075,dissected_fish!$A:$A,0)))</f>
        <v>N</v>
      </c>
      <c r="T1075" s="61" t="str">
        <f t="array" ref="T1075">index(fish_lab_data!O:O,match(A1075,fish_lab_data!C:C,0))</f>
        <v>KB</v>
      </c>
      <c r="U1075" s="61">
        <f t="array" ref="U1075">if(A1075="","",index(fish_lab_data!X:X,match(A1075,fish_lab_data!C:C,0)))</f>
        <v>1074</v>
      </c>
    </row>
    <row r="1076">
      <c r="A1076" t="str">
        <f>fish_lab_data!C1076</f>
        <v>U16361</v>
      </c>
      <c r="B1076" t="str">
        <f t="array" ref="B1076">iferror(index('rna-muscle'!$I:$I,match($A1076,'rna-muscle'!$A:$A,0)))</f>
        <v>BRN73M-D3</v>
      </c>
      <c r="C1076" t="str">
        <f t="array" ref="C1076">iferror(index('rna-muscle'!$L:$L,match($A1076,'rna-muscle'!$A:$A,0)))</f>
        <v>N</v>
      </c>
      <c r="D1076" t="str">
        <f t="array" ref="D1076">iferror(index('rna-gill'!$I:$I,match($A1076,'rna-gill'!$A:$A,0)))</f>
        <v>BRN73G-D3</v>
      </c>
      <c r="E1076" t="str">
        <f t="array" ref="E1076">iferror(index('rna-gill'!$L:$L,match($A1076,'rna-gill'!$A:$A,0)))</f>
        <v>N</v>
      </c>
      <c r="F1076" t="str">
        <f t="array" ref="F1076">iferror(index(fatty_acid!$G:$G,match($A1076,fatty_acid!$A:$A,0)))</f>
        <v>BFA34-25</v>
      </c>
      <c r="G1076" t="str">
        <f t="array" ref="G1076">iferror(index(fatty_acid!$J:$J,match($A1076,fatty_acid!$A:$A,0)))</f>
        <v>N</v>
      </c>
      <c r="H1076" t="str">
        <f t="array" ref="H1076">iferror(index(isotopes!$G:$G,match($A1076,isotopes!$A:$A,0)))</f>
        <v>BIS37-25</v>
      </c>
      <c r="I1076" t="str">
        <f t="array" ref="I1076">iferror(index(isotopes!$J:$J,match($A1076,isotopes!$A:$A,0)))</f>
        <v>N</v>
      </c>
      <c r="J1076" t="str">
        <f t="array" ref="J1076">iferror(index(extra_muscle!$G:$G,match($A1076,extra_muscle!$A:$A,0)))</f>
        <v>BXM35-25</v>
      </c>
      <c r="K1076" t="str">
        <f t="array" ref="K1076">iferror(index(extra_muscle!$J:$J,match($A1076,extra_muscle!$A:$A,0)))</f>
        <v>N</v>
      </c>
      <c r="L1076" s="59" t="str">
        <f t="array" ref="L1076">iferror(index(dna!$G:$G,match($A1076,dna!$A:$A,0)))</f>
        <v>BDN4-39</v>
      </c>
      <c r="M1076" s="60" t="str">
        <f t="array" ref="M1076">iferror(index(dna!$J:$J,match($A1076,dna!$A:$A,0)))</f>
        <v>N</v>
      </c>
      <c r="N1076" t="str">
        <f t="array" ref="N1076">iferror(index(stomachs!$G:$G,match($A1076,stomachs!$A:$A,0)))</f>
        <v/>
      </c>
      <c r="O1076" t="str">
        <f t="array" ref="O1076">iferror(index(stomachs!$J:$J,match($A1076,stomachs!$A:$A,0)))</f>
        <v/>
      </c>
      <c r="P1076" t="str">
        <f t="array" ref="P1076">iferror(index(sea_lice!$G:$G,match($A1076,sea_lice!$A:$A,0)))</f>
        <v>BSL7-44</v>
      </c>
      <c r="Q1076" t="str">
        <f t="array" ref="Q1076">iferror(index(sea_lice!$J:$J,match($A1076,sea_lice!$A:$A,0)))</f>
        <v>N</v>
      </c>
      <c r="R1076" s="40" t="str">
        <f t="array" ref="R1076">iferror(index(dissected_fish!$F:$F,match($A1076,dissected_fish!$A:$A,0)))</f>
        <v>BCA110</v>
      </c>
      <c r="S1076" s="40" t="str">
        <f t="array" ref="S1076">iferror(index(dissected_fish!$K:$K,match($A1076,dissected_fish!$A:$A,0)))</f>
        <v>N</v>
      </c>
      <c r="T1076" s="61" t="str">
        <f t="array" ref="T1076">index(fish_lab_data!O:O,match(A1076,fish_lab_data!C:C,0))</f>
        <v>KB</v>
      </c>
      <c r="U1076" s="61">
        <f t="array" ref="U1076">if(A1076="","",index(fish_lab_data!X:X,match(A1076,fish_lab_data!C:C,0)))</f>
        <v>1075</v>
      </c>
    </row>
    <row r="1077">
      <c r="A1077" t="str">
        <f>fish_lab_data!C1077</f>
        <v>U17391</v>
      </c>
      <c r="B1077" t="str">
        <f t="array" ref="B1077">iferror(index('rna-muscle'!$I:$I,match($A1077,'rna-muscle'!$A:$A,0)))</f>
        <v>BRN73M-C3</v>
      </c>
      <c r="C1077" t="str">
        <f t="array" ref="C1077">iferror(index('rna-muscle'!$L:$L,match($A1077,'rna-muscle'!$A:$A,0)))</f>
        <v>N</v>
      </c>
      <c r="D1077" t="str">
        <f t="array" ref="D1077">iferror(index('rna-gill'!$I:$I,match($A1077,'rna-gill'!$A:$A,0)))</f>
        <v>BRN73G-C3</v>
      </c>
      <c r="E1077" t="str">
        <f t="array" ref="E1077">iferror(index('rna-gill'!$L:$L,match($A1077,'rna-gill'!$A:$A,0)))</f>
        <v>N</v>
      </c>
      <c r="F1077" t="str">
        <f t="array" ref="F1077">iferror(index(fatty_acid!$G:$G,match($A1077,fatty_acid!$A:$A,0)))</f>
        <v>BFA34-26</v>
      </c>
      <c r="G1077" t="str">
        <f t="array" ref="G1077">iferror(index(fatty_acid!$J:$J,match($A1077,fatty_acid!$A:$A,0)))</f>
        <v>N</v>
      </c>
      <c r="H1077" t="str">
        <f t="array" ref="H1077">iferror(index(isotopes!$G:$G,match($A1077,isotopes!$A:$A,0)))</f>
        <v>BIS37-26</v>
      </c>
      <c r="I1077" t="str">
        <f t="array" ref="I1077">iferror(index(isotopes!$J:$J,match($A1077,isotopes!$A:$A,0)))</f>
        <v>N</v>
      </c>
      <c r="J1077" t="str">
        <f t="array" ref="J1077">iferror(index(extra_muscle!$G:$G,match($A1077,extra_muscle!$A:$A,0)))</f>
        <v>BXM35-26</v>
      </c>
      <c r="K1077" t="str">
        <f t="array" ref="K1077">iferror(index(extra_muscle!$J:$J,match($A1077,extra_muscle!$A:$A,0)))</f>
        <v>N</v>
      </c>
      <c r="L1077" s="59" t="str">
        <f t="array" ref="L1077">iferror(index(dna!$G:$G,match($A1077,dna!$A:$A,0)))</f>
        <v>BDN4-40</v>
      </c>
      <c r="M1077" s="60" t="str">
        <f t="array" ref="M1077">iferror(index(dna!$J:$J,match($A1077,dna!$A:$A,0)))</f>
        <v>N</v>
      </c>
      <c r="N1077" t="str">
        <f t="array" ref="N1077">iferror(index(stomachs!$G:$G,match($A1077,stomachs!$A:$A,0)))</f>
        <v/>
      </c>
      <c r="O1077" t="str">
        <f t="array" ref="O1077">iferror(index(stomachs!$J:$J,match($A1077,stomachs!$A:$A,0)))</f>
        <v/>
      </c>
      <c r="P1077" t="str">
        <f t="array" ref="P1077">iferror(index(sea_lice!$G:$G,match($A1077,sea_lice!$A:$A,0)))</f>
        <v/>
      </c>
      <c r="Q1077" t="str">
        <f t="array" ref="Q1077">iferror(index(sea_lice!$J:$J,match($A1077,sea_lice!$A:$A,0)))</f>
        <v/>
      </c>
      <c r="R1077" s="40" t="str">
        <f t="array" ref="R1077">iferror(index(dissected_fish!$F:$F,match($A1077,dissected_fish!$A:$A,0)))</f>
        <v>BCA110</v>
      </c>
      <c r="S1077" s="40" t="str">
        <f t="array" ref="S1077">iferror(index(dissected_fish!$K:$K,match($A1077,dissected_fish!$A:$A,0)))</f>
        <v>N</v>
      </c>
      <c r="T1077" s="61" t="str">
        <f t="array" ref="T1077">index(fish_lab_data!O:O,match(A1077,fish_lab_data!C:C,0))</f>
        <v>KB</v>
      </c>
      <c r="U1077" s="61">
        <f t="array" ref="U1077">if(A1077="","",index(fish_lab_data!X:X,match(A1077,fish_lab_data!C:C,0)))</f>
        <v>1076</v>
      </c>
    </row>
    <row r="1078">
      <c r="A1078" t="str">
        <f>fish_lab_data!C1078</f>
        <v>U16391</v>
      </c>
      <c r="B1078" t="str">
        <f t="array" ref="B1078">iferror(index('rna-muscle'!$I:$I,match($A1078,'rna-muscle'!$A:$A,0)))</f>
        <v>BRN73M-B3</v>
      </c>
      <c r="C1078" t="str">
        <f t="array" ref="C1078">iferror(index('rna-muscle'!$L:$L,match($A1078,'rna-muscle'!$A:$A,0)))</f>
        <v>N</v>
      </c>
      <c r="D1078" t="str">
        <f t="array" ref="D1078">iferror(index('rna-gill'!$I:$I,match($A1078,'rna-gill'!$A:$A,0)))</f>
        <v>BRN73G-B3</v>
      </c>
      <c r="E1078" t="str">
        <f t="array" ref="E1078">iferror(index('rna-gill'!$L:$L,match($A1078,'rna-gill'!$A:$A,0)))</f>
        <v>N</v>
      </c>
      <c r="F1078" t="str">
        <f t="array" ref="F1078">iferror(index(fatty_acid!$G:$G,match($A1078,fatty_acid!$A:$A,0)))</f>
        <v>BFA34-27</v>
      </c>
      <c r="G1078" t="str">
        <f t="array" ref="G1078">iferror(index(fatty_acid!$J:$J,match($A1078,fatty_acid!$A:$A,0)))</f>
        <v>N</v>
      </c>
      <c r="H1078" t="str">
        <f t="array" ref="H1078">iferror(index(isotopes!$G:$G,match($A1078,isotopes!$A:$A,0)))</f>
        <v>BIS37-27</v>
      </c>
      <c r="I1078" t="str">
        <f t="array" ref="I1078">iferror(index(isotopes!$J:$J,match($A1078,isotopes!$A:$A,0)))</f>
        <v>N</v>
      </c>
      <c r="J1078" t="str">
        <f t="array" ref="J1078">iferror(index(extra_muscle!$G:$G,match($A1078,extra_muscle!$A:$A,0)))</f>
        <v>BXM35-27</v>
      </c>
      <c r="K1078" t="str">
        <f t="array" ref="K1078">iferror(index(extra_muscle!$J:$J,match($A1078,extra_muscle!$A:$A,0)))</f>
        <v>N</v>
      </c>
      <c r="L1078" s="59" t="str">
        <f t="array" ref="L1078">iferror(index(dna!$G:$G,match($A1078,dna!$A:$A,0)))</f>
        <v>BDN4-41</v>
      </c>
      <c r="M1078" s="60" t="str">
        <f t="array" ref="M1078">iferror(index(dna!$J:$J,match($A1078,dna!$A:$A,0)))</f>
        <v>N</v>
      </c>
      <c r="N1078" t="str">
        <f t="array" ref="N1078">iferror(index(stomachs!$G:$G,match($A1078,stomachs!$A:$A,0)))</f>
        <v/>
      </c>
      <c r="O1078" t="str">
        <f t="array" ref="O1078">iferror(index(stomachs!$J:$J,match($A1078,stomachs!$A:$A,0)))</f>
        <v/>
      </c>
      <c r="P1078" t="str">
        <f t="array" ref="P1078">iferror(index(sea_lice!$G:$G,match($A1078,sea_lice!$A:$A,0)))</f>
        <v/>
      </c>
      <c r="Q1078" t="str">
        <f t="array" ref="Q1078">iferror(index(sea_lice!$J:$J,match($A1078,sea_lice!$A:$A,0)))</f>
        <v/>
      </c>
      <c r="R1078" s="40" t="str">
        <f t="array" ref="R1078">iferror(index(dissected_fish!$F:$F,match($A1078,dissected_fish!$A:$A,0)))</f>
        <v>BCA110</v>
      </c>
      <c r="S1078" s="40" t="str">
        <f t="array" ref="S1078">iferror(index(dissected_fish!$K:$K,match($A1078,dissected_fish!$A:$A,0)))</f>
        <v>N</v>
      </c>
      <c r="T1078" s="61" t="str">
        <f t="array" ref="T1078">index(fish_lab_data!O:O,match(A1078,fish_lab_data!C:C,0))</f>
        <v>KB</v>
      </c>
      <c r="U1078" s="61">
        <f t="array" ref="U1078">if(A1078="","",index(fish_lab_data!X:X,match(A1078,fish_lab_data!C:C,0)))</f>
        <v>1077</v>
      </c>
    </row>
    <row r="1079">
      <c r="A1079" t="str">
        <f>fish_lab_data!C1079</f>
        <v>U17011</v>
      </c>
      <c r="B1079" t="str">
        <f t="array" ref="B1079">iferror(index('rna-muscle'!$I:$I,match($A1079,'rna-muscle'!$A:$A,0)))</f>
        <v>BRN73M-A3</v>
      </c>
      <c r="C1079" t="str">
        <f t="array" ref="C1079">iferror(index('rna-muscle'!$L:$L,match($A1079,'rna-muscle'!$A:$A,0)))</f>
        <v>N</v>
      </c>
      <c r="D1079" t="str">
        <f t="array" ref="D1079">iferror(index('rna-gill'!$I:$I,match($A1079,'rna-gill'!$A:$A,0)))</f>
        <v>BRN73G-A3</v>
      </c>
      <c r="E1079" t="str">
        <f t="array" ref="E1079">iferror(index('rna-gill'!$L:$L,match($A1079,'rna-gill'!$A:$A,0)))</f>
        <v>N</v>
      </c>
      <c r="F1079" t="str">
        <f t="array" ref="F1079">iferror(index(fatty_acid!$G:$G,match($A1079,fatty_acid!$A:$A,0)))</f>
        <v>BFA34-28</v>
      </c>
      <c r="G1079" t="str">
        <f t="array" ref="G1079">iferror(index(fatty_acid!$J:$J,match($A1079,fatty_acid!$A:$A,0)))</f>
        <v>N</v>
      </c>
      <c r="H1079" t="str">
        <f t="array" ref="H1079">iferror(index(isotopes!$G:$G,match($A1079,isotopes!$A:$A,0)))</f>
        <v>BIS37-28</v>
      </c>
      <c r="I1079" t="str">
        <f t="array" ref="I1079">iferror(index(isotopes!$J:$J,match($A1079,isotopes!$A:$A,0)))</f>
        <v>N</v>
      </c>
      <c r="J1079" t="str">
        <f t="array" ref="J1079">iferror(index(extra_muscle!$G:$G,match($A1079,extra_muscle!$A:$A,0)))</f>
        <v>BXM35-28</v>
      </c>
      <c r="K1079" t="str">
        <f t="array" ref="K1079">iferror(index(extra_muscle!$J:$J,match($A1079,extra_muscle!$A:$A,0)))</f>
        <v>N</v>
      </c>
      <c r="L1079" s="59" t="str">
        <f t="array" ref="L1079">iferror(index(dna!$G:$G,match($A1079,dna!$A:$A,0)))</f>
        <v>BDN4-42</v>
      </c>
      <c r="M1079" s="60" t="str">
        <f t="array" ref="M1079">iferror(index(dna!$J:$J,match($A1079,dna!$A:$A,0)))</f>
        <v>N</v>
      </c>
      <c r="N1079" t="str">
        <f t="array" ref="N1079">iferror(index(stomachs!$G:$G,match($A1079,stomachs!$A:$A,0)))</f>
        <v/>
      </c>
      <c r="O1079" t="str">
        <f t="array" ref="O1079">iferror(index(stomachs!$J:$J,match($A1079,stomachs!$A:$A,0)))</f>
        <v/>
      </c>
      <c r="P1079" t="str">
        <f t="array" ref="P1079">iferror(index(sea_lice!$G:$G,match($A1079,sea_lice!$A:$A,0)))</f>
        <v>BSL2-72</v>
      </c>
      <c r="Q1079" t="str">
        <f t="array" ref="Q1079">iferror(index(sea_lice!$J:$J,match($A1079,sea_lice!$A:$A,0)))</f>
        <v>N</v>
      </c>
      <c r="R1079" s="40" t="str">
        <f t="array" ref="R1079">iferror(index(dissected_fish!$F:$F,match($A1079,dissected_fish!$A:$A,0)))</f>
        <v>BCA110</v>
      </c>
      <c r="S1079" s="40" t="str">
        <f t="array" ref="S1079">iferror(index(dissected_fish!$K:$K,match($A1079,dissected_fish!$A:$A,0)))</f>
        <v>N</v>
      </c>
      <c r="T1079" s="61" t="str">
        <f t="array" ref="T1079">index(fish_lab_data!O:O,match(A1079,fish_lab_data!C:C,0))</f>
        <v>KB</v>
      </c>
      <c r="U1079" s="61">
        <f t="array" ref="U1079">if(A1079="","",index(fish_lab_data!X:X,match(A1079,fish_lab_data!C:C,0)))</f>
        <v>1078</v>
      </c>
    </row>
    <row r="1080">
      <c r="A1080" t="str">
        <f>fish_lab_data!C1080</f>
        <v>U16811</v>
      </c>
      <c r="B1080" t="str">
        <f t="array" ref="B1080">iferror(index('rna-muscle'!$I:$I,match($A1080,'rna-muscle'!$A:$A,0)))</f>
        <v>BRN65M-G8</v>
      </c>
      <c r="C1080" t="str">
        <f t="array" ref="C1080">iferror(index('rna-muscle'!$L:$L,match($A1080,'rna-muscle'!$A:$A,0)))</f>
        <v>N</v>
      </c>
      <c r="D1080" t="str">
        <f t="array" ref="D1080">iferror(index('rna-gill'!$I:$I,match($A1080,'rna-gill'!$A:$A,0)))</f>
        <v>BRN65G-G8</v>
      </c>
      <c r="E1080" t="str">
        <f t="array" ref="E1080">iferror(index('rna-gill'!$L:$L,match($A1080,'rna-gill'!$A:$A,0)))</f>
        <v>N</v>
      </c>
      <c r="F1080" t="str">
        <f t="array" ref="F1080">iferror(index(fatty_acid!$G:$G,match($A1080,fatty_acid!$A:$A,0)))</f>
        <v>BFA34-29</v>
      </c>
      <c r="G1080" t="str">
        <f t="array" ref="G1080">iferror(index(fatty_acid!$J:$J,match($A1080,fatty_acid!$A:$A,0)))</f>
        <v>N</v>
      </c>
      <c r="H1080" t="str">
        <f t="array" ref="H1080">iferror(index(isotopes!$G:$G,match($A1080,isotopes!$A:$A,0)))</f>
        <v>BIS37-29</v>
      </c>
      <c r="I1080" t="str">
        <f t="array" ref="I1080">iferror(index(isotopes!$J:$J,match($A1080,isotopes!$A:$A,0)))</f>
        <v>N</v>
      </c>
      <c r="J1080" t="str">
        <f t="array" ref="J1080">iferror(index(extra_muscle!$G:$G,match($A1080,extra_muscle!$A:$A,0)))</f>
        <v>BXM35-29</v>
      </c>
      <c r="K1080" t="str">
        <f t="array" ref="K1080">iferror(index(extra_muscle!$J:$J,match($A1080,extra_muscle!$A:$A,0)))</f>
        <v>N</v>
      </c>
      <c r="L1080" s="59" t="str">
        <f t="array" ref="L1080">iferror(index(dna!$G:$G,match($A1080,dna!$A:$A,0)))</f>
        <v>BDN4-43</v>
      </c>
      <c r="M1080" s="60" t="str">
        <f t="array" ref="M1080">iferror(index(dna!$J:$J,match($A1080,dna!$A:$A,0)))</f>
        <v>N</v>
      </c>
      <c r="N1080" t="str">
        <f t="array" ref="N1080">iferror(index(stomachs!$G:$G,match($A1080,stomachs!$A:$A,0)))</f>
        <v/>
      </c>
      <c r="O1080" t="str">
        <f t="array" ref="O1080">iferror(index(stomachs!$J:$J,match($A1080,stomachs!$A:$A,0)))</f>
        <v/>
      </c>
      <c r="P1080" t="str">
        <f t="array" ref="P1080">iferror(index(sea_lice!$G:$G,match($A1080,sea_lice!$A:$A,0)))</f>
        <v/>
      </c>
      <c r="Q1080" t="str">
        <f t="array" ref="Q1080">iferror(index(sea_lice!$J:$J,match($A1080,sea_lice!$A:$A,0)))</f>
        <v/>
      </c>
      <c r="R1080" s="40" t="str">
        <f t="array" ref="R1080">iferror(index(dissected_fish!$F:$F,match($A1080,dissected_fish!$A:$A,0)))</f>
        <v>BCA110</v>
      </c>
      <c r="S1080" s="40" t="str">
        <f t="array" ref="S1080">iferror(index(dissected_fish!$K:$K,match($A1080,dissected_fish!$A:$A,0)))</f>
        <v>N</v>
      </c>
      <c r="T1080" s="61" t="str">
        <f t="array" ref="T1080">index(fish_lab_data!O:O,match(A1080,fish_lab_data!C:C,0))</f>
        <v>KB</v>
      </c>
      <c r="U1080" s="61">
        <f t="array" ref="U1080">if(A1080="","",index(fish_lab_data!X:X,match(A1080,fish_lab_data!C:C,0)))</f>
        <v>1079</v>
      </c>
    </row>
    <row r="1081">
      <c r="A1081" t="str">
        <f>fish_lab_data!C1081</f>
        <v>U16815</v>
      </c>
      <c r="B1081" t="str">
        <f t="array" ref="B1081">iferror(index('rna-muscle'!$I:$I,match($A1081,'rna-muscle'!$A:$A,0)))</f>
        <v>BRN65M-F8</v>
      </c>
      <c r="C1081" t="str">
        <f t="array" ref="C1081">iferror(index('rna-muscle'!$L:$L,match($A1081,'rna-muscle'!$A:$A,0)))</f>
        <v>N</v>
      </c>
      <c r="D1081" t="str">
        <f t="array" ref="D1081">iferror(index('rna-gill'!$I:$I,match($A1081,'rna-gill'!$A:$A,0)))</f>
        <v>BRN65G-F8</v>
      </c>
      <c r="E1081" t="str">
        <f t="array" ref="E1081">iferror(index('rna-gill'!$L:$L,match($A1081,'rna-gill'!$A:$A,0)))</f>
        <v>N</v>
      </c>
      <c r="F1081" t="str">
        <f t="array" ref="F1081">iferror(index(fatty_acid!$G:$G,match($A1081,fatty_acid!$A:$A,0)))</f>
        <v>BFA34-30</v>
      </c>
      <c r="G1081" t="str">
        <f t="array" ref="G1081">iferror(index(fatty_acid!$J:$J,match($A1081,fatty_acid!$A:$A,0)))</f>
        <v>N</v>
      </c>
      <c r="H1081" t="str">
        <f t="array" ref="H1081">iferror(index(isotopes!$G:$G,match($A1081,isotopes!$A:$A,0)))</f>
        <v>BIS37-30</v>
      </c>
      <c r="I1081" t="str">
        <f t="array" ref="I1081">iferror(index(isotopes!$J:$J,match($A1081,isotopes!$A:$A,0)))</f>
        <v>N</v>
      </c>
      <c r="J1081" t="str">
        <f t="array" ref="J1081">iferror(index(extra_muscle!$G:$G,match($A1081,extra_muscle!$A:$A,0)))</f>
        <v>BXM35-30</v>
      </c>
      <c r="K1081" t="str">
        <f t="array" ref="K1081">iferror(index(extra_muscle!$J:$J,match($A1081,extra_muscle!$A:$A,0)))</f>
        <v>N</v>
      </c>
      <c r="L1081" s="59" t="str">
        <f t="array" ref="L1081">iferror(index(dna!$G:$G,match($A1081,dna!$A:$A,0)))</f>
        <v>BDN4-44</v>
      </c>
      <c r="M1081" s="60" t="str">
        <f t="array" ref="M1081">iferror(index(dna!$J:$J,match($A1081,dna!$A:$A,0)))</f>
        <v>N</v>
      </c>
      <c r="N1081" t="str">
        <f t="array" ref="N1081">iferror(index(stomachs!$G:$G,match($A1081,stomachs!$A:$A,0)))</f>
        <v/>
      </c>
      <c r="O1081" t="str">
        <f t="array" ref="O1081">iferror(index(stomachs!$J:$J,match($A1081,stomachs!$A:$A,0)))</f>
        <v/>
      </c>
      <c r="P1081" t="str">
        <f t="array" ref="P1081">iferror(index(sea_lice!$G:$G,match($A1081,sea_lice!$A:$A,0)))</f>
        <v/>
      </c>
      <c r="Q1081" t="str">
        <f t="array" ref="Q1081">iferror(index(sea_lice!$J:$J,match($A1081,sea_lice!$A:$A,0)))</f>
        <v/>
      </c>
      <c r="R1081" s="40" t="str">
        <f t="array" ref="R1081">iferror(index(dissected_fish!$F:$F,match($A1081,dissected_fish!$A:$A,0)))</f>
        <v>BCA110</v>
      </c>
      <c r="S1081" s="40" t="str">
        <f t="array" ref="S1081">iferror(index(dissected_fish!$K:$K,match($A1081,dissected_fish!$A:$A,0)))</f>
        <v>N</v>
      </c>
      <c r="T1081" s="61" t="str">
        <f t="array" ref="T1081">index(fish_lab_data!O:O,match(A1081,fish_lab_data!C:C,0))</f>
        <v>KB</v>
      </c>
      <c r="U1081" s="61">
        <f t="array" ref="U1081">if(A1081="","",index(fish_lab_data!X:X,match(A1081,fish_lab_data!C:C,0)))</f>
        <v>1080</v>
      </c>
    </row>
    <row r="1082">
      <c r="A1082" t="str">
        <f>fish_lab_data!C1082</f>
        <v>U16818</v>
      </c>
      <c r="B1082" t="str">
        <f t="array" ref="B1082">iferror(index('rna-muscle'!$I:$I,match($A1082,'rna-muscle'!$A:$A,0)))</f>
        <v>BRN65M-E8</v>
      </c>
      <c r="C1082" t="str">
        <f t="array" ref="C1082">iferror(index('rna-muscle'!$L:$L,match($A1082,'rna-muscle'!$A:$A,0)))</f>
        <v>N</v>
      </c>
      <c r="D1082" t="str">
        <f t="array" ref="D1082">iferror(index('rna-gill'!$I:$I,match($A1082,'rna-gill'!$A:$A,0)))</f>
        <v>BRN65G-E8</v>
      </c>
      <c r="E1082" t="str">
        <f t="array" ref="E1082">iferror(index('rna-gill'!$L:$L,match($A1082,'rna-gill'!$A:$A,0)))</f>
        <v>N</v>
      </c>
      <c r="F1082" t="str">
        <f t="array" ref="F1082">iferror(index(fatty_acid!$G:$G,match($A1082,fatty_acid!$A:$A,0)))</f>
        <v>BFA34-31</v>
      </c>
      <c r="G1082" t="str">
        <f t="array" ref="G1082">iferror(index(fatty_acid!$J:$J,match($A1082,fatty_acid!$A:$A,0)))</f>
        <v>N</v>
      </c>
      <c r="H1082" t="str">
        <f t="array" ref="H1082">iferror(index(isotopes!$G:$G,match($A1082,isotopes!$A:$A,0)))</f>
        <v>BIS37-31</v>
      </c>
      <c r="I1082" t="str">
        <f t="array" ref="I1082">iferror(index(isotopes!$J:$J,match($A1082,isotopes!$A:$A,0)))</f>
        <v>N</v>
      </c>
      <c r="J1082" t="str">
        <f t="array" ref="J1082">iferror(index(extra_muscle!$G:$G,match($A1082,extra_muscle!$A:$A,0)))</f>
        <v>BXM35-31</v>
      </c>
      <c r="K1082" t="str">
        <f t="array" ref="K1082">iferror(index(extra_muscle!$J:$J,match($A1082,extra_muscle!$A:$A,0)))</f>
        <v>N</v>
      </c>
      <c r="L1082" s="59" t="str">
        <f t="array" ref="L1082">iferror(index(dna!$G:$G,match($A1082,dna!$A:$A,0)))</f>
        <v>BDN4-45</v>
      </c>
      <c r="M1082" s="60" t="str">
        <f t="array" ref="M1082">iferror(index(dna!$J:$J,match($A1082,dna!$A:$A,0)))</f>
        <v>N</v>
      </c>
      <c r="N1082" t="str">
        <f t="array" ref="N1082">iferror(index(stomachs!$G:$G,match($A1082,stomachs!$A:$A,0)))</f>
        <v/>
      </c>
      <c r="O1082" t="str">
        <f t="array" ref="O1082">iferror(index(stomachs!$J:$J,match($A1082,stomachs!$A:$A,0)))</f>
        <v/>
      </c>
      <c r="P1082" t="str">
        <f t="array" ref="P1082">iferror(index(sea_lice!$G:$G,match($A1082,sea_lice!$A:$A,0)))</f>
        <v/>
      </c>
      <c r="Q1082" t="str">
        <f t="array" ref="Q1082">iferror(index(sea_lice!$J:$J,match($A1082,sea_lice!$A:$A,0)))</f>
        <v/>
      </c>
      <c r="R1082" s="40" t="str">
        <f t="array" ref="R1082">iferror(index(dissected_fish!$F:$F,match($A1082,dissected_fish!$A:$A,0)))</f>
        <v>BCA110</v>
      </c>
      <c r="S1082" s="40" t="str">
        <f t="array" ref="S1082">iferror(index(dissected_fish!$K:$K,match($A1082,dissected_fish!$A:$A,0)))</f>
        <v>N</v>
      </c>
      <c r="T1082" s="61" t="str">
        <f t="array" ref="T1082">index(fish_lab_data!O:O,match(A1082,fish_lab_data!C:C,0))</f>
        <v>KB</v>
      </c>
      <c r="U1082" s="61">
        <f t="array" ref="U1082">if(A1082="","",index(fish_lab_data!X:X,match(A1082,fish_lab_data!C:C,0)))</f>
        <v>1081</v>
      </c>
    </row>
    <row r="1083">
      <c r="A1083" t="str">
        <f>fish_lab_data!C1083</f>
        <v>U16816</v>
      </c>
      <c r="B1083" t="str">
        <f t="array" ref="B1083">iferror(index('rna-muscle'!$I:$I,match($A1083,'rna-muscle'!$A:$A,0)))</f>
        <v>BRN65M-D8</v>
      </c>
      <c r="C1083" t="str">
        <f t="array" ref="C1083">iferror(index('rna-muscle'!$L:$L,match($A1083,'rna-muscle'!$A:$A,0)))</f>
        <v>N</v>
      </c>
      <c r="D1083" t="str">
        <f t="array" ref="D1083">iferror(index('rna-gill'!$I:$I,match($A1083,'rna-gill'!$A:$A,0)))</f>
        <v>BRN65G-D8</v>
      </c>
      <c r="E1083" t="str">
        <f t="array" ref="E1083">iferror(index('rna-gill'!$L:$L,match($A1083,'rna-gill'!$A:$A,0)))</f>
        <v>N</v>
      </c>
      <c r="F1083" t="str">
        <f t="array" ref="F1083">iferror(index(fatty_acid!$G:$G,match($A1083,fatty_acid!$A:$A,0)))</f>
        <v>BFA34-32</v>
      </c>
      <c r="G1083" t="str">
        <f t="array" ref="G1083">iferror(index(fatty_acid!$J:$J,match($A1083,fatty_acid!$A:$A,0)))</f>
        <v>N</v>
      </c>
      <c r="H1083" t="str">
        <f t="array" ref="H1083">iferror(index(isotopes!$G:$G,match($A1083,isotopes!$A:$A,0)))</f>
        <v>BIS37-32</v>
      </c>
      <c r="I1083" t="str">
        <f t="array" ref="I1083">iferror(index(isotopes!$J:$J,match($A1083,isotopes!$A:$A,0)))</f>
        <v>N</v>
      </c>
      <c r="J1083" t="str">
        <f t="array" ref="J1083">iferror(index(extra_muscle!$G:$G,match($A1083,extra_muscle!$A:$A,0)))</f>
        <v>BXM35-32</v>
      </c>
      <c r="K1083" t="str">
        <f t="array" ref="K1083">iferror(index(extra_muscle!$J:$J,match($A1083,extra_muscle!$A:$A,0)))</f>
        <v>N</v>
      </c>
      <c r="L1083" s="59" t="str">
        <f t="array" ref="L1083">iferror(index(dna!$G:$G,match($A1083,dna!$A:$A,0)))</f>
        <v>BDN4-46</v>
      </c>
      <c r="M1083" s="60" t="str">
        <f t="array" ref="M1083">iferror(index(dna!$J:$J,match($A1083,dna!$A:$A,0)))</f>
        <v>N</v>
      </c>
      <c r="N1083" t="str">
        <f t="array" ref="N1083">iferror(index(stomachs!$G:$G,match($A1083,stomachs!$A:$A,0)))</f>
        <v/>
      </c>
      <c r="O1083" t="str">
        <f t="array" ref="O1083">iferror(index(stomachs!$J:$J,match($A1083,stomachs!$A:$A,0)))</f>
        <v/>
      </c>
      <c r="P1083" t="str">
        <f t="array" ref="P1083">iferror(index(sea_lice!$G:$G,match($A1083,sea_lice!$A:$A,0)))</f>
        <v/>
      </c>
      <c r="Q1083" t="str">
        <f t="array" ref="Q1083">iferror(index(sea_lice!$J:$J,match($A1083,sea_lice!$A:$A,0)))</f>
        <v/>
      </c>
      <c r="R1083" s="40" t="str">
        <f t="array" ref="R1083">iferror(index(dissected_fish!$F:$F,match($A1083,dissected_fish!$A:$A,0)))</f>
        <v>BCA110</v>
      </c>
      <c r="S1083" s="40" t="str">
        <f t="array" ref="S1083">iferror(index(dissected_fish!$K:$K,match($A1083,dissected_fish!$A:$A,0)))</f>
        <v>N</v>
      </c>
      <c r="T1083" s="61" t="str">
        <f t="array" ref="T1083">index(fish_lab_data!O:O,match(A1083,fish_lab_data!C:C,0))</f>
        <v>KB</v>
      </c>
      <c r="U1083" s="61">
        <f t="array" ref="U1083">if(A1083="","",index(fish_lab_data!X:X,match(A1083,fish_lab_data!C:C,0)))</f>
        <v>1082</v>
      </c>
    </row>
    <row r="1084">
      <c r="A1084" t="str">
        <f>fish_lab_data!C1084</f>
        <v>U16820</v>
      </c>
      <c r="B1084" t="str">
        <f t="array" ref="B1084">iferror(index('rna-muscle'!$I:$I,match($A1084,'rna-muscle'!$A:$A,0)))</f>
        <v>BRN65M-C8</v>
      </c>
      <c r="C1084" t="str">
        <f t="array" ref="C1084">iferror(index('rna-muscle'!$L:$L,match($A1084,'rna-muscle'!$A:$A,0)))</f>
        <v>N</v>
      </c>
      <c r="D1084" t="str">
        <f t="array" ref="D1084">iferror(index('rna-gill'!$I:$I,match($A1084,'rna-gill'!$A:$A,0)))</f>
        <v>BRN65G-C8</v>
      </c>
      <c r="E1084" t="str">
        <f t="array" ref="E1084">iferror(index('rna-gill'!$L:$L,match($A1084,'rna-gill'!$A:$A,0)))</f>
        <v>N</v>
      </c>
      <c r="F1084" t="str">
        <f t="array" ref="F1084">iferror(index(fatty_acid!$G:$G,match($A1084,fatty_acid!$A:$A,0)))</f>
        <v>BFA34-33</v>
      </c>
      <c r="G1084" t="str">
        <f t="array" ref="G1084">iferror(index(fatty_acid!$J:$J,match($A1084,fatty_acid!$A:$A,0)))</f>
        <v>N</v>
      </c>
      <c r="H1084" t="str">
        <f t="array" ref="H1084">iferror(index(isotopes!$G:$G,match($A1084,isotopes!$A:$A,0)))</f>
        <v>BIS37-33</v>
      </c>
      <c r="I1084" t="str">
        <f t="array" ref="I1084">iferror(index(isotopes!$J:$J,match($A1084,isotopes!$A:$A,0)))</f>
        <v>N</v>
      </c>
      <c r="J1084" t="str">
        <f t="array" ref="J1084">iferror(index(extra_muscle!$G:$G,match($A1084,extra_muscle!$A:$A,0)))</f>
        <v>BXM35-33</v>
      </c>
      <c r="K1084" t="str">
        <f t="array" ref="K1084">iferror(index(extra_muscle!$J:$J,match($A1084,extra_muscle!$A:$A,0)))</f>
        <v>N</v>
      </c>
      <c r="L1084" s="59" t="str">
        <f t="array" ref="L1084">iferror(index(dna!$G:$G,match($A1084,dna!$A:$A,0)))</f>
        <v>BDN4-47</v>
      </c>
      <c r="M1084" s="60" t="str">
        <f t="array" ref="M1084">iferror(index(dna!$J:$J,match($A1084,dna!$A:$A,0)))</f>
        <v>N</v>
      </c>
      <c r="N1084" t="str">
        <f t="array" ref="N1084">iferror(index(stomachs!$G:$G,match($A1084,stomachs!$A:$A,0)))</f>
        <v/>
      </c>
      <c r="O1084" t="str">
        <f t="array" ref="O1084">iferror(index(stomachs!$J:$J,match($A1084,stomachs!$A:$A,0)))</f>
        <v/>
      </c>
      <c r="P1084" t="str">
        <f t="array" ref="P1084">iferror(index(sea_lice!$G:$G,match($A1084,sea_lice!$A:$A,0)))</f>
        <v/>
      </c>
      <c r="Q1084" t="str">
        <f t="array" ref="Q1084">iferror(index(sea_lice!$J:$J,match($A1084,sea_lice!$A:$A,0)))</f>
        <v/>
      </c>
      <c r="R1084" s="40" t="str">
        <f t="array" ref="R1084">iferror(index(dissected_fish!$F:$F,match($A1084,dissected_fish!$A:$A,0)))</f>
        <v>BCA110</v>
      </c>
      <c r="S1084" s="40" t="str">
        <f t="array" ref="S1084">iferror(index(dissected_fish!$K:$K,match($A1084,dissected_fish!$A:$A,0)))</f>
        <v>N</v>
      </c>
      <c r="T1084" s="61" t="str">
        <f t="array" ref="T1084">index(fish_lab_data!O:O,match(A1084,fish_lab_data!C:C,0))</f>
        <v>KB</v>
      </c>
      <c r="U1084" s="61">
        <f t="array" ref="U1084">if(A1084="","",index(fish_lab_data!X:X,match(A1084,fish_lab_data!C:C,0)))</f>
        <v>1083</v>
      </c>
    </row>
    <row r="1085">
      <c r="A1085" t="str">
        <f>fish_lab_data!C1085</f>
        <v>U16819</v>
      </c>
      <c r="B1085" t="str">
        <f t="array" ref="B1085">iferror(index('rna-muscle'!$I:$I,match($A1085,'rna-muscle'!$A:$A,0)))</f>
        <v>BRN65M-B8</v>
      </c>
      <c r="C1085" t="str">
        <f t="array" ref="C1085">iferror(index('rna-muscle'!$L:$L,match($A1085,'rna-muscle'!$A:$A,0)))</f>
        <v>N</v>
      </c>
      <c r="D1085" t="str">
        <f t="array" ref="D1085">iferror(index('rna-gill'!$I:$I,match($A1085,'rna-gill'!$A:$A,0)))</f>
        <v>BRN65G-B8</v>
      </c>
      <c r="E1085" t="str">
        <f t="array" ref="E1085">iferror(index('rna-gill'!$L:$L,match($A1085,'rna-gill'!$A:$A,0)))</f>
        <v>N</v>
      </c>
      <c r="F1085" t="str">
        <f t="array" ref="F1085">iferror(index(fatty_acid!$G:$G,match($A1085,fatty_acid!$A:$A,0)))</f>
        <v>BFA34-34</v>
      </c>
      <c r="G1085" t="str">
        <f t="array" ref="G1085">iferror(index(fatty_acid!$J:$J,match($A1085,fatty_acid!$A:$A,0)))</f>
        <v>N</v>
      </c>
      <c r="H1085" t="str">
        <f t="array" ref="H1085">iferror(index(isotopes!$G:$G,match($A1085,isotopes!$A:$A,0)))</f>
        <v>BIS37-34</v>
      </c>
      <c r="I1085" t="str">
        <f t="array" ref="I1085">iferror(index(isotopes!$J:$J,match($A1085,isotopes!$A:$A,0)))</f>
        <v>N</v>
      </c>
      <c r="J1085" t="str">
        <f t="array" ref="J1085">iferror(index(extra_muscle!$G:$G,match($A1085,extra_muscle!$A:$A,0)))</f>
        <v>BXM35-34</v>
      </c>
      <c r="K1085" t="str">
        <f t="array" ref="K1085">iferror(index(extra_muscle!$J:$J,match($A1085,extra_muscle!$A:$A,0)))</f>
        <v>N</v>
      </c>
      <c r="L1085" s="59" t="str">
        <f t="array" ref="L1085">iferror(index(dna!$G:$G,match($A1085,dna!$A:$A,0)))</f>
        <v>BDN4-48</v>
      </c>
      <c r="M1085" s="60" t="str">
        <f t="array" ref="M1085">iferror(index(dna!$J:$J,match($A1085,dna!$A:$A,0)))</f>
        <v>N</v>
      </c>
      <c r="N1085" t="str">
        <f t="array" ref="N1085">iferror(index(stomachs!$G:$G,match($A1085,stomachs!$A:$A,0)))</f>
        <v/>
      </c>
      <c r="O1085" t="str">
        <f t="array" ref="O1085">iferror(index(stomachs!$J:$J,match($A1085,stomachs!$A:$A,0)))</f>
        <v/>
      </c>
      <c r="P1085" t="str">
        <f t="array" ref="P1085">iferror(index(sea_lice!$G:$G,match($A1085,sea_lice!$A:$A,0)))</f>
        <v>BSL7-45</v>
      </c>
      <c r="Q1085" t="str">
        <f t="array" ref="Q1085">iferror(index(sea_lice!$J:$J,match($A1085,sea_lice!$A:$A,0)))</f>
        <v>N</v>
      </c>
      <c r="R1085" s="40" t="str">
        <f t="array" ref="R1085">iferror(index(dissected_fish!$F:$F,match($A1085,dissected_fish!$A:$A,0)))</f>
        <v>BCA110</v>
      </c>
      <c r="S1085" s="40" t="str">
        <f t="array" ref="S1085">iferror(index(dissected_fish!$K:$K,match($A1085,dissected_fish!$A:$A,0)))</f>
        <v>N</v>
      </c>
      <c r="T1085" s="61" t="str">
        <f t="array" ref="T1085">index(fish_lab_data!O:O,match(A1085,fish_lab_data!C:C,0))</f>
        <v>KB</v>
      </c>
      <c r="U1085" s="61">
        <f t="array" ref="U1085">if(A1085="","",index(fish_lab_data!X:X,match(A1085,fish_lab_data!C:C,0)))</f>
        <v>1084</v>
      </c>
    </row>
    <row r="1086">
      <c r="A1086" t="str">
        <f>fish_lab_data!C1086</f>
        <v>U16813</v>
      </c>
      <c r="B1086" t="str">
        <f t="array" ref="B1086">iferror(index('rna-muscle'!$I:$I,match($A1086,'rna-muscle'!$A:$A,0)))</f>
        <v>BRN65M-A8</v>
      </c>
      <c r="C1086" t="str">
        <f t="array" ref="C1086">iferror(index('rna-muscle'!$L:$L,match($A1086,'rna-muscle'!$A:$A,0)))</f>
        <v>N</v>
      </c>
      <c r="D1086" t="str">
        <f t="array" ref="D1086">iferror(index('rna-gill'!$I:$I,match($A1086,'rna-gill'!$A:$A,0)))</f>
        <v>BRN65G-A8</v>
      </c>
      <c r="E1086" t="str">
        <f t="array" ref="E1086">iferror(index('rna-gill'!$L:$L,match($A1086,'rna-gill'!$A:$A,0)))</f>
        <v>N</v>
      </c>
      <c r="F1086" t="str">
        <f t="array" ref="F1086">iferror(index(fatty_acid!$G:$G,match($A1086,fatty_acid!$A:$A,0)))</f>
        <v>BFA34-35</v>
      </c>
      <c r="G1086" t="str">
        <f t="array" ref="G1086">iferror(index(fatty_acid!$J:$J,match($A1086,fatty_acid!$A:$A,0)))</f>
        <v>N</v>
      </c>
      <c r="H1086" t="str">
        <f t="array" ref="H1086">iferror(index(isotopes!$G:$G,match($A1086,isotopes!$A:$A,0)))</f>
        <v>BIS37-35</v>
      </c>
      <c r="I1086" t="str">
        <f t="array" ref="I1086">iferror(index(isotopes!$J:$J,match($A1086,isotopes!$A:$A,0)))</f>
        <v>N</v>
      </c>
      <c r="J1086" t="str">
        <f t="array" ref="J1086">iferror(index(extra_muscle!$G:$G,match($A1086,extra_muscle!$A:$A,0)))</f>
        <v>BXM35-35</v>
      </c>
      <c r="K1086" t="str">
        <f t="array" ref="K1086">iferror(index(extra_muscle!$J:$J,match($A1086,extra_muscle!$A:$A,0)))</f>
        <v>N</v>
      </c>
      <c r="L1086" s="59" t="str">
        <f t="array" ref="L1086">iferror(index(dna!$G:$G,match($A1086,dna!$A:$A,0)))</f>
        <v>BDN4-49</v>
      </c>
      <c r="M1086" s="60" t="str">
        <f t="array" ref="M1086">iferror(index(dna!$J:$J,match($A1086,dna!$A:$A,0)))</f>
        <v>N</v>
      </c>
      <c r="N1086" t="str">
        <f t="array" ref="N1086">iferror(index(stomachs!$G:$G,match($A1086,stomachs!$A:$A,0)))</f>
        <v/>
      </c>
      <c r="O1086" t="str">
        <f t="array" ref="O1086">iferror(index(stomachs!$J:$J,match($A1086,stomachs!$A:$A,0)))</f>
        <v/>
      </c>
      <c r="P1086" t="str">
        <f t="array" ref="P1086">iferror(index(sea_lice!$G:$G,match($A1086,sea_lice!$A:$A,0)))</f>
        <v/>
      </c>
      <c r="Q1086" t="str">
        <f t="array" ref="Q1086">iferror(index(sea_lice!$J:$J,match($A1086,sea_lice!$A:$A,0)))</f>
        <v/>
      </c>
      <c r="R1086" s="40" t="str">
        <f t="array" ref="R1086">iferror(index(dissected_fish!$F:$F,match($A1086,dissected_fish!$A:$A,0)))</f>
        <v>BCA110</v>
      </c>
      <c r="S1086" s="40" t="str">
        <f t="array" ref="S1086">iferror(index(dissected_fish!$K:$K,match($A1086,dissected_fish!$A:$A,0)))</f>
        <v>N</v>
      </c>
      <c r="T1086" s="61" t="str">
        <f t="array" ref="T1086">index(fish_lab_data!O:O,match(A1086,fish_lab_data!C:C,0))</f>
        <v>KB</v>
      </c>
      <c r="U1086" s="61">
        <f t="array" ref="U1086">if(A1086="","",index(fish_lab_data!X:X,match(A1086,fish_lab_data!C:C,0)))</f>
        <v>1085</v>
      </c>
    </row>
    <row r="1087">
      <c r="A1087" t="str">
        <f>fish_lab_data!C1087</f>
        <v>U16812</v>
      </c>
      <c r="B1087" t="str">
        <f t="array" ref="B1087">iferror(index('rna-muscle'!$I:$I,match($A1087,'rna-muscle'!$A:$A,0)))</f>
        <v>BRN65M-H9</v>
      </c>
      <c r="C1087" t="str">
        <f t="array" ref="C1087">iferror(index('rna-muscle'!$L:$L,match($A1087,'rna-muscle'!$A:$A,0)))</f>
        <v>N</v>
      </c>
      <c r="D1087" t="str">
        <f t="array" ref="D1087">iferror(index('rna-gill'!$I:$I,match($A1087,'rna-gill'!$A:$A,0)))</f>
        <v>BRN65G-H9</v>
      </c>
      <c r="E1087" t="str">
        <f t="array" ref="E1087">iferror(index('rna-gill'!$L:$L,match($A1087,'rna-gill'!$A:$A,0)))</f>
        <v>N</v>
      </c>
      <c r="F1087" t="str">
        <f t="array" ref="F1087">iferror(index(fatty_acid!$G:$G,match($A1087,fatty_acid!$A:$A,0)))</f>
        <v>BFA34-36</v>
      </c>
      <c r="G1087" t="str">
        <f t="array" ref="G1087">iferror(index(fatty_acid!$J:$J,match($A1087,fatty_acid!$A:$A,0)))</f>
        <v>N</v>
      </c>
      <c r="H1087" t="str">
        <f t="array" ref="H1087">iferror(index(isotopes!$G:$G,match($A1087,isotopes!$A:$A,0)))</f>
        <v>BIS37-36</v>
      </c>
      <c r="I1087" t="str">
        <f t="array" ref="I1087">iferror(index(isotopes!$J:$J,match($A1087,isotopes!$A:$A,0)))</f>
        <v>N</v>
      </c>
      <c r="J1087" t="str">
        <f t="array" ref="J1087">iferror(index(extra_muscle!$G:$G,match($A1087,extra_muscle!$A:$A,0)))</f>
        <v>BXM35-36</v>
      </c>
      <c r="K1087" t="str">
        <f t="array" ref="K1087">iferror(index(extra_muscle!$J:$J,match($A1087,extra_muscle!$A:$A,0)))</f>
        <v>N</v>
      </c>
      <c r="L1087" s="59" t="str">
        <f t="array" ref="L1087">iferror(index(dna!$G:$G,match($A1087,dna!$A:$A,0)))</f>
        <v>BDN4-50</v>
      </c>
      <c r="M1087" s="60" t="str">
        <f t="array" ref="M1087">iferror(index(dna!$J:$J,match($A1087,dna!$A:$A,0)))</f>
        <v>N</v>
      </c>
      <c r="N1087" t="str">
        <f t="array" ref="N1087">iferror(index(stomachs!$G:$G,match($A1087,stomachs!$A:$A,0)))</f>
        <v/>
      </c>
      <c r="O1087" t="str">
        <f t="array" ref="O1087">iferror(index(stomachs!$J:$J,match($A1087,stomachs!$A:$A,0)))</f>
        <v/>
      </c>
      <c r="P1087" t="str">
        <f t="array" ref="P1087">iferror(index(sea_lice!$G:$G,match($A1087,sea_lice!$A:$A,0)))</f>
        <v>BSL7-46</v>
      </c>
      <c r="Q1087" t="str">
        <f t="array" ref="Q1087">iferror(index(sea_lice!$J:$J,match($A1087,sea_lice!$A:$A,0)))</f>
        <v>N</v>
      </c>
      <c r="R1087" s="40" t="str">
        <f t="array" ref="R1087">iferror(index(dissected_fish!$F:$F,match($A1087,dissected_fish!$A:$A,0)))</f>
        <v>BCA110</v>
      </c>
      <c r="S1087" s="40" t="str">
        <f t="array" ref="S1087">iferror(index(dissected_fish!$K:$K,match($A1087,dissected_fish!$A:$A,0)))</f>
        <v>N</v>
      </c>
      <c r="T1087" s="61" t="str">
        <f t="array" ref="T1087">index(fish_lab_data!O:O,match(A1087,fish_lab_data!C:C,0))</f>
        <v>KB</v>
      </c>
      <c r="U1087" s="61">
        <f t="array" ref="U1087">if(A1087="","",index(fish_lab_data!X:X,match(A1087,fish_lab_data!C:C,0)))</f>
        <v>1086</v>
      </c>
    </row>
    <row r="1088">
      <c r="A1088" t="str">
        <f>fish_lab_data!C1088</f>
        <v>U16817</v>
      </c>
      <c r="B1088" t="str">
        <f t="array" ref="B1088">iferror(index('rna-muscle'!$I:$I,match($A1088,'rna-muscle'!$A:$A,0)))</f>
        <v>BRN65M-G9</v>
      </c>
      <c r="C1088" t="str">
        <f t="array" ref="C1088">iferror(index('rna-muscle'!$L:$L,match($A1088,'rna-muscle'!$A:$A,0)))</f>
        <v>N</v>
      </c>
      <c r="D1088" t="str">
        <f t="array" ref="D1088">iferror(index('rna-gill'!$I:$I,match($A1088,'rna-gill'!$A:$A,0)))</f>
        <v>BRN65G-G9</v>
      </c>
      <c r="E1088" t="str">
        <f t="array" ref="E1088">iferror(index('rna-gill'!$L:$L,match($A1088,'rna-gill'!$A:$A,0)))</f>
        <v>N</v>
      </c>
      <c r="F1088" t="str">
        <f t="array" ref="F1088">iferror(index(fatty_acid!$G:$G,match($A1088,fatty_acid!$A:$A,0)))</f>
        <v>BFA34-37</v>
      </c>
      <c r="G1088" t="str">
        <f t="array" ref="G1088">iferror(index(fatty_acid!$J:$J,match($A1088,fatty_acid!$A:$A,0)))</f>
        <v>N</v>
      </c>
      <c r="H1088" t="str">
        <f t="array" ref="H1088">iferror(index(isotopes!$G:$G,match($A1088,isotopes!$A:$A,0)))</f>
        <v>BIS37-37</v>
      </c>
      <c r="I1088" t="str">
        <f t="array" ref="I1088">iferror(index(isotopes!$J:$J,match($A1088,isotopes!$A:$A,0)))</f>
        <v>N</v>
      </c>
      <c r="J1088" t="str">
        <f t="array" ref="J1088">iferror(index(extra_muscle!$G:$G,match($A1088,extra_muscle!$A:$A,0)))</f>
        <v>BXM35-37</v>
      </c>
      <c r="K1088" t="str">
        <f t="array" ref="K1088">iferror(index(extra_muscle!$J:$J,match($A1088,extra_muscle!$A:$A,0)))</f>
        <v>N</v>
      </c>
      <c r="L1088" s="59" t="str">
        <f t="array" ref="L1088">iferror(index(dna!$G:$G,match($A1088,dna!$A:$A,0)))</f>
        <v>BDN4-51</v>
      </c>
      <c r="M1088" s="60" t="str">
        <f t="array" ref="M1088">iferror(index(dna!$J:$J,match($A1088,dna!$A:$A,0)))</f>
        <v>N</v>
      </c>
      <c r="N1088" t="str">
        <f t="array" ref="N1088">iferror(index(stomachs!$G:$G,match($A1088,stomachs!$A:$A,0)))</f>
        <v/>
      </c>
      <c r="O1088" t="str">
        <f t="array" ref="O1088">iferror(index(stomachs!$J:$J,match($A1088,stomachs!$A:$A,0)))</f>
        <v/>
      </c>
      <c r="P1088" t="str">
        <f t="array" ref="P1088">iferror(index(sea_lice!$G:$G,match($A1088,sea_lice!$A:$A,0)))</f>
        <v/>
      </c>
      <c r="Q1088" t="str">
        <f t="array" ref="Q1088">iferror(index(sea_lice!$J:$J,match($A1088,sea_lice!$A:$A,0)))</f>
        <v/>
      </c>
      <c r="R1088" s="40" t="str">
        <f t="array" ref="R1088">iferror(index(dissected_fish!$F:$F,match($A1088,dissected_fish!$A:$A,0)))</f>
        <v>BCA110</v>
      </c>
      <c r="S1088" s="40" t="str">
        <f t="array" ref="S1088">iferror(index(dissected_fish!$K:$K,match($A1088,dissected_fish!$A:$A,0)))</f>
        <v>N</v>
      </c>
      <c r="T1088" s="61" t="str">
        <f t="array" ref="T1088">index(fish_lab_data!O:O,match(A1088,fish_lab_data!C:C,0))</f>
        <v>KB</v>
      </c>
      <c r="U1088" s="61">
        <f t="array" ref="U1088">if(A1088="","",index(fish_lab_data!X:X,match(A1088,fish_lab_data!C:C,0)))</f>
        <v>1087</v>
      </c>
    </row>
    <row r="1089">
      <c r="A1089" t="str">
        <f>fish_lab_data!C1089</f>
        <v>U16814</v>
      </c>
      <c r="B1089" t="str">
        <f t="array" ref="B1089">iferror(index('rna-muscle'!$I:$I,match($A1089,'rna-muscle'!$A:$A,0)))</f>
        <v>BRN65M-F9</v>
      </c>
      <c r="C1089" t="str">
        <f t="array" ref="C1089">iferror(index('rna-muscle'!$L:$L,match($A1089,'rna-muscle'!$A:$A,0)))</f>
        <v>N</v>
      </c>
      <c r="D1089" t="str">
        <f t="array" ref="D1089">iferror(index('rna-gill'!$I:$I,match($A1089,'rna-gill'!$A:$A,0)))</f>
        <v>BRN65G-F9</v>
      </c>
      <c r="E1089" t="str">
        <f t="array" ref="E1089">iferror(index('rna-gill'!$L:$L,match($A1089,'rna-gill'!$A:$A,0)))</f>
        <v>N</v>
      </c>
      <c r="F1089" t="str">
        <f t="array" ref="F1089">iferror(index(fatty_acid!$G:$G,match($A1089,fatty_acid!$A:$A,0)))</f>
        <v>BFA34-38</v>
      </c>
      <c r="G1089" t="str">
        <f t="array" ref="G1089">iferror(index(fatty_acid!$J:$J,match($A1089,fatty_acid!$A:$A,0)))</f>
        <v>N</v>
      </c>
      <c r="H1089" t="str">
        <f t="array" ref="H1089">iferror(index(isotopes!$G:$G,match($A1089,isotopes!$A:$A,0)))</f>
        <v>BIS37-38</v>
      </c>
      <c r="I1089" t="str">
        <f t="array" ref="I1089">iferror(index(isotopes!$J:$J,match($A1089,isotopes!$A:$A,0)))</f>
        <v>N</v>
      </c>
      <c r="J1089" t="str">
        <f t="array" ref="J1089">iferror(index(extra_muscle!$G:$G,match($A1089,extra_muscle!$A:$A,0)))</f>
        <v>BXM35-38</v>
      </c>
      <c r="K1089" t="str">
        <f t="array" ref="K1089">iferror(index(extra_muscle!$J:$J,match($A1089,extra_muscle!$A:$A,0)))</f>
        <v>N</v>
      </c>
      <c r="L1089" s="59" t="str">
        <f t="array" ref="L1089">iferror(index(dna!$G:$G,match($A1089,dna!$A:$A,0)))</f>
        <v>BDN4-52</v>
      </c>
      <c r="M1089" s="60" t="str">
        <f t="array" ref="M1089">iferror(index(dna!$J:$J,match($A1089,dna!$A:$A,0)))</f>
        <v>N</v>
      </c>
      <c r="N1089" t="str">
        <f t="array" ref="N1089">iferror(index(stomachs!$G:$G,match($A1089,stomachs!$A:$A,0)))</f>
        <v/>
      </c>
      <c r="O1089" t="str">
        <f t="array" ref="O1089">iferror(index(stomachs!$J:$J,match($A1089,stomachs!$A:$A,0)))</f>
        <v/>
      </c>
      <c r="P1089" t="str">
        <f t="array" ref="P1089">iferror(index(sea_lice!$G:$G,match($A1089,sea_lice!$A:$A,0)))</f>
        <v>BSL7-47</v>
      </c>
      <c r="Q1089" t="str">
        <f t="array" ref="Q1089">iferror(index(sea_lice!$J:$J,match($A1089,sea_lice!$A:$A,0)))</f>
        <v>N</v>
      </c>
      <c r="R1089" s="40" t="str">
        <f t="array" ref="R1089">iferror(index(dissected_fish!$F:$F,match($A1089,dissected_fish!$A:$A,0)))</f>
        <v>BCA110</v>
      </c>
      <c r="S1089" s="40" t="str">
        <f t="array" ref="S1089">iferror(index(dissected_fish!$K:$K,match($A1089,dissected_fish!$A:$A,0)))</f>
        <v>N</v>
      </c>
      <c r="T1089" s="61" t="str">
        <f t="array" ref="T1089">index(fish_lab_data!O:O,match(A1089,fish_lab_data!C:C,0))</f>
        <v>KB</v>
      </c>
      <c r="U1089" s="61">
        <f t="array" ref="U1089">if(A1089="","",index(fish_lab_data!X:X,match(A1089,fish_lab_data!C:C,0)))</f>
        <v>1088</v>
      </c>
    </row>
    <row r="1090">
      <c r="A1090" t="str">
        <f>fish_lab_data!C1090</f>
        <v>U17138</v>
      </c>
      <c r="B1090" t="str">
        <f t="array" ref="B1090">iferror(index('rna-muscle'!$I:$I,match($A1090,'rna-muscle'!$A:$A,0)))</f>
        <v>BRN65M-E9</v>
      </c>
      <c r="C1090" t="str">
        <f t="array" ref="C1090">iferror(index('rna-muscle'!$L:$L,match($A1090,'rna-muscle'!$A:$A,0)))</f>
        <v>N</v>
      </c>
      <c r="D1090" t="str">
        <f t="array" ref="D1090">iferror(index('rna-gill'!$I:$I,match($A1090,'rna-gill'!$A:$A,0)))</f>
        <v>BRN65G-E9</v>
      </c>
      <c r="E1090" t="str">
        <f t="array" ref="E1090">iferror(index('rna-gill'!$L:$L,match($A1090,'rna-gill'!$A:$A,0)))</f>
        <v>N</v>
      </c>
      <c r="F1090" t="str">
        <f t="array" ref="F1090">iferror(index(fatty_acid!$G:$G,match($A1090,fatty_acid!$A:$A,0)))</f>
        <v>BFA34-39</v>
      </c>
      <c r="G1090" t="str">
        <f t="array" ref="G1090">iferror(index(fatty_acid!$J:$J,match($A1090,fatty_acid!$A:$A,0)))</f>
        <v>N</v>
      </c>
      <c r="H1090" t="str">
        <f t="array" ref="H1090">iferror(index(isotopes!$G:$G,match($A1090,isotopes!$A:$A,0)))</f>
        <v>BIS37-39</v>
      </c>
      <c r="I1090" t="str">
        <f t="array" ref="I1090">iferror(index(isotopes!$J:$J,match($A1090,isotopes!$A:$A,0)))</f>
        <v>N</v>
      </c>
      <c r="J1090" t="str">
        <f t="array" ref="J1090">iferror(index(extra_muscle!$G:$G,match($A1090,extra_muscle!$A:$A,0)))</f>
        <v>BXM35-39</v>
      </c>
      <c r="K1090" t="str">
        <f t="array" ref="K1090">iferror(index(extra_muscle!$J:$J,match($A1090,extra_muscle!$A:$A,0)))</f>
        <v>N</v>
      </c>
      <c r="L1090" s="59" t="str">
        <f t="array" ref="L1090">iferror(index(dna!$G:$G,match($A1090,dna!$A:$A,0)))</f>
        <v>BDN4-53</v>
      </c>
      <c r="M1090" s="60" t="str">
        <f t="array" ref="M1090">iferror(index(dna!$J:$J,match($A1090,dna!$A:$A,0)))</f>
        <v>N</v>
      </c>
      <c r="N1090" t="str">
        <f t="array" ref="N1090">iferror(index(stomachs!$G:$G,match($A1090,stomachs!$A:$A,0)))</f>
        <v/>
      </c>
      <c r="O1090" t="str">
        <f t="array" ref="O1090">iferror(index(stomachs!$J:$J,match($A1090,stomachs!$A:$A,0)))</f>
        <v/>
      </c>
      <c r="P1090" t="str">
        <f t="array" ref="P1090">iferror(index(sea_lice!$G:$G,match($A1090,sea_lice!$A:$A,0)))</f>
        <v>BSL7-48</v>
      </c>
      <c r="Q1090" t="str">
        <f t="array" ref="Q1090">iferror(index(sea_lice!$J:$J,match($A1090,sea_lice!$A:$A,0)))</f>
        <v>N</v>
      </c>
      <c r="R1090" s="40" t="str">
        <f t="array" ref="R1090">iferror(index(dissected_fish!$F:$F,match($A1090,dissected_fish!$A:$A,0)))</f>
        <v>BCA110</v>
      </c>
      <c r="S1090" s="40" t="str">
        <f t="array" ref="S1090">iferror(index(dissected_fish!$K:$K,match($A1090,dissected_fish!$A:$A,0)))</f>
        <v>N</v>
      </c>
      <c r="T1090" s="61" t="str">
        <f t="array" ref="T1090">index(fish_lab_data!O:O,match(A1090,fish_lab_data!C:C,0))</f>
        <v>KB</v>
      </c>
      <c r="U1090" s="61">
        <f t="array" ref="U1090">if(A1090="","",index(fish_lab_data!X:X,match(A1090,fish_lab_data!C:C,0)))</f>
        <v>1089</v>
      </c>
    </row>
    <row r="1091">
      <c r="A1091" t="str">
        <f>fish_lab_data!C1091</f>
        <v>U17131</v>
      </c>
      <c r="B1091" t="str">
        <f t="array" ref="B1091">iferror(index('rna-muscle'!$I:$I,match($A1091,'rna-muscle'!$A:$A,0)))</f>
        <v>BRN65M-D9</v>
      </c>
      <c r="C1091" t="str">
        <f t="array" ref="C1091">iferror(index('rna-muscle'!$L:$L,match($A1091,'rna-muscle'!$A:$A,0)))</f>
        <v>N</v>
      </c>
      <c r="D1091" t="str">
        <f t="array" ref="D1091">iferror(index('rna-gill'!$I:$I,match($A1091,'rna-gill'!$A:$A,0)))</f>
        <v>BRN65G-D9</v>
      </c>
      <c r="E1091" t="str">
        <f t="array" ref="E1091">iferror(index('rna-gill'!$L:$L,match($A1091,'rna-gill'!$A:$A,0)))</f>
        <v>N</v>
      </c>
      <c r="F1091" t="str">
        <f t="array" ref="F1091">iferror(index(fatty_acid!$G:$G,match($A1091,fatty_acid!$A:$A,0)))</f>
        <v>BFA34-40</v>
      </c>
      <c r="G1091" t="str">
        <f t="array" ref="G1091">iferror(index(fatty_acid!$J:$J,match($A1091,fatty_acid!$A:$A,0)))</f>
        <v>N</v>
      </c>
      <c r="H1091" t="str">
        <f t="array" ref="H1091">iferror(index(isotopes!$G:$G,match($A1091,isotopes!$A:$A,0)))</f>
        <v>BIS37-40</v>
      </c>
      <c r="I1091" t="str">
        <f t="array" ref="I1091">iferror(index(isotopes!$J:$J,match($A1091,isotopes!$A:$A,0)))</f>
        <v>N</v>
      </c>
      <c r="J1091" t="str">
        <f t="array" ref="J1091">iferror(index(extra_muscle!$G:$G,match($A1091,extra_muscle!$A:$A,0)))</f>
        <v>BXM35-40</v>
      </c>
      <c r="K1091" t="str">
        <f t="array" ref="K1091">iferror(index(extra_muscle!$J:$J,match($A1091,extra_muscle!$A:$A,0)))</f>
        <v>N</v>
      </c>
      <c r="L1091" s="59" t="str">
        <f t="array" ref="L1091">iferror(index(dna!$G:$G,match($A1091,dna!$A:$A,0)))</f>
        <v>BDN4-54</v>
      </c>
      <c r="M1091" s="60" t="str">
        <f t="array" ref="M1091">iferror(index(dna!$J:$J,match($A1091,dna!$A:$A,0)))</f>
        <v>N</v>
      </c>
      <c r="N1091" t="str">
        <f t="array" ref="N1091">iferror(index(stomachs!$G:$G,match($A1091,stomachs!$A:$A,0)))</f>
        <v/>
      </c>
      <c r="O1091" t="str">
        <f t="array" ref="O1091">iferror(index(stomachs!$J:$J,match($A1091,stomachs!$A:$A,0)))</f>
        <v/>
      </c>
      <c r="P1091" t="str">
        <f t="array" ref="P1091">iferror(index(sea_lice!$G:$G,match($A1091,sea_lice!$A:$A,0)))</f>
        <v>BSL7-49</v>
      </c>
      <c r="Q1091" t="str">
        <f t="array" ref="Q1091">iferror(index(sea_lice!$J:$J,match($A1091,sea_lice!$A:$A,0)))</f>
        <v>N</v>
      </c>
      <c r="R1091" s="40" t="str">
        <f t="array" ref="R1091">iferror(index(dissected_fish!$F:$F,match($A1091,dissected_fish!$A:$A,0)))</f>
        <v>BCA110</v>
      </c>
      <c r="S1091" s="40" t="str">
        <f t="array" ref="S1091">iferror(index(dissected_fish!$K:$K,match($A1091,dissected_fish!$A:$A,0)))</f>
        <v>N</v>
      </c>
      <c r="T1091" s="61" t="str">
        <f t="array" ref="T1091">index(fish_lab_data!O:O,match(A1091,fish_lab_data!C:C,0))</f>
        <v>KB</v>
      </c>
      <c r="U1091" s="61">
        <f t="array" ref="U1091">if(A1091="","",index(fish_lab_data!X:X,match(A1091,fish_lab_data!C:C,0)))</f>
        <v>1090</v>
      </c>
    </row>
    <row r="1092">
      <c r="A1092" t="str">
        <f>fish_lab_data!C1092</f>
        <v>U17133</v>
      </c>
      <c r="B1092" t="str">
        <f t="array" ref="B1092">iferror(index('rna-muscle'!$I:$I,match($A1092,'rna-muscle'!$A:$A,0)))</f>
        <v>BRN65M-C9</v>
      </c>
      <c r="C1092" t="str">
        <f t="array" ref="C1092">iferror(index('rna-muscle'!$L:$L,match($A1092,'rna-muscle'!$A:$A,0)))</f>
        <v>N</v>
      </c>
      <c r="D1092" t="str">
        <f t="array" ref="D1092">iferror(index('rna-gill'!$I:$I,match($A1092,'rna-gill'!$A:$A,0)))</f>
        <v>BRN65G-C9</v>
      </c>
      <c r="E1092" t="str">
        <f t="array" ref="E1092">iferror(index('rna-gill'!$L:$L,match($A1092,'rna-gill'!$A:$A,0)))</f>
        <v>N</v>
      </c>
      <c r="F1092" t="str">
        <f t="array" ref="F1092">iferror(index(fatty_acid!$G:$G,match($A1092,fatty_acid!$A:$A,0)))</f>
        <v>BFA34-41</v>
      </c>
      <c r="G1092" t="str">
        <f t="array" ref="G1092">iferror(index(fatty_acid!$J:$J,match($A1092,fatty_acid!$A:$A,0)))</f>
        <v>N</v>
      </c>
      <c r="H1092" t="str">
        <f t="array" ref="H1092">iferror(index(isotopes!$G:$G,match($A1092,isotopes!$A:$A,0)))</f>
        <v>BIS37-41</v>
      </c>
      <c r="I1092" t="str">
        <f t="array" ref="I1092">iferror(index(isotopes!$J:$J,match($A1092,isotopes!$A:$A,0)))</f>
        <v>N</v>
      </c>
      <c r="J1092" t="str">
        <f t="array" ref="J1092">iferror(index(extra_muscle!$G:$G,match($A1092,extra_muscle!$A:$A,0)))</f>
        <v>BXM35-41</v>
      </c>
      <c r="K1092" t="str">
        <f t="array" ref="K1092">iferror(index(extra_muscle!$J:$J,match($A1092,extra_muscle!$A:$A,0)))</f>
        <v>N</v>
      </c>
      <c r="L1092" s="59" t="str">
        <f t="array" ref="L1092">iferror(index(dna!$G:$G,match($A1092,dna!$A:$A,0)))</f>
        <v>BDN4-55</v>
      </c>
      <c r="M1092" s="60" t="str">
        <f t="array" ref="M1092">iferror(index(dna!$J:$J,match($A1092,dna!$A:$A,0)))</f>
        <v>N</v>
      </c>
      <c r="N1092" t="str">
        <f t="array" ref="N1092">iferror(index(stomachs!$G:$G,match($A1092,stomachs!$A:$A,0)))</f>
        <v/>
      </c>
      <c r="O1092" t="str">
        <f t="array" ref="O1092">iferror(index(stomachs!$J:$J,match($A1092,stomachs!$A:$A,0)))</f>
        <v/>
      </c>
      <c r="P1092" t="str">
        <f t="array" ref="P1092">iferror(index(sea_lice!$G:$G,match($A1092,sea_lice!$A:$A,0)))</f>
        <v>BSL7-50</v>
      </c>
      <c r="Q1092" t="str">
        <f t="array" ref="Q1092">iferror(index(sea_lice!$J:$J,match($A1092,sea_lice!$A:$A,0)))</f>
        <v>N</v>
      </c>
      <c r="R1092" s="40" t="str">
        <f t="array" ref="R1092">iferror(index(dissected_fish!$F:$F,match($A1092,dissected_fish!$A:$A,0)))</f>
        <v>BCA110</v>
      </c>
      <c r="S1092" s="40" t="str">
        <f t="array" ref="S1092">iferror(index(dissected_fish!$K:$K,match($A1092,dissected_fish!$A:$A,0)))</f>
        <v>N</v>
      </c>
      <c r="T1092" s="61" t="str">
        <f t="array" ref="T1092">index(fish_lab_data!O:O,match(A1092,fish_lab_data!C:C,0))</f>
        <v>KB</v>
      </c>
      <c r="U1092" s="61">
        <f t="array" ref="U1092">if(A1092="","",index(fish_lab_data!X:X,match(A1092,fish_lab_data!C:C,0)))</f>
        <v>1091</v>
      </c>
    </row>
    <row r="1093">
      <c r="A1093" t="str">
        <f>fish_lab_data!C1093</f>
        <v>U17135</v>
      </c>
      <c r="B1093" t="str">
        <f t="array" ref="B1093">iferror(index('rna-muscle'!$I:$I,match($A1093,'rna-muscle'!$A:$A,0)))</f>
        <v>BRN65M-B9</v>
      </c>
      <c r="C1093" t="str">
        <f t="array" ref="C1093">iferror(index('rna-muscle'!$L:$L,match($A1093,'rna-muscle'!$A:$A,0)))</f>
        <v>N</v>
      </c>
      <c r="D1093" t="str">
        <f t="array" ref="D1093">iferror(index('rna-gill'!$I:$I,match($A1093,'rna-gill'!$A:$A,0)))</f>
        <v>BRN65G-B9</v>
      </c>
      <c r="E1093" t="str">
        <f t="array" ref="E1093">iferror(index('rna-gill'!$L:$L,match($A1093,'rna-gill'!$A:$A,0)))</f>
        <v>N</v>
      </c>
      <c r="F1093" t="str">
        <f t="array" ref="F1093">iferror(index(fatty_acid!$G:$G,match($A1093,fatty_acid!$A:$A,0)))</f>
        <v>BFA34-42</v>
      </c>
      <c r="G1093" t="str">
        <f t="array" ref="G1093">iferror(index(fatty_acid!$J:$J,match($A1093,fatty_acid!$A:$A,0)))</f>
        <v>N</v>
      </c>
      <c r="H1093" t="str">
        <f t="array" ref="H1093">iferror(index(isotopes!$G:$G,match($A1093,isotopes!$A:$A,0)))</f>
        <v>BIS37-42</v>
      </c>
      <c r="I1093" t="str">
        <f t="array" ref="I1093">iferror(index(isotopes!$J:$J,match($A1093,isotopes!$A:$A,0)))</f>
        <v>N</v>
      </c>
      <c r="J1093" t="str">
        <f t="array" ref="J1093">iferror(index(extra_muscle!$G:$G,match($A1093,extra_muscle!$A:$A,0)))</f>
        <v>BXM35-42</v>
      </c>
      <c r="K1093" t="str">
        <f t="array" ref="K1093">iferror(index(extra_muscle!$J:$J,match($A1093,extra_muscle!$A:$A,0)))</f>
        <v>N</v>
      </c>
      <c r="L1093" s="59" t="str">
        <f t="array" ref="L1093">iferror(index(dna!$G:$G,match($A1093,dna!$A:$A,0)))</f>
        <v>BDN4-56</v>
      </c>
      <c r="M1093" s="60" t="str">
        <f t="array" ref="M1093">iferror(index(dna!$J:$J,match($A1093,dna!$A:$A,0)))</f>
        <v>N</v>
      </c>
      <c r="N1093" t="str">
        <f t="array" ref="N1093">iferror(index(stomachs!$G:$G,match($A1093,stomachs!$A:$A,0)))</f>
        <v/>
      </c>
      <c r="O1093" t="str">
        <f t="array" ref="O1093">iferror(index(stomachs!$J:$J,match($A1093,stomachs!$A:$A,0)))</f>
        <v/>
      </c>
      <c r="P1093" t="str">
        <f t="array" ref="P1093">iferror(index(sea_lice!$G:$G,match($A1093,sea_lice!$A:$A,0)))</f>
        <v>BSL7-51</v>
      </c>
      <c r="Q1093" t="str">
        <f t="array" ref="Q1093">iferror(index(sea_lice!$J:$J,match($A1093,sea_lice!$A:$A,0)))</f>
        <v>N</v>
      </c>
      <c r="R1093" s="40" t="str">
        <f t="array" ref="R1093">iferror(index(dissected_fish!$F:$F,match($A1093,dissected_fish!$A:$A,0)))</f>
        <v>BCA110</v>
      </c>
      <c r="S1093" s="40" t="str">
        <f t="array" ref="S1093">iferror(index(dissected_fish!$K:$K,match($A1093,dissected_fish!$A:$A,0)))</f>
        <v>N</v>
      </c>
      <c r="T1093" s="61" t="str">
        <f t="array" ref="T1093">index(fish_lab_data!O:O,match(A1093,fish_lab_data!C:C,0))</f>
        <v>KB</v>
      </c>
      <c r="U1093" s="61">
        <f t="array" ref="U1093">if(A1093="","",index(fish_lab_data!X:X,match(A1093,fish_lab_data!C:C,0)))</f>
        <v>1092</v>
      </c>
    </row>
    <row r="1094">
      <c r="A1094" t="str">
        <f>fish_lab_data!C1094</f>
        <v>U17136</v>
      </c>
      <c r="B1094" t="str">
        <f t="array" ref="B1094">iferror(index('rna-muscle'!$I:$I,match($A1094,'rna-muscle'!$A:$A,0)))</f>
        <v>BRN65M-A9</v>
      </c>
      <c r="C1094" t="str">
        <f t="array" ref="C1094">iferror(index('rna-muscle'!$L:$L,match($A1094,'rna-muscle'!$A:$A,0)))</f>
        <v>N</v>
      </c>
      <c r="D1094" t="str">
        <f t="array" ref="D1094">iferror(index('rna-gill'!$I:$I,match($A1094,'rna-gill'!$A:$A,0)))</f>
        <v>BRN65G-A9</v>
      </c>
      <c r="E1094" t="str">
        <f t="array" ref="E1094">iferror(index('rna-gill'!$L:$L,match($A1094,'rna-gill'!$A:$A,0)))</f>
        <v>N</v>
      </c>
      <c r="F1094" t="str">
        <f t="array" ref="F1094">iferror(index(fatty_acid!$G:$G,match($A1094,fatty_acid!$A:$A,0)))</f>
        <v>BFA34-43</v>
      </c>
      <c r="G1094" t="str">
        <f t="array" ref="G1094">iferror(index(fatty_acid!$J:$J,match($A1094,fatty_acid!$A:$A,0)))</f>
        <v>N</v>
      </c>
      <c r="H1094" t="str">
        <f t="array" ref="H1094">iferror(index(isotopes!$G:$G,match($A1094,isotopes!$A:$A,0)))</f>
        <v>BIS37-43</v>
      </c>
      <c r="I1094" t="str">
        <f t="array" ref="I1094">iferror(index(isotopes!$J:$J,match($A1094,isotopes!$A:$A,0)))</f>
        <v>N</v>
      </c>
      <c r="J1094" t="str">
        <f t="array" ref="J1094">iferror(index(extra_muscle!$G:$G,match($A1094,extra_muscle!$A:$A,0)))</f>
        <v>BXM35-43</v>
      </c>
      <c r="K1094" t="str">
        <f t="array" ref="K1094">iferror(index(extra_muscle!$J:$J,match($A1094,extra_muscle!$A:$A,0)))</f>
        <v>N</v>
      </c>
      <c r="L1094" s="59" t="str">
        <f t="array" ref="L1094">iferror(index(dna!$G:$G,match($A1094,dna!$A:$A,0)))</f>
        <v>BDN4-57</v>
      </c>
      <c r="M1094" s="60" t="str">
        <f t="array" ref="M1094">iferror(index(dna!$J:$J,match($A1094,dna!$A:$A,0)))</f>
        <v>N</v>
      </c>
      <c r="N1094" t="str">
        <f t="array" ref="N1094">iferror(index(stomachs!$G:$G,match($A1094,stomachs!$A:$A,0)))</f>
        <v/>
      </c>
      <c r="O1094" t="str">
        <f t="array" ref="O1094">iferror(index(stomachs!$J:$J,match($A1094,stomachs!$A:$A,0)))</f>
        <v/>
      </c>
      <c r="P1094" t="str">
        <f t="array" ref="P1094">iferror(index(sea_lice!$G:$G,match($A1094,sea_lice!$A:$A,0)))</f>
        <v/>
      </c>
      <c r="Q1094" t="str">
        <f t="array" ref="Q1094">iferror(index(sea_lice!$J:$J,match($A1094,sea_lice!$A:$A,0)))</f>
        <v/>
      </c>
      <c r="R1094" s="40" t="str">
        <f t="array" ref="R1094">iferror(index(dissected_fish!$F:$F,match($A1094,dissected_fish!$A:$A,0)))</f>
        <v>BCA110</v>
      </c>
      <c r="S1094" s="40" t="str">
        <f t="array" ref="S1094">iferror(index(dissected_fish!$K:$K,match($A1094,dissected_fish!$A:$A,0)))</f>
        <v>N</v>
      </c>
      <c r="T1094" s="61" t="str">
        <f t="array" ref="T1094">index(fish_lab_data!O:O,match(A1094,fish_lab_data!C:C,0))</f>
        <v>KB</v>
      </c>
      <c r="U1094" s="61">
        <f t="array" ref="U1094">if(A1094="","",index(fish_lab_data!X:X,match(A1094,fish_lab_data!C:C,0)))</f>
        <v>1093</v>
      </c>
    </row>
    <row r="1095">
      <c r="A1095" t="str">
        <f>fish_lab_data!C1095</f>
        <v>U17139</v>
      </c>
      <c r="B1095" t="str">
        <f t="array" ref="B1095">iferror(index('rna-muscle'!$I:$I,match($A1095,'rna-muscle'!$A:$A,0)))</f>
        <v>BRN65M-H11</v>
      </c>
      <c r="C1095" t="str">
        <f t="array" ref="C1095">iferror(index('rna-muscle'!$L:$L,match($A1095,'rna-muscle'!$A:$A,0)))</f>
        <v>N</v>
      </c>
      <c r="D1095" t="str">
        <f t="array" ref="D1095">iferror(index('rna-gill'!$I:$I,match($A1095,'rna-gill'!$A:$A,0)))</f>
        <v>BRN65G-H11</v>
      </c>
      <c r="E1095" t="str">
        <f t="array" ref="E1095">iferror(index('rna-gill'!$L:$L,match($A1095,'rna-gill'!$A:$A,0)))</f>
        <v>N</v>
      </c>
      <c r="F1095" t="str">
        <f t="array" ref="F1095">iferror(index(fatty_acid!$G:$G,match($A1095,fatty_acid!$A:$A,0)))</f>
        <v>BFA34-44</v>
      </c>
      <c r="G1095" t="str">
        <f t="array" ref="G1095">iferror(index(fatty_acid!$J:$J,match($A1095,fatty_acid!$A:$A,0)))</f>
        <v>N</v>
      </c>
      <c r="H1095" t="str">
        <f t="array" ref="H1095">iferror(index(isotopes!$G:$G,match($A1095,isotopes!$A:$A,0)))</f>
        <v>BIS37-44</v>
      </c>
      <c r="I1095" t="str">
        <f t="array" ref="I1095">iferror(index(isotopes!$J:$J,match($A1095,isotopes!$A:$A,0)))</f>
        <v>N</v>
      </c>
      <c r="J1095" t="str">
        <f t="array" ref="J1095">iferror(index(extra_muscle!$G:$G,match($A1095,extra_muscle!$A:$A,0)))</f>
        <v>BXM35-44</v>
      </c>
      <c r="K1095" t="str">
        <f t="array" ref="K1095">iferror(index(extra_muscle!$J:$J,match($A1095,extra_muscle!$A:$A,0)))</f>
        <v>N</v>
      </c>
      <c r="L1095" s="59" t="str">
        <f t="array" ref="L1095">iferror(index(dna!$G:$G,match($A1095,dna!$A:$A,0)))</f>
        <v>BDN4-58</v>
      </c>
      <c r="M1095" s="60" t="str">
        <f t="array" ref="M1095">iferror(index(dna!$J:$J,match($A1095,dna!$A:$A,0)))</f>
        <v>N</v>
      </c>
      <c r="N1095" t="str">
        <f t="array" ref="N1095">iferror(index(stomachs!$G:$G,match($A1095,stomachs!$A:$A,0)))</f>
        <v/>
      </c>
      <c r="O1095" t="str">
        <f t="array" ref="O1095">iferror(index(stomachs!$J:$J,match($A1095,stomachs!$A:$A,0)))</f>
        <v/>
      </c>
      <c r="P1095" t="str">
        <f t="array" ref="P1095">iferror(index(sea_lice!$G:$G,match($A1095,sea_lice!$A:$A,0)))</f>
        <v>BSL7-53</v>
      </c>
      <c r="Q1095" t="str">
        <f t="array" ref="Q1095">iferror(index(sea_lice!$J:$J,match($A1095,sea_lice!$A:$A,0)))</f>
        <v>N</v>
      </c>
      <c r="R1095" s="40" t="str">
        <f t="array" ref="R1095">iferror(index(dissected_fish!$F:$F,match($A1095,dissected_fish!$A:$A,0)))</f>
        <v>BCA110</v>
      </c>
      <c r="S1095" s="40" t="str">
        <f t="array" ref="S1095">iferror(index(dissected_fish!$K:$K,match($A1095,dissected_fish!$A:$A,0)))</f>
        <v>N</v>
      </c>
      <c r="T1095" s="61" t="str">
        <f t="array" ref="T1095">index(fish_lab_data!O:O,match(A1095,fish_lab_data!C:C,0))</f>
        <v>KB</v>
      </c>
      <c r="U1095" s="61">
        <f t="array" ref="U1095">if(A1095="","",index(fish_lab_data!X:X,match(A1095,fish_lab_data!C:C,0)))</f>
        <v>1094</v>
      </c>
    </row>
    <row r="1096">
      <c r="A1096" t="str">
        <f>fish_lab_data!C1096</f>
        <v>U17140</v>
      </c>
      <c r="B1096" t="str">
        <f t="array" ref="B1096">iferror(index('rna-muscle'!$I:$I,match($A1096,'rna-muscle'!$A:$A,0)))</f>
        <v>BRN65M-G11</v>
      </c>
      <c r="C1096" t="str">
        <f t="array" ref="C1096">iferror(index('rna-muscle'!$L:$L,match($A1096,'rna-muscle'!$A:$A,0)))</f>
        <v>N</v>
      </c>
      <c r="D1096" t="str">
        <f t="array" ref="D1096">iferror(index('rna-gill'!$I:$I,match($A1096,'rna-gill'!$A:$A,0)))</f>
        <v>BRN65G-G11</v>
      </c>
      <c r="E1096" t="str">
        <f t="array" ref="E1096">iferror(index('rna-gill'!$L:$L,match($A1096,'rna-gill'!$A:$A,0)))</f>
        <v>N</v>
      </c>
      <c r="F1096" t="str">
        <f t="array" ref="F1096">iferror(index(fatty_acid!$G:$G,match($A1096,fatty_acid!$A:$A,0)))</f>
        <v>BFA34-45</v>
      </c>
      <c r="G1096" t="str">
        <f t="array" ref="G1096">iferror(index(fatty_acid!$J:$J,match($A1096,fatty_acid!$A:$A,0)))</f>
        <v>N</v>
      </c>
      <c r="H1096" t="str">
        <f t="array" ref="H1096">iferror(index(isotopes!$G:$G,match($A1096,isotopes!$A:$A,0)))</f>
        <v>BIS37-45</v>
      </c>
      <c r="I1096" t="str">
        <f t="array" ref="I1096">iferror(index(isotopes!$J:$J,match($A1096,isotopes!$A:$A,0)))</f>
        <v>N</v>
      </c>
      <c r="J1096" t="str">
        <f t="array" ref="J1096">iferror(index(extra_muscle!$G:$G,match($A1096,extra_muscle!$A:$A,0)))</f>
        <v>BXM35-45</v>
      </c>
      <c r="K1096" t="str">
        <f t="array" ref="K1096">iferror(index(extra_muscle!$J:$J,match($A1096,extra_muscle!$A:$A,0)))</f>
        <v>N</v>
      </c>
      <c r="L1096" s="59" t="str">
        <f t="array" ref="L1096">iferror(index(dna!$G:$G,match($A1096,dna!$A:$A,0)))</f>
        <v>BDN4-59</v>
      </c>
      <c r="M1096" s="60" t="str">
        <f t="array" ref="M1096">iferror(index(dna!$J:$J,match($A1096,dna!$A:$A,0)))</f>
        <v>N</v>
      </c>
      <c r="N1096" t="str">
        <f t="array" ref="N1096">iferror(index(stomachs!$G:$G,match($A1096,stomachs!$A:$A,0)))</f>
        <v/>
      </c>
      <c r="O1096" t="str">
        <f t="array" ref="O1096">iferror(index(stomachs!$J:$J,match($A1096,stomachs!$A:$A,0)))</f>
        <v/>
      </c>
      <c r="P1096" t="str">
        <f t="array" ref="P1096">iferror(index(sea_lice!$G:$G,match($A1096,sea_lice!$A:$A,0)))</f>
        <v/>
      </c>
      <c r="Q1096" t="str">
        <f t="array" ref="Q1096">iferror(index(sea_lice!$J:$J,match($A1096,sea_lice!$A:$A,0)))</f>
        <v/>
      </c>
      <c r="R1096" s="40" t="str">
        <f t="array" ref="R1096">iferror(index(dissected_fish!$F:$F,match($A1096,dissected_fish!$A:$A,0)))</f>
        <v>BCA110</v>
      </c>
      <c r="S1096" s="40" t="str">
        <f t="array" ref="S1096">iferror(index(dissected_fish!$K:$K,match($A1096,dissected_fish!$A:$A,0)))</f>
        <v>N</v>
      </c>
      <c r="T1096" s="61" t="str">
        <f t="array" ref="T1096">index(fish_lab_data!O:O,match(A1096,fish_lab_data!C:C,0))</f>
        <v>KB</v>
      </c>
      <c r="U1096" s="61">
        <f t="array" ref="U1096">if(A1096="","",index(fish_lab_data!X:X,match(A1096,fish_lab_data!C:C,0)))</f>
        <v>1095</v>
      </c>
    </row>
    <row r="1097">
      <c r="A1097" t="str">
        <f>fish_lab_data!C1097</f>
        <v>U17137</v>
      </c>
      <c r="B1097" t="str">
        <f t="array" ref="B1097">iferror(index('rna-muscle'!$I:$I,match($A1097,'rna-muscle'!$A:$A,0)))</f>
        <v>BRN65M-F11</v>
      </c>
      <c r="C1097" t="str">
        <f t="array" ref="C1097">iferror(index('rna-muscle'!$L:$L,match($A1097,'rna-muscle'!$A:$A,0)))</f>
        <v>N</v>
      </c>
      <c r="D1097" t="str">
        <f t="array" ref="D1097">iferror(index('rna-gill'!$I:$I,match($A1097,'rna-gill'!$A:$A,0)))</f>
        <v>BRN65G-F11</v>
      </c>
      <c r="E1097" t="str">
        <f t="array" ref="E1097">iferror(index('rna-gill'!$L:$L,match($A1097,'rna-gill'!$A:$A,0)))</f>
        <v>N</v>
      </c>
      <c r="F1097" t="str">
        <f t="array" ref="F1097">iferror(index(fatty_acid!$G:$G,match($A1097,fatty_acid!$A:$A,0)))</f>
        <v>BFA34-46</v>
      </c>
      <c r="G1097" t="str">
        <f t="array" ref="G1097">iferror(index(fatty_acid!$J:$J,match($A1097,fatty_acid!$A:$A,0)))</f>
        <v>N</v>
      </c>
      <c r="H1097" t="str">
        <f t="array" ref="H1097">iferror(index(isotopes!$G:$G,match($A1097,isotopes!$A:$A,0)))</f>
        <v>BIS37-46</v>
      </c>
      <c r="I1097" t="str">
        <f t="array" ref="I1097">iferror(index(isotopes!$J:$J,match($A1097,isotopes!$A:$A,0)))</f>
        <v>N</v>
      </c>
      <c r="J1097" t="str">
        <f t="array" ref="J1097">iferror(index(extra_muscle!$G:$G,match($A1097,extra_muscle!$A:$A,0)))</f>
        <v>BXM35-46</v>
      </c>
      <c r="K1097" t="str">
        <f t="array" ref="K1097">iferror(index(extra_muscle!$J:$J,match($A1097,extra_muscle!$A:$A,0)))</f>
        <v>N</v>
      </c>
      <c r="L1097" s="59" t="str">
        <f t="array" ref="L1097">iferror(index(dna!$G:$G,match($A1097,dna!$A:$A,0)))</f>
        <v>BDN4-60</v>
      </c>
      <c r="M1097" s="60" t="str">
        <f t="array" ref="M1097">iferror(index(dna!$J:$J,match($A1097,dna!$A:$A,0)))</f>
        <v>N</v>
      </c>
      <c r="N1097" t="str">
        <f t="array" ref="N1097">iferror(index(stomachs!$G:$G,match($A1097,stomachs!$A:$A,0)))</f>
        <v/>
      </c>
      <c r="O1097" t="str">
        <f t="array" ref="O1097">iferror(index(stomachs!$J:$J,match($A1097,stomachs!$A:$A,0)))</f>
        <v/>
      </c>
      <c r="P1097" t="str">
        <f t="array" ref="P1097">iferror(index(sea_lice!$G:$G,match($A1097,sea_lice!$A:$A,0)))</f>
        <v/>
      </c>
      <c r="Q1097" t="str">
        <f t="array" ref="Q1097">iferror(index(sea_lice!$J:$J,match($A1097,sea_lice!$A:$A,0)))</f>
        <v/>
      </c>
      <c r="R1097" s="40" t="str">
        <f t="array" ref="R1097">iferror(index(dissected_fish!$F:$F,match($A1097,dissected_fish!$A:$A,0)))</f>
        <v>BCA110</v>
      </c>
      <c r="S1097" s="40" t="str">
        <f t="array" ref="S1097">iferror(index(dissected_fish!$K:$K,match($A1097,dissected_fish!$A:$A,0)))</f>
        <v>N</v>
      </c>
      <c r="T1097" s="61" t="str">
        <f t="array" ref="T1097">index(fish_lab_data!O:O,match(A1097,fish_lab_data!C:C,0))</f>
        <v>KB</v>
      </c>
      <c r="U1097" s="61">
        <f t="array" ref="U1097">if(A1097="","",index(fish_lab_data!X:X,match(A1097,fish_lab_data!C:C,0)))</f>
        <v>1096</v>
      </c>
    </row>
    <row r="1098">
      <c r="A1098" t="str">
        <f>fish_lab_data!C1098</f>
        <v>U17134</v>
      </c>
      <c r="B1098" t="str">
        <f t="array" ref="B1098">iferror(index('rna-muscle'!$I:$I,match($A1098,'rna-muscle'!$A:$A,0)))</f>
        <v>BRN65M-E11</v>
      </c>
      <c r="C1098" t="str">
        <f t="array" ref="C1098">iferror(index('rna-muscle'!$L:$L,match($A1098,'rna-muscle'!$A:$A,0)))</f>
        <v>N</v>
      </c>
      <c r="D1098" t="str">
        <f t="array" ref="D1098">iferror(index('rna-gill'!$I:$I,match($A1098,'rna-gill'!$A:$A,0)))</f>
        <v>BRN65G-E11</v>
      </c>
      <c r="E1098" t="str">
        <f t="array" ref="E1098">iferror(index('rna-gill'!$L:$L,match($A1098,'rna-gill'!$A:$A,0)))</f>
        <v>N</v>
      </c>
      <c r="F1098" t="str">
        <f t="array" ref="F1098">iferror(index(fatty_acid!$G:$G,match($A1098,fatty_acid!$A:$A,0)))</f>
        <v>BFA34-47</v>
      </c>
      <c r="G1098" t="str">
        <f t="array" ref="G1098">iferror(index(fatty_acid!$J:$J,match($A1098,fatty_acid!$A:$A,0)))</f>
        <v>N</v>
      </c>
      <c r="H1098" t="str">
        <f t="array" ref="H1098">iferror(index(isotopes!$G:$G,match($A1098,isotopes!$A:$A,0)))</f>
        <v>BIS37-47</v>
      </c>
      <c r="I1098" t="str">
        <f t="array" ref="I1098">iferror(index(isotopes!$J:$J,match($A1098,isotopes!$A:$A,0)))</f>
        <v>N</v>
      </c>
      <c r="J1098" t="str">
        <f t="array" ref="J1098">iferror(index(extra_muscle!$G:$G,match($A1098,extra_muscle!$A:$A,0)))</f>
        <v>BXM35-47</v>
      </c>
      <c r="K1098" t="str">
        <f t="array" ref="K1098">iferror(index(extra_muscle!$J:$J,match($A1098,extra_muscle!$A:$A,0)))</f>
        <v>N</v>
      </c>
      <c r="L1098" s="59" t="str">
        <f t="array" ref="L1098">iferror(index(dna!$G:$G,match($A1098,dna!$A:$A,0)))</f>
        <v>BDN4-61</v>
      </c>
      <c r="M1098" s="60" t="str">
        <f t="array" ref="M1098">iferror(index(dna!$J:$J,match($A1098,dna!$A:$A,0)))</f>
        <v>N</v>
      </c>
      <c r="N1098" t="str">
        <f t="array" ref="N1098">iferror(index(stomachs!$G:$G,match($A1098,stomachs!$A:$A,0)))</f>
        <v/>
      </c>
      <c r="O1098" t="str">
        <f t="array" ref="O1098">iferror(index(stomachs!$J:$J,match($A1098,stomachs!$A:$A,0)))</f>
        <v/>
      </c>
      <c r="P1098" t="str">
        <f t="array" ref="P1098">iferror(index(sea_lice!$G:$G,match($A1098,sea_lice!$A:$A,0)))</f>
        <v/>
      </c>
      <c r="Q1098" t="str">
        <f t="array" ref="Q1098">iferror(index(sea_lice!$J:$J,match($A1098,sea_lice!$A:$A,0)))</f>
        <v/>
      </c>
      <c r="R1098" s="40" t="str">
        <f t="array" ref="R1098">iferror(index(dissected_fish!$F:$F,match($A1098,dissected_fish!$A:$A,0)))</f>
        <v>BCA110</v>
      </c>
      <c r="S1098" s="40" t="str">
        <f t="array" ref="S1098">iferror(index(dissected_fish!$K:$K,match($A1098,dissected_fish!$A:$A,0)))</f>
        <v>N</v>
      </c>
      <c r="T1098" s="61" t="str">
        <f t="array" ref="T1098">index(fish_lab_data!O:O,match(A1098,fish_lab_data!C:C,0))</f>
        <v>KB</v>
      </c>
      <c r="U1098" s="61">
        <f t="array" ref="U1098">if(A1098="","",index(fish_lab_data!X:X,match(A1098,fish_lab_data!C:C,0)))</f>
        <v>1097</v>
      </c>
    </row>
    <row r="1099">
      <c r="A1099" t="str">
        <f>fish_lab_data!C1099</f>
        <v>U17132</v>
      </c>
      <c r="B1099" t="str">
        <f t="array" ref="B1099">iferror(index('rna-muscle'!$I:$I,match($A1099,'rna-muscle'!$A:$A,0)))</f>
        <v>BRN65M-D11</v>
      </c>
      <c r="C1099" t="str">
        <f t="array" ref="C1099">iferror(index('rna-muscle'!$L:$L,match($A1099,'rna-muscle'!$A:$A,0)))</f>
        <v>N</v>
      </c>
      <c r="D1099" t="str">
        <f t="array" ref="D1099">iferror(index('rna-gill'!$I:$I,match($A1099,'rna-gill'!$A:$A,0)))</f>
        <v>BRN65G-D11</v>
      </c>
      <c r="E1099" t="str">
        <f t="array" ref="E1099">iferror(index('rna-gill'!$L:$L,match($A1099,'rna-gill'!$A:$A,0)))</f>
        <v>N</v>
      </c>
      <c r="F1099" t="str">
        <f t="array" ref="F1099">iferror(index(fatty_acid!$G:$G,match($A1099,fatty_acid!$A:$A,0)))</f>
        <v>BFA34-48</v>
      </c>
      <c r="G1099" t="str">
        <f t="array" ref="G1099">iferror(index(fatty_acid!$J:$J,match($A1099,fatty_acid!$A:$A,0)))</f>
        <v>N</v>
      </c>
      <c r="H1099" t="str">
        <f t="array" ref="H1099">iferror(index(isotopes!$G:$G,match($A1099,isotopes!$A:$A,0)))</f>
        <v>BIS37-48</v>
      </c>
      <c r="I1099" t="str">
        <f t="array" ref="I1099">iferror(index(isotopes!$J:$J,match($A1099,isotopes!$A:$A,0)))</f>
        <v>N</v>
      </c>
      <c r="J1099" t="str">
        <f t="array" ref="J1099">iferror(index(extra_muscle!$G:$G,match($A1099,extra_muscle!$A:$A,0)))</f>
        <v>BXM35-48</v>
      </c>
      <c r="K1099" t="str">
        <f t="array" ref="K1099">iferror(index(extra_muscle!$J:$J,match($A1099,extra_muscle!$A:$A,0)))</f>
        <v>N</v>
      </c>
      <c r="L1099" s="59" t="str">
        <f t="array" ref="L1099">iferror(index(dna!$G:$G,match($A1099,dna!$A:$A,0)))</f>
        <v>BDN4-62</v>
      </c>
      <c r="M1099" s="60" t="str">
        <f t="array" ref="M1099">iferror(index(dna!$J:$J,match($A1099,dna!$A:$A,0)))</f>
        <v>N</v>
      </c>
      <c r="N1099" t="str">
        <f t="array" ref="N1099">iferror(index(stomachs!$G:$G,match($A1099,stomachs!$A:$A,0)))</f>
        <v/>
      </c>
      <c r="O1099" t="str">
        <f t="array" ref="O1099">iferror(index(stomachs!$J:$J,match($A1099,stomachs!$A:$A,0)))</f>
        <v/>
      </c>
      <c r="P1099" t="str">
        <f t="array" ref="P1099">iferror(index(sea_lice!$G:$G,match($A1099,sea_lice!$A:$A,0)))</f>
        <v>BSL7-56</v>
      </c>
      <c r="Q1099" t="str">
        <f t="array" ref="Q1099">iferror(index(sea_lice!$J:$J,match($A1099,sea_lice!$A:$A,0)))</f>
        <v>N</v>
      </c>
      <c r="R1099" s="40" t="str">
        <f t="array" ref="R1099">iferror(index(dissected_fish!$F:$F,match($A1099,dissected_fish!$A:$A,0)))</f>
        <v>BCA110</v>
      </c>
      <c r="S1099" s="40" t="str">
        <f t="array" ref="S1099">iferror(index(dissected_fish!$K:$K,match($A1099,dissected_fish!$A:$A,0)))</f>
        <v>N</v>
      </c>
      <c r="T1099" s="61" t="str">
        <f t="array" ref="T1099">index(fish_lab_data!O:O,match(A1099,fish_lab_data!C:C,0))</f>
        <v>KB</v>
      </c>
      <c r="U1099" s="61">
        <f t="array" ref="U1099">if(A1099="","",index(fish_lab_data!X:X,match(A1099,fish_lab_data!C:C,0)))</f>
        <v>1098</v>
      </c>
    </row>
    <row r="1100">
      <c r="A1100" t="str">
        <f>fish_lab_data!C1100</f>
        <v>U17227</v>
      </c>
      <c r="B1100" t="str">
        <f t="array" ref="B1100">iferror(index('rna-muscle'!$I:$I,match($A1100,'rna-muscle'!$A:$A,0)))</f>
        <v>BRN65M-A7</v>
      </c>
      <c r="C1100" t="str">
        <f t="array" ref="C1100">iferror(index('rna-muscle'!$L:$L,match($A1100,'rna-muscle'!$A:$A,0)))</f>
        <v>N</v>
      </c>
      <c r="D1100" t="str">
        <f t="array" ref="D1100">iferror(index('rna-gill'!$I:$I,match($A1100,'rna-gill'!$A:$A,0)))</f>
        <v>BRN65G-A7</v>
      </c>
      <c r="E1100" t="str">
        <f t="array" ref="E1100">iferror(index('rna-gill'!$L:$L,match($A1100,'rna-gill'!$A:$A,0)))</f>
        <v>N</v>
      </c>
      <c r="F1100" t="str">
        <f t="array" ref="F1100">iferror(index(fatty_acid!$G:$G,match($A1100,fatty_acid!$A:$A,0)))</f>
        <v>BFA22-47</v>
      </c>
      <c r="G1100" t="str">
        <f t="array" ref="G1100">iferror(index(fatty_acid!$J:$J,match($A1100,fatty_acid!$A:$A,0)))</f>
        <v>N</v>
      </c>
      <c r="H1100" t="str">
        <f t="array" ref="H1100">iferror(index(isotopes!$G:$G,match($A1100,isotopes!$A:$A,0)))</f>
        <v>BIS36-23</v>
      </c>
      <c r="I1100" t="str">
        <f t="array" ref="I1100">iferror(index(isotopes!$J:$J,match($A1100,isotopes!$A:$A,0)))</f>
        <v>N</v>
      </c>
      <c r="J1100" t="str">
        <f t="array" ref="J1100">iferror(index(extra_muscle!$G:$G,match($A1100,extra_muscle!$A:$A,0)))</f>
        <v>BXM34-23</v>
      </c>
      <c r="K1100" t="str">
        <f t="array" ref="K1100">iferror(index(extra_muscle!$J:$J,match($A1100,extra_muscle!$A:$A,0)))</f>
        <v>N</v>
      </c>
      <c r="L1100" s="59" t="str">
        <f t="array" ref="L1100">iferror(index(dna!$G:$G,match($A1100,dna!$A:$A,0)))</f>
        <v>BDN10-13</v>
      </c>
      <c r="M1100" s="60" t="str">
        <f t="array" ref="M1100">iferror(index(dna!$J:$J,match($A1100,dna!$A:$A,0)))</f>
        <v>N</v>
      </c>
      <c r="N1100" t="str">
        <f t="array" ref="N1100">iferror(index(stomachs!$G:$G,match($A1100,stomachs!$A:$A,0)))</f>
        <v/>
      </c>
      <c r="O1100" t="str">
        <f t="array" ref="O1100">iferror(index(stomachs!$J:$J,match($A1100,stomachs!$A:$A,0)))</f>
        <v/>
      </c>
      <c r="P1100" t="str">
        <f t="array" ref="P1100">iferror(index(sea_lice!$G:$G,match($A1100,sea_lice!$A:$A,0)))</f>
        <v>BSL7-52</v>
      </c>
      <c r="Q1100" t="str">
        <f t="array" ref="Q1100">iferror(index(sea_lice!$J:$J,match($A1100,sea_lice!$A:$A,0)))</f>
        <v>N</v>
      </c>
      <c r="R1100" s="40" t="str">
        <f t="array" ref="R1100">iferror(index(dissected_fish!$F:$F,match($A1100,dissected_fish!$A:$A,0)))</f>
        <v>BCA110</v>
      </c>
      <c r="S1100" s="40" t="str">
        <f t="array" ref="S1100">iferror(index(dissected_fish!$K:$K,match($A1100,dissected_fish!$A:$A,0)))</f>
        <v>N</v>
      </c>
      <c r="T1100" s="61" t="str">
        <f t="array" ref="T1100">index(fish_lab_data!O:O,match(A1100,fish_lab_data!C:C,0))</f>
        <v>JG</v>
      </c>
      <c r="U1100" s="61">
        <f t="array" ref="U1100">if(A1100="","",index(fish_lab_data!X:X,match(A1100,fish_lab_data!C:C,0)))</f>
        <v>1099</v>
      </c>
    </row>
    <row r="1101">
      <c r="A1101" t="str">
        <f>fish_lab_data!C1101</f>
        <v>U17222</v>
      </c>
      <c r="B1101" t="str">
        <f t="array" ref="B1101">iferror(index('rna-muscle'!$I:$I,match($A1101,'rna-muscle'!$A:$A,0)))</f>
        <v>BRN65M-H10</v>
      </c>
      <c r="C1101" t="str">
        <f t="array" ref="C1101">iferror(index('rna-muscle'!$L:$L,match($A1101,'rna-muscle'!$A:$A,0)))</f>
        <v>N</v>
      </c>
      <c r="D1101" t="str">
        <f t="array" ref="D1101">iferror(index('rna-gill'!$I:$I,match($A1101,'rna-gill'!$A:$A,0)))</f>
        <v>BRN65G-H10</v>
      </c>
      <c r="E1101" t="str">
        <f t="array" ref="E1101">iferror(index('rna-gill'!$L:$L,match($A1101,'rna-gill'!$A:$A,0)))</f>
        <v>N</v>
      </c>
      <c r="F1101" t="str">
        <f t="array" ref="F1101">iferror(index(fatty_acid!$G:$G,match($A1101,fatty_acid!$A:$A,0)))</f>
        <v>BFA22-48</v>
      </c>
      <c r="G1101" t="str">
        <f t="array" ref="G1101">iferror(index(fatty_acid!$J:$J,match($A1101,fatty_acid!$A:$A,0)))</f>
        <v>N</v>
      </c>
      <c r="H1101" t="str">
        <f t="array" ref="H1101">iferror(index(isotopes!$G:$G,match($A1101,isotopes!$A:$A,0)))</f>
        <v>BIS36-24</v>
      </c>
      <c r="I1101" t="str">
        <f t="array" ref="I1101">iferror(index(isotopes!$J:$J,match($A1101,isotopes!$A:$A,0)))</f>
        <v>N</v>
      </c>
      <c r="J1101" t="str">
        <f t="array" ref="J1101">iferror(index(extra_muscle!$G:$G,match($A1101,extra_muscle!$A:$A,0)))</f>
        <v>BXM34-24</v>
      </c>
      <c r="K1101" t="str">
        <f t="array" ref="K1101">iferror(index(extra_muscle!$J:$J,match($A1101,extra_muscle!$A:$A,0)))</f>
        <v>N</v>
      </c>
      <c r="L1101" s="59" t="str">
        <f t="array" ref="L1101">iferror(index(dna!$G:$G,match($A1101,dna!$A:$A,0)))</f>
        <v>BDN10-14</v>
      </c>
      <c r="M1101" s="60" t="str">
        <f t="array" ref="M1101">iferror(index(dna!$J:$J,match($A1101,dna!$A:$A,0)))</f>
        <v>N</v>
      </c>
      <c r="N1101" t="str">
        <f t="array" ref="N1101">iferror(index(stomachs!$G:$G,match($A1101,stomachs!$A:$A,0)))</f>
        <v/>
      </c>
      <c r="O1101" t="str">
        <f t="array" ref="O1101">iferror(index(stomachs!$J:$J,match($A1101,stomachs!$A:$A,0)))</f>
        <v/>
      </c>
      <c r="P1101" t="str">
        <f t="array" ref="P1101">iferror(index(sea_lice!$G:$G,match($A1101,sea_lice!$A:$A,0)))</f>
        <v/>
      </c>
      <c r="Q1101" t="str">
        <f t="array" ref="Q1101">iferror(index(sea_lice!$J:$J,match($A1101,sea_lice!$A:$A,0)))</f>
        <v/>
      </c>
      <c r="R1101" s="40" t="str">
        <f t="array" ref="R1101">iferror(index(dissected_fish!$F:$F,match($A1101,dissected_fish!$A:$A,0)))</f>
        <v>BCA110</v>
      </c>
      <c r="S1101" s="40" t="str">
        <f t="array" ref="S1101">iferror(index(dissected_fish!$K:$K,match($A1101,dissected_fish!$A:$A,0)))</f>
        <v>N</v>
      </c>
      <c r="T1101" s="61" t="str">
        <f t="array" ref="T1101">index(fish_lab_data!O:O,match(A1101,fish_lab_data!C:C,0))</f>
        <v>JG</v>
      </c>
      <c r="U1101" s="61">
        <f t="array" ref="U1101">if(A1101="","",index(fish_lab_data!X:X,match(A1101,fish_lab_data!C:C,0)))</f>
        <v>1100</v>
      </c>
    </row>
    <row r="1102">
      <c r="A1102" t="str">
        <f>fish_lab_data!C1102</f>
        <v>U17221</v>
      </c>
      <c r="B1102" t="str">
        <f t="array" ref="B1102">iferror(index('rna-muscle'!$I:$I,match($A1102,'rna-muscle'!$A:$A,0)))</f>
        <v>BRN65M-G10</v>
      </c>
      <c r="C1102" t="str">
        <f t="array" ref="C1102">iferror(index('rna-muscle'!$L:$L,match($A1102,'rna-muscle'!$A:$A,0)))</f>
        <v>N</v>
      </c>
      <c r="D1102" t="str">
        <f t="array" ref="D1102">iferror(index('rna-gill'!$I:$I,match($A1102,'rna-gill'!$A:$A,0)))</f>
        <v>BRN65G-G10</v>
      </c>
      <c r="E1102" t="str">
        <f t="array" ref="E1102">iferror(index('rna-gill'!$L:$L,match($A1102,'rna-gill'!$A:$A,0)))</f>
        <v>N</v>
      </c>
      <c r="F1102" t="str">
        <f t="array" ref="F1102">iferror(index(fatty_acid!$G:$G,match($A1102,fatty_acid!$A:$A,0)))</f>
        <v>BFA22-49</v>
      </c>
      <c r="G1102" t="str">
        <f t="array" ref="G1102">iferror(index(fatty_acid!$J:$J,match($A1102,fatty_acid!$A:$A,0)))</f>
        <v>N</v>
      </c>
      <c r="H1102" t="str">
        <f t="array" ref="H1102">iferror(index(isotopes!$G:$G,match($A1102,isotopes!$A:$A,0)))</f>
        <v>BIS36-25</v>
      </c>
      <c r="I1102" t="str">
        <f t="array" ref="I1102">iferror(index(isotopes!$J:$J,match($A1102,isotopes!$A:$A,0)))</f>
        <v>N</v>
      </c>
      <c r="J1102" t="str">
        <f t="array" ref="J1102">iferror(index(extra_muscle!$G:$G,match($A1102,extra_muscle!$A:$A,0)))</f>
        <v>BXM34-25</v>
      </c>
      <c r="K1102" t="str">
        <f t="array" ref="K1102">iferror(index(extra_muscle!$J:$J,match($A1102,extra_muscle!$A:$A,0)))</f>
        <v>N</v>
      </c>
      <c r="L1102" s="59" t="str">
        <f t="array" ref="L1102">iferror(index(dna!$G:$G,match($A1102,dna!$A:$A,0)))</f>
        <v>BDN10-15</v>
      </c>
      <c r="M1102" s="60" t="str">
        <f t="array" ref="M1102">iferror(index(dna!$J:$J,match($A1102,dna!$A:$A,0)))</f>
        <v>N</v>
      </c>
      <c r="N1102" t="str">
        <f t="array" ref="N1102">iferror(index(stomachs!$G:$G,match($A1102,stomachs!$A:$A,0)))</f>
        <v/>
      </c>
      <c r="O1102" t="str">
        <f t="array" ref="O1102">iferror(index(stomachs!$J:$J,match($A1102,stomachs!$A:$A,0)))</f>
        <v/>
      </c>
      <c r="P1102" t="str">
        <f t="array" ref="P1102">iferror(index(sea_lice!$G:$G,match($A1102,sea_lice!$A:$A,0)))</f>
        <v>BSL7-54</v>
      </c>
      <c r="Q1102" t="str">
        <f t="array" ref="Q1102">iferror(index(sea_lice!$J:$J,match($A1102,sea_lice!$A:$A,0)))</f>
        <v>N</v>
      </c>
      <c r="R1102" s="40" t="str">
        <f t="array" ref="R1102">iferror(index(dissected_fish!$F:$F,match($A1102,dissected_fish!$A:$A,0)))</f>
        <v>BCA110</v>
      </c>
      <c r="S1102" s="40" t="str">
        <f t="array" ref="S1102">iferror(index(dissected_fish!$K:$K,match($A1102,dissected_fish!$A:$A,0)))</f>
        <v>N</v>
      </c>
      <c r="T1102" s="61" t="str">
        <f t="array" ref="T1102">index(fish_lab_data!O:O,match(A1102,fish_lab_data!C:C,0))</f>
        <v>JG</v>
      </c>
      <c r="U1102" s="61">
        <f t="array" ref="U1102">if(A1102="","",index(fish_lab_data!X:X,match(A1102,fish_lab_data!C:C,0)))</f>
        <v>1101</v>
      </c>
    </row>
    <row r="1103">
      <c r="A1103" t="str">
        <f>fish_lab_data!C1103</f>
        <v>U17223</v>
      </c>
      <c r="B1103" t="str">
        <f t="array" ref="B1103">iferror(index('rna-muscle'!$I:$I,match($A1103,'rna-muscle'!$A:$A,0)))</f>
        <v>BRN65M-F10</v>
      </c>
      <c r="C1103" t="str">
        <f t="array" ref="C1103">iferror(index('rna-muscle'!$L:$L,match($A1103,'rna-muscle'!$A:$A,0)))</f>
        <v>N</v>
      </c>
      <c r="D1103" t="str">
        <f t="array" ref="D1103">iferror(index('rna-gill'!$I:$I,match($A1103,'rna-gill'!$A:$A,0)))</f>
        <v>BRN65G-F10</v>
      </c>
      <c r="E1103" t="str">
        <f t="array" ref="E1103">iferror(index('rna-gill'!$L:$L,match($A1103,'rna-gill'!$A:$A,0)))</f>
        <v>N</v>
      </c>
      <c r="F1103" t="str">
        <f t="array" ref="F1103">iferror(index(fatty_acid!$G:$G,match($A1103,fatty_acid!$A:$A,0)))</f>
        <v>BFA22-50</v>
      </c>
      <c r="G1103" t="str">
        <f t="array" ref="G1103">iferror(index(fatty_acid!$J:$J,match($A1103,fatty_acid!$A:$A,0)))</f>
        <v>N</v>
      </c>
      <c r="H1103" t="str">
        <f t="array" ref="H1103">iferror(index(isotopes!$G:$G,match($A1103,isotopes!$A:$A,0)))</f>
        <v>BIS36-26</v>
      </c>
      <c r="I1103" t="str">
        <f t="array" ref="I1103">iferror(index(isotopes!$J:$J,match($A1103,isotopes!$A:$A,0)))</f>
        <v>N</v>
      </c>
      <c r="J1103" t="str">
        <f t="array" ref="J1103">iferror(index(extra_muscle!$G:$G,match($A1103,extra_muscle!$A:$A,0)))</f>
        <v>BXM34-26</v>
      </c>
      <c r="K1103" t="str">
        <f t="array" ref="K1103">iferror(index(extra_muscle!$J:$J,match($A1103,extra_muscle!$A:$A,0)))</f>
        <v>N</v>
      </c>
      <c r="L1103" s="59" t="str">
        <f t="array" ref="L1103">iferror(index(dna!$G:$G,match($A1103,dna!$A:$A,0)))</f>
        <v>BDN10-16</v>
      </c>
      <c r="M1103" s="60" t="str">
        <f t="array" ref="M1103">iferror(index(dna!$J:$J,match($A1103,dna!$A:$A,0)))</f>
        <v>N</v>
      </c>
      <c r="N1103" t="str">
        <f t="array" ref="N1103">iferror(index(stomachs!$G:$G,match($A1103,stomachs!$A:$A,0)))</f>
        <v/>
      </c>
      <c r="O1103" t="str">
        <f t="array" ref="O1103">iferror(index(stomachs!$J:$J,match($A1103,stomachs!$A:$A,0)))</f>
        <v/>
      </c>
      <c r="P1103" t="str">
        <f t="array" ref="P1103">iferror(index(sea_lice!$G:$G,match($A1103,sea_lice!$A:$A,0)))</f>
        <v/>
      </c>
      <c r="Q1103" t="str">
        <f t="array" ref="Q1103">iferror(index(sea_lice!$J:$J,match($A1103,sea_lice!$A:$A,0)))</f>
        <v/>
      </c>
      <c r="R1103" s="40" t="str">
        <f t="array" ref="R1103">iferror(index(dissected_fish!$F:$F,match($A1103,dissected_fish!$A:$A,0)))</f>
        <v>BCA110</v>
      </c>
      <c r="S1103" s="40" t="str">
        <f t="array" ref="S1103">iferror(index(dissected_fish!$K:$K,match($A1103,dissected_fish!$A:$A,0)))</f>
        <v>N</v>
      </c>
      <c r="T1103" s="61" t="str">
        <f t="array" ref="T1103">index(fish_lab_data!O:O,match(A1103,fish_lab_data!C:C,0))</f>
        <v>JG</v>
      </c>
      <c r="U1103" s="61">
        <f t="array" ref="U1103">if(A1103="","",index(fish_lab_data!X:X,match(A1103,fish_lab_data!C:C,0)))</f>
        <v>1102</v>
      </c>
    </row>
    <row r="1104">
      <c r="A1104" t="str">
        <f>fish_lab_data!C1104</f>
        <v>U17224</v>
      </c>
      <c r="B1104" t="str">
        <f t="array" ref="B1104">iferror(index('rna-muscle'!$I:$I,match($A1104,'rna-muscle'!$A:$A,0)))</f>
        <v>BRN65M-E10</v>
      </c>
      <c r="C1104" t="str">
        <f t="array" ref="C1104">iferror(index('rna-muscle'!$L:$L,match($A1104,'rna-muscle'!$A:$A,0)))</f>
        <v>N</v>
      </c>
      <c r="D1104" t="str">
        <f t="array" ref="D1104">iferror(index('rna-gill'!$I:$I,match($A1104,'rna-gill'!$A:$A,0)))</f>
        <v>BRN65G-E10</v>
      </c>
      <c r="E1104" t="str">
        <f t="array" ref="E1104">iferror(index('rna-gill'!$L:$L,match($A1104,'rna-gill'!$A:$A,0)))</f>
        <v>N</v>
      </c>
      <c r="F1104" t="str">
        <f t="array" ref="F1104">iferror(index(fatty_acid!$G:$G,match($A1104,fatty_acid!$A:$A,0)))</f>
        <v>BFA22-51</v>
      </c>
      <c r="G1104" t="str">
        <f t="array" ref="G1104">iferror(index(fatty_acid!$J:$J,match($A1104,fatty_acid!$A:$A,0)))</f>
        <v>N</v>
      </c>
      <c r="H1104" t="str">
        <f t="array" ref="H1104">iferror(index(isotopes!$G:$G,match($A1104,isotopes!$A:$A,0)))</f>
        <v>BIS36-27</v>
      </c>
      <c r="I1104" t="str">
        <f t="array" ref="I1104">iferror(index(isotopes!$J:$J,match($A1104,isotopes!$A:$A,0)))</f>
        <v>N</v>
      </c>
      <c r="J1104" t="str">
        <f t="array" ref="J1104">iferror(index(extra_muscle!$G:$G,match($A1104,extra_muscle!$A:$A,0)))</f>
        <v>BXM34-27</v>
      </c>
      <c r="K1104" t="str">
        <f t="array" ref="K1104">iferror(index(extra_muscle!$J:$J,match($A1104,extra_muscle!$A:$A,0)))</f>
        <v>N</v>
      </c>
      <c r="L1104" s="59" t="str">
        <f t="array" ref="L1104">iferror(index(dna!$G:$G,match($A1104,dna!$A:$A,0)))</f>
        <v>BDN10-17</v>
      </c>
      <c r="M1104" s="60" t="str">
        <f t="array" ref="M1104">iferror(index(dna!$J:$J,match($A1104,dna!$A:$A,0)))</f>
        <v>N</v>
      </c>
      <c r="N1104" t="str">
        <f t="array" ref="N1104">iferror(index(stomachs!$G:$G,match($A1104,stomachs!$A:$A,0)))</f>
        <v/>
      </c>
      <c r="O1104" t="str">
        <f t="array" ref="O1104">iferror(index(stomachs!$J:$J,match($A1104,stomachs!$A:$A,0)))</f>
        <v/>
      </c>
      <c r="P1104" t="str">
        <f t="array" ref="P1104">iferror(index(sea_lice!$G:$G,match($A1104,sea_lice!$A:$A,0)))</f>
        <v>BSL7-55</v>
      </c>
      <c r="Q1104" t="str">
        <f t="array" ref="Q1104">iferror(index(sea_lice!$J:$J,match($A1104,sea_lice!$A:$A,0)))</f>
        <v>N</v>
      </c>
      <c r="R1104" s="40" t="str">
        <f t="array" ref="R1104">iferror(index(dissected_fish!$F:$F,match($A1104,dissected_fish!$A:$A,0)))</f>
        <v>BCA110</v>
      </c>
      <c r="S1104" s="40" t="str">
        <f t="array" ref="S1104">iferror(index(dissected_fish!$K:$K,match($A1104,dissected_fish!$A:$A,0)))</f>
        <v>N</v>
      </c>
      <c r="T1104" s="61" t="str">
        <f t="array" ref="T1104">index(fish_lab_data!O:O,match(A1104,fish_lab_data!C:C,0))</f>
        <v>JG</v>
      </c>
      <c r="U1104" s="61">
        <f t="array" ref="U1104">if(A1104="","",index(fish_lab_data!X:X,match(A1104,fish_lab_data!C:C,0)))</f>
        <v>1103</v>
      </c>
    </row>
    <row r="1105">
      <c r="A1105" t="str">
        <f>fish_lab_data!C1105</f>
        <v>U17230</v>
      </c>
      <c r="B1105" t="str">
        <f t="array" ref="B1105">iferror(index('rna-muscle'!$I:$I,match($A1105,'rna-muscle'!$A:$A,0)))</f>
        <v>BRN65M-D10</v>
      </c>
      <c r="C1105" t="str">
        <f t="array" ref="C1105">iferror(index('rna-muscle'!$L:$L,match($A1105,'rna-muscle'!$A:$A,0)))</f>
        <v>N</v>
      </c>
      <c r="D1105" t="str">
        <f t="array" ref="D1105">iferror(index('rna-gill'!$I:$I,match($A1105,'rna-gill'!$A:$A,0)))</f>
        <v>BRN65G-D10</v>
      </c>
      <c r="E1105" t="str">
        <f t="array" ref="E1105">iferror(index('rna-gill'!$L:$L,match($A1105,'rna-gill'!$A:$A,0)))</f>
        <v>N</v>
      </c>
      <c r="F1105" t="str">
        <f t="array" ref="F1105">iferror(index(fatty_acid!$G:$G,match($A1105,fatty_acid!$A:$A,0)))</f>
        <v>BFA22-52</v>
      </c>
      <c r="G1105" t="str">
        <f t="array" ref="G1105">iferror(index(fatty_acid!$J:$J,match($A1105,fatty_acid!$A:$A,0)))</f>
        <v>N</v>
      </c>
      <c r="H1105" t="str">
        <f t="array" ref="H1105">iferror(index(isotopes!$G:$G,match($A1105,isotopes!$A:$A,0)))</f>
        <v>BIS36-28</v>
      </c>
      <c r="I1105" t="str">
        <f t="array" ref="I1105">iferror(index(isotopes!$J:$J,match($A1105,isotopes!$A:$A,0)))</f>
        <v>N</v>
      </c>
      <c r="J1105" t="str">
        <f t="array" ref="J1105">iferror(index(extra_muscle!$G:$G,match($A1105,extra_muscle!$A:$A,0)))</f>
        <v>BXM34-28</v>
      </c>
      <c r="K1105" t="str">
        <f t="array" ref="K1105">iferror(index(extra_muscle!$J:$J,match($A1105,extra_muscle!$A:$A,0)))</f>
        <v>N</v>
      </c>
      <c r="L1105" s="59" t="str">
        <f t="array" ref="L1105">iferror(index(dna!$G:$G,match($A1105,dna!$A:$A,0)))</f>
        <v>BDN10-18</v>
      </c>
      <c r="M1105" s="60" t="str">
        <f t="array" ref="M1105">iferror(index(dna!$J:$J,match($A1105,dna!$A:$A,0)))</f>
        <v>N</v>
      </c>
      <c r="N1105" t="str">
        <f t="array" ref="N1105">iferror(index(stomachs!$G:$G,match($A1105,stomachs!$A:$A,0)))</f>
        <v/>
      </c>
      <c r="O1105" t="str">
        <f t="array" ref="O1105">iferror(index(stomachs!$J:$J,match($A1105,stomachs!$A:$A,0)))</f>
        <v/>
      </c>
      <c r="P1105" t="str">
        <f t="array" ref="P1105">iferror(index(sea_lice!$G:$G,match($A1105,sea_lice!$A:$A,0)))</f>
        <v/>
      </c>
      <c r="Q1105" t="str">
        <f t="array" ref="Q1105">iferror(index(sea_lice!$J:$J,match($A1105,sea_lice!$A:$A,0)))</f>
        <v/>
      </c>
      <c r="R1105" s="40" t="str">
        <f t="array" ref="R1105">iferror(index(dissected_fish!$F:$F,match($A1105,dissected_fish!$A:$A,0)))</f>
        <v>BCA110</v>
      </c>
      <c r="S1105" s="40" t="str">
        <f t="array" ref="S1105">iferror(index(dissected_fish!$K:$K,match($A1105,dissected_fish!$A:$A,0)))</f>
        <v>N</v>
      </c>
      <c r="T1105" s="61" t="str">
        <f t="array" ref="T1105">index(fish_lab_data!O:O,match(A1105,fish_lab_data!C:C,0))</f>
        <v>JG</v>
      </c>
      <c r="U1105" s="61">
        <f t="array" ref="U1105">if(A1105="","",index(fish_lab_data!X:X,match(A1105,fish_lab_data!C:C,0)))</f>
        <v>1104</v>
      </c>
    </row>
    <row r="1106">
      <c r="A1106" t="str">
        <f>fish_lab_data!C1106</f>
        <v>U17225</v>
      </c>
      <c r="B1106" t="str">
        <f t="array" ref="B1106">iferror(index('rna-muscle'!$I:$I,match($A1106,'rna-muscle'!$A:$A,0)))</f>
        <v>BRN65M-C10</v>
      </c>
      <c r="C1106" t="str">
        <f t="array" ref="C1106">iferror(index('rna-muscle'!$L:$L,match($A1106,'rna-muscle'!$A:$A,0)))</f>
        <v>N</v>
      </c>
      <c r="D1106" t="str">
        <f t="array" ref="D1106">iferror(index('rna-gill'!$I:$I,match($A1106,'rna-gill'!$A:$A,0)))</f>
        <v>BRN65G-C10</v>
      </c>
      <c r="E1106" t="str">
        <f t="array" ref="E1106">iferror(index('rna-gill'!$L:$L,match($A1106,'rna-gill'!$A:$A,0)))</f>
        <v>N</v>
      </c>
      <c r="F1106" t="str">
        <f t="array" ref="F1106">iferror(index(fatty_acid!$G:$G,match($A1106,fatty_acid!$A:$A,0)))</f>
        <v>BFA22-53</v>
      </c>
      <c r="G1106" t="str">
        <f t="array" ref="G1106">iferror(index(fatty_acid!$J:$J,match($A1106,fatty_acid!$A:$A,0)))</f>
        <v>N</v>
      </c>
      <c r="H1106" t="str">
        <f t="array" ref="H1106">iferror(index(isotopes!$G:$G,match($A1106,isotopes!$A:$A,0)))</f>
        <v>BIS36-29</v>
      </c>
      <c r="I1106" t="str">
        <f t="array" ref="I1106">iferror(index(isotopes!$J:$J,match($A1106,isotopes!$A:$A,0)))</f>
        <v>N</v>
      </c>
      <c r="J1106" t="str">
        <f t="array" ref="J1106">iferror(index(extra_muscle!$G:$G,match($A1106,extra_muscle!$A:$A,0)))</f>
        <v>BXM34-29</v>
      </c>
      <c r="K1106" t="str">
        <f t="array" ref="K1106">iferror(index(extra_muscle!$J:$J,match($A1106,extra_muscle!$A:$A,0)))</f>
        <v>N</v>
      </c>
      <c r="L1106" s="59" t="str">
        <f t="array" ref="L1106">iferror(index(dna!$G:$G,match($A1106,dna!$A:$A,0)))</f>
        <v>BDN10-19</v>
      </c>
      <c r="M1106" s="60" t="str">
        <f t="array" ref="M1106">iferror(index(dna!$J:$J,match($A1106,dna!$A:$A,0)))</f>
        <v>N</v>
      </c>
      <c r="N1106" t="str">
        <f t="array" ref="N1106">iferror(index(stomachs!$G:$G,match($A1106,stomachs!$A:$A,0)))</f>
        <v/>
      </c>
      <c r="O1106" t="str">
        <f t="array" ref="O1106">iferror(index(stomachs!$J:$J,match($A1106,stomachs!$A:$A,0)))</f>
        <v/>
      </c>
      <c r="P1106" t="str">
        <f t="array" ref="P1106">iferror(index(sea_lice!$G:$G,match($A1106,sea_lice!$A:$A,0)))</f>
        <v>BSL7-57</v>
      </c>
      <c r="Q1106" t="str">
        <f t="array" ref="Q1106">iferror(index(sea_lice!$J:$J,match($A1106,sea_lice!$A:$A,0)))</f>
        <v>N</v>
      </c>
      <c r="R1106" s="40" t="str">
        <f t="array" ref="R1106">iferror(index(dissected_fish!$F:$F,match($A1106,dissected_fish!$A:$A,0)))</f>
        <v>BCA110</v>
      </c>
      <c r="S1106" s="40" t="str">
        <f t="array" ref="S1106">iferror(index(dissected_fish!$K:$K,match($A1106,dissected_fish!$A:$A,0)))</f>
        <v>N</v>
      </c>
      <c r="T1106" s="61" t="str">
        <f t="array" ref="T1106">index(fish_lab_data!O:O,match(A1106,fish_lab_data!C:C,0))</f>
        <v>JG</v>
      </c>
      <c r="U1106" s="61">
        <f t="array" ref="U1106">if(A1106="","",index(fish_lab_data!X:X,match(A1106,fish_lab_data!C:C,0)))</f>
        <v>1105</v>
      </c>
    </row>
    <row r="1107">
      <c r="A1107" t="str">
        <f>fish_lab_data!C1107</f>
        <v>U17226</v>
      </c>
      <c r="B1107" t="str">
        <f t="array" ref="B1107">iferror(index('rna-muscle'!$I:$I,match($A1107,'rna-muscle'!$A:$A,0)))</f>
        <v>BRN65M-B10</v>
      </c>
      <c r="C1107" t="str">
        <f t="array" ref="C1107">iferror(index('rna-muscle'!$L:$L,match($A1107,'rna-muscle'!$A:$A,0)))</f>
        <v>N</v>
      </c>
      <c r="D1107" t="str">
        <f t="array" ref="D1107">iferror(index('rna-gill'!$I:$I,match($A1107,'rna-gill'!$A:$A,0)))</f>
        <v>BRN65G-B10</v>
      </c>
      <c r="E1107" t="str">
        <f t="array" ref="E1107">iferror(index('rna-gill'!$L:$L,match($A1107,'rna-gill'!$A:$A,0)))</f>
        <v>N</v>
      </c>
      <c r="F1107" t="str">
        <f t="array" ref="F1107">iferror(index(fatty_acid!$G:$G,match($A1107,fatty_acid!$A:$A,0)))</f>
        <v>BFA22-54</v>
      </c>
      <c r="G1107" t="str">
        <f t="array" ref="G1107">iferror(index(fatty_acid!$J:$J,match($A1107,fatty_acid!$A:$A,0)))</f>
        <v>N</v>
      </c>
      <c r="H1107" t="str">
        <f t="array" ref="H1107">iferror(index(isotopes!$G:$G,match($A1107,isotopes!$A:$A,0)))</f>
        <v>BIS36-30</v>
      </c>
      <c r="I1107" t="str">
        <f t="array" ref="I1107">iferror(index(isotopes!$J:$J,match($A1107,isotopes!$A:$A,0)))</f>
        <v>N</v>
      </c>
      <c r="J1107" t="str">
        <f t="array" ref="J1107">iferror(index(extra_muscle!$G:$G,match($A1107,extra_muscle!$A:$A,0)))</f>
        <v>BXM34-30</v>
      </c>
      <c r="K1107" t="str">
        <f t="array" ref="K1107">iferror(index(extra_muscle!$J:$J,match($A1107,extra_muscle!$A:$A,0)))</f>
        <v>N</v>
      </c>
      <c r="L1107" s="59" t="str">
        <f t="array" ref="L1107">iferror(index(dna!$G:$G,match($A1107,dna!$A:$A,0)))</f>
        <v>BDN10-20</v>
      </c>
      <c r="M1107" s="60" t="str">
        <f t="array" ref="M1107">iferror(index(dna!$J:$J,match($A1107,dna!$A:$A,0)))</f>
        <v>N</v>
      </c>
      <c r="N1107" t="str">
        <f t="array" ref="N1107">iferror(index(stomachs!$G:$G,match($A1107,stomachs!$A:$A,0)))</f>
        <v/>
      </c>
      <c r="O1107" t="str">
        <f t="array" ref="O1107">iferror(index(stomachs!$J:$J,match($A1107,stomachs!$A:$A,0)))</f>
        <v/>
      </c>
      <c r="P1107" t="str">
        <f t="array" ref="P1107">iferror(index(sea_lice!$G:$G,match($A1107,sea_lice!$A:$A,0)))</f>
        <v>BSL7-58</v>
      </c>
      <c r="Q1107" t="str">
        <f t="array" ref="Q1107">iferror(index(sea_lice!$J:$J,match($A1107,sea_lice!$A:$A,0)))</f>
        <v>N</v>
      </c>
      <c r="R1107" s="40" t="str">
        <f t="array" ref="R1107">iferror(index(dissected_fish!$F:$F,match($A1107,dissected_fish!$A:$A,0)))</f>
        <v>BCA110</v>
      </c>
      <c r="S1107" s="40" t="str">
        <f t="array" ref="S1107">iferror(index(dissected_fish!$K:$K,match($A1107,dissected_fish!$A:$A,0)))</f>
        <v>N</v>
      </c>
      <c r="T1107" s="61" t="str">
        <f t="array" ref="T1107">index(fish_lab_data!O:O,match(A1107,fish_lab_data!C:C,0))</f>
        <v>JG</v>
      </c>
      <c r="U1107" s="61">
        <f t="array" ref="U1107">if(A1107="","",index(fish_lab_data!X:X,match(A1107,fish_lab_data!C:C,0)))</f>
        <v>1106</v>
      </c>
    </row>
    <row r="1108">
      <c r="A1108" t="str">
        <f>fish_lab_data!C1108</f>
        <v>U17228</v>
      </c>
      <c r="B1108" t="str">
        <f t="array" ref="B1108">iferror(index('rna-muscle'!$I:$I,match($A1108,'rna-muscle'!$A:$A,0)))</f>
        <v>BRN65M-A10</v>
      </c>
      <c r="C1108" t="str">
        <f t="array" ref="C1108">iferror(index('rna-muscle'!$L:$L,match($A1108,'rna-muscle'!$A:$A,0)))</f>
        <v>N</v>
      </c>
      <c r="D1108" t="str">
        <f t="array" ref="D1108">iferror(index('rna-gill'!$I:$I,match($A1108,'rna-gill'!$A:$A,0)))</f>
        <v>BRN65G-A10</v>
      </c>
      <c r="E1108" t="str">
        <f t="array" ref="E1108">iferror(index('rna-gill'!$L:$L,match($A1108,'rna-gill'!$A:$A,0)))</f>
        <v>N</v>
      </c>
      <c r="F1108" t="str">
        <f t="array" ref="F1108">iferror(index(fatty_acid!$G:$G,match($A1108,fatty_acid!$A:$A,0)))</f>
        <v>BFA22-55</v>
      </c>
      <c r="G1108" t="str">
        <f t="array" ref="G1108">iferror(index(fatty_acid!$J:$J,match($A1108,fatty_acid!$A:$A,0)))</f>
        <v>N</v>
      </c>
      <c r="H1108" t="str">
        <f t="array" ref="H1108">iferror(index(isotopes!$G:$G,match($A1108,isotopes!$A:$A,0)))</f>
        <v>BIS36-31</v>
      </c>
      <c r="I1108" t="str">
        <f t="array" ref="I1108">iferror(index(isotopes!$J:$J,match($A1108,isotopes!$A:$A,0)))</f>
        <v>N</v>
      </c>
      <c r="J1108" t="str">
        <f t="array" ref="J1108">iferror(index(extra_muscle!$G:$G,match($A1108,extra_muscle!$A:$A,0)))</f>
        <v>BXM34-31</v>
      </c>
      <c r="K1108" t="str">
        <f t="array" ref="K1108">iferror(index(extra_muscle!$J:$J,match($A1108,extra_muscle!$A:$A,0)))</f>
        <v>N</v>
      </c>
      <c r="L1108" s="59" t="str">
        <f t="array" ref="L1108">iferror(index(dna!$G:$G,match($A1108,dna!$A:$A,0)))</f>
        <v>BDN10-21</v>
      </c>
      <c r="M1108" s="60" t="str">
        <f t="array" ref="M1108">iferror(index(dna!$J:$J,match($A1108,dna!$A:$A,0)))</f>
        <v>N</v>
      </c>
      <c r="N1108" t="str">
        <f t="array" ref="N1108">iferror(index(stomachs!$G:$G,match($A1108,stomachs!$A:$A,0)))</f>
        <v/>
      </c>
      <c r="O1108" t="str">
        <f t="array" ref="O1108">iferror(index(stomachs!$J:$J,match($A1108,stomachs!$A:$A,0)))</f>
        <v/>
      </c>
      <c r="P1108" t="str">
        <f t="array" ref="P1108">iferror(index(sea_lice!$G:$G,match($A1108,sea_lice!$A:$A,0)))</f>
        <v>BSL7-59</v>
      </c>
      <c r="Q1108" t="str">
        <f t="array" ref="Q1108">iferror(index(sea_lice!$J:$J,match($A1108,sea_lice!$A:$A,0)))</f>
        <v>N</v>
      </c>
      <c r="R1108" s="40" t="str">
        <f t="array" ref="R1108">iferror(index(dissected_fish!$F:$F,match($A1108,dissected_fish!$A:$A,0)))</f>
        <v>BCA110</v>
      </c>
      <c r="S1108" s="40" t="str">
        <f t="array" ref="S1108">iferror(index(dissected_fish!$K:$K,match($A1108,dissected_fish!$A:$A,0)))</f>
        <v>N</v>
      </c>
      <c r="T1108" s="61" t="str">
        <f t="array" ref="T1108">index(fish_lab_data!O:O,match(A1108,fish_lab_data!C:C,0))</f>
        <v>JG</v>
      </c>
      <c r="U1108" s="61">
        <f t="array" ref="U1108">if(A1108="","",index(fish_lab_data!X:X,match(A1108,fish_lab_data!C:C,0)))</f>
        <v>1107</v>
      </c>
    </row>
    <row r="1109">
      <c r="A1109" t="str">
        <f>fish_lab_data!C1109</f>
        <v>U16407</v>
      </c>
      <c r="B1109" t="str">
        <f t="array" ref="B1109">iferror(index('rna-muscle'!$I:$I,match($A1109,'rna-muscle'!$A:$A,0)))</f>
        <v>BRN65M-C11</v>
      </c>
      <c r="C1109" t="str">
        <f t="array" ref="C1109">iferror(index('rna-muscle'!$L:$L,match($A1109,'rna-muscle'!$A:$A,0)))</f>
        <v>N</v>
      </c>
      <c r="D1109" t="str">
        <f t="array" ref="D1109">iferror(index('rna-gill'!$I:$I,match($A1109,'rna-gill'!$A:$A,0)))</f>
        <v>BRN65G-C11</v>
      </c>
      <c r="E1109" t="str">
        <f t="array" ref="E1109">iferror(index('rna-gill'!$L:$L,match($A1109,'rna-gill'!$A:$A,0)))</f>
        <v>N</v>
      </c>
      <c r="F1109" t="str">
        <f t="array" ref="F1109">iferror(index(fatty_acid!$G:$G,match($A1109,fatty_acid!$A:$A,0)))</f>
        <v>BFA34-49</v>
      </c>
      <c r="G1109" t="str">
        <f t="array" ref="G1109">iferror(index(fatty_acid!$J:$J,match($A1109,fatty_acid!$A:$A,0)))</f>
        <v>N</v>
      </c>
      <c r="H1109" t="str">
        <f t="array" ref="H1109">iferror(index(isotopes!$G:$G,match($A1109,isotopes!$A:$A,0)))</f>
        <v>BIS37-49</v>
      </c>
      <c r="I1109" t="str">
        <f t="array" ref="I1109">iferror(index(isotopes!$J:$J,match($A1109,isotopes!$A:$A,0)))</f>
        <v>N</v>
      </c>
      <c r="J1109" t="str">
        <f t="array" ref="J1109">iferror(index(extra_muscle!$G:$G,match($A1109,extra_muscle!$A:$A,0)))</f>
        <v>BXM35-49</v>
      </c>
      <c r="K1109" t="str">
        <f t="array" ref="K1109">iferror(index(extra_muscle!$J:$J,match($A1109,extra_muscle!$A:$A,0)))</f>
        <v>N</v>
      </c>
      <c r="L1109" s="59" t="str">
        <f t="array" ref="L1109">iferror(index(dna!$G:$G,match($A1109,dna!$A:$A,0)))</f>
        <v>BDN4-63</v>
      </c>
      <c r="M1109" s="60" t="str">
        <f t="array" ref="M1109">iferror(index(dna!$J:$J,match($A1109,dna!$A:$A,0)))</f>
        <v>N</v>
      </c>
      <c r="N1109" t="str">
        <f t="array" ref="N1109">iferror(index(stomachs!$G:$G,match($A1109,stomachs!$A:$A,0)))</f>
        <v/>
      </c>
      <c r="O1109" t="str">
        <f t="array" ref="O1109">iferror(index(stomachs!$J:$J,match($A1109,stomachs!$A:$A,0)))</f>
        <v/>
      </c>
      <c r="P1109" t="str">
        <f t="array" ref="P1109">iferror(index(sea_lice!$G:$G,match($A1109,sea_lice!$A:$A,0)))</f>
        <v/>
      </c>
      <c r="Q1109" t="str">
        <f t="array" ref="Q1109">iferror(index(sea_lice!$J:$J,match($A1109,sea_lice!$A:$A,0)))</f>
        <v/>
      </c>
      <c r="R1109" s="40" t="str">
        <f t="array" ref="R1109">iferror(index(dissected_fish!$F:$F,match($A1109,dissected_fish!$A:$A,0)))</f>
        <v>BCA110</v>
      </c>
      <c r="S1109" s="40" t="str">
        <f t="array" ref="S1109">iferror(index(dissected_fish!$K:$K,match($A1109,dissected_fish!$A:$A,0)))</f>
        <v>N</v>
      </c>
      <c r="T1109" s="61" t="str">
        <f t="array" ref="T1109">index(fish_lab_data!O:O,match(A1109,fish_lab_data!C:C,0))</f>
        <v>KB</v>
      </c>
      <c r="U1109" s="61">
        <f t="array" ref="U1109">if(A1109="","",index(fish_lab_data!X:X,match(A1109,fish_lab_data!C:C,0)))</f>
        <v>1108</v>
      </c>
    </row>
    <row r="1110">
      <c r="A1110" t="str">
        <f>fish_lab_data!C1110</f>
        <v>U16410</v>
      </c>
      <c r="B1110" t="str">
        <f t="array" ref="B1110">iferror(index('rna-muscle'!$I:$I,match($A1110,'rna-muscle'!$A:$A,0)))</f>
        <v>BRN65M-B11</v>
      </c>
      <c r="C1110" t="str">
        <f t="array" ref="C1110">iferror(index('rna-muscle'!$L:$L,match($A1110,'rna-muscle'!$A:$A,0)))</f>
        <v>N</v>
      </c>
      <c r="D1110" t="str">
        <f t="array" ref="D1110">iferror(index('rna-gill'!$I:$I,match($A1110,'rna-gill'!$A:$A,0)))</f>
        <v>BRN65G-B11</v>
      </c>
      <c r="E1110" t="str">
        <f t="array" ref="E1110">iferror(index('rna-gill'!$L:$L,match($A1110,'rna-gill'!$A:$A,0)))</f>
        <v>N</v>
      </c>
      <c r="F1110" t="str">
        <f t="array" ref="F1110">iferror(index(fatty_acid!$G:$G,match($A1110,fatty_acid!$A:$A,0)))</f>
        <v>BFA34-50</v>
      </c>
      <c r="G1110" t="str">
        <f t="array" ref="G1110">iferror(index(fatty_acid!$J:$J,match($A1110,fatty_acid!$A:$A,0)))</f>
        <v>N</v>
      </c>
      <c r="H1110" t="str">
        <f t="array" ref="H1110">iferror(index(isotopes!$G:$G,match($A1110,isotopes!$A:$A,0)))</f>
        <v>BIS37-50</v>
      </c>
      <c r="I1110" t="str">
        <f t="array" ref="I1110">iferror(index(isotopes!$J:$J,match($A1110,isotopes!$A:$A,0)))</f>
        <v>N</v>
      </c>
      <c r="J1110" t="str">
        <f t="array" ref="J1110">iferror(index(extra_muscle!$G:$G,match($A1110,extra_muscle!$A:$A,0)))</f>
        <v>BXM35-50</v>
      </c>
      <c r="K1110" t="str">
        <f t="array" ref="K1110">iferror(index(extra_muscle!$J:$J,match($A1110,extra_muscle!$A:$A,0)))</f>
        <v>N</v>
      </c>
      <c r="L1110" s="59" t="str">
        <f t="array" ref="L1110">iferror(index(dna!$G:$G,match($A1110,dna!$A:$A,0)))</f>
        <v>BDN4-64</v>
      </c>
      <c r="M1110" s="60" t="str">
        <f t="array" ref="M1110">iferror(index(dna!$J:$J,match($A1110,dna!$A:$A,0)))</f>
        <v>N</v>
      </c>
      <c r="N1110" t="str">
        <f t="array" ref="N1110">iferror(index(stomachs!$G:$G,match($A1110,stomachs!$A:$A,0)))</f>
        <v/>
      </c>
      <c r="O1110" t="str">
        <f t="array" ref="O1110">iferror(index(stomachs!$J:$J,match($A1110,stomachs!$A:$A,0)))</f>
        <v/>
      </c>
      <c r="P1110" t="str">
        <f t="array" ref="P1110">iferror(index(sea_lice!$G:$G,match($A1110,sea_lice!$A:$A,0)))</f>
        <v/>
      </c>
      <c r="Q1110" t="str">
        <f t="array" ref="Q1110">iferror(index(sea_lice!$J:$J,match($A1110,sea_lice!$A:$A,0)))</f>
        <v/>
      </c>
      <c r="R1110" s="40" t="str">
        <f t="array" ref="R1110">iferror(index(dissected_fish!$F:$F,match($A1110,dissected_fish!$A:$A,0)))</f>
        <v>BCA110</v>
      </c>
      <c r="S1110" s="40" t="str">
        <f t="array" ref="S1110">iferror(index(dissected_fish!$K:$K,match($A1110,dissected_fish!$A:$A,0)))</f>
        <v>N</v>
      </c>
      <c r="T1110" s="61" t="str">
        <f t="array" ref="T1110">index(fish_lab_data!O:O,match(A1110,fish_lab_data!C:C,0))</f>
        <v>KB</v>
      </c>
      <c r="U1110" s="61">
        <f t="array" ref="U1110">if(A1110="","",index(fish_lab_data!X:X,match(A1110,fish_lab_data!C:C,0)))</f>
        <v>1109</v>
      </c>
    </row>
    <row r="1111">
      <c r="A1111" t="str">
        <f>fish_lab_data!C1111</f>
        <v>U16403</v>
      </c>
      <c r="B1111" t="str">
        <f t="array" ref="B1111">iferror(index('rna-muscle'!$I:$I,match($A1111,'rna-muscle'!$A:$A,0)))</f>
        <v>BRN65M-A11</v>
      </c>
      <c r="C1111" t="str">
        <f t="array" ref="C1111">iferror(index('rna-muscle'!$L:$L,match($A1111,'rna-muscle'!$A:$A,0)))</f>
        <v>N</v>
      </c>
      <c r="D1111" t="str">
        <f t="array" ref="D1111">iferror(index('rna-gill'!$I:$I,match($A1111,'rna-gill'!$A:$A,0)))</f>
        <v>BRN65G-A11</v>
      </c>
      <c r="E1111" t="str">
        <f t="array" ref="E1111">iferror(index('rna-gill'!$L:$L,match($A1111,'rna-gill'!$A:$A,0)))</f>
        <v>N</v>
      </c>
      <c r="F1111" t="str">
        <f t="array" ref="F1111">iferror(index(fatty_acid!$G:$G,match($A1111,fatty_acid!$A:$A,0)))</f>
        <v>BFA34-51</v>
      </c>
      <c r="G1111" t="str">
        <f t="array" ref="G1111">iferror(index(fatty_acid!$J:$J,match($A1111,fatty_acid!$A:$A,0)))</f>
        <v>N</v>
      </c>
      <c r="H1111" t="str">
        <f t="array" ref="H1111">iferror(index(isotopes!$G:$G,match($A1111,isotopes!$A:$A,0)))</f>
        <v>BIS37-51</v>
      </c>
      <c r="I1111" t="str">
        <f t="array" ref="I1111">iferror(index(isotopes!$J:$J,match($A1111,isotopes!$A:$A,0)))</f>
        <v>N</v>
      </c>
      <c r="J1111" t="str">
        <f t="array" ref="J1111">iferror(index(extra_muscle!$G:$G,match($A1111,extra_muscle!$A:$A,0)))</f>
        <v>BXM35-51</v>
      </c>
      <c r="K1111" t="str">
        <f t="array" ref="K1111">iferror(index(extra_muscle!$J:$J,match($A1111,extra_muscle!$A:$A,0)))</f>
        <v>N</v>
      </c>
      <c r="L1111" s="59" t="str">
        <f t="array" ref="L1111">iferror(index(dna!$G:$G,match($A1111,dna!$A:$A,0)))</f>
        <v>BDN4-65</v>
      </c>
      <c r="M1111" s="60" t="str">
        <f t="array" ref="M1111">iferror(index(dna!$J:$J,match($A1111,dna!$A:$A,0)))</f>
        <v>N</v>
      </c>
      <c r="N1111" t="str">
        <f t="array" ref="N1111">iferror(index(stomachs!$G:$G,match($A1111,stomachs!$A:$A,0)))</f>
        <v/>
      </c>
      <c r="O1111" t="str">
        <f t="array" ref="O1111">iferror(index(stomachs!$J:$J,match($A1111,stomachs!$A:$A,0)))</f>
        <v/>
      </c>
      <c r="P1111" t="str">
        <f t="array" ref="P1111">iferror(index(sea_lice!$G:$G,match($A1111,sea_lice!$A:$A,0)))</f>
        <v/>
      </c>
      <c r="Q1111" t="str">
        <f t="array" ref="Q1111">iferror(index(sea_lice!$J:$J,match($A1111,sea_lice!$A:$A,0)))</f>
        <v/>
      </c>
      <c r="R1111" s="40" t="str">
        <f t="array" ref="R1111">iferror(index(dissected_fish!$F:$F,match($A1111,dissected_fish!$A:$A,0)))</f>
        <v>BCA110</v>
      </c>
      <c r="S1111" s="40" t="str">
        <f t="array" ref="S1111">iferror(index(dissected_fish!$K:$K,match($A1111,dissected_fish!$A:$A,0)))</f>
        <v>N</v>
      </c>
      <c r="T1111" s="61" t="str">
        <f t="array" ref="T1111">index(fish_lab_data!O:O,match(A1111,fish_lab_data!C:C,0))</f>
        <v>KB</v>
      </c>
      <c r="U1111" s="61">
        <f t="array" ref="U1111">if(A1111="","",index(fish_lab_data!X:X,match(A1111,fish_lab_data!C:C,0)))</f>
        <v>1110</v>
      </c>
    </row>
    <row r="1112">
      <c r="A1112" t="str">
        <f>fish_lab_data!C1112</f>
        <v>U16402</v>
      </c>
      <c r="B1112" t="str">
        <f t="array" ref="B1112">iferror(index('rna-muscle'!$I:$I,match($A1112,'rna-muscle'!$A:$A,0)))</f>
        <v>BRN74M-H1</v>
      </c>
      <c r="C1112" t="str">
        <f t="array" ref="C1112">iferror(index('rna-muscle'!$L:$L,match($A1112,'rna-muscle'!$A:$A,0)))</f>
        <v>N</v>
      </c>
      <c r="D1112" t="str">
        <f t="array" ref="D1112">iferror(index('rna-gill'!$I:$I,match($A1112,'rna-gill'!$A:$A,0)))</f>
        <v>BRN74G-H1</v>
      </c>
      <c r="E1112" t="str">
        <f t="array" ref="E1112">iferror(index('rna-gill'!$L:$L,match($A1112,'rna-gill'!$A:$A,0)))</f>
        <v>N</v>
      </c>
      <c r="F1112" t="str">
        <f t="array" ref="F1112">iferror(index(fatty_acid!$G:$G,match($A1112,fatty_acid!$A:$A,0)))</f>
        <v>BFA34-52</v>
      </c>
      <c r="G1112" t="str">
        <f t="array" ref="G1112">iferror(index(fatty_acid!$J:$J,match($A1112,fatty_acid!$A:$A,0)))</f>
        <v>N</v>
      </c>
      <c r="H1112" t="str">
        <f t="array" ref="H1112">iferror(index(isotopes!$G:$G,match($A1112,isotopes!$A:$A,0)))</f>
        <v>BIS37-52</v>
      </c>
      <c r="I1112" t="str">
        <f t="array" ref="I1112">iferror(index(isotopes!$J:$J,match($A1112,isotopes!$A:$A,0)))</f>
        <v>N</v>
      </c>
      <c r="J1112" t="str">
        <f t="array" ref="J1112">iferror(index(extra_muscle!$G:$G,match($A1112,extra_muscle!$A:$A,0)))</f>
        <v>BXM35-52</v>
      </c>
      <c r="K1112" t="str">
        <f t="array" ref="K1112">iferror(index(extra_muscle!$J:$J,match($A1112,extra_muscle!$A:$A,0)))</f>
        <v>N</v>
      </c>
      <c r="L1112" s="59" t="str">
        <f t="array" ref="L1112">iferror(index(dna!$G:$G,match($A1112,dna!$A:$A,0)))</f>
        <v>BDN4-66</v>
      </c>
      <c r="M1112" s="60" t="str">
        <f t="array" ref="M1112">iferror(index(dna!$J:$J,match($A1112,dna!$A:$A,0)))</f>
        <v>N</v>
      </c>
      <c r="N1112" t="str">
        <f t="array" ref="N1112">iferror(index(stomachs!$G:$G,match($A1112,stomachs!$A:$A,0)))</f>
        <v/>
      </c>
      <c r="O1112" t="str">
        <f t="array" ref="O1112">iferror(index(stomachs!$J:$J,match($A1112,stomachs!$A:$A,0)))</f>
        <v/>
      </c>
      <c r="P1112" t="str">
        <f t="array" ref="P1112">iferror(index(sea_lice!$G:$G,match($A1112,sea_lice!$A:$A,0)))</f>
        <v/>
      </c>
      <c r="Q1112" t="str">
        <f t="array" ref="Q1112">iferror(index(sea_lice!$J:$J,match($A1112,sea_lice!$A:$A,0)))</f>
        <v/>
      </c>
      <c r="R1112" s="40" t="str">
        <f t="array" ref="R1112">iferror(index(dissected_fish!$F:$F,match($A1112,dissected_fish!$A:$A,0)))</f>
        <v>BCA110</v>
      </c>
      <c r="S1112" s="40" t="str">
        <f t="array" ref="S1112">iferror(index(dissected_fish!$K:$K,match($A1112,dissected_fish!$A:$A,0)))</f>
        <v>N</v>
      </c>
      <c r="T1112" s="61" t="str">
        <f t="array" ref="T1112">index(fish_lab_data!O:O,match(A1112,fish_lab_data!C:C,0))</f>
        <v>KB</v>
      </c>
      <c r="U1112" s="61">
        <f t="array" ref="U1112">if(A1112="","",index(fish_lab_data!X:X,match(A1112,fish_lab_data!C:C,0)))</f>
        <v>1111</v>
      </c>
    </row>
    <row r="1113">
      <c r="A1113" t="str">
        <f>fish_lab_data!C1113</f>
        <v>U16409</v>
      </c>
      <c r="B1113" t="str">
        <f t="array" ref="B1113">iferror(index('rna-muscle'!$I:$I,match($A1113,'rna-muscle'!$A:$A,0)))</f>
        <v>BRN74M-G1</v>
      </c>
      <c r="C1113" t="str">
        <f t="array" ref="C1113">iferror(index('rna-muscle'!$L:$L,match($A1113,'rna-muscle'!$A:$A,0)))</f>
        <v>N</v>
      </c>
      <c r="D1113" t="str">
        <f t="array" ref="D1113">iferror(index('rna-gill'!$I:$I,match($A1113,'rna-gill'!$A:$A,0)))</f>
        <v>BRN74G-G1</v>
      </c>
      <c r="E1113" t="str">
        <f t="array" ref="E1113">iferror(index('rna-gill'!$L:$L,match($A1113,'rna-gill'!$A:$A,0)))</f>
        <v>N</v>
      </c>
      <c r="F1113" t="str">
        <f t="array" ref="F1113">iferror(index(fatty_acid!$G:$G,match($A1113,fatty_acid!$A:$A,0)))</f>
        <v>BFA34-53</v>
      </c>
      <c r="G1113" t="str">
        <f t="array" ref="G1113">iferror(index(fatty_acid!$J:$J,match($A1113,fatty_acid!$A:$A,0)))</f>
        <v>N</v>
      </c>
      <c r="H1113" t="str">
        <f t="array" ref="H1113">iferror(index(isotopes!$G:$G,match($A1113,isotopes!$A:$A,0)))</f>
        <v>BIS37-53</v>
      </c>
      <c r="I1113" t="str">
        <f t="array" ref="I1113">iferror(index(isotopes!$J:$J,match($A1113,isotopes!$A:$A,0)))</f>
        <v>N</v>
      </c>
      <c r="J1113" t="str">
        <f t="array" ref="J1113">iferror(index(extra_muscle!$G:$G,match($A1113,extra_muscle!$A:$A,0)))</f>
        <v>BXM35-53</v>
      </c>
      <c r="K1113" t="str">
        <f t="array" ref="K1113">iferror(index(extra_muscle!$J:$J,match($A1113,extra_muscle!$A:$A,0)))</f>
        <v>N</v>
      </c>
      <c r="L1113" s="59" t="str">
        <f t="array" ref="L1113">iferror(index(dna!$G:$G,match($A1113,dna!$A:$A,0)))</f>
        <v>BDN4-67</v>
      </c>
      <c r="M1113" s="60" t="str">
        <f t="array" ref="M1113">iferror(index(dna!$J:$J,match($A1113,dna!$A:$A,0)))</f>
        <v>N</v>
      </c>
      <c r="N1113" t="str">
        <f t="array" ref="N1113">iferror(index(stomachs!$G:$G,match($A1113,stomachs!$A:$A,0)))</f>
        <v/>
      </c>
      <c r="O1113" t="str">
        <f t="array" ref="O1113">iferror(index(stomachs!$J:$J,match($A1113,stomachs!$A:$A,0)))</f>
        <v/>
      </c>
      <c r="P1113" t="str">
        <f t="array" ref="P1113">iferror(index(sea_lice!$G:$G,match($A1113,sea_lice!$A:$A,0)))</f>
        <v/>
      </c>
      <c r="Q1113" t="str">
        <f t="array" ref="Q1113">iferror(index(sea_lice!$J:$J,match($A1113,sea_lice!$A:$A,0)))</f>
        <v/>
      </c>
      <c r="R1113" s="40" t="str">
        <f t="array" ref="R1113">iferror(index(dissected_fish!$F:$F,match($A1113,dissected_fish!$A:$A,0)))</f>
        <v>BCA110</v>
      </c>
      <c r="S1113" s="40" t="str">
        <f t="array" ref="S1113">iferror(index(dissected_fish!$K:$K,match($A1113,dissected_fish!$A:$A,0)))</f>
        <v>N</v>
      </c>
      <c r="T1113" s="61" t="str">
        <f t="array" ref="T1113">index(fish_lab_data!O:O,match(A1113,fish_lab_data!C:C,0))</f>
        <v>KB</v>
      </c>
      <c r="U1113" s="61">
        <f t="array" ref="U1113">if(A1113="","",index(fish_lab_data!X:X,match(A1113,fish_lab_data!C:C,0)))</f>
        <v>1112</v>
      </c>
    </row>
    <row r="1114">
      <c r="A1114" t="str">
        <f>fish_lab_data!C1114</f>
        <v>U16404</v>
      </c>
      <c r="B1114" t="str">
        <f t="array" ref="B1114">iferror(index('rna-muscle'!$I:$I,match($A1114,'rna-muscle'!$A:$A,0)))</f>
        <v>BRN74M-F1</v>
      </c>
      <c r="C1114" t="str">
        <f t="array" ref="C1114">iferror(index('rna-muscle'!$L:$L,match($A1114,'rna-muscle'!$A:$A,0)))</f>
        <v>N</v>
      </c>
      <c r="D1114" t="str">
        <f t="array" ref="D1114">iferror(index('rna-gill'!$I:$I,match($A1114,'rna-gill'!$A:$A,0)))</f>
        <v>BRN74G-F1</v>
      </c>
      <c r="E1114" t="str">
        <f t="array" ref="E1114">iferror(index('rna-gill'!$L:$L,match($A1114,'rna-gill'!$A:$A,0)))</f>
        <v>N</v>
      </c>
      <c r="F1114" t="str">
        <f t="array" ref="F1114">iferror(index(fatty_acid!$G:$G,match($A1114,fatty_acid!$A:$A,0)))</f>
        <v>BFA34-54</v>
      </c>
      <c r="G1114" t="str">
        <f t="array" ref="G1114">iferror(index(fatty_acid!$J:$J,match($A1114,fatty_acid!$A:$A,0)))</f>
        <v>N</v>
      </c>
      <c r="H1114" t="str">
        <f t="array" ref="H1114">iferror(index(isotopes!$G:$G,match($A1114,isotopes!$A:$A,0)))</f>
        <v>BIS37-54</v>
      </c>
      <c r="I1114" t="str">
        <f t="array" ref="I1114">iferror(index(isotopes!$J:$J,match($A1114,isotopes!$A:$A,0)))</f>
        <v>N</v>
      </c>
      <c r="J1114" t="str">
        <f t="array" ref="J1114">iferror(index(extra_muscle!$G:$G,match($A1114,extra_muscle!$A:$A,0)))</f>
        <v>BXM35-54</v>
      </c>
      <c r="K1114" t="str">
        <f t="array" ref="K1114">iferror(index(extra_muscle!$J:$J,match($A1114,extra_muscle!$A:$A,0)))</f>
        <v>N</v>
      </c>
      <c r="L1114" s="59" t="str">
        <f t="array" ref="L1114">iferror(index(dna!$G:$G,match($A1114,dna!$A:$A,0)))</f>
        <v>BDN4-68</v>
      </c>
      <c r="M1114" s="60" t="str">
        <f t="array" ref="M1114">iferror(index(dna!$J:$J,match($A1114,dna!$A:$A,0)))</f>
        <v>N</v>
      </c>
      <c r="N1114" t="str">
        <f t="array" ref="N1114">iferror(index(stomachs!$G:$G,match($A1114,stomachs!$A:$A,0)))</f>
        <v/>
      </c>
      <c r="O1114" t="str">
        <f t="array" ref="O1114">iferror(index(stomachs!$J:$J,match($A1114,stomachs!$A:$A,0)))</f>
        <v/>
      </c>
      <c r="P1114" t="str">
        <f t="array" ref="P1114">iferror(index(sea_lice!$G:$G,match($A1114,sea_lice!$A:$A,0)))</f>
        <v/>
      </c>
      <c r="Q1114" t="str">
        <f t="array" ref="Q1114">iferror(index(sea_lice!$J:$J,match($A1114,sea_lice!$A:$A,0)))</f>
        <v/>
      </c>
      <c r="R1114" s="40" t="str">
        <f t="array" ref="R1114">iferror(index(dissected_fish!$F:$F,match($A1114,dissected_fish!$A:$A,0)))</f>
        <v>BCA110</v>
      </c>
      <c r="S1114" s="40" t="str">
        <f t="array" ref="S1114">iferror(index(dissected_fish!$K:$K,match($A1114,dissected_fish!$A:$A,0)))</f>
        <v>N</v>
      </c>
      <c r="T1114" s="61" t="str">
        <f t="array" ref="T1114">index(fish_lab_data!O:O,match(A1114,fish_lab_data!C:C,0))</f>
        <v>KB</v>
      </c>
      <c r="U1114" s="61">
        <f t="array" ref="U1114">if(A1114="","",index(fish_lab_data!X:X,match(A1114,fish_lab_data!C:C,0)))</f>
        <v>1113</v>
      </c>
    </row>
    <row r="1115">
      <c r="A1115" t="str">
        <f>fish_lab_data!C1115</f>
        <v>U16401</v>
      </c>
      <c r="B1115" t="str">
        <f t="array" ref="B1115">iferror(index('rna-muscle'!$I:$I,match($A1115,'rna-muscle'!$A:$A,0)))</f>
        <v>BRN74M-E1</v>
      </c>
      <c r="C1115" t="str">
        <f t="array" ref="C1115">iferror(index('rna-muscle'!$L:$L,match($A1115,'rna-muscle'!$A:$A,0)))</f>
        <v>N</v>
      </c>
      <c r="D1115" t="str">
        <f t="array" ref="D1115">iferror(index('rna-gill'!$I:$I,match($A1115,'rna-gill'!$A:$A,0)))</f>
        <v>BRN74G-E1</v>
      </c>
      <c r="E1115" t="str">
        <f t="array" ref="E1115">iferror(index('rna-gill'!$L:$L,match($A1115,'rna-gill'!$A:$A,0)))</f>
        <v>N</v>
      </c>
      <c r="F1115" t="str">
        <f t="array" ref="F1115">iferror(index(fatty_acid!$G:$G,match($A1115,fatty_acid!$A:$A,0)))</f>
        <v>BFA34-55</v>
      </c>
      <c r="G1115" t="str">
        <f t="array" ref="G1115">iferror(index(fatty_acid!$J:$J,match($A1115,fatty_acid!$A:$A,0)))</f>
        <v>N</v>
      </c>
      <c r="H1115" t="str">
        <f t="array" ref="H1115">iferror(index(isotopes!$G:$G,match($A1115,isotopes!$A:$A,0)))</f>
        <v>BIS37-55</v>
      </c>
      <c r="I1115" t="str">
        <f t="array" ref="I1115">iferror(index(isotopes!$J:$J,match($A1115,isotopes!$A:$A,0)))</f>
        <v>N</v>
      </c>
      <c r="J1115" t="str">
        <f t="array" ref="J1115">iferror(index(extra_muscle!$G:$G,match($A1115,extra_muscle!$A:$A,0)))</f>
        <v>BXM35-55</v>
      </c>
      <c r="K1115" t="str">
        <f t="array" ref="K1115">iferror(index(extra_muscle!$J:$J,match($A1115,extra_muscle!$A:$A,0)))</f>
        <v>N</v>
      </c>
      <c r="L1115" s="59" t="str">
        <f t="array" ref="L1115">iferror(index(dna!$G:$G,match($A1115,dna!$A:$A,0)))</f>
        <v>BDN4-69</v>
      </c>
      <c r="M1115" s="60" t="str">
        <f t="array" ref="M1115">iferror(index(dna!$J:$J,match($A1115,dna!$A:$A,0)))</f>
        <v>N</v>
      </c>
      <c r="N1115" t="str">
        <f t="array" ref="N1115">iferror(index(stomachs!$G:$G,match($A1115,stomachs!$A:$A,0)))</f>
        <v/>
      </c>
      <c r="O1115" t="str">
        <f t="array" ref="O1115">iferror(index(stomachs!$J:$J,match($A1115,stomachs!$A:$A,0)))</f>
        <v/>
      </c>
      <c r="P1115" t="str">
        <f t="array" ref="P1115">iferror(index(sea_lice!$G:$G,match($A1115,sea_lice!$A:$A,0)))</f>
        <v>BSL7-61</v>
      </c>
      <c r="Q1115" t="str">
        <f t="array" ref="Q1115">iferror(index(sea_lice!$J:$J,match($A1115,sea_lice!$A:$A,0)))</f>
        <v>N</v>
      </c>
      <c r="R1115" s="40" t="str">
        <f t="array" ref="R1115">iferror(index(dissected_fish!$F:$F,match($A1115,dissected_fish!$A:$A,0)))</f>
        <v>BCA110</v>
      </c>
      <c r="S1115" s="40" t="str">
        <f t="array" ref="S1115">iferror(index(dissected_fish!$K:$K,match($A1115,dissected_fish!$A:$A,0)))</f>
        <v>N</v>
      </c>
      <c r="T1115" s="61" t="str">
        <f t="array" ref="T1115">index(fish_lab_data!O:O,match(A1115,fish_lab_data!C:C,0))</f>
        <v>KB</v>
      </c>
      <c r="U1115" s="61">
        <f t="array" ref="U1115">if(A1115="","",index(fish_lab_data!X:X,match(A1115,fish_lab_data!C:C,0)))</f>
        <v>1114</v>
      </c>
    </row>
    <row r="1116">
      <c r="A1116" t="str">
        <f>fish_lab_data!C1116</f>
        <v>U16405</v>
      </c>
      <c r="B1116" t="str">
        <f t="array" ref="B1116">iferror(index('rna-muscle'!$I:$I,match($A1116,'rna-muscle'!$A:$A,0)))</f>
        <v>BRN74M-D1</v>
      </c>
      <c r="C1116" t="str">
        <f t="array" ref="C1116">iferror(index('rna-muscle'!$L:$L,match($A1116,'rna-muscle'!$A:$A,0)))</f>
        <v>N</v>
      </c>
      <c r="D1116" t="str">
        <f t="array" ref="D1116">iferror(index('rna-gill'!$I:$I,match($A1116,'rna-gill'!$A:$A,0)))</f>
        <v>BRN74G-D1</v>
      </c>
      <c r="E1116" t="str">
        <f t="array" ref="E1116">iferror(index('rna-gill'!$L:$L,match($A1116,'rna-gill'!$A:$A,0)))</f>
        <v>N</v>
      </c>
      <c r="F1116" t="str">
        <f t="array" ref="F1116">iferror(index(fatty_acid!$G:$G,match($A1116,fatty_acid!$A:$A,0)))</f>
        <v>BFA34-56</v>
      </c>
      <c r="G1116" t="str">
        <f t="array" ref="G1116">iferror(index(fatty_acid!$J:$J,match($A1116,fatty_acid!$A:$A,0)))</f>
        <v>N</v>
      </c>
      <c r="H1116" t="str">
        <f t="array" ref="H1116">iferror(index(isotopes!$G:$G,match($A1116,isotopes!$A:$A,0)))</f>
        <v>BIS37-56</v>
      </c>
      <c r="I1116" t="str">
        <f t="array" ref="I1116">iferror(index(isotopes!$J:$J,match($A1116,isotopes!$A:$A,0)))</f>
        <v>N</v>
      </c>
      <c r="J1116" t="str">
        <f t="array" ref="J1116">iferror(index(extra_muscle!$G:$G,match($A1116,extra_muscle!$A:$A,0)))</f>
        <v>BXM35-56</v>
      </c>
      <c r="K1116" t="str">
        <f t="array" ref="K1116">iferror(index(extra_muscle!$J:$J,match($A1116,extra_muscle!$A:$A,0)))</f>
        <v>N</v>
      </c>
      <c r="L1116" s="59" t="str">
        <f t="array" ref="L1116">iferror(index(dna!$G:$G,match($A1116,dna!$A:$A,0)))</f>
        <v>BDN4-70</v>
      </c>
      <c r="M1116" s="60" t="str">
        <f t="array" ref="M1116">iferror(index(dna!$J:$J,match($A1116,dna!$A:$A,0)))</f>
        <v>N</v>
      </c>
      <c r="N1116" t="str">
        <f t="array" ref="N1116">iferror(index(stomachs!$G:$G,match($A1116,stomachs!$A:$A,0)))</f>
        <v/>
      </c>
      <c r="O1116" t="str">
        <f t="array" ref="O1116">iferror(index(stomachs!$J:$J,match($A1116,stomachs!$A:$A,0)))</f>
        <v/>
      </c>
      <c r="P1116" t="str">
        <f t="array" ref="P1116">iferror(index(sea_lice!$G:$G,match($A1116,sea_lice!$A:$A,0)))</f>
        <v/>
      </c>
      <c r="Q1116" t="str">
        <f t="array" ref="Q1116">iferror(index(sea_lice!$J:$J,match($A1116,sea_lice!$A:$A,0)))</f>
        <v/>
      </c>
      <c r="R1116" s="40" t="str">
        <f t="array" ref="R1116">iferror(index(dissected_fish!$F:$F,match($A1116,dissected_fish!$A:$A,0)))</f>
        <v>BCA110</v>
      </c>
      <c r="S1116" s="40" t="str">
        <f t="array" ref="S1116">iferror(index(dissected_fish!$K:$K,match($A1116,dissected_fish!$A:$A,0)))</f>
        <v>N</v>
      </c>
      <c r="T1116" s="61" t="str">
        <f t="array" ref="T1116">index(fish_lab_data!O:O,match(A1116,fish_lab_data!C:C,0))</f>
        <v>KB</v>
      </c>
      <c r="U1116" s="61">
        <f t="array" ref="U1116">if(A1116="","",index(fish_lab_data!X:X,match(A1116,fish_lab_data!C:C,0)))</f>
        <v>1115</v>
      </c>
    </row>
    <row r="1117">
      <c r="A1117" t="str">
        <f>fish_lab_data!C1117</f>
        <v>U16408</v>
      </c>
      <c r="B1117" t="str">
        <f t="array" ref="B1117">iferror(index('rna-muscle'!$I:$I,match($A1117,'rna-muscle'!$A:$A,0)))</f>
        <v>BRN74M-C1</v>
      </c>
      <c r="C1117" t="str">
        <f t="array" ref="C1117">iferror(index('rna-muscle'!$L:$L,match($A1117,'rna-muscle'!$A:$A,0)))</f>
        <v>N</v>
      </c>
      <c r="D1117" t="str">
        <f t="array" ref="D1117">iferror(index('rna-gill'!$I:$I,match($A1117,'rna-gill'!$A:$A,0)))</f>
        <v>BRN74G-C1</v>
      </c>
      <c r="E1117" t="str">
        <f t="array" ref="E1117">iferror(index('rna-gill'!$L:$L,match($A1117,'rna-gill'!$A:$A,0)))</f>
        <v>N</v>
      </c>
      <c r="F1117" t="str">
        <f t="array" ref="F1117">iferror(index(fatty_acid!$G:$G,match($A1117,fatty_acid!$A:$A,0)))</f>
        <v>BFA34-57</v>
      </c>
      <c r="G1117" t="str">
        <f t="array" ref="G1117">iferror(index(fatty_acid!$J:$J,match($A1117,fatty_acid!$A:$A,0)))</f>
        <v>N</v>
      </c>
      <c r="H1117" t="str">
        <f t="array" ref="H1117">iferror(index(isotopes!$G:$G,match($A1117,isotopes!$A:$A,0)))</f>
        <v>BIS37-57</v>
      </c>
      <c r="I1117" t="str">
        <f t="array" ref="I1117">iferror(index(isotopes!$J:$J,match($A1117,isotopes!$A:$A,0)))</f>
        <v>N</v>
      </c>
      <c r="J1117" t="str">
        <f t="array" ref="J1117">iferror(index(extra_muscle!$G:$G,match($A1117,extra_muscle!$A:$A,0)))</f>
        <v>BXM35-57</v>
      </c>
      <c r="K1117" t="str">
        <f t="array" ref="K1117">iferror(index(extra_muscle!$J:$J,match($A1117,extra_muscle!$A:$A,0)))</f>
        <v>N</v>
      </c>
      <c r="L1117" s="59" t="str">
        <f t="array" ref="L1117">iferror(index(dna!$G:$G,match($A1117,dna!$A:$A,0)))</f>
        <v>BDN4-71</v>
      </c>
      <c r="M1117" s="60" t="str">
        <f t="array" ref="M1117">iferror(index(dna!$J:$J,match($A1117,dna!$A:$A,0)))</f>
        <v>N</v>
      </c>
      <c r="N1117" t="str">
        <f t="array" ref="N1117">iferror(index(stomachs!$G:$G,match($A1117,stomachs!$A:$A,0)))</f>
        <v/>
      </c>
      <c r="O1117" t="str">
        <f t="array" ref="O1117">iferror(index(stomachs!$J:$J,match($A1117,stomachs!$A:$A,0)))</f>
        <v/>
      </c>
      <c r="P1117" t="str">
        <f t="array" ref="P1117">iferror(index(sea_lice!$G:$G,match($A1117,sea_lice!$A:$A,0)))</f>
        <v/>
      </c>
      <c r="Q1117" t="str">
        <f t="array" ref="Q1117">iferror(index(sea_lice!$J:$J,match($A1117,sea_lice!$A:$A,0)))</f>
        <v/>
      </c>
      <c r="R1117" s="40" t="str">
        <f t="array" ref="R1117">iferror(index(dissected_fish!$F:$F,match($A1117,dissected_fish!$A:$A,0)))</f>
        <v>BCA110</v>
      </c>
      <c r="S1117" s="40" t="str">
        <f t="array" ref="S1117">iferror(index(dissected_fish!$K:$K,match($A1117,dissected_fish!$A:$A,0)))</f>
        <v>N</v>
      </c>
      <c r="T1117" s="61" t="str">
        <f t="array" ref="T1117">index(fish_lab_data!O:O,match(A1117,fish_lab_data!C:C,0))</f>
        <v>KB</v>
      </c>
      <c r="U1117" s="61">
        <f t="array" ref="U1117">if(A1117="","",index(fish_lab_data!X:X,match(A1117,fish_lab_data!C:C,0)))</f>
        <v>1116</v>
      </c>
    </row>
    <row r="1118">
      <c r="A1118" t="str">
        <f>fish_lab_data!C1118</f>
        <v>U16406</v>
      </c>
      <c r="B1118" t="str">
        <f t="array" ref="B1118">iferror(index('rna-muscle'!$I:$I,match($A1118,'rna-muscle'!$A:$A,0)))</f>
        <v>BRN74M-B1</v>
      </c>
      <c r="C1118" t="str">
        <f t="array" ref="C1118">iferror(index('rna-muscle'!$L:$L,match($A1118,'rna-muscle'!$A:$A,0)))</f>
        <v>N</v>
      </c>
      <c r="D1118" t="str">
        <f t="array" ref="D1118">iferror(index('rna-gill'!$I:$I,match($A1118,'rna-gill'!$A:$A,0)))</f>
        <v>BRN74G-B1</v>
      </c>
      <c r="E1118" t="str">
        <f t="array" ref="E1118">iferror(index('rna-gill'!$L:$L,match($A1118,'rna-gill'!$A:$A,0)))</f>
        <v>N</v>
      </c>
      <c r="F1118" t="str">
        <f t="array" ref="F1118">iferror(index(fatty_acid!$G:$G,match($A1118,fatty_acid!$A:$A,0)))</f>
        <v>BFA34-58</v>
      </c>
      <c r="G1118" t="str">
        <f t="array" ref="G1118">iferror(index(fatty_acid!$J:$J,match($A1118,fatty_acid!$A:$A,0)))</f>
        <v>N</v>
      </c>
      <c r="H1118" t="str">
        <f t="array" ref="H1118">iferror(index(isotopes!$G:$G,match($A1118,isotopes!$A:$A,0)))</f>
        <v>BIS37-58</v>
      </c>
      <c r="I1118" t="str">
        <f t="array" ref="I1118">iferror(index(isotopes!$J:$J,match($A1118,isotopes!$A:$A,0)))</f>
        <v>N</v>
      </c>
      <c r="J1118" t="str">
        <f t="array" ref="J1118">iferror(index(extra_muscle!$G:$G,match($A1118,extra_muscle!$A:$A,0)))</f>
        <v>BXM35-58</v>
      </c>
      <c r="K1118" t="str">
        <f t="array" ref="K1118">iferror(index(extra_muscle!$J:$J,match($A1118,extra_muscle!$A:$A,0)))</f>
        <v>N</v>
      </c>
      <c r="L1118" s="59" t="str">
        <f t="array" ref="L1118">iferror(index(dna!$G:$G,match($A1118,dna!$A:$A,0)))</f>
        <v>BDN4-72</v>
      </c>
      <c r="M1118" s="60" t="str">
        <f t="array" ref="M1118">iferror(index(dna!$J:$J,match($A1118,dna!$A:$A,0)))</f>
        <v>N</v>
      </c>
      <c r="N1118" t="str">
        <f t="array" ref="N1118">iferror(index(stomachs!$G:$G,match($A1118,stomachs!$A:$A,0)))</f>
        <v/>
      </c>
      <c r="O1118" t="str">
        <f t="array" ref="O1118">iferror(index(stomachs!$J:$J,match($A1118,stomachs!$A:$A,0)))</f>
        <v/>
      </c>
      <c r="P1118" t="str">
        <f t="array" ref="P1118">iferror(index(sea_lice!$G:$G,match($A1118,sea_lice!$A:$A,0)))</f>
        <v/>
      </c>
      <c r="Q1118" t="str">
        <f t="array" ref="Q1118">iferror(index(sea_lice!$J:$J,match($A1118,sea_lice!$A:$A,0)))</f>
        <v/>
      </c>
      <c r="R1118" s="40" t="str">
        <f t="array" ref="R1118">iferror(index(dissected_fish!$F:$F,match($A1118,dissected_fish!$A:$A,0)))</f>
        <v>BCA110</v>
      </c>
      <c r="S1118" s="40" t="str">
        <f t="array" ref="S1118">iferror(index(dissected_fish!$K:$K,match($A1118,dissected_fish!$A:$A,0)))</f>
        <v>N</v>
      </c>
      <c r="T1118" s="61" t="str">
        <f t="array" ref="T1118">index(fish_lab_data!O:O,match(A1118,fish_lab_data!C:C,0))</f>
        <v>KB</v>
      </c>
      <c r="U1118" s="61">
        <f t="array" ref="U1118">if(A1118="","",index(fish_lab_data!X:X,match(A1118,fish_lab_data!C:C,0)))</f>
        <v>1117</v>
      </c>
    </row>
    <row r="1119">
      <c r="A1119" t="str">
        <f>fish_lab_data!C1119</f>
        <v>U17610</v>
      </c>
      <c r="B1119" t="str">
        <f t="array" ref="B1119">iferror(index('rna-muscle'!$I:$I,match($A1119,'rna-muscle'!$A:$A,0)))</f>
        <v>BRN74M-A1</v>
      </c>
      <c r="C1119" t="str">
        <f t="array" ref="C1119">iferror(index('rna-muscle'!$L:$L,match($A1119,'rna-muscle'!$A:$A,0)))</f>
        <v>N</v>
      </c>
      <c r="D1119" t="str">
        <f t="array" ref="D1119">iferror(index('rna-gill'!$I:$I,match($A1119,'rna-gill'!$A:$A,0)))</f>
        <v>BRN74G-A1</v>
      </c>
      <c r="E1119" t="str">
        <f t="array" ref="E1119">iferror(index('rna-gill'!$L:$L,match($A1119,'rna-gill'!$A:$A,0)))</f>
        <v>N</v>
      </c>
      <c r="F1119" t="str">
        <f t="array" ref="F1119">iferror(index(fatty_acid!$G:$G,match($A1119,fatty_acid!$A:$A,0)))</f>
        <v>BFA34-59</v>
      </c>
      <c r="G1119" t="str">
        <f t="array" ref="G1119">iferror(index(fatty_acid!$J:$J,match($A1119,fatty_acid!$A:$A,0)))</f>
        <v>N</v>
      </c>
      <c r="H1119" t="str">
        <f t="array" ref="H1119">iferror(index(isotopes!$G:$G,match($A1119,isotopes!$A:$A,0)))</f>
        <v>BIS37-59</v>
      </c>
      <c r="I1119" t="str">
        <f t="array" ref="I1119">iferror(index(isotopes!$J:$J,match($A1119,isotopes!$A:$A,0)))</f>
        <v>N</v>
      </c>
      <c r="J1119" t="str">
        <f t="array" ref="J1119">iferror(index(extra_muscle!$G:$G,match($A1119,extra_muscle!$A:$A,0)))</f>
        <v>BXM35-59</v>
      </c>
      <c r="K1119" t="str">
        <f t="array" ref="K1119">iferror(index(extra_muscle!$J:$J,match($A1119,extra_muscle!$A:$A,0)))</f>
        <v>N</v>
      </c>
      <c r="L1119" s="59" t="str">
        <f t="array" ref="L1119">iferror(index(dna!$G:$G,match($A1119,dna!$A:$A,0)))</f>
        <v>BDN4-73</v>
      </c>
      <c r="M1119" s="60" t="str">
        <f t="array" ref="M1119">iferror(index(dna!$J:$J,match($A1119,dna!$A:$A,0)))</f>
        <v>N</v>
      </c>
      <c r="N1119" t="str">
        <f t="array" ref="N1119">iferror(index(stomachs!$G:$G,match($A1119,stomachs!$A:$A,0)))</f>
        <v/>
      </c>
      <c r="O1119" t="str">
        <f t="array" ref="O1119">iferror(index(stomachs!$J:$J,match($A1119,stomachs!$A:$A,0)))</f>
        <v/>
      </c>
      <c r="P1119" t="str">
        <f t="array" ref="P1119">iferror(index(sea_lice!$G:$G,match($A1119,sea_lice!$A:$A,0)))</f>
        <v>BSL7-64</v>
      </c>
      <c r="Q1119" t="str">
        <f t="array" ref="Q1119">iferror(index(sea_lice!$J:$J,match($A1119,sea_lice!$A:$A,0)))</f>
        <v>N</v>
      </c>
      <c r="R1119" s="40" t="str">
        <f t="array" ref="R1119">iferror(index(dissected_fish!$F:$F,match($A1119,dissected_fish!$A:$A,0)))</f>
        <v>BCA110</v>
      </c>
      <c r="S1119" s="40" t="str">
        <f t="array" ref="S1119">iferror(index(dissected_fish!$K:$K,match($A1119,dissected_fish!$A:$A,0)))</f>
        <v>N</v>
      </c>
      <c r="T1119" s="61" t="str">
        <f t="array" ref="T1119">index(fish_lab_data!O:O,match(A1119,fish_lab_data!C:C,0))</f>
        <v>KB</v>
      </c>
      <c r="U1119" s="61">
        <f t="array" ref="U1119">if(A1119="","",index(fish_lab_data!X:X,match(A1119,fish_lab_data!C:C,0)))</f>
        <v>1118</v>
      </c>
    </row>
    <row r="1120">
      <c r="A1120" t="str">
        <f>fish_lab_data!C1120</f>
        <v>U17608</v>
      </c>
      <c r="B1120" t="str">
        <f t="array" ref="B1120">iferror(index('rna-muscle'!$I:$I,match($A1120,'rna-muscle'!$A:$A,0)))</f>
        <v>BRN74M-H3</v>
      </c>
      <c r="C1120" t="str">
        <f t="array" ref="C1120">iferror(index('rna-muscle'!$L:$L,match($A1120,'rna-muscle'!$A:$A,0)))</f>
        <v>N</v>
      </c>
      <c r="D1120" t="str">
        <f t="array" ref="D1120">iferror(index('rna-gill'!$I:$I,match($A1120,'rna-gill'!$A:$A,0)))</f>
        <v>BRN74G-H3</v>
      </c>
      <c r="E1120" t="str">
        <f t="array" ref="E1120">iferror(index('rna-gill'!$L:$L,match($A1120,'rna-gill'!$A:$A,0)))</f>
        <v>N</v>
      </c>
      <c r="F1120" t="str">
        <f t="array" ref="F1120">iferror(index(fatty_acid!$G:$G,match($A1120,fatty_acid!$A:$A,0)))</f>
        <v>BFA34-60</v>
      </c>
      <c r="G1120" t="str">
        <f t="array" ref="G1120">iferror(index(fatty_acid!$J:$J,match($A1120,fatty_acid!$A:$A,0)))</f>
        <v>N</v>
      </c>
      <c r="H1120" t="str">
        <f t="array" ref="H1120">iferror(index(isotopes!$G:$G,match($A1120,isotopes!$A:$A,0)))</f>
        <v>BIS37-60</v>
      </c>
      <c r="I1120" t="str">
        <f t="array" ref="I1120">iferror(index(isotopes!$J:$J,match($A1120,isotopes!$A:$A,0)))</f>
        <v>N</v>
      </c>
      <c r="J1120" t="str">
        <f t="array" ref="J1120">iferror(index(extra_muscle!$G:$G,match($A1120,extra_muscle!$A:$A,0)))</f>
        <v>BXM35-60</v>
      </c>
      <c r="K1120" t="str">
        <f t="array" ref="K1120">iferror(index(extra_muscle!$J:$J,match($A1120,extra_muscle!$A:$A,0)))</f>
        <v>N</v>
      </c>
      <c r="L1120" s="59" t="str">
        <f t="array" ref="L1120">iferror(index(dna!$G:$G,match($A1120,dna!$A:$A,0)))</f>
        <v>BDN4-74</v>
      </c>
      <c r="M1120" s="60" t="str">
        <f t="array" ref="M1120">iferror(index(dna!$J:$J,match($A1120,dna!$A:$A,0)))</f>
        <v>N</v>
      </c>
      <c r="N1120" t="str">
        <f t="array" ref="N1120">iferror(index(stomachs!$G:$G,match($A1120,stomachs!$A:$A,0)))</f>
        <v/>
      </c>
      <c r="O1120" t="str">
        <f t="array" ref="O1120">iferror(index(stomachs!$J:$J,match($A1120,stomachs!$A:$A,0)))</f>
        <v/>
      </c>
      <c r="P1120" t="str">
        <f t="array" ref="P1120">iferror(index(sea_lice!$G:$G,match($A1120,sea_lice!$A:$A,0)))</f>
        <v/>
      </c>
      <c r="Q1120" t="str">
        <f t="array" ref="Q1120">iferror(index(sea_lice!$J:$J,match($A1120,sea_lice!$A:$A,0)))</f>
        <v/>
      </c>
      <c r="R1120" s="40" t="str">
        <f t="array" ref="R1120">iferror(index(dissected_fish!$F:$F,match($A1120,dissected_fish!$A:$A,0)))</f>
        <v>BCA110</v>
      </c>
      <c r="S1120" s="40" t="str">
        <f t="array" ref="S1120">iferror(index(dissected_fish!$K:$K,match($A1120,dissected_fish!$A:$A,0)))</f>
        <v>N</v>
      </c>
      <c r="T1120" s="61" t="str">
        <f t="array" ref="T1120">index(fish_lab_data!O:O,match(A1120,fish_lab_data!C:C,0))</f>
        <v>KB</v>
      </c>
      <c r="U1120" s="61">
        <f t="array" ref="U1120">if(A1120="","",index(fish_lab_data!X:X,match(A1120,fish_lab_data!C:C,0)))</f>
        <v>1119</v>
      </c>
    </row>
    <row r="1121">
      <c r="A1121" t="str">
        <f>fish_lab_data!C1121</f>
        <v>U17604</v>
      </c>
      <c r="B1121" t="str">
        <f t="array" ref="B1121">iferror(index('rna-muscle'!$I:$I,match($A1121,'rna-muscle'!$A:$A,0)))</f>
        <v>BRN74M-G3</v>
      </c>
      <c r="C1121" t="str">
        <f t="array" ref="C1121">iferror(index('rna-muscle'!$L:$L,match($A1121,'rna-muscle'!$A:$A,0)))</f>
        <v>N</v>
      </c>
      <c r="D1121" t="str">
        <f t="array" ref="D1121">iferror(index('rna-gill'!$I:$I,match($A1121,'rna-gill'!$A:$A,0)))</f>
        <v>BRN74G-G3</v>
      </c>
      <c r="E1121" t="str">
        <f t="array" ref="E1121">iferror(index('rna-gill'!$L:$L,match($A1121,'rna-gill'!$A:$A,0)))</f>
        <v>N</v>
      </c>
      <c r="F1121" t="str">
        <f t="array" ref="F1121">iferror(index(fatty_acid!$G:$G,match($A1121,fatty_acid!$A:$A,0)))</f>
        <v>BFA34-61</v>
      </c>
      <c r="G1121" t="str">
        <f t="array" ref="G1121">iferror(index(fatty_acid!$J:$J,match($A1121,fatty_acid!$A:$A,0)))</f>
        <v>N</v>
      </c>
      <c r="H1121" t="str">
        <f t="array" ref="H1121">iferror(index(isotopes!$G:$G,match($A1121,isotopes!$A:$A,0)))</f>
        <v>BIS37-61</v>
      </c>
      <c r="I1121" t="str">
        <f t="array" ref="I1121">iferror(index(isotopes!$J:$J,match($A1121,isotopes!$A:$A,0)))</f>
        <v>N</v>
      </c>
      <c r="J1121" t="str">
        <f t="array" ref="J1121">iferror(index(extra_muscle!$G:$G,match($A1121,extra_muscle!$A:$A,0)))</f>
        <v>BXM35-61</v>
      </c>
      <c r="K1121" t="str">
        <f t="array" ref="K1121">iferror(index(extra_muscle!$J:$J,match($A1121,extra_muscle!$A:$A,0)))</f>
        <v>N</v>
      </c>
      <c r="L1121" s="59" t="str">
        <f t="array" ref="L1121">iferror(index(dna!$G:$G,match($A1121,dna!$A:$A,0)))</f>
        <v>BDN4-75</v>
      </c>
      <c r="M1121" s="60" t="str">
        <f t="array" ref="M1121">iferror(index(dna!$J:$J,match($A1121,dna!$A:$A,0)))</f>
        <v>N</v>
      </c>
      <c r="N1121" t="str">
        <f t="array" ref="N1121">iferror(index(stomachs!$G:$G,match($A1121,stomachs!$A:$A,0)))</f>
        <v/>
      </c>
      <c r="O1121" t="str">
        <f t="array" ref="O1121">iferror(index(stomachs!$J:$J,match($A1121,stomachs!$A:$A,0)))</f>
        <v/>
      </c>
      <c r="P1121" t="str">
        <f t="array" ref="P1121">iferror(index(sea_lice!$G:$G,match($A1121,sea_lice!$A:$A,0)))</f>
        <v>BSL7-65</v>
      </c>
      <c r="Q1121" t="str">
        <f t="array" ref="Q1121">iferror(index(sea_lice!$J:$J,match($A1121,sea_lice!$A:$A,0)))</f>
        <v>N</v>
      </c>
      <c r="R1121" s="40" t="str">
        <f t="array" ref="R1121">iferror(index(dissected_fish!$F:$F,match($A1121,dissected_fish!$A:$A,0)))</f>
        <v>BCA110</v>
      </c>
      <c r="S1121" s="40" t="str">
        <f t="array" ref="S1121">iferror(index(dissected_fish!$K:$K,match($A1121,dissected_fish!$A:$A,0)))</f>
        <v>N</v>
      </c>
      <c r="T1121" s="61" t="str">
        <f t="array" ref="T1121">index(fish_lab_data!O:O,match(A1121,fish_lab_data!C:C,0))</f>
        <v>KB</v>
      </c>
      <c r="U1121" s="61">
        <f t="array" ref="U1121">if(A1121="","",index(fish_lab_data!X:X,match(A1121,fish_lab_data!C:C,0)))</f>
        <v>1120</v>
      </c>
    </row>
    <row r="1122">
      <c r="A1122" t="str">
        <f>fish_lab_data!C1122</f>
        <v>U17609</v>
      </c>
      <c r="B1122" t="str">
        <f t="array" ref="B1122">iferror(index('rna-muscle'!$I:$I,match($A1122,'rna-muscle'!$A:$A,0)))</f>
        <v>BRN74M-F3</v>
      </c>
      <c r="C1122" t="str">
        <f t="array" ref="C1122">iferror(index('rna-muscle'!$L:$L,match($A1122,'rna-muscle'!$A:$A,0)))</f>
        <v>N</v>
      </c>
      <c r="D1122" t="str">
        <f t="array" ref="D1122">iferror(index('rna-gill'!$I:$I,match($A1122,'rna-gill'!$A:$A,0)))</f>
        <v>BRN74G-F3</v>
      </c>
      <c r="E1122" t="str">
        <f t="array" ref="E1122">iferror(index('rna-gill'!$L:$L,match($A1122,'rna-gill'!$A:$A,0)))</f>
        <v>N</v>
      </c>
      <c r="F1122" t="str">
        <f t="array" ref="F1122">iferror(index(fatty_acid!$G:$G,match($A1122,fatty_acid!$A:$A,0)))</f>
        <v>BFA34-62</v>
      </c>
      <c r="G1122" t="str">
        <f t="array" ref="G1122">iferror(index(fatty_acid!$J:$J,match($A1122,fatty_acid!$A:$A,0)))</f>
        <v>N</v>
      </c>
      <c r="H1122" t="str">
        <f t="array" ref="H1122">iferror(index(isotopes!$G:$G,match($A1122,isotopes!$A:$A,0)))</f>
        <v>BIS37-62</v>
      </c>
      <c r="I1122" t="str">
        <f t="array" ref="I1122">iferror(index(isotopes!$J:$J,match($A1122,isotopes!$A:$A,0)))</f>
        <v>N</v>
      </c>
      <c r="J1122" t="str">
        <f t="array" ref="J1122">iferror(index(extra_muscle!$G:$G,match($A1122,extra_muscle!$A:$A,0)))</f>
        <v>BXM35-62</v>
      </c>
      <c r="K1122" t="str">
        <f t="array" ref="K1122">iferror(index(extra_muscle!$J:$J,match($A1122,extra_muscle!$A:$A,0)))</f>
        <v>N</v>
      </c>
      <c r="L1122" s="59" t="str">
        <f t="array" ref="L1122">iferror(index(dna!$G:$G,match($A1122,dna!$A:$A,0)))</f>
        <v>BDN4-76</v>
      </c>
      <c r="M1122" s="60" t="str">
        <f t="array" ref="M1122">iferror(index(dna!$J:$J,match($A1122,dna!$A:$A,0)))</f>
        <v>N</v>
      </c>
      <c r="N1122" t="str">
        <f t="array" ref="N1122">iferror(index(stomachs!$G:$G,match($A1122,stomachs!$A:$A,0)))</f>
        <v/>
      </c>
      <c r="O1122" t="str">
        <f t="array" ref="O1122">iferror(index(stomachs!$J:$J,match($A1122,stomachs!$A:$A,0)))</f>
        <v/>
      </c>
      <c r="P1122" t="str">
        <f t="array" ref="P1122">iferror(index(sea_lice!$G:$G,match($A1122,sea_lice!$A:$A,0)))</f>
        <v/>
      </c>
      <c r="Q1122" t="str">
        <f t="array" ref="Q1122">iferror(index(sea_lice!$J:$J,match($A1122,sea_lice!$A:$A,0)))</f>
        <v/>
      </c>
      <c r="R1122" s="40" t="str">
        <f t="array" ref="R1122">iferror(index(dissected_fish!$F:$F,match($A1122,dissected_fish!$A:$A,0)))</f>
        <v>BCA110</v>
      </c>
      <c r="S1122" s="40" t="str">
        <f t="array" ref="S1122">iferror(index(dissected_fish!$K:$K,match($A1122,dissected_fish!$A:$A,0)))</f>
        <v>N</v>
      </c>
      <c r="T1122" s="61" t="str">
        <f t="array" ref="T1122">index(fish_lab_data!O:O,match(A1122,fish_lab_data!C:C,0))</f>
        <v>KB</v>
      </c>
      <c r="U1122" s="61">
        <f t="array" ref="U1122">if(A1122="","",index(fish_lab_data!X:X,match(A1122,fish_lab_data!C:C,0)))</f>
        <v>1121</v>
      </c>
    </row>
    <row r="1123">
      <c r="A1123" t="str">
        <f>fish_lab_data!C1123</f>
        <v>U17605</v>
      </c>
      <c r="B1123" t="str">
        <f t="array" ref="B1123">iferror(index('rna-muscle'!$I:$I,match($A1123,'rna-muscle'!$A:$A,0)))</f>
        <v>BRN74M-E3</v>
      </c>
      <c r="C1123" t="str">
        <f t="array" ref="C1123">iferror(index('rna-muscle'!$L:$L,match($A1123,'rna-muscle'!$A:$A,0)))</f>
        <v>N</v>
      </c>
      <c r="D1123" t="str">
        <f t="array" ref="D1123">iferror(index('rna-gill'!$I:$I,match($A1123,'rna-gill'!$A:$A,0)))</f>
        <v>BRN74G-E3</v>
      </c>
      <c r="E1123" t="str">
        <f t="array" ref="E1123">iferror(index('rna-gill'!$L:$L,match($A1123,'rna-gill'!$A:$A,0)))</f>
        <v>N</v>
      </c>
      <c r="F1123" t="str">
        <f t="array" ref="F1123">iferror(index(fatty_acid!$G:$G,match($A1123,fatty_acid!$A:$A,0)))</f>
        <v>BFA34-63</v>
      </c>
      <c r="G1123" t="str">
        <f t="array" ref="G1123">iferror(index(fatty_acid!$J:$J,match($A1123,fatty_acid!$A:$A,0)))</f>
        <v>N</v>
      </c>
      <c r="H1123" t="str">
        <f t="array" ref="H1123">iferror(index(isotopes!$G:$G,match($A1123,isotopes!$A:$A,0)))</f>
        <v>BIS37-63</v>
      </c>
      <c r="I1123" t="str">
        <f t="array" ref="I1123">iferror(index(isotopes!$J:$J,match($A1123,isotopes!$A:$A,0)))</f>
        <v>N</v>
      </c>
      <c r="J1123" t="str">
        <f t="array" ref="J1123">iferror(index(extra_muscle!$G:$G,match($A1123,extra_muscle!$A:$A,0)))</f>
        <v>BXM35-63</v>
      </c>
      <c r="K1123" t="str">
        <f t="array" ref="K1123">iferror(index(extra_muscle!$J:$J,match($A1123,extra_muscle!$A:$A,0)))</f>
        <v>N</v>
      </c>
      <c r="L1123" s="59" t="str">
        <f t="array" ref="L1123">iferror(index(dna!$G:$G,match($A1123,dna!$A:$A,0)))</f>
        <v>BDN4-77</v>
      </c>
      <c r="M1123" s="60" t="str">
        <f t="array" ref="M1123">iferror(index(dna!$J:$J,match($A1123,dna!$A:$A,0)))</f>
        <v>N</v>
      </c>
      <c r="N1123" t="str">
        <f t="array" ref="N1123">iferror(index(stomachs!$G:$G,match($A1123,stomachs!$A:$A,0)))</f>
        <v/>
      </c>
      <c r="O1123" t="str">
        <f t="array" ref="O1123">iferror(index(stomachs!$J:$J,match($A1123,stomachs!$A:$A,0)))</f>
        <v/>
      </c>
      <c r="P1123" t="str">
        <f t="array" ref="P1123">iferror(index(sea_lice!$G:$G,match($A1123,sea_lice!$A:$A,0)))</f>
        <v>BSL7-67</v>
      </c>
      <c r="Q1123" t="str">
        <f t="array" ref="Q1123">iferror(index(sea_lice!$J:$J,match($A1123,sea_lice!$A:$A,0)))</f>
        <v>N</v>
      </c>
      <c r="R1123" s="40" t="str">
        <f t="array" ref="R1123">iferror(index(dissected_fish!$F:$F,match($A1123,dissected_fish!$A:$A,0)))</f>
        <v>BCA110</v>
      </c>
      <c r="S1123" s="40" t="str">
        <f t="array" ref="S1123">iferror(index(dissected_fish!$K:$K,match($A1123,dissected_fish!$A:$A,0)))</f>
        <v>N</v>
      </c>
      <c r="T1123" s="61" t="str">
        <f t="array" ref="T1123">index(fish_lab_data!O:O,match(A1123,fish_lab_data!C:C,0))</f>
        <v>KB</v>
      </c>
      <c r="U1123" s="61">
        <f t="array" ref="U1123">if(A1123="","",index(fish_lab_data!X:X,match(A1123,fish_lab_data!C:C,0)))</f>
        <v>1122</v>
      </c>
    </row>
    <row r="1124">
      <c r="A1124" t="str">
        <f>fish_lab_data!C1124</f>
        <v>U17603</v>
      </c>
      <c r="B1124" t="str">
        <f t="array" ref="B1124">iferror(index('rna-muscle'!$I:$I,match($A1124,'rna-muscle'!$A:$A,0)))</f>
        <v>BRN74M-D3</v>
      </c>
      <c r="C1124" t="str">
        <f t="array" ref="C1124">iferror(index('rna-muscle'!$L:$L,match($A1124,'rna-muscle'!$A:$A,0)))</f>
        <v>N</v>
      </c>
      <c r="D1124" t="str">
        <f t="array" ref="D1124">iferror(index('rna-gill'!$I:$I,match($A1124,'rna-gill'!$A:$A,0)))</f>
        <v>BRN74G-D3</v>
      </c>
      <c r="E1124" t="str">
        <f t="array" ref="E1124">iferror(index('rna-gill'!$L:$L,match($A1124,'rna-gill'!$A:$A,0)))</f>
        <v>N</v>
      </c>
      <c r="F1124" t="str">
        <f t="array" ref="F1124">iferror(index(fatty_acid!$G:$G,match($A1124,fatty_acid!$A:$A,0)))</f>
        <v>BFA34-64</v>
      </c>
      <c r="G1124" t="str">
        <f t="array" ref="G1124">iferror(index(fatty_acid!$J:$J,match($A1124,fatty_acid!$A:$A,0)))</f>
        <v>N</v>
      </c>
      <c r="H1124" t="str">
        <f t="array" ref="H1124">iferror(index(isotopes!$G:$G,match($A1124,isotopes!$A:$A,0)))</f>
        <v>BIS37-64</v>
      </c>
      <c r="I1124" t="str">
        <f t="array" ref="I1124">iferror(index(isotopes!$J:$J,match($A1124,isotopes!$A:$A,0)))</f>
        <v>N</v>
      </c>
      <c r="J1124" t="str">
        <f t="array" ref="J1124">iferror(index(extra_muscle!$G:$G,match($A1124,extra_muscle!$A:$A,0)))</f>
        <v>BXM35-64</v>
      </c>
      <c r="K1124" t="str">
        <f t="array" ref="K1124">iferror(index(extra_muscle!$J:$J,match($A1124,extra_muscle!$A:$A,0)))</f>
        <v>N</v>
      </c>
      <c r="L1124" s="59" t="str">
        <f t="array" ref="L1124">iferror(index(dna!$G:$G,match($A1124,dna!$A:$A,0)))</f>
        <v>BDN4-78</v>
      </c>
      <c r="M1124" s="60" t="str">
        <f t="array" ref="M1124">iferror(index(dna!$J:$J,match($A1124,dna!$A:$A,0)))</f>
        <v>N</v>
      </c>
      <c r="N1124" t="str">
        <f t="array" ref="N1124">iferror(index(stomachs!$G:$G,match($A1124,stomachs!$A:$A,0)))</f>
        <v/>
      </c>
      <c r="O1124" t="str">
        <f t="array" ref="O1124">iferror(index(stomachs!$J:$J,match($A1124,stomachs!$A:$A,0)))</f>
        <v/>
      </c>
      <c r="P1124" t="str">
        <f t="array" ref="P1124">iferror(index(sea_lice!$G:$G,match($A1124,sea_lice!$A:$A,0)))</f>
        <v>BSL7-69</v>
      </c>
      <c r="Q1124" t="str">
        <f t="array" ref="Q1124">iferror(index(sea_lice!$J:$J,match($A1124,sea_lice!$A:$A,0)))</f>
        <v>N</v>
      </c>
      <c r="R1124" s="40" t="str">
        <f t="array" ref="R1124">iferror(index(dissected_fish!$F:$F,match($A1124,dissected_fish!$A:$A,0)))</f>
        <v>BCA110</v>
      </c>
      <c r="S1124" s="40" t="str">
        <f t="array" ref="S1124">iferror(index(dissected_fish!$K:$K,match($A1124,dissected_fish!$A:$A,0)))</f>
        <v>N</v>
      </c>
      <c r="T1124" s="61" t="str">
        <f t="array" ref="T1124">index(fish_lab_data!O:O,match(A1124,fish_lab_data!C:C,0))</f>
        <v>KB</v>
      </c>
      <c r="U1124" s="61">
        <f t="array" ref="U1124">if(A1124="","",index(fish_lab_data!X:X,match(A1124,fish_lab_data!C:C,0)))</f>
        <v>1123</v>
      </c>
    </row>
    <row r="1125">
      <c r="A1125" t="str">
        <f>fish_lab_data!C1125</f>
        <v>U17606</v>
      </c>
      <c r="B1125" t="str">
        <f t="array" ref="B1125">iferror(index('rna-muscle'!$I:$I,match($A1125,'rna-muscle'!$A:$A,0)))</f>
        <v>BRN74M-C3</v>
      </c>
      <c r="C1125" t="str">
        <f t="array" ref="C1125">iferror(index('rna-muscle'!$L:$L,match($A1125,'rna-muscle'!$A:$A,0)))</f>
        <v>N</v>
      </c>
      <c r="D1125" t="str">
        <f t="array" ref="D1125">iferror(index('rna-gill'!$I:$I,match($A1125,'rna-gill'!$A:$A,0)))</f>
        <v>BRN74G-C3</v>
      </c>
      <c r="E1125" t="str">
        <f t="array" ref="E1125">iferror(index('rna-gill'!$L:$L,match($A1125,'rna-gill'!$A:$A,0)))</f>
        <v>N</v>
      </c>
      <c r="F1125" t="str">
        <f t="array" ref="F1125">iferror(index(fatty_acid!$G:$G,match($A1125,fatty_acid!$A:$A,0)))</f>
        <v>BFA34-65</v>
      </c>
      <c r="G1125" t="str">
        <f t="array" ref="G1125">iferror(index(fatty_acid!$J:$J,match($A1125,fatty_acid!$A:$A,0)))</f>
        <v>N</v>
      </c>
      <c r="H1125" t="str">
        <f t="array" ref="H1125">iferror(index(isotopes!$G:$G,match($A1125,isotopes!$A:$A,0)))</f>
        <v>BIS37-65</v>
      </c>
      <c r="I1125" t="str">
        <f t="array" ref="I1125">iferror(index(isotopes!$J:$J,match($A1125,isotopes!$A:$A,0)))</f>
        <v>N</v>
      </c>
      <c r="J1125" t="str">
        <f t="array" ref="J1125">iferror(index(extra_muscle!$G:$G,match($A1125,extra_muscle!$A:$A,0)))</f>
        <v>BXM35-65</v>
      </c>
      <c r="K1125" t="str">
        <f t="array" ref="K1125">iferror(index(extra_muscle!$J:$J,match($A1125,extra_muscle!$A:$A,0)))</f>
        <v>N</v>
      </c>
      <c r="L1125" s="59" t="str">
        <f t="array" ref="L1125">iferror(index(dna!$G:$G,match($A1125,dna!$A:$A,0)))</f>
        <v>BDN4-79</v>
      </c>
      <c r="M1125" s="60" t="str">
        <f t="array" ref="M1125">iferror(index(dna!$J:$J,match($A1125,dna!$A:$A,0)))</f>
        <v>N</v>
      </c>
      <c r="N1125" t="str">
        <f t="array" ref="N1125">iferror(index(stomachs!$G:$G,match($A1125,stomachs!$A:$A,0)))</f>
        <v/>
      </c>
      <c r="O1125" t="str">
        <f t="array" ref="O1125">iferror(index(stomachs!$J:$J,match($A1125,stomachs!$A:$A,0)))</f>
        <v/>
      </c>
      <c r="P1125" t="str">
        <f t="array" ref="P1125">iferror(index(sea_lice!$G:$G,match($A1125,sea_lice!$A:$A,0)))</f>
        <v>BSL7-70</v>
      </c>
      <c r="Q1125" t="str">
        <f t="array" ref="Q1125">iferror(index(sea_lice!$J:$J,match($A1125,sea_lice!$A:$A,0)))</f>
        <v>N</v>
      </c>
      <c r="R1125" s="40" t="str">
        <f t="array" ref="R1125">iferror(index(dissected_fish!$F:$F,match($A1125,dissected_fish!$A:$A,0)))</f>
        <v>BCA110</v>
      </c>
      <c r="S1125" s="40" t="str">
        <f t="array" ref="S1125">iferror(index(dissected_fish!$K:$K,match($A1125,dissected_fish!$A:$A,0)))</f>
        <v>N</v>
      </c>
      <c r="T1125" s="61" t="str">
        <f t="array" ref="T1125">index(fish_lab_data!O:O,match(A1125,fish_lab_data!C:C,0))</f>
        <v>KB</v>
      </c>
      <c r="U1125" s="61">
        <f t="array" ref="U1125">if(A1125="","",index(fish_lab_data!X:X,match(A1125,fish_lab_data!C:C,0)))</f>
        <v>1124</v>
      </c>
    </row>
    <row r="1126">
      <c r="A1126" t="str">
        <f>fish_lab_data!C1126</f>
        <v>U17229</v>
      </c>
      <c r="B1126" t="str">
        <f t="array" ref="B1126">iferror(index('rna-muscle'!$I:$I,match($A1126,'rna-muscle'!$A:$A,0)))</f>
        <v>BRN65M-G12</v>
      </c>
      <c r="C1126" t="str">
        <f t="array" ref="C1126">iferror(index('rna-muscle'!$L:$L,match($A1126,'rna-muscle'!$A:$A,0)))</f>
        <v>N</v>
      </c>
      <c r="D1126" t="str">
        <f t="array" ref="D1126">iferror(index('rna-gill'!$I:$I,match($A1126,'rna-gill'!$A:$A,0)))</f>
        <v>BRN65G-G12</v>
      </c>
      <c r="E1126" t="str">
        <f t="array" ref="E1126">iferror(index('rna-gill'!$L:$L,match($A1126,'rna-gill'!$A:$A,0)))</f>
        <v>N</v>
      </c>
      <c r="F1126" t="str">
        <f t="array" ref="F1126">iferror(index(fatty_acid!$G:$G,match($A1126,fatty_acid!$A:$A,0)))</f>
        <v>BFA22-56</v>
      </c>
      <c r="G1126" t="str">
        <f t="array" ref="G1126">iferror(index(fatty_acid!$J:$J,match($A1126,fatty_acid!$A:$A,0)))</f>
        <v>N</v>
      </c>
      <c r="H1126" t="str">
        <f t="array" ref="H1126">iferror(index(isotopes!$G:$G,match($A1126,isotopes!$A:$A,0)))</f>
        <v>BIS36-32</v>
      </c>
      <c r="I1126" t="str">
        <f t="array" ref="I1126">iferror(index(isotopes!$J:$J,match($A1126,isotopes!$A:$A,0)))</f>
        <v>N</v>
      </c>
      <c r="J1126" t="str">
        <f t="array" ref="J1126">iferror(index(extra_muscle!$G:$G,match($A1126,extra_muscle!$A:$A,0)))</f>
        <v>BXM34-32</v>
      </c>
      <c r="K1126" t="str">
        <f t="array" ref="K1126">iferror(index(extra_muscle!$J:$J,match($A1126,extra_muscle!$A:$A,0)))</f>
        <v>N</v>
      </c>
      <c r="L1126" s="59" t="str">
        <f t="array" ref="L1126">iferror(index(dna!$G:$G,match($A1126,dna!$A:$A,0)))</f>
        <v>BDN10-22</v>
      </c>
      <c r="M1126" s="60" t="str">
        <f t="array" ref="M1126">iferror(index(dna!$J:$J,match($A1126,dna!$A:$A,0)))</f>
        <v>N</v>
      </c>
      <c r="N1126" t="str">
        <f t="array" ref="N1126">iferror(index(stomachs!$G:$G,match($A1126,stomachs!$A:$A,0)))</f>
        <v/>
      </c>
      <c r="O1126" t="str">
        <f t="array" ref="O1126">iferror(index(stomachs!$J:$J,match($A1126,stomachs!$A:$A,0)))</f>
        <v/>
      </c>
      <c r="P1126" t="str">
        <f t="array" ref="P1126">iferror(index(sea_lice!$G:$G,match($A1126,sea_lice!$A:$A,0)))</f>
        <v/>
      </c>
      <c r="Q1126" t="str">
        <f t="array" ref="Q1126">iferror(index(sea_lice!$J:$J,match($A1126,sea_lice!$A:$A,0)))</f>
        <v/>
      </c>
      <c r="R1126" s="40" t="str">
        <f t="array" ref="R1126">iferror(index(dissected_fish!$F:$F,match($A1126,dissected_fish!$A:$A,0)))</f>
        <v>BCA110</v>
      </c>
      <c r="S1126" s="40" t="str">
        <f t="array" ref="S1126">iferror(index(dissected_fish!$K:$K,match($A1126,dissected_fish!$A:$A,0)))</f>
        <v>N</v>
      </c>
      <c r="T1126" s="61" t="str">
        <f t="array" ref="T1126">index(fish_lab_data!O:O,match(A1126,fish_lab_data!C:C,0))</f>
        <v>JG</v>
      </c>
      <c r="U1126" s="61">
        <f t="array" ref="U1126">if(A1126="","",index(fish_lab_data!X:X,match(A1126,fish_lab_data!C:C,0)))</f>
        <v>1125</v>
      </c>
    </row>
    <row r="1127">
      <c r="A1127" t="str">
        <f>fish_lab_data!C1127</f>
        <v>U16880</v>
      </c>
      <c r="B1127" t="str">
        <f t="array" ref="B1127">iferror(index('rna-muscle'!$I:$I,match($A1127,'rna-muscle'!$A:$A,0)))</f>
        <v>BRN65M-F12</v>
      </c>
      <c r="C1127" t="str">
        <f t="array" ref="C1127">iferror(index('rna-muscle'!$L:$L,match($A1127,'rna-muscle'!$A:$A,0)))</f>
        <v>N</v>
      </c>
      <c r="D1127" t="str">
        <f t="array" ref="D1127">iferror(index('rna-gill'!$I:$I,match($A1127,'rna-gill'!$A:$A,0)))</f>
        <v>BRN65G-F12</v>
      </c>
      <c r="E1127" t="str">
        <f t="array" ref="E1127">iferror(index('rna-gill'!$L:$L,match($A1127,'rna-gill'!$A:$A,0)))</f>
        <v>N</v>
      </c>
      <c r="F1127" t="str">
        <f t="array" ref="F1127">iferror(index(fatty_acid!$G:$G,match($A1127,fatty_acid!$A:$A,0)))</f>
        <v>BFA22-57</v>
      </c>
      <c r="G1127" t="str">
        <f t="array" ref="G1127">iferror(index(fatty_acid!$J:$J,match($A1127,fatty_acid!$A:$A,0)))</f>
        <v>N</v>
      </c>
      <c r="H1127" t="str">
        <f t="array" ref="H1127">iferror(index(isotopes!$G:$G,match($A1127,isotopes!$A:$A,0)))</f>
        <v>BIS36-33</v>
      </c>
      <c r="I1127" t="str">
        <f t="array" ref="I1127">iferror(index(isotopes!$J:$J,match($A1127,isotopes!$A:$A,0)))</f>
        <v>N</v>
      </c>
      <c r="J1127" t="str">
        <f t="array" ref="J1127">iferror(index(extra_muscle!$G:$G,match($A1127,extra_muscle!$A:$A,0)))</f>
        <v>BXM34-33</v>
      </c>
      <c r="K1127" t="str">
        <f t="array" ref="K1127">iferror(index(extra_muscle!$J:$J,match($A1127,extra_muscle!$A:$A,0)))</f>
        <v>N</v>
      </c>
      <c r="L1127" s="59" t="str">
        <f t="array" ref="L1127">iferror(index(dna!$G:$G,match($A1127,dna!$A:$A,0)))</f>
        <v>BDN10-23</v>
      </c>
      <c r="M1127" s="60" t="str">
        <f t="array" ref="M1127">iferror(index(dna!$J:$J,match($A1127,dna!$A:$A,0)))</f>
        <v>N</v>
      </c>
      <c r="N1127" t="str">
        <f t="array" ref="N1127">iferror(index(stomachs!$G:$G,match($A1127,stomachs!$A:$A,0)))</f>
        <v/>
      </c>
      <c r="O1127" t="str">
        <f t="array" ref="O1127">iferror(index(stomachs!$J:$J,match($A1127,stomachs!$A:$A,0)))</f>
        <v/>
      </c>
      <c r="P1127" t="str">
        <f t="array" ref="P1127">iferror(index(sea_lice!$G:$G,match($A1127,sea_lice!$A:$A,0)))</f>
        <v/>
      </c>
      <c r="Q1127" t="str">
        <f t="array" ref="Q1127">iferror(index(sea_lice!$J:$J,match($A1127,sea_lice!$A:$A,0)))</f>
        <v/>
      </c>
      <c r="R1127" s="40" t="str">
        <f t="array" ref="R1127">iferror(index(dissected_fish!$F:$F,match($A1127,dissected_fish!$A:$A,0)))</f>
        <v>BCA110</v>
      </c>
      <c r="S1127" s="40" t="str">
        <f t="array" ref="S1127">iferror(index(dissected_fish!$K:$K,match($A1127,dissected_fish!$A:$A,0)))</f>
        <v>N</v>
      </c>
      <c r="T1127" s="61" t="str">
        <f t="array" ref="T1127">index(fish_lab_data!O:O,match(A1127,fish_lab_data!C:C,0))</f>
        <v>JG</v>
      </c>
      <c r="U1127" s="61">
        <f t="array" ref="U1127">if(A1127="","",index(fish_lab_data!X:X,match(A1127,fish_lab_data!C:C,0)))</f>
        <v>1126</v>
      </c>
    </row>
    <row r="1128">
      <c r="A1128" t="str">
        <f>fish_lab_data!C1128</f>
        <v>U16876</v>
      </c>
      <c r="B1128" t="str">
        <f t="array" ref="B1128">iferror(index('rna-muscle'!$I:$I,match($A1128,'rna-muscle'!$A:$A,0)))</f>
        <v>BRN65M-E12</v>
      </c>
      <c r="C1128" t="str">
        <f t="array" ref="C1128">iferror(index('rna-muscle'!$L:$L,match($A1128,'rna-muscle'!$A:$A,0)))</f>
        <v>N</v>
      </c>
      <c r="D1128" t="str">
        <f t="array" ref="D1128">iferror(index('rna-gill'!$I:$I,match($A1128,'rna-gill'!$A:$A,0)))</f>
        <v>BRN65G-E12</v>
      </c>
      <c r="E1128" t="str">
        <f t="array" ref="E1128">iferror(index('rna-gill'!$L:$L,match($A1128,'rna-gill'!$A:$A,0)))</f>
        <v>N</v>
      </c>
      <c r="F1128" t="str">
        <f t="array" ref="F1128">iferror(index(fatty_acid!$G:$G,match($A1128,fatty_acid!$A:$A,0)))</f>
        <v>BFA22-58</v>
      </c>
      <c r="G1128" t="str">
        <f t="array" ref="G1128">iferror(index(fatty_acid!$J:$J,match($A1128,fatty_acid!$A:$A,0)))</f>
        <v>N</v>
      </c>
      <c r="H1128" t="str">
        <f t="array" ref="H1128">iferror(index(isotopes!$G:$G,match($A1128,isotopes!$A:$A,0)))</f>
        <v>BIS36-34</v>
      </c>
      <c r="I1128" t="str">
        <f t="array" ref="I1128">iferror(index(isotopes!$J:$J,match($A1128,isotopes!$A:$A,0)))</f>
        <v>N</v>
      </c>
      <c r="J1128" t="str">
        <f t="array" ref="J1128">iferror(index(extra_muscle!$G:$G,match($A1128,extra_muscle!$A:$A,0)))</f>
        <v>BXM34-34</v>
      </c>
      <c r="K1128" t="str">
        <f t="array" ref="K1128">iferror(index(extra_muscle!$J:$J,match($A1128,extra_muscle!$A:$A,0)))</f>
        <v>N</v>
      </c>
      <c r="L1128" s="59" t="str">
        <f t="array" ref="L1128">iferror(index(dna!$G:$G,match($A1128,dna!$A:$A,0)))</f>
        <v>BDN10-24</v>
      </c>
      <c r="M1128" s="60" t="str">
        <f t="array" ref="M1128">iferror(index(dna!$J:$J,match($A1128,dna!$A:$A,0)))</f>
        <v>N</v>
      </c>
      <c r="N1128" t="str">
        <f t="array" ref="N1128">iferror(index(stomachs!$G:$G,match($A1128,stomachs!$A:$A,0)))</f>
        <v/>
      </c>
      <c r="O1128" t="str">
        <f t="array" ref="O1128">iferror(index(stomachs!$J:$J,match($A1128,stomachs!$A:$A,0)))</f>
        <v/>
      </c>
      <c r="P1128" t="str">
        <f t="array" ref="P1128">iferror(index(sea_lice!$G:$G,match($A1128,sea_lice!$A:$A,0)))</f>
        <v/>
      </c>
      <c r="Q1128" t="str">
        <f t="array" ref="Q1128">iferror(index(sea_lice!$J:$J,match($A1128,sea_lice!$A:$A,0)))</f>
        <v/>
      </c>
      <c r="R1128" s="40" t="str">
        <f t="array" ref="R1128">iferror(index(dissected_fish!$F:$F,match($A1128,dissected_fish!$A:$A,0)))</f>
        <v>BCA110</v>
      </c>
      <c r="S1128" s="40" t="str">
        <f t="array" ref="S1128">iferror(index(dissected_fish!$K:$K,match($A1128,dissected_fish!$A:$A,0)))</f>
        <v>N</v>
      </c>
      <c r="T1128" s="61" t="str">
        <f t="array" ref="T1128">index(fish_lab_data!O:O,match(A1128,fish_lab_data!C:C,0))</f>
        <v>JG</v>
      </c>
      <c r="U1128" s="61">
        <f t="array" ref="U1128">if(A1128="","",index(fish_lab_data!X:X,match(A1128,fish_lab_data!C:C,0)))</f>
        <v>1127</v>
      </c>
    </row>
    <row r="1129">
      <c r="A1129" t="str">
        <f>fish_lab_data!C1129</f>
        <v>U16877</v>
      </c>
      <c r="B1129" t="str">
        <f t="array" ref="B1129">iferror(index('rna-muscle'!$I:$I,match($A1129,'rna-muscle'!$A:$A,0)))</f>
        <v>BRN65M-D12</v>
      </c>
      <c r="C1129" t="str">
        <f t="array" ref="C1129">iferror(index('rna-muscle'!$L:$L,match($A1129,'rna-muscle'!$A:$A,0)))</f>
        <v>N</v>
      </c>
      <c r="D1129" t="str">
        <f t="array" ref="D1129">iferror(index('rna-gill'!$I:$I,match($A1129,'rna-gill'!$A:$A,0)))</f>
        <v>BRN65G-D12</v>
      </c>
      <c r="E1129" t="str">
        <f t="array" ref="E1129">iferror(index('rna-gill'!$L:$L,match($A1129,'rna-gill'!$A:$A,0)))</f>
        <v>N</v>
      </c>
      <c r="F1129" t="str">
        <f t="array" ref="F1129">iferror(index(fatty_acid!$G:$G,match($A1129,fatty_acid!$A:$A,0)))</f>
        <v>BFA22-59</v>
      </c>
      <c r="G1129" t="str">
        <f t="array" ref="G1129">iferror(index(fatty_acid!$J:$J,match($A1129,fatty_acid!$A:$A,0)))</f>
        <v>N</v>
      </c>
      <c r="H1129" t="str">
        <f t="array" ref="H1129">iferror(index(isotopes!$G:$G,match($A1129,isotopes!$A:$A,0)))</f>
        <v>BIS36-35</v>
      </c>
      <c r="I1129" t="str">
        <f t="array" ref="I1129">iferror(index(isotopes!$J:$J,match($A1129,isotopes!$A:$A,0)))</f>
        <v>N</v>
      </c>
      <c r="J1129" t="str">
        <f t="array" ref="J1129">iferror(index(extra_muscle!$G:$G,match($A1129,extra_muscle!$A:$A,0)))</f>
        <v>BXM34-35</v>
      </c>
      <c r="K1129" t="str">
        <f t="array" ref="K1129">iferror(index(extra_muscle!$J:$J,match($A1129,extra_muscle!$A:$A,0)))</f>
        <v>N</v>
      </c>
      <c r="L1129" s="59" t="str">
        <f t="array" ref="L1129">iferror(index(dna!$G:$G,match($A1129,dna!$A:$A,0)))</f>
        <v>BDN10-25</v>
      </c>
      <c r="M1129" s="60" t="str">
        <f t="array" ref="M1129">iferror(index(dna!$J:$J,match($A1129,dna!$A:$A,0)))</f>
        <v>N</v>
      </c>
      <c r="N1129" t="str">
        <f t="array" ref="N1129">iferror(index(stomachs!$G:$G,match($A1129,stomachs!$A:$A,0)))</f>
        <v/>
      </c>
      <c r="O1129" t="str">
        <f t="array" ref="O1129">iferror(index(stomachs!$J:$J,match($A1129,stomachs!$A:$A,0)))</f>
        <v/>
      </c>
      <c r="P1129" t="str">
        <f t="array" ref="P1129">iferror(index(sea_lice!$G:$G,match($A1129,sea_lice!$A:$A,0)))</f>
        <v/>
      </c>
      <c r="Q1129" t="str">
        <f t="array" ref="Q1129">iferror(index(sea_lice!$J:$J,match($A1129,sea_lice!$A:$A,0)))</f>
        <v/>
      </c>
      <c r="R1129" s="40" t="str">
        <f t="array" ref="R1129">iferror(index(dissected_fish!$F:$F,match($A1129,dissected_fish!$A:$A,0)))</f>
        <v>BCA110</v>
      </c>
      <c r="S1129" s="40" t="str">
        <f t="array" ref="S1129">iferror(index(dissected_fish!$K:$K,match($A1129,dissected_fish!$A:$A,0)))</f>
        <v>N</v>
      </c>
      <c r="T1129" s="61" t="str">
        <f t="array" ref="T1129">index(fish_lab_data!O:O,match(A1129,fish_lab_data!C:C,0))</f>
        <v>JG</v>
      </c>
      <c r="U1129" s="61">
        <f t="array" ref="U1129">if(A1129="","",index(fish_lab_data!X:X,match(A1129,fish_lab_data!C:C,0)))</f>
        <v>1128</v>
      </c>
    </row>
    <row r="1130">
      <c r="A1130" t="str">
        <f>fish_lab_data!C1130</f>
        <v>U16879</v>
      </c>
      <c r="B1130" t="str">
        <f t="array" ref="B1130">iferror(index('rna-muscle'!$I:$I,match($A1130,'rna-muscle'!$A:$A,0)))</f>
        <v>BRN65M-C12</v>
      </c>
      <c r="C1130" t="str">
        <f t="array" ref="C1130">iferror(index('rna-muscle'!$L:$L,match($A1130,'rna-muscle'!$A:$A,0)))</f>
        <v>N</v>
      </c>
      <c r="D1130" t="str">
        <f t="array" ref="D1130">iferror(index('rna-gill'!$I:$I,match($A1130,'rna-gill'!$A:$A,0)))</f>
        <v>BRN65G-C12</v>
      </c>
      <c r="E1130" t="str">
        <f t="array" ref="E1130">iferror(index('rna-gill'!$L:$L,match($A1130,'rna-gill'!$A:$A,0)))</f>
        <v>N</v>
      </c>
      <c r="F1130" t="str">
        <f t="array" ref="F1130">iferror(index(fatty_acid!$G:$G,match($A1130,fatty_acid!$A:$A,0)))</f>
        <v>BFA22-60</v>
      </c>
      <c r="G1130" t="str">
        <f t="array" ref="G1130">iferror(index(fatty_acid!$J:$J,match($A1130,fatty_acid!$A:$A,0)))</f>
        <v>N</v>
      </c>
      <c r="H1130" t="str">
        <f t="array" ref="H1130">iferror(index(isotopes!$G:$G,match($A1130,isotopes!$A:$A,0)))</f>
        <v>BIS36-36</v>
      </c>
      <c r="I1130" t="str">
        <f t="array" ref="I1130">iferror(index(isotopes!$J:$J,match($A1130,isotopes!$A:$A,0)))</f>
        <v>N</v>
      </c>
      <c r="J1130" t="str">
        <f t="array" ref="J1130">iferror(index(extra_muscle!$G:$G,match($A1130,extra_muscle!$A:$A,0)))</f>
        <v>BXM34-36</v>
      </c>
      <c r="K1130" t="str">
        <f t="array" ref="K1130">iferror(index(extra_muscle!$J:$J,match($A1130,extra_muscle!$A:$A,0)))</f>
        <v>N</v>
      </c>
      <c r="L1130" s="59" t="str">
        <f t="array" ref="L1130">iferror(index(dna!$G:$G,match($A1130,dna!$A:$A,0)))</f>
        <v>BDN10-26</v>
      </c>
      <c r="M1130" s="60" t="str">
        <f t="array" ref="M1130">iferror(index(dna!$J:$J,match($A1130,dna!$A:$A,0)))</f>
        <v>N</v>
      </c>
      <c r="N1130" t="str">
        <f t="array" ref="N1130">iferror(index(stomachs!$G:$G,match($A1130,stomachs!$A:$A,0)))</f>
        <v/>
      </c>
      <c r="O1130" t="str">
        <f t="array" ref="O1130">iferror(index(stomachs!$J:$J,match($A1130,stomachs!$A:$A,0)))</f>
        <v/>
      </c>
      <c r="P1130" t="str">
        <f t="array" ref="P1130">iferror(index(sea_lice!$G:$G,match($A1130,sea_lice!$A:$A,0)))</f>
        <v>BSL7-60</v>
      </c>
      <c r="Q1130" t="str">
        <f t="array" ref="Q1130">iferror(index(sea_lice!$J:$J,match($A1130,sea_lice!$A:$A,0)))</f>
        <v>N</v>
      </c>
      <c r="R1130" s="40" t="str">
        <f t="array" ref="R1130">iferror(index(dissected_fish!$F:$F,match($A1130,dissected_fish!$A:$A,0)))</f>
        <v>BCA110</v>
      </c>
      <c r="S1130" s="40" t="str">
        <f t="array" ref="S1130">iferror(index(dissected_fish!$K:$K,match($A1130,dissected_fish!$A:$A,0)))</f>
        <v>N</v>
      </c>
      <c r="T1130" s="61" t="str">
        <f t="array" ref="T1130">index(fish_lab_data!O:O,match(A1130,fish_lab_data!C:C,0))</f>
        <v>JG</v>
      </c>
      <c r="U1130" s="61">
        <f t="array" ref="U1130">if(A1130="","",index(fish_lab_data!X:X,match(A1130,fish_lab_data!C:C,0)))</f>
        <v>1129</v>
      </c>
    </row>
    <row r="1131">
      <c r="A1131" t="str">
        <f>fish_lab_data!C1131</f>
        <v>U16875</v>
      </c>
      <c r="B1131" t="str">
        <f t="array" ref="B1131">iferror(index('rna-muscle'!$I:$I,match($A1131,'rna-muscle'!$A:$A,0)))</f>
        <v>BRN65M-B12</v>
      </c>
      <c r="C1131" t="str">
        <f t="array" ref="C1131">iferror(index('rna-muscle'!$L:$L,match($A1131,'rna-muscle'!$A:$A,0)))</f>
        <v>N</v>
      </c>
      <c r="D1131" t="str">
        <f t="array" ref="D1131">iferror(index('rna-gill'!$I:$I,match($A1131,'rna-gill'!$A:$A,0)))</f>
        <v>BRN65G-B12</v>
      </c>
      <c r="E1131" t="str">
        <f t="array" ref="E1131">iferror(index('rna-gill'!$L:$L,match($A1131,'rna-gill'!$A:$A,0)))</f>
        <v>N</v>
      </c>
      <c r="F1131" t="str">
        <f t="array" ref="F1131">iferror(index(fatty_acid!$G:$G,match($A1131,fatty_acid!$A:$A,0)))</f>
        <v>BFA22-61</v>
      </c>
      <c r="G1131" t="str">
        <f t="array" ref="G1131">iferror(index(fatty_acid!$J:$J,match($A1131,fatty_acid!$A:$A,0)))</f>
        <v>N</v>
      </c>
      <c r="H1131" t="str">
        <f t="array" ref="H1131">iferror(index(isotopes!$G:$G,match($A1131,isotopes!$A:$A,0)))</f>
        <v>BIS36-37</v>
      </c>
      <c r="I1131" t="str">
        <f t="array" ref="I1131">iferror(index(isotopes!$J:$J,match($A1131,isotopes!$A:$A,0)))</f>
        <v>N</v>
      </c>
      <c r="J1131" t="str">
        <f t="array" ref="J1131">iferror(index(extra_muscle!$G:$G,match($A1131,extra_muscle!$A:$A,0)))</f>
        <v>BXM34-37</v>
      </c>
      <c r="K1131" t="str">
        <f t="array" ref="K1131">iferror(index(extra_muscle!$J:$J,match($A1131,extra_muscle!$A:$A,0)))</f>
        <v>N</v>
      </c>
      <c r="L1131" s="59" t="str">
        <f t="array" ref="L1131">iferror(index(dna!$G:$G,match($A1131,dna!$A:$A,0)))</f>
        <v>BDN10-27</v>
      </c>
      <c r="M1131" s="60" t="str">
        <f t="array" ref="M1131">iferror(index(dna!$J:$J,match($A1131,dna!$A:$A,0)))</f>
        <v>N</v>
      </c>
      <c r="N1131" t="str">
        <f t="array" ref="N1131">iferror(index(stomachs!$G:$G,match($A1131,stomachs!$A:$A,0)))</f>
        <v/>
      </c>
      <c r="O1131" t="str">
        <f t="array" ref="O1131">iferror(index(stomachs!$J:$J,match($A1131,stomachs!$A:$A,0)))</f>
        <v/>
      </c>
      <c r="P1131" t="str">
        <f t="array" ref="P1131">iferror(index(sea_lice!$G:$G,match($A1131,sea_lice!$A:$A,0)))</f>
        <v/>
      </c>
      <c r="Q1131" t="str">
        <f t="array" ref="Q1131">iferror(index(sea_lice!$J:$J,match($A1131,sea_lice!$A:$A,0)))</f>
        <v/>
      </c>
      <c r="R1131" s="40" t="str">
        <f t="array" ref="R1131">iferror(index(dissected_fish!$F:$F,match($A1131,dissected_fish!$A:$A,0)))</f>
        <v>BCA110</v>
      </c>
      <c r="S1131" s="40" t="str">
        <f t="array" ref="S1131">iferror(index(dissected_fish!$K:$K,match($A1131,dissected_fish!$A:$A,0)))</f>
        <v>N</v>
      </c>
      <c r="T1131" s="61" t="str">
        <f t="array" ref="T1131">index(fish_lab_data!O:O,match(A1131,fish_lab_data!C:C,0))</f>
        <v>JG</v>
      </c>
      <c r="U1131" s="61">
        <f t="array" ref="U1131">if(A1131="","",index(fish_lab_data!X:X,match(A1131,fish_lab_data!C:C,0)))</f>
        <v>1130</v>
      </c>
    </row>
    <row r="1132">
      <c r="A1132" t="str">
        <f>fish_lab_data!C1132</f>
        <v>U16874</v>
      </c>
      <c r="B1132" t="str">
        <f t="array" ref="B1132">iferror(index('rna-muscle'!$I:$I,match($A1132,'rna-muscle'!$A:$A,0)))</f>
        <v>BRN65M-A12</v>
      </c>
      <c r="C1132" t="str">
        <f t="array" ref="C1132">iferror(index('rna-muscle'!$L:$L,match($A1132,'rna-muscle'!$A:$A,0)))</f>
        <v>N</v>
      </c>
      <c r="D1132" t="str">
        <f t="array" ref="D1132">iferror(index('rna-gill'!$I:$I,match($A1132,'rna-gill'!$A:$A,0)))</f>
        <v>BRN65G-A12</v>
      </c>
      <c r="E1132" t="str">
        <f t="array" ref="E1132">iferror(index('rna-gill'!$L:$L,match($A1132,'rna-gill'!$A:$A,0)))</f>
        <v>N</v>
      </c>
      <c r="F1132" t="str">
        <f t="array" ref="F1132">iferror(index(fatty_acid!$G:$G,match($A1132,fatty_acid!$A:$A,0)))</f>
        <v>BFA22-62</v>
      </c>
      <c r="G1132" t="str">
        <f t="array" ref="G1132">iferror(index(fatty_acid!$J:$J,match($A1132,fatty_acid!$A:$A,0)))</f>
        <v>N</v>
      </c>
      <c r="H1132" t="str">
        <f t="array" ref="H1132">iferror(index(isotopes!$G:$G,match($A1132,isotopes!$A:$A,0)))</f>
        <v>BIS36-38</v>
      </c>
      <c r="I1132" t="str">
        <f t="array" ref="I1132">iferror(index(isotopes!$J:$J,match($A1132,isotopes!$A:$A,0)))</f>
        <v>N</v>
      </c>
      <c r="J1132" t="str">
        <f t="array" ref="J1132">iferror(index(extra_muscle!$G:$G,match($A1132,extra_muscle!$A:$A,0)))</f>
        <v>BXM34-38</v>
      </c>
      <c r="K1132" t="str">
        <f t="array" ref="K1132">iferror(index(extra_muscle!$J:$J,match($A1132,extra_muscle!$A:$A,0)))</f>
        <v>N</v>
      </c>
      <c r="L1132" s="59" t="str">
        <f t="array" ref="L1132">iferror(index(dna!$G:$G,match($A1132,dna!$A:$A,0)))</f>
        <v>BDN10-28</v>
      </c>
      <c r="M1132" s="60" t="str">
        <f t="array" ref="M1132">iferror(index(dna!$J:$J,match($A1132,dna!$A:$A,0)))</f>
        <v>N</v>
      </c>
      <c r="N1132" t="str">
        <f t="array" ref="N1132">iferror(index(stomachs!$G:$G,match($A1132,stomachs!$A:$A,0)))</f>
        <v/>
      </c>
      <c r="O1132" t="str">
        <f t="array" ref="O1132">iferror(index(stomachs!$J:$J,match($A1132,stomachs!$A:$A,0)))</f>
        <v/>
      </c>
      <c r="P1132" t="str">
        <f t="array" ref="P1132">iferror(index(sea_lice!$G:$G,match($A1132,sea_lice!$A:$A,0)))</f>
        <v>BSL7-62</v>
      </c>
      <c r="Q1132" t="str">
        <f t="array" ref="Q1132">iferror(index(sea_lice!$J:$J,match($A1132,sea_lice!$A:$A,0)))</f>
        <v>N</v>
      </c>
      <c r="R1132" s="40" t="str">
        <f t="array" ref="R1132">iferror(index(dissected_fish!$F:$F,match($A1132,dissected_fish!$A:$A,0)))</f>
        <v>BCA110</v>
      </c>
      <c r="S1132" s="40" t="str">
        <f t="array" ref="S1132">iferror(index(dissected_fish!$K:$K,match($A1132,dissected_fish!$A:$A,0)))</f>
        <v>N</v>
      </c>
      <c r="T1132" s="61" t="str">
        <f t="array" ref="T1132">index(fish_lab_data!O:O,match(A1132,fish_lab_data!C:C,0))</f>
        <v>JG</v>
      </c>
      <c r="U1132" s="61">
        <f t="array" ref="U1132">if(A1132="","",index(fish_lab_data!X:X,match(A1132,fish_lab_data!C:C,0)))</f>
        <v>1131</v>
      </c>
    </row>
    <row r="1133">
      <c r="A1133" t="str">
        <f>fish_lab_data!C1133</f>
        <v>U16878</v>
      </c>
      <c r="B1133" t="str">
        <f t="array" ref="B1133">iferror(index('rna-muscle'!$I:$I,match($A1133,'rna-muscle'!$A:$A,0)))</f>
        <v>BRN74M-H2</v>
      </c>
      <c r="C1133" t="str">
        <f t="array" ref="C1133">iferror(index('rna-muscle'!$L:$L,match($A1133,'rna-muscle'!$A:$A,0)))</f>
        <v>N</v>
      </c>
      <c r="D1133" t="str">
        <f t="array" ref="D1133">iferror(index('rna-gill'!$I:$I,match($A1133,'rna-gill'!$A:$A,0)))</f>
        <v>BRN74G-H2</v>
      </c>
      <c r="E1133" t="str">
        <f t="array" ref="E1133">iferror(index('rna-gill'!$L:$L,match($A1133,'rna-gill'!$A:$A,0)))</f>
        <v>N</v>
      </c>
      <c r="F1133" t="str">
        <f t="array" ref="F1133">iferror(index(fatty_acid!$G:$G,match($A1133,fatty_acid!$A:$A,0)))</f>
        <v>BFA22-63</v>
      </c>
      <c r="G1133" t="str">
        <f t="array" ref="G1133">iferror(index(fatty_acid!$J:$J,match($A1133,fatty_acid!$A:$A,0)))</f>
        <v>N</v>
      </c>
      <c r="H1133" t="str">
        <f t="array" ref="H1133">iferror(index(isotopes!$G:$G,match($A1133,isotopes!$A:$A,0)))</f>
        <v>BIS36-39</v>
      </c>
      <c r="I1133" t="str">
        <f t="array" ref="I1133">iferror(index(isotopes!$J:$J,match($A1133,isotopes!$A:$A,0)))</f>
        <v>N</v>
      </c>
      <c r="J1133" t="str">
        <f t="array" ref="J1133">iferror(index(extra_muscle!$G:$G,match($A1133,extra_muscle!$A:$A,0)))</f>
        <v>BXM34-39</v>
      </c>
      <c r="K1133" t="str">
        <f t="array" ref="K1133">iferror(index(extra_muscle!$J:$J,match($A1133,extra_muscle!$A:$A,0)))</f>
        <v>N</v>
      </c>
      <c r="L1133" s="59" t="str">
        <f t="array" ref="L1133">iferror(index(dna!$G:$G,match($A1133,dna!$A:$A,0)))</f>
        <v>BDN10-29</v>
      </c>
      <c r="M1133" s="60" t="str">
        <f t="array" ref="M1133">iferror(index(dna!$J:$J,match($A1133,dna!$A:$A,0)))</f>
        <v>N</v>
      </c>
      <c r="N1133" t="str">
        <f t="array" ref="N1133">iferror(index(stomachs!$G:$G,match($A1133,stomachs!$A:$A,0)))</f>
        <v/>
      </c>
      <c r="O1133" t="str">
        <f t="array" ref="O1133">iferror(index(stomachs!$J:$J,match($A1133,stomachs!$A:$A,0)))</f>
        <v/>
      </c>
      <c r="P1133" t="str">
        <f t="array" ref="P1133">iferror(index(sea_lice!$G:$G,match($A1133,sea_lice!$A:$A,0)))</f>
        <v>BSL7-63</v>
      </c>
      <c r="Q1133" t="str">
        <f t="array" ref="Q1133">iferror(index(sea_lice!$J:$J,match($A1133,sea_lice!$A:$A,0)))</f>
        <v>N</v>
      </c>
      <c r="R1133" s="40" t="str">
        <f t="array" ref="R1133">iferror(index(dissected_fish!$F:$F,match($A1133,dissected_fish!$A:$A,0)))</f>
        <v>BCA110</v>
      </c>
      <c r="S1133" s="40" t="str">
        <f t="array" ref="S1133">iferror(index(dissected_fish!$K:$K,match($A1133,dissected_fish!$A:$A,0)))</f>
        <v>N</v>
      </c>
      <c r="T1133" s="61" t="str">
        <f t="array" ref="T1133">index(fish_lab_data!O:O,match(A1133,fish_lab_data!C:C,0))</f>
        <v>JG</v>
      </c>
      <c r="U1133" s="61">
        <f t="array" ref="U1133">if(A1133="","",index(fish_lab_data!X:X,match(A1133,fish_lab_data!C:C,0)))</f>
        <v>1132</v>
      </c>
    </row>
    <row r="1134">
      <c r="A1134" t="str">
        <f>fish_lab_data!C1134</f>
        <v>U16872</v>
      </c>
      <c r="B1134" t="str">
        <f t="array" ref="B1134">iferror(index('rna-muscle'!$I:$I,match($A1134,'rna-muscle'!$A:$A,0)))</f>
        <v>BRN74M-G2</v>
      </c>
      <c r="C1134" t="str">
        <f t="array" ref="C1134">iferror(index('rna-muscle'!$L:$L,match($A1134,'rna-muscle'!$A:$A,0)))</f>
        <v>N</v>
      </c>
      <c r="D1134" t="str">
        <f t="array" ref="D1134">iferror(index('rna-gill'!$I:$I,match($A1134,'rna-gill'!$A:$A,0)))</f>
        <v>BRN74G-G2</v>
      </c>
      <c r="E1134" t="str">
        <f t="array" ref="E1134">iferror(index('rna-gill'!$L:$L,match($A1134,'rna-gill'!$A:$A,0)))</f>
        <v>N</v>
      </c>
      <c r="F1134" t="str">
        <f t="array" ref="F1134">iferror(index(fatty_acid!$G:$G,match($A1134,fatty_acid!$A:$A,0)))</f>
        <v>BFA22-64</v>
      </c>
      <c r="G1134" t="str">
        <f t="array" ref="G1134">iferror(index(fatty_acid!$J:$J,match($A1134,fatty_acid!$A:$A,0)))</f>
        <v>N</v>
      </c>
      <c r="H1134" t="str">
        <f t="array" ref="H1134">iferror(index(isotopes!$G:$G,match($A1134,isotopes!$A:$A,0)))</f>
        <v>BIS36-40</v>
      </c>
      <c r="I1134" t="str">
        <f t="array" ref="I1134">iferror(index(isotopes!$J:$J,match($A1134,isotopes!$A:$A,0)))</f>
        <v>N</v>
      </c>
      <c r="J1134" t="str">
        <f t="array" ref="J1134">iferror(index(extra_muscle!$G:$G,match($A1134,extra_muscle!$A:$A,0)))</f>
        <v>BXM34-40</v>
      </c>
      <c r="K1134" t="str">
        <f t="array" ref="K1134">iferror(index(extra_muscle!$J:$J,match($A1134,extra_muscle!$A:$A,0)))</f>
        <v>N</v>
      </c>
      <c r="L1134" s="59" t="str">
        <f t="array" ref="L1134">iferror(index(dna!$G:$G,match($A1134,dna!$A:$A,0)))</f>
        <v>BDN10-30</v>
      </c>
      <c r="M1134" s="60" t="str">
        <f t="array" ref="M1134">iferror(index(dna!$J:$J,match($A1134,dna!$A:$A,0)))</f>
        <v>N</v>
      </c>
      <c r="N1134" t="str">
        <f t="array" ref="N1134">iferror(index(stomachs!$G:$G,match($A1134,stomachs!$A:$A,0)))</f>
        <v/>
      </c>
      <c r="O1134" t="str">
        <f t="array" ref="O1134">iferror(index(stomachs!$J:$J,match($A1134,stomachs!$A:$A,0)))</f>
        <v/>
      </c>
      <c r="P1134" t="str">
        <f t="array" ref="P1134">iferror(index(sea_lice!$G:$G,match($A1134,sea_lice!$A:$A,0)))</f>
        <v/>
      </c>
      <c r="Q1134" t="str">
        <f t="array" ref="Q1134">iferror(index(sea_lice!$J:$J,match($A1134,sea_lice!$A:$A,0)))</f>
        <v/>
      </c>
      <c r="R1134" s="40" t="str">
        <f t="array" ref="R1134">iferror(index(dissected_fish!$F:$F,match($A1134,dissected_fish!$A:$A,0)))</f>
        <v>BCA110</v>
      </c>
      <c r="S1134" s="40" t="str">
        <f t="array" ref="S1134">iferror(index(dissected_fish!$K:$K,match($A1134,dissected_fish!$A:$A,0)))</f>
        <v>N</v>
      </c>
      <c r="T1134" s="61" t="str">
        <f t="array" ref="T1134">index(fish_lab_data!O:O,match(A1134,fish_lab_data!C:C,0))</f>
        <v>JG</v>
      </c>
      <c r="U1134" s="61">
        <f t="array" ref="U1134">if(A1134="","",index(fish_lab_data!X:X,match(A1134,fish_lab_data!C:C,0)))</f>
        <v>1133</v>
      </c>
    </row>
    <row r="1135">
      <c r="A1135" t="str">
        <f>fish_lab_data!C1135</f>
        <v>U16873</v>
      </c>
      <c r="B1135" t="str">
        <f t="array" ref="B1135">iferror(index('rna-muscle'!$I:$I,match($A1135,'rna-muscle'!$A:$A,0)))</f>
        <v>BRN74M-F2</v>
      </c>
      <c r="C1135" t="str">
        <f t="array" ref="C1135">iferror(index('rna-muscle'!$L:$L,match($A1135,'rna-muscle'!$A:$A,0)))</f>
        <v>N</v>
      </c>
      <c r="D1135" t="str">
        <f t="array" ref="D1135">iferror(index('rna-gill'!$I:$I,match($A1135,'rna-gill'!$A:$A,0)))</f>
        <v>BRN74G-F2</v>
      </c>
      <c r="E1135" t="str">
        <f t="array" ref="E1135">iferror(index('rna-gill'!$L:$L,match($A1135,'rna-gill'!$A:$A,0)))</f>
        <v>N</v>
      </c>
      <c r="F1135" t="str">
        <f t="array" ref="F1135">iferror(index(fatty_acid!$G:$G,match($A1135,fatty_acid!$A:$A,0)))</f>
        <v>BFA22-65</v>
      </c>
      <c r="G1135" t="str">
        <f t="array" ref="G1135">iferror(index(fatty_acid!$J:$J,match($A1135,fatty_acid!$A:$A,0)))</f>
        <v>N</v>
      </c>
      <c r="H1135" t="str">
        <f t="array" ref="H1135">iferror(index(isotopes!$G:$G,match($A1135,isotopes!$A:$A,0)))</f>
        <v>BIS36-41</v>
      </c>
      <c r="I1135" t="str">
        <f t="array" ref="I1135">iferror(index(isotopes!$J:$J,match($A1135,isotopes!$A:$A,0)))</f>
        <v>N</v>
      </c>
      <c r="J1135" t="str">
        <f t="array" ref="J1135">iferror(index(extra_muscle!$G:$G,match($A1135,extra_muscle!$A:$A,0)))</f>
        <v>BXM34-41</v>
      </c>
      <c r="K1135" t="str">
        <f t="array" ref="K1135">iferror(index(extra_muscle!$J:$J,match($A1135,extra_muscle!$A:$A,0)))</f>
        <v>N</v>
      </c>
      <c r="L1135" s="59" t="str">
        <f t="array" ref="L1135">iferror(index(dna!$G:$G,match($A1135,dna!$A:$A,0)))</f>
        <v>BDN10-31</v>
      </c>
      <c r="M1135" s="60" t="str">
        <f t="array" ref="M1135">iferror(index(dna!$J:$J,match($A1135,dna!$A:$A,0)))</f>
        <v>N</v>
      </c>
      <c r="N1135" t="str">
        <f t="array" ref="N1135">iferror(index(stomachs!$G:$G,match($A1135,stomachs!$A:$A,0)))</f>
        <v/>
      </c>
      <c r="O1135" t="str">
        <f t="array" ref="O1135">iferror(index(stomachs!$J:$J,match($A1135,stomachs!$A:$A,0)))</f>
        <v/>
      </c>
      <c r="P1135" t="str">
        <f t="array" ref="P1135">iferror(index(sea_lice!$G:$G,match($A1135,sea_lice!$A:$A,0)))</f>
        <v/>
      </c>
      <c r="Q1135" t="str">
        <f t="array" ref="Q1135">iferror(index(sea_lice!$J:$J,match($A1135,sea_lice!$A:$A,0)))</f>
        <v/>
      </c>
      <c r="R1135" s="40" t="str">
        <f t="array" ref="R1135">iferror(index(dissected_fish!$F:$F,match($A1135,dissected_fish!$A:$A,0)))</f>
        <v>BCA110</v>
      </c>
      <c r="S1135" s="40" t="str">
        <f t="array" ref="S1135">iferror(index(dissected_fish!$K:$K,match($A1135,dissected_fish!$A:$A,0)))</f>
        <v>N</v>
      </c>
      <c r="T1135" s="61" t="str">
        <f t="array" ref="T1135">index(fish_lab_data!O:O,match(A1135,fish_lab_data!C:C,0))</f>
        <v>JG</v>
      </c>
      <c r="U1135" s="61">
        <f t="array" ref="U1135">if(A1135="","",index(fish_lab_data!X:X,match(A1135,fish_lab_data!C:C,0)))</f>
        <v>1134</v>
      </c>
    </row>
    <row r="1136">
      <c r="A1136" t="str">
        <f>fish_lab_data!C1136</f>
        <v>U16871</v>
      </c>
      <c r="B1136" t="str">
        <f t="array" ref="B1136">iferror(index('rna-muscle'!$I:$I,match($A1136,'rna-muscle'!$A:$A,0)))</f>
        <v>BRN74M-E2</v>
      </c>
      <c r="C1136" t="str">
        <f t="array" ref="C1136">iferror(index('rna-muscle'!$L:$L,match($A1136,'rna-muscle'!$A:$A,0)))</f>
        <v>N</v>
      </c>
      <c r="D1136" t="str">
        <f t="array" ref="D1136">iferror(index('rna-gill'!$I:$I,match($A1136,'rna-gill'!$A:$A,0)))</f>
        <v>BRN74G-E2</v>
      </c>
      <c r="E1136" t="str">
        <f t="array" ref="E1136">iferror(index('rna-gill'!$L:$L,match($A1136,'rna-gill'!$A:$A,0)))</f>
        <v>N</v>
      </c>
      <c r="F1136" t="str">
        <f t="array" ref="F1136">iferror(index(fatty_acid!$G:$G,match($A1136,fatty_acid!$A:$A,0)))</f>
        <v>BFA22-66</v>
      </c>
      <c r="G1136" t="str">
        <f t="array" ref="G1136">iferror(index(fatty_acid!$J:$J,match($A1136,fatty_acid!$A:$A,0)))</f>
        <v>N</v>
      </c>
      <c r="H1136" t="str">
        <f t="array" ref="H1136">iferror(index(isotopes!$G:$G,match($A1136,isotopes!$A:$A,0)))</f>
        <v>BIS36-42</v>
      </c>
      <c r="I1136" t="str">
        <f t="array" ref="I1136">iferror(index(isotopes!$J:$J,match($A1136,isotopes!$A:$A,0)))</f>
        <v>N</v>
      </c>
      <c r="J1136" t="str">
        <f t="array" ref="J1136">iferror(index(extra_muscle!$G:$G,match($A1136,extra_muscle!$A:$A,0)))</f>
        <v>BXM34-42</v>
      </c>
      <c r="K1136" t="str">
        <f t="array" ref="K1136">iferror(index(extra_muscle!$J:$J,match($A1136,extra_muscle!$A:$A,0)))</f>
        <v>N</v>
      </c>
      <c r="L1136" s="59" t="str">
        <f t="array" ref="L1136">iferror(index(dna!$G:$G,match($A1136,dna!$A:$A,0)))</f>
        <v>BDN10-32</v>
      </c>
      <c r="M1136" s="60" t="str">
        <f t="array" ref="M1136">iferror(index(dna!$J:$J,match($A1136,dna!$A:$A,0)))</f>
        <v>N</v>
      </c>
      <c r="N1136" t="str">
        <f t="array" ref="N1136">iferror(index(stomachs!$G:$G,match($A1136,stomachs!$A:$A,0)))</f>
        <v/>
      </c>
      <c r="O1136" t="str">
        <f t="array" ref="O1136">iferror(index(stomachs!$J:$J,match($A1136,stomachs!$A:$A,0)))</f>
        <v/>
      </c>
      <c r="P1136" t="str">
        <f t="array" ref="P1136">iferror(index(sea_lice!$G:$G,match($A1136,sea_lice!$A:$A,0)))</f>
        <v/>
      </c>
      <c r="Q1136" t="str">
        <f t="array" ref="Q1136">iferror(index(sea_lice!$J:$J,match($A1136,sea_lice!$A:$A,0)))</f>
        <v/>
      </c>
      <c r="R1136" s="40" t="str">
        <f t="array" ref="R1136">iferror(index(dissected_fish!$F:$F,match($A1136,dissected_fish!$A:$A,0)))</f>
        <v>BCA110</v>
      </c>
      <c r="S1136" s="40" t="str">
        <f t="array" ref="S1136">iferror(index(dissected_fish!$K:$K,match($A1136,dissected_fish!$A:$A,0)))</f>
        <v>N</v>
      </c>
      <c r="T1136" s="61" t="str">
        <f t="array" ref="T1136">index(fish_lab_data!O:O,match(A1136,fish_lab_data!C:C,0))</f>
        <v>JG</v>
      </c>
      <c r="U1136" s="61">
        <f t="array" ref="U1136">if(A1136="","",index(fish_lab_data!X:X,match(A1136,fish_lab_data!C:C,0)))</f>
        <v>1135</v>
      </c>
    </row>
    <row r="1137">
      <c r="A1137" t="str">
        <f>fish_lab_data!C1137</f>
        <v>U17560</v>
      </c>
      <c r="B1137" t="str">
        <f t="array" ref="B1137">iferror(index('rna-muscle'!$I:$I,match($A1137,'rna-muscle'!$A:$A,0)))</f>
        <v>BRN74M-D2</v>
      </c>
      <c r="C1137" t="str">
        <f t="array" ref="C1137">iferror(index('rna-muscle'!$L:$L,match($A1137,'rna-muscle'!$A:$A,0)))</f>
        <v>N</v>
      </c>
      <c r="D1137" t="str">
        <f t="array" ref="D1137">iferror(index('rna-gill'!$I:$I,match($A1137,'rna-gill'!$A:$A,0)))</f>
        <v>BRN74G-D2</v>
      </c>
      <c r="E1137" t="str">
        <f t="array" ref="E1137">iferror(index('rna-gill'!$L:$L,match($A1137,'rna-gill'!$A:$A,0)))</f>
        <v>N</v>
      </c>
      <c r="F1137" t="str">
        <f t="array" ref="F1137">iferror(index(fatty_acid!$G:$G,match($A1137,fatty_acid!$A:$A,0)))</f>
        <v>BFA22-67</v>
      </c>
      <c r="G1137" t="str">
        <f t="array" ref="G1137">iferror(index(fatty_acid!$J:$J,match($A1137,fatty_acid!$A:$A,0)))</f>
        <v>N</v>
      </c>
      <c r="H1137" t="str">
        <f t="array" ref="H1137">iferror(index(isotopes!$G:$G,match($A1137,isotopes!$A:$A,0)))</f>
        <v>BIS36-43</v>
      </c>
      <c r="I1137" t="str">
        <f t="array" ref="I1137">iferror(index(isotopes!$J:$J,match($A1137,isotopes!$A:$A,0)))</f>
        <v>N</v>
      </c>
      <c r="J1137" t="str">
        <f t="array" ref="J1137">iferror(index(extra_muscle!$G:$G,match($A1137,extra_muscle!$A:$A,0)))</f>
        <v>BXM34-43</v>
      </c>
      <c r="K1137" t="str">
        <f t="array" ref="K1137">iferror(index(extra_muscle!$J:$J,match($A1137,extra_muscle!$A:$A,0)))</f>
        <v>N</v>
      </c>
      <c r="L1137" s="59" t="str">
        <f t="array" ref="L1137">iferror(index(dna!$G:$G,match($A1137,dna!$A:$A,0)))</f>
        <v>BDN10-33</v>
      </c>
      <c r="M1137" s="60" t="str">
        <f t="array" ref="M1137">iferror(index(dna!$J:$J,match($A1137,dna!$A:$A,0)))</f>
        <v>N</v>
      </c>
      <c r="N1137" t="str">
        <f t="array" ref="N1137">iferror(index(stomachs!$G:$G,match($A1137,stomachs!$A:$A,0)))</f>
        <v/>
      </c>
      <c r="O1137" t="str">
        <f t="array" ref="O1137">iferror(index(stomachs!$J:$J,match($A1137,stomachs!$A:$A,0)))</f>
        <v/>
      </c>
      <c r="P1137" t="str">
        <f t="array" ref="P1137">iferror(index(sea_lice!$G:$G,match($A1137,sea_lice!$A:$A,0)))</f>
        <v>BSL7-66</v>
      </c>
      <c r="Q1137" t="str">
        <f t="array" ref="Q1137">iferror(index(sea_lice!$J:$J,match($A1137,sea_lice!$A:$A,0)))</f>
        <v>N</v>
      </c>
      <c r="R1137" s="40" t="str">
        <f t="array" ref="R1137">iferror(index(dissected_fish!$F:$F,match($A1137,dissected_fish!$A:$A,0)))</f>
        <v>BCA110</v>
      </c>
      <c r="S1137" s="40" t="str">
        <f t="array" ref="S1137">iferror(index(dissected_fish!$K:$K,match($A1137,dissected_fish!$A:$A,0)))</f>
        <v>N</v>
      </c>
      <c r="T1137" s="61" t="str">
        <f t="array" ref="T1137">index(fish_lab_data!O:O,match(A1137,fish_lab_data!C:C,0))</f>
        <v>JG</v>
      </c>
      <c r="U1137" s="61">
        <f t="array" ref="U1137">if(A1137="","",index(fish_lab_data!X:X,match(A1137,fish_lab_data!C:C,0)))</f>
        <v>1136</v>
      </c>
    </row>
    <row r="1138">
      <c r="A1138" t="str">
        <f>fish_lab_data!C1138</f>
        <v>U17552</v>
      </c>
      <c r="B1138" t="str">
        <f t="array" ref="B1138">iferror(index('rna-muscle'!$I:$I,match($A1138,'rna-muscle'!$A:$A,0)))</f>
        <v>BRN74M-C2</v>
      </c>
      <c r="C1138" t="str">
        <f t="array" ref="C1138">iferror(index('rna-muscle'!$L:$L,match($A1138,'rna-muscle'!$A:$A,0)))</f>
        <v>N</v>
      </c>
      <c r="D1138" t="str">
        <f t="array" ref="D1138">iferror(index('rna-gill'!$I:$I,match($A1138,'rna-gill'!$A:$A,0)))</f>
        <v>BRN74G-C2</v>
      </c>
      <c r="E1138" t="str">
        <f t="array" ref="E1138">iferror(index('rna-gill'!$L:$L,match($A1138,'rna-gill'!$A:$A,0)))</f>
        <v>N</v>
      </c>
      <c r="F1138" t="str">
        <f t="array" ref="F1138">iferror(index(fatty_acid!$G:$G,match($A1138,fatty_acid!$A:$A,0)))</f>
        <v>BFA22-68</v>
      </c>
      <c r="G1138" t="str">
        <f t="array" ref="G1138">iferror(index(fatty_acid!$J:$J,match($A1138,fatty_acid!$A:$A,0)))</f>
        <v>N</v>
      </c>
      <c r="H1138" t="str">
        <f t="array" ref="H1138">iferror(index(isotopes!$G:$G,match($A1138,isotopes!$A:$A,0)))</f>
        <v>BIS36-44</v>
      </c>
      <c r="I1138" t="str">
        <f t="array" ref="I1138">iferror(index(isotopes!$J:$J,match($A1138,isotopes!$A:$A,0)))</f>
        <v>N</v>
      </c>
      <c r="J1138" t="str">
        <f t="array" ref="J1138">iferror(index(extra_muscle!$G:$G,match($A1138,extra_muscle!$A:$A,0)))</f>
        <v>BXM34-44</v>
      </c>
      <c r="K1138" t="str">
        <f t="array" ref="K1138">iferror(index(extra_muscle!$J:$J,match($A1138,extra_muscle!$A:$A,0)))</f>
        <v>N</v>
      </c>
      <c r="L1138" s="59" t="str">
        <f t="array" ref="L1138">iferror(index(dna!$G:$G,match($A1138,dna!$A:$A,0)))</f>
        <v>BDN10-34</v>
      </c>
      <c r="M1138" s="60" t="str">
        <f t="array" ref="M1138">iferror(index(dna!$J:$J,match($A1138,dna!$A:$A,0)))</f>
        <v>N</v>
      </c>
      <c r="N1138" t="str">
        <f t="array" ref="N1138">iferror(index(stomachs!$G:$G,match($A1138,stomachs!$A:$A,0)))</f>
        <v/>
      </c>
      <c r="O1138" t="str">
        <f t="array" ref="O1138">iferror(index(stomachs!$J:$J,match($A1138,stomachs!$A:$A,0)))</f>
        <v/>
      </c>
      <c r="P1138" t="str">
        <f t="array" ref="P1138">iferror(index(sea_lice!$G:$G,match($A1138,sea_lice!$A:$A,0)))</f>
        <v/>
      </c>
      <c r="Q1138" t="str">
        <f t="array" ref="Q1138">iferror(index(sea_lice!$J:$J,match($A1138,sea_lice!$A:$A,0)))</f>
        <v/>
      </c>
      <c r="R1138" s="40" t="str">
        <f t="array" ref="R1138">iferror(index(dissected_fish!$F:$F,match($A1138,dissected_fish!$A:$A,0)))</f>
        <v>BCA110</v>
      </c>
      <c r="S1138" s="40" t="str">
        <f t="array" ref="S1138">iferror(index(dissected_fish!$K:$K,match($A1138,dissected_fish!$A:$A,0)))</f>
        <v>N</v>
      </c>
      <c r="T1138" s="61" t="str">
        <f t="array" ref="T1138">index(fish_lab_data!O:O,match(A1138,fish_lab_data!C:C,0))</f>
        <v>JG</v>
      </c>
      <c r="U1138" s="61">
        <f t="array" ref="U1138">if(A1138="","",index(fish_lab_data!X:X,match(A1138,fish_lab_data!C:C,0)))</f>
        <v>1137</v>
      </c>
    </row>
    <row r="1139">
      <c r="A1139" t="str">
        <f>fish_lab_data!C1139</f>
        <v>U17551</v>
      </c>
      <c r="B1139" t="str">
        <f t="array" ref="B1139">iferror(index('rna-muscle'!$I:$I,match($A1139,'rna-muscle'!$A:$A,0)))</f>
        <v>BRN74M-B2</v>
      </c>
      <c r="C1139" t="str">
        <f t="array" ref="C1139">iferror(index('rna-muscle'!$L:$L,match($A1139,'rna-muscle'!$A:$A,0)))</f>
        <v>N</v>
      </c>
      <c r="D1139" t="str">
        <f t="array" ref="D1139">iferror(index('rna-gill'!$I:$I,match($A1139,'rna-gill'!$A:$A,0)))</f>
        <v>BRN74G-B2</v>
      </c>
      <c r="E1139" t="str">
        <f t="array" ref="E1139">iferror(index('rna-gill'!$L:$L,match($A1139,'rna-gill'!$A:$A,0)))</f>
        <v>N</v>
      </c>
      <c r="F1139" t="str">
        <f t="array" ref="F1139">iferror(index(fatty_acid!$G:$G,match($A1139,fatty_acid!$A:$A,0)))</f>
        <v>BFA22-69</v>
      </c>
      <c r="G1139" t="str">
        <f t="array" ref="G1139">iferror(index(fatty_acid!$J:$J,match($A1139,fatty_acid!$A:$A,0)))</f>
        <v>N</v>
      </c>
      <c r="H1139" t="str">
        <f t="array" ref="H1139">iferror(index(isotopes!$G:$G,match($A1139,isotopes!$A:$A,0)))</f>
        <v>BIS36-45</v>
      </c>
      <c r="I1139" t="str">
        <f t="array" ref="I1139">iferror(index(isotopes!$J:$J,match($A1139,isotopes!$A:$A,0)))</f>
        <v>N</v>
      </c>
      <c r="J1139" t="str">
        <f t="array" ref="J1139">iferror(index(extra_muscle!$G:$G,match($A1139,extra_muscle!$A:$A,0)))</f>
        <v>BXM34-45</v>
      </c>
      <c r="K1139" t="str">
        <f t="array" ref="K1139">iferror(index(extra_muscle!$J:$J,match($A1139,extra_muscle!$A:$A,0)))</f>
        <v>N</v>
      </c>
      <c r="L1139" s="59" t="str">
        <f t="array" ref="L1139">iferror(index(dna!$G:$G,match($A1139,dna!$A:$A,0)))</f>
        <v>BDN10-35</v>
      </c>
      <c r="M1139" s="60" t="str">
        <f t="array" ref="M1139">iferror(index(dna!$J:$J,match($A1139,dna!$A:$A,0)))</f>
        <v>N</v>
      </c>
      <c r="N1139" t="str">
        <f t="array" ref="N1139">iferror(index(stomachs!$G:$G,match($A1139,stomachs!$A:$A,0)))</f>
        <v/>
      </c>
      <c r="O1139" t="str">
        <f t="array" ref="O1139">iferror(index(stomachs!$J:$J,match($A1139,stomachs!$A:$A,0)))</f>
        <v/>
      </c>
      <c r="P1139" t="str">
        <f t="array" ref="P1139">iferror(index(sea_lice!$G:$G,match($A1139,sea_lice!$A:$A,0)))</f>
        <v>BSL7-68</v>
      </c>
      <c r="Q1139" t="str">
        <f t="array" ref="Q1139">iferror(index(sea_lice!$J:$J,match($A1139,sea_lice!$A:$A,0)))</f>
        <v>N</v>
      </c>
      <c r="R1139" s="40" t="str">
        <f t="array" ref="R1139">iferror(index(dissected_fish!$F:$F,match($A1139,dissected_fish!$A:$A,0)))</f>
        <v>BCA110</v>
      </c>
      <c r="S1139" s="40" t="str">
        <f t="array" ref="S1139">iferror(index(dissected_fish!$K:$K,match($A1139,dissected_fish!$A:$A,0)))</f>
        <v>N</v>
      </c>
      <c r="T1139" s="61" t="str">
        <f t="array" ref="T1139">index(fish_lab_data!O:O,match(A1139,fish_lab_data!C:C,0))</f>
        <v>JG</v>
      </c>
      <c r="U1139" s="61">
        <f t="array" ref="U1139">if(A1139="","",index(fish_lab_data!X:X,match(A1139,fish_lab_data!C:C,0)))</f>
        <v>1138</v>
      </c>
    </row>
    <row r="1140">
      <c r="A1140" t="str">
        <f>fish_lab_data!C1140</f>
        <v>U17553</v>
      </c>
      <c r="B1140" t="str">
        <f t="array" ref="B1140">iferror(index('rna-muscle'!$I:$I,match($A1140,'rna-muscle'!$A:$A,0)))</f>
        <v>BRN74M-A2</v>
      </c>
      <c r="C1140" t="str">
        <f t="array" ref="C1140">iferror(index('rna-muscle'!$L:$L,match($A1140,'rna-muscle'!$A:$A,0)))</f>
        <v>N</v>
      </c>
      <c r="D1140" t="str">
        <f t="array" ref="D1140">iferror(index('rna-gill'!$I:$I,match($A1140,'rna-gill'!$A:$A,0)))</f>
        <v>BRN74G-A2</v>
      </c>
      <c r="E1140" t="str">
        <f t="array" ref="E1140">iferror(index('rna-gill'!$L:$L,match($A1140,'rna-gill'!$A:$A,0)))</f>
        <v>N</v>
      </c>
      <c r="F1140" t="str">
        <f t="array" ref="F1140">iferror(index(fatty_acid!$G:$G,match($A1140,fatty_acid!$A:$A,0)))</f>
        <v>BFA22-70</v>
      </c>
      <c r="G1140" t="str">
        <f t="array" ref="G1140">iferror(index(fatty_acid!$J:$J,match($A1140,fatty_acid!$A:$A,0)))</f>
        <v>N</v>
      </c>
      <c r="H1140" t="str">
        <f t="array" ref="H1140">iferror(index(isotopes!$G:$G,match($A1140,isotopes!$A:$A,0)))</f>
        <v>BIS36-46</v>
      </c>
      <c r="I1140" t="str">
        <f t="array" ref="I1140">iferror(index(isotopes!$J:$J,match($A1140,isotopes!$A:$A,0)))</f>
        <v>N</v>
      </c>
      <c r="J1140" t="str">
        <f t="array" ref="J1140">iferror(index(extra_muscle!$G:$G,match($A1140,extra_muscle!$A:$A,0)))</f>
        <v>BXM34-46</v>
      </c>
      <c r="K1140" t="str">
        <f t="array" ref="K1140">iferror(index(extra_muscle!$J:$J,match($A1140,extra_muscle!$A:$A,0)))</f>
        <v>N</v>
      </c>
      <c r="L1140" s="59" t="str">
        <f t="array" ref="L1140">iferror(index(dna!$G:$G,match($A1140,dna!$A:$A,0)))</f>
        <v>BDN10-36</v>
      </c>
      <c r="M1140" s="60" t="str">
        <f t="array" ref="M1140">iferror(index(dna!$J:$J,match($A1140,dna!$A:$A,0)))</f>
        <v>N</v>
      </c>
      <c r="N1140" t="str">
        <f t="array" ref="N1140">iferror(index(stomachs!$G:$G,match($A1140,stomachs!$A:$A,0)))</f>
        <v/>
      </c>
      <c r="O1140" t="str">
        <f t="array" ref="O1140">iferror(index(stomachs!$J:$J,match($A1140,stomachs!$A:$A,0)))</f>
        <v/>
      </c>
      <c r="P1140" t="str">
        <f t="array" ref="P1140">iferror(index(sea_lice!$G:$G,match($A1140,sea_lice!$A:$A,0)))</f>
        <v/>
      </c>
      <c r="Q1140" t="str">
        <f t="array" ref="Q1140">iferror(index(sea_lice!$J:$J,match($A1140,sea_lice!$A:$A,0)))</f>
        <v/>
      </c>
      <c r="R1140" s="40" t="str">
        <f t="array" ref="R1140">iferror(index(dissected_fish!$F:$F,match($A1140,dissected_fish!$A:$A,0)))</f>
        <v>BCA110</v>
      </c>
      <c r="S1140" s="40" t="str">
        <f t="array" ref="S1140">iferror(index(dissected_fish!$K:$K,match($A1140,dissected_fish!$A:$A,0)))</f>
        <v>N</v>
      </c>
      <c r="T1140" s="61" t="str">
        <f t="array" ref="T1140">index(fish_lab_data!O:O,match(A1140,fish_lab_data!C:C,0))</f>
        <v>JG</v>
      </c>
      <c r="U1140" s="61">
        <f t="array" ref="U1140">if(A1140="","",index(fish_lab_data!X:X,match(A1140,fish_lab_data!C:C,0)))</f>
        <v>1139</v>
      </c>
    </row>
    <row r="1141">
      <c r="A1141" t="str">
        <f>fish_lab_data!C1141</f>
        <v>U17556</v>
      </c>
      <c r="B1141" t="str">
        <f t="array" ref="B1141">iferror(index('rna-muscle'!$I:$I,match($A1141,'rna-muscle'!$A:$A,0)))</f>
        <v>BRN74M-H4</v>
      </c>
      <c r="C1141" t="str">
        <f t="array" ref="C1141">iferror(index('rna-muscle'!$L:$L,match($A1141,'rna-muscle'!$A:$A,0)))</f>
        <v>N</v>
      </c>
      <c r="D1141" t="str">
        <f t="array" ref="D1141">iferror(index('rna-gill'!$I:$I,match($A1141,'rna-gill'!$A:$A,0)))</f>
        <v>BRN74G-H4</v>
      </c>
      <c r="E1141" t="str">
        <f t="array" ref="E1141">iferror(index('rna-gill'!$L:$L,match($A1141,'rna-gill'!$A:$A,0)))</f>
        <v>N</v>
      </c>
      <c r="F1141" t="str">
        <f t="array" ref="F1141">iferror(index(fatty_acid!$G:$G,match($A1141,fatty_acid!$A:$A,0)))</f>
        <v>BFA22-71</v>
      </c>
      <c r="G1141" t="str">
        <f t="array" ref="G1141">iferror(index(fatty_acid!$J:$J,match($A1141,fatty_acid!$A:$A,0)))</f>
        <v>N</v>
      </c>
      <c r="H1141" t="str">
        <f t="array" ref="H1141">iferror(index(isotopes!$G:$G,match($A1141,isotopes!$A:$A,0)))</f>
        <v>BIS36-47</v>
      </c>
      <c r="I1141" t="str">
        <f t="array" ref="I1141">iferror(index(isotopes!$J:$J,match($A1141,isotopes!$A:$A,0)))</f>
        <v>N</v>
      </c>
      <c r="J1141" t="str">
        <f t="array" ref="J1141">iferror(index(extra_muscle!$G:$G,match($A1141,extra_muscle!$A:$A,0)))</f>
        <v>BXM34-47</v>
      </c>
      <c r="K1141" t="str">
        <f t="array" ref="K1141">iferror(index(extra_muscle!$J:$J,match($A1141,extra_muscle!$A:$A,0)))</f>
        <v>N</v>
      </c>
      <c r="L1141" s="59" t="str">
        <f t="array" ref="L1141">iferror(index(dna!$G:$G,match($A1141,dna!$A:$A,0)))</f>
        <v>BDN10-37</v>
      </c>
      <c r="M1141" s="60" t="str">
        <f t="array" ref="M1141">iferror(index(dna!$J:$J,match($A1141,dna!$A:$A,0)))</f>
        <v>N</v>
      </c>
      <c r="N1141" t="str">
        <f t="array" ref="N1141">iferror(index(stomachs!$G:$G,match($A1141,stomachs!$A:$A,0)))</f>
        <v/>
      </c>
      <c r="O1141" t="str">
        <f t="array" ref="O1141">iferror(index(stomachs!$J:$J,match($A1141,stomachs!$A:$A,0)))</f>
        <v/>
      </c>
      <c r="P1141" t="str">
        <f t="array" ref="P1141">iferror(index(sea_lice!$G:$G,match($A1141,sea_lice!$A:$A,0)))</f>
        <v/>
      </c>
      <c r="Q1141" t="str">
        <f t="array" ref="Q1141">iferror(index(sea_lice!$J:$J,match($A1141,sea_lice!$A:$A,0)))</f>
        <v/>
      </c>
      <c r="R1141" s="40" t="str">
        <f t="array" ref="R1141">iferror(index(dissected_fish!$F:$F,match($A1141,dissected_fish!$A:$A,0)))</f>
        <v>BCA110</v>
      </c>
      <c r="S1141" s="40" t="str">
        <f t="array" ref="S1141">iferror(index(dissected_fish!$K:$K,match($A1141,dissected_fish!$A:$A,0)))</f>
        <v>N</v>
      </c>
      <c r="T1141" s="61" t="str">
        <f t="array" ref="T1141">index(fish_lab_data!O:O,match(A1141,fish_lab_data!C:C,0))</f>
        <v>JG</v>
      </c>
      <c r="U1141" s="61">
        <f t="array" ref="U1141">if(A1141="","",index(fish_lab_data!X:X,match(A1141,fish_lab_data!C:C,0)))</f>
        <v>1140</v>
      </c>
    </row>
    <row r="1142">
      <c r="A1142" t="str">
        <f>fish_lab_data!C1142</f>
        <v>U17554</v>
      </c>
      <c r="B1142" t="str">
        <f t="array" ref="B1142">iferror(index('rna-muscle'!$I:$I,match($A1142,'rna-muscle'!$A:$A,0)))</f>
        <v>BRN74M-G4</v>
      </c>
      <c r="C1142" t="str">
        <f t="array" ref="C1142">iferror(index('rna-muscle'!$L:$L,match($A1142,'rna-muscle'!$A:$A,0)))</f>
        <v>N</v>
      </c>
      <c r="D1142" t="str">
        <f t="array" ref="D1142">iferror(index('rna-gill'!$I:$I,match($A1142,'rna-gill'!$A:$A,0)))</f>
        <v>BRN74G-G4</v>
      </c>
      <c r="E1142" t="str">
        <f t="array" ref="E1142">iferror(index('rna-gill'!$L:$L,match($A1142,'rna-gill'!$A:$A,0)))</f>
        <v>N</v>
      </c>
      <c r="F1142" t="str">
        <f t="array" ref="F1142">iferror(index(fatty_acid!$G:$G,match($A1142,fatty_acid!$A:$A,0)))</f>
        <v>BFA22-72</v>
      </c>
      <c r="G1142" t="str">
        <f t="array" ref="G1142">iferror(index(fatty_acid!$J:$J,match($A1142,fatty_acid!$A:$A,0)))</f>
        <v>N</v>
      </c>
      <c r="H1142" t="str">
        <f t="array" ref="H1142">iferror(index(isotopes!$G:$G,match($A1142,isotopes!$A:$A,0)))</f>
        <v>BIS36-48</v>
      </c>
      <c r="I1142" t="str">
        <f t="array" ref="I1142">iferror(index(isotopes!$J:$J,match($A1142,isotopes!$A:$A,0)))</f>
        <v>N</v>
      </c>
      <c r="J1142" t="str">
        <f t="array" ref="J1142">iferror(index(extra_muscle!$G:$G,match($A1142,extra_muscle!$A:$A,0)))</f>
        <v>BXM34-48</v>
      </c>
      <c r="K1142" t="str">
        <f t="array" ref="K1142">iferror(index(extra_muscle!$J:$J,match($A1142,extra_muscle!$A:$A,0)))</f>
        <v>N</v>
      </c>
      <c r="L1142" s="59" t="str">
        <f t="array" ref="L1142">iferror(index(dna!$G:$G,match($A1142,dna!$A:$A,0)))</f>
        <v>BDN10-38</v>
      </c>
      <c r="M1142" s="60" t="str">
        <f t="array" ref="M1142">iferror(index(dna!$J:$J,match($A1142,dna!$A:$A,0)))</f>
        <v>N</v>
      </c>
      <c r="N1142" t="str">
        <f t="array" ref="N1142">iferror(index(stomachs!$G:$G,match($A1142,stomachs!$A:$A,0)))</f>
        <v/>
      </c>
      <c r="O1142" t="str">
        <f t="array" ref="O1142">iferror(index(stomachs!$J:$J,match($A1142,stomachs!$A:$A,0)))</f>
        <v/>
      </c>
      <c r="P1142" t="str">
        <f t="array" ref="P1142">iferror(index(sea_lice!$G:$G,match($A1142,sea_lice!$A:$A,0)))</f>
        <v>BSL7-71</v>
      </c>
      <c r="Q1142" t="str">
        <f t="array" ref="Q1142">iferror(index(sea_lice!$J:$J,match($A1142,sea_lice!$A:$A,0)))</f>
        <v>N</v>
      </c>
      <c r="R1142" s="40" t="str">
        <f t="array" ref="R1142">iferror(index(dissected_fish!$F:$F,match($A1142,dissected_fish!$A:$A,0)))</f>
        <v>BCA110</v>
      </c>
      <c r="S1142" s="40" t="str">
        <f t="array" ref="S1142">iferror(index(dissected_fish!$K:$K,match($A1142,dissected_fish!$A:$A,0)))</f>
        <v>N</v>
      </c>
      <c r="T1142" s="61" t="str">
        <f t="array" ref="T1142">index(fish_lab_data!O:O,match(A1142,fish_lab_data!C:C,0))</f>
        <v>JG</v>
      </c>
      <c r="U1142" s="61">
        <f t="array" ref="U1142">if(A1142="","",index(fish_lab_data!X:X,match(A1142,fish_lab_data!C:C,0)))</f>
        <v>1141</v>
      </c>
    </row>
    <row r="1143">
      <c r="A1143" t="str">
        <f>fish_lab_data!C1143</f>
        <v>U17601</v>
      </c>
      <c r="B1143" t="str">
        <f t="array" ref="B1143">iferror(index('rna-muscle'!$I:$I,match($A1143,'rna-muscle'!$A:$A,0)))</f>
        <v>BRN74M-B3</v>
      </c>
      <c r="C1143" t="str">
        <f t="array" ref="C1143">iferror(index('rna-muscle'!$L:$L,match($A1143,'rna-muscle'!$A:$A,0)))</f>
        <v>N</v>
      </c>
      <c r="D1143" t="str">
        <f t="array" ref="D1143">iferror(index('rna-gill'!$I:$I,match($A1143,'rna-gill'!$A:$A,0)))</f>
        <v>BRN74G-B3</v>
      </c>
      <c r="E1143" t="str">
        <f t="array" ref="E1143">iferror(index('rna-gill'!$L:$L,match($A1143,'rna-gill'!$A:$A,0)))</f>
        <v>N</v>
      </c>
      <c r="F1143" t="str">
        <f t="array" ref="F1143">iferror(index(fatty_acid!$G:$G,match($A1143,fatty_acid!$A:$A,0)))</f>
        <v>BFA34-66</v>
      </c>
      <c r="G1143" t="str">
        <f t="array" ref="G1143">iferror(index(fatty_acid!$J:$J,match($A1143,fatty_acid!$A:$A,0)))</f>
        <v>N</v>
      </c>
      <c r="H1143" t="str">
        <f t="array" ref="H1143">iferror(index(isotopes!$G:$G,match($A1143,isotopes!$A:$A,0)))</f>
        <v>BIS37-66</v>
      </c>
      <c r="I1143" t="str">
        <f t="array" ref="I1143">iferror(index(isotopes!$J:$J,match($A1143,isotopes!$A:$A,0)))</f>
        <v>N</v>
      </c>
      <c r="J1143" t="str">
        <f t="array" ref="J1143">iferror(index(extra_muscle!$G:$G,match($A1143,extra_muscle!$A:$A,0)))</f>
        <v>BXM35-66</v>
      </c>
      <c r="K1143" t="str">
        <f t="array" ref="K1143">iferror(index(extra_muscle!$J:$J,match($A1143,extra_muscle!$A:$A,0)))</f>
        <v>N</v>
      </c>
      <c r="L1143" s="59" t="str">
        <f t="array" ref="L1143">iferror(index(dna!$G:$G,match($A1143,dna!$A:$A,0)))</f>
        <v>BDN4-80</v>
      </c>
      <c r="M1143" s="60" t="str">
        <f t="array" ref="M1143">iferror(index(dna!$J:$J,match($A1143,dna!$A:$A,0)))</f>
        <v>N</v>
      </c>
      <c r="N1143" t="str">
        <f t="array" ref="N1143">iferror(index(stomachs!$G:$G,match($A1143,stomachs!$A:$A,0)))</f>
        <v/>
      </c>
      <c r="O1143" t="str">
        <f t="array" ref="O1143">iferror(index(stomachs!$J:$J,match($A1143,stomachs!$A:$A,0)))</f>
        <v/>
      </c>
      <c r="P1143" t="str">
        <f t="array" ref="P1143">iferror(index(sea_lice!$G:$G,match($A1143,sea_lice!$A:$A,0)))</f>
        <v>BSL7-72</v>
      </c>
      <c r="Q1143" t="str">
        <f t="array" ref="Q1143">iferror(index(sea_lice!$J:$J,match($A1143,sea_lice!$A:$A,0)))</f>
        <v>N</v>
      </c>
      <c r="R1143" s="40" t="str">
        <f t="array" ref="R1143">iferror(index(dissected_fish!$F:$F,match($A1143,dissected_fish!$A:$A,0)))</f>
        <v>BCA110</v>
      </c>
      <c r="S1143" s="40" t="str">
        <f t="array" ref="S1143">iferror(index(dissected_fish!$K:$K,match($A1143,dissected_fish!$A:$A,0)))</f>
        <v>N</v>
      </c>
      <c r="T1143" s="61" t="str">
        <f t="array" ref="T1143">index(fish_lab_data!O:O,match(A1143,fish_lab_data!C:C,0))</f>
        <v>KB</v>
      </c>
      <c r="U1143" s="61">
        <f t="array" ref="U1143">if(A1143="","",index(fish_lab_data!X:X,match(A1143,fish_lab_data!C:C,0)))</f>
        <v>1142</v>
      </c>
    </row>
    <row r="1144">
      <c r="A1144" t="str">
        <f>fish_lab_data!C1144</f>
        <v>U17607</v>
      </c>
      <c r="B1144" t="str">
        <f t="array" ref="B1144">iferror(index('rna-muscle'!$I:$I,match($A1144,'rna-muscle'!$A:$A,0)))</f>
        <v>BRN74M-A3</v>
      </c>
      <c r="C1144" t="str">
        <f t="array" ref="C1144">iferror(index('rna-muscle'!$L:$L,match($A1144,'rna-muscle'!$A:$A,0)))</f>
        <v>N</v>
      </c>
      <c r="D1144" t="str">
        <f t="array" ref="D1144">iferror(index('rna-gill'!$I:$I,match($A1144,'rna-gill'!$A:$A,0)))</f>
        <v>BRN74G-A3</v>
      </c>
      <c r="E1144" t="str">
        <f t="array" ref="E1144">iferror(index('rna-gill'!$L:$L,match($A1144,'rna-gill'!$A:$A,0)))</f>
        <v>N</v>
      </c>
      <c r="F1144" t="str">
        <f t="array" ref="F1144">iferror(index(fatty_acid!$G:$G,match($A1144,fatty_acid!$A:$A,0)))</f>
        <v>BFA34-67</v>
      </c>
      <c r="G1144" t="str">
        <f t="array" ref="G1144">iferror(index(fatty_acid!$J:$J,match($A1144,fatty_acid!$A:$A,0)))</f>
        <v>N</v>
      </c>
      <c r="H1144" t="str">
        <f t="array" ref="H1144">iferror(index(isotopes!$G:$G,match($A1144,isotopes!$A:$A,0)))</f>
        <v>BIS37-67</v>
      </c>
      <c r="I1144" t="str">
        <f t="array" ref="I1144">iferror(index(isotopes!$J:$J,match($A1144,isotopes!$A:$A,0)))</f>
        <v>N</v>
      </c>
      <c r="J1144" t="str">
        <f t="array" ref="J1144">iferror(index(extra_muscle!$G:$G,match($A1144,extra_muscle!$A:$A,0)))</f>
        <v>BXM35-67</v>
      </c>
      <c r="K1144" t="str">
        <f t="array" ref="K1144">iferror(index(extra_muscle!$J:$J,match($A1144,extra_muscle!$A:$A,0)))</f>
        <v>N</v>
      </c>
      <c r="L1144" s="59" t="str">
        <f t="array" ref="L1144">iferror(index(dna!$G:$G,match($A1144,dna!$A:$A,0)))</f>
        <v>BDN4-81</v>
      </c>
      <c r="M1144" s="60" t="str">
        <f t="array" ref="M1144">iferror(index(dna!$J:$J,match($A1144,dna!$A:$A,0)))</f>
        <v>N</v>
      </c>
      <c r="N1144" t="str">
        <f t="array" ref="N1144">iferror(index(stomachs!$G:$G,match($A1144,stomachs!$A:$A,0)))</f>
        <v/>
      </c>
      <c r="O1144" t="str">
        <f t="array" ref="O1144">iferror(index(stomachs!$J:$J,match($A1144,stomachs!$A:$A,0)))</f>
        <v/>
      </c>
      <c r="P1144" t="str">
        <f t="array" ref="P1144">iferror(index(sea_lice!$G:$G,match($A1144,sea_lice!$A:$A,0)))</f>
        <v>BSL7-73</v>
      </c>
      <c r="Q1144" t="str">
        <f t="array" ref="Q1144">iferror(index(sea_lice!$J:$J,match($A1144,sea_lice!$A:$A,0)))</f>
        <v>N</v>
      </c>
      <c r="R1144" s="40" t="str">
        <f t="array" ref="R1144">iferror(index(dissected_fish!$F:$F,match($A1144,dissected_fish!$A:$A,0)))</f>
        <v>BCA110</v>
      </c>
      <c r="S1144" s="40" t="str">
        <f t="array" ref="S1144">iferror(index(dissected_fish!$K:$K,match($A1144,dissected_fish!$A:$A,0)))</f>
        <v>N</v>
      </c>
      <c r="T1144" s="61" t="str">
        <f t="array" ref="T1144">index(fish_lab_data!O:O,match(A1144,fish_lab_data!C:C,0))</f>
        <v>KB</v>
      </c>
      <c r="U1144" s="61">
        <f t="array" ref="U1144">if(A1144="","",index(fish_lab_data!X:X,match(A1144,fish_lab_data!C:C,0)))</f>
        <v>1143</v>
      </c>
    </row>
    <row r="1145">
      <c r="A1145" t="str">
        <f>fish_lab_data!C1145</f>
        <v>U17602</v>
      </c>
      <c r="B1145" t="str">
        <f t="array" ref="B1145">iferror(index('rna-muscle'!$I:$I,match($A1145,'rna-muscle'!$A:$A,0)))</f>
        <v>BRN74M-G6</v>
      </c>
      <c r="C1145" t="str">
        <f t="array" ref="C1145">iferror(index('rna-muscle'!$L:$L,match($A1145,'rna-muscle'!$A:$A,0)))</f>
        <v>N</v>
      </c>
      <c r="D1145" t="str">
        <f t="array" ref="D1145">iferror(index('rna-gill'!$I:$I,match($A1145,'rna-gill'!$A:$A,0)))</f>
        <v>BRN74G-G6</v>
      </c>
      <c r="E1145" t="str">
        <f t="array" ref="E1145">iferror(index('rna-gill'!$L:$L,match($A1145,'rna-gill'!$A:$A,0)))</f>
        <v>N</v>
      </c>
      <c r="F1145" t="str">
        <f t="array" ref="F1145">iferror(index(fatty_acid!$G:$G,match($A1145,fatty_acid!$A:$A,0)))</f>
        <v>BFA34-68</v>
      </c>
      <c r="G1145" t="str">
        <f t="array" ref="G1145">iferror(index(fatty_acid!$J:$J,match($A1145,fatty_acid!$A:$A,0)))</f>
        <v>N</v>
      </c>
      <c r="H1145" t="str">
        <f t="array" ref="H1145">iferror(index(isotopes!$G:$G,match($A1145,isotopes!$A:$A,0)))</f>
        <v>BIS37-68</v>
      </c>
      <c r="I1145" t="str">
        <f t="array" ref="I1145">iferror(index(isotopes!$J:$J,match($A1145,isotopes!$A:$A,0)))</f>
        <v>N</v>
      </c>
      <c r="J1145" t="str">
        <f t="array" ref="J1145">iferror(index(extra_muscle!$G:$G,match($A1145,extra_muscle!$A:$A,0)))</f>
        <v>BXM35-68</v>
      </c>
      <c r="K1145" t="str">
        <f t="array" ref="K1145">iferror(index(extra_muscle!$J:$J,match($A1145,extra_muscle!$A:$A,0)))</f>
        <v>N</v>
      </c>
      <c r="L1145" s="59" t="str">
        <f t="array" ref="L1145">iferror(index(dna!$G:$G,match($A1145,dna!$A:$A,0)))</f>
        <v>BDN4-82</v>
      </c>
      <c r="M1145" s="60" t="str">
        <f t="array" ref="M1145">iferror(index(dna!$J:$J,match($A1145,dna!$A:$A,0)))</f>
        <v>N</v>
      </c>
      <c r="N1145" t="str">
        <f t="array" ref="N1145">iferror(index(stomachs!$G:$G,match($A1145,stomachs!$A:$A,0)))</f>
        <v/>
      </c>
      <c r="O1145" t="str">
        <f t="array" ref="O1145">iferror(index(stomachs!$J:$J,match($A1145,stomachs!$A:$A,0)))</f>
        <v/>
      </c>
      <c r="P1145" t="str">
        <f t="array" ref="P1145">iferror(index(sea_lice!$G:$G,match($A1145,sea_lice!$A:$A,0)))</f>
        <v/>
      </c>
      <c r="Q1145" t="str">
        <f t="array" ref="Q1145">iferror(index(sea_lice!$J:$J,match($A1145,sea_lice!$A:$A,0)))</f>
        <v/>
      </c>
      <c r="R1145" s="40" t="str">
        <f t="array" ref="R1145">iferror(index(dissected_fish!$F:$F,match($A1145,dissected_fish!$A:$A,0)))</f>
        <v>BCA110</v>
      </c>
      <c r="S1145" s="40" t="str">
        <f t="array" ref="S1145">iferror(index(dissected_fish!$K:$K,match($A1145,dissected_fish!$A:$A,0)))</f>
        <v>N</v>
      </c>
      <c r="T1145" s="61" t="str">
        <f t="array" ref="T1145">index(fish_lab_data!O:O,match(A1145,fish_lab_data!C:C,0))</f>
        <v>KB</v>
      </c>
      <c r="U1145" s="61">
        <f t="array" ref="U1145">if(A1145="","",index(fish_lab_data!X:X,match(A1145,fish_lab_data!C:C,0)))</f>
        <v>1144</v>
      </c>
    </row>
    <row r="1146">
      <c r="A1146" t="str">
        <f>fish_lab_data!C1146</f>
        <v>U16748</v>
      </c>
      <c r="B1146" t="str">
        <f t="array" ref="B1146">iferror(index('rna-muscle'!$I:$I,match($A1146,'rna-muscle'!$A:$A,0)))</f>
        <v>BRN74M-F6</v>
      </c>
      <c r="C1146" t="str">
        <f t="array" ref="C1146">iferror(index('rna-muscle'!$L:$L,match($A1146,'rna-muscle'!$A:$A,0)))</f>
        <v>N</v>
      </c>
      <c r="D1146" t="str">
        <f t="array" ref="D1146">iferror(index('rna-gill'!$I:$I,match($A1146,'rna-gill'!$A:$A,0)))</f>
        <v>BRN74G-F6</v>
      </c>
      <c r="E1146" t="str">
        <f t="array" ref="E1146">iferror(index('rna-gill'!$L:$L,match($A1146,'rna-gill'!$A:$A,0)))</f>
        <v>N</v>
      </c>
      <c r="F1146" t="str">
        <f t="array" ref="F1146">iferror(index(fatty_acid!$G:$G,match($A1146,fatty_acid!$A:$A,0)))</f>
        <v>BFA34-69</v>
      </c>
      <c r="G1146" t="str">
        <f t="array" ref="G1146">iferror(index(fatty_acid!$J:$J,match($A1146,fatty_acid!$A:$A,0)))</f>
        <v>N</v>
      </c>
      <c r="H1146" t="str">
        <f t="array" ref="H1146">iferror(index(isotopes!$G:$G,match($A1146,isotopes!$A:$A,0)))</f>
        <v>BIS37-69</v>
      </c>
      <c r="I1146" t="str">
        <f t="array" ref="I1146">iferror(index(isotopes!$J:$J,match($A1146,isotopes!$A:$A,0)))</f>
        <v>N</v>
      </c>
      <c r="J1146" t="str">
        <f t="array" ref="J1146">iferror(index(extra_muscle!$G:$G,match($A1146,extra_muscle!$A:$A,0)))</f>
        <v>BXM35-69</v>
      </c>
      <c r="K1146" t="str">
        <f t="array" ref="K1146">iferror(index(extra_muscle!$J:$J,match($A1146,extra_muscle!$A:$A,0)))</f>
        <v>N</v>
      </c>
      <c r="L1146" s="59" t="str">
        <f t="array" ref="L1146">iferror(index(dna!$G:$G,match($A1146,dna!$A:$A,0)))</f>
        <v>BDN4-83</v>
      </c>
      <c r="M1146" s="60" t="str">
        <f t="array" ref="M1146">iferror(index(dna!$J:$J,match($A1146,dna!$A:$A,0)))</f>
        <v>N</v>
      </c>
      <c r="N1146" t="str">
        <f t="array" ref="N1146">iferror(index(stomachs!$G:$G,match($A1146,stomachs!$A:$A,0)))</f>
        <v/>
      </c>
      <c r="O1146" t="str">
        <f t="array" ref="O1146">iferror(index(stomachs!$J:$J,match($A1146,stomachs!$A:$A,0)))</f>
        <v/>
      </c>
      <c r="P1146" t="str">
        <f t="array" ref="P1146">iferror(index(sea_lice!$G:$G,match($A1146,sea_lice!$A:$A,0)))</f>
        <v>BSL7-74</v>
      </c>
      <c r="Q1146" t="str">
        <f t="array" ref="Q1146">iferror(index(sea_lice!$J:$J,match($A1146,sea_lice!$A:$A,0)))</f>
        <v>N</v>
      </c>
      <c r="R1146" s="40" t="str">
        <f t="array" ref="R1146">iferror(index(dissected_fish!$F:$F,match($A1146,dissected_fish!$A:$A,0)))</f>
        <v>BCA110</v>
      </c>
      <c r="S1146" s="40" t="str">
        <f t="array" ref="S1146">iferror(index(dissected_fish!$K:$K,match($A1146,dissected_fish!$A:$A,0)))</f>
        <v>N</v>
      </c>
      <c r="T1146" s="61" t="str">
        <f t="array" ref="T1146">index(fish_lab_data!O:O,match(A1146,fish_lab_data!C:C,0))</f>
        <v>KB</v>
      </c>
      <c r="U1146" s="61">
        <f t="array" ref="U1146">if(A1146="","",index(fish_lab_data!X:X,match(A1146,fish_lab_data!C:C,0)))</f>
        <v>1145</v>
      </c>
    </row>
    <row r="1147">
      <c r="A1147" t="str">
        <f>fish_lab_data!C1147</f>
        <v>U16750</v>
      </c>
      <c r="B1147" t="str">
        <f t="array" ref="B1147">iferror(index('rna-muscle'!$I:$I,match($A1147,'rna-muscle'!$A:$A,0)))</f>
        <v>BRN74M-E6</v>
      </c>
      <c r="C1147" t="str">
        <f t="array" ref="C1147">iferror(index('rna-muscle'!$L:$L,match($A1147,'rna-muscle'!$A:$A,0)))</f>
        <v>N</v>
      </c>
      <c r="D1147" t="str">
        <f t="array" ref="D1147">iferror(index('rna-gill'!$I:$I,match($A1147,'rna-gill'!$A:$A,0)))</f>
        <v>BRN74G-E6</v>
      </c>
      <c r="E1147" t="str">
        <f t="array" ref="E1147">iferror(index('rna-gill'!$L:$L,match($A1147,'rna-gill'!$A:$A,0)))</f>
        <v>N</v>
      </c>
      <c r="F1147" t="str">
        <f t="array" ref="F1147">iferror(index(fatty_acid!$G:$G,match($A1147,fatty_acid!$A:$A,0)))</f>
        <v>BFA34-70</v>
      </c>
      <c r="G1147" t="str">
        <f t="array" ref="G1147">iferror(index(fatty_acid!$J:$J,match($A1147,fatty_acid!$A:$A,0)))</f>
        <v>N</v>
      </c>
      <c r="H1147" t="str">
        <f t="array" ref="H1147">iferror(index(isotopes!$G:$G,match($A1147,isotopes!$A:$A,0)))</f>
        <v>BIS37-70</v>
      </c>
      <c r="I1147" t="str">
        <f t="array" ref="I1147">iferror(index(isotopes!$J:$J,match($A1147,isotopes!$A:$A,0)))</f>
        <v>N</v>
      </c>
      <c r="J1147" t="str">
        <f t="array" ref="J1147">iferror(index(extra_muscle!$G:$G,match($A1147,extra_muscle!$A:$A,0)))</f>
        <v>BXM35-70</v>
      </c>
      <c r="K1147" t="str">
        <f t="array" ref="K1147">iferror(index(extra_muscle!$J:$J,match($A1147,extra_muscle!$A:$A,0)))</f>
        <v>N</v>
      </c>
      <c r="L1147" s="59" t="str">
        <f t="array" ref="L1147">iferror(index(dna!$G:$G,match($A1147,dna!$A:$A,0)))</f>
        <v>BDN4-84</v>
      </c>
      <c r="M1147" s="60" t="str">
        <f t="array" ref="M1147">iferror(index(dna!$J:$J,match($A1147,dna!$A:$A,0)))</f>
        <v>N</v>
      </c>
      <c r="N1147" t="str">
        <f t="array" ref="N1147">iferror(index(stomachs!$G:$G,match($A1147,stomachs!$A:$A,0)))</f>
        <v/>
      </c>
      <c r="O1147" t="str">
        <f t="array" ref="O1147">iferror(index(stomachs!$J:$J,match($A1147,stomachs!$A:$A,0)))</f>
        <v/>
      </c>
      <c r="P1147" t="str">
        <f t="array" ref="P1147">iferror(index(sea_lice!$G:$G,match($A1147,sea_lice!$A:$A,0)))</f>
        <v/>
      </c>
      <c r="Q1147" t="str">
        <f t="array" ref="Q1147">iferror(index(sea_lice!$J:$J,match($A1147,sea_lice!$A:$A,0)))</f>
        <v/>
      </c>
      <c r="R1147" s="40" t="str">
        <f t="array" ref="R1147">iferror(index(dissected_fish!$F:$F,match($A1147,dissected_fish!$A:$A,0)))</f>
        <v>BCA110</v>
      </c>
      <c r="S1147" s="40" t="str">
        <f t="array" ref="S1147">iferror(index(dissected_fish!$K:$K,match($A1147,dissected_fish!$A:$A,0)))</f>
        <v>N</v>
      </c>
      <c r="T1147" s="61" t="str">
        <f t="array" ref="T1147">index(fish_lab_data!O:O,match(A1147,fish_lab_data!C:C,0))</f>
        <v>KB</v>
      </c>
      <c r="U1147" s="61">
        <f t="array" ref="U1147">if(A1147="","",index(fish_lab_data!X:X,match(A1147,fish_lab_data!C:C,0)))</f>
        <v>1146</v>
      </c>
    </row>
    <row r="1148">
      <c r="A1148" t="str">
        <f>fish_lab_data!C1148</f>
        <v>U16742</v>
      </c>
      <c r="B1148" t="str">
        <f t="array" ref="B1148">iferror(index('rna-muscle'!$I:$I,match($A1148,'rna-muscle'!$A:$A,0)))</f>
        <v>BRN74M-D6</v>
      </c>
      <c r="C1148" t="str">
        <f t="array" ref="C1148">iferror(index('rna-muscle'!$L:$L,match($A1148,'rna-muscle'!$A:$A,0)))</f>
        <v>N</v>
      </c>
      <c r="D1148" t="str">
        <f t="array" ref="D1148">iferror(index('rna-gill'!$I:$I,match($A1148,'rna-gill'!$A:$A,0)))</f>
        <v>BRN74G-D6</v>
      </c>
      <c r="E1148" t="str">
        <f t="array" ref="E1148">iferror(index('rna-gill'!$L:$L,match($A1148,'rna-gill'!$A:$A,0)))</f>
        <v>N</v>
      </c>
      <c r="F1148" t="str">
        <f t="array" ref="F1148">iferror(index(fatty_acid!$G:$G,match($A1148,fatty_acid!$A:$A,0)))</f>
        <v>BFA34-71</v>
      </c>
      <c r="G1148" t="str">
        <f t="array" ref="G1148">iferror(index(fatty_acid!$J:$J,match($A1148,fatty_acid!$A:$A,0)))</f>
        <v>N</v>
      </c>
      <c r="H1148" t="str">
        <f t="array" ref="H1148">iferror(index(isotopes!$G:$G,match($A1148,isotopes!$A:$A,0)))</f>
        <v>BIS37-71</v>
      </c>
      <c r="I1148" t="str">
        <f t="array" ref="I1148">iferror(index(isotopes!$J:$J,match($A1148,isotopes!$A:$A,0)))</f>
        <v>N</v>
      </c>
      <c r="J1148" t="str">
        <f t="array" ref="J1148">iferror(index(extra_muscle!$G:$G,match($A1148,extra_muscle!$A:$A,0)))</f>
        <v>BXM35-71</v>
      </c>
      <c r="K1148" t="str">
        <f t="array" ref="K1148">iferror(index(extra_muscle!$J:$J,match($A1148,extra_muscle!$A:$A,0)))</f>
        <v>N</v>
      </c>
      <c r="L1148" s="59" t="str">
        <f t="array" ref="L1148">iferror(index(dna!$G:$G,match($A1148,dna!$A:$A,0)))</f>
        <v>BDN4-85</v>
      </c>
      <c r="M1148" s="60" t="str">
        <f t="array" ref="M1148">iferror(index(dna!$J:$J,match($A1148,dna!$A:$A,0)))</f>
        <v>N</v>
      </c>
      <c r="N1148" t="str">
        <f t="array" ref="N1148">iferror(index(stomachs!$G:$G,match($A1148,stomachs!$A:$A,0)))</f>
        <v/>
      </c>
      <c r="O1148" t="str">
        <f t="array" ref="O1148">iferror(index(stomachs!$J:$J,match($A1148,stomachs!$A:$A,0)))</f>
        <v/>
      </c>
      <c r="P1148" t="str">
        <f t="array" ref="P1148">iferror(index(sea_lice!$G:$G,match($A1148,sea_lice!$A:$A,0)))</f>
        <v>BSL7-75</v>
      </c>
      <c r="Q1148" t="str">
        <f t="array" ref="Q1148">iferror(index(sea_lice!$J:$J,match($A1148,sea_lice!$A:$A,0)))</f>
        <v>N</v>
      </c>
      <c r="R1148" s="40" t="str">
        <f t="array" ref="R1148">iferror(index(dissected_fish!$F:$F,match($A1148,dissected_fish!$A:$A,0)))</f>
        <v>BCA110</v>
      </c>
      <c r="S1148" s="40" t="str">
        <f t="array" ref="S1148">iferror(index(dissected_fish!$K:$K,match($A1148,dissected_fish!$A:$A,0)))</f>
        <v>N</v>
      </c>
      <c r="T1148" s="61" t="str">
        <f t="array" ref="T1148">index(fish_lab_data!O:O,match(A1148,fish_lab_data!C:C,0))</f>
        <v>KB</v>
      </c>
      <c r="U1148" s="61">
        <f t="array" ref="U1148">if(A1148="","",index(fish_lab_data!X:X,match(A1148,fish_lab_data!C:C,0)))</f>
        <v>1147</v>
      </c>
    </row>
    <row r="1149">
      <c r="A1149" t="str">
        <f>fish_lab_data!C1149</f>
        <v>U16745</v>
      </c>
      <c r="B1149" t="str">
        <f t="array" ref="B1149">iferror(index('rna-muscle'!$I:$I,match($A1149,'rna-muscle'!$A:$A,0)))</f>
        <v>BRN74M-C6</v>
      </c>
      <c r="C1149" t="str">
        <f t="array" ref="C1149">iferror(index('rna-muscle'!$L:$L,match($A1149,'rna-muscle'!$A:$A,0)))</f>
        <v>N</v>
      </c>
      <c r="D1149" t="str">
        <f t="array" ref="D1149">iferror(index('rna-gill'!$I:$I,match($A1149,'rna-gill'!$A:$A,0)))</f>
        <v>BRN74G-C6</v>
      </c>
      <c r="E1149" t="str">
        <f t="array" ref="E1149">iferror(index('rna-gill'!$L:$L,match($A1149,'rna-gill'!$A:$A,0)))</f>
        <v>N</v>
      </c>
      <c r="F1149" t="str">
        <f t="array" ref="F1149">iferror(index(fatty_acid!$G:$G,match($A1149,fatty_acid!$A:$A,0)))</f>
        <v>BFA34-72</v>
      </c>
      <c r="G1149" t="str">
        <f t="array" ref="G1149">iferror(index(fatty_acid!$J:$J,match($A1149,fatty_acid!$A:$A,0)))</f>
        <v>N</v>
      </c>
      <c r="H1149" t="str">
        <f t="array" ref="H1149">iferror(index(isotopes!$G:$G,match($A1149,isotopes!$A:$A,0)))</f>
        <v>BIS37-72</v>
      </c>
      <c r="I1149" t="str">
        <f t="array" ref="I1149">iferror(index(isotopes!$J:$J,match($A1149,isotopes!$A:$A,0)))</f>
        <v>N</v>
      </c>
      <c r="J1149" t="str">
        <f t="array" ref="J1149">iferror(index(extra_muscle!$G:$G,match($A1149,extra_muscle!$A:$A,0)))</f>
        <v>BXM35-72</v>
      </c>
      <c r="K1149" t="str">
        <f t="array" ref="K1149">iferror(index(extra_muscle!$J:$J,match($A1149,extra_muscle!$A:$A,0)))</f>
        <v>N</v>
      </c>
      <c r="L1149" s="59" t="str">
        <f t="array" ref="L1149">iferror(index(dna!$G:$G,match($A1149,dna!$A:$A,0)))</f>
        <v>BDN4-86</v>
      </c>
      <c r="M1149" s="60" t="str">
        <f t="array" ref="M1149">iferror(index(dna!$J:$J,match($A1149,dna!$A:$A,0)))</f>
        <v>N</v>
      </c>
      <c r="N1149" t="str">
        <f t="array" ref="N1149">iferror(index(stomachs!$G:$G,match($A1149,stomachs!$A:$A,0)))</f>
        <v/>
      </c>
      <c r="O1149" t="str">
        <f t="array" ref="O1149">iferror(index(stomachs!$J:$J,match($A1149,stomachs!$A:$A,0)))</f>
        <v/>
      </c>
      <c r="P1149" t="str">
        <f t="array" ref="P1149">iferror(index(sea_lice!$G:$G,match($A1149,sea_lice!$A:$A,0)))</f>
        <v>BSL7-76</v>
      </c>
      <c r="Q1149" t="str">
        <f t="array" ref="Q1149">iferror(index(sea_lice!$J:$J,match($A1149,sea_lice!$A:$A,0)))</f>
        <v>N</v>
      </c>
      <c r="R1149" s="40" t="str">
        <f t="array" ref="R1149">iferror(index(dissected_fish!$F:$F,match($A1149,dissected_fish!$A:$A,0)))</f>
        <v>BCA110</v>
      </c>
      <c r="S1149" s="40" t="str">
        <f t="array" ref="S1149">iferror(index(dissected_fish!$K:$K,match($A1149,dissected_fish!$A:$A,0)))</f>
        <v>N</v>
      </c>
      <c r="T1149" s="61" t="str">
        <f t="array" ref="T1149">index(fish_lab_data!O:O,match(A1149,fish_lab_data!C:C,0))</f>
        <v>KB</v>
      </c>
      <c r="U1149" s="61">
        <f t="array" ref="U1149">if(A1149="","",index(fish_lab_data!X:X,match(A1149,fish_lab_data!C:C,0)))</f>
        <v>1148</v>
      </c>
    </row>
    <row r="1150">
      <c r="A1150" t="str">
        <f>fish_lab_data!C1150</f>
        <v>U16741</v>
      </c>
      <c r="B1150" t="str">
        <f t="array" ref="B1150">iferror(index('rna-muscle'!$I:$I,match($A1150,'rna-muscle'!$A:$A,0)))</f>
        <v>BRN74M-B6</v>
      </c>
      <c r="C1150" t="str">
        <f t="array" ref="C1150">iferror(index('rna-muscle'!$L:$L,match($A1150,'rna-muscle'!$A:$A,0)))</f>
        <v>N</v>
      </c>
      <c r="D1150" t="str">
        <f t="array" ref="D1150">iferror(index('rna-gill'!$I:$I,match($A1150,'rna-gill'!$A:$A,0)))</f>
        <v>BRN74G-B6</v>
      </c>
      <c r="E1150" t="str">
        <f t="array" ref="E1150">iferror(index('rna-gill'!$L:$L,match($A1150,'rna-gill'!$A:$A,0)))</f>
        <v>N</v>
      </c>
      <c r="F1150" t="str">
        <f t="array" ref="F1150">iferror(index(fatty_acid!$G:$G,match($A1150,fatty_acid!$A:$A,0)))</f>
        <v>BFA34-73</v>
      </c>
      <c r="G1150" t="str">
        <f t="array" ref="G1150">iferror(index(fatty_acid!$J:$J,match($A1150,fatty_acid!$A:$A,0)))</f>
        <v>N</v>
      </c>
      <c r="H1150" t="str">
        <f t="array" ref="H1150">iferror(index(isotopes!$G:$G,match($A1150,isotopes!$A:$A,0)))</f>
        <v>BIS37-73</v>
      </c>
      <c r="I1150" t="str">
        <f t="array" ref="I1150">iferror(index(isotopes!$J:$J,match($A1150,isotopes!$A:$A,0)))</f>
        <v>N</v>
      </c>
      <c r="J1150" t="str">
        <f t="array" ref="J1150">iferror(index(extra_muscle!$G:$G,match($A1150,extra_muscle!$A:$A,0)))</f>
        <v>BXM35-73</v>
      </c>
      <c r="K1150" t="str">
        <f t="array" ref="K1150">iferror(index(extra_muscle!$J:$J,match($A1150,extra_muscle!$A:$A,0)))</f>
        <v>N</v>
      </c>
      <c r="L1150" s="59" t="str">
        <f t="array" ref="L1150">iferror(index(dna!$G:$G,match($A1150,dna!$A:$A,0)))</f>
        <v>BDN4-87</v>
      </c>
      <c r="M1150" s="60" t="str">
        <f t="array" ref="M1150">iferror(index(dna!$J:$J,match($A1150,dna!$A:$A,0)))</f>
        <v>N</v>
      </c>
      <c r="N1150" t="str">
        <f t="array" ref="N1150">iferror(index(stomachs!$G:$G,match($A1150,stomachs!$A:$A,0)))</f>
        <v/>
      </c>
      <c r="O1150" t="str">
        <f t="array" ref="O1150">iferror(index(stomachs!$J:$J,match($A1150,stomachs!$A:$A,0)))</f>
        <v/>
      </c>
      <c r="P1150" t="str">
        <f t="array" ref="P1150">iferror(index(sea_lice!$G:$G,match($A1150,sea_lice!$A:$A,0)))</f>
        <v>BSL7-77</v>
      </c>
      <c r="Q1150" t="str">
        <f t="array" ref="Q1150">iferror(index(sea_lice!$J:$J,match($A1150,sea_lice!$A:$A,0)))</f>
        <v>N</v>
      </c>
      <c r="R1150" s="40" t="str">
        <f t="array" ref="R1150">iferror(index(dissected_fish!$F:$F,match($A1150,dissected_fish!$A:$A,0)))</f>
        <v>BCA110</v>
      </c>
      <c r="S1150" s="40" t="str">
        <f t="array" ref="S1150">iferror(index(dissected_fish!$K:$K,match($A1150,dissected_fish!$A:$A,0)))</f>
        <v>N</v>
      </c>
      <c r="T1150" s="61" t="str">
        <f t="array" ref="T1150">index(fish_lab_data!O:O,match(A1150,fish_lab_data!C:C,0))</f>
        <v>KB</v>
      </c>
      <c r="U1150" s="61">
        <f t="array" ref="U1150">if(A1150="","",index(fish_lab_data!X:X,match(A1150,fish_lab_data!C:C,0)))</f>
        <v>1149</v>
      </c>
    </row>
    <row r="1151">
      <c r="A1151" t="str">
        <f>fish_lab_data!C1151</f>
        <v>U16744</v>
      </c>
      <c r="B1151" t="str">
        <f t="array" ref="B1151">iferror(index('rna-muscle'!$I:$I,match($A1151,'rna-muscle'!$A:$A,0)))</f>
        <v>BRN74M-A6</v>
      </c>
      <c r="C1151" t="str">
        <f t="array" ref="C1151">iferror(index('rna-muscle'!$L:$L,match($A1151,'rna-muscle'!$A:$A,0)))</f>
        <v>N</v>
      </c>
      <c r="D1151" t="str">
        <f t="array" ref="D1151">iferror(index('rna-gill'!$I:$I,match($A1151,'rna-gill'!$A:$A,0)))</f>
        <v>BRN74G-A6</v>
      </c>
      <c r="E1151" t="str">
        <f t="array" ref="E1151">iferror(index('rna-gill'!$L:$L,match($A1151,'rna-gill'!$A:$A,0)))</f>
        <v>N</v>
      </c>
      <c r="F1151" t="str">
        <f t="array" ref="F1151">iferror(index(fatty_acid!$G:$G,match($A1151,fatty_acid!$A:$A,0)))</f>
        <v>BFA34-74</v>
      </c>
      <c r="G1151" t="str">
        <f t="array" ref="G1151">iferror(index(fatty_acid!$J:$J,match($A1151,fatty_acid!$A:$A,0)))</f>
        <v>N</v>
      </c>
      <c r="H1151" t="str">
        <f t="array" ref="H1151">iferror(index(isotopes!$G:$G,match($A1151,isotopes!$A:$A,0)))</f>
        <v>BIS37-74</v>
      </c>
      <c r="I1151" t="str">
        <f t="array" ref="I1151">iferror(index(isotopes!$J:$J,match($A1151,isotopes!$A:$A,0)))</f>
        <v>N</v>
      </c>
      <c r="J1151" t="str">
        <f t="array" ref="J1151">iferror(index(extra_muscle!$G:$G,match($A1151,extra_muscle!$A:$A,0)))</f>
        <v>BXM35-74</v>
      </c>
      <c r="K1151" t="str">
        <f t="array" ref="K1151">iferror(index(extra_muscle!$J:$J,match($A1151,extra_muscle!$A:$A,0)))</f>
        <v>N</v>
      </c>
      <c r="L1151" s="59" t="str">
        <f t="array" ref="L1151">iferror(index(dna!$G:$G,match($A1151,dna!$A:$A,0)))</f>
        <v>BDN4-88</v>
      </c>
      <c r="M1151" s="60" t="str">
        <f t="array" ref="M1151">iferror(index(dna!$J:$J,match($A1151,dna!$A:$A,0)))</f>
        <v>N</v>
      </c>
      <c r="N1151" t="str">
        <f t="array" ref="N1151">iferror(index(stomachs!$G:$G,match($A1151,stomachs!$A:$A,0)))</f>
        <v/>
      </c>
      <c r="O1151" t="str">
        <f t="array" ref="O1151">iferror(index(stomachs!$J:$J,match($A1151,stomachs!$A:$A,0)))</f>
        <v/>
      </c>
      <c r="P1151" t="str">
        <f t="array" ref="P1151">iferror(index(sea_lice!$G:$G,match($A1151,sea_lice!$A:$A,0)))</f>
        <v/>
      </c>
      <c r="Q1151" t="str">
        <f t="array" ref="Q1151">iferror(index(sea_lice!$J:$J,match($A1151,sea_lice!$A:$A,0)))</f>
        <v/>
      </c>
      <c r="R1151" s="40" t="str">
        <f t="array" ref="R1151">iferror(index(dissected_fish!$F:$F,match($A1151,dissected_fish!$A:$A,0)))</f>
        <v>BCA110</v>
      </c>
      <c r="S1151" s="40" t="str">
        <f t="array" ref="S1151">iferror(index(dissected_fish!$K:$K,match($A1151,dissected_fish!$A:$A,0)))</f>
        <v>N</v>
      </c>
      <c r="T1151" s="61" t="str">
        <f t="array" ref="T1151">index(fish_lab_data!O:O,match(A1151,fish_lab_data!C:C,0))</f>
        <v>KB</v>
      </c>
      <c r="U1151" s="61">
        <f t="array" ref="U1151">if(A1151="","",index(fish_lab_data!X:X,match(A1151,fish_lab_data!C:C,0)))</f>
        <v>1150</v>
      </c>
    </row>
    <row r="1152">
      <c r="A1152" t="str">
        <f>fish_lab_data!C1152</f>
        <v>U16743</v>
      </c>
      <c r="B1152" t="str">
        <f t="array" ref="B1152">iferror(index('rna-muscle'!$I:$I,match($A1152,'rna-muscle'!$A:$A,0)))</f>
        <v>BRN74M-H7</v>
      </c>
      <c r="C1152" t="str">
        <f t="array" ref="C1152">iferror(index('rna-muscle'!$L:$L,match($A1152,'rna-muscle'!$A:$A,0)))</f>
        <v>N</v>
      </c>
      <c r="D1152" t="str">
        <f t="array" ref="D1152">iferror(index('rna-gill'!$I:$I,match($A1152,'rna-gill'!$A:$A,0)))</f>
        <v>BRN74G-H7</v>
      </c>
      <c r="E1152" t="str">
        <f t="array" ref="E1152">iferror(index('rna-gill'!$L:$L,match($A1152,'rna-gill'!$A:$A,0)))</f>
        <v>N</v>
      </c>
      <c r="F1152" t="str">
        <f t="array" ref="F1152">iferror(index(fatty_acid!$G:$G,match($A1152,fatty_acid!$A:$A,0)))</f>
        <v>BFA34-75</v>
      </c>
      <c r="G1152" t="str">
        <f t="array" ref="G1152">iferror(index(fatty_acid!$J:$J,match($A1152,fatty_acid!$A:$A,0)))</f>
        <v>N</v>
      </c>
      <c r="H1152" t="str">
        <f t="array" ref="H1152">iferror(index(isotopes!$G:$G,match($A1152,isotopes!$A:$A,0)))</f>
        <v>BIS37-75</v>
      </c>
      <c r="I1152" t="str">
        <f t="array" ref="I1152">iferror(index(isotopes!$J:$J,match($A1152,isotopes!$A:$A,0)))</f>
        <v>N</v>
      </c>
      <c r="J1152" t="str">
        <f t="array" ref="J1152">iferror(index(extra_muscle!$G:$G,match($A1152,extra_muscle!$A:$A,0)))</f>
        <v>BXM35-75</v>
      </c>
      <c r="K1152" t="str">
        <f t="array" ref="K1152">iferror(index(extra_muscle!$J:$J,match($A1152,extra_muscle!$A:$A,0)))</f>
        <v>N</v>
      </c>
      <c r="L1152" s="59" t="str">
        <f t="array" ref="L1152">iferror(index(dna!$G:$G,match($A1152,dna!$A:$A,0)))</f>
        <v>BDN4-89</v>
      </c>
      <c r="M1152" s="60" t="str">
        <f t="array" ref="M1152">iferror(index(dna!$J:$J,match($A1152,dna!$A:$A,0)))</f>
        <v>N</v>
      </c>
      <c r="N1152" t="str">
        <f t="array" ref="N1152">iferror(index(stomachs!$G:$G,match($A1152,stomachs!$A:$A,0)))</f>
        <v/>
      </c>
      <c r="O1152" t="str">
        <f t="array" ref="O1152">iferror(index(stomachs!$J:$J,match($A1152,stomachs!$A:$A,0)))</f>
        <v/>
      </c>
      <c r="P1152" t="str">
        <f t="array" ref="P1152">iferror(index(sea_lice!$G:$G,match($A1152,sea_lice!$A:$A,0)))</f>
        <v/>
      </c>
      <c r="Q1152" t="str">
        <f t="array" ref="Q1152">iferror(index(sea_lice!$J:$J,match($A1152,sea_lice!$A:$A,0)))</f>
        <v/>
      </c>
      <c r="R1152" s="40" t="str">
        <f t="array" ref="R1152">iferror(index(dissected_fish!$F:$F,match($A1152,dissected_fish!$A:$A,0)))</f>
        <v>BCA110</v>
      </c>
      <c r="S1152" s="40" t="str">
        <f t="array" ref="S1152">iferror(index(dissected_fish!$K:$K,match($A1152,dissected_fish!$A:$A,0)))</f>
        <v>N</v>
      </c>
      <c r="T1152" s="61" t="str">
        <f t="array" ref="T1152">index(fish_lab_data!O:O,match(A1152,fish_lab_data!C:C,0))</f>
        <v>KB</v>
      </c>
      <c r="U1152" s="61">
        <f t="array" ref="U1152">if(A1152="","",index(fish_lab_data!X:X,match(A1152,fish_lab_data!C:C,0)))</f>
        <v>1151</v>
      </c>
    </row>
    <row r="1153">
      <c r="A1153" t="str">
        <f>fish_lab_data!C1153</f>
        <v>U16747</v>
      </c>
      <c r="B1153" t="str">
        <f t="array" ref="B1153">iferror(index('rna-muscle'!$I:$I,match($A1153,'rna-muscle'!$A:$A,0)))</f>
        <v>BRN74M-G7</v>
      </c>
      <c r="C1153" t="str">
        <f t="array" ref="C1153">iferror(index('rna-muscle'!$L:$L,match($A1153,'rna-muscle'!$A:$A,0)))</f>
        <v>N</v>
      </c>
      <c r="D1153" t="str">
        <f t="array" ref="D1153">iferror(index('rna-gill'!$I:$I,match($A1153,'rna-gill'!$A:$A,0)))</f>
        <v>BRN74G-G7</v>
      </c>
      <c r="E1153" t="str">
        <f t="array" ref="E1153">iferror(index('rna-gill'!$L:$L,match($A1153,'rna-gill'!$A:$A,0)))</f>
        <v>N</v>
      </c>
      <c r="F1153" t="str">
        <f t="array" ref="F1153">iferror(index(fatty_acid!$G:$G,match($A1153,fatty_acid!$A:$A,0)))</f>
        <v>BFA34-76</v>
      </c>
      <c r="G1153" t="str">
        <f t="array" ref="G1153">iferror(index(fatty_acid!$J:$J,match($A1153,fatty_acid!$A:$A,0)))</f>
        <v>N</v>
      </c>
      <c r="H1153" t="str">
        <f t="array" ref="H1153">iferror(index(isotopes!$G:$G,match($A1153,isotopes!$A:$A,0)))</f>
        <v>BIS37-76</v>
      </c>
      <c r="I1153" t="str">
        <f t="array" ref="I1153">iferror(index(isotopes!$J:$J,match($A1153,isotopes!$A:$A,0)))</f>
        <v>N</v>
      </c>
      <c r="J1153" t="str">
        <f t="array" ref="J1153">iferror(index(extra_muscle!$G:$G,match($A1153,extra_muscle!$A:$A,0)))</f>
        <v>BXM35-76</v>
      </c>
      <c r="K1153" t="str">
        <f t="array" ref="K1153">iferror(index(extra_muscle!$J:$J,match($A1153,extra_muscle!$A:$A,0)))</f>
        <v>N</v>
      </c>
      <c r="L1153" s="59" t="str">
        <f t="array" ref="L1153">iferror(index(dna!$G:$G,match($A1153,dna!$A:$A,0)))</f>
        <v>BDN4-90</v>
      </c>
      <c r="M1153" s="60" t="str">
        <f t="array" ref="M1153">iferror(index(dna!$J:$J,match($A1153,dna!$A:$A,0)))</f>
        <v>N</v>
      </c>
      <c r="N1153" t="str">
        <f t="array" ref="N1153">iferror(index(stomachs!$G:$G,match($A1153,stomachs!$A:$A,0)))</f>
        <v/>
      </c>
      <c r="O1153" t="str">
        <f t="array" ref="O1153">iferror(index(stomachs!$J:$J,match($A1153,stomachs!$A:$A,0)))</f>
        <v/>
      </c>
      <c r="P1153" t="str">
        <f t="array" ref="P1153">iferror(index(sea_lice!$G:$G,match($A1153,sea_lice!$A:$A,0)))</f>
        <v>BSL7-78</v>
      </c>
      <c r="Q1153" t="str">
        <f t="array" ref="Q1153">iferror(index(sea_lice!$J:$J,match($A1153,sea_lice!$A:$A,0)))</f>
        <v>N</v>
      </c>
      <c r="R1153" s="40" t="str">
        <f t="array" ref="R1153">iferror(index(dissected_fish!$F:$F,match($A1153,dissected_fish!$A:$A,0)))</f>
        <v>BCA110</v>
      </c>
      <c r="S1153" s="40" t="str">
        <f t="array" ref="S1153">iferror(index(dissected_fish!$K:$K,match($A1153,dissected_fish!$A:$A,0)))</f>
        <v>N</v>
      </c>
      <c r="T1153" s="61" t="str">
        <f t="array" ref="T1153">index(fish_lab_data!O:O,match(A1153,fish_lab_data!C:C,0))</f>
        <v>KB</v>
      </c>
      <c r="U1153" s="61">
        <f t="array" ref="U1153">if(A1153="","",index(fish_lab_data!X:X,match(A1153,fish_lab_data!C:C,0)))</f>
        <v>1152</v>
      </c>
    </row>
    <row r="1154">
      <c r="A1154" t="str">
        <f>fish_lab_data!C1154</f>
        <v>U16749</v>
      </c>
      <c r="B1154" t="str">
        <f t="array" ref="B1154">iferror(index('rna-muscle'!$I:$I,match($A1154,'rna-muscle'!$A:$A,0)))</f>
        <v>BRN74M-F7</v>
      </c>
      <c r="C1154" t="str">
        <f t="array" ref="C1154">iferror(index('rna-muscle'!$L:$L,match($A1154,'rna-muscle'!$A:$A,0)))</f>
        <v>N</v>
      </c>
      <c r="D1154" t="str">
        <f t="array" ref="D1154">iferror(index('rna-gill'!$I:$I,match($A1154,'rna-gill'!$A:$A,0)))</f>
        <v>BRN74G-F7</v>
      </c>
      <c r="E1154" t="str">
        <f t="array" ref="E1154">iferror(index('rna-gill'!$L:$L,match($A1154,'rna-gill'!$A:$A,0)))</f>
        <v>N</v>
      </c>
      <c r="F1154" t="str">
        <f t="array" ref="F1154">iferror(index(fatty_acid!$G:$G,match($A1154,fatty_acid!$A:$A,0)))</f>
        <v>BFA34-77</v>
      </c>
      <c r="G1154" t="str">
        <f t="array" ref="G1154">iferror(index(fatty_acid!$J:$J,match($A1154,fatty_acid!$A:$A,0)))</f>
        <v>N</v>
      </c>
      <c r="H1154" t="str">
        <f t="array" ref="H1154">iferror(index(isotopes!$G:$G,match($A1154,isotopes!$A:$A,0)))</f>
        <v>BIS37-77</v>
      </c>
      <c r="I1154" t="str">
        <f t="array" ref="I1154">iferror(index(isotopes!$J:$J,match($A1154,isotopes!$A:$A,0)))</f>
        <v>N</v>
      </c>
      <c r="J1154" t="str">
        <f t="array" ref="J1154">iferror(index(extra_muscle!$G:$G,match($A1154,extra_muscle!$A:$A,0)))</f>
        <v>BXM35-77</v>
      </c>
      <c r="K1154" t="str">
        <f t="array" ref="K1154">iferror(index(extra_muscle!$J:$J,match($A1154,extra_muscle!$A:$A,0)))</f>
        <v>N</v>
      </c>
      <c r="L1154" s="59" t="str">
        <f t="array" ref="L1154">iferror(index(dna!$G:$G,match($A1154,dna!$A:$A,0)))</f>
        <v>BDN4-91</v>
      </c>
      <c r="M1154" s="60" t="str">
        <f t="array" ref="M1154">iferror(index(dna!$J:$J,match($A1154,dna!$A:$A,0)))</f>
        <v>N</v>
      </c>
      <c r="N1154" t="str">
        <f t="array" ref="N1154">iferror(index(stomachs!$G:$G,match($A1154,stomachs!$A:$A,0)))</f>
        <v/>
      </c>
      <c r="O1154" t="str">
        <f t="array" ref="O1154">iferror(index(stomachs!$J:$J,match($A1154,stomachs!$A:$A,0)))</f>
        <v/>
      </c>
      <c r="P1154" t="str">
        <f t="array" ref="P1154">iferror(index(sea_lice!$G:$G,match($A1154,sea_lice!$A:$A,0)))</f>
        <v>BSL7-79</v>
      </c>
      <c r="Q1154" t="str">
        <f t="array" ref="Q1154">iferror(index(sea_lice!$J:$J,match($A1154,sea_lice!$A:$A,0)))</f>
        <v>N</v>
      </c>
      <c r="R1154" s="40" t="str">
        <f t="array" ref="R1154">iferror(index(dissected_fish!$F:$F,match($A1154,dissected_fish!$A:$A,0)))</f>
        <v>BCA110</v>
      </c>
      <c r="S1154" s="40" t="str">
        <f t="array" ref="S1154">iferror(index(dissected_fish!$K:$K,match($A1154,dissected_fish!$A:$A,0)))</f>
        <v>N</v>
      </c>
      <c r="T1154" s="61" t="str">
        <f t="array" ref="T1154">index(fish_lab_data!O:O,match(A1154,fish_lab_data!C:C,0))</f>
        <v>KB</v>
      </c>
      <c r="U1154" s="61">
        <f t="array" ref="U1154">if(A1154="","",index(fish_lab_data!X:X,match(A1154,fish_lab_data!C:C,0)))</f>
        <v>1153</v>
      </c>
    </row>
    <row r="1155">
      <c r="A1155" t="str">
        <f>fish_lab_data!C1155</f>
        <v>U16746</v>
      </c>
      <c r="B1155" t="str">
        <f t="array" ref="B1155">iferror(index('rna-muscle'!$I:$I,match($A1155,'rna-muscle'!$A:$A,0)))</f>
        <v>BRN74M-E7</v>
      </c>
      <c r="C1155" t="str">
        <f t="array" ref="C1155">iferror(index('rna-muscle'!$L:$L,match($A1155,'rna-muscle'!$A:$A,0)))</f>
        <v>N</v>
      </c>
      <c r="D1155" t="str">
        <f t="array" ref="D1155">iferror(index('rna-gill'!$I:$I,match($A1155,'rna-gill'!$A:$A,0)))</f>
        <v>BRN74G-E7</v>
      </c>
      <c r="E1155" t="str">
        <f t="array" ref="E1155">iferror(index('rna-gill'!$L:$L,match($A1155,'rna-gill'!$A:$A,0)))</f>
        <v>N</v>
      </c>
      <c r="F1155" t="str">
        <f t="array" ref="F1155">iferror(index(fatty_acid!$G:$G,match($A1155,fatty_acid!$A:$A,0)))</f>
        <v>BFA34-78</v>
      </c>
      <c r="G1155" t="str">
        <f t="array" ref="G1155">iferror(index(fatty_acid!$J:$J,match($A1155,fatty_acid!$A:$A,0)))</f>
        <v>N</v>
      </c>
      <c r="H1155" t="str">
        <f t="array" ref="H1155">iferror(index(isotopes!$G:$G,match($A1155,isotopes!$A:$A,0)))</f>
        <v>BIS37-78</v>
      </c>
      <c r="I1155" t="str">
        <f t="array" ref="I1155">iferror(index(isotopes!$J:$J,match($A1155,isotopes!$A:$A,0)))</f>
        <v>N</v>
      </c>
      <c r="J1155" t="str">
        <f t="array" ref="J1155">iferror(index(extra_muscle!$G:$G,match($A1155,extra_muscle!$A:$A,0)))</f>
        <v>BXM35-78</v>
      </c>
      <c r="K1155" t="str">
        <f t="array" ref="K1155">iferror(index(extra_muscle!$J:$J,match($A1155,extra_muscle!$A:$A,0)))</f>
        <v>N</v>
      </c>
      <c r="L1155" s="59" t="str">
        <f t="array" ref="L1155">iferror(index(dna!$G:$G,match($A1155,dna!$A:$A,0)))</f>
        <v>BDN4-92</v>
      </c>
      <c r="M1155" s="60" t="str">
        <f t="array" ref="M1155">iferror(index(dna!$J:$J,match($A1155,dna!$A:$A,0)))</f>
        <v>N</v>
      </c>
      <c r="N1155" t="str">
        <f t="array" ref="N1155">iferror(index(stomachs!$G:$G,match($A1155,stomachs!$A:$A,0)))</f>
        <v/>
      </c>
      <c r="O1155" t="str">
        <f t="array" ref="O1155">iferror(index(stomachs!$J:$J,match($A1155,stomachs!$A:$A,0)))</f>
        <v/>
      </c>
      <c r="P1155" t="str">
        <f t="array" ref="P1155">iferror(index(sea_lice!$G:$G,match($A1155,sea_lice!$A:$A,0)))</f>
        <v>BSL7-80</v>
      </c>
      <c r="Q1155" t="str">
        <f t="array" ref="Q1155">iferror(index(sea_lice!$J:$J,match($A1155,sea_lice!$A:$A,0)))</f>
        <v>N</v>
      </c>
      <c r="R1155" s="40" t="str">
        <f t="array" ref="R1155">iferror(index(dissected_fish!$F:$F,match($A1155,dissected_fish!$A:$A,0)))</f>
        <v>BCA110</v>
      </c>
      <c r="S1155" s="40" t="str">
        <f t="array" ref="S1155">iferror(index(dissected_fish!$K:$K,match($A1155,dissected_fish!$A:$A,0)))</f>
        <v>N</v>
      </c>
      <c r="T1155" s="61" t="str">
        <f t="array" ref="T1155">index(fish_lab_data!O:O,match(A1155,fish_lab_data!C:C,0))</f>
        <v>KB</v>
      </c>
      <c r="U1155" s="61">
        <f t="array" ref="U1155">if(A1155="","",index(fish_lab_data!X:X,match(A1155,fish_lab_data!C:C,0)))</f>
        <v>1154</v>
      </c>
    </row>
    <row r="1156">
      <c r="A1156" t="str">
        <f>fish_lab_data!C1156</f>
        <v>U16287</v>
      </c>
      <c r="B1156" t="str">
        <f t="array" ref="B1156">iferror(index('rna-muscle'!$I:$I,match($A1156,'rna-muscle'!$A:$A,0)))</f>
        <v>BRN74M-D7</v>
      </c>
      <c r="C1156" t="str">
        <f t="array" ref="C1156">iferror(index('rna-muscle'!$L:$L,match($A1156,'rna-muscle'!$A:$A,0)))</f>
        <v>N</v>
      </c>
      <c r="D1156" t="str">
        <f t="array" ref="D1156">iferror(index('rna-gill'!$I:$I,match($A1156,'rna-gill'!$A:$A,0)))</f>
        <v>BRN74G-D7</v>
      </c>
      <c r="E1156" t="str">
        <f t="array" ref="E1156">iferror(index('rna-gill'!$L:$L,match($A1156,'rna-gill'!$A:$A,0)))</f>
        <v>N</v>
      </c>
      <c r="F1156" t="str">
        <f t="array" ref="F1156">iferror(index(fatty_acid!$G:$G,match($A1156,fatty_acid!$A:$A,0)))</f>
        <v>BFA34-79</v>
      </c>
      <c r="G1156" t="str">
        <f t="array" ref="G1156">iferror(index(fatty_acid!$J:$J,match($A1156,fatty_acid!$A:$A,0)))</f>
        <v>N</v>
      </c>
      <c r="H1156" t="str">
        <f t="array" ref="H1156">iferror(index(isotopes!$G:$G,match($A1156,isotopes!$A:$A,0)))</f>
        <v>BIS37-79</v>
      </c>
      <c r="I1156" t="str">
        <f t="array" ref="I1156">iferror(index(isotopes!$J:$J,match($A1156,isotopes!$A:$A,0)))</f>
        <v>N</v>
      </c>
      <c r="J1156" t="str">
        <f t="array" ref="J1156">iferror(index(extra_muscle!$G:$G,match($A1156,extra_muscle!$A:$A,0)))</f>
        <v>BXM35-79</v>
      </c>
      <c r="K1156" t="str">
        <f t="array" ref="K1156">iferror(index(extra_muscle!$J:$J,match($A1156,extra_muscle!$A:$A,0)))</f>
        <v>N</v>
      </c>
      <c r="L1156" s="59" t="str">
        <f t="array" ref="L1156">iferror(index(dna!$G:$G,match($A1156,dna!$A:$A,0)))</f>
        <v>BDN4-93</v>
      </c>
      <c r="M1156" s="60" t="str">
        <f t="array" ref="M1156">iferror(index(dna!$J:$J,match($A1156,dna!$A:$A,0)))</f>
        <v>N</v>
      </c>
      <c r="N1156" t="str">
        <f t="array" ref="N1156">iferror(index(stomachs!$G:$G,match($A1156,stomachs!$A:$A,0)))</f>
        <v/>
      </c>
      <c r="O1156" t="str">
        <f t="array" ref="O1156">iferror(index(stomachs!$J:$J,match($A1156,stomachs!$A:$A,0)))</f>
        <v/>
      </c>
      <c r="P1156" t="str">
        <f t="array" ref="P1156">iferror(index(sea_lice!$G:$G,match($A1156,sea_lice!$A:$A,0)))</f>
        <v/>
      </c>
      <c r="Q1156" t="str">
        <f t="array" ref="Q1156">iferror(index(sea_lice!$J:$J,match($A1156,sea_lice!$A:$A,0)))</f>
        <v/>
      </c>
      <c r="R1156" s="40" t="str">
        <f t="array" ref="R1156">iferror(index(dissected_fish!$F:$F,match($A1156,dissected_fish!$A:$A,0)))</f>
        <v>BCA110</v>
      </c>
      <c r="S1156" s="40" t="str">
        <f t="array" ref="S1156">iferror(index(dissected_fish!$K:$K,match($A1156,dissected_fish!$A:$A,0)))</f>
        <v>N</v>
      </c>
      <c r="T1156" s="61" t="str">
        <f t="array" ref="T1156">index(fish_lab_data!O:O,match(A1156,fish_lab_data!C:C,0))</f>
        <v>KB</v>
      </c>
      <c r="U1156" s="61">
        <f t="array" ref="U1156">if(A1156="","",index(fish_lab_data!X:X,match(A1156,fish_lab_data!C:C,0)))</f>
        <v>1155</v>
      </c>
    </row>
    <row r="1157">
      <c r="A1157" t="str">
        <f>fish_lab_data!C1157</f>
        <v>U16286</v>
      </c>
      <c r="B1157" t="str">
        <f t="array" ref="B1157">iferror(index('rna-muscle'!$I:$I,match($A1157,'rna-muscle'!$A:$A,0)))</f>
        <v>BRN74M-C7</v>
      </c>
      <c r="C1157" t="str">
        <f t="array" ref="C1157">iferror(index('rna-muscle'!$L:$L,match($A1157,'rna-muscle'!$A:$A,0)))</f>
        <v>N</v>
      </c>
      <c r="D1157" t="str">
        <f t="array" ref="D1157">iferror(index('rna-gill'!$I:$I,match($A1157,'rna-gill'!$A:$A,0)))</f>
        <v>BRN74G-C7</v>
      </c>
      <c r="E1157" t="str">
        <f t="array" ref="E1157">iferror(index('rna-gill'!$L:$L,match($A1157,'rna-gill'!$A:$A,0)))</f>
        <v>N</v>
      </c>
      <c r="F1157" t="str">
        <f t="array" ref="F1157">iferror(index(fatty_acid!$G:$G,match($A1157,fatty_acid!$A:$A,0)))</f>
        <v>BFA34-80</v>
      </c>
      <c r="G1157" t="str">
        <f t="array" ref="G1157">iferror(index(fatty_acid!$J:$J,match($A1157,fatty_acid!$A:$A,0)))</f>
        <v>N</v>
      </c>
      <c r="H1157" t="str">
        <f t="array" ref="H1157">iferror(index(isotopes!$G:$G,match($A1157,isotopes!$A:$A,0)))</f>
        <v>BIS37-80</v>
      </c>
      <c r="I1157" t="str">
        <f t="array" ref="I1157">iferror(index(isotopes!$J:$J,match($A1157,isotopes!$A:$A,0)))</f>
        <v>N</v>
      </c>
      <c r="J1157" t="str">
        <f t="array" ref="J1157">iferror(index(extra_muscle!$G:$G,match($A1157,extra_muscle!$A:$A,0)))</f>
        <v>BXM35-80</v>
      </c>
      <c r="K1157" t="str">
        <f t="array" ref="K1157">iferror(index(extra_muscle!$J:$J,match($A1157,extra_muscle!$A:$A,0)))</f>
        <v>N</v>
      </c>
      <c r="L1157" s="59" t="str">
        <f t="array" ref="L1157">iferror(index(dna!$G:$G,match($A1157,dna!$A:$A,0)))</f>
        <v>BDN4-94</v>
      </c>
      <c r="M1157" s="60" t="str">
        <f t="array" ref="M1157">iferror(index(dna!$J:$J,match($A1157,dna!$A:$A,0)))</f>
        <v>N</v>
      </c>
      <c r="N1157" t="str">
        <f t="array" ref="N1157">iferror(index(stomachs!$G:$G,match($A1157,stomachs!$A:$A,0)))</f>
        <v/>
      </c>
      <c r="O1157" t="str">
        <f t="array" ref="O1157">iferror(index(stomachs!$J:$J,match($A1157,stomachs!$A:$A,0)))</f>
        <v/>
      </c>
      <c r="P1157" t="str">
        <f t="array" ref="P1157">iferror(index(sea_lice!$G:$G,match($A1157,sea_lice!$A:$A,0)))</f>
        <v/>
      </c>
      <c r="Q1157" t="str">
        <f t="array" ref="Q1157">iferror(index(sea_lice!$J:$J,match($A1157,sea_lice!$A:$A,0)))</f>
        <v/>
      </c>
      <c r="R1157" s="40" t="str">
        <f t="array" ref="R1157">iferror(index(dissected_fish!$F:$F,match($A1157,dissected_fish!$A:$A,0)))</f>
        <v>BCA110</v>
      </c>
      <c r="S1157" s="40" t="str">
        <f t="array" ref="S1157">iferror(index(dissected_fish!$K:$K,match($A1157,dissected_fish!$A:$A,0)))</f>
        <v>N</v>
      </c>
      <c r="T1157" s="61" t="str">
        <f t="array" ref="T1157">index(fish_lab_data!O:O,match(A1157,fish_lab_data!C:C,0))</f>
        <v>KB</v>
      </c>
      <c r="U1157" s="61">
        <f t="array" ref="U1157">if(A1157="","",index(fish_lab_data!X:X,match(A1157,fish_lab_data!C:C,0)))</f>
        <v>1156</v>
      </c>
    </row>
    <row r="1158">
      <c r="A1158" t="str">
        <f>fish_lab_data!C1158</f>
        <v>U16285</v>
      </c>
      <c r="B1158" t="str">
        <f t="array" ref="B1158">iferror(index('rna-muscle'!$I:$I,match($A1158,'rna-muscle'!$A:$A,0)))</f>
        <v>BRN74M-B7</v>
      </c>
      <c r="C1158" t="str">
        <f t="array" ref="C1158">iferror(index('rna-muscle'!$L:$L,match($A1158,'rna-muscle'!$A:$A,0)))</f>
        <v>N</v>
      </c>
      <c r="D1158" t="str">
        <f t="array" ref="D1158">iferror(index('rna-gill'!$I:$I,match($A1158,'rna-gill'!$A:$A,0)))</f>
        <v>BRN74G-B7</v>
      </c>
      <c r="E1158" t="str">
        <f t="array" ref="E1158">iferror(index('rna-gill'!$L:$L,match($A1158,'rna-gill'!$A:$A,0)))</f>
        <v>N</v>
      </c>
      <c r="F1158" t="str">
        <f t="array" ref="F1158">iferror(index(fatty_acid!$G:$G,match($A1158,fatty_acid!$A:$A,0)))</f>
        <v>BFA34-81</v>
      </c>
      <c r="G1158" t="str">
        <f t="array" ref="G1158">iferror(index(fatty_acid!$J:$J,match($A1158,fatty_acid!$A:$A,0)))</f>
        <v>N</v>
      </c>
      <c r="H1158" t="str">
        <f t="array" ref="H1158">iferror(index(isotopes!$G:$G,match($A1158,isotopes!$A:$A,0)))</f>
        <v>BIS37-81</v>
      </c>
      <c r="I1158" t="str">
        <f t="array" ref="I1158">iferror(index(isotopes!$J:$J,match($A1158,isotopes!$A:$A,0)))</f>
        <v>N</v>
      </c>
      <c r="J1158" t="str">
        <f t="array" ref="J1158">iferror(index(extra_muscle!$G:$G,match($A1158,extra_muscle!$A:$A,0)))</f>
        <v>BXM35-81</v>
      </c>
      <c r="K1158" t="str">
        <f t="array" ref="K1158">iferror(index(extra_muscle!$J:$J,match($A1158,extra_muscle!$A:$A,0)))</f>
        <v>N</v>
      </c>
      <c r="L1158" s="59" t="str">
        <f t="array" ref="L1158">iferror(index(dna!$G:$G,match($A1158,dna!$A:$A,0)))</f>
        <v>BDN4-95</v>
      </c>
      <c r="M1158" s="60" t="str">
        <f t="array" ref="M1158">iferror(index(dna!$J:$J,match($A1158,dna!$A:$A,0)))</f>
        <v>N</v>
      </c>
      <c r="N1158" t="str">
        <f t="array" ref="N1158">iferror(index(stomachs!$G:$G,match($A1158,stomachs!$A:$A,0)))</f>
        <v/>
      </c>
      <c r="O1158" t="str">
        <f t="array" ref="O1158">iferror(index(stomachs!$J:$J,match($A1158,stomachs!$A:$A,0)))</f>
        <v/>
      </c>
      <c r="P1158" t="str">
        <f t="array" ref="P1158">iferror(index(sea_lice!$G:$G,match($A1158,sea_lice!$A:$A,0)))</f>
        <v/>
      </c>
      <c r="Q1158" t="str">
        <f t="array" ref="Q1158">iferror(index(sea_lice!$J:$J,match($A1158,sea_lice!$A:$A,0)))</f>
        <v/>
      </c>
      <c r="R1158" s="40" t="str">
        <f t="array" ref="R1158">iferror(index(dissected_fish!$F:$F,match($A1158,dissected_fish!$A:$A,0)))</f>
        <v>BCA110</v>
      </c>
      <c r="S1158" s="40" t="str">
        <f t="array" ref="S1158">iferror(index(dissected_fish!$K:$K,match($A1158,dissected_fish!$A:$A,0)))</f>
        <v>N</v>
      </c>
      <c r="T1158" s="61" t="str">
        <f t="array" ref="T1158">index(fish_lab_data!O:O,match(A1158,fish_lab_data!C:C,0))</f>
        <v>KB</v>
      </c>
      <c r="U1158" s="61">
        <f t="array" ref="U1158">if(A1158="","",index(fish_lab_data!X:X,match(A1158,fish_lab_data!C:C,0)))</f>
        <v>1157</v>
      </c>
    </row>
    <row r="1159">
      <c r="A1159" t="str">
        <f>fish_lab_data!C1159</f>
        <v>U16288</v>
      </c>
      <c r="B1159" t="str">
        <f t="array" ref="B1159">iferror(index('rna-muscle'!$I:$I,match($A1159,'rna-muscle'!$A:$A,0)))</f>
        <v>BRN74M-A7</v>
      </c>
      <c r="C1159" t="str">
        <f t="array" ref="C1159">iferror(index('rna-muscle'!$L:$L,match($A1159,'rna-muscle'!$A:$A,0)))</f>
        <v>N</v>
      </c>
      <c r="D1159" t="str">
        <f t="array" ref="D1159">iferror(index('rna-gill'!$I:$I,match($A1159,'rna-gill'!$A:$A,0)))</f>
        <v>BRN74G-A7</v>
      </c>
      <c r="E1159" t="str">
        <f t="array" ref="E1159">iferror(index('rna-gill'!$L:$L,match($A1159,'rna-gill'!$A:$A,0)))</f>
        <v>N</v>
      </c>
      <c r="F1159" t="str">
        <f t="array" ref="F1159">iferror(index(fatty_acid!$G:$G,match($A1159,fatty_acid!$A:$A,0)))</f>
        <v>BFA35-1</v>
      </c>
      <c r="G1159" t="str">
        <f t="array" ref="G1159">iferror(index(fatty_acid!$J:$J,match($A1159,fatty_acid!$A:$A,0)))</f>
        <v>N</v>
      </c>
      <c r="H1159" t="str">
        <f t="array" ref="H1159">iferror(index(isotopes!$G:$G,match($A1159,isotopes!$A:$A,0)))</f>
        <v>BIS38-1</v>
      </c>
      <c r="I1159" t="str">
        <f t="array" ref="I1159">iferror(index(isotopes!$J:$J,match($A1159,isotopes!$A:$A,0)))</f>
        <v>N</v>
      </c>
      <c r="J1159" t="str">
        <f t="array" ref="J1159">iferror(index(extra_muscle!$G:$G,match($A1159,extra_muscle!$A:$A,0)))</f>
        <v>BXM36-1</v>
      </c>
      <c r="K1159" t="str">
        <f t="array" ref="K1159">iferror(index(extra_muscle!$J:$J,match($A1159,extra_muscle!$A:$A,0)))</f>
        <v>N</v>
      </c>
      <c r="L1159" s="59" t="str">
        <f t="array" ref="L1159">iferror(index(dna!$G:$G,match($A1159,dna!$A:$A,0)))</f>
        <v>BDN4-96</v>
      </c>
      <c r="M1159" s="60" t="str">
        <f t="array" ref="M1159">iferror(index(dna!$J:$J,match($A1159,dna!$A:$A,0)))</f>
        <v>N</v>
      </c>
      <c r="N1159" t="str">
        <f t="array" ref="N1159">iferror(index(stomachs!$G:$G,match($A1159,stomachs!$A:$A,0)))</f>
        <v/>
      </c>
      <c r="O1159" t="str">
        <f t="array" ref="O1159">iferror(index(stomachs!$J:$J,match($A1159,stomachs!$A:$A,0)))</f>
        <v/>
      </c>
      <c r="P1159" t="str">
        <f t="array" ref="P1159">iferror(index(sea_lice!$G:$G,match($A1159,sea_lice!$A:$A,0)))</f>
        <v/>
      </c>
      <c r="Q1159" t="str">
        <f t="array" ref="Q1159">iferror(index(sea_lice!$J:$J,match($A1159,sea_lice!$A:$A,0)))</f>
        <v/>
      </c>
      <c r="R1159" s="40" t="str">
        <f t="array" ref="R1159">iferror(index(dissected_fish!$F:$F,match($A1159,dissected_fish!$A:$A,0)))</f>
        <v>BCA110</v>
      </c>
      <c r="S1159" s="40" t="str">
        <f t="array" ref="S1159">iferror(index(dissected_fish!$K:$K,match($A1159,dissected_fish!$A:$A,0)))</f>
        <v>N</v>
      </c>
      <c r="T1159" s="61" t="str">
        <f t="array" ref="T1159">index(fish_lab_data!O:O,match(A1159,fish_lab_data!C:C,0))</f>
        <v>KB</v>
      </c>
      <c r="U1159" s="61">
        <f t="array" ref="U1159">if(A1159="","",index(fish_lab_data!X:X,match(A1159,fish_lab_data!C:C,0)))</f>
        <v>1158</v>
      </c>
    </row>
    <row r="1160">
      <c r="A1160" t="str">
        <f>fish_lab_data!C1160</f>
        <v>U16290</v>
      </c>
      <c r="B1160" t="str">
        <f t="array" ref="B1160">iferror(index('rna-muscle'!$I:$I,match($A1160,'rna-muscle'!$A:$A,0)))</f>
        <v>BRN74M-H8</v>
      </c>
      <c r="C1160" t="str">
        <f t="array" ref="C1160">iferror(index('rna-muscle'!$L:$L,match($A1160,'rna-muscle'!$A:$A,0)))</f>
        <v>N</v>
      </c>
      <c r="D1160" t="str">
        <f t="array" ref="D1160">iferror(index('rna-gill'!$I:$I,match($A1160,'rna-gill'!$A:$A,0)))</f>
        <v>BRN74G-H8</v>
      </c>
      <c r="E1160" t="str">
        <f t="array" ref="E1160">iferror(index('rna-gill'!$L:$L,match($A1160,'rna-gill'!$A:$A,0)))</f>
        <v>N</v>
      </c>
      <c r="F1160" t="str">
        <f t="array" ref="F1160">iferror(index(fatty_acid!$G:$G,match($A1160,fatty_acid!$A:$A,0)))</f>
        <v>BFA35-2</v>
      </c>
      <c r="G1160" t="str">
        <f t="array" ref="G1160">iferror(index(fatty_acid!$J:$J,match($A1160,fatty_acid!$A:$A,0)))</f>
        <v>N</v>
      </c>
      <c r="H1160" t="str">
        <f t="array" ref="H1160">iferror(index(isotopes!$G:$G,match($A1160,isotopes!$A:$A,0)))</f>
        <v>BIS38-2</v>
      </c>
      <c r="I1160" t="str">
        <f t="array" ref="I1160">iferror(index(isotopes!$J:$J,match($A1160,isotopes!$A:$A,0)))</f>
        <v>N</v>
      </c>
      <c r="J1160" t="str">
        <f t="array" ref="J1160">iferror(index(extra_muscle!$G:$G,match($A1160,extra_muscle!$A:$A,0)))</f>
        <v>BXM36-2</v>
      </c>
      <c r="K1160" t="str">
        <f t="array" ref="K1160">iferror(index(extra_muscle!$J:$J,match($A1160,extra_muscle!$A:$A,0)))</f>
        <v>N</v>
      </c>
      <c r="L1160" s="59" t="str">
        <f t="array" ref="L1160">iferror(index(dna!$G:$G,match($A1160,dna!$A:$A,0)))</f>
        <v>BDN4-97</v>
      </c>
      <c r="M1160" s="60" t="str">
        <f t="array" ref="M1160">iferror(index(dna!$J:$J,match($A1160,dna!$A:$A,0)))</f>
        <v>N</v>
      </c>
      <c r="N1160" t="str">
        <f t="array" ref="N1160">iferror(index(stomachs!$G:$G,match($A1160,stomachs!$A:$A,0)))</f>
        <v/>
      </c>
      <c r="O1160" t="str">
        <f t="array" ref="O1160">iferror(index(stomachs!$J:$J,match($A1160,stomachs!$A:$A,0)))</f>
        <v/>
      </c>
      <c r="P1160" t="str">
        <f t="array" ref="P1160">iferror(index(sea_lice!$G:$G,match($A1160,sea_lice!$A:$A,0)))</f>
        <v/>
      </c>
      <c r="Q1160" t="str">
        <f t="array" ref="Q1160">iferror(index(sea_lice!$J:$J,match($A1160,sea_lice!$A:$A,0)))</f>
        <v/>
      </c>
      <c r="R1160" s="40" t="str">
        <f t="array" ref="R1160">iferror(index(dissected_fish!$F:$F,match($A1160,dissected_fish!$A:$A,0)))</f>
        <v>BCA110</v>
      </c>
      <c r="S1160" s="40" t="str">
        <f t="array" ref="S1160">iferror(index(dissected_fish!$K:$K,match($A1160,dissected_fish!$A:$A,0)))</f>
        <v>N</v>
      </c>
      <c r="T1160" s="61" t="str">
        <f t="array" ref="T1160">index(fish_lab_data!O:O,match(A1160,fish_lab_data!C:C,0))</f>
        <v>KB</v>
      </c>
      <c r="U1160" s="61">
        <f t="array" ref="U1160">if(A1160="","",index(fish_lab_data!X:X,match(A1160,fish_lab_data!C:C,0)))</f>
        <v>1159</v>
      </c>
    </row>
    <row r="1161">
      <c r="A1161" t="str">
        <f>fish_lab_data!C1161</f>
        <v>U16281</v>
      </c>
      <c r="B1161" t="str">
        <f t="array" ref="B1161">iferror(index('rna-muscle'!$I:$I,match($A1161,'rna-muscle'!$A:$A,0)))</f>
        <v>BRN74M-G8</v>
      </c>
      <c r="C1161" t="str">
        <f t="array" ref="C1161">iferror(index('rna-muscle'!$L:$L,match($A1161,'rna-muscle'!$A:$A,0)))</f>
        <v>N</v>
      </c>
      <c r="D1161" t="str">
        <f t="array" ref="D1161">iferror(index('rna-gill'!$I:$I,match($A1161,'rna-gill'!$A:$A,0)))</f>
        <v>BRN74G-G8</v>
      </c>
      <c r="E1161" t="str">
        <f t="array" ref="E1161">iferror(index('rna-gill'!$L:$L,match($A1161,'rna-gill'!$A:$A,0)))</f>
        <v>N</v>
      </c>
      <c r="F1161" t="str">
        <f t="array" ref="F1161">iferror(index(fatty_acid!$G:$G,match($A1161,fatty_acid!$A:$A,0)))</f>
        <v>BFA35-3</v>
      </c>
      <c r="G1161" t="str">
        <f t="array" ref="G1161">iferror(index(fatty_acid!$J:$J,match($A1161,fatty_acid!$A:$A,0)))</f>
        <v>N</v>
      </c>
      <c r="H1161" t="str">
        <f t="array" ref="H1161">iferror(index(isotopes!$G:$G,match($A1161,isotopes!$A:$A,0)))</f>
        <v>BIS38-3</v>
      </c>
      <c r="I1161" t="str">
        <f t="array" ref="I1161">iferror(index(isotopes!$J:$J,match($A1161,isotopes!$A:$A,0)))</f>
        <v>N</v>
      </c>
      <c r="J1161" t="str">
        <f t="array" ref="J1161">iferror(index(extra_muscle!$G:$G,match($A1161,extra_muscle!$A:$A,0)))</f>
        <v>BXM36-3</v>
      </c>
      <c r="K1161" t="str">
        <f t="array" ref="K1161">iferror(index(extra_muscle!$J:$J,match($A1161,extra_muscle!$A:$A,0)))</f>
        <v>N</v>
      </c>
      <c r="L1161" s="59" t="str">
        <f t="array" ref="L1161">iferror(index(dna!$G:$G,match($A1161,dna!$A:$A,0)))</f>
        <v>BDN4-98</v>
      </c>
      <c r="M1161" s="60" t="str">
        <f t="array" ref="M1161">iferror(index(dna!$J:$J,match($A1161,dna!$A:$A,0)))</f>
        <v>N</v>
      </c>
      <c r="N1161" t="str">
        <f t="array" ref="N1161">iferror(index(stomachs!$G:$G,match($A1161,stomachs!$A:$A,0)))</f>
        <v/>
      </c>
      <c r="O1161" t="str">
        <f t="array" ref="O1161">iferror(index(stomachs!$J:$J,match($A1161,stomachs!$A:$A,0)))</f>
        <v/>
      </c>
      <c r="P1161" t="str">
        <f t="array" ref="P1161">iferror(index(sea_lice!$G:$G,match($A1161,sea_lice!$A:$A,0)))</f>
        <v>BSL2-74</v>
      </c>
      <c r="Q1161" t="str">
        <f t="array" ref="Q1161">iferror(index(sea_lice!$J:$J,match($A1161,sea_lice!$A:$A,0)))</f>
        <v>N</v>
      </c>
      <c r="R1161" s="40" t="str">
        <f t="array" ref="R1161">iferror(index(dissected_fish!$F:$F,match($A1161,dissected_fish!$A:$A,0)))</f>
        <v>BCA110</v>
      </c>
      <c r="S1161" s="40" t="str">
        <f t="array" ref="S1161">iferror(index(dissected_fish!$K:$K,match($A1161,dissected_fish!$A:$A,0)))</f>
        <v>N</v>
      </c>
      <c r="T1161" s="61" t="str">
        <f t="array" ref="T1161">index(fish_lab_data!O:O,match(A1161,fish_lab_data!C:C,0))</f>
        <v>KB</v>
      </c>
      <c r="U1161" s="61">
        <f t="array" ref="U1161">if(A1161="","",index(fish_lab_data!X:X,match(A1161,fish_lab_data!C:C,0)))</f>
        <v>1160</v>
      </c>
    </row>
    <row r="1162">
      <c r="A1162" t="str">
        <f>fish_lab_data!C1162</f>
        <v>U16284</v>
      </c>
      <c r="B1162" t="str">
        <f t="array" ref="B1162">iferror(index('rna-muscle'!$I:$I,match($A1162,'rna-muscle'!$A:$A,0)))</f>
        <v>BRN74M-F8</v>
      </c>
      <c r="C1162" t="str">
        <f t="array" ref="C1162">iferror(index('rna-muscle'!$L:$L,match($A1162,'rna-muscle'!$A:$A,0)))</f>
        <v>N</v>
      </c>
      <c r="D1162" t="str">
        <f t="array" ref="D1162">iferror(index('rna-gill'!$I:$I,match($A1162,'rna-gill'!$A:$A,0)))</f>
        <v>BRN74G-F8</v>
      </c>
      <c r="E1162" t="str">
        <f t="array" ref="E1162">iferror(index('rna-gill'!$L:$L,match($A1162,'rna-gill'!$A:$A,0)))</f>
        <v>N</v>
      </c>
      <c r="F1162" t="str">
        <f t="array" ref="F1162">iferror(index(fatty_acid!$G:$G,match($A1162,fatty_acid!$A:$A,0)))</f>
        <v>BFA35-4</v>
      </c>
      <c r="G1162" t="str">
        <f t="array" ref="G1162">iferror(index(fatty_acid!$J:$J,match($A1162,fatty_acid!$A:$A,0)))</f>
        <v>N</v>
      </c>
      <c r="H1162" t="str">
        <f t="array" ref="H1162">iferror(index(isotopes!$G:$G,match($A1162,isotopes!$A:$A,0)))</f>
        <v>BIS38-4</v>
      </c>
      <c r="I1162" t="str">
        <f t="array" ref="I1162">iferror(index(isotopes!$J:$J,match($A1162,isotopes!$A:$A,0)))</f>
        <v>N</v>
      </c>
      <c r="J1162" t="str">
        <f t="array" ref="J1162">iferror(index(extra_muscle!$G:$G,match($A1162,extra_muscle!$A:$A,0)))</f>
        <v>BXM36-4</v>
      </c>
      <c r="K1162" t="str">
        <f t="array" ref="K1162">iferror(index(extra_muscle!$J:$J,match($A1162,extra_muscle!$A:$A,0)))</f>
        <v>N</v>
      </c>
      <c r="L1162" s="59" t="str">
        <f t="array" ref="L1162">iferror(index(dna!$G:$G,match($A1162,dna!$A:$A,0)))</f>
        <v>BDN4-99</v>
      </c>
      <c r="M1162" s="60" t="str">
        <f t="array" ref="M1162">iferror(index(dna!$J:$J,match($A1162,dna!$A:$A,0)))</f>
        <v>N</v>
      </c>
      <c r="N1162" t="str">
        <f t="array" ref="N1162">iferror(index(stomachs!$G:$G,match($A1162,stomachs!$A:$A,0)))</f>
        <v/>
      </c>
      <c r="O1162" t="str">
        <f t="array" ref="O1162">iferror(index(stomachs!$J:$J,match($A1162,stomachs!$A:$A,0)))</f>
        <v/>
      </c>
      <c r="P1162" t="str">
        <f t="array" ref="P1162">iferror(index(sea_lice!$G:$G,match($A1162,sea_lice!$A:$A,0)))</f>
        <v/>
      </c>
      <c r="Q1162" t="str">
        <f t="array" ref="Q1162">iferror(index(sea_lice!$J:$J,match($A1162,sea_lice!$A:$A,0)))</f>
        <v/>
      </c>
      <c r="R1162" s="40" t="str">
        <f t="array" ref="R1162">iferror(index(dissected_fish!$F:$F,match($A1162,dissected_fish!$A:$A,0)))</f>
        <v>BCA110</v>
      </c>
      <c r="S1162" s="40" t="str">
        <f t="array" ref="S1162">iferror(index(dissected_fish!$K:$K,match($A1162,dissected_fish!$A:$A,0)))</f>
        <v>N</v>
      </c>
      <c r="T1162" s="61" t="str">
        <f t="array" ref="T1162">index(fish_lab_data!O:O,match(A1162,fish_lab_data!C:C,0))</f>
        <v>KB</v>
      </c>
      <c r="U1162" s="61">
        <f t="array" ref="U1162">if(A1162="","",index(fish_lab_data!X:X,match(A1162,fish_lab_data!C:C,0)))</f>
        <v>1161</v>
      </c>
    </row>
    <row r="1163">
      <c r="A1163" t="str">
        <f>fish_lab_data!C1163</f>
        <v>U16282</v>
      </c>
      <c r="B1163" t="str">
        <f t="array" ref="B1163">iferror(index('rna-muscle'!$I:$I,match($A1163,'rna-muscle'!$A:$A,0)))</f>
        <v>BRN74M-E8</v>
      </c>
      <c r="C1163" t="str">
        <f t="array" ref="C1163">iferror(index('rna-muscle'!$L:$L,match($A1163,'rna-muscle'!$A:$A,0)))</f>
        <v>N</v>
      </c>
      <c r="D1163" t="str">
        <f t="array" ref="D1163">iferror(index('rna-gill'!$I:$I,match($A1163,'rna-gill'!$A:$A,0)))</f>
        <v>BRN74G-E8</v>
      </c>
      <c r="E1163" t="str">
        <f t="array" ref="E1163">iferror(index('rna-gill'!$L:$L,match($A1163,'rna-gill'!$A:$A,0)))</f>
        <v>N</v>
      </c>
      <c r="F1163" t="str">
        <f t="array" ref="F1163">iferror(index(fatty_acid!$G:$G,match($A1163,fatty_acid!$A:$A,0)))</f>
        <v>BFA35-5</v>
      </c>
      <c r="G1163" t="str">
        <f t="array" ref="G1163">iferror(index(fatty_acid!$J:$J,match($A1163,fatty_acid!$A:$A,0)))</f>
        <v>N</v>
      </c>
      <c r="H1163" t="str">
        <f t="array" ref="H1163">iferror(index(isotopes!$G:$G,match($A1163,isotopes!$A:$A,0)))</f>
        <v>BIS38-5</v>
      </c>
      <c r="I1163" t="str">
        <f t="array" ref="I1163">iferror(index(isotopes!$J:$J,match($A1163,isotopes!$A:$A,0)))</f>
        <v>N</v>
      </c>
      <c r="J1163" t="str">
        <f t="array" ref="J1163">iferror(index(extra_muscle!$G:$G,match($A1163,extra_muscle!$A:$A,0)))</f>
        <v>BXM36-5</v>
      </c>
      <c r="K1163" t="str">
        <f t="array" ref="K1163">iferror(index(extra_muscle!$J:$J,match($A1163,extra_muscle!$A:$A,0)))</f>
        <v>N</v>
      </c>
      <c r="L1163" s="59" t="str">
        <f t="array" ref="L1163">iferror(index(dna!$G:$G,match($A1163,dna!$A:$A,0)))</f>
        <v>BDN4-100</v>
      </c>
      <c r="M1163" s="60" t="str">
        <f t="array" ref="M1163">iferror(index(dna!$J:$J,match($A1163,dna!$A:$A,0)))</f>
        <v>N</v>
      </c>
      <c r="N1163" t="str">
        <f t="array" ref="N1163">iferror(index(stomachs!$G:$G,match($A1163,stomachs!$A:$A,0)))</f>
        <v/>
      </c>
      <c r="O1163" t="str">
        <f t="array" ref="O1163">iferror(index(stomachs!$J:$J,match($A1163,stomachs!$A:$A,0)))</f>
        <v/>
      </c>
      <c r="P1163" t="str">
        <f t="array" ref="P1163">iferror(index(sea_lice!$G:$G,match($A1163,sea_lice!$A:$A,0)))</f>
        <v/>
      </c>
      <c r="Q1163" t="str">
        <f t="array" ref="Q1163">iferror(index(sea_lice!$J:$J,match($A1163,sea_lice!$A:$A,0)))</f>
        <v/>
      </c>
      <c r="R1163" s="40" t="str">
        <f t="array" ref="R1163">iferror(index(dissected_fish!$F:$F,match($A1163,dissected_fish!$A:$A,0)))</f>
        <v>BCA110</v>
      </c>
      <c r="S1163" s="40" t="str">
        <f t="array" ref="S1163">iferror(index(dissected_fish!$K:$K,match($A1163,dissected_fish!$A:$A,0)))</f>
        <v>N</v>
      </c>
      <c r="T1163" s="61" t="str">
        <f t="array" ref="T1163">index(fish_lab_data!O:O,match(A1163,fish_lab_data!C:C,0))</f>
        <v>KB</v>
      </c>
      <c r="U1163" s="61">
        <f t="array" ref="U1163">if(A1163="","",index(fish_lab_data!X:X,match(A1163,fish_lab_data!C:C,0)))</f>
        <v>1162</v>
      </c>
    </row>
    <row r="1164">
      <c r="A1164" t="str">
        <f>fish_lab_data!C1164</f>
        <v>U16283</v>
      </c>
      <c r="B1164" t="str">
        <f t="array" ref="B1164">iferror(index('rna-muscle'!$I:$I,match($A1164,'rna-muscle'!$A:$A,0)))</f>
        <v>BRN74M-D8</v>
      </c>
      <c r="C1164" t="str">
        <f t="array" ref="C1164">iferror(index('rna-muscle'!$L:$L,match($A1164,'rna-muscle'!$A:$A,0)))</f>
        <v>N</v>
      </c>
      <c r="D1164" t="str">
        <f t="array" ref="D1164">iferror(index('rna-gill'!$I:$I,match($A1164,'rna-gill'!$A:$A,0)))</f>
        <v>BRN74G-D8</v>
      </c>
      <c r="E1164" t="str">
        <f t="array" ref="E1164">iferror(index('rna-gill'!$L:$L,match($A1164,'rna-gill'!$A:$A,0)))</f>
        <v>N</v>
      </c>
      <c r="F1164" t="str">
        <f t="array" ref="F1164">iferror(index(fatty_acid!$G:$G,match($A1164,fatty_acid!$A:$A,0)))</f>
        <v>BFA35-6</v>
      </c>
      <c r="G1164" t="str">
        <f t="array" ref="G1164">iferror(index(fatty_acid!$J:$J,match($A1164,fatty_acid!$A:$A,0)))</f>
        <v>N</v>
      </c>
      <c r="H1164" t="str">
        <f t="array" ref="H1164">iferror(index(isotopes!$G:$G,match($A1164,isotopes!$A:$A,0)))</f>
        <v>BIS38-6</v>
      </c>
      <c r="I1164" t="str">
        <f t="array" ref="I1164">iferror(index(isotopes!$J:$J,match($A1164,isotopes!$A:$A,0)))</f>
        <v>N</v>
      </c>
      <c r="J1164" t="str">
        <f t="array" ref="J1164">iferror(index(extra_muscle!$G:$G,match($A1164,extra_muscle!$A:$A,0)))</f>
        <v>BXM36-6</v>
      </c>
      <c r="K1164" t="str">
        <f t="array" ref="K1164">iferror(index(extra_muscle!$J:$J,match($A1164,extra_muscle!$A:$A,0)))</f>
        <v>N</v>
      </c>
      <c r="L1164" s="59" t="str">
        <f t="array" ref="L1164">iferror(index(dna!$G:$G,match($A1164,dna!$A:$A,0)))</f>
        <v>BDN9-1</v>
      </c>
      <c r="M1164" s="60" t="str">
        <f t="array" ref="M1164">iferror(index(dna!$J:$J,match($A1164,dna!$A:$A,0)))</f>
        <v>N</v>
      </c>
      <c r="N1164" t="str">
        <f t="array" ref="N1164">iferror(index(stomachs!$G:$G,match($A1164,stomachs!$A:$A,0)))</f>
        <v/>
      </c>
      <c r="O1164" t="str">
        <f t="array" ref="O1164">iferror(index(stomachs!$J:$J,match($A1164,stomachs!$A:$A,0)))</f>
        <v/>
      </c>
      <c r="P1164" t="str">
        <f t="array" ref="P1164">iferror(index(sea_lice!$G:$G,match($A1164,sea_lice!$A:$A,0)))</f>
        <v/>
      </c>
      <c r="Q1164" t="str">
        <f t="array" ref="Q1164">iferror(index(sea_lice!$J:$J,match($A1164,sea_lice!$A:$A,0)))</f>
        <v/>
      </c>
      <c r="R1164" s="40" t="str">
        <f t="array" ref="R1164">iferror(index(dissected_fish!$F:$F,match($A1164,dissected_fish!$A:$A,0)))</f>
        <v>BCA110</v>
      </c>
      <c r="S1164" s="40" t="str">
        <f t="array" ref="S1164">iferror(index(dissected_fish!$K:$K,match($A1164,dissected_fish!$A:$A,0)))</f>
        <v>N</v>
      </c>
      <c r="T1164" s="61" t="str">
        <f t="array" ref="T1164">index(fish_lab_data!O:O,match(A1164,fish_lab_data!C:C,0))</f>
        <v>KB</v>
      </c>
      <c r="U1164" s="61">
        <f t="array" ref="U1164">if(A1164="","",index(fish_lab_data!X:X,match(A1164,fish_lab_data!C:C,0)))</f>
        <v>1163</v>
      </c>
    </row>
    <row r="1165">
      <c r="A1165" t="str">
        <f>fish_lab_data!C1165</f>
        <v>U16289</v>
      </c>
      <c r="B1165" t="str">
        <f t="array" ref="B1165">iferror(index('rna-muscle'!$I:$I,match($A1165,'rna-muscle'!$A:$A,0)))</f>
        <v>BRN74M-C8</v>
      </c>
      <c r="C1165" t="str">
        <f t="array" ref="C1165">iferror(index('rna-muscle'!$L:$L,match($A1165,'rna-muscle'!$A:$A,0)))</f>
        <v>N</v>
      </c>
      <c r="D1165" t="str">
        <f t="array" ref="D1165">iferror(index('rna-gill'!$I:$I,match($A1165,'rna-gill'!$A:$A,0)))</f>
        <v>BRN74G-C8</v>
      </c>
      <c r="E1165" t="str">
        <f t="array" ref="E1165">iferror(index('rna-gill'!$L:$L,match($A1165,'rna-gill'!$A:$A,0)))</f>
        <v>N</v>
      </c>
      <c r="F1165" t="str">
        <f t="array" ref="F1165">iferror(index(fatty_acid!$G:$G,match($A1165,fatty_acid!$A:$A,0)))</f>
        <v>BFA35-7</v>
      </c>
      <c r="G1165" t="str">
        <f t="array" ref="G1165">iferror(index(fatty_acid!$J:$J,match($A1165,fatty_acid!$A:$A,0)))</f>
        <v>N</v>
      </c>
      <c r="H1165" t="str">
        <f t="array" ref="H1165">iferror(index(isotopes!$G:$G,match($A1165,isotopes!$A:$A,0)))</f>
        <v>BIS38-7</v>
      </c>
      <c r="I1165" t="str">
        <f t="array" ref="I1165">iferror(index(isotopes!$J:$J,match($A1165,isotopes!$A:$A,0)))</f>
        <v>N</v>
      </c>
      <c r="J1165" t="str">
        <f t="array" ref="J1165">iferror(index(extra_muscle!$G:$G,match($A1165,extra_muscle!$A:$A,0)))</f>
        <v>BXM36-7</v>
      </c>
      <c r="K1165" t="str">
        <f t="array" ref="K1165">iferror(index(extra_muscle!$J:$J,match($A1165,extra_muscle!$A:$A,0)))</f>
        <v>N</v>
      </c>
      <c r="L1165" s="59" t="str">
        <f t="array" ref="L1165">iferror(index(dna!$G:$G,match($A1165,dna!$A:$A,0)))</f>
        <v>BDN9-2</v>
      </c>
      <c r="M1165" s="60" t="str">
        <f t="array" ref="M1165">iferror(index(dna!$J:$J,match($A1165,dna!$A:$A,0)))</f>
        <v>N</v>
      </c>
      <c r="N1165" t="str">
        <f t="array" ref="N1165">iferror(index(stomachs!$G:$G,match($A1165,stomachs!$A:$A,0)))</f>
        <v/>
      </c>
      <c r="O1165" t="str">
        <f t="array" ref="O1165">iferror(index(stomachs!$J:$J,match($A1165,stomachs!$A:$A,0)))</f>
        <v/>
      </c>
      <c r="P1165" t="str">
        <f t="array" ref="P1165">iferror(index(sea_lice!$G:$G,match($A1165,sea_lice!$A:$A,0)))</f>
        <v/>
      </c>
      <c r="Q1165" t="str">
        <f t="array" ref="Q1165">iferror(index(sea_lice!$J:$J,match($A1165,sea_lice!$A:$A,0)))</f>
        <v/>
      </c>
      <c r="R1165" s="40" t="str">
        <f t="array" ref="R1165">iferror(index(dissected_fish!$F:$F,match($A1165,dissected_fish!$A:$A,0)))</f>
        <v>BCA110</v>
      </c>
      <c r="S1165" s="40" t="str">
        <f t="array" ref="S1165">iferror(index(dissected_fish!$K:$K,match($A1165,dissected_fish!$A:$A,0)))</f>
        <v>N</v>
      </c>
      <c r="T1165" s="61" t="str">
        <f t="array" ref="T1165">index(fish_lab_data!O:O,match(A1165,fish_lab_data!C:C,0))</f>
        <v>KB</v>
      </c>
      <c r="U1165" s="61">
        <f t="array" ref="U1165">if(A1165="","",index(fish_lab_data!X:X,match(A1165,fish_lab_data!C:C,0)))</f>
        <v>1164</v>
      </c>
    </row>
    <row r="1166">
      <c r="A1166" t="str">
        <f>fish_lab_data!C1166</f>
        <v>U16615</v>
      </c>
      <c r="B1166" t="str">
        <f t="array" ref="B1166">iferror(index('rna-muscle'!$I:$I,match($A1166,'rna-muscle'!$A:$A,0)))</f>
        <v>BRN74M-B8</v>
      </c>
      <c r="C1166" t="str">
        <f t="array" ref="C1166">iferror(index('rna-muscle'!$L:$L,match($A1166,'rna-muscle'!$A:$A,0)))</f>
        <v>N</v>
      </c>
      <c r="D1166" t="str">
        <f t="array" ref="D1166">iferror(index('rna-gill'!$I:$I,match($A1166,'rna-gill'!$A:$A,0)))</f>
        <v>BRN74G-B8</v>
      </c>
      <c r="E1166" t="str">
        <f t="array" ref="E1166">iferror(index('rna-gill'!$L:$L,match($A1166,'rna-gill'!$A:$A,0)))</f>
        <v>N</v>
      </c>
      <c r="F1166" t="str">
        <f t="array" ref="F1166">iferror(index(fatty_acid!$G:$G,match($A1166,fatty_acid!$A:$A,0)))</f>
        <v>BFA35-8</v>
      </c>
      <c r="G1166" t="str">
        <f t="array" ref="G1166">iferror(index(fatty_acid!$J:$J,match($A1166,fatty_acid!$A:$A,0)))</f>
        <v>N</v>
      </c>
      <c r="H1166" t="str">
        <f t="array" ref="H1166">iferror(index(isotopes!$G:$G,match($A1166,isotopes!$A:$A,0)))</f>
        <v>BIS38-8</v>
      </c>
      <c r="I1166" t="str">
        <f t="array" ref="I1166">iferror(index(isotopes!$J:$J,match($A1166,isotopes!$A:$A,0)))</f>
        <v>N</v>
      </c>
      <c r="J1166" t="str">
        <f t="array" ref="J1166">iferror(index(extra_muscle!$G:$G,match($A1166,extra_muscle!$A:$A,0)))</f>
        <v>BXM36-8</v>
      </c>
      <c r="K1166" t="str">
        <f t="array" ref="K1166">iferror(index(extra_muscle!$J:$J,match($A1166,extra_muscle!$A:$A,0)))</f>
        <v>N</v>
      </c>
      <c r="L1166" s="59" t="str">
        <f t="array" ref="L1166">iferror(index(dna!$G:$G,match($A1166,dna!$A:$A,0)))</f>
        <v>BDN9-3</v>
      </c>
      <c r="M1166" s="60" t="str">
        <f t="array" ref="M1166">iferror(index(dna!$J:$J,match($A1166,dna!$A:$A,0)))</f>
        <v>N</v>
      </c>
      <c r="N1166" t="str">
        <f t="array" ref="N1166">iferror(index(stomachs!$G:$G,match($A1166,stomachs!$A:$A,0)))</f>
        <v/>
      </c>
      <c r="O1166" t="str">
        <f t="array" ref="O1166">iferror(index(stomachs!$J:$J,match($A1166,stomachs!$A:$A,0)))</f>
        <v/>
      </c>
      <c r="P1166" t="str">
        <f t="array" ref="P1166">iferror(index(sea_lice!$G:$G,match($A1166,sea_lice!$A:$A,0)))</f>
        <v>BSL7-84</v>
      </c>
      <c r="Q1166" t="str">
        <f t="array" ref="Q1166">iferror(index(sea_lice!$J:$J,match($A1166,sea_lice!$A:$A,0)))</f>
        <v>N</v>
      </c>
      <c r="R1166" s="40" t="str">
        <f t="array" ref="R1166">iferror(index(dissected_fish!$F:$F,match($A1166,dissected_fish!$A:$A,0)))</f>
        <v>BCA110</v>
      </c>
      <c r="S1166" s="40" t="str">
        <f t="array" ref="S1166">iferror(index(dissected_fish!$K:$K,match($A1166,dissected_fish!$A:$A,0)))</f>
        <v>N</v>
      </c>
      <c r="T1166" s="61" t="str">
        <f t="array" ref="T1166">index(fish_lab_data!O:O,match(A1166,fish_lab_data!C:C,0))</f>
        <v>KB</v>
      </c>
      <c r="U1166" s="61">
        <f t="array" ref="U1166">if(A1166="","",index(fish_lab_data!X:X,match(A1166,fish_lab_data!C:C,0)))</f>
        <v>1165</v>
      </c>
    </row>
    <row r="1167">
      <c r="A1167" t="str">
        <f>fish_lab_data!C1167</f>
        <v>U16620</v>
      </c>
      <c r="B1167" t="str">
        <f t="array" ref="B1167">iferror(index('rna-muscle'!$I:$I,match($A1167,'rna-muscle'!$A:$A,0)))</f>
        <v>BRN74M-A8</v>
      </c>
      <c r="C1167" t="str">
        <f t="array" ref="C1167">iferror(index('rna-muscle'!$L:$L,match($A1167,'rna-muscle'!$A:$A,0)))</f>
        <v>N</v>
      </c>
      <c r="D1167" t="str">
        <f t="array" ref="D1167">iferror(index('rna-gill'!$I:$I,match($A1167,'rna-gill'!$A:$A,0)))</f>
        <v>BRN74G-A8</v>
      </c>
      <c r="E1167" t="str">
        <f t="array" ref="E1167">iferror(index('rna-gill'!$L:$L,match($A1167,'rna-gill'!$A:$A,0)))</f>
        <v>N</v>
      </c>
      <c r="F1167" t="str">
        <f t="array" ref="F1167">iferror(index(fatty_acid!$G:$G,match($A1167,fatty_acid!$A:$A,0)))</f>
        <v>BFA35-9</v>
      </c>
      <c r="G1167" t="str">
        <f t="array" ref="G1167">iferror(index(fatty_acid!$J:$J,match($A1167,fatty_acid!$A:$A,0)))</f>
        <v>N</v>
      </c>
      <c r="H1167" t="str">
        <f t="array" ref="H1167">iferror(index(isotopes!$G:$G,match($A1167,isotopes!$A:$A,0)))</f>
        <v>BIS38-9</v>
      </c>
      <c r="I1167" t="str">
        <f t="array" ref="I1167">iferror(index(isotopes!$J:$J,match($A1167,isotopes!$A:$A,0)))</f>
        <v>N</v>
      </c>
      <c r="J1167" t="str">
        <f t="array" ref="J1167">iferror(index(extra_muscle!$G:$G,match($A1167,extra_muscle!$A:$A,0)))</f>
        <v>BXM36-9</v>
      </c>
      <c r="K1167" t="str">
        <f t="array" ref="K1167">iferror(index(extra_muscle!$J:$J,match($A1167,extra_muscle!$A:$A,0)))</f>
        <v>N</v>
      </c>
      <c r="L1167" s="59" t="str">
        <f t="array" ref="L1167">iferror(index(dna!$G:$G,match($A1167,dna!$A:$A,0)))</f>
        <v>BDN9-4</v>
      </c>
      <c r="M1167" s="60" t="str">
        <f t="array" ref="M1167">iferror(index(dna!$J:$J,match($A1167,dna!$A:$A,0)))</f>
        <v>N</v>
      </c>
      <c r="N1167" t="str">
        <f t="array" ref="N1167">iferror(index(stomachs!$G:$G,match($A1167,stomachs!$A:$A,0)))</f>
        <v/>
      </c>
      <c r="O1167" t="str">
        <f t="array" ref="O1167">iferror(index(stomachs!$J:$J,match($A1167,stomachs!$A:$A,0)))</f>
        <v/>
      </c>
      <c r="P1167" t="str">
        <f t="array" ref="P1167">iferror(index(sea_lice!$G:$G,match($A1167,sea_lice!$A:$A,0)))</f>
        <v/>
      </c>
      <c r="Q1167" t="str">
        <f t="array" ref="Q1167">iferror(index(sea_lice!$J:$J,match($A1167,sea_lice!$A:$A,0)))</f>
        <v/>
      </c>
      <c r="R1167" s="40" t="str">
        <f t="array" ref="R1167">iferror(index(dissected_fish!$F:$F,match($A1167,dissected_fish!$A:$A,0)))</f>
        <v>BCA110</v>
      </c>
      <c r="S1167" s="40" t="str">
        <f t="array" ref="S1167">iferror(index(dissected_fish!$K:$K,match($A1167,dissected_fish!$A:$A,0)))</f>
        <v>N</v>
      </c>
      <c r="T1167" s="61" t="str">
        <f t="array" ref="T1167">index(fish_lab_data!O:O,match(A1167,fish_lab_data!C:C,0))</f>
        <v>KB</v>
      </c>
      <c r="U1167" s="61">
        <f t="array" ref="U1167">if(A1167="","",index(fish_lab_data!X:X,match(A1167,fish_lab_data!C:C,0)))</f>
        <v>1166</v>
      </c>
    </row>
    <row r="1168">
      <c r="A1168" t="str">
        <f>fish_lab_data!C1168</f>
        <v>U16614</v>
      </c>
      <c r="B1168" t="str">
        <f t="array" ref="B1168">iferror(index('rna-muscle'!$I:$I,match($A1168,'rna-muscle'!$A:$A,0)))</f>
        <v>BRN74M-H9</v>
      </c>
      <c r="C1168" t="str">
        <f t="array" ref="C1168">iferror(index('rna-muscle'!$L:$L,match($A1168,'rna-muscle'!$A:$A,0)))</f>
        <v>N</v>
      </c>
      <c r="D1168" t="str">
        <f t="array" ref="D1168">iferror(index('rna-gill'!$I:$I,match($A1168,'rna-gill'!$A:$A,0)))</f>
        <v>BRN74G-H9</v>
      </c>
      <c r="E1168" t="str">
        <f t="array" ref="E1168">iferror(index('rna-gill'!$L:$L,match($A1168,'rna-gill'!$A:$A,0)))</f>
        <v>N</v>
      </c>
      <c r="F1168" t="str">
        <f t="array" ref="F1168">iferror(index(fatty_acid!$G:$G,match($A1168,fatty_acid!$A:$A,0)))</f>
        <v>BFA35-10</v>
      </c>
      <c r="G1168" t="str">
        <f t="array" ref="G1168">iferror(index(fatty_acid!$J:$J,match($A1168,fatty_acid!$A:$A,0)))</f>
        <v>N</v>
      </c>
      <c r="H1168" t="str">
        <f t="array" ref="H1168">iferror(index(isotopes!$G:$G,match($A1168,isotopes!$A:$A,0)))</f>
        <v>BIS38-10</v>
      </c>
      <c r="I1168" t="str">
        <f t="array" ref="I1168">iferror(index(isotopes!$J:$J,match($A1168,isotopes!$A:$A,0)))</f>
        <v>N</v>
      </c>
      <c r="J1168" t="str">
        <f t="array" ref="J1168">iferror(index(extra_muscle!$G:$G,match($A1168,extra_muscle!$A:$A,0)))</f>
        <v>BXM36-10</v>
      </c>
      <c r="K1168" t="str">
        <f t="array" ref="K1168">iferror(index(extra_muscle!$J:$J,match($A1168,extra_muscle!$A:$A,0)))</f>
        <v>N</v>
      </c>
      <c r="L1168" s="59" t="str">
        <f t="array" ref="L1168">iferror(index(dna!$G:$G,match($A1168,dna!$A:$A,0)))</f>
        <v>BDN9-5</v>
      </c>
      <c r="M1168" s="60" t="str">
        <f t="array" ref="M1168">iferror(index(dna!$J:$J,match($A1168,dna!$A:$A,0)))</f>
        <v>N</v>
      </c>
      <c r="N1168" t="str">
        <f t="array" ref="N1168">iferror(index(stomachs!$G:$G,match($A1168,stomachs!$A:$A,0)))</f>
        <v/>
      </c>
      <c r="O1168" t="str">
        <f t="array" ref="O1168">iferror(index(stomachs!$J:$J,match($A1168,stomachs!$A:$A,0)))</f>
        <v/>
      </c>
      <c r="P1168" t="str">
        <f t="array" ref="P1168">iferror(index(sea_lice!$G:$G,match($A1168,sea_lice!$A:$A,0)))</f>
        <v>BSL7-86</v>
      </c>
      <c r="Q1168" t="str">
        <f t="array" ref="Q1168">iferror(index(sea_lice!$J:$J,match($A1168,sea_lice!$A:$A,0)))</f>
        <v>N</v>
      </c>
      <c r="R1168" s="40" t="str">
        <f t="array" ref="R1168">iferror(index(dissected_fish!$F:$F,match($A1168,dissected_fish!$A:$A,0)))</f>
        <v>BCA110</v>
      </c>
      <c r="S1168" s="40" t="str">
        <f t="array" ref="S1168">iferror(index(dissected_fish!$K:$K,match($A1168,dissected_fish!$A:$A,0)))</f>
        <v>N</v>
      </c>
      <c r="T1168" s="61" t="str">
        <f t="array" ref="T1168">index(fish_lab_data!O:O,match(A1168,fish_lab_data!C:C,0))</f>
        <v>KB</v>
      </c>
      <c r="U1168" s="61">
        <f t="array" ref="U1168">if(A1168="","",index(fish_lab_data!X:X,match(A1168,fish_lab_data!C:C,0)))</f>
        <v>1167</v>
      </c>
    </row>
    <row r="1169">
      <c r="A1169" t="str">
        <f>fish_lab_data!C1169</f>
        <v>U16613</v>
      </c>
      <c r="B1169" t="str">
        <f t="array" ref="B1169">iferror(index('rna-muscle'!$I:$I,match($A1169,'rna-muscle'!$A:$A,0)))</f>
        <v>BRN74M-G9</v>
      </c>
      <c r="C1169" t="str">
        <f t="array" ref="C1169">iferror(index('rna-muscle'!$L:$L,match($A1169,'rna-muscle'!$A:$A,0)))</f>
        <v>N</v>
      </c>
      <c r="D1169" t="str">
        <f t="array" ref="D1169">iferror(index('rna-gill'!$I:$I,match($A1169,'rna-gill'!$A:$A,0)))</f>
        <v>BRN74G-G9</v>
      </c>
      <c r="E1169" t="str">
        <f t="array" ref="E1169">iferror(index('rna-gill'!$L:$L,match($A1169,'rna-gill'!$A:$A,0)))</f>
        <v>N</v>
      </c>
      <c r="F1169" t="str">
        <f t="array" ref="F1169">iferror(index(fatty_acid!$G:$G,match($A1169,fatty_acid!$A:$A,0)))</f>
        <v>BFA35-11</v>
      </c>
      <c r="G1169" t="str">
        <f t="array" ref="G1169">iferror(index(fatty_acid!$J:$J,match($A1169,fatty_acid!$A:$A,0)))</f>
        <v>N</v>
      </c>
      <c r="H1169" t="str">
        <f t="array" ref="H1169">iferror(index(isotopes!$G:$G,match($A1169,isotopes!$A:$A,0)))</f>
        <v>BIS38-11</v>
      </c>
      <c r="I1169" t="str">
        <f t="array" ref="I1169">iferror(index(isotopes!$J:$J,match($A1169,isotopes!$A:$A,0)))</f>
        <v>N</v>
      </c>
      <c r="J1169" t="str">
        <f t="array" ref="J1169">iferror(index(extra_muscle!$G:$G,match($A1169,extra_muscle!$A:$A,0)))</f>
        <v>BXM36-11</v>
      </c>
      <c r="K1169" t="str">
        <f t="array" ref="K1169">iferror(index(extra_muscle!$J:$J,match($A1169,extra_muscle!$A:$A,0)))</f>
        <v>N</v>
      </c>
      <c r="L1169" s="59" t="str">
        <f t="array" ref="L1169">iferror(index(dna!$G:$G,match($A1169,dna!$A:$A,0)))</f>
        <v>BDN9-6</v>
      </c>
      <c r="M1169" s="60" t="str">
        <f t="array" ref="M1169">iferror(index(dna!$J:$J,match($A1169,dna!$A:$A,0)))</f>
        <v>N</v>
      </c>
      <c r="N1169" t="str">
        <f t="array" ref="N1169">iferror(index(stomachs!$G:$G,match($A1169,stomachs!$A:$A,0)))</f>
        <v/>
      </c>
      <c r="O1169" t="str">
        <f t="array" ref="O1169">iferror(index(stomachs!$J:$J,match($A1169,stomachs!$A:$A,0)))</f>
        <v/>
      </c>
      <c r="P1169" t="str">
        <f t="array" ref="P1169">iferror(index(sea_lice!$G:$G,match($A1169,sea_lice!$A:$A,0)))</f>
        <v>BSL7-87</v>
      </c>
      <c r="Q1169" t="str">
        <f t="array" ref="Q1169">iferror(index(sea_lice!$J:$J,match($A1169,sea_lice!$A:$A,0)))</f>
        <v>N</v>
      </c>
      <c r="R1169" s="40" t="str">
        <f t="array" ref="R1169">iferror(index(dissected_fish!$F:$F,match($A1169,dissected_fish!$A:$A,0)))</f>
        <v>BCA110</v>
      </c>
      <c r="S1169" s="40" t="str">
        <f t="array" ref="S1169">iferror(index(dissected_fish!$K:$K,match($A1169,dissected_fish!$A:$A,0)))</f>
        <v>N</v>
      </c>
      <c r="T1169" s="61" t="str">
        <f t="array" ref="T1169">index(fish_lab_data!O:O,match(A1169,fish_lab_data!C:C,0))</f>
        <v>KB</v>
      </c>
      <c r="U1169" s="61">
        <f t="array" ref="U1169">if(A1169="","",index(fish_lab_data!X:X,match(A1169,fish_lab_data!C:C,0)))</f>
        <v>1168</v>
      </c>
    </row>
    <row r="1170">
      <c r="A1170" t="str">
        <f>fish_lab_data!C1170</f>
        <v>U16616</v>
      </c>
      <c r="B1170" t="str">
        <f t="array" ref="B1170">iferror(index('rna-muscle'!$I:$I,match($A1170,'rna-muscle'!$A:$A,0)))</f>
        <v>BRN74M-F9</v>
      </c>
      <c r="C1170" t="str">
        <f t="array" ref="C1170">iferror(index('rna-muscle'!$L:$L,match($A1170,'rna-muscle'!$A:$A,0)))</f>
        <v>N</v>
      </c>
      <c r="D1170" t="str">
        <f t="array" ref="D1170">iferror(index('rna-gill'!$I:$I,match($A1170,'rna-gill'!$A:$A,0)))</f>
        <v>BRN74G-F9</v>
      </c>
      <c r="E1170" t="str">
        <f t="array" ref="E1170">iferror(index('rna-gill'!$L:$L,match($A1170,'rna-gill'!$A:$A,0)))</f>
        <v>N</v>
      </c>
      <c r="F1170" t="str">
        <f t="array" ref="F1170">iferror(index(fatty_acid!$G:$G,match($A1170,fatty_acid!$A:$A,0)))</f>
        <v>BFA35-12</v>
      </c>
      <c r="G1170" t="str">
        <f t="array" ref="G1170">iferror(index(fatty_acid!$J:$J,match($A1170,fatty_acid!$A:$A,0)))</f>
        <v>N</v>
      </c>
      <c r="H1170" t="str">
        <f t="array" ref="H1170">iferror(index(isotopes!$G:$G,match($A1170,isotopes!$A:$A,0)))</f>
        <v>BIS38-12</v>
      </c>
      <c r="I1170" t="str">
        <f t="array" ref="I1170">iferror(index(isotopes!$J:$J,match($A1170,isotopes!$A:$A,0)))</f>
        <v>N</v>
      </c>
      <c r="J1170" t="str">
        <f t="array" ref="J1170">iferror(index(extra_muscle!$G:$G,match($A1170,extra_muscle!$A:$A,0)))</f>
        <v>BXM36-12</v>
      </c>
      <c r="K1170" t="str">
        <f t="array" ref="K1170">iferror(index(extra_muscle!$J:$J,match($A1170,extra_muscle!$A:$A,0)))</f>
        <v>N</v>
      </c>
      <c r="L1170" s="59" t="str">
        <f t="array" ref="L1170">iferror(index(dna!$G:$G,match($A1170,dna!$A:$A,0)))</f>
        <v>BDN9-7</v>
      </c>
      <c r="M1170" s="60" t="str">
        <f t="array" ref="M1170">iferror(index(dna!$J:$J,match($A1170,dna!$A:$A,0)))</f>
        <v>N</v>
      </c>
      <c r="N1170" t="str">
        <f t="array" ref="N1170">iferror(index(stomachs!$G:$G,match($A1170,stomachs!$A:$A,0)))</f>
        <v/>
      </c>
      <c r="O1170" t="str">
        <f t="array" ref="O1170">iferror(index(stomachs!$J:$J,match($A1170,stomachs!$A:$A,0)))</f>
        <v/>
      </c>
      <c r="P1170" t="str">
        <f t="array" ref="P1170">iferror(index(sea_lice!$G:$G,match($A1170,sea_lice!$A:$A,0)))</f>
        <v>BSL7-88</v>
      </c>
      <c r="Q1170" t="str">
        <f t="array" ref="Q1170">iferror(index(sea_lice!$J:$J,match($A1170,sea_lice!$A:$A,0)))</f>
        <v>N</v>
      </c>
      <c r="R1170" s="40" t="str">
        <f t="array" ref="R1170">iferror(index(dissected_fish!$F:$F,match($A1170,dissected_fish!$A:$A,0)))</f>
        <v>BCA110</v>
      </c>
      <c r="S1170" s="40" t="str">
        <f t="array" ref="S1170">iferror(index(dissected_fish!$K:$K,match($A1170,dissected_fish!$A:$A,0)))</f>
        <v>N</v>
      </c>
      <c r="T1170" s="61" t="str">
        <f t="array" ref="T1170">index(fish_lab_data!O:O,match(A1170,fish_lab_data!C:C,0))</f>
        <v>KB</v>
      </c>
      <c r="U1170" s="61">
        <f t="array" ref="U1170">if(A1170="","",index(fish_lab_data!X:X,match(A1170,fish_lab_data!C:C,0)))</f>
        <v>1169</v>
      </c>
    </row>
    <row r="1171">
      <c r="A1171" t="str">
        <f>fish_lab_data!C1171</f>
        <v>U16618</v>
      </c>
      <c r="B1171" t="str">
        <f t="array" ref="B1171">iferror(index('rna-muscle'!$I:$I,match($A1171,'rna-muscle'!$A:$A,0)))</f>
        <v>BRN74M-E9</v>
      </c>
      <c r="C1171" t="str">
        <f t="array" ref="C1171">iferror(index('rna-muscle'!$L:$L,match($A1171,'rna-muscle'!$A:$A,0)))</f>
        <v>N</v>
      </c>
      <c r="D1171" t="str">
        <f t="array" ref="D1171">iferror(index('rna-gill'!$I:$I,match($A1171,'rna-gill'!$A:$A,0)))</f>
        <v>BRN74G-E9</v>
      </c>
      <c r="E1171" t="str">
        <f t="array" ref="E1171">iferror(index('rna-gill'!$L:$L,match($A1171,'rna-gill'!$A:$A,0)))</f>
        <v>N</v>
      </c>
      <c r="F1171" t="str">
        <f t="array" ref="F1171">iferror(index(fatty_acid!$G:$G,match($A1171,fatty_acid!$A:$A,0)))</f>
        <v>BFA35-13</v>
      </c>
      <c r="G1171" t="str">
        <f t="array" ref="G1171">iferror(index(fatty_acid!$J:$J,match($A1171,fatty_acid!$A:$A,0)))</f>
        <v>N</v>
      </c>
      <c r="H1171" t="str">
        <f t="array" ref="H1171">iferror(index(isotopes!$G:$G,match($A1171,isotopes!$A:$A,0)))</f>
        <v>BIS38-13</v>
      </c>
      <c r="I1171" t="str">
        <f t="array" ref="I1171">iferror(index(isotopes!$J:$J,match($A1171,isotopes!$A:$A,0)))</f>
        <v>N</v>
      </c>
      <c r="J1171" t="str">
        <f t="array" ref="J1171">iferror(index(extra_muscle!$G:$G,match($A1171,extra_muscle!$A:$A,0)))</f>
        <v>BXM36-13</v>
      </c>
      <c r="K1171" t="str">
        <f t="array" ref="K1171">iferror(index(extra_muscle!$J:$J,match($A1171,extra_muscle!$A:$A,0)))</f>
        <v>N</v>
      </c>
      <c r="L1171" s="59" t="str">
        <f t="array" ref="L1171">iferror(index(dna!$G:$G,match($A1171,dna!$A:$A,0)))</f>
        <v>BDN9-8</v>
      </c>
      <c r="M1171" s="60" t="str">
        <f t="array" ref="M1171">iferror(index(dna!$J:$J,match($A1171,dna!$A:$A,0)))</f>
        <v>N</v>
      </c>
      <c r="N1171" t="str">
        <f t="array" ref="N1171">iferror(index(stomachs!$G:$G,match($A1171,stomachs!$A:$A,0)))</f>
        <v/>
      </c>
      <c r="O1171" t="str">
        <f t="array" ref="O1171">iferror(index(stomachs!$J:$J,match($A1171,stomachs!$A:$A,0)))</f>
        <v/>
      </c>
      <c r="P1171" t="str">
        <f t="array" ref="P1171">iferror(index(sea_lice!$G:$G,match($A1171,sea_lice!$A:$A,0)))</f>
        <v>BSL7-89</v>
      </c>
      <c r="Q1171" t="str">
        <f t="array" ref="Q1171">iferror(index(sea_lice!$J:$J,match($A1171,sea_lice!$A:$A,0)))</f>
        <v>N</v>
      </c>
      <c r="R1171" s="40" t="str">
        <f t="array" ref="R1171">iferror(index(dissected_fish!$F:$F,match($A1171,dissected_fish!$A:$A,0)))</f>
        <v>BCA110</v>
      </c>
      <c r="S1171" s="40" t="str">
        <f t="array" ref="S1171">iferror(index(dissected_fish!$K:$K,match($A1171,dissected_fish!$A:$A,0)))</f>
        <v>N</v>
      </c>
      <c r="T1171" s="61" t="str">
        <f t="array" ref="T1171">index(fish_lab_data!O:O,match(A1171,fish_lab_data!C:C,0))</f>
        <v>KB</v>
      </c>
      <c r="U1171" s="61">
        <f t="array" ref="U1171">if(A1171="","",index(fish_lab_data!X:X,match(A1171,fish_lab_data!C:C,0)))</f>
        <v>1170</v>
      </c>
    </row>
    <row r="1172">
      <c r="A1172" t="str">
        <f>fish_lab_data!C1172</f>
        <v>U16612</v>
      </c>
      <c r="B1172" t="str">
        <f t="array" ref="B1172">iferror(index('rna-muscle'!$I:$I,match($A1172,'rna-muscle'!$A:$A,0)))</f>
        <v>BRN74M-D9</v>
      </c>
      <c r="C1172" t="str">
        <f t="array" ref="C1172">iferror(index('rna-muscle'!$L:$L,match($A1172,'rna-muscle'!$A:$A,0)))</f>
        <v>N</v>
      </c>
      <c r="D1172" t="str">
        <f t="array" ref="D1172">iferror(index('rna-gill'!$I:$I,match($A1172,'rna-gill'!$A:$A,0)))</f>
        <v>BRN74G-D9</v>
      </c>
      <c r="E1172" t="str">
        <f t="array" ref="E1172">iferror(index('rna-gill'!$L:$L,match($A1172,'rna-gill'!$A:$A,0)))</f>
        <v>N</v>
      </c>
      <c r="F1172" t="str">
        <f t="array" ref="F1172">iferror(index(fatty_acid!$G:$G,match($A1172,fatty_acid!$A:$A,0)))</f>
        <v>BFA35-14</v>
      </c>
      <c r="G1172" t="str">
        <f t="array" ref="G1172">iferror(index(fatty_acid!$J:$J,match($A1172,fatty_acid!$A:$A,0)))</f>
        <v>N</v>
      </c>
      <c r="H1172" t="str">
        <f t="array" ref="H1172">iferror(index(isotopes!$G:$G,match($A1172,isotopes!$A:$A,0)))</f>
        <v>BIS38-14</v>
      </c>
      <c r="I1172" t="str">
        <f t="array" ref="I1172">iferror(index(isotopes!$J:$J,match($A1172,isotopes!$A:$A,0)))</f>
        <v>N</v>
      </c>
      <c r="J1172" t="str">
        <f t="array" ref="J1172">iferror(index(extra_muscle!$G:$G,match($A1172,extra_muscle!$A:$A,0)))</f>
        <v>BXM36-14</v>
      </c>
      <c r="K1172" t="str">
        <f t="array" ref="K1172">iferror(index(extra_muscle!$J:$J,match($A1172,extra_muscle!$A:$A,0)))</f>
        <v>N</v>
      </c>
      <c r="L1172" s="59" t="str">
        <f t="array" ref="L1172">iferror(index(dna!$G:$G,match($A1172,dna!$A:$A,0)))</f>
        <v>BDN9-9</v>
      </c>
      <c r="M1172" s="60" t="str">
        <f t="array" ref="M1172">iferror(index(dna!$J:$J,match($A1172,dna!$A:$A,0)))</f>
        <v>N</v>
      </c>
      <c r="N1172" t="str">
        <f t="array" ref="N1172">iferror(index(stomachs!$G:$G,match($A1172,stomachs!$A:$A,0)))</f>
        <v/>
      </c>
      <c r="O1172" t="str">
        <f t="array" ref="O1172">iferror(index(stomachs!$J:$J,match($A1172,stomachs!$A:$A,0)))</f>
        <v/>
      </c>
      <c r="P1172" t="str">
        <f t="array" ref="P1172">iferror(index(sea_lice!$G:$G,match($A1172,sea_lice!$A:$A,0)))</f>
        <v>BSL7-90</v>
      </c>
      <c r="Q1172" t="str">
        <f t="array" ref="Q1172">iferror(index(sea_lice!$J:$J,match($A1172,sea_lice!$A:$A,0)))</f>
        <v>N</v>
      </c>
      <c r="R1172" s="40" t="str">
        <f t="array" ref="R1172">iferror(index(dissected_fish!$F:$F,match($A1172,dissected_fish!$A:$A,0)))</f>
        <v>BCA110</v>
      </c>
      <c r="S1172" s="40" t="str">
        <f t="array" ref="S1172">iferror(index(dissected_fish!$K:$K,match($A1172,dissected_fish!$A:$A,0)))</f>
        <v>N</v>
      </c>
      <c r="T1172" s="61" t="str">
        <f t="array" ref="T1172">index(fish_lab_data!O:O,match(A1172,fish_lab_data!C:C,0))</f>
        <v>KB</v>
      </c>
      <c r="U1172" s="61">
        <f t="array" ref="U1172">if(A1172="","",index(fish_lab_data!X:X,match(A1172,fish_lab_data!C:C,0)))</f>
        <v>1171</v>
      </c>
    </row>
    <row r="1173">
      <c r="A1173" t="str">
        <f>fish_lab_data!C1173</f>
        <v>U16617</v>
      </c>
      <c r="B1173" t="str">
        <f t="array" ref="B1173">iferror(index('rna-muscle'!$I:$I,match($A1173,'rna-muscle'!$A:$A,0)))</f>
        <v>BRN74M-C9</v>
      </c>
      <c r="C1173" t="str">
        <f t="array" ref="C1173">iferror(index('rna-muscle'!$L:$L,match($A1173,'rna-muscle'!$A:$A,0)))</f>
        <v>N</v>
      </c>
      <c r="D1173" t="str">
        <f t="array" ref="D1173">iferror(index('rna-gill'!$I:$I,match($A1173,'rna-gill'!$A:$A,0)))</f>
        <v>BRN74G-C9</v>
      </c>
      <c r="E1173" t="str">
        <f t="array" ref="E1173">iferror(index('rna-gill'!$L:$L,match($A1173,'rna-gill'!$A:$A,0)))</f>
        <v>N</v>
      </c>
      <c r="F1173" t="str">
        <f t="array" ref="F1173">iferror(index(fatty_acid!$G:$G,match($A1173,fatty_acid!$A:$A,0)))</f>
        <v>BFA35-15</v>
      </c>
      <c r="G1173" t="str">
        <f t="array" ref="G1173">iferror(index(fatty_acid!$J:$J,match($A1173,fatty_acid!$A:$A,0)))</f>
        <v>N</v>
      </c>
      <c r="H1173" t="str">
        <f t="array" ref="H1173">iferror(index(isotopes!$G:$G,match($A1173,isotopes!$A:$A,0)))</f>
        <v>BIS38-15</v>
      </c>
      <c r="I1173" t="str">
        <f t="array" ref="I1173">iferror(index(isotopes!$J:$J,match($A1173,isotopes!$A:$A,0)))</f>
        <v>N</v>
      </c>
      <c r="J1173" t="str">
        <f t="array" ref="J1173">iferror(index(extra_muscle!$G:$G,match($A1173,extra_muscle!$A:$A,0)))</f>
        <v>BXM36-15</v>
      </c>
      <c r="K1173" t="str">
        <f t="array" ref="K1173">iferror(index(extra_muscle!$J:$J,match($A1173,extra_muscle!$A:$A,0)))</f>
        <v>N</v>
      </c>
      <c r="L1173" s="59" t="str">
        <f t="array" ref="L1173">iferror(index(dna!$G:$G,match($A1173,dna!$A:$A,0)))</f>
        <v>BDN9-10</v>
      </c>
      <c r="M1173" s="60" t="str">
        <f t="array" ref="M1173">iferror(index(dna!$J:$J,match($A1173,dna!$A:$A,0)))</f>
        <v>N</v>
      </c>
      <c r="N1173" t="str">
        <f t="array" ref="N1173">iferror(index(stomachs!$G:$G,match($A1173,stomachs!$A:$A,0)))</f>
        <v/>
      </c>
      <c r="O1173" t="str">
        <f t="array" ref="O1173">iferror(index(stomachs!$J:$J,match($A1173,stomachs!$A:$A,0)))</f>
        <v/>
      </c>
      <c r="P1173" t="str">
        <f t="array" ref="P1173">iferror(index(sea_lice!$G:$G,match($A1173,sea_lice!$A:$A,0)))</f>
        <v>BSL7-91</v>
      </c>
      <c r="Q1173" t="str">
        <f t="array" ref="Q1173">iferror(index(sea_lice!$J:$J,match($A1173,sea_lice!$A:$A,0)))</f>
        <v>N</v>
      </c>
      <c r="R1173" s="40" t="str">
        <f t="array" ref="R1173">iferror(index(dissected_fish!$F:$F,match($A1173,dissected_fish!$A:$A,0)))</f>
        <v>BCA110</v>
      </c>
      <c r="S1173" s="40" t="str">
        <f t="array" ref="S1173">iferror(index(dissected_fish!$K:$K,match($A1173,dissected_fish!$A:$A,0)))</f>
        <v>N</v>
      </c>
      <c r="T1173" s="61" t="str">
        <f t="array" ref="T1173">index(fish_lab_data!O:O,match(A1173,fish_lab_data!C:C,0))</f>
        <v>KB</v>
      </c>
      <c r="U1173" s="61">
        <f t="array" ref="U1173">if(A1173="","",index(fish_lab_data!X:X,match(A1173,fish_lab_data!C:C,0)))</f>
        <v>1172</v>
      </c>
    </row>
    <row r="1174">
      <c r="A1174" t="str">
        <f>fish_lab_data!C1174</f>
        <v>U16611</v>
      </c>
      <c r="B1174" t="str">
        <f t="array" ref="B1174">iferror(index('rna-muscle'!$I:$I,match($A1174,'rna-muscle'!$A:$A,0)))</f>
        <v>BRN74M-B9</v>
      </c>
      <c r="C1174" t="str">
        <f t="array" ref="C1174">iferror(index('rna-muscle'!$L:$L,match($A1174,'rna-muscle'!$A:$A,0)))</f>
        <v>N</v>
      </c>
      <c r="D1174" t="str">
        <f t="array" ref="D1174">iferror(index('rna-gill'!$I:$I,match($A1174,'rna-gill'!$A:$A,0)))</f>
        <v>BRN74G-B9</v>
      </c>
      <c r="E1174" t="str">
        <f t="array" ref="E1174">iferror(index('rna-gill'!$L:$L,match($A1174,'rna-gill'!$A:$A,0)))</f>
        <v>N</v>
      </c>
      <c r="F1174" t="str">
        <f t="array" ref="F1174">iferror(index(fatty_acid!$G:$G,match($A1174,fatty_acid!$A:$A,0)))</f>
        <v>BFA35-16</v>
      </c>
      <c r="G1174" t="str">
        <f t="array" ref="G1174">iferror(index(fatty_acid!$J:$J,match($A1174,fatty_acid!$A:$A,0)))</f>
        <v>N</v>
      </c>
      <c r="H1174" t="str">
        <f t="array" ref="H1174">iferror(index(isotopes!$G:$G,match($A1174,isotopes!$A:$A,0)))</f>
        <v>BIS38-16</v>
      </c>
      <c r="I1174" t="str">
        <f t="array" ref="I1174">iferror(index(isotopes!$J:$J,match($A1174,isotopes!$A:$A,0)))</f>
        <v>N</v>
      </c>
      <c r="J1174" t="str">
        <f t="array" ref="J1174">iferror(index(extra_muscle!$G:$G,match($A1174,extra_muscle!$A:$A,0)))</f>
        <v>BXM36-16</v>
      </c>
      <c r="K1174" t="str">
        <f t="array" ref="K1174">iferror(index(extra_muscle!$J:$J,match($A1174,extra_muscle!$A:$A,0)))</f>
        <v>N</v>
      </c>
      <c r="L1174" s="59" t="str">
        <f t="array" ref="L1174">iferror(index(dna!$G:$G,match($A1174,dna!$A:$A,0)))</f>
        <v>BDN9-11</v>
      </c>
      <c r="M1174" s="60" t="str">
        <f t="array" ref="M1174">iferror(index(dna!$J:$J,match($A1174,dna!$A:$A,0)))</f>
        <v>N</v>
      </c>
      <c r="N1174" t="str">
        <f t="array" ref="N1174">iferror(index(stomachs!$G:$G,match($A1174,stomachs!$A:$A,0)))</f>
        <v/>
      </c>
      <c r="O1174" t="str">
        <f t="array" ref="O1174">iferror(index(stomachs!$J:$J,match($A1174,stomachs!$A:$A,0)))</f>
        <v/>
      </c>
      <c r="P1174" t="str">
        <f t="array" ref="P1174">iferror(index(sea_lice!$G:$G,match($A1174,sea_lice!$A:$A,0)))</f>
        <v/>
      </c>
      <c r="Q1174" t="str">
        <f t="array" ref="Q1174">iferror(index(sea_lice!$J:$J,match($A1174,sea_lice!$A:$A,0)))</f>
        <v/>
      </c>
      <c r="R1174" s="40" t="str">
        <f t="array" ref="R1174">iferror(index(dissected_fish!$F:$F,match($A1174,dissected_fish!$A:$A,0)))</f>
        <v>BCA110</v>
      </c>
      <c r="S1174" s="40" t="str">
        <f t="array" ref="S1174">iferror(index(dissected_fish!$K:$K,match($A1174,dissected_fish!$A:$A,0)))</f>
        <v>N</v>
      </c>
      <c r="T1174" s="61" t="str">
        <f t="array" ref="T1174">index(fish_lab_data!O:O,match(A1174,fish_lab_data!C:C,0))</f>
        <v>KB</v>
      </c>
      <c r="U1174" s="61">
        <f t="array" ref="U1174">if(A1174="","",index(fish_lab_data!X:X,match(A1174,fish_lab_data!C:C,0)))</f>
        <v>1173</v>
      </c>
    </row>
    <row r="1175">
      <c r="A1175" t="str">
        <f>fish_lab_data!C1175</f>
        <v>U16619</v>
      </c>
      <c r="B1175" t="str">
        <f t="array" ref="B1175">iferror(index('rna-muscle'!$I:$I,match($A1175,'rna-muscle'!$A:$A,0)))</f>
        <v>BRN74M-A9</v>
      </c>
      <c r="C1175" t="str">
        <f t="array" ref="C1175">iferror(index('rna-muscle'!$L:$L,match($A1175,'rna-muscle'!$A:$A,0)))</f>
        <v>N</v>
      </c>
      <c r="D1175" t="str">
        <f t="array" ref="D1175">iferror(index('rna-gill'!$I:$I,match($A1175,'rna-gill'!$A:$A,0)))</f>
        <v>BRN74G-A9</v>
      </c>
      <c r="E1175" t="str">
        <f t="array" ref="E1175">iferror(index('rna-gill'!$L:$L,match($A1175,'rna-gill'!$A:$A,0)))</f>
        <v>N</v>
      </c>
      <c r="F1175" t="str">
        <f t="array" ref="F1175">iferror(index(fatty_acid!$G:$G,match($A1175,fatty_acid!$A:$A,0)))</f>
        <v>BFA35-17</v>
      </c>
      <c r="G1175" t="str">
        <f t="array" ref="G1175">iferror(index(fatty_acid!$J:$J,match($A1175,fatty_acid!$A:$A,0)))</f>
        <v>N</v>
      </c>
      <c r="H1175" t="str">
        <f t="array" ref="H1175">iferror(index(isotopes!$G:$G,match($A1175,isotopes!$A:$A,0)))</f>
        <v>BIS38-17</v>
      </c>
      <c r="I1175" t="str">
        <f t="array" ref="I1175">iferror(index(isotopes!$J:$J,match($A1175,isotopes!$A:$A,0)))</f>
        <v>N</v>
      </c>
      <c r="J1175" t="str">
        <f t="array" ref="J1175">iferror(index(extra_muscle!$G:$G,match($A1175,extra_muscle!$A:$A,0)))</f>
        <v>BXM36-17</v>
      </c>
      <c r="K1175" t="str">
        <f t="array" ref="K1175">iferror(index(extra_muscle!$J:$J,match($A1175,extra_muscle!$A:$A,0)))</f>
        <v>N</v>
      </c>
      <c r="L1175" s="59" t="str">
        <f t="array" ref="L1175">iferror(index(dna!$G:$G,match($A1175,dna!$A:$A,0)))</f>
        <v>BDN9-12</v>
      </c>
      <c r="M1175" s="60" t="str">
        <f t="array" ref="M1175">iferror(index(dna!$J:$J,match($A1175,dna!$A:$A,0)))</f>
        <v>N</v>
      </c>
      <c r="N1175" t="str">
        <f t="array" ref="N1175">iferror(index(stomachs!$G:$G,match($A1175,stomachs!$A:$A,0)))</f>
        <v/>
      </c>
      <c r="O1175" t="str">
        <f t="array" ref="O1175">iferror(index(stomachs!$J:$J,match($A1175,stomachs!$A:$A,0)))</f>
        <v/>
      </c>
      <c r="P1175" t="str">
        <f t="array" ref="P1175">iferror(index(sea_lice!$G:$G,match($A1175,sea_lice!$A:$A,0)))</f>
        <v/>
      </c>
      <c r="Q1175" t="str">
        <f t="array" ref="Q1175">iferror(index(sea_lice!$J:$J,match($A1175,sea_lice!$A:$A,0)))</f>
        <v/>
      </c>
      <c r="R1175" s="40" t="str">
        <f t="array" ref="R1175">iferror(index(dissected_fish!$F:$F,match($A1175,dissected_fish!$A:$A,0)))</f>
        <v>BCA110</v>
      </c>
      <c r="S1175" s="40" t="str">
        <f t="array" ref="S1175">iferror(index(dissected_fish!$K:$K,match($A1175,dissected_fish!$A:$A,0)))</f>
        <v>N</v>
      </c>
      <c r="T1175" s="61" t="str">
        <f t="array" ref="T1175">index(fish_lab_data!O:O,match(A1175,fish_lab_data!C:C,0))</f>
        <v>KB</v>
      </c>
      <c r="U1175" s="61">
        <f t="array" ref="U1175">if(A1175="","",index(fish_lab_data!X:X,match(A1175,fish_lab_data!C:C,0)))</f>
        <v>1174</v>
      </c>
    </row>
    <row r="1176">
      <c r="A1176" t="str">
        <f>fish_lab_data!C1176</f>
        <v>U16059</v>
      </c>
      <c r="B1176" t="str">
        <f t="array" ref="B1176">iferror(index('rna-muscle'!$I:$I,match($A1176,'rna-muscle'!$A:$A,0)))</f>
        <v>BRN74M-H10</v>
      </c>
      <c r="C1176" t="str">
        <f t="array" ref="C1176">iferror(index('rna-muscle'!$L:$L,match($A1176,'rna-muscle'!$A:$A,0)))</f>
        <v>N</v>
      </c>
      <c r="D1176" t="str">
        <f t="array" ref="D1176">iferror(index('rna-gill'!$I:$I,match($A1176,'rna-gill'!$A:$A,0)))</f>
        <v>BRN74G-H10</v>
      </c>
      <c r="E1176" t="str">
        <f t="array" ref="E1176">iferror(index('rna-gill'!$L:$L,match($A1176,'rna-gill'!$A:$A,0)))</f>
        <v>N</v>
      </c>
      <c r="F1176" t="str">
        <f t="array" ref="F1176">iferror(index(fatty_acid!$G:$G,match($A1176,fatty_acid!$A:$A,0)))</f>
        <v>BFA35-18</v>
      </c>
      <c r="G1176" t="str">
        <f t="array" ref="G1176">iferror(index(fatty_acid!$J:$J,match($A1176,fatty_acid!$A:$A,0)))</f>
        <v>N</v>
      </c>
      <c r="H1176" t="str">
        <f t="array" ref="H1176">iferror(index(isotopes!$G:$G,match($A1176,isotopes!$A:$A,0)))</f>
        <v>BIS38-18</v>
      </c>
      <c r="I1176" t="str">
        <f t="array" ref="I1176">iferror(index(isotopes!$J:$J,match($A1176,isotopes!$A:$A,0)))</f>
        <v>N</v>
      </c>
      <c r="J1176" t="str">
        <f t="array" ref="J1176">iferror(index(extra_muscle!$G:$G,match($A1176,extra_muscle!$A:$A,0)))</f>
        <v>BXM36-18</v>
      </c>
      <c r="K1176" t="str">
        <f t="array" ref="K1176">iferror(index(extra_muscle!$J:$J,match($A1176,extra_muscle!$A:$A,0)))</f>
        <v>N</v>
      </c>
      <c r="L1176" s="59" t="str">
        <f t="array" ref="L1176">iferror(index(dna!$G:$G,match($A1176,dna!$A:$A,0)))</f>
        <v>BDN9-13</v>
      </c>
      <c r="M1176" s="60" t="str">
        <f t="array" ref="M1176">iferror(index(dna!$J:$J,match($A1176,dna!$A:$A,0)))</f>
        <v>N</v>
      </c>
      <c r="N1176" t="str">
        <f t="array" ref="N1176">iferror(index(stomachs!$G:$G,match($A1176,stomachs!$A:$A,0)))</f>
        <v/>
      </c>
      <c r="O1176" t="str">
        <f t="array" ref="O1176">iferror(index(stomachs!$J:$J,match($A1176,stomachs!$A:$A,0)))</f>
        <v/>
      </c>
      <c r="P1176" t="str">
        <f t="array" ref="P1176">iferror(index(sea_lice!$G:$G,match($A1176,sea_lice!$A:$A,0)))</f>
        <v/>
      </c>
      <c r="Q1176" t="str">
        <f t="array" ref="Q1176">iferror(index(sea_lice!$J:$J,match($A1176,sea_lice!$A:$A,0)))</f>
        <v/>
      </c>
      <c r="R1176" s="40" t="str">
        <f t="array" ref="R1176">iferror(index(dissected_fish!$F:$F,match($A1176,dissected_fish!$A:$A,0)))</f>
        <v>BCA111</v>
      </c>
      <c r="S1176" s="40" t="str">
        <f t="array" ref="S1176">iferror(index(dissected_fish!$K:$K,match($A1176,dissected_fish!$A:$A,0)))</f>
        <v>N</v>
      </c>
      <c r="T1176" s="61" t="str">
        <f t="array" ref="T1176">index(fish_lab_data!O:O,match(A1176,fish_lab_data!C:C,0))</f>
        <v>KB</v>
      </c>
      <c r="U1176" s="61">
        <f t="array" ref="U1176">if(A1176="","",index(fish_lab_data!X:X,match(A1176,fish_lab_data!C:C,0)))</f>
        <v>1175</v>
      </c>
    </row>
    <row r="1177">
      <c r="A1177" t="str">
        <f>fish_lab_data!C1177</f>
        <v>U16057</v>
      </c>
      <c r="B1177" t="str">
        <f t="array" ref="B1177">iferror(index('rna-muscle'!$I:$I,match($A1177,'rna-muscle'!$A:$A,0)))</f>
        <v>BRN74M-G10</v>
      </c>
      <c r="C1177" t="str">
        <f t="array" ref="C1177">iferror(index('rna-muscle'!$L:$L,match($A1177,'rna-muscle'!$A:$A,0)))</f>
        <v>N</v>
      </c>
      <c r="D1177" t="str">
        <f t="array" ref="D1177">iferror(index('rna-gill'!$I:$I,match($A1177,'rna-gill'!$A:$A,0)))</f>
        <v>BRN74G-G10</v>
      </c>
      <c r="E1177" t="str">
        <f t="array" ref="E1177">iferror(index('rna-gill'!$L:$L,match($A1177,'rna-gill'!$A:$A,0)))</f>
        <v>N</v>
      </c>
      <c r="F1177" t="str">
        <f t="array" ref="F1177">iferror(index(fatty_acid!$G:$G,match($A1177,fatty_acid!$A:$A,0)))</f>
        <v>BFA35-19</v>
      </c>
      <c r="G1177" t="str">
        <f t="array" ref="G1177">iferror(index(fatty_acid!$J:$J,match($A1177,fatty_acid!$A:$A,0)))</f>
        <v>N</v>
      </c>
      <c r="H1177" t="str">
        <f t="array" ref="H1177">iferror(index(isotopes!$G:$G,match($A1177,isotopes!$A:$A,0)))</f>
        <v>BIS38-19</v>
      </c>
      <c r="I1177" t="str">
        <f t="array" ref="I1177">iferror(index(isotopes!$J:$J,match($A1177,isotopes!$A:$A,0)))</f>
        <v>N</v>
      </c>
      <c r="J1177" t="str">
        <f t="array" ref="J1177">iferror(index(extra_muscle!$G:$G,match($A1177,extra_muscle!$A:$A,0)))</f>
        <v>BXM36-19</v>
      </c>
      <c r="K1177" t="str">
        <f t="array" ref="K1177">iferror(index(extra_muscle!$J:$J,match($A1177,extra_muscle!$A:$A,0)))</f>
        <v>N</v>
      </c>
      <c r="L1177" s="59" t="str">
        <f t="array" ref="L1177">iferror(index(dna!$G:$G,match($A1177,dna!$A:$A,0)))</f>
        <v>BDN9-14</v>
      </c>
      <c r="M1177" s="60" t="str">
        <f t="array" ref="M1177">iferror(index(dna!$J:$J,match($A1177,dna!$A:$A,0)))</f>
        <v>N</v>
      </c>
      <c r="N1177" t="str">
        <f t="array" ref="N1177">iferror(index(stomachs!$G:$G,match($A1177,stomachs!$A:$A,0)))</f>
        <v/>
      </c>
      <c r="O1177" t="str">
        <f t="array" ref="O1177">iferror(index(stomachs!$J:$J,match($A1177,stomachs!$A:$A,0)))</f>
        <v/>
      </c>
      <c r="P1177" t="str">
        <f t="array" ref="P1177">iferror(index(sea_lice!$G:$G,match($A1177,sea_lice!$A:$A,0)))</f>
        <v/>
      </c>
      <c r="Q1177" t="str">
        <f t="array" ref="Q1177">iferror(index(sea_lice!$J:$J,match($A1177,sea_lice!$A:$A,0)))</f>
        <v/>
      </c>
      <c r="R1177" s="40" t="str">
        <f t="array" ref="R1177">iferror(index(dissected_fish!$F:$F,match($A1177,dissected_fish!$A:$A,0)))</f>
        <v>BCA111</v>
      </c>
      <c r="S1177" s="40" t="str">
        <f t="array" ref="S1177">iferror(index(dissected_fish!$K:$K,match($A1177,dissected_fish!$A:$A,0)))</f>
        <v>N</v>
      </c>
      <c r="T1177" s="61" t="str">
        <f t="array" ref="T1177">index(fish_lab_data!O:O,match(A1177,fish_lab_data!C:C,0))</f>
        <v>KB</v>
      </c>
      <c r="U1177" s="61">
        <f t="array" ref="U1177">if(A1177="","",index(fish_lab_data!X:X,match(A1177,fish_lab_data!C:C,0)))</f>
        <v>1176</v>
      </c>
    </row>
    <row r="1178">
      <c r="A1178" t="str">
        <f>fish_lab_data!C1178</f>
        <v>U16058</v>
      </c>
      <c r="B1178" t="str">
        <f t="array" ref="B1178">iferror(index('rna-muscle'!$I:$I,match($A1178,'rna-muscle'!$A:$A,0)))</f>
        <v>BRN74M-F10</v>
      </c>
      <c r="C1178" t="str">
        <f t="array" ref="C1178">iferror(index('rna-muscle'!$L:$L,match($A1178,'rna-muscle'!$A:$A,0)))</f>
        <v>N</v>
      </c>
      <c r="D1178" t="str">
        <f t="array" ref="D1178">iferror(index('rna-gill'!$I:$I,match($A1178,'rna-gill'!$A:$A,0)))</f>
        <v>BRN74G-F10</v>
      </c>
      <c r="E1178" t="str">
        <f t="array" ref="E1178">iferror(index('rna-gill'!$L:$L,match($A1178,'rna-gill'!$A:$A,0)))</f>
        <v>N</v>
      </c>
      <c r="F1178" t="str">
        <f t="array" ref="F1178">iferror(index(fatty_acid!$G:$G,match($A1178,fatty_acid!$A:$A,0)))</f>
        <v>BFA35-20</v>
      </c>
      <c r="G1178" t="str">
        <f t="array" ref="G1178">iferror(index(fatty_acid!$J:$J,match($A1178,fatty_acid!$A:$A,0)))</f>
        <v>N</v>
      </c>
      <c r="H1178" t="str">
        <f t="array" ref="H1178">iferror(index(isotopes!$G:$G,match($A1178,isotopes!$A:$A,0)))</f>
        <v>BIS38-20</v>
      </c>
      <c r="I1178" t="str">
        <f t="array" ref="I1178">iferror(index(isotopes!$J:$J,match($A1178,isotopes!$A:$A,0)))</f>
        <v>N</v>
      </c>
      <c r="J1178" t="str">
        <f t="array" ref="J1178">iferror(index(extra_muscle!$G:$G,match($A1178,extra_muscle!$A:$A,0)))</f>
        <v>BXM36-20</v>
      </c>
      <c r="K1178" t="str">
        <f t="array" ref="K1178">iferror(index(extra_muscle!$J:$J,match($A1178,extra_muscle!$A:$A,0)))</f>
        <v>N</v>
      </c>
      <c r="L1178" s="59" t="str">
        <f t="array" ref="L1178">iferror(index(dna!$G:$G,match($A1178,dna!$A:$A,0)))</f>
        <v>BDN9-15</v>
      </c>
      <c r="M1178" s="60" t="str">
        <f t="array" ref="M1178">iferror(index(dna!$J:$J,match($A1178,dna!$A:$A,0)))</f>
        <v>N</v>
      </c>
      <c r="N1178" t="str">
        <f t="array" ref="N1178">iferror(index(stomachs!$G:$G,match($A1178,stomachs!$A:$A,0)))</f>
        <v/>
      </c>
      <c r="O1178" t="str">
        <f t="array" ref="O1178">iferror(index(stomachs!$J:$J,match($A1178,stomachs!$A:$A,0)))</f>
        <v/>
      </c>
      <c r="P1178" t="str">
        <f t="array" ref="P1178">iferror(index(sea_lice!$G:$G,match($A1178,sea_lice!$A:$A,0)))</f>
        <v/>
      </c>
      <c r="Q1178" t="str">
        <f t="array" ref="Q1178">iferror(index(sea_lice!$J:$J,match($A1178,sea_lice!$A:$A,0)))</f>
        <v/>
      </c>
      <c r="R1178" s="40" t="str">
        <f t="array" ref="R1178">iferror(index(dissected_fish!$F:$F,match($A1178,dissected_fish!$A:$A,0)))</f>
        <v>BCA111</v>
      </c>
      <c r="S1178" s="40" t="str">
        <f t="array" ref="S1178">iferror(index(dissected_fish!$K:$K,match($A1178,dissected_fish!$A:$A,0)))</f>
        <v>N</v>
      </c>
      <c r="T1178" s="61" t="str">
        <f t="array" ref="T1178">index(fish_lab_data!O:O,match(A1178,fish_lab_data!C:C,0))</f>
        <v>KB</v>
      </c>
      <c r="U1178" s="61">
        <f t="array" ref="U1178">if(A1178="","",index(fish_lab_data!X:X,match(A1178,fish_lab_data!C:C,0)))</f>
        <v>1177</v>
      </c>
    </row>
    <row r="1179">
      <c r="A1179" t="str">
        <f>fish_lab_data!C1179</f>
        <v>U16052</v>
      </c>
      <c r="B1179" t="str">
        <f t="array" ref="B1179">iferror(index('rna-muscle'!$I:$I,match($A1179,'rna-muscle'!$A:$A,0)))</f>
        <v>BRN74M-E10</v>
      </c>
      <c r="C1179" t="str">
        <f t="array" ref="C1179">iferror(index('rna-muscle'!$L:$L,match($A1179,'rna-muscle'!$A:$A,0)))</f>
        <v>N</v>
      </c>
      <c r="D1179" t="str">
        <f t="array" ref="D1179">iferror(index('rna-gill'!$I:$I,match($A1179,'rna-gill'!$A:$A,0)))</f>
        <v>BRN74G-E10</v>
      </c>
      <c r="E1179" t="str">
        <f t="array" ref="E1179">iferror(index('rna-gill'!$L:$L,match($A1179,'rna-gill'!$A:$A,0)))</f>
        <v>N</v>
      </c>
      <c r="F1179" t="str">
        <f t="array" ref="F1179">iferror(index(fatty_acid!$G:$G,match($A1179,fatty_acid!$A:$A,0)))</f>
        <v>BFA35-21</v>
      </c>
      <c r="G1179" t="str">
        <f t="array" ref="G1179">iferror(index(fatty_acid!$J:$J,match($A1179,fatty_acid!$A:$A,0)))</f>
        <v>N</v>
      </c>
      <c r="H1179" t="str">
        <f t="array" ref="H1179">iferror(index(isotopes!$G:$G,match($A1179,isotopes!$A:$A,0)))</f>
        <v>BIS38-21</v>
      </c>
      <c r="I1179" t="str">
        <f t="array" ref="I1179">iferror(index(isotopes!$J:$J,match($A1179,isotopes!$A:$A,0)))</f>
        <v>N</v>
      </c>
      <c r="J1179" t="str">
        <f t="array" ref="J1179">iferror(index(extra_muscle!$G:$G,match($A1179,extra_muscle!$A:$A,0)))</f>
        <v>BXM36-21</v>
      </c>
      <c r="K1179" t="str">
        <f t="array" ref="K1179">iferror(index(extra_muscle!$J:$J,match($A1179,extra_muscle!$A:$A,0)))</f>
        <v>N</v>
      </c>
      <c r="L1179" s="59" t="str">
        <f t="array" ref="L1179">iferror(index(dna!$G:$G,match($A1179,dna!$A:$A,0)))</f>
        <v>BDN9-16</v>
      </c>
      <c r="M1179" s="60" t="str">
        <f t="array" ref="M1179">iferror(index(dna!$J:$J,match($A1179,dna!$A:$A,0)))</f>
        <v>N</v>
      </c>
      <c r="N1179" t="str">
        <f t="array" ref="N1179">iferror(index(stomachs!$G:$G,match($A1179,stomachs!$A:$A,0)))</f>
        <v/>
      </c>
      <c r="O1179" t="str">
        <f t="array" ref="O1179">iferror(index(stomachs!$J:$J,match($A1179,stomachs!$A:$A,0)))</f>
        <v/>
      </c>
      <c r="P1179" t="str">
        <f t="array" ref="P1179">iferror(index(sea_lice!$G:$G,match($A1179,sea_lice!$A:$A,0)))</f>
        <v/>
      </c>
      <c r="Q1179" t="str">
        <f t="array" ref="Q1179">iferror(index(sea_lice!$J:$J,match($A1179,sea_lice!$A:$A,0)))</f>
        <v/>
      </c>
      <c r="R1179" s="40" t="str">
        <f t="array" ref="R1179">iferror(index(dissected_fish!$F:$F,match($A1179,dissected_fish!$A:$A,0)))</f>
        <v>BCA111</v>
      </c>
      <c r="S1179" s="40" t="str">
        <f t="array" ref="S1179">iferror(index(dissected_fish!$K:$K,match($A1179,dissected_fish!$A:$A,0)))</f>
        <v>N</v>
      </c>
      <c r="T1179" s="61" t="str">
        <f t="array" ref="T1179">index(fish_lab_data!O:O,match(A1179,fish_lab_data!C:C,0))</f>
        <v>KB</v>
      </c>
      <c r="U1179" s="61">
        <f t="array" ref="U1179">if(A1179="","",index(fish_lab_data!X:X,match(A1179,fish_lab_data!C:C,0)))</f>
        <v>1178</v>
      </c>
    </row>
    <row r="1180">
      <c r="A1180" t="str">
        <f>fish_lab_data!C1180</f>
        <v>U16060</v>
      </c>
      <c r="B1180" t="str">
        <f t="array" ref="B1180">iferror(index('rna-muscle'!$I:$I,match($A1180,'rna-muscle'!$A:$A,0)))</f>
        <v>BRN74M-D10</v>
      </c>
      <c r="C1180" t="str">
        <f t="array" ref="C1180">iferror(index('rna-muscle'!$L:$L,match($A1180,'rna-muscle'!$A:$A,0)))</f>
        <v>N</v>
      </c>
      <c r="D1180" t="str">
        <f t="array" ref="D1180">iferror(index('rna-gill'!$I:$I,match($A1180,'rna-gill'!$A:$A,0)))</f>
        <v>BRN74G-D10</v>
      </c>
      <c r="E1180" t="str">
        <f t="array" ref="E1180">iferror(index('rna-gill'!$L:$L,match($A1180,'rna-gill'!$A:$A,0)))</f>
        <v>N</v>
      </c>
      <c r="F1180" t="str">
        <f t="array" ref="F1180">iferror(index(fatty_acid!$G:$G,match($A1180,fatty_acid!$A:$A,0)))</f>
        <v>BFA35-22</v>
      </c>
      <c r="G1180" t="str">
        <f t="array" ref="G1180">iferror(index(fatty_acid!$J:$J,match($A1180,fatty_acid!$A:$A,0)))</f>
        <v>N</v>
      </c>
      <c r="H1180" t="str">
        <f t="array" ref="H1180">iferror(index(isotopes!$G:$G,match($A1180,isotopes!$A:$A,0)))</f>
        <v>BIS38-22</v>
      </c>
      <c r="I1180" t="str">
        <f t="array" ref="I1180">iferror(index(isotopes!$J:$J,match($A1180,isotopes!$A:$A,0)))</f>
        <v>N</v>
      </c>
      <c r="J1180" t="str">
        <f t="array" ref="J1180">iferror(index(extra_muscle!$G:$G,match($A1180,extra_muscle!$A:$A,0)))</f>
        <v>BXM36-22</v>
      </c>
      <c r="K1180" t="str">
        <f t="array" ref="K1180">iferror(index(extra_muscle!$J:$J,match($A1180,extra_muscle!$A:$A,0)))</f>
        <v>N</v>
      </c>
      <c r="L1180" s="59" t="str">
        <f t="array" ref="L1180">iferror(index(dna!$G:$G,match($A1180,dna!$A:$A,0)))</f>
        <v>BDN9-17</v>
      </c>
      <c r="M1180" s="60" t="str">
        <f t="array" ref="M1180">iferror(index(dna!$J:$J,match($A1180,dna!$A:$A,0)))</f>
        <v>N</v>
      </c>
      <c r="N1180" t="str">
        <f t="array" ref="N1180">iferror(index(stomachs!$G:$G,match($A1180,stomachs!$A:$A,0)))</f>
        <v/>
      </c>
      <c r="O1180" t="str">
        <f t="array" ref="O1180">iferror(index(stomachs!$J:$J,match($A1180,stomachs!$A:$A,0)))</f>
        <v/>
      </c>
      <c r="P1180" t="str">
        <f t="array" ref="P1180">iferror(index(sea_lice!$G:$G,match($A1180,sea_lice!$A:$A,0)))</f>
        <v/>
      </c>
      <c r="Q1180" t="str">
        <f t="array" ref="Q1180">iferror(index(sea_lice!$J:$J,match($A1180,sea_lice!$A:$A,0)))</f>
        <v/>
      </c>
      <c r="R1180" s="40" t="str">
        <f t="array" ref="R1180">iferror(index(dissected_fish!$F:$F,match($A1180,dissected_fish!$A:$A,0)))</f>
        <v>BCA111</v>
      </c>
      <c r="S1180" s="40" t="str">
        <f t="array" ref="S1180">iferror(index(dissected_fish!$K:$K,match($A1180,dissected_fish!$A:$A,0)))</f>
        <v>N</v>
      </c>
      <c r="T1180" s="61" t="str">
        <f t="array" ref="T1180">index(fish_lab_data!O:O,match(A1180,fish_lab_data!C:C,0))</f>
        <v>KB</v>
      </c>
      <c r="U1180" s="61">
        <f t="array" ref="U1180">if(A1180="","",index(fish_lab_data!X:X,match(A1180,fish_lab_data!C:C,0)))</f>
        <v>1179</v>
      </c>
    </row>
    <row r="1181">
      <c r="A1181" t="str">
        <f>fish_lab_data!C1181</f>
        <v>U16055</v>
      </c>
      <c r="B1181" t="str">
        <f t="array" ref="B1181">iferror(index('rna-muscle'!$I:$I,match($A1181,'rna-muscle'!$A:$A,0)))</f>
        <v>BRN74M-C10</v>
      </c>
      <c r="C1181" t="str">
        <f t="array" ref="C1181">iferror(index('rna-muscle'!$L:$L,match($A1181,'rna-muscle'!$A:$A,0)))</f>
        <v>N</v>
      </c>
      <c r="D1181" t="str">
        <f t="array" ref="D1181">iferror(index('rna-gill'!$I:$I,match($A1181,'rna-gill'!$A:$A,0)))</f>
        <v>BRN74G-C10</v>
      </c>
      <c r="E1181" t="str">
        <f t="array" ref="E1181">iferror(index('rna-gill'!$L:$L,match($A1181,'rna-gill'!$A:$A,0)))</f>
        <v>N</v>
      </c>
      <c r="F1181" t="str">
        <f t="array" ref="F1181">iferror(index(fatty_acid!$G:$G,match($A1181,fatty_acid!$A:$A,0)))</f>
        <v>BFA35-23</v>
      </c>
      <c r="G1181" t="str">
        <f t="array" ref="G1181">iferror(index(fatty_acid!$J:$J,match($A1181,fatty_acid!$A:$A,0)))</f>
        <v>N</v>
      </c>
      <c r="H1181" t="str">
        <f t="array" ref="H1181">iferror(index(isotopes!$G:$G,match($A1181,isotopes!$A:$A,0)))</f>
        <v>BIS38-23</v>
      </c>
      <c r="I1181" t="str">
        <f t="array" ref="I1181">iferror(index(isotopes!$J:$J,match($A1181,isotopes!$A:$A,0)))</f>
        <v>N</v>
      </c>
      <c r="J1181" t="str">
        <f t="array" ref="J1181">iferror(index(extra_muscle!$G:$G,match($A1181,extra_muscle!$A:$A,0)))</f>
        <v>BXM36-23</v>
      </c>
      <c r="K1181" t="str">
        <f t="array" ref="K1181">iferror(index(extra_muscle!$J:$J,match($A1181,extra_muscle!$A:$A,0)))</f>
        <v>N</v>
      </c>
      <c r="L1181" s="59" t="str">
        <f t="array" ref="L1181">iferror(index(dna!$G:$G,match($A1181,dna!$A:$A,0)))</f>
        <v>BDN9-18</v>
      </c>
      <c r="M1181" s="60" t="str">
        <f t="array" ref="M1181">iferror(index(dna!$J:$J,match($A1181,dna!$A:$A,0)))</f>
        <v>N</v>
      </c>
      <c r="N1181" t="str">
        <f t="array" ref="N1181">iferror(index(stomachs!$G:$G,match($A1181,stomachs!$A:$A,0)))</f>
        <v/>
      </c>
      <c r="O1181" t="str">
        <f t="array" ref="O1181">iferror(index(stomachs!$J:$J,match($A1181,stomachs!$A:$A,0)))</f>
        <v/>
      </c>
      <c r="P1181" t="str">
        <f t="array" ref="P1181">iferror(index(sea_lice!$G:$G,match($A1181,sea_lice!$A:$A,0)))</f>
        <v/>
      </c>
      <c r="Q1181" t="str">
        <f t="array" ref="Q1181">iferror(index(sea_lice!$J:$J,match($A1181,sea_lice!$A:$A,0)))</f>
        <v/>
      </c>
      <c r="R1181" s="40" t="str">
        <f t="array" ref="R1181">iferror(index(dissected_fish!$F:$F,match($A1181,dissected_fish!$A:$A,0)))</f>
        <v>BCA111</v>
      </c>
      <c r="S1181" s="40" t="str">
        <f t="array" ref="S1181">iferror(index(dissected_fish!$K:$K,match($A1181,dissected_fish!$A:$A,0)))</f>
        <v>N</v>
      </c>
      <c r="T1181" s="61" t="str">
        <f t="array" ref="T1181">index(fish_lab_data!O:O,match(A1181,fish_lab_data!C:C,0))</f>
        <v>KB</v>
      </c>
      <c r="U1181" s="61">
        <f t="array" ref="U1181">if(A1181="","",index(fish_lab_data!X:X,match(A1181,fish_lab_data!C:C,0)))</f>
        <v>1180</v>
      </c>
    </row>
    <row r="1182">
      <c r="A1182" t="str">
        <f>fish_lab_data!C1182</f>
        <v>U16056</v>
      </c>
      <c r="B1182" t="str">
        <f t="array" ref="B1182">iferror(index('rna-muscle'!$I:$I,match($A1182,'rna-muscle'!$A:$A,0)))</f>
        <v>BRN74M-B10</v>
      </c>
      <c r="C1182" t="str">
        <f t="array" ref="C1182">iferror(index('rna-muscle'!$L:$L,match($A1182,'rna-muscle'!$A:$A,0)))</f>
        <v>N</v>
      </c>
      <c r="D1182" t="str">
        <f t="array" ref="D1182">iferror(index('rna-gill'!$I:$I,match($A1182,'rna-gill'!$A:$A,0)))</f>
        <v>BRN74G-B10</v>
      </c>
      <c r="E1182" t="str">
        <f t="array" ref="E1182">iferror(index('rna-gill'!$L:$L,match($A1182,'rna-gill'!$A:$A,0)))</f>
        <v>N</v>
      </c>
      <c r="F1182" t="str">
        <f t="array" ref="F1182">iferror(index(fatty_acid!$G:$G,match($A1182,fatty_acid!$A:$A,0)))</f>
        <v>BFA35-24</v>
      </c>
      <c r="G1182" t="str">
        <f t="array" ref="G1182">iferror(index(fatty_acid!$J:$J,match($A1182,fatty_acid!$A:$A,0)))</f>
        <v>N</v>
      </c>
      <c r="H1182" t="str">
        <f t="array" ref="H1182">iferror(index(isotopes!$G:$G,match($A1182,isotopes!$A:$A,0)))</f>
        <v>BIS38-24</v>
      </c>
      <c r="I1182" t="str">
        <f t="array" ref="I1182">iferror(index(isotopes!$J:$J,match($A1182,isotopes!$A:$A,0)))</f>
        <v>N</v>
      </c>
      <c r="J1182" t="str">
        <f t="array" ref="J1182">iferror(index(extra_muscle!$G:$G,match($A1182,extra_muscle!$A:$A,0)))</f>
        <v>BXM36-24</v>
      </c>
      <c r="K1182" t="str">
        <f t="array" ref="K1182">iferror(index(extra_muscle!$J:$J,match($A1182,extra_muscle!$A:$A,0)))</f>
        <v>N</v>
      </c>
      <c r="L1182" s="59" t="str">
        <f t="array" ref="L1182">iferror(index(dna!$G:$G,match($A1182,dna!$A:$A,0)))</f>
        <v>BDN9-19</v>
      </c>
      <c r="M1182" s="60" t="str">
        <f t="array" ref="M1182">iferror(index(dna!$J:$J,match($A1182,dna!$A:$A,0)))</f>
        <v>N</v>
      </c>
      <c r="N1182" t="str">
        <f t="array" ref="N1182">iferror(index(stomachs!$G:$G,match($A1182,stomachs!$A:$A,0)))</f>
        <v/>
      </c>
      <c r="O1182" t="str">
        <f t="array" ref="O1182">iferror(index(stomachs!$J:$J,match($A1182,stomachs!$A:$A,0)))</f>
        <v/>
      </c>
      <c r="P1182" t="str">
        <f t="array" ref="P1182">iferror(index(sea_lice!$G:$G,match($A1182,sea_lice!$A:$A,0)))</f>
        <v>BSL7-93</v>
      </c>
      <c r="Q1182" t="str">
        <f t="array" ref="Q1182">iferror(index(sea_lice!$J:$J,match($A1182,sea_lice!$A:$A,0)))</f>
        <v>N</v>
      </c>
      <c r="R1182" s="40" t="str">
        <f t="array" ref="R1182">iferror(index(dissected_fish!$F:$F,match($A1182,dissected_fish!$A:$A,0)))</f>
        <v>BCA111</v>
      </c>
      <c r="S1182" s="40" t="str">
        <f t="array" ref="S1182">iferror(index(dissected_fish!$K:$K,match($A1182,dissected_fish!$A:$A,0)))</f>
        <v>N</v>
      </c>
      <c r="T1182" s="61" t="str">
        <f t="array" ref="T1182">index(fish_lab_data!O:O,match(A1182,fish_lab_data!C:C,0))</f>
        <v>KB</v>
      </c>
      <c r="U1182" s="61">
        <f t="array" ref="U1182">if(A1182="","",index(fish_lab_data!X:X,match(A1182,fish_lab_data!C:C,0)))</f>
        <v>1181</v>
      </c>
    </row>
    <row r="1183">
      <c r="A1183" t="str">
        <f>fish_lab_data!C1183</f>
        <v>U16053</v>
      </c>
      <c r="B1183" t="str">
        <f t="array" ref="B1183">iferror(index('rna-muscle'!$I:$I,match($A1183,'rna-muscle'!$A:$A,0)))</f>
        <v>BRN74M-A10</v>
      </c>
      <c r="C1183" t="str">
        <f t="array" ref="C1183">iferror(index('rna-muscle'!$L:$L,match($A1183,'rna-muscle'!$A:$A,0)))</f>
        <v>N</v>
      </c>
      <c r="D1183" t="str">
        <f t="array" ref="D1183">iferror(index('rna-gill'!$I:$I,match($A1183,'rna-gill'!$A:$A,0)))</f>
        <v>BRN74G-A10</v>
      </c>
      <c r="E1183" t="str">
        <f t="array" ref="E1183">iferror(index('rna-gill'!$L:$L,match($A1183,'rna-gill'!$A:$A,0)))</f>
        <v>N</v>
      </c>
      <c r="F1183" t="str">
        <f t="array" ref="F1183">iferror(index(fatty_acid!$G:$G,match($A1183,fatty_acid!$A:$A,0)))</f>
        <v>BFA35-25</v>
      </c>
      <c r="G1183" t="str">
        <f t="array" ref="G1183">iferror(index(fatty_acid!$J:$J,match($A1183,fatty_acid!$A:$A,0)))</f>
        <v>N</v>
      </c>
      <c r="H1183" t="str">
        <f t="array" ref="H1183">iferror(index(isotopes!$G:$G,match($A1183,isotopes!$A:$A,0)))</f>
        <v>BIS38-25</v>
      </c>
      <c r="I1183" t="str">
        <f t="array" ref="I1183">iferror(index(isotopes!$J:$J,match($A1183,isotopes!$A:$A,0)))</f>
        <v>N</v>
      </c>
      <c r="J1183" t="str">
        <f t="array" ref="J1183">iferror(index(extra_muscle!$G:$G,match($A1183,extra_muscle!$A:$A,0)))</f>
        <v>BXM36-25</v>
      </c>
      <c r="K1183" t="str">
        <f t="array" ref="K1183">iferror(index(extra_muscle!$J:$J,match($A1183,extra_muscle!$A:$A,0)))</f>
        <v>N</v>
      </c>
      <c r="L1183" s="59" t="str">
        <f t="array" ref="L1183">iferror(index(dna!$G:$G,match($A1183,dna!$A:$A,0)))</f>
        <v>BDN9-20</v>
      </c>
      <c r="M1183" s="60" t="str">
        <f t="array" ref="M1183">iferror(index(dna!$J:$J,match($A1183,dna!$A:$A,0)))</f>
        <v>N</v>
      </c>
      <c r="N1183" t="str">
        <f t="array" ref="N1183">iferror(index(stomachs!$G:$G,match($A1183,stomachs!$A:$A,0)))</f>
        <v/>
      </c>
      <c r="O1183" t="str">
        <f t="array" ref="O1183">iferror(index(stomachs!$J:$J,match($A1183,stomachs!$A:$A,0)))</f>
        <v/>
      </c>
      <c r="P1183" t="str">
        <f t="array" ref="P1183">iferror(index(sea_lice!$G:$G,match($A1183,sea_lice!$A:$A,0)))</f>
        <v/>
      </c>
      <c r="Q1183" t="str">
        <f t="array" ref="Q1183">iferror(index(sea_lice!$J:$J,match($A1183,sea_lice!$A:$A,0)))</f>
        <v/>
      </c>
      <c r="R1183" s="40" t="str">
        <f t="array" ref="R1183">iferror(index(dissected_fish!$F:$F,match($A1183,dissected_fish!$A:$A,0)))</f>
        <v>BCA111</v>
      </c>
      <c r="S1183" s="40" t="str">
        <f t="array" ref="S1183">iferror(index(dissected_fish!$K:$K,match($A1183,dissected_fish!$A:$A,0)))</f>
        <v>N</v>
      </c>
      <c r="T1183" s="61" t="str">
        <f t="array" ref="T1183">index(fish_lab_data!O:O,match(A1183,fish_lab_data!C:C,0))</f>
        <v>KB</v>
      </c>
      <c r="U1183" s="61">
        <f t="array" ref="U1183">if(A1183="","",index(fish_lab_data!X:X,match(A1183,fish_lab_data!C:C,0)))</f>
        <v>1182</v>
      </c>
    </row>
    <row r="1184">
      <c r="A1184" t="str">
        <f>fish_lab_data!C1184</f>
        <v>U16054</v>
      </c>
      <c r="B1184" t="str">
        <f t="array" ref="B1184">iferror(index('rna-muscle'!$I:$I,match($A1184,'rna-muscle'!$A:$A,0)))</f>
        <v>BRN75M-H1</v>
      </c>
      <c r="C1184" t="str">
        <f t="array" ref="C1184">iferror(index('rna-muscle'!$L:$L,match($A1184,'rna-muscle'!$A:$A,0)))</f>
        <v>N</v>
      </c>
      <c r="D1184" t="str">
        <f t="array" ref="D1184">iferror(index('rna-gill'!$I:$I,match($A1184,'rna-gill'!$A:$A,0)))</f>
        <v>BRN75G-H1</v>
      </c>
      <c r="E1184" t="str">
        <f t="array" ref="E1184">iferror(index('rna-gill'!$L:$L,match($A1184,'rna-gill'!$A:$A,0)))</f>
        <v>N</v>
      </c>
      <c r="F1184" t="str">
        <f t="array" ref="F1184">iferror(index(fatty_acid!$G:$G,match($A1184,fatty_acid!$A:$A,0)))</f>
        <v>BFA35-26</v>
      </c>
      <c r="G1184" t="str">
        <f t="array" ref="G1184">iferror(index(fatty_acid!$J:$J,match($A1184,fatty_acid!$A:$A,0)))</f>
        <v>N</v>
      </c>
      <c r="H1184" t="str">
        <f t="array" ref="H1184">iferror(index(isotopes!$G:$G,match($A1184,isotopes!$A:$A,0)))</f>
        <v>BIS38-26</v>
      </c>
      <c r="I1184" t="str">
        <f t="array" ref="I1184">iferror(index(isotopes!$J:$J,match($A1184,isotopes!$A:$A,0)))</f>
        <v>N</v>
      </c>
      <c r="J1184" t="str">
        <f t="array" ref="J1184">iferror(index(extra_muscle!$G:$G,match($A1184,extra_muscle!$A:$A,0)))</f>
        <v>BXM36-26</v>
      </c>
      <c r="K1184" t="str">
        <f t="array" ref="K1184">iferror(index(extra_muscle!$J:$J,match($A1184,extra_muscle!$A:$A,0)))</f>
        <v>N</v>
      </c>
      <c r="L1184" s="59" t="str">
        <f t="array" ref="L1184">iferror(index(dna!$G:$G,match($A1184,dna!$A:$A,0)))</f>
        <v>BDN9-21</v>
      </c>
      <c r="M1184" s="60" t="str">
        <f t="array" ref="M1184">iferror(index(dna!$J:$J,match($A1184,dna!$A:$A,0)))</f>
        <v>N</v>
      </c>
      <c r="N1184" t="str">
        <f t="array" ref="N1184">iferror(index(stomachs!$G:$G,match($A1184,stomachs!$A:$A,0)))</f>
        <v/>
      </c>
      <c r="O1184" t="str">
        <f t="array" ref="O1184">iferror(index(stomachs!$J:$J,match($A1184,stomachs!$A:$A,0)))</f>
        <v/>
      </c>
      <c r="P1184" t="str">
        <f t="array" ref="P1184">iferror(index(sea_lice!$G:$G,match($A1184,sea_lice!$A:$A,0)))</f>
        <v>BSL7-94</v>
      </c>
      <c r="Q1184" t="str">
        <f t="array" ref="Q1184">iferror(index(sea_lice!$J:$J,match($A1184,sea_lice!$A:$A,0)))</f>
        <v>N</v>
      </c>
      <c r="R1184" s="40" t="str">
        <f t="array" ref="R1184">iferror(index(dissected_fish!$F:$F,match($A1184,dissected_fish!$A:$A,0)))</f>
        <v>BCA111</v>
      </c>
      <c r="S1184" s="40" t="str">
        <f t="array" ref="S1184">iferror(index(dissected_fish!$K:$K,match($A1184,dissected_fish!$A:$A,0)))</f>
        <v>N</v>
      </c>
      <c r="T1184" s="61" t="str">
        <f t="array" ref="T1184">index(fish_lab_data!O:O,match(A1184,fish_lab_data!C:C,0))</f>
        <v>KB</v>
      </c>
      <c r="U1184" s="61">
        <f t="array" ref="U1184">if(A1184="","",index(fish_lab_data!X:X,match(A1184,fish_lab_data!C:C,0)))</f>
        <v>1183</v>
      </c>
    </row>
    <row r="1185">
      <c r="A1185" t="str">
        <f>fish_lab_data!C1185</f>
        <v>U16051</v>
      </c>
      <c r="B1185" t="str">
        <f t="array" ref="B1185">iferror(index('rna-muscle'!$I:$I,match($A1185,'rna-muscle'!$A:$A,0)))</f>
        <v>BRN75M-G1</v>
      </c>
      <c r="C1185" t="str">
        <f t="array" ref="C1185">iferror(index('rna-muscle'!$L:$L,match($A1185,'rna-muscle'!$A:$A,0)))</f>
        <v>N</v>
      </c>
      <c r="D1185" t="str">
        <f t="array" ref="D1185">iferror(index('rna-gill'!$I:$I,match($A1185,'rna-gill'!$A:$A,0)))</f>
        <v>BRN75G-G1</v>
      </c>
      <c r="E1185" t="str">
        <f t="array" ref="E1185">iferror(index('rna-gill'!$L:$L,match($A1185,'rna-gill'!$A:$A,0)))</f>
        <v>N</v>
      </c>
      <c r="F1185" t="str">
        <f t="array" ref="F1185">iferror(index(fatty_acid!$G:$G,match($A1185,fatty_acid!$A:$A,0)))</f>
        <v>BFA35-27</v>
      </c>
      <c r="G1185" t="str">
        <f t="array" ref="G1185">iferror(index(fatty_acid!$J:$J,match($A1185,fatty_acid!$A:$A,0)))</f>
        <v>N</v>
      </c>
      <c r="H1185" t="str">
        <f t="array" ref="H1185">iferror(index(isotopes!$G:$G,match($A1185,isotopes!$A:$A,0)))</f>
        <v>BIS38-27</v>
      </c>
      <c r="I1185" t="str">
        <f t="array" ref="I1185">iferror(index(isotopes!$J:$J,match($A1185,isotopes!$A:$A,0)))</f>
        <v>N</v>
      </c>
      <c r="J1185" t="str">
        <f t="array" ref="J1185">iferror(index(extra_muscle!$G:$G,match($A1185,extra_muscle!$A:$A,0)))</f>
        <v>BXM36-27</v>
      </c>
      <c r="K1185" t="str">
        <f t="array" ref="K1185">iferror(index(extra_muscle!$J:$J,match($A1185,extra_muscle!$A:$A,0)))</f>
        <v>N</v>
      </c>
      <c r="L1185" s="59" t="str">
        <f t="array" ref="L1185">iferror(index(dna!$G:$G,match($A1185,dna!$A:$A,0)))</f>
        <v>BDN9-22</v>
      </c>
      <c r="M1185" s="60" t="str">
        <f t="array" ref="M1185">iferror(index(dna!$J:$J,match($A1185,dna!$A:$A,0)))</f>
        <v>N</v>
      </c>
      <c r="N1185" t="str">
        <f t="array" ref="N1185">iferror(index(stomachs!$G:$G,match($A1185,stomachs!$A:$A,0)))</f>
        <v/>
      </c>
      <c r="O1185" t="str">
        <f t="array" ref="O1185">iferror(index(stomachs!$J:$J,match($A1185,stomachs!$A:$A,0)))</f>
        <v/>
      </c>
      <c r="P1185" t="str">
        <f t="array" ref="P1185">iferror(index(sea_lice!$G:$G,match($A1185,sea_lice!$A:$A,0)))</f>
        <v/>
      </c>
      <c r="Q1185" t="str">
        <f t="array" ref="Q1185">iferror(index(sea_lice!$J:$J,match($A1185,sea_lice!$A:$A,0)))</f>
        <v/>
      </c>
      <c r="R1185" s="40" t="str">
        <f t="array" ref="R1185">iferror(index(dissected_fish!$F:$F,match($A1185,dissected_fish!$A:$A,0)))</f>
        <v>BCA111</v>
      </c>
      <c r="S1185" s="40" t="str">
        <f t="array" ref="S1185">iferror(index(dissected_fish!$K:$K,match($A1185,dissected_fish!$A:$A,0)))</f>
        <v>N</v>
      </c>
      <c r="T1185" s="61" t="str">
        <f t="array" ref="T1185">index(fish_lab_data!O:O,match(A1185,fish_lab_data!C:C,0))</f>
        <v>KB</v>
      </c>
      <c r="U1185" s="61">
        <f t="array" ref="U1185">if(A1185="","",index(fish_lab_data!X:X,match(A1185,fish_lab_data!C:C,0)))</f>
        <v>1184</v>
      </c>
    </row>
    <row r="1186">
      <c r="A1186" t="str">
        <f>fish_lab_data!C1186</f>
        <v>U16205</v>
      </c>
      <c r="B1186" t="str">
        <f t="array" ref="B1186">iferror(index('rna-muscle'!$I:$I,match($A1186,'rna-muscle'!$A:$A,0)))</f>
        <v>BRN75M-F1</v>
      </c>
      <c r="C1186" t="str">
        <f t="array" ref="C1186">iferror(index('rna-muscle'!$L:$L,match($A1186,'rna-muscle'!$A:$A,0)))</f>
        <v>N</v>
      </c>
      <c r="D1186" t="str">
        <f t="array" ref="D1186">iferror(index('rna-gill'!$I:$I,match($A1186,'rna-gill'!$A:$A,0)))</f>
        <v>BRN75G-F1</v>
      </c>
      <c r="E1186" t="str">
        <f t="array" ref="E1186">iferror(index('rna-gill'!$L:$L,match($A1186,'rna-gill'!$A:$A,0)))</f>
        <v>N</v>
      </c>
      <c r="F1186" t="str">
        <f t="array" ref="F1186">iferror(index(fatty_acid!$G:$G,match($A1186,fatty_acid!$A:$A,0)))</f>
        <v>BFA35-28</v>
      </c>
      <c r="G1186" t="str">
        <f t="array" ref="G1186">iferror(index(fatty_acid!$J:$J,match($A1186,fatty_acid!$A:$A,0)))</f>
        <v>N</v>
      </c>
      <c r="H1186" t="str">
        <f t="array" ref="H1186">iferror(index(isotopes!$G:$G,match($A1186,isotopes!$A:$A,0)))</f>
        <v>BIS38-28</v>
      </c>
      <c r="I1186" t="str">
        <f t="array" ref="I1186">iferror(index(isotopes!$J:$J,match($A1186,isotopes!$A:$A,0)))</f>
        <v>N</v>
      </c>
      <c r="J1186" t="str">
        <f t="array" ref="J1186">iferror(index(extra_muscle!$G:$G,match($A1186,extra_muscle!$A:$A,0)))</f>
        <v>BXM36-28</v>
      </c>
      <c r="K1186" t="str">
        <f t="array" ref="K1186">iferror(index(extra_muscle!$J:$J,match($A1186,extra_muscle!$A:$A,0)))</f>
        <v>N</v>
      </c>
      <c r="L1186" s="59" t="str">
        <f t="array" ref="L1186">iferror(index(dna!$G:$G,match($A1186,dna!$A:$A,0)))</f>
        <v>BDN9-23</v>
      </c>
      <c r="M1186" s="60" t="str">
        <f t="array" ref="M1186">iferror(index(dna!$J:$J,match($A1186,dna!$A:$A,0)))</f>
        <v>N</v>
      </c>
      <c r="N1186" t="str">
        <f t="array" ref="N1186">iferror(index(stomachs!$G:$G,match($A1186,stomachs!$A:$A,0)))</f>
        <v/>
      </c>
      <c r="O1186" t="str">
        <f t="array" ref="O1186">iferror(index(stomachs!$J:$J,match($A1186,stomachs!$A:$A,0)))</f>
        <v/>
      </c>
      <c r="P1186" t="str">
        <f t="array" ref="P1186">iferror(index(sea_lice!$G:$G,match($A1186,sea_lice!$A:$A,0)))</f>
        <v/>
      </c>
      <c r="Q1186" t="str">
        <f t="array" ref="Q1186">iferror(index(sea_lice!$J:$J,match($A1186,sea_lice!$A:$A,0)))</f>
        <v/>
      </c>
      <c r="R1186" s="40" t="str">
        <f t="array" ref="R1186">iferror(index(dissected_fish!$F:$F,match($A1186,dissected_fish!$A:$A,0)))</f>
        <v>BCA111</v>
      </c>
      <c r="S1186" s="40" t="str">
        <f t="array" ref="S1186">iferror(index(dissected_fish!$K:$K,match($A1186,dissected_fish!$A:$A,0)))</f>
        <v>N</v>
      </c>
      <c r="T1186" s="61" t="str">
        <f t="array" ref="T1186">index(fish_lab_data!O:O,match(A1186,fish_lab_data!C:C,0))</f>
        <v>KB</v>
      </c>
      <c r="U1186" s="61">
        <f t="array" ref="U1186">if(A1186="","",index(fish_lab_data!X:X,match(A1186,fish_lab_data!C:C,0)))</f>
        <v>1185</v>
      </c>
    </row>
    <row r="1187">
      <c r="A1187" t="str">
        <f>fish_lab_data!C1187</f>
        <v>U16201</v>
      </c>
      <c r="B1187" t="str">
        <f t="array" ref="B1187">iferror(index('rna-muscle'!$I:$I,match($A1187,'rna-muscle'!$A:$A,0)))</f>
        <v>BRN75M-E1</v>
      </c>
      <c r="C1187" t="str">
        <f t="array" ref="C1187">iferror(index('rna-muscle'!$L:$L,match($A1187,'rna-muscle'!$A:$A,0)))</f>
        <v>N</v>
      </c>
      <c r="D1187" t="str">
        <f t="array" ref="D1187">iferror(index('rna-gill'!$I:$I,match($A1187,'rna-gill'!$A:$A,0)))</f>
        <v>BRN75G-E1</v>
      </c>
      <c r="E1187" t="str">
        <f t="array" ref="E1187">iferror(index('rna-gill'!$L:$L,match($A1187,'rna-gill'!$A:$A,0)))</f>
        <v>N</v>
      </c>
      <c r="F1187" t="str">
        <f t="array" ref="F1187">iferror(index(fatty_acid!$G:$G,match($A1187,fatty_acid!$A:$A,0)))</f>
        <v>BFA35-29</v>
      </c>
      <c r="G1187" t="str">
        <f t="array" ref="G1187">iferror(index(fatty_acid!$J:$J,match($A1187,fatty_acid!$A:$A,0)))</f>
        <v>N</v>
      </c>
      <c r="H1187" t="str">
        <f t="array" ref="H1187">iferror(index(isotopes!$G:$G,match($A1187,isotopes!$A:$A,0)))</f>
        <v>BIS38-29</v>
      </c>
      <c r="I1187" t="str">
        <f t="array" ref="I1187">iferror(index(isotopes!$J:$J,match($A1187,isotopes!$A:$A,0)))</f>
        <v>N</v>
      </c>
      <c r="J1187" t="str">
        <f t="array" ref="J1187">iferror(index(extra_muscle!$G:$G,match($A1187,extra_muscle!$A:$A,0)))</f>
        <v>BXM36-29</v>
      </c>
      <c r="K1187" t="str">
        <f t="array" ref="K1187">iferror(index(extra_muscle!$J:$J,match($A1187,extra_muscle!$A:$A,0)))</f>
        <v>N</v>
      </c>
      <c r="L1187" s="59" t="str">
        <f t="array" ref="L1187">iferror(index(dna!$G:$G,match($A1187,dna!$A:$A,0)))</f>
        <v>BDN9-24</v>
      </c>
      <c r="M1187" s="60" t="str">
        <f t="array" ref="M1187">iferror(index(dna!$J:$J,match($A1187,dna!$A:$A,0)))</f>
        <v>N</v>
      </c>
      <c r="N1187" t="str">
        <f t="array" ref="N1187">iferror(index(stomachs!$G:$G,match($A1187,stomachs!$A:$A,0)))</f>
        <v/>
      </c>
      <c r="O1187" t="str">
        <f t="array" ref="O1187">iferror(index(stomachs!$J:$J,match($A1187,stomachs!$A:$A,0)))</f>
        <v/>
      </c>
      <c r="P1187" t="str">
        <f t="array" ref="P1187">iferror(index(sea_lice!$G:$G,match($A1187,sea_lice!$A:$A,0)))</f>
        <v/>
      </c>
      <c r="Q1187" t="str">
        <f t="array" ref="Q1187">iferror(index(sea_lice!$J:$J,match($A1187,sea_lice!$A:$A,0)))</f>
        <v/>
      </c>
      <c r="R1187" s="40" t="str">
        <f t="array" ref="R1187">iferror(index(dissected_fish!$F:$F,match($A1187,dissected_fish!$A:$A,0)))</f>
        <v>BCA111</v>
      </c>
      <c r="S1187" s="40" t="str">
        <f t="array" ref="S1187">iferror(index(dissected_fish!$K:$K,match($A1187,dissected_fish!$A:$A,0)))</f>
        <v>N</v>
      </c>
      <c r="T1187" s="61" t="str">
        <f t="array" ref="T1187">index(fish_lab_data!O:O,match(A1187,fish_lab_data!C:C,0))</f>
        <v>KB</v>
      </c>
      <c r="U1187" s="61">
        <f t="array" ref="U1187">if(A1187="","",index(fish_lab_data!X:X,match(A1187,fish_lab_data!C:C,0)))</f>
        <v>1186</v>
      </c>
    </row>
    <row r="1188">
      <c r="A1188" t="str">
        <f>fish_lab_data!C1188</f>
        <v>U16209</v>
      </c>
      <c r="B1188" t="str">
        <f t="array" ref="B1188">iferror(index('rna-muscle'!$I:$I,match($A1188,'rna-muscle'!$A:$A,0)))</f>
        <v>BRN75M-D1</v>
      </c>
      <c r="C1188" t="str">
        <f t="array" ref="C1188">iferror(index('rna-muscle'!$L:$L,match($A1188,'rna-muscle'!$A:$A,0)))</f>
        <v>N</v>
      </c>
      <c r="D1188" t="str">
        <f t="array" ref="D1188">iferror(index('rna-gill'!$I:$I,match($A1188,'rna-gill'!$A:$A,0)))</f>
        <v>BRN75G-D1</v>
      </c>
      <c r="E1188" t="str">
        <f t="array" ref="E1188">iferror(index('rna-gill'!$L:$L,match($A1188,'rna-gill'!$A:$A,0)))</f>
        <v>N</v>
      </c>
      <c r="F1188" t="str">
        <f t="array" ref="F1188">iferror(index(fatty_acid!$G:$G,match($A1188,fatty_acid!$A:$A,0)))</f>
        <v>BFA35-30</v>
      </c>
      <c r="G1188" t="str">
        <f t="array" ref="G1188">iferror(index(fatty_acid!$J:$J,match($A1188,fatty_acid!$A:$A,0)))</f>
        <v>N</v>
      </c>
      <c r="H1188" t="str">
        <f t="array" ref="H1188">iferror(index(isotopes!$G:$G,match($A1188,isotopes!$A:$A,0)))</f>
        <v>BIS38-30</v>
      </c>
      <c r="I1188" t="str">
        <f t="array" ref="I1188">iferror(index(isotopes!$J:$J,match($A1188,isotopes!$A:$A,0)))</f>
        <v>N</v>
      </c>
      <c r="J1188" t="str">
        <f t="array" ref="J1188">iferror(index(extra_muscle!$G:$G,match($A1188,extra_muscle!$A:$A,0)))</f>
        <v>BXM36-30</v>
      </c>
      <c r="K1188" t="str">
        <f t="array" ref="K1188">iferror(index(extra_muscle!$J:$J,match($A1188,extra_muscle!$A:$A,0)))</f>
        <v>N</v>
      </c>
      <c r="L1188" s="59" t="str">
        <f t="array" ref="L1188">iferror(index(dna!$G:$G,match($A1188,dna!$A:$A,0)))</f>
        <v>BDN9-25</v>
      </c>
      <c r="M1188" s="60" t="str">
        <f t="array" ref="M1188">iferror(index(dna!$J:$J,match($A1188,dna!$A:$A,0)))</f>
        <v>N</v>
      </c>
      <c r="N1188" t="str">
        <f t="array" ref="N1188">iferror(index(stomachs!$G:$G,match($A1188,stomachs!$A:$A,0)))</f>
        <v/>
      </c>
      <c r="O1188" t="str">
        <f t="array" ref="O1188">iferror(index(stomachs!$J:$J,match($A1188,stomachs!$A:$A,0)))</f>
        <v/>
      </c>
      <c r="P1188" t="str">
        <f t="array" ref="P1188">iferror(index(sea_lice!$G:$G,match($A1188,sea_lice!$A:$A,0)))</f>
        <v/>
      </c>
      <c r="Q1188" t="str">
        <f t="array" ref="Q1188">iferror(index(sea_lice!$J:$J,match($A1188,sea_lice!$A:$A,0)))</f>
        <v/>
      </c>
      <c r="R1188" s="40" t="str">
        <f t="array" ref="R1188">iferror(index(dissected_fish!$F:$F,match($A1188,dissected_fish!$A:$A,0)))</f>
        <v>BCA111</v>
      </c>
      <c r="S1188" s="40" t="str">
        <f t="array" ref="S1188">iferror(index(dissected_fish!$K:$K,match($A1188,dissected_fish!$A:$A,0)))</f>
        <v>N</v>
      </c>
      <c r="T1188" s="61" t="str">
        <f t="array" ref="T1188">index(fish_lab_data!O:O,match(A1188,fish_lab_data!C:C,0))</f>
        <v>KB</v>
      </c>
      <c r="U1188" s="61">
        <f t="array" ref="U1188">if(A1188="","",index(fish_lab_data!X:X,match(A1188,fish_lab_data!C:C,0)))</f>
        <v>1187</v>
      </c>
    </row>
    <row r="1189">
      <c r="A1189" t="str">
        <f>fish_lab_data!C1189</f>
        <v>U16203</v>
      </c>
      <c r="B1189" t="str">
        <f t="array" ref="B1189">iferror(index('rna-muscle'!$I:$I,match($A1189,'rna-muscle'!$A:$A,0)))</f>
        <v>BRN75M-C1</v>
      </c>
      <c r="C1189" t="str">
        <f t="array" ref="C1189">iferror(index('rna-muscle'!$L:$L,match($A1189,'rna-muscle'!$A:$A,0)))</f>
        <v>N</v>
      </c>
      <c r="D1189" t="str">
        <f t="array" ref="D1189">iferror(index('rna-gill'!$I:$I,match($A1189,'rna-gill'!$A:$A,0)))</f>
        <v>BRN75G-C1</v>
      </c>
      <c r="E1189" t="str">
        <f t="array" ref="E1189">iferror(index('rna-gill'!$L:$L,match($A1189,'rna-gill'!$A:$A,0)))</f>
        <v>N</v>
      </c>
      <c r="F1189" t="str">
        <f t="array" ref="F1189">iferror(index(fatty_acid!$G:$G,match($A1189,fatty_acid!$A:$A,0)))</f>
        <v>BFA35-31</v>
      </c>
      <c r="G1189" t="str">
        <f t="array" ref="G1189">iferror(index(fatty_acid!$J:$J,match($A1189,fatty_acid!$A:$A,0)))</f>
        <v>N</v>
      </c>
      <c r="H1189" t="str">
        <f t="array" ref="H1189">iferror(index(isotopes!$G:$G,match($A1189,isotopes!$A:$A,0)))</f>
        <v>BIS38-31</v>
      </c>
      <c r="I1189" t="str">
        <f t="array" ref="I1189">iferror(index(isotopes!$J:$J,match($A1189,isotopes!$A:$A,0)))</f>
        <v>N</v>
      </c>
      <c r="J1189" t="str">
        <f t="array" ref="J1189">iferror(index(extra_muscle!$G:$G,match($A1189,extra_muscle!$A:$A,0)))</f>
        <v>BXM36-31</v>
      </c>
      <c r="K1189" t="str">
        <f t="array" ref="K1189">iferror(index(extra_muscle!$J:$J,match($A1189,extra_muscle!$A:$A,0)))</f>
        <v>N</v>
      </c>
      <c r="L1189" s="59" t="str">
        <f t="array" ref="L1189">iferror(index(dna!$G:$G,match($A1189,dna!$A:$A,0)))</f>
        <v>BDN9-26</v>
      </c>
      <c r="M1189" s="60" t="str">
        <f t="array" ref="M1189">iferror(index(dna!$J:$J,match($A1189,dna!$A:$A,0)))</f>
        <v>N</v>
      </c>
      <c r="N1189" t="str">
        <f t="array" ref="N1189">iferror(index(stomachs!$G:$G,match($A1189,stomachs!$A:$A,0)))</f>
        <v/>
      </c>
      <c r="O1189" t="str">
        <f t="array" ref="O1189">iferror(index(stomachs!$J:$J,match($A1189,stomachs!$A:$A,0)))</f>
        <v/>
      </c>
      <c r="P1189" t="str">
        <f t="array" ref="P1189">iferror(index(sea_lice!$G:$G,match($A1189,sea_lice!$A:$A,0)))</f>
        <v/>
      </c>
      <c r="Q1189" t="str">
        <f t="array" ref="Q1189">iferror(index(sea_lice!$J:$J,match($A1189,sea_lice!$A:$A,0)))</f>
        <v/>
      </c>
      <c r="R1189" s="40" t="str">
        <f t="array" ref="R1189">iferror(index(dissected_fish!$F:$F,match($A1189,dissected_fish!$A:$A,0)))</f>
        <v>BCA111</v>
      </c>
      <c r="S1189" s="40" t="str">
        <f t="array" ref="S1189">iferror(index(dissected_fish!$K:$K,match($A1189,dissected_fish!$A:$A,0)))</f>
        <v>N</v>
      </c>
      <c r="T1189" s="61" t="str">
        <f t="array" ref="T1189">index(fish_lab_data!O:O,match(A1189,fish_lab_data!C:C,0))</f>
        <v>KB</v>
      </c>
      <c r="U1189" s="61">
        <f t="array" ref="U1189">if(A1189="","",index(fish_lab_data!X:X,match(A1189,fish_lab_data!C:C,0)))</f>
        <v>1188</v>
      </c>
    </row>
    <row r="1190">
      <c r="A1190" t="str">
        <f>fish_lab_data!C1190</f>
        <v>U17558</v>
      </c>
      <c r="B1190" t="str">
        <f t="array" ref="B1190">iferror(index('rna-muscle'!$I:$I,match($A1190,'rna-muscle'!$A:$A,0)))</f>
        <v>BRN74M-F4</v>
      </c>
      <c r="C1190" t="str">
        <f t="array" ref="C1190">iferror(index('rna-muscle'!$L:$L,match($A1190,'rna-muscle'!$A:$A,0)))</f>
        <v>N</v>
      </c>
      <c r="D1190" t="str">
        <f t="array" ref="D1190">iferror(index('rna-gill'!$I:$I,match($A1190,'rna-gill'!$A:$A,0)))</f>
        <v>BRN74G-F4</v>
      </c>
      <c r="E1190" t="str">
        <f t="array" ref="E1190">iferror(index('rna-gill'!$L:$L,match($A1190,'rna-gill'!$A:$A,0)))</f>
        <v>N</v>
      </c>
      <c r="F1190" t="str">
        <f t="array" ref="F1190">iferror(index(fatty_acid!$G:$G,match($A1190,fatty_acid!$A:$A,0)))</f>
        <v>BFA22-73</v>
      </c>
      <c r="G1190" t="str">
        <f t="array" ref="G1190">iferror(index(fatty_acid!$J:$J,match($A1190,fatty_acid!$A:$A,0)))</f>
        <v>N</v>
      </c>
      <c r="H1190" t="str">
        <f t="array" ref="H1190">iferror(index(isotopes!$G:$G,match($A1190,isotopes!$A:$A,0)))</f>
        <v>BIS36-49</v>
      </c>
      <c r="I1190" t="str">
        <f t="array" ref="I1190">iferror(index(isotopes!$J:$J,match($A1190,isotopes!$A:$A,0)))</f>
        <v>N</v>
      </c>
      <c r="J1190" t="str">
        <f t="array" ref="J1190">iferror(index(extra_muscle!$G:$G,match($A1190,extra_muscle!$A:$A,0)))</f>
        <v>BXM34-49</v>
      </c>
      <c r="K1190" t="str">
        <f t="array" ref="K1190">iferror(index(extra_muscle!$J:$J,match($A1190,extra_muscle!$A:$A,0)))</f>
        <v>N</v>
      </c>
      <c r="L1190" s="59" t="str">
        <f t="array" ref="L1190">iferror(index(dna!$G:$G,match($A1190,dna!$A:$A,0)))</f>
        <v>BDN10-39</v>
      </c>
      <c r="M1190" s="60" t="str">
        <f t="array" ref="M1190">iferror(index(dna!$J:$J,match($A1190,dna!$A:$A,0)))</f>
        <v>N</v>
      </c>
      <c r="N1190" t="str">
        <f t="array" ref="N1190">iferror(index(stomachs!$G:$G,match($A1190,stomachs!$A:$A,0)))</f>
        <v/>
      </c>
      <c r="O1190" t="str">
        <f t="array" ref="O1190">iferror(index(stomachs!$J:$J,match($A1190,stomachs!$A:$A,0)))</f>
        <v/>
      </c>
      <c r="P1190" t="str">
        <f t="array" ref="P1190">iferror(index(sea_lice!$G:$G,match($A1190,sea_lice!$A:$A,0)))</f>
        <v>BSL7-81</v>
      </c>
      <c r="Q1190" t="str">
        <f t="array" ref="Q1190">iferror(index(sea_lice!$J:$J,match($A1190,sea_lice!$A:$A,0)))</f>
        <v>N</v>
      </c>
      <c r="R1190" s="40" t="str">
        <f t="array" ref="R1190">iferror(index(dissected_fish!$F:$F,match($A1190,dissected_fish!$A:$A,0)))</f>
        <v>BCA110</v>
      </c>
      <c r="S1190" s="40" t="str">
        <f t="array" ref="S1190">iferror(index(dissected_fish!$K:$K,match($A1190,dissected_fish!$A:$A,0)))</f>
        <v>N</v>
      </c>
      <c r="T1190" s="61" t="str">
        <f t="array" ref="T1190">index(fish_lab_data!O:O,match(A1190,fish_lab_data!C:C,0))</f>
        <v>JG</v>
      </c>
      <c r="U1190" s="61">
        <f t="array" ref="U1190">if(A1190="","",index(fish_lab_data!X:X,match(A1190,fish_lab_data!C:C,0)))</f>
        <v>1189</v>
      </c>
    </row>
    <row r="1191">
      <c r="A1191" t="str">
        <f>fish_lab_data!C1191</f>
        <v>U17557</v>
      </c>
      <c r="B1191" t="str">
        <f t="array" ref="B1191">iferror(index('rna-muscle'!$I:$I,match($A1191,'rna-muscle'!$A:$A,0)))</f>
        <v>BRN74M-E4</v>
      </c>
      <c r="C1191" t="str">
        <f t="array" ref="C1191">iferror(index('rna-muscle'!$L:$L,match($A1191,'rna-muscle'!$A:$A,0)))</f>
        <v>N</v>
      </c>
      <c r="D1191" t="str">
        <f t="array" ref="D1191">iferror(index('rna-gill'!$I:$I,match($A1191,'rna-gill'!$A:$A,0)))</f>
        <v>BRN74G-E4</v>
      </c>
      <c r="E1191" t="str">
        <f t="array" ref="E1191">iferror(index('rna-gill'!$L:$L,match($A1191,'rna-gill'!$A:$A,0)))</f>
        <v>N</v>
      </c>
      <c r="F1191" t="str">
        <f t="array" ref="F1191">iferror(index(fatty_acid!$G:$G,match($A1191,fatty_acid!$A:$A,0)))</f>
        <v>BFA22-74</v>
      </c>
      <c r="G1191" t="str">
        <f t="array" ref="G1191">iferror(index(fatty_acid!$J:$J,match($A1191,fatty_acid!$A:$A,0)))</f>
        <v>N</v>
      </c>
      <c r="H1191" t="str">
        <f t="array" ref="H1191">iferror(index(isotopes!$G:$G,match($A1191,isotopes!$A:$A,0)))</f>
        <v>BIS36-50</v>
      </c>
      <c r="I1191" t="str">
        <f t="array" ref="I1191">iferror(index(isotopes!$J:$J,match($A1191,isotopes!$A:$A,0)))</f>
        <v>N</v>
      </c>
      <c r="J1191" t="str">
        <f t="array" ref="J1191">iferror(index(extra_muscle!$G:$G,match($A1191,extra_muscle!$A:$A,0)))</f>
        <v>BXM34-50</v>
      </c>
      <c r="K1191" t="str">
        <f t="array" ref="K1191">iferror(index(extra_muscle!$J:$J,match($A1191,extra_muscle!$A:$A,0)))</f>
        <v>N</v>
      </c>
      <c r="L1191" s="59" t="str">
        <f t="array" ref="L1191">iferror(index(dna!$G:$G,match($A1191,dna!$A:$A,0)))</f>
        <v>BDN10-40</v>
      </c>
      <c r="M1191" s="60" t="str">
        <f t="array" ref="M1191">iferror(index(dna!$J:$J,match($A1191,dna!$A:$A,0)))</f>
        <v>N</v>
      </c>
      <c r="N1191" t="str">
        <f t="array" ref="N1191">iferror(index(stomachs!$G:$G,match($A1191,stomachs!$A:$A,0)))</f>
        <v/>
      </c>
      <c r="O1191" t="str">
        <f t="array" ref="O1191">iferror(index(stomachs!$J:$J,match($A1191,stomachs!$A:$A,0)))</f>
        <v/>
      </c>
      <c r="P1191" t="str">
        <f t="array" ref="P1191">iferror(index(sea_lice!$G:$G,match($A1191,sea_lice!$A:$A,0)))</f>
        <v>BSL7-82</v>
      </c>
      <c r="Q1191" t="str">
        <f t="array" ref="Q1191">iferror(index(sea_lice!$J:$J,match($A1191,sea_lice!$A:$A,0)))</f>
        <v>N</v>
      </c>
      <c r="R1191" s="40" t="str">
        <f t="array" ref="R1191">iferror(index(dissected_fish!$F:$F,match($A1191,dissected_fish!$A:$A,0)))</f>
        <v>BCA110</v>
      </c>
      <c r="S1191" s="40" t="str">
        <f t="array" ref="S1191">iferror(index(dissected_fish!$K:$K,match($A1191,dissected_fish!$A:$A,0)))</f>
        <v>N</v>
      </c>
      <c r="T1191" s="61" t="str">
        <f t="array" ref="T1191">index(fish_lab_data!O:O,match(A1191,fish_lab_data!C:C,0))</f>
        <v>JG</v>
      </c>
      <c r="U1191" s="61">
        <f t="array" ref="U1191">if(A1191="","",index(fish_lab_data!X:X,match(A1191,fish_lab_data!C:C,0)))</f>
        <v>1190</v>
      </c>
    </row>
    <row r="1192">
      <c r="A1192" t="str">
        <f>fish_lab_data!C1192</f>
        <v>U17555</v>
      </c>
      <c r="B1192" t="str">
        <f t="array" ref="B1192">iferror(index('rna-muscle'!$I:$I,match($A1192,'rna-muscle'!$A:$A,0)))</f>
        <v>BRN74M-D4</v>
      </c>
      <c r="C1192" t="str">
        <f t="array" ref="C1192">iferror(index('rna-muscle'!$L:$L,match($A1192,'rna-muscle'!$A:$A,0)))</f>
        <v>N</v>
      </c>
      <c r="D1192" t="str">
        <f t="array" ref="D1192">iferror(index('rna-gill'!$I:$I,match($A1192,'rna-gill'!$A:$A,0)))</f>
        <v>BRN74G-D4</v>
      </c>
      <c r="E1192" t="str">
        <f t="array" ref="E1192">iferror(index('rna-gill'!$L:$L,match($A1192,'rna-gill'!$A:$A,0)))</f>
        <v>N</v>
      </c>
      <c r="F1192" t="str">
        <f t="array" ref="F1192">iferror(index(fatty_acid!$G:$G,match($A1192,fatty_acid!$A:$A,0)))</f>
        <v>BFA22-75</v>
      </c>
      <c r="G1192" t="str">
        <f t="array" ref="G1192">iferror(index(fatty_acid!$J:$J,match($A1192,fatty_acid!$A:$A,0)))</f>
        <v>N</v>
      </c>
      <c r="H1192" t="str">
        <f t="array" ref="H1192">iferror(index(isotopes!$G:$G,match($A1192,isotopes!$A:$A,0)))</f>
        <v>BIS36-51</v>
      </c>
      <c r="I1192" t="str">
        <f t="array" ref="I1192">iferror(index(isotopes!$J:$J,match($A1192,isotopes!$A:$A,0)))</f>
        <v>N</v>
      </c>
      <c r="J1192" t="str">
        <f t="array" ref="J1192">iferror(index(extra_muscle!$G:$G,match($A1192,extra_muscle!$A:$A,0)))</f>
        <v>BXM34-51</v>
      </c>
      <c r="K1192" t="str">
        <f t="array" ref="K1192">iferror(index(extra_muscle!$J:$J,match($A1192,extra_muscle!$A:$A,0)))</f>
        <v>N</v>
      </c>
      <c r="L1192" s="59" t="str">
        <f t="array" ref="L1192">iferror(index(dna!$G:$G,match($A1192,dna!$A:$A,0)))</f>
        <v>BDN10-41</v>
      </c>
      <c r="M1192" s="60" t="str">
        <f t="array" ref="M1192">iferror(index(dna!$J:$J,match($A1192,dna!$A:$A,0)))</f>
        <v>N</v>
      </c>
      <c r="N1192" t="str">
        <f t="array" ref="N1192">iferror(index(stomachs!$G:$G,match($A1192,stomachs!$A:$A,0)))</f>
        <v/>
      </c>
      <c r="O1192" t="str">
        <f t="array" ref="O1192">iferror(index(stomachs!$J:$J,match($A1192,stomachs!$A:$A,0)))</f>
        <v/>
      </c>
      <c r="P1192" t="str">
        <f t="array" ref="P1192">iferror(index(sea_lice!$G:$G,match($A1192,sea_lice!$A:$A,0)))</f>
        <v>BSL7-83</v>
      </c>
      <c r="Q1192" t="str">
        <f t="array" ref="Q1192">iferror(index(sea_lice!$J:$J,match($A1192,sea_lice!$A:$A,0)))</f>
        <v>N</v>
      </c>
      <c r="R1192" s="40" t="str">
        <f t="array" ref="R1192">iferror(index(dissected_fish!$F:$F,match($A1192,dissected_fish!$A:$A,0)))</f>
        <v>BCA110</v>
      </c>
      <c r="S1192" s="40" t="str">
        <f t="array" ref="S1192">iferror(index(dissected_fish!$K:$K,match($A1192,dissected_fish!$A:$A,0)))</f>
        <v>N</v>
      </c>
      <c r="T1192" s="61" t="str">
        <f t="array" ref="T1192">index(fish_lab_data!O:O,match(A1192,fish_lab_data!C:C,0))</f>
        <v>JG</v>
      </c>
      <c r="U1192" s="61">
        <f t="array" ref="U1192">if(A1192="","",index(fish_lab_data!X:X,match(A1192,fish_lab_data!C:C,0)))</f>
        <v>1191</v>
      </c>
    </row>
    <row r="1193">
      <c r="A1193" t="str">
        <f>fish_lab_data!C1193</f>
        <v>U17559</v>
      </c>
      <c r="B1193" t="str">
        <f t="array" ref="B1193">iferror(index('rna-muscle'!$I:$I,match($A1193,'rna-muscle'!$A:$A,0)))</f>
        <v>BRN74M-C4</v>
      </c>
      <c r="C1193" t="str">
        <f t="array" ref="C1193">iferror(index('rna-muscle'!$L:$L,match($A1193,'rna-muscle'!$A:$A,0)))</f>
        <v>N</v>
      </c>
      <c r="D1193" t="str">
        <f t="array" ref="D1193">iferror(index('rna-gill'!$I:$I,match($A1193,'rna-gill'!$A:$A,0)))</f>
        <v>BRN74G-C4</v>
      </c>
      <c r="E1193" t="str">
        <f t="array" ref="E1193">iferror(index('rna-gill'!$L:$L,match($A1193,'rna-gill'!$A:$A,0)))</f>
        <v>N</v>
      </c>
      <c r="F1193" t="str">
        <f t="array" ref="F1193">iferror(index(fatty_acid!$G:$G,match($A1193,fatty_acid!$A:$A,0)))</f>
        <v>BFA22-76</v>
      </c>
      <c r="G1193" t="str">
        <f t="array" ref="G1193">iferror(index(fatty_acid!$J:$J,match($A1193,fatty_acid!$A:$A,0)))</f>
        <v>N</v>
      </c>
      <c r="H1193" t="str">
        <f t="array" ref="H1193">iferror(index(isotopes!$G:$G,match($A1193,isotopes!$A:$A,0)))</f>
        <v>BIS36-52</v>
      </c>
      <c r="I1193" t="str">
        <f t="array" ref="I1193">iferror(index(isotopes!$J:$J,match($A1193,isotopes!$A:$A,0)))</f>
        <v>N</v>
      </c>
      <c r="J1193" t="str">
        <f t="array" ref="J1193">iferror(index(extra_muscle!$G:$G,match($A1193,extra_muscle!$A:$A,0)))</f>
        <v>BXM34-52</v>
      </c>
      <c r="K1193" t="str">
        <f t="array" ref="K1193">iferror(index(extra_muscle!$J:$J,match($A1193,extra_muscle!$A:$A,0)))</f>
        <v>N</v>
      </c>
      <c r="L1193" s="59" t="str">
        <f t="array" ref="L1193">iferror(index(dna!$G:$G,match($A1193,dna!$A:$A,0)))</f>
        <v>BDN10-42</v>
      </c>
      <c r="M1193" s="60" t="str">
        <f t="array" ref="M1193">iferror(index(dna!$J:$J,match($A1193,dna!$A:$A,0)))</f>
        <v>N</v>
      </c>
      <c r="N1193" t="str">
        <f t="array" ref="N1193">iferror(index(stomachs!$G:$G,match($A1193,stomachs!$A:$A,0)))</f>
        <v/>
      </c>
      <c r="O1193" t="str">
        <f t="array" ref="O1193">iferror(index(stomachs!$J:$J,match($A1193,stomachs!$A:$A,0)))</f>
        <v/>
      </c>
      <c r="P1193" t="str">
        <f t="array" ref="P1193">iferror(index(sea_lice!$G:$G,match($A1193,sea_lice!$A:$A,0)))</f>
        <v/>
      </c>
      <c r="Q1193" t="str">
        <f t="array" ref="Q1193">iferror(index(sea_lice!$J:$J,match($A1193,sea_lice!$A:$A,0)))</f>
        <v/>
      </c>
      <c r="R1193" s="40" t="str">
        <f t="array" ref="R1193">iferror(index(dissected_fish!$F:$F,match($A1193,dissected_fish!$A:$A,0)))</f>
        <v>BCA110</v>
      </c>
      <c r="S1193" s="40" t="str">
        <f t="array" ref="S1193">iferror(index(dissected_fish!$K:$K,match($A1193,dissected_fish!$A:$A,0)))</f>
        <v>N</v>
      </c>
      <c r="T1193" s="61" t="str">
        <f t="array" ref="T1193">index(fish_lab_data!O:O,match(A1193,fish_lab_data!C:C,0))</f>
        <v>JG</v>
      </c>
      <c r="U1193" s="61">
        <f t="array" ref="U1193">if(A1193="","",index(fish_lab_data!X:X,match(A1193,fish_lab_data!C:C,0)))</f>
        <v>1192</v>
      </c>
    </row>
    <row r="1194">
      <c r="A1194" t="str">
        <f>fish_lab_data!C1194</f>
        <v>U17288</v>
      </c>
      <c r="B1194" t="str">
        <f t="array" ref="B1194">iferror(index('rna-muscle'!$I:$I,match($A1194,'rna-muscle'!$A:$A,0)))</f>
        <v>BRN74M-B4</v>
      </c>
      <c r="C1194" t="str">
        <f t="array" ref="C1194">iferror(index('rna-muscle'!$L:$L,match($A1194,'rna-muscle'!$A:$A,0)))</f>
        <v>N</v>
      </c>
      <c r="D1194" t="str">
        <f t="array" ref="D1194">iferror(index('rna-gill'!$I:$I,match($A1194,'rna-gill'!$A:$A,0)))</f>
        <v>BRN74G-B4</v>
      </c>
      <c r="E1194" t="str">
        <f t="array" ref="E1194">iferror(index('rna-gill'!$L:$L,match($A1194,'rna-gill'!$A:$A,0)))</f>
        <v>N</v>
      </c>
      <c r="F1194" t="str">
        <f t="array" ref="F1194">iferror(index(fatty_acid!$G:$G,match($A1194,fatty_acid!$A:$A,0)))</f>
        <v>BFA22-77</v>
      </c>
      <c r="G1194" t="str">
        <f t="array" ref="G1194">iferror(index(fatty_acid!$J:$J,match($A1194,fatty_acid!$A:$A,0)))</f>
        <v>N</v>
      </c>
      <c r="H1194" t="str">
        <f t="array" ref="H1194">iferror(index(isotopes!$G:$G,match($A1194,isotopes!$A:$A,0)))</f>
        <v>BIS36-53</v>
      </c>
      <c r="I1194" t="str">
        <f t="array" ref="I1194">iferror(index(isotopes!$J:$J,match($A1194,isotopes!$A:$A,0)))</f>
        <v>N</v>
      </c>
      <c r="J1194" t="str">
        <f t="array" ref="J1194">iferror(index(extra_muscle!$G:$G,match($A1194,extra_muscle!$A:$A,0)))</f>
        <v>BXM34-53</v>
      </c>
      <c r="K1194" t="str">
        <f t="array" ref="K1194">iferror(index(extra_muscle!$J:$J,match($A1194,extra_muscle!$A:$A,0)))</f>
        <v>N</v>
      </c>
      <c r="L1194" s="59" t="str">
        <f t="array" ref="L1194">iferror(index(dna!$G:$G,match($A1194,dna!$A:$A,0)))</f>
        <v>BDN10-43</v>
      </c>
      <c r="M1194" s="60" t="str">
        <f t="array" ref="M1194">iferror(index(dna!$J:$J,match($A1194,dna!$A:$A,0)))</f>
        <v>N</v>
      </c>
      <c r="N1194" t="str">
        <f t="array" ref="N1194">iferror(index(stomachs!$G:$G,match($A1194,stomachs!$A:$A,0)))</f>
        <v/>
      </c>
      <c r="O1194" t="str">
        <f t="array" ref="O1194">iferror(index(stomachs!$J:$J,match($A1194,stomachs!$A:$A,0)))</f>
        <v/>
      </c>
      <c r="P1194" t="str">
        <f t="array" ref="P1194">iferror(index(sea_lice!$G:$G,match($A1194,sea_lice!$A:$A,0)))</f>
        <v/>
      </c>
      <c r="Q1194" t="str">
        <f t="array" ref="Q1194">iferror(index(sea_lice!$J:$J,match($A1194,sea_lice!$A:$A,0)))</f>
        <v/>
      </c>
      <c r="R1194" s="40" t="str">
        <f t="array" ref="R1194">iferror(index(dissected_fish!$F:$F,match($A1194,dissected_fish!$A:$A,0)))</f>
        <v>BCA111</v>
      </c>
      <c r="S1194" s="40" t="str">
        <f t="array" ref="S1194">iferror(index(dissected_fish!$K:$K,match($A1194,dissected_fish!$A:$A,0)))</f>
        <v>N</v>
      </c>
      <c r="T1194" s="61" t="str">
        <f t="array" ref="T1194">index(fish_lab_data!O:O,match(A1194,fish_lab_data!C:C,0))</f>
        <v>JG</v>
      </c>
      <c r="U1194" s="61">
        <f t="array" ref="U1194">if(A1194="","",index(fish_lab_data!X:X,match(A1194,fish_lab_data!C:C,0)))</f>
        <v>1193</v>
      </c>
    </row>
    <row r="1195">
      <c r="A1195" t="str">
        <f>fish_lab_data!C1195</f>
        <v>U17285</v>
      </c>
      <c r="B1195" t="str">
        <f t="array" ref="B1195">iferror(index('rna-muscle'!$I:$I,match($A1195,'rna-muscle'!$A:$A,0)))</f>
        <v>BRN74M-A4</v>
      </c>
      <c r="C1195" t="str">
        <f t="array" ref="C1195">iferror(index('rna-muscle'!$L:$L,match($A1195,'rna-muscle'!$A:$A,0)))</f>
        <v>N</v>
      </c>
      <c r="D1195" t="str">
        <f t="array" ref="D1195">iferror(index('rna-gill'!$I:$I,match($A1195,'rna-gill'!$A:$A,0)))</f>
        <v>BRN74G-A4</v>
      </c>
      <c r="E1195" t="str">
        <f t="array" ref="E1195">iferror(index('rna-gill'!$L:$L,match($A1195,'rna-gill'!$A:$A,0)))</f>
        <v>N</v>
      </c>
      <c r="F1195" t="str">
        <f t="array" ref="F1195">iferror(index(fatty_acid!$G:$G,match($A1195,fatty_acid!$A:$A,0)))</f>
        <v>BFA22-78</v>
      </c>
      <c r="G1195" t="str">
        <f t="array" ref="G1195">iferror(index(fatty_acid!$J:$J,match($A1195,fatty_acid!$A:$A,0)))</f>
        <v>N</v>
      </c>
      <c r="H1195" t="str">
        <f t="array" ref="H1195">iferror(index(isotopes!$G:$G,match($A1195,isotopes!$A:$A,0)))</f>
        <v>BIS36-54</v>
      </c>
      <c r="I1195" t="str">
        <f t="array" ref="I1195">iferror(index(isotopes!$J:$J,match($A1195,isotopes!$A:$A,0)))</f>
        <v>N</v>
      </c>
      <c r="J1195" t="str">
        <f t="array" ref="J1195">iferror(index(extra_muscle!$G:$G,match($A1195,extra_muscle!$A:$A,0)))</f>
        <v>BXM34-54</v>
      </c>
      <c r="K1195" t="str">
        <f t="array" ref="K1195">iferror(index(extra_muscle!$J:$J,match($A1195,extra_muscle!$A:$A,0)))</f>
        <v>N</v>
      </c>
      <c r="L1195" s="59" t="str">
        <f t="array" ref="L1195">iferror(index(dna!$G:$G,match($A1195,dna!$A:$A,0)))</f>
        <v>BDN10-44</v>
      </c>
      <c r="M1195" s="60" t="str">
        <f t="array" ref="M1195">iferror(index(dna!$J:$J,match($A1195,dna!$A:$A,0)))</f>
        <v>N</v>
      </c>
      <c r="N1195" t="str">
        <f t="array" ref="N1195">iferror(index(stomachs!$G:$G,match($A1195,stomachs!$A:$A,0)))</f>
        <v/>
      </c>
      <c r="O1195" t="str">
        <f t="array" ref="O1195">iferror(index(stomachs!$J:$J,match($A1195,stomachs!$A:$A,0)))</f>
        <v/>
      </c>
      <c r="P1195" t="str">
        <f t="array" ref="P1195">iferror(index(sea_lice!$G:$G,match($A1195,sea_lice!$A:$A,0)))</f>
        <v/>
      </c>
      <c r="Q1195" t="str">
        <f t="array" ref="Q1195">iferror(index(sea_lice!$J:$J,match($A1195,sea_lice!$A:$A,0)))</f>
        <v/>
      </c>
      <c r="R1195" s="40" t="str">
        <f t="array" ref="R1195">iferror(index(dissected_fish!$F:$F,match($A1195,dissected_fish!$A:$A,0)))</f>
        <v>BCA111</v>
      </c>
      <c r="S1195" s="40" t="str">
        <f t="array" ref="S1195">iferror(index(dissected_fish!$K:$K,match($A1195,dissected_fish!$A:$A,0)))</f>
        <v>N</v>
      </c>
      <c r="T1195" s="61" t="str">
        <f t="array" ref="T1195">index(fish_lab_data!O:O,match(A1195,fish_lab_data!C:C,0))</f>
        <v>JG</v>
      </c>
      <c r="U1195" s="61">
        <f t="array" ref="U1195">if(A1195="","",index(fish_lab_data!X:X,match(A1195,fish_lab_data!C:C,0)))</f>
        <v>1194</v>
      </c>
    </row>
    <row r="1196">
      <c r="A1196" t="str">
        <f>fish_lab_data!C1196</f>
        <v>U17281</v>
      </c>
      <c r="B1196" t="str">
        <f t="array" ref="B1196">iferror(index('rna-muscle'!$I:$I,match($A1196,'rna-muscle'!$A:$A,0)))</f>
        <v>BRN74M-H5</v>
      </c>
      <c r="C1196" t="str">
        <f t="array" ref="C1196">iferror(index('rna-muscle'!$L:$L,match($A1196,'rna-muscle'!$A:$A,0)))</f>
        <v>N</v>
      </c>
      <c r="D1196" t="str">
        <f t="array" ref="D1196">iferror(index('rna-gill'!$I:$I,match($A1196,'rna-gill'!$A:$A,0)))</f>
        <v>BRN74G-H5</v>
      </c>
      <c r="E1196" t="str">
        <f t="array" ref="E1196">iferror(index('rna-gill'!$L:$L,match($A1196,'rna-gill'!$A:$A,0)))</f>
        <v>N</v>
      </c>
      <c r="F1196" t="str">
        <f t="array" ref="F1196">iferror(index(fatty_acid!$G:$G,match($A1196,fatty_acid!$A:$A,0)))</f>
        <v>BFA22-79</v>
      </c>
      <c r="G1196" t="str">
        <f t="array" ref="G1196">iferror(index(fatty_acid!$J:$J,match($A1196,fatty_acid!$A:$A,0)))</f>
        <v>N</v>
      </c>
      <c r="H1196" t="str">
        <f t="array" ref="H1196">iferror(index(isotopes!$G:$G,match($A1196,isotopes!$A:$A,0)))</f>
        <v>BIS36-55</v>
      </c>
      <c r="I1196" t="str">
        <f t="array" ref="I1196">iferror(index(isotopes!$J:$J,match($A1196,isotopes!$A:$A,0)))</f>
        <v>N</v>
      </c>
      <c r="J1196" t="str">
        <f t="array" ref="J1196">iferror(index(extra_muscle!$G:$G,match($A1196,extra_muscle!$A:$A,0)))</f>
        <v>BXM34-55</v>
      </c>
      <c r="K1196" t="str">
        <f t="array" ref="K1196">iferror(index(extra_muscle!$J:$J,match($A1196,extra_muscle!$A:$A,0)))</f>
        <v>N</v>
      </c>
      <c r="L1196" s="59" t="str">
        <f t="array" ref="L1196">iferror(index(dna!$G:$G,match($A1196,dna!$A:$A,0)))</f>
        <v>BDN10-45</v>
      </c>
      <c r="M1196" s="60" t="str">
        <f t="array" ref="M1196">iferror(index(dna!$J:$J,match($A1196,dna!$A:$A,0)))</f>
        <v>N</v>
      </c>
      <c r="N1196" t="str">
        <f t="array" ref="N1196">iferror(index(stomachs!$G:$G,match($A1196,stomachs!$A:$A,0)))</f>
        <v/>
      </c>
      <c r="O1196" t="str">
        <f t="array" ref="O1196">iferror(index(stomachs!$J:$J,match($A1196,stomachs!$A:$A,0)))</f>
        <v/>
      </c>
      <c r="P1196" t="str">
        <f t="array" ref="P1196">iferror(index(sea_lice!$G:$G,match($A1196,sea_lice!$A:$A,0)))</f>
        <v/>
      </c>
      <c r="Q1196" t="str">
        <f t="array" ref="Q1196">iferror(index(sea_lice!$J:$J,match($A1196,sea_lice!$A:$A,0)))</f>
        <v/>
      </c>
      <c r="R1196" s="40" t="str">
        <f t="array" ref="R1196">iferror(index(dissected_fish!$F:$F,match($A1196,dissected_fish!$A:$A,0)))</f>
        <v>BCA111</v>
      </c>
      <c r="S1196" s="40" t="str">
        <f t="array" ref="S1196">iferror(index(dissected_fish!$K:$K,match($A1196,dissected_fish!$A:$A,0)))</f>
        <v>N</v>
      </c>
      <c r="T1196" s="61" t="str">
        <f t="array" ref="T1196">index(fish_lab_data!O:O,match(A1196,fish_lab_data!C:C,0))</f>
        <v>JG</v>
      </c>
      <c r="U1196" s="61">
        <f t="array" ref="U1196">if(A1196="","",index(fish_lab_data!X:X,match(A1196,fish_lab_data!C:C,0)))</f>
        <v>1195</v>
      </c>
    </row>
    <row r="1197">
      <c r="A1197" t="str">
        <f>fish_lab_data!C1197</f>
        <v>U17287</v>
      </c>
      <c r="B1197" t="str">
        <f t="array" ref="B1197">iferror(index('rna-muscle'!$I:$I,match($A1197,'rna-muscle'!$A:$A,0)))</f>
        <v>BRN74M-G5</v>
      </c>
      <c r="C1197" t="str">
        <f t="array" ref="C1197">iferror(index('rna-muscle'!$L:$L,match($A1197,'rna-muscle'!$A:$A,0)))</f>
        <v>N</v>
      </c>
      <c r="D1197" t="str">
        <f t="array" ref="D1197">iferror(index('rna-gill'!$I:$I,match($A1197,'rna-gill'!$A:$A,0)))</f>
        <v>BRN74G-G5</v>
      </c>
      <c r="E1197" t="str">
        <f t="array" ref="E1197">iferror(index('rna-gill'!$L:$L,match($A1197,'rna-gill'!$A:$A,0)))</f>
        <v>N</v>
      </c>
      <c r="F1197" t="str">
        <f t="array" ref="F1197">iferror(index(fatty_acid!$G:$G,match($A1197,fatty_acid!$A:$A,0)))</f>
        <v>BFA22-80</v>
      </c>
      <c r="G1197" t="str">
        <f t="array" ref="G1197">iferror(index(fatty_acid!$J:$J,match($A1197,fatty_acid!$A:$A,0)))</f>
        <v>N</v>
      </c>
      <c r="H1197" t="str">
        <f t="array" ref="H1197">iferror(index(isotopes!$G:$G,match($A1197,isotopes!$A:$A,0)))</f>
        <v>BIS36-56</v>
      </c>
      <c r="I1197" t="str">
        <f t="array" ref="I1197">iferror(index(isotopes!$J:$J,match($A1197,isotopes!$A:$A,0)))</f>
        <v>N</v>
      </c>
      <c r="J1197" t="str">
        <f t="array" ref="J1197">iferror(index(extra_muscle!$G:$G,match($A1197,extra_muscle!$A:$A,0)))</f>
        <v>BXM34-56</v>
      </c>
      <c r="K1197" t="str">
        <f t="array" ref="K1197">iferror(index(extra_muscle!$J:$J,match($A1197,extra_muscle!$A:$A,0)))</f>
        <v>N</v>
      </c>
      <c r="L1197" s="59" t="str">
        <f t="array" ref="L1197">iferror(index(dna!$G:$G,match($A1197,dna!$A:$A,0)))</f>
        <v>BDN10-46</v>
      </c>
      <c r="M1197" s="60" t="str">
        <f t="array" ref="M1197">iferror(index(dna!$J:$J,match($A1197,dna!$A:$A,0)))</f>
        <v>N</v>
      </c>
      <c r="N1197" t="str">
        <f t="array" ref="N1197">iferror(index(stomachs!$G:$G,match($A1197,stomachs!$A:$A,0)))</f>
        <v/>
      </c>
      <c r="O1197" t="str">
        <f t="array" ref="O1197">iferror(index(stomachs!$J:$J,match($A1197,stomachs!$A:$A,0)))</f>
        <v/>
      </c>
      <c r="P1197" t="str">
        <f t="array" ref="P1197">iferror(index(sea_lice!$G:$G,match($A1197,sea_lice!$A:$A,0)))</f>
        <v>BSL7-85</v>
      </c>
      <c r="Q1197" t="str">
        <f t="array" ref="Q1197">iferror(index(sea_lice!$J:$J,match($A1197,sea_lice!$A:$A,0)))</f>
        <v>N</v>
      </c>
      <c r="R1197" s="40" t="str">
        <f t="array" ref="R1197">iferror(index(dissected_fish!$F:$F,match($A1197,dissected_fish!$A:$A,0)))</f>
        <v>BCA111</v>
      </c>
      <c r="S1197" s="40" t="str">
        <f t="array" ref="S1197">iferror(index(dissected_fish!$K:$K,match($A1197,dissected_fish!$A:$A,0)))</f>
        <v>N</v>
      </c>
      <c r="T1197" s="61" t="str">
        <f t="array" ref="T1197">index(fish_lab_data!O:O,match(A1197,fish_lab_data!C:C,0))</f>
        <v>JG</v>
      </c>
      <c r="U1197" s="61">
        <f t="array" ref="U1197">if(A1197="","",index(fish_lab_data!X:X,match(A1197,fish_lab_data!C:C,0)))</f>
        <v>1196</v>
      </c>
    </row>
    <row r="1198">
      <c r="A1198" t="str">
        <f>fish_lab_data!C1198</f>
        <v>U17283</v>
      </c>
      <c r="B1198" t="str">
        <f t="array" ref="B1198">iferror(index('rna-muscle'!$I:$I,match($A1198,'rna-muscle'!$A:$A,0)))</f>
        <v>BRN74M-F5</v>
      </c>
      <c r="C1198" t="str">
        <f t="array" ref="C1198">iferror(index('rna-muscle'!$L:$L,match($A1198,'rna-muscle'!$A:$A,0)))</f>
        <v>N</v>
      </c>
      <c r="D1198" t="str">
        <f t="array" ref="D1198">iferror(index('rna-gill'!$I:$I,match($A1198,'rna-gill'!$A:$A,0)))</f>
        <v>BRN74G-F5</v>
      </c>
      <c r="E1198" t="str">
        <f t="array" ref="E1198">iferror(index('rna-gill'!$L:$L,match($A1198,'rna-gill'!$A:$A,0)))</f>
        <v>N</v>
      </c>
      <c r="F1198" t="str">
        <f t="array" ref="F1198">iferror(index(fatty_acid!$G:$G,match($A1198,fatty_acid!$A:$A,0)))</f>
        <v>BFA22-81</v>
      </c>
      <c r="G1198" t="str">
        <f t="array" ref="G1198">iferror(index(fatty_acid!$J:$J,match($A1198,fatty_acid!$A:$A,0)))</f>
        <v>N</v>
      </c>
      <c r="H1198" t="str">
        <f t="array" ref="H1198">iferror(index(isotopes!$G:$G,match($A1198,isotopes!$A:$A,0)))</f>
        <v>BIS36-57</v>
      </c>
      <c r="I1198" t="str">
        <f t="array" ref="I1198">iferror(index(isotopes!$J:$J,match($A1198,isotopes!$A:$A,0)))</f>
        <v>N</v>
      </c>
      <c r="J1198" t="str">
        <f t="array" ref="J1198">iferror(index(extra_muscle!$G:$G,match($A1198,extra_muscle!$A:$A,0)))</f>
        <v>BXM34-57</v>
      </c>
      <c r="K1198" t="str">
        <f t="array" ref="K1198">iferror(index(extra_muscle!$J:$J,match($A1198,extra_muscle!$A:$A,0)))</f>
        <v>N</v>
      </c>
      <c r="L1198" s="59" t="str">
        <f t="array" ref="L1198">iferror(index(dna!$G:$G,match($A1198,dna!$A:$A,0)))</f>
        <v>BDN10-47</v>
      </c>
      <c r="M1198" s="60" t="str">
        <f t="array" ref="M1198">iferror(index(dna!$J:$J,match($A1198,dna!$A:$A,0)))</f>
        <v>N</v>
      </c>
      <c r="N1198" t="str">
        <f t="array" ref="N1198">iferror(index(stomachs!$G:$G,match($A1198,stomachs!$A:$A,0)))</f>
        <v/>
      </c>
      <c r="O1198" t="str">
        <f t="array" ref="O1198">iferror(index(stomachs!$J:$J,match($A1198,stomachs!$A:$A,0)))</f>
        <v/>
      </c>
      <c r="P1198" t="str">
        <f t="array" ref="P1198">iferror(index(sea_lice!$G:$G,match($A1198,sea_lice!$A:$A,0)))</f>
        <v/>
      </c>
      <c r="Q1198" t="str">
        <f t="array" ref="Q1198">iferror(index(sea_lice!$J:$J,match($A1198,sea_lice!$A:$A,0)))</f>
        <v/>
      </c>
      <c r="R1198" s="40" t="str">
        <f t="array" ref="R1198">iferror(index(dissected_fish!$F:$F,match($A1198,dissected_fish!$A:$A,0)))</f>
        <v>BCA111</v>
      </c>
      <c r="S1198" s="40" t="str">
        <f t="array" ref="S1198">iferror(index(dissected_fish!$K:$K,match($A1198,dissected_fish!$A:$A,0)))</f>
        <v>N</v>
      </c>
      <c r="T1198" s="61" t="str">
        <f t="array" ref="T1198">index(fish_lab_data!O:O,match(A1198,fish_lab_data!C:C,0))</f>
        <v>JG</v>
      </c>
      <c r="U1198" s="61">
        <f t="array" ref="U1198">if(A1198="","",index(fish_lab_data!X:X,match(A1198,fish_lab_data!C:C,0)))</f>
        <v>1197</v>
      </c>
    </row>
    <row r="1199">
      <c r="A1199" t="str">
        <f>fish_lab_data!C1199</f>
        <v>U17290</v>
      </c>
      <c r="B1199" t="str">
        <f t="array" ref="B1199">iferror(index('rna-muscle'!$I:$I,match($A1199,'rna-muscle'!$A:$A,0)))</f>
        <v>BRN74M-E5</v>
      </c>
      <c r="C1199" t="str">
        <f t="array" ref="C1199">iferror(index('rna-muscle'!$L:$L,match($A1199,'rna-muscle'!$A:$A,0)))</f>
        <v>N</v>
      </c>
      <c r="D1199" t="str">
        <f t="array" ref="D1199">iferror(index('rna-gill'!$I:$I,match($A1199,'rna-gill'!$A:$A,0)))</f>
        <v>BRN74G-E5</v>
      </c>
      <c r="E1199" t="str">
        <f t="array" ref="E1199">iferror(index('rna-gill'!$L:$L,match($A1199,'rna-gill'!$A:$A,0)))</f>
        <v>N</v>
      </c>
      <c r="F1199" t="str">
        <f t="array" ref="F1199">iferror(index(fatty_acid!$G:$G,match($A1199,fatty_acid!$A:$A,0)))</f>
        <v>BFA33-12</v>
      </c>
      <c r="G1199" t="str">
        <f t="array" ref="G1199">iferror(index(fatty_acid!$J:$J,match($A1199,fatty_acid!$A:$A,0)))</f>
        <v>N</v>
      </c>
      <c r="H1199" t="str">
        <f t="array" ref="H1199">iferror(index(isotopes!$G:$G,match($A1199,isotopes!$A:$A,0)))</f>
        <v>BIS36-58</v>
      </c>
      <c r="I1199" t="str">
        <f t="array" ref="I1199">iferror(index(isotopes!$J:$J,match($A1199,isotopes!$A:$A,0)))</f>
        <v>N</v>
      </c>
      <c r="J1199" t="str">
        <f t="array" ref="J1199">iferror(index(extra_muscle!$G:$G,match($A1199,extra_muscle!$A:$A,0)))</f>
        <v>BXM34-58</v>
      </c>
      <c r="K1199" t="str">
        <f t="array" ref="K1199">iferror(index(extra_muscle!$J:$J,match($A1199,extra_muscle!$A:$A,0)))</f>
        <v>N</v>
      </c>
      <c r="L1199" s="59" t="str">
        <f t="array" ref="L1199">iferror(index(dna!$G:$G,match($A1199,dna!$A:$A,0)))</f>
        <v>BDN10-48</v>
      </c>
      <c r="M1199" s="60" t="str">
        <f t="array" ref="M1199">iferror(index(dna!$J:$J,match($A1199,dna!$A:$A,0)))</f>
        <v>N</v>
      </c>
      <c r="N1199" t="str">
        <f t="array" ref="N1199">iferror(index(stomachs!$G:$G,match($A1199,stomachs!$A:$A,0)))</f>
        <v/>
      </c>
      <c r="O1199" t="str">
        <f t="array" ref="O1199">iferror(index(stomachs!$J:$J,match($A1199,stomachs!$A:$A,0)))</f>
        <v/>
      </c>
      <c r="P1199" t="str">
        <f t="array" ref="P1199">iferror(index(sea_lice!$G:$G,match($A1199,sea_lice!$A:$A,0)))</f>
        <v/>
      </c>
      <c r="Q1199" t="str">
        <f t="array" ref="Q1199">iferror(index(sea_lice!$J:$J,match($A1199,sea_lice!$A:$A,0)))</f>
        <v/>
      </c>
      <c r="R1199" s="40" t="str">
        <f t="array" ref="R1199">iferror(index(dissected_fish!$F:$F,match($A1199,dissected_fish!$A:$A,0)))</f>
        <v>BCA111</v>
      </c>
      <c r="S1199" s="40" t="str">
        <f t="array" ref="S1199">iferror(index(dissected_fish!$K:$K,match($A1199,dissected_fish!$A:$A,0)))</f>
        <v>N</v>
      </c>
      <c r="T1199" s="61" t="str">
        <f t="array" ref="T1199">index(fish_lab_data!O:O,match(A1199,fish_lab_data!C:C,0))</f>
        <v>JG</v>
      </c>
      <c r="U1199" s="61">
        <f t="array" ref="U1199">if(A1199="","",index(fish_lab_data!X:X,match(A1199,fish_lab_data!C:C,0)))</f>
        <v>1198</v>
      </c>
    </row>
    <row r="1200">
      <c r="A1200" t="str">
        <f>fish_lab_data!C1200</f>
        <v>U17289</v>
      </c>
      <c r="B1200" t="str">
        <f t="array" ref="B1200">iferror(index('rna-muscle'!$I:$I,match($A1200,'rna-muscle'!$A:$A,0)))</f>
        <v>BRN74M-D5</v>
      </c>
      <c r="C1200" t="str">
        <f t="array" ref="C1200">iferror(index('rna-muscle'!$L:$L,match($A1200,'rna-muscle'!$A:$A,0)))</f>
        <v>N</v>
      </c>
      <c r="D1200" t="str">
        <f t="array" ref="D1200">iferror(index('rna-gill'!$I:$I,match($A1200,'rna-gill'!$A:$A,0)))</f>
        <v>BRN74G-D5</v>
      </c>
      <c r="E1200" t="str">
        <f t="array" ref="E1200">iferror(index('rna-gill'!$L:$L,match($A1200,'rna-gill'!$A:$A,0)))</f>
        <v>N</v>
      </c>
      <c r="F1200" t="str">
        <f t="array" ref="F1200">iferror(index(fatty_acid!$G:$G,match($A1200,fatty_acid!$A:$A,0)))</f>
        <v>BFA33-13</v>
      </c>
      <c r="G1200" t="str">
        <f t="array" ref="G1200">iferror(index(fatty_acid!$J:$J,match($A1200,fatty_acid!$A:$A,0)))</f>
        <v>N</v>
      </c>
      <c r="H1200" t="str">
        <f t="array" ref="H1200">iferror(index(isotopes!$G:$G,match($A1200,isotopes!$A:$A,0)))</f>
        <v>BIS36-59</v>
      </c>
      <c r="I1200" t="str">
        <f t="array" ref="I1200">iferror(index(isotopes!$J:$J,match($A1200,isotopes!$A:$A,0)))</f>
        <v>N</v>
      </c>
      <c r="J1200" t="str">
        <f t="array" ref="J1200">iferror(index(extra_muscle!$G:$G,match($A1200,extra_muscle!$A:$A,0)))</f>
        <v>BXM34-59</v>
      </c>
      <c r="K1200" t="str">
        <f t="array" ref="K1200">iferror(index(extra_muscle!$J:$J,match($A1200,extra_muscle!$A:$A,0)))</f>
        <v>N</v>
      </c>
      <c r="L1200" s="59" t="str">
        <f t="array" ref="L1200">iferror(index(dna!$G:$G,match($A1200,dna!$A:$A,0)))</f>
        <v>BDN10-49</v>
      </c>
      <c r="M1200" s="60" t="str">
        <f t="array" ref="M1200">iferror(index(dna!$J:$J,match($A1200,dna!$A:$A,0)))</f>
        <v>N</v>
      </c>
      <c r="N1200" t="str">
        <f t="array" ref="N1200">iferror(index(stomachs!$G:$G,match($A1200,stomachs!$A:$A,0)))</f>
        <v/>
      </c>
      <c r="O1200" t="str">
        <f t="array" ref="O1200">iferror(index(stomachs!$J:$J,match($A1200,stomachs!$A:$A,0)))</f>
        <v/>
      </c>
      <c r="P1200" t="str">
        <f t="array" ref="P1200">iferror(index(sea_lice!$G:$G,match($A1200,sea_lice!$A:$A,0)))</f>
        <v>BSL7-92</v>
      </c>
      <c r="Q1200" t="str">
        <f t="array" ref="Q1200">iferror(index(sea_lice!$J:$J,match($A1200,sea_lice!$A:$A,0)))</f>
        <v>N</v>
      </c>
      <c r="R1200" s="40" t="str">
        <f t="array" ref="R1200">iferror(index(dissected_fish!$F:$F,match($A1200,dissected_fish!$A:$A,0)))</f>
        <v>BCA111</v>
      </c>
      <c r="S1200" s="40" t="str">
        <f t="array" ref="S1200">iferror(index(dissected_fish!$K:$K,match($A1200,dissected_fish!$A:$A,0)))</f>
        <v>N</v>
      </c>
      <c r="T1200" s="61" t="str">
        <f t="array" ref="T1200">index(fish_lab_data!O:O,match(A1200,fish_lab_data!C:C,0))</f>
        <v>JG</v>
      </c>
      <c r="U1200" s="61">
        <f t="array" ref="U1200">if(A1200="","",index(fish_lab_data!X:X,match(A1200,fish_lab_data!C:C,0)))</f>
        <v>1199</v>
      </c>
    </row>
    <row r="1201">
      <c r="A1201" t="str">
        <f>fish_lab_data!C1201</f>
        <v>U17286</v>
      </c>
      <c r="B1201" t="str">
        <f t="array" ref="B1201">iferror(index('rna-muscle'!$I:$I,match($A1201,'rna-muscle'!$A:$A,0)))</f>
        <v>BRN74M-C5</v>
      </c>
      <c r="C1201" t="str">
        <f t="array" ref="C1201">iferror(index('rna-muscle'!$L:$L,match($A1201,'rna-muscle'!$A:$A,0)))</f>
        <v>N</v>
      </c>
      <c r="D1201" t="str">
        <f t="array" ref="D1201">iferror(index('rna-gill'!$I:$I,match($A1201,'rna-gill'!$A:$A,0)))</f>
        <v>BRN74G-C5</v>
      </c>
      <c r="E1201" t="str">
        <f t="array" ref="E1201">iferror(index('rna-gill'!$L:$L,match($A1201,'rna-gill'!$A:$A,0)))</f>
        <v>N</v>
      </c>
      <c r="F1201" t="str">
        <f t="array" ref="F1201">iferror(index(fatty_acid!$G:$G,match($A1201,fatty_acid!$A:$A,0)))</f>
        <v>BFA33-14</v>
      </c>
      <c r="G1201" t="str">
        <f t="array" ref="G1201">iferror(index(fatty_acid!$J:$J,match($A1201,fatty_acid!$A:$A,0)))</f>
        <v>N</v>
      </c>
      <c r="H1201" t="str">
        <f t="array" ref="H1201">iferror(index(isotopes!$G:$G,match($A1201,isotopes!$A:$A,0)))</f>
        <v>BIS36-60</v>
      </c>
      <c r="I1201" t="str">
        <f t="array" ref="I1201">iferror(index(isotopes!$J:$J,match($A1201,isotopes!$A:$A,0)))</f>
        <v>N</v>
      </c>
      <c r="J1201" t="str">
        <f t="array" ref="J1201">iferror(index(extra_muscle!$G:$G,match($A1201,extra_muscle!$A:$A,0)))</f>
        <v>BXM34-60</v>
      </c>
      <c r="K1201" t="str">
        <f t="array" ref="K1201">iferror(index(extra_muscle!$J:$J,match($A1201,extra_muscle!$A:$A,0)))</f>
        <v>N</v>
      </c>
      <c r="L1201" s="59" t="str">
        <f t="array" ref="L1201">iferror(index(dna!$G:$G,match($A1201,dna!$A:$A,0)))</f>
        <v>BDN10-50</v>
      </c>
      <c r="M1201" s="60" t="str">
        <f t="array" ref="M1201">iferror(index(dna!$J:$J,match($A1201,dna!$A:$A,0)))</f>
        <v>N</v>
      </c>
      <c r="N1201" t="str">
        <f t="array" ref="N1201">iferror(index(stomachs!$G:$G,match($A1201,stomachs!$A:$A,0)))</f>
        <v/>
      </c>
      <c r="O1201" t="str">
        <f t="array" ref="O1201">iferror(index(stomachs!$J:$J,match($A1201,stomachs!$A:$A,0)))</f>
        <v/>
      </c>
      <c r="P1201" t="str">
        <f t="array" ref="P1201">iferror(index(sea_lice!$G:$G,match($A1201,sea_lice!$A:$A,0)))</f>
        <v/>
      </c>
      <c r="Q1201" t="str">
        <f t="array" ref="Q1201">iferror(index(sea_lice!$J:$J,match($A1201,sea_lice!$A:$A,0)))</f>
        <v/>
      </c>
      <c r="R1201" s="40" t="str">
        <f t="array" ref="R1201">iferror(index(dissected_fish!$F:$F,match($A1201,dissected_fish!$A:$A,0)))</f>
        <v>BCA111</v>
      </c>
      <c r="S1201" s="40" t="str">
        <f t="array" ref="S1201">iferror(index(dissected_fish!$K:$K,match($A1201,dissected_fish!$A:$A,0)))</f>
        <v>N</v>
      </c>
      <c r="T1201" s="61" t="str">
        <f t="array" ref="T1201">index(fish_lab_data!O:O,match(A1201,fish_lab_data!C:C,0))</f>
        <v>JG</v>
      </c>
      <c r="U1201" s="61">
        <f t="array" ref="U1201">if(A1201="","",index(fish_lab_data!X:X,match(A1201,fish_lab_data!C:C,0)))</f>
        <v>1200</v>
      </c>
    </row>
    <row r="1202">
      <c r="A1202" t="str">
        <f>fish_lab_data!C1202</f>
        <v>U17282</v>
      </c>
      <c r="B1202" t="str">
        <f t="array" ref="B1202">iferror(index('rna-muscle'!$I:$I,match($A1202,'rna-muscle'!$A:$A,0)))</f>
        <v>BRN74M-B5</v>
      </c>
      <c r="C1202" t="str">
        <f t="array" ref="C1202">iferror(index('rna-muscle'!$L:$L,match($A1202,'rna-muscle'!$A:$A,0)))</f>
        <v>N</v>
      </c>
      <c r="D1202" t="str">
        <f t="array" ref="D1202">iferror(index('rna-gill'!$I:$I,match($A1202,'rna-gill'!$A:$A,0)))</f>
        <v>BRN74G-B5</v>
      </c>
      <c r="E1202" t="str">
        <f t="array" ref="E1202">iferror(index('rna-gill'!$L:$L,match($A1202,'rna-gill'!$A:$A,0)))</f>
        <v>N</v>
      </c>
      <c r="F1202" t="str">
        <f t="array" ref="F1202">iferror(index(fatty_acid!$G:$G,match($A1202,fatty_acid!$A:$A,0)))</f>
        <v>BFA33-15</v>
      </c>
      <c r="G1202" t="str">
        <f t="array" ref="G1202">iferror(index(fatty_acid!$J:$J,match($A1202,fatty_acid!$A:$A,0)))</f>
        <v>N</v>
      </c>
      <c r="H1202" t="str">
        <f t="array" ref="H1202">iferror(index(isotopes!$G:$G,match($A1202,isotopes!$A:$A,0)))</f>
        <v>BIS36-61</v>
      </c>
      <c r="I1202" t="str">
        <f t="array" ref="I1202">iferror(index(isotopes!$J:$J,match($A1202,isotopes!$A:$A,0)))</f>
        <v>N</v>
      </c>
      <c r="J1202" t="str">
        <f t="array" ref="J1202">iferror(index(extra_muscle!$G:$G,match($A1202,extra_muscle!$A:$A,0)))</f>
        <v>BXM34-61</v>
      </c>
      <c r="K1202" t="str">
        <f t="array" ref="K1202">iferror(index(extra_muscle!$J:$J,match($A1202,extra_muscle!$A:$A,0)))</f>
        <v>N</v>
      </c>
      <c r="L1202" s="59" t="str">
        <f t="array" ref="L1202">iferror(index(dna!$G:$G,match($A1202,dna!$A:$A,0)))</f>
        <v>BDN10-51</v>
      </c>
      <c r="M1202" s="60" t="str">
        <f t="array" ref="M1202">iferror(index(dna!$J:$J,match($A1202,dna!$A:$A,0)))</f>
        <v>N</v>
      </c>
      <c r="N1202" t="str">
        <f t="array" ref="N1202">iferror(index(stomachs!$G:$G,match($A1202,stomachs!$A:$A,0)))</f>
        <v/>
      </c>
      <c r="O1202" t="str">
        <f t="array" ref="O1202">iferror(index(stomachs!$J:$J,match($A1202,stomachs!$A:$A,0)))</f>
        <v/>
      </c>
      <c r="P1202" t="str">
        <f t="array" ref="P1202">iferror(index(sea_lice!$G:$G,match($A1202,sea_lice!$A:$A,0)))</f>
        <v/>
      </c>
      <c r="Q1202" t="str">
        <f t="array" ref="Q1202">iferror(index(sea_lice!$J:$J,match($A1202,sea_lice!$A:$A,0)))</f>
        <v/>
      </c>
      <c r="R1202" s="40" t="str">
        <f t="array" ref="R1202">iferror(index(dissected_fish!$F:$F,match($A1202,dissected_fish!$A:$A,0)))</f>
        <v>BCA111</v>
      </c>
      <c r="S1202" s="40" t="str">
        <f t="array" ref="S1202">iferror(index(dissected_fish!$K:$K,match($A1202,dissected_fish!$A:$A,0)))</f>
        <v>N</v>
      </c>
      <c r="T1202" s="61" t="str">
        <f t="array" ref="T1202">index(fish_lab_data!O:O,match(A1202,fish_lab_data!C:C,0))</f>
        <v>JG</v>
      </c>
      <c r="U1202" s="61">
        <f t="array" ref="U1202">if(A1202="","",index(fish_lab_data!X:X,match(A1202,fish_lab_data!C:C,0)))</f>
        <v>1201</v>
      </c>
    </row>
    <row r="1203">
      <c r="A1203" t="str">
        <f>fish_lab_data!C1203</f>
        <v>U17284</v>
      </c>
      <c r="B1203" t="str">
        <f t="array" ref="B1203">iferror(index('rna-muscle'!$I:$I,match($A1203,'rna-muscle'!$A:$A,0)))</f>
        <v>BRN74M-A5</v>
      </c>
      <c r="C1203" t="str">
        <f t="array" ref="C1203">iferror(index('rna-muscle'!$L:$L,match($A1203,'rna-muscle'!$A:$A,0)))</f>
        <v>N</v>
      </c>
      <c r="D1203" t="str">
        <f t="array" ref="D1203">iferror(index('rna-gill'!$I:$I,match($A1203,'rna-gill'!$A:$A,0)))</f>
        <v>BRN74G-A5</v>
      </c>
      <c r="E1203" t="str">
        <f t="array" ref="E1203">iferror(index('rna-gill'!$L:$L,match($A1203,'rna-gill'!$A:$A,0)))</f>
        <v>N</v>
      </c>
      <c r="F1203" t="str">
        <f t="array" ref="F1203">iferror(index(fatty_acid!$G:$G,match($A1203,fatty_acid!$A:$A,0)))</f>
        <v>BFA33-16</v>
      </c>
      <c r="G1203" t="str">
        <f t="array" ref="G1203">iferror(index(fatty_acid!$J:$J,match($A1203,fatty_acid!$A:$A,0)))</f>
        <v>N</v>
      </c>
      <c r="H1203" t="str">
        <f t="array" ref="H1203">iferror(index(isotopes!$G:$G,match($A1203,isotopes!$A:$A,0)))</f>
        <v>BIS36-62</v>
      </c>
      <c r="I1203" t="str">
        <f t="array" ref="I1203">iferror(index(isotopes!$J:$J,match($A1203,isotopes!$A:$A,0)))</f>
        <v>N</v>
      </c>
      <c r="J1203" t="str">
        <f t="array" ref="J1203">iferror(index(extra_muscle!$G:$G,match($A1203,extra_muscle!$A:$A,0)))</f>
        <v>BXM34-62</v>
      </c>
      <c r="K1203" t="str">
        <f t="array" ref="K1203">iferror(index(extra_muscle!$J:$J,match($A1203,extra_muscle!$A:$A,0)))</f>
        <v>N</v>
      </c>
      <c r="L1203" s="59" t="str">
        <f t="array" ref="L1203">iferror(index(dna!$G:$G,match($A1203,dna!$A:$A,0)))</f>
        <v>BDN10-52</v>
      </c>
      <c r="M1203" s="60" t="str">
        <f t="array" ref="M1203">iferror(index(dna!$J:$J,match($A1203,dna!$A:$A,0)))</f>
        <v>N</v>
      </c>
      <c r="N1203" t="str">
        <f t="array" ref="N1203">iferror(index(stomachs!$G:$G,match($A1203,stomachs!$A:$A,0)))</f>
        <v/>
      </c>
      <c r="O1203" t="str">
        <f t="array" ref="O1203">iferror(index(stomachs!$J:$J,match($A1203,stomachs!$A:$A,0)))</f>
        <v/>
      </c>
      <c r="P1203" t="str">
        <f t="array" ref="P1203">iferror(index(sea_lice!$G:$G,match($A1203,sea_lice!$A:$A,0)))</f>
        <v/>
      </c>
      <c r="Q1203" t="str">
        <f t="array" ref="Q1203">iferror(index(sea_lice!$J:$J,match($A1203,sea_lice!$A:$A,0)))</f>
        <v/>
      </c>
      <c r="R1203" s="40" t="str">
        <f t="array" ref="R1203">iferror(index(dissected_fish!$F:$F,match($A1203,dissected_fish!$A:$A,0)))</f>
        <v>BCA111</v>
      </c>
      <c r="S1203" s="40" t="str">
        <f t="array" ref="S1203">iferror(index(dissected_fish!$K:$K,match($A1203,dissected_fish!$A:$A,0)))</f>
        <v>N</v>
      </c>
      <c r="T1203" s="61" t="str">
        <f t="array" ref="T1203">index(fish_lab_data!O:O,match(A1203,fish_lab_data!C:C,0))</f>
        <v>JG</v>
      </c>
      <c r="U1203" s="61">
        <f t="array" ref="U1203">if(A1203="","",index(fish_lab_data!X:X,match(A1203,fish_lab_data!C:C,0)))</f>
        <v>1202</v>
      </c>
    </row>
    <row r="1204">
      <c r="A1204" t="str">
        <f>fish_lab_data!C1204</f>
        <v>U17682</v>
      </c>
      <c r="B1204" t="str">
        <f t="array" ref="B1204">iferror(index('rna-muscle'!$I:$I,match($A1204,'rna-muscle'!$A:$A,0)))</f>
        <v>BRN74M-H11</v>
      </c>
      <c r="C1204" t="str">
        <f t="array" ref="C1204">iferror(index('rna-muscle'!$L:$L,match($A1204,'rna-muscle'!$A:$A,0)))</f>
        <v>N</v>
      </c>
      <c r="D1204" t="str">
        <f t="array" ref="D1204">iferror(index('rna-gill'!$I:$I,match($A1204,'rna-gill'!$A:$A,0)))</f>
        <v>BRN74G-H11</v>
      </c>
      <c r="E1204" t="str">
        <f t="array" ref="E1204">iferror(index('rna-gill'!$L:$L,match($A1204,'rna-gill'!$A:$A,0)))</f>
        <v>N</v>
      </c>
      <c r="F1204" t="str">
        <f t="array" ref="F1204">iferror(index(fatty_acid!$G:$G,match($A1204,fatty_acid!$A:$A,0)))</f>
        <v>BFA33-17</v>
      </c>
      <c r="G1204" t="str">
        <f t="array" ref="G1204">iferror(index(fatty_acid!$J:$J,match($A1204,fatty_acid!$A:$A,0)))</f>
        <v>N</v>
      </c>
      <c r="H1204" t="str">
        <f t="array" ref="H1204">iferror(index(isotopes!$G:$G,match($A1204,isotopes!$A:$A,0)))</f>
        <v>BIS36-63</v>
      </c>
      <c r="I1204" t="str">
        <f t="array" ref="I1204">iferror(index(isotopes!$J:$J,match($A1204,isotopes!$A:$A,0)))</f>
        <v>N</v>
      </c>
      <c r="J1204" t="str">
        <f t="array" ref="J1204">iferror(index(extra_muscle!$G:$G,match($A1204,extra_muscle!$A:$A,0)))</f>
        <v>BXM34-63</v>
      </c>
      <c r="K1204" t="str">
        <f t="array" ref="K1204">iferror(index(extra_muscle!$J:$J,match($A1204,extra_muscle!$A:$A,0)))</f>
        <v>N</v>
      </c>
      <c r="L1204" s="59" t="str">
        <f t="array" ref="L1204">iferror(index(dna!$G:$G,match($A1204,dna!$A:$A,0)))</f>
        <v>BDN10-53</v>
      </c>
      <c r="M1204" s="60" t="str">
        <f t="array" ref="M1204">iferror(index(dna!$J:$J,match($A1204,dna!$A:$A,0)))</f>
        <v>N</v>
      </c>
      <c r="N1204" t="str">
        <f t="array" ref="N1204">iferror(index(stomachs!$G:$G,match($A1204,stomachs!$A:$A,0)))</f>
        <v/>
      </c>
      <c r="O1204" t="str">
        <f t="array" ref="O1204">iferror(index(stomachs!$J:$J,match($A1204,stomachs!$A:$A,0)))</f>
        <v/>
      </c>
      <c r="P1204" t="str">
        <f t="array" ref="P1204">iferror(index(sea_lice!$G:$G,match($A1204,sea_lice!$A:$A,0)))</f>
        <v/>
      </c>
      <c r="Q1204" t="str">
        <f t="array" ref="Q1204">iferror(index(sea_lice!$J:$J,match($A1204,sea_lice!$A:$A,0)))</f>
        <v/>
      </c>
      <c r="R1204" s="40" t="str">
        <f t="array" ref="R1204">iferror(index(dissected_fish!$F:$F,match($A1204,dissected_fish!$A:$A,0)))</f>
        <v>BCA111</v>
      </c>
      <c r="S1204" s="40" t="str">
        <f t="array" ref="S1204">iferror(index(dissected_fish!$K:$K,match($A1204,dissected_fish!$A:$A,0)))</f>
        <v>N</v>
      </c>
      <c r="T1204" s="61" t="str">
        <f t="array" ref="T1204">index(fish_lab_data!O:O,match(A1204,fish_lab_data!C:C,0))</f>
        <v>JG</v>
      </c>
      <c r="U1204" s="61">
        <f t="array" ref="U1204">if(A1204="","",index(fish_lab_data!X:X,match(A1204,fish_lab_data!C:C,0)))</f>
        <v>1203</v>
      </c>
    </row>
    <row r="1205">
      <c r="A1205" t="str">
        <f>fish_lab_data!C1205</f>
        <v>U17686</v>
      </c>
      <c r="B1205" t="str">
        <f t="array" ref="B1205">iferror(index('rna-muscle'!$I:$I,match($A1205,'rna-muscle'!$A:$A,0)))</f>
        <v>BRN74M-G11</v>
      </c>
      <c r="C1205" t="str">
        <f t="array" ref="C1205">iferror(index('rna-muscle'!$L:$L,match($A1205,'rna-muscle'!$A:$A,0)))</f>
        <v>N</v>
      </c>
      <c r="D1205" t="str">
        <f t="array" ref="D1205">iferror(index('rna-gill'!$I:$I,match($A1205,'rna-gill'!$A:$A,0)))</f>
        <v>BRN74G-G11</v>
      </c>
      <c r="E1205" t="str">
        <f t="array" ref="E1205">iferror(index('rna-gill'!$L:$L,match($A1205,'rna-gill'!$A:$A,0)))</f>
        <v>N</v>
      </c>
      <c r="F1205" t="str">
        <f t="array" ref="F1205">iferror(index(fatty_acid!$G:$G,match($A1205,fatty_acid!$A:$A,0)))</f>
        <v>BFA33-18</v>
      </c>
      <c r="G1205" t="str">
        <f t="array" ref="G1205">iferror(index(fatty_acid!$J:$J,match($A1205,fatty_acid!$A:$A,0)))</f>
        <v>N</v>
      </c>
      <c r="H1205" t="str">
        <f t="array" ref="H1205">iferror(index(isotopes!$G:$G,match($A1205,isotopes!$A:$A,0)))</f>
        <v>BIS36-64</v>
      </c>
      <c r="I1205" t="str">
        <f t="array" ref="I1205">iferror(index(isotopes!$J:$J,match($A1205,isotopes!$A:$A,0)))</f>
        <v>N</v>
      </c>
      <c r="J1205" t="str">
        <f t="array" ref="J1205">iferror(index(extra_muscle!$G:$G,match($A1205,extra_muscle!$A:$A,0)))</f>
        <v>BXM34-64</v>
      </c>
      <c r="K1205" t="str">
        <f t="array" ref="K1205">iferror(index(extra_muscle!$J:$J,match($A1205,extra_muscle!$A:$A,0)))</f>
        <v>N</v>
      </c>
      <c r="L1205" s="59" t="str">
        <f t="array" ref="L1205">iferror(index(dna!$G:$G,match($A1205,dna!$A:$A,0)))</f>
        <v>BDN10-54</v>
      </c>
      <c r="M1205" s="60" t="str">
        <f t="array" ref="M1205">iferror(index(dna!$J:$J,match($A1205,dna!$A:$A,0)))</f>
        <v>N</v>
      </c>
      <c r="N1205" t="str">
        <f t="array" ref="N1205">iferror(index(stomachs!$G:$G,match($A1205,stomachs!$A:$A,0)))</f>
        <v/>
      </c>
      <c r="O1205" t="str">
        <f t="array" ref="O1205">iferror(index(stomachs!$J:$J,match($A1205,stomachs!$A:$A,0)))</f>
        <v/>
      </c>
      <c r="P1205" t="str">
        <f t="array" ref="P1205">iferror(index(sea_lice!$G:$G,match($A1205,sea_lice!$A:$A,0)))</f>
        <v/>
      </c>
      <c r="Q1205" t="str">
        <f t="array" ref="Q1205">iferror(index(sea_lice!$J:$J,match($A1205,sea_lice!$A:$A,0)))</f>
        <v/>
      </c>
      <c r="R1205" s="40" t="str">
        <f t="array" ref="R1205">iferror(index(dissected_fish!$F:$F,match($A1205,dissected_fish!$A:$A,0)))</f>
        <v>BCA111</v>
      </c>
      <c r="S1205" s="40" t="str">
        <f t="array" ref="S1205">iferror(index(dissected_fish!$K:$K,match($A1205,dissected_fish!$A:$A,0)))</f>
        <v>N</v>
      </c>
      <c r="T1205" s="61" t="str">
        <f t="array" ref="T1205">index(fish_lab_data!O:O,match(A1205,fish_lab_data!C:C,0))</f>
        <v>JG</v>
      </c>
      <c r="U1205" s="61">
        <f t="array" ref="U1205">if(A1205="","",index(fish_lab_data!X:X,match(A1205,fish_lab_data!C:C,0)))</f>
        <v>1204</v>
      </c>
    </row>
    <row r="1206">
      <c r="A1206" t="str">
        <f>fish_lab_data!C1206</f>
        <v>U17685</v>
      </c>
      <c r="B1206" t="str">
        <f t="array" ref="B1206">iferror(index('rna-muscle'!$I:$I,match($A1206,'rna-muscle'!$A:$A,0)))</f>
        <v>BRN74M-F11</v>
      </c>
      <c r="C1206" t="str">
        <f t="array" ref="C1206">iferror(index('rna-muscle'!$L:$L,match($A1206,'rna-muscle'!$A:$A,0)))</f>
        <v>N</v>
      </c>
      <c r="D1206" t="str">
        <f t="array" ref="D1206">iferror(index('rna-gill'!$I:$I,match($A1206,'rna-gill'!$A:$A,0)))</f>
        <v>BRN74G-F11</v>
      </c>
      <c r="E1206" t="str">
        <f t="array" ref="E1206">iferror(index('rna-gill'!$L:$L,match($A1206,'rna-gill'!$A:$A,0)))</f>
        <v>N</v>
      </c>
      <c r="F1206" t="str">
        <f t="array" ref="F1206">iferror(index(fatty_acid!$G:$G,match($A1206,fatty_acid!$A:$A,0)))</f>
        <v>BFA33-19</v>
      </c>
      <c r="G1206" t="str">
        <f t="array" ref="G1206">iferror(index(fatty_acid!$J:$J,match($A1206,fatty_acid!$A:$A,0)))</f>
        <v>N</v>
      </c>
      <c r="H1206" t="str">
        <f t="array" ref="H1206">iferror(index(isotopes!$G:$G,match($A1206,isotopes!$A:$A,0)))</f>
        <v>BIS36-65</v>
      </c>
      <c r="I1206" t="str">
        <f t="array" ref="I1206">iferror(index(isotopes!$J:$J,match($A1206,isotopes!$A:$A,0)))</f>
        <v>N</v>
      </c>
      <c r="J1206" t="str">
        <f t="array" ref="J1206">iferror(index(extra_muscle!$G:$G,match($A1206,extra_muscle!$A:$A,0)))</f>
        <v>BXM34-65</v>
      </c>
      <c r="K1206" t="str">
        <f t="array" ref="K1206">iferror(index(extra_muscle!$J:$J,match($A1206,extra_muscle!$A:$A,0)))</f>
        <v>N</v>
      </c>
      <c r="L1206" s="59" t="str">
        <f t="array" ref="L1206">iferror(index(dna!$G:$G,match($A1206,dna!$A:$A,0)))</f>
        <v>BDN10-55</v>
      </c>
      <c r="M1206" s="60" t="str">
        <f t="array" ref="M1206">iferror(index(dna!$J:$J,match($A1206,dna!$A:$A,0)))</f>
        <v>N</v>
      </c>
      <c r="N1206" t="str">
        <f t="array" ref="N1206">iferror(index(stomachs!$G:$G,match($A1206,stomachs!$A:$A,0)))</f>
        <v/>
      </c>
      <c r="O1206" t="str">
        <f t="array" ref="O1206">iferror(index(stomachs!$J:$J,match($A1206,stomachs!$A:$A,0)))</f>
        <v/>
      </c>
      <c r="P1206" t="str">
        <f t="array" ref="P1206">iferror(index(sea_lice!$G:$G,match($A1206,sea_lice!$A:$A,0)))</f>
        <v>BSL7-95</v>
      </c>
      <c r="Q1206" t="str">
        <f t="array" ref="Q1206">iferror(index(sea_lice!$J:$J,match($A1206,sea_lice!$A:$A,0)))</f>
        <v>N</v>
      </c>
      <c r="R1206" s="40" t="str">
        <f t="array" ref="R1206">iferror(index(dissected_fish!$F:$F,match($A1206,dissected_fish!$A:$A,0)))</f>
        <v>BCA111</v>
      </c>
      <c r="S1206" s="40" t="str">
        <f t="array" ref="S1206">iferror(index(dissected_fish!$K:$K,match($A1206,dissected_fish!$A:$A,0)))</f>
        <v>N</v>
      </c>
      <c r="T1206" s="61" t="str">
        <f t="array" ref="T1206">index(fish_lab_data!O:O,match(A1206,fish_lab_data!C:C,0))</f>
        <v>JG</v>
      </c>
      <c r="U1206" s="61">
        <f t="array" ref="U1206">if(A1206="","",index(fish_lab_data!X:X,match(A1206,fish_lab_data!C:C,0)))</f>
        <v>1205</v>
      </c>
    </row>
    <row r="1207">
      <c r="A1207" t="str">
        <f>fish_lab_data!C1207</f>
        <v>U17688</v>
      </c>
      <c r="B1207" t="str">
        <f t="array" ref="B1207">iferror(index('rna-muscle'!$I:$I,match($A1207,'rna-muscle'!$A:$A,0)))</f>
        <v>BRN74M-E11</v>
      </c>
      <c r="C1207" t="str">
        <f t="array" ref="C1207">iferror(index('rna-muscle'!$L:$L,match($A1207,'rna-muscle'!$A:$A,0)))</f>
        <v>N</v>
      </c>
      <c r="D1207" t="str">
        <f t="array" ref="D1207">iferror(index('rna-gill'!$I:$I,match($A1207,'rna-gill'!$A:$A,0)))</f>
        <v>BRN74G-E11</v>
      </c>
      <c r="E1207" t="str">
        <f t="array" ref="E1207">iferror(index('rna-gill'!$L:$L,match($A1207,'rna-gill'!$A:$A,0)))</f>
        <v>N</v>
      </c>
      <c r="F1207" t="str">
        <f t="array" ref="F1207">iferror(index(fatty_acid!$G:$G,match($A1207,fatty_acid!$A:$A,0)))</f>
        <v>BFA33-20</v>
      </c>
      <c r="G1207" t="str">
        <f t="array" ref="G1207">iferror(index(fatty_acid!$J:$J,match($A1207,fatty_acid!$A:$A,0)))</f>
        <v>N</v>
      </c>
      <c r="H1207" t="str">
        <f t="array" ref="H1207">iferror(index(isotopes!$G:$G,match($A1207,isotopes!$A:$A,0)))</f>
        <v>BIS36-66</v>
      </c>
      <c r="I1207" t="str">
        <f t="array" ref="I1207">iferror(index(isotopes!$J:$J,match($A1207,isotopes!$A:$A,0)))</f>
        <v>N</v>
      </c>
      <c r="J1207" t="str">
        <f t="array" ref="J1207">iferror(index(extra_muscle!$G:$G,match($A1207,extra_muscle!$A:$A,0)))</f>
        <v>BXM34-66</v>
      </c>
      <c r="K1207" t="str">
        <f t="array" ref="K1207">iferror(index(extra_muscle!$J:$J,match($A1207,extra_muscle!$A:$A,0)))</f>
        <v>N</v>
      </c>
      <c r="L1207" s="59" t="str">
        <f t="array" ref="L1207">iferror(index(dna!$G:$G,match($A1207,dna!$A:$A,0)))</f>
        <v>BDN10-56</v>
      </c>
      <c r="M1207" s="60" t="str">
        <f t="array" ref="M1207">iferror(index(dna!$J:$J,match($A1207,dna!$A:$A,0)))</f>
        <v>N</v>
      </c>
      <c r="N1207" t="str">
        <f t="array" ref="N1207">iferror(index(stomachs!$G:$G,match($A1207,stomachs!$A:$A,0)))</f>
        <v/>
      </c>
      <c r="O1207" t="str">
        <f t="array" ref="O1207">iferror(index(stomachs!$J:$J,match($A1207,stomachs!$A:$A,0)))</f>
        <v/>
      </c>
      <c r="P1207" t="str">
        <f t="array" ref="P1207">iferror(index(sea_lice!$G:$G,match($A1207,sea_lice!$A:$A,0)))</f>
        <v>BSL7-96</v>
      </c>
      <c r="Q1207" t="str">
        <f t="array" ref="Q1207">iferror(index(sea_lice!$J:$J,match($A1207,sea_lice!$A:$A,0)))</f>
        <v>N</v>
      </c>
      <c r="R1207" s="40" t="str">
        <f t="array" ref="R1207">iferror(index(dissected_fish!$F:$F,match($A1207,dissected_fish!$A:$A,0)))</f>
        <v>BCA111</v>
      </c>
      <c r="S1207" s="40" t="str">
        <f t="array" ref="S1207">iferror(index(dissected_fish!$K:$K,match($A1207,dissected_fish!$A:$A,0)))</f>
        <v>N</v>
      </c>
      <c r="T1207" s="61" t="str">
        <f t="array" ref="T1207">index(fish_lab_data!O:O,match(A1207,fish_lab_data!C:C,0))</f>
        <v>JG</v>
      </c>
      <c r="U1207" s="61">
        <f t="array" ref="U1207">if(A1207="","",index(fish_lab_data!X:X,match(A1207,fish_lab_data!C:C,0)))</f>
        <v>1206</v>
      </c>
    </row>
    <row r="1208">
      <c r="A1208" t="str">
        <f>fish_lab_data!C1208</f>
        <v>U17681</v>
      </c>
      <c r="B1208" t="str">
        <f t="array" ref="B1208">iferror(index('rna-muscle'!$I:$I,match($A1208,'rna-muscle'!$A:$A,0)))</f>
        <v>BRN74M-D11</v>
      </c>
      <c r="C1208" t="str">
        <f t="array" ref="C1208">iferror(index('rna-muscle'!$L:$L,match($A1208,'rna-muscle'!$A:$A,0)))</f>
        <v>N</v>
      </c>
      <c r="D1208" t="str">
        <f t="array" ref="D1208">iferror(index('rna-gill'!$I:$I,match($A1208,'rna-gill'!$A:$A,0)))</f>
        <v>BRN74G-D11</v>
      </c>
      <c r="E1208" t="str">
        <f t="array" ref="E1208">iferror(index('rna-gill'!$L:$L,match($A1208,'rna-gill'!$A:$A,0)))</f>
        <v>N</v>
      </c>
      <c r="F1208" t="str">
        <f t="array" ref="F1208">iferror(index(fatty_acid!$G:$G,match($A1208,fatty_acid!$A:$A,0)))</f>
        <v>BFA33-21</v>
      </c>
      <c r="G1208" t="str">
        <f t="array" ref="G1208">iferror(index(fatty_acid!$J:$J,match($A1208,fatty_acid!$A:$A,0)))</f>
        <v>N</v>
      </c>
      <c r="H1208" t="str">
        <f t="array" ref="H1208">iferror(index(isotopes!$G:$G,match($A1208,isotopes!$A:$A,0)))</f>
        <v>BIS36-67</v>
      </c>
      <c r="I1208" t="str">
        <f t="array" ref="I1208">iferror(index(isotopes!$J:$J,match($A1208,isotopes!$A:$A,0)))</f>
        <v>N</v>
      </c>
      <c r="J1208" t="str">
        <f t="array" ref="J1208">iferror(index(extra_muscle!$G:$G,match($A1208,extra_muscle!$A:$A,0)))</f>
        <v>BXM34-67</v>
      </c>
      <c r="K1208" t="str">
        <f t="array" ref="K1208">iferror(index(extra_muscle!$J:$J,match($A1208,extra_muscle!$A:$A,0)))</f>
        <v>N</v>
      </c>
      <c r="L1208" s="59" t="str">
        <f t="array" ref="L1208">iferror(index(dna!$G:$G,match($A1208,dna!$A:$A,0)))</f>
        <v>BDN10-57</v>
      </c>
      <c r="M1208" s="60" t="str">
        <f t="array" ref="M1208">iferror(index(dna!$J:$J,match($A1208,dna!$A:$A,0)))</f>
        <v>N</v>
      </c>
      <c r="N1208" t="str">
        <f t="array" ref="N1208">iferror(index(stomachs!$G:$G,match($A1208,stomachs!$A:$A,0)))</f>
        <v/>
      </c>
      <c r="O1208" t="str">
        <f t="array" ref="O1208">iferror(index(stomachs!$J:$J,match($A1208,stomachs!$A:$A,0)))</f>
        <v/>
      </c>
      <c r="P1208" t="str">
        <f t="array" ref="P1208">iferror(index(sea_lice!$G:$G,match($A1208,sea_lice!$A:$A,0)))</f>
        <v>BSL7-97</v>
      </c>
      <c r="Q1208" t="str">
        <f t="array" ref="Q1208">iferror(index(sea_lice!$J:$J,match($A1208,sea_lice!$A:$A,0)))</f>
        <v>N</v>
      </c>
      <c r="R1208" s="40" t="str">
        <f t="array" ref="R1208">iferror(index(dissected_fish!$F:$F,match($A1208,dissected_fish!$A:$A,0)))</f>
        <v>BCA111</v>
      </c>
      <c r="S1208" s="40" t="str">
        <f t="array" ref="S1208">iferror(index(dissected_fish!$K:$K,match($A1208,dissected_fish!$A:$A,0)))</f>
        <v>N</v>
      </c>
      <c r="T1208" s="61" t="str">
        <f t="array" ref="T1208">index(fish_lab_data!O:O,match(A1208,fish_lab_data!C:C,0))</f>
        <v>JG</v>
      </c>
      <c r="U1208" s="61">
        <f t="array" ref="U1208">if(A1208="","",index(fish_lab_data!X:X,match(A1208,fish_lab_data!C:C,0)))</f>
        <v>1207</v>
      </c>
    </row>
    <row r="1209">
      <c r="A1209" t="str">
        <f>fish_lab_data!C1209</f>
        <v>U17687</v>
      </c>
      <c r="B1209" t="str">
        <f t="array" ref="B1209">iferror(index('rna-muscle'!$I:$I,match($A1209,'rna-muscle'!$A:$A,0)))</f>
        <v>BRN74M-C11</v>
      </c>
      <c r="C1209" t="str">
        <f t="array" ref="C1209">iferror(index('rna-muscle'!$L:$L,match($A1209,'rna-muscle'!$A:$A,0)))</f>
        <v>N</v>
      </c>
      <c r="D1209" t="str">
        <f t="array" ref="D1209">iferror(index('rna-gill'!$I:$I,match($A1209,'rna-gill'!$A:$A,0)))</f>
        <v>BRN74G-C11</v>
      </c>
      <c r="E1209" t="str">
        <f t="array" ref="E1209">iferror(index('rna-gill'!$L:$L,match($A1209,'rna-gill'!$A:$A,0)))</f>
        <v>N</v>
      </c>
      <c r="F1209" t="str">
        <f t="array" ref="F1209">iferror(index(fatty_acid!$G:$G,match($A1209,fatty_acid!$A:$A,0)))</f>
        <v>BFA33-22</v>
      </c>
      <c r="G1209" t="str">
        <f t="array" ref="G1209">iferror(index(fatty_acid!$J:$J,match($A1209,fatty_acid!$A:$A,0)))</f>
        <v>N</v>
      </c>
      <c r="H1209" t="str">
        <f t="array" ref="H1209">iferror(index(isotopes!$G:$G,match($A1209,isotopes!$A:$A,0)))</f>
        <v>BIS36-68</v>
      </c>
      <c r="I1209" t="str">
        <f t="array" ref="I1209">iferror(index(isotopes!$J:$J,match($A1209,isotopes!$A:$A,0)))</f>
        <v>N</v>
      </c>
      <c r="J1209" t="str">
        <f t="array" ref="J1209">iferror(index(extra_muscle!$G:$G,match($A1209,extra_muscle!$A:$A,0)))</f>
        <v>BXM34-68</v>
      </c>
      <c r="K1209" t="str">
        <f t="array" ref="K1209">iferror(index(extra_muscle!$J:$J,match($A1209,extra_muscle!$A:$A,0)))</f>
        <v>N</v>
      </c>
      <c r="L1209" s="59" t="str">
        <f t="array" ref="L1209">iferror(index(dna!$G:$G,match($A1209,dna!$A:$A,0)))</f>
        <v>BDN10-58</v>
      </c>
      <c r="M1209" s="60" t="str">
        <f t="array" ref="M1209">iferror(index(dna!$J:$J,match($A1209,dna!$A:$A,0)))</f>
        <v>N</v>
      </c>
      <c r="N1209" t="str">
        <f t="array" ref="N1209">iferror(index(stomachs!$G:$G,match($A1209,stomachs!$A:$A,0)))</f>
        <v/>
      </c>
      <c r="O1209" t="str">
        <f t="array" ref="O1209">iferror(index(stomachs!$J:$J,match($A1209,stomachs!$A:$A,0)))</f>
        <v/>
      </c>
      <c r="P1209" t="str">
        <f t="array" ref="P1209">iferror(index(sea_lice!$G:$G,match($A1209,sea_lice!$A:$A,0)))</f>
        <v/>
      </c>
      <c r="Q1209" t="str">
        <f t="array" ref="Q1209">iferror(index(sea_lice!$J:$J,match($A1209,sea_lice!$A:$A,0)))</f>
        <v/>
      </c>
      <c r="R1209" s="40" t="str">
        <f t="array" ref="R1209">iferror(index(dissected_fish!$F:$F,match($A1209,dissected_fish!$A:$A,0)))</f>
        <v>BCA111</v>
      </c>
      <c r="S1209" s="40" t="str">
        <f t="array" ref="S1209">iferror(index(dissected_fish!$K:$K,match($A1209,dissected_fish!$A:$A,0)))</f>
        <v>N</v>
      </c>
      <c r="T1209" s="61" t="str">
        <f t="array" ref="T1209">index(fish_lab_data!O:O,match(A1209,fish_lab_data!C:C,0))</f>
        <v>JG</v>
      </c>
      <c r="U1209" s="61">
        <f t="array" ref="U1209">if(A1209="","",index(fish_lab_data!X:X,match(A1209,fish_lab_data!C:C,0)))</f>
        <v>1208</v>
      </c>
    </row>
    <row r="1210">
      <c r="A1210" t="str">
        <f>fish_lab_data!C1210</f>
        <v>U17689</v>
      </c>
      <c r="B1210" t="str">
        <f t="array" ref="B1210">iferror(index('rna-muscle'!$I:$I,match($A1210,'rna-muscle'!$A:$A,0)))</f>
        <v>BRN74M-B11</v>
      </c>
      <c r="C1210" t="str">
        <f t="array" ref="C1210">iferror(index('rna-muscle'!$L:$L,match($A1210,'rna-muscle'!$A:$A,0)))</f>
        <v>N</v>
      </c>
      <c r="D1210" t="str">
        <f t="array" ref="D1210">iferror(index('rna-gill'!$I:$I,match($A1210,'rna-gill'!$A:$A,0)))</f>
        <v>BRN74G-B11</v>
      </c>
      <c r="E1210" t="str">
        <f t="array" ref="E1210">iferror(index('rna-gill'!$L:$L,match($A1210,'rna-gill'!$A:$A,0)))</f>
        <v>N</v>
      </c>
      <c r="F1210" t="str">
        <f t="array" ref="F1210">iferror(index(fatty_acid!$G:$G,match($A1210,fatty_acid!$A:$A,0)))</f>
        <v>BFA33-23</v>
      </c>
      <c r="G1210" t="str">
        <f t="array" ref="G1210">iferror(index(fatty_acid!$J:$J,match($A1210,fatty_acid!$A:$A,0)))</f>
        <v>N</v>
      </c>
      <c r="H1210" t="str">
        <f t="array" ref="H1210">iferror(index(isotopes!$G:$G,match($A1210,isotopes!$A:$A,0)))</f>
        <v>BIS36-69</v>
      </c>
      <c r="I1210" t="str">
        <f t="array" ref="I1210">iferror(index(isotopes!$J:$J,match($A1210,isotopes!$A:$A,0)))</f>
        <v>N</v>
      </c>
      <c r="J1210" t="str">
        <f t="array" ref="J1210">iferror(index(extra_muscle!$G:$G,match($A1210,extra_muscle!$A:$A,0)))</f>
        <v>BXM34-69</v>
      </c>
      <c r="K1210" t="str">
        <f t="array" ref="K1210">iferror(index(extra_muscle!$J:$J,match($A1210,extra_muscle!$A:$A,0)))</f>
        <v>N</v>
      </c>
      <c r="L1210" s="59" t="str">
        <f t="array" ref="L1210">iferror(index(dna!$G:$G,match($A1210,dna!$A:$A,0)))</f>
        <v>BDN10-59</v>
      </c>
      <c r="M1210" s="60" t="str">
        <f t="array" ref="M1210">iferror(index(dna!$J:$J,match($A1210,dna!$A:$A,0)))</f>
        <v>N</v>
      </c>
      <c r="N1210" t="str">
        <f t="array" ref="N1210">iferror(index(stomachs!$G:$G,match($A1210,stomachs!$A:$A,0)))</f>
        <v/>
      </c>
      <c r="O1210" t="str">
        <f t="array" ref="O1210">iferror(index(stomachs!$J:$J,match($A1210,stomachs!$A:$A,0)))</f>
        <v/>
      </c>
      <c r="P1210" t="str">
        <f t="array" ref="P1210">iferror(index(sea_lice!$G:$G,match($A1210,sea_lice!$A:$A,0)))</f>
        <v>BSL7-98</v>
      </c>
      <c r="Q1210" t="str">
        <f t="array" ref="Q1210">iferror(index(sea_lice!$J:$J,match($A1210,sea_lice!$A:$A,0)))</f>
        <v>N</v>
      </c>
      <c r="R1210" s="40" t="str">
        <f t="array" ref="R1210">iferror(index(dissected_fish!$F:$F,match($A1210,dissected_fish!$A:$A,0)))</f>
        <v>BCA111</v>
      </c>
      <c r="S1210" s="40" t="str">
        <f t="array" ref="S1210">iferror(index(dissected_fish!$K:$K,match($A1210,dissected_fish!$A:$A,0)))</f>
        <v>N</v>
      </c>
      <c r="T1210" s="61" t="str">
        <f t="array" ref="T1210">index(fish_lab_data!O:O,match(A1210,fish_lab_data!C:C,0))</f>
        <v>JG</v>
      </c>
      <c r="U1210" s="61">
        <f t="array" ref="U1210">if(A1210="","",index(fish_lab_data!X:X,match(A1210,fish_lab_data!C:C,0)))</f>
        <v>1209</v>
      </c>
    </row>
    <row r="1211">
      <c r="A1211" t="str">
        <f>fish_lab_data!C1211</f>
        <v>U17684</v>
      </c>
      <c r="B1211" t="str">
        <f t="array" ref="B1211">iferror(index('rna-muscle'!$I:$I,match($A1211,'rna-muscle'!$A:$A,0)))</f>
        <v>BRN74M-A11</v>
      </c>
      <c r="C1211" t="str">
        <f t="array" ref="C1211">iferror(index('rna-muscle'!$L:$L,match($A1211,'rna-muscle'!$A:$A,0)))</f>
        <v>N</v>
      </c>
      <c r="D1211" t="str">
        <f t="array" ref="D1211">iferror(index('rna-gill'!$I:$I,match($A1211,'rna-gill'!$A:$A,0)))</f>
        <v>BRN74G-A11</v>
      </c>
      <c r="E1211" t="str">
        <f t="array" ref="E1211">iferror(index('rna-gill'!$L:$L,match($A1211,'rna-gill'!$A:$A,0)))</f>
        <v>N</v>
      </c>
      <c r="F1211" t="str">
        <f t="array" ref="F1211">iferror(index(fatty_acid!$G:$G,match($A1211,fatty_acid!$A:$A,0)))</f>
        <v>BFA33-24</v>
      </c>
      <c r="G1211" t="str">
        <f t="array" ref="G1211">iferror(index(fatty_acid!$J:$J,match($A1211,fatty_acid!$A:$A,0)))</f>
        <v>N</v>
      </c>
      <c r="H1211" t="str">
        <f t="array" ref="H1211">iferror(index(isotopes!$G:$G,match($A1211,isotopes!$A:$A,0)))</f>
        <v>BIS36-70</v>
      </c>
      <c r="I1211" t="str">
        <f t="array" ref="I1211">iferror(index(isotopes!$J:$J,match($A1211,isotopes!$A:$A,0)))</f>
        <v>N</v>
      </c>
      <c r="J1211" t="str">
        <f t="array" ref="J1211">iferror(index(extra_muscle!$G:$G,match($A1211,extra_muscle!$A:$A,0)))</f>
        <v>BXM34-70</v>
      </c>
      <c r="K1211" t="str">
        <f t="array" ref="K1211">iferror(index(extra_muscle!$J:$J,match($A1211,extra_muscle!$A:$A,0)))</f>
        <v>N</v>
      </c>
      <c r="L1211" s="59" t="str">
        <f t="array" ref="L1211">iferror(index(dna!$G:$G,match($A1211,dna!$A:$A,0)))</f>
        <v>BDN10-60</v>
      </c>
      <c r="M1211" s="60" t="str">
        <f t="array" ref="M1211">iferror(index(dna!$J:$J,match($A1211,dna!$A:$A,0)))</f>
        <v>N</v>
      </c>
      <c r="N1211" t="str">
        <f t="array" ref="N1211">iferror(index(stomachs!$G:$G,match($A1211,stomachs!$A:$A,0)))</f>
        <v/>
      </c>
      <c r="O1211" t="str">
        <f t="array" ref="O1211">iferror(index(stomachs!$J:$J,match($A1211,stomachs!$A:$A,0)))</f>
        <v/>
      </c>
      <c r="P1211" t="str">
        <f t="array" ref="P1211">iferror(index(sea_lice!$G:$G,match($A1211,sea_lice!$A:$A,0)))</f>
        <v/>
      </c>
      <c r="Q1211" t="str">
        <f t="array" ref="Q1211">iferror(index(sea_lice!$J:$J,match($A1211,sea_lice!$A:$A,0)))</f>
        <v/>
      </c>
      <c r="R1211" s="40" t="str">
        <f t="array" ref="R1211">iferror(index(dissected_fish!$F:$F,match($A1211,dissected_fish!$A:$A,0)))</f>
        <v>BCA111</v>
      </c>
      <c r="S1211" s="40" t="str">
        <f t="array" ref="S1211">iferror(index(dissected_fish!$K:$K,match($A1211,dissected_fish!$A:$A,0)))</f>
        <v>N</v>
      </c>
      <c r="T1211" s="61" t="str">
        <f t="array" ref="T1211">index(fish_lab_data!O:O,match(A1211,fish_lab_data!C:C,0))</f>
        <v>JG</v>
      </c>
      <c r="U1211" s="61">
        <f t="array" ref="U1211">if(A1211="","",index(fish_lab_data!X:X,match(A1211,fish_lab_data!C:C,0)))</f>
        <v>1210</v>
      </c>
    </row>
    <row r="1212">
      <c r="A1212" t="str">
        <f>fish_lab_data!C1212</f>
        <v>U17683</v>
      </c>
      <c r="B1212" t="str">
        <f t="array" ref="B1212">iferror(index('rna-muscle'!$I:$I,match($A1212,'rna-muscle'!$A:$A,0)))</f>
        <v>BRN74M-H12</v>
      </c>
      <c r="C1212" t="str">
        <f t="array" ref="C1212">iferror(index('rna-muscle'!$L:$L,match($A1212,'rna-muscle'!$A:$A,0)))</f>
        <v>N</v>
      </c>
      <c r="D1212" t="str">
        <f t="array" ref="D1212">iferror(index('rna-gill'!$I:$I,match($A1212,'rna-gill'!$A:$A,0)))</f>
        <v>BRN74G-H12</v>
      </c>
      <c r="E1212" t="str">
        <f t="array" ref="E1212">iferror(index('rna-gill'!$L:$L,match($A1212,'rna-gill'!$A:$A,0)))</f>
        <v>N</v>
      </c>
      <c r="F1212" t="str">
        <f t="array" ref="F1212">iferror(index(fatty_acid!$G:$G,match($A1212,fatty_acid!$A:$A,0)))</f>
        <v>BFA33-25</v>
      </c>
      <c r="G1212" t="str">
        <f t="array" ref="G1212">iferror(index(fatty_acid!$J:$J,match($A1212,fatty_acid!$A:$A,0)))</f>
        <v>N</v>
      </c>
      <c r="H1212" t="str">
        <f t="array" ref="H1212">iferror(index(isotopes!$G:$G,match($A1212,isotopes!$A:$A,0)))</f>
        <v>BIS36-71</v>
      </c>
      <c r="I1212" t="str">
        <f t="array" ref="I1212">iferror(index(isotopes!$J:$J,match($A1212,isotopes!$A:$A,0)))</f>
        <v>N</v>
      </c>
      <c r="J1212" t="str">
        <f t="array" ref="J1212">iferror(index(extra_muscle!$G:$G,match($A1212,extra_muscle!$A:$A,0)))</f>
        <v>BXM34-71</v>
      </c>
      <c r="K1212" t="str">
        <f t="array" ref="K1212">iferror(index(extra_muscle!$J:$J,match($A1212,extra_muscle!$A:$A,0)))</f>
        <v>N</v>
      </c>
      <c r="L1212" s="59" t="str">
        <f t="array" ref="L1212">iferror(index(dna!$G:$G,match($A1212,dna!$A:$A,0)))</f>
        <v>BDN10-61</v>
      </c>
      <c r="M1212" s="60" t="str">
        <f t="array" ref="M1212">iferror(index(dna!$J:$J,match($A1212,dna!$A:$A,0)))</f>
        <v>N</v>
      </c>
      <c r="N1212" t="str">
        <f t="array" ref="N1212">iferror(index(stomachs!$G:$G,match($A1212,stomachs!$A:$A,0)))</f>
        <v/>
      </c>
      <c r="O1212" t="str">
        <f t="array" ref="O1212">iferror(index(stomachs!$J:$J,match($A1212,stomachs!$A:$A,0)))</f>
        <v/>
      </c>
      <c r="P1212" t="str">
        <f t="array" ref="P1212">iferror(index(sea_lice!$G:$G,match($A1212,sea_lice!$A:$A,0)))</f>
        <v/>
      </c>
      <c r="Q1212" t="str">
        <f t="array" ref="Q1212">iferror(index(sea_lice!$J:$J,match($A1212,sea_lice!$A:$A,0)))</f>
        <v/>
      </c>
      <c r="R1212" s="40" t="str">
        <f t="array" ref="R1212">iferror(index(dissected_fish!$F:$F,match($A1212,dissected_fish!$A:$A,0)))</f>
        <v>BCA111</v>
      </c>
      <c r="S1212" s="40" t="str">
        <f t="array" ref="S1212">iferror(index(dissected_fish!$K:$K,match($A1212,dissected_fish!$A:$A,0)))</f>
        <v>N</v>
      </c>
      <c r="T1212" s="61" t="str">
        <f t="array" ref="T1212">index(fish_lab_data!O:O,match(A1212,fish_lab_data!C:C,0))</f>
        <v>JG</v>
      </c>
      <c r="U1212" s="61">
        <f t="array" ref="U1212">if(A1212="","",index(fish_lab_data!X:X,match(A1212,fish_lab_data!C:C,0)))</f>
        <v>1211</v>
      </c>
    </row>
    <row r="1213">
      <c r="A1213" t="str">
        <f>fish_lab_data!C1213</f>
        <v>U17690</v>
      </c>
      <c r="B1213" t="str">
        <f t="array" ref="B1213">iferror(index('rna-muscle'!$I:$I,match($A1213,'rna-muscle'!$A:$A,0)))</f>
        <v>BRN74M-F12</v>
      </c>
      <c r="C1213" t="str">
        <f t="array" ref="C1213">iferror(index('rna-muscle'!$L:$L,match($A1213,'rna-muscle'!$A:$A,0)))</f>
        <v>N</v>
      </c>
      <c r="D1213" t="str">
        <f t="array" ref="D1213">iferror(index('rna-gill'!$I:$I,match($A1213,'rna-gill'!$A:$A,0)))</f>
        <v>BRN74G-F12</v>
      </c>
      <c r="E1213" t="str">
        <f t="array" ref="E1213">iferror(index('rna-gill'!$L:$L,match($A1213,'rna-gill'!$A:$A,0)))</f>
        <v>N</v>
      </c>
      <c r="F1213" t="str">
        <f t="array" ref="F1213">iferror(index(fatty_acid!$G:$G,match($A1213,fatty_acid!$A:$A,0)))</f>
        <v>BFA33-26</v>
      </c>
      <c r="G1213" t="str">
        <f t="array" ref="G1213">iferror(index(fatty_acid!$J:$J,match($A1213,fatty_acid!$A:$A,0)))</f>
        <v>N</v>
      </c>
      <c r="H1213" t="str">
        <f t="array" ref="H1213">iferror(index(isotopes!$G:$G,match($A1213,isotopes!$A:$A,0)))</f>
        <v>BIS36-72</v>
      </c>
      <c r="I1213" t="str">
        <f t="array" ref="I1213">iferror(index(isotopes!$J:$J,match($A1213,isotopes!$A:$A,0)))</f>
        <v>N</v>
      </c>
      <c r="J1213" t="str">
        <f t="array" ref="J1213">iferror(index(extra_muscle!$G:$G,match($A1213,extra_muscle!$A:$A,0)))</f>
        <v>BXM34-72</v>
      </c>
      <c r="K1213" t="str">
        <f t="array" ref="K1213">iferror(index(extra_muscle!$J:$J,match($A1213,extra_muscle!$A:$A,0)))</f>
        <v>N</v>
      </c>
      <c r="L1213" s="59" t="str">
        <f t="array" ref="L1213">iferror(index(dna!$G:$G,match($A1213,dna!$A:$A,0)))</f>
        <v>BDN10-62</v>
      </c>
      <c r="M1213" s="60" t="str">
        <f t="array" ref="M1213">iferror(index(dna!$J:$J,match($A1213,dna!$A:$A,0)))</f>
        <v>N</v>
      </c>
      <c r="N1213" t="str">
        <f t="array" ref="N1213">iferror(index(stomachs!$G:$G,match($A1213,stomachs!$A:$A,0)))</f>
        <v/>
      </c>
      <c r="O1213" t="str">
        <f t="array" ref="O1213">iferror(index(stomachs!$J:$J,match($A1213,stomachs!$A:$A,0)))</f>
        <v/>
      </c>
      <c r="P1213" t="str">
        <f t="array" ref="P1213">iferror(index(sea_lice!$G:$G,match($A1213,sea_lice!$A:$A,0)))</f>
        <v>BSL7-99</v>
      </c>
      <c r="Q1213" t="str">
        <f t="array" ref="Q1213">iferror(index(sea_lice!$J:$J,match($A1213,sea_lice!$A:$A,0)))</f>
        <v>N</v>
      </c>
      <c r="R1213" s="40" t="str">
        <f t="array" ref="R1213">iferror(index(dissected_fish!$F:$F,match($A1213,dissected_fish!$A:$A,0)))</f>
        <v>BCA111</v>
      </c>
      <c r="S1213" s="40" t="str">
        <f t="array" ref="S1213">iferror(index(dissected_fish!$K:$K,match($A1213,dissected_fish!$A:$A,0)))</f>
        <v>N</v>
      </c>
      <c r="T1213" s="61" t="str">
        <f t="array" ref="T1213">index(fish_lab_data!O:O,match(A1213,fish_lab_data!C:C,0))</f>
        <v>JG</v>
      </c>
      <c r="U1213" s="61">
        <f t="array" ref="U1213">if(A1213="","",index(fish_lab_data!X:X,match(A1213,fish_lab_data!C:C,0)))</f>
        <v>1212</v>
      </c>
    </row>
    <row r="1214">
      <c r="A1214" t="str">
        <f>fish_lab_data!C1214</f>
        <v>U16204</v>
      </c>
      <c r="B1214" t="str">
        <f t="array" ref="B1214">iferror(index('rna-muscle'!$I:$I,match($A1214,'rna-muscle'!$A:$A,0)))</f>
        <v>BRN75M-B1</v>
      </c>
      <c r="C1214" t="str">
        <f t="array" ref="C1214">iferror(index('rna-muscle'!$L:$L,match($A1214,'rna-muscle'!$A:$A,0)))</f>
        <v>N</v>
      </c>
      <c r="D1214" t="str">
        <f t="array" ref="D1214">iferror(index('rna-gill'!$I:$I,match($A1214,'rna-gill'!$A:$A,0)))</f>
        <v>BRN75G-B1</v>
      </c>
      <c r="E1214" t="str">
        <f t="array" ref="E1214">iferror(index('rna-gill'!$L:$L,match($A1214,'rna-gill'!$A:$A,0)))</f>
        <v>N</v>
      </c>
      <c r="F1214" t="str">
        <f t="array" ref="F1214">iferror(index(fatty_acid!$G:$G,match($A1214,fatty_acid!$A:$A,0)))</f>
        <v>BFA35-32</v>
      </c>
      <c r="G1214" t="str">
        <f t="array" ref="G1214">iferror(index(fatty_acid!$J:$J,match($A1214,fatty_acid!$A:$A,0)))</f>
        <v>N</v>
      </c>
      <c r="H1214" t="str">
        <f t="array" ref="H1214">iferror(index(isotopes!$G:$G,match($A1214,isotopes!$A:$A,0)))</f>
        <v>BIS38-32</v>
      </c>
      <c r="I1214" t="str">
        <f t="array" ref="I1214">iferror(index(isotopes!$J:$J,match($A1214,isotopes!$A:$A,0)))</f>
        <v>N</v>
      </c>
      <c r="J1214" t="str">
        <f t="array" ref="J1214">iferror(index(extra_muscle!$G:$G,match($A1214,extra_muscle!$A:$A,0)))</f>
        <v>BXM36-32</v>
      </c>
      <c r="K1214" t="str">
        <f t="array" ref="K1214">iferror(index(extra_muscle!$J:$J,match($A1214,extra_muscle!$A:$A,0)))</f>
        <v>N</v>
      </c>
      <c r="L1214" s="59" t="str">
        <f t="array" ref="L1214">iferror(index(dna!$G:$G,match($A1214,dna!$A:$A,0)))</f>
        <v>BDN9-27</v>
      </c>
      <c r="M1214" s="60" t="str">
        <f t="array" ref="M1214">iferror(index(dna!$J:$J,match($A1214,dna!$A:$A,0)))</f>
        <v>N</v>
      </c>
      <c r="N1214" t="str">
        <f t="array" ref="N1214">iferror(index(stomachs!$G:$G,match($A1214,stomachs!$A:$A,0)))</f>
        <v/>
      </c>
      <c r="O1214" t="str">
        <f t="array" ref="O1214">iferror(index(stomachs!$J:$J,match($A1214,stomachs!$A:$A,0)))</f>
        <v/>
      </c>
      <c r="P1214" t="str">
        <f t="array" ref="P1214">iferror(index(sea_lice!$G:$G,match($A1214,sea_lice!$A:$A,0)))</f>
        <v/>
      </c>
      <c r="Q1214" t="str">
        <f t="array" ref="Q1214">iferror(index(sea_lice!$J:$J,match($A1214,sea_lice!$A:$A,0)))</f>
        <v/>
      </c>
      <c r="R1214" s="40" t="str">
        <f t="array" ref="R1214">iferror(index(dissected_fish!$F:$F,match($A1214,dissected_fish!$A:$A,0)))</f>
        <v>BCA111</v>
      </c>
      <c r="S1214" s="40" t="str">
        <f t="array" ref="S1214">iferror(index(dissected_fish!$K:$K,match($A1214,dissected_fish!$A:$A,0)))</f>
        <v>N</v>
      </c>
      <c r="T1214" s="61" t="str">
        <f t="array" ref="T1214">index(fish_lab_data!O:O,match(A1214,fish_lab_data!C:C,0))</f>
        <v>KB</v>
      </c>
      <c r="U1214" s="61">
        <f t="array" ref="U1214">if(A1214="","",index(fish_lab_data!X:X,match(A1214,fish_lab_data!C:C,0)))</f>
        <v>1213</v>
      </c>
    </row>
    <row r="1215">
      <c r="A1215" t="str">
        <f>fish_lab_data!C1215</f>
        <v>U16202</v>
      </c>
      <c r="B1215" t="str">
        <f t="array" ref="B1215">iferror(index('rna-muscle'!$I:$I,match($A1215,'rna-muscle'!$A:$A,0)))</f>
        <v>BRN75M-A1</v>
      </c>
      <c r="C1215" t="str">
        <f t="array" ref="C1215">iferror(index('rna-muscle'!$L:$L,match($A1215,'rna-muscle'!$A:$A,0)))</f>
        <v>N</v>
      </c>
      <c r="D1215" t="str">
        <f t="array" ref="D1215">iferror(index('rna-gill'!$I:$I,match($A1215,'rna-gill'!$A:$A,0)))</f>
        <v>BRN75G-A1</v>
      </c>
      <c r="E1215" t="str">
        <f t="array" ref="E1215">iferror(index('rna-gill'!$L:$L,match($A1215,'rna-gill'!$A:$A,0)))</f>
        <v>N</v>
      </c>
      <c r="F1215" t="str">
        <f t="array" ref="F1215">iferror(index(fatty_acid!$G:$G,match($A1215,fatty_acid!$A:$A,0)))</f>
        <v>BFA35-33</v>
      </c>
      <c r="G1215" t="str">
        <f t="array" ref="G1215">iferror(index(fatty_acid!$J:$J,match($A1215,fatty_acid!$A:$A,0)))</f>
        <v>N</v>
      </c>
      <c r="H1215" t="str">
        <f t="array" ref="H1215">iferror(index(isotopes!$G:$G,match($A1215,isotopes!$A:$A,0)))</f>
        <v>BIS38-33</v>
      </c>
      <c r="I1215" t="str">
        <f t="array" ref="I1215">iferror(index(isotopes!$J:$J,match($A1215,isotopes!$A:$A,0)))</f>
        <v>N</v>
      </c>
      <c r="J1215" t="str">
        <f t="array" ref="J1215">iferror(index(extra_muscle!$G:$G,match($A1215,extra_muscle!$A:$A,0)))</f>
        <v>BXM36-33</v>
      </c>
      <c r="K1215" t="str">
        <f t="array" ref="K1215">iferror(index(extra_muscle!$J:$J,match($A1215,extra_muscle!$A:$A,0)))</f>
        <v>N</v>
      </c>
      <c r="L1215" s="59" t="str">
        <f t="array" ref="L1215">iferror(index(dna!$G:$G,match($A1215,dna!$A:$A,0)))</f>
        <v>BDN9-28</v>
      </c>
      <c r="M1215" s="60" t="str">
        <f t="array" ref="M1215">iferror(index(dna!$J:$J,match($A1215,dna!$A:$A,0)))</f>
        <v>N</v>
      </c>
      <c r="N1215" t="str">
        <f t="array" ref="N1215">iferror(index(stomachs!$G:$G,match($A1215,stomachs!$A:$A,0)))</f>
        <v/>
      </c>
      <c r="O1215" t="str">
        <f t="array" ref="O1215">iferror(index(stomachs!$J:$J,match($A1215,stomachs!$A:$A,0)))</f>
        <v/>
      </c>
      <c r="P1215" t="str">
        <f t="array" ref="P1215">iferror(index(sea_lice!$G:$G,match($A1215,sea_lice!$A:$A,0)))</f>
        <v/>
      </c>
      <c r="Q1215" t="str">
        <f t="array" ref="Q1215">iferror(index(sea_lice!$J:$J,match($A1215,sea_lice!$A:$A,0)))</f>
        <v/>
      </c>
      <c r="R1215" s="40" t="str">
        <f t="array" ref="R1215">iferror(index(dissected_fish!$F:$F,match($A1215,dissected_fish!$A:$A,0)))</f>
        <v>BCA111</v>
      </c>
      <c r="S1215" s="40" t="str">
        <f t="array" ref="S1215">iferror(index(dissected_fish!$K:$K,match($A1215,dissected_fish!$A:$A,0)))</f>
        <v>N</v>
      </c>
      <c r="T1215" s="61" t="str">
        <f t="array" ref="T1215">index(fish_lab_data!O:O,match(A1215,fish_lab_data!C:C,0))</f>
        <v>KB</v>
      </c>
      <c r="U1215" s="61">
        <f t="array" ref="U1215">if(A1215="","",index(fish_lab_data!X:X,match(A1215,fish_lab_data!C:C,0)))</f>
        <v>1214</v>
      </c>
    </row>
    <row r="1216">
      <c r="A1216" t="str">
        <f>fish_lab_data!C1216</f>
        <v>U16206</v>
      </c>
      <c r="B1216" t="str">
        <f t="array" ref="B1216">iferror(index('rna-muscle'!$I:$I,match($A1216,'rna-muscle'!$A:$A,0)))</f>
        <v>BRN75M-H2</v>
      </c>
      <c r="C1216" t="str">
        <f t="array" ref="C1216">iferror(index('rna-muscle'!$L:$L,match($A1216,'rna-muscle'!$A:$A,0)))</f>
        <v>N</v>
      </c>
      <c r="D1216" t="str">
        <f t="array" ref="D1216">iferror(index('rna-gill'!$I:$I,match($A1216,'rna-gill'!$A:$A,0)))</f>
        <v>BRN75G-H2</v>
      </c>
      <c r="E1216" t="str">
        <f t="array" ref="E1216">iferror(index('rna-gill'!$L:$L,match($A1216,'rna-gill'!$A:$A,0)))</f>
        <v>N</v>
      </c>
      <c r="F1216" t="str">
        <f t="array" ref="F1216">iferror(index(fatty_acid!$G:$G,match($A1216,fatty_acid!$A:$A,0)))</f>
        <v>BFA35-34</v>
      </c>
      <c r="G1216" t="str">
        <f t="array" ref="G1216">iferror(index(fatty_acid!$J:$J,match($A1216,fatty_acid!$A:$A,0)))</f>
        <v>N</v>
      </c>
      <c r="H1216" t="str">
        <f t="array" ref="H1216">iferror(index(isotopes!$G:$G,match($A1216,isotopes!$A:$A,0)))</f>
        <v>BIS38-34</v>
      </c>
      <c r="I1216" t="str">
        <f t="array" ref="I1216">iferror(index(isotopes!$J:$J,match($A1216,isotopes!$A:$A,0)))</f>
        <v>N</v>
      </c>
      <c r="J1216" t="str">
        <f t="array" ref="J1216">iferror(index(extra_muscle!$G:$G,match($A1216,extra_muscle!$A:$A,0)))</f>
        <v>BXM36-34</v>
      </c>
      <c r="K1216" t="str">
        <f t="array" ref="K1216">iferror(index(extra_muscle!$J:$J,match($A1216,extra_muscle!$A:$A,0)))</f>
        <v>N</v>
      </c>
      <c r="L1216" s="59" t="str">
        <f t="array" ref="L1216">iferror(index(dna!$G:$G,match($A1216,dna!$A:$A,0)))</f>
        <v>BDN9-29</v>
      </c>
      <c r="M1216" s="60" t="str">
        <f t="array" ref="M1216">iferror(index(dna!$J:$J,match($A1216,dna!$A:$A,0)))</f>
        <v>N</v>
      </c>
      <c r="N1216" t="str">
        <f t="array" ref="N1216">iferror(index(stomachs!$G:$G,match($A1216,stomachs!$A:$A,0)))</f>
        <v/>
      </c>
      <c r="O1216" t="str">
        <f t="array" ref="O1216">iferror(index(stomachs!$J:$J,match($A1216,stomachs!$A:$A,0)))</f>
        <v/>
      </c>
      <c r="P1216" t="str">
        <f t="array" ref="P1216">iferror(index(sea_lice!$G:$G,match($A1216,sea_lice!$A:$A,0)))</f>
        <v/>
      </c>
      <c r="Q1216" t="str">
        <f t="array" ref="Q1216">iferror(index(sea_lice!$J:$J,match($A1216,sea_lice!$A:$A,0)))</f>
        <v/>
      </c>
      <c r="R1216" s="40" t="str">
        <f t="array" ref="R1216">iferror(index(dissected_fish!$F:$F,match($A1216,dissected_fish!$A:$A,0)))</f>
        <v>BCA111</v>
      </c>
      <c r="S1216" s="40" t="str">
        <f t="array" ref="S1216">iferror(index(dissected_fish!$K:$K,match($A1216,dissected_fish!$A:$A,0)))</f>
        <v>N</v>
      </c>
      <c r="T1216" s="61" t="str">
        <f t="array" ref="T1216">index(fish_lab_data!O:O,match(A1216,fish_lab_data!C:C,0))</f>
        <v>KB</v>
      </c>
      <c r="U1216" s="61">
        <f t="array" ref="U1216">if(A1216="","",index(fish_lab_data!X:X,match(A1216,fish_lab_data!C:C,0)))</f>
        <v>1215</v>
      </c>
    </row>
    <row r="1217">
      <c r="A1217" t="str">
        <f>fish_lab_data!C1217</f>
        <v>U16207</v>
      </c>
      <c r="B1217" t="str">
        <f t="array" ref="B1217">iferror(index('rna-muscle'!$I:$I,match($A1217,'rna-muscle'!$A:$A,0)))</f>
        <v>BRN75M-G2</v>
      </c>
      <c r="C1217" t="str">
        <f t="array" ref="C1217">iferror(index('rna-muscle'!$L:$L,match($A1217,'rna-muscle'!$A:$A,0)))</f>
        <v>N</v>
      </c>
      <c r="D1217" t="str">
        <f t="array" ref="D1217">iferror(index('rna-gill'!$I:$I,match($A1217,'rna-gill'!$A:$A,0)))</f>
        <v>BRN75G-G2</v>
      </c>
      <c r="E1217" t="str">
        <f t="array" ref="E1217">iferror(index('rna-gill'!$L:$L,match($A1217,'rna-gill'!$A:$A,0)))</f>
        <v>N</v>
      </c>
      <c r="F1217" t="str">
        <f t="array" ref="F1217">iferror(index(fatty_acid!$G:$G,match($A1217,fatty_acid!$A:$A,0)))</f>
        <v>BFA35-35</v>
      </c>
      <c r="G1217" t="str">
        <f t="array" ref="G1217">iferror(index(fatty_acid!$J:$J,match($A1217,fatty_acid!$A:$A,0)))</f>
        <v>N</v>
      </c>
      <c r="H1217" t="str">
        <f t="array" ref="H1217">iferror(index(isotopes!$G:$G,match($A1217,isotopes!$A:$A,0)))</f>
        <v>BIS38-35</v>
      </c>
      <c r="I1217" t="str">
        <f t="array" ref="I1217">iferror(index(isotopes!$J:$J,match($A1217,isotopes!$A:$A,0)))</f>
        <v>N</v>
      </c>
      <c r="J1217" t="str">
        <f t="array" ref="J1217">iferror(index(extra_muscle!$G:$G,match($A1217,extra_muscle!$A:$A,0)))</f>
        <v>BXM36-35</v>
      </c>
      <c r="K1217" t="str">
        <f t="array" ref="K1217">iferror(index(extra_muscle!$J:$J,match($A1217,extra_muscle!$A:$A,0)))</f>
        <v>N</v>
      </c>
      <c r="L1217" s="59" t="str">
        <f t="array" ref="L1217">iferror(index(dna!$G:$G,match($A1217,dna!$A:$A,0)))</f>
        <v>BDN9-30</v>
      </c>
      <c r="M1217" s="60" t="str">
        <f t="array" ref="M1217">iferror(index(dna!$J:$J,match($A1217,dna!$A:$A,0)))</f>
        <v>N</v>
      </c>
      <c r="N1217" t="str">
        <f t="array" ref="N1217">iferror(index(stomachs!$G:$G,match($A1217,stomachs!$A:$A,0)))</f>
        <v/>
      </c>
      <c r="O1217" t="str">
        <f t="array" ref="O1217">iferror(index(stomachs!$J:$J,match($A1217,stomachs!$A:$A,0)))</f>
        <v/>
      </c>
      <c r="P1217" t="str">
        <f t="array" ref="P1217">iferror(index(sea_lice!$G:$G,match($A1217,sea_lice!$A:$A,0)))</f>
        <v/>
      </c>
      <c r="Q1217" t="str">
        <f t="array" ref="Q1217">iferror(index(sea_lice!$J:$J,match($A1217,sea_lice!$A:$A,0)))</f>
        <v/>
      </c>
      <c r="R1217" s="40" t="str">
        <f t="array" ref="R1217">iferror(index(dissected_fish!$F:$F,match($A1217,dissected_fish!$A:$A,0)))</f>
        <v>BCA111</v>
      </c>
      <c r="S1217" s="40" t="str">
        <f t="array" ref="S1217">iferror(index(dissected_fish!$K:$K,match($A1217,dissected_fish!$A:$A,0)))</f>
        <v>N</v>
      </c>
      <c r="T1217" s="61" t="str">
        <f t="array" ref="T1217">index(fish_lab_data!O:O,match(A1217,fish_lab_data!C:C,0))</f>
        <v>KB</v>
      </c>
      <c r="U1217" s="61">
        <f t="array" ref="U1217">if(A1217="","",index(fish_lab_data!X:X,match(A1217,fish_lab_data!C:C,0)))</f>
        <v>1216</v>
      </c>
    </row>
    <row r="1218">
      <c r="A1218" t="str">
        <f>fish_lab_data!C1218</f>
        <v>U16210</v>
      </c>
      <c r="B1218" t="str">
        <f t="array" ref="B1218">iferror(index('rna-muscle'!$I:$I,match($A1218,'rna-muscle'!$A:$A,0)))</f>
        <v>BRN75M-F2</v>
      </c>
      <c r="C1218" t="str">
        <f t="array" ref="C1218">iferror(index('rna-muscle'!$L:$L,match($A1218,'rna-muscle'!$A:$A,0)))</f>
        <v>N</v>
      </c>
      <c r="D1218" t="str">
        <f t="array" ref="D1218">iferror(index('rna-gill'!$I:$I,match($A1218,'rna-gill'!$A:$A,0)))</f>
        <v>BRN75G-F2</v>
      </c>
      <c r="E1218" t="str">
        <f t="array" ref="E1218">iferror(index('rna-gill'!$L:$L,match($A1218,'rna-gill'!$A:$A,0)))</f>
        <v>N</v>
      </c>
      <c r="F1218" t="str">
        <f t="array" ref="F1218">iferror(index(fatty_acid!$G:$G,match($A1218,fatty_acid!$A:$A,0)))</f>
        <v>BFA35-36</v>
      </c>
      <c r="G1218" t="str">
        <f t="array" ref="G1218">iferror(index(fatty_acid!$J:$J,match($A1218,fatty_acid!$A:$A,0)))</f>
        <v>N</v>
      </c>
      <c r="H1218" t="str">
        <f t="array" ref="H1218">iferror(index(isotopes!$G:$G,match($A1218,isotopes!$A:$A,0)))</f>
        <v>BIS38-36</v>
      </c>
      <c r="I1218" t="str">
        <f t="array" ref="I1218">iferror(index(isotopes!$J:$J,match($A1218,isotopes!$A:$A,0)))</f>
        <v>N</v>
      </c>
      <c r="J1218" t="str">
        <f t="array" ref="J1218">iferror(index(extra_muscle!$G:$G,match($A1218,extra_muscle!$A:$A,0)))</f>
        <v>BXM36-36</v>
      </c>
      <c r="K1218" t="str">
        <f t="array" ref="K1218">iferror(index(extra_muscle!$J:$J,match($A1218,extra_muscle!$A:$A,0)))</f>
        <v>N</v>
      </c>
      <c r="L1218" s="59" t="str">
        <f t="array" ref="L1218">iferror(index(dna!$G:$G,match($A1218,dna!$A:$A,0)))</f>
        <v>BDN9-31</v>
      </c>
      <c r="M1218" s="60" t="str">
        <f t="array" ref="M1218">iferror(index(dna!$J:$J,match($A1218,dna!$A:$A,0)))</f>
        <v>N</v>
      </c>
      <c r="N1218" t="str">
        <f t="array" ref="N1218">iferror(index(stomachs!$G:$G,match($A1218,stomachs!$A:$A,0)))</f>
        <v/>
      </c>
      <c r="O1218" t="str">
        <f t="array" ref="O1218">iferror(index(stomachs!$J:$J,match($A1218,stomachs!$A:$A,0)))</f>
        <v/>
      </c>
      <c r="P1218" t="str">
        <f t="array" ref="P1218">iferror(index(sea_lice!$G:$G,match($A1218,sea_lice!$A:$A,0)))</f>
        <v/>
      </c>
      <c r="Q1218" t="str">
        <f t="array" ref="Q1218">iferror(index(sea_lice!$J:$J,match($A1218,sea_lice!$A:$A,0)))</f>
        <v/>
      </c>
      <c r="R1218" s="40" t="str">
        <f t="array" ref="R1218">iferror(index(dissected_fish!$F:$F,match($A1218,dissected_fish!$A:$A,0)))</f>
        <v>BCA111</v>
      </c>
      <c r="S1218" s="40" t="str">
        <f t="array" ref="S1218">iferror(index(dissected_fish!$K:$K,match($A1218,dissected_fish!$A:$A,0)))</f>
        <v>N</v>
      </c>
      <c r="T1218" s="61" t="str">
        <f t="array" ref="T1218">index(fish_lab_data!O:O,match(A1218,fish_lab_data!C:C,0))</f>
        <v>KB</v>
      </c>
      <c r="U1218" s="61">
        <f t="array" ref="U1218">if(A1218="","",index(fish_lab_data!X:X,match(A1218,fish_lab_data!C:C,0)))</f>
        <v>1217</v>
      </c>
    </row>
    <row r="1219">
      <c r="A1219" t="str">
        <f>fish_lab_data!C1219</f>
        <v>U16208</v>
      </c>
      <c r="B1219" t="str">
        <f t="array" ref="B1219">iferror(index('rna-muscle'!$I:$I,match($A1219,'rna-muscle'!$A:$A,0)))</f>
        <v>BRN75M-E2</v>
      </c>
      <c r="C1219" t="str">
        <f t="array" ref="C1219">iferror(index('rna-muscle'!$L:$L,match($A1219,'rna-muscle'!$A:$A,0)))</f>
        <v>N</v>
      </c>
      <c r="D1219" t="str">
        <f t="array" ref="D1219">iferror(index('rna-gill'!$I:$I,match($A1219,'rna-gill'!$A:$A,0)))</f>
        <v>BRN75G-E2</v>
      </c>
      <c r="E1219" t="str">
        <f t="array" ref="E1219">iferror(index('rna-gill'!$L:$L,match($A1219,'rna-gill'!$A:$A,0)))</f>
        <v>N</v>
      </c>
      <c r="F1219" t="str">
        <f t="array" ref="F1219">iferror(index(fatty_acid!$G:$G,match($A1219,fatty_acid!$A:$A,0)))</f>
        <v>BFA35-37</v>
      </c>
      <c r="G1219" t="str">
        <f t="array" ref="G1219">iferror(index(fatty_acid!$J:$J,match($A1219,fatty_acid!$A:$A,0)))</f>
        <v>N</v>
      </c>
      <c r="H1219" t="str">
        <f t="array" ref="H1219">iferror(index(isotopes!$G:$G,match($A1219,isotopes!$A:$A,0)))</f>
        <v>BIS38-37</v>
      </c>
      <c r="I1219" t="str">
        <f t="array" ref="I1219">iferror(index(isotopes!$J:$J,match($A1219,isotopes!$A:$A,0)))</f>
        <v>N</v>
      </c>
      <c r="J1219" t="str">
        <f t="array" ref="J1219">iferror(index(extra_muscle!$G:$G,match($A1219,extra_muscle!$A:$A,0)))</f>
        <v>BXM36-37</v>
      </c>
      <c r="K1219" t="str">
        <f t="array" ref="K1219">iferror(index(extra_muscle!$J:$J,match($A1219,extra_muscle!$A:$A,0)))</f>
        <v>N</v>
      </c>
      <c r="L1219" s="59" t="str">
        <f t="array" ref="L1219">iferror(index(dna!$G:$G,match($A1219,dna!$A:$A,0)))</f>
        <v>BDN9-32</v>
      </c>
      <c r="M1219" s="60" t="str">
        <f t="array" ref="M1219">iferror(index(dna!$J:$J,match($A1219,dna!$A:$A,0)))</f>
        <v>N</v>
      </c>
      <c r="N1219" t="str">
        <f t="array" ref="N1219">iferror(index(stomachs!$G:$G,match($A1219,stomachs!$A:$A,0)))</f>
        <v/>
      </c>
      <c r="O1219" t="str">
        <f t="array" ref="O1219">iferror(index(stomachs!$J:$J,match($A1219,stomachs!$A:$A,0)))</f>
        <v/>
      </c>
      <c r="P1219" t="str">
        <f t="array" ref="P1219">iferror(index(sea_lice!$G:$G,match($A1219,sea_lice!$A:$A,0)))</f>
        <v/>
      </c>
      <c r="Q1219" t="str">
        <f t="array" ref="Q1219">iferror(index(sea_lice!$J:$J,match($A1219,sea_lice!$A:$A,0)))</f>
        <v/>
      </c>
      <c r="R1219" s="40" t="str">
        <f t="array" ref="R1219">iferror(index(dissected_fish!$F:$F,match($A1219,dissected_fish!$A:$A,0)))</f>
        <v>BCA111</v>
      </c>
      <c r="S1219" s="40" t="str">
        <f t="array" ref="S1219">iferror(index(dissected_fish!$K:$K,match($A1219,dissected_fish!$A:$A,0)))</f>
        <v>N</v>
      </c>
      <c r="T1219" s="61" t="str">
        <f t="array" ref="T1219">index(fish_lab_data!O:O,match(A1219,fish_lab_data!C:C,0))</f>
        <v>KB</v>
      </c>
      <c r="U1219" s="61">
        <f t="array" ref="U1219">if(A1219="","",index(fish_lab_data!X:X,match(A1219,fish_lab_data!C:C,0)))</f>
        <v>1218</v>
      </c>
    </row>
    <row r="1220">
      <c r="A1220" t="str">
        <f>fish_lab_data!C1220</f>
        <v>U17504</v>
      </c>
      <c r="B1220" t="str">
        <f t="array" ref="B1220">iferror(index('rna-muscle'!$I:$I,match($A1220,'rna-muscle'!$A:$A,0)))</f>
        <v>BRN75M-D2</v>
      </c>
      <c r="C1220" t="str">
        <f t="array" ref="C1220">iferror(index('rna-muscle'!$L:$L,match($A1220,'rna-muscle'!$A:$A,0)))</f>
        <v>N</v>
      </c>
      <c r="D1220" t="str">
        <f t="array" ref="D1220">iferror(index('rna-gill'!$I:$I,match($A1220,'rna-gill'!$A:$A,0)))</f>
        <v>BRN75G-D2</v>
      </c>
      <c r="E1220" t="str">
        <f t="array" ref="E1220">iferror(index('rna-gill'!$L:$L,match($A1220,'rna-gill'!$A:$A,0)))</f>
        <v>N</v>
      </c>
      <c r="F1220" t="str">
        <f t="array" ref="F1220">iferror(index(fatty_acid!$G:$G,match($A1220,fatty_acid!$A:$A,0)))</f>
        <v>BFA35-38</v>
      </c>
      <c r="G1220" t="str">
        <f t="array" ref="G1220">iferror(index(fatty_acid!$J:$J,match($A1220,fatty_acid!$A:$A,0)))</f>
        <v>N</v>
      </c>
      <c r="H1220" t="str">
        <f t="array" ref="H1220">iferror(index(isotopes!$G:$G,match($A1220,isotopes!$A:$A,0)))</f>
        <v>BIS38-38</v>
      </c>
      <c r="I1220" t="str">
        <f t="array" ref="I1220">iferror(index(isotopes!$J:$J,match($A1220,isotopes!$A:$A,0)))</f>
        <v>N</v>
      </c>
      <c r="J1220" t="str">
        <f t="array" ref="J1220">iferror(index(extra_muscle!$G:$G,match($A1220,extra_muscle!$A:$A,0)))</f>
        <v>BXM36-38</v>
      </c>
      <c r="K1220" t="str">
        <f t="array" ref="K1220">iferror(index(extra_muscle!$J:$J,match($A1220,extra_muscle!$A:$A,0)))</f>
        <v>N</v>
      </c>
      <c r="L1220" s="59" t="str">
        <f t="array" ref="L1220">iferror(index(dna!$G:$G,match($A1220,dna!$A:$A,0)))</f>
        <v>BDN9-33</v>
      </c>
      <c r="M1220" s="60" t="str">
        <f t="array" ref="M1220">iferror(index(dna!$J:$J,match($A1220,dna!$A:$A,0)))</f>
        <v>N</v>
      </c>
      <c r="N1220" t="str">
        <f t="array" ref="N1220">iferror(index(stomachs!$G:$G,match($A1220,stomachs!$A:$A,0)))</f>
        <v/>
      </c>
      <c r="O1220" t="str">
        <f t="array" ref="O1220">iferror(index(stomachs!$J:$J,match($A1220,stomachs!$A:$A,0)))</f>
        <v/>
      </c>
      <c r="P1220" t="str">
        <f t="array" ref="P1220">iferror(index(sea_lice!$G:$G,match($A1220,sea_lice!$A:$A,0)))</f>
        <v>BSL8-2</v>
      </c>
      <c r="Q1220" t="str">
        <f t="array" ref="Q1220">iferror(index(sea_lice!$J:$J,match($A1220,sea_lice!$A:$A,0)))</f>
        <v>N</v>
      </c>
      <c r="R1220" s="40" t="str">
        <f t="array" ref="R1220">iferror(index(dissected_fish!$F:$F,match($A1220,dissected_fish!$A:$A,0)))</f>
        <v>BCA111</v>
      </c>
      <c r="S1220" s="40" t="str">
        <f t="array" ref="S1220">iferror(index(dissected_fish!$K:$K,match($A1220,dissected_fish!$A:$A,0)))</f>
        <v>N</v>
      </c>
      <c r="T1220" s="61" t="str">
        <f t="array" ref="T1220">index(fish_lab_data!O:O,match(A1220,fish_lab_data!C:C,0))</f>
        <v>KB</v>
      </c>
      <c r="U1220" s="61">
        <f t="array" ref="U1220">if(A1220="","",index(fish_lab_data!X:X,match(A1220,fish_lab_data!C:C,0)))</f>
        <v>1219</v>
      </c>
    </row>
    <row r="1221">
      <c r="A1221" t="str">
        <f>fish_lab_data!C1221</f>
        <v>U17509</v>
      </c>
      <c r="B1221" t="str">
        <f t="array" ref="B1221">iferror(index('rna-muscle'!$I:$I,match($A1221,'rna-muscle'!$A:$A,0)))</f>
        <v>BRN75M-C2</v>
      </c>
      <c r="C1221" t="str">
        <f t="array" ref="C1221">iferror(index('rna-muscle'!$L:$L,match($A1221,'rna-muscle'!$A:$A,0)))</f>
        <v>N</v>
      </c>
      <c r="D1221" t="str">
        <f t="array" ref="D1221">iferror(index('rna-gill'!$I:$I,match($A1221,'rna-gill'!$A:$A,0)))</f>
        <v>BRN75G-C2</v>
      </c>
      <c r="E1221" t="str">
        <f t="array" ref="E1221">iferror(index('rna-gill'!$L:$L,match($A1221,'rna-gill'!$A:$A,0)))</f>
        <v>N</v>
      </c>
      <c r="F1221" t="str">
        <f t="array" ref="F1221">iferror(index(fatty_acid!$G:$G,match($A1221,fatty_acid!$A:$A,0)))</f>
        <v>BFA35-39</v>
      </c>
      <c r="G1221" t="str">
        <f t="array" ref="G1221">iferror(index(fatty_acid!$J:$J,match($A1221,fatty_acid!$A:$A,0)))</f>
        <v>N</v>
      </c>
      <c r="H1221" t="str">
        <f t="array" ref="H1221">iferror(index(isotopes!$G:$G,match($A1221,isotopes!$A:$A,0)))</f>
        <v>BIS38-39</v>
      </c>
      <c r="I1221" t="str">
        <f t="array" ref="I1221">iferror(index(isotopes!$J:$J,match($A1221,isotopes!$A:$A,0)))</f>
        <v>N</v>
      </c>
      <c r="J1221" t="str">
        <f t="array" ref="J1221">iferror(index(extra_muscle!$G:$G,match($A1221,extra_muscle!$A:$A,0)))</f>
        <v>BXM36-39</v>
      </c>
      <c r="K1221" t="str">
        <f t="array" ref="K1221">iferror(index(extra_muscle!$J:$J,match($A1221,extra_muscle!$A:$A,0)))</f>
        <v>N</v>
      </c>
      <c r="L1221" s="59" t="str">
        <f t="array" ref="L1221">iferror(index(dna!$G:$G,match($A1221,dna!$A:$A,0)))</f>
        <v>BDN9-34</v>
      </c>
      <c r="M1221" s="60" t="str">
        <f t="array" ref="M1221">iferror(index(dna!$J:$J,match($A1221,dna!$A:$A,0)))</f>
        <v>N</v>
      </c>
      <c r="N1221" t="str">
        <f t="array" ref="N1221">iferror(index(stomachs!$G:$G,match($A1221,stomachs!$A:$A,0)))</f>
        <v/>
      </c>
      <c r="O1221" t="str">
        <f t="array" ref="O1221">iferror(index(stomachs!$J:$J,match($A1221,stomachs!$A:$A,0)))</f>
        <v/>
      </c>
      <c r="P1221" t="str">
        <f t="array" ref="P1221">iferror(index(sea_lice!$G:$G,match($A1221,sea_lice!$A:$A,0)))</f>
        <v>BSL8-3</v>
      </c>
      <c r="Q1221" t="str">
        <f t="array" ref="Q1221">iferror(index(sea_lice!$J:$J,match($A1221,sea_lice!$A:$A,0)))</f>
        <v>N</v>
      </c>
      <c r="R1221" s="40" t="str">
        <f t="array" ref="R1221">iferror(index(dissected_fish!$F:$F,match($A1221,dissected_fish!$A:$A,0)))</f>
        <v>BCA111</v>
      </c>
      <c r="S1221" s="40" t="str">
        <f t="array" ref="S1221">iferror(index(dissected_fish!$K:$K,match($A1221,dissected_fish!$A:$A,0)))</f>
        <v>N</v>
      </c>
      <c r="T1221" s="61" t="str">
        <f t="array" ref="T1221">index(fish_lab_data!O:O,match(A1221,fish_lab_data!C:C,0))</f>
        <v>KB</v>
      </c>
      <c r="U1221" s="61">
        <f t="array" ref="U1221">if(A1221="","",index(fish_lab_data!X:X,match(A1221,fish_lab_data!C:C,0)))</f>
        <v>1220</v>
      </c>
    </row>
    <row r="1222">
      <c r="A1222" t="str">
        <f>fish_lab_data!C1222</f>
        <v>U17502</v>
      </c>
      <c r="B1222" t="str">
        <f t="array" ref="B1222">iferror(index('rna-muscle'!$I:$I,match($A1222,'rna-muscle'!$A:$A,0)))</f>
        <v>BRN75M-B2</v>
      </c>
      <c r="C1222" t="str">
        <f t="array" ref="C1222">iferror(index('rna-muscle'!$L:$L,match($A1222,'rna-muscle'!$A:$A,0)))</f>
        <v>N</v>
      </c>
      <c r="D1222" t="str">
        <f t="array" ref="D1222">iferror(index('rna-gill'!$I:$I,match($A1222,'rna-gill'!$A:$A,0)))</f>
        <v>BRN75G-B2</v>
      </c>
      <c r="E1222" t="str">
        <f t="array" ref="E1222">iferror(index('rna-gill'!$L:$L,match($A1222,'rna-gill'!$A:$A,0)))</f>
        <v>N</v>
      </c>
      <c r="F1222" t="str">
        <f t="array" ref="F1222">iferror(index(fatty_acid!$G:$G,match($A1222,fatty_acid!$A:$A,0)))</f>
        <v>BFA35-40</v>
      </c>
      <c r="G1222" t="str">
        <f t="array" ref="G1222">iferror(index(fatty_acid!$J:$J,match($A1222,fatty_acid!$A:$A,0)))</f>
        <v>N</v>
      </c>
      <c r="H1222" t="str">
        <f t="array" ref="H1222">iferror(index(isotopes!$G:$G,match($A1222,isotopes!$A:$A,0)))</f>
        <v>BIS38-40</v>
      </c>
      <c r="I1222" t="str">
        <f t="array" ref="I1222">iferror(index(isotopes!$J:$J,match($A1222,isotopes!$A:$A,0)))</f>
        <v>N</v>
      </c>
      <c r="J1222" t="str">
        <f t="array" ref="J1222">iferror(index(extra_muscle!$G:$G,match($A1222,extra_muscle!$A:$A,0)))</f>
        <v>BXM36-40</v>
      </c>
      <c r="K1222" t="str">
        <f t="array" ref="K1222">iferror(index(extra_muscle!$J:$J,match($A1222,extra_muscle!$A:$A,0)))</f>
        <v>N</v>
      </c>
      <c r="L1222" s="59" t="str">
        <f t="array" ref="L1222">iferror(index(dna!$G:$G,match($A1222,dna!$A:$A,0)))</f>
        <v>BDN9-35</v>
      </c>
      <c r="M1222" s="60" t="str">
        <f t="array" ref="M1222">iferror(index(dna!$J:$J,match($A1222,dna!$A:$A,0)))</f>
        <v>N</v>
      </c>
      <c r="N1222" t="str">
        <f t="array" ref="N1222">iferror(index(stomachs!$G:$G,match($A1222,stomachs!$A:$A,0)))</f>
        <v/>
      </c>
      <c r="O1222" t="str">
        <f t="array" ref="O1222">iferror(index(stomachs!$J:$J,match($A1222,stomachs!$A:$A,0)))</f>
        <v/>
      </c>
      <c r="P1222" t="str">
        <f t="array" ref="P1222">iferror(index(sea_lice!$G:$G,match($A1222,sea_lice!$A:$A,0)))</f>
        <v>BSL8-4</v>
      </c>
      <c r="Q1222" t="str">
        <f t="array" ref="Q1222">iferror(index(sea_lice!$J:$J,match($A1222,sea_lice!$A:$A,0)))</f>
        <v>N</v>
      </c>
      <c r="R1222" s="40" t="str">
        <f t="array" ref="R1222">iferror(index(dissected_fish!$F:$F,match($A1222,dissected_fish!$A:$A,0)))</f>
        <v>BCA111</v>
      </c>
      <c r="S1222" s="40" t="str">
        <f t="array" ref="S1222">iferror(index(dissected_fish!$K:$K,match($A1222,dissected_fish!$A:$A,0)))</f>
        <v>N</v>
      </c>
      <c r="T1222" s="61" t="str">
        <f t="array" ref="T1222">index(fish_lab_data!O:O,match(A1222,fish_lab_data!C:C,0))</f>
        <v>KB</v>
      </c>
      <c r="U1222" s="61">
        <f t="array" ref="U1222">if(A1222="","",index(fish_lab_data!X:X,match(A1222,fish_lab_data!C:C,0)))</f>
        <v>1221</v>
      </c>
    </row>
    <row r="1223">
      <c r="A1223" t="str">
        <f>fish_lab_data!C1223</f>
        <v>U17507</v>
      </c>
      <c r="B1223" t="str">
        <f t="array" ref="B1223">iferror(index('rna-muscle'!$I:$I,match($A1223,'rna-muscle'!$A:$A,0)))</f>
        <v>BRN75M-A2</v>
      </c>
      <c r="C1223" t="str">
        <f t="array" ref="C1223">iferror(index('rna-muscle'!$L:$L,match($A1223,'rna-muscle'!$A:$A,0)))</f>
        <v>N</v>
      </c>
      <c r="D1223" t="str">
        <f t="array" ref="D1223">iferror(index('rna-gill'!$I:$I,match($A1223,'rna-gill'!$A:$A,0)))</f>
        <v>BRN75G-A2</v>
      </c>
      <c r="E1223" t="str">
        <f t="array" ref="E1223">iferror(index('rna-gill'!$L:$L,match($A1223,'rna-gill'!$A:$A,0)))</f>
        <v>N</v>
      </c>
      <c r="F1223" t="str">
        <f t="array" ref="F1223">iferror(index(fatty_acid!$G:$G,match($A1223,fatty_acid!$A:$A,0)))</f>
        <v>BFA35-41</v>
      </c>
      <c r="G1223" t="str">
        <f t="array" ref="G1223">iferror(index(fatty_acid!$J:$J,match($A1223,fatty_acid!$A:$A,0)))</f>
        <v>N</v>
      </c>
      <c r="H1223" t="str">
        <f t="array" ref="H1223">iferror(index(isotopes!$G:$G,match($A1223,isotopes!$A:$A,0)))</f>
        <v>BIS38-41</v>
      </c>
      <c r="I1223" t="str">
        <f t="array" ref="I1223">iferror(index(isotopes!$J:$J,match($A1223,isotopes!$A:$A,0)))</f>
        <v>N</v>
      </c>
      <c r="J1223" t="str">
        <f t="array" ref="J1223">iferror(index(extra_muscle!$G:$G,match($A1223,extra_muscle!$A:$A,0)))</f>
        <v>BXM36-41</v>
      </c>
      <c r="K1223" t="str">
        <f t="array" ref="K1223">iferror(index(extra_muscle!$J:$J,match($A1223,extra_muscle!$A:$A,0)))</f>
        <v>N</v>
      </c>
      <c r="L1223" s="59" t="str">
        <f t="array" ref="L1223">iferror(index(dna!$G:$G,match($A1223,dna!$A:$A,0)))</f>
        <v>BDN9-36</v>
      </c>
      <c r="M1223" s="60" t="str">
        <f t="array" ref="M1223">iferror(index(dna!$J:$J,match($A1223,dna!$A:$A,0)))</f>
        <v>N</v>
      </c>
      <c r="N1223" t="str">
        <f t="array" ref="N1223">iferror(index(stomachs!$G:$G,match($A1223,stomachs!$A:$A,0)))</f>
        <v/>
      </c>
      <c r="O1223" t="str">
        <f t="array" ref="O1223">iferror(index(stomachs!$J:$J,match($A1223,stomachs!$A:$A,0)))</f>
        <v/>
      </c>
      <c r="P1223" t="str">
        <f t="array" ref="P1223">iferror(index(sea_lice!$G:$G,match($A1223,sea_lice!$A:$A,0)))</f>
        <v>BSL8-6</v>
      </c>
      <c r="Q1223" t="str">
        <f t="array" ref="Q1223">iferror(index(sea_lice!$J:$J,match($A1223,sea_lice!$A:$A,0)))</f>
        <v>N</v>
      </c>
      <c r="R1223" s="40" t="str">
        <f t="array" ref="R1223">iferror(index(dissected_fish!$F:$F,match($A1223,dissected_fish!$A:$A,0)))</f>
        <v>BCA111</v>
      </c>
      <c r="S1223" s="40" t="str">
        <f t="array" ref="S1223">iferror(index(dissected_fish!$K:$K,match($A1223,dissected_fish!$A:$A,0)))</f>
        <v>N</v>
      </c>
      <c r="T1223" s="61" t="str">
        <f t="array" ref="T1223">index(fish_lab_data!O:O,match(A1223,fish_lab_data!C:C,0))</f>
        <v>KB</v>
      </c>
      <c r="U1223" s="61">
        <f t="array" ref="U1223">if(A1223="","",index(fish_lab_data!X:X,match(A1223,fish_lab_data!C:C,0)))</f>
        <v>1222</v>
      </c>
    </row>
    <row r="1224">
      <c r="A1224" t="str">
        <f>fish_lab_data!C1224</f>
        <v>U17508</v>
      </c>
      <c r="B1224" t="str">
        <f t="array" ref="B1224">iferror(index('rna-muscle'!$I:$I,match($A1224,'rna-muscle'!$A:$A,0)))</f>
        <v>BRN75M-H4</v>
      </c>
      <c r="C1224" t="str">
        <f t="array" ref="C1224">iferror(index('rna-muscle'!$L:$L,match($A1224,'rna-muscle'!$A:$A,0)))</f>
        <v>N</v>
      </c>
      <c r="D1224" t="str">
        <f t="array" ref="D1224">iferror(index('rna-gill'!$I:$I,match($A1224,'rna-gill'!$A:$A,0)))</f>
        <v>BRN75G-H4</v>
      </c>
      <c r="E1224" t="str">
        <f t="array" ref="E1224">iferror(index('rna-gill'!$L:$L,match($A1224,'rna-gill'!$A:$A,0)))</f>
        <v>N</v>
      </c>
      <c r="F1224" t="str">
        <f t="array" ref="F1224">iferror(index(fatty_acid!$G:$G,match($A1224,fatty_acid!$A:$A,0)))</f>
        <v>BFA35-42</v>
      </c>
      <c r="G1224" t="str">
        <f t="array" ref="G1224">iferror(index(fatty_acid!$J:$J,match($A1224,fatty_acid!$A:$A,0)))</f>
        <v>N</v>
      </c>
      <c r="H1224" t="str">
        <f t="array" ref="H1224">iferror(index(isotopes!$G:$G,match($A1224,isotopes!$A:$A,0)))</f>
        <v>BIS38-42</v>
      </c>
      <c r="I1224" t="str">
        <f t="array" ref="I1224">iferror(index(isotopes!$J:$J,match($A1224,isotopes!$A:$A,0)))</f>
        <v>N</v>
      </c>
      <c r="J1224" t="str">
        <f t="array" ref="J1224">iferror(index(extra_muscle!$G:$G,match($A1224,extra_muscle!$A:$A,0)))</f>
        <v>BXM36-42</v>
      </c>
      <c r="K1224" t="str">
        <f t="array" ref="K1224">iferror(index(extra_muscle!$J:$J,match($A1224,extra_muscle!$A:$A,0)))</f>
        <v>N</v>
      </c>
      <c r="L1224" s="59" t="str">
        <f t="array" ref="L1224">iferror(index(dna!$G:$G,match($A1224,dna!$A:$A,0)))</f>
        <v>BDN9-37</v>
      </c>
      <c r="M1224" s="60" t="str">
        <f t="array" ref="M1224">iferror(index(dna!$J:$J,match($A1224,dna!$A:$A,0)))</f>
        <v>N</v>
      </c>
      <c r="N1224" t="str">
        <f t="array" ref="N1224">iferror(index(stomachs!$G:$G,match($A1224,stomachs!$A:$A,0)))</f>
        <v/>
      </c>
      <c r="O1224" t="str">
        <f t="array" ref="O1224">iferror(index(stomachs!$J:$J,match($A1224,stomachs!$A:$A,0)))</f>
        <v/>
      </c>
      <c r="P1224" t="str">
        <f t="array" ref="P1224">iferror(index(sea_lice!$G:$G,match($A1224,sea_lice!$A:$A,0)))</f>
        <v>BSL8-8</v>
      </c>
      <c r="Q1224" t="str">
        <f t="array" ref="Q1224">iferror(index(sea_lice!$J:$J,match($A1224,sea_lice!$A:$A,0)))</f>
        <v>N</v>
      </c>
      <c r="R1224" s="40" t="str">
        <f t="array" ref="R1224">iferror(index(dissected_fish!$F:$F,match($A1224,dissected_fish!$A:$A,0)))</f>
        <v>BCA111</v>
      </c>
      <c r="S1224" s="40" t="str">
        <f t="array" ref="S1224">iferror(index(dissected_fish!$K:$K,match($A1224,dissected_fish!$A:$A,0)))</f>
        <v>N</v>
      </c>
      <c r="T1224" s="61" t="str">
        <f t="array" ref="T1224">index(fish_lab_data!O:O,match(A1224,fish_lab_data!C:C,0))</f>
        <v>KB</v>
      </c>
      <c r="U1224" s="61">
        <f t="array" ref="U1224">if(A1224="","",index(fish_lab_data!X:X,match(A1224,fish_lab_data!C:C,0)))</f>
        <v>1223</v>
      </c>
    </row>
    <row r="1225">
      <c r="A1225" t="str">
        <f>fish_lab_data!C1225</f>
        <v>U17505</v>
      </c>
      <c r="B1225" t="str">
        <f t="array" ref="B1225">iferror(index('rna-muscle'!$I:$I,match($A1225,'rna-muscle'!$A:$A,0)))</f>
        <v>BRN75M-G4</v>
      </c>
      <c r="C1225" t="str">
        <f t="array" ref="C1225">iferror(index('rna-muscle'!$L:$L,match($A1225,'rna-muscle'!$A:$A,0)))</f>
        <v>N</v>
      </c>
      <c r="D1225" t="str">
        <f t="array" ref="D1225">iferror(index('rna-gill'!$I:$I,match($A1225,'rna-gill'!$A:$A,0)))</f>
        <v>BRN75G-G4</v>
      </c>
      <c r="E1225" t="str">
        <f t="array" ref="E1225">iferror(index('rna-gill'!$L:$L,match($A1225,'rna-gill'!$A:$A,0)))</f>
        <v>N</v>
      </c>
      <c r="F1225" t="str">
        <f t="array" ref="F1225">iferror(index(fatty_acid!$G:$G,match($A1225,fatty_acid!$A:$A,0)))</f>
        <v>BFA35-43</v>
      </c>
      <c r="G1225" t="str">
        <f t="array" ref="G1225">iferror(index(fatty_acid!$J:$J,match($A1225,fatty_acid!$A:$A,0)))</f>
        <v>N</v>
      </c>
      <c r="H1225" t="str">
        <f t="array" ref="H1225">iferror(index(isotopes!$G:$G,match($A1225,isotopes!$A:$A,0)))</f>
        <v>BIS38-43</v>
      </c>
      <c r="I1225" t="str">
        <f t="array" ref="I1225">iferror(index(isotopes!$J:$J,match($A1225,isotopes!$A:$A,0)))</f>
        <v>N</v>
      </c>
      <c r="J1225" t="str">
        <f t="array" ref="J1225">iferror(index(extra_muscle!$G:$G,match($A1225,extra_muscle!$A:$A,0)))</f>
        <v>BXM36-43</v>
      </c>
      <c r="K1225" t="str">
        <f t="array" ref="K1225">iferror(index(extra_muscle!$J:$J,match($A1225,extra_muscle!$A:$A,0)))</f>
        <v>N</v>
      </c>
      <c r="L1225" s="59" t="str">
        <f t="array" ref="L1225">iferror(index(dna!$G:$G,match($A1225,dna!$A:$A,0)))</f>
        <v>BDN9-38</v>
      </c>
      <c r="M1225" s="60" t="str">
        <f t="array" ref="M1225">iferror(index(dna!$J:$J,match($A1225,dna!$A:$A,0)))</f>
        <v>N</v>
      </c>
      <c r="N1225" t="str">
        <f t="array" ref="N1225">iferror(index(stomachs!$G:$G,match($A1225,stomachs!$A:$A,0)))</f>
        <v/>
      </c>
      <c r="O1225" t="str">
        <f t="array" ref="O1225">iferror(index(stomachs!$J:$J,match($A1225,stomachs!$A:$A,0)))</f>
        <v/>
      </c>
      <c r="P1225" t="str">
        <f t="array" ref="P1225">iferror(index(sea_lice!$G:$G,match($A1225,sea_lice!$A:$A,0)))</f>
        <v>BSL8-9</v>
      </c>
      <c r="Q1225" t="str">
        <f t="array" ref="Q1225">iferror(index(sea_lice!$J:$J,match($A1225,sea_lice!$A:$A,0)))</f>
        <v>N</v>
      </c>
      <c r="R1225" s="40" t="str">
        <f t="array" ref="R1225">iferror(index(dissected_fish!$F:$F,match($A1225,dissected_fish!$A:$A,0)))</f>
        <v>BCA111</v>
      </c>
      <c r="S1225" s="40" t="str">
        <f t="array" ref="S1225">iferror(index(dissected_fish!$K:$K,match($A1225,dissected_fish!$A:$A,0)))</f>
        <v>N</v>
      </c>
      <c r="T1225" s="61" t="str">
        <f t="array" ref="T1225">index(fish_lab_data!O:O,match(A1225,fish_lab_data!C:C,0))</f>
        <v>KB</v>
      </c>
      <c r="U1225" s="61">
        <f t="array" ref="U1225">if(A1225="","",index(fish_lab_data!X:X,match(A1225,fish_lab_data!C:C,0)))</f>
        <v>1224</v>
      </c>
    </row>
    <row r="1226">
      <c r="A1226" t="str">
        <f>fish_lab_data!C1226</f>
        <v>U17510</v>
      </c>
      <c r="B1226" t="str">
        <f t="array" ref="B1226">iferror(index('rna-muscle'!$I:$I,match($A1226,'rna-muscle'!$A:$A,0)))</f>
        <v>BRN75M-F4</v>
      </c>
      <c r="C1226" t="str">
        <f t="array" ref="C1226">iferror(index('rna-muscle'!$L:$L,match($A1226,'rna-muscle'!$A:$A,0)))</f>
        <v>N</v>
      </c>
      <c r="D1226" t="str">
        <f t="array" ref="D1226">iferror(index('rna-gill'!$I:$I,match($A1226,'rna-gill'!$A:$A,0)))</f>
        <v>BRN75G-F4</v>
      </c>
      <c r="E1226" t="str">
        <f t="array" ref="E1226">iferror(index('rna-gill'!$L:$L,match($A1226,'rna-gill'!$A:$A,0)))</f>
        <v>N</v>
      </c>
      <c r="F1226" t="str">
        <f t="array" ref="F1226">iferror(index(fatty_acid!$G:$G,match($A1226,fatty_acid!$A:$A,0)))</f>
        <v>BFA35-44</v>
      </c>
      <c r="G1226" t="str">
        <f t="array" ref="G1226">iferror(index(fatty_acid!$J:$J,match($A1226,fatty_acid!$A:$A,0)))</f>
        <v>N</v>
      </c>
      <c r="H1226" t="str">
        <f t="array" ref="H1226">iferror(index(isotopes!$G:$G,match($A1226,isotopes!$A:$A,0)))</f>
        <v>BIS38-44</v>
      </c>
      <c r="I1226" t="str">
        <f t="array" ref="I1226">iferror(index(isotopes!$J:$J,match($A1226,isotopes!$A:$A,0)))</f>
        <v>N</v>
      </c>
      <c r="J1226" t="str">
        <f t="array" ref="J1226">iferror(index(extra_muscle!$G:$G,match($A1226,extra_muscle!$A:$A,0)))</f>
        <v>BXM36-44</v>
      </c>
      <c r="K1226" t="str">
        <f t="array" ref="K1226">iferror(index(extra_muscle!$J:$J,match($A1226,extra_muscle!$A:$A,0)))</f>
        <v>N</v>
      </c>
      <c r="L1226" s="59" t="str">
        <f t="array" ref="L1226">iferror(index(dna!$G:$G,match($A1226,dna!$A:$A,0)))</f>
        <v>BDN9-39</v>
      </c>
      <c r="M1226" s="60" t="str">
        <f t="array" ref="M1226">iferror(index(dna!$J:$J,match($A1226,dna!$A:$A,0)))</f>
        <v>N</v>
      </c>
      <c r="N1226" t="str">
        <f t="array" ref="N1226">iferror(index(stomachs!$G:$G,match($A1226,stomachs!$A:$A,0)))</f>
        <v/>
      </c>
      <c r="O1226" t="str">
        <f t="array" ref="O1226">iferror(index(stomachs!$J:$J,match($A1226,stomachs!$A:$A,0)))</f>
        <v/>
      </c>
      <c r="P1226" t="str">
        <f t="array" ref="P1226">iferror(index(sea_lice!$G:$G,match($A1226,sea_lice!$A:$A,0)))</f>
        <v>BSL8-10</v>
      </c>
      <c r="Q1226" t="str">
        <f t="array" ref="Q1226">iferror(index(sea_lice!$J:$J,match($A1226,sea_lice!$A:$A,0)))</f>
        <v>N</v>
      </c>
      <c r="R1226" s="40" t="str">
        <f t="array" ref="R1226">iferror(index(dissected_fish!$F:$F,match($A1226,dissected_fish!$A:$A,0)))</f>
        <v>BCA111</v>
      </c>
      <c r="S1226" s="40" t="str">
        <f t="array" ref="S1226">iferror(index(dissected_fish!$K:$K,match($A1226,dissected_fish!$A:$A,0)))</f>
        <v>N</v>
      </c>
      <c r="T1226" s="61" t="str">
        <f t="array" ref="T1226">index(fish_lab_data!O:O,match(A1226,fish_lab_data!C:C,0))</f>
        <v>KB</v>
      </c>
      <c r="U1226" s="61">
        <f t="array" ref="U1226">if(A1226="","",index(fish_lab_data!X:X,match(A1226,fish_lab_data!C:C,0)))</f>
        <v>1225</v>
      </c>
    </row>
    <row r="1227">
      <c r="A1227" t="str">
        <f>fish_lab_data!C1227</f>
        <v>U17506</v>
      </c>
      <c r="B1227" t="str">
        <f t="array" ref="B1227">iferror(index('rna-muscle'!$I:$I,match($A1227,'rna-muscle'!$A:$A,0)))</f>
        <v>BRN75M-E4</v>
      </c>
      <c r="C1227" t="str">
        <f t="array" ref="C1227">iferror(index('rna-muscle'!$L:$L,match($A1227,'rna-muscle'!$A:$A,0)))</f>
        <v>N</v>
      </c>
      <c r="D1227" t="str">
        <f t="array" ref="D1227">iferror(index('rna-gill'!$I:$I,match($A1227,'rna-gill'!$A:$A,0)))</f>
        <v>BRN75G-E4</v>
      </c>
      <c r="E1227" t="str">
        <f t="array" ref="E1227">iferror(index('rna-gill'!$L:$L,match($A1227,'rna-gill'!$A:$A,0)))</f>
        <v>N</v>
      </c>
      <c r="F1227" t="str">
        <f t="array" ref="F1227">iferror(index(fatty_acid!$G:$G,match($A1227,fatty_acid!$A:$A,0)))</f>
        <v>BFA35-45</v>
      </c>
      <c r="G1227" t="str">
        <f t="array" ref="G1227">iferror(index(fatty_acid!$J:$J,match($A1227,fatty_acid!$A:$A,0)))</f>
        <v>N</v>
      </c>
      <c r="H1227" t="str">
        <f t="array" ref="H1227">iferror(index(isotopes!$G:$G,match($A1227,isotopes!$A:$A,0)))</f>
        <v>BIS38-45</v>
      </c>
      <c r="I1227" t="str">
        <f t="array" ref="I1227">iferror(index(isotopes!$J:$J,match($A1227,isotopes!$A:$A,0)))</f>
        <v>N</v>
      </c>
      <c r="J1227" t="str">
        <f t="array" ref="J1227">iferror(index(extra_muscle!$G:$G,match($A1227,extra_muscle!$A:$A,0)))</f>
        <v>BXM36-45</v>
      </c>
      <c r="K1227" t="str">
        <f t="array" ref="K1227">iferror(index(extra_muscle!$J:$J,match($A1227,extra_muscle!$A:$A,0)))</f>
        <v>N</v>
      </c>
      <c r="L1227" s="59" t="str">
        <f t="array" ref="L1227">iferror(index(dna!$G:$G,match($A1227,dna!$A:$A,0)))</f>
        <v>BDN9-40</v>
      </c>
      <c r="M1227" s="60" t="str">
        <f t="array" ref="M1227">iferror(index(dna!$J:$J,match($A1227,dna!$A:$A,0)))</f>
        <v>N</v>
      </c>
      <c r="N1227" t="str">
        <f t="array" ref="N1227">iferror(index(stomachs!$G:$G,match($A1227,stomachs!$A:$A,0)))</f>
        <v/>
      </c>
      <c r="O1227" t="str">
        <f t="array" ref="O1227">iferror(index(stomachs!$J:$J,match($A1227,stomachs!$A:$A,0)))</f>
        <v/>
      </c>
      <c r="P1227" t="str">
        <f t="array" ref="P1227">iferror(index(sea_lice!$G:$G,match($A1227,sea_lice!$A:$A,0)))</f>
        <v>BSL8-11</v>
      </c>
      <c r="Q1227" t="str">
        <f t="array" ref="Q1227">iferror(index(sea_lice!$J:$J,match($A1227,sea_lice!$A:$A,0)))</f>
        <v>N</v>
      </c>
      <c r="R1227" s="40" t="str">
        <f t="array" ref="R1227">iferror(index(dissected_fish!$F:$F,match($A1227,dissected_fish!$A:$A,0)))</f>
        <v>BCA111</v>
      </c>
      <c r="S1227" s="40" t="str">
        <f t="array" ref="S1227">iferror(index(dissected_fish!$K:$K,match($A1227,dissected_fish!$A:$A,0)))</f>
        <v>N</v>
      </c>
      <c r="T1227" s="61" t="str">
        <f t="array" ref="T1227">index(fish_lab_data!O:O,match(A1227,fish_lab_data!C:C,0))</f>
        <v>KB</v>
      </c>
      <c r="U1227" s="61">
        <f t="array" ref="U1227">if(A1227="","",index(fish_lab_data!X:X,match(A1227,fish_lab_data!C:C,0)))</f>
        <v>1226</v>
      </c>
    </row>
    <row r="1228">
      <c r="A1228" t="str">
        <f>fish_lab_data!C1228</f>
        <v>U17501</v>
      </c>
      <c r="B1228" t="str">
        <f t="array" ref="B1228">iferror(index('rna-muscle'!$I:$I,match($A1228,'rna-muscle'!$A:$A,0)))</f>
        <v>BRN75M-D4</v>
      </c>
      <c r="C1228" t="str">
        <f t="array" ref="C1228">iferror(index('rna-muscle'!$L:$L,match($A1228,'rna-muscle'!$A:$A,0)))</f>
        <v>N</v>
      </c>
      <c r="D1228" t="str">
        <f t="array" ref="D1228">iferror(index('rna-gill'!$I:$I,match($A1228,'rna-gill'!$A:$A,0)))</f>
        <v>BRN75G-D4</v>
      </c>
      <c r="E1228" t="str">
        <f t="array" ref="E1228">iferror(index('rna-gill'!$L:$L,match($A1228,'rna-gill'!$A:$A,0)))</f>
        <v>N</v>
      </c>
      <c r="F1228" t="str">
        <f t="array" ref="F1228">iferror(index(fatty_acid!$G:$G,match($A1228,fatty_acid!$A:$A,0)))</f>
        <v>BFA35-46</v>
      </c>
      <c r="G1228" t="str">
        <f t="array" ref="G1228">iferror(index(fatty_acid!$J:$J,match($A1228,fatty_acid!$A:$A,0)))</f>
        <v>N</v>
      </c>
      <c r="H1228" t="str">
        <f t="array" ref="H1228">iferror(index(isotopes!$G:$G,match($A1228,isotopes!$A:$A,0)))</f>
        <v>BIS38-46</v>
      </c>
      <c r="I1228" t="str">
        <f t="array" ref="I1228">iferror(index(isotopes!$J:$J,match($A1228,isotopes!$A:$A,0)))</f>
        <v>N</v>
      </c>
      <c r="J1228" t="str">
        <f t="array" ref="J1228">iferror(index(extra_muscle!$G:$G,match($A1228,extra_muscle!$A:$A,0)))</f>
        <v>BXM36-46</v>
      </c>
      <c r="K1228" t="str">
        <f t="array" ref="K1228">iferror(index(extra_muscle!$J:$J,match($A1228,extra_muscle!$A:$A,0)))</f>
        <v>N</v>
      </c>
      <c r="L1228" s="59" t="str">
        <f t="array" ref="L1228">iferror(index(dna!$G:$G,match($A1228,dna!$A:$A,0)))</f>
        <v>BDN9-41</v>
      </c>
      <c r="M1228" s="60" t="str">
        <f t="array" ref="M1228">iferror(index(dna!$J:$J,match($A1228,dna!$A:$A,0)))</f>
        <v>N</v>
      </c>
      <c r="N1228" t="str">
        <f t="array" ref="N1228">iferror(index(stomachs!$G:$G,match($A1228,stomachs!$A:$A,0)))</f>
        <v/>
      </c>
      <c r="O1228" t="str">
        <f t="array" ref="O1228">iferror(index(stomachs!$J:$J,match($A1228,stomachs!$A:$A,0)))</f>
        <v/>
      </c>
      <c r="P1228" t="str">
        <f t="array" ref="P1228">iferror(index(sea_lice!$G:$G,match($A1228,sea_lice!$A:$A,0)))</f>
        <v>BSL8-13</v>
      </c>
      <c r="Q1228" t="str">
        <f t="array" ref="Q1228">iferror(index(sea_lice!$J:$J,match($A1228,sea_lice!$A:$A,0)))</f>
        <v>N</v>
      </c>
      <c r="R1228" s="40" t="str">
        <f t="array" ref="R1228">iferror(index(dissected_fish!$F:$F,match($A1228,dissected_fish!$A:$A,0)))</f>
        <v>BCA111</v>
      </c>
      <c r="S1228" s="40" t="str">
        <f t="array" ref="S1228">iferror(index(dissected_fish!$K:$K,match($A1228,dissected_fish!$A:$A,0)))</f>
        <v>N</v>
      </c>
      <c r="T1228" s="61" t="str">
        <f t="array" ref="T1228">index(fish_lab_data!O:O,match(A1228,fish_lab_data!C:C,0))</f>
        <v>KB</v>
      </c>
      <c r="U1228" s="61">
        <f t="array" ref="U1228">if(A1228="","",index(fish_lab_data!X:X,match(A1228,fish_lab_data!C:C,0)))</f>
        <v>1227</v>
      </c>
    </row>
    <row r="1229">
      <c r="A1229" t="str">
        <f>fish_lab_data!C1229</f>
        <v>U17503</v>
      </c>
      <c r="B1229" t="str">
        <f t="array" ref="B1229">iferror(index('rna-muscle'!$I:$I,match($A1229,'rna-muscle'!$A:$A,0)))</f>
        <v>BRN75M-C4</v>
      </c>
      <c r="C1229" t="str">
        <f t="array" ref="C1229">iferror(index('rna-muscle'!$L:$L,match($A1229,'rna-muscle'!$A:$A,0)))</f>
        <v>N</v>
      </c>
      <c r="D1229" t="str">
        <f t="array" ref="D1229">iferror(index('rna-gill'!$I:$I,match($A1229,'rna-gill'!$A:$A,0)))</f>
        <v>BRN75G-C4</v>
      </c>
      <c r="E1229" t="str">
        <f t="array" ref="E1229">iferror(index('rna-gill'!$L:$L,match($A1229,'rna-gill'!$A:$A,0)))</f>
        <v>N</v>
      </c>
      <c r="F1229" t="str">
        <f t="array" ref="F1229">iferror(index(fatty_acid!$G:$G,match($A1229,fatty_acid!$A:$A,0)))</f>
        <v>BFA35-47</v>
      </c>
      <c r="G1229" t="str">
        <f t="array" ref="G1229">iferror(index(fatty_acid!$J:$J,match($A1229,fatty_acid!$A:$A,0)))</f>
        <v>N</v>
      </c>
      <c r="H1229" t="str">
        <f t="array" ref="H1229">iferror(index(isotopes!$G:$G,match($A1229,isotopes!$A:$A,0)))</f>
        <v>BIS38-47</v>
      </c>
      <c r="I1229" t="str">
        <f t="array" ref="I1229">iferror(index(isotopes!$J:$J,match($A1229,isotopes!$A:$A,0)))</f>
        <v>N</v>
      </c>
      <c r="J1229" t="str">
        <f t="array" ref="J1229">iferror(index(extra_muscle!$G:$G,match($A1229,extra_muscle!$A:$A,0)))</f>
        <v>BXM36-47</v>
      </c>
      <c r="K1229" t="str">
        <f t="array" ref="K1229">iferror(index(extra_muscle!$J:$J,match($A1229,extra_muscle!$A:$A,0)))</f>
        <v>N</v>
      </c>
      <c r="L1229" s="59" t="str">
        <f t="array" ref="L1229">iferror(index(dna!$G:$G,match($A1229,dna!$A:$A,0)))</f>
        <v>BDN9-42</v>
      </c>
      <c r="M1229" s="60" t="str">
        <f t="array" ref="M1229">iferror(index(dna!$J:$J,match($A1229,dna!$A:$A,0)))</f>
        <v>N</v>
      </c>
      <c r="N1229" t="str">
        <f t="array" ref="N1229">iferror(index(stomachs!$G:$G,match($A1229,stomachs!$A:$A,0)))</f>
        <v/>
      </c>
      <c r="O1229" t="str">
        <f t="array" ref="O1229">iferror(index(stomachs!$J:$J,match($A1229,stomachs!$A:$A,0)))</f>
        <v/>
      </c>
      <c r="P1229" t="str">
        <f t="array" ref="P1229">iferror(index(sea_lice!$G:$G,match($A1229,sea_lice!$A:$A,0)))</f>
        <v/>
      </c>
      <c r="Q1229" t="str">
        <f t="array" ref="Q1229">iferror(index(sea_lice!$J:$J,match($A1229,sea_lice!$A:$A,0)))</f>
        <v/>
      </c>
      <c r="R1229" s="40" t="str">
        <f t="array" ref="R1229">iferror(index(dissected_fish!$F:$F,match($A1229,dissected_fish!$A:$A,0)))</f>
        <v>BCA111</v>
      </c>
      <c r="S1229" s="40" t="str">
        <f t="array" ref="S1229">iferror(index(dissected_fish!$K:$K,match($A1229,dissected_fish!$A:$A,0)))</f>
        <v>N</v>
      </c>
      <c r="T1229" s="61" t="str">
        <f t="array" ref="T1229">index(fish_lab_data!O:O,match(A1229,fish_lab_data!C:C,0))</f>
        <v>KB</v>
      </c>
      <c r="U1229" s="61">
        <f t="array" ref="U1229">if(A1229="","",index(fish_lab_data!X:X,match(A1229,fish_lab_data!C:C,0)))</f>
        <v>1228</v>
      </c>
    </row>
    <row r="1230">
      <c r="A1230" t="str">
        <f>fish_lab_data!C1230</f>
        <v>U17102</v>
      </c>
      <c r="B1230" t="str">
        <f t="array" ref="B1230">iferror(index('rna-muscle'!$I:$I,match($A1230,'rna-muscle'!$A:$A,0)))</f>
        <v>BRN75M-B4</v>
      </c>
      <c r="C1230" t="str">
        <f t="array" ref="C1230">iferror(index('rna-muscle'!$L:$L,match($A1230,'rna-muscle'!$A:$A,0)))</f>
        <v>N</v>
      </c>
      <c r="D1230" t="str">
        <f t="array" ref="D1230">iferror(index('rna-gill'!$I:$I,match($A1230,'rna-gill'!$A:$A,0)))</f>
        <v>BRN75G-B4</v>
      </c>
      <c r="E1230" t="str">
        <f t="array" ref="E1230">iferror(index('rna-gill'!$L:$L,match($A1230,'rna-gill'!$A:$A,0)))</f>
        <v>N</v>
      </c>
      <c r="F1230" t="str">
        <f t="array" ref="F1230">iferror(index(fatty_acid!$G:$G,match($A1230,fatty_acid!$A:$A,0)))</f>
        <v>BFA35-48</v>
      </c>
      <c r="G1230" t="str">
        <f t="array" ref="G1230">iferror(index(fatty_acid!$J:$J,match($A1230,fatty_acid!$A:$A,0)))</f>
        <v>N</v>
      </c>
      <c r="H1230" t="str">
        <f t="array" ref="H1230">iferror(index(isotopes!$G:$G,match($A1230,isotopes!$A:$A,0)))</f>
        <v>BIS38-48</v>
      </c>
      <c r="I1230" t="str">
        <f t="array" ref="I1230">iferror(index(isotopes!$J:$J,match($A1230,isotopes!$A:$A,0)))</f>
        <v>N</v>
      </c>
      <c r="J1230" t="str">
        <f t="array" ref="J1230">iferror(index(extra_muscle!$G:$G,match($A1230,extra_muscle!$A:$A,0)))</f>
        <v>BXM36-48</v>
      </c>
      <c r="K1230" t="str">
        <f t="array" ref="K1230">iferror(index(extra_muscle!$J:$J,match($A1230,extra_muscle!$A:$A,0)))</f>
        <v>N</v>
      </c>
      <c r="L1230" s="59" t="str">
        <f t="array" ref="L1230">iferror(index(dna!$G:$G,match($A1230,dna!$A:$A,0)))</f>
        <v>BDN9-43</v>
      </c>
      <c r="M1230" s="60" t="str">
        <f t="array" ref="M1230">iferror(index(dna!$J:$J,match($A1230,dna!$A:$A,0)))</f>
        <v>N</v>
      </c>
      <c r="N1230" t="str">
        <f t="array" ref="N1230">iferror(index(stomachs!$G:$G,match($A1230,stomachs!$A:$A,0)))</f>
        <v/>
      </c>
      <c r="O1230" t="str">
        <f t="array" ref="O1230">iferror(index(stomachs!$J:$J,match($A1230,stomachs!$A:$A,0)))</f>
        <v/>
      </c>
      <c r="P1230" t="str">
        <f t="array" ref="P1230">iferror(index(sea_lice!$G:$G,match($A1230,sea_lice!$A:$A,0)))</f>
        <v>BSL2-76</v>
      </c>
      <c r="Q1230" t="str">
        <f t="array" ref="Q1230">iferror(index(sea_lice!$J:$J,match($A1230,sea_lice!$A:$A,0)))</f>
        <v>N</v>
      </c>
      <c r="R1230" s="40" t="str">
        <f t="array" ref="R1230">iferror(index(dissected_fish!$F:$F,match($A1230,dissected_fish!$A:$A,0)))</f>
        <v>BCA111</v>
      </c>
      <c r="S1230" s="40" t="str">
        <f t="array" ref="S1230">iferror(index(dissected_fish!$K:$K,match($A1230,dissected_fish!$A:$A,0)))</f>
        <v>N</v>
      </c>
      <c r="T1230" s="61" t="str">
        <f t="array" ref="T1230">index(fish_lab_data!O:O,match(A1230,fish_lab_data!C:C,0))</f>
        <v>KB</v>
      </c>
      <c r="U1230" s="61">
        <f t="array" ref="U1230">if(A1230="","",index(fish_lab_data!X:X,match(A1230,fish_lab_data!C:C,0)))</f>
        <v>1229</v>
      </c>
    </row>
    <row r="1231">
      <c r="A1231" t="str">
        <f>fish_lab_data!C1231</f>
        <v>U17107</v>
      </c>
      <c r="B1231" t="str">
        <f t="array" ref="B1231">iferror(index('rna-muscle'!$I:$I,match($A1231,'rna-muscle'!$A:$A,0)))</f>
        <v>BRN75M-A4</v>
      </c>
      <c r="C1231" t="str">
        <f t="array" ref="C1231">iferror(index('rna-muscle'!$L:$L,match($A1231,'rna-muscle'!$A:$A,0)))</f>
        <v>N</v>
      </c>
      <c r="D1231" t="str">
        <f t="array" ref="D1231">iferror(index('rna-gill'!$I:$I,match($A1231,'rna-gill'!$A:$A,0)))</f>
        <v>BRN75G-A4</v>
      </c>
      <c r="E1231" t="str">
        <f t="array" ref="E1231">iferror(index('rna-gill'!$L:$L,match($A1231,'rna-gill'!$A:$A,0)))</f>
        <v>N</v>
      </c>
      <c r="F1231" t="str">
        <f t="array" ref="F1231">iferror(index(fatty_acid!$G:$G,match($A1231,fatty_acid!$A:$A,0)))</f>
        <v>BFA35-49</v>
      </c>
      <c r="G1231" t="str">
        <f t="array" ref="G1231">iferror(index(fatty_acid!$J:$J,match($A1231,fatty_acid!$A:$A,0)))</f>
        <v>N</v>
      </c>
      <c r="H1231" t="str">
        <f t="array" ref="H1231">iferror(index(isotopes!$G:$G,match($A1231,isotopes!$A:$A,0)))</f>
        <v>BIS38-49</v>
      </c>
      <c r="I1231" t="str">
        <f t="array" ref="I1231">iferror(index(isotopes!$J:$J,match($A1231,isotopes!$A:$A,0)))</f>
        <v>N</v>
      </c>
      <c r="J1231" t="str">
        <f t="array" ref="J1231">iferror(index(extra_muscle!$G:$G,match($A1231,extra_muscle!$A:$A,0)))</f>
        <v>BXM36-49</v>
      </c>
      <c r="K1231" t="str">
        <f t="array" ref="K1231">iferror(index(extra_muscle!$J:$J,match($A1231,extra_muscle!$A:$A,0)))</f>
        <v>N</v>
      </c>
      <c r="L1231" s="59" t="str">
        <f t="array" ref="L1231">iferror(index(dna!$G:$G,match($A1231,dna!$A:$A,0)))</f>
        <v>BDN9-44</v>
      </c>
      <c r="M1231" s="60" t="str">
        <f t="array" ref="M1231">iferror(index(dna!$J:$J,match($A1231,dna!$A:$A,0)))</f>
        <v>N</v>
      </c>
      <c r="N1231" t="str">
        <f t="array" ref="N1231">iferror(index(stomachs!$G:$G,match($A1231,stomachs!$A:$A,0)))</f>
        <v/>
      </c>
      <c r="O1231" t="str">
        <f t="array" ref="O1231">iferror(index(stomachs!$J:$J,match($A1231,stomachs!$A:$A,0)))</f>
        <v/>
      </c>
      <c r="P1231" t="str">
        <f t="array" ref="P1231">iferror(index(sea_lice!$G:$G,match($A1231,sea_lice!$A:$A,0)))</f>
        <v>BSL2-78</v>
      </c>
      <c r="Q1231" t="str">
        <f t="array" ref="Q1231">iferror(index(sea_lice!$J:$J,match($A1231,sea_lice!$A:$A,0)))</f>
        <v>N</v>
      </c>
      <c r="R1231" s="40" t="str">
        <f t="array" ref="R1231">iferror(index(dissected_fish!$F:$F,match($A1231,dissected_fish!$A:$A,0)))</f>
        <v>BCA111</v>
      </c>
      <c r="S1231" s="40" t="str">
        <f t="array" ref="S1231">iferror(index(dissected_fish!$K:$K,match($A1231,dissected_fish!$A:$A,0)))</f>
        <v>N</v>
      </c>
      <c r="T1231" s="61" t="str">
        <f t="array" ref="T1231">index(fish_lab_data!O:O,match(A1231,fish_lab_data!C:C,0))</f>
        <v>KB</v>
      </c>
      <c r="U1231" s="61">
        <f t="array" ref="U1231">if(A1231="","",index(fish_lab_data!X:X,match(A1231,fish_lab_data!C:C,0)))</f>
        <v>1230</v>
      </c>
    </row>
    <row r="1232">
      <c r="A1232" t="str">
        <f>fish_lab_data!C1232</f>
        <v>U17259</v>
      </c>
      <c r="B1232" t="str">
        <f t="array" ref="B1232">iferror(index('rna-muscle'!$I:$I,match($A1232,'rna-muscle'!$A:$A,0)))</f>
        <v>BRN74M-E12</v>
      </c>
      <c r="C1232" t="str">
        <f t="array" ref="C1232">iferror(index('rna-muscle'!$L:$L,match($A1232,'rna-muscle'!$A:$A,0)))</f>
        <v>N</v>
      </c>
      <c r="D1232" t="str">
        <f t="array" ref="D1232">iferror(index('rna-gill'!$I:$I,match($A1232,'rna-gill'!$A:$A,0)))</f>
        <v>BRN74G-E12</v>
      </c>
      <c r="E1232" t="str">
        <f t="array" ref="E1232">iferror(index('rna-gill'!$L:$L,match($A1232,'rna-gill'!$A:$A,0)))</f>
        <v>N</v>
      </c>
      <c r="F1232" t="str">
        <f t="array" ref="F1232">iferror(index(fatty_acid!$G:$G,match($A1232,fatty_acid!$A:$A,0)))</f>
        <v>BFA33-27</v>
      </c>
      <c r="G1232" t="str">
        <f t="array" ref="G1232">iferror(index(fatty_acid!$J:$J,match($A1232,fatty_acid!$A:$A,0)))</f>
        <v>N</v>
      </c>
      <c r="H1232" t="str">
        <f t="array" ref="H1232">iferror(index(isotopes!$G:$G,match($A1232,isotopes!$A:$A,0)))</f>
        <v>BIS36-73</v>
      </c>
      <c r="I1232" t="str">
        <f t="array" ref="I1232">iferror(index(isotopes!$J:$J,match($A1232,isotopes!$A:$A,0)))</f>
        <v>N</v>
      </c>
      <c r="J1232" t="str">
        <f t="array" ref="J1232">iferror(index(extra_muscle!$G:$G,match($A1232,extra_muscle!$A:$A,0)))</f>
        <v>BXM34-73</v>
      </c>
      <c r="K1232" t="str">
        <f t="array" ref="K1232">iferror(index(extra_muscle!$J:$J,match($A1232,extra_muscle!$A:$A,0)))</f>
        <v>N</v>
      </c>
      <c r="L1232" s="59" t="str">
        <f t="array" ref="L1232">iferror(index(dna!$G:$G,match($A1232,dna!$A:$A,0)))</f>
        <v>BDN10-63</v>
      </c>
      <c r="M1232" s="60" t="str">
        <f t="array" ref="M1232">iferror(index(dna!$J:$J,match($A1232,dna!$A:$A,0)))</f>
        <v>N</v>
      </c>
      <c r="N1232" t="str">
        <f t="array" ref="N1232">iferror(index(stomachs!$G:$G,match($A1232,stomachs!$A:$A,0)))</f>
        <v/>
      </c>
      <c r="O1232" t="str">
        <f t="array" ref="O1232">iferror(index(stomachs!$J:$J,match($A1232,stomachs!$A:$A,0)))</f>
        <v/>
      </c>
      <c r="P1232" t="str">
        <f t="array" ref="P1232">iferror(index(sea_lice!$G:$G,match($A1232,sea_lice!$A:$A,0)))</f>
        <v>BSL7-100</v>
      </c>
      <c r="Q1232" t="str">
        <f t="array" ref="Q1232">iferror(index(sea_lice!$J:$J,match($A1232,sea_lice!$A:$A,0)))</f>
        <v>N</v>
      </c>
      <c r="R1232" s="40" t="str">
        <f t="array" ref="R1232">iferror(index(dissected_fish!$F:$F,match($A1232,dissected_fish!$A:$A,0)))</f>
        <v>BCA111</v>
      </c>
      <c r="S1232" s="40" t="str">
        <f t="array" ref="S1232">iferror(index(dissected_fish!$K:$K,match($A1232,dissected_fish!$A:$A,0)))</f>
        <v>N</v>
      </c>
      <c r="T1232" s="61" t="str">
        <f t="array" ref="T1232">index(fish_lab_data!O:O,match(A1232,fish_lab_data!C:C,0))</f>
        <v>JG</v>
      </c>
      <c r="U1232" s="61">
        <f t="array" ref="U1232">if(A1232="","",index(fish_lab_data!X:X,match(A1232,fish_lab_data!C:C,0)))</f>
        <v>1231</v>
      </c>
    </row>
    <row r="1233">
      <c r="A1233" t="str">
        <f>fish_lab_data!C1233</f>
        <v>U17260</v>
      </c>
      <c r="B1233" t="str">
        <f t="array" ref="B1233">iferror(index('rna-muscle'!$I:$I,match($A1233,'rna-muscle'!$A:$A,0)))</f>
        <v>BRN74M-D12</v>
      </c>
      <c r="C1233" t="str">
        <f t="array" ref="C1233">iferror(index('rna-muscle'!$L:$L,match($A1233,'rna-muscle'!$A:$A,0)))</f>
        <v>N</v>
      </c>
      <c r="D1233" t="str">
        <f t="array" ref="D1233">iferror(index('rna-gill'!$I:$I,match($A1233,'rna-gill'!$A:$A,0)))</f>
        <v>BRN74G-D12</v>
      </c>
      <c r="E1233" t="str">
        <f t="array" ref="E1233">iferror(index('rna-gill'!$L:$L,match($A1233,'rna-gill'!$A:$A,0)))</f>
        <v>N</v>
      </c>
      <c r="F1233" t="str">
        <f t="array" ref="F1233">iferror(index(fatty_acid!$G:$G,match($A1233,fatty_acid!$A:$A,0)))</f>
        <v>BFA33-28</v>
      </c>
      <c r="G1233" t="str">
        <f t="array" ref="G1233">iferror(index(fatty_acid!$J:$J,match($A1233,fatty_acid!$A:$A,0)))</f>
        <v>N</v>
      </c>
      <c r="H1233" t="str">
        <f t="array" ref="H1233">iferror(index(isotopes!$G:$G,match($A1233,isotopes!$A:$A,0)))</f>
        <v>BIS36-74</v>
      </c>
      <c r="I1233" t="str">
        <f t="array" ref="I1233">iferror(index(isotopes!$J:$J,match($A1233,isotopes!$A:$A,0)))</f>
        <v>N</v>
      </c>
      <c r="J1233" t="str">
        <f t="array" ref="J1233">iferror(index(extra_muscle!$G:$G,match($A1233,extra_muscle!$A:$A,0)))</f>
        <v>BXM34-74</v>
      </c>
      <c r="K1233" t="str">
        <f t="array" ref="K1233">iferror(index(extra_muscle!$J:$J,match($A1233,extra_muscle!$A:$A,0)))</f>
        <v>N</v>
      </c>
      <c r="L1233" s="59" t="str">
        <f t="array" ref="L1233">iferror(index(dna!$G:$G,match($A1233,dna!$A:$A,0)))</f>
        <v>BDN10-64</v>
      </c>
      <c r="M1233" s="60" t="str">
        <f t="array" ref="M1233">iferror(index(dna!$J:$J,match($A1233,dna!$A:$A,0)))</f>
        <v>N</v>
      </c>
      <c r="N1233" t="str">
        <f t="array" ref="N1233">iferror(index(stomachs!$G:$G,match($A1233,stomachs!$A:$A,0)))</f>
        <v/>
      </c>
      <c r="O1233" t="str">
        <f t="array" ref="O1233">iferror(index(stomachs!$J:$J,match($A1233,stomachs!$A:$A,0)))</f>
        <v/>
      </c>
      <c r="P1233" t="str">
        <f t="array" ref="P1233">iferror(index(sea_lice!$G:$G,match($A1233,sea_lice!$A:$A,0)))</f>
        <v/>
      </c>
      <c r="Q1233" t="str">
        <f t="array" ref="Q1233">iferror(index(sea_lice!$J:$J,match($A1233,sea_lice!$A:$A,0)))</f>
        <v/>
      </c>
      <c r="R1233" s="40" t="str">
        <f t="array" ref="R1233">iferror(index(dissected_fish!$F:$F,match($A1233,dissected_fish!$A:$A,0)))</f>
        <v>BCA111</v>
      </c>
      <c r="S1233" s="40" t="str">
        <f t="array" ref="S1233">iferror(index(dissected_fish!$K:$K,match($A1233,dissected_fish!$A:$A,0)))</f>
        <v>N</v>
      </c>
      <c r="T1233" s="61" t="str">
        <f t="array" ref="T1233">index(fish_lab_data!O:O,match(A1233,fish_lab_data!C:C,0))</f>
        <v>JG</v>
      </c>
      <c r="U1233" s="61">
        <f t="array" ref="U1233">if(A1233="","",index(fish_lab_data!X:X,match(A1233,fish_lab_data!C:C,0)))</f>
        <v>1232</v>
      </c>
    </row>
    <row r="1234">
      <c r="A1234" t="str">
        <f>fish_lab_data!C1234</f>
        <v>U17258</v>
      </c>
      <c r="B1234" t="str">
        <f t="array" ref="B1234">iferror(index('rna-muscle'!$I:$I,match($A1234,'rna-muscle'!$A:$A,0)))</f>
        <v>BRN74M-C12</v>
      </c>
      <c r="C1234" t="str">
        <f t="array" ref="C1234">iferror(index('rna-muscle'!$L:$L,match($A1234,'rna-muscle'!$A:$A,0)))</f>
        <v>N</v>
      </c>
      <c r="D1234" t="str">
        <f t="array" ref="D1234">iferror(index('rna-gill'!$I:$I,match($A1234,'rna-gill'!$A:$A,0)))</f>
        <v>BRN74G-C12</v>
      </c>
      <c r="E1234" t="str">
        <f t="array" ref="E1234">iferror(index('rna-gill'!$L:$L,match($A1234,'rna-gill'!$A:$A,0)))</f>
        <v>N</v>
      </c>
      <c r="F1234" t="str">
        <f t="array" ref="F1234">iferror(index(fatty_acid!$G:$G,match($A1234,fatty_acid!$A:$A,0)))</f>
        <v>BFA33-29</v>
      </c>
      <c r="G1234" t="str">
        <f t="array" ref="G1234">iferror(index(fatty_acid!$J:$J,match($A1234,fatty_acid!$A:$A,0)))</f>
        <v>N</v>
      </c>
      <c r="H1234" t="str">
        <f t="array" ref="H1234">iferror(index(isotopes!$G:$G,match($A1234,isotopes!$A:$A,0)))</f>
        <v>BIS36-75</v>
      </c>
      <c r="I1234" t="str">
        <f t="array" ref="I1234">iferror(index(isotopes!$J:$J,match($A1234,isotopes!$A:$A,0)))</f>
        <v>N</v>
      </c>
      <c r="J1234" t="str">
        <f t="array" ref="J1234">iferror(index(extra_muscle!$G:$G,match($A1234,extra_muscle!$A:$A,0)))</f>
        <v>BXM34-75</v>
      </c>
      <c r="K1234" t="str">
        <f t="array" ref="K1234">iferror(index(extra_muscle!$J:$J,match($A1234,extra_muscle!$A:$A,0)))</f>
        <v>N</v>
      </c>
      <c r="L1234" s="59" t="str">
        <f t="array" ref="L1234">iferror(index(dna!$G:$G,match($A1234,dna!$A:$A,0)))</f>
        <v>BDN10-65</v>
      </c>
      <c r="M1234" s="60" t="str">
        <f t="array" ref="M1234">iferror(index(dna!$J:$J,match($A1234,dna!$A:$A,0)))</f>
        <v>N</v>
      </c>
      <c r="N1234" t="str">
        <f t="array" ref="N1234">iferror(index(stomachs!$G:$G,match($A1234,stomachs!$A:$A,0)))</f>
        <v/>
      </c>
      <c r="O1234" t="str">
        <f t="array" ref="O1234">iferror(index(stomachs!$J:$J,match($A1234,stomachs!$A:$A,0)))</f>
        <v/>
      </c>
      <c r="P1234" t="str">
        <f t="array" ref="P1234">iferror(index(sea_lice!$G:$G,match($A1234,sea_lice!$A:$A,0)))</f>
        <v>BSL8-1</v>
      </c>
      <c r="Q1234" t="str">
        <f t="array" ref="Q1234">iferror(index(sea_lice!$J:$J,match($A1234,sea_lice!$A:$A,0)))</f>
        <v>N</v>
      </c>
      <c r="R1234" s="40" t="str">
        <f t="array" ref="R1234">iferror(index(dissected_fish!$F:$F,match($A1234,dissected_fish!$A:$A,0)))</f>
        <v>BCA111</v>
      </c>
      <c r="S1234" s="40" t="str">
        <f t="array" ref="S1234">iferror(index(dissected_fish!$K:$K,match($A1234,dissected_fish!$A:$A,0)))</f>
        <v>N</v>
      </c>
      <c r="T1234" s="61" t="str">
        <f t="array" ref="T1234">index(fish_lab_data!O:O,match(A1234,fish_lab_data!C:C,0))</f>
        <v>JG</v>
      </c>
      <c r="U1234" s="61">
        <f t="array" ref="U1234">if(A1234="","",index(fish_lab_data!X:X,match(A1234,fish_lab_data!C:C,0)))</f>
        <v>1233</v>
      </c>
    </row>
    <row r="1235">
      <c r="A1235" t="str">
        <f>fish_lab_data!C1235</f>
        <v>U17256</v>
      </c>
      <c r="B1235" t="str">
        <f t="array" ref="B1235">iferror(index('rna-muscle'!$I:$I,match($A1235,'rna-muscle'!$A:$A,0)))</f>
        <v>BRN74M-B12</v>
      </c>
      <c r="C1235" t="str">
        <f t="array" ref="C1235">iferror(index('rna-muscle'!$L:$L,match($A1235,'rna-muscle'!$A:$A,0)))</f>
        <v>N</v>
      </c>
      <c r="D1235" t="str">
        <f t="array" ref="D1235">iferror(index('rna-gill'!$I:$I,match($A1235,'rna-gill'!$A:$A,0)))</f>
        <v>BRN74G-B12</v>
      </c>
      <c r="E1235" t="str">
        <f t="array" ref="E1235">iferror(index('rna-gill'!$L:$L,match($A1235,'rna-gill'!$A:$A,0)))</f>
        <v>N</v>
      </c>
      <c r="F1235" t="str">
        <f t="array" ref="F1235">iferror(index(fatty_acid!$G:$G,match($A1235,fatty_acid!$A:$A,0)))</f>
        <v>BFA33-30</v>
      </c>
      <c r="G1235" t="str">
        <f t="array" ref="G1235">iferror(index(fatty_acid!$J:$J,match($A1235,fatty_acid!$A:$A,0)))</f>
        <v>N</v>
      </c>
      <c r="H1235" t="str">
        <f t="array" ref="H1235">iferror(index(isotopes!$G:$G,match($A1235,isotopes!$A:$A,0)))</f>
        <v>BIS36-76</v>
      </c>
      <c r="I1235" t="str">
        <f t="array" ref="I1235">iferror(index(isotopes!$J:$J,match($A1235,isotopes!$A:$A,0)))</f>
        <v>N</v>
      </c>
      <c r="J1235" t="str">
        <f t="array" ref="J1235">iferror(index(extra_muscle!$G:$G,match($A1235,extra_muscle!$A:$A,0)))</f>
        <v>BXM34-76</v>
      </c>
      <c r="K1235" t="str">
        <f t="array" ref="K1235">iferror(index(extra_muscle!$J:$J,match($A1235,extra_muscle!$A:$A,0)))</f>
        <v>N</v>
      </c>
      <c r="L1235" s="59" t="str">
        <f t="array" ref="L1235">iferror(index(dna!$G:$G,match($A1235,dna!$A:$A,0)))</f>
        <v>BDN10-66</v>
      </c>
      <c r="M1235" s="60" t="str">
        <f t="array" ref="M1235">iferror(index(dna!$J:$J,match($A1235,dna!$A:$A,0)))</f>
        <v>N</v>
      </c>
      <c r="N1235" t="str">
        <f t="array" ref="N1235">iferror(index(stomachs!$G:$G,match($A1235,stomachs!$A:$A,0)))</f>
        <v/>
      </c>
      <c r="O1235" t="str">
        <f t="array" ref="O1235">iferror(index(stomachs!$J:$J,match($A1235,stomachs!$A:$A,0)))</f>
        <v/>
      </c>
      <c r="P1235" t="str">
        <f t="array" ref="P1235">iferror(index(sea_lice!$G:$G,match($A1235,sea_lice!$A:$A,0)))</f>
        <v/>
      </c>
      <c r="Q1235" t="str">
        <f t="array" ref="Q1235">iferror(index(sea_lice!$J:$J,match($A1235,sea_lice!$A:$A,0)))</f>
        <v/>
      </c>
      <c r="R1235" s="40" t="str">
        <f t="array" ref="R1235">iferror(index(dissected_fish!$F:$F,match($A1235,dissected_fish!$A:$A,0)))</f>
        <v>BCA111</v>
      </c>
      <c r="S1235" s="40" t="str">
        <f t="array" ref="S1235">iferror(index(dissected_fish!$K:$K,match($A1235,dissected_fish!$A:$A,0)))</f>
        <v>N</v>
      </c>
      <c r="T1235" s="61" t="str">
        <f t="array" ref="T1235">index(fish_lab_data!O:O,match(A1235,fish_lab_data!C:C,0))</f>
        <v>JG</v>
      </c>
      <c r="U1235" s="61">
        <f t="array" ref="U1235">if(A1235="","",index(fish_lab_data!X:X,match(A1235,fish_lab_data!C:C,0)))</f>
        <v>1234</v>
      </c>
    </row>
    <row r="1236">
      <c r="A1236" t="str">
        <f>fish_lab_data!C1236</f>
        <v>U17253</v>
      </c>
      <c r="B1236" t="str">
        <f t="array" ref="B1236">iferror(index('rna-muscle'!$I:$I,match($A1236,'rna-muscle'!$A:$A,0)))</f>
        <v>BRN74M-A12</v>
      </c>
      <c r="C1236" t="str">
        <f t="array" ref="C1236">iferror(index('rna-muscle'!$L:$L,match($A1236,'rna-muscle'!$A:$A,0)))</f>
        <v>N</v>
      </c>
      <c r="D1236" t="str">
        <f t="array" ref="D1236">iferror(index('rna-gill'!$I:$I,match($A1236,'rna-gill'!$A:$A,0)))</f>
        <v>BRN74G-A12</v>
      </c>
      <c r="E1236" t="str">
        <f t="array" ref="E1236">iferror(index('rna-gill'!$L:$L,match($A1236,'rna-gill'!$A:$A,0)))</f>
        <v>N</v>
      </c>
      <c r="F1236" t="str">
        <f t="array" ref="F1236">iferror(index(fatty_acid!$G:$G,match($A1236,fatty_acid!$A:$A,0)))</f>
        <v>BFA33-31</v>
      </c>
      <c r="G1236" t="str">
        <f t="array" ref="G1236">iferror(index(fatty_acid!$J:$J,match($A1236,fatty_acid!$A:$A,0)))</f>
        <v>N</v>
      </c>
      <c r="H1236" t="str">
        <f t="array" ref="H1236">iferror(index(isotopes!$G:$G,match($A1236,isotopes!$A:$A,0)))</f>
        <v>BIS36-77</v>
      </c>
      <c r="I1236" t="str">
        <f t="array" ref="I1236">iferror(index(isotopes!$J:$J,match($A1236,isotopes!$A:$A,0)))</f>
        <v>N</v>
      </c>
      <c r="J1236" t="str">
        <f t="array" ref="J1236">iferror(index(extra_muscle!$G:$G,match($A1236,extra_muscle!$A:$A,0)))</f>
        <v>BXM34-77</v>
      </c>
      <c r="K1236" t="str">
        <f t="array" ref="K1236">iferror(index(extra_muscle!$J:$J,match($A1236,extra_muscle!$A:$A,0)))</f>
        <v>N</v>
      </c>
      <c r="L1236" s="59" t="str">
        <f t="array" ref="L1236">iferror(index(dna!$G:$G,match($A1236,dna!$A:$A,0)))</f>
        <v>BDN10-67</v>
      </c>
      <c r="M1236" s="60" t="str">
        <f t="array" ref="M1236">iferror(index(dna!$J:$J,match($A1236,dna!$A:$A,0)))</f>
        <v>N</v>
      </c>
      <c r="N1236" t="str">
        <f t="array" ref="N1236">iferror(index(stomachs!$G:$G,match($A1236,stomachs!$A:$A,0)))</f>
        <v/>
      </c>
      <c r="O1236" t="str">
        <f t="array" ref="O1236">iferror(index(stomachs!$J:$J,match($A1236,stomachs!$A:$A,0)))</f>
        <v/>
      </c>
      <c r="P1236" t="str">
        <f t="array" ref="P1236">iferror(index(sea_lice!$G:$G,match($A1236,sea_lice!$A:$A,0)))</f>
        <v/>
      </c>
      <c r="Q1236" t="str">
        <f t="array" ref="Q1236">iferror(index(sea_lice!$J:$J,match($A1236,sea_lice!$A:$A,0)))</f>
        <v/>
      </c>
      <c r="R1236" s="40" t="str">
        <f t="array" ref="R1236">iferror(index(dissected_fish!$F:$F,match($A1236,dissected_fish!$A:$A,0)))</f>
        <v>BCA111</v>
      </c>
      <c r="S1236" s="40" t="str">
        <f t="array" ref="S1236">iferror(index(dissected_fish!$K:$K,match($A1236,dissected_fish!$A:$A,0)))</f>
        <v>N</v>
      </c>
      <c r="T1236" s="61" t="str">
        <f t="array" ref="T1236">index(fish_lab_data!O:O,match(A1236,fish_lab_data!C:C,0))</f>
        <v>JG</v>
      </c>
      <c r="U1236" s="61">
        <f t="array" ref="U1236">if(A1236="","",index(fish_lab_data!X:X,match(A1236,fish_lab_data!C:C,0)))</f>
        <v>1235</v>
      </c>
    </row>
    <row r="1237">
      <c r="A1237" t="str">
        <f>fish_lab_data!C1237</f>
        <v>U17257</v>
      </c>
      <c r="B1237" t="str">
        <f t="array" ref="B1237">iferror(index('rna-muscle'!$I:$I,match($A1237,'rna-muscle'!$A:$A,0)))</f>
        <v>BRN75M-H3</v>
      </c>
      <c r="C1237" t="str">
        <f t="array" ref="C1237">iferror(index('rna-muscle'!$L:$L,match($A1237,'rna-muscle'!$A:$A,0)))</f>
        <v>N</v>
      </c>
      <c r="D1237" t="str">
        <f t="array" ref="D1237">iferror(index('rna-gill'!$I:$I,match($A1237,'rna-gill'!$A:$A,0)))</f>
        <v>BRN75G-H3</v>
      </c>
      <c r="E1237" t="str">
        <f t="array" ref="E1237">iferror(index('rna-gill'!$L:$L,match($A1237,'rna-gill'!$A:$A,0)))</f>
        <v>N</v>
      </c>
      <c r="F1237" t="str">
        <f t="array" ref="F1237">iferror(index(fatty_acid!$G:$G,match($A1237,fatty_acid!$A:$A,0)))</f>
        <v>BFA33-32</v>
      </c>
      <c r="G1237" t="str">
        <f t="array" ref="G1237">iferror(index(fatty_acid!$J:$J,match($A1237,fatty_acid!$A:$A,0)))</f>
        <v>N</v>
      </c>
      <c r="H1237" t="str">
        <f t="array" ref="H1237">iferror(index(isotopes!$G:$G,match($A1237,isotopes!$A:$A,0)))</f>
        <v>BIS36-78</v>
      </c>
      <c r="I1237" t="str">
        <f t="array" ref="I1237">iferror(index(isotopes!$J:$J,match($A1237,isotopes!$A:$A,0)))</f>
        <v>N</v>
      </c>
      <c r="J1237" t="str">
        <f t="array" ref="J1237">iferror(index(extra_muscle!$G:$G,match($A1237,extra_muscle!$A:$A,0)))</f>
        <v>BXM34-78</v>
      </c>
      <c r="K1237" t="str">
        <f t="array" ref="K1237">iferror(index(extra_muscle!$J:$J,match($A1237,extra_muscle!$A:$A,0)))</f>
        <v>N</v>
      </c>
      <c r="L1237" s="59" t="str">
        <f t="array" ref="L1237">iferror(index(dna!$G:$G,match($A1237,dna!$A:$A,0)))</f>
        <v>BDN10-68</v>
      </c>
      <c r="M1237" s="60" t="str">
        <f t="array" ref="M1237">iferror(index(dna!$J:$J,match($A1237,dna!$A:$A,0)))</f>
        <v>N</v>
      </c>
      <c r="N1237" t="str">
        <f t="array" ref="N1237">iferror(index(stomachs!$G:$G,match($A1237,stomachs!$A:$A,0)))</f>
        <v/>
      </c>
      <c r="O1237" t="str">
        <f t="array" ref="O1237">iferror(index(stomachs!$J:$J,match($A1237,stomachs!$A:$A,0)))</f>
        <v/>
      </c>
      <c r="P1237" t="str">
        <f t="array" ref="P1237">iferror(index(sea_lice!$G:$G,match($A1237,sea_lice!$A:$A,0)))</f>
        <v/>
      </c>
      <c r="Q1237" t="str">
        <f t="array" ref="Q1237">iferror(index(sea_lice!$J:$J,match($A1237,sea_lice!$A:$A,0)))</f>
        <v/>
      </c>
      <c r="R1237" s="40" t="str">
        <f t="array" ref="R1237">iferror(index(dissected_fish!$F:$F,match($A1237,dissected_fish!$A:$A,0)))</f>
        <v>BCA111</v>
      </c>
      <c r="S1237" s="40" t="str">
        <f t="array" ref="S1237">iferror(index(dissected_fish!$K:$K,match($A1237,dissected_fish!$A:$A,0)))</f>
        <v>N</v>
      </c>
      <c r="T1237" s="61" t="str">
        <f t="array" ref="T1237">index(fish_lab_data!O:O,match(A1237,fish_lab_data!C:C,0))</f>
        <v>JG</v>
      </c>
      <c r="U1237" s="61">
        <f t="array" ref="U1237">if(A1237="","",index(fish_lab_data!X:X,match(A1237,fish_lab_data!C:C,0)))</f>
        <v>1236</v>
      </c>
    </row>
    <row r="1238">
      <c r="A1238" t="str">
        <f>fish_lab_data!C1238</f>
        <v>U17252</v>
      </c>
      <c r="B1238" t="str">
        <f t="array" ref="B1238">iferror(index('rna-muscle'!$I:$I,match($A1238,'rna-muscle'!$A:$A,0)))</f>
        <v>BRN75M-G3</v>
      </c>
      <c r="C1238" t="str">
        <f t="array" ref="C1238">iferror(index('rna-muscle'!$L:$L,match($A1238,'rna-muscle'!$A:$A,0)))</f>
        <v>N</v>
      </c>
      <c r="D1238" t="str">
        <f t="array" ref="D1238">iferror(index('rna-gill'!$I:$I,match($A1238,'rna-gill'!$A:$A,0)))</f>
        <v>BRN75G-G3</v>
      </c>
      <c r="E1238" t="str">
        <f t="array" ref="E1238">iferror(index('rna-gill'!$L:$L,match($A1238,'rna-gill'!$A:$A,0)))</f>
        <v>N</v>
      </c>
      <c r="F1238" t="str">
        <f t="array" ref="F1238">iferror(index(fatty_acid!$G:$G,match($A1238,fatty_acid!$A:$A,0)))</f>
        <v>BFA33-33</v>
      </c>
      <c r="G1238" t="str">
        <f t="array" ref="G1238">iferror(index(fatty_acid!$J:$J,match($A1238,fatty_acid!$A:$A,0)))</f>
        <v>N</v>
      </c>
      <c r="H1238" t="str">
        <f t="array" ref="H1238">iferror(index(isotopes!$G:$G,match($A1238,isotopes!$A:$A,0)))</f>
        <v>BIS36-79</v>
      </c>
      <c r="I1238" t="str">
        <f t="array" ref="I1238">iferror(index(isotopes!$J:$J,match($A1238,isotopes!$A:$A,0)))</f>
        <v>N</v>
      </c>
      <c r="J1238" t="str">
        <f t="array" ref="J1238">iferror(index(extra_muscle!$G:$G,match($A1238,extra_muscle!$A:$A,0)))</f>
        <v>BXM34-79</v>
      </c>
      <c r="K1238" t="str">
        <f t="array" ref="K1238">iferror(index(extra_muscle!$J:$J,match($A1238,extra_muscle!$A:$A,0)))</f>
        <v>N</v>
      </c>
      <c r="L1238" s="59" t="str">
        <f t="array" ref="L1238">iferror(index(dna!$G:$G,match($A1238,dna!$A:$A,0)))</f>
        <v>BDN10-69</v>
      </c>
      <c r="M1238" s="60" t="str">
        <f t="array" ref="M1238">iferror(index(dna!$J:$J,match($A1238,dna!$A:$A,0)))</f>
        <v>N</v>
      </c>
      <c r="N1238" t="str">
        <f t="array" ref="N1238">iferror(index(stomachs!$G:$G,match($A1238,stomachs!$A:$A,0)))</f>
        <v/>
      </c>
      <c r="O1238" t="str">
        <f t="array" ref="O1238">iferror(index(stomachs!$J:$J,match($A1238,stomachs!$A:$A,0)))</f>
        <v/>
      </c>
      <c r="P1238" t="str">
        <f t="array" ref="P1238">iferror(index(sea_lice!$G:$G,match($A1238,sea_lice!$A:$A,0)))</f>
        <v>BSL8-5</v>
      </c>
      <c r="Q1238" t="str">
        <f t="array" ref="Q1238">iferror(index(sea_lice!$J:$J,match($A1238,sea_lice!$A:$A,0)))</f>
        <v>N</v>
      </c>
      <c r="R1238" s="40" t="str">
        <f t="array" ref="R1238">iferror(index(dissected_fish!$F:$F,match($A1238,dissected_fish!$A:$A,0)))</f>
        <v>BCA111</v>
      </c>
      <c r="S1238" s="40" t="str">
        <f t="array" ref="S1238">iferror(index(dissected_fish!$K:$K,match($A1238,dissected_fish!$A:$A,0)))</f>
        <v>N</v>
      </c>
      <c r="T1238" s="61" t="str">
        <f t="array" ref="T1238">index(fish_lab_data!O:O,match(A1238,fish_lab_data!C:C,0))</f>
        <v>JG</v>
      </c>
      <c r="U1238" s="61">
        <f t="array" ref="U1238">if(A1238="","",index(fish_lab_data!X:X,match(A1238,fish_lab_data!C:C,0)))</f>
        <v>1237</v>
      </c>
    </row>
    <row r="1239">
      <c r="A1239" t="str">
        <f>fish_lab_data!C1239</f>
        <v>U17255</v>
      </c>
      <c r="B1239" t="str">
        <f t="array" ref="B1239">iferror(index('rna-muscle'!$I:$I,match($A1239,'rna-muscle'!$A:$A,0)))</f>
        <v>BRN75M-F3</v>
      </c>
      <c r="C1239" t="str">
        <f t="array" ref="C1239">iferror(index('rna-muscle'!$L:$L,match($A1239,'rna-muscle'!$A:$A,0)))</f>
        <v>N</v>
      </c>
      <c r="D1239" t="str">
        <f t="array" ref="D1239">iferror(index('rna-gill'!$I:$I,match($A1239,'rna-gill'!$A:$A,0)))</f>
        <v>BRN75G-F3</v>
      </c>
      <c r="E1239" t="str">
        <f t="array" ref="E1239">iferror(index('rna-gill'!$L:$L,match($A1239,'rna-gill'!$A:$A,0)))</f>
        <v>N</v>
      </c>
      <c r="F1239" t="str">
        <f t="array" ref="F1239">iferror(index(fatty_acid!$G:$G,match($A1239,fatty_acid!$A:$A,0)))</f>
        <v>BFA33-34</v>
      </c>
      <c r="G1239" t="str">
        <f t="array" ref="G1239">iferror(index(fatty_acid!$J:$J,match($A1239,fatty_acid!$A:$A,0)))</f>
        <v>N</v>
      </c>
      <c r="H1239" t="str">
        <f t="array" ref="H1239">iferror(index(isotopes!$G:$G,match($A1239,isotopes!$A:$A,0)))</f>
        <v>BIS36-80</v>
      </c>
      <c r="I1239" t="str">
        <f t="array" ref="I1239">iferror(index(isotopes!$J:$J,match($A1239,isotopes!$A:$A,0)))</f>
        <v>N</v>
      </c>
      <c r="J1239" t="str">
        <f t="array" ref="J1239">iferror(index(extra_muscle!$G:$G,match($A1239,extra_muscle!$A:$A,0)))</f>
        <v>BXM34-80</v>
      </c>
      <c r="K1239" t="str">
        <f t="array" ref="K1239">iferror(index(extra_muscle!$J:$J,match($A1239,extra_muscle!$A:$A,0)))</f>
        <v>N</v>
      </c>
      <c r="L1239" s="59" t="str">
        <f t="array" ref="L1239">iferror(index(dna!$G:$G,match($A1239,dna!$A:$A,0)))</f>
        <v>BDN10-70</v>
      </c>
      <c r="M1239" s="60" t="str">
        <f t="array" ref="M1239">iferror(index(dna!$J:$J,match($A1239,dna!$A:$A,0)))</f>
        <v>N</v>
      </c>
      <c r="N1239" t="str">
        <f t="array" ref="N1239">iferror(index(stomachs!$G:$G,match($A1239,stomachs!$A:$A,0)))</f>
        <v/>
      </c>
      <c r="O1239" t="str">
        <f t="array" ref="O1239">iferror(index(stomachs!$J:$J,match($A1239,stomachs!$A:$A,0)))</f>
        <v/>
      </c>
      <c r="P1239" t="str">
        <f t="array" ref="P1239">iferror(index(sea_lice!$G:$G,match($A1239,sea_lice!$A:$A,0)))</f>
        <v>BSL8-7</v>
      </c>
      <c r="Q1239" t="str">
        <f t="array" ref="Q1239">iferror(index(sea_lice!$J:$J,match($A1239,sea_lice!$A:$A,0)))</f>
        <v>N</v>
      </c>
      <c r="R1239" s="40" t="str">
        <f t="array" ref="R1239">iferror(index(dissected_fish!$F:$F,match($A1239,dissected_fish!$A:$A,0)))</f>
        <v>BCA111</v>
      </c>
      <c r="S1239" s="40" t="str">
        <f t="array" ref="S1239">iferror(index(dissected_fish!$K:$K,match($A1239,dissected_fish!$A:$A,0)))</f>
        <v>N</v>
      </c>
      <c r="T1239" s="61" t="str">
        <f t="array" ref="T1239">index(fish_lab_data!O:O,match(A1239,fish_lab_data!C:C,0))</f>
        <v>JG</v>
      </c>
      <c r="U1239" s="61">
        <f t="array" ref="U1239">if(A1239="","",index(fish_lab_data!X:X,match(A1239,fish_lab_data!C:C,0)))</f>
        <v>1238</v>
      </c>
    </row>
    <row r="1240">
      <c r="A1240" t="str">
        <f>fish_lab_data!C1240</f>
        <v>U17251</v>
      </c>
      <c r="B1240" t="str">
        <f t="array" ref="B1240">iferror(index('rna-muscle'!$I:$I,match($A1240,'rna-muscle'!$A:$A,0)))</f>
        <v>BRN75M-E3</v>
      </c>
      <c r="C1240" t="str">
        <f t="array" ref="C1240">iferror(index('rna-muscle'!$L:$L,match($A1240,'rna-muscle'!$A:$A,0)))</f>
        <v>N</v>
      </c>
      <c r="D1240" t="str">
        <f t="array" ref="D1240">iferror(index('rna-gill'!$I:$I,match($A1240,'rna-gill'!$A:$A,0)))</f>
        <v>BRN75G-E3</v>
      </c>
      <c r="E1240" t="str">
        <f t="array" ref="E1240">iferror(index('rna-gill'!$L:$L,match($A1240,'rna-gill'!$A:$A,0)))</f>
        <v>N</v>
      </c>
      <c r="F1240" t="str">
        <f t="array" ref="F1240">iferror(index(fatty_acid!$G:$G,match($A1240,fatty_acid!$A:$A,0)))</f>
        <v>BFA33-35</v>
      </c>
      <c r="G1240" t="str">
        <f t="array" ref="G1240">iferror(index(fatty_acid!$J:$J,match($A1240,fatty_acid!$A:$A,0)))</f>
        <v>N</v>
      </c>
      <c r="H1240" t="str">
        <f t="array" ref="H1240">iferror(index(isotopes!$G:$G,match($A1240,isotopes!$A:$A,0)))</f>
        <v>BIS36-81</v>
      </c>
      <c r="I1240" t="str">
        <f t="array" ref="I1240">iferror(index(isotopes!$J:$J,match($A1240,isotopes!$A:$A,0)))</f>
        <v>N</v>
      </c>
      <c r="J1240" t="str">
        <f t="array" ref="J1240">iferror(index(extra_muscle!$G:$G,match($A1240,extra_muscle!$A:$A,0)))</f>
        <v>BXM34-81</v>
      </c>
      <c r="K1240" t="str">
        <f t="array" ref="K1240">iferror(index(extra_muscle!$J:$J,match($A1240,extra_muscle!$A:$A,0)))</f>
        <v>N</v>
      </c>
      <c r="L1240" s="59" t="str">
        <f t="array" ref="L1240">iferror(index(dna!$G:$G,match($A1240,dna!$A:$A,0)))</f>
        <v>BDN10-71</v>
      </c>
      <c r="M1240" s="60" t="str">
        <f t="array" ref="M1240">iferror(index(dna!$J:$J,match($A1240,dna!$A:$A,0)))</f>
        <v>N</v>
      </c>
      <c r="N1240" t="str">
        <f t="array" ref="N1240">iferror(index(stomachs!$G:$G,match($A1240,stomachs!$A:$A,0)))</f>
        <v/>
      </c>
      <c r="O1240" t="str">
        <f t="array" ref="O1240">iferror(index(stomachs!$J:$J,match($A1240,stomachs!$A:$A,0)))</f>
        <v/>
      </c>
      <c r="P1240" t="str">
        <f t="array" ref="P1240">iferror(index(sea_lice!$G:$G,match($A1240,sea_lice!$A:$A,0)))</f>
        <v/>
      </c>
      <c r="Q1240" t="str">
        <f t="array" ref="Q1240">iferror(index(sea_lice!$J:$J,match($A1240,sea_lice!$A:$A,0)))</f>
        <v/>
      </c>
      <c r="R1240" s="40" t="str">
        <f t="array" ref="R1240">iferror(index(dissected_fish!$F:$F,match($A1240,dissected_fish!$A:$A,0)))</f>
        <v>BCA111</v>
      </c>
      <c r="S1240" s="40" t="str">
        <f t="array" ref="S1240">iferror(index(dissected_fish!$K:$K,match($A1240,dissected_fish!$A:$A,0)))</f>
        <v>N</v>
      </c>
      <c r="T1240" s="61" t="str">
        <f t="array" ref="T1240">index(fish_lab_data!O:O,match(A1240,fish_lab_data!C:C,0))</f>
        <v>JG</v>
      </c>
      <c r="U1240" s="61">
        <f t="array" ref="U1240">if(A1240="","",index(fish_lab_data!X:X,match(A1240,fish_lab_data!C:C,0)))</f>
        <v>1239</v>
      </c>
    </row>
    <row r="1241">
      <c r="A1241" t="str">
        <f>fish_lab_data!C1241</f>
        <v>U16675</v>
      </c>
      <c r="B1241" t="str">
        <f t="array" ref="B1241">iferror(index('rna-muscle'!$I:$I,match($A1241,'rna-muscle'!$A:$A,0)))</f>
        <v>BRN75M-D3</v>
      </c>
      <c r="C1241" t="str">
        <f t="array" ref="C1241">iferror(index('rna-muscle'!$L:$L,match($A1241,'rna-muscle'!$A:$A,0)))</f>
        <v>N</v>
      </c>
      <c r="D1241" t="str">
        <f t="array" ref="D1241">iferror(index('rna-gill'!$I:$I,match($A1241,'rna-gill'!$A:$A,0)))</f>
        <v>BRN75G-D3</v>
      </c>
      <c r="E1241" t="str">
        <f t="array" ref="E1241">iferror(index('rna-gill'!$L:$L,match($A1241,'rna-gill'!$A:$A,0)))</f>
        <v>N</v>
      </c>
      <c r="F1241" t="str">
        <f t="array" ref="F1241">iferror(index(fatty_acid!$G:$G,match($A1241,fatty_acid!$A:$A,0)))</f>
        <v>BFA33-36</v>
      </c>
      <c r="G1241" t="str">
        <f t="array" ref="G1241">iferror(index(fatty_acid!$J:$J,match($A1241,fatty_acid!$A:$A,0)))</f>
        <v>N</v>
      </c>
      <c r="H1241" t="str">
        <f t="array" ref="H1241">iferror(index(isotopes!$G:$G,match($A1241,isotopes!$A:$A,0)))</f>
        <v>BIS34-35</v>
      </c>
      <c r="I1241" t="str">
        <f t="array" ref="I1241">iferror(index(isotopes!$J:$J,match($A1241,isotopes!$A:$A,0)))</f>
        <v>N</v>
      </c>
      <c r="J1241" t="str">
        <f t="array" ref="J1241">iferror(index(extra_muscle!$G:$G,match($A1241,extra_muscle!$A:$A,0)))</f>
        <v>BXM32-79</v>
      </c>
      <c r="K1241" t="str">
        <f t="array" ref="K1241">iferror(index(extra_muscle!$J:$J,match($A1241,extra_muscle!$A:$A,0)))</f>
        <v>N</v>
      </c>
      <c r="L1241" s="59" t="str">
        <f t="array" ref="L1241">iferror(index(dna!$G:$G,match($A1241,dna!$A:$A,0)))</f>
        <v>BDN10-72</v>
      </c>
      <c r="M1241" s="60" t="str">
        <f t="array" ref="M1241">iferror(index(dna!$J:$J,match($A1241,dna!$A:$A,0)))</f>
        <v>N</v>
      </c>
      <c r="N1241" t="str">
        <f t="array" ref="N1241">iferror(index(stomachs!$G:$G,match($A1241,stomachs!$A:$A,0)))</f>
        <v/>
      </c>
      <c r="O1241" t="str">
        <f t="array" ref="O1241">iferror(index(stomachs!$J:$J,match($A1241,stomachs!$A:$A,0)))</f>
        <v/>
      </c>
      <c r="P1241" t="str">
        <f t="array" ref="P1241">iferror(index(sea_lice!$G:$G,match($A1241,sea_lice!$A:$A,0)))</f>
        <v/>
      </c>
      <c r="Q1241" t="str">
        <f t="array" ref="Q1241">iferror(index(sea_lice!$J:$J,match($A1241,sea_lice!$A:$A,0)))</f>
        <v/>
      </c>
      <c r="R1241" s="40" t="str">
        <f t="array" ref="R1241">iferror(index(dissected_fish!$F:$F,match($A1241,dissected_fish!$A:$A,0)))</f>
        <v>BCA111</v>
      </c>
      <c r="S1241" s="40" t="str">
        <f t="array" ref="S1241">iferror(index(dissected_fish!$K:$K,match($A1241,dissected_fish!$A:$A,0)))</f>
        <v>N</v>
      </c>
      <c r="T1241" s="61" t="str">
        <f t="array" ref="T1241">index(fish_lab_data!O:O,match(A1241,fish_lab_data!C:C,0))</f>
        <v>JG</v>
      </c>
      <c r="U1241" s="61">
        <f t="array" ref="U1241">if(A1241="","",index(fish_lab_data!X:X,match(A1241,fish_lab_data!C:C,0)))</f>
        <v>1240</v>
      </c>
    </row>
    <row r="1242">
      <c r="A1242" t="str">
        <f>fish_lab_data!C1242</f>
        <v>U16677</v>
      </c>
      <c r="B1242" t="str">
        <f t="array" ref="B1242">iferror(index('rna-muscle'!$I:$I,match($A1242,'rna-muscle'!$A:$A,0)))</f>
        <v>BRN75M-C3</v>
      </c>
      <c r="C1242" t="str">
        <f t="array" ref="C1242">iferror(index('rna-muscle'!$L:$L,match($A1242,'rna-muscle'!$A:$A,0)))</f>
        <v>N</v>
      </c>
      <c r="D1242" t="str">
        <f t="array" ref="D1242">iferror(index('rna-gill'!$I:$I,match($A1242,'rna-gill'!$A:$A,0)))</f>
        <v>BRN75G-C3</v>
      </c>
      <c r="E1242" t="str">
        <f t="array" ref="E1242">iferror(index('rna-gill'!$L:$L,match($A1242,'rna-gill'!$A:$A,0)))</f>
        <v>N</v>
      </c>
      <c r="F1242" t="str">
        <f t="array" ref="F1242">iferror(index(fatty_acid!$G:$G,match($A1242,fatty_acid!$A:$A,0)))</f>
        <v>BFA33-37</v>
      </c>
      <c r="G1242" t="str">
        <f t="array" ref="G1242">iferror(index(fatty_acid!$J:$J,match($A1242,fatty_acid!$A:$A,0)))</f>
        <v>N</v>
      </c>
      <c r="H1242" t="str">
        <f t="array" ref="H1242">iferror(index(isotopes!$G:$G,match($A1242,isotopes!$A:$A,0)))</f>
        <v>BIS34-36</v>
      </c>
      <c r="I1242" t="str">
        <f t="array" ref="I1242">iferror(index(isotopes!$J:$J,match($A1242,isotopes!$A:$A,0)))</f>
        <v>N</v>
      </c>
      <c r="J1242" t="str">
        <f t="array" ref="J1242">iferror(index(extra_muscle!$G:$G,match($A1242,extra_muscle!$A:$A,0)))</f>
        <v>BXM32-80</v>
      </c>
      <c r="K1242" t="str">
        <f t="array" ref="K1242">iferror(index(extra_muscle!$J:$J,match($A1242,extra_muscle!$A:$A,0)))</f>
        <v>N</v>
      </c>
      <c r="L1242" s="59" t="str">
        <f t="array" ref="L1242">iferror(index(dna!$G:$G,match($A1242,dna!$A:$A,0)))</f>
        <v>BDN10-73</v>
      </c>
      <c r="M1242" s="60" t="str">
        <f t="array" ref="M1242">iferror(index(dna!$J:$J,match($A1242,dna!$A:$A,0)))</f>
        <v>N</v>
      </c>
      <c r="N1242" t="str">
        <f t="array" ref="N1242">iferror(index(stomachs!$G:$G,match($A1242,stomachs!$A:$A,0)))</f>
        <v/>
      </c>
      <c r="O1242" t="str">
        <f t="array" ref="O1242">iferror(index(stomachs!$J:$J,match($A1242,stomachs!$A:$A,0)))</f>
        <v/>
      </c>
      <c r="P1242" t="str">
        <f t="array" ref="P1242">iferror(index(sea_lice!$G:$G,match($A1242,sea_lice!$A:$A,0)))</f>
        <v>BSL8-12</v>
      </c>
      <c r="Q1242" t="str">
        <f t="array" ref="Q1242">iferror(index(sea_lice!$J:$J,match($A1242,sea_lice!$A:$A,0)))</f>
        <v>N</v>
      </c>
      <c r="R1242" s="40" t="str">
        <f t="array" ref="R1242">iferror(index(dissected_fish!$F:$F,match($A1242,dissected_fish!$A:$A,0)))</f>
        <v>BCA111</v>
      </c>
      <c r="S1242" s="40" t="str">
        <f t="array" ref="S1242">iferror(index(dissected_fish!$K:$K,match($A1242,dissected_fish!$A:$A,0)))</f>
        <v>N</v>
      </c>
      <c r="T1242" s="61" t="str">
        <f t="array" ref="T1242">index(fish_lab_data!O:O,match(A1242,fish_lab_data!C:C,0))</f>
        <v>JG</v>
      </c>
      <c r="U1242" s="61">
        <f t="array" ref="U1242">if(A1242="","",index(fish_lab_data!X:X,match(A1242,fish_lab_data!C:C,0)))</f>
        <v>1241</v>
      </c>
    </row>
    <row r="1243">
      <c r="A1243" t="str">
        <f>fish_lab_data!C1243</f>
        <v>U16673</v>
      </c>
      <c r="B1243" t="str">
        <f t="array" ref="B1243">iferror(index('rna-muscle'!$I:$I,match($A1243,'rna-muscle'!$A:$A,0)))</f>
        <v>BRN75M-B3</v>
      </c>
      <c r="C1243" t="str">
        <f t="array" ref="C1243">iferror(index('rna-muscle'!$L:$L,match($A1243,'rna-muscle'!$A:$A,0)))</f>
        <v>N</v>
      </c>
      <c r="D1243" t="str">
        <f t="array" ref="D1243">iferror(index('rna-gill'!$I:$I,match($A1243,'rna-gill'!$A:$A,0)))</f>
        <v>BRN75G-B3</v>
      </c>
      <c r="E1243" t="str">
        <f t="array" ref="E1243">iferror(index('rna-gill'!$L:$L,match($A1243,'rna-gill'!$A:$A,0)))</f>
        <v>N</v>
      </c>
      <c r="F1243" t="str">
        <f t="array" ref="F1243">iferror(index(fatty_acid!$G:$G,match($A1243,fatty_acid!$A:$A,0)))</f>
        <v>BFA33-38</v>
      </c>
      <c r="G1243" t="str">
        <f t="array" ref="G1243">iferror(index(fatty_acid!$J:$J,match($A1243,fatty_acid!$A:$A,0)))</f>
        <v>N</v>
      </c>
      <c r="H1243" t="str">
        <f t="array" ref="H1243">iferror(index(isotopes!$G:$G,match($A1243,isotopes!$A:$A,0)))</f>
        <v>BIS34-37</v>
      </c>
      <c r="I1243" t="str">
        <f t="array" ref="I1243">iferror(index(isotopes!$J:$J,match($A1243,isotopes!$A:$A,0)))</f>
        <v>N</v>
      </c>
      <c r="J1243" t="str">
        <f t="array" ref="J1243">iferror(index(extra_muscle!$G:$G,match($A1243,extra_muscle!$A:$A,0)))</f>
        <v>BXM32-81</v>
      </c>
      <c r="K1243" t="str">
        <f t="array" ref="K1243">iferror(index(extra_muscle!$J:$J,match($A1243,extra_muscle!$A:$A,0)))</f>
        <v>N</v>
      </c>
      <c r="L1243" s="59" t="str">
        <f t="array" ref="L1243">iferror(index(dna!$G:$G,match($A1243,dna!$A:$A,0)))</f>
        <v>BDN10-74</v>
      </c>
      <c r="M1243" s="60" t="str">
        <f t="array" ref="M1243">iferror(index(dna!$J:$J,match($A1243,dna!$A:$A,0)))</f>
        <v>N</v>
      </c>
      <c r="N1243" t="str">
        <f t="array" ref="N1243">iferror(index(stomachs!$G:$G,match($A1243,stomachs!$A:$A,0)))</f>
        <v/>
      </c>
      <c r="O1243" t="str">
        <f t="array" ref="O1243">iferror(index(stomachs!$J:$J,match($A1243,stomachs!$A:$A,0)))</f>
        <v/>
      </c>
      <c r="P1243" t="str">
        <f t="array" ref="P1243">iferror(index(sea_lice!$G:$G,match($A1243,sea_lice!$A:$A,0)))</f>
        <v/>
      </c>
      <c r="Q1243" t="str">
        <f t="array" ref="Q1243">iferror(index(sea_lice!$J:$J,match($A1243,sea_lice!$A:$A,0)))</f>
        <v/>
      </c>
      <c r="R1243" s="40" t="str">
        <f t="array" ref="R1243">iferror(index(dissected_fish!$F:$F,match($A1243,dissected_fish!$A:$A,0)))</f>
        <v>BCA111</v>
      </c>
      <c r="S1243" s="40" t="str">
        <f t="array" ref="S1243">iferror(index(dissected_fish!$K:$K,match($A1243,dissected_fish!$A:$A,0)))</f>
        <v>N</v>
      </c>
      <c r="T1243" s="61" t="str">
        <f t="array" ref="T1243">index(fish_lab_data!O:O,match(A1243,fish_lab_data!C:C,0))</f>
        <v>JG</v>
      </c>
      <c r="U1243" s="61">
        <f t="array" ref="U1243">if(A1243="","",index(fish_lab_data!X:X,match(A1243,fish_lab_data!C:C,0)))</f>
        <v>1242</v>
      </c>
    </row>
    <row r="1244">
      <c r="A1244" t="str">
        <f>fish_lab_data!C1244</f>
        <v>U16671</v>
      </c>
      <c r="B1244" t="str">
        <f t="array" ref="B1244">iferror(index('rna-muscle'!$I:$I,match($A1244,'rna-muscle'!$A:$A,0)))</f>
        <v>BRN75M-A3</v>
      </c>
      <c r="C1244" t="str">
        <f t="array" ref="C1244">iferror(index('rna-muscle'!$L:$L,match($A1244,'rna-muscle'!$A:$A,0)))</f>
        <v>N</v>
      </c>
      <c r="D1244" t="str">
        <f t="array" ref="D1244">iferror(index('rna-gill'!$I:$I,match($A1244,'rna-gill'!$A:$A,0)))</f>
        <v>BRN75G-A3</v>
      </c>
      <c r="E1244" t="str">
        <f t="array" ref="E1244">iferror(index('rna-gill'!$L:$L,match($A1244,'rna-gill'!$A:$A,0)))</f>
        <v>N</v>
      </c>
      <c r="F1244" t="str">
        <f t="array" ref="F1244">iferror(index(fatty_acid!$G:$G,match($A1244,fatty_acid!$A:$A,0)))</f>
        <v>BFA33-39</v>
      </c>
      <c r="G1244" t="str">
        <f t="array" ref="G1244">iferror(index(fatty_acid!$J:$J,match($A1244,fatty_acid!$A:$A,0)))</f>
        <v>N</v>
      </c>
      <c r="H1244" t="str">
        <f t="array" ref="H1244">iferror(index(isotopes!$G:$G,match($A1244,isotopes!$A:$A,0)))</f>
        <v>BIS34-38</v>
      </c>
      <c r="I1244" t="str">
        <f t="array" ref="I1244">iferror(index(isotopes!$J:$J,match($A1244,isotopes!$A:$A,0)))</f>
        <v>N</v>
      </c>
      <c r="J1244" t="str">
        <f t="array" ref="J1244">iferror(index(extra_muscle!$G:$G,match($A1244,extra_muscle!$A:$A,0)))</f>
        <v>BXM37-1</v>
      </c>
      <c r="K1244" t="str">
        <f t="array" ref="K1244">iferror(index(extra_muscle!$J:$J,match($A1244,extra_muscle!$A:$A,0)))</f>
        <v>N</v>
      </c>
      <c r="L1244" s="59" t="str">
        <f t="array" ref="L1244">iferror(index(dna!$G:$G,match($A1244,dna!$A:$A,0)))</f>
        <v>BDN10-75</v>
      </c>
      <c r="M1244" s="60" t="str">
        <f t="array" ref="M1244">iferror(index(dna!$J:$J,match($A1244,dna!$A:$A,0)))</f>
        <v>N</v>
      </c>
      <c r="N1244" t="str">
        <f t="array" ref="N1244">iferror(index(stomachs!$G:$G,match($A1244,stomachs!$A:$A,0)))</f>
        <v/>
      </c>
      <c r="O1244" t="str">
        <f t="array" ref="O1244">iferror(index(stomachs!$J:$J,match($A1244,stomachs!$A:$A,0)))</f>
        <v/>
      </c>
      <c r="P1244" t="str">
        <f t="array" ref="P1244">iferror(index(sea_lice!$G:$G,match($A1244,sea_lice!$A:$A,0)))</f>
        <v/>
      </c>
      <c r="Q1244" t="str">
        <f t="array" ref="Q1244">iferror(index(sea_lice!$J:$J,match($A1244,sea_lice!$A:$A,0)))</f>
        <v/>
      </c>
      <c r="R1244" s="40" t="str">
        <f t="array" ref="R1244">iferror(index(dissected_fish!$F:$F,match($A1244,dissected_fish!$A:$A,0)))</f>
        <v>BCA111</v>
      </c>
      <c r="S1244" s="40" t="str">
        <f t="array" ref="S1244">iferror(index(dissected_fish!$K:$K,match($A1244,dissected_fish!$A:$A,0)))</f>
        <v>N</v>
      </c>
      <c r="T1244" s="61" t="str">
        <f t="array" ref="T1244">index(fish_lab_data!O:O,match(A1244,fish_lab_data!C:C,0))</f>
        <v>JG</v>
      </c>
      <c r="U1244" s="61">
        <f t="array" ref="U1244">if(A1244="","",index(fish_lab_data!X:X,match(A1244,fish_lab_data!C:C,0)))</f>
        <v>1243</v>
      </c>
    </row>
    <row r="1245">
      <c r="A1245" t="str">
        <f>fish_lab_data!C1245</f>
        <v>U16679</v>
      </c>
      <c r="B1245" t="str">
        <f t="array" ref="B1245">iferror(index('rna-muscle'!$I:$I,match($A1245,'rna-muscle'!$A:$A,0)))</f>
        <v>BRN75M-G6</v>
      </c>
      <c r="C1245" t="str">
        <f t="array" ref="C1245">iferror(index('rna-muscle'!$L:$L,match($A1245,'rna-muscle'!$A:$A,0)))</f>
        <v>N</v>
      </c>
      <c r="D1245" t="str">
        <f t="array" ref="D1245">iferror(index('rna-gill'!$I:$I,match($A1245,'rna-gill'!$A:$A,0)))</f>
        <v>BRN75G-G6</v>
      </c>
      <c r="E1245" t="str">
        <f t="array" ref="E1245">iferror(index('rna-gill'!$L:$L,match($A1245,'rna-gill'!$A:$A,0)))</f>
        <v>N</v>
      </c>
      <c r="F1245" t="str">
        <f t="array" ref="F1245">iferror(index(fatty_acid!$G:$G,match($A1245,fatty_acid!$A:$A,0)))</f>
        <v>BFA33-40</v>
      </c>
      <c r="G1245" t="str">
        <f t="array" ref="G1245">iferror(index(fatty_acid!$J:$J,match($A1245,fatty_acid!$A:$A,0)))</f>
        <v>N</v>
      </c>
      <c r="H1245" t="str">
        <f t="array" ref="H1245">iferror(index(isotopes!$G:$G,match($A1245,isotopes!$A:$A,0)))</f>
        <v>BIS34-39</v>
      </c>
      <c r="I1245" t="str">
        <f t="array" ref="I1245">iferror(index(isotopes!$J:$J,match($A1245,isotopes!$A:$A,0)))</f>
        <v>N</v>
      </c>
      <c r="J1245" t="str">
        <f t="array" ref="J1245">iferror(index(extra_muscle!$G:$G,match($A1245,extra_muscle!$A:$A,0)))</f>
        <v>BXM37-2</v>
      </c>
      <c r="K1245" t="str">
        <f t="array" ref="K1245">iferror(index(extra_muscle!$J:$J,match($A1245,extra_muscle!$A:$A,0)))</f>
        <v>N</v>
      </c>
      <c r="L1245" s="59" t="str">
        <f t="array" ref="L1245">iferror(index(dna!$G:$G,match($A1245,dna!$A:$A,0)))</f>
        <v>BDN10-76</v>
      </c>
      <c r="M1245" s="60" t="str">
        <f t="array" ref="M1245">iferror(index(dna!$J:$J,match($A1245,dna!$A:$A,0)))</f>
        <v>N</v>
      </c>
      <c r="N1245" t="str">
        <f t="array" ref="N1245">iferror(index(stomachs!$G:$G,match($A1245,stomachs!$A:$A,0)))</f>
        <v/>
      </c>
      <c r="O1245" t="str">
        <f t="array" ref="O1245">iferror(index(stomachs!$J:$J,match($A1245,stomachs!$A:$A,0)))</f>
        <v/>
      </c>
      <c r="P1245" t="str">
        <f t="array" ref="P1245">iferror(index(sea_lice!$G:$G,match($A1245,sea_lice!$A:$A,0)))</f>
        <v/>
      </c>
      <c r="Q1245" t="str">
        <f t="array" ref="Q1245">iferror(index(sea_lice!$J:$J,match($A1245,sea_lice!$A:$A,0)))</f>
        <v/>
      </c>
      <c r="R1245" s="40" t="str">
        <f t="array" ref="R1245">iferror(index(dissected_fish!$F:$F,match($A1245,dissected_fish!$A:$A,0)))</f>
        <v>BCA111</v>
      </c>
      <c r="S1245" s="40" t="str">
        <f t="array" ref="S1245">iferror(index(dissected_fish!$K:$K,match($A1245,dissected_fish!$A:$A,0)))</f>
        <v>N</v>
      </c>
      <c r="T1245" s="61" t="str">
        <f t="array" ref="T1245">index(fish_lab_data!O:O,match(A1245,fish_lab_data!C:C,0))</f>
        <v>JG</v>
      </c>
      <c r="U1245" s="61">
        <f t="array" ref="U1245">if(A1245="","",index(fish_lab_data!X:X,match(A1245,fish_lab_data!C:C,0)))</f>
        <v>1244</v>
      </c>
    </row>
    <row r="1246">
      <c r="A1246" t="str">
        <f>fish_lab_data!C1246</f>
        <v>U16680</v>
      </c>
      <c r="B1246" t="str">
        <f t="array" ref="B1246">iferror(index('rna-muscle'!$I:$I,match($A1246,'rna-muscle'!$A:$A,0)))</f>
        <v>BRN75M-F6</v>
      </c>
      <c r="C1246" t="str">
        <f t="array" ref="C1246">iferror(index('rna-muscle'!$L:$L,match($A1246,'rna-muscle'!$A:$A,0)))</f>
        <v>N</v>
      </c>
      <c r="D1246" t="str">
        <f t="array" ref="D1246">iferror(index('rna-gill'!$I:$I,match($A1246,'rna-gill'!$A:$A,0)))</f>
        <v>BRN75G-F6</v>
      </c>
      <c r="E1246" t="str">
        <f t="array" ref="E1246">iferror(index('rna-gill'!$L:$L,match($A1246,'rna-gill'!$A:$A,0)))</f>
        <v>N</v>
      </c>
      <c r="F1246" t="str">
        <f t="array" ref="F1246">iferror(index(fatty_acid!$G:$G,match($A1246,fatty_acid!$A:$A,0)))</f>
        <v>BFA33-41</v>
      </c>
      <c r="G1246" t="str">
        <f t="array" ref="G1246">iferror(index(fatty_acid!$J:$J,match($A1246,fatty_acid!$A:$A,0)))</f>
        <v>N</v>
      </c>
      <c r="H1246" t="str">
        <f t="array" ref="H1246">iferror(index(isotopes!$G:$G,match($A1246,isotopes!$A:$A,0)))</f>
        <v>BIS34-40</v>
      </c>
      <c r="I1246" t="str">
        <f t="array" ref="I1246">iferror(index(isotopes!$J:$J,match($A1246,isotopes!$A:$A,0)))</f>
        <v>N</v>
      </c>
      <c r="J1246" t="str">
        <f t="array" ref="J1246">iferror(index(extra_muscle!$G:$G,match($A1246,extra_muscle!$A:$A,0)))</f>
        <v>BXM37-3</v>
      </c>
      <c r="K1246" t="str">
        <f t="array" ref="K1246">iferror(index(extra_muscle!$J:$J,match($A1246,extra_muscle!$A:$A,0)))</f>
        <v>N</v>
      </c>
      <c r="L1246" s="59" t="str">
        <f t="array" ref="L1246">iferror(index(dna!$G:$G,match($A1246,dna!$A:$A,0)))</f>
        <v>BDN10-77</v>
      </c>
      <c r="M1246" s="60" t="str">
        <f t="array" ref="M1246">iferror(index(dna!$J:$J,match($A1246,dna!$A:$A,0)))</f>
        <v>N</v>
      </c>
      <c r="N1246" t="str">
        <f t="array" ref="N1246">iferror(index(stomachs!$G:$G,match($A1246,stomachs!$A:$A,0)))</f>
        <v/>
      </c>
      <c r="O1246" t="str">
        <f t="array" ref="O1246">iferror(index(stomachs!$J:$J,match($A1246,stomachs!$A:$A,0)))</f>
        <v/>
      </c>
      <c r="P1246" t="str">
        <f t="array" ref="P1246">iferror(index(sea_lice!$G:$G,match($A1246,sea_lice!$A:$A,0)))</f>
        <v/>
      </c>
      <c r="Q1246" t="str">
        <f t="array" ref="Q1246">iferror(index(sea_lice!$J:$J,match($A1246,sea_lice!$A:$A,0)))</f>
        <v/>
      </c>
      <c r="R1246" s="40" t="str">
        <f t="array" ref="R1246">iferror(index(dissected_fish!$F:$F,match($A1246,dissected_fish!$A:$A,0)))</f>
        <v>BCA111</v>
      </c>
      <c r="S1246" s="40" t="str">
        <f t="array" ref="S1246">iferror(index(dissected_fish!$K:$K,match($A1246,dissected_fish!$A:$A,0)))</f>
        <v>N</v>
      </c>
      <c r="T1246" s="61" t="str">
        <f t="array" ref="T1246">index(fish_lab_data!O:O,match(A1246,fish_lab_data!C:C,0))</f>
        <v>JG</v>
      </c>
      <c r="U1246" s="61">
        <f t="array" ref="U1246">if(A1246="","",index(fish_lab_data!X:X,match(A1246,fish_lab_data!C:C,0)))</f>
        <v>1245</v>
      </c>
    </row>
    <row r="1247">
      <c r="A1247" t="str">
        <f>fish_lab_data!C1247</f>
        <v>U16674</v>
      </c>
      <c r="B1247" t="str">
        <f t="array" ref="B1247">iferror(index('rna-muscle'!$I:$I,match($A1247,'rna-muscle'!$A:$A,0)))</f>
        <v>BRN75M-E6</v>
      </c>
      <c r="C1247" t="str">
        <f t="array" ref="C1247">iferror(index('rna-muscle'!$L:$L,match($A1247,'rna-muscle'!$A:$A,0)))</f>
        <v>N</v>
      </c>
      <c r="D1247" t="str">
        <f t="array" ref="D1247">iferror(index('rna-gill'!$I:$I,match($A1247,'rna-gill'!$A:$A,0)))</f>
        <v>BRN75G-E6</v>
      </c>
      <c r="E1247" t="str">
        <f t="array" ref="E1247">iferror(index('rna-gill'!$L:$L,match($A1247,'rna-gill'!$A:$A,0)))</f>
        <v>N</v>
      </c>
      <c r="F1247" t="str">
        <f t="array" ref="F1247">iferror(index(fatty_acid!$G:$G,match($A1247,fatty_acid!$A:$A,0)))</f>
        <v>BFA33-42</v>
      </c>
      <c r="G1247" t="str">
        <f t="array" ref="G1247">iferror(index(fatty_acid!$J:$J,match($A1247,fatty_acid!$A:$A,0)))</f>
        <v>N</v>
      </c>
      <c r="H1247" t="str">
        <f t="array" ref="H1247">iferror(index(isotopes!$G:$G,match($A1247,isotopes!$A:$A,0)))</f>
        <v>BIS34-41</v>
      </c>
      <c r="I1247" t="str">
        <f t="array" ref="I1247">iferror(index(isotopes!$J:$J,match($A1247,isotopes!$A:$A,0)))</f>
        <v>N</v>
      </c>
      <c r="J1247" t="str">
        <f t="array" ref="J1247">iferror(index(extra_muscle!$G:$G,match($A1247,extra_muscle!$A:$A,0)))</f>
        <v>BXM37-4</v>
      </c>
      <c r="K1247" t="str">
        <f t="array" ref="K1247">iferror(index(extra_muscle!$J:$J,match($A1247,extra_muscle!$A:$A,0)))</f>
        <v>N</v>
      </c>
      <c r="L1247" s="59" t="str">
        <f t="array" ref="L1247">iferror(index(dna!$G:$G,match($A1247,dna!$A:$A,0)))</f>
        <v>BDN10-78</v>
      </c>
      <c r="M1247" s="60" t="str">
        <f t="array" ref="M1247">iferror(index(dna!$J:$J,match($A1247,dna!$A:$A,0)))</f>
        <v>N</v>
      </c>
      <c r="N1247" t="str">
        <f t="array" ref="N1247">iferror(index(stomachs!$G:$G,match($A1247,stomachs!$A:$A,0)))</f>
        <v/>
      </c>
      <c r="O1247" t="str">
        <f t="array" ref="O1247">iferror(index(stomachs!$J:$J,match($A1247,stomachs!$A:$A,0)))</f>
        <v/>
      </c>
      <c r="P1247" t="str">
        <f t="array" ref="P1247">iferror(index(sea_lice!$G:$G,match($A1247,sea_lice!$A:$A,0)))</f>
        <v/>
      </c>
      <c r="Q1247" t="str">
        <f t="array" ref="Q1247">iferror(index(sea_lice!$J:$J,match($A1247,sea_lice!$A:$A,0)))</f>
        <v/>
      </c>
      <c r="R1247" s="40" t="str">
        <f t="array" ref="R1247">iferror(index(dissected_fish!$F:$F,match($A1247,dissected_fish!$A:$A,0)))</f>
        <v>BCA111</v>
      </c>
      <c r="S1247" s="40" t="str">
        <f t="array" ref="S1247">iferror(index(dissected_fish!$K:$K,match($A1247,dissected_fish!$A:$A,0)))</f>
        <v>N</v>
      </c>
      <c r="T1247" s="61" t="str">
        <f t="array" ref="T1247">index(fish_lab_data!O:O,match(A1247,fish_lab_data!C:C,0))</f>
        <v>JG</v>
      </c>
      <c r="U1247" s="61">
        <f t="array" ref="U1247">if(A1247="","",index(fish_lab_data!X:X,match(A1247,fish_lab_data!C:C,0)))</f>
        <v>1246</v>
      </c>
    </row>
    <row r="1248">
      <c r="A1248" t="str">
        <f>fish_lab_data!C1248</f>
        <v>U16676</v>
      </c>
      <c r="B1248" t="str">
        <f t="array" ref="B1248">iferror(index('rna-muscle'!$I:$I,match($A1248,'rna-muscle'!$A:$A,0)))</f>
        <v>BRN75M-D6</v>
      </c>
      <c r="C1248" t="str">
        <f t="array" ref="C1248">iferror(index('rna-muscle'!$L:$L,match($A1248,'rna-muscle'!$A:$A,0)))</f>
        <v>N</v>
      </c>
      <c r="D1248" t="str">
        <f t="array" ref="D1248">iferror(index('rna-gill'!$I:$I,match($A1248,'rna-gill'!$A:$A,0)))</f>
        <v>BRN75G-D6</v>
      </c>
      <c r="E1248" t="str">
        <f t="array" ref="E1248">iferror(index('rna-gill'!$L:$L,match($A1248,'rna-gill'!$A:$A,0)))</f>
        <v>N</v>
      </c>
      <c r="F1248" t="str">
        <f t="array" ref="F1248">iferror(index(fatty_acid!$G:$G,match($A1248,fatty_acid!$A:$A,0)))</f>
        <v>BFA33-43</v>
      </c>
      <c r="G1248" t="str">
        <f t="array" ref="G1248">iferror(index(fatty_acid!$J:$J,match($A1248,fatty_acid!$A:$A,0)))</f>
        <v>N</v>
      </c>
      <c r="H1248" t="str">
        <f t="array" ref="H1248">iferror(index(isotopes!$G:$G,match($A1248,isotopes!$A:$A,0)))</f>
        <v>BIS34-42</v>
      </c>
      <c r="I1248" t="str">
        <f t="array" ref="I1248">iferror(index(isotopes!$J:$J,match($A1248,isotopes!$A:$A,0)))</f>
        <v>N</v>
      </c>
      <c r="J1248" t="str">
        <f t="array" ref="J1248">iferror(index(extra_muscle!$G:$G,match($A1248,extra_muscle!$A:$A,0)))</f>
        <v>BXM37-5</v>
      </c>
      <c r="K1248" t="str">
        <f t="array" ref="K1248">iferror(index(extra_muscle!$J:$J,match($A1248,extra_muscle!$A:$A,0)))</f>
        <v>N</v>
      </c>
      <c r="L1248" s="59" t="str">
        <f t="array" ref="L1248">iferror(index(dna!$G:$G,match($A1248,dna!$A:$A,0)))</f>
        <v>BDN10-79</v>
      </c>
      <c r="M1248" s="60" t="str">
        <f t="array" ref="M1248">iferror(index(dna!$J:$J,match($A1248,dna!$A:$A,0)))</f>
        <v>N</v>
      </c>
      <c r="N1248" t="str">
        <f t="array" ref="N1248">iferror(index(stomachs!$G:$G,match($A1248,stomachs!$A:$A,0)))</f>
        <v/>
      </c>
      <c r="O1248" t="str">
        <f t="array" ref="O1248">iferror(index(stomachs!$J:$J,match($A1248,stomachs!$A:$A,0)))</f>
        <v/>
      </c>
      <c r="P1248" t="str">
        <f t="array" ref="P1248">iferror(index(sea_lice!$G:$G,match($A1248,sea_lice!$A:$A,0)))</f>
        <v>BSL8-14</v>
      </c>
      <c r="Q1248" t="str">
        <f t="array" ref="Q1248">iferror(index(sea_lice!$J:$J,match($A1248,sea_lice!$A:$A,0)))</f>
        <v>N</v>
      </c>
      <c r="R1248" s="40" t="str">
        <f t="array" ref="R1248">iferror(index(dissected_fish!$F:$F,match($A1248,dissected_fish!$A:$A,0)))</f>
        <v>BCA111</v>
      </c>
      <c r="S1248" s="40" t="str">
        <f t="array" ref="S1248">iferror(index(dissected_fish!$K:$K,match($A1248,dissected_fish!$A:$A,0)))</f>
        <v>N</v>
      </c>
      <c r="T1248" s="61" t="str">
        <f t="array" ref="T1248">index(fish_lab_data!O:O,match(A1248,fish_lab_data!C:C,0))</f>
        <v>JG</v>
      </c>
      <c r="U1248" s="61">
        <f t="array" ref="U1248">if(A1248="","",index(fish_lab_data!X:X,match(A1248,fish_lab_data!C:C,0)))</f>
        <v>1247</v>
      </c>
    </row>
    <row r="1249">
      <c r="A1249" t="str">
        <f>fish_lab_data!C1249</f>
        <v>U16678</v>
      </c>
      <c r="B1249" t="str">
        <f t="array" ref="B1249">iferror(index('rna-muscle'!$I:$I,match($A1249,'rna-muscle'!$A:$A,0)))</f>
        <v>BRN75M-C6</v>
      </c>
      <c r="C1249" t="str">
        <f t="array" ref="C1249">iferror(index('rna-muscle'!$L:$L,match($A1249,'rna-muscle'!$A:$A,0)))</f>
        <v>N</v>
      </c>
      <c r="D1249" t="str">
        <f t="array" ref="D1249">iferror(index('rna-gill'!$I:$I,match($A1249,'rna-gill'!$A:$A,0)))</f>
        <v>BRN75G-C6</v>
      </c>
      <c r="E1249" t="str">
        <f t="array" ref="E1249">iferror(index('rna-gill'!$L:$L,match($A1249,'rna-gill'!$A:$A,0)))</f>
        <v>N</v>
      </c>
      <c r="F1249" t="str">
        <f t="array" ref="F1249">iferror(index(fatty_acid!$G:$G,match($A1249,fatty_acid!$A:$A,0)))</f>
        <v>BFA33-44</v>
      </c>
      <c r="G1249" t="str">
        <f t="array" ref="G1249">iferror(index(fatty_acid!$J:$J,match($A1249,fatty_acid!$A:$A,0)))</f>
        <v>N</v>
      </c>
      <c r="H1249" t="str">
        <f t="array" ref="H1249">iferror(index(isotopes!$G:$G,match($A1249,isotopes!$A:$A,0)))</f>
        <v>BIS34-43</v>
      </c>
      <c r="I1249" t="str">
        <f t="array" ref="I1249">iferror(index(isotopes!$J:$J,match($A1249,isotopes!$A:$A,0)))</f>
        <v>N</v>
      </c>
      <c r="J1249" t="str">
        <f t="array" ref="J1249">iferror(index(extra_muscle!$G:$G,match($A1249,extra_muscle!$A:$A,0)))</f>
        <v>BXM37-6</v>
      </c>
      <c r="K1249" t="str">
        <f t="array" ref="K1249">iferror(index(extra_muscle!$J:$J,match($A1249,extra_muscle!$A:$A,0)))</f>
        <v>N</v>
      </c>
      <c r="L1249" s="59" t="str">
        <f t="array" ref="L1249">iferror(index(dna!$G:$G,match($A1249,dna!$A:$A,0)))</f>
        <v>BDN10-80</v>
      </c>
      <c r="M1249" s="60" t="str">
        <f t="array" ref="M1249">iferror(index(dna!$J:$J,match($A1249,dna!$A:$A,0)))</f>
        <v>N</v>
      </c>
      <c r="N1249" t="str">
        <f t="array" ref="N1249">iferror(index(stomachs!$G:$G,match($A1249,stomachs!$A:$A,0)))</f>
        <v/>
      </c>
      <c r="O1249" t="str">
        <f t="array" ref="O1249">iferror(index(stomachs!$J:$J,match($A1249,stomachs!$A:$A,0)))</f>
        <v/>
      </c>
      <c r="P1249" t="str">
        <f t="array" ref="P1249">iferror(index(sea_lice!$G:$G,match($A1249,sea_lice!$A:$A,0)))</f>
        <v/>
      </c>
      <c r="Q1249" t="str">
        <f t="array" ref="Q1249">iferror(index(sea_lice!$J:$J,match($A1249,sea_lice!$A:$A,0)))</f>
        <v/>
      </c>
      <c r="R1249" s="40" t="str">
        <f t="array" ref="R1249">iferror(index(dissected_fish!$F:$F,match($A1249,dissected_fish!$A:$A,0)))</f>
        <v>BCA111</v>
      </c>
      <c r="S1249" s="40" t="str">
        <f t="array" ref="S1249">iferror(index(dissected_fish!$K:$K,match($A1249,dissected_fish!$A:$A,0)))</f>
        <v>N</v>
      </c>
      <c r="T1249" s="61" t="str">
        <f t="array" ref="T1249">index(fish_lab_data!O:O,match(A1249,fish_lab_data!C:C,0))</f>
        <v>JG</v>
      </c>
      <c r="U1249" s="61">
        <f t="array" ref="U1249">if(A1249="","",index(fish_lab_data!X:X,match(A1249,fish_lab_data!C:C,0)))</f>
        <v>1248</v>
      </c>
    </row>
    <row r="1250">
      <c r="A1250" t="str">
        <f>fish_lab_data!C1250</f>
        <v>U16672</v>
      </c>
      <c r="B1250" t="str">
        <f t="array" ref="B1250">iferror(index('rna-muscle'!$I:$I,match($A1250,'rna-muscle'!$A:$A,0)))</f>
        <v>BRN75M-B6</v>
      </c>
      <c r="C1250" t="str">
        <f t="array" ref="C1250">iferror(index('rna-muscle'!$L:$L,match($A1250,'rna-muscle'!$A:$A,0)))</f>
        <v>N</v>
      </c>
      <c r="D1250" t="str">
        <f t="array" ref="D1250">iferror(index('rna-gill'!$I:$I,match($A1250,'rna-gill'!$A:$A,0)))</f>
        <v>BRN75G-B6</v>
      </c>
      <c r="E1250" t="str">
        <f t="array" ref="E1250">iferror(index('rna-gill'!$L:$L,match($A1250,'rna-gill'!$A:$A,0)))</f>
        <v>N</v>
      </c>
      <c r="F1250" t="str">
        <f t="array" ref="F1250">iferror(index(fatty_acid!$G:$G,match($A1250,fatty_acid!$A:$A,0)))</f>
        <v>BFA33-45</v>
      </c>
      <c r="G1250" t="str">
        <f t="array" ref="G1250">iferror(index(fatty_acid!$J:$J,match($A1250,fatty_acid!$A:$A,0)))</f>
        <v>N</v>
      </c>
      <c r="H1250" t="str">
        <f t="array" ref="H1250">iferror(index(isotopes!$G:$G,match($A1250,isotopes!$A:$A,0)))</f>
        <v>BIS34-44</v>
      </c>
      <c r="I1250" t="str">
        <f t="array" ref="I1250">iferror(index(isotopes!$J:$J,match($A1250,isotopes!$A:$A,0)))</f>
        <v>N</v>
      </c>
      <c r="J1250" t="str">
        <f t="array" ref="J1250">iferror(index(extra_muscle!$G:$G,match($A1250,extra_muscle!$A:$A,0)))</f>
        <v>BXM37-7</v>
      </c>
      <c r="K1250" t="str">
        <f t="array" ref="K1250">iferror(index(extra_muscle!$J:$J,match($A1250,extra_muscle!$A:$A,0)))</f>
        <v>N</v>
      </c>
      <c r="L1250" s="59" t="str">
        <f t="array" ref="L1250">iferror(index(dna!$G:$G,match($A1250,dna!$A:$A,0)))</f>
        <v>BDN10-81</v>
      </c>
      <c r="M1250" s="60" t="str">
        <f t="array" ref="M1250">iferror(index(dna!$J:$J,match($A1250,dna!$A:$A,0)))</f>
        <v>N</v>
      </c>
      <c r="N1250" t="str">
        <f t="array" ref="N1250">iferror(index(stomachs!$G:$G,match($A1250,stomachs!$A:$A,0)))</f>
        <v/>
      </c>
      <c r="O1250" t="str">
        <f t="array" ref="O1250">iferror(index(stomachs!$J:$J,match($A1250,stomachs!$A:$A,0)))</f>
        <v/>
      </c>
      <c r="P1250" t="str">
        <f t="array" ref="P1250">iferror(index(sea_lice!$G:$G,match($A1250,sea_lice!$A:$A,0)))</f>
        <v>BSL8-15</v>
      </c>
      <c r="Q1250" t="str">
        <f t="array" ref="Q1250">iferror(index(sea_lice!$J:$J,match($A1250,sea_lice!$A:$A,0)))</f>
        <v>N</v>
      </c>
      <c r="R1250" s="40" t="str">
        <f t="array" ref="R1250">iferror(index(dissected_fish!$F:$F,match($A1250,dissected_fish!$A:$A,0)))</f>
        <v>BCA111</v>
      </c>
      <c r="S1250" s="40" t="str">
        <f t="array" ref="S1250">iferror(index(dissected_fish!$K:$K,match($A1250,dissected_fish!$A:$A,0)))</f>
        <v>N</v>
      </c>
      <c r="T1250" s="61" t="str">
        <f t="array" ref="T1250">index(fish_lab_data!O:O,match(A1250,fish_lab_data!C:C,0))</f>
        <v>JG</v>
      </c>
      <c r="U1250" s="61">
        <f t="array" ref="U1250">if(A1250="","",index(fish_lab_data!X:X,match(A1250,fish_lab_data!C:C,0)))</f>
        <v>1249</v>
      </c>
    </row>
    <row r="1251">
      <c r="A1251" t="str">
        <f>fish_lab_data!C1251</f>
        <v>U17254</v>
      </c>
      <c r="B1251" t="str">
        <f t="array" ref="B1251">iferror(index('rna-muscle'!$I:$I,match($A1251,'rna-muscle'!$A:$A,0)))</f>
        <v>BRN75M-A6</v>
      </c>
      <c r="C1251" t="str">
        <f t="array" ref="C1251">iferror(index('rna-muscle'!$L:$L,match($A1251,'rna-muscle'!$A:$A,0)))</f>
        <v>N</v>
      </c>
      <c r="D1251" t="str">
        <f t="array" ref="D1251">iferror(index('rna-gill'!$I:$I,match($A1251,'rna-gill'!$A:$A,0)))</f>
        <v>BRN75G-A6</v>
      </c>
      <c r="E1251" t="str">
        <f t="array" ref="E1251">iferror(index('rna-gill'!$L:$L,match($A1251,'rna-gill'!$A:$A,0)))</f>
        <v>N</v>
      </c>
      <c r="F1251" t="str">
        <f t="array" ref="F1251">iferror(index(fatty_acid!$G:$G,match($A1251,fatty_acid!$A:$A,0)))</f>
        <v>BFA33-46</v>
      </c>
      <c r="G1251" t="str">
        <f t="array" ref="G1251">iferror(index(fatty_acid!$J:$J,match($A1251,fatty_acid!$A:$A,0)))</f>
        <v>N</v>
      </c>
      <c r="H1251" t="str">
        <f t="array" ref="H1251">iferror(index(isotopes!$G:$G,match($A1251,isotopes!$A:$A,0)))</f>
        <v>BIS34-45</v>
      </c>
      <c r="I1251" t="str">
        <f t="array" ref="I1251">iferror(index(isotopes!$J:$J,match($A1251,isotopes!$A:$A,0)))</f>
        <v>N</v>
      </c>
      <c r="J1251" t="str">
        <f t="array" ref="J1251">iferror(index(extra_muscle!$G:$G,match($A1251,extra_muscle!$A:$A,0)))</f>
        <v>BXM37-8</v>
      </c>
      <c r="K1251" t="str">
        <f t="array" ref="K1251">iferror(index(extra_muscle!$J:$J,match($A1251,extra_muscle!$A:$A,0)))</f>
        <v>N</v>
      </c>
      <c r="L1251" s="59" t="str">
        <f t="array" ref="L1251">iferror(index(dna!$G:$G,match($A1251,dna!$A:$A,0)))</f>
        <v>BDN10-82</v>
      </c>
      <c r="M1251" s="60" t="str">
        <f t="array" ref="M1251">iferror(index(dna!$J:$J,match($A1251,dna!$A:$A,0)))</f>
        <v>N</v>
      </c>
      <c r="N1251" t="str">
        <f t="array" ref="N1251">iferror(index(stomachs!$G:$G,match($A1251,stomachs!$A:$A,0)))</f>
        <v/>
      </c>
      <c r="O1251" t="str">
        <f t="array" ref="O1251">iferror(index(stomachs!$J:$J,match($A1251,stomachs!$A:$A,0)))</f>
        <v/>
      </c>
      <c r="P1251" t="str">
        <f t="array" ref="P1251">iferror(index(sea_lice!$G:$G,match($A1251,sea_lice!$A:$A,0)))</f>
        <v>BSL8-16</v>
      </c>
      <c r="Q1251" t="str">
        <f t="array" ref="Q1251">iferror(index(sea_lice!$J:$J,match($A1251,sea_lice!$A:$A,0)))</f>
        <v>N</v>
      </c>
      <c r="R1251" s="40" t="str">
        <f t="array" ref="R1251">iferror(index(dissected_fish!$F:$F,match($A1251,dissected_fish!$A:$A,0)))</f>
        <v>BCA111</v>
      </c>
      <c r="S1251" s="40" t="str">
        <f t="array" ref="S1251">iferror(index(dissected_fish!$K:$K,match($A1251,dissected_fish!$A:$A,0)))</f>
        <v>N</v>
      </c>
      <c r="T1251" s="61" t="str">
        <f t="array" ref="T1251">index(fish_lab_data!O:O,match(A1251,fish_lab_data!C:C,0))</f>
        <v>JG</v>
      </c>
      <c r="U1251" s="61">
        <f t="array" ref="U1251">if(A1251="","",index(fish_lab_data!X:X,match(A1251,fish_lab_data!C:C,0)))</f>
        <v>1250</v>
      </c>
    </row>
    <row r="1252">
      <c r="A1252" t="str">
        <f>fish_lab_data!C1252</f>
        <v>U17103</v>
      </c>
      <c r="B1252" t="str">
        <f t="array" ref="B1252">iferror(index('rna-muscle'!$I:$I,match($A1252,'rna-muscle'!$A:$A,0)))</f>
        <v>BRN75M-H5</v>
      </c>
      <c r="C1252" t="str">
        <f t="array" ref="C1252">iferror(index('rna-muscle'!$L:$L,match($A1252,'rna-muscle'!$A:$A,0)))</f>
        <v>N</v>
      </c>
      <c r="D1252" t="str">
        <f t="array" ref="D1252">iferror(index('rna-gill'!$I:$I,match($A1252,'rna-gill'!$A:$A,0)))</f>
        <v>BRN75G-H5</v>
      </c>
      <c r="E1252" t="str">
        <f t="array" ref="E1252">iferror(index('rna-gill'!$L:$L,match($A1252,'rna-gill'!$A:$A,0)))</f>
        <v>N</v>
      </c>
      <c r="F1252" t="str">
        <f t="array" ref="F1252">iferror(index(fatty_acid!$G:$G,match($A1252,fatty_acid!$A:$A,0)))</f>
        <v>BFA35-50</v>
      </c>
      <c r="G1252" t="str">
        <f t="array" ref="G1252">iferror(index(fatty_acid!$J:$J,match($A1252,fatty_acid!$A:$A,0)))</f>
        <v>N</v>
      </c>
      <c r="H1252" t="str">
        <f t="array" ref="H1252">iferror(index(isotopes!$G:$G,match($A1252,isotopes!$A:$A,0)))</f>
        <v>BIS38-50</v>
      </c>
      <c r="I1252" t="str">
        <f t="array" ref="I1252">iferror(index(isotopes!$J:$J,match($A1252,isotopes!$A:$A,0)))</f>
        <v>N</v>
      </c>
      <c r="J1252" t="str">
        <f t="array" ref="J1252">iferror(index(extra_muscle!$G:$G,match($A1252,extra_muscle!$A:$A,0)))</f>
        <v>BXM36-50</v>
      </c>
      <c r="K1252" t="str">
        <f t="array" ref="K1252">iferror(index(extra_muscle!$J:$J,match($A1252,extra_muscle!$A:$A,0)))</f>
        <v>N</v>
      </c>
      <c r="L1252" s="59" t="str">
        <f t="array" ref="L1252">iferror(index(dna!$G:$G,match($A1252,dna!$A:$A,0)))</f>
        <v>BDN9-45</v>
      </c>
      <c r="M1252" s="60" t="str">
        <f t="array" ref="M1252">iferror(index(dna!$J:$J,match($A1252,dna!$A:$A,0)))</f>
        <v>N</v>
      </c>
      <c r="N1252" t="str">
        <f t="array" ref="N1252">iferror(index(stomachs!$G:$G,match($A1252,stomachs!$A:$A,0)))</f>
        <v/>
      </c>
      <c r="O1252" t="str">
        <f t="array" ref="O1252">iferror(index(stomachs!$J:$J,match($A1252,stomachs!$A:$A,0)))</f>
        <v/>
      </c>
      <c r="P1252" t="str">
        <f t="array" ref="P1252">iferror(index(sea_lice!$G:$G,match($A1252,sea_lice!$A:$A,0)))</f>
        <v/>
      </c>
      <c r="Q1252" t="str">
        <f t="array" ref="Q1252">iferror(index(sea_lice!$J:$J,match($A1252,sea_lice!$A:$A,0)))</f>
        <v/>
      </c>
      <c r="R1252" s="40" t="str">
        <f t="array" ref="R1252">iferror(index(dissected_fish!$F:$F,match($A1252,dissected_fish!$A:$A,0)))</f>
        <v>BCA111</v>
      </c>
      <c r="S1252" s="40" t="str">
        <f t="array" ref="S1252">iferror(index(dissected_fish!$K:$K,match($A1252,dissected_fish!$A:$A,0)))</f>
        <v>N</v>
      </c>
      <c r="T1252" s="61" t="str">
        <f t="array" ref="T1252">index(fish_lab_data!O:O,match(A1252,fish_lab_data!C:C,0))</f>
        <v>KB</v>
      </c>
      <c r="U1252" s="61">
        <f t="array" ref="U1252">if(A1252="","",index(fish_lab_data!X:X,match(A1252,fish_lab_data!C:C,0)))</f>
        <v>1251</v>
      </c>
    </row>
    <row r="1253">
      <c r="A1253" t="str">
        <f>fish_lab_data!C1253</f>
        <v>U17101</v>
      </c>
      <c r="B1253" t="str">
        <f t="array" ref="B1253">iferror(index('rna-muscle'!$I:$I,match($A1253,'rna-muscle'!$A:$A,0)))</f>
        <v>BRN75M-G5</v>
      </c>
      <c r="C1253" t="str">
        <f t="array" ref="C1253">iferror(index('rna-muscle'!$L:$L,match($A1253,'rna-muscle'!$A:$A,0)))</f>
        <v>N</v>
      </c>
      <c r="D1253" t="str">
        <f t="array" ref="D1253">iferror(index('rna-gill'!$I:$I,match($A1253,'rna-gill'!$A:$A,0)))</f>
        <v>BRN75G-G5</v>
      </c>
      <c r="E1253" t="str">
        <f t="array" ref="E1253">iferror(index('rna-gill'!$L:$L,match($A1253,'rna-gill'!$A:$A,0)))</f>
        <v>N</v>
      </c>
      <c r="F1253" t="str">
        <f t="array" ref="F1253">iferror(index(fatty_acid!$G:$G,match($A1253,fatty_acid!$A:$A,0)))</f>
        <v>BFA35-51</v>
      </c>
      <c r="G1253" t="str">
        <f t="array" ref="G1253">iferror(index(fatty_acid!$J:$J,match($A1253,fatty_acid!$A:$A,0)))</f>
        <v>N</v>
      </c>
      <c r="H1253" t="str">
        <f t="array" ref="H1253">iferror(index(isotopes!$G:$G,match($A1253,isotopes!$A:$A,0)))</f>
        <v>BIS38-51</v>
      </c>
      <c r="I1253" t="str">
        <f t="array" ref="I1253">iferror(index(isotopes!$J:$J,match($A1253,isotopes!$A:$A,0)))</f>
        <v>N</v>
      </c>
      <c r="J1253" t="str">
        <f t="array" ref="J1253">iferror(index(extra_muscle!$G:$G,match($A1253,extra_muscle!$A:$A,0)))</f>
        <v>BXM36-51</v>
      </c>
      <c r="K1253" t="str">
        <f t="array" ref="K1253">iferror(index(extra_muscle!$J:$J,match($A1253,extra_muscle!$A:$A,0)))</f>
        <v>N</v>
      </c>
      <c r="L1253" s="59" t="str">
        <f t="array" ref="L1253">iferror(index(dna!$G:$G,match($A1253,dna!$A:$A,0)))</f>
        <v>BDN9-46</v>
      </c>
      <c r="M1253" s="60" t="str">
        <f t="array" ref="M1253">iferror(index(dna!$J:$J,match($A1253,dna!$A:$A,0)))</f>
        <v>N</v>
      </c>
      <c r="N1253" t="str">
        <f t="array" ref="N1253">iferror(index(stomachs!$G:$G,match($A1253,stomachs!$A:$A,0)))</f>
        <v/>
      </c>
      <c r="O1253" t="str">
        <f t="array" ref="O1253">iferror(index(stomachs!$J:$J,match($A1253,stomachs!$A:$A,0)))</f>
        <v/>
      </c>
      <c r="P1253" t="str">
        <f t="array" ref="P1253">iferror(index(sea_lice!$G:$G,match($A1253,sea_lice!$A:$A,0)))</f>
        <v/>
      </c>
      <c r="Q1253" t="str">
        <f t="array" ref="Q1253">iferror(index(sea_lice!$J:$J,match($A1253,sea_lice!$A:$A,0)))</f>
        <v/>
      </c>
      <c r="R1253" s="40" t="str">
        <f t="array" ref="R1253">iferror(index(dissected_fish!$F:$F,match($A1253,dissected_fish!$A:$A,0)))</f>
        <v>BCA111</v>
      </c>
      <c r="S1253" s="40" t="str">
        <f t="array" ref="S1253">iferror(index(dissected_fish!$K:$K,match($A1253,dissected_fish!$A:$A,0)))</f>
        <v>N</v>
      </c>
      <c r="T1253" s="61" t="str">
        <f t="array" ref="T1253">index(fish_lab_data!O:O,match(A1253,fish_lab_data!C:C,0))</f>
        <v>KB</v>
      </c>
      <c r="U1253" s="61">
        <f t="array" ref="U1253">if(A1253="","",index(fish_lab_data!X:X,match(A1253,fish_lab_data!C:C,0)))</f>
        <v>1252</v>
      </c>
    </row>
    <row r="1254">
      <c r="A1254" t="str">
        <f>fish_lab_data!C1254</f>
        <v>U17106</v>
      </c>
      <c r="B1254" t="str">
        <f t="array" ref="B1254">iferror(index('rna-muscle'!$I:$I,match($A1254,'rna-muscle'!$A:$A,0)))</f>
        <v>BRN75M-F5</v>
      </c>
      <c r="C1254" t="str">
        <f t="array" ref="C1254">iferror(index('rna-muscle'!$L:$L,match($A1254,'rna-muscle'!$A:$A,0)))</f>
        <v>N</v>
      </c>
      <c r="D1254" t="str">
        <f t="array" ref="D1254">iferror(index('rna-gill'!$I:$I,match($A1254,'rna-gill'!$A:$A,0)))</f>
        <v>BRN75G-F5</v>
      </c>
      <c r="E1254" t="str">
        <f t="array" ref="E1254">iferror(index('rna-gill'!$L:$L,match($A1254,'rna-gill'!$A:$A,0)))</f>
        <v>N</v>
      </c>
      <c r="F1254" t="str">
        <f t="array" ref="F1254">iferror(index(fatty_acid!$G:$G,match($A1254,fatty_acid!$A:$A,0)))</f>
        <v>BFA35-52</v>
      </c>
      <c r="G1254" t="str">
        <f t="array" ref="G1254">iferror(index(fatty_acid!$J:$J,match($A1254,fatty_acid!$A:$A,0)))</f>
        <v>N</v>
      </c>
      <c r="H1254" t="str">
        <f t="array" ref="H1254">iferror(index(isotopes!$G:$G,match($A1254,isotopes!$A:$A,0)))</f>
        <v>BIS38-52</v>
      </c>
      <c r="I1254" t="str">
        <f t="array" ref="I1254">iferror(index(isotopes!$J:$J,match($A1254,isotopes!$A:$A,0)))</f>
        <v>N</v>
      </c>
      <c r="J1254" t="str">
        <f t="array" ref="J1254">iferror(index(extra_muscle!$G:$G,match($A1254,extra_muscle!$A:$A,0)))</f>
        <v>BXM36-52</v>
      </c>
      <c r="K1254" t="str">
        <f t="array" ref="K1254">iferror(index(extra_muscle!$J:$J,match($A1254,extra_muscle!$A:$A,0)))</f>
        <v>N</v>
      </c>
      <c r="L1254" s="59" t="str">
        <f t="array" ref="L1254">iferror(index(dna!$G:$G,match($A1254,dna!$A:$A,0)))</f>
        <v>BDN9-47</v>
      </c>
      <c r="M1254" s="60" t="str">
        <f t="array" ref="M1254">iferror(index(dna!$J:$J,match($A1254,dna!$A:$A,0)))</f>
        <v>N</v>
      </c>
      <c r="N1254" t="str">
        <f t="array" ref="N1254">iferror(index(stomachs!$G:$G,match($A1254,stomachs!$A:$A,0)))</f>
        <v/>
      </c>
      <c r="O1254" t="str">
        <f t="array" ref="O1254">iferror(index(stomachs!$J:$J,match($A1254,stomachs!$A:$A,0)))</f>
        <v/>
      </c>
      <c r="P1254" t="str">
        <f t="array" ref="P1254">iferror(index(sea_lice!$G:$G,match($A1254,sea_lice!$A:$A,0)))</f>
        <v>BSL2-80</v>
      </c>
      <c r="Q1254" t="str">
        <f t="array" ref="Q1254">iferror(index(sea_lice!$J:$J,match($A1254,sea_lice!$A:$A,0)))</f>
        <v>N</v>
      </c>
      <c r="R1254" s="40" t="str">
        <f t="array" ref="R1254">iferror(index(dissected_fish!$F:$F,match($A1254,dissected_fish!$A:$A,0)))</f>
        <v>BCA111</v>
      </c>
      <c r="S1254" s="40" t="str">
        <f t="array" ref="S1254">iferror(index(dissected_fish!$K:$K,match($A1254,dissected_fish!$A:$A,0)))</f>
        <v>N</v>
      </c>
      <c r="T1254" s="61" t="str">
        <f t="array" ref="T1254">index(fish_lab_data!O:O,match(A1254,fish_lab_data!C:C,0))</f>
        <v>KB</v>
      </c>
      <c r="U1254" s="61">
        <f t="array" ref="U1254">if(A1254="","",index(fish_lab_data!X:X,match(A1254,fish_lab_data!C:C,0)))</f>
        <v>1253</v>
      </c>
    </row>
    <row r="1255">
      <c r="A1255" t="str">
        <f>fish_lab_data!C1255</f>
        <v>U17104</v>
      </c>
      <c r="B1255" t="str">
        <f t="array" ref="B1255">iferror(index('rna-muscle'!$I:$I,match($A1255,'rna-muscle'!$A:$A,0)))</f>
        <v>BRN75M-E5</v>
      </c>
      <c r="C1255" t="str">
        <f t="array" ref="C1255">iferror(index('rna-muscle'!$L:$L,match($A1255,'rna-muscle'!$A:$A,0)))</f>
        <v>N</v>
      </c>
      <c r="D1255" t="str">
        <f t="array" ref="D1255">iferror(index('rna-gill'!$I:$I,match($A1255,'rna-gill'!$A:$A,0)))</f>
        <v>BRN75G-E5</v>
      </c>
      <c r="E1255" t="str">
        <f t="array" ref="E1255">iferror(index('rna-gill'!$L:$L,match($A1255,'rna-gill'!$A:$A,0)))</f>
        <v>N</v>
      </c>
      <c r="F1255" t="str">
        <f t="array" ref="F1255">iferror(index(fatty_acid!$G:$G,match($A1255,fatty_acid!$A:$A,0)))</f>
        <v>BFA35-53</v>
      </c>
      <c r="G1255" t="str">
        <f t="array" ref="G1255">iferror(index(fatty_acid!$J:$J,match($A1255,fatty_acid!$A:$A,0)))</f>
        <v>N</v>
      </c>
      <c r="H1255" t="str">
        <f t="array" ref="H1255">iferror(index(isotopes!$G:$G,match($A1255,isotopes!$A:$A,0)))</f>
        <v>BIS38-53</v>
      </c>
      <c r="I1255" t="str">
        <f t="array" ref="I1255">iferror(index(isotopes!$J:$J,match($A1255,isotopes!$A:$A,0)))</f>
        <v>N</v>
      </c>
      <c r="J1255" t="str">
        <f t="array" ref="J1255">iferror(index(extra_muscle!$G:$G,match($A1255,extra_muscle!$A:$A,0)))</f>
        <v>BXM36-53</v>
      </c>
      <c r="K1255" t="str">
        <f t="array" ref="K1255">iferror(index(extra_muscle!$J:$J,match($A1255,extra_muscle!$A:$A,0)))</f>
        <v>N</v>
      </c>
      <c r="L1255" s="59" t="str">
        <f t="array" ref="L1255">iferror(index(dna!$G:$G,match($A1255,dna!$A:$A,0)))</f>
        <v>BDN9-48</v>
      </c>
      <c r="M1255" s="60" t="str">
        <f t="array" ref="M1255">iferror(index(dna!$J:$J,match($A1255,dna!$A:$A,0)))</f>
        <v>N</v>
      </c>
      <c r="N1255" t="str">
        <f t="array" ref="N1255">iferror(index(stomachs!$G:$G,match($A1255,stomachs!$A:$A,0)))</f>
        <v/>
      </c>
      <c r="O1255" t="str">
        <f t="array" ref="O1255">iferror(index(stomachs!$J:$J,match($A1255,stomachs!$A:$A,0)))</f>
        <v/>
      </c>
      <c r="P1255" t="str">
        <f t="array" ref="P1255">iferror(index(sea_lice!$G:$G,match($A1255,sea_lice!$A:$A,0)))</f>
        <v/>
      </c>
      <c r="Q1255" t="str">
        <f t="array" ref="Q1255">iferror(index(sea_lice!$J:$J,match($A1255,sea_lice!$A:$A,0)))</f>
        <v/>
      </c>
      <c r="R1255" s="40" t="str">
        <f t="array" ref="R1255">iferror(index(dissected_fish!$F:$F,match($A1255,dissected_fish!$A:$A,0)))</f>
        <v>BCA111</v>
      </c>
      <c r="S1255" s="40" t="str">
        <f t="array" ref="S1255">iferror(index(dissected_fish!$K:$K,match($A1255,dissected_fish!$A:$A,0)))</f>
        <v>N</v>
      </c>
      <c r="T1255" s="61" t="str">
        <f t="array" ref="T1255">index(fish_lab_data!O:O,match(A1255,fish_lab_data!C:C,0))</f>
        <v>KB</v>
      </c>
      <c r="U1255" s="61">
        <f t="array" ref="U1255">if(A1255="","",index(fish_lab_data!X:X,match(A1255,fish_lab_data!C:C,0)))</f>
        <v>1254</v>
      </c>
    </row>
    <row r="1256">
      <c r="A1256" t="str">
        <f>fish_lab_data!C1256</f>
        <v>U17105</v>
      </c>
      <c r="B1256" t="str">
        <f t="array" ref="B1256">iferror(index('rna-muscle'!$I:$I,match($A1256,'rna-muscle'!$A:$A,0)))</f>
        <v>BRN75M-D5</v>
      </c>
      <c r="C1256" t="str">
        <f t="array" ref="C1256">iferror(index('rna-muscle'!$L:$L,match($A1256,'rna-muscle'!$A:$A,0)))</f>
        <v>N</v>
      </c>
      <c r="D1256" t="str">
        <f t="array" ref="D1256">iferror(index('rna-gill'!$I:$I,match($A1256,'rna-gill'!$A:$A,0)))</f>
        <v>BRN75G-D5</v>
      </c>
      <c r="E1256" t="str">
        <f t="array" ref="E1256">iferror(index('rna-gill'!$L:$L,match($A1256,'rna-gill'!$A:$A,0)))</f>
        <v>N</v>
      </c>
      <c r="F1256" t="str">
        <f t="array" ref="F1256">iferror(index(fatty_acid!$G:$G,match($A1256,fatty_acid!$A:$A,0)))</f>
        <v>BFA35-54</v>
      </c>
      <c r="G1256" t="str">
        <f t="array" ref="G1256">iferror(index(fatty_acid!$J:$J,match($A1256,fatty_acid!$A:$A,0)))</f>
        <v>N</v>
      </c>
      <c r="H1256" t="str">
        <f t="array" ref="H1256">iferror(index(isotopes!$G:$G,match($A1256,isotopes!$A:$A,0)))</f>
        <v>BIS38-54</v>
      </c>
      <c r="I1256" t="str">
        <f t="array" ref="I1256">iferror(index(isotopes!$J:$J,match($A1256,isotopes!$A:$A,0)))</f>
        <v>N</v>
      </c>
      <c r="J1256" t="str">
        <f t="array" ref="J1256">iferror(index(extra_muscle!$G:$G,match($A1256,extra_muscle!$A:$A,0)))</f>
        <v>BXM36-54</v>
      </c>
      <c r="K1256" t="str">
        <f t="array" ref="K1256">iferror(index(extra_muscle!$J:$J,match($A1256,extra_muscle!$A:$A,0)))</f>
        <v>N</v>
      </c>
      <c r="L1256" s="59" t="str">
        <f t="array" ref="L1256">iferror(index(dna!$G:$G,match($A1256,dna!$A:$A,0)))</f>
        <v>BDN9-49</v>
      </c>
      <c r="M1256" s="60" t="str">
        <f t="array" ref="M1256">iferror(index(dna!$J:$J,match($A1256,dna!$A:$A,0)))</f>
        <v>N</v>
      </c>
      <c r="N1256" t="str">
        <f t="array" ref="N1256">iferror(index(stomachs!$G:$G,match($A1256,stomachs!$A:$A,0)))</f>
        <v/>
      </c>
      <c r="O1256" t="str">
        <f t="array" ref="O1256">iferror(index(stomachs!$J:$J,match($A1256,stomachs!$A:$A,0)))</f>
        <v/>
      </c>
      <c r="P1256" t="str">
        <f t="array" ref="P1256">iferror(index(sea_lice!$G:$G,match($A1256,sea_lice!$A:$A,0)))</f>
        <v/>
      </c>
      <c r="Q1256" t="str">
        <f t="array" ref="Q1256">iferror(index(sea_lice!$J:$J,match($A1256,sea_lice!$A:$A,0)))</f>
        <v/>
      </c>
      <c r="R1256" s="40" t="str">
        <f t="array" ref="R1256">iferror(index(dissected_fish!$F:$F,match($A1256,dissected_fish!$A:$A,0)))</f>
        <v>BCA111</v>
      </c>
      <c r="S1256" s="40" t="str">
        <f t="array" ref="S1256">iferror(index(dissected_fish!$K:$K,match($A1256,dissected_fish!$A:$A,0)))</f>
        <v>N</v>
      </c>
      <c r="T1256" s="61" t="str">
        <f t="array" ref="T1256">index(fish_lab_data!O:O,match(A1256,fish_lab_data!C:C,0))</f>
        <v>KB</v>
      </c>
      <c r="U1256" s="61">
        <f t="array" ref="U1256">if(A1256="","",index(fish_lab_data!X:X,match(A1256,fish_lab_data!C:C,0)))</f>
        <v>1255</v>
      </c>
    </row>
    <row r="1257">
      <c r="A1257" t="str">
        <f>fish_lab_data!C1257</f>
        <v>U17109</v>
      </c>
      <c r="B1257" t="str">
        <f t="array" ref="B1257">iferror(index('rna-muscle'!$I:$I,match($A1257,'rna-muscle'!$A:$A,0)))</f>
        <v>BRN75M-C5</v>
      </c>
      <c r="C1257" t="str">
        <f t="array" ref="C1257">iferror(index('rna-muscle'!$L:$L,match($A1257,'rna-muscle'!$A:$A,0)))</f>
        <v>N</v>
      </c>
      <c r="D1257" t="str">
        <f t="array" ref="D1257">iferror(index('rna-gill'!$I:$I,match($A1257,'rna-gill'!$A:$A,0)))</f>
        <v>BRN75G-C5</v>
      </c>
      <c r="E1257" t="str">
        <f t="array" ref="E1257">iferror(index('rna-gill'!$L:$L,match($A1257,'rna-gill'!$A:$A,0)))</f>
        <v>N</v>
      </c>
      <c r="F1257" t="str">
        <f t="array" ref="F1257">iferror(index(fatty_acid!$G:$G,match($A1257,fatty_acid!$A:$A,0)))</f>
        <v>BFA35-55</v>
      </c>
      <c r="G1257" t="str">
        <f t="array" ref="G1257">iferror(index(fatty_acid!$J:$J,match($A1257,fatty_acid!$A:$A,0)))</f>
        <v>N</v>
      </c>
      <c r="H1257" t="str">
        <f t="array" ref="H1257">iferror(index(isotopes!$G:$G,match($A1257,isotopes!$A:$A,0)))</f>
        <v>BIS38-55</v>
      </c>
      <c r="I1257" t="str">
        <f t="array" ref="I1257">iferror(index(isotopes!$J:$J,match($A1257,isotopes!$A:$A,0)))</f>
        <v>N</v>
      </c>
      <c r="J1257" t="str">
        <f t="array" ref="J1257">iferror(index(extra_muscle!$G:$G,match($A1257,extra_muscle!$A:$A,0)))</f>
        <v>BXM36-55</v>
      </c>
      <c r="K1257" t="str">
        <f t="array" ref="K1257">iferror(index(extra_muscle!$J:$J,match($A1257,extra_muscle!$A:$A,0)))</f>
        <v>N</v>
      </c>
      <c r="L1257" s="59" t="str">
        <f t="array" ref="L1257">iferror(index(dna!$G:$G,match($A1257,dna!$A:$A,0)))</f>
        <v>BDN9-50</v>
      </c>
      <c r="M1257" s="60" t="str">
        <f t="array" ref="M1257">iferror(index(dna!$J:$J,match($A1257,dna!$A:$A,0)))</f>
        <v>N</v>
      </c>
      <c r="N1257" t="str">
        <f t="array" ref="N1257">iferror(index(stomachs!$G:$G,match($A1257,stomachs!$A:$A,0)))</f>
        <v/>
      </c>
      <c r="O1257" t="str">
        <f t="array" ref="O1257">iferror(index(stomachs!$J:$J,match($A1257,stomachs!$A:$A,0)))</f>
        <v/>
      </c>
      <c r="P1257" t="str">
        <f t="array" ref="P1257">iferror(index(sea_lice!$G:$G,match($A1257,sea_lice!$A:$A,0)))</f>
        <v/>
      </c>
      <c r="Q1257" t="str">
        <f t="array" ref="Q1257">iferror(index(sea_lice!$J:$J,match($A1257,sea_lice!$A:$A,0)))</f>
        <v/>
      </c>
      <c r="R1257" s="40" t="str">
        <f t="array" ref="R1257">iferror(index(dissected_fish!$F:$F,match($A1257,dissected_fish!$A:$A,0)))</f>
        <v>BCA111</v>
      </c>
      <c r="S1257" s="40" t="str">
        <f t="array" ref="S1257">iferror(index(dissected_fish!$K:$K,match($A1257,dissected_fish!$A:$A,0)))</f>
        <v>N</v>
      </c>
      <c r="T1257" s="61" t="str">
        <f t="array" ref="T1257">index(fish_lab_data!O:O,match(A1257,fish_lab_data!C:C,0))</f>
        <v>KB</v>
      </c>
      <c r="U1257" s="61">
        <f t="array" ref="U1257">if(A1257="","",index(fish_lab_data!X:X,match(A1257,fish_lab_data!C:C,0)))</f>
        <v>1256</v>
      </c>
    </row>
    <row r="1258">
      <c r="A1258" t="str">
        <f>fish_lab_data!C1258</f>
        <v>U17110</v>
      </c>
      <c r="B1258" t="str">
        <f t="array" ref="B1258">iferror(index('rna-muscle'!$I:$I,match($A1258,'rna-muscle'!$A:$A,0)))</f>
        <v>BRN75M-B5</v>
      </c>
      <c r="C1258" t="str">
        <f t="array" ref="C1258">iferror(index('rna-muscle'!$L:$L,match($A1258,'rna-muscle'!$A:$A,0)))</f>
        <v>N</v>
      </c>
      <c r="D1258" t="str">
        <f t="array" ref="D1258">iferror(index('rna-gill'!$I:$I,match($A1258,'rna-gill'!$A:$A,0)))</f>
        <v>BRN75G-B5</v>
      </c>
      <c r="E1258" t="str">
        <f t="array" ref="E1258">iferror(index('rna-gill'!$L:$L,match($A1258,'rna-gill'!$A:$A,0)))</f>
        <v>N</v>
      </c>
      <c r="F1258" t="str">
        <f t="array" ref="F1258">iferror(index(fatty_acid!$G:$G,match($A1258,fatty_acid!$A:$A,0)))</f>
        <v>BFA35-56</v>
      </c>
      <c r="G1258" t="str">
        <f t="array" ref="G1258">iferror(index(fatty_acid!$J:$J,match($A1258,fatty_acid!$A:$A,0)))</f>
        <v>N</v>
      </c>
      <c r="H1258" t="str">
        <f t="array" ref="H1258">iferror(index(isotopes!$G:$G,match($A1258,isotopes!$A:$A,0)))</f>
        <v>BIS38-56</v>
      </c>
      <c r="I1258" t="str">
        <f t="array" ref="I1258">iferror(index(isotopes!$J:$J,match($A1258,isotopes!$A:$A,0)))</f>
        <v>N</v>
      </c>
      <c r="J1258" t="str">
        <f t="array" ref="J1258">iferror(index(extra_muscle!$G:$G,match($A1258,extra_muscle!$A:$A,0)))</f>
        <v>BXM36-56</v>
      </c>
      <c r="K1258" t="str">
        <f t="array" ref="K1258">iferror(index(extra_muscle!$J:$J,match($A1258,extra_muscle!$A:$A,0)))</f>
        <v>N</v>
      </c>
      <c r="L1258" s="59" t="str">
        <f t="array" ref="L1258">iferror(index(dna!$G:$G,match($A1258,dna!$A:$A,0)))</f>
        <v>BDN9-51</v>
      </c>
      <c r="M1258" s="60" t="str">
        <f t="array" ref="M1258">iferror(index(dna!$J:$J,match($A1258,dna!$A:$A,0)))</f>
        <v>N</v>
      </c>
      <c r="N1258" t="str">
        <f t="array" ref="N1258">iferror(index(stomachs!$G:$G,match($A1258,stomachs!$A:$A,0)))</f>
        <v/>
      </c>
      <c r="O1258" t="str">
        <f t="array" ref="O1258">iferror(index(stomachs!$J:$J,match($A1258,stomachs!$A:$A,0)))</f>
        <v/>
      </c>
      <c r="P1258" t="str">
        <f t="array" ref="P1258">iferror(index(sea_lice!$G:$G,match($A1258,sea_lice!$A:$A,0)))</f>
        <v>BSL2-81</v>
      </c>
      <c r="Q1258" t="str">
        <f t="array" ref="Q1258">iferror(index(sea_lice!$J:$J,match($A1258,sea_lice!$A:$A,0)))</f>
        <v>N</v>
      </c>
      <c r="R1258" s="40" t="str">
        <f t="array" ref="R1258">iferror(index(dissected_fish!$F:$F,match($A1258,dissected_fish!$A:$A,0)))</f>
        <v>BCA111</v>
      </c>
      <c r="S1258" s="40" t="str">
        <f t="array" ref="S1258">iferror(index(dissected_fish!$K:$K,match($A1258,dissected_fish!$A:$A,0)))</f>
        <v>N</v>
      </c>
      <c r="T1258" s="61" t="str">
        <f t="array" ref="T1258">index(fish_lab_data!O:O,match(A1258,fish_lab_data!C:C,0))</f>
        <v>KB</v>
      </c>
      <c r="U1258" s="61">
        <f t="array" ref="U1258">if(A1258="","",index(fish_lab_data!X:X,match(A1258,fish_lab_data!C:C,0)))</f>
        <v>1257</v>
      </c>
    </row>
    <row r="1259">
      <c r="A1259" t="str">
        <f>fish_lab_data!C1259</f>
        <v>U17108</v>
      </c>
      <c r="B1259" t="str">
        <f t="array" ref="B1259">iferror(index('rna-muscle'!$I:$I,match($A1259,'rna-muscle'!$A:$A,0)))</f>
        <v>BRN75M-A5</v>
      </c>
      <c r="C1259" t="str">
        <f t="array" ref="C1259">iferror(index('rna-muscle'!$L:$L,match($A1259,'rna-muscle'!$A:$A,0)))</f>
        <v>N</v>
      </c>
      <c r="D1259" t="str">
        <f t="array" ref="D1259">iferror(index('rna-gill'!$I:$I,match($A1259,'rna-gill'!$A:$A,0)))</f>
        <v>BRN75G-A5</v>
      </c>
      <c r="E1259" t="str">
        <f t="array" ref="E1259">iferror(index('rna-gill'!$L:$L,match($A1259,'rna-gill'!$A:$A,0)))</f>
        <v>N</v>
      </c>
      <c r="F1259" t="str">
        <f t="array" ref="F1259">iferror(index(fatty_acid!$G:$G,match($A1259,fatty_acid!$A:$A,0)))</f>
        <v>BFA35-57</v>
      </c>
      <c r="G1259" t="str">
        <f t="array" ref="G1259">iferror(index(fatty_acid!$J:$J,match($A1259,fatty_acid!$A:$A,0)))</f>
        <v>N</v>
      </c>
      <c r="H1259" t="str">
        <f t="array" ref="H1259">iferror(index(isotopes!$G:$G,match($A1259,isotopes!$A:$A,0)))</f>
        <v>BIS38-57</v>
      </c>
      <c r="I1259" t="str">
        <f t="array" ref="I1259">iferror(index(isotopes!$J:$J,match($A1259,isotopes!$A:$A,0)))</f>
        <v>N</v>
      </c>
      <c r="J1259" t="str">
        <f t="array" ref="J1259">iferror(index(extra_muscle!$G:$G,match($A1259,extra_muscle!$A:$A,0)))</f>
        <v>BXM36-57</v>
      </c>
      <c r="K1259" t="str">
        <f t="array" ref="K1259">iferror(index(extra_muscle!$J:$J,match($A1259,extra_muscle!$A:$A,0)))</f>
        <v>N</v>
      </c>
      <c r="L1259" s="59" t="str">
        <f t="array" ref="L1259">iferror(index(dna!$G:$G,match($A1259,dna!$A:$A,0)))</f>
        <v>BDN9-52</v>
      </c>
      <c r="M1259" s="60" t="str">
        <f t="array" ref="M1259">iferror(index(dna!$J:$J,match($A1259,dna!$A:$A,0)))</f>
        <v>N</v>
      </c>
      <c r="N1259" t="str">
        <f t="array" ref="N1259">iferror(index(stomachs!$G:$G,match($A1259,stomachs!$A:$A,0)))</f>
        <v/>
      </c>
      <c r="O1259" t="str">
        <f t="array" ref="O1259">iferror(index(stomachs!$J:$J,match($A1259,stomachs!$A:$A,0)))</f>
        <v/>
      </c>
      <c r="P1259" t="str">
        <f t="array" ref="P1259">iferror(index(sea_lice!$G:$G,match($A1259,sea_lice!$A:$A,0)))</f>
        <v/>
      </c>
      <c r="Q1259" t="str">
        <f t="array" ref="Q1259">iferror(index(sea_lice!$J:$J,match($A1259,sea_lice!$A:$A,0)))</f>
        <v/>
      </c>
      <c r="R1259" s="40" t="str">
        <f t="array" ref="R1259">iferror(index(dissected_fish!$F:$F,match($A1259,dissected_fish!$A:$A,0)))</f>
        <v>BCA111</v>
      </c>
      <c r="S1259" s="40" t="str">
        <f t="array" ref="S1259">iferror(index(dissected_fish!$K:$K,match($A1259,dissected_fish!$A:$A,0)))</f>
        <v>N</v>
      </c>
      <c r="T1259" s="61" t="str">
        <f t="array" ref="T1259">index(fish_lab_data!O:O,match(A1259,fish_lab_data!C:C,0))</f>
        <v>KB</v>
      </c>
      <c r="U1259" s="61">
        <f t="array" ref="U1259">if(A1259="","",index(fish_lab_data!X:X,match(A1259,fish_lab_data!C:C,0)))</f>
        <v>1258</v>
      </c>
    </row>
    <row r="1260">
      <c r="A1260" t="str">
        <f>fish_lab_data!C1260</f>
        <v>U16415</v>
      </c>
      <c r="B1260" t="str">
        <f t="array" ref="B1260">iferror(index('rna-muscle'!$I:$I,match($A1260,'rna-muscle'!$A:$A,0)))</f>
        <v>BRN75M-H9</v>
      </c>
      <c r="C1260" t="str">
        <f t="array" ref="C1260">iferror(index('rna-muscle'!$L:$L,match($A1260,'rna-muscle'!$A:$A,0)))</f>
        <v>N</v>
      </c>
      <c r="D1260" t="str">
        <f t="array" ref="D1260">iferror(index('rna-gill'!$I:$I,match($A1260,'rna-gill'!$A:$A,0)))</f>
        <v>BRN75G-H9</v>
      </c>
      <c r="E1260" t="str">
        <f t="array" ref="E1260">iferror(index('rna-gill'!$L:$L,match($A1260,'rna-gill'!$A:$A,0)))</f>
        <v>N</v>
      </c>
      <c r="F1260" t="str">
        <f t="array" ref="F1260">iferror(index(fatty_acid!$G:$G,match($A1260,fatty_acid!$A:$A,0)))</f>
        <v>BFA35-58</v>
      </c>
      <c r="G1260" t="str">
        <f t="array" ref="G1260">iferror(index(fatty_acid!$J:$J,match($A1260,fatty_acid!$A:$A,0)))</f>
        <v>N</v>
      </c>
      <c r="H1260" t="str">
        <f t="array" ref="H1260">iferror(index(isotopes!$G:$G,match($A1260,isotopes!$A:$A,0)))</f>
        <v>BIS38-58</v>
      </c>
      <c r="I1260" t="str">
        <f t="array" ref="I1260">iferror(index(isotopes!$J:$J,match($A1260,isotopes!$A:$A,0)))</f>
        <v>N</v>
      </c>
      <c r="J1260" t="str">
        <f t="array" ref="J1260">iferror(index(extra_muscle!$G:$G,match($A1260,extra_muscle!$A:$A,0)))</f>
        <v>BXM36-58</v>
      </c>
      <c r="K1260" t="str">
        <f t="array" ref="K1260">iferror(index(extra_muscle!$J:$J,match($A1260,extra_muscle!$A:$A,0)))</f>
        <v>N</v>
      </c>
      <c r="L1260" s="59" t="str">
        <f t="array" ref="L1260">iferror(index(dna!$G:$G,match($A1260,dna!$A:$A,0)))</f>
        <v>BDN9-53</v>
      </c>
      <c r="M1260" s="60" t="str">
        <f t="array" ref="M1260">iferror(index(dna!$J:$J,match($A1260,dna!$A:$A,0)))</f>
        <v>N</v>
      </c>
      <c r="N1260" t="str">
        <f t="array" ref="N1260">iferror(index(stomachs!$G:$G,match($A1260,stomachs!$A:$A,0)))</f>
        <v/>
      </c>
      <c r="O1260" t="str">
        <f t="array" ref="O1260">iferror(index(stomachs!$J:$J,match($A1260,stomachs!$A:$A,0)))</f>
        <v/>
      </c>
      <c r="P1260" t="str">
        <f t="array" ref="P1260">iferror(index(sea_lice!$G:$G,match($A1260,sea_lice!$A:$A,0)))</f>
        <v/>
      </c>
      <c r="Q1260" t="str">
        <f t="array" ref="Q1260">iferror(index(sea_lice!$J:$J,match($A1260,sea_lice!$A:$A,0)))</f>
        <v/>
      </c>
      <c r="R1260" s="40" t="str">
        <f t="array" ref="R1260">iferror(index(dissected_fish!$F:$F,match($A1260,dissected_fish!$A:$A,0)))</f>
        <v>BCA111</v>
      </c>
      <c r="S1260" s="40" t="str">
        <f t="array" ref="S1260">iferror(index(dissected_fish!$K:$K,match($A1260,dissected_fish!$A:$A,0)))</f>
        <v>N</v>
      </c>
      <c r="T1260" s="61" t="str">
        <f t="array" ref="T1260">index(fish_lab_data!O:O,match(A1260,fish_lab_data!C:C,0))</f>
        <v>KB</v>
      </c>
      <c r="U1260" s="61">
        <f t="array" ref="U1260">if(A1260="","",index(fish_lab_data!X:X,match(A1260,fish_lab_data!C:C,0)))</f>
        <v>1259</v>
      </c>
    </row>
    <row r="1261">
      <c r="A1261" t="str">
        <f>fish_lab_data!C1261</f>
        <v>U16418</v>
      </c>
      <c r="B1261" t="str">
        <f t="array" ref="B1261">iferror(index('rna-muscle'!$I:$I,match($A1261,'rna-muscle'!$A:$A,0)))</f>
        <v>BRN75M-G9</v>
      </c>
      <c r="C1261" t="str">
        <f t="array" ref="C1261">iferror(index('rna-muscle'!$L:$L,match($A1261,'rna-muscle'!$A:$A,0)))</f>
        <v>N</v>
      </c>
      <c r="D1261" t="str">
        <f t="array" ref="D1261">iferror(index('rna-gill'!$I:$I,match($A1261,'rna-gill'!$A:$A,0)))</f>
        <v>BRN75G-G9</v>
      </c>
      <c r="E1261" t="str">
        <f t="array" ref="E1261">iferror(index('rna-gill'!$L:$L,match($A1261,'rna-gill'!$A:$A,0)))</f>
        <v>N</v>
      </c>
      <c r="F1261" t="str">
        <f t="array" ref="F1261">iferror(index(fatty_acid!$G:$G,match($A1261,fatty_acid!$A:$A,0)))</f>
        <v>BFA35-59</v>
      </c>
      <c r="G1261" t="str">
        <f t="array" ref="G1261">iferror(index(fatty_acid!$J:$J,match($A1261,fatty_acid!$A:$A,0)))</f>
        <v>N</v>
      </c>
      <c r="H1261" t="str">
        <f t="array" ref="H1261">iferror(index(isotopes!$G:$G,match($A1261,isotopes!$A:$A,0)))</f>
        <v>BIS38-59</v>
      </c>
      <c r="I1261" t="str">
        <f t="array" ref="I1261">iferror(index(isotopes!$J:$J,match($A1261,isotopes!$A:$A,0)))</f>
        <v>N</v>
      </c>
      <c r="J1261" t="str">
        <f t="array" ref="J1261">iferror(index(extra_muscle!$G:$G,match($A1261,extra_muscle!$A:$A,0)))</f>
        <v>BXM36-59</v>
      </c>
      <c r="K1261" t="str">
        <f t="array" ref="K1261">iferror(index(extra_muscle!$J:$J,match($A1261,extra_muscle!$A:$A,0)))</f>
        <v>N</v>
      </c>
      <c r="L1261" s="59" t="str">
        <f t="array" ref="L1261">iferror(index(dna!$G:$G,match($A1261,dna!$A:$A,0)))</f>
        <v>BDN9-54</v>
      </c>
      <c r="M1261" s="60" t="str">
        <f t="array" ref="M1261">iferror(index(dna!$J:$J,match($A1261,dna!$A:$A,0)))</f>
        <v>N</v>
      </c>
      <c r="N1261" t="str">
        <f t="array" ref="N1261">iferror(index(stomachs!$G:$G,match($A1261,stomachs!$A:$A,0)))</f>
        <v/>
      </c>
      <c r="O1261" t="str">
        <f t="array" ref="O1261">iferror(index(stomachs!$J:$J,match($A1261,stomachs!$A:$A,0)))</f>
        <v/>
      </c>
      <c r="P1261" t="str">
        <f t="array" ref="P1261">iferror(index(sea_lice!$G:$G,match($A1261,sea_lice!$A:$A,0)))</f>
        <v/>
      </c>
      <c r="Q1261" t="str">
        <f t="array" ref="Q1261">iferror(index(sea_lice!$J:$J,match($A1261,sea_lice!$A:$A,0)))</f>
        <v/>
      </c>
      <c r="R1261" s="40" t="str">
        <f t="array" ref="R1261">iferror(index(dissected_fish!$F:$F,match($A1261,dissected_fish!$A:$A,0)))</f>
        <v>BCA111</v>
      </c>
      <c r="S1261" s="40" t="str">
        <f t="array" ref="S1261">iferror(index(dissected_fish!$K:$K,match($A1261,dissected_fish!$A:$A,0)))</f>
        <v>N</v>
      </c>
      <c r="T1261" s="61" t="str">
        <f t="array" ref="T1261">index(fish_lab_data!O:O,match(A1261,fish_lab_data!C:C,0))</f>
        <v>KB</v>
      </c>
      <c r="U1261" s="61">
        <f t="array" ref="U1261">if(A1261="","",index(fish_lab_data!X:X,match(A1261,fish_lab_data!C:C,0)))</f>
        <v>1260</v>
      </c>
    </row>
    <row r="1262">
      <c r="A1262" t="str">
        <f>fish_lab_data!C1262</f>
        <v>U16414</v>
      </c>
      <c r="B1262" t="str">
        <f t="array" ref="B1262">iferror(index('rna-muscle'!$I:$I,match($A1262,'rna-muscle'!$A:$A,0)))</f>
        <v>BRN75M-F9</v>
      </c>
      <c r="C1262" t="str">
        <f t="array" ref="C1262">iferror(index('rna-muscle'!$L:$L,match($A1262,'rna-muscle'!$A:$A,0)))</f>
        <v>N</v>
      </c>
      <c r="D1262" t="str">
        <f t="array" ref="D1262">iferror(index('rna-gill'!$I:$I,match($A1262,'rna-gill'!$A:$A,0)))</f>
        <v>BRN75G-F9</v>
      </c>
      <c r="E1262" t="str">
        <f t="array" ref="E1262">iferror(index('rna-gill'!$L:$L,match($A1262,'rna-gill'!$A:$A,0)))</f>
        <v>N</v>
      </c>
      <c r="F1262" t="str">
        <f t="array" ref="F1262">iferror(index(fatty_acid!$G:$G,match($A1262,fatty_acid!$A:$A,0)))</f>
        <v>BFA35-60</v>
      </c>
      <c r="G1262" t="str">
        <f t="array" ref="G1262">iferror(index(fatty_acid!$J:$J,match($A1262,fatty_acid!$A:$A,0)))</f>
        <v>N</v>
      </c>
      <c r="H1262" t="str">
        <f t="array" ref="H1262">iferror(index(isotopes!$G:$G,match($A1262,isotopes!$A:$A,0)))</f>
        <v>BIS38-60</v>
      </c>
      <c r="I1262" t="str">
        <f t="array" ref="I1262">iferror(index(isotopes!$J:$J,match($A1262,isotopes!$A:$A,0)))</f>
        <v>N</v>
      </c>
      <c r="J1262" t="str">
        <f t="array" ref="J1262">iferror(index(extra_muscle!$G:$G,match($A1262,extra_muscle!$A:$A,0)))</f>
        <v>BXM36-60</v>
      </c>
      <c r="K1262" t="str">
        <f t="array" ref="K1262">iferror(index(extra_muscle!$J:$J,match($A1262,extra_muscle!$A:$A,0)))</f>
        <v>N</v>
      </c>
      <c r="L1262" s="59" t="str">
        <f t="array" ref="L1262">iferror(index(dna!$G:$G,match($A1262,dna!$A:$A,0)))</f>
        <v>BDN9-55</v>
      </c>
      <c r="M1262" s="60" t="str">
        <f t="array" ref="M1262">iferror(index(dna!$J:$J,match($A1262,dna!$A:$A,0)))</f>
        <v>N</v>
      </c>
      <c r="N1262" t="str">
        <f t="array" ref="N1262">iferror(index(stomachs!$G:$G,match($A1262,stomachs!$A:$A,0)))</f>
        <v/>
      </c>
      <c r="O1262" t="str">
        <f t="array" ref="O1262">iferror(index(stomachs!$J:$J,match($A1262,stomachs!$A:$A,0)))</f>
        <v/>
      </c>
      <c r="P1262" t="str">
        <f t="array" ref="P1262">iferror(index(sea_lice!$G:$G,match($A1262,sea_lice!$A:$A,0)))</f>
        <v/>
      </c>
      <c r="Q1262" t="str">
        <f t="array" ref="Q1262">iferror(index(sea_lice!$J:$J,match($A1262,sea_lice!$A:$A,0)))</f>
        <v/>
      </c>
      <c r="R1262" s="40" t="str">
        <f t="array" ref="R1262">iferror(index(dissected_fish!$F:$F,match($A1262,dissected_fish!$A:$A,0)))</f>
        <v>BCA111</v>
      </c>
      <c r="S1262" s="40" t="str">
        <f t="array" ref="S1262">iferror(index(dissected_fish!$K:$K,match($A1262,dissected_fish!$A:$A,0)))</f>
        <v>N</v>
      </c>
      <c r="T1262" s="61" t="str">
        <f t="array" ref="T1262">index(fish_lab_data!O:O,match(A1262,fish_lab_data!C:C,0))</f>
        <v>KB</v>
      </c>
      <c r="U1262" s="61">
        <f t="array" ref="U1262">if(A1262="","",index(fish_lab_data!X:X,match(A1262,fish_lab_data!C:C,0)))</f>
        <v>1261</v>
      </c>
    </row>
    <row r="1263">
      <c r="A1263" t="str">
        <f>fish_lab_data!C1263</f>
        <v>U16412</v>
      </c>
      <c r="B1263" t="str">
        <f t="array" ref="B1263">iferror(index('rna-muscle'!$I:$I,match($A1263,'rna-muscle'!$A:$A,0)))</f>
        <v>BRN75M-E9</v>
      </c>
      <c r="C1263" t="str">
        <f t="array" ref="C1263">iferror(index('rna-muscle'!$L:$L,match($A1263,'rna-muscle'!$A:$A,0)))</f>
        <v>N</v>
      </c>
      <c r="D1263" t="str">
        <f t="array" ref="D1263">iferror(index('rna-gill'!$I:$I,match($A1263,'rna-gill'!$A:$A,0)))</f>
        <v>BRN75G-E9</v>
      </c>
      <c r="E1263" t="str">
        <f t="array" ref="E1263">iferror(index('rna-gill'!$L:$L,match($A1263,'rna-gill'!$A:$A,0)))</f>
        <v>N</v>
      </c>
      <c r="F1263" t="str">
        <f t="array" ref="F1263">iferror(index(fatty_acid!$G:$G,match($A1263,fatty_acid!$A:$A,0)))</f>
        <v>BFA35-61</v>
      </c>
      <c r="G1263" t="str">
        <f t="array" ref="G1263">iferror(index(fatty_acid!$J:$J,match($A1263,fatty_acid!$A:$A,0)))</f>
        <v>N</v>
      </c>
      <c r="H1263" t="str">
        <f t="array" ref="H1263">iferror(index(isotopes!$G:$G,match($A1263,isotopes!$A:$A,0)))</f>
        <v>BIS38-61</v>
      </c>
      <c r="I1263" t="str">
        <f t="array" ref="I1263">iferror(index(isotopes!$J:$J,match($A1263,isotopes!$A:$A,0)))</f>
        <v>N</v>
      </c>
      <c r="J1263" t="str">
        <f t="array" ref="J1263">iferror(index(extra_muscle!$G:$G,match($A1263,extra_muscle!$A:$A,0)))</f>
        <v>BXM36-61</v>
      </c>
      <c r="K1263" t="str">
        <f t="array" ref="K1263">iferror(index(extra_muscle!$J:$J,match($A1263,extra_muscle!$A:$A,0)))</f>
        <v>N</v>
      </c>
      <c r="L1263" s="59" t="str">
        <f t="array" ref="L1263">iferror(index(dna!$G:$G,match($A1263,dna!$A:$A,0)))</f>
        <v>BDN9-56</v>
      </c>
      <c r="M1263" s="60" t="str">
        <f t="array" ref="M1263">iferror(index(dna!$J:$J,match($A1263,dna!$A:$A,0)))</f>
        <v>N</v>
      </c>
      <c r="N1263" t="str">
        <f t="array" ref="N1263">iferror(index(stomachs!$G:$G,match($A1263,stomachs!$A:$A,0)))</f>
        <v/>
      </c>
      <c r="O1263" t="str">
        <f t="array" ref="O1263">iferror(index(stomachs!$J:$J,match($A1263,stomachs!$A:$A,0)))</f>
        <v/>
      </c>
      <c r="P1263" t="str">
        <f t="array" ref="P1263">iferror(index(sea_lice!$G:$G,match($A1263,sea_lice!$A:$A,0)))</f>
        <v/>
      </c>
      <c r="Q1263" t="str">
        <f t="array" ref="Q1263">iferror(index(sea_lice!$J:$J,match($A1263,sea_lice!$A:$A,0)))</f>
        <v/>
      </c>
      <c r="R1263" s="40" t="str">
        <f t="array" ref="R1263">iferror(index(dissected_fish!$F:$F,match($A1263,dissected_fish!$A:$A,0)))</f>
        <v>BCA111</v>
      </c>
      <c r="S1263" s="40" t="str">
        <f t="array" ref="S1263">iferror(index(dissected_fish!$K:$K,match($A1263,dissected_fish!$A:$A,0)))</f>
        <v>N</v>
      </c>
      <c r="T1263" s="61" t="str">
        <f t="array" ref="T1263">index(fish_lab_data!O:O,match(A1263,fish_lab_data!C:C,0))</f>
        <v>KB</v>
      </c>
      <c r="U1263" s="61">
        <f t="array" ref="U1263">if(A1263="","",index(fish_lab_data!X:X,match(A1263,fish_lab_data!C:C,0)))</f>
        <v>1262</v>
      </c>
    </row>
    <row r="1264">
      <c r="A1264" t="str">
        <f>fish_lab_data!C1264</f>
        <v>U16413</v>
      </c>
      <c r="B1264" t="str">
        <f t="array" ref="B1264">iferror(index('rna-muscle'!$I:$I,match($A1264,'rna-muscle'!$A:$A,0)))</f>
        <v>BRN75M-D9</v>
      </c>
      <c r="C1264" t="str">
        <f t="array" ref="C1264">iferror(index('rna-muscle'!$L:$L,match($A1264,'rna-muscle'!$A:$A,0)))</f>
        <v>N</v>
      </c>
      <c r="D1264" t="str">
        <f t="array" ref="D1264">iferror(index('rna-gill'!$I:$I,match($A1264,'rna-gill'!$A:$A,0)))</f>
        <v>BRN75G-D9</v>
      </c>
      <c r="E1264" t="str">
        <f t="array" ref="E1264">iferror(index('rna-gill'!$L:$L,match($A1264,'rna-gill'!$A:$A,0)))</f>
        <v>N</v>
      </c>
      <c r="F1264" t="str">
        <f t="array" ref="F1264">iferror(index(fatty_acid!$G:$G,match($A1264,fatty_acid!$A:$A,0)))</f>
        <v>BFA35-62</v>
      </c>
      <c r="G1264" t="str">
        <f t="array" ref="G1264">iferror(index(fatty_acid!$J:$J,match($A1264,fatty_acid!$A:$A,0)))</f>
        <v>N</v>
      </c>
      <c r="H1264" t="str">
        <f t="array" ref="H1264">iferror(index(isotopes!$G:$G,match($A1264,isotopes!$A:$A,0)))</f>
        <v>BIS38-62</v>
      </c>
      <c r="I1264" t="str">
        <f t="array" ref="I1264">iferror(index(isotopes!$J:$J,match($A1264,isotopes!$A:$A,0)))</f>
        <v>N</v>
      </c>
      <c r="J1264" t="str">
        <f t="array" ref="J1264">iferror(index(extra_muscle!$G:$G,match($A1264,extra_muscle!$A:$A,0)))</f>
        <v>BXM36-62</v>
      </c>
      <c r="K1264" t="str">
        <f t="array" ref="K1264">iferror(index(extra_muscle!$J:$J,match($A1264,extra_muscle!$A:$A,0)))</f>
        <v>N</v>
      </c>
      <c r="L1264" s="59" t="str">
        <f t="array" ref="L1264">iferror(index(dna!$G:$G,match($A1264,dna!$A:$A,0)))</f>
        <v>BDN9-57</v>
      </c>
      <c r="M1264" s="60" t="str">
        <f t="array" ref="M1264">iferror(index(dna!$J:$J,match($A1264,dna!$A:$A,0)))</f>
        <v>N</v>
      </c>
      <c r="N1264" t="str">
        <f t="array" ref="N1264">iferror(index(stomachs!$G:$G,match($A1264,stomachs!$A:$A,0)))</f>
        <v/>
      </c>
      <c r="O1264" t="str">
        <f t="array" ref="O1264">iferror(index(stomachs!$J:$J,match($A1264,stomachs!$A:$A,0)))</f>
        <v/>
      </c>
      <c r="P1264" t="str">
        <f t="array" ref="P1264">iferror(index(sea_lice!$G:$G,match($A1264,sea_lice!$A:$A,0)))</f>
        <v/>
      </c>
      <c r="Q1264" t="str">
        <f t="array" ref="Q1264">iferror(index(sea_lice!$J:$J,match($A1264,sea_lice!$A:$A,0)))</f>
        <v/>
      </c>
      <c r="R1264" s="40" t="str">
        <f t="array" ref="R1264">iferror(index(dissected_fish!$F:$F,match($A1264,dissected_fish!$A:$A,0)))</f>
        <v>BCA111</v>
      </c>
      <c r="S1264" s="40" t="str">
        <f t="array" ref="S1264">iferror(index(dissected_fish!$K:$K,match($A1264,dissected_fish!$A:$A,0)))</f>
        <v>N</v>
      </c>
      <c r="T1264" s="61" t="str">
        <f t="array" ref="T1264">index(fish_lab_data!O:O,match(A1264,fish_lab_data!C:C,0))</f>
        <v>KB</v>
      </c>
      <c r="U1264" s="61">
        <f t="array" ref="U1264">if(A1264="","",index(fish_lab_data!X:X,match(A1264,fish_lab_data!C:C,0)))</f>
        <v>1263</v>
      </c>
    </row>
    <row r="1265">
      <c r="A1265" t="str">
        <f>fish_lab_data!C1265</f>
        <v>U16411</v>
      </c>
      <c r="B1265" t="str">
        <f t="array" ref="B1265">iferror(index('rna-muscle'!$I:$I,match($A1265,'rna-muscle'!$A:$A,0)))</f>
        <v>BRN75M-C9</v>
      </c>
      <c r="C1265" t="str">
        <f t="array" ref="C1265">iferror(index('rna-muscle'!$L:$L,match($A1265,'rna-muscle'!$A:$A,0)))</f>
        <v>N</v>
      </c>
      <c r="D1265" t="str">
        <f t="array" ref="D1265">iferror(index('rna-gill'!$I:$I,match($A1265,'rna-gill'!$A:$A,0)))</f>
        <v>BRN75G-C9</v>
      </c>
      <c r="E1265" t="str">
        <f t="array" ref="E1265">iferror(index('rna-gill'!$L:$L,match($A1265,'rna-gill'!$A:$A,0)))</f>
        <v>N</v>
      </c>
      <c r="F1265" t="str">
        <f t="array" ref="F1265">iferror(index(fatty_acid!$G:$G,match($A1265,fatty_acid!$A:$A,0)))</f>
        <v>BFA35-63</v>
      </c>
      <c r="G1265" t="str">
        <f t="array" ref="G1265">iferror(index(fatty_acid!$J:$J,match($A1265,fatty_acid!$A:$A,0)))</f>
        <v>N</v>
      </c>
      <c r="H1265" t="str">
        <f t="array" ref="H1265">iferror(index(isotopes!$G:$G,match($A1265,isotopes!$A:$A,0)))</f>
        <v>BIS38-63</v>
      </c>
      <c r="I1265" t="str">
        <f t="array" ref="I1265">iferror(index(isotopes!$J:$J,match($A1265,isotopes!$A:$A,0)))</f>
        <v>N</v>
      </c>
      <c r="J1265" t="str">
        <f t="array" ref="J1265">iferror(index(extra_muscle!$G:$G,match($A1265,extra_muscle!$A:$A,0)))</f>
        <v>BXM36-63</v>
      </c>
      <c r="K1265" t="str">
        <f t="array" ref="K1265">iferror(index(extra_muscle!$J:$J,match($A1265,extra_muscle!$A:$A,0)))</f>
        <v>N</v>
      </c>
      <c r="L1265" s="59" t="str">
        <f t="array" ref="L1265">iferror(index(dna!$G:$G,match($A1265,dna!$A:$A,0)))</f>
        <v>BDN9-58</v>
      </c>
      <c r="M1265" s="60" t="str">
        <f t="array" ref="M1265">iferror(index(dna!$J:$J,match($A1265,dna!$A:$A,0)))</f>
        <v>N</v>
      </c>
      <c r="N1265" t="str">
        <f t="array" ref="N1265">iferror(index(stomachs!$G:$G,match($A1265,stomachs!$A:$A,0)))</f>
        <v/>
      </c>
      <c r="O1265" t="str">
        <f t="array" ref="O1265">iferror(index(stomachs!$J:$J,match($A1265,stomachs!$A:$A,0)))</f>
        <v/>
      </c>
      <c r="P1265" t="str">
        <f t="array" ref="P1265">iferror(index(sea_lice!$G:$G,match($A1265,sea_lice!$A:$A,0)))</f>
        <v/>
      </c>
      <c r="Q1265" t="str">
        <f t="array" ref="Q1265">iferror(index(sea_lice!$J:$J,match($A1265,sea_lice!$A:$A,0)))</f>
        <v/>
      </c>
      <c r="R1265" s="40" t="str">
        <f t="array" ref="R1265">iferror(index(dissected_fish!$F:$F,match($A1265,dissected_fish!$A:$A,0)))</f>
        <v>BCA111</v>
      </c>
      <c r="S1265" s="40" t="str">
        <f t="array" ref="S1265">iferror(index(dissected_fish!$K:$K,match($A1265,dissected_fish!$A:$A,0)))</f>
        <v>N</v>
      </c>
      <c r="T1265" s="61" t="str">
        <f t="array" ref="T1265">index(fish_lab_data!O:O,match(A1265,fish_lab_data!C:C,0))</f>
        <v>KB</v>
      </c>
      <c r="U1265" s="61">
        <f t="array" ref="U1265">if(A1265="","",index(fish_lab_data!X:X,match(A1265,fish_lab_data!C:C,0)))</f>
        <v>1264</v>
      </c>
    </row>
    <row r="1266">
      <c r="A1266" t="str">
        <f>fish_lab_data!C1266</f>
        <v>U16417</v>
      </c>
      <c r="B1266" t="str">
        <f t="array" ref="B1266">iferror(index('rna-muscle'!$I:$I,match($A1266,'rna-muscle'!$A:$A,0)))</f>
        <v>BRN75M-B9</v>
      </c>
      <c r="C1266" t="str">
        <f t="array" ref="C1266">iferror(index('rna-muscle'!$L:$L,match($A1266,'rna-muscle'!$A:$A,0)))</f>
        <v>N</v>
      </c>
      <c r="D1266" t="str">
        <f t="array" ref="D1266">iferror(index('rna-gill'!$I:$I,match($A1266,'rna-gill'!$A:$A,0)))</f>
        <v>BRN75G-B9</v>
      </c>
      <c r="E1266" t="str">
        <f t="array" ref="E1266">iferror(index('rna-gill'!$L:$L,match($A1266,'rna-gill'!$A:$A,0)))</f>
        <v>N</v>
      </c>
      <c r="F1266" t="str">
        <f t="array" ref="F1266">iferror(index(fatty_acid!$G:$G,match($A1266,fatty_acid!$A:$A,0)))</f>
        <v>BFA35-64</v>
      </c>
      <c r="G1266" t="str">
        <f t="array" ref="G1266">iferror(index(fatty_acid!$J:$J,match($A1266,fatty_acid!$A:$A,0)))</f>
        <v>N</v>
      </c>
      <c r="H1266" t="str">
        <f t="array" ref="H1266">iferror(index(isotopes!$G:$G,match($A1266,isotopes!$A:$A,0)))</f>
        <v>BIS38-64</v>
      </c>
      <c r="I1266" t="str">
        <f t="array" ref="I1266">iferror(index(isotopes!$J:$J,match($A1266,isotopes!$A:$A,0)))</f>
        <v>N</v>
      </c>
      <c r="J1266" t="str">
        <f t="array" ref="J1266">iferror(index(extra_muscle!$G:$G,match($A1266,extra_muscle!$A:$A,0)))</f>
        <v>BXM36-64</v>
      </c>
      <c r="K1266" t="str">
        <f t="array" ref="K1266">iferror(index(extra_muscle!$J:$J,match($A1266,extra_muscle!$A:$A,0)))</f>
        <v>N</v>
      </c>
      <c r="L1266" s="59" t="str">
        <f t="array" ref="L1266">iferror(index(dna!$G:$G,match($A1266,dna!$A:$A,0)))</f>
        <v>BDN9-59</v>
      </c>
      <c r="M1266" s="60" t="str">
        <f t="array" ref="M1266">iferror(index(dna!$J:$J,match($A1266,dna!$A:$A,0)))</f>
        <v>N</v>
      </c>
      <c r="N1266" t="str">
        <f t="array" ref="N1266">iferror(index(stomachs!$G:$G,match($A1266,stomachs!$A:$A,0)))</f>
        <v/>
      </c>
      <c r="O1266" t="str">
        <f t="array" ref="O1266">iferror(index(stomachs!$J:$J,match($A1266,stomachs!$A:$A,0)))</f>
        <v/>
      </c>
      <c r="P1266" t="str">
        <f t="array" ref="P1266">iferror(index(sea_lice!$G:$G,match($A1266,sea_lice!$A:$A,0)))</f>
        <v/>
      </c>
      <c r="Q1266" t="str">
        <f t="array" ref="Q1266">iferror(index(sea_lice!$J:$J,match($A1266,sea_lice!$A:$A,0)))</f>
        <v/>
      </c>
      <c r="R1266" s="40" t="str">
        <f t="array" ref="R1266">iferror(index(dissected_fish!$F:$F,match($A1266,dissected_fish!$A:$A,0)))</f>
        <v>BCA111</v>
      </c>
      <c r="S1266" s="40" t="str">
        <f t="array" ref="S1266">iferror(index(dissected_fish!$K:$K,match($A1266,dissected_fish!$A:$A,0)))</f>
        <v>N</v>
      </c>
      <c r="T1266" s="61" t="str">
        <f t="array" ref="T1266">index(fish_lab_data!O:O,match(A1266,fish_lab_data!C:C,0))</f>
        <v>KB</v>
      </c>
      <c r="U1266" s="61">
        <f t="array" ref="U1266">if(A1266="","",index(fish_lab_data!X:X,match(A1266,fish_lab_data!C:C,0)))</f>
        <v>1265</v>
      </c>
    </row>
    <row r="1267">
      <c r="A1267" t="str">
        <f>fish_lab_data!C1267</f>
        <v>U16419</v>
      </c>
      <c r="B1267" t="str">
        <f t="array" ref="B1267">iferror(index('rna-muscle'!$I:$I,match($A1267,'rna-muscle'!$A:$A,0)))</f>
        <v>BRN75M-A9</v>
      </c>
      <c r="C1267" t="str">
        <f t="array" ref="C1267">iferror(index('rna-muscle'!$L:$L,match($A1267,'rna-muscle'!$A:$A,0)))</f>
        <v>N</v>
      </c>
      <c r="D1267" t="str">
        <f t="array" ref="D1267">iferror(index('rna-gill'!$I:$I,match($A1267,'rna-gill'!$A:$A,0)))</f>
        <v>BRN75G-A9</v>
      </c>
      <c r="E1267" t="str">
        <f t="array" ref="E1267">iferror(index('rna-gill'!$L:$L,match($A1267,'rna-gill'!$A:$A,0)))</f>
        <v>N</v>
      </c>
      <c r="F1267" t="str">
        <f t="array" ref="F1267">iferror(index(fatty_acid!$G:$G,match($A1267,fatty_acid!$A:$A,0)))</f>
        <v>BFA35-65</v>
      </c>
      <c r="G1267" t="str">
        <f t="array" ref="G1267">iferror(index(fatty_acid!$J:$J,match($A1267,fatty_acid!$A:$A,0)))</f>
        <v>N</v>
      </c>
      <c r="H1267" t="str">
        <f t="array" ref="H1267">iferror(index(isotopes!$G:$G,match($A1267,isotopes!$A:$A,0)))</f>
        <v>BIS38-65</v>
      </c>
      <c r="I1267" t="str">
        <f t="array" ref="I1267">iferror(index(isotopes!$J:$J,match($A1267,isotopes!$A:$A,0)))</f>
        <v>N</v>
      </c>
      <c r="J1267" t="str">
        <f t="array" ref="J1267">iferror(index(extra_muscle!$G:$G,match($A1267,extra_muscle!$A:$A,0)))</f>
        <v>BXM36-65</v>
      </c>
      <c r="K1267" t="str">
        <f t="array" ref="K1267">iferror(index(extra_muscle!$J:$J,match($A1267,extra_muscle!$A:$A,0)))</f>
        <v>N</v>
      </c>
      <c r="L1267" s="59" t="str">
        <f t="array" ref="L1267">iferror(index(dna!$G:$G,match($A1267,dna!$A:$A,0)))</f>
        <v>BDN9-60</v>
      </c>
      <c r="M1267" s="60" t="str">
        <f t="array" ref="M1267">iferror(index(dna!$J:$J,match($A1267,dna!$A:$A,0)))</f>
        <v>N</v>
      </c>
      <c r="N1267" t="str">
        <f t="array" ref="N1267">iferror(index(stomachs!$G:$G,match($A1267,stomachs!$A:$A,0)))</f>
        <v/>
      </c>
      <c r="O1267" t="str">
        <f t="array" ref="O1267">iferror(index(stomachs!$J:$J,match($A1267,stomachs!$A:$A,0)))</f>
        <v/>
      </c>
      <c r="P1267" t="str">
        <f t="array" ref="P1267">iferror(index(sea_lice!$G:$G,match($A1267,sea_lice!$A:$A,0)))</f>
        <v/>
      </c>
      <c r="Q1267" t="str">
        <f t="array" ref="Q1267">iferror(index(sea_lice!$J:$J,match($A1267,sea_lice!$A:$A,0)))</f>
        <v/>
      </c>
      <c r="R1267" s="40" t="str">
        <f t="array" ref="R1267">iferror(index(dissected_fish!$F:$F,match($A1267,dissected_fish!$A:$A,0)))</f>
        <v>BCA111</v>
      </c>
      <c r="S1267" s="40" t="str">
        <f t="array" ref="S1267">iferror(index(dissected_fish!$K:$K,match($A1267,dissected_fish!$A:$A,0)))</f>
        <v>N</v>
      </c>
      <c r="T1267" s="61" t="str">
        <f t="array" ref="T1267">index(fish_lab_data!O:O,match(A1267,fish_lab_data!C:C,0))</f>
        <v>KB</v>
      </c>
      <c r="U1267" s="61">
        <f t="array" ref="U1267">if(A1267="","",index(fish_lab_data!X:X,match(A1267,fish_lab_data!C:C,0)))</f>
        <v>1266</v>
      </c>
    </row>
    <row r="1268">
      <c r="A1268" t="str">
        <f>fish_lab_data!C1268</f>
        <v>U16416</v>
      </c>
      <c r="B1268" t="str">
        <f t="array" ref="B1268">iferror(index('rna-muscle'!$I:$I,match($A1268,'rna-muscle'!$A:$A,0)))</f>
        <v>BRN75M-H10</v>
      </c>
      <c r="C1268" t="str">
        <f t="array" ref="C1268">iferror(index('rna-muscle'!$L:$L,match($A1268,'rna-muscle'!$A:$A,0)))</f>
        <v>N</v>
      </c>
      <c r="D1268" t="str">
        <f t="array" ref="D1268">iferror(index('rna-gill'!$I:$I,match($A1268,'rna-gill'!$A:$A,0)))</f>
        <v>BRN75G-H10</v>
      </c>
      <c r="E1268" t="str">
        <f t="array" ref="E1268">iferror(index('rna-gill'!$L:$L,match($A1268,'rna-gill'!$A:$A,0)))</f>
        <v>N</v>
      </c>
      <c r="F1268" t="str">
        <f t="array" ref="F1268">iferror(index(fatty_acid!$G:$G,match($A1268,fatty_acid!$A:$A,0)))</f>
        <v>BFA35-66</v>
      </c>
      <c r="G1268" t="str">
        <f t="array" ref="G1268">iferror(index(fatty_acid!$J:$J,match($A1268,fatty_acid!$A:$A,0)))</f>
        <v>N</v>
      </c>
      <c r="H1268" t="str">
        <f t="array" ref="H1268">iferror(index(isotopes!$G:$G,match($A1268,isotopes!$A:$A,0)))</f>
        <v>BIS38-66</v>
      </c>
      <c r="I1268" t="str">
        <f t="array" ref="I1268">iferror(index(isotopes!$J:$J,match($A1268,isotopes!$A:$A,0)))</f>
        <v>N</v>
      </c>
      <c r="J1268" t="str">
        <f t="array" ref="J1268">iferror(index(extra_muscle!$G:$G,match($A1268,extra_muscle!$A:$A,0)))</f>
        <v>BXM36-66</v>
      </c>
      <c r="K1268" t="str">
        <f t="array" ref="K1268">iferror(index(extra_muscle!$J:$J,match($A1268,extra_muscle!$A:$A,0)))</f>
        <v>N</v>
      </c>
      <c r="L1268" s="59" t="str">
        <f t="array" ref="L1268">iferror(index(dna!$G:$G,match($A1268,dna!$A:$A,0)))</f>
        <v>BDN9-61</v>
      </c>
      <c r="M1268" s="60" t="str">
        <f t="array" ref="M1268">iferror(index(dna!$J:$J,match($A1268,dna!$A:$A,0)))</f>
        <v>N</v>
      </c>
      <c r="N1268" t="str">
        <f t="array" ref="N1268">iferror(index(stomachs!$G:$G,match($A1268,stomachs!$A:$A,0)))</f>
        <v/>
      </c>
      <c r="O1268" t="str">
        <f t="array" ref="O1268">iferror(index(stomachs!$J:$J,match($A1268,stomachs!$A:$A,0)))</f>
        <v/>
      </c>
      <c r="P1268" t="str">
        <f t="array" ref="P1268">iferror(index(sea_lice!$G:$G,match($A1268,sea_lice!$A:$A,0)))</f>
        <v/>
      </c>
      <c r="Q1268" t="str">
        <f t="array" ref="Q1268">iferror(index(sea_lice!$J:$J,match($A1268,sea_lice!$A:$A,0)))</f>
        <v/>
      </c>
      <c r="R1268" s="40" t="str">
        <f t="array" ref="R1268">iferror(index(dissected_fish!$F:$F,match($A1268,dissected_fish!$A:$A,0)))</f>
        <v>BCA111</v>
      </c>
      <c r="S1268" s="40" t="str">
        <f t="array" ref="S1268">iferror(index(dissected_fish!$K:$K,match($A1268,dissected_fish!$A:$A,0)))</f>
        <v>N</v>
      </c>
      <c r="T1268" s="61" t="str">
        <f t="array" ref="T1268">index(fish_lab_data!O:O,match(A1268,fish_lab_data!C:C,0))</f>
        <v>KB</v>
      </c>
      <c r="U1268" s="61">
        <f t="array" ref="U1268">if(A1268="","",index(fish_lab_data!X:X,match(A1268,fish_lab_data!C:C,0)))</f>
        <v>1267</v>
      </c>
    </row>
    <row r="1269">
      <c r="A1269" t="str">
        <f>fish_lab_data!C1269</f>
        <v>U16420</v>
      </c>
      <c r="B1269" t="str">
        <f t="array" ref="B1269">iferror(index('rna-muscle'!$I:$I,match($A1269,'rna-muscle'!$A:$A,0)))</f>
        <v>BRN75M-G10</v>
      </c>
      <c r="C1269" t="str">
        <f t="array" ref="C1269">iferror(index('rna-muscle'!$L:$L,match($A1269,'rna-muscle'!$A:$A,0)))</f>
        <v>N</v>
      </c>
      <c r="D1269" t="str">
        <f t="array" ref="D1269">iferror(index('rna-gill'!$I:$I,match($A1269,'rna-gill'!$A:$A,0)))</f>
        <v>BRN75G-G10</v>
      </c>
      <c r="E1269" t="str">
        <f t="array" ref="E1269">iferror(index('rna-gill'!$L:$L,match($A1269,'rna-gill'!$A:$A,0)))</f>
        <v>N</v>
      </c>
      <c r="F1269" t="str">
        <f t="array" ref="F1269">iferror(index(fatty_acid!$G:$G,match($A1269,fatty_acid!$A:$A,0)))</f>
        <v>BFA35-67</v>
      </c>
      <c r="G1269" t="str">
        <f t="array" ref="G1269">iferror(index(fatty_acid!$J:$J,match($A1269,fatty_acid!$A:$A,0)))</f>
        <v>N</v>
      </c>
      <c r="H1269" t="str">
        <f t="array" ref="H1269">iferror(index(isotopes!$G:$G,match($A1269,isotopes!$A:$A,0)))</f>
        <v>BIS38-67</v>
      </c>
      <c r="I1269" t="str">
        <f t="array" ref="I1269">iferror(index(isotopes!$J:$J,match($A1269,isotopes!$A:$A,0)))</f>
        <v>N</v>
      </c>
      <c r="J1269" t="str">
        <f t="array" ref="J1269">iferror(index(extra_muscle!$G:$G,match($A1269,extra_muscle!$A:$A,0)))</f>
        <v>BXM36-67</v>
      </c>
      <c r="K1269" t="str">
        <f t="array" ref="K1269">iferror(index(extra_muscle!$J:$J,match($A1269,extra_muscle!$A:$A,0)))</f>
        <v>N</v>
      </c>
      <c r="L1269" s="59" t="str">
        <f t="array" ref="L1269">iferror(index(dna!$G:$G,match($A1269,dna!$A:$A,0)))</f>
        <v>BDN9-62</v>
      </c>
      <c r="M1269" s="60" t="str">
        <f t="array" ref="M1269">iferror(index(dna!$J:$J,match($A1269,dna!$A:$A,0)))</f>
        <v>N</v>
      </c>
      <c r="N1269" t="str">
        <f t="array" ref="N1269">iferror(index(stomachs!$G:$G,match($A1269,stomachs!$A:$A,0)))</f>
        <v/>
      </c>
      <c r="O1269" t="str">
        <f t="array" ref="O1269">iferror(index(stomachs!$J:$J,match($A1269,stomachs!$A:$A,0)))</f>
        <v/>
      </c>
      <c r="P1269" t="str">
        <f t="array" ref="P1269">iferror(index(sea_lice!$G:$G,match($A1269,sea_lice!$A:$A,0)))</f>
        <v/>
      </c>
      <c r="Q1269" t="str">
        <f t="array" ref="Q1269">iferror(index(sea_lice!$J:$J,match($A1269,sea_lice!$A:$A,0)))</f>
        <v/>
      </c>
      <c r="R1269" s="40" t="str">
        <f t="array" ref="R1269">iferror(index(dissected_fish!$F:$F,match($A1269,dissected_fish!$A:$A,0)))</f>
        <v>BCA111</v>
      </c>
      <c r="S1269" s="40" t="str">
        <f t="array" ref="S1269">iferror(index(dissected_fish!$K:$K,match($A1269,dissected_fish!$A:$A,0)))</f>
        <v>N</v>
      </c>
      <c r="T1269" s="61" t="str">
        <f t="array" ref="T1269">index(fish_lab_data!O:O,match(A1269,fish_lab_data!C:C,0))</f>
        <v>KB</v>
      </c>
      <c r="U1269" s="61">
        <f t="array" ref="U1269">if(A1269="","",index(fish_lab_data!X:X,match(A1269,fish_lab_data!C:C,0)))</f>
        <v>1268</v>
      </c>
    </row>
    <row r="1270">
      <c r="A1270" t="str">
        <f>fish_lab_data!C1270</f>
        <v>U17380</v>
      </c>
      <c r="B1270" t="str">
        <f t="array" ref="B1270">iferror(index('rna-muscle'!$I:$I,match($A1270,'rna-muscle'!$A:$A,0)))</f>
        <v>BRN75M-F10</v>
      </c>
      <c r="C1270" t="str">
        <f t="array" ref="C1270">iferror(index('rna-muscle'!$L:$L,match($A1270,'rna-muscle'!$A:$A,0)))</f>
        <v>N</v>
      </c>
      <c r="D1270" t="str">
        <f t="array" ref="D1270">iferror(index('rna-gill'!$I:$I,match($A1270,'rna-gill'!$A:$A,0)))</f>
        <v>BRN75G-F10</v>
      </c>
      <c r="E1270" t="str">
        <f t="array" ref="E1270">iferror(index('rna-gill'!$L:$L,match($A1270,'rna-gill'!$A:$A,0)))</f>
        <v>N</v>
      </c>
      <c r="F1270" t="str">
        <f t="array" ref="F1270">iferror(index(fatty_acid!$G:$G,match($A1270,fatty_acid!$A:$A,0)))</f>
        <v>BFA35-68</v>
      </c>
      <c r="G1270" t="str">
        <f t="array" ref="G1270">iferror(index(fatty_acid!$J:$J,match($A1270,fatty_acid!$A:$A,0)))</f>
        <v>N</v>
      </c>
      <c r="H1270" t="str">
        <f t="array" ref="H1270">iferror(index(isotopes!$G:$G,match($A1270,isotopes!$A:$A,0)))</f>
        <v>BIS38-68</v>
      </c>
      <c r="I1270" t="str">
        <f t="array" ref="I1270">iferror(index(isotopes!$J:$J,match($A1270,isotopes!$A:$A,0)))</f>
        <v>N</v>
      </c>
      <c r="J1270" t="str">
        <f t="array" ref="J1270">iferror(index(extra_muscle!$G:$G,match($A1270,extra_muscle!$A:$A,0)))</f>
        <v>BXM36-68</v>
      </c>
      <c r="K1270" t="str">
        <f t="array" ref="K1270">iferror(index(extra_muscle!$J:$J,match($A1270,extra_muscle!$A:$A,0)))</f>
        <v>N</v>
      </c>
      <c r="L1270" s="59" t="str">
        <f t="array" ref="L1270">iferror(index(dna!$G:$G,match($A1270,dna!$A:$A,0)))</f>
        <v>BDN9-63</v>
      </c>
      <c r="M1270" s="60" t="str">
        <f t="array" ref="M1270">iferror(index(dna!$J:$J,match($A1270,dna!$A:$A,0)))</f>
        <v>N</v>
      </c>
      <c r="N1270" t="str">
        <f t="array" ref="N1270">iferror(index(stomachs!$G:$G,match($A1270,stomachs!$A:$A,0)))</f>
        <v/>
      </c>
      <c r="O1270" t="str">
        <f t="array" ref="O1270">iferror(index(stomachs!$J:$J,match($A1270,stomachs!$A:$A,0)))</f>
        <v/>
      </c>
      <c r="P1270" t="str">
        <f t="array" ref="P1270">iferror(index(sea_lice!$G:$G,match($A1270,sea_lice!$A:$A,0)))</f>
        <v/>
      </c>
      <c r="Q1270" t="str">
        <f t="array" ref="Q1270">iferror(index(sea_lice!$J:$J,match($A1270,sea_lice!$A:$A,0)))</f>
        <v/>
      </c>
      <c r="R1270" s="40" t="str">
        <f t="array" ref="R1270">iferror(index(dissected_fish!$F:$F,match($A1270,dissected_fish!$A:$A,0)))</f>
        <v>BCA111</v>
      </c>
      <c r="S1270" s="40" t="str">
        <f t="array" ref="S1270">iferror(index(dissected_fish!$K:$K,match($A1270,dissected_fish!$A:$A,0)))</f>
        <v>N</v>
      </c>
      <c r="T1270" s="61" t="str">
        <f t="array" ref="T1270">index(fish_lab_data!O:O,match(A1270,fish_lab_data!C:C,0))</f>
        <v>KB</v>
      </c>
      <c r="U1270" s="61">
        <f t="array" ref="U1270">if(A1270="","",index(fish_lab_data!X:X,match(A1270,fish_lab_data!C:C,0)))</f>
        <v>1269</v>
      </c>
    </row>
    <row r="1271">
      <c r="A1271" t="str">
        <f>fish_lab_data!C1271</f>
        <v>U17375</v>
      </c>
      <c r="B1271" t="str">
        <f t="array" ref="B1271">iferror(index('rna-muscle'!$I:$I,match($A1271,'rna-muscle'!$A:$A,0)))</f>
        <v>BRN75M-E10</v>
      </c>
      <c r="C1271" t="str">
        <f t="array" ref="C1271">iferror(index('rna-muscle'!$L:$L,match($A1271,'rna-muscle'!$A:$A,0)))</f>
        <v>N</v>
      </c>
      <c r="D1271" t="str">
        <f t="array" ref="D1271">iferror(index('rna-gill'!$I:$I,match($A1271,'rna-gill'!$A:$A,0)))</f>
        <v>BRN75G-E10</v>
      </c>
      <c r="E1271" t="str">
        <f t="array" ref="E1271">iferror(index('rna-gill'!$L:$L,match($A1271,'rna-gill'!$A:$A,0)))</f>
        <v>N</v>
      </c>
      <c r="F1271" t="str">
        <f t="array" ref="F1271">iferror(index(fatty_acid!$G:$G,match($A1271,fatty_acid!$A:$A,0)))</f>
        <v>BFA35-69</v>
      </c>
      <c r="G1271" t="str">
        <f t="array" ref="G1271">iferror(index(fatty_acid!$J:$J,match($A1271,fatty_acid!$A:$A,0)))</f>
        <v>N</v>
      </c>
      <c r="H1271" t="str">
        <f t="array" ref="H1271">iferror(index(isotopes!$G:$G,match($A1271,isotopes!$A:$A,0)))</f>
        <v>BIS38-69</v>
      </c>
      <c r="I1271" t="str">
        <f t="array" ref="I1271">iferror(index(isotopes!$J:$J,match($A1271,isotopes!$A:$A,0)))</f>
        <v>N</v>
      </c>
      <c r="J1271" t="str">
        <f t="array" ref="J1271">iferror(index(extra_muscle!$G:$G,match($A1271,extra_muscle!$A:$A,0)))</f>
        <v>BXM36-69</v>
      </c>
      <c r="K1271" t="str">
        <f t="array" ref="K1271">iferror(index(extra_muscle!$J:$J,match($A1271,extra_muscle!$A:$A,0)))</f>
        <v>N</v>
      </c>
      <c r="L1271" s="59" t="str">
        <f t="array" ref="L1271">iferror(index(dna!$G:$G,match($A1271,dna!$A:$A,0)))</f>
        <v>BDN9-64</v>
      </c>
      <c r="M1271" s="60" t="str">
        <f t="array" ref="M1271">iferror(index(dna!$J:$J,match($A1271,dna!$A:$A,0)))</f>
        <v>N</v>
      </c>
      <c r="N1271" t="str">
        <f t="array" ref="N1271">iferror(index(stomachs!$G:$G,match($A1271,stomachs!$A:$A,0)))</f>
        <v/>
      </c>
      <c r="O1271" t="str">
        <f t="array" ref="O1271">iferror(index(stomachs!$J:$J,match($A1271,stomachs!$A:$A,0)))</f>
        <v/>
      </c>
      <c r="P1271" t="str">
        <f t="array" ref="P1271">iferror(index(sea_lice!$G:$G,match($A1271,sea_lice!$A:$A,0)))</f>
        <v/>
      </c>
      <c r="Q1271" t="str">
        <f t="array" ref="Q1271">iferror(index(sea_lice!$J:$J,match($A1271,sea_lice!$A:$A,0)))</f>
        <v/>
      </c>
      <c r="R1271" s="40" t="str">
        <f t="array" ref="R1271">iferror(index(dissected_fish!$F:$F,match($A1271,dissected_fish!$A:$A,0)))</f>
        <v>BCA111</v>
      </c>
      <c r="S1271" s="40" t="str">
        <f t="array" ref="S1271">iferror(index(dissected_fish!$K:$K,match($A1271,dissected_fish!$A:$A,0)))</f>
        <v>N</v>
      </c>
      <c r="T1271" s="61" t="str">
        <f t="array" ref="T1271">index(fish_lab_data!O:O,match(A1271,fish_lab_data!C:C,0))</f>
        <v>KB</v>
      </c>
      <c r="U1271" s="61">
        <f t="array" ref="U1271">if(A1271="","",index(fish_lab_data!X:X,match(A1271,fish_lab_data!C:C,0)))</f>
        <v>1270</v>
      </c>
    </row>
    <row r="1272">
      <c r="A1272" t="str">
        <f>fish_lab_data!C1272</f>
        <v>U17376</v>
      </c>
      <c r="B1272" t="str">
        <f t="array" ref="B1272">iferror(index('rna-muscle'!$I:$I,match($A1272,'rna-muscle'!$A:$A,0)))</f>
        <v>BRN75M-D10</v>
      </c>
      <c r="C1272" t="str">
        <f t="array" ref="C1272">iferror(index('rna-muscle'!$L:$L,match($A1272,'rna-muscle'!$A:$A,0)))</f>
        <v>N</v>
      </c>
      <c r="D1272" t="str">
        <f t="array" ref="D1272">iferror(index('rna-gill'!$I:$I,match($A1272,'rna-gill'!$A:$A,0)))</f>
        <v>BRN75G-D10</v>
      </c>
      <c r="E1272" t="str">
        <f t="array" ref="E1272">iferror(index('rna-gill'!$L:$L,match($A1272,'rna-gill'!$A:$A,0)))</f>
        <v>N</v>
      </c>
      <c r="F1272" t="str">
        <f t="array" ref="F1272">iferror(index(fatty_acid!$G:$G,match($A1272,fatty_acid!$A:$A,0)))</f>
        <v>BFA35-70</v>
      </c>
      <c r="G1272" t="str">
        <f t="array" ref="G1272">iferror(index(fatty_acid!$J:$J,match($A1272,fatty_acid!$A:$A,0)))</f>
        <v>N</v>
      </c>
      <c r="H1272" t="str">
        <f t="array" ref="H1272">iferror(index(isotopes!$G:$G,match($A1272,isotopes!$A:$A,0)))</f>
        <v>BIS38-70</v>
      </c>
      <c r="I1272" t="str">
        <f t="array" ref="I1272">iferror(index(isotopes!$J:$J,match($A1272,isotopes!$A:$A,0)))</f>
        <v>N</v>
      </c>
      <c r="J1272" t="str">
        <f t="array" ref="J1272">iferror(index(extra_muscle!$G:$G,match($A1272,extra_muscle!$A:$A,0)))</f>
        <v>BXM36-70</v>
      </c>
      <c r="K1272" t="str">
        <f t="array" ref="K1272">iferror(index(extra_muscle!$J:$J,match($A1272,extra_muscle!$A:$A,0)))</f>
        <v>N</v>
      </c>
      <c r="L1272" s="59" t="str">
        <f t="array" ref="L1272">iferror(index(dna!$G:$G,match($A1272,dna!$A:$A,0)))</f>
        <v>BDN9-65</v>
      </c>
      <c r="M1272" s="60" t="str">
        <f t="array" ref="M1272">iferror(index(dna!$J:$J,match($A1272,dna!$A:$A,0)))</f>
        <v>N</v>
      </c>
      <c r="N1272" t="str">
        <f t="array" ref="N1272">iferror(index(stomachs!$G:$G,match($A1272,stomachs!$A:$A,0)))</f>
        <v/>
      </c>
      <c r="O1272" t="str">
        <f t="array" ref="O1272">iferror(index(stomachs!$J:$J,match($A1272,stomachs!$A:$A,0)))</f>
        <v/>
      </c>
      <c r="P1272" t="str">
        <f t="array" ref="P1272">iferror(index(sea_lice!$G:$G,match($A1272,sea_lice!$A:$A,0)))</f>
        <v/>
      </c>
      <c r="Q1272" t="str">
        <f t="array" ref="Q1272">iferror(index(sea_lice!$J:$J,match($A1272,sea_lice!$A:$A,0)))</f>
        <v/>
      </c>
      <c r="R1272" s="40" t="str">
        <f t="array" ref="R1272">iferror(index(dissected_fish!$F:$F,match($A1272,dissected_fish!$A:$A,0)))</f>
        <v>BCA111</v>
      </c>
      <c r="S1272" s="40" t="str">
        <f t="array" ref="S1272">iferror(index(dissected_fish!$K:$K,match($A1272,dissected_fish!$A:$A,0)))</f>
        <v>N</v>
      </c>
      <c r="T1272" s="61" t="str">
        <f t="array" ref="T1272">index(fish_lab_data!O:O,match(A1272,fish_lab_data!C:C,0))</f>
        <v>KB</v>
      </c>
      <c r="U1272" s="61">
        <f t="array" ref="U1272">if(A1272="","",index(fish_lab_data!X:X,match(A1272,fish_lab_data!C:C,0)))</f>
        <v>1271</v>
      </c>
    </row>
    <row r="1273">
      <c r="A1273" t="str">
        <f>fish_lab_data!C1273</f>
        <v>U17377</v>
      </c>
      <c r="B1273" t="str">
        <f t="array" ref="B1273">iferror(index('rna-muscle'!$I:$I,match($A1273,'rna-muscle'!$A:$A,0)))</f>
        <v>BRN75M-C10</v>
      </c>
      <c r="C1273" t="str">
        <f t="array" ref="C1273">iferror(index('rna-muscle'!$L:$L,match($A1273,'rna-muscle'!$A:$A,0)))</f>
        <v>N</v>
      </c>
      <c r="D1273" t="str">
        <f t="array" ref="D1273">iferror(index('rna-gill'!$I:$I,match($A1273,'rna-gill'!$A:$A,0)))</f>
        <v>BRN75G-C10</v>
      </c>
      <c r="E1273" t="str">
        <f t="array" ref="E1273">iferror(index('rna-gill'!$L:$L,match($A1273,'rna-gill'!$A:$A,0)))</f>
        <v>N</v>
      </c>
      <c r="F1273" t="str">
        <f t="array" ref="F1273">iferror(index(fatty_acid!$G:$G,match($A1273,fatty_acid!$A:$A,0)))</f>
        <v>BFA35-71</v>
      </c>
      <c r="G1273" t="str">
        <f t="array" ref="G1273">iferror(index(fatty_acid!$J:$J,match($A1273,fatty_acid!$A:$A,0)))</f>
        <v>N</v>
      </c>
      <c r="H1273" t="str">
        <f t="array" ref="H1273">iferror(index(isotopes!$G:$G,match($A1273,isotopes!$A:$A,0)))</f>
        <v>BIS38-71</v>
      </c>
      <c r="I1273" t="str">
        <f t="array" ref="I1273">iferror(index(isotopes!$J:$J,match($A1273,isotopes!$A:$A,0)))</f>
        <v>N</v>
      </c>
      <c r="J1273" t="str">
        <f t="array" ref="J1273">iferror(index(extra_muscle!$G:$G,match($A1273,extra_muscle!$A:$A,0)))</f>
        <v>BXM36-71</v>
      </c>
      <c r="K1273" t="str">
        <f t="array" ref="K1273">iferror(index(extra_muscle!$J:$J,match($A1273,extra_muscle!$A:$A,0)))</f>
        <v>N</v>
      </c>
      <c r="L1273" s="59" t="str">
        <f t="array" ref="L1273">iferror(index(dna!$G:$G,match($A1273,dna!$A:$A,0)))</f>
        <v>BDN9-66</v>
      </c>
      <c r="M1273" s="60" t="str">
        <f t="array" ref="M1273">iferror(index(dna!$J:$J,match($A1273,dna!$A:$A,0)))</f>
        <v>N</v>
      </c>
      <c r="N1273" t="str">
        <f t="array" ref="N1273">iferror(index(stomachs!$G:$G,match($A1273,stomachs!$A:$A,0)))</f>
        <v/>
      </c>
      <c r="O1273" t="str">
        <f t="array" ref="O1273">iferror(index(stomachs!$J:$J,match($A1273,stomachs!$A:$A,0)))</f>
        <v/>
      </c>
      <c r="P1273" t="str">
        <f t="array" ref="P1273">iferror(index(sea_lice!$G:$G,match($A1273,sea_lice!$A:$A,0)))</f>
        <v/>
      </c>
      <c r="Q1273" t="str">
        <f t="array" ref="Q1273">iferror(index(sea_lice!$J:$J,match($A1273,sea_lice!$A:$A,0)))</f>
        <v/>
      </c>
      <c r="R1273" s="40" t="str">
        <f t="array" ref="R1273">iferror(index(dissected_fish!$F:$F,match($A1273,dissected_fish!$A:$A,0)))</f>
        <v>BCA111</v>
      </c>
      <c r="S1273" s="40" t="str">
        <f t="array" ref="S1273">iferror(index(dissected_fish!$K:$K,match($A1273,dissected_fish!$A:$A,0)))</f>
        <v>N</v>
      </c>
      <c r="T1273" s="61" t="str">
        <f t="array" ref="T1273">index(fish_lab_data!O:O,match(A1273,fish_lab_data!C:C,0))</f>
        <v>KB</v>
      </c>
      <c r="U1273" s="61">
        <f t="array" ref="U1273">if(A1273="","",index(fish_lab_data!X:X,match(A1273,fish_lab_data!C:C,0)))</f>
        <v>1272</v>
      </c>
    </row>
    <row r="1274">
      <c r="A1274" t="str">
        <f>fish_lab_data!C1274</f>
        <v>U17374</v>
      </c>
      <c r="B1274" t="str">
        <f t="array" ref="B1274">iferror(index('rna-muscle'!$I:$I,match($A1274,'rna-muscle'!$A:$A,0)))</f>
        <v>BRN75M-B10</v>
      </c>
      <c r="C1274" t="str">
        <f t="array" ref="C1274">iferror(index('rna-muscle'!$L:$L,match($A1274,'rna-muscle'!$A:$A,0)))</f>
        <v>N</v>
      </c>
      <c r="D1274" t="str">
        <f t="array" ref="D1274">iferror(index('rna-gill'!$I:$I,match($A1274,'rna-gill'!$A:$A,0)))</f>
        <v>BRN75G-B10</v>
      </c>
      <c r="E1274" t="str">
        <f t="array" ref="E1274">iferror(index('rna-gill'!$L:$L,match($A1274,'rna-gill'!$A:$A,0)))</f>
        <v>N</v>
      </c>
      <c r="F1274" t="str">
        <f t="array" ref="F1274">iferror(index(fatty_acid!$G:$G,match($A1274,fatty_acid!$A:$A,0)))</f>
        <v>BFA35-72</v>
      </c>
      <c r="G1274" t="str">
        <f t="array" ref="G1274">iferror(index(fatty_acid!$J:$J,match($A1274,fatty_acid!$A:$A,0)))</f>
        <v>N</v>
      </c>
      <c r="H1274" t="str">
        <f t="array" ref="H1274">iferror(index(isotopes!$G:$G,match($A1274,isotopes!$A:$A,0)))</f>
        <v>BIS38-72</v>
      </c>
      <c r="I1274" t="str">
        <f t="array" ref="I1274">iferror(index(isotopes!$J:$J,match($A1274,isotopes!$A:$A,0)))</f>
        <v>N</v>
      </c>
      <c r="J1274" t="str">
        <f t="array" ref="J1274">iferror(index(extra_muscle!$G:$G,match($A1274,extra_muscle!$A:$A,0)))</f>
        <v>BXM36-72</v>
      </c>
      <c r="K1274" t="str">
        <f t="array" ref="K1274">iferror(index(extra_muscle!$J:$J,match($A1274,extra_muscle!$A:$A,0)))</f>
        <v>N</v>
      </c>
      <c r="L1274" s="59" t="str">
        <f t="array" ref="L1274">iferror(index(dna!$G:$G,match($A1274,dna!$A:$A,0)))</f>
        <v>BDN9-67</v>
      </c>
      <c r="M1274" s="60" t="str">
        <f t="array" ref="M1274">iferror(index(dna!$J:$J,match($A1274,dna!$A:$A,0)))</f>
        <v>N</v>
      </c>
      <c r="N1274" t="str">
        <f t="array" ref="N1274">iferror(index(stomachs!$G:$G,match($A1274,stomachs!$A:$A,0)))</f>
        <v/>
      </c>
      <c r="O1274" t="str">
        <f t="array" ref="O1274">iferror(index(stomachs!$J:$J,match($A1274,stomachs!$A:$A,0)))</f>
        <v/>
      </c>
      <c r="P1274" t="str">
        <f t="array" ref="P1274">iferror(index(sea_lice!$G:$G,match($A1274,sea_lice!$A:$A,0)))</f>
        <v/>
      </c>
      <c r="Q1274" t="str">
        <f t="array" ref="Q1274">iferror(index(sea_lice!$J:$J,match($A1274,sea_lice!$A:$A,0)))</f>
        <v/>
      </c>
      <c r="R1274" s="40" t="str">
        <f t="array" ref="R1274">iferror(index(dissected_fish!$F:$F,match($A1274,dissected_fish!$A:$A,0)))</f>
        <v>BCA111</v>
      </c>
      <c r="S1274" s="40" t="str">
        <f t="array" ref="S1274">iferror(index(dissected_fish!$K:$K,match($A1274,dissected_fish!$A:$A,0)))</f>
        <v>N</v>
      </c>
      <c r="T1274" s="61" t="str">
        <f t="array" ref="T1274">index(fish_lab_data!O:O,match(A1274,fish_lab_data!C:C,0))</f>
        <v>KB</v>
      </c>
      <c r="U1274" s="61">
        <f t="array" ref="U1274">if(A1274="","",index(fish_lab_data!X:X,match(A1274,fish_lab_data!C:C,0)))</f>
        <v>1273</v>
      </c>
    </row>
    <row r="1275">
      <c r="A1275" t="str">
        <f>fish_lab_data!C1275</f>
        <v>U17378</v>
      </c>
      <c r="B1275" t="str">
        <f t="array" ref="B1275">iferror(index('rna-muscle'!$I:$I,match($A1275,'rna-muscle'!$A:$A,0)))</f>
        <v>BRN75M-A10</v>
      </c>
      <c r="C1275" t="str">
        <f t="array" ref="C1275">iferror(index('rna-muscle'!$L:$L,match($A1275,'rna-muscle'!$A:$A,0)))</f>
        <v>N</v>
      </c>
      <c r="D1275" t="str">
        <f t="array" ref="D1275">iferror(index('rna-gill'!$I:$I,match($A1275,'rna-gill'!$A:$A,0)))</f>
        <v>BRN75G-A10</v>
      </c>
      <c r="E1275" t="str">
        <f t="array" ref="E1275">iferror(index('rna-gill'!$L:$L,match($A1275,'rna-gill'!$A:$A,0)))</f>
        <v>N</v>
      </c>
      <c r="F1275" t="str">
        <f t="array" ref="F1275">iferror(index(fatty_acid!$G:$G,match($A1275,fatty_acid!$A:$A,0)))</f>
        <v>BFA35-73</v>
      </c>
      <c r="G1275" t="str">
        <f t="array" ref="G1275">iferror(index(fatty_acid!$J:$J,match($A1275,fatty_acid!$A:$A,0)))</f>
        <v>N</v>
      </c>
      <c r="H1275" t="str">
        <f t="array" ref="H1275">iferror(index(isotopes!$G:$G,match($A1275,isotopes!$A:$A,0)))</f>
        <v>BIS38-73</v>
      </c>
      <c r="I1275" t="str">
        <f t="array" ref="I1275">iferror(index(isotopes!$J:$J,match($A1275,isotopes!$A:$A,0)))</f>
        <v>N</v>
      </c>
      <c r="J1275" t="str">
        <f t="array" ref="J1275">iferror(index(extra_muscle!$G:$G,match($A1275,extra_muscle!$A:$A,0)))</f>
        <v>BXM36-73</v>
      </c>
      <c r="K1275" t="str">
        <f t="array" ref="K1275">iferror(index(extra_muscle!$J:$J,match($A1275,extra_muscle!$A:$A,0)))</f>
        <v>N</v>
      </c>
      <c r="L1275" s="59" t="str">
        <f t="array" ref="L1275">iferror(index(dna!$G:$G,match($A1275,dna!$A:$A,0)))</f>
        <v>BDN9-68</v>
      </c>
      <c r="M1275" s="60" t="str">
        <f t="array" ref="M1275">iferror(index(dna!$J:$J,match($A1275,dna!$A:$A,0)))</f>
        <v>N</v>
      </c>
      <c r="N1275" t="str">
        <f t="array" ref="N1275">iferror(index(stomachs!$G:$G,match($A1275,stomachs!$A:$A,0)))</f>
        <v/>
      </c>
      <c r="O1275" t="str">
        <f t="array" ref="O1275">iferror(index(stomachs!$J:$J,match($A1275,stomachs!$A:$A,0)))</f>
        <v/>
      </c>
      <c r="P1275" t="str">
        <f t="array" ref="P1275">iferror(index(sea_lice!$G:$G,match($A1275,sea_lice!$A:$A,0)))</f>
        <v/>
      </c>
      <c r="Q1275" t="str">
        <f t="array" ref="Q1275">iferror(index(sea_lice!$J:$J,match($A1275,sea_lice!$A:$A,0)))</f>
        <v/>
      </c>
      <c r="R1275" s="40" t="str">
        <f t="array" ref="R1275">iferror(index(dissected_fish!$F:$F,match($A1275,dissected_fish!$A:$A,0)))</f>
        <v>BCA111</v>
      </c>
      <c r="S1275" s="40" t="str">
        <f t="array" ref="S1275">iferror(index(dissected_fish!$K:$K,match($A1275,dissected_fish!$A:$A,0)))</f>
        <v>N</v>
      </c>
      <c r="T1275" s="61" t="str">
        <f t="array" ref="T1275">index(fish_lab_data!O:O,match(A1275,fish_lab_data!C:C,0))</f>
        <v>KB</v>
      </c>
      <c r="U1275" s="61">
        <f t="array" ref="U1275">if(A1275="","",index(fish_lab_data!X:X,match(A1275,fish_lab_data!C:C,0)))</f>
        <v>1274</v>
      </c>
    </row>
    <row r="1276">
      <c r="A1276" t="str">
        <f>fish_lab_data!C1276</f>
        <v>U17379</v>
      </c>
      <c r="B1276" t="str">
        <f t="array" ref="B1276">iferror(index('rna-muscle'!$I:$I,match($A1276,'rna-muscle'!$A:$A,0)))</f>
        <v>BRN75M-H11</v>
      </c>
      <c r="C1276" t="str">
        <f t="array" ref="C1276">iferror(index('rna-muscle'!$L:$L,match($A1276,'rna-muscle'!$A:$A,0)))</f>
        <v>N</v>
      </c>
      <c r="D1276" t="str">
        <f t="array" ref="D1276">iferror(index('rna-gill'!$I:$I,match($A1276,'rna-gill'!$A:$A,0)))</f>
        <v>BRN75G-H11</v>
      </c>
      <c r="E1276" t="str">
        <f t="array" ref="E1276">iferror(index('rna-gill'!$L:$L,match($A1276,'rna-gill'!$A:$A,0)))</f>
        <v>N</v>
      </c>
      <c r="F1276" t="str">
        <f t="array" ref="F1276">iferror(index(fatty_acid!$G:$G,match($A1276,fatty_acid!$A:$A,0)))</f>
        <v>BFA35-74</v>
      </c>
      <c r="G1276" t="str">
        <f t="array" ref="G1276">iferror(index(fatty_acid!$J:$J,match($A1276,fatty_acid!$A:$A,0)))</f>
        <v>N</v>
      </c>
      <c r="H1276" t="str">
        <f t="array" ref="H1276">iferror(index(isotopes!$G:$G,match($A1276,isotopes!$A:$A,0)))</f>
        <v>BIS38-74</v>
      </c>
      <c r="I1276" t="str">
        <f t="array" ref="I1276">iferror(index(isotopes!$J:$J,match($A1276,isotopes!$A:$A,0)))</f>
        <v>N</v>
      </c>
      <c r="J1276" t="str">
        <f t="array" ref="J1276">iferror(index(extra_muscle!$G:$G,match($A1276,extra_muscle!$A:$A,0)))</f>
        <v>BXM36-74</v>
      </c>
      <c r="K1276" t="str">
        <f t="array" ref="K1276">iferror(index(extra_muscle!$J:$J,match($A1276,extra_muscle!$A:$A,0)))</f>
        <v>N</v>
      </c>
      <c r="L1276" s="59" t="str">
        <f t="array" ref="L1276">iferror(index(dna!$G:$G,match($A1276,dna!$A:$A,0)))</f>
        <v>BDN9-69</v>
      </c>
      <c r="M1276" s="60" t="str">
        <f t="array" ref="M1276">iferror(index(dna!$J:$J,match($A1276,dna!$A:$A,0)))</f>
        <v>N</v>
      </c>
      <c r="N1276" t="str">
        <f t="array" ref="N1276">iferror(index(stomachs!$G:$G,match($A1276,stomachs!$A:$A,0)))</f>
        <v/>
      </c>
      <c r="O1276" t="str">
        <f t="array" ref="O1276">iferror(index(stomachs!$J:$J,match($A1276,stomachs!$A:$A,0)))</f>
        <v/>
      </c>
      <c r="P1276" t="str">
        <f t="array" ref="P1276">iferror(index(sea_lice!$G:$G,match($A1276,sea_lice!$A:$A,0)))</f>
        <v>BSL8-25</v>
      </c>
      <c r="Q1276" t="str">
        <f t="array" ref="Q1276">iferror(index(sea_lice!$J:$J,match($A1276,sea_lice!$A:$A,0)))</f>
        <v>N</v>
      </c>
      <c r="R1276" s="40" t="str">
        <f t="array" ref="R1276">iferror(index(dissected_fish!$F:$F,match($A1276,dissected_fish!$A:$A,0)))</f>
        <v>BCA111</v>
      </c>
      <c r="S1276" s="40" t="str">
        <f t="array" ref="S1276">iferror(index(dissected_fish!$K:$K,match($A1276,dissected_fish!$A:$A,0)))</f>
        <v>N</v>
      </c>
      <c r="T1276" s="61" t="str">
        <f t="array" ref="T1276">index(fish_lab_data!O:O,match(A1276,fish_lab_data!C:C,0))</f>
        <v>KB</v>
      </c>
      <c r="U1276" s="61">
        <f t="array" ref="U1276">if(A1276="","",index(fish_lab_data!X:X,match(A1276,fish_lab_data!C:C,0)))</f>
        <v>1275</v>
      </c>
    </row>
    <row r="1277">
      <c r="A1277" t="str">
        <f>fish_lab_data!C1277</f>
        <v>U17371</v>
      </c>
      <c r="B1277" t="str">
        <f t="array" ref="B1277">iferror(index('rna-muscle'!$I:$I,match($A1277,'rna-muscle'!$A:$A,0)))</f>
        <v>BRN75M-G11</v>
      </c>
      <c r="C1277" t="str">
        <f t="array" ref="C1277">iferror(index('rna-muscle'!$L:$L,match($A1277,'rna-muscle'!$A:$A,0)))</f>
        <v>N</v>
      </c>
      <c r="D1277" t="str">
        <f t="array" ref="D1277">iferror(index('rna-gill'!$I:$I,match($A1277,'rna-gill'!$A:$A,0)))</f>
        <v>BRN75G-G11</v>
      </c>
      <c r="E1277" t="str">
        <f t="array" ref="E1277">iferror(index('rna-gill'!$L:$L,match($A1277,'rna-gill'!$A:$A,0)))</f>
        <v>N</v>
      </c>
      <c r="F1277" t="str">
        <f t="array" ref="F1277">iferror(index(fatty_acid!$G:$G,match($A1277,fatty_acid!$A:$A,0)))</f>
        <v>BFA35-75</v>
      </c>
      <c r="G1277" t="str">
        <f t="array" ref="G1277">iferror(index(fatty_acid!$J:$J,match($A1277,fatty_acid!$A:$A,0)))</f>
        <v>N</v>
      </c>
      <c r="H1277" t="str">
        <f t="array" ref="H1277">iferror(index(isotopes!$G:$G,match($A1277,isotopes!$A:$A,0)))</f>
        <v>BIS38-75</v>
      </c>
      <c r="I1277" t="str">
        <f t="array" ref="I1277">iferror(index(isotopes!$J:$J,match($A1277,isotopes!$A:$A,0)))</f>
        <v>N</v>
      </c>
      <c r="J1277" t="str">
        <f t="array" ref="J1277">iferror(index(extra_muscle!$G:$G,match($A1277,extra_muscle!$A:$A,0)))</f>
        <v>BXM36-75</v>
      </c>
      <c r="K1277" t="str">
        <f t="array" ref="K1277">iferror(index(extra_muscle!$J:$J,match($A1277,extra_muscle!$A:$A,0)))</f>
        <v>N</v>
      </c>
      <c r="L1277" s="59" t="str">
        <f t="array" ref="L1277">iferror(index(dna!$G:$G,match($A1277,dna!$A:$A,0)))</f>
        <v>BDN9-70</v>
      </c>
      <c r="M1277" s="60" t="str">
        <f t="array" ref="M1277">iferror(index(dna!$J:$J,match($A1277,dna!$A:$A,0)))</f>
        <v>N</v>
      </c>
      <c r="N1277" t="str">
        <f t="array" ref="N1277">iferror(index(stomachs!$G:$G,match($A1277,stomachs!$A:$A,0)))</f>
        <v/>
      </c>
      <c r="O1277" t="str">
        <f t="array" ref="O1277">iferror(index(stomachs!$J:$J,match($A1277,stomachs!$A:$A,0)))</f>
        <v/>
      </c>
      <c r="P1277" t="str">
        <f t="array" ref="P1277">iferror(index(sea_lice!$G:$G,match($A1277,sea_lice!$A:$A,0)))</f>
        <v/>
      </c>
      <c r="Q1277" t="str">
        <f t="array" ref="Q1277">iferror(index(sea_lice!$J:$J,match($A1277,sea_lice!$A:$A,0)))</f>
        <v/>
      </c>
      <c r="R1277" s="40" t="str">
        <f t="array" ref="R1277">iferror(index(dissected_fish!$F:$F,match($A1277,dissected_fish!$A:$A,0)))</f>
        <v>BCA111</v>
      </c>
      <c r="S1277" s="40" t="str">
        <f t="array" ref="S1277">iferror(index(dissected_fish!$K:$K,match($A1277,dissected_fish!$A:$A,0)))</f>
        <v>N</v>
      </c>
      <c r="T1277" s="61" t="str">
        <f t="array" ref="T1277">index(fish_lab_data!O:O,match(A1277,fish_lab_data!C:C,0))</f>
        <v>KB</v>
      </c>
      <c r="U1277" s="61">
        <f t="array" ref="U1277">if(A1277="","",index(fish_lab_data!X:X,match(A1277,fish_lab_data!C:C,0)))</f>
        <v>1276</v>
      </c>
    </row>
    <row r="1278">
      <c r="A1278" t="str">
        <f>fish_lab_data!C1278</f>
        <v>U17372</v>
      </c>
      <c r="B1278" t="str">
        <f t="array" ref="B1278">iferror(index('rna-muscle'!$I:$I,match($A1278,'rna-muscle'!$A:$A,0)))</f>
        <v>BRN75M-F11</v>
      </c>
      <c r="C1278" t="str">
        <f t="array" ref="C1278">iferror(index('rna-muscle'!$L:$L,match($A1278,'rna-muscle'!$A:$A,0)))</f>
        <v>N</v>
      </c>
      <c r="D1278" t="str">
        <f t="array" ref="D1278">iferror(index('rna-gill'!$I:$I,match($A1278,'rna-gill'!$A:$A,0)))</f>
        <v>BRN75G-F11</v>
      </c>
      <c r="E1278" t="str">
        <f t="array" ref="E1278">iferror(index('rna-gill'!$L:$L,match($A1278,'rna-gill'!$A:$A,0)))</f>
        <v>N</v>
      </c>
      <c r="F1278" t="str">
        <f t="array" ref="F1278">iferror(index(fatty_acid!$G:$G,match($A1278,fatty_acid!$A:$A,0)))</f>
        <v>BFA35-76</v>
      </c>
      <c r="G1278" t="str">
        <f t="array" ref="G1278">iferror(index(fatty_acid!$J:$J,match($A1278,fatty_acid!$A:$A,0)))</f>
        <v>N</v>
      </c>
      <c r="H1278" t="str">
        <f t="array" ref="H1278">iferror(index(isotopes!$G:$G,match($A1278,isotopes!$A:$A,0)))</f>
        <v>BIS38-76</v>
      </c>
      <c r="I1278" t="str">
        <f t="array" ref="I1278">iferror(index(isotopes!$J:$J,match($A1278,isotopes!$A:$A,0)))</f>
        <v>N</v>
      </c>
      <c r="J1278" t="str">
        <f t="array" ref="J1278">iferror(index(extra_muscle!$G:$G,match($A1278,extra_muscle!$A:$A,0)))</f>
        <v>BXM36-76</v>
      </c>
      <c r="K1278" t="str">
        <f t="array" ref="K1278">iferror(index(extra_muscle!$J:$J,match($A1278,extra_muscle!$A:$A,0)))</f>
        <v>N</v>
      </c>
      <c r="L1278" s="59" t="str">
        <f t="array" ref="L1278">iferror(index(dna!$G:$G,match($A1278,dna!$A:$A,0)))</f>
        <v>BDN9-71</v>
      </c>
      <c r="M1278" s="60" t="str">
        <f t="array" ref="M1278">iferror(index(dna!$J:$J,match($A1278,dna!$A:$A,0)))</f>
        <v>N</v>
      </c>
      <c r="N1278" t="str">
        <f t="array" ref="N1278">iferror(index(stomachs!$G:$G,match($A1278,stomachs!$A:$A,0)))</f>
        <v/>
      </c>
      <c r="O1278" t="str">
        <f t="array" ref="O1278">iferror(index(stomachs!$J:$J,match($A1278,stomachs!$A:$A,0)))</f>
        <v/>
      </c>
      <c r="P1278" t="str">
        <f t="array" ref="P1278">iferror(index(sea_lice!$G:$G,match($A1278,sea_lice!$A:$A,0)))</f>
        <v>BSL8-26</v>
      </c>
      <c r="Q1278" t="str">
        <f t="array" ref="Q1278">iferror(index(sea_lice!$J:$J,match($A1278,sea_lice!$A:$A,0)))</f>
        <v>N</v>
      </c>
      <c r="R1278" s="40" t="str">
        <f t="array" ref="R1278">iferror(index(dissected_fish!$F:$F,match($A1278,dissected_fish!$A:$A,0)))</f>
        <v>BCA111</v>
      </c>
      <c r="S1278" s="40" t="str">
        <f t="array" ref="S1278">iferror(index(dissected_fish!$K:$K,match($A1278,dissected_fish!$A:$A,0)))</f>
        <v>N</v>
      </c>
      <c r="T1278" s="61" t="str">
        <f t="array" ref="T1278">index(fish_lab_data!O:O,match(A1278,fish_lab_data!C:C,0))</f>
        <v>KB</v>
      </c>
      <c r="U1278" s="61">
        <f t="array" ref="U1278">if(A1278="","",index(fish_lab_data!X:X,match(A1278,fish_lab_data!C:C,0)))</f>
        <v>1277</v>
      </c>
    </row>
    <row r="1279">
      <c r="A1279" t="str">
        <f>fish_lab_data!C1279</f>
        <v>U17373</v>
      </c>
      <c r="B1279" t="str">
        <f t="array" ref="B1279">iferror(index('rna-muscle'!$I:$I,match($A1279,'rna-muscle'!$A:$A,0)))</f>
        <v>BRN75M-E11</v>
      </c>
      <c r="C1279" t="str">
        <f t="array" ref="C1279">iferror(index('rna-muscle'!$L:$L,match($A1279,'rna-muscle'!$A:$A,0)))</f>
        <v>N</v>
      </c>
      <c r="D1279" t="str">
        <f t="array" ref="D1279">iferror(index('rna-gill'!$I:$I,match($A1279,'rna-gill'!$A:$A,0)))</f>
        <v>BRN75G-E11</v>
      </c>
      <c r="E1279" t="str">
        <f t="array" ref="E1279">iferror(index('rna-gill'!$L:$L,match($A1279,'rna-gill'!$A:$A,0)))</f>
        <v>N</v>
      </c>
      <c r="F1279" t="str">
        <f t="array" ref="F1279">iferror(index(fatty_acid!$G:$G,match($A1279,fatty_acid!$A:$A,0)))</f>
        <v>BFA35-77</v>
      </c>
      <c r="G1279" t="str">
        <f t="array" ref="G1279">iferror(index(fatty_acid!$J:$J,match($A1279,fatty_acid!$A:$A,0)))</f>
        <v>N</v>
      </c>
      <c r="H1279" t="str">
        <f t="array" ref="H1279">iferror(index(isotopes!$G:$G,match($A1279,isotopes!$A:$A,0)))</f>
        <v>BIS38-77</v>
      </c>
      <c r="I1279" t="str">
        <f t="array" ref="I1279">iferror(index(isotopes!$J:$J,match($A1279,isotopes!$A:$A,0)))</f>
        <v>N</v>
      </c>
      <c r="J1279" t="str">
        <f t="array" ref="J1279">iferror(index(extra_muscle!$G:$G,match($A1279,extra_muscle!$A:$A,0)))</f>
        <v>BXM36-77</v>
      </c>
      <c r="K1279" t="str">
        <f t="array" ref="K1279">iferror(index(extra_muscle!$J:$J,match($A1279,extra_muscle!$A:$A,0)))</f>
        <v>N</v>
      </c>
      <c r="L1279" s="59" t="str">
        <f t="array" ref="L1279">iferror(index(dna!$G:$G,match($A1279,dna!$A:$A,0)))</f>
        <v>BDN9-72</v>
      </c>
      <c r="M1279" s="60" t="str">
        <f t="array" ref="M1279">iferror(index(dna!$J:$J,match($A1279,dna!$A:$A,0)))</f>
        <v>N</v>
      </c>
      <c r="N1279" t="str">
        <f t="array" ref="N1279">iferror(index(stomachs!$G:$G,match($A1279,stomachs!$A:$A,0)))</f>
        <v/>
      </c>
      <c r="O1279" t="str">
        <f t="array" ref="O1279">iferror(index(stomachs!$J:$J,match($A1279,stomachs!$A:$A,0)))</f>
        <v/>
      </c>
      <c r="P1279" t="str">
        <f t="array" ref="P1279">iferror(index(sea_lice!$G:$G,match($A1279,sea_lice!$A:$A,0)))</f>
        <v>BSL8-27</v>
      </c>
      <c r="Q1279" t="str">
        <f t="array" ref="Q1279">iferror(index(sea_lice!$J:$J,match($A1279,sea_lice!$A:$A,0)))</f>
        <v>N</v>
      </c>
      <c r="R1279" s="40" t="str">
        <f t="array" ref="R1279">iferror(index(dissected_fish!$F:$F,match($A1279,dissected_fish!$A:$A,0)))</f>
        <v>BCA111</v>
      </c>
      <c r="S1279" s="40" t="str">
        <f t="array" ref="S1279">iferror(index(dissected_fish!$K:$K,match($A1279,dissected_fish!$A:$A,0)))</f>
        <v>N</v>
      </c>
      <c r="T1279" s="61" t="str">
        <f t="array" ref="T1279">index(fish_lab_data!O:O,match(A1279,fish_lab_data!C:C,0))</f>
        <v>KB</v>
      </c>
      <c r="U1279" s="61">
        <f t="array" ref="U1279">if(A1279="","",index(fish_lab_data!X:X,match(A1279,fish_lab_data!C:C,0)))</f>
        <v>1278</v>
      </c>
    </row>
    <row r="1280">
      <c r="A1280" t="str">
        <f>fish_lab_data!C1280</f>
        <v>U17157</v>
      </c>
      <c r="B1280" t="str">
        <f t="array" ref="B1280">iferror(index('rna-muscle'!$I:$I,match($A1280,'rna-muscle'!$A:$A,0)))</f>
        <v>BRN75M-H7</v>
      </c>
      <c r="C1280" t="str">
        <f t="array" ref="C1280">iferror(index('rna-muscle'!$L:$L,match($A1280,'rna-muscle'!$A:$A,0)))</f>
        <v>N</v>
      </c>
      <c r="D1280" t="str">
        <f t="array" ref="D1280">iferror(index('rna-gill'!$I:$I,match($A1280,'rna-gill'!$A:$A,0)))</f>
        <v>BRN75G-H7</v>
      </c>
      <c r="E1280" t="str">
        <f t="array" ref="E1280">iferror(index('rna-gill'!$L:$L,match($A1280,'rna-gill'!$A:$A,0)))</f>
        <v>N</v>
      </c>
      <c r="F1280" t="str">
        <f t="array" ref="F1280">iferror(index(fatty_acid!$G:$G,match($A1280,fatty_acid!$A:$A,0)))</f>
        <v>BFA33-47</v>
      </c>
      <c r="G1280" t="str">
        <f t="array" ref="G1280">iferror(index(fatty_acid!$J:$J,match($A1280,fatty_acid!$A:$A,0)))</f>
        <v>N</v>
      </c>
      <c r="H1280" t="str">
        <f t="array" ref="H1280">iferror(index(isotopes!$G:$G,match($A1280,isotopes!$A:$A,0)))</f>
        <v>BIS34-46</v>
      </c>
      <c r="I1280" t="str">
        <f t="array" ref="I1280">iferror(index(isotopes!$J:$J,match($A1280,isotopes!$A:$A,0)))</f>
        <v>N</v>
      </c>
      <c r="J1280" t="str">
        <f t="array" ref="J1280">iferror(index(extra_muscle!$G:$G,match($A1280,extra_muscle!$A:$A,0)))</f>
        <v>BXM37-9</v>
      </c>
      <c r="K1280" t="str">
        <f t="array" ref="K1280">iferror(index(extra_muscle!$J:$J,match($A1280,extra_muscle!$A:$A,0)))</f>
        <v>N</v>
      </c>
      <c r="L1280" s="59" t="str">
        <f t="array" ref="L1280">iferror(index(dna!$G:$G,match($A1280,dna!$A:$A,0)))</f>
        <v>BDN10-83</v>
      </c>
      <c r="M1280" s="60" t="str">
        <f t="array" ref="M1280">iferror(index(dna!$J:$J,match($A1280,dna!$A:$A,0)))</f>
        <v>N</v>
      </c>
      <c r="N1280" t="str">
        <f t="array" ref="N1280">iferror(index(stomachs!$G:$G,match($A1280,stomachs!$A:$A,0)))</f>
        <v/>
      </c>
      <c r="O1280" t="str">
        <f t="array" ref="O1280">iferror(index(stomachs!$J:$J,match($A1280,stomachs!$A:$A,0)))</f>
        <v/>
      </c>
      <c r="P1280" t="str">
        <f t="array" ref="P1280">iferror(index(sea_lice!$G:$G,match($A1280,sea_lice!$A:$A,0)))</f>
        <v/>
      </c>
      <c r="Q1280" t="str">
        <f t="array" ref="Q1280">iferror(index(sea_lice!$J:$J,match($A1280,sea_lice!$A:$A,0)))</f>
        <v/>
      </c>
      <c r="R1280" s="40" t="str">
        <f t="array" ref="R1280">iferror(index(dissected_fish!$F:$F,match($A1280,dissected_fish!$A:$A,0)))</f>
        <v>BCA111</v>
      </c>
      <c r="S1280" s="40" t="str">
        <f t="array" ref="S1280">iferror(index(dissected_fish!$K:$K,match($A1280,dissected_fish!$A:$A,0)))</f>
        <v>N</v>
      </c>
      <c r="T1280" s="61" t="str">
        <f t="array" ref="T1280">index(fish_lab_data!O:O,match(A1280,fish_lab_data!C:C,0))</f>
        <v>JG</v>
      </c>
      <c r="U1280" s="61">
        <f t="array" ref="U1280">if(A1280="","",index(fish_lab_data!X:X,match(A1280,fish_lab_data!C:C,0)))</f>
        <v>1279</v>
      </c>
    </row>
    <row r="1281">
      <c r="A1281" t="str">
        <f>fish_lab_data!C1281</f>
        <v>U17160</v>
      </c>
      <c r="B1281" t="str">
        <f t="array" ref="B1281">iferror(index('rna-muscle'!$I:$I,match($A1281,'rna-muscle'!$A:$A,0)))</f>
        <v>BRN75M-G7</v>
      </c>
      <c r="C1281" t="str">
        <f t="array" ref="C1281">iferror(index('rna-muscle'!$L:$L,match($A1281,'rna-muscle'!$A:$A,0)))</f>
        <v>N</v>
      </c>
      <c r="D1281" t="str">
        <f t="array" ref="D1281">iferror(index('rna-gill'!$I:$I,match($A1281,'rna-gill'!$A:$A,0)))</f>
        <v>BRN75G-G7</v>
      </c>
      <c r="E1281" t="str">
        <f t="array" ref="E1281">iferror(index('rna-gill'!$L:$L,match($A1281,'rna-gill'!$A:$A,0)))</f>
        <v>N</v>
      </c>
      <c r="F1281" t="str">
        <f t="array" ref="F1281">iferror(index(fatty_acid!$G:$G,match($A1281,fatty_acid!$A:$A,0)))</f>
        <v>BFA33-48</v>
      </c>
      <c r="G1281" t="str">
        <f t="array" ref="G1281">iferror(index(fatty_acid!$J:$J,match($A1281,fatty_acid!$A:$A,0)))</f>
        <v>N</v>
      </c>
      <c r="H1281" t="str">
        <f t="array" ref="H1281">iferror(index(isotopes!$G:$G,match($A1281,isotopes!$A:$A,0)))</f>
        <v>BIS34-47</v>
      </c>
      <c r="I1281" t="str">
        <f t="array" ref="I1281">iferror(index(isotopes!$J:$J,match($A1281,isotopes!$A:$A,0)))</f>
        <v>N</v>
      </c>
      <c r="J1281" t="str">
        <f t="array" ref="J1281">iferror(index(extra_muscle!$G:$G,match($A1281,extra_muscle!$A:$A,0)))</f>
        <v>BXM37-10</v>
      </c>
      <c r="K1281" t="str">
        <f t="array" ref="K1281">iferror(index(extra_muscle!$J:$J,match($A1281,extra_muscle!$A:$A,0)))</f>
        <v>N</v>
      </c>
      <c r="L1281" s="59" t="str">
        <f t="array" ref="L1281">iferror(index(dna!$G:$G,match($A1281,dna!$A:$A,0)))</f>
        <v>BDN10-84</v>
      </c>
      <c r="M1281" s="60" t="str">
        <f t="array" ref="M1281">iferror(index(dna!$J:$J,match($A1281,dna!$A:$A,0)))</f>
        <v>N</v>
      </c>
      <c r="N1281" t="str">
        <f t="array" ref="N1281">iferror(index(stomachs!$G:$G,match($A1281,stomachs!$A:$A,0)))</f>
        <v/>
      </c>
      <c r="O1281" t="str">
        <f t="array" ref="O1281">iferror(index(stomachs!$J:$J,match($A1281,stomachs!$A:$A,0)))</f>
        <v/>
      </c>
      <c r="P1281" t="str">
        <f t="array" ref="P1281">iferror(index(sea_lice!$G:$G,match($A1281,sea_lice!$A:$A,0)))</f>
        <v>BSL8-17</v>
      </c>
      <c r="Q1281" t="str">
        <f t="array" ref="Q1281">iferror(index(sea_lice!$J:$J,match($A1281,sea_lice!$A:$A,0)))</f>
        <v>N</v>
      </c>
      <c r="R1281" s="40" t="str">
        <f t="array" ref="R1281">iferror(index(dissected_fish!$F:$F,match($A1281,dissected_fish!$A:$A,0)))</f>
        <v>BCA111</v>
      </c>
      <c r="S1281" s="40" t="str">
        <f t="array" ref="S1281">iferror(index(dissected_fish!$K:$K,match($A1281,dissected_fish!$A:$A,0)))</f>
        <v>N</v>
      </c>
      <c r="T1281" s="61" t="str">
        <f t="array" ref="T1281">index(fish_lab_data!O:O,match(A1281,fish_lab_data!C:C,0))</f>
        <v>JG</v>
      </c>
      <c r="U1281" s="61">
        <f t="array" ref="U1281">if(A1281="","",index(fish_lab_data!X:X,match(A1281,fish_lab_data!C:C,0)))</f>
        <v>1280</v>
      </c>
    </row>
    <row r="1282">
      <c r="A1282" t="str">
        <f>fish_lab_data!C1282</f>
        <v>U17159</v>
      </c>
      <c r="B1282" t="str">
        <f t="array" ref="B1282">iferror(index('rna-muscle'!$I:$I,match($A1282,'rna-muscle'!$A:$A,0)))</f>
        <v>BRN75M-F7</v>
      </c>
      <c r="C1282" t="str">
        <f t="array" ref="C1282">iferror(index('rna-muscle'!$L:$L,match($A1282,'rna-muscle'!$A:$A,0)))</f>
        <v>N</v>
      </c>
      <c r="D1282" t="str">
        <f t="array" ref="D1282">iferror(index('rna-gill'!$I:$I,match($A1282,'rna-gill'!$A:$A,0)))</f>
        <v>BRN75G-F7</v>
      </c>
      <c r="E1282" t="str">
        <f t="array" ref="E1282">iferror(index('rna-gill'!$L:$L,match($A1282,'rna-gill'!$A:$A,0)))</f>
        <v>N</v>
      </c>
      <c r="F1282" t="str">
        <f t="array" ref="F1282">iferror(index(fatty_acid!$G:$G,match($A1282,fatty_acid!$A:$A,0)))</f>
        <v>BFA33-49</v>
      </c>
      <c r="G1282" t="str">
        <f t="array" ref="G1282">iferror(index(fatty_acid!$J:$J,match($A1282,fatty_acid!$A:$A,0)))</f>
        <v>N</v>
      </c>
      <c r="H1282" t="str">
        <f t="array" ref="H1282">iferror(index(isotopes!$G:$G,match($A1282,isotopes!$A:$A,0)))</f>
        <v>BIS34-48</v>
      </c>
      <c r="I1282" t="str">
        <f t="array" ref="I1282">iferror(index(isotopes!$J:$J,match($A1282,isotopes!$A:$A,0)))</f>
        <v>N</v>
      </c>
      <c r="J1282" t="str">
        <f t="array" ref="J1282">iferror(index(extra_muscle!$G:$G,match($A1282,extra_muscle!$A:$A,0)))</f>
        <v>BXM37-11</v>
      </c>
      <c r="K1282" t="str">
        <f t="array" ref="K1282">iferror(index(extra_muscle!$J:$J,match($A1282,extra_muscle!$A:$A,0)))</f>
        <v>N</v>
      </c>
      <c r="L1282" s="59" t="str">
        <f t="array" ref="L1282">iferror(index(dna!$G:$G,match($A1282,dna!$A:$A,0)))</f>
        <v>BDN10-85</v>
      </c>
      <c r="M1282" s="60" t="str">
        <f t="array" ref="M1282">iferror(index(dna!$J:$J,match($A1282,dna!$A:$A,0)))</f>
        <v>N</v>
      </c>
      <c r="N1282" t="str">
        <f t="array" ref="N1282">iferror(index(stomachs!$G:$G,match($A1282,stomachs!$A:$A,0)))</f>
        <v/>
      </c>
      <c r="O1282" t="str">
        <f t="array" ref="O1282">iferror(index(stomachs!$J:$J,match($A1282,stomachs!$A:$A,0)))</f>
        <v/>
      </c>
      <c r="P1282" t="str">
        <f t="array" ref="P1282">iferror(index(sea_lice!$G:$G,match($A1282,sea_lice!$A:$A,0)))</f>
        <v/>
      </c>
      <c r="Q1282" t="str">
        <f t="array" ref="Q1282">iferror(index(sea_lice!$J:$J,match($A1282,sea_lice!$A:$A,0)))</f>
        <v/>
      </c>
      <c r="R1282" s="40" t="str">
        <f t="array" ref="R1282">iferror(index(dissected_fish!$F:$F,match($A1282,dissected_fish!$A:$A,0)))</f>
        <v>BCA111</v>
      </c>
      <c r="S1282" s="40" t="str">
        <f t="array" ref="S1282">iferror(index(dissected_fish!$K:$K,match($A1282,dissected_fish!$A:$A,0)))</f>
        <v>N</v>
      </c>
      <c r="T1282" s="61" t="str">
        <f t="array" ref="T1282">index(fish_lab_data!O:O,match(A1282,fish_lab_data!C:C,0))</f>
        <v>JG</v>
      </c>
      <c r="U1282" s="61">
        <f t="array" ref="U1282">if(A1282="","",index(fish_lab_data!X:X,match(A1282,fish_lab_data!C:C,0)))</f>
        <v>1281</v>
      </c>
    </row>
    <row r="1283">
      <c r="A1283" t="str">
        <f>fish_lab_data!C1283</f>
        <v>U17155</v>
      </c>
      <c r="B1283" t="str">
        <f t="array" ref="B1283">iferror(index('rna-muscle'!$I:$I,match($A1283,'rna-muscle'!$A:$A,0)))</f>
        <v>BRN75M-E7</v>
      </c>
      <c r="C1283" t="str">
        <f t="array" ref="C1283">iferror(index('rna-muscle'!$L:$L,match($A1283,'rna-muscle'!$A:$A,0)))</f>
        <v>N</v>
      </c>
      <c r="D1283" t="str">
        <f t="array" ref="D1283">iferror(index('rna-gill'!$I:$I,match($A1283,'rna-gill'!$A:$A,0)))</f>
        <v>BRN75G-E7</v>
      </c>
      <c r="E1283" t="str">
        <f t="array" ref="E1283">iferror(index('rna-gill'!$L:$L,match($A1283,'rna-gill'!$A:$A,0)))</f>
        <v>N</v>
      </c>
      <c r="F1283" t="str">
        <f t="array" ref="F1283">iferror(index(fatty_acid!$G:$G,match($A1283,fatty_acid!$A:$A,0)))</f>
        <v>BFA33-50</v>
      </c>
      <c r="G1283" t="str">
        <f t="array" ref="G1283">iferror(index(fatty_acid!$J:$J,match($A1283,fatty_acid!$A:$A,0)))</f>
        <v>N</v>
      </c>
      <c r="H1283" t="str">
        <f t="array" ref="H1283">iferror(index(isotopes!$G:$G,match($A1283,isotopes!$A:$A,0)))</f>
        <v>BIS34-49</v>
      </c>
      <c r="I1283" t="str">
        <f t="array" ref="I1283">iferror(index(isotopes!$J:$J,match($A1283,isotopes!$A:$A,0)))</f>
        <v>N</v>
      </c>
      <c r="J1283" t="str">
        <f t="array" ref="J1283">iferror(index(extra_muscle!$G:$G,match($A1283,extra_muscle!$A:$A,0)))</f>
        <v>BXM37-12</v>
      </c>
      <c r="K1283" t="str">
        <f t="array" ref="K1283">iferror(index(extra_muscle!$J:$J,match($A1283,extra_muscle!$A:$A,0)))</f>
        <v>N</v>
      </c>
      <c r="L1283" s="59" t="str">
        <f t="array" ref="L1283">iferror(index(dna!$G:$G,match($A1283,dna!$A:$A,0)))</f>
        <v>BDN10-86</v>
      </c>
      <c r="M1283" s="60" t="str">
        <f t="array" ref="M1283">iferror(index(dna!$J:$J,match($A1283,dna!$A:$A,0)))</f>
        <v>N</v>
      </c>
      <c r="N1283" t="str">
        <f t="array" ref="N1283">iferror(index(stomachs!$G:$G,match($A1283,stomachs!$A:$A,0)))</f>
        <v/>
      </c>
      <c r="O1283" t="str">
        <f t="array" ref="O1283">iferror(index(stomachs!$J:$J,match($A1283,stomachs!$A:$A,0)))</f>
        <v/>
      </c>
      <c r="P1283" t="str">
        <f t="array" ref="P1283">iferror(index(sea_lice!$G:$G,match($A1283,sea_lice!$A:$A,0)))</f>
        <v>BSL8-18</v>
      </c>
      <c r="Q1283" t="str">
        <f t="array" ref="Q1283">iferror(index(sea_lice!$J:$J,match($A1283,sea_lice!$A:$A,0)))</f>
        <v>N</v>
      </c>
      <c r="R1283" s="40" t="str">
        <f t="array" ref="R1283">iferror(index(dissected_fish!$F:$F,match($A1283,dissected_fish!$A:$A,0)))</f>
        <v>BCA111</v>
      </c>
      <c r="S1283" s="40" t="str">
        <f t="array" ref="S1283">iferror(index(dissected_fish!$K:$K,match($A1283,dissected_fish!$A:$A,0)))</f>
        <v>N</v>
      </c>
      <c r="T1283" s="61" t="str">
        <f t="array" ref="T1283">index(fish_lab_data!O:O,match(A1283,fish_lab_data!C:C,0))</f>
        <v>JG</v>
      </c>
      <c r="U1283" s="61">
        <f t="array" ref="U1283">if(A1283="","",index(fish_lab_data!X:X,match(A1283,fish_lab_data!C:C,0)))</f>
        <v>1282</v>
      </c>
    </row>
    <row r="1284">
      <c r="A1284" t="str">
        <f>fish_lab_data!C1284</f>
        <v>U17156</v>
      </c>
      <c r="B1284" t="str">
        <f t="array" ref="B1284">iferror(index('rna-muscle'!$I:$I,match($A1284,'rna-muscle'!$A:$A,0)))</f>
        <v>BRN75M-D7</v>
      </c>
      <c r="C1284" t="str">
        <f t="array" ref="C1284">iferror(index('rna-muscle'!$L:$L,match($A1284,'rna-muscle'!$A:$A,0)))</f>
        <v>N</v>
      </c>
      <c r="D1284" t="str">
        <f t="array" ref="D1284">iferror(index('rna-gill'!$I:$I,match($A1284,'rna-gill'!$A:$A,0)))</f>
        <v>BRN75G-D7</v>
      </c>
      <c r="E1284" t="str">
        <f t="array" ref="E1284">iferror(index('rna-gill'!$L:$L,match($A1284,'rna-gill'!$A:$A,0)))</f>
        <v>N</v>
      </c>
      <c r="F1284" t="str">
        <f t="array" ref="F1284">iferror(index(fatty_acid!$G:$G,match($A1284,fatty_acid!$A:$A,0)))</f>
        <v>BFA33-51</v>
      </c>
      <c r="G1284" t="str">
        <f t="array" ref="G1284">iferror(index(fatty_acid!$J:$J,match($A1284,fatty_acid!$A:$A,0)))</f>
        <v>N</v>
      </c>
      <c r="H1284" t="str">
        <f t="array" ref="H1284">iferror(index(isotopes!$G:$G,match($A1284,isotopes!$A:$A,0)))</f>
        <v>BIS34-50</v>
      </c>
      <c r="I1284" t="str">
        <f t="array" ref="I1284">iferror(index(isotopes!$J:$J,match($A1284,isotopes!$A:$A,0)))</f>
        <v>N</v>
      </c>
      <c r="J1284" t="str">
        <f t="array" ref="J1284">iferror(index(extra_muscle!$G:$G,match($A1284,extra_muscle!$A:$A,0)))</f>
        <v>BXM37-13</v>
      </c>
      <c r="K1284" t="str">
        <f t="array" ref="K1284">iferror(index(extra_muscle!$J:$J,match($A1284,extra_muscle!$A:$A,0)))</f>
        <v>N</v>
      </c>
      <c r="L1284" s="59" t="str">
        <f t="array" ref="L1284">iferror(index(dna!$G:$G,match($A1284,dna!$A:$A,0)))</f>
        <v>BDN10-87</v>
      </c>
      <c r="M1284" s="60" t="str">
        <f t="array" ref="M1284">iferror(index(dna!$J:$J,match($A1284,dna!$A:$A,0)))</f>
        <v>N</v>
      </c>
      <c r="N1284" t="str">
        <f t="array" ref="N1284">iferror(index(stomachs!$G:$G,match($A1284,stomachs!$A:$A,0)))</f>
        <v/>
      </c>
      <c r="O1284" t="str">
        <f t="array" ref="O1284">iferror(index(stomachs!$J:$J,match($A1284,stomachs!$A:$A,0)))</f>
        <v/>
      </c>
      <c r="P1284" t="str">
        <f t="array" ref="P1284">iferror(index(sea_lice!$G:$G,match($A1284,sea_lice!$A:$A,0)))</f>
        <v/>
      </c>
      <c r="Q1284" t="str">
        <f t="array" ref="Q1284">iferror(index(sea_lice!$J:$J,match($A1284,sea_lice!$A:$A,0)))</f>
        <v/>
      </c>
      <c r="R1284" s="40" t="str">
        <f t="array" ref="R1284">iferror(index(dissected_fish!$F:$F,match($A1284,dissected_fish!$A:$A,0)))</f>
        <v>BCA111</v>
      </c>
      <c r="S1284" s="40" t="str">
        <f t="array" ref="S1284">iferror(index(dissected_fish!$K:$K,match($A1284,dissected_fish!$A:$A,0)))</f>
        <v>N</v>
      </c>
      <c r="T1284" s="61" t="str">
        <f t="array" ref="T1284">index(fish_lab_data!O:O,match(A1284,fish_lab_data!C:C,0))</f>
        <v>JG</v>
      </c>
      <c r="U1284" s="61">
        <f t="array" ref="U1284">if(A1284="","",index(fish_lab_data!X:X,match(A1284,fish_lab_data!C:C,0)))</f>
        <v>1283</v>
      </c>
    </row>
    <row r="1285">
      <c r="A1285" t="str">
        <f>fish_lab_data!C1285</f>
        <v>U17154</v>
      </c>
      <c r="B1285" t="str">
        <f t="array" ref="B1285">iferror(index('rna-muscle'!$I:$I,match($A1285,'rna-muscle'!$A:$A,0)))</f>
        <v>BRN75M-C7</v>
      </c>
      <c r="C1285" t="str">
        <f t="array" ref="C1285">iferror(index('rna-muscle'!$L:$L,match($A1285,'rna-muscle'!$A:$A,0)))</f>
        <v>N</v>
      </c>
      <c r="D1285" t="str">
        <f t="array" ref="D1285">iferror(index('rna-gill'!$I:$I,match($A1285,'rna-gill'!$A:$A,0)))</f>
        <v>BRN75G-C7</v>
      </c>
      <c r="E1285" t="str">
        <f t="array" ref="E1285">iferror(index('rna-gill'!$L:$L,match($A1285,'rna-gill'!$A:$A,0)))</f>
        <v>N</v>
      </c>
      <c r="F1285" t="str">
        <f t="array" ref="F1285">iferror(index(fatty_acid!$G:$G,match($A1285,fatty_acid!$A:$A,0)))</f>
        <v>BFA33-52</v>
      </c>
      <c r="G1285" t="str">
        <f t="array" ref="G1285">iferror(index(fatty_acid!$J:$J,match($A1285,fatty_acid!$A:$A,0)))</f>
        <v>N</v>
      </c>
      <c r="H1285" t="str">
        <f t="array" ref="H1285">iferror(index(isotopes!$G:$G,match($A1285,isotopes!$A:$A,0)))</f>
        <v>BIS34-51</v>
      </c>
      <c r="I1285" t="str">
        <f t="array" ref="I1285">iferror(index(isotopes!$J:$J,match($A1285,isotopes!$A:$A,0)))</f>
        <v>N</v>
      </c>
      <c r="J1285" t="str">
        <f t="array" ref="J1285">iferror(index(extra_muscle!$G:$G,match($A1285,extra_muscle!$A:$A,0)))</f>
        <v>BXM37-14</v>
      </c>
      <c r="K1285" t="str">
        <f t="array" ref="K1285">iferror(index(extra_muscle!$J:$J,match($A1285,extra_muscle!$A:$A,0)))</f>
        <v>N</v>
      </c>
      <c r="L1285" s="59" t="str">
        <f t="array" ref="L1285">iferror(index(dna!$G:$G,match($A1285,dna!$A:$A,0)))</f>
        <v>BDN10-88</v>
      </c>
      <c r="M1285" s="60" t="str">
        <f t="array" ref="M1285">iferror(index(dna!$J:$J,match($A1285,dna!$A:$A,0)))</f>
        <v>N</v>
      </c>
      <c r="N1285" t="str">
        <f t="array" ref="N1285">iferror(index(stomachs!$G:$G,match($A1285,stomachs!$A:$A,0)))</f>
        <v/>
      </c>
      <c r="O1285" t="str">
        <f t="array" ref="O1285">iferror(index(stomachs!$J:$J,match($A1285,stomachs!$A:$A,0)))</f>
        <v/>
      </c>
      <c r="P1285" t="str">
        <f t="array" ref="P1285">iferror(index(sea_lice!$G:$G,match($A1285,sea_lice!$A:$A,0)))</f>
        <v/>
      </c>
      <c r="Q1285" t="str">
        <f t="array" ref="Q1285">iferror(index(sea_lice!$J:$J,match($A1285,sea_lice!$A:$A,0)))</f>
        <v/>
      </c>
      <c r="R1285" s="40" t="str">
        <f t="array" ref="R1285">iferror(index(dissected_fish!$F:$F,match($A1285,dissected_fish!$A:$A,0)))</f>
        <v>BCA111</v>
      </c>
      <c r="S1285" s="40" t="str">
        <f t="array" ref="S1285">iferror(index(dissected_fish!$K:$K,match($A1285,dissected_fish!$A:$A,0)))</f>
        <v>N</v>
      </c>
      <c r="T1285" s="61" t="str">
        <f t="array" ref="T1285">index(fish_lab_data!O:O,match(A1285,fish_lab_data!C:C,0))</f>
        <v>JG</v>
      </c>
      <c r="U1285" s="61">
        <f t="array" ref="U1285">if(A1285="","",index(fish_lab_data!X:X,match(A1285,fish_lab_data!C:C,0)))</f>
        <v>1284</v>
      </c>
    </row>
    <row r="1286">
      <c r="A1286" t="str">
        <f>fish_lab_data!C1286</f>
        <v>U17152</v>
      </c>
      <c r="B1286" t="str">
        <f t="array" ref="B1286">iferror(index('rna-muscle'!$I:$I,match($A1286,'rna-muscle'!$A:$A,0)))</f>
        <v>BRN75M-B7</v>
      </c>
      <c r="C1286" t="str">
        <f t="array" ref="C1286">iferror(index('rna-muscle'!$L:$L,match($A1286,'rna-muscle'!$A:$A,0)))</f>
        <v>N</v>
      </c>
      <c r="D1286" t="str">
        <f t="array" ref="D1286">iferror(index('rna-gill'!$I:$I,match($A1286,'rna-gill'!$A:$A,0)))</f>
        <v>BRN75G-B7</v>
      </c>
      <c r="E1286" t="str">
        <f t="array" ref="E1286">iferror(index('rna-gill'!$L:$L,match($A1286,'rna-gill'!$A:$A,0)))</f>
        <v>N</v>
      </c>
      <c r="F1286" t="str">
        <f t="array" ref="F1286">iferror(index(fatty_acid!$G:$G,match($A1286,fatty_acid!$A:$A,0)))</f>
        <v>BFA33-53</v>
      </c>
      <c r="G1286" t="str">
        <f t="array" ref="G1286">iferror(index(fatty_acid!$J:$J,match($A1286,fatty_acid!$A:$A,0)))</f>
        <v>N</v>
      </c>
      <c r="H1286" t="str">
        <f t="array" ref="H1286">iferror(index(isotopes!$G:$G,match($A1286,isotopes!$A:$A,0)))</f>
        <v>BIS34-52</v>
      </c>
      <c r="I1286" t="str">
        <f t="array" ref="I1286">iferror(index(isotopes!$J:$J,match($A1286,isotopes!$A:$A,0)))</f>
        <v>N</v>
      </c>
      <c r="J1286" t="str">
        <f t="array" ref="J1286">iferror(index(extra_muscle!$G:$G,match($A1286,extra_muscle!$A:$A,0)))</f>
        <v>BXM37-15</v>
      </c>
      <c r="K1286" t="str">
        <f t="array" ref="K1286">iferror(index(extra_muscle!$J:$J,match($A1286,extra_muscle!$A:$A,0)))</f>
        <v>N</v>
      </c>
      <c r="L1286" s="59" t="str">
        <f t="array" ref="L1286">iferror(index(dna!$G:$G,match($A1286,dna!$A:$A,0)))</f>
        <v>BDN10-89</v>
      </c>
      <c r="M1286" s="60" t="str">
        <f t="array" ref="M1286">iferror(index(dna!$J:$J,match($A1286,dna!$A:$A,0)))</f>
        <v>N</v>
      </c>
      <c r="N1286" t="str">
        <f t="array" ref="N1286">iferror(index(stomachs!$G:$G,match($A1286,stomachs!$A:$A,0)))</f>
        <v/>
      </c>
      <c r="O1286" t="str">
        <f t="array" ref="O1286">iferror(index(stomachs!$J:$J,match($A1286,stomachs!$A:$A,0)))</f>
        <v/>
      </c>
      <c r="P1286" t="str">
        <f t="array" ref="P1286">iferror(index(sea_lice!$G:$G,match($A1286,sea_lice!$A:$A,0)))</f>
        <v/>
      </c>
      <c r="Q1286" t="str">
        <f t="array" ref="Q1286">iferror(index(sea_lice!$J:$J,match($A1286,sea_lice!$A:$A,0)))</f>
        <v/>
      </c>
      <c r="R1286" s="40" t="str">
        <f t="array" ref="R1286">iferror(index(dissected_fish!$F:$F,match($A1286,dissected_fish!$A:$A,0)))</f>
        <v>BCA111</v>
      </c>
      <c r="S1286" s="40" t="str">
        <f t="array" ref="S1286">iferror(index(dissected_fish!$K:$K,match($A1286,dissected_fish!$A:$A,0)))</f>
        <v>N</v>
      </c>
      <c r="T1286" s="61" t="str">
        <f t="array" ref="T1286">index(fish_lab_data!O:O,match(A1286,fish_lab_data!C:C,0))</f>
        <v>JG</v>
      </c>
      <c r="U1286" s="61">
        <f t="array" ref="U1286">if(A1286="","",index(fish_lab_data!X:X,match(A1286,fish_lab_data!C:C,0)))</f>
        <v>1285</v>
      </c>
    </row>
    <row r="1287">
      <c r="A1287" t="str">
        <f>fish_lab_data!C1287</f>
        <v>U17158</v>
      </c>
      <c r="B1287" t="str">
        <f t="array" ref="B1287">iferror(index('rna-muscle'!$I:$I,match($A1287,'rna-muscle'!$A:$A,0)))</f>
        <v>BRN75M-A7</v>
      </c>
      <c r="C1287" t="str">
        <f t="array" ref="C1287">iferror(index('rna-muscle'!$L:$L,match($A1287,'rna-muscle'!$A:$A,0)))</f>
        <v>N</v>
      </c>
      <c r="D1287" t="str">
        <f t="array" ref="D1287">iferror(index('rna-gill'!$I:$I,match($A1287,'rna-gill'!$A:$A,0)))</f>
        <v>BRN75G-A7</v>
      </c>
      <c r="E1287" t="str">
        <f t="array" ref="E1287">iferror(index('rna-gill'!$L:$L,match($A1287,'rna-gill'!$A:$A,0)))</f>
        <v>N</v>
      </c>
      <c r="F1287" t="str">
        <f t="array" ref="F1287">iferror(index(fatty_acid!$G:$G,match($A1287,fatty_acid!$A:$A,0)))</f>
        <v>BFA33-54</v>
      </c>
      <c r="G1287" t="str">
        <f t="array" ref="G1287">iferror(index(fatty_acid!$J:$J,match($A1287,fatty_acid!$A:$A,0)))</f>
        <v>N</v>
      </c>
      <c r="H1287" t="str">
        <f t="array" ref="H1287">iferror(index(isotopes!$G:$G,match($A1287,isotopes!$A:$A,0)))</f>
        <v>BIS34-53</v>
      </c>
      <c r="I1287" t="str">
        <f t="array" ref="I1287">iferror(index(isotopes!$J:$J,match($A1287,isotopes!$A:$A,0)))</f>
        <v>N</v>
      </c>
      <c r="J1287" t="str">
        <f t="array" ref="J1287">iferror(index(extra_muscle!$G:$G,match($A1287,extra_muscle!$A:$A,0)))</f>
        <v>BXM37-16</v>
      </c>
      <c r="K1287" t="str">
        <f t="array" ref="K1287">iferror(index(extra_muscle!$J:$J,match($A1287,extra_muscle!$A:$A,0)))</f>
        <v>N</v>
      </c>
      <c r="L1287" s="59" t="str">
        <f t="array" ref="L1287">iferror(index(dna!$G:$G,match($A1287,dna!$A:$A,0)))</f>
        <v>BDN10-90</v>
      </c>
      <c r="M1287" s="60" t="str">
        <f t="array" ref="M1287">iferror(index(dna!$J:$J,match($A1287,dna!$A:$A,0)))</f>
        <v>N</v>
      </c>
      <c r="N1287" t="str">
        <f t="array" ref="N1287">iferror(index(stomachs!$G:$G,match($A1287,stomachs!$A:$A,0)))</f>
        <v/>
      </c>
      <c r="O1287" t="str">
        <f t="array" ref="O1287">iferror(index(stomachs!$J:$J,match($A1287,stomachs!$A:$A,0)))</f>
        <v/>
      </c>
      <c r="P1287" t="str">
        <f t="array" ref="P1287">iferror(index(sea_lice!$G:$G,match($A1287,sea_lice!$A:$A,0)))</f>
        <v>BSL8-19</v>
      </c>
      <c r="Q1287" t="str">
        <f t="array" ref="Q1287">iferror(index(sea_lice!$J:$J,match($A1287,sea_lice!$A:$A,0)))</f>
        <v>N</v>
      </c>
      <c r="R1287" s="40" t="str">
        <f t="array" ref="R1287">iferror(index(dissected_fish!$F:$F,match($A1287,dissected_fish!$A:$A,0)))</f>
        <v>BCA111</v>
      </c>
      <c r="S1287" s="40" t="str">
        <f t="array" ref="S1287">iferror(index(dissected_fish!$K:$K,match($A1287,dissected_fish!$A:$A,0)))</f>
        <v>N</v>
      </c>
      <c r="T1287" s="61" t="str">
        <f t="array" ref="T1287">index(fish_lab_data!O:O,match(A1287,fish_lab_data!C:C,0))</f>
        <v>JG</v>
      </c>
      <c r="U1287" s="61">
        <f t="array" ref="U1287">if(A1287="","",index(fish_lab_data!X:X,match(A1287,fish_lab_data!C:C,0)))</f>
        <v>1286</v>
      </c>
    </row>
    <row r="1288">
      <c r="A1288" t="str">
        <f>fish_lab_data!C1288</f>
        <v>U17151</v>
      </c>
      <c r="B1288" t="str">
        <f t="array" ref="B1288">iferror(index('rna-muscle'!$I:$I,match($A1288,'rna-muscle'!$A:$A,0)))</f>
        <v>BRN75M-H8</v>
      </c>
      <c r="C1288" t="str">
        <f t="array" ref="C1288">iferror(index('rna-muscle'!$L:$L,match($A1288,'rna-muscle'!$A:$A,0)))</f>
        <v>N</v>
      </c>
      <c r="D1288" t="str">
        <f t="array" ref="D1288">iferror(index('rna-gill'!$I:$I,match($A1288,'rna-gill'!$A:$A,0)))</f>
        <v>BRN75G-H8</v>
      </c>
      <c r="E1288" t="str">
        <f t="array" ref="E1288">iferror(index('rna-gill'!$L:$L,match($A1288,'rna-gill'!$A:$A,0)))</f>
        <v>N</v>
      </c>
      <c r="F1288" t="str">
        <f t="array" ref="F1288">iferror(index(fatty_acid!$G:$G,match($A1288,fatty_acid!$A:$A,0)))</f>
        <v>BFA33-55</v>
      </c>
      <c r="G1288" t="str">
        <f t="array" ref="G1288">iferror(index(fatty_acid!$J:$J,match($A1288,fatty_acid!$A:$A,0)))</f>
        <v>N</v>
      </c>
      <c r="H1288" t="str">
        <f t="array" ref="H1288">iferror(index(isotopes!$G:$G,match($A1288,isotopes!$A:$A,0)))</f>
        <v>BIS34-54</v>
      </c>
      <c r="I1288" t="str">
        <f t="array" ref="I1288">iferror(index(isotopes!$J:$J,match($A1288,isotopes!$A:$A,0)))</f>
        <v>N</v>
      </c>
      <c r="J1288" t="str">
        <f t="array" ref="J1288">iferror(index(extra_muscle!$G:$G,match($A1288,extra_muscle!$A:$A,0)))</f>
        <v>BXM37-17</v>
      </c>
      <c r="K1288" t="str">
        <f t="array" ref="K1288">iferror(index(extra_muscle!$J:$J,match($A1288,extra_muscle!$A:$A,0)))</f>
        <v>N</v>
      </c>
      <c r="L1288" s="59" t="str">
        <f t="array" ref="L1288">iferror(index(dna!$G:$G,match($A1288,dna!$A:$A,0)))</f>
        <v>BDN10-91</v>
      </c>
      <c r="M1288" s="60" t="str">
        <f t="array" ref="M1288">iferror(index(dna!$J:$J,match($A1288,dna!$A:$A,0)))</f>
        <v>N</v>
      </c>
      <c r="N1288" t="str">
        <f t="array" ref="N1288">iferror(index(stomachs!$G:$G,match($A1288,stomachs!$A:$A,0)))</f>
        <v/>
      </c>
      <c r="O1288" t="str">
        <f t="array" ref="O1288">iferror(index(stomachs!$J:$J,match($A1288,stomachs!$A:$A,0)))</f>
        <v/>
      </c>
      <c r="P1288" t="str">
        <f t="array" ref="P1288">iferror(index(sea_lice!$G:$G,match($A1288,sea_lice!$A:$A,0)))</f>
        <v>BSL8-20</v>
      </c>
      <c r="Q1288" t="str">
        <f t="array" ref="Q1288">iferror(index(sea_lice!$J:$J,match($A1288,sea_lice!$A:$A,0)))</f>
        <v>N</v>
      </c>
      <c r="R1288" s="40" t="str">
        <f t="array" ref="R1288">iferror(index(dissected_fish!$F:$F,match($A1288,dissected_fish!$A:$A,0)))</f>
        <v>BCA111</v>
      </c>
      <c r="S1288" s="40" t="str">
        <f t="array" ref="S1288">iferror(index(dissected_fish!$K:$K,match($A1288,dissected_fish!$A:$A,0)))</f>
        <v>N</v>
      </c>
      <c r="T1288" s="61" t="str">
        <f t="array" ref="T1288">index(fish_lab_data!O:O,match(A1288,fish_lab_data!C:C,0))</f>
        <v>JG</v>
      </c>
      <c r="U1288" s="61">
        <f t="array" ref="U1288">if(A1288="","",index(fish_lab_data!X:X,match(A1288,fish_lab_data!C:C,0)))</f>
        <v>1287</v>
      </c>
    </row>
    <row r="1289">
      <c r="A1289" t="str">
        <f>fish_lab_data!C1289</f>
        <v>U17153</v>
      </c>
      <c r="B1289" t="str">
        <f t="array" ref="B1289">iferror(index('rna-muscle'!$I:$I,match($A1289,'rna-muscle'!$A:$A,0)))</f>
        <v>BRN75M-G8</v>
      </c>
      <c r="C1289" t="str">
        <f t="array" ref="C1289">iferror(index('rna-muscle'!$L:$L,match($A1289,'rna-muscle'!$A:$A,0)))</f>
        <v>N</v>
      </c>
      <c r="D1289" t="str">
        <f t="array" ref="D1289">iferror(index('rna-gill'!$I:$I,match($A1289,'rna-gill'!$A:$A,0)))</f>
        <v>BRN75G-G8</v>
      </c>
      <c r="E1289" t="str">
        <f t="array" ref="E1289">iferror(index('rna-gill'!$L:$L,match($A1289,'rna-gill'!$A:$A,0)))</f>
        <v>N</v>
      </c>
      <c r="F1289" t="str">
        <f t="array" ref="F1289">iferror(index(fatty_acid!$G:$G,match($A1289,fatty_acid!$A:$A,0)))</f>
        <v>BFA33-56</v>
      </c>
      <c r="G1289" t="str">
        <f t="array" ref="G1289">iferror(index(fatty_acid!$J:$J,match($A1289,fatty_acid!$A:$A,0)))</f>
        <v>N</v>
      </c>
      <c r="H1289" t="str">
        <f t="array" ref="H1289">iferror(index(isotopes!$G:$G,match($A1289,isotopes!$A:$A,0)))</f>
        <v>BIS34-55</v>
      </c>
      <c r="I1289" t="str">
        <f t="array" ref="I1289">iferror(index(isotopes!$J:$J,match($A1289,isotopes!$A:$A,0)))</f>
        <v>N</v>
      </c>
      <c r="J1289" t="str">
        <f t="array" ref="J1289">iferror(index(extra_muscle!$G:$G,match($A1289,extra_muscle!$A:$A,0)))</f>
        <v>BXM37-18</v>
      </c>
      <c r="K1289" t="str">
        <f t="array" ref="K1289">iferror(index(extra_muscle!$J:$J,match($A1289,extra_muscle!$A:$A,0)))</f>
        <v>N</v>
      </c>
      <c r="L1289" s="59" t="str">
        <f t="array" ref="L1289">iferror(index(dna!$G:$G,match($A1289,dna!$A:$A,0)))</f>
        <v>BDN10-92</v>
      </c>
      <c r="M1289" s="60" t="str">
        <f t="array" ref="M1289">iferror(index(dna!$J:$J,match($A1289,dna!$A:$A,0)))</f>
        <v>N</v>
      </c>
      <c r="N1289" t="str">
        <f t="array" ref="N1289">iferror(index(stomachs!$G:$G,match($A1289,stomachs!$A:$A,0)))</f>
        <v/>
      </c>
      <c r="O1289" t="str">
        <f t="array" ref="O1289">iferror(index(stomachs!$J:$J,match($A1289,stomachs!$A:$A,0)))</f>
        <v/>
      </c>
      <c r="P1289" t="str">
        <f t="array" ref="P1289">iferror(index(sea_lice!$G:$G,match($A1289,sea_lice!$A:$A,0)))</f>
        <v>BSL8-21</v>
      </c>
      <c r="Q1289" t="str">
        <f t="array" ref="Q1289">iferror(index(sea_lice!$J:$J,match($A1289,sea_lice!$A:$A,0)))</f>
        <v>N</v>
      </c>
      <c r="R1289" s="40" t="str">
        <f t="array" ref="R1289">iferror(index(dissected_fish!$F:$F,match($A1289,dissected_fish!$A:$A,0)))</f>
        <v>BCA111</v>
      </c>
      <c r="S1289" s="40" t="str">
        <f t="array" ref="S1289">iferror(index(dissected_fish!$K:$K,match($A1289,dissected_fish!$A:$A,0)))</f>
        <v>N</v>
      </c>
      <c r="T1289" s="61" t="str">
        <f t="array" ref="T1289">index(fish_lab_data!O:O,match(A1289,fish_lab_data!C:C,0))</f>
        <v>JG</v>
      </c>
      <c r="U1289" s="61">
        <f t="array" ref="U1289">if(A1289="","",index(fish_lab_data!X:X,match(A1289,fish_lab_data!C:C,0)))</f>
        <v>1288</v>
      </c>
    </row>
    <row r="1290">
      <c r="A1290" t="str">
        <f>fish_lab_data!C1290</f>
        <v>U16575</v>
      </c>
      <c r="B1290" t="str">
        <f t="array" ref="B1290">iferror(index('rna-muscle'!$I:$I,match($A1290,'rna-muscle'!$A:$A,0)))</f>
        <v>BRN75M-F8</v>
      </c>
      <c r="C1290" t="str">
        <f t="array" ref="C1290">iferror(index('rna-muscle'!$L:$L,match($A1290,'rna-muscle'!$A:$A,0)))</f>
        <v>N</v>
      </c>
      <c r="D1290" t="str">
        <f t="array" ref="D1290">iferror(index('rna-gill'!$I:$I,match($A1290,'rna-gill'!$A:$A,0)))</f>
        <v>BRN75G-F8</v>
      </c>
      <c r="E1290" t="str">
        <f t="array" ref="E1290">iferror(index('rna-gill'!$L:$L,match($A1290,'rna-gill'!$A:$A,0)))</f>
        <v>N</v>
      </c>
      <c r="F1290" t="str">
        <f t="array" ref="F1290">iferror(index(fatty_acid!$G:$G,match($A1290,fatty_acid!$A:$A,0)))</f>
        <v>BFA33-57</v>
      </c>
      <c r="G1290" t="str">
        <f t="array" ref="G1290">iferror(index(fatty_acid!$J:$J,match($A1290,fatty_acid!$A:$A,0)))</f>
        <v>N</v>
      </c>
      <c r="H1290" t="str">
        <f t="array" ref="H1290">iferror(index(isotopes!$G:$G,match($A1290,isotopes!$A:$A,0)))</f>
        <v>BIS34-56</v>
      </c>
      <c r="I1290" t="str">
        <f t="array" ref="I1290">iferror(index(isotopes!$J:$J,match($A1290,isotopes!$A:$A,0)))</f>
        <v>N</v>
      </c>
      <c r="J1290" t="str">
        <f t="array" ref="J1290">iferror(index(extra_muscle!$G:$G,match($A1290,extra_muscle!$A:$A,0)))</f>
        <v>BXM37-19</v>
      </c>
      <c r="K1290" t="str">
        <f t="array" ref="K1290">iferror(index(extra_muscle!$J:$J,match($A1290,extra_muscle!$A:$A,0)))</f>
        <v>N</v>
      </c>
      <c r="L1290" s="59" t="str">
        <f t="array" ref="L1290">iferror(index(dna!$G:$G,match($A1290,dna!$A:$A,0)))</f>
        <v>BDN10-93</v>
      </c>
      <c r="M1290" s="60" t="str">
        <f t="array" ref="M1290">iferror(index(dna!$J:$J,match($A1290,dna!$A:$A,0)))</f>
        <v>N</v>
      </c>
      <c r="N1290" t="str">
        <f t="array" ref="N1290">iferror(index(stomachs!$G:$G,match($A1290,stomachs!$A:$A,0)))</f>
        <v/>
      </c>
      <c r="O1290" t="str">
        <f t="array" ref="O1290">iferror(index(stomachs!$J:$J,match($A1290,stomachs!$A:$A,0)))</f>
        <v/>
      </c>
      <c r="P1290" t="str">
        <f t="array" ref="P1290">iferror(index(sea_lice!$G:$G,match($A1290,sea_lice!$A:$A,0)))</f>
        <v/>
      </c>
      <c r="Q1290" t="str">
        <f t="array" ref="Q1290">iferror(index(sea_lice!$J:$J,match($A1290,sea_lice!$A:$A,0)))</f>
        <v/>
      </c>
      <c r="R1290" s="40" t="str">
        <f t="array" ref="R1290">iferror(index(dissected_fish!$F:$F,match($A1290,dissected_fish!$A:$A,0)))</f>
        <v>BCA111</v>
      </c>
      <c r="S1290" s="40" t="str">
        <f t="array" ref="S1290">iferror(index(dissected_fish!$K:$K,match($A1290,dissected_fish!$A:$A,0)))</f>
        <v>N</v>
      </c>
      <c r="T1290" s="61" t="str">
        <f t="array" ref="T1290">index(fish_lab_data!O:O,match(A1290,fish_lab_data!C:C,0))</f>
        <v>JG</v>
      </c>
      <c r="U1290" s="61">
        <f t="array" ref="U1290">if(A1290="","",index(fish_lab_data!X:X,match(A1290,fish_lab_data!C:C,0)))</f>
        <v>1289</v>
      </c>
    </row>
    <row r="1291">
      <c r="A1291" t="str">
        <f>fish_lab_data!C1291</f>
        <v>U16573</v>
      </c>
      <c r="B1291" t="str">
        <f t="array" ref="B1291">iferror(index('rna-muscle'!$I:$I,match($A1291,'rna-muscle'!$A:$A,0)))</f>
        <v>BRN75M-E8</v>
      </c>
      <c r="C1291" t="str">
        <f t="array" ref="C1291">iferror(index('rna-muscle'!$L:$L,match($A1291,'rna-muscle'!$A:$A,0)))</f>
        <v>N</v>
      </c>
      <c r="D1291" t="str">
        <f t="array" ref="D1291">iferror(index('rna-gill'!$I:$I,match($A1291,'rna-gill'!$A:$A,0)))</f>
        <v>BRN75G-E8</v>
      </c>
      <c r="E1291" t="str">
        <f t="array" ref="E1291">iferror(index('rna-gill'!$L:$L,match($A1291,'rna-gill'!$A:$A,0)))</f>
        <v>N</v>
      </c>
      <c r="F1291" t="str">
        <f t="array" ref="F1291">iferror(index(fatty_acid!$G:$G,match($A1291,fatty_acid!$A:$A,0)))</f>
        <v>BFA33-58</v>
      </c>
      <c r="G1291" t="str">
        <f t="array" ref="G1291">iferror(index(fatty_acid!$J:$J,match($A1291,fatty_acid!$A:$A,0)))</f>
        <v>N</v>
      </c>
      <c r="H1291" t="str">
        <f t="array" ref="H1291">iferror(index(isotopes!$G:$G,match($A1291,isotopes!$A:$A,0)))</f>
        <v>BIS34-57</v>
      </c>
      <c r="I1291" t="str">
        <f t="array" ref="I1291">iferror(index(isotopes!$J:$J,match($A1291,isotopes!$A:$A,0)))</f>
        <v>N</v>
      </c>
      <c r="J1291" t="str">
        <f t="array" ref="J1291">iferror(index(extra_muscle!$G:$G,match($A1291,extra_muscle!$A:$A,0)))</f>
        <v>BXM37-20</v>
      </c>
      <c r="K1291" t="str">
        <f t="array" ref="K1291">iferror(index(extra_muscle!$J:$J,match($A1291,extra_muscle!$A:$A,0)))</f>
        <v>N</v>
      </c>
      <c r="L1291" s="59" t="str">
        <f t="array" ref="L1291">iferror(index(dna!$G:$G,match($A1291,dna!$A:$A,0)))</f>
        <v>BDN10-94</v>
      </c>
      <c r="M1291" s="60" t="str">
        <f t="array" ref="M1291">iferror(index(dna!$J:$J,match($A1291,dna!$A:$A,0)))</f>
        <v>N</v>
      </c>
      <c r="N1291" t="str">
        <f t="array" ref="N1291">iferror(index(stomachs!$G:$G,match($A1291,stomachs!$A:$A,0)))</f>
        <v/>
      </c>
      <c r="O1291" t="str">
        <f t="array" ref="O1291">iferror(index(stomachs!$J:$J,match($A1291,stomachs!$A:$A,0)))</f>
        <v/>
      </c>
      <c r="P1291" t="str">
        <f t="array" ref="P1291">iferror(index(sea_lice!$G:$G,match($A1291,sea_lice!$A:$A,0)))</f>
        <v>BSL8-22</v>
      </c>
      <c r="Q1291" t="str">
        <f t="array" ref="Q1291">iferror(index(sea_lice!$J:$J,match($A1291,sea_lice!$A:$A,0)))</f>
        <v>N</v>
      </c>
      <c r="R1291" s="40" t="str">
        <f t="array" ref="R1291">iferror(index(dissected_fish!$F:$F,match($A1291,dissected_fish!$A:$A,0)))</f>
        <v>BCA111</v>
      </c>
      <c r="S1291" s="40" t="str">
        <f t="array" ref="S1291">iferror(index(dissected_fish!$K:$K,match($A1291,dissected_fish!$A:$A,0)))</f>
        <v>N</v>
      </c>
      <c r="T1291" s="61" t="str">
        <f t="array" ref="T1291">index(fish_lab_data!O:O,match(A1291,fish_lab_data!C:C,0))</f>
        <v>JG</v>
      </c>
      <c r="U1291" s="61">
        <f t="array" ref="U1291">if(A1291="","",index(fish_lab_data!X:X,match(A1291,fish_lab_data!C:C,0)))</f>
        <v>1290</v>
      </c>
    </row>
    <row r="1292">
      <c r="A1292" t="str">
        <f>fish_lab_data!C1292</f>
        <v>U16571</v>
      </c>
      <c r="B1292" t="str">
        <f t="array" ref="B1292">iferror(index('rna-muscle'!$I:$I,match($A1292,'rna-muscle'!$A:$A,0)))</f>
        <v>BRN75M-D8</v>
      </c>
      <c r="C1292" t="str">
        <f t="array" ref="C1292">iferror(index('rna-muscle'!$L:$L,match($A1292,'rna-muscle'!$A:$A,0)))</f>
        <v>N</v>
      </c>
      <c r="D1292" t="str">
        <f t="array" ref="D1292">iferror(index('rna-gill'!$I:$I,match($A1292,'rna-gill'!$A:$A,0)))</f>
        <v>BRN75G-D8</v>
      </c>
      <c r="E1292" t="str">
        <f t="array" ref="E1292">iferror(index('rna-gill'!$L:$L,match($A1292,'rna-gill'!$A:$A,0)))</f>
        <v>N</v>
      </c>
      <c r="F1292" t="str">
        <f t="array" ref="F1292">iferror(index(fatty_acid!$G:$G,match($A1292,fatty_acid!$A:$A,0)))</f>
        <v>BFA33-59</v>
      </c>
      <c r="G1292" t="str">
        <f t="array" ref="G1292">iferror(index(fatty_acid!$J:$J,match($A1292,fatty_acid!$A:$A,0)))</f>
        <v>N</v>
      </c>
      <c r="H1292" t="str">
        <f t="array" ref="H1292">iferror(index(isotopes!$G:$G,match($A1292,isotopes!$A:$A,0)))</f>
        <v>BIS34-58</v>
      </c>
      <c r="I1292" t="str">
        <f t="array" ref="I1292">iferror(index(isotopes!$J:$J,match($A1292,isotopes!$A:$A,0)))</f>
        <v>N</v>
      </c>
      <c r="J1292" t="str">
        <f t="array" ref="J1292">iferror(index(extra_muscle!$G:$G,match($A1292,extra_muscle!$A:$A,0)))</f>
        <v>BXM37-21</v>
      </c>
      <c r="K1292" t="str">
        <f t="array" ref="K1292">iferror(index(extra_muscle!$J:$J,match($A1292,extra_muscle!$A:$A,0)))</f>
        <v>N</v>
      </c>
      <c r="L1292" s="59" t="str">
        <f t="array" ref="L1292">iferror(index(dna!$G:$G,match($A1292,dna!$A:$A,0)))</f>
        <v>BDN10-95</v>
      </c>
      <c r="M1292" s="60" t="str">
        <f t="array" ref="M1292">iferror(index(dna!$J:$J,match($A1292,dna!$A:$A,0)))</f>
        <v>N</v>
      </c>
      <c r="N1292" t="str">
        <f t="array" ref="N1292">iferror(index(stomachs!$G:$G,match($A1292,stomachs!$A:$A,0)))</f>
        <v/>
      </c>
      <c r="O1292" t="str">
        <f t="array" ref="O1292">iferror(index(stomachs!$J:$J,match($A1292,stomachs!$A:$A,0)))</f>
        <v/>
      </c>
      <c r="P1292" t="str">
        <f t="array" ref="P1292">iferror(index(sea_lice!$G:$G,match($A1292,sea_lice!$A:$A,0)))</f>
        <v/>
      </c>
      <c r="Q1292" t="str">
        <f t="array" ref="Q1292">iferror(index(sea_lice!$J:$J,match($A1292,sea_lice!$A:$A,0)))</f>
        <v/>
      </c>
      <c r="R1292" s="40" t="str">
        <f t="array" ref="R1292">iferror(index(dissected_fish!$F:$F,match($A1292,dissected_fish!$A:$A,0)))</f>
        <v>BCA111</v>
      </c>
      <c r="S1292" s="40" t="str">
        <f t="array" ref="S1292">iferror(index(dissected_fish!$K:$K,match($A1292,dissected_fish!$A:$A,0)))</f>
        <v>N</v>
      </c>
      <c r="T1292" s="61" t="str">
        <f t="array" ref="T1292">index(fish_lab_data!O:O,match(A1292,fish_lab_data!C:C,0))</f>
        <v>JG</v>
      </c>
      <c r="U1292" s="61">
        <f t="array" ref="U1292">if(A1292="","",index(fish_lab_data!X:X,match(A1292,fish_lab_data!C:C,0)))</f>
        <v>1291</v>
      </c>
    </row>
    <row r="1293">
      <c r="A1293" t="str">
        <f>fish_lab_data!C1293</f>
        <v>U16580</v>
      </c>
      <c r="B1293" t="str">
        <f t="array" ref="B1293">iferror(index('rna-muscle'!$I:$I,match($A1293,'rna-muscle'!$A:$A,0)))</f>
        <v>BRN75M-C8</v>
      </c>
      <c r="C1293" t="str">
        <f t="array" ref="C1293">iferror(index('rna-muscle'!$L:$L,match($A1293,'rna-muscle'!$A:$A,0)))</f>
        <v>N</v>
      </c>
      <c r="D1293" t="str">
        <f t="array" ref="D1293">iferror(index('rna-gill'!$I:$I,match($A1293,'rna-gill'!$A:$A,0)))</f>
        <v>BRN75G-C8</v>
      </c>
      <c r="E1293" t="str">
        <f t="array" ref="E1293">iferror(index('rna-gill'!$L:$L,match($A1293,'rna-gill'!$A:$A,0)))</f>
        <v>N</v>
      </c>
      <c r="F1293" t="str">
        <f t="array" ref="F1293">iferror(index(fatty_acid!$G:$G,match($A1293,fatty_acid!$A:$A,0)))</f>
        <v>BFA33-60</v>
      </c>
      <c r="G1293" t="str">
        <f t="array" ref="G1293">iferror(index(fatty_acid!$J:$J,match($A1293,fatty_acid!$A:$A,0)))</f>
        <v>N</v>
      </c>
      <c r="H1293" t="str">
        <f t="array" ref="H1293">iferror(index(isotopes!$G:$G,match($A1293,isotopes!$A:$A,0)))</f>
        <v>BIS34-59</v>
      </c>
      <c r="I1293" t="str">
        <f t="array" ref="I1293">iferror(index(isotopes!$J:$J,match($A1293,isotopes!$A:$A,0)))</f>
        <v>N</v>
      </c>
      <c r="J1293" t="str">
        <f t="array" ref="J1293">iferror(index(extra_muscle!$G:$G,match($A1293,extra_muscle!$A:$A,0)))</f>
        <v>BXM37-22</v>
      </c>
      <c r="K1293" t="str">
        <f t="array" ref="K1293">iferror(index(extra_muscle!$J:$J,match($A1293,extra_muscle!$A:$A,0)))</f>
        <v>N</v>
      </c>
      <c r="L1293" s="59" t="str">
        <f t="array" ref="L1293">iferror(index(dna!$G:$G,match($A1293,dna!$A:$A,0)))</f>
        <v>BDN10-96</v>
      </c>
      <c r="M1293" s="60" t="str">
        <f t="array" ref="M1293">iferror(index(dna!$J:$J,match($A1293,dna!$A:$A,0)))</f>
        <v>N</v>
      </c>
      <c r="N1293" t="str">
        <f t="array" ref="N1293">iferror(index(stomachs!$G:$G,match($A1293,stomachs!$A:$A,0)))</f>
        <v/>
      </c>
      <c r="O1293" t="str">
        <f t="array" ref="O1293">iferror(index(stomachs!$J:$J,match($A1293,stomachs!$A:$A,0)))</f>
        <v/>
      </c>
      <c r="P1293" t="str">
        <f t="array" ref="P1293">iferror(index(sea_lice!$G:$G,match($A1293,sea_lice!$A:$A,0)))</f>
        <v/>
      </c>
      <c r="Q1293" t="str">
        <f t="array" ref="Q1293">iferror(index(sea_lice!$J:$J,match($A1293,sea_lice!$A:$A,0)))</f>
        <v/>
      </c>
      <c r="R1293" s="40" t="str">
        <f t="array" ref="R1293">iferror(index(dissected_fish!$F:$F,match($A1293,dissected_fish!$A:$A,0)))</f>
        <v>BCA111</v>
      </c>
      <c r="S1293" s="40" t="str">
        <f t="array" ref="S1293">iferror(index(dissected_fish!$K:$K,match($A1293,dissected_fish!$A:$A,0)))</f>
        <v>N</v>
      </c>
      <c r="T1293" s="61" t="str">
        <f t="array" ref="T1293">index(fish_lab_data!O:O,match(A1293,fish_lab_data!C:C,0))</f>
        <v>JG</v>
      </c>
      <c r="U1293" s="61">
        <f t="array" ref="U1293">if(A1293="","",index(fish_lab_data!X:X,match(A1293,fish_lab_data!C:C,0)))</f>
        <v>1292</v>
      </c>
    </row>
    <row r="1294">
      <c r="A1294" t="str">
        <f>fish_lab_data!C1294</f>
        <v>U16574</v>
      </c>
      <c r="B1294" t="str">
        <f t="array" ref="B1294">iferror(index('rna-muscle'!$I:$I,match($A1294,'rna-muscle'!$A:$A,0)))</f>
        <v>BRN75M-B8</v>
      </c>
      <c r="C1294" t="str">
        <f t="array" ref="C1294">iferror(index('rna-muscle'!$L:$L,match($A1294,'rna-muscle'!$A:$A,0)))</f>
        <v>N</v>
      </c>
      <c r="D1294" t="str">
        <f t="array" ref="D1294">iferror(index('rna-gill'!$I:$I,match($A1294,'rna-gill'!$A:$A,0)))</f>
        <v>BRN75G-B8</v>
      </c>
      <c r="E1294" t="str">
        <f t="array" ref="E1294">iferror(index('rna-gill'!$L:$L,match($A1294,'rna-gill'!$A:$A,0)))</f>
        <v>N</v>
      </c>
      <c r="F1294" t="str">
        <f t="array" ref="F1294">iferror(index(fatty_acid!$G:$G,match($A1294,fatty_acid!$A:$A,0)))</f>
        <v>BFA33-61</v>
      </c>
      <c r="G1294" t="str">
        <f t="array" ref="G1294">iferror(index(fatty_acid!$J:$J,match($A1294,fatty_acid!$A:$A,0)))</f>
        <v>N</v>
      </c>
      <c r="H1294" t="str">
        <f t="array" ref="H1294">iferror(index(isotopes!$G:$G,match($A1294,isotopes!$A:$A,0)))</f>
        <v>BIS34-60</v>
      </c>
      <c r="I1294" t="str">
        <f t="array" ref="I1294">iferror(index(isotopes!$J:$J,match($A1294,isotopes!$A:$A,0)))</f>
        <v>N</v>
      </c>
      <c r="J1294" t="str">
        <f t="array" ref="J1294">iferror(index(extra_muscle!$G:$G,match($A1294,extra_muscle!$A:$A,0)))</f>
        <v>BXM37-23</v>
      </c>
      <c r="K1294" t="str">
        <f t="array" ref="K1294">iferror(index(extra_muscle!$J:$J,match($A1294,extra_muscle!$A:$A,0)))</f>
        <v>N</v>
      </c>
      <c r="L1294" s="59" t="str">
        <f t="array" ref="L1294">iferror(index(dna!$G:$G,match($A1294,dna!$A:$A,0)))</f>
        <v>BDN10-97</v>
      </c>
      <c r="M1294" s="60" t="str">
        <f t="array" ref="M1294">iferror(index(dna!$J:$J,match($A1294,dna!$A:$A,0)))</f>
        <v>N</v>
      </c>
      <c r="N1294" t="str">
        <f t="array" ref="N1294">iferror(index(stomachs!$G:$G,match($A1294,stomachs!$A:$A,0)))</f>
        <v/>
      </c>
      <c r="O1294" t="str">
        <f t="array" ref="O1294">iferror(index(stomachs!$J:$J,match($A1294,stomachs!$A:$A,0)))</f>
        <v/>
      </c>
      <c r="P1294" t="str">
        <f t="array" ref="P1294">iferror(index(sea_lice!$G:$G,match($A1294,sea_lice!$A:$A,0)))</f>
        <v>BSL8-23</v>
      </c>
      <c r="Q1294" t="str">
        <f t="array" ref="Q1294">iferror(index(sea_lice!$J:$J,match($A1294,sea_lice!$A:$A,0)))</f>
        <v>N</v>
      </c>
      <c r="R1294" s="40" t="str">
        <f t="array" ref="R1294">iferror(index(dissected_fish!$F:$F,match($A1294,dissected_fish!$A:$A,0)))</f>
        <v>BCA111</v>
      </c>
      <c r="S1294" s="40" t="str">
        <f t="array" ref="S1294">iferror(index(dissected_fish!$K:$K,match($A1294,dissected_fish!$A:$A,0)))</f>
        <v>N</v>
      </c>
      <c r="T1294" s="61" t="str">
        <f t="array" ref="T1294">index(fish_lab_data!O:O,match(A1294,fish_lab_data!C:C,0))</f>
        <v>JG</v>
      </c>
      <c r="U1294" s="61">
        <f t="array" ref="U1294">if(A1294="","",index(fish_lab_data!X:X,match(A1294,fish_lab_data!C:C,0)))</f>
        <v>1293</v>
      </c>
    </row>
    <row r="1295">
      <c r="A1295" t="str">
        <f>fish_lab_data!C1295</f>
        <v>U16577</v>
      </c>
      <c r="B1295" t="str">
        <f t="array" ref="B1295">iferror(index('rna-muscle'!$I:$I,match($A1295,'rna-muscle'!$A:$A,0)))</f>
        <v>BRN75M-A8</v>
      </c>
      <c r="C1295" t="str">
        <f t="array" ref="C1295">iferror(index('rna-muscle'!$L:$L,match($A1295,'rna-muscle'!$A:$A,0)))</f>
        <v>N</v>
      </c>
      <c r="D1295" t="str">
        <f t="array" ref="D1295">iferror(index('rna-gill'!$I:$I,match($A1295,'rna-gill'!$A:$A,0)))</f>
        <v>BRN75G-A8</v>
      </c>
      <c r="E1295" t="str">
        <f t="array" ref="E1295">iferror(index('rna-gill'!$L:$L,match($A1295,'rna-gill'!$A:$A,0)))</f>
        <v>N</v>
      </c>
      <c r="F1295" t="str">
        <f t="array" ref="F1295">iferror(index(fatty_acid!$G:$G,match($A1295,fatty_acid!$A:$A,0)))</f>
        <v>BFA33-62</v>
      </c>
      <c r="G1295" t="str">
        <f t="array" ref="G1295">iferror(index(fatty_acid!$J:$J,match($A1295,fatty_acid!$A:$A,0)))</f>
        <v>N</v>
      </c>
      <c r="H1295" t="str">
        <f t="array" ref="H1295">iferror(index(isotopes!$G:$G,match($A1295,isotopes!$A:$A,0)))</f>
        <v>BIS34-61</v>
      </c>
      <c r="I1295" t="str">
        <f t="array" ref="I1295">iferror(index(isotopes!$J:$J,match($A1295,isotopes!$A:$A,0)))</f>
        <v>N</v>
      </c>
      <c r="J1295" t="str">
        <f t="array" ref="J1295">iferror(index(extra_muscle!$G:$G,match($A1295,extra_muscle!$A:$A,0)))</f>
        <v>BXM37-24</v>
      </c>
      <c r="K1295" t="str">
        <f t="array" ref="K1295">iferror(index(extra_muscle!$J:$J,match($A1295,extra_muscle!$A:$A,0)))</f>
        <v>N</v>
      </c>
      <c r="L1295" s="59" t="str">
        <f t="array" ref="L1295">iferror(index(dna!$G:$G,match($A1295,dna!$A:$A,0)))</f>
        <v>BDN10-98</v>
      </c>
      <c r="M1295" s="60" t="str">
        <f t="array" ref="M1295">iferror(index(dna!$J:$J,match($A1295,dna!$A:$A,0)))</f>
        <v>N</v>
      </c>
      <c r="N1295" t="str">
        <f t="array" ref="N1295">iferror(index(stomachs!$G:$G,match($A1295,stomachs!$A:$A,0)))</f>
        <v/>
      </c>
      <c r="O1295" t="str">
        <f t="array" ref="O1295">iferror(index(stomachs!$J:$J,match($A1295,stomachs!$A:$A,0)))</f>
        <v/>
      </c>
      <c r="P1295" t="str">
        <f t="array" ref="P1295">iferror(index(sea_lice!$G:$G,match($A1295,sea_lice!$A:$A,0)))</f>
        <v>BSL8-24</v>
      </c>
      <c r="Q1295" t="str">
        <f t="array" ref="Q1295">iferror(index(sea_lice!$J:$J,match($A1295,sea_lice!$A:$A,0)))</f>
        <v>N</v>
      </c>
      <c r="R1295" s="40" t="str">
        <f t="array" ref="R1295">iferror(index(dissected_fish!$F:$F,match($A1295,dissected_fish!$A:$A,0)))</f>
        <v>BCA111</v>
      </c>
      <c r="S1295" s="40" t="str">
        <f t="array" ref="S1295">iferror(index(dissected_fish!$K:$K,match($A1295,dissected_fish!$A:$A,0)))</f>
        <v>N</v>
      </c>
      <c r="T1295" s="61" t="str">
        <f t="array" ref="T1295">index(fish_lab_data!O:O,match(A1295,fish_lab_data!C:C,0))</f>
        <v>JG</v>
      </c>
      <c r="U1295" s="61">
        <f t="array" ref="U1295">if(A1295="","",index(fish_lab_data!X:X,match(A1295,fish_lab_data!C:C,0)))</f>
        <v>1294</v>
      </c>
    </row>
    <row r="1296">
      <c r="A1296" t="str">
        <f>fish_lab_data!C1296</f>
        <v>U16579</v>
      </c>
      <c r="B1296" t="str">
        <f t="array" ref="B1296">iferror(index('rna-muscle'!$I:$I,match($A1296,'rna-muscle'!$A:$A,0)))</f>
        <v>BRN76M-H1</v>
      </c>
      <c r="C1296" t="str">
        <f t="array" ref="C1296">iferror(index('rna-muscle'!$L:$L,match($A1296,'rna-muscle'!$A:$A,0)))</f>
        <v>N</v>
      </c>
      <c r="D1296" t="str">
        <f t="array" ref="D1296">iferror(index('rna-gill'!$I:$I,match($A1296,'rna-gill'!$A:$A,0)))</f>
        <v>BRN76G-H1</v>
      </c>
      <c r="E1296" t="str">
        <f t="array" ref="E1296">iferror(index('rna-gill'!$L:$L,match($A1296,'rna-gill'!$A:$A,0)))</f>
        <v>N</v>
      </c>
      <c r="F1296" t="str">
        <f t="array" ref="F1296">iferror(index(fatty_acid!$G:$G,match($A1296,fatty_acid!$A:$A,0)))</f>
        <v>BFA33-63</v>
      </c>
      <c r="G1296" t="str">
        <f t="array" ref="G1296">iferror(index(fatty_acid!$J:$J,match($A1296,fatty_acid!$A:$A,0)))</f>
        <v>N</v>
      </c>
      <c r="H1296" t="str">
        <f t="array" ref="H1296">iferror(index(isotopes!$G:$G,match($A1296,isotopes!$A:$A,0)))</f>
        <v>BIS34-62</v>
      </c>
      <c r="I1296" t="str">
        <f t="array" ref="I1296">iferror(index(isotopes!$J:$J,match($A1296,isotopes!$A:$A,0)))</f>
        <v>N</v>
      </c>
      <c r="J1296" t="str">
        <f t="array" ref="J1296">iferror(index(extra_muscle!$G:$G,match($A1296,extra_muscle!$A:$A,0)))</f>
        <v>BXM37-25</v>
      </c>
      <c r="K1296" t="str">
        <f t="array" ref="K1296">iferror(index(extra_muscle!$J:$J,match($A1296,extra_muscle!$A:$A,0)))</f>
        <v>N</v>
      </c>
      <c r="L1296" s="59" t="str">
        <f t="array" ref="L1296">iferror(index(dna!$G:$G,match($A1296,dna!$A:$A,0)))</f>
        <v>BDN10-99</v>
      </c>
      <c r="M1296" s="60" t="str">
        <f t="array" ref="M1296">iferror(index(dna!$J:$J,match($A1296,dna!$A:$A,0)))</f>
        <v>N</v>
      </c>
      <c r="N1296" t="str">
        <f t="array" ref="N1296">iferror(index(stomachs!$G:$G,match($A1296,stomachs!$A:$A,0)))</f>
        <v/>
      </c>
      <c r="O1296" t="str">
        <f t="array" ref="O1296">iferror(index(stomachs!$J:$J,match($A1296,stomachs!$A:$A,0)))</f>
        <v/>
      </c>
      <c r="P1296" t="str">
        <f t="array" ref="P1296">iferror(index(sea_lice!$G:$G,match($A1296,sea_lice!$A:$A,0)))</f>
        <v/>
      </c>
      <c r="Q1296" t="str">
        <f t="array" ref="Q1296">iferror(index(sea_lice!$J:$J,match($A1296,sea_lice!$A:$A,0)))</f>
        <v/>
      </c>
      <c r="R1296" s="40" t="str">
        <f t="array" ref="R1296">iferror(index(dissected_fish!$F:$F,match($A1296,dissected_fish!$A:$A,0)))</f>
        <v>BCA111</v>
      </c>
      <c r="S1296" s="40" t="str">
        <f t="array" ref="S1296">iferror(index(dissected_fish!$K:$K,match($A1296,dissected_fish!$A:$A,0)))</f>
        <v>N</v>
      </c>
      <c r="T1296" s="61" t="str">
        <f t="array" ref="T1296">index(fish_lab_data!O:O,match(A1296,fish_lab_data!C:C,0))</f>
        <v>JG</v>
      </c>
      <c r="U1296" s="61">
        <f t="array" ref="U1296">if(A1296="","",index(fish_lab_data!X:X,match(A1296,fish_lab_data!C:C,0)))</f>
        <v>1295</v>
      </c>
    </row>
    <row r="1297">
      <c r="A1297" t="str">
        <f>fish_lab_data!C1297</f>
        <v>U16576</v>
      </c>
      <c r="B1297" t="str">
        <f t="array" ref="B1297">iferror(index('rna-muscle'!$I:$I,match($A1297,'rna-muscle'!$A:$A,0)))</f>
        <v>BRN76M-G1</v>
      </c>
      <c r="C1297" t="str">
        <f t="array" ref="C1297">iferror(index('rna-muscle'!$L:$L,match($A1297,'rna-muscle'!$A:$A,0)))</f>
        <v>N</v>
      </c>
      <c r="D1297" t="str">
        <f t="array" ref="D1297">iferror(index('rna-gill'!$I:$I,match($A1297,'rna-gill'!$A:$A,0)))</f>
        <v>BRN76G-G1</v>
      </c>
      <c r="E1297" t="str">
        <f t="array" ref="E1297">iferror(index('rna-gill'!$L:$L,match($A1297,'rna-gill'!$A:$A,0)))</f>
        <v>N</v>
      </c>
      <c r="F1297" t="str">
        <f t="array" ref="F1297">iferror(index(fatty_acid!$G:$G,match($A1297,fatty_acid!$A:$A,0)))</f>
        <v>BFA33-64</v>
      </c>
      <c r="G1297" t="str">
        <f t="array" ref="G1297">iferror(index(fatty_acid!$J:$J,match($A1297,fatty_acid!$A:$A,0)))</f>
        <v>N</v>
      </c>
      <c r="H1297" t="str">
        <f t="array" ref="H1297">iferror(index(isotopes!$G:$G,match($A1297,isotopes!$A:$A,0)))</f>
        <v>BIS34-63</v>
      </c>
      <c r="I1297" t="str">
        <f t="array" ref="I1297">iferror(index(isotopes!$J:$J,match($A1297,isotopes!$A:$A,0)))</f>
        <v>N</v>
      </c>
      <c r="J1297" t="str">
        <f t="array" ref="J1297">iferror(index(extra_muscle!$G:$G,match($A1297,extra_muscle!$A:$A,0)))</f>
        <v>BXM37-26</v>
      </c>
      <c r="K1297" t="str">
        <f t="array" ref="K1297">iferror(index(extra_muscle!$J:$J,match($A1297,extra_muscle!$A:$A,0)))</f>
        <v>N</v>
      </c>
      <c r="L1297" s="59" t="str">
        <f t="array" ref="L1297">iferror(index(dna!$G:$G,match($A1297,dna!$A:$A,0)))</f>
        <v>BDN10-100</v>
      </c>
      <c r="M1297" s="60" t="str">
        <f t="array" ref="M1297">iferror(index(dna!$J:$J,match($A1297,dna!$A:$A,0)))</f>
        <v>N</v>
      </c>
      <c r="N1297" t="str">
        <f t="array" ref="N1297">iferror(index(stomachs!$G:$G,match($A1297,stomachs!$A:$A,0)))</f>
        <v/>
      </c>
      <c r="O1297" t="str">
        <f t="array" ref="O1297">iferror(index(stomachs!$J:$J,match($A1297,stomachs!$A:$A,0)))</f>
        <v/>
      </c>
      <c r="P1297" t="str">
        <f t="array" ref="P1297">iferror(index(sea_lice!$G:$G,match($A1297,sea_lice!$A:$A,0)))</f>
        <v/>
      </c>
      <c r="Q1297" t="str">
        <f t="array" ref="Q1297">iferror(index(sea_lice!$J:$J,match($A1297,sea_lice!$A:$A,0)))</f>
        <v/>
      </c>
      <c r="R1297" s="40" t="str">
        <f t="array" ref="R1297">iferror(index(dissected_fish!$F:$F,match($A1297,dissected_fish!$A:$A,0)))</f>
        <v>BCA111</v>
      </c>
      <c r="S1297" s="40" t="str">
        <f t="array" ref="S1297">iferror(index(dissected_fish!$K:$K,match($A1297,dissected_fish!$A:$A,0)))</f>
        <v>N</v>
      </c>
      <c r="T1297" s="61" t="str">
        <f t="array" ref="T1297">index(fish_lab_data!O:O,match(A1297,fish_lab_data!C:C,0))</f>
        <v>JG</v>
      </c>
      <c r="U1297" s="61">
        <f t="array" ref="U1297">if(A1297="","",index(fish_lab_data!X:X,match(A1297,fish_lab_data!C:C,0)))</f>
        <v>1296</v>
      </c>
    </row>
    <row r="1298">
      <c r="A1298" t="str">
        <f>fish_lab_data!C1298</f>
        <v>U16578</v>
      </c>
      <c r="B1298" t="str">
        <f t="array" ref="B1298">iferror(index('rna-muscle'!$I:$I,match($A1298,'rna-muscle'!$A:$A,0)))</f>
        <v>BRN76M-F1</v>
      </c>
      <c r="C1298" t="str">
        <f t="array" ref="C1298">iferror(index('rna-muscle'!$L:$L,match($A1298,'rna-muscle'!$A:$A,0)))</f>
        <v>N</v>
      </c>
      <c r="D1298" t="str">
        <f t="array" ref="D1298">iferror(index('rna-gill'!$I:$I,match($A1298,'rna-gill'!$A:$A,0)))</f>
        <v>BRN76G-F1</v>
      </c>
      <c r="E1298" t="str">
        <f t="array" ref="E1298">iferror(index('rna-gill'!$L:$L,match($A1298,'rna-gill'!$A:$A,0)))</f>
        <v>N</v>
      </c>
      <c r="F1298" t="str">
        <f t="array" ref="F1298">iferror(index(fatty_acid!$G:$G,match($A1298,fatty_acid!$A:$A,0)))</f>
        <v>BFA33-65</v>
      </c>
      <c r="G1298" t="str">
        <f t="array" ref="G1298">iferror(index(fatty_acid!$J:$J,match($A1298,fatty_acid!$A:$A,0)))</f>
        <v>N</v>
      </c>
      <c r="H1298" t="str">
        <f t="array" ref="H1298">iferror(index(isotopes!$G:$G,match($A1298,isotopes!$A:$A,0)))</f>
        <v>BIS34-64</v>
      </c>
      <c r="I1298" t="str">
        <f t="array" ref="I1298">iferror(index(isotopes!$J:$J,match($A1298,isotopes!$A:$A,0)))</f>
        <v>N</v>
      </c>
      <c r="J1298" t="str">
        <f t="array" ref="J1298">iferror(index(extra_muscle!$G:$G,match($A1298,extra_muscle!$A:$A,0)))</f>
        <v>BXM37-27</v>
      </c>
      <c r="K1298" t="str">
        <f t="array" ref="K1298">iferror(index(extra_muscle!$J:$J,match($A1298,extra_muscle!$A:$A,0)))</f>
        <v>N</v>
      </c>
      <c r="L1298" s="59" t="str">
        <f t="array" ref="L1298">iferror(index(dna!$G:$G,match($A1298,dna!$A:$A,0)))</f>
        <v>BDN11-1</v>
      </c>
      <c r="M1298" s="60" t="str">
        <f t="array" ref="M1298">iferror(index(dna!$J:$J,match($A1298,dna!$A:$A,0)))</f>
        <v>N</v>
      </c>
      <c r="N1298" t="str">
        <f t="array" ref="N1298">iferror(index(stomachs!$G:$G,match($A1298,stomachs!$A:$A,0)))</f>
        <v/>
      </c>
      <c r="O1298" t="str">
        <f t="array" ref="O1298">iferror(index(stomachs!$J:$J,match($A1298,stomachs!$A:$A,0)))</f>
        <v/>
      </c>
      <c r="P1298" t="str">
        <f t="array" ref="P1298">iferror(index(sea_lice!$G:$G,match($A1298,sea_lice!$A:$A,0)))</f>
        <v/>
      </c>
      <c r="Q1298" t="str">
        <f t="array" ref="Q1298">iferror(index(sea_lice!$J:$J,match($A1298,sea_lice!$A:$A,0)))</f>
        <v/>
      </c>
      <c r="R1298" s="40" t="str">
        <f t="array" ref="R1298">iferror(index(dissected_fish!$F:$F,match($A1298,dissected_fish!$A:$A,0)))</f>
        <v>BCA111</v>
      </c>
      <c r="S1298" s="40" t="str">
        <f t="array" ref="S1298">iferror(index(dissected_fish!$K:$K,match($A1298,dissected_fish!$A:$A,0)))</f>
        <v>N</v>
      </c>
      <c r="T1298" s="61" t="str">
        <f t="array" ref="T1298">index(fish_lab_data!O:O,match(A1298,fish_lab_data!C:C,0))</f>
        <v>JG</v>
      </c>
      <c r="U1298" s="61">
        <f t="array" ref="U1298">if(A1298="","",index(fish_lab_data!X:X,match(A1298,fish_lab_data!C:C,0)))</f>
        <v>1297</v>
      </c>
    </row>
    <row r="1299">
      <c r="A1299" t="str">
        <f>fish_lab_data!C1299</f>
        <v>U16572</v>
      </c>
      <c r="B1299" t="str">
        <f t="array" ref="B1299">iferror(index('rna-muscle'!$I:$I,match($A1299,'rna-muscle'!$A:$A,0)))</f>
        <v>BRN76M-E1</v>
      </c>
      <c r="C1299" t="str">
        <f t="array" ref="C1299">iferror(index('rna-muscle'!$L:$L,match($A1299,'rna-muscle'!$A:$A,0)))</f>
        <v>N</v>
      </c>
      <c r="D1299" t="str">
        <f t="array" ref="D1299">iferror(index('rna-gill'!$I:$I,match($A1299,'rna-gill'!$A:$A,0)))</f>
        <v>BRN76G-E1</v>
      </c>
      <c r="E1299" t="str">
        <f t="array" ref="E1299">iferror(index('rna-gill'!$L:$L,match($A1299,'rna-gill'!$A:$A,0)))</f>
        <v>N</v>
      </c>
      <c r="F1299" t="str">
        <f t="array" ref="F1299">iferror(index(fatty_acid!$G:$G,match($A1299,fatty_acid!$A:$A,0)))</f>
        <v>BFA33-66</v>
      </c>
      <c r="G1299" t="str">
        <f t="array" ref="G1299">iferror(index(fatty_acid!$J:$J,match($A1299,fatty_acid!$A:$A,0)))</f>
        <v>N</v>
      </c>
      <c r="H1299" t="str">
        <f t="array" ref="H1299">iferror(index(isotopes!$G:$G,match($A1299,isotopes!$A:$A,0)))</f>
        <v>BIS34-65</v>
      </c>
      <c r="I1299" t="str">
        <f t="array" ref="I1299">iferror(index(isotopes!$J:$J,match($A1299,isotopes!$A:$A,0)))</f>
        <v>N</v>
      </c>
      <c r="J1299" t="str">
        <f t="array" ref="J1299">iferror(index(extra_muscle!$G:$G,match($A1299,extra_muscle!$A:$A,0)))</f>
        <v>BXM37-28</v>
      </c>
      <c r="K1299" t="str">
        <f t="array" ref="K1299">iferror(index(extra_muscle!$J:$J,match($A1299,extra_muscle!$A:$A,0)))</f>
        <v>N</v>
      </c>
      <c r="L1299" s="59" t="str">
        <f t="array" ref="L1299">iferror(index(dna!$G:$G,match($A1299,dna!$A:$A,0)))</f>
        <v>BDN11-2</v>
      </c>
      <c r="M1299" s="60" t="str">
        <f t="array" ref="M1299">iferror(index(dna!$J:$J,match($A1299,dna!$A:$A,0)))</f>
        <v>N</v>
      </c>
      <c r="N1299" t="str">
        <f t="array" ref="N1299">iferror(index(stomachs!$G:$G,match($A1299,stomachs!$A:$A,0)))</f>
        <v/>
      </c>
      <c r="O1299" t="str">
        <f t="array" ref="O1299">iferror(index(stomachs!$J:$J,match($A1299,stomachs!$A:$A,0)))</f>
        <v/>
      </c>
      <c r="P1299" t="str">
        <f t="array" ref="P1299">iferror(index(sea_lice!$G:$G,match($A1299,sea_lice!$A:$A,0)))</f>
        <v/>
      </c>
      <c r="Q1299" t="str">
        <f t="array" ref="Q1299">iferror(index(sea_lice!$J:$J,match($A1299,sea_lice!$A:$A,0)))</f>
        <v/>
      </c>
      <c r="R1299" s="40" t="str">
        <f t="array" ref="R1299">iferror(index(dissected_fish!$F:$F,match($A1299,dissected_fish!$A:$A,0)))</f>
        <v>BCA111</v>
      </c>
      <c r="S1299" s="40" t="str">
        <f t="array" ref="S1299">iferror(index(dissected_fish!$K:$K,match($A1299,dissected_fish!$A:$A,0)))</f>
        <v>N</v>
      </c>
      <c r="T1299" s="61" t="str">
        <f t="array" ref="T1299">index(fish_lab_data!O:O,match(A1299,fish_lab_data!C:C,0))</f>
        <v>JG</v>
      </c>
      <c r="U1299" s="61">
        <f t="array" ref="U1299">if(A1299="","",index(fish_lab_data!X:X,match(A1299,fish_lab_data!C:C,0)))</f>
        <v>1298</v>
      </c>
    </row>
    <row r="1300">
      <c r="A1300" t="str">
        <f>fish_lab_data!C1300</f>
        <v>U16486</v>
      </c>
      <c r="B1300" t="str">
        <f t="array" ref="B1300">iferror(index('rna-muscle'!$I:$I,match($A1300,'rna-muscle'!$A:$A,0)))</f>
        <v>BRN75M-D11</v>
      </c>
      <c r="C1300" t="str">
        <f t="array" ref="C1300">iferror(index('rna-muscle'!$L:$L,match($A1300,'rna-muscle'!$A:$A,0)))</f>
        <v>N</v>
      </c>
      <c r="D1300" t="str">
        <f t="array" ref="D1300">iferror(index('rna-gill'!$I:$I,match($A1300,'rna-gill'!$A:$A,0)))</f>
        <v>BRN75G-D11</v>
      </c>
      <c r="E1300" t="str">
        <f t="array" ref="E1300">iferror(index('rna-gill'!$L:$L,match($A1300,'rna-gill'!$A:$A,0)))</f>
        <v>N</v>
      </c>
      <c r="F1300" t="str">
        <f t="array" ref="F1300">iferror(index(fatty_acid!$G:$G,match($A1300,fatty_acid!$A:$A,0)))</f>
        <v>BFA35-78</v>
      </c>
      <c r="G1300" t="str">
        <f t="array" ref="G1300">iferror(index(fatty_acid!$J:$J,match($A1300,fatty_acid!$A:$A,0)))</f>
        <v>N</v>
      </c>
      <c r="H1300" t="str">
        <f t="array" ref="H1300">iferror(index(isotopes!$G:$G,match($A1300,isotopes!$A:$A,0)))</f>
        <v>BIS38-78</v>
      </c>
      <c r="I1300" t="str">
        <f t="array" ref="I1300">iferror(index(isotopes!$J:$J,match($A1300,isotopes!$A:$A,0)))</f>
        <v>N</v>
      </c>
      <c r="J1300" t="str">
        <f t="array" ref="J1300">iferror(index(extra_muscle!$G:$G,match($A1300,extra_muscle!$A:$A,0)))</f>
        <v>BXM36-78</v>
      </c>
      <c r="K1300" t="str">
        <f t="array" ref="K1300">iferror(index(extra_muscle!$J:$J,match($A1300,extra_muscle!$A:$A,0)))</f>
        <v>N</v>
      </c>
      <c r="L1300" s="59" t="str">
        <f t="array" ref="L1300">iferror(index(dna!$G:$G,match($A1300,dna!$A:$A,0)))</f>
        <v>BDN9-73</v>
      </c>
      <c r="M1300" s="60" t="str">
        <f t="array" ref="M1300">iferror(index(dna!$J:$J,match($A1300,dna!$A:$A,0)))</f>
        <v>N</v>
      </c>
      <c r="N1300" t="str">
        <f t="array" ref="N1300">iferror(index(stomachs!$G:$G,match($A1300,stomachs!$A:$A,0)))</f>
        <v/>
      </c>
      <c r="O1300" t="str">
        <f t="array" ref="O1300">iferror(index(stomachs!$J:$J,match($A1300,stomachs!$A:$A,0)))</f>
        <v/>
      </c>
      <c r="P1300" t="str">
        <f t="array" ref="P1300">iferror(index(sea_lice!$G:$G,match($A1300,sea_lice!$A:$A,0)))</f>
        <v>BSL8-28</v>
      </c>
      <c r="Q1300" t="str">
        <f t="array" ref="Q1300">iferror(index(sea_lice!$J:$J,match($A1300,sea_lice!$A:$A,0)))</f>
        <v>N</v>
      </c>
      <c r="R1300" s="40" t="str">
        <f t="array" ref="R1300">iferror(index(dissected_fish!$F:$F,match($A1300,dissected_fish!$A:$A,0)))</f>
        <v>BCA111</v>
      </c>
      <c r="S1300" s="40" t="str">
        <f t="array" ref="S1300">iferror(index(dissected_fish!$K:$K,match($A1300,dissected_fish!$A:$A,0)))</f>
        <v>N</v>
      </c>
      <c r="T1300" s="61" t="str">
        <f t="array" ref="T1300">index(fish_lab_data!O:O,match(A1300,fish_lab_data!C:C,0))</f>
        <v>KB</v>
      </c>
      <c r="U1300" s="61">
        <f t="array" ref="U1300">if(A1300="","",index(fish_lab_data!X:X,match(A1300,fish_lab_data!C:C,0)))</f>
        <v>1299</v>
      </c>
    </row>
    <row r="1301">
      <c r="A1301" t="str">
        <f>fish_lab_data!C1301</f>
        <v>U16490</v>
      </c>
      <c r="B1301" t="str">
        <f t="array" ref="B1301">iferror(index('rna-muscle'!$I:$I,match($A1301,'rna-muscle'!$A:$A,0)))</f>
        <v>BRN75M-C11</v>
      </c>
      <c r="C1301" t="str">
        <f t="array" ref="C1301">iferror(index('rna-muscle'!$L:$L,match($A1301,'rna-muscle'!$A:$A,0)))</f>
        <v>N</v>
      </c>
      <c r="D1301" t="str">
        <f t="array" ref="D1301">iferror(index('rna-gill'!$I:$I,match($A1301,'rna-gill'!$A:$A,0)))</f>
        <v>BRN75G-C11</v>
      </c>
      <c r="E1301" t="str">
        <f t="array" ref="E1301">iferror(index('rna-gill'!$L:$L,match($A1301,'rna-gill'!$A:$A,0)))</f>
        <v>N</v>
      </c>
      <c r="F1301" t="str">
        <f t="array" ref="F1301">iferror(index(fatty_acid!$G:$G,match($A1301,fatty_acid!$A:$A,0)))</f>
        <v>BFA35-79</v>
      </c>
      <c r="G1301" t="str">
        <f t="array" ref="G1301">iferror(index(fatty_acid!$J:$J,match($A1301,fatty_acid!$A:$A,0)))</f>
        <v>N</v>
      </c>
      <c r="H1301" t="str">
        <f t="array" ref="H1301">iferror(index(isotopes!$G:$G,match($A1301,isotopes!$A:$A,0)))</f>
        <v>BIS38-79</v>
      </c>
      <c r="I1301" t="str">
        <f t="array" ref="I1301">iferror(index(isotopes!$J:$J,match($A1301,isotopes!$A:$A,0)))</f>
        <v>N</v>
      </c>
      <c r="J1301" t="str">
        <f t="array" ref="J1301">iferror(index(extra_muscle!$G:$G,match($A1301,extra_muscle!$A:$A,0)))</f>
        <v>BXM36-79</v>
      </c>
      <c r="K1301" t="str">
        <f t="array" ref="K1301">iferror(index(extra_muscle!$J:$J,match($A1301,extra_muscle!$A:$A,0)))</f>
        <v>N</v>
      </c>
      <c r="L1301" s="59" t="str">
        <f t="array" ref="L1301">iferror(index(dna!$G:$G,match($A1301,dna!$A:$A,0)))</f>
        <v>BDN9-74</v>
      </c>
      <c r="M1301" s="60" t="str">
        <f t="array" ref="M1301">iferror(index(dna!$J:$J,match($A1301,dna!$A:$A,0)))</f>
        <v>N</v>
      </c>
      <c r="N1301" t="str">
        <f t="array" ref="N1301">iferror(index(stomachs!$G:$G,match($A1301,stomachs!$A:$A,0)))</f>
        <v/>
      </c>
      <c r="O1301" t="str">
        <f t="array" ref="O1301">iferror(index(stomachs!$J:$J,match($A1301,stomachs!$A:$A,0)))</f>
        <v/>
      </c>
      <c r="P1301" t="str">
        <f t="array" ref="P1301">iferror(index(sea_lice!$G:$G,match($A1301,sea_lice!$A:$A,0)))</f>
        <v/>
      </c>
      <c r="Q1301" t="str">
        <f t="array" ref="Q1301">iferror(index(sea_lice!$J:$J,match($A1301,sea_lice!$A:$A,0)))</f>
        <v/>
      </c>
      <c r="R1301" s="40" t="str">
        <f t="array" ref="R1301">iferror(index(dissected_fish!$F:$F,match($A1301,dissected_fish!$A:$A,0)))</f>
        <v>BCA111</v>
      </c>
      <c r="S1301" s="40" t="str">
        <f t="array" ref="S1301">iferror(index(dissected_fish!$K:$K,match($A1301,dissected_fish!$A:$A,0)))</f>
        <v>N</v>
      </c>
      <c r="T1301" s="61" t="str">
        <f t="array" ref="T1301">index(fish_lab_data!O:O,match(A1301,fish_lab_data!C:C,0))</f>
        <v>KB</v>
      </c>
      <c r="U1301" s="61">
        <f t="array" ref="U1301">if(A1301="","",index(fish_lab_data!X:X,match(A1301,fish_lab_data!C:C,0)))</f>
        <v>1300</v>
      </c>
    </row>
    <row r="1302">
      <c r="A1302" t="str">
        <f>fish_lab_data!C1302</f>
        <v>U16487</v>
      </c>
      <c r="B1302" t="str">
        <f t="array" ref="B1302">iferror(index('rna-muscle'!$I:$I,match($A1302,'rna-muscle'!$A:$A,0)))</f>
        <v>BRN75M-B11</v>
      </c>
      <c r="C1302" t="str">
        <f t="array" ref="C1302">iferror(index('rna-muscle'!$L:$L,match($A1302,'rna-muscle'!$A:$A,0)))</f>
        <v>N</v>
      </c>
      <c r="D1302" t="str">
        <f t="array" ref="D1302">iferror(index('rna-gill'!$I:$I,match($A1302,'rna-gill'!$A:$A,0)))</f>
        <v>BRN75G-B11</v>
      </c>
      <c r="E1302" t="str">
        <f t="array" ref="E1302">iferror(index('rna-gill'!$L:$L,match($A1302,'rna-gill'!$A:$A,0)))</f>
        <v>N</v>
      </c>
      <c r="F1302" t="str">
        <f t="array" ref="F1302">iferror(index(fatty_acid!$G:$G,match($A1302,fatty_acid!$A:$A,0)))</f>
        <v>BFA35-80</v>
      </c>
      <c r="G1302" t="str">
        <f t="array" ref="G1302">iferror(index(fatty_acid!$J:$J,match($A1302,fatty_acid!$A:$A,0)))</f>
        <v>N</v>
      </c>
      <c r="H1302" t="str">
        <f t="array" ref="H1302">iferror(index(isotopes!$G:$G,match($A1302,isotopes!$A:$A,0)))</f>
        <v>BIS38-80</v>
      </c>
      <c r="I1302" t="str">
        <f t="array" ref="I1302">iferror(index(isotopes!$J:$J,match($A1302,isotopes!$A:$A,0)))</f>
        <v>N</v>
      </c>
      <c r="J1302" t="str">
        <f t="array" ref="J1302">iferror(index(extra_muscle!$G:$G,match($A1302,extra_muscle!$A:$A,0)))</f>
        <v>BXM36-80</v>
      </c>
      <c r="K1302" t="str">
        <f t="array" ref="K1302">iferror(index(extra_muscle!$J:$J,match($A1302,extra_muscle!$A:$A,0)))</f>
        <v>N</v>
      </c>
      <c r="L1302" s="59" t="str">
        <f t="array" ref="L1302">iferror(index(dna!$G:$G,match($A1302,dna!$A:$A,0)))</f>
        <v>BDN9-75</v>
      </c>
      <c r="M1302" s="60" t="str">
        <f t="array" ref="M1302">iferror(index(dna!$J:$J,match($A1302,dna!$A:$A,0)))</f>
        <v>N</v>
      </c>
      <c r="N1302" t="str">
        <f t="array" ref="N1302">iferror(index(stomachs!$G:$G,match($A1302,stomachs!$A:$A,0)))</f>
        <v/>
      </c>
      <c r="O1302" t="str">
        <f t="array" ref="O1302">iferror(index(stomachs!$J:$J,match($A1302,stomachs!$A:$A,0)))</f>
        <v/>
      </c>
      <c r="P1302" t="str">
        <f t="array" ref="P1302">iferror(index(sea_lice!$G:$G,match($A1302,sea_lice!$A:$A,0)))</f>
        <v/>
      </c>
      <c r="Q1302" t="str">
        <f t="array" ref="Q1302">iferror(index(sea_lice!$J:$J,match($A1302,sea_lice!$A:$A,0)))</f>
        <v/>
      </c>
      <c r="R1302" s="40" t="str">
        <f t="array" ref="R1302">iferror(index(dissected_fish!$F:$F,match($A1302,dissected_fish!$A:$A,0)))</f>
        <v>BCA111</v>
      </c>
      <c r="S1302" s="40" t="str">
        <f t="array" ref="S1302">iferror(index(dissected_fish!$K:$K,match($A1302,dissected_fish!$A:$A,0)))</f>
        <v>N</v>
      </c>
      <c r="T1302" s="61" t="str">
        <f t="array" ref="T1302">index(fish_lab_data!O:O,match(A1302,fish_lab_data!C:C,0))</f>
        <v>KB</v>
      </c>
      <c r="U1302" s="61">
        <f t="array" ref="U1302">if(A1302="","",index(fish_lab_data!X:X,match(A1302,fish_lab_data!C:C,0)))</f>
        <v>1301</v>
      </c>
    </row>
    <row r="1303">
      <c r="A1303" t="str">
        <f>fish_lab_data!C1303</f>
        <v>U16488</v>
      </c>
      <c r="B1303" t="str">
        <f t="array" ref="B1303">iferror(index('rna-muscle'!$I:$I,match($A1303,'rna-muscle'!$A:$A,0)))</f>
        <v>BRN75M-A11</v>
      </c>
      <c r="C1303" t="str">
        <f t="array" ref="C1303">iferror(index('rna-muscle'!$L:$L,match($A1303,'rna-muscle'!$A:$A,0)))</f>
        <v>N</v>
      </c>
      <c r="D1303" t="str">
        <f t="array" ref="D1303">iferror(index('rna-gill'!$I:$I,match($A1303,'rna-gill'!$A:$A,0)))</f>
        <v>BRN75G-A11</v>
      </c>
      <c r="E1303" t="str">
        <f t="array" ref="E1303">iferror(index('rna-gill'!$L:$L,match($A1303,'rna-gill'!$A:$A,0)))</f>
        <v>N</v>
      </c>
      <c r="F1303" t="str">
        <f t="array" ref="F1303">iferror(index(fatty_acid!$G:$G,match($A1303,fatty_acid!$A:$A,0)))</f>
        <v>BFA35-81</v>
      </c>
      <c r="G1303" t="str">
        <f t="array" ref="G1303">iferror(index(fatty_acid!$J:$J,match($A1303,fatty_acid!$A:$A,0)))</f>
        <v>N</v>
      </c>
      <c r="H1303" t="str">
        <f t="array" ref="H1303">iferror(index(isotopes!$G:$G,match($A1303,isotopes!$A:$A,0)))</f>
        <v>BIS38-81</v>
      </c>
      <c r="I1303" t="str">
        <f t="array" ref="I1303">iferror(index(isotopes!$J:$J,match($A1303,isotopes!$A:$A,0)))</f>
        <v>N</v>
      </c>
      <c r="J1303" t="str">
        <f t="array" ref="J1303">iferror(index(extra_muscle!$G:$G,match($A1303,extra_muscle!$A:$A,0)))</f>
        <v>BXM36-81</v>
      </c>
      <c r="K1303" t="str">
        <f t="array" ref="K1303">iferror(index(extra_muscle!$J:$J,match($A1303,extra_muscle!$A:$A,0)))</f>
        <v>N</v>
      </c>
      <c r="L1303" s="59" t="str">
        <f t="array" ref="L1303">iferror(index(dna!$G:$G,match($A1303,dna!$A:$A,0)))</f>
        <v>BDN9-76</v>
      </c>
      <c r="M1303" s="60" t="str">
        <f t="array" ref="M1303">iferror(index(dna!$J:$J,match($A1303,dna!$A:$A,0)))</f>
        <v>N</v>
      </c>
      <c r="N1303" t="str">
        <f t="array" ref="N1303">iferror(index(stomachs!$G:$G,match($A1303,stomachs!$A:$A,0)))</f>
        <v/>
      </c>
      <c r="O1303" t="str">
        <f t="array" ref="O1303">iferror(index(stomachs!$J:$J,match($A1303,stomachs!$A:$A,0)))</f>
        <v/>
      </c>
      <c r="P1303" t="str">
        <f t="array" ref="P1303">iferror(index(sea_lice!$G:$G,match($A1303,sea_lice!$A:$A,0)))</f>
        <v/>
      </c>
      <c r="Q1303" t="str">
        <f t="array" ref="Q1303">iferror(index(sea_lice!$J:$J,match($A1303,sea_lice!$A:$A,0)))</f>
        <v/>
      </c>
      <c r="R1303" s="40" t="str">
        <f t="array" ref="R1303">iferror(index(dissected_fish!$F:$F,match($A1303,dissected_fish!$A:$A,0)))</f>
        <v>BCA111</v>
      </c>
      <c r="S1303" s="40" t="str">
        <f t="array" ref="S1303">iferror(index(dissected_fish!$K:$K,match($A1303,dissected_fish!$A:$A,0)))</f>
        <v>N</v>
      </c>
      <c r="T1303" s="61" t="str">
        <f t="array" ref="T1303">index(fish_lab_data!O:O,match(A1303,fish_lab_data!C:C,0))</f>
        <v>KB</v>
      </c>
      <c r="U1303" s="61">
        <f t="array" ref="U1303">if(A1303="","",index(fish_lab_data!X:X,match(A1303,fish_lab_data!C:C,0)))</f>
        <v>1302</v>
      </c>
    </row>
    <row r="1304">
      <c r="A1304" t="str">
        <f>fish_lab_data!C1304</f>
        <v>U16489</v>
      </c>
      <c r="B1304" t="str">
        <f t="array" ref="B1304">iferror(index('rna-muscle'!$I:$I,match($A1304,'rna-muscle'!$A:$A,0)))</f>
        <v>BRN75M-G12</v>
      </c>
      <c r="C1304" t="str">
        <f t="array" ref="C1304">iferror(index('rna-muscle'!$L:$L,match($A1304,'rna-muscle'!$A:$A,0)))</f>
        <v>N</v>
      </c>
      <c r="D1304" t="str">
        <f t="array" ref="D1304">iferror(index('rna-gill'!$I:$I,match($A1304,'rna-gill'!$A:$A,0)))</f>
        <v>BRN75G-G12</v>
      </c>
      <c r="E1304" t="str">
        <f t="array" ref="E1304">iferror(index('rna-gill'!$L:$L,match($A1304,'rna-gill'!$A:$A,0)))</f>
        <v>N</v>
      </c>
      <c r="F1304" t="str">
        <f t="array" ref="F1304">iferror(index(fatty_acid!$G:$G,match($A1304,fatty_acid!$A:$A,0)))</f>
        <v>BFA36-1</v>
      </c>
      <c r="G1304" t="str">
        <f t="array" ref="G1304">iferror(index(fatty_acid!$J:$J,match($A1304,fatty_acid!$A:$A,0)))</f>
        <v>N</v>
      </c>
      <c r="H1304" t="str">
        <f t="array" ref="H1304">iferror(index(isotopes!$G:$G,match($A1304,isotopes!$A:$A,0)))</f>
        <v>BIS39-1</v>
      </c>
      <c r="I1304" t="str">
        <f t="array" ref="I1304">iferror(index(isotopes!$J:$J,match($A1304,isotopes!$A:$A,0)))</f>
        <v>N</v>
      </c>
      <c r="J1304" t="str">
        <f t="array" ref="J1304">iferror(index(extra_muscle!$G:$G,match($A1304,extra_muscle!$A:$A,0)))</f>
        <v>BXM38-1</v>
      </c>
      <c r="K1304" t="str">
        <f t="array" ref="K1304">iferror(index(extra_muscle!$J:$J,match($A1304,extra_muscle!$A:$A,0)))</f>
        <v>N</v>
      </c>
      <c r="L1304" s="59" t="str">
        <f t="array" ref="L1304">iferror(index(dna!$G:$G,match($A1304,dna!$A:$A,0)))</f>
        <v>BDN9-77</v>
      </c>
      <c r="M1304" s="60" t="str">
        <f t="array" ref="M1304">iferror(index(dna!$J:$J,match($A1304,dna!$A:$A,0)))</f>
        <v>N</v>
      </c>
      <c r="N1304" t="str">
        <f t="array" ref="N1304">iferror(index(stomachs!$G:$G,match($A1304,stomachs!$A:$A,0)))</f>
        <v/>
      </c>
      <c r="O1304" t="str">
        <f t="array" ref="O1304">iferror(index(stomachs!$J:$J,match($A1304,stomachs!$A:$A,0)))</f>
        <v/>
      </c>
      <c r="P1304" t="str">
        <f t="array" ref="P1304">iferror(index(sea_lice!$G:$G,match($A1304,sea_lice!$A:$A,0)))</f>
        <v/>
      </c>
      <c r="Q1304" t="str">
        <f t="array" ref="Q1304">iferror(index(sea_lice!$J:$J,match($A1304,sea_lice!$A:$A,0)))</f>
        <v/>
      </c>
      <c r="R1304" s="40" t="str">
        <f t="array" ref="R1304">iferror(index(dissected_fish!$F:$F,match($A1304,dissected_fish!$A:$A,0)))</f>
        <v>BCA111</v>
      </c>
      <c r="S1304" s="40" t="str">
        <f t="array" ref="S1304">iferror(index(dissected_fish!$K:$K,match($A1304,dissected_fish!$A:$A,0)))</f>
        <v>N</v>
      </c>
      <c r="T1304" s="61" t="str">
        <f t="array" ref="T1304">index(fish_lab_data!O:O,match(A1304,fish_lab_data!C:C,0))</f>
        <v>KB</v>
      </c>
      <c r="U1304" s="61">
        <f t="array" ref="U1304">if(A1304="","",index(fish_lab_data!X:X,match(A1304,fish_lab_data!C:C,0)))</f>
        <v>1303</v>
      </c>
    </row>
    <row r="1305">
      <c r="A1305" t="str">
        <f>fish_lab_data!C1305</f>
        <v>U16484</v>
      </c>
      <c r="B1305" t="str">
        <f t="array" ref="B1305">iferror(index('rna-muscle'!$I:$I,match($A1305,'rna-muscle'!$A:$A,0)))</f>
        <v>BRN75M-F12</v>
      </c>
      <c r="C1305" t="str">
        <f t="array" ref="C1305">iferror(index('rna-muscle'!$L:$L,match($A1305,'rna-muscle'!$A:$A,0)))</f>
        <v>N</v>
      </c>
      <c r="D1305" t="str">
        <f t="array" ref="D1305">iferror(index('rna-gill'!$I:$I,match($A1305,'rna-gill'!$A:$A,0)))</f>
        <v>BRN75G-F12</v>
      </c>
      <c r="E1305" t="str">
        <f t="array" ref="E1305">iferror(index('rna-gill'!$L:$L,match($A1305,'rna-gill'!$A:$A,0)))</f>
        <v>N</v>
      </c>
      <c r="F1305" t="str">
        <f t="array" ref="F1305">iferror(index(fatty_acid!$G:$G,match($A1305,fatty_acid!$A:$A,0)))</f>
        <v>BFA36-2</v>
      </c>
      <c r="G1305" t="str">
        <f t="array" ref="G1305">iferror(index(fatty_acid!$J:$J,match($A1305,fatty_acid!$A:$A,0)))</f>
        <v>N</v>
      </c>
      <c r="H1305" t="str">
        <f t="array" ref="H1305">iferror(index(isotopes!$G:$G,match($A1305,isotopes!$A:$A,0)))</f>
        <v>BIS39-2</v>
      </c>
      <c r="I1305" t="str">
        <f t="array" ref="I1305">iferror(index(isotopes!$J:$J,match($A1305,isotopes!$A:$A,0)))</f>
        <v>N</v>
      </c>
      <c r="J1305" t="str">
        <f t="array" ref="J1305">iferror(index(extra_muscle!$G:$G,match($A1305,extra_muscle!$A:$A,0)))</f>
        <v>BXM38-2</v>
      </c>
      <c r="K1305" t="str">
        <f t="array" ref="K1305">iferror(index(extra_muscle!$J:$J,match($A1305,extra_muscle!$A:$A,0)))</f>
        <v>N</v>
      </c>
      <c r="L1305" s="59" t="str">
        <f t="array" ref="L1305">iferror(index(dna!$G:$G,match($A1305,dna!$A:$A,0)))</f>
        <v>BDN9-78</v>
      </c>
      <c r="M1305" s="60" t="str">
        <f t="array" ref="M1305">iferror(index(dna!$J:$J,match($A1305,dna!$A:$A,0)))</f>
        <v>N</v>
      </c>
      <c r="N1305" t="str">
        <f t="array" ref="N1305">iferror(index(stomachs!$G:$G,match($A1305,stomachs!$A:$A,0)))</f>
        <v/>
      </c>
      <c r="O1305" t="str">
        <f t="array" ref="O1305">iferror(index(stomachs!$J:$J,match($A1305,stomachs!$A:$A,0)))</f>
        <v/>
      </c>
      <c r="P1305" t="str">
        <f t="array" ref="P1305">iferror(index(sea_lice!$G:$G,match($A1305,sea_lice!$A:$A,0)))</f>
        <v/>
      </c>
      <c r="Q1305" t="str">
        <f t="array" ref="Q1305">iferror(index(sea_lice!$J:$J,match($A1305,sea_lice!$A:$A,0)))</f>
        <v/>
      </c>
      <c r="R1305" s="40" t="str">
        <f t="array" ref="R1305">iferror(index(dissected_fish!$F:$F,match($A1305,dissected_fish!$A:$A,0)))</f>
        <v>BCA111</v>
      </c>
      <c r="S1305" s="40" t="str">
        <f t="array" ref="S1305">iferror(index(dissected_fish!$K:$K,match($A1305,dissected_fish!$A:$A,0)))</f>
        <v>N</v>
      </c>
      <c r="T1305" s="61" t="str">
        <f t="array" ref="T1305">index(fish_lab_data!O:O,match(A1305,fish_lab_data!C:C,0))</f>
        <v>KB</v>
      </c>
      <c r="U1305" s="61">
        <f t="array" ref="U1305">if(A1305="","",index(fish_lab_data!X:X,match(A1305,fish_lab_data!C:C,0)))</f>
        <v>1304</v>
      </c>
    </row>
    <row r="1306">
      <c r="A1306" t="str">
        <f>fish_lab_data!C1306</f>
        <v>U16483</v>
      </c>
      <c r="B1306" t="str">
        <f t="array" ref="B1306">iferror(index('rna-muscle'!$I:$I,match($A1306,'rna-muscle'!$A:$A,0)))</f>
        <v>BRN75M-E12</v>
      </c>
      <c r="C1306" t="str">
        <f t="array" ref="C1306">iferror(index('rna-muscle'!$L:$L,match($A1306,'rna-muscle'!$A:$A,0)))</f>
        <v>N</v>
      </c>
      <c r="D1306" t="str">
        <f t="array" ref="D1306">iferror(index('rna-gill'!$I:$I,match($A1306,'rna-gill'!$A:$A,0)))</f>
        <v>BRN75G-E12</v>
      </c>
      <c r="E1306" t="str">
        <f t="array" ref="E1306">iferror(index('rna-gill'!$L:$L,match($A1306,'rna-gill'!$A:$A,0)))</f>
        <v>N</v>
      </c>
      <c r="F1306" t="str">
        <f t="array" ref="F1306">iferror(index(fatty_acid!$G:$G,match($A1306,fatty_acid!$A:$A,0)))</f>
        <v>BFA36-3</v>
      </c>
      <c r="G1306" t="str">
        <f t="array" ref="G1306">iferror(index(fatty_acid!$J:$J,match($A1306,fatty_acid!$A:$A,0)))</f>
        <v>N</v>
      </c>
      <c r="H1306" t="str">
        <f t="array" ref="H1306">iferror(index(isotopes!$G:$G,match($A1306,isotopes!$A:$A,0)))</f>
        <v>BIS39-3</v>
      </c>
      <c r="I1306" t="str">
        <f t="array" ref="I1306">iferror(index(isotopes!$J:$J,match($A1306,isotopes!$A:$A,0)))</f>
        <v>N</v>
      </c>
      <c r="J1306" t="str">
        <f t="array" ref="J1306">iferror(index(extra_muscle!$G:$G,match($A1306,extra_muscle!$A:$A,0)))</f>
        <v>BXM38-3</v>
      </c>
      <c r="K1306" t="str">
        <f t="array" ref="K1306">iferror(index(extra_muscle!$J:$J,match($A1306,extra_muscle!$A:$A,0)))</f>
        <v>N</v>
      </c>
      <c r="L1306" s="59" t="str">
        <f t="array" ref="L1306">iferror(index(dna!$G:$G,match($A1306,dna!$A:$A,0)))</f>
        <v>BDN9-79</v>
      </c>
      <c r="M1306" s="60" t="str">
        <f t="array" ref="M1306">iferror(index(dna!$J:$J,match($A1306,dna!$A:$A,0)))</f>
        <v>N</v>
      </c>
      <c r="N1306" t="str">
        <f t="array" ref="N1306">iferror(index(stomachs!$G:$G,match($A1306,stomachs!$A:$A,0)))</f>
        <v/>
      </c>
      <c r="O1306" t="str">
        <f t="array" ref="O1306">iferror(index(stomachs!$J:$J,match($A1306,stomachs!$A:$A,0)))</f>
        <v/>
      </c>
      <c r="P1306" t="str">
        <f t="array" ref="P1306">iferror(index(sea_lice!$G:$G,match($A1306,sea_lice!$A:$A,0)))</f>
        <v/>
      </c>
      <c r="Q1306" t="str">
        <f t="array" ref="Q1306">iferror(index(sea_lice!$J:$J,match($A1306,sea_lice!$A:$A,0)))</f>
        <v/>
      </c>
      <c r="R1306" s="40" t="str">
        <f t="array" ref="R1306">iferror(index(dissected_fish!$F:$F,match($A1306,dissected_fish!$A:$A,0)))</f>
        <v>BCA111</v>
      </c>
      <c r="S1306" s="40" t="str">
        <f t="array" ref="S1306">iferror(index(dissected_fish!$K:$K,match($A1306,dissected_fish!$A:$A,0)))</f>
        <v>N</v>
      </c>
      <c r="T1306" s="61" t="str">
        <f t="array" ref="T1306">index(fish_lab_data!O:O,match(A1306,fish_lab_data!C:C,0))</f>
        <v>KB</v>
      </c>
      <c r="U1306" s="61">
        <f t="array" ref="U1306">if(A1306="","",index(fish_lab_data!X:X,match(A1306,fish_lab_data!C:C,0)))</f>
        <v>1305</v>
      </c>
    </row>
    <row r="1307">
      <c r="A1307" t="str">
        <f>fish_lab_data!C1307</f>
        <v>U16482</v>
      </c>
      <c r="B1307" t="str">
        <f t="array" ref="B1307">iferror(index('rna-muscle'!$I:$I,match($A1307,'rna-muscle'!$A:$A,0)))</f>
        <v>BRN75M-D12</v>
      </c>
      <c r="C1307" t="str">
        <f t="array" ref="C1307">iferror(index('rna-muscle'!$L:$L,match($A1307,'rna-muscle'!$A:$A,0)))</f>
        <v>N</v>
      </c>
      <c r="D1307" t="str">
        <f t="array" ref="D1307">iferror(index('rna-gill'!$I:$I,match($A1307,'rna-gill'!$A:$A,0)))</f>
        <v>BRN75G-D12</v>
      </c>
      <c r="E1307" t="str">
        <f t="array" ref="E1307">iferror(index('rna-gill'!$L:$L,match($A1307,'rna-gill'!$A:$A,0)))</f>
        <v>N</v>
      </c>
      <c r="F1307" t="str">
        <f t="array" ref="F1307">iferror(index(fatty_acid!$G:$G,match($A1307,fatty_acid!$A:$A,0)))</f>
        <v>BFA36-4</v>
      </c>
      <c r="G1307" t="str">
        <f t="array" ref="G1307">iferror(index(fatty_acid!$J:$J,match($A1307,fatty_acid!$A:$A,0)))</f>
        <v>N</v>
      </c>
      <c r="H1307" t="str">
        <f t="array" ref="H1307">iferror(index(isotopes!$G:$G,match($A1307,isotopes!$A:$A,0)))</f>
        <v>BIS39-4</v>
      </c>
      <c r="I1307" t="str">
        <f t="array" ref="I1307">iferror(index(isotopes!$J:$J,match($A1307,isotopes!$A:$A,0)))</f>
        <v>N</v>
      </c>
      <c r="J1307" t="str">
        <f t="array" ref="J1307">iferror(index(extra_muscle!$G:$G,match($A1307,extra_muscle!$A:$A,0)))</f>
        <v>BXM38-4</v>
      </c>
      <c r="K1307" t="str">
        <f t="array" ref="K1307">iferror(index(extra_muscle!$J:$J,match($A1307,extra_muscle!$A:$A,0)))</f>
        <v>N</v>
      </c>
      <c r="L1307" s="59" t="str">
        <f t="array" ref="L1307">iferror(index(dna!$G:$G,match($A1307,dna!$A:$A,0)))</f>
        <v>BDN9-80</v>
      </c>
      <c r="M1307" s="60" t="str">
        <f t="array" ref="M1307">iferror(index(dna!$J:$J,match($A1307,dna!$A:$A,0)))</f>
        <v>N</v>
      </c>
      <c r="N1307" t="str">
        <f t="array" ref="N1307">iferror(index(stomachs!$G:$G,match($A1307,stomachs!$A:$A,0)))</f>
        <v/>
      </c>
      <c r="O1307" t="str">
        <f t="array" ref="O1307">iferror(index(stomachs!$J:$J,match($A1307,stomachs!$A:$A,0)))</f>
        <v/>
      </c>
      <c r="P1307" t="str">
        <f t="array" ref="P1307">iferror(index(sea_lice!$G:$G,match($A1307,sea_lice!$A:$A,0)))</f>
        <v/>
      </c>
      <c r="Q1307" t="str">
        <f t="array" ref="Q1307">iferror(index(sea_lice!$J:$J,match($A1307,sea_lice!$A:$A,0)))</f>
        <v/>
      </c>
      <c r="R1307" s="40" t="str">
        <f t="array" ref="R1307">iferror(index(dissected_fish!$F:$F,match($A1307,dissected_fish!$A:$A,0)))</f>
        <v>BCA111</v>
      </c>
      <c r="S1307" s="40" t="str">
        <f t="array" ref="S1307">iferror(index(dissected_fish!$K:$K,match($A1307,dissected_fish!$A:$A,0)))</f>
        <v>N</v>
      </c>
      <c r="T1307" s="61" t="str">
        <f t="array" ref="T1307">index(fish_lab_data!O:O,match(A1307,fish_lab_data!C:C,0))</f>
        <v>KB</v>
      </c>
      <c r="U1307" s="61">
        <f t="array" ref="U1307">if(A1307="","",index(fish_lab_data!X:X,match(A1307,fish_lab_data!C:C,0)))</f>
        <v>1306</v>
      </c>
    </row>
    <row r="1308">
      <c r="A1308" t="str">
        <f>fish_lab_data!C1308</f>
        <v>U16485</v>
      </c>
      <c r="B1308" t="str">
        <f t="array" ref="B1308">iferror(index('rna-muscle'!$I:$I,match($A1308,'rna-muscle'!$A:$A,0)))</f>
        <v>BRN75M-C12</v>
      </c>
      <c r="C1308" t="str">
        <f t="array" ref="C1308">iferror(index('rna-muscle'!$L:$L,match($A1308,'rna-muscle'!$A:$A,0)))</f>
        <v>N</v>
      </c>
      <c r="D1308" t="str">
        <f t="array" ref="D1308">iferror(index('rna-gill'!$I:$I,match($A1308,'rna-gill'!$A:$A,0)))</f>
        <v>BRN75G-C12</v>
      </c>
      <c r="E1308" t="str">
        <f t="array" ref="E1308">iferror(index('rna-gill'!$L:$L,match($A1308,'rna-gill'!$A:$A,0)))</f>
        <v>N</v>
      </c>
      <c r="F1308" t="str">
        <f t="array" ref="F1308">iferror(index(fatty_acid!$G:$G,match($A1308,fatty_acid!$A:$A,0)))</f>
        <v>BFA36-5</v>
      </c>
      <c r="G1308" t="str">
        <f t="array" ref="G1308">iferror(index(fatty_acid!$J:$J,match($A1308,fatty_acid!$A:$A,0)))</f>
        <v>N</v>
      </c>
      <c r="H1308" t="str">
        <f t="array" ref="H1308">iferror(index(isotopes!$G:$G,match($A1308,isotopes!$A:$A,0)))</f>
        <v>BIS39-5</v>
      </c>
      <c r="I1308" t="str">
        <f t="array" ref="I1308">iferror(index(isotopes!$J:$J,match($A1308,isotopes!$A:$A,0)))</f>
        <v>N</v>
      </c>
      <c r="J1308" t="str">
        <f t="array" ref="J1308">iferror(index(extra_muscle!$G:$G,match($A1308,extra_muscle!$A:$A,0)))</f>
        <v>BXM38-5</v>
      </c>
      <c r="K1308" t="str">
        <f t="array" ref="K1308">iferror(index(extra_muscle!$J:$J,match($A1308,extra_muscle!$A:$A,0)))</f>
        <v>N</v>
      </c>
      <c r="L1308" s="59" t="str">
        <f t="array" ref="L1308">iferror(index(dna!$G:$G,match($A1308,dna!$A:$A,0)))</f>
        <v>BDN9-81</v>
      </c>
      <c r="M1308" s="60" t="str">
        <f t="array" ref="M1308">iferror(index(dna!$J:$J,match($A1308,dna!$A:$A,0)))</f>
        <v>N</v>
      </c>
      <c r="N1308" t="str">
        <f t="array" ref="N1308">iferror(index(stomachs!$G:$G,match($A1308,stomachs!$A:$A,0)))</f>
        <v/>
      </c>
      <c r="O1308" t="str">
        <f t="array" ref="O1308">iferror(index(stomachs!$J:$J,match($A1308,stomachs!$A:$A,0)))</f>
        <v/>
      </c>
      <c r="P1308" t="str">
        <f t="array" ref="P1308">iferror(index(sea_lice!$G:$G,match($A1308,sea_lice!$A:$A,0)))</f>
        <v/>
      </c>
      <c r="Q1308" t="str">
        <f t="array" ref="Q1308">iferror(index(sea_lice!$J:$J,match($A1308,sea_lice!$A:$A,0)))</f>
        <v/>
      </c>
      <c r="R1308" s="40" t="str">
        <f t="array" ref="R1308">iferror(index(dissected_fish!$F:$F,match($A1308,dissected_fish!$A:$A,0)))</f>
        <v>BCA111</v>
      </c>
      <c r="S1308" s="40" t="str">
        <f t="array" ref="S1308">iferror(index(dissected_fish!$K:$K,match($A1308,dissected_fish!$A:$A,0)))</f>
        <v>N</v>
      </c>
      <c r="T1308" s="61" t="str">
        <f t="array" ref="T1308">index(fish_lab_data!O:O,match(A1308,fish_lab_data!C:C,0))</f>
        <v>KB</v>
      </c>
      <c r="U1308" s="61">
        <f t="array" ref="U1308">if(A1308="","",index(fish_lab_data!X:X,match(A1308,fish_lab_data!C:C,0)))</f>
        <v>1307</v>
      </c>
    </row>
    <row r="1309">
      <c r="A1309" t="str">
        <f>fish_lab_data!C1309</f>
        <v>U16481</v>
      </c>
      <c r="B1309" t="str">
        <f t="array" ref="B1309">iferror(index('rna-muscle'!$I:$I,match($A1309,'rna-muscle'!$A:$A,0)))</f>
        <v>BRN75M-B12</v>
      </c>
      <c r="C1309" t="str">
        <f t="array" ref="C1309">iferror(index('rna-muscle'!$L:$L,match($A1309,'rna-muscle'!$A:$A,0)))</f>
        <v>N</v>
      </c>
      <c r="D1309" t="str">
        <f t="array" ref="D1309">iferror(index('rna-gill'!$I:$I,match($A1309,'rna-gill'!$A:$A,0)))</f>
        <v>BRN75G-B12</v>
      </c>
      <c r="E1309" t="str">
        <f t="array" ref="E1309">iferror(index('rna-gill'!$L:$L,match($A1309,'rna-gill'!$A:$A,0)))</f>
        <v>N</v>
      </c>
      <c r="F1309" t="str">
        <f t="array" ref="F1309">iferror(index(fatty_acid!$G:$G,match($A1309,fatty_acid!$A:$A,0)))</f>
        <v>BFA36-6</v>
      </c>
      <c r="G1309" t="str">
        <f t="array" ref="G1309">iferror(index(fatty_acid!$J:$J,match($A1309,fatty_acid!$A:$A,0)))</f>
        <v>N</v>
      </c>
      <c r="H1309" t="str">
        <f t="array" ref="H1309">iferror(index(isotopes!$G:$G,match($A1309,isotopes!$A:$A,0)))</f>
        <v>BIS39-6</v>
      </c>
      <c r="I1309" t="str">
        <f t="array" ref="I1309">iferror(index(isotopes!$J:$J,match($A1309,isotopes!$A:$A,0)))</f>
        <v>N</v>
      </c>
      <c r="J1309" t="str">
        <f t="array" ref="J1309">iferror(index(extra_muscle!$G:$G,match($A1309,extra_muscle!$A:$A,0)))</f>
        <v>BXM38-6</v>
      </c>
      <c r="K1309" t="str">
        <f t="array" ref="K1309">iferror(index(extra_muscle!$J:$J,match($A1309,extra_muscle!$A:$A,0)))</f>
        <v>N</v>
      </c>
      <c r="L1309" s="59" t="str">
        <f t="array" ref="L1309">iferror(index(dna!$G:$G,match($A1309,dna!$A:$A,0)))</f>
        <v>BDN9-82</v>
      </c>
      <c r="M1309" s="60" t="str">
        <f t="array" ref="M1309">iferror(index(dna!$J:$J,match($A1309,dna!$A:$A,0)))</f>
        <v>N</v>
      </c>
      <c r="N1309" t="str">
        <f t="array" ref="N1309">iferror(index(stomachs!$G:$G,match($A1309,stomachs!$A:$A,0)))</f>
        <v/>
      </c>
      <c r="O1309" t="str">
        <f t="array" ref="O1309">iferror(index(stomachs!$J:$J,match($A1309,stomachs!$A:$A,0)))</f>
        <v/>
      </c>
      <c r="P1309" t="str">
        <f t="array" ref="P1309">iferror(index(sea_lice!$G:$G,match($A1309,sea_lice!$A:$A,0)))</f>
        <v/>
      </c>
      <c r="Q1309" t="str">
        <f t="array" ref="Q1309">iferror(index(sea_lice!$J:$J,match($A1309,sea_lice!$A:$A,0)))</f>
        <v/>
      </c>
      <c r="R1309" s="40" t="str">
        <f t="array" ref="R1309">iferror(index(dissected_fish!$F:$F,match($A1309,dissected_fish!$A:$A,0)))</f>
        <v>BCA111</v>
      </c>
      <c r="S1309" s="40" t="str">
        <f t="array" ref="S1309">iferror(index(dissected_fish!$K:$K,match($A1309,dissected_fish!$A:$A,0)))</f>
        <v>N</v>
      </c>
      <c r="T1309" s="61" t="str">
        <f t="array" ref="T1309">index(fish_lab_data!O:O,match(A1309,fish_lab_data!C:C,0))</f>
        <v>KB</v>
      </c>
      <c r="U1309" s="61">
        <f t="array" ref="U1309">if(A1309="","",index(fish_lab_data!X:X,match(A1309,fish_lab_data!C:C,0)))</f>
        <v>1308</v>
      </c>
    </row>
    <row r="1310">
      <c r="A1310" t="str">
        <f>fish_lab_data!C1310</f>
        <v>U17190</v>
      </c>
      <c r="B1310" t="str">
        <f t="array" ref="B1310">iferror(index('rna-muscle'!$I:$I,match($A1310,'rna-muscle'!$A:$A,0)))</f>
        <v>BRN75M-A12</v>
      </c>
      <c r="C1310" t="str">
        <f t="array" ref="C1310">iferror(index('rna-muscle'!$L:$L,match($A1310,'rna-muscle'!$A:$A,0)))</f>
        <v>N</v>
      </c>
      <c r="D1310" t="str">
        <f t="array" ref="D1310">iferror(index('rna-gill'!$I:$I,match($A1310,'rna-gill'!$A:$A,0)))</f>
        <v>BRN75G-A12</v>
      </c>
      <c r="E1310" t="str">
        <f t="array" ref="E1310">iferror(index('rna-gill'!$L:$L,match($A1310,'rna-gill'!$A:$A,0)))</f>
        <v>N</v>
      </c>
      <c r="F1310" t="str">
        <f t="array" ref="F1310">iferror(index(fatty_acid!$G:$G,match($A1310,fatty_acid!$A:$A,0)))</f>
        <v>BFA36-7</v>
      </c>
      <c r="G1310" t="str">
        <f t="array" ref="G1310">iferror(index(fatty_acid!$J:$J,match($A1310,fatty_acid!$A:$A,0)))</f>
        <v>N</v>
      </c>
      <c r="H1310" t="str">
        <f t="array" ref="H1310">iferror(index(isotopes!$G:$G,match($A1310,isotopes!$A:$A,0)))</f>
        <v>BIS39-7</v>
      </c>
      <c r="I1310" t="str">
        <f t="array" ref="I1310">iferror(index(isotopes!$J:$J,match($A1310,isotopes!$A:$A,0)))</f>
        <v>N</v>
      </c>
      <c r="J1310" t="str">
        <f t="array" ref="J1310">iferror(index(extra_muscle!$G:$G,match($A1310,extra_muscle!$A:$A,0)))</f>
        <v>BXM38-7</v>
      </c>
      <c r="K1310" t="str">
        <f t="array" ref="K1310">iferror(index(extra_muscle!$J:$J,match($A1310,extra_muscle!$A:$A,0)))</f>
        <v>N</v>
      </c>
      <c r="L1310" s="59" t="str">
        <f t="array" ref="L1310">iferror(index(dna!$G:$G,match($A1310,dna!$A:$A,0)))</f>
        <v>BDN9-83</v>
      </c>
      <c r="M1310" s="60" t="str">
        <f t="array" ref="M1310">iferror(index(dna!$J:$J,match($A1310,dna!$A:$A,0)))</f>
        <v>N</v>
      </c>
      <c r="N1310" t="str">
        <f t="array" ref="N1310">iferror(index(stomachs!$G:$G,match($A1310,stomachs!$A:$A,0)))</f>
        <v/>
      </c>
      <c r="O1310" t="str">
        <f t="array" ref="O1310">iferror(index(stomachs!$J:$J,match($A1310,stomachs!$A:$A,0)))</f>
        <v/>
      </c>
      <c r="P1310" t="str">
        <f t="array" ref="P1310">iferror(index(sea_lice!$G:$G,match($A1310,sea_lice!$A:$A,0)))</f>
        <v/>
      </c>
      <c r="Q1310" t="str">
        <f t="array" ref="Q1310">iferror(index(sea_lice!$J:$J,match($A1310,sea_lice!$A:$A,0)))</f>
        <v/>
      </c>
      <c r="R1310" s="40" t="str">
        <f t="array" ref="R1310">iferror(index(dissected_fish!$F:$F,match($A1310,dissected_fish!$A:$A,0)))</f>
        <v>BCA111</v>
      </c>
      <c r="S1310" s="40" t="str">
        <f t="array" ref="S1310">iferror(index(dissected_fish!$K:$K,match($A1310,dissected_fish!$A:$A,0)))</f>
        <v>N</v>
      </c>
      <c r="T1310" s="61" t="str">
        <f t="array" ref="T1310">index(fish_lab_data!O:O,match(A1310,fish_lab_data!C:C,0))</f>
        <v>KB</v>
      </c>
      <c r="U1310" s="61">
        <f t="array" ref="U1310">if(A1310="","",index(fish_lab_data!X:X,match(A1310,fish_lab_data!C:C,0)))</f>
        <v>1309</v>
      </c>
    </row>
    <row r="1311">
      <c r="A1311" t="str">
        <f>fish_lab_data!C1311</f>
        <v>U17189</v>
      </c>
      <c r="B1311" t="str">
        <f t="array" ref="B1311">iferror(index('rna-muscle'!$I:$I,match($A1311,'rna-muscle'!$A:$A,0)))</f>
        <v>BRN76M-H4</v>
      </c>
      <c r="C1311" t="str">
        <f t="array" ref="C1311">iferror(index('rna-muscle'!$L:$L,match($A1311,'rna-muscle'!$A:$A,0)))</f>
        <v>N</v>
      </c>
      <c r="D1311" t="str">
        <f t="array" ref="D1311">iferror(index('rna-gill'!$I:$I,match($A1311,'rna-gill'!$A:$A,0)))</f>
        <v>BRN76G-H4</v>
      </c>
      <c r="E1311" t="str">
        <f t="array" ref="E1311">iferror(index('rna-gill'!$L:$L,match($A1311,'rna-gill'!$A:$A,0)))</f>
        <v>N</v>
      </c>
      <c r="F1311" t="str">
        <f t="array" ref="F1311">iferror(index(fatty_acid!$G:$G,match($A1311,fatty_acid!$A:$A,0)))</f>
        <v>BFA36-8</v>
      </c>
      <c r="G1311" t="str">
        <f t="array" ref="G1311">iferror(index(fatty_acid!$J:$J,match($A1311,fatty_acid!$A:$A,0)))</f>
        <v>N</v>
      </c>
      <c r="H1311" t="str">
        <f t="array" ref="H1311">iferror(index(isotopes!$G:$G,match($A1311,isotopes!$A:$A,0)))</f>
        <v>BIS39-8</v>
      </c>
      <c r="I1311" t="str">
        <f t="array" ref="I1311">iferror(index(isotopes!$J:$J,match($A1311,isotopes!$A:$A,0)))</f>
        <v>N</v>
      </c>
      <c r="J1311" t="str">
        <f t="array" ref="J1311">iferror(index(extra_muscle!$G:$G,match($A1311,extra_muscle!$A:$A,0)))</f>
        <v>BXM38-8</v>
      </c>
      <c r="K1311" t="str">
        <f t="array" ref="K1311">iferror(index(extra_muscle!$J:$J,match($A1311,extra_muscle!$A:$A,0)))</f>
        <v>N</v>
      </c>
      <c r="L1311" s="59" t="str">
        <f t="array" ref="L1311">iferror(index(dna!$G:$G,match($A1311,dna!$A:$A,0)))</f>
        <v>BDN9-84</v>
      </c>
      <c r="M1311" s="60" t="str">
        <f t="array" ref="M1311">iferror(index(dna!$J:$J,match($A1311,dna!$A:$A,0)))</f>
        <v>N</v>
      </c>
      <c r="N1311" t="str">
        <f t="array" ref="N1311">iferror(index(stomachs!$G:$G,match($A1311,stomachs!$A:$A,0)))</f>
        <v/>
      </c>
      <c r="O1311" t="str">
        <f t="array" ref="O1311">iferror(index(stomachs!$J:$J,match($A1311,stomachs!$A:$A,0)))</f>
        <v/>
      </c>
      <c r="P1311" t="str">
        <f t="array" ref="P1311">iferror(index(sea_lice!$G:$G,match($A1311,sea_lice!$A:$A,0)))</f>
        <v>BSL2-83</v>
      </c>
      <c r="Q1311" t="str">
        <f t="array" ref="Q1311">iferror(index(sea_lice!$J:$J,match($A1311,sea_lice!$A:$A,0)))</f>
        <v>N</v>
      </c>
      <c r="R1311" s="40" t="str">
        <f t="array" ref="R1311">iferror(index(dissected_fish!$F:$F,match($A1311,dissected_fish!$A:$A,0)))</f>
        <v>BCA111</v>
      </c>
      <c r="S1311" s="40" t="str">
        <f t="array" ref="S1311">iferror(index(dissected_fish!$K:$K,match($A1311,dissected_fish!$A:$A,0)))</f>
        <v>N</v>
      </c>
      <c r="T1311" s="61" t="str">
        <f t="array" ref="T1311">index(fish_lab_data!O:O,match(A1311,fish_lab_data!C:C,0))</f>
        <v>KB</v>
      </c>
      <c r="U1311" s="61">
        <f t="array" ref="U1311">if(A1311="","",index(fish_lab_data!X:X,match(A1311,fish_lab_data!C:C,0)))</f>
        <v>1310</v>
      </c>
    </row>
    <row r="1312">
      <c r="A1312" t="str">
        <f>fish_lab_data!C1312</f>
        <v>U17188</v>
      </c>
      <c r="B1312" t="str">
        <f t="array" ref="B1312">iferror(index('rna-muscle'!$I:$I,match($A1312,'rna-muscle'!$A:$A,0)))</f>
        <v>BRN76M-G4</v>
      </c>
      <c r="C1312" t="str">
        <f t="array" ref="C1312">iferror(index('rna-muscle'!$L:$L,match($A1312,'rna-muscle'!$A:$A,0)))</f>
        <v>N</v>
      </c>
      <c r="D1312" t="str">
        <f t="array" ref="D1312">iferror(index('rna-gill'!$I:$I,match($A1312,'rna-gill'!$A:$A,0)))</f>
        <v>BRN76G-G4</v>
      </c>
      <c r="E1312" t="str">
        <f t="array" ref="E1312">iferror(index('rna-gill'!$L:$L,match($A1312,'rna-gill'!$A:$A,0)))</f>
        <v>N</v>
      </c>
      <c r="F1312" t="str">
        <f t="array" ref="F1312">iferror(index(fatty_acid!$G:$G,match($A1312,fatty_acid!$A:$A,0)))</f>
        <v>BFA36-9</v>
      </c>
      <c r="G1312" t="str">
        <f t="array" ref="G1312">iferror(index(fatty_acid!$J:$J,match($A1312,fatty_acid!$A:$A,0)))</f>
        <v>N</v>
      </c>
      <c r="H1312" t="str">
        <f t="array" ref="H1312">iferror(index(isotopes!$G:$G,match($A1312,isotopes!$A:$A,0)))</f>
        <v>BIS39-9</v>
      </c>
      <c r="I1312" t="str">
        <f t="array" ref="I1312">iferror(index(isotopes!$J:$J,match($A1312,isotopes!$A:$A,0)))</f>
        <v>N</v>
      </c>
      <c r="J1312" t="str">
        <f t="array" ref="J1312">iferror(index(extra_muscle!$G:$G,match($A1312,extra_muscle!$A:$A,0)))</f>
        <v>BXM38-9</v>
      </c>
      <c r="K1312" t="str">
        <f t="array" ref="K1312">iferror(index(extra_muscle!$J:$J,match($A1312,extra_muscle!$A:$A,0)))</f>
        <v>N</v>
      </c>
      <c r="L1312" s="59" t="str">
        <f t="array" ref="L1312">iferror(index(dna!$G:$G,match($A1312,dna!$A:$A,0)))</f>
        <v>BDN9-85</v>
      </c>
      <c r="M1312" s="60" t="str">
        <f t="array" ref="M1312">iferror(index(dna!$J:$J,match($A1312,dna!$A:$A,0)))</f>
        <v>N</v>
      </c>
      <c r="N1312" t="str">
        <f t="array" ref="N1312">iferror(index(stomachs!$G:$G,match($A1312,stomachs!$A:$A,0)))</f>
        <v/>
      </c>
      <c r="O1312" t="str">
        <f t="array" ref="O1312">iferror(index(stomachs!$J:$J,match($A1312,stomachs!$A:$A,0)))</f>
        <v/>
      </c>
      <c r="P1312" t="str">
        <f t="array" ref="P1312">iferror(index(sea_lice!$G:$G,match($A1312,sea_lice!$A:$A,0)))</f>
        <v/>
      </c>
      <c r="Q1312" t="str">
        <f t="array" ref="Q1312">iferror(index(sea_lice!$J:$J,match($A1312,sea_lice!$A:$A,0)))</f>
        <v/>
      </c>
      <c r="R1312" s="40" t="str">
        <f t="array" ref="R1312">iferror(index(dissected_fish!$F:$F,match($A1312,dissected_fish!$A:$A,0)))</f>
        <v>BCA111</v>
      </c>
      <c r="S1312" s="40" t="str">
        <f t="array" ref="S1312">iferror(index(dissected_fish!$K:$K,match($A1312,dissected_fish!$A:$A,0)))</f>
        <v>N</v>
      </c>
      <c r="T1312" s="61" t="str">
        <f t="array" ref="T1312">index(fish_lab_data!O:O,match(A1312,fish_lab_data!C:C,0))</f>
        <v>KB</v>
      </c>
      <c r="U1312" s="61">
        <f t="array" ref="U1312">if(A1312="","",index(fish_lab_data!X:X,match(A1312,fish_lab_data!C:C,0)))</f>
        <v>1311</v>
      </c>
    </row>
    <row r="1313">
      <c r="A1313" t="str">
        <f>fish_lab_data!C1313</f>
        <v>U17187</v>
      </c>
      <c r="B1313" t="str">
        <f t="array" ref="B1313">iferror(index('rna-muscle'!$I:$I,match($A1313,'rna-muscle'!$A:$A,0)))</f>
        <v>BRN76M-F4</v>
      </c>
      <c r="C1313" t="str">
        <f t="array" ref="C1313">iferror(index('rna-muscle'!$L:$L,match($A1313,'rna-muscle'!$A:$A,0)))</f>
        <v>N</v>
      </c>
      <c r="D1313" t="str">
        <f t="array" ref="D1313">iferror(index('rna-gill'!$I:$I,match($A1313,'rna-gill'!$A:$A,0)))</f>
        <v>BRN76G-F4</v>
      </c>
      <c r="E1313" t="str">
        <f t="array" ref="E1313">iferror(index('rna-gill'!$L:$L,match($A1313,'rna-gill'!$A:$A,0)))</f>
        <v>N</v>
      </c>
      <c r="F1313" t="str">
        <f t="array" ref="F1313">iferror(index(fatty_acid!$G:$G,match($A1313,fatty_acid!$A:$A,0)))</f>
        <v>BFA36-10</v>
      </c>
      <c r="G1313" t="str">
        <f t="array" ref="G1313">iferror(index(fatty_acid!$J:$J,match($A1313,fatty_acid!$A:$A,0)))</f>
        <v>N</v>
      </c>
      <c r="H1313" t="str">
        <f t="array" ref="H1313">iferror(index(isotopes!$G:$G,match($A1313,isotopes!$A:$A,0)))</f>
        <v>BIS39-10</v>
      </c>
      <c r="I1313" t="str">
        <f t="array" ref="I1313">iferror(index(isotopes!$J:$J,match($A1313,isotopes!$A:$A,0)))</f>
        <v>N</v>
      </c>
      <c r="J1313" t="str">
        <f t="array" ref="J1313">iferror(index(extra_muscle!$G:$G,match($A1313,extra_muscle!$A:$A,0)))</f>
        <v>BXM38-10</v>
      </c>
      <c r="K1313" t="str">
        <f t="array" ref="K1313">iferror(index(extra_muscle!$J:$J,match($A1313,extra_muscle!$A:$A,0)))</f>
        <v>N</v>
      </c>
      <c r="L1313" s="59" t="str">
        <f t="array" ref="L1313">iferror(index(dna!$G:$G,match($A1313,dna!$A:$A,0)))</f>
        <v>BDN9-86</v>
      </c>
      <c r="M1313" s="60" t="str">
        <f t="array" ref="M1313">iferror(index(dna!$J:$J,match($A1313,dna!$A:$A,0)))</f>
        <v>N</v>
      </c>
      <c r="N1313" t="str">
        <f t="array" ref="N1313">iferror(index(stomachs!$G:$G,match($A1313,stomachs!$A:$A,0)))</f>
        <v/>
      </c>
      <c r="O1313" t="str">
        <f t="array" ref="O1313">iferror(index(stomachs!$J:$J,match($A1313,stomachs!$A:$A,0)))</f>
        <v/>
      </c>
      <c r="P1313" t="str">
        <f t="array" ref="P1313">iferror(index(sea_lice!$G:$G,match($A1313,sea_lice!$A:$A,0)))</f>
        <v/>
      </c>
      <c r="Q1313" t="str">
        <f t="array" ref="Q1313">iferror(index(sea_lice!$J:$J,match($A1313,sea_lice!$A:$A,0)))</f>
        <v/>
      </c>
      <c r="R1313" s="40" t="str">
        <f t="array" ref="R1313">iferror(index(dissected_fish!$F:$F,match($A1313,dissected_fish!$A:$A,0)))</f>
        <v>BCA111</v>
      </c>
      <c r="S1313" s="40" t="str">
        <f t="array" ref="S1313">iferror(index(dissected_fish!$K:$K,match($A1313,dissected_fish!$A:$A,0)))</f>
        <v>N</v>
      </c>
      <c r="T1313" s="61" t="str">
        <f t="array" ref="T1313">index(fish_lab_data!O:O,match(A1313,fish_lab_data!C:C,0))</f>
        <v>KB</v>
      </c>
      <c r="U1313" s="61">
        <f t="array" ref="U1313">if(A1313="","",index(fish_lab_data!X:X,match(A1313,fish_lab_data!C:C,0)))</f>
        <v>1312</v>
      </c>
    </row>
    <row r="1314">
      <c r="A1314" t="str">
        <f>fish_lab_data!C1314</f>
        <v>U17186</v>
      </c>
      <c r="B1314" t="str">
        <f t="array" ref="B1314">iferror(index('rna-muscle'!$I:$I,match($A1314,'rna-muscle'!$A:$A,0)))</f>
        <v>BRN76M-E4</v>
      </c>
      <c r="C1314" t="str">
        <f t="array" ref="C1314">iferror(index('rna-muscle'!$L:$L,match($A1314,'rna-muscle'!$A:$A,0)))</f>
        <v>N</v>
      </c>
      <c r="D1314" t="str">
        <f t="array" ref="D1314">iferror(index('rna-gill'!$I:$I,match($A1314,'rna-gill'!$A:$A,0)))</f>
        <v>BRN76G-E4</v>
      </c>
      <c r="E1314" t="str">
        <f t="array" ref="E1314">iferror(index('rna-gill'!$L:$L,match($A1314,'rna-gill'!$A:$A,0)))</f>
        <v>N</v>
      </c>
      <c r="F1314" t="str">
        <f t="array" ref="F1314">iferror(index(fatty_acid!$G:$G,match($A1314,fatty_acid!$A:$A,0)))</f>
        <v>BFA36-11</v>
      </c>
      <c r="G1314" t="str">
        <f t="array" ref="G1314">iferror(index(fatty_acid!$J:$J,match($A1314,fatty_acid!$A:$A,0)))</f>
        <v>N</v>
      </c>
      <c r="H1314" t="str">
        <f t="array" ref="H1314">iferror(index(isotopes!$G:$G,match($A1314,isotopes!$A:$A,0)))</f>
        <v>BIS39-11</v>
      </c>
      <c r="I1314" t="str">
        <f t="array" ref="I1314">iferror(index(isotopes!$J:$J,match($A1314,isotopes!$A:$A,0)))</f>
        <v>N</v>
      </c>
      <c r="J1314" t="str">
        <f t="array" ref="J1314">iferror(index(extra_muscle!$G:$G,match($A1314,extra_muscle!$A:$A,0)))</f>
        <v>BXM38-11</v>
      </c>
      <c r="K1314" t="str">
        <f t="array" ref="K1314">iferror(index(extra_muscle!$J:$J,match($A1314,extra_muscle!$A:$A,0)))</f>
        <v>N</v>
      </c>
      <c r="L1314" s="59" t="str">
        <f t="array" ref="L1314">iferror(index(dna!$G:$G,match($A1314,dna!$A:$A,0)))</f>
        <v>BDN9-87</v>
      </c>
      <c r="M1314" s="60" t="str">
        <f t="array" ref="M1314">iferror(index(dna!$J:$J,match($A1314,dna!$A:$A,0)))</f>
        <v>N</v>
      </c>
      <c r="N1314" t="str">
        <f t="array" ref="N1314">iferror(index(stomachs!$G:$G,match($A1314,stomachs!$A:$A,0)))</f>
        <v/>
      </c>
      <c r="O1314" t="str">
        <f t="array" ref="O1314">iferror(index(stomachs!$J:$J,match($A1314,stomachs!$A:$A,0)))</f>
        <v/>
      </c>
      <c r="P1314" t="str">
        <f t="array" ref="P1314">iferror(index(sea_lice!$G:$G,match($A1314,sea_lice!$A:$A,0)))</f>
        <v>BSL2-85</v>
      </c>
      <c r="Q1314" t="str">
        <f t="array" ref="Q1314">iferror(index(sea_lice!$J:$J,match($A1314,sea_lice!$A:$A,0)))</f>
        <v>N</v>
      </c>
      <c r="R1314" s="40" t="str">
        <f t="array" ref="R1314">iferror(index(dissected_fish!$F:$F,match($A1314,dissected_fish!$A:$A,0)))</f>
        <v>BCA111</v>
      </c>
      <c r="S1314" s="40" t="str">
        <f t="array" ref="S1314">iferror(index(dissected_fish!$K:$K,match($A1314,dissected_fish!$A:$A,0)))</f>
        <v>N</v>
      </c>
      <c r="T1314" s="61" t="str">
        <f t="array" ref="T1314">index(fish_lab_data!O:O,match(A1314,fish_lab_data!C:C,0))</f>
        <v>KB</v>
      </c>
      <c r="U1314" s="61">
        <f t="array" ref="U1314">if(A1314="","",index(fish_lab_data!X:X,match(A1314,fish_lab_data!C:C,0)))</f>
        <v>1313</v>
      </c>
    </row>
    <row r="1315">
      <c r="A1315" t="str">
        <f>fish_lab_data!C1315</f>
        <v>U17185</v>
      </c>
      <c r="B1315" t="str">
        <f t="array" ref="B1315">iferror(index('rna-muscle'!$I:$I,match($A1315,'rna-muscle'!$A:$A,0)))</f>
        <v>BRN76M-D4</v>
      </c>
      <c r="C1315" t="str">
        <f t="array" ref="C1315">iferror(index('rna-muscle'!$L:$L,match($A1315,'rna-muscle'!$A:$A,0)))</f>
        <v>N</v>
      </c>
      <c r="D1315" t="str">
        <f t="array" ref="D1315">iferror(index('rna-gill'!$I:$I,match($A1315,'rna-gill'!$A:$A,0)))</f>
        <v>BRN76G-D4</v>
      </c>
      <c r="E1315" t="str">
        <f t="array" ref="E1315">iferror(index('rna-gill'!$L:$L,match($A1315,'rna-gill'!$A:$A,0)))</f>
        <v>N</v>
      </c>
      <c r="F1315" t="str">
        <f t="array" ref="F1315">iferror(index(fatty_acid!$G:$G,match($A1315,fatty_acid!$A:$A,0)))</f>
        <v>BFA36-12</v>
      </c>
      <c r="G1315" t="str">
        <f t="array" ref="G1315">iferror(index(fatty_acid!$J:$J,match($A1315,fatty_acid!$A:$A,0)))</f>
        <v>N</v>
      </c>
      <c r="H1315" t="str">
        <f t="array" ref="H1315">iferror(index(isotopes!$G:$G,match($A1315,isotopes!$A:$A,0)))</f>
        <v>BIS39-12</v>
      </c>
      <c r="I1315" t="str">
        <f t="array" ref="I1315">iferror(index(isotopes!$J:$J,match($A1315,isotopes!$A:$A,0)))</f>
        <v>N</v>
      </c>
      <c r="J1315" t="str">
        <f t="array" ref="J1315">iferror(index(extra_muscle!$G:$G,match($A1315,extra_muscle!$A:$A,0)))</f>
        <v>BXM38-12</v>
      </c>
      <c r="K1315" t="str">
        <f t="array" ref="K1315">iferror(index(extra_muscle!$J:$J,match($A1315,extra_muscle!$A:$A,0)))</f>
        <v>N</v>
      </c>
      <c r="L1315" s="59" t="str">
        <f t="array" ref="L1315">iferror(index(dna!$G:$G,match($A1315,dna!$A:$A,0)))</f>
        <v>BDN9-88</v>
      </c>
      <c r="M1315" s="60" t="str">
        <f t="array" ref="M1315">iferror(index(dna!$J:$J,match($A1315,dna!$A:$A,0)))</f>
        <v>N</v>
      </c>
      <c r="N1315" t="str">
        <f t="array" ref="N1315">iferror(index(stomachs!$G:$G,match($A1315,stomachs!$A:$A,0)))</f>
        <v/>
      </c>
      <c r="O1315" t="str">
        <f t="array" ref="O1315">iferror(index(stomachs!$J:$J,match($A1315,stomachs!$A:$A,0)))</f>
        <v/>
      </c>
      <c r="P1315" t="str">
        <f t="array" ref="P1315">iferror(index(sea_lice!$G:$G,match($A1315,sea_lice!$A:$A,0)))</f>
        <v/>
      </c>
      <c r="Q1315" t="str">
        <f t="array" ref="Q1315">iferror(index(sea_lice!$J:$J,match($A1315,sea_lice!$A:$A,0)))</f>
        <v/>
      </c>
      <c r="R1315" s="40" t="str">
        <f t="array" ref="R1315">iferror(index(dissected_fish!$F:$F,match($A1315,dissected_fish!$A:$A,0)))</f>
        <v>BCA111</v>
      </c>
      <c r="S1315" s="40" t="str">
        <f t="array" ref="S1315">iferror(index(dissected_fish!$K:$K,match($A1315,dissected_fish!$A:$A,0)))</f>
        <v>N</v>
      </c>
      <c r="T1315" s="61" t="str">
        <f t="array" ref="T1315">index(fish_lab_data!O:O,match(A1315,fish_lab_data!C:C,0))</f>
        <v>KB</v>
      </c>
      <c r="U1315" s="61">
        <f t="array" ref="U1315">if(A1315="","",index(fish_lab_data!X:X,match(A1315,fish_lab_data!C:C,0)))</f>
        <v>1314</v>
      </c>
    </row>
    <row r="1316">
      <c r="A1316" t="str">
        <f>fish_lab_data!C1316</f>
        <v>U17184</v>
      </c>
      <c r="B1316" t="str">
        <f t="array" ref="B1316">iferror(index('rna-muscle'!$I:$I,match($A1316,'rna-muscle'!$A:$A,0)))</f>
        <v>BRN76M-C4</v>
      </c>
      <c r="C1316" t="str">
        <f t="array" ref="C1316">iferror(index('rna-muscle'!$L:$L,match($A1316,'rna-muscle'!$A:$A,0)))</f>
        <v>N</v>
      </c>
      <c r="D1316" t="str">
        <f t="array" ref="D1316">iferror(index('rna-gill'!$I:$I,match($A1316,'rna-gill'!$A:$A,0)))</f>
        <v>BRN76G-C4</v>
      </c>
      <c r="E1316" t="str">
        <f t="array" ref="E1316">iferror(index('rna-gill'!$L:$L,match($A1316,'rna-gill'!$A:$A,0)))</f>
        <v>N</v>
      </c>
      <c r="F1316" t="str">
        <f t="array" ref="F1316">iferror(index(fatty_acid!$G:$G,match($A1316,fatty_acid!$A:$A,0)))</f>
        <v>BFA36-13</v>
      </c>
      <c r="G1316" t="str">
        <f t="array" ref="G1316">iferror(index(fatty_acid!$J:$J,match($A1316,fatty_acid!$A:$A,0)))</f>
        <v>N</v>
      </c>
      <c r="H1316" t="str">
        <f t="array" ref="H1316">iferror(index(isotopes!$G:$G,match($A1316,isotopes!$A:$A,0)))</f>
        <v>BIS39-13</v>
      </c>
      <c r="I1316" t="str">
        <f t="array" ref="I1316">iferror(index(isotopes!$J:$J,match($A1316,isotopes!$A:$A,0)))</f>
        <v>N</v>
      </c>
      <c r="J1316" t="str">
        <f t="array" ref="J1316">iferror(index(extra_muscle!$G:$G,match($A1316,extra_muscle!$A:$A,0)))</f>
        <v>BXM38-13</v>
      </c>
      <c r="K1316" t="str">
        <f t="array" ref="K1316">iferror(index(extra_muscle!$J:$J,match($A1316,extra_muscle!$A:$A,0)))</f>
        <v>N</v>
      </c>
      <c r="L1316" s="59" t="str">
        <f t="array" ref="L1316">iferror(index(dna!$G:$G,match($A1316,dna!$A:$A,0)))</f>
        <v>BDN9-89</v>
      </c>
      <c r="M1316" s="60" t="str">
        <f t="array" ref="M1316">iferror(index(dna!$J:$J,match($A1316,dna!$A:$A,0)))</f>
        <v>N</v>
      </c>
      <c r="N1316" t="str">
        <f t="array" ref="N1316">iferror(index(stomachs!$G:$G,match($A1316,stomachs!$A:$A,0)))</f>
        <v/>
      </c>
      <c r="O1316" t="str">
        <f t="array" ref="O1316">iferror(index(stomachs!$J:$J,match($A1316,stomachs!$A:$A,0)))</f>
        <v/>
      </c>
      <c r="P1316" t="str">
        <f t="array" ref="P1316">iferror(index(sea_lice!$G:$G,match($A1316,sea_lice!$A:$A,0)))</f>
        <v/>
      </c>
      <c r="Q1316" t="str">
        <f t="array" ref="Q1316">iferror(index(sea_lice!$J:$J,match($A1316,sea_lice!$A:$A,0)))</f>
        <v/>
      </c>
      <c r="R1316" s="40" t="str">
        <f t="array" ref="R1316">iferror(index(dissected_fish!$F:$F,match($A1316,dissected_fish!$A:$A,0)))</f>
        <v>BCA111</v>
      </c>
      <c r="S1316" s="40" t="str">
        <f t="array" ref="S1316">iferror(index(dissected_fish!$K:$K,match($A1316,dissected_fish!$A:$A,0)))</f>
        <v>N</v>
      </c>
      <c r="T1316" s="61" t="str">
        <f t="array" ref="T1316">index(fish_lab_data!O:O,match(A1316,fish_lab_data!C:C,0))</f>
        <v>KB</v>
      </c>
      <c r="U1316" s="61">
        <f t="array" ref="U1316">if(A1316="","",index(fish_lab_data!X:X,match(A1316,fish_lab_data!C:C,0)))</f>
        <v>1315</v>
      </c>
    </row>
    <row r="1317">
      <c r="A1317" t="str">
        <f>fish_lab_data!C1317</f>
        <v>U17181</v>
      </c>
      <c r="B1317" t="str">
        <f t="array" ref="B1317">iferror(index('rna-muscle'!$I:$I,match($A1317,'rna-muscle'!$A:$A,0)))</f>
        <v>BRN76M-B4</v>
      </c>
      <c r="C1317" t="str">
        <f t="array" ref="C1317">iferror(index('rna-muscle'!$L:$L,match($A1317,'rna-muscle'!$A:$A,0)))</f>
        <v>N</v>
      </c>
      <c r="D1317" t="str">
        <f t="array" ref="D1317">iferror(index('rna-gill'!$I:$I,match($A1317,'rna-gill'!$A:$A,0)))</f>
        <v>BRN76G-B4</v>
      </c>
      <c r="E1317" t="str">
        <f t="array" ref="E1317">iferror(index('rna-gill'!$L:$L,match($A1317,'rna-gill'!$A:$A,0)))</f>
        <v>N</v>
      </c>
      <c r="F1317" t="str">
        <f t="array" ref="F1317">iferror(index(fatty_acid!$G:$G,match($A1317,fatty_acid!$A:$A,0)))</f>
        <v>BFA36-14</v>
      </c>
      <c r="G1317" t="str">
        <f t="array" ref="G1317">iferror(index(fatty_acid!$J:$J,match($A1317,fatty_acid!$A:$A,0)))</f>
        <v>N</v>
      </c>
      <c r="H1317" t="str">
        <f t="array" ref="H1317">iferror(index(isotopes!$G:$G,match($A1317,isotopes!$A:$A,0)))</f>
        <v>BIS39-14</v>
      </c>
      <c r="I1317" t="str">
        <f t="array" ref="I1317">iferror(index(isotopes!$J:$J,match($A1317,isotopes!$A:$A,0)))</f>
        <v>N</v>
      </c>
      <c r="J1317" t="str">
        <f t="array" ref="J1317">iferror(index(extra_muscle!$G:$G,match($A1317,extra_muscle!$A:$A,0)))</f>
        <v>BXM38-14</v>
      </c>
      <c r="K1317" t="str">
        <f t="array" ref="K1317">iferror(index(extra_muscle!$J:$J,match($A1317,extra_muscle!$A:$A,0)))</f>
        <v>N</v>
      </c>
      <c r="L1317" s="59" t="str">
        <f t="array" ref="L1317">iferror(index(dna!$G:$G,match($A1317,dna!$A:$A,0)))</f>
        <v>BDN9-90</v>
      </c>
      <c r="M1317" s="60" t="str">
        <f t="array" ref="M1317">iferror(index(dna!$J:$J,match($A1317,dna!$A:$A,0)))</f>
        <v>N</v>
      </c>
      <c r="N1317" t="str">
        <f t="array" ref="N1317">iferror(index(stomachs!$G:$G,match($A1317,stomachs!$A:$A,0)))</f>
        <v/>
      </c>
      <c r="O1317" t="str">
        <f t="array" ref="O1317">iferror(index(stomachs!$J:$J,match($A1317,stomachs!$A:$A,0)))</f>
        <v/>
      </c>
      <c r="P1317" t="str">
        <f t="array" ref="P1317">iferror(index(sea_lice!$G:$G,match($A1317,sea_lice!$A:$A,0)))</f>
        <v/>
      </c>
      <c r="Q1317" t="str">
        <f t="array" ref="Q1317">iferror(index(sea_lice!$J:$J,match($A1317,sea_lice!$A:$A,0)))</f>
        <v/>
      </c>
      <c r="R1317" s="40" t="str">
        <f t="array" ref="R1317">iferror(index(dissected_fish!$F:$F,match($A1317,dissected_fish!$A:$A,0)))</f>
        <v>BCA111</v>
      </c>
      <c r="S1317" s="40" t="str">
        <f t="array" ref="S1317">iferror(index(dissected_fish!$K:$K,match($A1317,dissected_fish!$A:$A,0)))</f>
        <v>N</v>
      </c>
      <c r="T1317" s="61" t="str">
        <f t="array" ref="T1317">index(fish_lab_data!O:O,match(A1317,fish_lab_data!C:C,0))</f>
        <v>KB</v>
      </c>
      <c r="U1317" s="61">
        <f t="array" ref="U1317">if(A1317="","",index(fish_lab_data!X:X,match(A1317,fish_lab_data!C:C,0)))</f>
        <v>1316</v>
      </c>
    </row>
    <row r="1318">
      <c r="A1318" t="str">
        <f>fish_lab_data!C1318</f>
        <v>U17182</v>
      </c>
      <c r="B1318" t="str">
        <f t="array" ref="B1318">iferror(index('rna-muscle'!$I:$I,match($A1318,'rna-muscle'!$A:$A,0)))</f>
        <v>BRN76M-A4</v>
      </c>
      <c r="C1318" t="str">
        <f t="array" ref="C1318">iferror(index('rna-muscle'!$L:$L,match($A1318,'rna-muscle'!$A:$A,0)))</f>
        <v>N</v>
      </c>
      <c r="D1318" t="str">
        <f t="array" ref="D1318">iferror(index('rna-gill'!$I:$I,match($A1318,'rna-gill'!$A:$A,0)))</f>
        <v>BRN76G-A4</v>
      </c>
      <c r="E1318" t="str">
        <f t="array" ref="E1318">iferror(index('rna-gill'!$L:$L,match($A1318,'rna-gill'!$A:$A,0)))</f>
        <v>N</v>
      </c>
      <c r="F1318" t="str">
        <f t="array" ref="F1318">iferror(index(fatty_acid!$G:$G,match($A1318,fatty_acid!$A:$A,0)))</f>
        <v>BFA36-15</v>
      </c>
      <c r="G1318" t="str">
        <f t="array" ref="G1318">iferror(index(fatty_acid!$J:$J,match($A1318,fatty_acid!$A:$A,0)))</f>
        <v>N</v>
      </c>
      <c r="H1318" t="str">
        <f t="array" ref="H1318">iferror(index(isotopes!$G:$G,match($A1318,isotopes!$A:$A,0)))</f>
        <v>BIS39-15</v>
      </c>
      <c r="I1318" t="str">
        <f t="array" ref="I1318">iferror(index(isotopes!$J:$J,match($A1318,isotopes!$A:$A,0)))</f>
        <v>N</v>
      </c>
      <c r="J1318" t="str">
        <f t="array" ref="J1318">iferror(index(extra_muscle!$G:$G,match($A1318,extra_muscle!$A:$A,0)))</f>
        <v>BXM38-15</v>
      </c>
      <c r="K1318" t="str">
        <f t="array" ref="K1318">iferror(index(extra_muscle!$J:$J,match($A1318,extra_muscle!$A:$A,0)))</f>
        <v>N</v>
      </c>
      <c r="L1318" s="59" t="str">
        <f t="array" ref="L1318">iferror(index(dna!$G:$G,match($A1318,dna!$A:$A,0)))</f>
        <v>BDN9-91</v>
      </c>
      <c r="M1318" s="60" t="str">
        <f t="array" ref="M1318">iferror(index(dna!$J:$J,match($A1318,dna!$A:$A,0)))</f>
        <v>N</v>
      </c>
      <c r="N1318" t="str">
        <f t="array" ref="N1318">iferror(index(stomachs!$G:$G,match($A1318,stomachs!$A:$A,0)))</f>
        <v/>
      </c>
      <c r="O1318" t="str">
        <f t="array" ref="O1318">iferror(index(stomachs!$J:$J,match($A1318,stomachs!$A:$A,0)))</f>
        <v/>
      </c>
      <c r="P1318" t="str">
        <f t="array" ref="P1318">iferror(index(sea_lice!$G:$G,match($A1318,sea_lice!$A:$A,0)))</f>
        <v>BSL2-87</v>
      </c>
      <c r="Q1318" t="str">
        <f t="array" ref="Q1318">iferror(index(sea_lice!$J:$J,match($A1318,sea_lice!$A:$A,0)))</f>
        <v>N</v>
      </c>
      <c r="R1318" s="40" t="str">
        <f t="array" ref="R1318">iferror(index(dissected_fish!$F:$F,match($A1318,dissected_fish!$A:$A,0)))</f>
        <v>BCA111</v>
      </c>
      <c r="S1318" s="40" t="str">
        <f t="array" ref="S1318">iferror(index(dissected_fish!$K:$K,match($A1318,dissected_fish!$A:$A,0)))</f>
        <v>N</v>
      </c>
      <c r="T1318" s="61" t="str">
        <f t="array" ref="T1318">index(fish_lab_data!O:O,match(A1318,fish_lab_data!C:C,0))</f>
        <v>KB</v>
      </c>
      <c r="U1318" s="61">
        <f t="array" ref="U1318">if(A1318="","",index(fish_lab_data!X:X,match(A1318,fish_lab_data!C:C,0)))</f>
        <v>1317</v>
      </c>
    </row>
    <row r="1319">
      <c r="A1319" t="str">
        <f>fish_lab_data!C1319</f>
        <v>U17183</v>
      </c>
      <c r="B1319" t="str">
        <f t="array" ref="B1319">iferror(index('rna-muscle'!$I:$I,match($A1319,'rna-muscle'!$A:$A,0)))</f>
        <v>BRN76M-H5</v>
      </c>
      <c r="C1319" t="str">
        <f t="array" ref="C1319">iferror(index('rna-muscle'!$L:$L,match($A1319,'rna-muscle'!$A:$A,0)))</f>
        <v>N</v>
      </c>
      <c r="D1319" t="str">
        <f t="array" ref="D1319">iferror(index('rna-gill'!$I:$I,match($A1319,'rna-gill'!$A:$A,0)))</f>
        <v>BRN76G-H5</v>
      </c>
      <c r="E1319" t="str">
        <f t="array" ref="E1319">iferror(index('rna-gill'!$L:$L,match($A1319,'rna-gill'!$A:$A,0)))</f>
        <v>N</v>
      </c>
      <c r="F1319" t="str">
        <f t="array" ref="F1319">iferror(index(fatty_acid!$G:$G,match($A1319,fatty_acid!$A:$A,0)))</f>
        <v>BFA36-16</v>
      </c>
      <c r="G1319" t="str">
        <f t="array" ref="G1319">iferror(index(fatty_acid!$J:$J,match($A1319,fatty_acid!$A:$A,0)))</f>
        <v>N</v>
      </c>
      <c r="H1319" t="str">
        <f t="array" ref="H1319">iferror(index(isotopes!$G:$G,match($A1319,isotopes!$A:$A,0)))</f>
        <v>BIS39-16</v>
      </c>
      <c r="I1319" t="str">
        <f t="array" ref="I1319">iferror(index(isotopes!$J:$J,match($A1319,isotopes!$A:$A,0)))</f>
        <v>N</v>
      </c>
      <c r="J1319" t="str">
        <f t="array" ref="J1319">iferror(index(extra_muscle!$G:$G,match($A1319,extra_muscle!$A:$A,0)))</f>
        <v>BXM38-16</v>
      </c>
      <c r="K1319" t="str">
        <f t="array" ref="K1319">iferror(index(extra_muscle!$J:$J,match($A1319,extra_muscle!$A:$A,0)))</f>
        <v>N</v>
      </c>
      <c r="L1319" s="59" t="str">
        <f t="array" ref="L1319">iferror(index(dna!$G:$G,match($A1319,dna!$A:$A,0)))</f>
        <v>BDN9-92</v>
      </c>
      <c r="M1319" s="60" t="str">
        <f t="array" ref="M1319">iferror(index(dna!$J:$J,match($A1319,dna!$A:$A,0)))</f>
        <v>N</v>
      </c>
      <c r="N1319" t="str">
        <f t="array" ref="N1319">iferror(index(stomachs!$G:$G,match($A1319,stomachs!$A:$A,0)))</f>
        <v/>
      </c>
      <c r="O1319" t="str">
        <f t="array" ref="O1319">iferror(index(stomachs!$J:$J,match($A1319,stomachs!$A:$A,0)))</f>
        <v/>
      </c>
      <c r="P1319" t="str">
        <f t="array" ref="P1319">iferror(index(sea_lice!$G:$G,match($A1319,sea_lice!$A:$A,0)))</f>
        <v>BSL2-89</v>
      </c>
      <c r="Q1319" t="str">
        <f t="array" ref="Q1319">iferror(index(sea_lice!$J:$J,match($A1319,sea_lice!$A:$A,0)))</f>
        <v>N</v>
      </c>
      <c r="R1319" s="40" t="str">
        <f t="array" ref="R1319">iferror(index(dissected_fish!$F:$F,match($A1319,dissected_fish!$A:$A,0)))</f>
        <v>BCA111</v>
      </c>
      <c r="S1319" s="40" t="str">
        <f t="array" ref="S1319">iferror(index(dissected_fish!$K:$K,match($A1319,dissected_fish!$A:$A,0)))</f>
        <v>N</v>
      </c>
      <c r="T1319" s="61" t="str">
        <f t="array" ref="T1319">index(fish_lab_data!O:O,match(A1319,fish_lab_data!C:C,0))</f>
        <v>KB</v>
      </c>
      <c r="U1319" s="61">
        <f t="array" ref="U1319">if(A1319="","",index(fish_lab_data!X:X,match(A1319,fish_lab_data!C:C,0)))</f>
        <v>1318</v>
      </c>
    </row>
    <row r="1320">
      <c r="A1320" t="str">
        <f>fish_lab_data!C1320</f>
        <v>U16655</v>
      </c>
      <c r="B1320" t="str">
        <f t="array" ref="B1320">iferror(index('rna-muscle'!$I:$I,match($A1320,'rna-muscle'!$A:$A,0)))</f>
        <v>BRN76M-D1</v>
      </c>
      <c r="C1320" t="str">
        <f t="array" ref="C1320">iferror(index('rna-muscle'!$L:$L,match($A1320,'rna-muscle'!$A:$A,0)))</f>
        <v>N</v>
      </c>
      <c r="D1320" t="str">
        <f t="array" ref="D1320">iferror(index('rna-gill'!$I:$I,match($A1320,'rna-gill'!$A:$A,0)))</f>
        <v>BRN76G-D1</v>
      </c>
      <c r="E1320" t="str">
        <f t="array" ref="E1320">iferror(index('rna-gill'!$L:$L,match($A1320,'rna-gill'!$A:$A,0)))</f>
        <v>N</v>
      </c>
      <c r="F1320" t="str">
        <f t="array" ref="F1320">iferror(index(fatty_acid!$G:$G,match($A1320,fatty_acid!$A:$A,0)))</f>
        <v>BFA33-67</v>
      </c>
      <c r="G1320" t="str">
        <f t="array" ref="G1320">iferror(index(fatty_acid!$J:$J,match($A1320,fatty_acid!$A:$A,0)))</f>
        <v>N</v>
      </c>
      <c r="H1320" t="str">
        <f t="array" ref="H1320">iferror(index(isotopes!$G:$G,match($A1320,isotopes!$A:$A,0)))</f>
        <v>BIS34-66</v>
      </c>
      <c r="I1320" t="str">
        <f t="array" ref="I1320">iferror(index(isotopes!$J:$J,match($A1320,isotopes!$A:$A,0)))</f>
        <v>N</v>
      </c>
      <c r="J1320" t="str">
        <f t="array" ref="J1320">iferror(index(extra_muscle!$G:$G,match($A1320,extra_muscle!$A:$A,0)))</f>
        <v>BXM37-29</v>
      </c>
      <c r="K1320" t="str">
        <f t="array" ref="K1320">iferror(index(extra_muscle!$J:$J,match($A1320,extra_muscle!$A:$A,0)))</f>
        <v>N</v>
      </c>
      <c r="L1320" s="59" t="str">
        <f t="array" ref="L1320">iferror(index(dna!$G:$G,match($A1320,dna!$A:$A,0)))</f>
        <v>BDN11-3</v>
      </c>
      <c r="M1320" s="60" t="str">
        <f t="array" ref="M1320">iferror(index(dna!$J:$J,match($A1320,dna!$A:$A,0)))</f>
        <v>N</v>
      </c>
      <c r="N1320" t="str">
        <f t="array" ref="N1320">iferror(index(stomachs!$G:$G,match($A1320,stomachs!$A:$A,0)))</f>
        <v/>
      </c>
      <c r="O1320" t="str">
        <f t="array" ref="O1320">iferror(index(stomachs!$J:$J,match($A1320,stomachs!$A:$A,0)))</f>
        <v/>
      </c>
      <c r="P1320" t="str">
        <f t="array" ref="P1320">iferror(index(sea_lice!$G:$G,match($A1320,sea_lice!$A:$A,0)))</f>
        <v/>
      </c>
      <c r="Q1320" t="str">
        <f t="array" ref="Q1320">iferror(index(sea_lice!$J:$J,match($A1320,sea_lice!$A:$A,0)))</f>
        <v/>
      </c>
      <c r="R1320" s="40" t="str">
        <f t="array" ref="R1320">iferror(index(dissected_fish!$F:$F,match($A1320,dissected_fish!$A:$A,0)))</f>
        <v>BCA111</v>
      </c>
      <c r="S1320" s="40" t="str">
        <f t="array" ref="S1320">iferror(index(dissected_fish!$K:$K,match($A1320,dissected_fish!$A:$A,0)))</f>
        <v>N</v>
      </c>
      <c r="T1320" s="61" t="str">
        <f t="array" ref="T1320">index(fish_lab_data!O:O,match(A1320,fish_lab_data!C:C,0))</f>
        <v>JG</v>
      </c>
      <c r="U1320" s="61">
        <f t="array" ref="U1320">if(A1320="","",index(fish_lab_data!X:X,match(A1320,fish_lab_data!C:C,0)))</f>
        <v>1319</v>
      </c>
    </row>
    <row r="1321">
      <c r="A1321" t="str">
        <f>fish_lab_data!C1321</f>
        <v>U16652</v>
      </c>
      <c r="B1321" t="str">
        <f t="array" ref="B1321">iferror(index('rna-muscle'!$I:$I,match($A1321,'rna-muscle'!$A:$A,0)))</f>
        <v>BRN76M-C1</v>
      </c>
      <c r="C1321" t="str">
        <f t="array" ref="C1321">iferror(index('rna-muscle'!$L:$L,match($A1321,'rna-muscle'!$A:$A,0)))</f>
        <v>N</v>
      </c>
      <c r="D1321" t="str">
        <f t="array" ref="D1321">iferror(index('rna-gill'!$I:$I,match($A1321,'rna-gill'!$A:$A,0)))</f>
        <v>BRN76G-C1</v>
      </c>
      <c r="E1321" t="str">
        <f t="array" ref="E1321">iferror(index('rna-gill'!$L:$L,match($A1321,'rna-gill'!$A:$A,0)))</f>
        <v>N</v>
      </c>
      <c r="F1321" t="str">
        <f t="array" ref="F1321">iferror(index(fatty_acid!$G:$G,match($A1321,fatty_acid!$A:$A,0)))</f>
        <v>BFA33-68</v>
      </c>
      <c r="G1321" t="str">
        <f t="array" ref="G1321">iferror(index(fatty_acid!$J:$J,match($A1321,fatty_acid!$A:$A,0)))</f>
        <v>N</v>
      </c>
      <c r="H1321" t="str">
        <f t="array" ref="H1321">iferror(index(isotopes!$G:$G,match($A1321,isotopes!$A:$A,0)))</f>
        <v>BIS34-67</v>
      </c>
      <c r="I1321" t="str">
        <f t="array" ref="I1321">iferror(index(isotopes!$J:$J,match($A1321,isotopes!$A:$A,0)))</f>
        <v>N</v>
      </c>
      <c r="J1321" t="str">
        <f t="array" ref="J1321">iferror(index(extra_muscle!$G:$G,match($A1321,extra_muscle!$A:$A,0)))</f>
        <v>BXM37-30</v>
      </c>
      <c r="K1321" t="str">
        <f t="array" ref="K1321">iferror(index(extra_muscle!$J:$J,match($A1321,extra_muscle!$A:$A,0)))</f>
        <v>N</v>
      </c>
      <c r="L1321" s="59" t="str">
        <f t="array" ref="L1321">iferror(index(dna!$G:$G,match($A1321,dna!$A:$A,0)))</f>
        <v>BDN11-4</v>
      </c>
      <c r="M1321" s="60" t="str">
        <f t="array" ref="M1321">iferror(index(dna!$J:$J,match($A1321,dna!$A:$A,0)))</f>
        <v>N</v>
      </c>
      <c r="N1321" t="str">
        <f t="array" ref="N1321">iferror(index(stomachs!$G:$G,match($A1321,stomachs!$A:$A,0)))</f>
        <v/>
      </c>
      <c r="O1321" t="str">
        <f t="array" ref="O1321">iferror(index(stomachs!$J:$J,match($A1321,stomachs!$A:$A,0)))</f>
        <v/>
      </c>
      <c r="P1321" t="str">
        <f t="array" ref="P1321">iferror(index(sea_lice!$G:$G,match($A1321,sea_lice!$A:$A,0)))</f>
        <v/>
      </c>
      <c r="Q1321" t="str">
        <f t="array" ref="Q1321">iferror(index(sea_lice!$J:$J,match($A1321,sea_lice!$A:$A,0)))</f>
        <v/>
      </c>
      <c r="R1321" s="40" t="str">
        <f t="array" ref="R1321">iferror(index(dissected_fish!$F:$F,match($A1321,dissected_fish!$A:$A,0)))</f>
        <v>BCA111</v>
      </c>
      <c r="S1321" s="40" t="str">
        <f t="array" ref="S1321">iferror(index(dissected_fish!$K:$K,match($A1321,dissected_fish!$A:$A,0)))</f>
        <v>N</v>
      </c>
      <c r="T1321" s="61" t="str">
        <f t="array" ref="T1321">index(fish_lab_data!O:O,match(A1321,fish_lab_data!C:C,0))</f>
        <v>JG</v>
      </c>
      <c r="U1321" s="61">
        <f t="array" ref="U1321">if(A1321="","",index(fish_lab_data!X:X,match(A1321,fish_lab_data!C:C,0)))</f>
        <v>1320</v>
      </c>
    </row>
    <row r="1322">
      <c r="A1322" t="str">
        <f>fish_lab_data!C1322</f>
        <v>U16653</v>
      </c>
      <c r="B1322" t="str">
        <f t="array" ref="B1322">iferror(index('rna-muscle'!$I:$I,match($A1322,'rna-muscle'!$A:$A,0)))</f>
        <v>BRN76M-B1</v>
      </c>
      <c r="C1322" t="str">
        <f t="array" ref="C1322">iferror(index('rna-muscle'!$L:$L,match($A1322,'rna-muscle'!$A:$A,0)))</f>
        <v>N</v>
      </c>
      <c r="D1322" t="str">
        <f t="array" ref="D1322">iferror(index('rna-gill'!$I:$I,match($A1322,'rna-gill'!$A:$A,0)))</f>
        <v>BRN76G-B1</v>
      </c>
      <c r="E1322" t="str">
        <f t="array" ref="E1322">iferror(index('rna-gill'!$L:$L,match($A1322,'rna-gill'!$A:$A,0)))</f>
        <v>N</v>
      </c>
      <c r="F1322" t="str">
        <f t="array" ref="F1322">iferror(index(fatty_acid!$G:$G,match($A1322,fatty_acid!$A:$A,0)))</f>
        <v>BFA33-69</v>
      </c>
      <c r="G1322" t="str">
        <f t="array" ref="G1322">iferror(index(fatty_acid!$J:$J,match($A1322,fatty_acid!$A:$A,0)))</f>
        <v>N</v>
      </c>
      <c r="H1322" t="str">
        <f t="array" ref="H1322">iferror(index(isotopes!$G:$G,match($A1322,isotopes!$A:$A,0)))</f>
        <v>BIS34-68</v>
      </c>
      <c r="I1322" t="str">
        <f t="array" ref="I1322">iferror(index(isotopes!$J:$J,match($A1322,isotopes!$A:$A,0)))</f>
        <v>N</v>
      </c>
      <c r="J1322" t="str">
        <f t="array" ref="J1322">iferror(index(extra_muscle!$G:$G,match($A1322,extra_muscle!$A:$A,0)))</f>
        <v>BXM37-31</v>
      </c>
      <c r="K1322" t="str">
        <f t="array" ref="K1322">iferror(index(extra_muscle!$J:$J,match($A1322,extra_muscle!$A:$A,0)))</f>
        <v>N</v>
      </c>
      <c r="L1322" s="59" t="str">
        <f t="array" ref="L1322">iferror(index(dna!$G:$G,match($A1322,dna!$A:$A,0)))</f>
        <v>BDN11-5</v>
      </c>
      <c r="M1322" s="60" t="str">
        <f t="array" ref="M1322">iferror(index(dna!$J:$J,match($A1322,dna!$A:$A,0)))</f>
        <v>N</v>
      </c>
      <c r="N1322" t="str">
        <f t="array" ref="N1322">iferror(index(stomachs!$G:$G,match($A1322,stomachs!$A:$A,0)))</f>
        <v/>
      </c>
      <c r="O1322" t="str">
        <f t="array" ref="O1322">iferror(index(stomachs!$J:$J,match($A1322,stomachs!$A:$A,0)))</f>
        <v/>
      </c>
      <c r="P1322" t="str">
        <f t="array" ref="P1322">iferror(index(sea_lice!$G:$G,match($A1322,sea_lice!$A:$A,0)))</f>
        <v/>
      </c>
      <c r="Q1322" t="str">
        <f t="array" ref="Q1322">iferror(index(sea_lice!$J:$J,match($A1322,sea_lice!$A:$A,0)))</f>
        <v/>
      </c>
      <c r="R1322" s="40" t="str">
        <f t="array" ref="R1322">iferror(index(dissected_fish!$F:$F,match($A1322,dissected_fish!$A:$A,0)))</f>
        <v>BCA111</v>
      </c>
      <c r="S1322" s="40" t="str">
        <f t="array" ref="S1322">iferror(index(dissected_fish!$K:$K,match($A1322,dissected_fish!$A:$A,0)))</f>
        <v>N</v>
      </c>
      <c r="T1322" s="61" t="str">
        <f t="array" ref="T1322">index(fish_lab_data!O:O,match(A1322,fish_lab_data!C:C,0))</f>
        <v>JG</v>
      </c>
      <c r="U1322" s="61">
        <f t="array" ref="U1322">if(A1322="","",index(fish_lab_data!X:X,match(A1322,fish_lab_data!C:C,0)))</f>
        <v>1321</v>
      </c>
    </row>
    <row r="1323">
      <c r="A1323" t="str">
        <f>fish_lab_data!C1323</f>
        <v>U16658</v>
      </c>
      <c r="B1323" t="str">
        <f t="array" ref="B1323">iferror(index('rna-muscle'!$I:$I,match($A1323,'rna-muscle'!$A:$A,0)))</f>
        <v>BRN76M-A1</v>
      </c>
      <c r="C1323" t="str">
        <f t="array" ref="C1323">iferror(index('rna-muscle'!$L:$L,match($A1323,'rna-muscle'!$A:$A,0)))</f>
        <v>N</v>
      </c>
      <c r="D1323" t="str">
        <f t="array" ref="D1323">iferror(index('rna-gill'!$I:$I,match($A1323,'rna-gill'!$A:$A,0)))</f>
        <v>BRN76G-A1</v>
      </c>
      <c r="E1323" t="str">
        <f t="array" ref="E1323">iferror(index('rna-gill'!$L:$L,match($A1323,'rna-gill'!$A:$A,0)))</f>
        <v>N</v>
      </c>
      <c r="F1323" t="str">
        <f t="array" ref="F1323">iferror(index(fatty_acid!$G:$G,match($A1323,fatty_acid!$A:$A,0)))</f>
        <v>BFA33-70</v>
      </c>
      <c r="G1323" t="str">
        <f t="array" ref="G1323">iferror(index(fatty_acid!$J:$J,match($A1323,fatty_acid!$A:$A,0)))</f>
        <v>N</v>
      </c>
      <c r="H1323" t="str">
        <f t="array" ref="H1323">iferror(index(isotopes!$G:$G,match($A1323,isotopes!$A:$A,0)))</f>
        <v>BIS34-69</v>
      </c>
      <c r="I1323" t="str">
        <f t="array" ref="I1323">iferror(index(isotopes!$J:$J,match($A1323,isotopes!$A:$A,0)))</f>
        <v>N</v>
      </c>
      <c r="J1323" t="str">
        <f t="array" ref="J1323">iferror(index(extra_muscle!$G:$G,match($A1323,extra_muscle!$A:$A,0)))</f>
        <v>BXM37-32</v>
      </c>
      <c r="K1323" t="str">
        <f t="array" ref="K1323">iferror(index(extra_muscle!$J:$J,match($A1323,extra_muscle!$A:$A,0)))</f>
        <v>N</v>
      </c>
      <c r="L1323" s="59" t="str">
        <f t="array" ref="L1323">iferror(index(dna!$G:$G,match($A1323,dna!$A:$A,0)))</f>
        <v>BDN11-6</v>
      </c>
      <c r="M1323" s="60" t="str">
        <f t="array" ref="M1323">iferror(index(dna!$J:$J,match($A1323,dna!$A:$A,0)))</f>
        <v>N</v>
      </c>
      <c r="N1323" t="str">
        <f t="array" ref="N1323">iferror(index(stomachs!$G:$G,match($A1323,stomachs!$A:$A,0)))</f>
        <v/>
      </c>
      <c r="O1323" t="str">
        <f t="array" ref="O1323">iferror(index(stomachs!$J:$J,match($A1323,stomachs!$A:$A,0)))</f>
        <v/>
      </c>
      <c r="P1323" t="str">
        <f t="array" ref="P1323">iferror(index(sea_lice!$G:$G,match($A1323,sea_lice!$A:$A,0)))</f>
        <v>BSL8-29</v>
      </c>
      <c r="Q1323" t="str">
        <f t="array" ref="Q1323">iferror(index(sea_lice!$J:$J,match($A1323,sea_lice!$A:$A,0)))</f>
        <v>N</v>
      </c>
      <c r="R1323" s="40" t="str">
        <f t="array" ref="R1323">iferror(index(dissected_fish!$F:$F,match($A1323,dissected_fish!$A:$A,0)))</f>
        <v>BCA111</v>
      </c>
      <c r="S1323" s="40" t="str">
        <f t="array" ref="S1323">iferror(index(dissected_fish!$K:$K,match($A1323,dissected_fish!$A:$A,0)))</f>
        <v>N</v>
      </c>
      <c r="T1323" s="61" t="str">
        <f t="array" ref="T1323">index(fish_lab_data!O:O,match(A1323,fish_lab_data!C:C,0))</f>
        <v>JG</v>
      </c>
      <c r="U1323" s="61">
        <f t="array" ref="U1323">if(A1323="","",index(fish_lab_data!X:X,match(A1323,fish_lab_data!C:C,0)))</f>
        <v>1322</v>
      </c>
    </row>
    <row r="1324">
      <c r="A1324" t="str">
        <f>fish_lab_data!C1324</f>
        <v>U16659</v>
      </c>
      <c r="B1324" t="str">
        <f t="array" ref="B1324">iferror(index('rna-muscle'!$I:$I,match($A1324,'rna-muscle'!$A:$A,0)))</f>
        <v>BRN76M-H2</v>
      </c>
      <c r="C1324" t="str">
        <f t="array" ref="C1324">iferror(index('rna-muscle'!$L:$L,match($A1324,'rna-muscle'!$A:$A,0)))</f>
        <v>N</v>
      </c>
      <c r="D1324" t="str">
        <f t="array" ref="D1324">iferror(index('rna-gill'!$I:$I,match($A1324,'rna-gill'!$A:$A,0)))</f>
        <v>BRN76G-H2</v>
      </c>
      <c r="E1324" t="str">
        <f t="array" ref="E1324">iferror(index('rna-gill'!$L:$L,match($A1324,'rna-gill'!$A:$A,0)))</f>
        <v>N</v>
      </c>
      <c r="F1324" t="str">
        <f t="array" ref="F1324">iferror(index(fatty_acid!$G:$G,match($A1324,fatty_acid!$A:$A,0)))</f>
        <v>BFA33-71</v>
      </c>
      <c r="G1324" t="str">
        <f t="array" ref="G1324">iferror(index(fatty_acid!$J:$J,match($A1324,fatty_acid!$A:$A,0)))</f>
        <v>N</v>
      </c>
      <c r="H1324" t="str">
        <f t="array" ref="H1324">iferror(index(isotopes!$G:$G,match($A1324,isotopes!$A:$A,0)))</f>
        <v>BIS34-70</v>
      </c>
      <c r="I1324" t="str">
        <f t="array" ref="I1324">iferror(index(isotopes!$J:$J,match($A1324,isotopes!$A:$A,0)))</f>
        <v>N</v>
      </c>
      <c r="J1324" t="str">
        <f t="array" ref="J1324">iferror(index(extra_muscle!$G:$G,match($A1324,extra_muscle!$A:$A,0)))</f>
        <v>BXM37-33</v>
      </c>
      <c r="K1324" t="str">
        <f t="array" ref="K1324">iferror(index(extra_muscle!$J:$J,match($A1324,extra_muscle!$A:$A,0)))</f>
        <v>N</v>
      </c>
      <c r="L1324" s="59" t="str">
        <f t="array" ref="L1324">iferror(index(dna!$G:$G,match($A1324,dna!$A:$A,0)))</f>
        <v>BDN11-7</v>
      </c>
      <c r="M1324" s="60" t="str">
        <f t="array" ref="M1324">iferror(index(dna!$J:$J,match($A1324,dna!$A:$A,0)))</f>
        <v>N</v>
      </c>
      <c r="N1324" t="str">
        <f t="array" ref="N1324">iferror(index(stomachs!$G:$G,match($A1324,stomachs!$A:$A,0)))</f>
        <v/>
      </c>
      <c r="O1324" t="str">
        <f t="array" ref="O1324">iferror(index(stomachs!$J:$J,match($A1324,stomachs!$A:$A,0)))</f>
        <v/>
      </c>
      <c r="P1324" t="str">
        <f t="array" ref="P1324">iferror(index(sea_lice!$G:$G,match($A1324,sea_lice!$A:$A,0)))</f>
        <v>BSL8-30</v>
      </c>
      <c r="Q1324" t="str">
        <f t="array" ref="Q1324">iferror(index(sea_lice!$J:$J,match($A1324,sea_lice!$A:$A,0)))</f>
        <v>N</v>
      </c>
      <c r="R1324" s="40" t="str">
        <f t="array" ref="R1324">iferror(index(dissected_fish!$F:$F,match($A1324,dissected_fish!$A:$A,0)))</f>
        <v>BCA111</v>
      </c>
      <c r="S1324" s="40" t="str">
        <f t="array" ref="S1324">iferror(index(dissected_fish!$K:$K,match($A1324,dissected_fish!$A:$A,0)))</f>
        <v>N</v>
      </c>
      <c r="T1324" s="61" t="str">
        <f t="array" ref="T1324">index(fish_lab_data!O:O,match(A1324,fish_lab_data!C:C,0))</f>
        <v>JG</v>
      </c>
      <c r="U1324" s="61">
        <f t="array" ref="U1324">if(A1324="","",index(fish_lab_data!X:X,match(A1324,fish_lab_data!C:C,0)))</f>
        <v>1323</v>
      </c>
    </row>
    <row r="1325">
      <c r="A1325" t="str">
        <f>fish_lab_data!C1325</f>
        <v>U16656</v>
      </c>
      <c r="B1325" t="str">
        <f t="array" ref="B1325">iferror(index('rna-muscle'!$I:$I,match($A1325,'rna-muscle'!$A:$A,0)))</f>
        <v>BRN76M-G2</v>
      </c>
      <c r="C1325" t="str">
        <f t="array" ref="C1325">iferror(index('rna-muscle'!$L:$L,match($A1325,'rna-muscle'!$A:$A,0)))</f>
        <v>N</v>
      </c>
      <c r="D1325" t="str">
        <f t="array" ref="D1325">iferror(index('rna-gill'!$I:$I,match($A1325,'rna-gill'!$A:$A,0)))</f>
        <v>BRN76G-G2</v>
      </c>
      <c r="E1325" t="str">
        <f t="array" ref="E1325">iferror(index('rna-gill'!$L:$L,match($A1325,'rna-gill'!$A:$A,0)))</f>
        <v>N</v>
      </c>
      <c r="F1325" t="str">
        <f t="array" ref="F1325">iferror(index(fatty_acid!$G:$G,match($A1325,fatty_acid!$A:$A,0)))</f>
        <v>BFA33-72</v>
      </c>
      <c r="G1325" t="str">
        <f t="array" ref="G1325">iferror(index(fatty_acid!$J:$J,match($A1325,fatty_acid!$A:$A,0)))</f>
        <v>N</v>
      </c>
      <c r="H1325" t="str">
        <f t="array" ref="H1325">iferror(index(isotopes!$G:$G,match($A1325,isotopes!$A:$A,0)))</f>
        <v>BIS34-71</v>
      </c>
      <c r="I1325" t="str">
        <f t="array" ref="I1325">iferror(index(isotopes!$J:$J,match($A1325,isotopes!$A:$A,0)))</f>
        <v>N</v>
      </c>
      <c r="J1325" t="str">
        <f t="array" ref="J1325">iferror(index(extra_muscle!$G:$G,match($A1325,extra_muscle!$A:$A,0)))</f>
        <v>BXM37-34</v>
      </c>
      <c r="K1325" t="str">
        <f t="array" ref="K1325">iferror(index(extra_muscle!$J:$J,match($A1325,extra_muscle!$A:$A,0)))</f>
        <v>N</v>
      </c>
      <c r="L1325" s="59" t="str">
        <f t="array" ref="L1325">iferror(index(dna!$G:$G,match($A1325,dna!$A:$A,0)))</f>
        <v>BDN11-8</v>
      </c>
      <c r="M1325" s="60" t="str">
        <f t="array" ref="M1325">iferror(index(dna!$J:$J,match($A1325,dna!$A:$A,0)))</f>
        <v>N</v>
      </c>
      <c r="N1325" t="str">
        <f t="array" ref="N1325">iferror(index(stomachs!$G:$G,match($A1325,stomachs!$A:$A,0)))</f>
        <v/>
      </c>
      <c r="O1325" t="str">
        <f t="array" ref="O1325">iferror(index(stomachs!$J:$J,match($A1325,stomachs!$A:$A,0)))</f>
        <v/>
      </c>
      <c r="P1325" t="str">
        <f t="array" ref="P1325">iferror(index(sea_lice!$G:$G,match($A1325,sea_lice!$A:$A,0)))</f>
        <v/>
      </c>
      <c r="Q1325" t="str">
        <f t="array" ref="Q1325">iferror(index(sea_lice!$J:$J,match($A1325,sea_lice!$A:$A,0)))</f>
        <v/>
      </c>
      <c r="R1325" s="40" t="str">
        <f t="array" ref="R1325">iferror(index(dissected_fish!$F:$F,match($A1325,dissected_fish!$A:$A,0)))</f>
        <v>BCA111</v>
      </c>
      <c r="S1325" s="40" t="str">
        <f t="array" ref="S1325">iferror(index(dissected_fish!$K:$K,match($A1325,dissected_fish!$A:$A,0)))</f>
        <v>N</v>
      </c>
      <c r="T1325" s="61" t="str">
        <f t="array" ref="T1325">index(fish_lab_data!O:O,match(A1325,fish_lab_data!C:C,0))</f>
        <v>JG</v>
      </c>
      <c r="U1325" s="61">
        <f t="array" ref="U1325">if(A1325="","",index(fish_lab_data!X:X,match(A1325,fish_lab_data!C:C,0)))</f>
        <v>1324</v>
      </c>
    </row>
    <row r="1326">
      <c r="A1326" t="str">
        <f>fish_lab_data!C1326</f>
        <v>U16660</v>
      </c>
      <c r="B1326" t="str">
        <f t="array" ref="B1326">iferror(index('rna-muscle'!$I:$I,match($A1326,'rna-muscle'!$A:$A,0)))</f>
        <v>BRN76M-F2</v>
      </c>
      <c r="C1326" t="str">
        <f t="array" ref="C1326">iferror(index('rna-muscle'!$L:$L,match($A1326,'rna-muscle'!$A:$A,0)))</f>
        <v>N</v>
      </c>
      <c r="D1326" t="str">
        <f t="array" ref="D1326">iferror(index('rna-gill'!$I:$I,match($A1326,'rna-gill'!$A:$A,0)))</f>
        <v>BRN76G-F2</v>
      </c>
      <c r="E1326" t="str">
        <f t="array" ref="E1326">iferror(index('rna-gill'!$L:$L,match($A1326,'rna-gill'!$A:$A,0)))</f>
        <v>N</v>
      </c>
      <c r="F1326" t="str">
        <f t="array" ref="F1326">iferror(index(fatty_acid!$G:$G,match($A1326,fatty_acid!$A:$A,0)))</f>
        <v>BFA33-73</v>
      </c>
      <c r="G1326" t="str">
        <f t="array" ref="G1326">iferror(index(fatty_acid!$J:$J,match($A1326,fatty_acid!$A:$A,0)))</f>
        <v>N</v>
      </c>
      <c r="H1326" t="str">
        <f t="array" ref="H1326">iferror(index(isotopes!$G:$G,match($A1326,isotopes!$A:$A,0)))</f>
        <v>BIS34-72</v>
      </c>
      <c r="I1326" t="str">
        <f t="array" ref="I1326">iferror(index(isotopes!$J:$J,match($A1326,isotopes!$A:$A,0)))</f>
        <v>N</v>
      </c>
      <c r="J1326" t="str">
        <f t="array" ref="J1326">iferror(index(extra_muscle!$G:$G,match($A1326,extra_muscle!$A:$A,0)))</f>
        <v>BXM37-35</v>
      </c>
      <c r="K1326" t="str">
        <f t="array" ref="K1326">iferror(index(extra_muscle!$J:$J,match($A1326,extra_muscle!$A:$A,0)))</f>
        <v>N</v>
      </c>
      <c r="L1326" s="59" t="str">
        <f t="array" ref="L1326">iferror(index(dna!$G:$G,match($A1326,dna!$A:$A,0)))</f>
        <v>BDN11-9</v>
      </c>
      <c r="M1326" s="60" t="str">
        <f t="array" ref="M1326">iferror(index(dna!$J:$J,match($A1326,dna!$A:$A,0)))</f>
        <v>N</v>
      </c>
      <c r="N1326" t="str">
        <f t="array" ref="N1326">iferror(index(stomachs!$G:$G,match($A1326,stomachs!$A:$A,0)))</f>
        <v/>
      </c>
      <c r="O1326" t="str">
        <f t="array" ref="O1326">iferror(index(stomachs!$J:$J,match($A1326,stomachs!$A:$A,0)))</f>
        <v/>
      </c>
      <c r="P1326" t="str">
        <f t="array" ref="P1326">iferror(index(sea_lice!$G:$G,match($A1326,sea_lice!$A:$A,0)))</f>
        <v/>
      </c>
      <c r="Q1326" t="str">
        <f t="array" ref="Q1326">iferror(index(sea_lice!$J:$J,match($A1326,sea_lice!$A:$A,0)))</f>
        <v/>
      </c>
      <c r="R1326" s="40" t="str">
        <f t="array" ref="R1326">iferror(index(dissected_fish!$F:$F,match($A1326,dissected_fish!$A:$A,0)))</f>
        <v>BCA111</v>
      </c>
      <c r="S1326" s="40" t="str">
        <f t="array" ref="S1326">iferror(index(dissected_fish!$K:$K,match($A1326,dissected_fish!$A:$A,0)))</f>
        <v>N</v>
      </c>
      <c r="T1326" s="61" t="str">
        <f t="array" ref="T1326">index(fish_lab_data!O:O,match(A1326,fish_lab_data!C:C,0))</f>
        <v>JG</v>
      </c>
      <c r="U1326" s="61">
        <f t="array" ref="U1326">if(A1326="","",index(fish_lab_data!X:X,match(A1326,fish_lab_data!C:C,0)))</f>
        <v>1325</v>
      </c>
    </row>
    <row r="1327">
      <c r="A1327" t="str">
        <f>fish_lab_data!C1327</f>
        <v>U16657</v>
      </c>
      <c r="B1327" t="str">
        <f t="array" ref="B1327">iferror(index('rna-muscle'!$I:$I,match($A1327,'rna-muscle'!$A:$A,0)))</f>
        <v>BRN76M-E2</v>
      </c>
      <c r="C1327" t="str">
        <f t="array" ref="C1327">iferror(index('rna-muscle'!$L:$L,match($A1327,'rna-muscle'!$A:$A,0)))</f>
        <v>N</v>
      </c>
      <c r="D1327" t="str">
        <f t="array" ref="D1327">iferror(index('rna-gill'!$I:$I,match($A1327,'rna-gill'!$A:$A,0)))</f>
        <v>BRN76G-E2</v>
      </c>
      <c r="E1327" t="str">
        <f t="array" ref="E1327">iferror(index('rna-gill'!$L:$L,match($A1327,'rna-gill'!$A:$A,0)))</f>
        <v>N</v>
      </c>
      <c r="F1327" t="str">
        <f t="array" ref="F1327">iferror(index(fatty_acid!$G:$G,match($A1327,fatty_acid!$A:$A,0)))</f>
        <v>BFA33-74</v>
      </c>
      <c r="G1327" t="str">
        <f t="array" ref="G1327">iferror(index(fatty_acid!$J:$J,match($A1327,fatty_acid!$A:$A,0)))</f>
        <v>N</v>
      </c>
      <c r="H1327" t="str">
        <f t="array" ref="H1327">iferror(index(isotopes!$G:$G,match($A1327,isotopes!$A:$A,0)))</f>
        <v>BIS34-73</v>
      </c>
      <c r="I1327" t="str">
        <f t="array" ref="I1327">iferror(index(isotopes!$J:$J,match($A1327,isotopes!$A:$A,0)))</f>
        <v>N</v>
      </c>
      <c r="J1327" t="str">
        <f t="array" ref="J1327">iferror(index(extra_muscle!$G:$G,match($A1327,extra_muscle!$A:$A,0)))</f>
        <v>BXM37-36</v>
      </c>
      <c r="K1327" t="str">
        <f t="array" ref="K1327">iferror(index(extra_muscle!$J:$J,match($A1327,extra_muscle!$A:$A,0)))</f>
        <v>N</v>
      </c>
      <c r="L1327" s="59" t="str">
        <f t="array" ref="L1327">iferror(index(dna!$G:$G,match($A1327,dna!$A:$A,0)))</f>
        <v>BDN11-10</v>
      </c>
      <c r="M1327" s="60" t="str">
        <f t="array" ref="M1327">iferror(index(dna!$J:$J,match($A1327,dna!$A:$A,0)))</f>
        <v>N</v>
      </c>
      <c r="N1327" t="str">
        <f t="array" ref="N1327">iferror(index(stomachs!$G:$G,match($A1327,stomachs!$A:$A,0)))</f>
        <v/>
      </c>
      <c r="O1327" t="str">
        <f t="array" ref="O1327">iferror(index(stomachs!$J:$J,match($A1327,stomachs!$A:$A,0)))</f>
        <v/>
      </c>
      <c r="P1327" t="str">
        <f t="array" ref="P1327">iferror(index(sea_lice!$G:$G,match($A1327,sea_lice!$A:$A,0)))</f>
        <v/>
      </c>
      <c r="Q1327" t="str">
        <f t="array" ref="Q1327">iferror(index(sea_lice!$J:$J,match($A1327,sea_lice!$A:$A,0)))</f>
        <v/>
      </c>
      <c r="R1327" s="40" t="str">
        <f t="array" ref="R1327">iferror(index(dissected_fish!$F:$F,match($A1327,dissected_fish!$A:$A,0)))</f>
        <v>BCA111</v>
      </c>
      <c r="S1327" s="40" t="str">
        <f t="array" ref="S1327">iferror(index(dissected_fish!$K:$K,match($A1327,dissected_fish!$A:$A,0)))</f>
        <v>N</v>
      </c>
      <c r="T1327" s="61" t="str">
        <f t="array" ref="T1327">index(fish_lab_data!O:O,match(A1327,fish_lab_data!C:C,0))</f>
        <v>JG</v>
      </c>
      <c r="U1327" s="61">
        <f t="array" ref="U1327">if(A1327="","",index(fish_lab_data!X:X,match(A1327,fish_lab_data!C:C,0)))</f>
        <v>1326</v>
      </c>
    </row>
    <row r="1328">
      <c r="A1328" t="str">
        <f>fish_lab_data!C1328</f>
        <v>U16654</v>
      </c>
      <c r="B1328" t="str">
        <f t="array" ref="B1328">iferror(index('rna-muscle'!$I:$I,match($A1328,'rna-muscle'!$A:$A,0)))</f>
        <v>BRN76M-D2</v>
      </c>
      <c r="C1328" t="str">
        <f t="array" ref="C1328">iferror(index('rna-muscle'!$L:$L,match($A1328,'rna-muscle'!$A:$A,0)))</f>
        <v>N</v>
      </c>
      <c r="D1328" t="str">
        <f t="array" ref="D1328">iferror(index('rna-gill'!$I:$I,match($A1328,'rna-gill'!$A:$A,0)))</f>
        <v>BRN76G-D2</v>
      </c>
      <c r="E1328" t="str">
        <f t="array" ref="E1328">iferror(index('rna-gill'!$L:$L,match($A1328,'rna-gill'!$A:$A,0)))</f>
        <v>N</v>
      </c>
      <c r="F1328" t="str">
        <f t="array" ref="F1328">iferror(index(fatty_acid!$G:$G,match($A1328,fatty_acid!$A:$A,0)))</f>
        <v>BFA33-75</v>
      </c>
      <c r="G1328" t="str">
        <f t="array" ref="G1328">iferror(index(fatty_acid!$J:$J,match($A1328,fatty_acid!$A:$A,0)))</f>
        <v>N</v>
      </c>
      <c r="H1328" t="str">
        <f t="array" ref="H1328">iferror(index(isotopes!$G:$G,match($A1328,isotopes!$A:$A,0)))</f>
        <v>BIS34-74</v>
      </c>
      <c r="I1328" t="str">
        <f t="array" ref="I1328">iferror(index(isotopes!$J:$J,match($A1328,isotopes!$A:$A,0)))</f>
        <v>N</v>
      </c>
      <c r="J1328" t="str">
        <f t="array" ref="J1328">iferror(index(extra_muscle!$G:$G,match($A1328,extra_muscle!$A:$A,0)))</f>
        <v>BXM37-37</v>
      </c>
      <c r="K1328" t="str">
        <f t="array" ref="K1328">iferror(index(extra_muscle!$J:$J,match($A1328,extra_muscle!$A:$A,0)))</f>
        <v>N</v>
      </c>
      <c r="L1328" s="59" t="str">
        <f t="array" ref="L1328">iferror(index(dna!$G:$G,match($A1328,dna!$A:$A,0)))</f>
        <v>BDN11-11</v>
      </c>
      <c r="M1328" s="60" t="str">
        <f t="array" ref="M1328">iferror(index(dna!$J:$J,match($A1328,dna!$A:$A,0)))</f>
        <v>N</v>
      </c>
      <c r="N1328" t="str">
        <f t="array" ref="N1328">iferror(index(stomachs!$G:$G,match($A1328,stomachs!$A:$A,0)))</f>
        <v/>
      </c>
      <c r="O1328" t="str">
        <f t="array" ref="O1328">iferror(index(stomachs!$J:$J,match($A1328,stomachs!$A:$A,0)))</f>
        <v/>
      </c>
      <c r="P1328" t="str">
        <f t="array" ref="P1328">iferror(index(sea_lice!$G:$G,match($A1328,sea_lice!$A:$A,0)))</f>
        <v/>
      </c>
      <c r="Q1328" t="str">
        <f t="array" ref="Q1328">iferror(index(sea_lice!$J:$J,match($A1328,sea_lice!$A:$A,0)))</f>
        <v/>
      </c>
      <c r="R1328" s="40" t="str">
        <f t="array" ref="R1328">iferror(index(dissected_fish!$F:$F,match($A1328,dissected_fish!$A:$A,0)))</f>
        <v>BCA111</v>
      </c>
      <c r="S1328" s="40" t="str">
        <f t="array" ref="S1328">iferror(index(dissected_fish!$K:$K,match($A1328,dissected_fish!$A:$A,0)))</f>
        <v>N</v>
      </c>
      <c r="T1328" s="61" t="str">
        <f t="array" ref="T1328">index(fish_lab_data!O:O,match(A1328,fish_lab_data!C:C,0))</f>
        <v>JG</v>
      </c>
      <c r="U1328" s="61">
        <f t="array" ref="U1328">if(A1328="","",index(fish_lab_data!X:X,match(A1328,fish_lab_data!C:C,0)))</f>
        <v>1327</v>
      </c>
    </row>
    <row r="1329">
      <c r="A1329" t="str">
        <f>fish_lab_data!C1329</f>
        <v>U16651</v>
      </c>
      <c r="B1329" t="str">
        <f t="array" ref="B1329">iferror(index('rna-muscle'!$I:$I,match($A1329,'rna-muscle'!$A:$A,0)))</f>
        <v>BRN76M-C2</v>
      </c>
      <c r="C1329" t="str">
        <f t="array" ref="C1329">iferror(index('rna-muscle'!$L:$L,match($A1329,'rna-muscle'!$A:$A,0)))</f>
        <v>N</v>
      </c>
      <c r="D1329" t="str">
        <f t="array" ref="D1329">iferror(index('rna-gill'!$I:$I,match($A1329,'rna-gill'!$A:$A,0)))</f>
        <v>BRN76G-C2</v>
      </c>
      <c r="E1329" t="str">
        <f t="array" ref="E1329">iferror(index('rna-gill'!$L:$L,match($A1329,'rna-gill'!$A:$A,0)))</f>
        <v>N</v>
      </c>
      <c r="F1329" t="str">
        <f t="array" ref="F1329">iferror(index(fatty_acid!$G:$G,match($A1329,fatty_acid!$A:$A,0)))</f>
        <v>BFA33-76</v>
      </c>
      <c r="G1329" t="str">
        <f t="array" ref="G1329">iferror(index(fatty_acid!$J:$J,match($A1329,fatty_acid!$A:$A,0)))</f>
        <v>N</v>
      </c>
      <c r="H1329" t="str">
        <f t="array" ref="H1329">iferror(index(isotopes!$G:$G,match($A1329,isotopes!$A:$A,0)))</f>
        <v>BIS34-75</v>
      </c>
      <c r="I1329" t="str">
        <f t="array" ref="I1329">iferror(index(isotopes!$J:$J,match($A1329,isotopes!$A:$A,0)))</f>
        <v>N</v>
      </c>
      <c r="J1329" t="str">
        <f t="array" ref="J1329">iferror(index(extra_muscle!$G:$G,match($A1329,extra_muscle!$A:$A,0)))</f>
        <v>BXM37-38</v>
      </c>
      <c r="K1329" t="str">
        <f t="array" ref="K1329">iferror(index(extra_muscle!$J:$J,match($A1329,extra_muscle!$A:$A,0)))</f>
        <v>N</v>
      </c>
      <c r="L1329" s="59" t="str">
        <f t="array" ref="L1329">iferror(index(dna!$G:$G,match($A1329,dna!$A:$A,0)))</f>
        <v>BDN11-12</v>
      </c>
      <c r="M1329" s="60" t="str">
        <f t="array" ref="M1329">iferror(index(dna!$J:$J,match($A1329,dna!$A:$A,0)))</f>
        <v>N</v>
      </c>
      <c r="N1329" t="str">
        <f t="array" ref="N1329">iferror(index(stomachs!$G:$G,match($A1329,stomachs!$A:$A,0)))</f>
        <v/>
      </c>
      <c r="O1329" t="str">
        <f t="array" ref="O1329">iferror(index(stomachs!$J:$J,match($A1329,stomachs!$A:$A,0)))</f>
        <v/>
      </c>
      <c r="P1329" t="str">
        <f t="array" ref="P1329">iferror(index(sea_lice!$G:$G,match($A1329,sea_lice!$A:$A,0)))</f>
        <v/>
      </c>
      <c r="Q1329" t="str">
        <f t="array" ref="Q1329">iferror(index(sea_lice!$J:$J,match($A1329,sea_lice!$A:$A,0)))</f>
        <v/>
      </c>
      <c r="R1329" s="40" t="str">
        <f t="array" ref="R1329">iferror(index(dissected_fish!$F:$F,match($A1329,dissected_fish!$A:$A,0)))</f>
        <v>BCA111</v>
      </c>
      <c r="S1329" s="40" t="str">
        <f t="array" ref="S1329">iferror(index(dissected_fish!$K:$K,match($A1329,dissected_fish!$A:$A,0)))</f>
        <v>N</v>
      </c>
      <c r="T1329" s="61" t="str">
        <f t="array" ref="T1329">index(fish_lab_data!O:O,match(A1329,fish_lab_data!C:C,0))</f>
        <v>JG</v>
      </c>
      <c r="U1329" s="61">
        <f t="array" ref="U1329">if(A1329="","",index(fish_lab_data!X:X,match(A1329,fish_lab_data!C:C,0)))</f>
        <v>1328</v>
      </c>
    </row>
    <row r="1330">
      <c r="A1330" t="str">
        <f>fish_lab_data!C1330</f>
        <v>U17470</v>
      </c>
      <c r="B1330" t="str">
        <f t="array" ref="B1330">iferror(index('rna-muscle'!$I:$I,match($A1330,'rna-muscle'!$A:$A,0)))</f>
        <v>BRN76M-B2</v>
      </c>
      <c r="C1330" t="str">
        <f t="array" ref="C1330">iferror(index('rna-muscle'!$L:$L,match($A1330,'rna-muscle'!$A:$A,0)))</f>
        <v>N</v>
      </c>
      <c r="D1330" t="str">
        <f t="array" ref="D1330">iferror(index('rna-gill'!$I:$I,match($A1330,'rna-gill'!$A:$A,0)))</f>
        <v>BRN76G-B2</v>
      </c>
      <c r="E1330" t="str">
        <f t="array" ref="E1330">iferror(index('rna-gill'!$L:$L,match($A1330,'rna-gill'!$A:$A,0)))</f>
        <v>N</v>
      </c>
      <c r="F1330" t="str">
        <f t="array" ref="F1330">iferror(index(fatty_acid!$G:$G,match($A1330,fatty_acid!$A:$A,0)))</f>
        <v>BFA33-77</v>
      </c>
      <c r="G1330" t="str">
        <f t="array" ref="G1330">iferror(index(fatty_acid!$J:$J,match($A1330,fatty_acid!$A:$A,0)))</f>
        <v>N</v>
      </c>
      <c r="H1330" t="str">
        <f t="array" ref="H1330">iferror(index(isotopes!$G:$G,match($A1330,isotopes!$A:$A,0)))</f>
        <v>BIS34-76</v>
      </c>
      <c r="I1330" t="str">
        <f t="array" ref="I1330">iferror(index(isotopes!$J:$J,match($A1330,isotopes!$A:$A,0)))</f>
        <v>N</v>
      </c>
      <c r="J1330" t="str">
        <f t="array" ref="J1330">iferror(index(extra_muscle!$G:$G,match($A1330,extra_muscle!$A:$A,0)))</f>
        <v>BXM37-39</v>
      </c>
      <c r="K1330" t="str">
        <f t="array" ref="K1330">iferror(index(extra_muscle!$J:$J,match($A1330,extra_muscle!$A:$A,0)))</f>
        <v>N</v>
      </c>
      <c r="L1330" s="59" t="str">
        <f t="array" ref="L1330">iferror(index(dna!$G:$G,match($A1330,dna!$A:$A,0)))</f>
        <v>BDN11-13</v>
      </c>
      <c r="M1330" s="60" t="str">
        <f t="array" ref="M1330">iferror(index(dna!$J:$J,match($A1330,dna!$A:$A,0)))</f>
        <v>N</v>
      </c>
      <c r="N1330" t="str">
        <f t="array" ref="N1330">iferror(index(stomachs!$G:$G,match($A1330,stomachs!$A:$A,0)))</f>
        <v/>
      </c>
      <c r="O1330" t="str">
        <f t="array" ref="O1330">iferror(index(stomachs!$J:$J,match($A1330,stomachs!$A:$A,0)))</f>
        <v/>
      </c>
      <c r="P1330" t="str">
        <f t="array" ref="P1330">iferror(index(sea_lice!$G:$G,match($A1330,sea_lice!$A:$A,0)))</f>
        <v/>
      </c>
      <c r="Q1330" t="str">
        <f t="array" ref="Q1330">iferror(index(sea_lice!$J:$J,match($A1330,sea_lice!$A:$A,0)))</f>
        <v/>
      </c>
      <c r="R1330" s="40" t="str">
        <f t="array" ref="R1330">iferror(index(dissected_fish!$F:$F,match($A1330,dissected_fish!$A:$A,0)))</f>
        <v>BCA111</v>
      </c>
      <c r="S1330" s="40" t="str">
        <f t="array" ref="S1330">iferror(index(dissected_fish!$K:$K,match($A1330,dissected_fish!$A:$A,0)))</f>
        <v>N</v>
      </c>
      <c r="T1330" s="61" t="str">
        <f t="array" ref="T1330">index(fish_lab_data!O:O,match(A1330,fish_lab_data!C:C,0))</f>
        <v>JG</v>
      </c>
      <c r="U1330" s="61">
        <f t="array" ref="U1330">if(A1330="","",index(fish_lab_data!X:X,match(A1330,fish_lab_data!C:C,0)))</f>
        <v>1329</v>
      </c>
    </row>
    <row r="1331">
      <c r="A1331" t="str">
        <f>fish_lab_data!C1331</f>
        <v>U17469</v>
      </c>
      <c r="B1331" t="str">
        <f t="array" ref="B1331">iferror(index('rna-muscle'!$I:$I,match($A1331,'rna-muscle'!$A:$A,0)))</f>
        <v>BRN76M-A2</v>
      </c>
      <c r="C1331" t="str">
        <f t="array" ref="C1331">iferror(index('rna-muscle'!$L:$L,match($A1331,'rna-muscle'!$A:$A,0)))</f>
        <v>N</v>
      </c>
      <c r="D1331" t="str">
        <f t="array" ref="D1331">iferror(index('rna-gill'!$I:$I,match($A1331,'rna-gill'!$A:$A,0)))</f>
        <v>BRN76G-A2</v>
      </c>
      <c r="E1331" t="str">
        <f t="array" ref="E1331">iferror(index('rna-gill'!$L:$L,match($A1331,'rna-gill'!$A:$A,0)))</f>
        <v>N</v>
      </c>
      <c r="F1331" t="str">
        <f t="array" ref="F1331">iferror(index(fatty_acid!$G:$G,match($A1331,fatty_acid!$A:$A,0)))</f>
        <v>BFA33-78</v>
      </c>
      <c r="G1331" t="str">
        <f t="array" ref="G1331">iferror(index(fatty_acid!$J:$J,match($A1331,fatty_acid!$A:$A,0)))</f>
        <v>N</v>
      </c>
      <c r="H1331" t="str">
        <f t="array" ref="H1331">iferror(index(isotopes!$G:$G,match($A1331,isotopes!$A:$A,0)))</f>
        <v>BIS34-77</v>
      </c>
      <c r="I1331" t="str">
        <f t="array" ref="I1331">iferror(index(isotopes!$J:$J,match($A1331,isotopes!$A:$A,0)))</f>
        <v>N</v>
      </c>
      <c r="J1331" t="str">
        <f t="array" ref="J1331">iferror(index(extra_muscle!$G:$G,match($A1331,extra_muscle!$A:$A,0)))</f>
        <v>BXM37-40</v>
      </c>
      <c r="K1331" t="str">
        <f t="array" ref="K1331">iferror(index(extra_muscle!$J:$J,match($A1331,extra_muscle!$A:$A,0)))</f>
        <v>N</v>
      </c>
      <c r="L1331" s="59" t="str">
        <f t="array" ref="L1331">iferror(index(dna!$G:$G,match($A1331,dna!$A:$A,0)))</f>
        <v>BDN11-14</v>
      </c>
      <c r="M1331" s="60" t="str">
        <f t="array" ref="M1331">iferror(index(dna!$J:$J,match($A1331,dna!$A:$A,0)))</f>
        <v>N</v>
      </c>
      <c r="N1331" t="str">
        <f t="array" ref="N1331">iferror(index(stomachs!$G:$G,match($A1331,stomachs!$A:$A,0)))</f>
        <v/>
      </c>
      <c r="O1331" t="str">
        <f t="array" ref="O1331">iferror(index(stomachs!$J:$J,match($A1331,stomachs!$A:$A,0)))</f>
        <v/>
      </c>
      <c r="P1331" t="str">
        <f t="array" ref="P1331">iferror(index(sea_lice!$G:$G,match($A1331,sea_lice!$A:$A,0)))</f>
        <v>BSL8-31</v>
      </c>
      <c r="Q1331" t="str">
        <f t="array" ref="Q1331">iferror(index(sea_lice!$J:$J,match($A1331,sea_lice!$A:$A,0)))</f>
        <v>N</v>
      </c>
      <c r="R1331" s="40" t="str">
        <f t="array" ref="R1331">iferror(index(dissected_fish!$F:$F,match($A1331,dissected_fish!$A:$A,0)))</f>
        <v>BCA111</v>
      </c>
      <c r="S1331" s="40" t="str">
        <f t="array" ref="S1331">iferror(index(dissected_fish!$K:$K,match($A1331,dissected_fish!$A:$A,0)))</f>
        <v>N</v>
      </c>
      <c r="T1331" s="61" t="str">
        <f t="array" ref="T1331">index(fish_lab_data!O:O,match(A1331,fish_lab_data!C:C,0))</f>
        <v>JG</v>
      </c>
      <c r="U1331" s="61">
        <f t="array" ref="U1331">if(A1331="","",index(fish_lab_data!X:X,match(A1331,fish_lab_data!C:C,0)))</f>
        <v>1330</v>
      </c>
    </row>
    <row r="1332">
      <c r="A1332" t="str">
        <f>fish_lab_data!C1332</f>
        <v>U17468</v>
      </c>
      <c r="B1332" t="str">
        <f t="array" ref="B1332">iferror(index('rna-muscle'!$I:$I,match($A1332,'rna-muscle'!$A:$A,0)))</f>
        <v>BRN76M-H3</v>
      </c>
      <c r="C1332" t="str">
        <f t="array" ref="C1332">iferror(index('rna-muscle'!$L:$L,match($A1332,'rna-muscle'!$A:$A,0)))</f>
        <v>N</v>
      </c>
      <c r="D1332" t="str">
        <f t="array" ref="D1332">iferror(index('rna-gill'!$I:$I,match($A1332,'rna-gill'!$A:$A,0)))</f>
        <v>BRN76G-H3</v>
      </c>
      <c r="E1332" t="str">
        <f t="array" ref="E1332">iferror(index('rna-gill'!$L:$L,match($A1332,'rna-gill'!$A:$A,0)))</f>
        <v>N</v>
      </c>
      <c r="F1332" t="str">
        <f t="array" ref="F1332">iferror(index(fatty_acid!$G:$G,match($A1332,fatty_acid!$A:$A,0)))</f>
        <v>BFA33-79</v>
      </c>
      <c r="G1332" t="str">
        <f t="array" ref="G1332">iferror(index(fatty_acid!$J:$J,match($A1332,fatty_acid!$A:$A,0)))</f>
        <v>N</v>
      </c>
      <c r="H1332" t="str">
        <f t="array" ref="H1332">iferror(index(isotopes!$G:$G,match($A1332,isotopes!$A:$A,0)))</f>
        <v>BIS34-78</v>
      </c>
      <c r="I1332" t="str">
        <f t="array" ref="I1332">iferror(index(isotopes!$J:$J,match($A1332,isotopes!$A:$A,0)))</f>
        <v>N</v>
      </c>
      <c r="J1332" t="str">
        <f t="array" ref="J1332">iferror(index(extra_muscle!$G:$G,match($A1332,extra_muscle!$A:$A,0)))</f>
        <v>BXM37-41</v>
      </c>
      <c r="K1332" t="str">
        <f t="array" ref="K1332">iferror(index(extra_muscle!$J:$J,match($A1332,extra_muscle!$A:$A,0)))</f>
        <v>N</v>
      </c>
      <c r="L1332" s="59" t="str">
        <f t="array" ref="L1332">iferror(index(dna!$G:$G,match($A1332,dna!$A:$A,0)))</f>
        <v>BDN11-15</v>
      </c>
      <c r="M1332" s="60" t="str">
        <f t="array" ref="M1332">iferror(index(dna!$J:$J,match($A1332,dna!$A:$A,0)))</f>
        <v>N</v>
      </c>
      <c r="N1332" t="str">
        <f t="array" ref="N1332">iferror(index(stomachs!$G:$G,match($A1332,stomachs!$A:$A,0)))</f>
        <v/>
      </c>
      <c r="O1332" t="str">
        <f t="array" ref="O1332">iferror(index(stomachs!$J:$J,match($A1332,stomachs!$A:$A,0)))</f>
        <v/>
      </c>
      <c r="P1332" t="str">
        <f t="array" ref="P1332">iferror(index(sea_lice!$G:$G,match($A1332,sea_lice!$A:$A,0)))</f>
        <v>BSL8-32</v>
      </c>
      <c r="Q1332" t="str">
        <f t="array" ref="Q1332">iferror(index(sea_lice!$J:$J,match($A1332,sea_lice!$A:$A,0)))</f>
        <v>N</v>
      </c>
      <c r="R1332" s="40" t="str">
        <f t="array" ref="R1332">iferror(index(dissected_fish!$F:$F,match($A1332,dissected_fish!$A:$A,0)))</f>
        <v>BCA111</v>
      </c>
      <c r="S1332" s="40" t="str">
        <f t="array" ref="S1332">iferror(index(dissected_fish!$K:$K,match($A1332,dissected_fish!$A:$A,0)))</f>
        <v>N</v>
      </c>
      <c r="T1332" s="61" t="str">
        <f t="array" ref="T1332">index(fish_lab_data!O:O,match(A1332,fish_lab_data!C:C,0))</f>
        <v>JG</v>
      </c>
      <c r="U1332" s="61">
        <f t="array" ref="U1332">if(A1332="","",index(fish_lab_data!X:X,match(A1332,fish_lab_data!C:C,0)))</f>
        <v>1331</v>
      </c>
    </row>
    <row r="1333">
      <c r="A1333" t="str">
        <f>fish_lab_data!C1333</f>
        <v>U17467</v>
      </c>
      <c r="B1333" t="str">
        <f t="array" ref="B1333">iferror(index('rna-muscle'!$I:$I,match($A1333,'rna-muscle'!$A:$A,0)))</f>
        <v>BRN76M-G3</v>
      </c>
      <c r="C1333" t="str">
        <f t="array" ref="C1333">iferror(index('rna-muscle'!$L:$L,match($A1333,'rna-muscle'!$A:$A,0)))</f>
        <v>N</v>
      </c>
      <c r="D1333" t="str">
        <f t="array" ref="D1333">iferror(index('rna-gill'!$I:$I,match($A1333,'rna-gill'!$A:$A,0)))</f>
        <v>BRN76G-G3</v>
      </c>
      <c r="E1333" t="str">
        <f t="array" ref="E1333">iferror(index('rna-gill'!$L:$L,match($A1333,'rna-gill'!$A:$A,0)))</f>
        <v>N</v>
      </c>
      <c r="F1333" t="str">
        <f t="array" ref="F1333">iferror(index(fatty_acid!$G:$G,match($A1333,fatty_acid!$A:$A,0)))</f>
        <v>BFA33-80</v>
      </c>
      <c r="G1333" t="str">
        <f t="array" ref="G1333">iferror(index(fatty_acid!$J:$J,match($A1333,fatty_acid!$A:$A,0)))</f>
        <v>N</v>
      </c>
      <c r="H1333" t="str">
        <f t="array" ref="H1333">iferror(index(isotopes!$G:$G,match($A1333,isotopes!$A:$A,0)))</f>
        <v>BIS34-79</v>
      </c>
      <c r="I1333" t="str">
        <f t="array" ref="I1333">iferror(index(isotopes!$J:$J,match($A1333,isotopes!$A:$A,0)))</f>
        <v>N</v>
      </c>
      <c r="J1333" t="str">
        <f t="array" ref="J1333">iferror(index(extra_muscle!$G:$G,match($A1333,extra_muscle!$A:$A,0)))</f>
        <v>BXM37-42</v>
      </c>
      <c r="K1333" t="str">
        <f t="array" ref="K1333">iferror(index(extra_muscle!$J:$J,match($A1333,extra_muscle!$A:$A,0)))</f>
        <v>N</v>
      </c>
      <c r="L1333" s="59" t="str">
        <f t="array" ref="L1333">iferror(index(dna!$G:$G,match($A1333,dna!$A:$A,0)))</f>
        <v>BDN11-16</v>
      </c>
      <c r="M1333" s="60" t="str">
        <f t="array" ref="M1333">iferror(index(dna!$J:$J,match($A1333,dna!$A:$A,0)))</f>
        <v>N</v>
      </c>
      <c r="N1333" t="str">
        <f t="array" ref="N1333">iferror(index(stomachs!$G:$G,match($A1333,stomachs!$A:$A,0)))</f>
        <v/>
      </c>
      <c r="O1333" t="str">
        <f t="array" ref="O1333">iferror(index(stomachs!$J:$J,match($A1333,stomachs!$A:$A,0)))</f>
        <v/>
      </c>
      <c r="P1333" t="str">
        <f t="array" ref="P1333">iferror(index(sea_lice!$G:$G,match($A1333,sea_lice!$A:$A,0)))</f>
        <v/>
      </c>
      <c r="Q1333" t="str">
        <f t="array" ref="Q1333">iferror(index(sea_lice!$J:$J,match($A1333,sea_lice!$A:$A,0)))</f>
        <v/>
      </c>
      <c r="R1333" s="40" t="str">
        <f t="array" ref="R1333">iferror(index(dissected_fish!$F:$F,match($A1333,dissected_fish!$A:$A,0)))</f>
        <v>BCA111</v>
      </c>
      <c r="S1333" s="40" t="str">
        <f t="array" ref="S1333">iferror(index(dissected_fish!$K:$K,match($A1333,dissected_fish!$A:$A,0)))</f>
        <v>N</v>
      </c>
      <c r="T1333" s="61" t="str">
        <f t="array" ref="T1333">index(fish_lab_data!O:O,match(A1333,fish_lab_data!C:C,0))</f>
        <v>JG</v>
      </c>
      <c r="U1333" s="61">
        <f t="array" ref="U1333">if(A1333="","",index(fish_lab_data!X:X,match(A1333,fish_lab_data!C:C,0)))</f>
        <v>1332</v>
      </c>
    </row>
    <row r="1334">
      <c r="A1334" t="str">
        <f>fish_lab_data!C1334</f>
        <v>U17454</v>
      </c>
      <c r="B1334" t="str">
        <f t="array" ref="B1334">iferror(index('rna-muscle'!$I:$I,match($A1334,'rna-muscle'!$A:$A,0)))</f>
        <v>BRN76M-G5</v>
      </c>
      <c r="C1334" t="str">
        <f t="array" ref="C1334">iferror(index('rna-muscle'!$L:$L,match($A1334,'rna-muscle'!$A:$A,0)))</f>
        <v>N</v>
      </c>
      <c r="D1334" t="str">
        <f t="array" ref="D1334">iferror(index('rna-gill'!$I:$I,match($A1334,'rna-gill'!$A:$A,0)))</f>
        <v>BRN76G-G5</v>
      </c>
      <c r="E1334" t="str">
        <f t="array" ref="E1334">iferror(index('rna-gill'!$L:$L,match($A1334,'rna-gill'!$A:$A,0)))</f>
        <v>N</v>
      </c>
      <c r="F1334" t="str">
        <f t="array" ref="F1334">iferror(index(fatty_acid!$G:$G,match($A1334,fatty_acid!$A:$A,0)))</f>
        <v>BFA36-17</v>
      </c>
      <c r="G1334" t="str">
        <f t="array" ref="G1334">iferror(index(fatty_acid!$J:$J,match($A1334,fatty_acid!$A:$A,0)))</f>
        <v>N</v>
      </c>
      <c r="H1334" t="str">
        <f t="array" ref="H1334">iferror(index(isotopes!$G:$G,match($A1334,isotopes!$A:$A,0)))</f>
        <v>BIS39-17</v>
      </c>
      <c r="I1334" t="str">
        <f t="array" ref="I1334">iferror(index(isotopes!$J:$J,match($A1334,isotopes!$A:$A,0)))</f>
        <v>N</v>
      </c>
      <c r="J1334" t="str">
        <f t="array" ref="J1334">iferror(index(extra_muscle!$G:$G,match($A1334,extra_muscle!$A:$A,0)))</f>
        <v>BXM38-17</v>
      </c>
      <c r="K1334" t="str">
        <f t="array" ref="K1334">iferror(index(extra_muscle!$J:$J,match($A1334,extra_muscle!$A:$A,0)))</f>
        <v>N</v>
      </c>
      <c r="L1334" s="59" t="str">
        <f t="array" ref="L1334">iferror(index(dna!$G:$G,match($A1334,dna!$A:$A,0)))</f>
        <v>BDN9-93</v>
      </c>
      <c r="M1334" s="60" t="str">
        <f t="array" ref="M1334">iferror(index(dna!$J:$J,match($A1334,dna!$A:$A,0)))</f>
        <v>N</v>
      </c>
      <c r="N1334" t="str">
        <f t="array" ref="N1334">iferror(index(stomachs!$G:$G,match($A1334,stomachs!$A:$A,0)))</f>
        <v/>
      </c>
      <c r="O1334" t="str">
        <f t="array" ref="O1334">iferror(index(stomachs!$J:$J,match($A1334,stomachs!$A:$A,0)))</f>
        <v/>
      </c>
      <c r="P1334" t="str">
        <f t="array" ref="P1334">iferror(index(sea_lice!$G:$G,match($A1334,sea_lice!$A:$A,0)))</f>
        <v/>
      </c>
      <c r="Q1334" t="str">
        <f t="array" ref="Q1334">iferror(index(sea_lice!$J:$J,match($A1334,sea_lice!$A:$A,0)))</f>
        <v/>
      </c>
      <c r="R1334" s="40" t="str">
        <f t="array" ref="R1334">iferror(index(dissected_fish!$F:$F,match($A1334,dissected_fish!$A:$A,0)))</f>
        <v>BCA111</v>
      </c>
      <c r="S1334" s="40" t="str">
        <f t="array" ref="S1334">iferror(index(dissected_fish!$K:$K,match($A1334,dissected_fish!$A:$A,0)))</f>
        <v>N</v>
      </c>
      <c r="T1334" s="61" t="str">
        <f t="array" ref="T1334">index(fish_lab_data!O:O,match(A1334,fish_lab_data!C:C,0))</f>
        <v>KB</v>
      </c>
      <c r="U1334" s="61">
        <f t="array" ref="U1334">if(A1334="","",index(fish_lab_data!X:X,match(A1334,fish_lab_data!C:C,0)))</f>
        <v>1333</v>
      </c>
    </row>
    <row r="1335">
      <c r="A1335" t="str">
        <f>fish_lab_data!C1335</f>
        <v>U17458</v>
      </c>
      <c r="B1335" t="str">
        <f t="array" ref="B1335">iferror(index('rna-muscle'!$I:$I,match($A1335,'rna-muscle'!$A:$A,0)))</f>
        <v>BRN76M-F5</v>
      </c>
      <c r="C1335" t="str">
        <f t="array" ref="C1335">iferror(index('rna-muscle'!$L:$L,match($A1335,'rna-muscle'!$A:$A,0)))</f>
        <v>N</v>
      </c>
      <c r="D1335" t="str">
        <f t="array" ref="D1335">iferror(index('rna-gill'!$I:$I,match($A1335,'rna-gill'!$A:$A,0)))</f>
        <v>BRN76G-F5</v>
      </c>
      <c r="E1335" t="str">
        <f t="array" ref="E1335">iferror(index('rna-gill'!$L:$L,match($A1335,'rna-gill'!$A:$A,0)))</f>
        <v>N</v>
      </c>
      <c r="F1335" t="str">
        <f t="array" ref="F1335">iferror(index(fatty_acid!$G:$G,match($A1335,fatty_acid!$A:$A,0)))</f>
        <v>BFA36-18</v>
      </c>
      <c r="G1335" t="str">
        <f t="array" ref="G1335">iferror(index(fatty_acid!$J:$J,match($A1335,fatty_acid!$A:$A,0)))</f>
        <v>N</v>
      </c>
      <c r="H1335" t="str">
        <f t="array" ref="H1335">iferror(index(isotopes!$G:$G,match($A1335,isotopes!$A:$A,0)))</f>
        <v>BIS39-18</v>
      </c>
      <c r="I1335" t="str">
        <f t="array" ref="I1335">iferror(index(isotopes!$J:$J,match($A1335,isotopes!$A:$A,0)))</f>
        <v>N</v>
      </c>
      <c r="J1335" t="str">
        <f t="array" ref="J1335">iferror(index(extra_muscle!$G:$G,match($A1335,extra_muscle!$A:$A,0)))</f>
        <v>BXM38-18</v>
      </c>
      <c r="K1335" t="str">
        <f t="array" ref="K1335">iferror(index(extra_muscle!$J:$J,match($A1335,extra_muscle!$A:$A,0)))</f>
        <v>N</v>
      </c>
      <c r="L1335" s="59" t="str">
        <f t="array" ref="L1335">iferror(index(dna!$G:$G,match($A1335,dna!$A:$A,0)))</f>
        <v>BDN9-94</v>
      </c>
      <c r="M1335" s="60" t="str">
        <f t="array" ref="M1335">iferror(index(dna!$J:$J,match($A1335,dna!$A:$A,0)))</f>
        <v>N</v>
      </c>
      <c r="N1335" t="str">
        <f t="array" ref="N1335">iferror(index(stomachs!$G:$G,match($A1335,stomachs!$A:$A,0)))</f>
        <v/>
      </c>
      <c r="O1335" t="str">
        <f t="array" ref="O1335">iferror(index(stomachs!$J:$J,match($A1335,stomachs!$A:$A,0)))</f>
        <v/>
      </c>
      <c r="P1335" t="str">
        <f t="array" ref="P1335">iferror(index(sea_lice!$G:$G,match($A1335,sea_lice!$A:$A,0)))</f>
        <v/>
      </c>
      <c r="Q1335" t="str">
        <f t="array" ref="Q1335">iferror(index(sea_lice!$J:$J,match($A1335,sea_lice!$A:$A,0)))</f>
        <v/>
      </c>
      <c r="R1335" s="40" t="str">
        <f t="array" ref="R1335">iferror(index(dissected_fish!$F:$F,match($A1335,dissected_fish!$A:$A,0)))</f>
        <v>BCA111</v>
      </c>
      <c r="S1335" s="40" t="str">
        <f t="array" ref="S1335">iferror(index(dissected_fish!$K:$K,match($A1335,dissected_fish!$A:$A,0)))</f>
        <v>N</v>
      </c>
      <c r="T1335" s="61" t="str">
        <f t="array" ref="T1335">index(fish_lab_data!O:O,match(A1335,fish_lab_data!C:C,0))</f>
        <v>KB</v>
      </c>
      <c r="U1335" s="61">
        <f t="array" ref="U1335">if(A1335="","",index(fish_lab_data!X:X,match(A1335,fish_lab_data!C:C,0)))</f>
        <v>1334</v>
      </c>
    </row>
    <row r="1336">
      <c r="A1336" t="str">
        <f>fish_lab_data!C1336</f>
        <v>U17459</v>
      </c>
      <c r="B1336" t="str">
        <f t="array" ref="B1336">iferror(index('rna-muscle'!$I:$I,match($A1336,'rna-muscle'!$A:$A,0)))</f>
        <v>BRN76M-E5</v>
      </c>
      <c r="C1336" t="str">
        <f t="array" ref="C1336">iferror(index('rna-muscle'!$L:$L,match($A1336,'rna-muscle'!$A:$A,0)))</f>
        <v>N</v>
      </c>
      <c r="D1336" t="str">
        <f t="array" ref="D1336">iferror(index('rna-gill'!$I:$I,match($A1336,'rna-gill'!$A:$A,0)))</f>
        <v>BRN76G-E5</v>
      </c>
      <c r="E1336" t="str">
        <f t="array" ref="E1336">iferror(index('rna-gill'!$L:$L,match($A1336,'rna-gill'!$A:$A,0)))</f>
        <v>N</v>
      </c>
      <c r="F1336" t="str">
        <f t="array" ref="F1336">iferror(index(fatty_acid!$G:$G,match($A1336,fatty_acid!$A:$A,0)))</f>
        <v>BFA36-19</v>
      </c>
      <c r="G1336" t="str">
        <f t="array" ref="G1336">iferror(index(fatty_acid!$J:$J,match($A1336,fatty_acid!$A:$A,0)))</f>
        <v>N</v>
      </c>
      <c r="H1336" t="str">
        <f t="array" ref="H1336">iferror(index(isotopes!$G:$G,match($A1336,isotopes!$A:$A,0)))</f>
        <v>BIS39-19</v>
      </c>
      <c r="I1336" t="str">
        <f t="array" ref="I1336">iferror(index(isotopes!$J:$J,match($A1336,isotopes!$A:$A,0)))</f>
        <v>N</v>
      </c>
      <c r="J1336" t="str">
        <f t="array" ref="J1336">iferror(index(extra_muscle!$G:$G,match($A1336,extra_muscle!$A:$A,0)))</f>
        <v>BXM38-19</v>
      </c>
      <c r="K1336" t="str">
        <f t="array" ref="K1336">iferror(index(extra_muscle!$J:$J,match($A1336,extra_muscle!$A:$A,0)))</f>
        <v>N</v>
      </c>
      <c r="L1336" s="59" t="str">
        <f t="array" ref="L1336">iferror(index(dna!$G:$G,match($A1336,dna!$A:$A,0)))</f>
        <v>BDN9-95</v>
      </c>
      <c r="M1336" s="60" t="str">
        <f t="array" ref="M1336">iferror(index(dna!$J:$J,match($A1336,dna!$A:$A,0)))</f>
        <v>N</v>
      </c>
      <c r="N1336" t="str">
        <f t="array" ref="N1336">iferror(index(stomachs!$G:$G,match($A1336,stomachs!$A:$A,0)))</f>
        <v/>
      </c>
      <c r="O1336" t="str">
        <f t="array" ref="O1336">iferror(index(stomachs!$J:$J,match($A1336,stomachs!$A:$A,0)))</f>
        <v/>
      </c>
      <c r="P1336" t="str">
        <f t="array" ref="P1336">iferror(index(sea_lice!$G:$G,match($A1336,sea_lice!$A:$A,0)))</f>
        <v/>
      </c>
      <c r="Q1336" t="str">
        <f t="array" ref="Q1336">iferror(index(sea_lice!$J:$J,match($A1336,sea_lice!$A:$A,0)))</f>
        <v/>
      </c>
      <c r="R1336" s="40" t="str">
        <f t="array" ref="R1336">iferror(index(dissected_fish!$F:$F,match($A1336,dissected_fish!$A:$A,0)))</f>
        <v>BCA111</v>
      </c>
      <c r="S1336" s="40" t="str">
        <f t="array" ref="S1336">iferror(index(dissected_fish!$K:$K,match($A1336,dissected_fish!$A:$A,0)))</f>
        <v>N</v>
      </c>
      <c r="T1336" s="61" t="str">
        <f t="array" ref="T1336">index(fish_lab_data!O:O,match(A1336,fish_lab_data!C:C,0))</f>
        <v>KB</v>
      </c>
      <c r="U1336" s="61">
        <f t="array" ref="U1336">if(A1336="","",index(fish_lab_data!X:X,match(A1336,fish_lab_data!C:C,0)))</f>
        <v>1335</v>
      </c>
    </row>
    <row r="1337">
      <c r="A1337" t="str">
        <f>fish_lab_data!C1337</f>
        <v>U17456</v>
      </c>
      <c r="B1337" t="str">
        <f t="array" ref="B1337">iferror(index('rna-muscle'!$I:$I,match($A1337,'rna-muscle'!$A:$A,0)))</f>
        <v>BRN76M-D5</v>
      </c>
      <c r="C1337" t="str">
        <f t="array" ref="C1337">iferror(index('rna-muscle'!$L:$L,match($A1337,'rna-muscle'!$A:$A,0)))</f>
        <v>N</v>
      </c>
      <c r="D1337" t="str">
        <f t="array" ref="D1337">iferror(index('rna-gill'!$I:$I,match($A1337,'rna-gill'!$A:$A,0)))</f>
        <v>BRN76G-D5</v>
      </c>
      <c r="E1337" t="str">
        <f t="array" ref="E1337">iferror(index('rna-gill'!$L:$L,match($A1337,'rna-gill'!$A:$A,0)))</f>
        <v>N</v>
      </c>
      <c r="F1337" t="str">
        <f t="array" ref="F1337">iferror(index(fatty_acid!$G:$G,match($A1337,fatty_acid!$A:$A,0)))</f>
        <v>BFA36-20</v>
      </c>
      <c r="G1337" t="str">
        <f t="array" ref="G1337">iferror(index(fatty_acid!$J:$J,match($A1337,fatty_acid!$A:$A,0)))</f>
        <v>N</v>
      </c>
      <c r="H1337" t="str">
        <f t="array" ref="H1337">iferror(index(isotopes!$G:$G,match($A1337,isotopes!$A:$A,0)))</f>
        <v>BIS39-20</v>
      </c>
      <c r="I1337" t="str">
        <f t="array" ref="I1337">iferror(index(isotopes!$J:$J,match($A1337,isotopes!$A:$A,0)))</f>
        <v>N</v>
      </c>
      <c r="J1337" t="str">
        <f t="array" ref="J1337">iferror(index(extra_muscle!$G:$G,match($A1337,extra_muscle!$A:$A,0)))</f>
        <v>BXM38-20</v>
      </c>
      <c r="K1337" t="str">
        <f t="array" ref="K1337">iferror(index(extra_muscle!$J:$J,match($A1337,extra_muscle!$A:$A,0)))</f>
        <v>N</v>
      </c>
      <c r="L1337" s="59" t="str">
        <f t="array" ref="L1337">iferror(index(dna!$G:$G,match($A1337,dna!$A:$A,0)))</f>
        <v>BDN9-96</v>
      </c>
      <c r="M1337" s="60" t="str">
        <f t="array" ref="M1337">iferror(index(dna!$J:$J,match($A1337,dna!$A:$A,0)))</f>
        <v>N</v>
      </c>
      <c r="N1337" t="str">
        <f t="array" ref="N1337">iferror(index(stomachs!$G:$G,match($A1337,stomachs!$A:$A,0)))</f>
        <v/>
      </c>
      <c r="O1337" t="str">
        <f t="array" ref="O1337">iferror(index(stomachs!$J:$J,match($A1337,stomachs!$A:$A,0)))</f>
        <v/>
      </c>
      <c r="P1337" t="str">
        <f t="array" ref="P1337">iferror(index(sea_lice!$G:$G,match($A1337,sea_lice!$A:$A,0)))</f>
        <v/>
      </c>
      <c r="Q1337" t="str">
        <f t="array" ref="Q1337">iferror(index(sea_lice!$J:$J,match($A1337,sea_lice!$A:$A,0)))</f>
        <v/>
      </c>
      <c r="R1337" s="40" t="str">
        <f t="array" ref="R1337">iferror(index(dissected_fish!$F:$F,match($A1337,dissected_fish!$A:$A,0)))</f>
        <v>BCA111</v>
      </c>
      <c r="S1337" s="40" t="str">
        <f t="array" ref="S1337">iferror(index(dissected_fish!$K:$K,match($A1337,dissected_fish!$A:$A,0)))</f>
        <v>N</v>
      </c>
      <c r="T1337" s="61" t="str">
        <f t="array" ref="T1337">index(fish_lab_data!O:O,match(A1337,fish_lab_data!C:C,0))</f>
        <v>KB</v>
      </c>
      <c r="U1337" s="61">
        <f t="array" ref="U1337">if(A1337="","",index(fish_lab_data!X:X,match(A1337,fish_lab_data!C:C,0)))</f>
        <v>1336</v>
      </c>
    </row>
    <row r="1338">
      <c r="A1338" t="str">
        <f>fish_lab_data!C1338</f>
        <v>U17460</v>
      </c>
      <c r="B1338" t="str">
        <f t="array" ref="B1338">iferror(index('rna-muscle'!$I:$I,match($A1338,'rna-muscle'!$A:$A,0)))</f>
        <v>BRN76M-C5</v>
      </c>
      <c r="C1338" t="str">
        <f t="array" ref="C1338">iferror(index('rna-muscle'!$L:$L,match($A1338,'rna-muscle'!$A:$A,0)))</f>
        <v>N</v>
      </c>
      <c r="D1338" t="str">
        <f t="array" ref="D1338">iferror(index('rna-gill'!$I:$I,match($A1338,'rna-gill'!$A:$A,0)))</f>
        <v>BRN76G-C5</v>
      </c>
      <c r="E1338" t="str">
        <f t="array" ref="E1338">iferror(index('rna-gill'!$L:$L,match($A1338,'rna-gill'!$A:$A,0)))</f>
        <v>N</v>
      </c>
      <c r="F1338" t="str">
        <f t="array" ref="F1338">iferror(index(fatty_acid!$G:$G,match($A1338,fatty_acid!$A:$A,0)))</f>
        <v>BFA36-21</v>
      </c>
      <c r="G1338" t="str">
        <f t="array" ref="G1338">iferror(index(fatty_acid!$J:$J,match($A1338,fatty_acid!$A:$A,0)))</f>
        <v>N</v>
      </c>
      <c r="H1338" t="str">
        <f t="array" ref="H1338">iferror(index(isotopes!$G:$G,match($A1338,isotopes!$A:$A,0)))</f>
        <v>BIS39-21</v>
      </c>
      <c r="I1338" t="str">
        <f t="array" ref="I1338">iferror(index(isotopes!$J:$J,match($A1338,isotopes!$A:$A,0)))</f>
        <v>N</v>
      </c>
      <c r="J1338" t="str">
        <f t="array" ref="J1338">iferror(index(extra_muscle!$G:$G,match($A1338,extra_muscle!$A:$A,0)))</f>
        <v>BXM38-21</v>
      </c>
      <c r="K1338" t="str">
        <f t="array" ref="K1338">iferror(index(extra_muscle!$J:$J,match($A1338,extra_muscle!$A:$A,0)))</f>
        <v>N</v>
      </c>
      <c r="L1338" s="59" t="str">
        <f t="array" ref="L1338">iferror(index(dna!$G:$G,match($A1338,dna!$A:$A,0)))</f>
        <v>BDN9-97</v>
      </c>
      <c r="M1338" s="60" t="str">
        <f t="array" ref="M1338">iferror(index(dna!$J:$J,match($A1338,dna!$A:$A,0)))</f>
        <v>N</v>
      </c>
      <c r="N1338" t="str">
        <f t="array" ref="N1338">iferror(index(stomachs!$G:$G,match($A1338,stomachs!$A:$A,0)))</f>
        <v/>
      </c>
      <c r="O1338" t="str">
        <f t="array" ref="O1338">iferror(index(stomachs!$J:$J,match($A1338,stomachs!$A:$A,0)))</f>
        <v/>
      </c>
      <c r="P1338" t="str">
        <f t="array" ref="P1338">iferror(index(sea_lice!$G:$G,match($A1338,sea_lice!$A:$A,0)))</f>
        <v/>
      </c>
      <c r="Q1338" t="str">
        <f t="array" ref="Q1338">iferror(index(sea_lice!$J:$J,match($A1338,sea_lice!$A:$A,0)))</f>
        <v/>
      </c>
      <c r="R1338" s="40" t="str">
        <f t="array" ref="R1338">iferror(index(dissected_fish!$F:$F,match($A1338,dissected_fish!$A:$A,0)))</f>
        <v>BCA111</v>
      </c>
      <c r="S1338" s="40" t="str">
        <f t="array" ref="S1338">iferror(index(dissected_fish!$K:$K,match($A1338,dissected_fish!$A:$A,0)))</f>
        <v>N</v>
      </c>
      <c r="T1338" s="61" t="str">
        <f t="array" ref="T1338">index(fish_lab_data!O:O,match(A1338,fish_lab_data!C:C,0))</f>
        <v>KB</v>
      </c>
      <c r="U1338" s="61">
        <f t="array" ref="U1338">if(A1338="","",index(fish_lab_data!X:X,match(A1338,fish_lab_data!C:C,0)))</f>
        <v>1337</v>
      </c>
    </row>
    <row r="1339">
      <c r="A1339" t="str">
        <f>fish_lab_data!C1339</f>
        <v>U17455</v>
      </c>
      <c r="B1339" t="str">
        <f t="array" ref="B1339">iferror(index('rna-muscle'!$I:$I,match($A1339,'rna-muscle'!$A:$A,0)))</f>
        <v>BRN76M-B5</v>
      </c>
      <c r="C1339" t="str">
        <f t="array" ref="C1339">iferror(index('rna-muscle'!$L:$L,match($A1339,'rna-muscle'!$A:$A,0)))</f>
        <v>N</v>
      </c>
      <c r="D1339" t="str">
        <f t="array" ref="D1339">iferror(index('rna-gill'!$I:$I,match($A1339,'rna-gill'!$A:$A,0)))</f>
        <v>BRN76G-B5</v>
      </c>
      <c r="E1339" t="str">
        <f t="array" ref="E1339">iferror(index('rna-gill'!$L:$L,match($A1339,'rna-gill'!$A:$A,0)))</f>
        <v>N</v>
      </c>
      <c r="F1339" t="str">
        <f t="array" ref="F1339">iferror(index(fatty_acid!$G:$G,match($A1339,fatty_acid!$A:$A,0)))</f>
        <v>BFA36-22</v>
      </c>
      <c r="G1339" t="str">
        <f t="array" ref="G1339">iferror(index(fatty_acid!$J:$J,match($A1339,fatty_acid!$A:$A,0)))</f>
        <v>N</v>
      </c>
      <c r="H1339" t="str">
        <f t="array" ref="H1339">iferror(index(isotopes!$G:$G,match($A1339,isotopes!$A:$A,0)))</f>
        <v>BIS39-22</v>
      </c>
      <c r="I1339" t="str">
        <f t="array" ref="I1339">iferror(index(isotopes!$J:$J,match($A1339,isotopes!$A:$A,0)))</f>
        <v>N</v>
      </c>
      <c r="J1339" t="str">
        <f t="array" ref="J1339">iferror(index(extra_muscle!$G:$G,match($A1339,extra_muscle!$A:$A,0)))</f>
        <v>BXM38-22</v>
      </c>
      <c r="K1339" t="str">
        <f t="array" ref="K1339">iferror(index(extra_muscle!$J:$J,match($A1339,extra_muscle!$A:$A,0)))</f>
        <v>N</v>
      </c>
      <c r="L1339" s="59" t="str">
        <f t="array" ref="L1339">iferror(index(dna!$G:$G,match($A1339,dna!$A:$A,0)))</f>
        <v>BDN9-98</v>
      </c>
      <c r="M1339" s="60" t="str">
        <f t="array" ref="M1339">iferror(index(dna!$J:$J,match($A1339,dna!$A:$A,0)))</f>
        <v>N</v>
      </c>
      <c r="N1339" t="str">
        <f t="array" ref="N1339">iferror(index(stomachs!$G:$G,match($A1339,stomachs!$A:$A,0)))</f>
        <v/>
      </c>
      <c r="O1339" t="str">
        <f t="array" ref="O1339">iferror(index(stomachs!$J:$J,match($A1339,stomachs!$A:$A,0)))</f>
        <v/>
      </c>
      <c r="P1339" t="str">
        <f t="array" ref="P1339">iferror(index(sea_lice!$G:$G,match($A1339,sea_lice!$A:$A,0)))</f>
        <v/>
      </c>
      <c r="Q1339" t="str">
        <f t="array" ref="Q1339">iferror(index(sea_lice!$J:$J,match($A1339,sea_lice!$A:$A,0)))</f>
        <v/>
      </c>
      <c r="R1339" s="40" t="str">
        <f t="array" ref="R1339">iferror(index(dissected_fish!$F:$F,match($A1339,dissected_fish!$A:$A,0)))</f>
        <v>BCA111</v>
      </c>
      <c r="S1339" s="40" t="str">
        <f t="array" ref="S1339">iferror(index(dissected_fish!$K:$K,match($A1339,dissected_fish!$A:$A,0)))</f>
        <v>N</v>
      </c>
      <c r="T1339" s="61" t="str">
        <f t="array" ref="T1339">index(fish_lab_data!O:O,match(A1339,fish_lab_data!C:C,0))</f>
        <v>KB</v>
      </c>
      <c r="U1339" s="61">
        <f t="array" ref="U1339">if(A1339="","",index(fish_lab_data!X:X,match(A1339,fish_lab_data!C:C,0)))</f>
        <v>1338</v>
      </c>
    </row>
    <row r="1340">
      <c r="A1340" t="str">
        <f>fish_lab_data!C1340</f>
        <v>U17451</v>
      </c>
      <c r="B1340" t="str">
        <f t="array" ref="B1340">iferror(index('rna-muscle'!$I:$I,match($A1340,'rna-muscle'!$A:$A,0)))</f>
        <v>BRN76M-A5</v>
      </c>
      <c r="C1340" t="str">
        <f t="array" ref="C1340">iferror(index('rna-muscle'!$L:$L,match($A1340,'rna-muscle'!$A:$A,0)))</f>
        <v>N</v>
      </c>
      <c r="D1340" t="str">
        <f t="array" ref="D1340">iferror(index('rna-gill'!$I:$I,match($A1340,'rna-gill'!$A:$A,0)))</f>
        <v>BRN76G-A5</v>
      </c>
      <c r="E1340" t="str">
        <f t="array" ref="E1340">iferror(index('rna-gill'!$L:$L,match($A1340,'rna-gill'!$A:$A,0)))</f>
        <v>N</v>
      </c>
      <c r="F1340" t="str">
        <f t="array" ref="F1340">iferror(index(fatty_acid!$G:$G,match($A1340,fatty_acid!$A:$A,0)))</f>
        <v>BFA36-23</v>
      </c>
      <c r="G1340" t="str">
        <f t="array" ref="G1340">iferror(index(fatty_acid!$J:$J,match($A1340,fatty_acid!$A:$A,0)))</f>
        <v>N</v>
      </c>
      <c r="H1340" t="str">
        <f t="array" ref="H1340">iferror(index(isotopes!$G:$G,match($A1340,isotopes!$A:$A,0)))</f>
        <v>BIS39-23</v>
      </c>
      <c r="I1340" t="str">
        <f t="array" ref="I1340">iferror(index(isotopes!$J:$J,match($A1340,isotopes!$A:$A,0)))</f>
        <v>N</v>
      </c>
      <c r="J1340" t="str">
        <f t="array" ref="J1340">iferror(index(extra_muscle!$G:$G,match($A1340,extra_muscle!$A:$A,0)))</f>
        <v>BXM38-23</v>
      </c>
      <c r="K1340" t="str">
        <f t="array" ref="K1340">iferror(index(extra_muscle!$J:$J,match($A1340,extra_muscle!$A:$A,0)))</f>
        <v>N</v>
      </c>
      <c r="L1340" s="59" t="str">
        <f t="array" ref="L1340">iferror(index(dna!$G:$G,match($A1340,dna!$A:$A,0)))</f>
        <v>BDN9-99</v>
      </c>
      <c r="M1340" s="60" t="str">
        <f t="array" ref="M1340">iferror(index(dna!$J:$J,match($A1340,dna!$A:$A,0)))</f>
        <v>N</v>
      </c>
      <c r="N1340" t="str">
        <f t="array" ref="N1340">iferror(index(stomachs!$G:$G,match($A1340,stomachs!$A:$A,0)))</f>
        <v/>
      </c>
      <c r="O1340" t="str">
        <f t="array" ref="O1340">iferror(index(stomachs!$J:$J,match($A1340,stomachs!$A:$A,0)))</f>
        <v/>
      </c>
      <c r="P1340" t="str">
        <f t="array" ref="P1340">iferror(index(sea_lice!$G:$G,match($A1340,sea_lice!$A:$A,0)))</f>
        <v/>
      </c>
      <c r="Q1340" t="str">
        <f t="array" ref="Q1340">iferror(index(sea_lice!$J:$J,match($A1340,sea_lice!$A:$A,0)))</f>
        <v/>
      </c>
      <c r="R1340" s="40" t="str">
        <f t="array" ref="R1340">iferror(index(dissected_fish!$F:$F,match($A1340,dissected_fish!$A:$A,0)))</f>
        <v>BCA111</v>
      </c>
      <c r="S1340" s="40" t="str">
        <f t="array" ref="S1340">iferror(index(dissected_fish!$K:$K,match($A1340,dissected_fish!$A:$A,0)))</f>
        <v>N</v>
      </c>
      <c r="T1340" s="61" t="str">
        <f t="array" ref="T1340">index(fish_lab_data!O:O,match(A1340,fish_lab_data!C:C,0))</f>
        <v>KB</v>
      </c>
      <c r="U1340" s="61">
        <f t="array" ref="U1340">if(A1340="","",index(fish_lab_data!X:X,match(A1340,fish_lab_data!C:C,0)))</f>
        <v>1339</v>
      </c>
    </row>
    <row r="1341">
      <c r="A1341" t="str">
        <f>fish_lab_data!C1341</f>
        <v>U17452</v>
      </c>
      <c r="B1341" t="str">
        <f t="array" ref="B1341">iferror(index('rna-muscle'!$I:$I,match($A1341,'rna-muscle'!$A:$A,0)))</f>
        <v>BRN76M-G6</v>
      </c>
      <c r="C1341" t="str">
        <f t="array" ref="C1341">iferror(index('rna-muscle'!$L:$L,match($A1341,'rna-muscle'!$A:$A,0)))</f>
        <v>N</v>
      </c>
      <c r="D1341" t="str">
        <f t="array" ref="D1341">iferror(index('rna-gill'!$I:$I,match($A1341,'rna-gill'!$A:$A,0)))</f>
        <v>BRN76G-G6</v>
      </c>
      <c r="E1341" t="str">
        <f t="array" ref="E1341">iferror(index('rna-gill'!$L:$L,match($A1341,'rna-gill'!$A:$A,0)))</f>
        <v>N</v>
      </c>
      <c r="F1341" t="str">
        <f t="array" ref="F1341">iferror(index(fatty_acid!$G:$G,match($A1341,fatty_acid!$A:$A,0)))</f>
        <v>BFA36-24</v>
      </c>
      <c r="G1341" t="str">
        <f t="array" ref="G1341">iferror(index(fatty_acid!$J:$J,match($A1341,fatty_acid!$A:$A,0)))</f>
        <v>N</v>
      </c>
      <c r="H1341" t="str">
        <f t="array" ref="H1341">iferror(index(isotopes!$G:$G,match($A1341,isotopes!$A:$A,0)))</f>
        <v>BIS39-24</v>
      </c>
      <c r="I1341" t="str">
        <f t="array" ref="I1341">iferror(index(isotopes!$J:$J,match($A1341,isotopes!$A:$A,0)))</f>
        <v>N</v>
      </c>
      <c r="J1341" t="str">
        <f t="array" ref="J1341">iferror(index(extra_muscle!$G:$G,match($A1341,extra_muscle!$A:$A,0)))</f>
        <v>BXM38-24</v>
      </c>
      <c r="K1341" t="str">
        <f t="array" ref="K1341">iferror(index(extra_muscle!$J:$J,match($A1341,extra_muscle!$A:$A,0)))</f>
        <v>N</v>
      </c>
      <c r="L1341" s="59" t="str">
        <f t="array" ref="L1341">iferror(index(dna!$G:$G,match($A1341,dna!$A:$A,0)))</f>
        <v>BDN9-100</v>
      </c>
      <c r="M1341" s="60" t="str">
        <f t="array" ref="M1341">iferror(index(dna!$J:$J,match($A1341,dna!$A:$A,0)))</f>
        <v>N</v>
      </c>
      <c r="N1341" t="str">
        <f t="array" ref="N1341">iferror(index(stomachs!$G:$G,match($A1341,stomachs!$A:$A,0)))</f>
        <v/>
      </c>
      <c r="O1341" t="str">
        <f t="array" ref="O1341">iferror(index(stomachs!$J:$J,match($A1341,stomachs!$A:$A,0)))</f>
        <v/>
      </c>
      <c r="P1341" t="str">
        <f t="array" ref="P1341">iferror(index(sea_lice!$G:$G,match($A1341,sea_lice!$A:$A,0)))</f>
        <v/>
      </c>
      <c r="Q1341" t="str">
        <f t="array" ref="Q1341">iferror(index(sea_lice!$J:$J,match($A1341,sea_lice!$A:$A,0)))</f>
        <v/>
      </c>
      <c r="R1341" s="40" t="str">
        <f t="array" ref="R1341">iferror(index(dissected_fish!$F:$F,match($A1341,dissected_fish!$A:$A,0)))</f>
        <v>BCA111</v>
      </c>
      <c r="S1341" s="40" t="str">
        <f t="array" ref="S1341">iferror(index(dissected_fish!$K:$K,match($A1341,dissected_fish!$A:$A,0)))</f>
        <v>N</v>
      </c>
      <c r="T1341" s="61" t="str">
        <f t="array" ref="T1341">index(fish_lab_data!O:O,match(A1341,fish_lab_data!C:C,0))</f>
        <v>KB</v>
      </c>
      <c r="U1341" s="61">
        <f t="array" ref="U1341">if(A1341="","",index(fish_lab_data!X:X,match(A1341,fish_lab_data!C:C,0)))</f>
        <v>1340</v>
      </c>
    </row>
    <row r="1342">
      <c r="A1342" t="str">
        <f>fish_lab_data!C1342</f>
        <v>U17457</v>
      </c>
      <c r="B1342" t="str">
        <f t="array" ref="B1342">iferror(index('rna-muscle'!$I:$I,match($A1342,'rna-muscle'!$A:$A,0)))</f>
        <v>BRN76M-F6</v>
      </c>
      <c r="C1342" t="str">
        <f t="array" ref="C1342">iferror(index('rna-muscle'!$L:$L,match($A1342,'rna-muscle'!$A:$A,0)))</f>
        <v>N</v>
      </c>
      <c r="D1342" t="str">
        <f t="array" ref="D1342">iferror(index('rna-gill'!$I:$I,match($A1342,'rna-gill'!$A:$A,0)))</f>
        <v>BRN76G-F6</v>
      </c>
      <c r="E1342" t="str">
        <f t="array" ref="E1342">iferror(index('rna-gill'!$L:$L,match($A1342,'rna-gill'!$A:$A,0)))</f>
        <v>N</v>
      </c>
      <c r="F1342" t="str">
        <f t="array" ref="F1342">iferror(index(fatty_acid!$G:$G,match($A1342,fatty_acid!$A:$A,0)))</f>
        <v>BFA36-25</v>
      </c>
      <c r="G1342" t="str">
        <f t="array" ref="G1342">iferror(index(fatty_acid!$J:$J,match($A1342,fatty_acid!$A:$A,0)))</f>
        <v>N</v>
      </c>
      <c r="H1342" t="str">
        <f t="array" ref="H1342">iferror(index(isotopes!$G:$G,match($A1342,isotopes!$A:$A,0)))</f>
        <v>BIS39-25</v>
      </c>
      <c r="I1342" t="str">
        <f t="array" ref="I1342">iferror(index(isotopes!$J:$J,match($A1342,isotopes!$A:$A,0)))</f>
        <v>N</v>
      </c>
      <c r="J1342" t="str">
        <f t="array" ref="J1342">iferror(index(extra_muscle!$G:$G,match($A1342,extra_muscle!$A:$A,0)))</f>
        <v>BXM38-25</v>
      </c>
      <c r="K1342" t="str">
        <f t="array" ref="K1342">iferror(index(extra_muscle!$J:$J,match($A1342,extra_muscle!$A:$A,0)))</f>
        <v>N</v>
      </c>
      <c r="L1342" s="59" t="str">
        <f t="array" ref="L1342">iferror(index(dna!$G:$G,match($A1342,dna!$A:$A,0)))</f>
        <v>BDN12-1</v>
      </c>
      <c r="M1342" s="60" t="str">
        <f t="array" ref="M1342">iferror(index(dna!$J:$J,match($A1342,dna!$A:$A,0)))</f>
        <v>N</v>
      </c>
      <c r="N1342" t="str">
        <f t="array" ref="N1342">iferror(index(stomachs!$G:$G,match($A1342,stomachs!$A:$A,0)))</f>
        <v/>
      </c>
      <c r="O1342" t="str">
        <f t="array" ref="O1342">iferror(index(stomachs!$J:$J,match($A1342,stomachs!$A:$A,0)))</f>
        <v/>
      </c>
      <c r="P1342" t="str">
        <f t="array" ref="P1342">iferror(index(sea_lice!$G:$G,match($A1342,sea_lice!$A:$A,0)))</f>
        <v/>
      </c>
      <c r="Q1342" t="str">
        <f t="array" ref="Q1342">iferror(index(sea_lice!$J:$J,match($A1342,sea_lice!$A:$A,0)))</f>
        <v/>
      </c>
      <c r="R1342" s="40" t="str">
        <f t="array" ref="R1342">iferror(index(dissected_fish!$F:$F,match($A1342,dissected_fish!$A:$A,0)))</f>
        <v>BCA111</v>
      </c>
      <c r="S1342" s="40" t="str">
        <f t="array" ref="S1342">iferror(index(dissected_fish!$K:$K,match($A1342,dissected_fish!$A:$A,0)))</f>
        <v>N</v>
      </c>
      <c r="T1342" s="61" t="str">
        <f t="array" ref="T1342">index(fish_lab_data!O:O,match(A1342,fish_lab_data!C:C,0))</f>
        <v>KB</v>
      </c>
      <c r="U1342" s="61">
        <f t="array" ref="U1342">if(A1342="","",index(fish_lab_data!X:X,match(A1342,fish_lab_data!C:C,0)))</f>
        <v>1341</v>
      </c>
    </row>
    <row r="1343">
      <c r="A1343" t="str">
        <f>fish_lab_data!C1343</f>
        <v>U17453</v>
      </c>
      <c r="B1343" t="str">
        <f t="array" ref="B1343">iferror(index('rna-muscle'!$I:$I,match($A1343,'rna-muscle'!$A:$A,0)))</f>
        <v>BRN76M-E6</v>
      </c>
      <c r="C1343" t="str">
        <f t="array" ref="C1343">iferror(index('rna-muscle'!$L:$L,match($A1343,'rna-muscle'!$A:$A,0)))</f>
        <v>N</v>
      </c>
      <c r="D1343" t="str">
        <f t="array" ref="D1343">iferror(index('rna-gill'!$I:$I,match($A1343,'rna-gill'!$A:$A,0)))</f>
        <v>BRN76G-E6</v>
      </c>
      <c r="E1343" t="str">
        <f t="array" ref="E1343">iferror(index('rna-gill'!$L:$L,match($A1343,'rna-gill'!$A:$A,0)))</f>
        <v>N</v>
      </c>
      <c r="F1343" t="str">
        <f t="array" ref="F1343">iferror(index(fatty_acid!$G:$G,match($A1343,fatty_acid!$A:$A,0)))</f>
        <v>BFA36-26</v>
      </c>
      <c r="G1343" t="str">
        <f t="array" ref="G1343">iferror(index(fatty_acid!$J:$J,match($A1343,fatty_acid!$A:$A,0)))</f>
        <v>N</v>
      </c>
      <c r="H1343" t="str">
        <f t="array" ref="H1343">iferror(index(isotopes!$G:$G,match($A1343,isotopes!$A:$A,0)))</f>
        <v>BIS39-26</v>
      </c>
      <c r="I1343" t="str">
        <f t="array" ref="I1343">iferror(index(isotopes!$J:$J,match($A1343,isotopes!$A:$A,0)))</f>
        <v>N</v>
      </c>
      <c r="J1343" t="str">
        <f t="array" ref="J1343">iferror(index(extra_muscle!$G:$G,match($A1343,extra_muscle!$A:$A,0)))</f>
        <v>BXM38-26</v>
      </c>
      <c r="K1343" t="str">
        <f t="array" ref="K1343">iferror(index(extra_muscle!$J:$J,match($A1343,extra_muscle!$A:$A,0)))</f>
        <v>N</v>
      </c>
      <c r="L1343" s="59" t="str">
        <f t="array" ref="L1343">iferror(index(dna!$G:$G,match($A1343,dna!$A:$A,0)))</f>
        <v>BDN12-2</v>
      </c>
      <c r="M1343" s="60" t="str">
        <f t="array" ref="M1343">iferror(index(dna!$J:$J,match($A1343,dna!$A:$A,0)))</f>
        <v>N</v>
      </c>
      <c r="N1343" t="str">
        <f t="array" ref="N1343">iferror(index(stomachs!$G:$G,match($A1343,stomachs!$A:$A,0)))</f>
        <v/>
      </c>
      <c r="O1343" t="str">
        <f t="array" ref="O1343">iferror(index(stomachs!$J:$J,match($A1343,stomachs!$A:$A,0)))</f>
        <v/>
      </c>
      <c r="P1343" t="str">
        <f t="array" ref="P1343">iferror(index(sea_lice!$G:$G,match($A1343,sea_lice!$A:$A,0)))</f>
        <v>BSL8-38</v>
      </c>
      <c r="Q1343" t="str">
        <f t="array" ref="Q1343">iferror(index(sea_lice!$J:$J,match($A1343,sea_lice!$A:$A,0)))</f>
        <v>N</v>
      </c>
      <c r="R1343" s="40" t="str">
        <f t="array" ref="R1343">iferror(index(dissected_fish!$F:$F,match($A1343,dissected_fish!$A:$A,0)))</f>
        <v>BCA111</v>
      </c>
      <c r="S1343" s="40" t="str">
        <f t="array" ref="S1343">iferror(index(dissected_fish!$K:$K,match($A1343,dissected_fish!$A:$A,0)))</f>
        <v>N</v>
      </c>
      <c r="T1343" s="61" t="str">
        <f t="array" ref="T1343">index(fish_lab_data!O:O,match(A1343,fish_lab_data!C:C,0))</f>
        <v>KB</v>
      </c>
      <c r="U1343" s="61">
        <f t="array" ref="U1343">if(A1343="","",index(fish_lab_data!X:X,match(A1343,fish_lab_data!C:C,0)))</f>
        <v>1342</v>
      </c>
    </row>
    <row r="1344">
      <c r="A1344" t="str">
        <f>fish_lab_data!C1344</f>
        <v>U16031</v>
      </c>
      <c r="B1344" t="str">
        <f t="array" ref="B1344">iferror(index('rna-muscle'!$I:$I,match($A1344,'rna-muscle'!$A:$A,0)))</f>
        <v>BRN76M-D6</v>
      </c>
      <c r="C1344" t="str">
        <f t="array" ref="C1344">iferror(index('rna-muscle'!$L:$L,match($A1344,'rna-muscle'!$A:$A,0)))</f>
        <v>N</v>
      </c>
      <c r="D1344" t="str">
        <f t="array" ref="D1344">iferror(index('rna-gill'!$I:$I,match($A1344,'rna-gill'!$A:$A,0)))</f>
        <v>BRN76G-D6</v>
      </c>
      <c r="E1344" t="str">
        <f t="array" ref="E1344">iferror(index('rna-gill'!$L:$L,match($A1344,'rna-gill'!$A:$A,0)))</f>
        <v>N</v>
      </c>
      <c r="F1344" t="str">
        <f t="array" ref="F1344">iferror(index(fatty_acid!$G:$G,match($A1344,fatty_acid!$A:$A,0)))</f>
        <v>BFA36-27</v>
      </c>
      <c r="G1344" t="str">
        <f t="array" ref="G1344">iferror(index(fatty_acid!$J:$J,match($A1344,fatty_acid!$A:$A,0)))</f>
        <v>N</v>
      </c>
      <c r="H1344" t="str">
        <f t="array" ref="H1344">iferror(index(isotopes!$G:$G,match($A1344,isotopes!$A:$A,0)))</f>
        <v>BIS39-27</v>
      </c>
      <c r="I1344" t="str">
        <f t="array" ref="I1344">iferror(index(isotopes!$J:$J,match($A1344,isotopes!$A:$A,0)))</f>
        <v>N</v>
      </c>
      <c r="J1344" t="str">
        <f t="array" ref="J1344">iferror(index(extra_muscle!$G:$G,match($A1344,extra_muscle!$A:$A,0)))</f>
        <v>BXM38-27</v>
      </c>
      <c r="K1344" t="str">
        <f t="array" ref="K1344">iferror(index(extra_muscle!$J:$J,match($A1344,extra_muscle!$A:$A,0)))</f>
        <v>N</v>
      </c>
      <c r="L1344" s="59" t="str">
        <f t="array" ref="L1344">iferror(index(dna!$G:$G,match($A1344,dna!$A:$A,0)))</f>
        <v>BDN12-3</v>
      </c>
      <c r="M1344" s="60" t="str">
        <f t="array" ref="M1344">iferror(index(dna!$J:$J,match($A1344,dna!$A:$A,0)))</f>
        <v>N</v>
      </c>
      <c r="N1344" t="str">
        <f t="array" ref="N1344">iferror(index(stomachs!$G:$G,match($A1344,stomachs!$A:$A,0)))</f>
        <v/>
      </c>
      <c r="O1344" t="str">
        <f t="array" ref="O1344">iferror(index(stomachs!$J:$J,match($A1344,stomachs!$A:$A,0)))</f>
        <v/>
      </c>
      <c r="P1344" t="str">
        <f t="array" ref="P1344">iferror(index(sea_lice!$G:$G,match($A1344,sea_lice!$A:$A,0)))</f>
        <v/>
      </c>
      <c r="Q1344" t="str">
        <f t="array" ref="Q1344">iferror(index(sea_lice!$J:$J,match($A1344,sea_lice!$A:$A,0)))</f>
        <v/>
      </c>
      <c r="R1344" s="40" t="str">
        <f t="array" ref="R1344">iferror(index(dissected_fish!$F:$F,match($A1344,dissected_fish!$A:$A,0)))</f>
        <v>BCA111</v>
      </c>
      <c r="S1344" s="40" t="str">
        <f t="array" ref="S1344">iferror(index(dissected_fish!$K:$K,match($A1344,dissected_fish!$A:$A,0)))</f>
        <v>N</v>
      </c>
      <c r="T1344" s="61" t="str">
        <f t="array" ref="T1344">index(fish_lab_data!O:O,match(A1344,fish_lab_data!C:C,0))</f>
        <v>KB</v>
      </c>
      <c r="U1344" s="61">
        <f t="array" ref="U1344">if(A1344="","",index(fish_lab_data!X:X,match(A1344,fish_lab_data!C:C,0)))</f>
        <v>1343</v>
      </c>
    </row>
    <row r="1345">
      <c r="A1345" t="str">
        <f>fish_lab_data!C1345</f>
        <v>U16037</v>
      </c>
      <c r="B1345" t="str">
        <f t="array" ref="B1345">iferror(index('rna-muscle'!$I:$I,match($A1345,'rna-muscle'!$A:$A,0)))</f>
        <v>BRN76M-B6</v>
      </c>
      <c r="C1345" t="str">
        <f t="array" ref="C1345">iferror(index('rna-muscle'!$L:$L,match($A1345,'rna-muscle'!$A:$A,0)))</f>
        <v>N</v>
      </c>
      <c r="D1345" t="str">
        <f t="array" ref="D1345">iferror(index('rna-gill'!$I:$I,match($A1345,'rna-gill'!$A:$A,0)))</f>
        <v>BRN76G-B6</v>
      </c>
      <c r="E1345" t="str">
        <f t="array" ref="E1345">iferror(index('rna-gill'!$L:$L,match($A1345,'rna-gill'!$A:$A,0)))</f>
        <v>N</v>
      </c>
      <c r="F1345" t="str">
        <f t="array" ref="F1345">iferror(index(fatty_acid!$G:$G,match($A1345,fatty_acid!$A:$A,0)))</f>
        <v>BFA36-28</v>
      </c>
      <c r="G1345" t="str">
        <f t="array" ref="G1345">iferror(index(fatty_acid!$J:$J,match($A1345,fatty_acid!$A:$A,0)))</f>
        <v>N</v>
      </c>
      <c r="H1345" t="str">
        <f t="array" ref="H1345">iferror(index(isotopes!$G:$G,match($A1345,isotopes!$A:$A,0)))</f>
        <v>BIS39-28</v>
      </c>
      <c r="I1345" t="str">
        <f t="array" ref="I1345">iferror(index(isotopes!$J:$J,match($A1345,isotopes!$A:$A,0)))</f>
        <v>N</v>
      </c>
      <c r="J1345" t="str">
        <f t="array" ref="J1345">iferror(index(extra_muscle!$G:$G,match($A1345,extra_muscle!$A:$A,0)))</f>
        <v>BXM38-28</v>
      </c>
      <c r="K1345" t="str">
        <f t="array" ref="K1345">iferror(index(extra_muscle!$J:$J,match($A1345,extra_muscle!$A:$A,0)))</f>
        <v>N</v>
      </c>
      <c r="L1345" s="59" t="str">
        <f t="array" ref="L1345">iferror(index(dna!$G:$G,match($A1345,dna!$A:$A,0)))</f>
        <v>BDN12-4</v>
      </c>
      <c r="M1345" s="60" t="str">
        <f t="array" ref="M1345">iferror(index(dna!$J:$J,match($A1345,dna!$A:$A,0)))</f>
        <v>N</v>
      </c>
      <c r="N1345" t="str">
        <f t="array" ref="N1345">iferror(index(stomachs!$G:$G,match($A1345,stomachs!$A:$A,0)))</f>
        <v/>
      </c>
      <c r="O1345" t="str">
        <f t="array" ref="O1345">iferror(index(stomachs!$J:$J,match($A1345,stomachs!$A:$A,0)))</f>
        <v/>
      </c>
      <c r="P1345" t="str">
        <f t="array" ref="P1345">iferror(index(sea_lice!$G:$G,match($A1345,sea_lice!$A:$A,0)))</f>
        <v/>
      </c>
      <c r="Q1345" t="str">
        <f t="array" ref="Q1345">iferror(index(sea_lice!$J:$J,match($A1345,sea_lice!$A:$A,0)))</f>
        <v/>
      </c>
      <c r="R1345" s="40" t="str">
        <f t="array" ref="R1345">iferror(index(dissected_fish!$F:$F,match($A1345,dissected_fish!$A:$A,0)))</f>
        <v>BCA111</v>
      </c>
      <c r="S1345" s="40" t="str">
        <f t="array" ref="S1345">iferror(index(dissected_fish!$K:$K,match($A1345,dissected_fish!$A:$A,0)))</f>
        <v>N</v>
      </c>
      <c r="T1345" s="61" t="str">
        <f t="array" ref="T1345">index(fish_lab_data!O:O,match(A1345,fish_lab_data!C:C,0))</f>
        <v>KB</v>
      </c>
      <c r="U1345" s="61">
        <f t="array" ref="U1345">if(A1345="","",index(fish_lab_data!X:X,match(A1345,fish_lab_data!C:C,0)))</f>
        <v>1344</v>
      </c>
    </row>
    <row r="1346">
      <c r="A1346" t="str">
        <f>fish_lab_data!C1346</f>
        <v>U16038</v>
      </c>
      <c r="B1346" t="str">
        <f t="array" ref="B1346">iferror(index('rna-muscle'!$I:$I,match($A1346,'rna-muscle'!$A:$A,0)))</f>
        <v>BRN76M-C6</v>
      </c>
      <c r="C1346" t="str">
        <f t="array" ref="C1346">iferror(index('rna-muscle'!$L:$L,match($A1346,'rna-muscle'!$A:$A,0)))</f>
        <v>N</v>
      </c>
      <c r="D1346" t="str">
        <f t="array" ref="D1346">iferror(index('rna-gill'!$I:$I,match($A1346,'rna-gill'!$A:$A,0)))</f>
        <v>BRN76G-C6</v>
      </c>
      <c r="E1346" t="str">
        <f t="array" ref="E1346">iferror(index('rna-gill'!$L:$L,match($A1346,'rna-gill'!$A:$A,0)))</f>
        <v>N</v>
      </c>
      <c r="F1346" t="str">
        <f t="array" ref="F1346">iferror(index(fatty_acid!$G:$G,match($A1346,fatty_acid!$A:$A,0)))</f>
        <v>BFA36-29</v>
      </c>
      <c r="G1346" t="str">
        <f t="array" ref="G1346">iferror(index(fatty_acid!$J:$J,match($A1346,fatty_acid!$A:$A,0)))</f>
        <v>N</v>
      </c>
      <c r="H1346" t="str">
        <f t="array" ref="H1346">iferror(index(isotopes!$G:$G,match($A1346,isotopes!$A:$A,0)))</f>
        <v>BIS39-29</v>
      </c>
      <c r="I1346" t="str">
        <f t="array" ref="I1346">iferror(index(isotopes!$J:$J,match($A1346,isotopes!$A:$A,0)))</f>
        <v>N</v>
      </c>
      <c r="J1346" t="str">
        <f t="array" ref="J1346">iferror(index(extra_muscle!$G:$G,match($A1346,extra_muscle!$A:$A,0)))</f>
        <v>BXM38-29</v>
      </c>
      <c r="K1346" t="str">
        <f t="array" ref="K1346">iferror(index(extra_muscle!$J:$J,match($A1346,extra_muscle!$A:$A,0)))</f>
        <v>N</v>
      </c>
      <c r="L1346" s="59" t="str">
        <f t="array" ref="L1346">iferror(index(dna!$G:$G,match($A1346,dna!$A:$A,0)))</f>
        <v>BDN12-5</v>
      </c>
      <c r="M1346" s="60" t="str">
        <f t="array" ref="M1346">iferror(index(dna!$J:$J,match($A1346,dna!$A:$A,0)))</f>
        <v>N</v>
      </c>
      <c r="N1346" t="str">
        <f t="array" ref="N1346">iferror(index(stomachs!$G:$G,match($A1346,stomachs!$A:$A,0)))</f>
        <v/>
      </c>
      <c r="O1346" t="str">
        <f t="array" ref="O1346">iferror(index(stomachs!$J:$J,match($A1346,stomachs!$A:$A,0)))</f>
        <v/>
      </c>
      <c r="P1346" t="str">
        <f t="array" ref="P1346">iferror(index(sea_lice!$G:$G,match($A1346,sea_lice!$A:$A,0)))</f>
        <v/>
      </c>
      <c r="Q1346" t="str">
        <f t="array" ref="Q1346">iferror(index(sea_lice!$J:$J,match($A1346,sea_lice!$A:$A,0)))</f>
        <v/>
      </c>
      <c r="R1346" s="40" t="str">
        <f t="array" ref="R1346">iferror(index(dissected_fish!$F:$F,match($A1346,dissected_fish!$A:$A,0)))</f>
        <v>BCA111</v>
      </c>
      <c r="S1346" s="40" t="str">
        <f t="array" ref="S1346">iferror(index(dissected_fish!$K:$K,match($A1346,dissected_fish!$A:$A,0)))</f>
        <v>N</v>
      </c>
      <c r="T1346" s="61" t="str">
        <f t="array" ref="T1346">index(fish_lab_data!O:O,match(A1346,fish_lab_data!C:C,0))</f>
        <v>KB</v>
      </c>
      <c r="U1346" s="61">
        <f t="array" ref="U1346">if(A1346="","",index(fish_lab_data!X:X,match(A1346,fish_lab_data!C:C,0)))</f>
        <v>1345</v>
      </c>
    </row>
    <row r="1347">
      <c r="A1347" t="str">
        <f>fish_lab_data!C1347</f>
        <v>U16034</v>
      </c>
      <c r="B1347" t="str">
        <f t="array" ref="B1347">iferror(index('rna-muscle'!$I:$I,match($A1347,'rna-muscle'!$A:$A,0)))</f>
        <v>BRN76M-A6</v>
      </c>
      <c r="C1347" t="str">
        <f t="array" ref="C1347">iferror(index('rna-muscle'!$L:$L,match($A1347,'rna-muscle'!$A:$A,0)))</f>
        <v>N</v>
      </c>
      <c r="D1347" t="str">
        <f t="array" ref="D1347">iferror(index('rna-gill'!$I:$I,match($A1347,'rna-gill'!$A:$A,0)))</f>
        <v>BRN76G-A6</v>
      </c>
      <c r="E1347" t="str">
        <f t="array" ref="E1347">iferror(index('rna-gill'!$L:$L,match($A1347,'rna-gill'!$A:$A,0)))</f>
        <v>N</v>
      </c>
      <c r="F1347" t="str">
        <f t="array" ref="F1347">iferror(index(fatty_acid!$G:$G,match($A1347,fatty_acid!$A:$A,0)))</f>
        <v>BFA36-30</v>
      </c>
      <c r="G1347" t="str">
        <f t="array" ref="G1347">iferror(index(fatty_acid!$J:$J,match($A1347,fatty_acid!$A:$A,0)))</f>
        <v>N</v>
      </c>
      <c r="H1347" t="str">
        <f t="array" ref="H1347">iferror(index(isotopes!$G:$G,match($A1347,isotopes!$A:$A,0)))</f>
        <v>BIS39-30</v>
      </c>
      <c r="I1347" t="str">
        <f t="array" ref="I1347">iferror(index(isotopes!$J:$J,match($A1347,isotopes!$A:$A,0)))</f>
        <v>N</v>
      </c>
      <c r="J1347" t="str">
        <f t="array" ref="J1347">iferror(index(extra_muscle!$G:$G,match($A1347,extra_muscle!$A:$A,0)))</f>
        <v>BXM38-30</v>
      </c>
      <c r="K1347" t="str">
        <f t="array" ref="K1347">iferror(index(extra_muscle!$J:$J,match($A1347,extra_muscle!$A:$A,0)))</f>
        <v>N</v>
      </c>
      <c r="L1347" s="59" t="str">
        <f t="array" ref="L1347">iferror(index(dna!$G:$G,match($A1347,dna!$A:$A,0)))</f>
        <v>BDN12-6</v>
      </c>
      <c r="M1347" s="60" t="str">
        <f t="array" ref="M1347">iferror(index(dna!$J:$J,match($A1347,dna!$A:$A,0)))</f>
        <v>N</v>
      </c>
      <c r="N1347" t="str">
        <f t="array" ref="N1347">iferror(index(stomachs!$G:$G,match($A1347,stomachs!$A:$A,0)))</f>
        <v/>
      </c>
      <c r="O1347" t="str">
        <f t="array" ref="O1347">iferror(index(stomachs!$J:$J,match($A1347,stomachs!$A:$A,0)))</f>
        <v/>
      </c>
      <c r="P1347" t="str">
        <f t="array" ref="P1347">iferror(index(sea_lice!$G:$G,match($A1347,sea_lice!$A:$A,0)))</f>
        <v/>
      </c>
      <c r="Q1347" t="str">
        <f t="array" ref="Q1347">iferror(index(sea_lice!$J:$J,match($A1347,sea_lice!$A:$A,0)))</f>
        <v/>
      </c>
      <c r="R1347" s="40" t="str">
        <f t="array" ref="R1347">iferror(index(dissected_fish!$F:$F,match($A1347,dissected_fish!$A:$A,0)))</f>
        <v>BCA111</v>
      </c>
      <c r="S1347" s="40" t="str">
        <f t="array" ref="S1347">iferror(index(dissected_fish!$K:$K,match($A1347,dissected_fish!$A:$A,0)))</f>
        <v>N</v>
      </c>
      <c r="T1347" s="61" t="str">
        <f t="array" ref="T1347">index(fish_lab_data!O:O,match(A1347,fish_lab_data!C:C,0))</f>
        <v>KB</v>
      </c>
      <c r="U1347" s="61">
        <f t="array" ref="U1347">if(A1347="","",index(fish_lab_data!X:X,match(A1347,fish_lab_data!C:C,0)))</f>
        <v>1346</v>
      </c>
    </row>
    <row r="1348">
      <c r="A1348" t="str">
        <f>fish_lab_data!C1348</f>
        <v>U16039</v>
      </c>
      <c r="B1348" t="str">
        <f t="array" ref="B1348">iferror(index('rna-muscle'!$I:$I,match($A1348,'rna-muscle'!$A:$A,0)))</f>
        <v>BRN76M-H7</v>
      </c>
      <c r="C1348" t="str">
        <f t="array" ref="C1348">iferror(index('rna-muscle'!$L:$L,match($A1348,'rna-muscle'!$A:$A,0)))</f>
        <v>N</v>
      </c>
      <c r="D1348" t="str">
        <f t="array" ref="D1348">iferror(index('rna-gill'!$I:$I,match($A1348,'rna-gill'!$A:$A,0)))</f>
        <v>BRN76G-H7</v>
      </c>
      <c r="E1348" t="str">
        <f t="array" ref="E1348">iferror(index('rna-gill'!$L:$L,match($A1348,'rna-gill'!$A:$A,0)))</f>
        <v>N</v>
      </c>
      <c r="F1348" t="str">
        <f t="array" ref="F1348">iferror(index(fatty_acid!$G:$G,match($A1348,fatty_acid!$A:$A,0)))</f>
        <v>BFA36-31</v>
      </c>
      <c r="G1348" t="str">
        <f t="array" ref="G1348">iferror(index(fatty_acid!$J:$J,match($A1348,fatty_acid!$A:$A,0)))</f>
        <v>N</v>
      </c>
      <c r="H1348" t="str">
        <f t="array" ref="H1348">iferror(index(isotopes!$G:$G,match($A1348,isotopes!$A:$A,0)))</f>
        <v>BIS39-31</v>
      </c>
      <c r="I1348" t="str">
        <f t="array" ref="I1348">iferror(index(isotopes!$J:$J,match($A1348,isotopes!$A:$A,0)))</f>
        <v>N</v>
      </c>
      <c r="J1348" t="str">
        <f t="array" ref="J1348">iferror(index(extra_muscle!$G:$G,match($A1348,extra_muscle!$A:$A,0)))</f>
        <v>BXM38-31</v>
      </c>
      <c r="K1348" t="str">
        <f t="array" ref="K1348">iferror(index(extra_muscle!$J:$J,match($A1348,extra_muscle!$A:$A,0)))</f>
        <v>N</v>
      </c>
      <c r="L1348" s="59" t="str">
        <f t="array" ref="L1348">iferror(index(dna!$G:$G,match($A1348,dna!$A:$A,0)))</f>
        <v>BDN12-7</v>
      </c>
      <c r="M1348" s="60" t="str">
        <f t="array" ref="M1348">iferror(index(dna!$J:$J,match($A1348,dna!$A:$A,0)))</f>
        <v>N</v>
      </c>
      <c r="N1348" t="str">
        <f t="array" ref="N1348">iferror(index(stomachs!$G:$G,match($A1348,stomachs!$A:$A,0)))</f>
        <v/>
      </c>
      <c r="O1348" t="str">
        <f t="array" ref="O1348">iferror(index(stomachs!$J:$J,match($A1348,stomachs!$A:$A,0)))</f>
        <v/>
      </c>
      <c r="P1348" t="str">
        <f t="array" ref="P1348">iferror(index(sea_lice!$G:$G,match($A1348,sea_lice!$A:$A,0)))</f>
        <v>BSL8-44</v>
      </c>
      <c r="Q1348" t="str">
        <f t="array" ref="Q1348">iferror(index(sea_lice!$J:$J,match($A1348,sea_lice!$A:$A,0)))</f>
        <v>N</v>
      </c>
      <c r="R1348" s="40" t="str">
        <f t="array" ref="R1348">iferror(index(dissected_fish!$F:$F,match($A1348,dissected_fish!$A:$A,0)))</f>
        <v>BCA111</v>
      </c>
      <c r="S1348" s="40" t="str">
        <f t="array" ref="S1348">iferror(index(dissected_fish!$K:$K,match($A1348,dissected_fish!$A:$A,0)))</f>
        <v>N</v>
      </c>
      <c r="T1348" s="61" t="str">
        <f t="array" ref="T1348">index(fish_lab_data!O:O,match(A1348,fish_lab_data!C:C,0))</f>
        <v>KB</v>
      </c>
      <c r="U1348" s="61">
        <f t="array" ref="U1348">if(A1348="","",index(fish_lab_data!X:X,match(A1348,fish_lab_data!C:C,0)))</f>
        <v>1347</v>
      </c>
    </row>
    <row r="1349">
      <c r="A1349" t="str">
        <f>fish_lab_data!C1349</f>
        <v>U16035</v>
      </c>
      <c r="B1349" t="str">
        <f t="array" ref="B1349">iferror(index('rna-muscle'!$I:$I,match($A1349,'rna-muscle'!$A:$A,0)))</f>
        <v>BRN76M-G7</v>
      </c>
      <c r="C1349" t="str">
        <f t="array" ref="C1349">iferror(index('rna-muscle'!$L:$L,match($A1349,'rna-muscle'!$A:$A,0)))</f>
        <v>N</v>
      </c>
      <c r="D1349" t="str">
        <f t="array" ref="D1349">iferror(index('rna-gill'!$I:$I,match($A1349,'rna-gill'!$A:$A,0)))</f>
        <v>BRN76G-G7</v>
      </c>
      <c r="E1349" t="str">
        <f t="array" ref="E1349">iferror(index('rna-gill'!$L:$L,match($A1349,'rna-gill'!$A:$A,0)))</f>
        <v>N</v>
      </c>
      <c r="F1349" t="str">
        <f t="array" ref="F1349">iferror(index(fatty_acid!$G:$G,match($A1349,fatty_acid!$A:$A,0)))</f>
        <v>BFA36-32</v>
      </c>
      <c r="G1349" t="str">
        <f t="array" ref="G1349">iferror(index(fatty_acid!$J:$J,match($A1349,fatty_acid!$A:$A,0)))</f>
        <v>N</v>
      </c>
      <c r="H1349" t="str">
        <f t="array" ref="H1349">iferror(index(isotopes!$G:$G,match($A1349,isotopes!$A:$A,0)))</f>
        <v>BIS39-32</v>
      </c>
      <c r="I1349" t="str">
        <f t="array" ref="I1349">iferror(index(isotopes!$J:$J,match($A1349,isotopes!$A:$A,0)))</f>
        <v>N</v>
      </c>
      <c r="J1349" t="str">
        <f t="array" ref="J1349">iferror(index(extra_muscle!$G:$G,match($A1349,extra_muscle!$A:$A,0)))</f>
        <v>BXM38-32</v>
      </c>
      <c r="K1349" t="str">
        <f t="array" ref="K1349">iferror(index(extra_muscle!$J:$J,match($A1349,extra_muscle!$A:$A,0)))</f>
        <v>N</v>
      </c>
      <c r="L1349" s="59" t="str">
        <f t="array" ref="L1349">iferror(index(dna!$G:$G,match($A1349,dna!$A:$A,0)))</f>
        <v>BDN12-8</v>
      </c>
      <c r="M1349" s="60" t="str">
        <f t="array" ref="M1349">iferror(index(dna!$J:$J,match($A1349,dna!$A:$A,0)))</f>
        <v>N</v>
      </c>
      <c r="N1349" t="str">
        <f t="array" ref="N1349">iferror(index(stomachs!$G:$G,match($A1349,stomachs!$A:$A,0)))</f>
        <v/>
      </c>
      <c r="O1349" t="str">
        <f t="array" ref="O1349">iferror(index(stomachs!$J:$J,match($A1349,stomachs!$A:$A,0)))</f>
        <v/>
      </c>
      <c r="P1349" t="str">
        <f t="array" ref="P1349">iferror(index(sea_lice!$G:$G,match($A1349,sea_lice!$A:$A,0)))</f>
        <v/>
      </c>
      <c r="Q1349" t="str">
        <f t="array" ref="Q1349">iferror(index(sea_lice!$J:$J,match($A1349,sea_lice!$A:$A,0)))</f>
        <v/>
      </c>
      <c r="R1349" s="40" t="str">
        <f t="array" ref="R1349">iferror(index(dissected_fish!$F:$F,match($A1349,dissected_fish!$A:$A,0)))</f>
        <v>BCA111</v>
      </c>
      <c r="S1349" s="40" t="str">
        <f t="array" ref="S1349">iferror(index(dissected_fish!$K:$K,match($A1349,dissected_fish!$A:$A,0)))</f>
        <v>N</v>
      </c>
      <c r="T1349" s="61" t="str">
        <f t="array" ref="T1349">index(fish_lab_data!O:O,match(A1349,fish_lab_data!C:C,0))</f>
        <v>KB</v>
      </c>
      <c r="U1349" s="61">
        <f t="array" ref="U1349">if(A1349="","",index(fish_lab_data!X:X,match(A1349,fish_lab_data!C:C,0)))</f>
        <v>1348</v>
      </c>
    </row>
    <row r="1350">
      <c r="A1350" t="str">
        <f>fish_lab_data!C1350</f>
        <v>U16032</v>
      </c>
      <c r="B1350" t="str">
        <f t="array" ref="B1350">iferror(index('rna-muscle'!$I:$I,match($A1350,'rna-muscle'!$A:$A,0)))</f>
        <v>BRN76M-F7</v>
      </c>
      <c r="C1350" t="str">
        <f t="array" ref="C1350">iferror(index('rna-muscle'!$L:$L,match($A1350,'rna-muscle'!$A:$A,0)))</f>
        <v>N</v>
      </c>
      <c r="D1350" t="str">
        <f t="array" ref="D1350">iferror(index('rna-gill'!$I:$I,match($A1350,'rna-gill'!$A:$A,0)))</f>
        <v>BRN76G-F7</v>
      </c>
      <c r="E1350" t="str">
        <f t="array" ref="E1350">iferror(index('rna-gill'!$L:$L,match($A1350,'rna-gill'!$A:$A,0)))</f>
        <v>N</v>
      </c>
      <c r="F1350" t="str">
        <f t="array" ref="F1350">iferror(index(fatty_acid!$G:$G,match($A1350,fatty_acid!$A:$A,0)))</f>
        <v>BFA36-33</v>
      </c>
      <c r="G1350" t="str">
        <f t="array" ref="G1350">iferror(index(fatty_acid!$J:$J,match($A1350,fatty_acid!$A:$A,0)))</f>
        <v>N</v>
      </c>
      <c r="H1350" t="str">
        <f t="array" ref="H1350">iferror(index(isotopes!$G:$G,match($A1350,isotopes!$A:$A,0)))</f>
        <v>BIS39-33</v>
      </c>
      <c r="I1350" t="str">
        <f t="array" ref="I1350">iferror(index(isotopes!$J:$J,match($A1350,isotopes!$A:$A,0)))</f>
        <v>N</v>
      </c>
      <c r="J1350" t="str">
        <f t="array" ref="J1350">iferror(index(extra_muscle!$G:$G,match($A1350,extra_muscle!$A:$A,0)))</f>
        <v>BXM38-33</v>
      </c>
      <c r="K1350" t="str">
        <f t="array" ref="K1350">iferror(index(extra_muscle!$J:$J,match($A1350,extra_muscle!$A:$A,0)))</f>
        <v>N</v>
      </c>
      <c r="L1350" s="59" t="str">
        <f t="array" ref="L1350">iferror(index(dna!$G:$G,match($A1350,dna!$A:$A,0)))</f>
        <v>BDN12-9</v>
      </c>
      <c r="M1350" s="60" t="str">
        <f t="array" ref="M1350">iferror(index(dna!$J:$J,match($A1350,dna!$A:$A,0)))</f>
        <v>N</v>
      </c>
      <c r="N1350" t="str">
        <f t="array" ref="N1350">iferror(index(stomachs!$G:$G,match($A1350,stomachs!$A:$A,0)))</f>
        <v/>
      </c>
      <c r="O1350" t="str">
        <f t="array" ref="O1350">iferror(index(stomachs!$J:$J,match($A1350,stomachs!$A:$A,0)))</f>
        <v/>
      </c>
      <c r="P1350" t="str">
        <f t="array" ref="P1350">iferror(index(sea_lice!$G:$G,match($A1350,sea_lice!$A:$A,0)))</f>
        <v/>
      </c>
      <c r="Q1350" t="str">
        <f t="array" ref="Q1350">iferror(index(sea_lice!$J:$J,match($A1350,sea_lice!$A:$A,0)))</f>
        <v/>
      </c>
      <c r="R1350" s="40" t="str">
        <f t="array" ref="R1350">iferror(index(dissected_fish!$F:$F,match($A1350,dissected_fish!$A:$A,0)))</f>
        <v>BCA111</v>
      </c>
      <c r="S1350" s="40" t="str">
        <f t="array" ref="S1350">iferror(index(dissected_fish!$K:$K,match($A1350,dissected_fish!$A:$A,0)))</f>
        <v>N</v>
      </c>
      <c r="T1350" s="61" t="str">
        <f t="array" ref="T1350">index(fish_lab_data!O:O,match(A1350,fish_lab_data!C:C,0))</f>
        <v>KB</v>
      </c>
      <c r="U1350" s="61">
        <f t="array" ref="U1350">if(A1350="","",index(fish_lab_data!X:X,match(A1350,fish_lab_data!C:C,0)))</f>
        <v>1349</v>
      </c>
    </row>
    <row r="1351">
      <c r="A1351" t="str">
        <f>fish_lab_data!C1351</f>
        <v>U16040</v>
      </c>
      <c r="B1351" t="str">
        <f t="array" ref="B1351">iferror(index('rna-muscle'!$I:$I,match($A1351,'rna-muscle'!$A:$A,0)))</f>
        <v>BRN76M-E7</v>
      </c>
      <c r="C1351" t="str">
        <f t="array" ref="C1351">iferror(index('rna-muscle'!$L:$L,match($A1351,'rna-muscle'!$A:$A,0)))</f>
        <v>N</v>
      </c>
      <c r="D1351" t="str">
        <f t="array" ref="D1351">iferror(index('rna-gill'!$I:$I,match($A1351,'rna-gill'!$A:$A,0)))</f>
        <v>BRN76G-E7</v>
      </c>
      <c r="E1351" t="str">
        <f t="array" ref="E1351">iferror(index('rna-gill'!$L:$L,match($A1351,'rna-gill'!$A:$A,0)))</f>
        <v>N</v>
      </c>
      <c r="F1351" t="str">
        <f t="array" ref="F1351">iferror(index(fatty_acid!$G:$G,match($A1351,fatty_acid!$A:$A,0)))</f>
        <v>BFA36-34</v>
      </c>
      <c r="G1351" t="str">
        <f t="array" ref="G1351">iferror(index(fatty_acid!$J:$J,match($A1351,fatty_acid!$A:$A,0)))</f>
        <v>N</v>
      </c>
      <c r="H1351" t="str">
        <f t="array" ref="H1351">iferror(index(isotopes!$G:$G,match($A1351,isotopes!$A:$A,0)))</f>
        <v>BIS39-34</v>
      </c>
      <c r="I1351" t="str">
        <f t="array" ref="I1351">iferror(index(isotopes!$J:$J,match($A1351,isotopes!$A:$A,0)))</f>
        <v>N</v>
      </c>
      <c r="J1351" t="str">
        <f t="array" ref="J1351">iferror(index(extra_muscle!$G:$G,match($A1351,extra_muscle!$A:$A,0)))</f>
        <v>BXM38-34</v>
      </c>
      <c r="K1351" t="str">
        <f t="array" ref="K1351">iferror(index(extra_muscle!$J:$J,match($A1351,extra_muscle!$A:$A,0)))</f>
        <v>N</v>
      </c>
      <c r="L1351" s="59" t="str">
        <f t="array" ref="L1351">iferror(index(dna!$G:$G,match($A1351,dna!$A:$A,0)))</f>
        <v>BDN12-10</v>
      </c>
      <c r="M1351" s="60" t="str">
        <f t="array" ref="M1351">iferror(index(dna!$J:$J,match($A1351,dna!$A:$A,0)))</f>
        <v>N</v>
      </c>
      <c r="N1351" t="str">
        <f t="array" ref="N1351">iferror(index(stomachs!$G:$G,match($A1351,stomachs!$A:$A,0)))</f>
        <v/>
      </c>
      <c r="O1351" t="str">
        <f t="array" ref="O1351">iferror(index(stomachs!$J:$J,match($A1351,stomachs!$A:$A,0)))</f>
        <v/>
      </c>
      <c r="P1351" t="str">
        <f t="array" ref="P1351">iferror(index(sea_lice!$G:$G,match($A1351,sea_lice!$A:$A,0)))</f>
        <v/>
      </c>
      <c r="Q1351" t="str">
        <f t="array" ref="Q1351">iferror(index(sea_lice!$J:$J,match($A1351,sea_lice!$A:$A,0)))</f>
        <v/>
      </c>
      <c r="R1351" s="40" t="str">
        <f t="array" ref="R1351">iferror(index(dissected_fish!$F:$F,match($A1351,dissected_fish!$A:$A,0)))</f>
        <v>BCA111</v>
      </c>
      <c r="S1351" s="40" t="str">
        <f t="array" ref="S1351">iferror(index(dissected_fish!$K:$K,match($A1351,dissected_fish!$A:$A,0)))</f>
        <v>N</v>
      </c>
      <c r="T1351" s="61" t="str">
        <f t="array" ref="T1351">index(fish_lab_data!O:O,match(A1351,fish_lab_data!C:C,0))</f>
        <v>KB</v>
      </c>
      <c r="U1351" s="61">
        <f t="array" ref="U1351">if(A1351="","",index(fish_lab_data!X:X,match(A1351,fish_lab_data!C:C,0)))</f>
        <v>1350</v>
      </c>
    </row>
    <row r="1352">
      <c r="A1352" t="str">
        <f>fish_lab_data!C1352</f>
        <v>U16033</v>
      </c>
      <c r="B1352" t="str">
        <f t="array" ref="B1352">iferror(index('rna-muscle'!$I:$I,match($A1352,'rna-muscle'!$A:$A,0)))</f>
        <v>BRN76M-D7</v>
      </c>
      <c r="C1352" t="str">
        <f t="array" ref="C1352">iferror(index('rna-muscle'!$L:$L,match($A1352,'rna-muscle'!$A:$A,0)))</f>
        <v>N</v>
      </c>
      <c r="D1352" t="str">
        <f t="array" ref="D1352">iferror(index('rna-gill'!$I:$I,match($A1352,'rna-gill'!$A:$A,0)))</f>
        <v>BRN76G-D7</v>
      </c>
      <c r="E1352" t="str">
        <f t="array" ref="E1352">iferror(index('rna-gill'!$L:$L,match($A1352,'rna-gill'!$A:$A,0)))</f>
        <v>N</v>
      </c>
      <c r="F1352" t="str">
        <f t="array" ref="F1352">iferror(index(fatty_acid!$G:$G,match($A1352,fatty_acid!$A:$A,0)))</f>
        <v>BFA36-35</v>
      </c>
      <c r="G1352" t="str">
        <f t="array" ref="G1352">iferror(index(fatty_acid!$J:$J,match($A1352,fatty_acid!$A:$A,0)))</f>
        <v>N</v>
      </c>
      <c r="H1352" t="str">
        <f t="array" ref="H1352">iferror(index(isotopes!$G:$G,match($A1352,isotopes!$A:$A,0)))</f>
        <v>BIS39-35</v>
      </c>
      <c r="I1352" t="str">
        <f t="array" ref="I1352">iferror(index(isotopes!$J:$J,match($A1352,isotopes!$A:$A,0)))</f>
        <v>N</v>
      </c>
      <c r="J1352" t="str">
        <f t="array" ref="J1352">iferror(index(extra_muscle!$G:$G,match($A1352,extra_muscle!$A:$A,0)))</f>
        <v>BXM38-35</v>
      </c>
      <c r="K1352" t="str">
        <f t="array" ref="K1352">iferror(index(extra_muscle!$J:$J,match($A1352,extra_muscle!$A:$A,0)))</f>
        <v>N</v>
      </c>
      <c r="L1352" s="59" t="str">
        <f t="array" ref="L1352">iferror(index(dna!$G:$G,match($A1352,dna!$A:$A,0)))</f>
        <v>BDN12-11</v>
      </c>
      <c r="M1352" s="60" t="str">
        <f t="array" ref="M1352">iferror(index(dna!$J:$J,match($A1352,dna!$A:$A,0)))</f>
        <v>N</v>
      </c>
      <c r="N1352" t="str">
        <f t="array" ref="N1352">iferror(index(stomachs!$G:$G,match($A1352,stomachs!$A:$A,0)))</f>
        <v/>
      </c>
      <c r="O1352" t="str">
        <f t="array" ref="O1352">iferror(index(stomachs!$J:$J,match($A1352,stomachs!$A:$A,0)))</f>
        <v/>
      </c>
      <c r="P1352" t="str">
        <f t="array" ref="P1352">iferror(index(sea_lice!$G:$G,match($A1352,sea_lice!$A:$A,0)))</f>
        <v/>
      </c>
      <c r="Q1352" t="str">
        <f t="array" ref="Q1352">iferror(index(sea_lice!$J:$J,match($A1352,sea_lice!$A:$A,0)))</f>
        <v/>
      </c>
      <c r="R1352" s="40" t="str">
        <f t="array" ref="R1352">iferror(index(dissected_fish!$F:$F,match($A1352,dissected_fish!$A:$A,0)))</f>
        <v>BCA111</v>
      </c>
      <c r="S1352" s="40" t="str">
        <f t="array" ref="S1352">iferror(index(dissected_fish!$K:$K,match($A1352,dissected_fish!$A:$A,0)))</f>
        <v>N</v>
      </c>
      <c r="T1352" s="61" t="str">
        <f t="array" ref="T1352">index(fish_lab_data!O:O,match(A1352,fish_lab_data!C:C,0))</f>
        <v>KB</v>
      </c>
      <c r="U1352" s="61">
        <f t="array" ref="U1352">if(A1352="","",index(fish_lab_data!X:X,match(A1352,fish_lab_data!C:C,0)))</f>
        <v>1351</v>
      </c>
    </row>
    <row r="1353">
      <c r="A1353" t="str">
        <f>fish_lab_data!C1353</f>
        <v>U16036</v>
      </c>
      <c r="B1353" t="str">
        <f t="array" ref="B1353">iferror(index('rna-muscle'!$I:$I,match($A1353,'rna-muscle'!$A:$A,0)))</f>
        <v>BRN76M-C7</v>
      </c>
      <c r="C1353" t="str">
        <f t="array" ref="C1353">iferror(index('rna-muscle'!$L:$L,match($A1353,'rna-muscle'!$A:$A,0)))</f>
        <v>N</v>
      </c>
      <c r="D1353" t="str">
        <f t="array" ref="D1353">iferror(index('rna-gill'!$I:$I,match($A1353,'rna-gill'!$A:$A,0)))</f>
        <v>BRN76G-C7</v>
      </c>
      <c r="E1353" t="str">
        <f t="array" ref="E1353">iferror(index('rna-gill'!$L:$L,match($A1353,'rna-gill'!$A:$A,0)))</f>
        <v>N</v>
      </c>
      <c r="F1353" t="str">
        <f t="array" ref="F1353">iferror(index(fatty_acid!$G:$G,match($A1353,fatty_acid!$A:$A,0)))</f>
        <v>BFA36-36</v>
      </c>
      <c r="G1353" t="str">
        <f t="array" ref="G1353">iferror(index(fatty_acid!$J:$J,match($A1353,fatty_acid!$A:$A,0)))</f>
        <v>N</v>
      </c>
      <c r="H1353" t="str">
        <f t="array" ref="H1353">iferror(index(isotopes!$G:$G,match($A1353,isotopes!$A:$A,0)))</f>
        <v>BIS39-36</v>
      </c>
      <c r="I1353" t="str">
        <f t="array" ref="I1353">iferror(index(isotopes!$J:$J,match($A1353,isotopes!$A:$A,0)))</f>
        <v>N</v>
      </c>
      <c r="J1353" t="str">
        <f t="array" ref="J1353">iferror(index(extra_muscle!$G:$G,match($A1353,extra_muscle!$A:$A,0)))</f>
        <v>BXM38-36</v>
      </c>
      <c r="K1353" t="str">
        <f t="array" ref="K1353">iferror(index(extra_muscle!$J:$J,match($A1353,extra_muscle!$A:$A,0)))</f>
        <v>N</v>
      </c>
      <c r="L1353" s="59" t="str">
        <f t="array" ref="L1353">iferror(index(dna!$G:$G,match($A1353,dna!$A:$A,0)))</f>
        <v>BDN12-12</v>
      </c>
      <c r="M1353" s="60" t="str">
        <f t="array" ref="M1353">iferror(index(dna!$J:$J,match($A1353,dna!$A:$A,0)))</f>
        <v>N</v>
      </c>
      <c r="N1353" t="str">
        <f t="array" ref="N1353">iferror(index(stomachs!$G:$G,match($A1353,stomachs!$A:$A,0)))</f>
        <v/>
      </c>
      <c r="O1353" t="str">
        <f t="array" ref="O1353">iferror(index(stomachs!$J:$J,match($A1353,stomachs!$A:$A,0)))</f>
        <v/>
      </c>
      <c r="P1353" t="str">
        <f t="array" ref="P1353">iferror(index(sea_lice!$G:$G,match($A1353,sea_lice!$A:$A,0)))</f>
        <v/>
      </c>
      <c r="Q1353" t="str">
        <f t="array" ref="Q1353">iferror(index(sea_lice!$J:$J,match($A1353,sea_lice!$A:$A,0)))</f>
        <v/>
      </c>
      <c r="R1353" s="40" t="str">
        <f t="array" ref="R1353">iferror(index(dissected_fish!$F:$F,match($A1353,dissected_fish!$A:$A,0)))</f>
        <v>BCA111</v>
      </c>
      <c r="S1353" s="40" t="str">
        <f t="array" ref="S1353">iferror(index(dissected_fish!$K:$K,match($A1353,dissected_fish!$A:$A,0)))</f>
        <v>N</v>
      </c>
      <c r="T1353" s="61" t="str">
        <f t="array" ref="T1353">index(fish_lab_data!O:O,match(A1353,fish_lab_data!C:C,0))</f>
        <v>KB</v>
      </c>
      <c r="U1353" s="61">
        <f t="array" ref="U1353">if(A1353="","",index(fish_lab_data!X:X,match(A1353,fish_lab_data!C:C,0)))</f>
        <v>1352</v>
      </c>
    </row>
    <row r="1354">
      <c r="A1354" t="str">
        <f>fish_lab_data!C1354</f>
        <v>U17466</v>
      </c>
      <c r="B1354" t="str">
        <f t="array" ref="B1354">iferror(index('rna-muscle'!$I:$I,match($A1354,'rna-muscle'!$A:$A,0)))</f>
        <v>BRN76M-F3</v>
      </c>
      <c r="C1354" t="str">
        <f t="array" ref="C1354">iferror(index('rna-muscle'!$L:$L,match($A1354,'rna-muscle'!$A:$A,0)))</f>
        <v>N</v>
      </c>
      <c r="D1354" t="str">
        <f t="array" ref="D1354">iferror(index('rna-gill'!$I:$I,match($A1354,'rna-gill'!$A:$A,0)))</f>
        <v>BRN76G-F3</v>
      </c>
      <c r="E1354" t="str">
        <f t="array" ref="E1354">iferror(index('rna-gill'!$L:$L,match($A1354,'rna-gill'!$A:$A,0)))</f>
        <v>N</v>
      </c>
      <c r="F1354" t="str">
        <f t="array" ref="F1354">iferror(index(fatty_acid!$G:$G,match($A1354,fatty_acid!$A:$A,0)))</f>
        <v>BFA33-81</v>
      </c>
      <c r="G1354" t="str">
        <f t="array" ref="G1354">iferror(index(fatty_acid!$J:$J,match($A1354,fatty_acid!$A:$A,0)))</f>
        <v>N</v>
      </c>
      <c r="H1354" t="str">
        <f t="array" ref="H1354">iferror(index(isotopes!$G:$G,match($A1354,isotopes!$A:$A,0)))</f>
        <v>BIS34-80</v>
      </c>
      <c r="I1354" t="str">
        <f t="array" ref="I1354">iferror(index(isotopes!$J:$J,match($A1354,isotopes!$A:$A,0)))</f>
        <v>N</v>
      </c>
      <c r="J1354" t="str">
        <f t="array" ref="J1354">iferror(index(extra_muscle!$G:$G,match($A1354,extra_muscle!$A:$A,0)))</f>
        <v>BXM37-43</v>
      </c>
      <c r="K1354" t="str">
        <f t="array" ref="K1354">iferror(index(extra_muscle!$J:$J,match($A1354,extra_muscle!$A:$A,0)))</f>
        <v>N</v>
      </c>
      <c r="L1354" s="59" t="str">
        <f t="array" ref="L1354">iferror(index(dna!$G:$G,match($A1354,dna!$A:$A,0)))</f>
        <v>BDN11-17</v>
      </c>
      <c r="M1354" s="60" t="str">
        <f t="array" ref="M1354">iferror(index(dna!$J:$J,match($A1354,dna!$A:$A,0)))</f>
        <v>N</v>
      </c>
      <c r="N1354" t="str">
        <f t="array" ref="N1354">iferror(index(stomachs!$G:$G,match($A1354,stomachs!$A:$A,0)))</f>
        <v/>
      </c>
      <c r="O1354" t="str">
        <f t="array" ref="O1354">iferror(index(stomachs!$J:$J,match($A1354,stomachs!$A:$A,0)))</f>
        <v/>
      </c>
      <c r="P1354" t="str">
        <f t="array" ref="P1354">iferror(index(sea_lice!$G:$G,match($A1354,sea_lice!$A:$A,0)))</f>
        <v>BSL8-33</v>
      </c>
      <c r="Q1354" t="str">
        <f t="array" ref="Q1354">iferror(index(sea_lice!$J:$J,match($A1354,sea_lice!$A:$A,0)))</f>
        <v>N</v>
      </c>
      <c r="R1354" s="40" t="str">
        <f t="array" ref="R1354">iferror(index(dissected_fish!$F:$F,match($A1354,dissected_fish!$A:$A,0)))</f>
        <v>BCA111</v>
      </c>
      <c r="S1354" s="40" t="str">
        <f t="array" ref="S1354">iferror(index(dissected_fish!$K:$K,match($A1354,dissected_fish!$A:$A,0)))</f>
        <v>N</v>
      </c>
      <c r="T1354" s="61" t="str">
        <f t="array" ref="T1354">index(fish_lab_data!O:O,match(A1354,fish_lab_data!C:C,0))</f>
        <v>JG</v>
      </c>
      <c r="U1354" s="61">
        <f t="array" ref="U1354">if(A1354="","",index(fish_lab_data!X:X,match(A1354,fish_lab_data!C:C,0)))</f>
        <v>1353</v>
      </c>
    </row>
    <row r="1355">
      <c r="A1355" t="str">
        <f>fish_lab_data!C1355</f>
        <v>U17465</v>
      </c>
      <c r="B1355" t="str">
        <f t="array" ref="B1355">iferror(index('rna-muscle'!$I:$I,match($A1355,'rna-muscle'!$A:$A,0)))</f>
        <v>BRN76M-E3</v>
      </c>
      <c r="C1355" t="str">
        <f t="array" ref="C1355">iferror(index('rna-muscle'!$L:$L,match($A1355,'rna-muscle'!$A:$A,0)))</f>
        <v>N</v>
      </c>
      <c r="D1355" t="str">
        <f t="array" ref="D1355">iferror(index('rna-gill'!$I:$I,match($A1355,'rna-gill'!$A:$A,0)))</f>
        <v>BRN76G-E3</v>
      </c>
      <c r="E1355" t="str">
        <f t="array" ref="E1355">iferror(index('rna-gill'!$L:$L,match($A1355,'rna-gill'!$A:$A,0)))</f>
        <v>N</v>
      </c>
      <c r="F1355" t="str">
        <f t="array" ref="F1355">iferror(index(fatty_acid!$G:$G,match($A1355,fatty_acid!$A:$A,0)))</f>
        <v>BFA37-1</v>
      </c>
      <c r="G1355" t="str">
        <f t="array" ref="G1355">iferror(index(fatty_acid!$J:$J,match($A1355,fatty_acid!$A:$A,0)))</f>
        <v>N</v>
      </c>
      <c r="H1355" t="str">
        <f t="array" ref="H1355">iferror(index(isotopes!$G:$G,match($A1355,isotopes!$A:$A,0)))</f>
        <v>BIS34-81</v>
      </c>
      <c r="I1355" t="str">
        <f t="array" ref="I1355">iferror(index(isotopes!$J:$J,match($A1355,isotopes!$A:$A,0)))</f>
        <v>N</v>
      </c>
      <c r="J1355" t="str">
        <f t="array" ref="J1355">iferror(index(extra_muscle!$G:$G,match($A1355,extra_muscle!$A:$A,0)))</f>
        <v>BXM37-44</v>
      </c>
      <c r="K1355" t="str">
        <f t="array" ref="K1355">iferror(index(extra_muscle!$J:$J,match($A1355,extra_muscle!$A:$A,0)))</f>
        <v>N</v>
      </c>
      <c r="L1355" s="59" t="str">
        <f t="array" ref="L1355">iferror(index(dna!$G:$G,match($A1355,dna!$A:$A,0)))</f>
        <v>BDN11-18</v>
      </c>
      <c r="M1355" s="60" t="str">
        <f t="array" ref="M1355">iferror(index(dna!$J:$J,match($A1355,dna!$A:$A,0)))</f>
        <v>N</v>
      </c>
      <c r="N1355" t="str">
        <f t="array" ref="N1355">iferror(index(stomachs!$G:$G,match($A1355,stomachs!$A:$A,0)))</f>
        <v/>
      </c>
      <c r="O1355" t="str">
        <f t="array" ref="O1355">iferror(index(stomachs!$J:$J,match($A1355,stomachs!$A:$A,0)))</f>
        <v/>
      </c>
      <c r="P1355" t="str">
        <f t="array" ref="P1355">iferror(index(sea_lice!$G:$G,match($A1355,sea_lice!$A:$A,0)))</f>
        <v/>
      </c>
      <c r="Q1355" t="str">
        <f t="array" ref="Q1355">iferror(index(sea_lice!$J:$J,match($A1355,sea_lice!$A:$A,0)))</f>
        <v/>
      </c>
      <c r="R1355" s="40" t="str">
        <f t="array" ref="R1355">iferror(index(dissected_fish!$F:$F,match($A1355,dissected_fish!$A:$A,0)))</f>
        <v>BCA111</v>
      </c>
      <c r="S1355" s="40" t="str">
        <f t="array" ref="S1355">iferror(index(dissected_fish!$K:$K,match($A1355,dissected_fish!$A:$A,0)))</f>
        <v>N</v>
      </c>
      <c r="T1355" s="61" t="str">
        <f t="array" ref="T1355">index(fish_lab_data!O:O,match(A1355,fish_lab_data!C:C,0))</f>
        <v>JG</v>
      </c>
      <c r="U1355" s="61">
        <f t="array" ref="U1355">if(A1355="","",index(fish_lab_data!X:X,match(A1355,fish_lab_data!C:C,0)))</f>
        <v>1354</v>
      </c>
    </row>
    <row r="1356">
      <c r="A1356" t="str">
        <f>fish_lab_data!C1356</f>
        <v>U17464</v>
      </c>
      <c r="B1356" t="str">
        <f t="array" ref="B1356">iferror(index('rna-muscle'!$I:$I,match($A1356,'rna-muscle'!$A:$A,0)))</f>
        <v>BRN76M-D3</v>
      </c>
      <c r="C1356" t="str">
        <f t="array" ref="C1356">iferror(index('rna-muscle'!$L:$L,match($A1356,'rna-muscle'!$A:$A,0)))</f>
        <v>N</v>
      </c>
      <c r="D1356" t="str">
        <f t="array" ref="D1356">iferror(index('rna-gill'!$I:$I,match($A1356,'rna-gill'!$A:$A,0)))</f>
        <v>BRN76G-D3</v>
      </c>
      <c r="E1356" t="str">
        <f t="array" ref="E1356">iferror(index('rna-gill'!$L:$L,match($A1356,'rna-gill'!$A:$A,0)))</f>
        <v>N</v>
      </c>
      <c r="F1356" t="str">
        <f t="array" ref="F1356">iferror(index(fatty_acid!$G:$G,match($A1356,fatty_acid!$A:$A,0)))</f>
        <v>BFA37-2</v>
      </c>
      <c r="G1356" t="str">
        <f t="array" ref="G1356">iferror(index(fatty_acid!$J:$J,match($A1356,fatty_acid!$A:$A,0)))</f>
        <v>N</v>
      </c>
      <c r="H1356" t="str">
        <f t="array" ref="H1356">iferror(index(isotopes!$G:$G,match($A1356,isotopes!$A:$A,0)))</f>
        <v>BIS40-1</v>
      </c>
      <c r="I1356" t="str">
        <f t="array" ref="I1356">iferror(index(isotopes!$J:$J,match($A1356,isotopes!$A:$A,0)))</f>
        <v>N</v>
      </c>
      <c r="J1356" t="str">
        <f t="array" ref="J1356">iferror(index(extra_muscle!$G:$G,match($A1356,extra_muscle!$A:$A,0)))</f>
        <v>BXM37-45</v>
      </c>
      <c r="K1356" t="str">
        <f t="array" ref="K1356">iferror(index(extra_muscle!$J:$J,match($A1356,extra_muscle!$A:$A,0)))</f>
        <v>N</v>
      </c>
      <c r="L1356" s="59" t="str">
        <f t="array" ref="L1356">iferror(index(dna!$G:$G,match($A1356,dna!$A:$A,0)))</f>
        <v>BDN11-19</v>
      </c>
      <c r="M1356" s="60" t="str">
        <f t="array" ref="M1356">iferror(index(dna!$J:$J,match($A1356,dna!$A:$A,0)))</f>
        <v>N</v>
      </c>
      <c r="N1356" t="str">
        <f t="array" ref="N1356">iferror(index(stomachs!$G:$G,match($A1356,stomachs!$A:$A,0)))</f>
        <v/>
      </c>
      <c r="O1356" t="str">
        <f t="array" ref="O1356">iferror(index(stomachs!$J:$J,match($A1356,stomachs!$A:$A,0)))</f>
        <v/>
      </c>
      <c r="P1356" t="str">
        <f t="array" ref="P1356">iferror(index(sea_lice!$G:$G,match($A1356,sea_lice!$A:$A,0)))</f>
        <v/>
      </c>
      <c r="Q1356" t="str">
        <f t="array" ref="Q1356">iferror(index(sea_lice!$J:$J,match($A1356,sea_lice!$A:$A,0)))</f>
        <v/>
      </c>
      <c r="R1356" s="40" t="str">
        <f t="array" ref="R1356">iferror(index(dissected_fish!$F:$F,match($A1356,dissected_fish!$A:$A,0)))</f>
        <v>BCA111</v>
      </c>
      <c r="S1356" s="40" t="str">
        <f t="array" ref="S1356">iferror(index(dissected_fish!$K:$K,match($A1356,dissected_fish!$A:$A,0)))</f>
        <v>N</v>
      </c>
      <c r="T1356" s="61" t="str">
        <f t="array" ref="T1356">index(fish_lab_data!O:O,match(A1356,fish_lab_data!C:C,0))</f>
        <v>JG</v>
      </c>
      <c r="U1356" s="61">
        <f t="array" ref="U1356">if(A1356="","",index(fish_lab_data!X:X,match(A1356,fish_lab_data!C:C,0)))</f>
        <v>1355</v>
      </c>
    </row>
    <row r="1357">
      <c r="A1357" t="str">
        <f>fish_lab_data!C1357</f>
        <v>U17463</v>
      </c>
      <c r="B1357" t="str">
        <f t="array" ref="B1357">iferror(index('rna-muscle'!$I:$I,match($A1357,'rna-muscle'!$A:$A,0)))</f>
        <v>BRN76M-C3</v>
      </c>
      <c r="C1357" t="str">
        <f t="array" ref="C1357">iferror(index('rna-muscle'!$L:$L,match($A1357,'rna-muscle'!$A:$A,0)))</f>
        <v>N</v>
      </c>
      <c r="D1357" t="str">
        <f t="array" ref="D1357">iferror(index('rna-gill'!$I:$I,match($A1357,'rna-gill'!$A:$A,0)))</f>
        <v>BRN76G-C3</v>
      </c>
      <c r="E1357" t="str">
        <f t="array" ref="E1357">iferror(index('rna-gill'!$L:$L,match($A1357,'rna-gill'!$A:$A,0)))</f>
        <v>N</v>
      </c>
      <c r="F1357" t="str">
        <f t="array" ref="F1357">iferror(index(fatty_acid!$G:$G,match($A1357,fatty_acid!$A:$A,0)))</f>
        <v>BFA37-3</v>
      </c>
      <c r="G1357" t="str">
        <f t="array" ref="G1357">iferror(index(fatty_acid!$J:$J,match($A1357,fatty_acid!$A:$A,0)))</f>
        <v>N</v>
      </c>
      <c r="H1357" t="str">
        <f t="array" ref="H1357">iferror(index(isotopes!$G:$G,match($A1357,isotopes!$A:$A,0)))</f>
        <v>BIS40-2</v>
      </c>
      <c r="I1357" t="str">
        <f t="array" ref="I1357">iferror(index(isotopes!$J:$J,match($A1357,isotopes!$A:$A,0)))</f>
        <v>N</v>
      </c>
      <c r="J1357" t="str">
        <f t="array" ref="J1357">iferror(index(extra_muscle!$G:$G,match($A1357,extra_muscle!$A:$A,0)))</f>
        <v>BXM37-46</v>
      </c>
      <c r="K1357" t="str">
        <f t="array" ref="K1357">iferror(index(extra_muscle!$J:$J,match($A1357,extra_muscle!$A:$A,0)))</f>
        <v>N</v>
      </c>
      <c r="L1357" s="59" t="str">
        <f t="array" ref="L1357">iferror(index(dna!$G:$G,match($A1357,dna!$A:$A,0)))</f>
        <v>BDN11-20</v>
      </c>
      <c r="M1357" s="60" t="str">
        <f t="array" ref="M1357">iferror(index(dna!$J:$J,match($A1357,dna!$A:$A,0)))</f>
        <v>N</v>
      </c>
      <c r="N1357" t="str">
        <f t="array" ref="N1357">iferror(index(stomachs!$G:$G,match($A1357,stomachs!$A:$A,0)))</f>
        <v/>
      </c>
      <c r="O1357" t="str">
        <f t="array" ref="O1357">iferror(index(stomachs!$J:$J,match($A1357,stomachs!$A:$A,0)))</f>
        <v/>
      </c>
      <c r="P1357" t="str">
        <f t="array" ref="P1357">iferror(index(sea_lice!$G:$G,match($A1357,sea_lice!$A:$A,0)))</f>
        <v>BSL8-34</v>
      </c>
      <c r="Q1357" t="str">
        <f t="array" ref="Q1357">iferror(index(sea_lice!$J:$J,match($A1357,sea_lice!$A:$A,0)))</f>
        <v>N</v>
      </c>
      <c r="R1357" s="40" t="str">
        <f t="array" ref="R1357">iferror(index(dissected_fish!$F:$F,match($A1357,dissected_fish!$A:$A,0)))</f>
        <v>BCA111</v>
      </c>
      <c r="S1357" s="40" t="str">
        <f t="array" ref="S1357">iferror(index(dissected_fish!$K:$K,match($A1357,dissected_fish!$A:$A,0)))</f>
        <v>N</v>
      </c>
      <c r="T1357" s="61" t="str">
        <f t="array" ref="T1357">index(fish_lab_data!O:O,match(A1357,fish_lab_data!C:C,0))</f>
        <v>JG</v>
      </c>
      <c r="U1357" s="61">
        <f t="array" ref="U1357">if(A1357="","",index(fish_lab_data!X:X,match(A1357,fish_lab_data!C:C,0)))</f>
        <v>1356</v>
      </c>
    </row>
    <row r="1358">
      <c r="A1358" t="str">
        <f>fish_lab_data!C1358</f>
        <v>U17462</v>
      </c>
      <c r="B1358" t="str">
        <f t="array" ref="B1358">iferror(index('rna-muscle'!$I:$I,match($A1358,'rna-muscle'!$A:$A,0)))</f>
        <v>BRN76M-B3</v>
      </c>
      <c r="C1358" t="str">
        <f t="array" ref="C1358">iferror(index('rna-muscle'!$L:$L,match($A1358,'rna-muscle'!$A:$A,0)))</f>
        <v>N</v>
      </c>
      <c r="D1358" t="str">
        <f t="array" ref="D1358">iferror(index('rna-gill'!$I:$I,match($A1358,'rna-gill'!$A:$A,0)))</f>
        <v>BRN76G-B3</v>
      </c>
      <c r="E1358" t="str">
        <f t="array" ref="E1358">iferror(index('rna-gill'!$L:$L,match($A1358,'rna-gill'!$A:$A,0)))</f>
        <v>N</v>
      </c>
      <c r="F1358" t="str">
        <f t="array" ref="F1358">iferror(index(fatty_acid!$G:$G,match($A1358,fatty_acid!$A:$A,0)))</f>
        <v>BFA37-4</v>
      </c>
      <c r="G1358" t="str">
        <f t="array" ref="G1358">iferror(index(fatty_acid!$J:$J,match($A1358,fatty_acid!$A:$A,0)))</f>
        <v>N</v>
      </c>
      <c r="H1358" t="str">
        <f t="array" ref="H1358">iferror(index(isotopes!$G:$G,match($A1358,isotopes!$A:$A,0)))</f>
        <v>BIS40-3</v>
      </c>
      <c r="I1358" t="str">
        <f t="array" ref="I1358">iferror(index(isotopes!$J:$J,match($A1358,isotopes!$A:$A,0)))</f>
        <v>N</v>
      </c>
      <c r="J1358" t="str">
        <f t="array" ref="J1358">iferror(index(extra_muscle!$G:$G,match($A1358,extra_muscle!$A:$A,0)))</f>
        <v>BXM37-47</v>
      </c>
      <c r="K1358" t="str">
        <f t="array" ref="K1358">iferror(index(extra_muscle!$J:$J,match($A1358,extra_muscle!$A:$A,0)))</f>
        <v>N</v>
      </c>
      <c r="L1358" s="59" t="str">
        <f t="array" ref="L1358">iferror(index(dna!$G:$G,match($A1358,dna!$A:$A,0)))</f>
        <v>BDN11-21</v>
      </c>
      <c r="M1358" s="60" t="str">
        <f t="array" ref="M1358">iferror(index(dna!$J:$J,match($A1358,dna!$A:$A,0)))</f>
        <v>N</v>
      </c>
      <c r="N1358" t="str">
        <f t="array" ref="N1358">iferror(index(stomachs!$G:$G,match($A1358,stomachs!$A:$A,0)))</f>
        <v/>
      </c>
      <c r="O1358" t="str">
        <f t="array" ref="O1358">iferror(index(stomachs!$J:$J,match($A1358,stomachs!$A:$A,0)))</f>
        <v/>
      </c>
      <c r="P1358" t="str">
        <f t="array" ref="P1358">iferror(index(sea_lice!$G:$G,match($A1358,sea_lice!$A:$A,0)))</f>
        <v>BSL8-35</v>
      </c>
      <c r="Q1358" t="str">
        <f t="array" ref="Q1358">iferror(index(sea_lice!$J:$J,match($A1358,sea_lice!$A:$A,0)))</f>
        <v>N</v>
      </c>
      <c r="R1358" s="40" t="str">
        <f t="array" ref="R1358">iferror(index(dissected_fish!$F:$F,match($A1358,dissected_fish!$A:$A,0)))</f>
        <v>BCA111</v>
      </c>
      <c r="S1358" s="40" t="str">
        <f t="array" ref="S1358">iferror(index(dissected_fish!$K:$K,match($A1358,dissected_fish!$A:$A,0)))</f>
        <v>N</v>
      </c>
      <c r="T1358" s="61" t="str">
        <f t="array" ref="T1358">index(fish_lab_data!O:O,match(A1358,fish_lab_data!C:C,0))</f>
        <v>JG</v>
      </c>
      <c r="U1358" s="61">
        <f t="array" ref="U1358">if(A1358="","",index(fish_lab_data!X:X,match(A1358,fish_lab_data!C:C,0)))</f>
        <v>1357</v>
      </c>
    </row>
    <row r="1359">
      <c r="A1359" t="str">
        <f>fish_lab_data!C1359</f>
        <v>U17461</v>
      </c>
      <c r="B1359" t="str">
        <f t="array" ref="B1359">iferror(index('rna-muscle'!$I:$I,match($A1359,'rna-muscle'!$A:$A,0)))</f>
        <v>BRN76M-A3</v>
      </c>
      <c r="C1359" t="str">
        <f t="array" ref="C1359">iferror(index('rna-muscle'!$L:$L,match($A1359,'rna-muscle'!$A:$A,0)))</f>
        <v>N</v>
      </c>
      <c r="D1359" t="str">
        <f t="array" ref="D1359">iferror(index('rna-gill'!$I:$I,match($A1359,'rna-gill'!$A:$A,0)))</f>
        <v>BRN76G-A3</v>
      </c>
      <c r="E1359" t="str">
        <f t="array" ref="E1359">iferror(index('rna-gill'!$L:$L,match($A1359,'rna-gill'!$A:$A,0)))</f>
        <v>N</v>
      </c>
      <c r="F1359" t="str">
        <f t="array" ref="F1359">iferror(index(fatty_acid!$G:$G,match($A1359,fatty_acid!$A:$A,0)))</f>
        <v>BFA37-5</v>
      </c>
      <c r="G1359" t="str">
        <f t="array" ref="G1359">iferror(index(fatty_acid!$J:$J,match($A1359,fatty_acid!$A:$A,0)))</f>
        <v>N</v>
      </c>
      <c r="H1359" t="str">
        <f t="array" ref="H1359">iferror(index(isotopes!$G:$G,match($A1359,isotopes!$A:$A,0)))</f>
        <v>BIS40-4</v>
      </c>
      <c r="I1359" t="str">
        <f t="array" ref="I1359">iferror(index(isotopes!$J:$J,match($A1359,isotopes!$A:$A,0)))</f>
        <v>N</v>
      </c>
      <c r="J1359" t="str">
        <f t="array" ref="J1359">iferror(index(extra_muscle!$G:$G,match($A1359,extra_muscle!$A:$A,0)))</f>
        <v>BXM37-48</v>
      </c>
      <c r="K1359" t="str">
        <f t="array" ref="K1359">iferror(index(extra_muscle!$J:$J,match($A1359,extra_muscle!$A:$A,0)))</f>
        <v>N</v>
      </c>
      <c r="L1359" s="59" t="str">
        <f t="array" ref="L1359">iferror(index(dna!$G:$G,match($A1359,dna!$A:$A,0)))</f>
        <v>BDN11-22</v>
      </c>
      <c r="M1359" s="60" t="str">
        <f t="array" ref="M1359">iferror(index(dna!$J:$J,match($A1359,dna!$A:$A,0)))</f>
        <v>N</v>
      </c>
      <c r="N1359" t="str">
        <f t="array" ref="N1359">iferror(index(stomachs!$G:$G,match($A1359,stomachs!$A:$A,0)))</f>
        <v/>
      </c>
      <c r="O1359" t="str">
        <f t="array" ref="O1359">iferror(index(stomachs!$J:$J,match($A1359,stomachs!$A:$A,0)))</f>
        <v/>
      </c>
      <c r="P1359" t="str">
        <f t="array" ref="P1359">iferror(index(sea_lice!$G:$G,match($A1359,sea_lice!$A:$A,0)))</f>
        <v>BSL8-36</v>
      </c>
      <c r="Q1359" t="str">
        <f t="array" ref="Q1359">iferror(index(sea_lice!$J:$J,match($A1359,sea_lice!$A:$A,0)))</f>
        <v>N</v>
      </c>
      <c r="R1359" s="40" t="str">
        <f t="array" ref="R1359">iferror(index(dissected_fish!$F:$F,match($A1359,dissected_fish!$A:$A,0)))</f>
        <v>BCA111</v>
      </c>
      <c r="S1359" s="40" t="str">
        <f t="array" ref="S1359">iferror(index(dissected_fish!$K:$K,match($A1359,dissected_fish!$A:$A,0)))</f>
        <v>N</v>
      </c>
      <c r="T1359" s="61" t="str">
        <f t="array" ref="T1359">index(fish_lab_data!O:O,match(A1359,fish_lab_data!C:C,0))</f>
        <v>JG</v>
      </c>
      <c r="U1359" s="61">
        <f t="array" ref="U1359">if(A1359="","",index(fish_lab_data!X:X,match(A1359,fish_lab_data!C:C,0)))</f>
        <v>1358</v>
      </c>
    </row>
    <row r="1360">
      <c r="A1360" t="str">
        <f>fish_lab_data!C1360</f>
        <v>U16736</v>
      </c>
      <c r="B1360" t="str">
        <f t="array" ref="B1360">iferror(index('rna-muscle'!$I:$I,match($A1360,'rna-muscle'!$A:$A,0)))</f>
        <v>BRN76M-H8</v>
      </c>
      <c r="C1360" t="str">
        <f t="array" ref="C1360">iferror(index('rna-muscle'!$L:$L,match($A1360,'rna-muscle'!$A:$A,0)))</f>
        <v>N</v>
      </c>
      <c r="D1360" t="str">
        <f t="array" ref="D1360">iferror(index('rna-gill'!$I:$I,match($A1360,'rna-gill'!$A:$A,0)))</f>
        <v>BRN76G-H8</v>
      </c>
      <c r="E1360" t="str">
        <f t="array" ref="E1360">iferror(index('rna-gill'!$L:$L,match($A1360,'rna-gill'!$A:$A,0)))</f>
        <v>N</v>
      </c>
      <c r="F1360" t="str">
        <f t="array" ref="F1360">iferror(index(fatty_acid!$G:$G,match($A1360,fatty_acid!$A:$A,0)))</f>
        <v>BFA37-6</v>
      </c>
      <c r="G1360" t="str">
        <f t="array" ref="G1360">iferror(index(fatty_acid!$J:$J,match($A1360,fatty_acid!$A:$A,0)))</f>
        <v>N</v>
      </c>
      <c r="H1360" t="str">
        <f t="array" ref="H1360">iferror(index(isotopes!$G:$G,match($A1360,isotopes!$A:$A,0)))</f>
        <v>BIS40-5</v>
      </c>
      <c r="I1360" t="str">
        <f t="array" ref="I1360">iferror(index(isotopes!$J:$J,match($A1360,isotopes!$A:$A,0)))</f>
        <v>N</v>
      </c>
      <c r="J1360" t="str">
        <f t="array" ref="J1360">iferror(index(extra_muscle!$G:$G,match($A1360,extra_muscle!$A:$A,0)))</f>
        <v>BXM37-49</v>
      </c>
      <c r="K1360" t="str">
        <f t="array" ref="K1360">iferror(index(extra_muscle!$J:$J,match($A1360,extra_muscle!$A:$A,0)))</f>
        <v>N</v>
      </c>
      <c r="L1360" s="59" t="str">
        <f t="array" ref="L1360">iferror(index(dna!$G:$G,match($A1360,dna!$A:$A,0)))</f>
        <v>BDN11-23</v>
      </c>
      <c r="M1360" s="60" t="str">
        <f t="array" ref="M1360">iferror(index(dna!$J:$J,match($A1360,dna!$A:$A,0)))</f>
        <v>N</v>
      </c>
      <c r="N1360" t="str">
        <f t="array" ref="N1360">iferror(index(stomachs!$G:$G,match($A1360,stomachs!$A:$A,0)))</f>
        <v/>
      </c>
      <c r="O1360" t="str">
        <f t="array" ref="O1360">iferror(index(stomachs!$J:$J,match($A1360,stomachs!$A:$A,0)))</f>
        <v/>
      </c>
      <c r="P1360" t="str">
        <f t="array" ref="P1360">iferror(index(sea_lice!$G:$G,match($A1360,sea_lice!$A:$A,0)))</f>
        <v>BSL8-37</v>
      </c>
      <c r="Q1360" t="str">
        <f t="array" ref="Q1360">iferror(index(sea_lice!$J:$J,match($A1360,sea_lice!$A:$A,0)))</f>
        <v>N</v>
      </c>
      <c r="R1360" s="40" t="str">
        <f t="array" ref="R1360">iferror(index(dissected_fish!$F:$F,match($A1360,dissected_fish!$A:$A,0)))</f>
        <v>BCA111</v>
      </c>
      <c r="S1360" s="40" t="str">
        <f t="array" ref="S1360">iferror(index(dissected_fish!$K:$K,match($A1360,dissected_fish!$A:$A,0)))</f>
        <v>N</v>
      </c>
      <c r="T1360" s="61" t="str">
        <f t="array" ref="T1360">index(fish_lab_data!O:O,match(A1360,fish_lab_data!C:C,0))</f>
        <v>JG</v>
      </c>
      <c r="U1360" s="61">
        <f t="array" ref="U1360">if(A1360="","",index(fish_lab_data!X:X,match(A1360,fish_lab_data!C:C,0)))</f>
        <v>1359</v>
      </c>
    </row>
    <row r="1361">
      <c r="A1361" t="str">
        <f>fish_lab_data!C1361</f>
        <v>U16738</v>
      </c>
      <c r="B1361" t="str">
        <f t="array" ref="B1361">iferror(index('rna-muscle'!$I:$I,match($A1361,'rna-muscle'!$A:$A,0)))</f>
        <v>BRN76M-G8</v>
      </c>
      <c r="C1361" t="str">
        <f t="array" ref="C1361">iferror(index('rna-muscle'!$L:$L,match($A1361,'rna-muscle'!$A:$A,0)))</f>
        <v>N</v>
      </c>
      <c r="D1361" t="str">
        <f t="array" ref="D1361">iferror(index('rna-gill'!$I:$I,match($A1361,'rna-gill'!$A:$A,0)))</f>
        <v>BRN76G-G8</v>
      </c>
      <c r="E1361" t="str">
        <f t="array" ref="E1361">iferror(index('rna-gill'!$L:$L,match($A1361,'rna-gill'!$A:$A,0)))</f>
        <v>N</v>
      </c>
      <c r="F1361" t="str">
        <f t="array" ref="F1361">iferror(index(fatty_acid!$G:$G,match($A1361,fatty_acid!$A:$A,0)))</f>
        <v>BFA37-7</v>
      </c>
      <c r="G1361" t="str">
        <f t="array" ref="G1361">iferror(index(fatty_acid!$J:$J,match($A1361,fatty_acid!$A:$A,0)))</f>
        <v>N</v>
      </c>
      <c r="H1361" t="str">
        <f t="array" ref="H1361">iferror(index(isotopes!$G:$G,match($A1361,isotopes!$A:$A,0)))</f>
        <v>BIS40-6</v>
      </c>
      <c r="I1361" t="str">
        <f t="array" ref="I1361">iferror(index(isotopes!$J:$J,match($A1361,isotopes!$A:$A,0)))</f>
        <v>N</v>
      </c>
      <c r="J1361" t="str">
        <f t="array" ref="J1361">iferror(index(extra_muscle!$G:$G,match($A1361,extra_muscle!$A:$A,0)))</f>
        <v>BXM37-50</v>
      </c>
      <c r="K1361" t="str">
        <f t="array" ref="K1361">iferror(index(extra_muscle!$J:$J,match($A1361,extra_muscle!$A:$A,0)))</f>
        <v>N</v>
      </c>
      <c r="L1361" s="59" t="str">
        <f t="array" ref="L1361">iferror(index(dna!$G:$G,match($A1361,dna!$A:$A,0)))</f>
        <v>BDN11-24</v>
      </c>
      <c r="M1361" s="60" t="str">
        <f t="array" ref="M1361">iferror(index(dna!$J:$J,match($A1361,dna!$A:$A,0)))</f>
        <v>N</v>
      </c>
      <c r="N1361" t="str">
        <f t="array" ref="N1361">iferror(index(stomachs!$G:$G,match($A1361,stomachs!$A:$A,0)))</f>
        <v/>
      </c>
      <c r="O1361" t="str">
        <f t="array" ref="O1361">iferror(index(stomachs!$J:$J,match($A1361,stomachs!$A:$A,0)))</f>
        <v/>
      </c>
      <c r="P1361" t="str">
        <f t="array" ref="P1361">iferror(index(sea_lice!$G:$G,match($A1361,sea_lice!$A:$A,0)))</f>
        <v>BSL8-39</v>
      </c>
      <c r="Q1361" t="str">
        <f t="array" ref="Q1361">iferror(index(sea_lice!$J:$J,match($A1361,sea_lice!$A:$A,0)))</f>
        <v>N</v>
      </c>
      <c r="R1361" s="40" t="str">
        <f t="array" ref="R1361">iferror(index(dissected_fish!$F:$F,match($A1361,dissected_fish!$A:$A,0)))</f>
        <v>BCA111</v>
      </c>
      <c r="S1361" s="40" t="str">
        <f t="array" ref="S1361">iferror(index(dissected_fish!$K:$K,match($A1361,dissected_fish!$A:$A,0)))</f>
        <v>N</v>
      </c>
      <c r="T1361" s="61" t="str">
        <f t="array" ref="T1361">index(fish_lab_data!O:O,match(A1361,fish_lab_data!C:C,0))</f>
        <v>JG</v>
      </c>
      <c r="U1361" s="61">
        <f t="array" ref="U1361">if(A1361="","",index(fish_lab_data!X:X,match(A1361,fish_lab_data!C:C,0)))</f>
        <v>1360</v>
      </c>
    </row>
    <row r="1362">
      <c r="A1362" t="str">
        <f>fish_lab_data!C1362</f>
        <v>U16740</v>
      </c>
      <c r="B1362" t="str">
        <f t="array" ref="B1362">iferror(index('rna-muscle'!$I:$I,match($A1362,'rna-muscle'!$A:$A,0)))</f>
        <v>BRN76M-F8</v>
      </c>
      <c r="C1362" t="str">
        <f t="array" ref="C1362">iferror(index('rna-muscle'!$L:$L,match($A1362,'rna-muscle'!$A:$A,0)))</f>
        <v>N</v>
      </c>
      <c r="D1362" t="str">
        <f t="array" ref="D1362">iferror(index('rna-gill'!$I:$I,match($A1362,'rna-gill'!$A:$A,0)))</f>
        <v>BRN76G-F8</v>
      </c>
      <c r="E1362" t="str">
        <f t="array" ref="E1362">iferror(index('rna-gill'!$L:$L,match($A1362,'rna-gill'!$A:$A,0)))</f>
        <v>N</v>
      </c>
      <c r="F1362" t="str">
        <f t="array" ref="F1362">iferror(index(fatty_acid!$G:$G,match($A1362,fatty_acid!$A:$A,0)))</f>
        <v>BFA37-8</v>
      </c>
      <c r="G1362" t="str">
        <f t="array" ref="G1362">iferror(index(fatty_acid!$J:$J,match($A1362,fatty_acid!$A:$A,0)))</f>
        <v>N</v>
      </c>
      <c r="H1362" t="str">
        <f t="array" ref="H1362">iferror(index(isotopes!$G:$G,match($A1362,isotopes!$A:$A,0)))</f>
        <v>BIS40-7</v>
      </c>
      <c r="I1362" t="str">
        <f t="array" ref="I1362">iferror(index(isotopes!$J:$J,match($A1362,isotopes!$A:$A,0)))</f>
        <v>N</v>
      </c>
      <c r="J1362" t="str">
        <f t="array" ref="J1362">iferror(index(extra_muscle!$G:$G,match($A1362,extra_muscle!$A:$A,0)))</f>
        <v>BXM37-51</v>
      </c>
      <c r="K1362" t="str">
        <f t="array" ref="K1362">iferror(index(extra_muscle!$J:$J,match($A1362,extra_muscle!$A:$A,0)))</f>
        <v>N</v>
      </c>
      <c r="L1362" s="59" t="str">
        <f t="array" ref="L1362">iferror(index(dna!$G:$G,match($A1362,dna!$A:$A,0)))</f>
        <v>BDN11-25</v>
      </c>
      <c r="M1362" s="60" t="str">
        <f t="array" ref="M1362">iferror(index(dna!$J:$J,match($A1362,dna!$A:$A,0)))</f>
        <v>N</v>
      </c>
      <c r="N1362" t="str">
        <f t="array" ref="N1362">iferror(index(stomachs!$G:$G,match($A1362,stomachs!$A:$A,0)))</f>
        <v/>
      </c>
      <c r="O1362" t="str">
        <f t="array" ref="O1362">iferror(index(stomachs!$J:$J,match($A1362,stomachs!$A:$A,0)))</f>
        <v/>
      </c>
      <c r="P1362" t="str">
        <f t="array" ref="P1362">iferror(index(sea_lice!$G:$G,match($A1362,sea_lice!$A:$A,0)))</f>
        <v>BSL8-40</v>
      </c>
      <c r="Q1362" t="str">
        <f t="array" ref="Q1362">iferror(index(sea_lice!$J:$J,match($A1362,sea_lice!$A:$A,0)))</f>
        <v>N</v>
      </c>
      <c r="R1362" s="40" t="str">
        <f t="array" ref="R1362">iferror(index(dissected_fish!$F:$F,match($A1362,dissected_fish!$A:$A,0)))</f>
        <v>BCA111</v>
      </c>
      <c r="S1362" s="40" t="str">
        <f t="array" ref="S1362">iferror(index(dissected_fish!$K:$K,match($A1362,dissected_fish!$A:$A,0)))</f>
        <v>N</v>
      </c>
      <c r="T1362" s="61" t="str">
        <f t="array" ref="T1362">index(fish_lab_data!O:O,match(A1362,fish_lab_data!C:C,0))</f>
        <v>JG</v>
      </c>
      <c r="U1362" s="61">
        <f t="array" ref="U1362">if(A1362="","",index(fish_lab_data!X:X,match(A1362,fish_lab_data!C:C,0)))</f>
        <v>1361</v>
      </c>
    </row>
    <row r="1363">
      <c r="A1363" t="str">
        <f>fish_lab_data!C1363</f>
        <v>U16735</v>
      </c>
      <c r="B1363" t="str">
        <f t="array" ref="B1363">iferror(index('rna-muscle'!$I:$I,match($A1363,'rna-muscle'!$A:$A,0)))</f>
        <v>BRN76M-E8</v>
      </c>
      <c r="C1363" t="str">
        <f t="array" ref="C1363">iferror(index('rna-muscle'!$L:$L,match($A1363,'rna-muscle'!$A:$A,0)))</f>
        <v>N</v>
      </c>
      <c r="D1363" t="str">
        <f t="array" ref="D1363">iferror(index('rna-gill'!$I:$I,match($A1363,'rna-gill'!$A:$A,0)))</f>
        <v>BRN76G-E8</v>
      </c>
      <c r="E1363" t="str">
        <f t="array" ref="E1363">iferror(index('rna-gill'!$L:$L,match($A1363,'rna-gill'!$A:$A,0)))</f>
        <v>N</v>
      </c>
      <c r="F1363" t="str">
        <f t="array" ref="F1363">iferror(index(fatty_acid!$G:$G,match($A1363,fatty_acid!$A:$A,0)))</f>
        <v>BFA37-9</v>
      </c>
      <c r="G1363" t="str">
        <f t="array" ref="G1363">iferror(index(fatty_acid!$J:$J,match($A1363,fatty_acid!$A:$A,0)))</f>
        <v>N</v>
      </c>
      <c r="H1363" t="str">
        <f t="array" ref="H1363">iferror(index(isotopes!$G:$G,match($A1363,isotopes!$A:$A,0)))</f>
        <v>BIS40-8</v>
      </c>
      <c r="I1363" t="str">
        <f t="array" ref="I1363">iferror(index(isotopes!$J:$J,match($A1363,isotopes!$A:$A,0)))</f>
        <v>N</v>
      </c>
      <c r="J1363" t="str">
        <f t="array" ref="J1363">iferror(index(extra_muscle!$G:$G,match($A1363,extra_muscle!$A:$A,0)))</f>
        <v>BXM37-52</v>
      </c>
      <c r="K1363" t="str">
        <f t="array" ref="K1363">iferror(index(extra_muscle!$J:$J,match($A1363,extra_muscle!$A:$A,0)))</f>
        <v>N</v>
      </c>
      <c r="L1363" s="59" t="str">
        <f t="array" ref="L1363">iferror(index(dna!$G:$G,match($A1363,dna!$A:$A,0)))</f>
        <v>BDN11-26</v>
      </c>
      <c r="M1363" s="60" t="str">
        <f t="array" ref="M1363">iferror(index(dna!$J:$J,match($A1363,dna!$A:$A,0)))</f>
        <v>N</v>
      </c>
      <c r="N1363" t="str">
        <f t="array" ref="N1363">iferror(index(stomachs!$G:$G,match($A1363,stomachs!$A:$A,0)))</f>
        <v/>
      </c>
      <c r="O1363" t="str">
        <f t="array" ref="O1363">iferror(index(stomachs!$J:$J,match($A1363,stomachs!$A:$A,0)))</f>
        <v/>
      </c>
      <c r="P1363" t="str">
        <f t="array" ref="P1363">iferror(index(sea_lice!$G:$G,match($A1363,sea_lice!$A:$A,0)))</f>
        <v>BSL8-41</v>
      </c>
      <c r="Q1363" t="str">
        <f t="array" ref="Q1363">iferror(index(sea_lice!$J:$J,match($A1363,sea_lice!$A:$A,0)))</f>
        <v>N</v>
      </c>
      <c r="R1363" s="40" t="str">
        <f t="array" ref="R1363">iferror(index(dissected_fish!$F:$F,match($A1363,dissected_fish!$A:$A,0)))</f>
        <v>BCA111</v>
      </c>
      <c r="S1363" s="40" t="str">
        <f t="array" ref="S1363">iferror(index(dissected_fish!$K:$K,match($A1363,dissected_fish!$A:$A,0)))</f>
        <v>N</v>
      </c>
      <c r="T1363" s="61" t="str">
        <f t="array" ref="T1363">index(fish_lab_data!O:O,match(A1363,fish_lab_data!C:C,0))</f>
        <v>JG</v>
      </c>
      <c r="U1363" s="61">
        <f t="array" ref="U1363">if(A1363="","",index(fish_lab_data!X:X,match(A1363,fish_lab_data!C:C,0)))</f>
        <v>1362</v>
      </c>
    </row>
    <row r="1364">
      <c r="A1364" t="str">
        <f>fish_lab_data!C1364</f>
        <v>U16737</v>
      </c>
      <c r="B1364" t="str">
        <f t="array" ref="B1364">iferror(index('rna-muscle'!$I:$I,match($A1364,'rna-muscle'!$A:$A,0)))</f>
        <v>BRN76M-D8</v>
      </c>
      <c r="C1364" t="str">
        <f t="array" ref="C1364">iferror(index('rna-muscle'!$L:$L,match($A1364,'rna-muscle'!$A:$A,0)))</f>
        <v>N</v>
      </c>
      <c r="D1364" t="str">
        <f t="array" ref="D1364">iferror(index('rna-gill'!$I:$I,match($A1364,'rna-gill'!$A:$A,0)))</f>
        <v>BRN76G-D8</v>
      </c>
      <c r="E1364" t="str">
        <f t="array" ref="E1364">iferror(index('rna-gill'!$L:$L,match($A1364,'rna-gill'!$A:$A,0)))</f>
        <v>N</v>
      </c>
      <c r="F1364" t="str">
        <f t="array" ref="F1364">iferror(index(fatty_acid!$G:$G,match($A1364,fatty_acid!$A:$A,0)))</f>
        <v>BFA37-10</v>
      </c>
      <c r="G1364" t="str">
        <f t="array" ref="G1364">iferror(index(fatty_acid!$J:$J,match($A1364,fatty_acid!$A:$A,0)))</f>
        <v>N</v>
      </c>
      <c r="H1364" t="str">
        <f t="array" ref="H1364">iferror(index(isotopes!$G:$G,match($A1364,isotopes!$A:$A,0)))</f>
        <v>BIS40-9</v>
      </c>
      <c r="I1364" t="str">
        <f t="array" ref="I1364">iferror(index(isotopes!$J:$J,match($A1364,isotopes!$A:$A,0)))</f>
        <v>N</v>
      </c>
      <c r="J1364" t="str">
        <f t="array" ref="J1364">iferror(index(extra_muscle!$G:$G,match($A1364,extra_muscle!$A:$A,0)))</f>
        <v>BXM37-53</v>
      </c>
      <c r="K1364" t="str">
        <f t="array" ref="K1364">iferror(index(extra_muscle!$J:$J,match($A1364,extra_muscle!$A:$A,0)))</f>
        <v>N</v>
      </c>
      <c r="L1364" s="59" t="str">
        <f t="array" ref="L1364">iferror(index(dna!$G:$G,match($A1364,dna!$A:$A,0)))</f>
        <v>BDN11-27</v>
      </c>
      <c r="M1364" s="60" t="str">
        <f t="array" ref="M1364">iferror(index(dna!$J:$J,match($A1364,dna!$A:$A,0)))</f>
        <v>N</v>
      </c>
      <c r="N1364" t="str">
        <f t="array" ref="N1364">iferror(index(stomachs!$G:$G,match($A1364,stomachs!$A:$A,0)))</f>
        <v/>
      </c>
      <c r="O1364" t="str">
        <f t="array" ref="O1364">iferror(index(stomachs!$J:$J,match($A1364,stomachs!$A:$A,0)))</f>
        <v/>
      </c>
      <c r="P1364" t="str">
        <f t="array" ref="P1364">iferror(index(sea_lice!$G:$G,match($A1364,sea_lice!$A:$A,0)))</f>
        <v>BSL8-42</v>
      </c>
      <c r="Q1364" t="str">
        <f t="array" ref="Q1364">iferror(index(sea_lice!$J:$J,match($A1364,sea_lice!$A:$A,0)))</f>
        <v>N</v>
      </c>
      <c r="R1364" s="40" t="str">
        <f t="array" ref="R1364">iferror(index(dissected_fish!$F:$F,match($A1364,dissected_fish!$A:$A,0)))</f>
        <v>BCA111</v>
      </c>
      <c r="S1364" s="40" t="str">
        <f t="array" ref="S1364">iferror(index(dissected_fish!$K:$K,match($A1364,dissected_fish!$A:$A,0)))</f>
        <v>N</v>
      </c>
      <c r="T1364" s="61" t="str">
        <f t="array" ref="T1364">index(fish_lab_data!O:O,match(A1364,fish_lab_data!C:C,0))</f>
        <v>JG</v>
      </c>
      <c r="U1364" s="61">
        <f t="array" ref="U1364">if(A1364="","",index(fish_lab_data!X:X,match(A1364,fish_lab_data!C:C,0)))</f>
        <v>1363</v>
      </c>
    </row>
    <row r="1365">
      <c r="A1365" t="str">
        <f>fish_lab_data!C1365</f>
        <v>U16733</v>
      </c>
      <c r="B1365" t="str">
        <f t="array" ref="B1365">iferror(index('rna-muscle'!$I:$I,match($A1365,'rna-muscle'!$A:$A,0)))</f>
        <v>BRN76M-C8</v>
      </c>
      <c r="C1365" t="str">
        <f t="array" ref="C1365">iferror(index('rna-muscle'!$L:$L,match($A1365,'rna-muscle'!$A:$A,0)))</f>
        <v>N</v>
      </c>
      <c r="D1365" t="str">
        <f t="array" ref="D1365">iferror(index('rna-gill'!$I:$I,match($A1365,'rna-gill'!$A:$A,0)))</f>
        <v>BRN76G-C8</v>
      </c>
      <c r="E1365" t="str">
        <f t="array" ref="E1365">iferror(index('rna-gill'!$L:$L,match($A1365,'rna-gill'!$A:$A,0)))</f>
        <v>N</v>
      </c>
      <c r="F1365" t="str">
        <f t="array" ref="F1365">iferror(index(fatty_acid!$G:$G,match($A1365,fatty_acid!$A:$A,0)))</f>
        <v>BFA37-11</v>
      </c>
      <c r="G1365" t="str">
        <f t="array" ref="G1365">iferror(index(fatty_acid!$J:$J,match($A1365,fatty_acid!$A:$A,0)))</f>
        <v>N</v>
      </c>
      <c r="H1365" t="str">
        <f t="array" ref="H1365">iferror(index(isotopes!$G:$G,match($A1365,isotopes!$A:$A,0)))</f>
        <v>BIS40-10</v>
      </c>
      <c r="I1365" t="str">
        <f t="array" ref="I1365">iferror(index(isotopes!$J:$J,match($A1365,isotopes!$A:$A,0)))</f>
        <v>N</v>
      </c>
      <c r="J1365" t="str">
        <f t="array" ref="J1365">iferror(index(extra_muscle!$G:$G,match($A1365,extra_muscle!$A:$A,0)))</f>
        <v>BXM37-54</v>
      </c>
      <c r="K1365" t="str">
        <f t="array" ref="K1365">iferror(index(extra_muscle!$J:$J,match($A1365,extra_muscle!$A:$A,0)))</f>
        <v>N</v>
      </c>
      <c r="L1365" s="59" t="str">
        <f t="array" ref="L1365">iferror(index(dna!$G:$G,match($A1365,dna!$A:$A,0)))</f>
        <v>BDN11-28</v>
      </c>
      <c r="M1365" s="60" t="str">
        <f t="array" ref="M1365">iferror(index(dna!$J:$J,match($A1365,dna!$A:$A,0)))</f>
        <v>N</v>
      </c>
      <c r="N1365" t="str">
        <f t="array" ref="N1365">iferror(index(stomachs!$G:$G,match($A1365,stomachs!$A:$A,0)))</f>
        <v/>
      </c>
      <c r="O1365" t="str">
        <f t="array" ref="O1365">iferror(index(stomachs!$J:$J,match($A1365,stomachs!$A:$A,0)))</f>
        <v/>
      </c>
      <c r="P1365" t="str">
        <f t="array" ref="P1365">iferror(index(sea_lice!$G:$G,match($A1365,sea_lice!$A:$A,0)))</f>
        <v/>
      </c>
      <c r="Q1365" t="str">
        <f t="array" ref="Q1365">iferror(index(sea_lice!$J:$J,match($A1365,sea_lice!$A:$A,0)))</f>
        <v/>
      </c>
      <c r="R1365" s="40" t="str">
        <f t="array" ref="R1365">iferror(index(dissected_fish!$F:$F,match($A1365,dissected_fish!$A:$A,0)))</f>
        <v>BCA111</v>
      </c>
      <c r="S1365" s="40" t="str">
        <f t="array" ref="S1365">iferror(index(dissected_fish!$K:$K,match($A1365,dissected_fish!$A:$A,0)))</f>
        <v>N</v>
      </c>
      <c r="T1365" s="61" t="str">
        <f t="array" ref="T1365">index(fish_lab_data!O:O,match(A1365,fish_lab_data!C:C,0))</f>
        <v>JG</v>
      </c>
      <c r="U1365" s="61">
        <f t="array" ref="U1365">if(A1365="","",index(fish_lab_data!X:X,match(A1365,fish_lab_data!C:C,0)))</f>
        <v>1364</v>
      </c>
    </row>
    <row r="1366">
      <c r="A1366" t="str">
        <f>fish_lab_data!C1366</f>
        <v>U16734</v>
      </c>
      <c r="B1366" t="str">
        <f t="array" ref="B1366">iferror(index('rna-muscle'!$I:$I,match($A1366,'rna-muscle'!$A:$A,0)))</f>
        <v>BRN76M-B8</v>
      </c>
      <c r="C1366" t="str">
        <f t="array" ref="C1366">iferror(index('rna-muscle'!$L:$L,match($A1366,'rna-muscle'!$A:$A,0)))</f>
        <v>N</v>
      </c>
      <c r="D1366" t="str">
        <f t="array" ref="D1366">iferror(index('rna-gill'!$I:$I,match($A1366,'rna-gill'!$A:$A,0)))</f>
        <v>BRN76G-B8</v>
      </c>
      <c r="E1366" t="str">
        <f t="array" ref="E1366">iferror(index('rna-gill'!$L:$L,match($A1366,'rna-gill'!$A:$A,0)))</f>
        <v>N</v>
      </c>
      <c r="F1366" t="str">
        <f t="array" ref="F1366">iferror(index(fatty_acid!$G:$G,match($A1366,fatty_acid!$A:$A,0)))</f>
        <v>BFA37-12</v>
      </c>
      <c r="G1366" t="str">
        <f t="array" ref="G1366">iferror(index(fatty_acid!$J:$J,match($A1366,fatty_acid!$A:$A,0)))</f>
        <v>N</v>
      </c>
      <c r="H1366" t="str">
        <f t="array" ref="H1366">iferror(index(isotopes!$G:$G,match($A1366,isotopes!$A:$A,0)))</f>
        <v>BIS40-11</v>
      </c>
      <c r="I1366" t="str">
        <f t="array" ref="I1366">iferror(index(isotopes!$J:$J,match($A1366,isotopes!$A:$A,0)))</f>
        <v>N</v>
      </c>
      <c r="J1366" t="str">
        <f t="array" ref="J1366">iferror(index(extra_muscle!$G:$G,match($A1366,extra_muscle!$A:$A,0)))</f>
        <v>BXM37-55</v>
      </c>
      <c r="K1366" t="str">
        <f t="array" ref="K1366">iferror(index(extra_muscle!$J:$J,match($A1366,extra_muscle!$A:$A,0)))</f>
        <v>N</v>
      </c>
      <c r="L1366" s="59" t="str">
        <f t="array" ref="L1366">iferror(index(dna!$G:$G,match($A1366,dna!$A:$A,0)))</f>
        <v>BDN11-29</v>
      </c>
      <c r="M1366" s="60" t="str">
        <f t="array" ref="M1366">iferror(index(dna!$J:$J,match($A1366,dna!$A:$A,0)))</f>
        <v>N</v>
      </c>
      <c r="N1366" t="str">
        <f t="array" ref="N1366">iferror(index(stomachs!$G:$G,match($A1366,stomachs!$A:$A,0)))</f>
        <v/>
      </c>
      <c r="O1366" t="str">
        <f t="array" ref="O1366">iferror(index(stomachs!$J:$J,match($A1366,stomachs!$A:$A,0)))</f>
        <v/>
      </c>
      <c r="P1366" t="str">
        <f t="array" ref="P1366">iferror(index(sea_lice!$G:$G,match($A1366,sea_lice!$A:$A,0)))</f>
        <v>BSL8-43</v>
      </c>
      <c r="Q1366" t="str">
        <f t="array" ref="Q1366">iferror(index(sea_lice!$J:$J,match($A1366,sea_lice!$A:$A,0)))</f>
        <v>N</v>
      </c>
      <c r="R1366" s="40" t="str">
        <f t="array" ref="R1366">iferror(index(dissected_fish!$F:$F,match($A1366,dissected_fish!$A:$A,0)))</f>
        <v>BCA111</v>
      </c>
      <c r="S1366" s="40" t="str">
        <f t="array" ref="S1366">iferror(index(dissected_fish!$K:$K,match($A1366,dissected_fish!$A:$A,0)))</f>
        <v>N</v>
      </c>
      <c r="T1366" s="61" t="str">
        <f t="array" ref="T1366">index(fish_lab_data!O:O,match(A1366,fish_lab_data!C:C,0))</f>
        <v>JG</v>
      </c>
      <c r="U1366" s="61">
        <f t="array" ref="U1366">if(A1366="","",index(fish_lab_data!X:X,match(A1366,fish_lab_data!C:C,0)))</f>
        <v>1365</v>
      </c>
    </row>
    <row r="1367">
      <c r="A1367" t="str">
        <f>fish_lab_data!C1367</f>
        <v>U16731</v>
      </c>
      <c r="B1367" t="str">
        <f t="array" ref="B1367">iferror(index('rna-muscle'!$I:$I,match($A1367,'rna-muscle'!$A:$A,0)))</f>
        <v>BRN76M-A8</v>
      </c>
      <c r="C1367" t="str">
        <f t="array" ref="C1367">iferror(index('rna-muscle'!$L:$L,match($A1367,'rna-muscle'!$A:$A,0)))</f>
        <v>N</v>
      </c>
      <c r="D1367" t="str">
        <f t="array" ref="D1367">iferror(index('rna-gill'!$I:$I,match($A1367,'rna-gill'!$A:$A,0)))</f>
        <v>BRN76G-A8</v>
      </c>
      <c r="E1367" t="str">
        <f t="array" ref="E1367">iferror(index('rna-gill'!$L:$L,match($A1367,'rna-gill'!$A:$A,0)))</f>
        <v>N</v>
      </c>
      <c r="F1367" t="str">
        <f t="array" ref="F1367">iferror(index(fatty_acid!$G:$G,match($A1367,fatty_acid!$A:$A,0)))</f>
        <v>BFA37-13</v>
      </c>
      <c r="G1367" t="str">
        <f t="array" ref="G1367">iferror(index(fatty_acid!$J:$J,match($A1367,fatty_acid!$A:$A,0)))</f>
        <v>N</v>
      </c>
      <c r="H1367" t="str">
        <f t="array" ref="H1367">iferror(index(isotopes!$G:$G,match($A1367,isotopes!$A:$A,0)))</f>
        <v>BIS40-12</v>
      </c>
      <c r="I1367" t="str">
        <f t="array" ref="I1367">iferror(index(isotopes!$J:$J,match($A1367,isotopes!$A:$A,0)))</f>
        <v>N</v>
      </c>
      <c r="J1367" t="str">
        <f t="array" ref="J1367">iferror(index(extra_muscle!$G:$G,match($A1367,extra_muscle!$A:$A,0)))</f>
        <v>BXM37-56</v>
      </c>
      <c r="K1367" t="str">
        <f t="array" ref="K1367">iferror(index(extra_muscle!$J:$J,match($A1367,extra_muscle!$A:$A,0)))</f>
        <v>N</v>
      </c>
      <c r="L1367" s="59" t="str">
        <f t="array" ref="L1367">iferror(index(dna!$G:$G,match($A1367,dna!$A:$A,0)))</f>
        <v>BDN11-30</v>
      </c>
      <c r="M1367" s="60" t="str">
        <f t="array" ref="M1367">iferror(index(dna!$J:$J,match($A1367,dna!$A:$A,0)))</f>
        <v>N</v>
      </c>
      <c r="N1367" t="str">
        <f t="array" ref="N1367">iferror(index(stomachs!$G:$G,match($A1367,stomachs!$A:$A,0)))</f>
        <v/>
      </c>
      <c r="O1367" t="str">
        <f t="array" ref="O1367">iferror(index(stomachs!$J:$J,match($A1367,stomachs!$A:$A,0)))</f>
        <v/>
      </c>
      <c r="P1367" t="str">
        <f t="array" ref="P1367">iferror(index(sea_lice!$G:$G,match($A1367,sea_lice!$A:$A,0)))</f>
        <v/>
      </c>
      <c r="Q1367" t="str">
        <f t="array" ref="Q1367">iferror(index(sea_lice!$J:$J,match($A1367,sea_lice!$A:$A,0)))</f>
        <v/>
      </c>
      <c r="R1367" s="40" t="str">
        <f t="array" ref="R1367">iferror(index(dissected_fish!$F:$F,match($A1367,dissected_fish!$A:$A,0)))</f>
        <v>BCA111</v>
      </c>
      <c r="S1367" s="40" t="str">
        <f t="array" ref="S1367">iferror(index(dissected_fish!$K:$K,match($A1367,dissected_fish!$A:$A,0)))</f>
        <v>N</v>
      </c>
      <c r="T1367" s="61" t="str">
        <f t="array" ref="T1367">index(fish_lab_data!O:O,match(A1367,fish_lab_data!C:C,0))</f>
        <v>JG</v>
      </c>
      <c r="U1367" s="61">
        <f t="array" ref="U1367">if(A1367="","",index(fish_lab_data!X:X,match(A1367,fish_lab_data!C:C,0)))</f>
        <v>1366</v>
      </c>
    </row>
    <row r="1368">
      <c r="A1368" t="str">
        <f>fish_lab_data!C1368</f>
        <v>U16739</v>
      </c>
      <c r="B1368" t="str">
        <f t="array" ref="B1368">iferror(index('rna-muscle'!$I:$I,match($A1368,'rna-muscle'!$A:$A,0)))</f>
        <v>BRN76M-H9</v>
      </c>
      <c r="C1368" t="str">
        <f t="array" ref="C1368">iferror(index('rna-muscle'!$L:$L,match($A1368,'rna-muscle'!$A:$A,0)))</f>
        <v>N</v>
      </c>
      <c r="D1368" t="str">
        <f t="array" ref="D1368">iferror(index('rna-gill'!$I:$I,match($A1368,'rna-gill'!$A:$A,0)))</f>
        <v>BRN76G-H9</v>
      </c>
      <c r="E1368" t="str">
        <f t="array" ref="E1368">iferror(index('rna-gill'!$L:$L,match($A1368,'rna-gill'!$A:$A,0)))</f>
        <v>N</v>
      </c>
      <c r="F1368" t="str">
        <f t="array" ref="F1368">iferror(index(fatty_acid!$G:$G,match($A1368,fatty_acid!$A:$A,0)))</f>
        <v>BFA37-14</v>
      </c>
      <c r="G1368" t="str">
        <f t="array" ref="G1368">iferror(index(fatty_acid!$J:$J,match($A1368,fatty_acid!$A:$A,0)))</f>
        <v>N</v>
      </c>
      <c r="H1368" t="str">
        <f t="array" ref="H1368">iferror(index(isotopes!$G:$G,match($A1368,isotopes!$A:$A,0)))</f>
        <v>BIS40-13</v>
      </c>
      <c r="I1368" t="str">
        <f t="array" ref="I1368">iferror(index(isotopes!$J:$J,match($A1368,isotopes!$A:$A,0)))</f>
        <v>N</v>
      </c>
      <c r="J1368" t="str">
        <f t="array" ref="J1368">iferror(index(extra_muscle!$G:$G,match($A1368,extra_muscle!$A:$A,0)))</f>
        <v>BXM37-57</v>
      </c>
      <c r="K1368" t="str">
        <f t="array" ref="K1368">iferror(index(extra_muscle!$J:$J,match($A1368,extra_muscle!$A:$A,0)))</f>
        <v>N</v>
      </c>
      <c r="L1368" s="59" t="str">
        <f t="array" ref="L1368">iferror(index(dna!$G:$G,match($A1368,dna!$A:$A,0)))</f>
        <v>BDN11-31</v>
      </c>
      <c r="M1368" s="60" t="str">
        <f t="array" ref="M1368">iferror(index(dna!$J:$J,match($A1368,dna!$A:$A,0)))</f>
        <v>N</v>
      </c>
      <c r="N1368" t="str">
        <f t="array" ref="N1368">iferror(index(stomachs!$G:$G,match($A1368,stomachs!$A:$A,0)))</f>
        <v/>
      </c>
      <c r="O1368" t="str">
        <f t="array" ref="O1368">iferror(index(stomachs!$J:$J,match($A1368,stomachs!$A:$A,0)))</f>
        <v/>
      </c>
      <c r="P1368" t="str">
        <f t="array" ref="P1368">iferror(index(sea_lice!$G:$G,match($A1368,sea_lice!$A:$A,0)))</f>
        <v>BSL8-45</v>
      </c>
      <c r="Q1368" t="str">
        <f t="array" ref="Q1368">iferror(index(sea_lice!$J:$J,match($A1368,sea_lice!$A:$A,0)))</f>
        <v>N</v>
      </c>
      <c r="R1368" s="40" t="str">
        <f t="array" ref="R1368">iferror(index(dissected_fish!$F:$F,match($A1368,dissected_fish!$A:$A,0)))</f>
        <v>BCA111</v>
      </c>
      <c r="S1368" s="40" t="str">
        <f t="array" ref="S1368">iferror(index(dissected_fish!$K:$K,match($A1368,dissected_fish!$A:$A,0)))</f>
        <v>N</v>
      </c>
      <c r="T1368" s="61" t="str">
        <f t="array" ref="T1368">index(fish_lab_data!O:O,match(A1368,fish_lab_data!C:C,0))</f>
        <v>JG</v>
      </c>
      <c r="U1368" s="61">
        <f t="array" ref="U1368">if(A1368="","",index(fish_lab_data!X:X,match(A1368,fish_lab_data!C:C,0)))</f>
        <v>1367</v>
      </c>
    </row>
    <row r="1369">
      <c r="A1369" t="str">
        <f>fish_lab_data!C1369</f>
        <v>U16732</v>
      </c>
      <c r="B1369" t="str">
        <f t="array" ref="B1369">iferror(index('rna-muscle'!$I:$I,match($A1369,'rna-muscle'!$A:$A,0)))</f>
        <v>BRN76M-G9</v>
      </c>
      <c r="C1369" t="str">
        <f t="array" ref="C1369">iferror(index('rna-muscle'!$L:$L,match($A1369,'rna-muscle'!$A:$A,0)))</f>
        <v>N</v>
      </c>
      <c r="D1369" t="str">
        <f t="array" ref="D1369">iferror(index('rna-gill'!$I:$I,match($A1369,'rna-gill'!$A:$A,0)))</f>
        <v>BRN76G-G9</v>
      </c>
      <c r="E1369" t="str">
        <f t="array" ref="E1369">iferror(index('rna-gill'!$L:$L,match($A1369,'rna-gill'!$A:$A,0)))</f>
        <v>N</v>
      </c>
      <c r="F1369" t="str">
        <f t="array" ref="F1369">iferror(index(fatty_acid!$G:$G,match($A1369,fatty_acid!$A:$A,0)))</f>
        <v>BFA37-15</v>
      </c>
      <c r="G1369" t="str">
        <f t="array" ref="G1369">iferror(index(fatty_acid!$J:$J,match($A1369,fatty_acid!$A:$A,0)))</f>
        <v>N</v>
      </c>
      <c r="H1369" t="str">
        <f t="array" ref="H1369">iferror(index(isotopes!$G:$G,match($A1369,isotopes!$A:$A,0)))</f>
        <v>BIS40-14</v>
      </c>
      <c r="I1369" t="str">
        <f t="array" ref="I1369">iferror(index(isotopes!$J:$J,match($A1369,isotopes!$A:$A,0)))</f>
        <v>N</v>
      </c>
      <c r="J1369" t="str">
        <f t="array" ref="J1369">iferror(index(extra_muscle!$G:$G,match($A1369,extra_muscle!$A:$A,0)))</f>
        <v>BXM37-58</v>
      </c>
      <c r="K1369" t="str">
        <f t="array" ref="K1369">iferror(index(extra_muscle!$J:$J,match($A1369,extra_muscle!$A:$A,0)))</f>
        <v>N</v>
      </c>
      <c r="L1369" s="59" t="str">
        <f t="array" ref="L1369">iferror(index(dna!$G:$G,match($A1369,dna!$A:$A,0)))</f>
        <v>BDN11-32</v>
      </c>
      <c r="M1369" s="60" t="str">
        <f t="array" ref="M1369">iferror(index(dna!$J:$J,match($A1369,dna!$A:$A,0)))</f>
        <v>N</v>
      </c>
      <c r="N1369" t="str">
        <f t="array" ref="N1369">iferror(index(stomachs!$G:$G,match($A1369,stomachs!$A:$A,0)))</f>
        <v/>
      </c>
      <c r="O1369" t="str">
        <f t="array" ref="O1369">iferror(index(stomachs!$J:$J,match($A1369,stomachs!$A:$A,0)))</f>
        <v/>
      </c>
      <c r="P1369" t="str">
        <f t="array" ref="P1369">iferror(index(sea_lice!$G:$G,match($A1369,sea_lice!$A:$A,0)))</f>
        <v/>
      </c>
      <c r="Q1369" t="str">
        <f t="array" ref="Q1369">iferror(index(sea_lice!$J:$J,match($A1369,sea_lice!$A:$A,0)))</f>
        <v/>
      </c>
      <c r="R1369" s="40" t="str">
        <f t="array" ref="R1369">iferror(index(dissected_fish!$F:$F,match($A1369,dissected_fish!$A:$A,0)))</f>
        <v>BCA111</v>
      </c>
      <c r="S1369" s="40" t="str">
        <f t="array" ref="S1369">iferror(index(dissected_fish!$K:$K,match($A1369,dissected_fish!$A:$A,0)))</f>
        <v>N</v>
      </c>
      <c r="T1369" s="61" t="str">
        <f t="array" ref="T1369">index(fish_lab_data!O:O,match(A1369,fish_lab_data!C:C,0))</f>
        <v>JG</v>
      </c>
      <c r="U1369" s="61">
        <f t="array" ref="U1369">if(A1369="","",index(fish_lab_data!X:X,match(A1369,fish_lab_data!C:C,0)))</f>
        <v>1368</v>
      </c>
    </row>
    <row r="1370">
      <c r="A1370" t="str">
        <f>fish_lab_data!C1370</f>
        <v>U17939</v>
      </c>
      <c r="B1370" t="str">
        <f t="array" ref="B1370">iferror(index('rna-muscle'!$I:$I,match($A1370,'rna-muscle'!$A:$A,0)))</f>
        <v>BRN76M-F9</v>
      </c>
      <c r="C1370" t="str">
        <f t="array" ref="C1370">iferror(index('rna-muscle'!$L:$L,match($A1370,'rna-muscle'!$A:$A,0)))</f>
        <v>N</v>
      </c>
      <c r="D1370" t="str">
        <f t="array" ref="D1370">iferror(index('rna-gill'!$I:$I,match($A1370,'rna-gill'!$A:$A,0)))</f>
        <v>BRN76G-F9</v>
      </c>
      <c r="E1370" t="str">
        <f t="array" ref="E1370">iferror(index('rna-gill'!$L:$L,match($A1370,'rna-gill'!$A:$A,0)))</f>
        <v>N</v>
      </c>
      <c r="F1370" t="str">
        <f t="array" ref="F1370">iferror(index(fatty_acid!$G:$G,match($A1370,fatty_acid!$A:$A,0)))</f>
        <v>BFA37-16</v>
      </c>
      <c r="G1370" t="str">
        <f t="array" ref="G1370">iferror(index(fatty_acid!$J:$J,match($A1370,fatty_acid!$A:$A,0)))</f>
        <v>N</v>
      </c>
      <c r="H1370" t="str">
        <f t="array" ref="H1370">iferror(index(isotopes!$G:$G,match($A1370,isotopes!$A:$A,0)))</f>
        <v>BIS40-15</v>
      </c>
      <c r="I1370" t="str">
        <f t="array" ref="I1370">iferror(index(isotopes!$J:$J,match($A1370,isotopes!$A:$A,0)))</f>
        <v>N</v>
      </c>
      <c r="J1370" t="str">
        <f t="array" ref="J1370">iferror(index(extra_muscle!$G:$G,match($A1370,extra_muscle!$A:$A,0)))</f>
        <v>BXM37-59</v>
      </c>
      <c r="K1370" t="str">
        <f t="array" ref="K1370">iferror(index(extra_muscle!$J:$J,match($A1370,extra_muscle!$A:$A,0)))</f>
        <v>N</v>
      </c>
      <c r="L1370" s="59" t="str">
        <f t="array" ref="L1370">iferror(index(dna!$G:$G,match($A1370,dna!$A:$A,0)))</f>
        <v>BDN11-33</v>
      </c>
      <c r="M1370" s="60" t="str">
        <f t="array" ref="M1370">iferror(index(dna!$J:$J,match($A1370,dna!$A:$A,0)))</f>
        <v>N</v>
      </c>
      <c r="N1370" t="str">
        <f t="array" ref="N1370">iferror(index(stomachs!$G:$G,match($A1370,stomachs!$A:$A,0)))</f>
        <v/>
      </c>
      <c r="O1370" t="str">
        <f t="array" ref="O1370">iferror(index(stomachs!$J:$J,match($A1370,stomachs!$A:$A,0)))</f>
        <v/>
      </c>
      <c r="P1370" t="str">
        <f t="array" ref="P1370">iferror(index(sea_lice!$G:$G,match($A1370,sea_lice!$A:$A,0)))</f>
        <v/>
      </c>
      <c r="Q1370" t="str">
        <f t="array" ref="Q1370">iferror(index(sea_lice!$J:$J,match($A1370,sea_lice!$A:$A,0)))</f>
        <v/>
      </c>
      <c r="R1370" s="40" t="str">
        <f t="array" ref="R1370">iferror(index(dissected_fish!$F:$F,match($A1370,dissected_fish!$A:$A,0)))</f>
        <v>BCA111</v>
      </c>
      <c r="S1370" s="40" t="str">
        <f t="array" ref="S1370">iferror(index(dissected_fish!$K:$K,match($A1370,dissected_fish!$A:$A,0)))</f>
        <v>N</v>
      </c>
      <c r="T1370" s="61" t="str">
        <f t="array" ref="T1370">index(fish_lab_data!O:O,match(A1370,fish_lab_data!C:C,0))</f>
        <v>JG</v>
      </c>
      <c r="U1370" s="61">
        <f t="array" ref="U1370">if(A1370="","",index(fish_lab_data!X:X,match(A1370,fish_lab_data!C:C,0)))</f>
        <v>1369</v>
      </c>
    </row>
    <row r="1371">
      <c r="A1371" t="str">
        <f>fish_lab_data!C1371</f>
        <v>U17936</v>
      </c>
      <c r="B1371" t="str">
        <f t="array" ref="B1371">iferror(index('rna-muscle'!$I:$I,match($A1371,'rna-muscle'!$A:$A,0)))</f>
        <v>BRN76M-E9</v>
      </c>
      <c r="C1371" t="str">
        <f t="array" ref="C1371">iferror(index('rna-muscle'!$L:$L,match($A1371,'rna-muscle'!$A:$A,0)))</f>
        <v>N</v>
      </c>
      <c r="D1371" t="str">
        <f t="array" ref="D1371">iferror(index('rna-gill'!$I:$I,match($A1371,'rna-gill'!$A:$A,0)))</f>
        <v>BRN76G-E9</v>
      </c>
      <c r="E1371" t="str">
        <f t="array" ref="E1371">iferror(index('rna-gill'!$L:$L,match($A1371,'rna-gill'!$A:$A,0)))</f>
        <v>N</v>
      </c>
      <c r="F1371" t="str">
        <f t="array" ref="F1371">iferror(index(fatty_acid!$G:$G,match($A1371,fatty_acid!$A:$A,0)))</f>
        <v>BFA37-17</v>
      </c>
      <c r="G1371" t="str">
        <f t="array" ref="G1371">iferror(index(fatty_acid!$J:$J,match($A1371,fatty_acid!$A:$A,0)))</f>
        <v>N</v>
      </c>
      <c r="H1371" t="str">
        <f t="array" ref="H1371">iferror(index(isotopes!$G:$G,match($A1371,isotopes!$A:$A,0)))</f>
        <v>BIS40-16</v>
      </c>
      <c r="I1371" t="str">
        <f t="array" ref="I1371">iferror(index(isotopes!$J:$J,match($A1371,isotopes!$A:$A,0)))</f>
        <v>N</v>
      </c>
      <c r="J1371" t="str">
        <f t="array" ref="J1371">iferror(index(extra_muscle!$G:$G,match($A1371,extra_muscle!$A:$A,0)))</f>
        <v>BXM37-60</v>
      </c>
      <c r="K1371" t="str">
        <f t="array" ref="K1371">iferror(index(extra_muscle!$J:$J,match($A1371,extra_muscle!$A:$A,0)))</f>
        <v>N</v>
      </c>
      <c r="L1371" s="59" t="str">
        <f t="array" ref="L1371">iferror(index(dna!$G:$G,match($A1371,dna!$A:$A,0)))</f>
        <v>BDN11-34</v>
      </c>
      <c r="M1371" s="60" t="str">
        <f t="array" ref="M1371">iferror(index(dna!$J:$J,match($A1371,dna!$A:$A,0)))</f>
        <v>N</v>
      </c>
      <c r="N1371" t="str">
        <f t="array" ref="N1371">iferror(index(stomachs!$G:$G,match($A1371,stomachs!$A:$A,0)))</f>
        <v/>
      </c>
      <c r="O1371" t="str">
        <f t="array" ref="O1371">iferror(index(stomachs!$J:$J,match($A1371,stomachs!$A:$A,0)))</f>
        <v/>
      </c>
      <c r="P1371" t="str">
        <f t="array" ref="P1371">iferror(index(sea_lice!$G:$G,match($A1371,sea_lice!$A:$A,0)))</f>
        <v/>
      </c>
      <c r="Q1371" t="str">
        <f t="array" ref="Q1371">iferror(index(sea_lice!$J:$J,match($A1371,sea_lice!$A:$A,0)))</f>
        <v/>
      </c>
      <c r="R1371" s="40" t="str">
        <f t="array" ref="R1371">iferror(index(dissected_fish!$F:$F,match($A1371,dissected_fish!$A:$A,0)))</f>
        <v>BCA111</v>
      </c>
      <c r="S1371" s="40" t="str">
        <f t="array" ref="S1371">iferror(index(dissected_fish!$K:$K,match($A1371,dissected_fish!$A:$A,0)))</f>
        <v>N</v>
      </c>
      <c r="T1371" s="61" t="str">
        <f t="array" ref="T1371">index(fish_lab_data!O:O,match(A1371,fish_lab_data!C:C,0))</f>
        <v>JG</v>
      </c>
      <c r="U1371" s="61">
        <f t="array" ref="U1371">if(A1371="","",index(fish_lab_data!X:X,match(A1371,fish_lab_data!C:C,0)))</f>
        <v>1370</v>
      </c>
    </row>
    <row r="1372">
      <c r="A1372" t="str">
        <f>fish_lab_data!C1372</f>
        <v>U17940</v>
      </c>
      <c r="B1372" t="str">
        <f t="array" ref="B1372">iferror(index('rna-muscle'!$I:$I,match($A1372,'rna-muscle'!$A:$A,0)))</f>
        <v>BRN76M-D9</v>
      </c>
      <c r="C1372" t="str">
        <f t="array" ref="C1372">iferror(index('rna-muscle'!$L:$L,match($A1372,'rna-muscle'!$A:$A,0)))</f>
        <v>N</v>
      </c>
      <c r="D1372" t="str">
        <f t="array" ref="D1372">iferror(index('rna-gill'!$I:$I,match($A1372,'rna-gill'!$A:$A,0)))</f>
        <v>BRN76G-D9</v>
      </c>
      <c r="E1372" t="str">
        <f t="array" ref="E1372">iferror(index('rna-gill'!$L:$L,match($A1372,'rna-gill'!$A:$A,0)))</f>
        <v>N</v>
      </c>
      <c r="F1372" t="str">
        <f t="array" ref="F1372">iferror(index(fatty_acid!$G:$G,match($A1372,fatty_acid!$A:$A,0)))</f>
        <v>BFA37-18</v>
      </c>
      <c r="G1372" t="str">
        <f t="array" ref="G1372">iferror(index(fatty_acid!$J:$J,match($A1372,fatty_acid!$A:$A,0)))</f>
        <v>N</v>
      </c>
      <c r="H1372" t="str">
        <f t="array" ref="H1372">iferror(index(isotopes!$G:$G,match($A1372,isotopes!$A:$A,0)))</f>
        <v>BIS40-17</v>
      </c>
      <c r="I1372" t="str">
        <f t="array" ref="I1372">iferror(index(isotopes!$J:$J,match($A1372,isotopes!$A:$A,0)))</f>
        <v>N</v>
      </c>
      <c r="J1372" t="str">
        <f t="array" ref="J1372">iferror(index(extra_muscle!$G:$G,match($A1372,extra_muscle!$A:$A,0)))</f>
        <v>BXM37-61</v>
      </c>
      <c r="K1372" t="str">
        <f t="array" ref="K1372">iferror(index(extra_muscle!$J:$J,match($A1372,extra_muscle!$A:$A,0)))</f>
        <v>N</v>
      </c>
      <c r="L1372" s="59" t="str">
        <f t="array" ref="L1372">iferror(index(dna!$G:$G,match($A1372,dna!$A:$A,0)))</f>
        <v>BDN11-35</v>
      </c>
      <c r="M1372" s="60" t="str">
        <f t="array" ref="M1372">iferror(index(dna!$J:$J,match($A1372,dna!$A:$A,0)))</f>
        <v>N</v>
      </c>
      <c r="N1372" t="str">
        <f t="array" ref="N1372">iferror(index(stomachs!$G:$G,match($A1372,stomachs!$A:$A,0)))</f>
        <v/>
      </c>
      <c r="O1372" t="str">
        <f t="array" ref="O1372">iferror(index(stomachs!$J:$J,match($A1372,stomachs!$A:$A,0)))</f>
        <v/>
      </c>
      <c r="P1372" t="str">
        <f t="array" ref="P1372">iferror(index(sea_lice!$G:$G,match($A1372,sea_lice!$A:$A,0)))</f>
        <v/>
      </c>
      <c r="Q1372" t="str">
        <f t="array" ref="Q1372">iferror(index(sea_lice!$J:$J,match($A1372,sea_lice!$A:$A,0)))</f>
        <v/>
      </c>
      <c r="R1372" s="40" t="str">
        <f t="array" ref="R1372">iferror(index(dissected_fish!$F:$F,match($A1372,dissected_fish!$A:$A,0)))</f>
        <v>BCA111</v>
      </c>
      <c r="S1372" s="40" t="str">
        <f t="array" ref="S1372">iferror(index(dissected_fish!$K:$K,match($A1372,dissected_fish!$A:$A,0)))</f>
        <v>N</v>
      </c>
      <c r="T1372" s="61" t="str">
        <f t="array" ref="T1372">index(fish_lab_data!O:O,match(A1372,fish_lab_data!C:C,0))</f>
        <v>JG</v>
      </c>
      <c r="U1372" s="61">
        <f t="array" ref="U1372">if(A1372="","",index(fish_lab_data!X:X,match(A1372,fish_lab_data!C:C,0)))</f>
        <v>1371</v>
      </c>
    </row>
    <row r="1373">
      <c r="A1373" t="str">
        <f>fish_lab_data!C1373</f>
        <v>U17932</v>
      </c>
      <c r="B1373" t="str">
        <f t="array" ref="B1373">iferror(index('rna-muscle'!$I:$I,match($A1373,'rna-muscle'!$A:$A,0)))</f>
        <v>BRN76M-C9</v>
      </c>
      <c r="C1373" t="str">
        <f t="array" ref="C1373">iferror(index('rna-muscle'!$L:$L,match($A1373,'rna-muscle'!$A:$A,0)))</f>
        <v>N</v>
      </c>
      <c r="D1373" t="str">
        <f t="array" ref="D1373">iferror(index('rna-gill'!$I:$I,match($A1373,'rna-gill'!$A:$A,0)))</f>
        <v>BRN76G-C9</v>
      </c>
      <c r="E1373" t="str">
        <f t="array" ref="E1373">iferror(index('rna-gill'!$L:$L,match($A1373,'rna-gill'!$A:$A,0)))</f>
        <v>N</v>
      </c>
      <c r="F1373" t="str">
        <f t="array" ref="F1373">iferror(index(fatty_acid!$G:$G,match($A1373,fatty_acid!$A:$A,0)))</f>
        <v>BFA37-19</v>
      </c>
      <c r="G1373" t="str">
        <f t="array" ref="G1373">iferror(index(fatty_acid!$J:$J,match($A1373,fatty_acid!$A:$A,0)))</f>
        <v>N</v>
      </c>
      <c r="H1373" t="str">
        <f t="array" ref="H1373">iferror(index(isotopes!$G:$G,match($A1373,isotopes!$A:$A,0)))</f>
        <v>BIS40-18</v>
      </c>
      <c r="I1373" t="str">
        <f t="array" ref="I1373">iferror(index(isotopes!$J:$J,match($A1373,isotopes!$A:$A,0)))</f>
        <v>N</v>
      </c>
      <c r="J1373" t="str">
        <f t="array" ref="J1373">iferror(index(extra_muscle!$G:$G,match($A1373,extra_muscle!$A:$A,0)))</f>
        <v>BXM37-62</v>
      </c>
      <c r="K1373" t="str">
        <f t="array" ref="K1373">iferror(index(extra_muscle!$J:$J,match($A1373,extra_muscle!$A:$A,0)))</f>
        <v>N</v>
      </c>
      <c r="L1373" s="59" t="str">
        <f t="array" ref="L1373">iferror(index(dna!$G:$G,match($A1373,dna!$A:$A,0)))</f>
        <v>BDN11-36</v>
      </c>
      <c r="M1373" s="60" t="str">
        <f t="array" ref="M1373">iferror(index(dna!$J:$J,match($A1373,dna!$A:$A,0)))</f>
        <v>N</v>
      </c>
      <c r="N1373" t="str">
        <f t="array" ref="N1373">iferror(index(stomachs!$G:$G,match($A1373,stomachs!$A:$A,0)))</f>
        <v/>
      </c>
      <c r="O1373" t="str">
        <f t="array" ref="O1373">iferror(index(stomachs!$J:$J,match($A1373,stomachs!$A:$A,0)))</f>
        <v/>
      </c>
      <c r="P1373" t="str">
        <f t="array" ref="P1373">iferror(index(sea_lice!$G:$G,match($A1373,sea_lice!$A:$A,0)))</f>
        <v/>
      </c>
      <c r="Q1373" t="str">
        <f t="array" ref="Q1373">iferror(index(sea_lice!$J:$J,match($A1373,sea_lice!$A:$A,0)))</f>
        <v/>
      </c>
      <c r="R1373" s="40" t="str">
        <f t="array" ref="R1373">iferror(index(dissected_fish!$F:$F,match($A1373,dissected_fish!$A:$A,0)))</f>
        <v>BCA111</v>
      </c>
      <c r="S1373" s="40" t="str">
        <f t="array" ref="S1373">iferror(index(dissected_fish!$K:$K,match($A1373,dissected_fish!$A:$A,0)))</f>
        <v>N</v>
      </c>
      <c r="T1373" s="61" t="str">
        <f t="array" ref="T1373">index(fish_lab_data!O:O,match(A1373,fish_lab_data!C:C,0))</f>
        <v>JG</v>
      </c>
      <c r="U1373" s="61">
        <f t="array" ref="U1373">if(A1373="","",index(fish_lab_data!X:X,match(A1373,fish_lab_data!C:C,0)))</f>
        <v>1372</v>
      </c>
    </row>
    <row r="1374">
      <c r="A1374" t="str">
        <f>fish_lab_data!C1374</f>
        <v>U17931</v>
      </c>
      <c r="B1374" t="str">
        <f t="array" ref="B1374">iferror(index('rna-muscle'!$I:$I,match($A1374,'rna-muscle'!$A:$A,0)))</f>
        <v>BRN76M-B9</v>
      </c>
      <c r="C1374" t="str">
        <f t="array" ref="C1374">iferror(index('rna-muscle'!$L:$L,match($A1374,'rna-muscle'!$A:$A,0)))</f>
        <v>N</v>
      </c>
      <c r="D1374" t="str">
        <f t="array" ref="D1374">iferror(index('rna-gill'!$I:$I,match($A1374,'rna-gill'!$A:$A,0)))</f>
        <v>BRN76G-B9</v>
      </c>
      <c r="E1374" t="str">
        <f t="array" ref="E1374">iferror(index('rna-gill'!$L:$L,match($A1374,'rna-gill'!$A:$A,0)))</f>
        <v>N</v>
      </c>
      <c r="F1374" t="str">
        <f t="array" ref="F1374">iferror(index(fatty_acid!$G:$G,match($A1374,fatty_acid!$A:$A,0)))</f>
        <v>BFA37-20</v>
      </c>
      <c r="G1374" t="str">
        <f t="array" ref="G1374">iferror(index(fatty_acid!$J:$J,match($A1374,fatty_acid!$A:$A,0)))</f>
        <v>N</v>
      </c>
      <c r="H1374" t="str">
        <f t="array" ref="H1374">iferror(index(isotopes!$G:$G,match($A1374,isotopes!$A:$A,0)))</f>
        <v>BIS40-19</v>
      </c>
      <c r="I1374" t="str">
        <f t="array" ref="I1374">iferror(index(isotopes!$J:$J,match($A1374,isotopes!$A:$A,0)))</f>
        <v>N</v>
      </c>
      <c r="J1374" t="str">
        <f t="array" ref="J1374">iferror(index(extra_muscle!$G:$G,match($A1374,extra_muscle!$A:$A,0)))</f>
        <v>BXM37-63</v>
      </c>
      <c r="K1374" t="str">
        <f t="array" ref="K1374">iferror(index(extra_muscle!$J:$J,match($A1374,extra_muscle!$A:$A,0)))</f>
        <v>N</v>
      </c>
      <c r="L1374" s="59" t="str">
        <f t="array" ref="L1374">iferror(index(dna!$G:$G,match($A1374,dna!$A:$A,0)))</f>
        <v>BDN11-37</v>
      </c>
      <c r="M1374" s="60" t="str">
        <f t="array" ref="M1374">iferror(index(dna!$J:$J,match($A1374,dna!$A:$A,0)))</f>
        <v>N</v>
      </c>
      <c r="N1374" t="str">
        <f t="array" ref="N1374">iferror(index(stomachs!$G:$G,match($A1374,stomachs!$A:$A,0)))</f>
        <v/>
      </c>
      <c r="O1374" t="str">
        <f t="array" ref="O1374">iferror(index(stomachs!$J:$J,match($A1374,stomachs!$A:$A,0)))</f>
        <v/>
      </c>
      <c r="P1374" t="str">
        <f t="array" ref="P1374">iferror(index(sea_lice!$G:$G,match($A1374,sea_lice!$A:$A,0)))</f>
        <v/>
      </c>
      <c r="Q1374" t="str">
        <f t="array" ref="Q1374">iferror(index(sea_lice!$J:$J,match($A1374,sea_lice!$A:$A,0)))</f>
        <v/>
      </c>
      <c r="R1374" s="40" t="str">
        <f t="array" ref="R1374">iferror(index(dissected_fish!$F:$F,match($A1374,dissected_fish!$A:$A,0)))</f>
        <v>BCA111</v>
      </c>
      <c r="S1374" s="40" t="str">
        <f t="array" ref="S1374">iferror(index(dissected_fish!$K:$K,match($A1374,dissected_fish!$A:$A,0)))</f>
        <v>N</v>
      </c>
      <c r="T1374" s="61" t="str">
        <f t="array" ref="T1374">index(fish_lab_data!O:O,match(A1374,fish_lab_data!C:C,0))</f>
        <v>JG</v>
      </c>
      <c r="U1374" s="61">
        <f t="array" ref="U1374">if(A1374="","",index(fish_lab_data!X:X,match(A1374,fish_lab_data!C:C,0)))</f>
        <v>1373</v>
      </c>
    </row>
    <row r="1375">
      <c r="A1375" t="str">
        <f>fish_lab_data!C1375</f>
        <v>U17934</v>
      </c>
      <c r="B1375" t="str">
        <f t="array" ref="B1375">iferror(index('rna-muscle'!$I:$I,match($A1375,'rna-muscle'!$A:$A,0)))</f>
        <v>BRN76M-A9</v>
      </c>
      <c r="C1375" t="str">
        <f t="array" ref="C1375">iferror(index('rna-muscle'!$L:$L,match($A1375,'rna-muscle'!$A:$A,0)))</f>
        <v>N</v>
      </c>
      <c r="D1375" t="str">
        <f t="array" ref="D1375">iferror(index('rna-gill'!$I:$I,match($A1375,'rna-gill'!$A:$A,0)))</f>
        <v>BRN76G-A9</v>
      </c>
      <c r="E1375" t="str">
        <f t="array" ref="E1375">iferror(index('rna-gill'!$L:$L,match($A1375,'rna-gill'!$A:$A,0)))</f>
        <v>N</v>
      </c>
      <c r="F1375" t="str">
        <f t="array" ref="F1375">iferror(index(fatty_acid!$G:$G,match($A1375,fatty_acid!$A:$A,0)))</f>
        <v>BFA37-21</v>
      </c>
      <c r="G1375" t="str">
        <f t="array" ref="G1375">iferror(index(fatty_acid!$J:$J,match($A1375,fatty_acid!$A:$A,0)))</f>
        <v>N</v>
      </c>
      <c r="H1375" t="str">
        <f t="array" ref="H1375">iferror(index(isotopes!$G:$G,match($A1375,isotopes!$A:$A,0)))</f>
        <v>BIS40-20</v>
      </c>
      <c r="I1375" t="str">
        <f t="array" ref="I1375">iferror(index(isotopes!$J:$J,match($A1375,isotopes!$A:$A,0)))</f>
        <v>N</v>
      </c>
      <c r="J1375" t="str">
        <f t="array" ref="J1375">iferror(index(extra_muscle!$G:$G,match($A1375,extra_muscle!$A:$A,0)))</f>
        <v>BXM37-64</v>
      </c>
      <c r="K1375" t="str">
        <f t="array" ref="K1375">iferror(index(extra_muscle!$J:$J,match($A1375,extra_muscle!$A:$A,0)))</f>
        <v>N</v>
      </c>
      <c r="L1375" s="59" t="str">
        <f t="array" ref="L1375">iferror(index(dna!$G:$G,match($A1375,dna!$A:$A,0)))</f>
        <v>BDN11-38</v>
      </c>
      <c r="M1375" s="60" t="str">
        <f t="array" ref="M1375">iferror(index(dna!$J:$J,match($A1375,dna!$A:$A,0)))</f>
        <v>N</v>
      </c>
      <c r="N1375" t="str">
        <f t="array" ref="N1375">iferror(index(stomachs!$G:$G,match($A1375,stomachs!$A:$A,0)))</f>
        <v/>
      </c>
      <c r="O1375" t="str">
        <f t="array" ref="O1375">iferror(index(stomachs!$J:$J,match($A1375,stomachs!$A:$A,0)))</f>
        <v/>
      </c>
      <c r="P1375" t="str">
        <f t="array" ref="P1375">iferror(index(sea_lice!$G:$G,match($A1375,sea_lice!$A:$A,0)))</f>
        <v>BSL8-46</v>
      </c>
      <c r="Q1375" t="str">
        <f t="array" ref="Q1375">iferror(index(sea_lice!$J:$J,match($A1375,sea_lice!$A:$A,0)))</f>
        <v>N</v>
      </c>
      <c r="R1375" s="40" t="str">
        <f t="array" ref="R1375">iferror(index(dissected_fish!$F:$F,match($A1375,dissected_fish!$A:$A,0)))</f>
        <v>BCA111</v>
      </c>
      <c r="S1375" s="40" t="str">
        <f t="array" ref="S1375">iferror(index(dissected_fish!$K:$K,match($A1375,dissected_fish!$A:$A,0)))</f>
        <v>N</v>
      </c>
      <c r="T1375" s="61" t="str">
        <f t="array" ref="T1375">index(fish_lab_data!O:O,match(A1375,fish_lab_data!C:C,0))</f>
        <v>JG</v>
      </c>
      <c r="U1375" s="61">
        <f t="array" ref="U1375">if(A1375="","",index(fish_lab_data!X:X,match(A1375,fish_lab_data!C:C,0)))</f>
        <v>1374</v>
      </c>
    </row>
    <row r="1376">
      <c r="A1376" t="str">
        <f>fish_lab_data!C1376</f>
        <v>U17935</v>
      </c>
      <c r="B1376" t="str">
        <f t="array" ref="B1376">iferror(index('rna-muscle'!$I:$I,match($A1376,'rna-muscle'!$A:$A,0)))</f>
        <v>BRN76M-H10</v>
      </c>
      <c r="C1376" t="str">
        <f t="array" ref="C1376">iferror(index('rna-muscle'!$L:$L,match($A1376,'rna-muscle'!$A:$A,0)))</f>
        <v>N</v>
      </c>
      <c r="D1376" t="str">
        <f t="array" ref="D1376">iferror(index('rna-gill'!$I:$I,match($A1376,'rna-gill'!$A:$A,0)))</f>
        <v>BRN76G-H10</v>
      </c>
      <c r="E1376" t="str">
        <f t="array" ref="E1376">iferror(index('rna-gill'!$L:$L,match($A1376,'rna-gill'!$A:$A,0)))</f>
        <v>N</v>
      </c>
      <c r="F1376" t="str">
        <f t="array" ref="F1376">iferror(index(fatty_acid!$G:$G,match($A1376,fatty_acid!$A:$A,0)))</f>
        <v>BFA37-22</v>
      </c>
      <c r="G1376" t="str">
        <f t="array" ref="G1376">iferror(index(fatty_acid!$J:$J,match($A1376,fatty_acid!$A:$A,0)))</f>
        <v>N</v>
      </c>
      <c r="H1376" t="str">
        <f t="array" ref="H1376">iferror(index(isotopes!$G:$G,match($A1376,isotopes!$A:$A,0)))</f>
        <v>BIS40-21</v>
      </c>
      <c r="I1376" t="str">
        <f t="array" ref="I1376">iferror(index(isotopes!$J:$J,match($A1376,isotopes!$A:$A,0)))</f>
        <v>N</v>
      </c>
      <c r="J1376" t="str">
        <f t="array" ref="J1376">iferror(index(extra_muscle!$G:$G,match($A1376,extra_muscle!$A:$A,0)))</f>
        <v>BXM37-65</v>
      </c>
      <c r="K1376" t="str">
        <f t="array" ref="K1376">iferror(index(extra_muscle!$J:$J,match($A1376,extra_muscle!$A:$A,0)))</f>
        <v>N</v>
      </c>
      <c r="L1376" s="59" t="str">
        <f t="array" ref="L1376">iferror(index(dna!$G:$G,match($A1376,dna!$A:$A,0)))</f>
        <v>BDN11-39</v>
      </c>
      <c r="M1376" s="60" t="str">
        <f t="array" ref="M1376">iferror(index(dna!$J:$J,match($A1376,dna!$A:$A,0)))</f>
        <v>N</v>
      </c>
      <c r="N1376" t="str">
        <f t="array" ref="N1376">iferror(index(stomachs!$G:$G,match($A1376,stomachs!$A:$A,0)))</f>
        <v/>
      </c>
      <c r="O1376" t="str">
        <f t="array" ref="O1376">iferror(index(stomachs!$J:$J,match($A1376,stomachs!$A:$A,0)))</f>
        <v/>
      </c>
      <c r="P1376" t="str">
        <f t="array" ref="P1376">iferror(index(sea_lice!$G:$G,match($A1376,sea_lice!$A:$A,0)))</f>
        <v>BSL8-47</v>
      </c>
      <c r="Q1376" t="str">
        <f t="array" ref="Q1376">iferror(index(sea_lice!$J:$J,match($A1376,sea_lice!$A:$A,0)))</f>
        <v>N</v>
      </c>
      <c r="R1376" s="40" t="str">
        <f t="array" ref="R1376">iferror(index(dissected_fish!$F:$F,match($A1376,dissected_fish!$A:$A,0)))</f>
        <v>BCA111</v>
      </c>
      <c r="S1376" s="40" t="str">
        <f t="array" ref="S1376">iferror(index(dissected_fish!$K:$K,match($A1376,dissected_fish!$A:$A,0)))</f>
        <v>N</v>
      </c>
      <c r="T1376" s="61" t="str">
        <f t="array" ref="T1376">index(fish_lab_data!O:O,match(A1376,fish_lab_data!C:C,0))</f>
        <v>JG</v>
      </c>
      <c r="U1376" s="61">
        <f t="array" ref="U1376">if(A1376="","",index(fish_lab_data!X:X,match(A1376,fish_lab_data!C:C,0)))</f>
        <v>1375</v>
      </c>
    </row>
    <row r="1377">
      <c r="A1377" t="str">
        <f>fish_lab_data!C1377</f>
        <v>U17937</v>
      </c>
      <c r="B1377" t="str">
        <f t="array" ref="B1377">iferror(index('rna-muscle'!$I:$I,match($A1377,'rna-muscle'!$A:$A,0)))</f>
        <v>BRN76M-G10</v>
      </c>
      <c r="C1377" t="str">
        <f t="array" ref="C1377">iferror(index('rna-muscle'!$L:$L,match($A1377,'rna-muscle'!$A:$A,0)))</f>
        <v>N</v>
      </c>
      <c r="D1377" t="str">
        <f t="array" ref="D1377">iferror(index('rna-gill'!$I:$I,match($A1377,'rna-gill'!$A:$A,0)))</f>
        <v>BRN76G-G10</v>
      </c>
      <c r="E1377" t="str">
        <f t="array" ref="E1377">iferror(index('rna-gill'!$L:$L,match($A1377,'rna-gill'!$A:$A,0)))</f>
        <v>N</v>
      </c>
      <c r="F1377" t="str">
        <f t="array" ref="F1377">iferror(index(fatty_acid!$G:$G,match($A1377,fatty_acid!$A:$A,0)))</f>
        <v>BFA37-23</v>
      </c>
      <c r="G1377" t="str">
        <f t="array" ref="G1377">iferror(index(fatty_acid!$J:$J,match($A1377,fatty_acid!$A:$A,0)))</f>
        <v>N</v>
      </c>
      <c r="H1377" t="str">
        <f t="array" ref="H1377">iferror(index(isotopes!$G:$G,match($A1377,isotopes!$A:$A,0)))</f>
        <v>BIS40-22</v>
      </c>
      <c r="I1377" t="str">
        <f t="array" ref="I1377">iferror(index(isotopes!$J:$J,match($A1377,isotopes!$A:$A,0)))</f>
        <v>N</v>
      </c>
      <c r="J1377" t="str">
        <f t="array" ref="J1377">iferror(index(extra_muscle!$G:$G,match($A1377,extra_muscle!$A:$A,0)))</f>
        <v>BXM37-66</v>
      </c>
      <c r="K1377" t="str">
        <f t="array" ref="K1377">iferror(index(extra_muscle!$J:$J,match($A1377,extra_muscle!$A:$A,0)))</f>
        <v>N</v>
      </c>
      <c r="L1377" s="59" t="str">
        <f t="array" ref="L1377">iferror(index(dna!$G:$G,match($A1377,dna!$A:$A,0)))</f>
        <v>BDN11-40</v>
      </c>
      <c r="M1377" s="60" t="str">
        <f t="array" ref="M1377">iferror(index(dna!$J:$J,match($A1377,dna!$A:$A,0)))</f>
        <v>N</v>
      </c>
      <c r="N1377" t="str">
        <f t="array" ref="N1377">iferror(index(stomachs!$G:$G,match($A1377,stomachs!$A:$A,0)))</f>
        <v/>
      </c>
      <c r="O1377" t="str">
        <f t="array" ref="O1377">iferror(index(stomachs!$J:$J,match($A1377,stomachs!$A:$A,0)))</f>
        <v/>
      </c>
      <c r="P1377" t="str">
        <f t="array" ref="P1377">iferror(index(sea_lice!$G:$G,match($A1377,sea_lice!$A:$A,0)))</f>
        <v>BSL8-48</v>
      </c>
      <c r="Q1377" t="str">
        <f t="array" ref="Q1377">iferror(index(sea_lice!$J:$J,match($A1377,sea_lice!$A:$A,0)))</f>
        <v>N</v>
      </c>
      <c r="R1377" s="40" t="str">
        <f t="array" ref="R1377">iferror(index(dissected_fish!$F:$F,match($A1377,dissected_fish!$A:$A,0)))</f>
        <v>BCA111</v>
      </c>
      <c r="S1377" s="40" t="str">
        <f t="array" ref="S1377">iferror(index(dissected_fish!$K:$K,match($A1377,dissected_fish!$A:$A,0)))</f>
        <v>N</v>
      </c>
      <c r="T1377" s="61" t="str">
        <f t="array" ref="T1377">index(fish_lab_data!O:O,match(A1377,fish_lab_data!C:C,0))</f>
        <v>JG</v>
      </c>
      <c r="U1377" s="61">
        <f t="array" ref="U1377">if(A1377="","",index(fish_lab_data!X:X,match(A1377,fish_lab_data!C:C,0)))</f>
        <v>1376</v>
      </c>
    </row>
    <row r="1378">
      <c r="A1378" t="str">
        <f>fish_lab_data!C1378</f>
        <v>U17933</v>
      </c>
      <c r="B1378" t="str">
        <f t="array" ref="B1378">iferror(index('rna-muscle'!$I:$I,match($A1378,'rna-muscle'!$A:$A,0)))</f>
        <v>BRN76M-F10</v>
      </c>
      <c r="C1378" t="str">
        <f t="array" ref="C1378">iferror(index('rna-muscle'!$L:$L,match($A1378,'rna-muscle'!$A:$A,0)))</f>
        <v>N</v>
      </c>
      <c r="D1378" t="str">
        <f t="array" ref="D1378">iferror(index('rna-gill'!$I:$I,match($A1378,'rna-gill'!$A:$A,0)))</f>
        <v>BRN76G-F10</v>
      </c>
      <c r="E1378" t="str">
        <f t="array" ref="E1378">iferror(index('rna-gill'!$L:$L,match($A1378,'rna-gill'!$A:$A,0)))</f>
        <v>N</v>
      </c>
      <c r="F1378" t="str">
        <f t="array" ref="F1378">iferror(index(fatty_acid!$G:$G,match($A1378,fatty_acid!$A:$A,0)))</f>
        <v>BFA37-24</v>
      </c>
      <c r="G1378" t="str">
        <f t="array" ref="G1378">iferror(index(fatty_acid!$J:$J,match($A1378,fatty_acid!$A:$A,0)))</f>
        <v>N</v>
      </c>
      <c r="H1378" t="str">
        <f t="array" ref="H1378">iferror(index(isotopes!$G:$G,match($A1378,isotopes!$A:$A,0)))</f>
        <v>BIS40-23</v>
      </c>
      <c r="I1378" t="str">
        <f t="array" ref="I1378">iferror(index(isotopes!$J:$J,match($A1378,isotopes!$A:$A,0)))</f>
        <v>N</v>
      </c>
      <c r="J1378" t="str">
        <f t="array" ref="J1378">iferror(index(extra_muscle!$G:$G,match($A1378,extra_muscle!$A:$A,0)))</f>
        <v>BXM37-67</v>
      </c>
      <c r="K1378" t="str">
        <f t="array" ref="K1378">iferror(index(extra_muscle!$J:$J,match($A1378,extra_muscle!$A:$A,0)))</f>
        <v>N</v>
      </c>
      <c r="L1378" s="59" t="str">
        <f t="array" ref="L1378">iferror(index(dna!$G:$G,match($A1378,dna!$A:$A,0)))</f>
        <v>BDN11-41</v>
      </c>
      <c r="M1378" s="60" t="str">
        <f t="array" ref="M1378">iferror(index(dna!$J:$J,match($A1378,dna!$A:$A,0)))</f>
        <v>N</v>
      </c>
      <c r="N1378" t="str">
        <f t="array" ref="N1378">iferror(index(stomachs!$G:$G,match($A1378,stomachs!$A:$A,0)))</f>
        <v/>
      </c>
      <c r="O1378" t="str">
        <f t="array" ref="O1378">iferror(index(stomachs!$J:$J,match($A1378,stomachs!$A:$A,0)))</f>
        <v/>
      </c>
      <c r="P1378" t="str">
        <f t="array" ref="P1378">iferror(index(sea_lice!$G:$G,match($A1378,sea_lice!$A:$A,0)))</f>
        <v/>
      </c>
      <c r="Q1378" t="str">
        <f t="array" ref="Q1378">iferror(index(sea_lice!$J:$J,match($A1378,sea_lice!$A:$A,0)))</f>
        <v/>
      </c>
      <c r="R1378" s="40" t="str">
        <f t="array" ref="R1378">iferror(index(dissected_fish!$F:$F,match($A1378,dissected_fish!$A:$A,0)))</f>
        <v>BCA111</v>
      </c>
      <c r="S1378" s="40" t="str">
        <f t="array" ref="S1378">iferror(index(dissected_fish!$K:$K,match($A1378,dissected_fish!$A:$A,0)))</f>
        <v>N</v>
      </c>
      <c r="T1378" s="61" t="str">
        <f t="array" ref="T1378">index(fish_lab_data!O:O,match(A1378,fish_lab_data!C:C,0))</f>
        <v>JG</v>
      </c>
      <c r="U1378" s="61">
        <f t="array" ref="U1378">if(A1378="","",index(fish_lab_data!X:X,match(A1378,fish_lab_data!C:C,0)))</f>
        <v>1377</v>
      </c>
    </row>
    <row r="1379">
      <c r="A1379" t="str">
        <f>fish_lab_data!C1379</f>
        <v>U17938</v>
      </c>
      <c r="B1379" t="str">
        <f t="array" ref="B1379">iferror(index('rna-muscle'!$I:$I,match($A1379,'rna-muscle'!$A:$A,0)))</f>
        <v>BRN76M-E10</v>
      </c>
      <c r="C1379" t="str">
        <f t="array" ref="C1379">iferror(index('rna-muscle'!$L:$L,match($A1379,'rna-muscle'!$A:$A,0)))</f>
        <v>N</v>
      </c>
      <c r="D1379" t="str">
        <f t="array" ref="D1379">iferror(index('rna-gill'!$I:$I,match($A1379,'rna-gill'!$A:$A,0)))</f>
        <v>BRN76G-E10</v>
      </c>
      <c r="E1379" t="str">
        <f t="array" ref="E1379">iferror(index('rna-gill'!$L:$L,match($A1379,'rna-gill'!$A:$A,0)))</f>
        <v>N</v>
      </c>
      <c r="F1379" t="str">
        <f t="array" ref="F1379">iferror(index(fatty_acid!$G:$G,match($A1379,fatty_acid!$A:$A,0)))</f>
        <v>BFA37-25</v>
      </c>
      <c r="G1379" t="str">
        <f t="array" ref="G1379">iferror(index(fatty_acid!$J:$J,match($A1379,fatty_acid!$A:$A,0)))</f>
        <v>N</v>
      </c>
      <c r="H1379" t="str">
        <f t="array" ref="H1379">iferror(index(isotopes!$G:$G,match($A1379,isotopes!$A:$A,0)))</f>
        <v>BIS40-24</v>
      </c>
      <c r="I1379" t="str">
        <f t="array" ref="I1379">iferror(index(isotopes!$J:$J,match($A1379,isotopes!$A:$A,0)))</f>
        <v>N</v>
      </c>
      <c r="J1379" t="str">
        <f t="array" ref="J1379">iferror(index(extra_muscle!$G:$G,match($A1379,extra_muscle!$A:$A,0)))</f>
        <v>BXM37-68</v>
      </c>
      <c r="K1379" t="str">
        <f t="array" ref="K1379">iferror(index(extra_muscle!$J:$J,match($A1379,extra_muscle!$A:$A,0)))</f>
        <v>N</v>
      </c>
      <c r="L1379" s="59" t="str">
        <f t="array" ref="L1379">iferror(index(dna!$G:$G,match($A1379,dna!$A:$A,0)))</f>
        <v>BDN11-42</v>
      </c>
      <c r="M1379" s="60" t="str">
        <f t="array" ref="M1379">iferror(index(dna!$J:$J,match($A1379,dna!$A:$A,0)))</f>
        <v>N</v>
      </c>
      <c r="N1379" t="str">
        <f t="array" ref="N1379">iferror(index(stomachs!$G:$G,match($A1379,stomachs!$A:$A,0)))</f>
        <v/>
      </c>
      <c r="O1379" t="str">
        <f t="array" ref="O1379">iferror(index(stomachs!$J:$J,match($A1379,stomachs!$A:$A,0)))</f>
        <v/>
      </c>
      <c r="P1379" t="str">
        <f t="array" ref="P1379">iferror(index(sea_lice!$G:$G,match($A1379,sea_lice!$A:$A,0)))</f>
        <v/>
      </c>
      <c r="Q1379" t="str">
        <f t="array" ref="Q1379">iferror(index(sea_lice!$J:$J,match($A1379,sea_lice!$A:$A,0)))</f>
        <v/>
      </c>
      <c r="R1379" s="40" t="str">
        <f t="array" ref="R1379">iferror(index(dissected_fish!$F:$F,match($A1379,dissected_fish!$A:$A,0)))</f>
        <v>BCA111</v>
      </c>
      <c r="S1379" s="40" t="str">
        <f t="array" ref="S1379">iferror(index(dissected_fish!$K:$K,match($A1379,dissected_fish!$A:$A,0)))</f>
        <v>N</v>
      </c>
      <c r="T1379" s="61" t="str">
        <f t="array" ref="T1379">index(fish_lab_data!O:O,match(A1379,fish_lab_data!C:C,0))</f>
        <v>JG</v>
      </c>
      <c r="U1379" s="61">
        <f t="array" ref="U1379">if(A1379="","",index(fish_lab_data!X:X,match(A1379,fish_lab_data!C:C,0)))</f>
        <v>1378</v>
      </c>
    </row>
    <row r="1380">
      <c r="A1380" t="str">
        <f>fish_lab_data!C1380</f>
        <v>U16047</v>
      </c>
      <c r="B1380" t="str">
        <f t="array" ref="B1380">iferror(index('rna-muscle'!$I:$I,match($A1380,'rna-muscle'!$A:$A,0)))</f>
        <v>BRN76M-B7</v>
      </c>
      <c r="C1380" t="str">
        <f t="array" ref="C1380">iferror(index('rna-muscle'!$L:$L,match($A1380,'rna-muscle'!$A:$A,0)))</f>
        <v>N</v>
      </c>
      <c r="D1380" t="str">
        <f t="array" ref="D1380">iferror(index('rna-gill'!$I:$I,match($A1380,'rna-gill'!$A:$A,0)))</f>
        <v>BRN76G-B7</v>
      </c>
      <c r="E1380" t="str">
        <f t="array" ref="E1380">iferror(index('rna-gill'!$L:$L,match($A1380,'rna-gill'!$A:$A,0)))</f>
        <v>N</v>
      </c>
      <c r="F1380" t="str">
        <f t="array" ref="F1380">iferror(index(fatty_acid!$G:$G,match($A1380,fatty_acid!$A:$A,0)))</f>
        <v>BFA36-37</v>
      </c>
      <c r="G1380" t="str">
        <f t="array" ref="G1380">iferror(index(fatty_acid!$J:$J,match($A1380,fatty_acid!$A:$A,0)))</f>
        <v>N</v>
      </c>
      <c r="H1380" t="str">
        <f t="array" ref="H1380">iferror(index(isotopes!$G:$G,match($A1380,isotopes!$A:$A,0)))</f>
        <v>BIS39-37</v>
      </c>
      <c r="I1380" t="str">
        <f t="array" ref="I1380">iferror(index(isotopes!$J:$J,match($A1380,isotopes!$A:$A,0)))</f>
        <v>N</v>
      </c>
      <c r="J1380" t="str">
        <f t="array" ref="J1380">iferror(index(extra_muscle!$G:$G,match($A1380,extra_muscle!$A:$A,0)))</f>
        <v>BXM38-37</v>
      </c>
      <c r="K1380" t="str">
        <f t="array" ref="K1380">iferror(index(extra_muscle!$J:$J,match($A1380,extra_muscle!$A:$A,0)))</f>
        <v>N</v>
      </c>
      <c r="L1380" s="59" t="str">
        <f t="array" ref="L1380">iferror(index(dna!$G:$G,match($A1380,dna!$A:$A,0)))</f>
        <v>BDN12-13</v>
      </c>
      <c r="M1380" s="60" t="str">
        <f t="array" ref="M1380">iferror(index(dna!$J:$J,match($A1380,dna!$A:$A,0)))</f>
        <v>N</v>
      </c>
      <c r="N1380" t="str">
        <f t="array" ref="N1380">iferror(index(stomachs!$G:$G,match($A1380,stomachs!$A:$A,0)))</f>
        <v/>
      </c>
      <c r="O1380" t="str">
        <f t="array" ref="O1380">iferror(index(stomachs!$J:$J,match($A1380,stomachs!$A:$A,0)))</f>
        <v/>
      </c>
      <c r="P1380" t="str">
        <f t="array" ref="P1380">iferror(index(sea_lice!$G:$G,match($A1380,sea_lice!$A:$A,0)))</f>
        <v>BSL8-49</v>
      </c>
      <c r="Q1380" t="str">
        <f t="array" ref="Q1380">iferror(index(sea_lice!$J:$J,match($A1380,sea_lice!$A:$A,0)))</f>
        <v>N</v>
      </c>
      <c r="R1380" s="40" t="str">
        <f t="array" ref="R1380">iferror(index(dissected_fish!$F:$F,match($A1380,dissected_fish!$A:$A,0)))</f>
        <v>BCA111</v>
      </c>
      <c r="S1380" s="40" t="str">
        <f t="array" ref="S1380">iferror(index(dissected_fish!$K:$K,match($A1380,dissected_fish!$A:$A,0)))</f>
        <v>N</v>
      </c>
      <c r="T1380" s="61" t="str">
        <f t="array" ref="T1380">index(fish_lab_data!O:O,match(A1380,fish_lab_data!C:C,0))</f>
        <v>KB</v>
      </c>
      <c r="U1380" s="61">
        <f t="array" ref="U1380">if(A1380="","",index(fish_lab_data!X:X,match(A1380,fish_lab_data!C:C,0)))</f>
        <v>1379</v>
      </c>
    </row>
    <row r="1381">
      <c r="A1381" t="str">
        <f>fish_lab_data!C1381</f>
        <v>U16043</v>
      </c>
      <c r="B1381" t="str">
        <f t="array" ref="B1381">iferror(index('rna-muscle'!$I:$I,match($A1381,'rna-muscle'!$A:$A,0)))</f>
        <v>BRN76M-A7</v>
      </c>
      <c r="C1381" t="str">
        <f t="array" ref="C1381">iferror(index('rna-muscle'!$L:$L,match($A1381,'rna-muscle'!$A:$A,0)))</f>
        <v>N</v>
      </c>
      <c r="D1381" t="str">
        <f t="array" ref="D1381">iferror(index('rna-gill'!$I:$I,match($A1381,'rna-gill'!$A:$A,0)))</f>
        <v>BRN76G-A7</v>
      </c>
      <c r="E1381" t="str">
        <f t="array" ref="E1381">iferror(index('rna-gill'!$L:$L,match($A1381,'rna-gill'!$A:$A,0)))</f>
        <v>N</v>
      </c>
      <c r="F1381" t="str">
        <f t="array" ref="F1381">iferror(index(fatty_acid!$G:$G,match($A1381,fatty_acid!$A:$A,0)))</f>
        <v>BFA36-38</v>
      </c>
      <c r="G1381" t="str">
        <f t="array" ref="G1381">iferror(index(fatty_acid!$J:$J,match($A1381,fatty_acid!$A:$A,0)))</f>
        <v>N</v>
      </c>
      <c r="H1381" t="str">
        <f t="array" ref="H1381">iferror(index(isotopes!$G:$G,match($A1381,isotopes!$A:$A,0)))</f>
        <v>BIS39-38</v>
      </c>
      <c r="I1381" t="str">
        <f t="array" ref="I1381">iferror(index(isotopes!$J:$J,match($A1381,isotopes!$A:$A,0)))</f>
        <v>N</v>
      </c>
      <c r="J1381" t="str">
        <f t="array" ref="J1381">iferror(index(extra_muscle!$G:$G,match($A1381,extra_muscle!$A:$A,0)))</f>
        <v>BXM38-38</v>
      </c>
      <c r="K1381" t="str">
        <f t="array" ref="K1381">iferror(index(extra_muscle!$J:$J,match($A1381,extra_muscle!$A:$A,0)))</f>
        <v>N</v>
      </c>
      <c r="L1381" s="59" t="str">
        <f t="array" ref="L1381">iferror(index(dna!$G:$G,match($A1381,dna!$A:$A,0)))</f>
        <v>BDN12-14</v>
      </c>
      <c r="M1381" s="60" t="str">
        <f t="array" ref="M1381">iferror(index(dna!$J:$J,match($A1381,dna!$A:$A,0)))</f>
        <v>N</v>
      </c>
      <c r="N1381" t="str">
        <f t="array" ref="N1381">iferror(index(stomachs!$G:$G,match($A1381,stomachs!$A:$A,0)))</f>
        <v/>
      </c>
      <c r="O1381" t="str">
        <f t="array" ref="O1381">iferror(index(stomachs!$J:$J,match($A1381,stomachs!$A:$A,0)))</f>
        <v/>
      </c>
      <c r="P1381" t="str">
        <f t="array" ref="P1381">iferror(index(sea_lice!$G:$G,match($A1381,sea_lice!$A:$A,0)))</f>
        <v>BSL8-50</v>
      </c>
      <c r="Q1381" t="str">
        <f t="array" ref="Q1381">iferror(index(sea_lice!$J:$J,match($A1381,sea_lice!$A:$A,0)))</f>
        <v>N</v>
      </c>
      <c r="R1381" s="40" t="str">
        <f t="array" ref="R1381">iferror(index(dissected_fish!$F:$F,match($A1381,dissected_fish!$A:$A,0)))</f>
        <v>BCA111</v>
      </c>
      <c r="S1381" s="40" t="str">
        <f t="array" ref="S1381">iferror(index(dissected_fish!$K:$K,match($A1381,dissected_fish!$A:$A,0)))</f>
        <v>N</v>
      </c>
      <c r="T1381" s="61" t="str">
        <f t="array" ref="T1381">index(fish_lab_data!O:O,match(A1381,fish_lab_data!C:C,0))</f>
        <v>KB</v>
      </c>
      <c r="U1381" s="61">
        <f t="array" ref="U1381">if(A1381="","",index(fish_lab_data!X:X,match(A1381,fish_lab_data!C:C,0)))</f>
        <v>1380</v>
      </c>
    </row>
    <row r="1382">
      <c r="A1382" t="str">
        <f>fish_lab_data!C1382</f>
        <v>U16049</v>
      </c>
      <c r="B1382" t="str">
        <f t="array" ref="B1382">iferror(index('rna-muscle'!$I:$I,match($A1382,'rna-muscle'!$A:$A,0)))</f>
        <v>BRN76M-G12</v>
      </c>
      <c r="C1382" t="str">
        <f t="array" ref="C1382">iferror(index('rna-muscle'!$L:$L,match($A1382,'rna-muscle'!$A:$A,0)))</f>
        <v>N</v>
      </c>
      <c r="D1382" t="str">
        <f t="array" ref="D1382">iferror(index('rna-gill'!$I:$I,match($A1382,'rna-gill'!$A:$A,0)))</f>
        <v>BRN76G-G12</v>
      </c>
      <c r="E1382" t="str">
        <f t="array" ref="E1382">iferror(index('rna-gill'!$L:$L,match($A1382,'rna-gill'!$A:$A,0)))</f>
        <v>N</v>
      </c>
      <c r="F1382" t="str">
        <f t="array" ref="F1382">iferror(index(fatty_acid!$G:$G,match($A1382,fatty_acid!$A:$A,0)))</f>
        <v>BFA36-39</v>
      </c>
      <c r="G1382" t="str">
        <f t="array" ref="G1382">iferror(index(fatty_acid!$J:$J,match($A1382,fatty_acid!$A:$A,0)))</f>
        <v>N</v>
      </c>
      <c r="H1382" t="str">
        <f t="array" ref="H1382">iferror(index(isotopes!$G:$G,match($A1382,isotopes!$A:$A,0)))</f>
        <v>BIS39-39</v>
      </c>
      <c r="I1382" t="str">
        <f t="array" ref="I1382">iferror(index(isotopes!$J:$J,match($A1382,isotopes!$A:$A,0)))</f>
        <v>N</v>
      </c>
      <c r="J1382" t="str">
        <f t="array" ref="J1382">iferror(index(extra_muscle!$G:$G,match($A1382,extra_muscle!$A:$A,0)))</f>
        <v>BXM38-39</v>
      </c>
      <c r="K1382" t="str">
        <f t="array" ref="K1382">iferror(index(extra_muscle!$J:$J,match($A1382,extra_muscle!$A:$A,0)))</f>
        <v>N</v>
      </c>
      <c r="L1382" s="59" t="str">
        <f t="array" ref="L1382">iferror(index(dna!$G:$G,match($A1382,dna!$A:$A,0)))</f>
        <v>BDN12-15</v>
      </c>
      <c r="M1382" s="60" t="str">
        <f t="array" ref="M1382">iferror(index(dna!$J:$J,match($A1382,dna!$A:$A,0)))</f>
        <v>N</v>
      </c>
      <c r="N1382" t="str">
        <f t="array" ref="N1382">iferror(index(stomachs!$G:$G,match($A1382,stomachs!$A:$A,0)))</f>
        <v/>
      </c>
      <c r="O1382" t="str">
        <f t="array" ref="O1382">iferror(index(stomachs!$J:$J,match($A1382,stomachs!$A:$A,0)))</f>
        <v/>
      </c>
      <c r="P1382" t="str">
        <f t="array" ref="P1382">iferror(index(sea_lice!$G:$G,match($A1382,sea_lice!$A:$A,0)))</f>
        <v>BSL8-51</v>
      </c>
      <c r="Q1382" t="str">
        <f t="array" ref="Q1382">iferror(index(sea_lice!$J:$J,match($A1382,sea_lice!$A:$A,0)))</f>
        <v>N</v>
      </c>
      <c r="R1382" s="40" t="str">
        <f t="array" ref="R1382">iferror(index(dissected_fish!$F:$F,match($A1382,dissected_fish!$A:$A,0)))</f>
        <v>BCA111</v>
      </c>
      <c r="S1382" s="40" t="str">
        <f t="array" ref="S1382">iferror(index(dissected_fish!$K:$K,match($A1382,dissected_fish!$A:$A,0)))</f>
        <v>N</v>
      </c>
      <c r="T1382" s="61" t="str">
        <f t="array" ref="T1382">index(fish_lab_data!O:O,match(A1382,fish_lab_data!C:C,0))</f>
        <v>KB</v>
      </c>
      <c r="U1382" s="61">
        <f t="array" ref="U1382">if(A1382="","",index(fish_lab_data!X:X,match(A1382,fish_lab_data!C:C,0)))</f>
        <v>1381</v>
      </c>
    </row>
    <row r="1383">
      <c r="A1383" t="str">
        <f>fish_lab_data!C1383</f>
        <v>U16050</v>
      </c>
      <c r="B1383" t="str">
        <f t="array" ref="B1383">iferror(index('rna-muscle'!$I:$I,match($A1383,'rna-muscle'!$A:$A,0)))</f>
        <v>BRN76M-F12</v>
      </c>
      <c r="C1383" t="str">
        <f t="array" ref="C1383">iferror(index('rna-muscle'!$L:$L,match($A1383,'rna-muscle'!$A:$A,0)))</f>
        <v>N</v>
      </c>
      <c r="D1383" t="str">
        <f t="array" ref="D1383">iferror(index('rna-gill'!$I:$I,match($A1383,'rna-gill'!$A:$A,0)))</f>
        <v>BRN76G-F12</v>
      </c>
      <c r="E1383" t="str">
        <f t="array" ref="E1383">iferror(index('rna-gill'!$L:$L,match($A1383,'rna-gill'!$A:$A,0)))</f>
        <v>N</v>
      </c>
      <c r="F1383" t="str">
        <f t="array" ref="F1383">iferror(index(fatty_acid!$G:$G,match($A1383,fatty_acid!$A:$A,0)))</f>
        <v>BFA36-40</v>
      </c>
      <c r="G1383" t="str">
        <f t="array" ref="G1383">iferror(index(fatty_acid!$J:$J,match($A1383,fatty_acid!$A:$A,0)))</f>
        <v>N</v>
      </c>
      <c r="H1383" t="str">
        <f t="array" ref="H1383">iferror(index(isotopes!$G:$G,match($A1383,isotopes!$A:$A,0)))</f>
        <v>BIS39-40</v>
      </c>
      <c r="I1383" t="str">
        <f t="array" ref="I1383">iferror(index(isotopes!$J:$J,match($A1383,isotopes!$A:$A,0)))</f>
        <v>N</v>
      </c>
      <c r="J1383" t="str">
        <f t="array" ref="J1383">iferror(index(extra_muscle!$G:$G,match($A1383,extra_muscle!$A:$A,0)))</f>
        <v>BXM38-40</v>
      </c>
      <c r="K1383" t="str">
        <f t="array" ref="K1383">iferror(index(extra_muscle!$J:$J,match($A1383,extra_muscle!$A:$A,0)))</f>
        <v>N</v>
      </c>
      <c r="L1383" s="59" t="str">
        <f t="array" ref="L1383">iferror(index(dna!$G:$G,match($A1383,dna!$A:$A,0)))</f>
        <v>BDN12-16</v>
      </c>
      <c r="M1383" s="60" t="str">
        <f t="array" ref="M1383">iferror(index(dna!$J:$J,match($A1383,dna!$A:$A,0)))</f>
        <v>N</v>
      </c>
      <c r="N1383" t="str">
        <f t="array" ref="N1383">iferror(index(stomachs!$G:$G,match($A1383,stomachs!$A:$A,0)))</f>
        <v/>
      </c>
      <c r="O1383" t="str">
        <f t="array" ref="O1383">iferror(index(stomachs!$J:$J,match($A1383,stomachs!$A:$A,0)))</f>
        <v/>
      </c>
      <c r="P1383" t="str">
        <f t="array" ref="P1383">iferror(index(sea_lice!$G:$G,match($A1383,sea_lice!$A:$A,0)))</f>
        <v>BSL8-52</v>
      </c>
      <c r="Q1383" t="str">
        <f t="array" ref="Q1383">iferror(index(sea_lice!$J:$J,match($A1383,sea_lice!$A:$A,0)))</f>
        <v>N</v>
      </c>
      <c r="R1383" s="40" t="str">
        <f t="array" ref="R1383">iferror(index(dissected_fish!$F:$F,match($A1383,dissected_fish!$A:$A,0)))</f>
        <v>BCA111</v>
      </c>
      <c r="S1383" s="40" t="str">
        <f t="array" ref="S1383">iferror(index(dissected_fish!$K:$K,match($A1383,dissected_fish!$A:$A,0)))</f>
        <v>N</v>
      </c>
      <c r="T1383" s="61" t="str">
        <f t="array" ref="T1383">index(fish_lab_data!O:O,match(A1383,fish_lab_data!C:C,0))</f>
        <v>KB</v>
      </c>
      <c r="U1383" s="61">
        <f t="array" ref="U1383">if(A1383="","",index(fish_lab_data!X:X,match(A1383,fish_lab_data!C:C,0)))</f>
        <v>1382</v>
      </c>
    </row>
    <row r="1384">
      <c r="A1384" t="str">
        <f>fish_lab_data!C1384</f>
        <v>U16044</v>
      </c>
      <c r="B1384" t="str">
        <f t="array" ref="B1384">iferror(index('rna-muscle'!$I:$I,match($A1384,'rna-muscle'!$A:$A,0)))</f>
        <v>BRN76M-E12</v>
      </c>
      <c r="C1384" t="str">
        <f t="array" ref="C1384">iferror(index('rna-muscle'!$L:$L,match($A1384,'rna-muscle'!$A:$A,0)))</f>
        <v>N</v>
      </c>
      <c r="D1384" t="str">
        <f t="array" ref="D1384">iferror(index('rna-gill'!$I:$I,match($A1384,'rna-gill'!$A:$A,0)))</f>
        <v>BRN76G-E12</v>
      </c>
      <c r="E1384" t="str">
        <f t="array" ref="E1384">iferror(index('rna-gill'!$L:$L,match($A1384,'rna-gill'!$A:$A,0)))</f>
        <v>N</v>
      </c>
      <c r="F1384" t="str">
        <f t="array" ref="F1384">iferror(index(fatty_acid!$G:$G,match($A1384,fatty_acid!$A:$A,0)))</f>
        <v>BFA36-41</v>
      </c>
      <c r="G1384" t="str">
        <f t="array" ref="G1384">iferror(index(fatty_acid!$J:$J,match($A1384,fatty_acid!$A:$A,0)))</f>
        <v>N</v>
      </c>
      <c r="H1384" t="str">
        <f t="array" ref="H1384">iferror(index(isotopes!$G:$G,match($A1384,isotopes!$A:$A,0)))</f>
        <v>BIS39-41</v>
      </c>
      <c r="I1384" t="str">
        <f t="array" ref="I1384">iferror(index(isotopes!$J:$J,match($A1384,isotopes!$A:$A,0)))</f>
        <v>N</v>
      </c>
      <c r="J1384" t="str">
        <f t="array" ref="J1384">iferror(index(extra_muscle!$G:$G,match($A1384,extra_muscle!$A:$A,0)))</f>
        <v>BXM38-41</v>
      </c>
      <c r="K1384" t="str">
        <f t="array" ref="K1384">iferror(index(extra_muscle!$J:$J,match($A1384,extra_muscle!$A:$A,0)))</f>
        <v>N</v>
      </c>
      <c r="L1384" s="59" t="str">
        <f t="array" ref="L1384">iferror(index(dna!$G:$G,match($A1384,dna!$A:$A,0)))</f>
        <v>BDN12-17</v>
      </c>
      <c r="M1384" s="60" t="str">
        <f t="array" ref="M1384">iferror(index(dna!$J:$J,match($A1384,dna!$A:$A,0)))</f>
        <v>N</v>
      </c>
      <c r="N1384" t="str">
        <f t="array" ref="N1384">iferror(index(stomachs!$G:$G,match($A1384,stomachs!$A:$A,0)))</f>
        <v/>
      </c>
      <c r="O1384" t="str">
        <f t="array" ref="O1384">iferror(index(stomachs!$J:$J,match($A1384,stomachs!$A:$A,0)))</f>
        <v/>
      </c>
      <c r="P1384" t="str">
        <f t="array" ref="P1384">iferror(index(sea_lice!$G:$G,match($A1384,sea_lice!$A:$A,0)))</f>
        <v/>
      </c>
      <c r="Q1384" t="str">
        <f t="array" ref="Q1384">iferror(index(sea_lice!$J:$J,match($A1384,sea_lice!$A:$A,0)))</f>
        <v/>
      </c>
      <c r="R1384" s="40" t="str">
        <f t="array" ref="R1384">iferror(index(dissected_fish!$F:$F,match($A1384,dissected_fish!$A:$A,0)))</f>
        <v>BCA111</v>
      </c>
      <c r="S1384" s="40" t="str">
        <f t="array" ref="S1384">iferror(index(dissected_fish!$K:$K,match($A1384,dissected_fish!$A:$A,0)))</f>
        <v>N</v>
      </c>
      <c r="T1384" s="61" t="str">
        <f t="array" ref="T1384">index(fish_lab_data!O:O,match(A1384,fish_lab_data!C:C,0))</f>
        <v>KB</v>
      </c>
      <c r="U1384" s="61">
        <f t="array" ref="U1384">if(A1384="","",index(fish_lab_data!X:X,match(A1384,fish_lab_data!C:C,0)))</f>
        <v>1383</v>
      </c>
    </row>
    <row r="1385">
      <c r="A1385" t="str">
        <f>fish_lab_data!C1385</f>
        <v>U16045</v>
      </c>
      <c r="B1385" t="str">
        <f t="array" ref="B1385">iferror(index('rna-muscle'!$I:$I,match($A1385,'rna-muscle'!$A:$A,0)))</f>
        <v>BRN76M-D12</v>
      </c>
      <c r="C1385" t="str">
        <f t="array" ref="C1385">iferror(index('rna-muscle'!$L:$L,match($A1385,'rna-muscle'!$A:$A,0)))</f>
        <v>N</v>
      </c>
      <c r="D1385" t="str">
        <f t="array" ref="D1385">iferror(index('rna-gill'!$I:$I,match($A1385,'rna-gill'!$A:$A,0)))</f>
        <v>BRN76G-D12</v>
      </c>
      <c r="E1385" t="str">
        <f t="array" ref="E1385">iferror(index('rna-gill'!$L:$L,match($A1385,'rna-gill'!$A:$A,0)))</f>
        <v>N</v>
      </c>
      <c r="F1385" t="str">
        <f t="array" ref="F1385">iferror(index(fatty_acid!$G:$G,match($A1385,fatty_acid!$A:$A,0)))</f>
        <v>BFA36-42</v>
      </c>
      <c r="G1385" t="str">
        <f t="array" ref="G1385">iferror(index(fatty_acid!$J:$J,match($A1385,fatty_acid!$A:$A,0)))</f>
        <v>N</v>
      </c>
      <c r="H1385" t="str">
        <f t="array" ref="H1385">iferror(index(isotopes!$G:$G,match($A1385,isotopes!$A:$A,0)))</f>
        <v>BIS39-42</v>
      </c>
      <c r="I1385" t="str">
        <f t="array" ref="I1385">iferror(index(isotopes!$J:$J,match($A1385,isotopes!$A:$A,0)))</f>
        <v>N</v>
      </c>
      <c r="J1385" t="str">
        <f t="array" ref="J1385">iferror(index(extra_muscle!$G:$G,match($A1385,extra_muscle!$A:$A,0)))</f>
        <v>BXM38-42</v>
      </c>
      <c r="K1385" t="str">
        <f t="array" ref="K1385">iferror(index(extra_muscle!$J:$J,match($A1385,extra_muscle!$A:$A,0)))</f>
        <v>N</v>
      </c>
      <c r="L1385" s="59" t="str">
        <f t="array" ref="L1385">iferror(index(dna!$G:$G,match($A1385,dna!$A:$A,0)))</f>
        <v>BDN12-18</v>
      </c>
      <c r="M1385" s="60" t="str">
        <f t="array" ref="M1385">iferror(index(dna!$J:$J,match($A1385,dna!$A:$A,0)))</f>
        <v>N</v>
      </c>
      <c r="N1385" t="str">
        <f t="array" ref="N1385">iferror(index(stomachs!$G:$G,match($A1385,stomachs!$A:$A,0)))</f>
        <v/>
      </c>
      <c r="O1385" t="str">
        <f t="array" ref="O1385">iferror(index(stomachs!$J:$J,match($A1385,stomachs!$A:$A,0)))</f>
        <v/>
      </c>
      <c r="P1385" t="str">
        <f t="array" ref="P1385">iferror(index(sea_lice!$G:$G,match($A1385,sea_lice!$A:$A,0)))</f>
        <v/>
      </c>
      <c r="Q1385" t="str">
        <f t="array" ref="Q1385">iferror(index(sea_lice!$J:$J,match($A1385,sea_lice!$A:$A,0)))</f>
        <v/>
      </c>
      <c r="R1385" s="40" t="str">
        <f t="array" ref="R1385">iferror(index(dissected_fish!$F:$F,match($A1385,dissected_fish!$A:$A,0)))</f>
        <v>BCA111</v>
      </c>
      <c r="S1385" s="40" t="str">
        <f t="array" ref="S1385">iferror(index(dissected_fish!$K:$K,match($A1385,dissected_fish!$A:$A,0)))</f>
        <v>N</v>
      </c>
      <c r="T1385" s="61" t="str">
        <f t="array" ref="T1385">index(fish_lab_data!O:O,match(A1385,fish_lab_data!C:C,0))</f>
        <v>KB</v>
      </c>
      <c r="U1385" s="61">
        <f t="array" ref="U1385">if(A1385="","",index(fish_lab_data!X:X,match(A1385,fish_lab_data!C:C,0)))</f>
        <v>1384</v>
      </c>
    </row>
    <row r="1386">
      <c r="A1386" t="str">
        <f>fish_lab_data!C1386</f>
        <v>U16046</v>
      </c>
      <c r="B1386" t="str">
        <f t="array" ref="B1386">iferror(index('rna-muscle'!$I:$I,match($A1386,'rna-muscle'!$A:$A,0)))</f>
        <v>BRN76M-C12</v>
      </c>
      <c r="C1386" t="str">
        <f t="array" ref="C1386">iferror(index('rna-muscle'!$L:$L,match($A1386,'rna-muscle'!$A:$A,0)))</f>
        <v>N</v>
      </c>
      <c r="D1386" t="str">
        <f t="array" ref="D1386">iferror(index('rna-gill'!$I:$I,match($A1386,'rna-gill'!$A:$A,0)))</f>
        <v>BRN76G-C12</v>
      </c>
      <c r="E1386" t="str">
        <f t="array" ref="E1386">iferror(index('rna-gill'!$L:$L,match($A1386,'rna-gill'!$A:$A,0)))</f>
        <v>N</v>
      </c>
      <c r="F1386" t="str">
        <f t="array" ref="F1386">iferror(index(fatty_acid!$G:$G,match($A1386,fatty_acid!$A:$A,0)))</f>
        <v>BFA36-43</v>
      </c>
      <c r="G1386" t="str">
        <f t="array" ref="G1386">iferror(index(fatty_acid!$J:$J,match($A1386,fatty_acid!$A:$A,0)))</f>
        <v>N</v>
      </c>
      <c r="H1386" t="str">
        <f t="array" ref="H1386">iferror(index(isotopes!$G:$G,match($A1386,isotopes!$A:$A,0)))</f>
        <v>BIS39-43</v>
      </c>
      <c r="I1386" t="str">
        <f t="array" ref="I1386">iferror(index(isotopes!$J:$J,match($A1386,isotopes!$A:$A,0)))</f>
        <v>N</v>
      </c>
      <c r="J1386" t="str">
        <f t="array" ref="J1386">iferror(index(extra_muscle!$G:$G,match($A1386,extra_muscle!$A:$A,0)))</f>
        <v>BXM38-43</v>
      </c>
      <c r="K1386" t="str">
        <f t="array" ref="K1386">iferror(index(extra_muscle!$J:$J,match($A1386,extra_muscle!$A:$A,0)))</f>
        <v>N</v>
      </c>
      <c r="L1386" s="59" t="str">
        <f t="array" ref="L1386">iferror(index(dna!$G:$G,match($A1386,dna!$A:$A,0)))</f>
        <v>BDN12-19</v>
      </c>
      <c r="M1386" s="60" t="str">
        <f t="array" ref="M1386">iferror(index(dna!$J:$J,match($A1386,dna!$A:$A,0)))</f>
        <v>N</v>
      </c>
      <c r="N1386" t="str">
        <f t="array" ref="N1386">iferror(index(stomachs!$G:$G,match($A1386,stomachs!$A:$A,0)))</f>
        <v/>
      </c>
      <c r="O1386" t="str">
        <f t="array" ref="O1386">iferror(index(stomachs!$J:$J,match($A1386,stomachs!$A:$A,0)))</f>
        <v/>
      </c>
      <c r="P1386" t="str">
        <f t="array" ref="P1386">iferror(index(sea_lice!$G:$G,match($A1386,sea_lice!$A:$A,0)))</f>
        <v>BSL8-53</v>
      </c>
      <c r="Q1386" t="str">
        <f t="array" ref="Q1386">iferror(index(sea_lice!$J:$J,match($A1386,sea_lice!$A:$A,0)))</f>
        <v>N</v>
      </c>
      <c r="R1386" s="40" t="str">
        <f t="array" ref="R1386">iferror(index(dissected_fish!$F:$F,match($A1386,dissected_fish!$A:$A,0)))</f>
        <v>BCA111</v>
      </c>
      <c r="S1386" s="40" t="str">
        <f t="array" ref="S1386">iferror(index(dissected_fish!$K:$K,match($A1386,dissected_fish!$A:$A,0)))</f>
        <v>N</v>
      </c>
      <c r="T1386" s="61" t="str">
        <f t="array" ref="T1386">index(fish_lab_data!O:O,match(A1386,fish_lab_data!C:C,0))</f>
        <v>KB</v>
      </c>
      <c r="U1386" s="61">
        <f t="array" ref="U1386">if(A1386="","",index(fish_lab_data!X:X,match(A1386,fish_lab_data!C:C,0)))</f>
        <v>1385</v>
      </c>
    </row>
    <row r="1387">
      <c r="A1387" t="str">
        <f>fish_lab_data!C1387</f>
        <v>U16048</v>
      </c>
      <c r="B1387" t="str">
        <f t="array" ref="B1387">iferror(index('rna-muscle'!$I:$I,match($A1387,'rna-muscle'!$A:$A,0)))</f>
        <v>BRN76M-B12</v>
      </c>
      <c r="C1387" t="str">
        <f t="array" ref="C1387">iferror(index('rna-muscle'!$L:$L,match($A1387,'rna-muscle'!$A:$A,0)))</f>
        <v>N</v>
      </c>
      <c r="D1387" t="str">
        <f t="array" ref="D1387">iferror(index('rna-gill'!$I:$I,match($A1387,'rna-gill'!$A:$A,0)))</f>
        <v>BRN76G-B12</v>
      </c>
      <c r="E1387" t="str">
        <f t="array" ref="E1387">iferror(index('rna-gill'!$L:$L,match($A1387,'rna-gill'!$A:$A,0)))</f>
        <v>N</v>
      </c>
      <c r="F1387" t="str">
        <f t="array" ref="F1387">iferror(index(fatty_acid!$G:$G,match($A1387,fatty_acid!$A:$A,0)))</f>
        <v>BFA36-44</v>
      </c>
      <c r="G1387" t="str">
        <f t="array" ref="G1387">iferror(index(fatty_acid!$J:$J,match($A1387,fatty_acid!$A:$A,0)))</f>
        <v>N</v>
      </c>
      <c r="H1387" t="str">
        <f t="array" ref="H1387">iferror(index(isotopes!$G:$G,match($A1387,isotopes!$A:$A,0)))</f>
        <v>BIS39-44</v>
      </c>
      <c r="I1387" t="str">
        <f t="array" ref="I1387">iferror(index(isotopes!$J:$J,match($A1387,isotopes!$A:$A,0)))</f>
        <v>N</v>
      </c>
      <c r="J1387" t="str">
        <f t="array" ref="J1387">iferror(index(extra_muscle!$G:$G,match($A1387,extra_muscle!$A:$A,0)))</f>
        <v>BXM38-44</v>
      </c>
      <c r="K1387" t="str">
        <f t="array" ref="K1387">iferror(index(extra_muscle!$J:$J,match($A1387,extra_muscle!$A:$A,0)))</f>
        <v>N</v>
      </c>
      <c r="L1387" s="59" t="str">
        <f t="array" ref="L1387">iferror(index(dna!$G:$G,match($A1387,dna!$A:$A,0)))</f>
        <v>BDN12-20</v>
      </c>
      <c r="M1387" s="60" t="str">
        <f t="array" ref="M1387">iferror(index(dna!$J:$J,match($A1387,dna!$A:$A,0)))</f>
        <v>N</v>
      </c>
      <c r="N1387" t="str">
        <f t="array" ref="N1387">iferror(index(stomachs!$G:$G,match($A1387,stomachs!$A:$A,0)))</f>
        <v/>
      </c>
      <c r="O1387" t="str">
        <f t="array" ref="O1387">iferror(index(stomachs!$J:$J,match($A1387,stomachs!$A:$A,0)))</f>
        <v/>
      </c>
      <c r="P1387" t="str">
        <f t="array" ref="P1387">iferror(index(sea_lice!$G:$G,match($A1387,sea_lice!$A:$A,0)))</f>
        <v>BSL8-54</v>
      </c>
      <c r="Q1387" t="str">
        <f t="array" ref="Q1387">iferror(index(sea_lice!$J:$J,match($A1387,sea_lice!$A:$A,0)))</f>
        <v>N</v>
      </c>
      <c r="R1387" s="40" t="str">
        <f t="array" ref="R1387">iferror(index(dissected_fish!$F:$F,match($A1387,dissected_fish!$A:$A,0)))</f>
        <v>BCA111</v>
      </c>
      <c r="S1387" s="40" t="str">
        <f t="array" ref="S1387">iferror(index(dissected_fish!$K:$K,match($A1387,dissected_fish!$A:$A,0)))</f>
        <v>N</v>
      </c>
      <c r="T1387" s="61" t="str">
        <f t="array" ref="T1387">index(fish_lab_data!O:O,match(A1387,fish_lab_data!C:C,0))</f>
        <v>KB</v>
      </c>
      <c r="U1387" s="61">
        <f t="array" ref="U1387">if(A1387="","",index(fish_lab_data!X:X,match(A1387,fish_lab_data!C:C,0)))</f>
        <v>1386</v>
      </c>
    </row>
    <row r="1388">
      <c r="A1388" t="str">
        <f>fish_lab_data!C1388</f>
        <v>U16041</v>
      </c>
      <c r="B1388" t="str">
        <f t="array" ref="B1388">iferror(index('rna-muscle'!$I:$I,match($A1388,'rna-muscle'!$A:$A,0)))</f>
        <v>BRN76M-A12</v>
      </c>
      <c r="C1388" t="str">
        <f t="array" ref="C1388">iferror(index('rna-muscle'!$L:$L,match($A1388,'rna-muscle'!$A:$A,0)))</f>
        <v>N</v>
      </c>
      <c r="D1388" t="str">
        <f t="array" ref="D1388">iferror(index('rna-gill'!$I:$I,match($A1388,'rna-gill'!$A:$A,0)))</f>
        <v>BRN76G-A12</v>
      </c>
      <c r="E1388" t="str">
        <f t="array" ref="E1388">iferror(index('rna-gill'!$L:$L,match($A1388,'rna-gill'!$A:$A,0)))</f>
        <v>N</v>
      </c>
      <c r="F1388" t="str">
        <f t="array" ref="F1388">iferror(index(fatty_acid!$G:$G,match($A1388,fatty_acid!$A:$A,0)))</f>
        <v>BFA36-45</v>
      </c>
      <c r="G1388" t="str">
        <f t="array" ref="G1388">iferror(index(fatty_acid!$J:$J,match($A1388,fatty_acid!$A:$A,0)))</f>
        <v>N</v>
      </c>
      <c r="H1388" t="str">
        <f t="array" ref="H1388">iferror(index(isotopes!$G:$G,match($A1388,isotopes!$A:$A,0)))</f>
        <v>BIS39-45</v>
      </c>
      <c r="I1388" t="str">
        <f t="array" ref="I1388">iferror(index(isotopes!$J:$J,match($A1388,isotopes!$A:$A,0)))</f>
        <v>N</v>
      </c>
      <c r="J1388" t="str">
        <f t="array" ref="J1388">iferror(index(extra_muscle!$G:$G,match($A1388,extra_muscle!$A:$A,0)))</f>
        <v>BXM38-45</v>
      </c>
      <c r="K1388" t="str">
        <f t="array" ref="K1388">iferror(index(extra_muscle!$J:$J,match($A1388,extra_muscle!$A:$A,0)))</f>
        <v>N</v>
      </c>
      <c r="L1388" s="59" t="str">
        <f t="array" ref="L1388">iferror(index(dna!$G:$G,match($A1388,dna!$A:$A,0)))</f>
        <v>BDN12-21</v>
      </c>
      <c r="M1388" s="60" t="str">
        <f t="array" ref="M1388">iferror(index(dna!$J:$J,match($A1388,dna!$A:$A,0)))</f>
        <v>N</v>
      </c>
      <c r="N1388" t="str">
        <f t="array" ref="N1388">iferror(index(stomachs!$G:$G,match($A1388,stomachs!$A:$A,0)))</f>
        <v/>
      </c>
      <c r="O1388" t="str">
        <f t="array" ref="O1388">iferror(index(stomachs!$J:$J,match($A1388,stomachs!$A:$A,0)))</f>
        <v/>
      </c>
      <c r="P1388" t="str">
        <f t="array" ref="P1388">iferror(index(sea_lice!$G:$G,match($A1388,sea_lice!$A:$A,0)))</f>
        <v>BSL8-56</v>
      </c>
      <c r="Q1388" t="str">
        <f t="array" ref="Q1388">iferror(index(sea_lice!$J:$J,match($A1388,sea_lice!$A:$A,0)))</f>
        <v>N</v>
      </c>
      <c r="R1388" s="40" t="str">
        <f t="array" ref="R1388">iferror(index(dissected_fish!$F:$F,match($A1388,dissected_fish!$A:$A,0)))</f>
        <v>BCA111</v>
      </c>
      <c r="S1388" s="40" t="str">
        <f t="array" ref="S1388">iferror(index(dissected_fish!$K:$K,match($A1388,dissected_fish!$A:$A,0)))</f>
        <v>N</v>
      </c>
      <c r="T1388" s="61" t="str">
        <f t="array" ref="T1388">index(fish_lab_data!O:O,match(A1388,fish_lab_data!C:C,0))</f>
        <v>KB</v>
      </c>
      <c r="U1388" s="61">
        <f t="array" ref="U1388">if(A1388="","",index(fish_lab_data!X:X,match(A1388,fish_lab_data!C:C,0)))</f>
        <v>1387</v>
      </c>
    </row>
    <row r="1389">
      <c r="A1389" t="str">
        <f>fish_lab_data!C1389</f>
        <v>U16042</v>
      </c>
      <c r="B1389" t="str">
        <f t="array" ref="B1389">iferror(index('rna-muscle'!$I:$I,match($A1389,'rna-muscle'!$A:$A,0)))</f>
        <v>BRN77M-H1</v>
      </c>
      <c r="C1389" t="str">
        <f t="array" ref="C1389">iferror(index('rna-muscle'!$L:$L,match($A1389,'rna-muscle'!$A:$A,0)))</f>
        <v>N</v>
      </c>
      <c r="D1389" t="str">
        <f t="array" ref="D1389">iferror(index('rna-gill'!$I:$I,match($A1389,'rna-gill'!$A:$A,0)))</f>
        <v>BRN77G-H1</v>
      </c>
      <c r="E1389" t="str">
        <f t="array" ref="E1389">iferror(index('rna-gill'!$L:$L,match($A1389,'rna-gill'!$A:$A,0)))</f>
        <v>N</v>
      </c>
      <c r="F1389" t="str">
        <f t="array" ref="F1389">iferror(index(fatty_acid!$G:$G,match($A1389,fatty_acid!$A:$A,0)))</f>
        <v>BFA36-46</v>
      </c>
      <c r="G1389" t="str">
        <f t="array" ref="G1389">iferror(index(fatty_acid!$J:$J,match($A1389,fatty_acid!$A:$A,0)))</f>
        <v>N</v>
      </c>
      <c r="H1389" t="str">
        <f t="array" ref="H1389">iferror(index(isotopes!$G:$G,match($A1389,isotopes!$A:$A,0)))</f>
        <v>BIS39-46</v>
      </c>
      <c r="I1389" t="str">
        <f t="array" ref="I1389">iferror(index(isotopes!$J:$J,match($A1389,isotopes!$A:$A,0)))</f>
        <v>N</v>
      </c>
      <c r="J1389" t="str">
        <f t="array" ref="J1389">iferror(index(extra_muscle!$G:$G,match($A1389,extra_muscle!$A:$A,0)))</f>
        <v>BXM38-46</v>
      </c>
      <c r="K1389" t="str">
        <f t="array" ref="K1389">iferror(index(extra_muscle!$J:$J,match($A1389,extra_muscle!$A:$A,0)))</f>
        <v>N</v>
      </c>
      <c r="L1389" s="59" t="str">
        <f t="array" ref="L1389">iferror(index(dna!$G:$G,match($A1389,dna!$A:$A,0)))</f>
        <v>BDN12-22</v>
      </c>
      <c r="M1389" s="60" t="str">
        <f t="array" ref="M1389">iferror(index(dna!$J:$J,match($A1389,dna!$A:$A,0)))</f>
        <v>N</v>
      </c>
      <c r="N1389" t="str">
        <f t="array" ref="N1389">iferror(index(stomachs!$G:$G,match($A1389,stomachs!$A:$A,0)))</f>
        <v/>
      </c>
      <c r="O1389" t="str">
        <f t="array" ref="O1389">iferror(index(stomachs!$J:$J,match($A1389,stomachs!$A:$A,0)))</f>
        <v/>
      </c>
      <c r="P1389" t="str">
        <f t="array" ref="P1389">iferror(index(sea_lice!$G:$G,match($A1389,sea_lice!$A:$A,0)))</f>
        <v/>
      </c>
      <c r="Q1389" t="str">
        <f t="array" ref="Q1389">iferror(index(sea_lice!$J:$J,match($A1389,sea_lice!$A:$A,0)))</f>
        <v/>
      </c>
      <c r="R1389" s="40" t="str">
        <f t="array" ref="R1389">iferror(index(dissected_fish!$F:$F,match($A1389,dissected_fish!$A:$A,0)))</f>
        <v>BCA111</v>
      </c>
      <c r="S1389" s="40" t="str">
        <f t="array" ref="S1389">iferror(index(dissected_fish!$K:$K,match($A1389,dissected_fish!$A:$A,0)))</f>
        <v>N</v>
      </c>
      <c r="T1389" s="61" t="str">
        <f t="array" ref="T1389">index(fish_lab_data!O:O,match(A1389,fish_lab_data!C:C,0))</f>
        <v>KB</v>
      </c>
      <c r="U1389" s="61">
        <f t="array" ref="U1389">if(A1389="","",index(fish_lab_data!X:X,match(A1389,fish_lab_data!C:C,0)))</f>
        <v>1388</v>
      </c>
    </row>
    <row r="1390">
      <c r="A1390" t="str">
        <f>fish_lab_data!C1390</f>
        <v>U16004</v>
      </c>
      <c r="B1390" t="str">
        <f t="array" ref="B1390">iferror(index('rna-muscle'!$I:$I,match($A1390,'rna-muscle'!$A:$A,0)))</f>
        <v>BRN77M-G1</v>
      </c>
      <c r="C1390" t="str">
        <f t="array" ref="C1390">iferror(index('rna-muscle'!$L:$L,match($A1390,'rna-muscle'!$A:$A,0)))</f>
        <v>N</v>
      </c>
      <c r="D1390" t="str">
        <f t="array" ref="D1390">iferror(index('rna-gill'!$I:$I,match($A1390,'rna-gill'!$A:$A,0)))</f>
        <v>BRN77G-G1</v>
      </c>
      <c r="E1390" t="str">
        <f t="array" ref="E1390">iferror(index('rna-gill'!$L:$L,match($A1390,'rna-gill'!$A:$A,0)))</f>
        <v>N</v>
      </c>
      <c r="F1390" t="str">
        <f t="array" ref="F1390">iferror(index(fatty_acid!$G:$G,match($A1390,fatty_acid!$A:$A,0)))</f>
        <v>BFA36-47</v>
      </c>
      <c r="G1390" t="str">
        <f t="array" ref="G1390">iferror(index(fatty_acid!$J:$J,match($A1390,fatty_acid!$A:$A,0)))</f>
        <v>N</v>
      </c>
      <c r="H1390" t="str">
        <f t="array" ref="H1390">iferror(index(isotopes!$G:$G,match($A1390,isotopes!$A:$A,0)))</f>
        <v>BIS39-47</v>
      </c>
      <c r="I1390" t="str">
        <f t="array" ref="I1390">iferror(index(isotopes!$J:$J,match($A1390,isotopes!$A:$A,0)))</f>
        <v>N</v>
      </c>
      <c r="J1390" t="str">
        <f t="array" ref="J1390">iferror(index(extra_muscle!$G:$G,match($A1390,extra_muscle!$A:$A,0)))</f>
        <v>BXM38-47</v>
      </c>
      <c r="K1390" t="str">
        <f t="array" ref="K1390">iferror(index(extra_muscle!$J:$J,match($A1390,extra_muscle!$A:$A,0)))</f>
        <v>N</v>
      </c>
      <c r="L1390" s="59" t="str">
        <f t="array" ref="L1390">iferror(index(dna!$G:$G,match($A1390,dna!$A:$A,0)))</f>
        <v>BDN12-23</v>
      </c>
      <c r="M1390" s="60" t="str">
        <f t="array" ref="M1390">iferror(index(dna!$J:$J,match($A1390,dna!$A:$A,0)))</f>
        <v>N</v>
      </c>
      <c r="N1390" t="str">
        <f t="array" ref="N1390">iferror(index(stomachs!$G:$G,match($A1390,stomachs!$A:$A,0)))</f>
        <v/>
      </c>
      <c r="O1390" t="str">
        <f t="array" ref="O1390">iferror(index(stomachs!$J:$J,match($A1390,stomachs!$A:$A,0)))</f>
        <v/>
      </c>
      <c r="P1390" t="str">
        <f t="array" ref="P1390">iferror(index(sea_lice!$G:$G,match($A1390,sea_lice!$A:$A,0)))</f>
        <v/>
      </c>
      <c r="Q1390" t="str">
        <f t="array" ref="Q1390">iferror(index(sea_lice!$J:$J,match($A1390,sea_lice!$A:$A,0)))</f>
        <v/>
      </c>
      <c r="R1390" s="40" t="str">
        <f t="array" ref="R1390">iferror(index(dissected_fish!$F:$F,match($A1390,dissected_fish!$A:$A,0)))</f>
        <v>BCA111</v>
      </c>
      <c r="S1390" s="40" t="str">
        <f t="array" ref="S1390">iferror(index(dissected_fish!$K:$K,match($A1390,dissected_fish!$A:$A,0)))</f>
        <v>N</v>
      </c>
      <c r="T1390" s="61" t="str">
        <f t="array" ref="T1390">index(fish_lab_data!O:O,match(A1390,fish_lab_data!C:C,0))</f>
        <v>KB</v>
      </c>
      <c r="U1390" s="61">
        <f t="array" ref="U1390">if(A1390="","",index(fish_lab_data!X:X,match(A1390,fish_lab_data!C:C,0)))</f>
        <v>1389</v>
      </c>
    </row>
    <row r="1391">
      <c r="A1391" t="str">
        <f>fish_lab_data!C1391</f>
        <v>U16002</v>
      </c>
      <c r="B1391" t="str">
        <f t="array" ref="B1391">iferror(index('rna-muscle'!$I:$I,match($A1391,'rna-muscle'!$A:$A,0)))</f>
        <v>BRN77M-F1</v>
      </c>
      <c r="C1391" t="str">
        <f t="array" ref="C1391">iferror(index('rna-muscle'!$L:$L,match($A1391,'rna-muscle'!$A:$A,0)))</f>
        <v>N</v>
      </c>
      <c r="D1391" t="str">
        <f t="array" ref="D1391">iferror(index('rna-gill'!$I:$I,match($A1391,'rna-gill'!$A:$A,0)))</f>
        <v>BRN77G-F1</v>
      </c>
      <c r="E1391" t="str">
        <f t="array" ref="E1391">iferror(index('rna-gill'!$L:$L,match($A1391,'rna-gill'!$A:$A,0)))</f>
        <v>N</v>
      </c>
      <c r="F1391" t="str">
        <f t="array" ref="F1391">iferror(index(fatty_acid!$G:$G,match($A1391,fatty_acid!$A:$A,0)))</f>
        <v>BFA36-48</v>
      </c>
      <c r="G1391" t="str">
        <f t="array" ref="G1391">iferror(index(fatty_acid!$J:$J,match($A1391,fatty_acid!$A:$A,0)))</f>
        <v>N</v>
      </c>
      <c r="H1391" t="str">
        <f t="array" ref="H1391">iferror(index(isotopes!$G:$G,match($A1391,isotopes!$A:$A,0)))</f>
        <v>BIS39-48</v>
      </c>
      <c r="I1391" t="str">
        <f t="array" ref="I1391">iferror(index(isotopes!$J:$J,match($A1391,isotopes!$A:$A,0)))</f>
        <v>N</v>
      </c>
      <c r="J1391" t="str">
        <f t="array" ref="J1391">iferror(index(extra_muscle!$G:$G,match($A1391,extra_muscle!$A:$A,0)))</f>
        <v>BXM38-48</v>
      </c>
      <c r="K1391" t="str">
        <f t="array" ref="K1391">iferror(index(extra_muscle!$J:$J,match($A1391,extra_muscle!$A:$A,0)))</f>
        <v>N</v>
      </c>
      <c r="L1391" s="59" t="str">
        <f t="array" ref="L1391">iferror(index(dna!$G:$G,match($A1391,dna!$A:$A,0)))</f>
        <v>BDN12-24</v>
      </c>
      <c r="M1391" s="60" t="str">
        <f t="array" ref="M1391">iferror(index(dna!$J:$J,match($A1391,dna!$A:$A,0)))</f>
        <v>N</v>
      </c>
      <c r="N1391" t="str">
        <f t="array" ref="N1391">iferror(index(stomachs!$G:$G,match($A1391,stomachs!$A:$A,0)))</f>
        <v/>
      </c>
      <c r="O1391" t="str">
        <f t="array" ref="O1391">iferror(index(stomachs!$J:$J,match($A1391,stomachs!$A:$A,0)))</f>
        <v/>
      </c>
      <c r="P1391" t="str">
        <f t="array" ref="P1391">iferror(index(sea_lice!$G:$G,match($A1391,sea_lice!$A:$A,0)))</f>
        <v/>
      </c>
      <c r="Q1391" t="str">
        <f t="array" ref="Q1391">iferror(index(sea_lice!$J:$J,match($A1391,sea_lice!$A:$A,0)))</f>
        <v/>
      </c>
      <c r="R1391" s="40" t="str">
        <f t="array" ref="R1391">iferror(index(dissected_fish!$F:$F,match($A1391,dissected_fish!$A:$A,0)))</f>
        <v>BCA111</v>
      </c>
      <c r="S1391" s="40" t="str">
        <f t="array" ref="S1391">iferror(index(dissected_fish!$K:$K,match($A1391,dissected_fish!$A:$A,0)))</f>
        <v>N</v>
      </c>
      <c r="T1391" s="61" t="str">
        <f t="array" ref="T1391">index(fish_lab_data!O:O,match(A1391,fish_lab_data!C:C,0))</f>
        <v>KB</v>
      </c>
      <c r="U1391" s="61">
        <f t="array" ref="U1391">if(A1391="","",index(fish_lab_data!X:X,match(A1391,fish_lab_data!C:C,0)))</f>
        <v>1390</v>
      </c>
    </row>
    <row r="1392">
      <c r="A1392" t="str">
        <f>fish_lab_data!C1392</f>
        <v>U16001</v>
      </c>
      <c r="B1392" t="str">
        <f t="array" ref="B1392">iferror(index('rna-muscle'!$I:$I,match($A1392,'rna-muscle'!$A:$A,0)))</f>
        <v>BRN77M-E1</v>
      </c>
      <c r="C1392" t="str">
        <f t="array" ref="C1392">iferror(index('rna-muscle'!$L:$L,match($A1392,'rna-muscle'!$A:$A,0)))</f>
        <v>N</v>
      </c>
      <c r="D1392" t="str">
        <f t="array" ref="D1392">iferror(index('rna-gill'!$I:$I,match($A1392,'rna-gill'!$A:$A,0)))</f>
        <v>BRN77G-E1</v>
      </c>
      <c r="E1392" t="str">
        <f t="array" ref="E1392">iferror(index('rna-gill'!$L:$L,match($A1392,'rna-gill'!$A:$A,0)))</f>
        <v>N</v>
      </c>
      <c r="F1392" t="str">
        <f t="array" ref="F1392">iferror(index(fatty_acid!$G:$G,match($A1392,fatty_acid!$A:$A,0)))</f>
        <v>BFA36-49</v>
      </c>
      <c r="G1392" t="str">
        <f t="array" ref="G1392">iferror(index(fatty_acid!$J:$J,match($A1392,fatty_acid!$A:$A,0)))</f>
        <v>N</v>
      </c>
      <c r="H1392" t="str">
        <f t="array" ref="H1392">iferror(index(isotopes!$G:$G,match($A1392,isotopes!$A:$A,0)))</f>
        <v>BIS39-49</v>
      </c>
      <c r="I1392" t="str">
        <f t="array" ref="I1392">iferror(index(isotopes!$J:$J,match($A1392,isotopes!$A:$A,0)))</f>
        <v>N</v>
      </c>
      <c r="J1392" t="str">
        <f t="array" ref="J1392">iferror(index(extra_muscle!$G:$G,match($A1392,extra_muscle!$A:$A,0)))</f>
        <v>BXM38-49</v>
      </c>
      <c r="K1392" t="str">
        <f t="array" ref="K1392">iferror(index(extra_muscle!$J:$J,match($A1392,extra_muscle!$A:$A,0)))</f>
        <v>N</v>
      </c>
      <c r="L1392" s="59" t="str">
        <f t="array" ref="L1392">iferror(index(dna!$G:$G,match($A1392,dna!$A:$A,0)))</f>
        <v>BDN12-25</v>
      </c>
      <c r="M1392" s="60" t="str">
        <f t="array" ref="M1392">iferror(index(dna!$J:$J,match($A1392,dna!$A:$A,0)))</f>
        <v>N</v>
      </c>
      <c r="N1392" t="str">
        <f t="array" ref="N1392">iferror(index(stomachs!$G:$G,match($A1392,stomachs!$A:$A,0)))</f>
        <v/>
      </c>
      <c r="O1392" t="str">
        <f t="array" ref="O1392">iferror(index(stomachs!$J:$J,match($A1392,stomachs!$A:$A,0)))</f>
        <v/>
      </c>
      <c r="P1392" t="str">
        <f t="array" ref="P1392">iferror(index(sea_lice!$G:$G,match($A1392,sea_lice!$A:$A,0)))</f>
        <v/>
      </c>
      <c r="Q1392" t="str">
        <f t="array" ref="Q1392">iferror(index(sea_lice!$J:$J,match($A1392,sea_lice!$A:$A,0)))</f>
        <v/>
      </c>
      <c r="R1392" s="40" t="str">
        <f t="array" ref="R1392">iferror(index(dissected_fish!$F:$F,match($A1392,dissected_fish!$A:$A,0)))</f>
        <v>BCA111</v>
      </c>
      <c r="S1392" s="40" t="str">
        <f t="array" ref="S1392">iferror(index(dissected_fish!$K:$K,match($A1392,dissected_fish!$A:$A,0)))</f>
        <v>N</v>
      </c>
      <c r="T1392" s="61" t="str">
        <f t="array" ref="T1392">index(fish_lab_data!O:O,match(A1392,fish_lab_data!C:C,0))</f>
        <v>KB</v>
      </c>
      <c r="U1392" s="61">
        <f t="array" ref="U1392">if(A1392="","",index(fish_lab_data!X:X,match(A1392,fish_lab_data!C:C,0)))</f>
        <v>1391</v>
      </c>
    </row>
    <row r="1393">
      <c r="A1393" t="str">
        <f>fish_lab_data!C1393</f>
        <v>U16005</v>
      </c>
      <c r="B1393" t="str">
        <f t="array" ref="B1393">iferror(index('rna-muscle'!$I:$I,match($A1393,'rna-muscle'!$A:$A,0)))</f>
        <v>BRN77M-D1</v>
      </c>
      <c r="C1393" t="str">
        <f t="array" ref="C1393">iferror(index('rna-muscle'!$L:$L,match($A1393,'rna-muscle'!$A:$A,0)))</f>
        <v>N</v>
      </c>
      <c r="D1393" t="str">
        <f t="array" ref="D1393">iferror(index('rna-gill'!$I:$I,match($A1393,'rna-gill'!$A:$A,0)))</f>
        <v>BRN77G-D1</v>
      </c>
      <c r="E1393" t="str">
        <f t="array" ref="E1393">iferror(index('rna-gill'!$L:$L,match($A1393,'rna-gill'!$A:$A,0)))</f>
        <v>N</v>
      </c>
      <c r="F1393" t="str">
        <f t="array" ref="F1393">iferror(index(fatty_acid!$G:$G,match($A1393,fatty_acid!$A:$A,0)))</f>
        <v>BFA36-50</v>
      </c>
      <c r="G1393" t="str">
        <f t="array" ref="G1393">iferror(index(fatty_acid!$J:$J,match($A1393,fatty_acid!$A:$A,0)))</f>
        <v>N</v>
      </c>
      <c r="H1393" t="str">
        <f t="array" ref="H1393">iferror(index(isotopes!$G:$G,match($A1393,isotopes!$A:$A,0)))</f>
        <v>BIS39-50</v>
      </c>
      <c r="I1393" t="str">
        <f t="array" ref="I1393">iferror(index(isotopes!$J:$J,match($A1393,isotopes!$A:$A,0)))</f>
        <v>N</v>
      </c>
      <c r="J1393" t="str">
        <f t="array" ref="J1393">iferror(index(extra_muscle!$G:$G,match($A1393,extra_muscle!$A:$A,0)))</f>
        <v>BXM38-50</v>
      </c>
      <c r="K1393" t="str">
        <f t="array" ref="K1393">iferror(index(extra_muscle!$J:$J,match($A1393,extra_muscle!$A:$A,0)))</f>
        <v>N</v>
      </c>
      <c r="L1393" s="59" t="str">
        <f t="array" ref="L1393">iferror(index(dna!$G:$G,match($A1393,dna!$A:$A,0)))</f>
        <v>BDN12-26</v>
      </c>
      <c r="M1393" s="60" t="str">
        <f t="array" ref="M1393">iferror(index(dna!$J:$J,match($A1393,dna!$A:$A,0)))</f>
        <v>N</v>
      </c>
      <c r="N1393" t="str">
        <f t="array" ref="N1393">iferror(index(stomachs!$G:$G,match($A1393,stomachs!$A:$A,0)))</f>
        <v/>
      </c>
      <c r="O1393" t="str">
        <f t="array" ref="O1393">iferror(index(stomachs!$J:$J,match($A1393,stomachs!$A:$A,0)))</f>
        <v/>
      </c>
      <c r="P1393" t="str">
        <f t="array" ref="P1393">iferror(index(sea_lice!$G:$G,match($A1393,sea_lice!$A:$A,0)))</f>
        <v/>
      </c>
      <c r="Q1393" t="str">
        <f t="array" ref="Q1393">iferror(index(sea_lice!$J:$J,match($A1393,sea_lice!$A:$A,0)))</f>
        <v/>
      </c>
      <c r="R1393" s="40" t="str">
        <f t="array" ref="R1393">iferror(index(dissected_fish!$F:$F,match($A1393,dissected_fish!$A:$A,0)))</f>
        <v>BCA111</v>
      </c>
      <c r="S1393" s="40" t="str">
        <f t="array" ref="S1393">iferror(index(dissected_fish!$K:$K,match($A1393,dissected_fish!$A:$A,0)))</f>
        <v>N</v>
      </c>
      <c r="T1393" s="61" t="str">
        <f t="array" ref="T1393">index(fish_lab_data!O:O,match(A1393,fish_lab_data!C:C,0))</f>
        <v>KB</v>
      </c>
      <c r="U1393" s="61">
        <f t="array" ref="U1393">if(A1393="","",index(fish_lab_data!X:X,match(A1393,fish_lab_data!C:C,0)))</f>
        <v>1392</v>
      </c>
    </row>
    <row r="1394">
      <c r="A1394" t="str">
        <f>fish_lab_data!C1394</f>
        <v>U16010</v>
      </c>
      <c r="B1394" t="str">
        <f t="array" ref="B1394">iferror(index('rna-muscle'!$I:$I,match($A1394,'rna-muscle'!$A:$A,0)))</f>
        <v>BRN77M-C1</v>
      </c>
      <c r="C1394" t="str">
        <f t="array" ref="C1394">iferror(index('rna-muscle'!$L:$L,match($A1394,'rna-muscle'!$A:$A,0)))</f>
        <v>N</v>
      </c>
      <c r="D1394" t="str">
        <f t="array" ref="D1394">iferror(index('rna-gill'!$I:$I,match($A1394,'rna-gill'!$A:$A,0)))</f>
        <v>BRN77G-C1</v>
      </c>
      <c r="E1394" t="str">
        <f t="array" ref="E1394">iferror(index('rna-gill'!$L:$L,match($A1394,'rna-gill'!$A:$A,0)))</f>
        <v>N</v>
      </c>
      <c r="F1394" t="str">
        <f t="array" ref="F1394">iferror(index(fatty_acid!$G:$G,match($A1394,fatty_acid!$A:$A,0)))</f>
        <v>BFA36-51</v>
      </c>
      <c r="G1394" t="str">
        <f t="array" ref="G1394">iferror(index(fatty_acid!$J:$J,match($A1394,fatty_acid!$A:$A,0)))</f>
        <v>N</v>
      </c>
      <c r="H1394" t="str">
        <f t="array" ref="H1394">iferror(index(isotopes!$G:$G,match($A1394,isotopes!$A:$A,0)))</f>
        <v>BIS39-51</v>
      </c>
      <c r="I1394" t="str">
        <f t="array" ref="I1394">iferror(index(isotopes!$J:$J,match($A1394,isotopes!$A:$A,0)))</f>
        <v>N</v>
      </c>
      <c r="J1394" t="str">
        <f t="array" ref="J1394">iferror(index(extra_muscle!$G:$G,match($A1394,extra_muscle!$A:$A,0)))</f>
        <v>BXM38-51</v>
      </c>
      <c r="K1394" t="str">
        <f t="array" ref="K1394">iferror(index(extra_muscle!$J:$J,match($A1394,extra_muscle!$A:$A,0)))</f>
        <v>N</v>
      </c>
      <c r="L1394" s="59" t="str">
        <f t="array" ref="L1394">iferror(index(dna!$G:$G,match($A1394,dna!$A:$A,0)))</f>
        <v>BDN12-27</v>
      </c>
      <c r="M1394" s="60" t="str">
        <f t="array" ref="M1394">iferror(index(dna!$J:$J,match($A1394,dna!$A:$A,0)))</f>
        <v>N</v>
      </c>
      <c r="N1394" t="str">
        <f t="array" ref="N1394">iferror(index(stomachs!$G:$G,match($A1394,stomachs!$A:$A,0)))</f>
        <v/>
      </c>
      <c r="O1394" t="str">
        <f t="array" ref="O1394">iferror(index(stomachs!$J:$J,match($A1394,stomachs!$A:$A,0)))</f>
        <v/>
      </c>
      <c r="P1394" t="str">
        <f t="array" ref="P1394">iferror(index(sea_lice!$G:$G,match($A1394,sea_lice!$A:$A,0)))</f>
        <v/>
      </c>
      <c r="Q1394" t="str">
        <f t="array" ref="Q1394">iferror(index(sea_lice!$J:$J,match($A1394,sea_lice!$A:$A,0)))</f>
        <v/>
      </c>
      <c r="R1394" s="40" t="str">
        <f t="array" ref="R1394">iferror(index(dissected_fish!$F:$F,match($A1394,dissected_fish!$A:$A,0)))</f>
        <v>BCA111</v>
      </c>
      <c r="S1394" s="40" t="str">
        <f t="array" ref="S1394">iferror(index(dissected_fish!$K:$K,match($A1394,dissected_fish!$A:$A,0)))</f>
        <v>N</v>
      </c>
      <c r="T1394" s="61" t="str">
        <f t="array" ref="T1394">index(fish_lab_data!O:O,match(A1394,fish_lab_data!C:C,0))</f>
        <v>KB</v>
      </c>
      <c r="U1394" s="61">
        <f t="array" ref="U1394">if(A1394="","",index(fish_lab_data!X:X,match(A1394,fish_lab_data!C:C,0)))</f>
        <v>1393</v>
      </c>
    </row>
    <row r="1395">
      <c r="A1395" t="str">
        <f>fish_lab_data!C1395</f>
        <v>U16006</v>
      </c>
      <c r="B1395" t="str">
        <f t="array" ref="B1395">iferror(index('rna-muscle'!$I:$I,match($A1395,'rna-muscle'!$A:$A,0)))</f>
        <v>BRN77M-B1</v>
      </c>
      <c r="C1395" t="str">
        <f t="array" ref="C1395">iferror(index('rna-muscle'!$L:$L,match($A1395,'rna-muscle'!$A:$A,0)))</f>
        <v>N</v>
      </c>
      <c r="D1395" t="str">
        <f t="array" ref="D1395">iferror(index('rna-gill'!$I:$I,match($A1395,'rna-gill'!$A:$A,0)))</f>
        <v>BRN77G-B1</v>
      </c>
      <c r="E1395" t="str">
        <f t="array" ref="E1395">iferror(index('rna-gill'!$L:$L,match($A1395,'rna-gill'!$A:$A,0)))</f>
        <v>N</v>
      </c>
      <c r="F1395" t="str">
        <f t="array" ref="F1395">iferror(index(fatty_acid!$G:$G,match($A1395,fatty_acid!$A:$A,0)))</f>
        <v>BFA36-52</v>
      </c>
      <c r="G1395" t="str">
        <f t="array" ref="G1395">iferror(index(fatty_acid!$J:$J,match($A1395,fatty_acid!$A:$A,0)))</f>
        <v>N</v>
      </c>
      <c r="H1395" t="str">
        <f t="array" ref="H1395">iferror(index(isotopes!$G:$G,match($A1395,isotopes!$A:$A,0)))</f>
        <v>BIS39-52</v>
      </c>
      <c r="I1395" t="str">
        <f t="array" ref="I1395">iferror(index(isotopes!$J:$J,match($A1395,isotopes!$A:$A,0)))</f>
        <v>N</v>
      </c>
      <c r="J1395" t="str">
        <f t="array" ref="J1395">iferror(index(extra_muscle!$G:$G,match($A1395,extra_muscle!$A:$A,0)))</f>
        <v>BXM38-52</v>
      </c>
      <c r="K1395" t="str">
        <f t="array" ref="K1395">iferror(index(extra_muscle!$J:$J,match($A1395,extra_muscle!$A:$A,0)))</f>
        <v>N</v>
      </c>
      <c r="L1395" s="59" t="str">
        <f t="array" ref="L1395">iferror(index(dna!$G:$G,match($A1395,dna!$A:$A,0)))</f>
        <v>BDN12-28</v>
      </c>
      <c r="M1395" s="60" t="str">
        <f t="array" ref="M1395">iferror(index(dna!$J:$J,match($A1395,dna!$A:$A,0)))</f>
        <v>N</v>
      </c>
      <c r="N1395" t="str">
        <f t="array" ref="N1395">iferror(index(stomachs!$G:$G,match($A1395,stomachs!$A:$A,0)))</f>
        <v/>
      </c>
      <c r="O1395" t="str">
        <f t="array" ref="O1395">iferror(index(stomachs!$J:$J,match($A1395,stomachs!$A:$A,0)))</f>
        <v/>
      </c>
      <c r="P1395" t="str">
        <f t="array" ref="P1395">iferror(index(sea_lice!$G:$G,match($A1395,sea_lice!$A:$A,0)))</f>
        <v/>
      </c>
      <c r="Q1395" t="str">
        <f t="array" ref="Q1395">iferror(index(sea_lice!$J:$J,match($A1395,sea_lice!$A:$A,0)))</f>
        <v/>
      </c>
      <c r="R1395" s="40" t="str">
        <f t="array" ref="R1395">iferror(index(dissected_fish!$F:$F,match($A1395,dissected_fish!$A:$A,0)))</f>
        <v>BCA111</v>
      </c>
      <c r="S1395" s="40" t="str">
        <f t="array" ref="S1395">iferror(index(dissected_fish!$K:$K,match($A1395,dissected_fish!$A:$A,0)))</f>
        <v>N</v>
      </c>
      <c r="T1395" s="61" t="str">
        <f t="array" ref="T1395">index(fish_lab_data!O:O,match(A1395,fish_lab_data!C:C,0))</f>
        <v>KB</v>
      </c>
      <c r="U1395" s="61">
        <f t="array" ref="U1395">if(A1395="","",index(fish_lab_data!X:X,match(A1395,fish_lab_data!C:C,0)))</f>
        <v>1394</v>
      </c>
    </row>
    <row r="1396">
      <c r="A1396" t="str">
        <f>fish_lab_data!C1396</f>
        <v>U16009</v>
      </c>
      <c r="B1396" t="str">
        <f t="array" ref="B1396">iferror(index('rna-muscle'!$I:$I,match($A1396,'rna-muscle'!$A:$A,0)))</f>
        <v>BRN77M-A1</v>
      </c>
      <c r="C1396" t="str">
        <f t="array" ref="C1396">iferror(index('rna-muscle'!$L:$L,match($A1396,'rna-muscle'!$A:$A,0)))</f>
        <v>N</v>
      </c>
      <c r="D1396" t="str">
        <f t="array" ref="D1396">iferror(index('rna-gill'!$I:$I,match($A1396,'rna-gill'!$A:$A,0)))</f>
        <v>BRN77G-A1</v>
      </c>
      <c r="E1396" t="str">
        <f t="array" ref="E1396">iferror(index('rna-gill'!$L:$L,match($A1396,'rna-gill'!$A:$A,0)))</f>
        <v>N</v>
      </c>
      <c r="F1396" t="str">
        <f t="array" ref="F1396">iferror(index(fatty_acid!$G:$G,match($A1396,fatty_acid!$A:$A,0)))</f>
        <v>BFA36-53</v>
      </c>
      <c r="G1396" t="str">
        <f t="array" ref="G1396">iferror(index(fatty_acid!$J:$J,match($A1396,fatty_acid!$A:$A,0)))</f>
        <v>N</v>
      </c>
      <c r="H1396" t="str">
        <f t="array" ref="H1396">iferror(index(isotopes!$G:$G,match($A1396,isotopes!$A:$A,0)))</f>
        <v>BIS39-53</v>
      </c>
      <c r="I1396" t="str">
        <f t="array" ref="I1396">iferror(index(isotopes!$J:$J,match($A1396,isotopes!$A:$A,0)))</f>
        <v>N</v>
      </c>
      <c r="J1396" t="str">
        <f t="array" ref="J1396">iferror(index(extra_muscle!$G:$G,match($A1396,extra_muscle!$A:$A,0)))</f>
        <v>BXM38-53</v>
      </c>
      <c r="K1396" t="str">
        <f t="array" ref="K1396">iferror(index(extra_muscle!$J:$J,match($A1396,extra_muscle!$A:$A,0)))</f>
        <v>N</v>
      </c>
      <c r="L1396" s="59" t="str">
        <f t="array" ref="L1396">iferror(index(dna!$G:$G,match($A1396,dna!$A:$A,0)))</f>
        <v>BDN12-29</v>
      </c>
      <c r="M1396" s="60" t="str">
        <f t="array" ref="M1396">iferror(index(dna!$J:$J,match($A1396,dna!$A:$A,0)))</f>
        <v>N</v>
      </c>
      <c r="N1396" t="str">
        <f t="array" ref="N1396">iferror(index(stomachs!$G:$G,match($A1396,stomachs!$A:$A,0)))</f>
        <v/>
      </c>
      <c r="O1396" t="str">
        <f t="array" ref="O1396">iferror(index(stomachs!$J:$J,match($A1396,stomachs!$A:$A,0)))</f>
        <v/>
      </c>
      <c r="P1396" t="str">
        <f t="array" ref="P1396">iferror(index(sea_lice!$G:$G,match($A1396,sea_lice!$A:$A,0)))</f>
        <v/>
      </c>
      <c r="Q1396" t="str">
        <f t="array" ref="Q1396">iferror(index(sea_lice!$J:$J,match($A1396,sea_lice!$A:$A,0)))</f>
        <v/>
      </c>
      <c r="R1396" s="40" t="str">
        <f t="array" ref="R1396">iferror(index(dissected_fish!$F:$F,match($A1396,dissected_fish!$A:$A,0)))</f>
        <v>BCA111</v>
      </c>
      <c r="S1396" s="40" t="str">
        <f t="array" ref="S1396">iferror(index(dissected_fish!$K:$K,match($A1396,dissected_fish!$A:$A,0)))</f>
        <v>N</v>
      </c>
      <c r="T1396" s="61" t="str">
        <f t="array" ref="T1396">index(fish_lab_data!O:O,match(A1396,fish_lab_data!C:C,0))</f>
        <v>KB</v>
      </c>
      <c r="U1396" s="61">
        <f t="array" ref="U1396">if(A1396="","",index(fish_lab_data!X:X,match(A1396,fish_lab_data!C:C,0)))</f>
        <v>1395</v>
      </c>
    </row>
    <row r="1397">
      <c r="A1397" t="str">
        <f>fish_lab_data!C1397</f>
        <v>U16008</v>
      </c>
      <c r="B1397" t="str">
        <f t="array" ref="B1397">iferror(index('rna-muscle'!$I:$I,match($A1397,'rna-muscle'!$A:$A,0)))</f>
        <v>BRN77M-H4</v>
      </c>
      <c r="C1397" t="str">
        <f t="array" ref="C1397">iferror(index('rna-muscle'!$L:$L,match($A1397,'rna-muscle'!$A:$A,0)))</f>
        <v>N</v>
      </c>
      <c r="D1397" t="str">
        <f t="array" ref="D1397">iferror(index('rna-gill'!$I:$I,match($A1397,'rna-gill'!$A:$A,0)))</f>
        <v>BRN77G-H4</v>
      </c>
      <c r="E1397" t="str">
        <f t="array" ref="E1397">iferror(index('rna-gill'!$L:$L,match($A1397,'rna-gill'!$A:$A,0)))</f>
        <v>N</v>
      </c>
      <c r="F1397" t="str">
        <f t="array" ref="F1397">iferror(index(fatty_acid!$G:$G,match($A1397,fatty_acid!$A:$A,0)))</f>
        <v>BFA36-54</v>
      </c>
      <c r="G1397" t="str">
        <f t="array" ref="G1397">iferror(index(fatty_acid!$J:$J,match($A1397,fatty_acid!$A:$A,0)))</f>
        <v>N</v>
      </c>
      <c r="H1397" t="str">
        <f t="array" ref="H1397">iferror(index(isotopes!$G:$G,match($A1397,isotopes!$A:$A,0)))</f>
        <v>BIS39-54</v>
      </c>
      <c r="I1397" t="str">
        <f t="array" ref="I1397">iferror(index(isotopes!$J:$J,match($A1397,isotopes!$A:$A,0)))</f>
        <v>N</v>
      </c>
      <c r="J1397" t="str">
        <f t="array" ref="J1397">iferror(index(extra_muscle!$G:$G,match($A1397,extra_muscle!$A:$A,0)))</f>
        <v>BXM38-54</v>
      </c>
      <c r="K1397" t="str">
        <f t="array" ref="K1397">iferror(index(extra_muscle!$J:$J,match($A1397,extra_muscle!$A:$A,0)))</f>
        <v>N</v>
      </c>
      <c r="L1397" s="59" t="str">
        <f t="array" ref="L1397">iferror(index(dna!$G:$G,match($A1397,dna!$A:$A,0)))</f>
        <v>BDN12-30</v>
      </c>
      <c r="M1397" s="60" t="str">
        <f t="array" ref="M1397">iferror(index(dna!$J:$J,match($A1397,dna!$A:$A,0)))</f>
        <v>N</v>
      </c>
      <c r="N1397" t="str">
        <f t="array" ref="N1397">iferror(index(stomachs!$G:$G,match($A1397,stomachs!$A:$A,0)))</f>
        <v/>
      </c>
      <c r="O1397" t="str">
        <f t="array" ref="O1397">iferror(index(stomachs!$J:$J,match($A1397,stomachs!$A:$A,0)))</f>
        <v/>
      </c>
      <c r="P1397" t="str">
        <f t="array" ref="P1397">iferror(index(sea_lice!$G:$G,match($A1397,sea_lice!$A:$A,0)))</f>
        <v/>
      </c>
      <c r="Q1397" t="str">
        <f t="array" ref="Q1397">iferror(index(sea_lice!$J:$J,match($A1397,sea_lice!$A:$A,0)))</f>
        <v/>
      </c>
      <c r="R1397" s="40" t="str">
        <f t="array" ref="R1397">iferror(index(dissected_fish!$F:$F,match($A1397,dissected_fish!$A:$A,0)))</f>
        <v>BCA111</v>
      </c>
      <c r="S1397" s="40" t="str">
        <f t="array" ref="S1397">iferror(index(dissected_fish!$K:$K,match($A1397,dissected_fish!$A:$A,0)))</f>
        <v>N</v>
      </c>
      <c r="T1397" s="61" t="str">
        <f t="array" ref="T1397">index(fish_lab_data!O:O,match(A1397,fish_lab_data!C:C,0))</f>
        <v>KB</v>
      </c>
      <c r="U1397" s="61">
        <f t="array" ref="U1397">if(A1397="","",index(fish_lab_data!X:X,match(A1397,fish_lab_data!C:C,0)))</f>
        <v>1396</v>
      </c>
    </row>
    <row r="1398">
      <c r="A1398" t="str">
        <f>fish_lab_data!C1398</f>
        <v>U16007</v>
      </c>
      <c r="B1398" t="str">
        <f t="array" ref="B1398">iferror(index('rna-muscle'!$I:$I,match($A1398,'rna-muscle'!$A:$A,0)))</f>
        <v>BRN77M-G4</v>
      </c>
      <c r="C1398" t="str">
        <f t="array" ref="C1398">iferror(index('rna-muscle'!$L:$L,match($A1398,'rna-muscle'!$A:$A,0)))</f>
        <v>N</v>
      </c>
      <c r="D1398" t="str">
        <f t="array" ref="D1398">iferror(index('rna-gill'!$I:$I,match($A1398,'rna-gill'!$A:$A,0)))</f>
        <v>BRN77G-G4</v>
      </c>
      <c r="E1398" t="str">
        <f t="array" ref="E1398">iferror(index('rna-gill'!$L:$L,match($A1398,'rna-gill'!$A:$A,0)))</f>
        <v>N</v>
      </c>
      <c r="F1398" t="str">
        <f t="array" ref="F1398">iferror(index(fatty_acid!$G:$G,match($A1398,fatty_acid!$A:$A,0)))</f>
        <v>BFA36-55</v>
      </c>
      <c r="G1398" t="str">
        <f t="array" ref="G1398">iferror(index(fatty_acid!$J:$J,match($A1398,fatty_acid!$A:$A,0)))</f>
        <v>N</v>
      </c>
      <c r="H1398" t="str">
        <f t="array" ref="H1398">iferror(index(isotopes!$G:$G,match($A1398,isotopes!$A:$A,0)))</f>
        <v>BIS39-55</v>
      </c>
      <c r="I1398" t="str">
        <f t="array" ref="I1398">iferror(index(isotopes!$J:$J,match($A1398,isotopes!$A:$A,0)))</f>
        <v>N</v>
      </c>
      <c r="J1398" t="str">
        <f t="array" ref="J1398">iferror(index(extra_muscle!$G:$G,match($A1398,extra_muscle!$A:$A,0)))</f>
        <v>BXM38-55</v>
      </c>
      <c r="K1398" t="str">
        <f t="array" ref="K1398">iferror(index(extra_muscle!$J:$J,match($A1398,extra_muscle!$A:$A,0)))</f>
        <v>N</v>
      </c>
      <c r="L1398" s="59" t="str">
        <f t="array" ref="L1398">iferror(index(dna!$G:$G,match($A1398,dna!$A:$A,0)))</f>
        <v>BDN12-31</v>
      </c>
      <c r="M1398" s="60" t="str">
        <f t="array" ref="M1398">iferror(index(dna!$J:$J,match($A1398,dna!$A:$A,0)))</f>
        <v>N</v>
      </c>
      <c r="N1398" t="str">
        <f t="array" ref="N1398">iferror(index(stomachs!$G:$G,match($A1398,stomachs!$A:$A,0)))</f>
        <v/>
      </c>
      <c r="O1398" t="str">
        <f t="array" ref="O1398">iferror(index(stomachs!$J:$J,match($A1398,stomachs!$A:$A,0)))</f>
        <v/>
      </c>
      <c r="P1398" t="str">
        <f t="array" ref="P1398">iferror(index(sea_lice!$G:$G,match($A1398,sea_lice!$A:$A,0)))</f>
        <v/>
      </c>
      <c r="Q1398" t="str">
        <f t="array" ref="Q1398">iferror(index(sea_lice!$J:$J,match($A1398,sea_lice!$A:$A,0)))</f>
        <v/>
      </c>
      <c r="R1398" s="40" t="str">
        <f t="array" ref="R1398">iferror(index(dissected_fish!$F:$F,match($A1398,dissected_fish!$A:$A,0)))</f>
        <v>BCA111</v>
      </c>
      <c r="S1398" s="40" t="str">
        <f t="array" ref="S1398">iferror(index(dissected_fish!$K:$K,match($A1398,dissected_fish!$A:$A,0)))</f>
        <v>N</v>
      </c>
      <c r="T1398" s="61" t="str">
        <f t="array" ref="T1398">index(fish_lab_data!O:O,match(A1398,fish_lab_data!C:C,0))</f>
        <v>KB</v>
      </c>
      <c r="U1398" s="61">
        <f t="array" ref="U1398">if(A1398="","",index(fish_lab_data!X:X,match(A1398,fish_lab_data!C:C,0)))</f>
        <v>1397</v>
      </c>
    </row>
    <row r="1399">
      <c r="A1399" t="str">
        <f>fish_lab_data!C1399</f>
        <v>U16003</v>
      </c>
      <c r="B1399" t="str">
        <f t="array" ref="B1399">iferror(index('rna-muscle'!$I:$I,match($A1399,'rna-muscle'!$A:$A,0)))</f>
        <v>BRN77M-F4</v>
      </c>
      <c r="C1399" t="str">
        <f t="array" ref="C1399">iferror(index('rna-muscle'!$L:$L,match($A1399,'rna-muscle'!$A:$A,0)))</f>
        <v>N</v>
      </c>
      <c r="D1399" t="str">
        <f t="array" ref="D1399">iferror(index('rna-gill'!$I:$I,match($A1399,'rna-gill'!$A:$A,0)))</f>
        <v>BRN77G-F4</v>
      </c>
      <c r="E1399" t="str">
        <f t="array" ref="E1399">iferror(index('rna-gill'!$L:$L,match($A1399,'rna-gill'!$A:$A,0)))</f>
        <v>N</v>
      </c>
      <c r="F1399" t="str">
        <f t="array" ref="F1399">iferror(index(fatty_acid!$G:$G,match($A1399,fatty_acid!$A:$A,0)))</f>
        <v>BFA36-56</v>
      </c>
      <c r="G1399" t="str">
        <f t="array" ref="G1399">iferror(index(fatty_acid!$J:$J,match($A1399,fatty_acid!$A:$A,0)))</f>
        <v>N</v>
      </c>
      <c r="H1399" t="str">
        <f t="array" ref="H1399">iferror(index(isotopes!$G:$G,match($A1399,isotopes!$A:$A,0)))</f>
        <v>BIS39-56</v>
      </c>
      <c r="I1399" t="str">
        <f t="array" ref="I1399">iferror(index(isotopes!$J:$J,match($A1399,isotopes!$A:$A,0)))</f>
        <v>N</v>
      </c>
      <c r="J1399" t="str">
        <f t="array" ref="J1399">iferror(index(extra_muscle!$G:$G,match($A1399,extra_muscle!$A:$A,0)))</f>
        <v>BXM38-56</v>
      </c>
      <c r="K1399" t="str">
        <f t="array" ref="K1399">iferror(index(extra_muscle!$J:$J,match($A1399,extra_muscle!$A:$A,0)))</f>
        <v>N</v>
      </c>
      <c r="L1399" s="59" t="str">
        <f t="array" ref="L1399">iferror(index(dna!$G:$G,match($A1399,dna!$A:$A,0)))</f>
        <v>BDN12-32</v>
      </c>
      <c r="M1399" s="60" t="str">
        <f t="array" ref="M1399">iferror(index(dna!$J:$J,match($A1399,dna!$A:$A,0)))</f>
        <v>N</v>
      </c>
      <c r="N1399" t="str">
        <f t="array" ref="N1399">iferror(index(stomachs!$G:$G,match($A1399,stomachs!$A:$A,0)))</f>
        <v/>
      </c>
      <c r="O1399" t="str">
        <f t="array" ref="O1399">iferror(index(stomachs!$J:$J,match($A1399,stomachs!$A:$A,0)))</f>
        <v/>
      </c>
      <c r="P1399" t="str">
        <f t="array" ref="P1399">iferror(index(sea_lice!$G:$G,match($A1399,sea_lice!$A:$A,0)))</f>
        <v/>
      </c>
      <c r="Q1399" t="str">
        <f t="array" ref="Q1399">iferror(index(sea_lice!$J:$J,match($A1399,sea_lice!$A:$A,0)))</f>
        <v/>
      </c>
      <c r="R1399" s="40" t="str">
        <f t="array" ref="R1399">iferror(index(dissected_fish!$F:$F,match($A1399,dissected_fish!$A:$A,0)))</f>
        <v>BCA111</v>
      </c>
      <c r="S1399" s="40" t="str">
        <f t="array" ref="S1399">iferror(index(dissected_fish!$K:$K,match($A1399,dissected_fish!$A:$A,0)))</f>
        <v>N</v>
      </c>
      <c r="T1399" s="61" t="str">
        <f t="array" ref="T1399">index(fish_lab_data!O:O,match(A1399,fish_lab_data!C:C,0))</f>
        <v>KB</v>
      </c>
      <c r="U1399" s="61">
        <f t="array" ref="U1399">if(A1399="","",index(fish_lab_data!X:X,match(A1399,fish_lab_data!C:C,0)))</f>
        <v>1398</v>
      </c>
    </row>
    <row r="1400">
      <c r="A1400" t="str">
        <f>fish_lab_data!C1400</f>
        <v>U16441</v>
      </c>
      <c r="B1400" t="str">
        <f t="array" ref="B1400">iferror(index('rna-muscle'!$I:$I,match($A1400,'rna-muscle'!$A:$A,0)))</f>
        <v>BRN77M-E4</v>
      </c>
      <c r="C1400" t="str">
        <f t="array" ref="C1400">iferror(index('rna-muscle'!$L:$L,match($A1400,'rna-muscle'!$A:$A,0)))</f>
        <v>N</v>
      </c>
      <c r="D1400" t="str">
        <f t="array" ref="D1400">iferror(index('rna-gill'!$I:$I,match($A1400,'rna-gill'!$A:$A,0)))</f>
        <v>BRN77G-E4</v>
      </c>
      <c r="E1400" t="str">
        <f t="array" ref="E1400">iferror(index('rna-gill'!$L:$L,match($A1400,'rna-gill'!$A:$A,0)))</f>
        <v>N</v>
      </c>
      <c r="F1400" t="str">
        <f t="array" ref="F1400">iferror(index(fatty_acid!$G:$G,match($A1400,fatty_acid!$A:$A,0)))</f>
        <v>BFA36-57</v>
      </c>
      <c r="G1400" t="str">
        <f t="array" ref="G1400">iferror(index(fatty_acid!$J:$J,match($A1400,fatty_acid!$A:$A,0)))</f>
        <v>N</v>
      </c>
      <c r="H1400" t="str">
        <f t="array" ref="H1400">iferror(index(isotopes!$G:$G,match($A1400,isotopes!$A:$A,0)))</f>
        <v>BIS39-57</v>
      </c>
      <c r="I1400" t="str">
        <f t="array" ref="I1400">iferror(index(isotopes!$J:$J,match($A1400,isotopes!$A:$A,0)))</f>
        <v>N</v>
      </c>
      <c r="J1400" t="str">
        <f t="array" ref="J1400">iferror(index(extra_muscle!$G:$G,match($A1400,extra_muscle!$A:$A,0)))</f>
        <v>BXM38-57</v>
      </c>
      <c r="K1400" t="str">
        <f t="array" ref="K1400">iferror(index(extra_muscle!$J:$J,match($A1400,extra_muscle!$A:$A,0)))</f>
        <v>N</v>
      </c>
      <c r="L1400" s="59" t="str">
        <f t="array" ref="L1400">iferror(index(dna!$G:$G,match($A1400,dna!$A:$A,0)))</f>
        <v>BDN12-33</v>
      </c>
      <c r="M1400" s="60" t="str">
        <f t="array" ref="M1400">iferror(index(dna!$J:$J,match($A1400,dna!$A:$A,0)))</f>
        <v>N</v>
      </c>
      <c r="N1400" t="str">
        <f t="array" ref="N1400">iferror(index(stomachs!$G:$G,match($A1400,stomachs!$A:$A,0)))</f>
        <v/>
      </c>
      <c r="O1400" t="str">
        <f t="array" ref="O1400">iferror(index(stomachs!$J:$J,match($A1400,stomachs!$A:$A,0)))</f>
        <v/>
      </c>
      <c r="P1400" t="str">
        <f t="array" ref="P1400">iferror(index(sea_lice!$G:$G,match($A1400,sea_lice!$A:$A,0)))</f>
        <v/>
      </c>
      <c r="Q1400" t="str">
        <f t="array" ref="Q1400">iferror(index(sea_lice!$J:$J,match($A1400,sea_lice!$A:$A,0)))</f>
        <v/>
      </c>
      <c r="R1400" s="40" t="str">
        <f t="array" ref="R1400">iferror(index(dissected_fish!$F:$F,match($A1400,dissected_fish!$A:$A,0)))</f>
        <v>BCA111</v>
      </c>
      <c r="S1400" s="40" t="str">
        <f t="array" ref="S1400">iferror(index(dissected_fish!$K:$K,match($A1400,dissected_fish!$A:$A,0)))</f>
        <v>N</v>
      </c>
      <c r="T1400" s="61" t="str">
        <f t="array" ref="T1400">index(fish_lab_data!O:O,match(A1400,fish_lab_data!C:C,0))</f>
        <v>KB</v>
      </c>
      <c r="U1400" s="61">
        <f t="array" ref="U1400">if(A1400="","",index(fish_lab_data!X:X,match(A1400,fish_lab_data!C:C,0)))</f>
        <v>1399</v>
      </c>
    </row>
    <row r="1401">
      <c r="A1401" t="str">
        <f>fish_lab_data!C1401</f>
        <v>U16442</v>
      </c>
      <c r="B1401" t="str">
        <f t="array" ref="B1401">iferror(index('rna-muscle'!$I:$I,match($A1401,'rna-muscle'!$A:$A,0)))</f>
        <v>BRN77M-D4</v>
      </c>
      <c r="C1401" t="str">
        <f t="array" ref="C1401">iferror(index('rna-muscle'!$L:$L,match($A1401,'rna-muscle'!$A:$A,0)))</f>
        <v>N</v>
      </c>
      <c r="D1401" t="str">
        <f t="array" ref="D1401">iferror(index('rna-gill'!$I:$I,match($A1401,'rna-gill'!$A:$A,0)))</f>
        <v>BRN77G-D4</v>
      </c>
      <c r="E1401" t="str">
        <f t="array" ref="E1401">iferror(index('rna-gill'!$L:$L,match($A1401,'rna-gill'!$A:$A,0)))</f>
        <v>N</v>
      </c>
      <c r="F1401" t="str">
        <f t="array" ref="F1401">iferror(index(fatty_acid!$G:$G,match($A1401,fatty_acid!$A:$A,0)))</f>
        <v>BFA36-58</v>
      </c>
      <c r="G1401" t="str">
        <f t="array" ref="G1401">iferror(index(fatty_acid!$J:$J,match($A1401,fatty_acid!$A:$A,0)))</f>
        <v>N</v>
      </c>
      <c r="H1401" t="str">
        <f t="array" ref="H1401">iferror(index(isotopes!$G:$G,match($A1401,isotopes!$A:$A,0)))</f>
        <v>BIS39-58</v>
      </c>
      <c r="I1401" t="str">
        <f t="array" ref="I1401">iferror(index(isotopes!$J:$J,match($A1401,isotopes!$A:$A,0)))</f>
        <v>N</v>
      </c>
      <c r="J1401" t="str">
        <f t="array" ref="J1401">iferror(index(extra_muscle!$G:$G,match($A1401,extra_muscle!$A:$A,0)))</f>
        <v>BXM38-58</v>
      </c>
      <c r="K1401" t="str">
        <f t="array" ref="K1401">iferror(index(extra_muscle!$J:$J,match($A1401,extra_muscle!$A:$A,0)))</f>
        <v>N</v>
      </c>
      <c r="L1401" s="59" t="str">
        <f t="array" ref="L1401">iferror(index(dna!$G:$G,match($A1401,dna!$A:$A,0)))</f>
        <v>BDN12-34</v>
      </c>
      <c r="M1401" s="60" t="str">
        <f t="array" ref="M1401">iferror(index(dna!$J:$J,match($A1401,dna!$A:$A,0)))</f>
        <v>N</v>
      </c>
      <c r="N1401" t="str">
        <f t="array" ref="N1401">iferror(index(stomachs!$G:$G,match($A1401,stomachs!$A:$A,0)))</f>
        <v/>
      </c>
      <c r="O1401" t="str">
        <f t="array" ref="O1401">iferror(index(stomachs!$J:$J,match($A1401,stomachs!$A:$A,0)))</f>
        <v/>
      </c>
      <c r="P1401" t="str">
        <f t="array" ref="P1401">iferror(index(sea_lice!$G:$G,match($A1401,sea_lice!$A:$A,0)))</f>
        <v/>
      </c>
      <c r="Q1401" t="str">
        <f t="array" ref="Q1401">iferror(index(sea_lice!$J:$J,match($A1401,sea_lice!$A:$A,0)))</f>
        <v/>
      </c>
      <c r="R1401" s="40" t="str">
        <f t="array" ref="R1401">iferror(index(dissected_fish!$F:$F,match($A1401,dissected_fish!$A:$A,0)))</f>
        <v>BCA111</v>
      </c>
      <c r="S1401" s="40" t="str">
        <f t="array" ref="S1401">iferror(index(dissected_fish!$K:$K,match($A1401,dissected_fish!$A:$A,0)))</f>
        <v>N</v>
      </c>
      <c r="T1401" s="61" t="str">
        <f t="array" ref="T1401">index(fish_lab_data!O:O,match(A1401,fish_lab_data!C:C,0))</f>
        <v>KB</v>
      </c>
      <c r="U1401" s="61">
        <f t="array" ref="U1401">if(A1401="","",index(fish_lab_data!X:X,match(A1401,fish_lab_data!C:C,0)))</f>
        <v>1400</v>
      </c>
    </row>
    <row r="1402">
      <c r="A1402" t="str">
        <f>fish_lab_data!C1402</f>
        <v>U16444</v>
      </c>
      <c r="B1402" t="str">
        <f t="array" ref="B1402">iferror(index('rna-muscle'!$I:$I,match($A1402,'rna-muscle'!$A:$A,0)))</f>
        <v>BRN77M-C4</v>
      </c>
      <c r="C1402" t="str">
        <f t="array" ref="C1402">iferror(index('rna-muscle'!$L:$L,match($A1402,'rna-muscle'!$A:$A,0)))</f>
        <v>N</v>
      </c>
      <c r="D1402" t="str">
        <f t="array" ref="D1402">iferror(index('rna-gill'!$I:$I,match($A1402,'rna-gill'!$A:$A,0)))</f>
        <v>BRN77G-C4</v>
      </c>
      <c r="E1402" t="str">
        <f t="array" ref="E1402">iferror(index('rna-gill'!$L:$L,match($A1402,'rna-gill'!$A:$A,0)))</f>
        <v>N</v>
      </c>
      <c r="F1402" t="str">
        <f t="array" ref="F1402">iferror(index(fatty_acid!$G:$G,match($A1402,fatty_acid!$A:$A,0)))</f>
        <v>BFA36-59</v>
      </c>
      <c r="G1402" t="str">
        <f t="array" ref="G1402">iferror(index(fatty_acid!$J:$J,match($A1402,fatty_acid!$A:$A,0)))</f>
        <v>N</v>
      </c>
      <c r="H1402" t="str">
        <f t="array" ref="H1402">iferror(index(isotopes!$G:$G,match($A1402,isotopes!$A:$A,0)))</f>
        <v>BIS39-59</v>
      </c>
      <c r="I1402" t="str">
        <f t="array" ref="I1402">iferror(index(isotopes!$J:$J,match($A1402,isotopes!$A:$A,0)))</f>
        <v>N</v>
      </c>
      <c r="J1402" t="str">
        <f t="array" ref="J1402">iferror(index(extra_muscle!$G:$G,match($A1402,extra_muscle!$A:$A,0)))</f>
        <v>BXM38-59</v>
      </c>
      <c r="K1402" t="str">
        <f t="array" ref="K1402">iferror(index(extra_muscle!$J:$J,match($A1402,extra_muscle!$A:$A,0)))</f>
        <v>N</v>
      </c>
      <c r="L1402" s="59" t="str">
        <f t="array" ref="L1402">iferror(index(dna!$G:$G,match($A1402,dna!$A:$A,0)))</f>
        <v>BDN12-35</v>
      </c>
      <c r="M1402" s="60" t="str">
        <f t="array" ref="M1402">iferror(index(dna!$J:$J,match($A1402,dna!$A:$A,0)))</f>
        <v>N</v>
      </c>
      <c r="N1402" t="str">
        <f t="array" ref="N1402">iferror(index(stomachs!$G:$G,match($A1402,stomachs!$A:$A,0)))</f>
        <v/>
      </c>
      <c r="O1402" t="str">
        <f t="array" ref="O1402">iferror(index(stomachs!$J:$J,match($A1402,stomachs!$A:$A,0)))</f>
        <v/>
      </c>
      <c r="P1402" t="str">
        <f t="array" ref="P1402">iferror(index(sea_lice!$G:$G,match($A1402,sea_lice!$A:$A,0)))</f>
        <v/>
      </c>
      <c r="Q1402" t="str">
        <f t="array" ref="Q1402">iferror(index(sea_lice!$J:$J,match($A1402,sea_lice!$A:$A,0)))</f>
        <v/>
      </c>
      <c r="R1402" s="40" t="str">
        <f t="array" ref="R1402">iferror(index(dissected_fish!$F:$F,match($A1402,dissected_fish!$A:$A,0)))</f>
        <v>BCA111</v>
      </c>
      <c r="S1402" s="40" t="str">
        <f t="array" ref="S1402">iferror(index(dissected_fish!$K:$K,match($A1402,dissected_fish!$A:$A,0)))</f>
        <v>N</v>
      </c>
      <c r="T1402" s="61" t="str">
        <f t="array" ref="T1402">index(fish_lab_data!O:O,match(A1402,fish_lab_data!C:C,0))</f>
        <v>KB</v>
      </c>
      <c r="U1402" s="61">
        <f t="array" ref="U1402">if(A1402="","",index(fish_lab_data!X:X,match(A1402,fish_lab_data!C:C,0)))</f>
        <v>1401</v>
      </c>
    </row>
    <row r="1403">
      <c r="A1403" t="str">
        <f>fish_lab_data!C1403</f>
        <v>U16443</v>
      </c>
      <c r="B1403" t="str">
        <f t="array" ref="B1403">iferror(index('rna-muscle'!$I:$I,match($A1403,'rna-muscle'!$A:$A,0)))</f>
        <v>BRN77M-B4</v>
      </c>
      <c r="C1403" t="str">
        <f t="array" ref="C1403">iferror(index('rna-muscle'!$L:$L,match($A1403,'rna-muscle'!$A:$A,0)))</f>
        <v>N</v>
      </c>
      <c r="D1403" t="str">
        <f t="array" ref="D1403">iferror(index('rna-gill'!$I:$I,match($A1403,'rna-gill'!$A:$A,0)))</f>
        <v>BRN77G-B4</v>
      </c>
      <c r="E1403" t="str">
        <f t="array" ref="E1403">iferror(index('rna-gill'!$L:$L,match($A1403,'rna-gill'!$A:$A,0)))</f>
        <v>N</v>
      </c>
      <c r="F1403" t="str">
        <f t="array" ref="F1403">iferror(index(fatty_acid!$G:$G,match($A1403,fatty_acid!$A:$A,0)))</f>
        <v>BFA36-60</v>
      </c>
      <c r="G1403" t="str">
        <f t="array" ref="G1403">iferror(index(fatty_acid!$J:$J,match($A1403,fatty_acid!$A:$A,0)))</f>
        <v>N</v>
      </c>
      <c r="H1403" t="str">
        <f t="array" ref="H1403">iferror(index(isotopes!$G:$G,match($A1403,isotopes!$A:$A,0)))</f>
        <v>BIS39-60</v>
      </c>
      <c r="I1403" t="str">
        <f t="array" ref="I1403">iferror(index(isotopes!$J:$J,match($A1403,isotopes!$A:$A,0)))</f>
        <v>N</v>
      </c>
      <c r="J1403" t="str">
        <f t="array" ref="J1403">iferror(index(extra_muscle!$G:$G,match($A1403,extra_muscle!$A:$A,0)))</f>
        <v>BXM38-60</v>
      </c>
      <c r="K1403" t="str">
        <f t="array" ref="K1403">iferror(index(extra_muscle!$J:$J,match($A1403,extra_muscle!$A:$A,0)))</f>
        <v>N</v>
      </c>
      <c r="L1403" s="59" t="str">
        <f t="array" ref="L1403">iferror(index(dna!$G:$G,match($A1403,dna!$A:$A,0)))</f>
        <v>BDN12-36</v>
      </c>
      <c r="M1403" s="60" t="str">
        <f t="array" ref="M1403">iferror(index(dna!$J:$J,match($A1403,dna!$A:$A,0)))</f>
        <v>N</v>
      </c>
      <c r="N1403" t="str">
        <f t="array" ref="N1403">iferror(index(stomachs!$G:$G,match($A1403,stomachs!$A:$A,0)))</f>
        <v/>
      </c>
      <c r="O1403" t="str">
        <f t="array" ref="O1403">iferror(index(stomachs!$J:$J,match($A1403,stomachs!$A:$A,0)))</f>
        <v/>
      </c>
      <c r="P1403" t="str">
        <f t="array" ref="P1403">iferror(index(sea_lice!$G:$G,match($A1403,sea_lice!$A:$A,0)))</f>
        <v/>
      </c>
      <c r="Q1403" t="str">
        <f t="array" ref="Q1403">iferror(index(sea_lice!$J:$J,match($A1403,sea_lice!$A:$A,0)))</f>
        <v/>
      </c>
      <c r="R1403" s="40" t="str">
        <f t="array" ref="R1403">iferror(index(dissected_fish!$F:$F,match($A1403,dissected_fish!$A:$A,0)))</f>
        <v>BCA111</v>
      </c>
      <c r="S1403" s="40" t="str">
        <f t="array" ref="S1403">iferror(index(dissected_fish!$K:$K,match($A1403,dissected_fish!$A:$A,0)))</f>
        <v>N</v>
      </c>
      <c r="T1403" s="61" t="str">
        <f t="array" ref="T1403">index(fish_lab_data!O:O,match(A1403,fish_lab_data!C:C,0))</f>
        <v>KB</v>
      </c>
      <c r="U1403" s="61">
        <f t="array" ref="U1403">if(A1403="","",index(fish_lab_data!X:X,match(A1403,fish_lab_data!C:C,0)))</f>
        <v>1402</v>
      </c>
    </row>
    <row r="1404">
      <c r="A1404" t="str">
        <f>fish_lab_data!C1404</f>
        <v>U16445</v>
      </c>
      <c r="B1404" t="str">
        <f t="array" ref="B1404">iferror(index('rna-muscle'!$I:$I,match($A1404,'rna-muscle'!$A:$A,0)))</f>
        <v>BRN77M-A4</v>
      </c>
      <c r="C1404" t="str">
        <f t="array" ref="C1404">iferror(index('rna-muscle'!$L:$L,match($A1404,'rna-muscle'!$A:$A,0)))</f>
        <v>N</v>
      </c>
      <c r="D1404" t="str">
        <f t="array" ref="D1404">iferror(index('rna-gill'!$I:$I,match($A1404,'rna-gill'!$A:$A,0)))</f>
        <v>BRN77G-A4</v>
      </c>
      <c r="E1404" t="str">
        <f t="array" ref="E1404">iferror(index('rna-gill'!$L:$L,match($A1404,'rna-gill'!$A:$A,0)))</f>
        <v>N</v>
      </c>
      <c r="F1404" t="str">
        <f t="array" ref="F1404">iferror(index(fatty_acid!$G:$G,match($A1404,fatty_acid!$A:$A,0)))</f>
        <v>BFA36-61</v>
      </c>
      <c r="G1404" t="str">
        <f t="array" ref="G1404">iferror(index(fatty_acid!$J:$J,match($A1404,fatty_acid!$A:$A,0)))</f>
        <v>N</v>
      </c>
      <c r="H1404" t="str">
        <f t="array" ref="H1404">iferror(index(isotopes!$G:$G,match($A1404,isotopes!$A:$A,0)))</f>
        <v>BIS39-61</v>
      </c>
      <c r="I1404" t="str">
        <f t="array" ref="I1404">iferror(index(isotopes!$J:$J,match($A1404,isotopes!$A:$A,0)))</f>
        <v>N</v>
      </c>
      <c r="J1404" t="str">
        <f t="array" ref="J1404">iferror(index(extra_muscle!$G:$G,match($A1404,extra_muscle!$A:$A,0)))</f>
        <v>BXM38-61</v>
      </c>
      <c r="K1404" t="str">
        <f t="array" ref="K1404">iferror(index(extra_muscle!$J:$J,match($A1404,extra_muscle!$A:$A,0)))</f>
        <v>N</v>
      </c>
      <c r="L1404" s="59" t="str">
        <f t="array" ref="L1404">iferror(index(dna!$G:$G,match($A1404,dna!$A:$A,0)))</f>
        <v>BDN12-37</v>
      </c>
      <c r="M1404" s="60" t="str">
        <f t="array" ref="M1404">iferror(index(dna!$J:$J,match($A1404,dna!$A:$A,0)))</f>
        <v>N</v>
      </c>
      <c r="N1404" t="str">
        <f t="array" ref="N1404">iferror(index(stomachs!$G:$G,match($A1404,stomachs!$A:$A,0)))</f>
        <v/>
      </c>
      <c r="O1404" t="str">
        <f t="array" ref="O1404">iferror(index(stomachs!$J:$J,match($A1404,stomachs!$A:$A,0)))</f>
        <v/>
      </c>
      <c r="P1404" t="str">
        <f t="array" ref="P1404">iferror(index(sea_lice!$G:$G,match($A1404,sea_lice!$A:$A,0)))</f>
        <v/>
      </c>
      <c r="Q1404" t="str">
        <f t="array" ref="Q1404">iferror(index(sea_lice!$J:$J,match($A1404,sea_lice!$A:$A,0)))</f>
        <v/>
      </c>
      <c r="R1404" s="40" t="str">
        <f t="array" ref="R1404">iferror(index(dissected_fish!$F:$F,match($A1404,dissected_fish!$A:$A,0)))</f>
        <v>BCA111</v>
      </c>
      <c r="S1404" s="40" t="str">
        <f t="array" ref="S1404">iferror(index(dissected_fish!$K:$K,match($A1404,dissected_fish!$A:$A,0)))</f>
        <v>N</v>
      </c>
      <c r="T1404" s="61" t="str">
        <f t="array" ref="T1404">index(fish_lab_data!O:O,match(A1404,fish_lab_data!C:C,0))</f>
        <v>KB</v>
      </c>
      <c r="U1404" s="61">
        <f t="array" ref="U1404">if(A1404="","",index(fish_lab_data!X:X,match(A1404,fish_lab_data!C:C,0)))</f>
        <v>1403</v>
      </c>
    </row>
    <row r="1405">
      <c r="A1405" t="str">
        <f>fish_lab_data!C1405</f>
        <v>U16450</v>
      </c>
      <c r="B1405" t="str">
        <f t="array" ref="B1405">iferror(index('rna-muscle'!$I:$I,match($A1405,'rna-muscle'!$A:$A,0)))</f>
        <v>BRN77M-H5</v>
      </c>
      <c r="C1405" t="str">
        <f t="array" ref="C1405">iferror(index('rna-muscle'!$L:$L,match($A1405,'rna-muscle'!$A:$A,0)))</f>
        <v>N</v>
      </c>
      <c r="D1405" t="str">
        <f t="array" ref="D1405">iferror(index('rna-gill'!$I:$I,match($A1405,'rna-gill'!$A:$A,0)))</f>
        <v>BRN77G-H5</v>
      </c>
      <c r="E1405" t="str">
        <f t="array" ref="E1405">iferror(index('rna-gill'!$L:$L,match($A1405,'rna-gill'!$A:$A,0)))</f>
        <v>N</v>
      </c>
      <c r="F1405" t="str">
        <f t="array" ref="F1405">iferror(index(fatty_acid!$G:$G,match($A1405,fatty_acid!$A:$A,0)))</f>
        <v>BFA36-62</v>
      </c>
      <c r="G1405" t="str">
        <f t="array" ref="G1405">iferror(index(fatty_acid!$J:$J,match($A1405,fatty_acid!$A:$A,0)))</f>
        <v>N</v>
      </c>
      <c r="H1405" t="str">
        <f t="array" ref="H1405">iferror(index(isotopes!$G:$G,match($A1405,isotopes!$A:$A,0)))</f>
        <v>BIS39-62</v>
      </c>
      <c r="I1405" t="str">
        <f t="array" ref="I1405">iferror(index(isotopes!$J:$J,match($A1405,isotopes!$A:$A,0)))</f>
        <v>N</v>
      </c>
      <c r="J1405" t="str">
        <f t="array" ref="J1405">iferror(index(extra_muscle!$G:$G,match($A1405,extra_muscle!$A:$A,0)))</f>
        <v>BXM38-62</v>
      </c>
      <c r="K1405" t="str">
        <f t="array" ref="K1405">iferror(index(extra_muscle!$J:$J,match($A1405,extra_muscle!$A:$A,0)))</f>
        <v>N</v>
      </c>
      <c r="L1405" s="59" t="str">
        <f t="array" ref="L1405">iferror(index(dna!$G:$G,match($A1405,dna!$A:$A,0)))</f>
        <v>BDN12-38</v>
      </c>
      <c r="M1405" s="60" t="str">
        <f t="array" ref="M1405">iferror(index(dna!$J:$J,match($A1405,dna!$A:$A,0)))</f>
        <v>N</v>
      </c>
      <c r="N1405" t="str">
        <f t="array" ref="N1405">iferror(index(stomachs!$G:$G,match($A1405,stomachs!$A:$A,0)))</f>
        <v/>
      </c>
      <c r="O1405" t="str">
        <f t="array" ref="O1405">iferror(index(stomachs!$J:$J,match($A1405,stomachs!$A:$A,0)))</f>
        <v/>
      </c>
      <c r="P1405" t="str">
        <f t="array" ref="P1405">iferror(index(sea_lice!$G:$G,match($A1405,sea_lice!$A:$A,0)))</f>
        <v/>
      </c>
      <c r="Q1405" t="str">
        <f t="array" ref="Q1405">iferror(index(sea_lice!$J:$J,match($A1405,sea_lice!$A:$A,0)))</f>
        <v/>
      </c>
      <c r="R1405" s="40" t="str">
        <f t="array" ref="R1405">iferror(index(dissected_fish!$F:$F,match($A1405,dissected_fish!$A:$A,0)))</f>
        <v>BCA111</v>
      </c>
      <c r="S1405" s="40" t="str">
        <f t="array" ref="S1405">iferror(index(dissected_fish!$K:$K,match($A1405,dissected_fish!$A:$A,0)))</f>
        <v>N</v>
      </c>
      <c r="T1405" s="61" t="str">
        <f t="array" ref="T1405">index(fish_lab_data!O:O,match(A1405,fish_lab_data!C:C,0))</f>
        <v>KB</v>
      </c>
      <c r="U1405" s="61">
        <f t="array" ref="U1405">if(A1405="","",index(fish_lab_data!X:X,match(A1405,fish_lab_data!C:C,0)))</f>
        <v>1404</v>
      </c>
    </row>
    <row r="1406">
      <c r="A1406" t="str">
        <f>fish_lab_data!C1406</f>
        <v>U16446</v>
      </c>
      <c r="B1406" t="str">
        <f t="array" ref="B1406">iferror(index('rna-muscle'!$I:$I,match($A1406,'rna-muscle'!$A:$A,0)))</f>
        <v>BRN77M-G5</v>
      </c>
      <c r="C1406" t="str">
        <f t="array" ref="C1406">iferror(index('rna-muscle'!$L:$L,match($A1406,'rna-muscle'!$A:$A,0)))</f>
        <v>N</v>
      </c>
      <c r="D1406" t="str">
        <f t="array" ref="D1406">iferror(index('rna-gill'!$I:$I,match($A1406,'rna-gill'!$A:$A,0)))</f>
        <v>BRN77G-G5</v>
      </c>
      <c r="E1406" t="str">
        <f t="array" ref="E1406">iferror(index('rna-gill'!$L:$L,match($A1406,'rna-gill'!$A:$A,0)))</f>
        <v>N</v>
      </c>
      <c r="F1406" t="str">
        <f t="array" ref="F1406">iferror(index(fatty_acid!$G:$G,match($A1406,fatty_acid!$A:$A,0)))</f>
        <v>BFA36-63</v>
      </c>
      <c r="G1406" t="str">
        <f t="array" ref="G1406">iferror(index(fatty_acid!$J:$J,match($A1406,fatty_acid!$A:$A,0)))</f>
        <v>N</v>
      </c>
      <c r="H1406" t="str">
        <f t="array" ref="H1406">iferror(index(isotopes!$G:$G,match($A1406,isotopes!$A:$A,0)))</f>
        <v>BIS39-63</v>
      </c>
      <c r="I1406" t="str">
        <f t="array" ref="I1406">iferror(index(isotopes!$J:$J,match($A1406,isotopes!$A:$A,0)))</f>
        <v>N</v>
      </c>
      <c r="J1406" t="str">
        <f t="array" ref="J1406">iferror(index(extra_muscle!$G:$G,match($A1406,extra_muscle!$A:$A,0)))</f>
        <v>BXM38-63</v>
      </c>
      <c r="K1406" t="str">
        <f t="array" ref="K1406">iferror(index(extra_muscle!$J:$J,match($A1406,extra_muscle!$A:$A,0)))</f>
        <v>N</v>
      </c>
      <c r="L1406" s="59" t="str">
        <f t="array" ref="L1406">iferror(index(dna!$G:$G,match($A1406,dna!$A:$A,0)))</f>
        <v>BDN12-39</v>
      </c>
      <c r="M1406" s="60" t="str">
        <f t="array" ref="M1406">iferror(index(dna!$J:$J,match($A1406,dna!$A:$A,0)))</f>
        <v>N</v>
      </c>
      <c r="N1406" t="str">
        <f t="array" ref="N1406">iferror(index(stomachs!$G:$G,match($A1406,stomachs!$A:$A,0)))</f>
        <v/>
      </c>
      <c r="O1406" t="str">
        <f t="array" ref="O1406">iferror(index(stomachs!$J:$J,match($A1406,stomachs!$A:$A,0)))</f>
        <v/>
      </c>
      <c r="P1406" t="str">
        <f t="array" ref="P1406">iferror(index(sea_lice!$G:$G,match($A1406,sea_lice!$A:$A,0)))</f>
        <v/>
      </c>
      <c r="Q1406" t="str">
        <f t="array" ref="Q1406">iferror(index(sea_lice!$J:$J,match($A1406,sea_lice!$A:$A,0)))</f>
        <v/>
      </c>
      <c r="R1406" s="40" t="str">
        <f t="array" ref="R1406">iferror(index(dissected_fish!$F:$F,match($A1406,dissected_fish!$A:$A,0)))</f>
        <v>BCA111</v>
      </c>
      <c r="S1406" s="40" t="str">
        <f t="array" ref="S1406">iferror(index(dissected_fish!$K:$K,match($A1406,dissected_fish!$A:$A,0)))</f>
        <v>N</v>
      </c>
      <c r="T1406" s="61" t="str">
        <f t="array" ref="T1406">index(fish_lab_data!O:O,match(A1406,fish_lab_data!C:C,0))</f>
        <v>KB</v>
      </c>
      <c r="U1406" s="61">
        <f t="array" ref="U1406">if(A1406="","",index(fish_lab_data!X:X,match(A1406,fish_lab_data!C:C,0)))</f>
        <v>1405</v>
      </c>
    </row>
    <row r="1407">
      <c r="A1407" t="str">
        <f>fish_lab_data!C1407</f>
        <v>U16447</v>
      </c>
      <c r="B1407" t="str">
        <f t="array" ref="B1407">iferror(index('rna-muscle'!$I:$I,match($A1407,'rna-muscle'!$A:$A,0)))</f>
        <v>BRN77M-F5</v>
      </c>
      <c r="C1407" t="str">
        <f t="array" ref="C1407">iferror(index('rna-muscle'!$L:$L,match($A1407,'rna-muscle'!$A:$A,0)))</f>
        <v>N</v>
      </c>
      <c r="D1407" t="str">
        <f t="array" ref="D1407">iferror(index('rna-gill'!$I:$I,match($A1407,'rna-gill'!$A:$A,0)))</f>
        <v>BRN77G-F5</v>
      </c>
      <c r="E1407" t="str">
        <f t="array" ref="E1407">iferror(index('rna-gill'!$L:$L,match($A1407,'rna-gill'!$A:$A,0)))</f>
        <v>N</v>
      </c>
      <c r="F1407" t="str">
        <f t="array" ref="F1407">iferror(index(fatty_acid!$G:$G,match($A1407,fatty_acid!$A:$A,0)))</f>
        <v>BFA36-64</v>
      </c>
      <c r="G1407" t="str">
        <f t="array" ref="G1407">iferror(index(fatty_acid!$J:$J,match($A1407,fatty_acid!$A:$A,0)))</f>
        <v>N</v>
      </c>
      <c r="H1407" t="str">
        <f t="array" ref="H1407">iferror(index(isotopes!$G:$G,match($A1407,isotopes!$A:$A,0)))</f>
        <v>BIS39-64</v>
      </c>
      <c r="I1407" t="str">
        <f t="array" ref="I1407">iferror(index(isotopes!$J:$J,match($A1407,isotopes!$A:$A,0)))</f>
        <v>N</v>
      </c>
      <c r="J1407" t="str">
        <f t="array" ref="J1407">iferror(index(extra_muscle!$G:$G,match($A1407,extra_muscle!$A:$A,0)))</f>
        <v>BXM38-64</v>
      </c>
      <c r="K1407" t="str">
        <f t="array" ref="K1407">iferror(index(extra_muscle!$J:$J,match($A1407,extra_muscle!$A:$A,0)))</f>
        <v>N</v>
      </c>
      <c r="L1407" s="59" t="str">
        <f t="array" ref="L1407">iferror(index(dna!$G:$G,match($A1407,dna!$A:$A,0)))</f>
        <v>BDN12-40</v>
      </c>
      <c r="M1407" s="60" t="str">
        <f t="array" ref="M1407">iferror(index(dna!$J:$J,match($A1407,dna!$A:$A,0)))</f>
        <v>N</v>
      </c>
      <c r="N1407" t="str">
        <f t="array" ref="N1407">iferror(index(stomachs!$G:$G,match($A1407,stomachs!$A:$A,0)))</f>
        <v/>
      </c>
      <c r="O1407" t="str">
        <f t="array" ref="O1407">iferror(index(stomachs!$J:$J,match($A1407,stomachs!$A:$A,0)))</f>
        <v/>
      </c>
      <c r="P1407" t="str">
        <f t="array" ref="P1407">iferror(index(sea_lice!$G:$G,match($A1407,sea_lice!$A:$A,0)))</f>
        <v/>
      </c>
      <c r="Q1407" t="str">
        <f t="array" ref="Q1407">iferror(index(sea_lice!$J:$J,match($A1407,sea_lice!$A:$A,0)))</f>
        <v/>
      </c>
      <c r="R1407" s="40" t="str">
        <f t="array" ref="R1407">iferror(index(dissected_fish!$F:$F,match($A1407,dissected_fish!$A:$A,0)))</f>
        <v>BCA111</v>
      </c>
      <c r="S1407" s="40" t="str">
        <f t="array" ref="S1407">iferror(index(dissected_fish!$K:$K,match($A1407,dissected_fish!$A:$A,0)))</f>
        <v>N</v>
      </c>
      <c r="T1407" s="61" t="str">
        <f t="array" ref="T1407">index(fish_lab_data!O:O,match(A1407,fish_lab_data!C:C,0))</f>
        <v>KB</v>
      </c>
      <c r="U1407" s="61">
        <f t="array" ref="U1407">if(A1407="","",index(fish_lab_data!X:X,match(A1407,fish_lab_data!C:C,0)))</f>
        <v>1406</v>
      </c>
    </row>
    <row r="1408">
      <c r="A1408" t="str">
        <f>fish_lab_data!C1408</f>
        <v>U16448</v>
      </c>
      <c r="B1408" t="str">
        <f t="array" ref="B1408">iferror(index('rna-muscle'!$I:$I,match($A1408,'rna-muscle'!$A:$A,0)))</f>
        <v>BRN77M-E5</v>
      </c>
      <c r="C1408" t="str">
        <f t="array" ref="C1408">iferror(index('rna-muscle'!$L:$L,match($A1408,'rna-muscle'!$A:$A,0)))</f>
        <v>N</v>
      </c>
      <c r="D1408" t="str">
        <f t="array" ref="D1408">iferror(index('rna-gill'!$I:$I,match($A1408,'rna-gill'!$A:$A,0)))</f>
        <v>BRN77G-E5</v>
      </c>
      <c r="E1408" t="str">
        <f t="array" ref="E1408">iferror(index('rna-gill'!$L:$L,match($A1408,'rna-gill'!$A:$A,0)))</f>
        <v>N</v>
      </c>
      <c r="F1408" t="str">
        <f t="array" ref="F1408">iferror(index(fatty_acid!$G:$G,match($A1408,fatty_acid!$A:$A,0)))</f>
        <v>BFA36-65</v>
      </c>
      <c r="G1408" t="str">
        <f t="array" ref="G1408">iferror(index(fatty_acid!$J:$J,match($A1408,fatty_acid!$A:$A,0)))</f>
        <v>N</v>
      </c>
      <c r="H1408" t="str">
        <f t="array" ref="H1408">iferror(index(isotopes!$G:$G,match($A1408,isotopes!$A:$A,0)))</f>
        <v>BIS39-65</v>
      </c>
      <c r="I1408" t="str">
        <f t="array" ref="I1408">iferror(index(isotopes!$J:$J,match($A1408,isotopes!$A:$A,0)))</f>
        <v>N</v>
      </c>
      <c r="J1408" t="str">
        <f t="array" ref="J1408">iferror(index(extra_muscle!$G:$G,match($A1408,extra_muscle!$A:$A,0)))</f>
        <v>BXM38-65</v>
      </c>
      <c r="K1408" t="str">
        <f t="array" ref="K1408">iferror(index(extra_muscle!$J:$J,match($A1408,extra_muscle!$A:$A,0)))</f>
        <v>N</v>
      </c>
      <c r="L1408" s="59" t="str">
        <f t="array" ref="L1408">iferror(index(dna!$G:$G,match($A1408,dna!$A:$A,0)))</f>
        <v>BDN12-41</v>
      </c>
      <c r="M1408" s="60" t="str">
        <f t="array" ref="M1408">iferror(index(dna!$J:$J,match($A1408,dna!$A:$A,0)))</f>
        <v>N</v>
      </c>
      <c r="N1408" t="str">
        <f t="array" ref="N1408">iferror(index(stomachs!$G:$G,match($A1408,stomachs!$A:$A,0)))</f>
        <v/>
      </c>
      <c r="O1408" t="str">
        <f t="array" ref="O1408">iferror(index(stomachs!$J:$J,match($A1408,stomachs!$A:$A,0)))</f>
        <v/>
      </c>
      <c r="P1408" t="str">
        <f t="array" ref="P1408">iferror(index(sea_lice!$G:$G,match($A1408,sea_lice!$A:$A,0)))</f>
        <v/>
      </c>
      <c r="Q1408" t="str">
        <f t="array" ref="Q1408">iferror(index(sea_lice!$J:$J,match($A1408,sea_lice!$A:$A,0)))</f>
        <v/>
      </c>
      <c r="R1408" s="40" t="str">
        <f t="array" ref="R1408">iferror(index(dissected_fish!$F:$F,match($A1408,dissected_fish!$A:$A,0)))</f>
        <v>BCA111</v>
      </c>
      <c r="S1408" s="40" t="str">
        <f t="array" ref="S1408">iferror(index(dissected_fish!$K:$K,match($A1408,dissected_fish!$A:$A,0)))</f>
        <v>N</v>
      </c>
      <c r="T1408" s="61" t="str">
        <f t="array" ref="T1408">index(fish_lab_data!O:O,match(A1408,fish_lab_data!C:C,0))</f>
        <v>KB</v>
      </c>
      <c r="U1408" s="61">
        <f t="array" ref="U1408">if(A1408="","",index(fish_lab_data!X:X,match(A1408,fish_lab_data!C:C,0)))</f>
        <v>1407</v>
      </c>
    </row>
    <row r="1409">
      <c r="A1409" t="str">
        <f>fish_lab_data!C1409</f>
        <v>U16449</v>
      </c>
      <c r="B1409" t="str">
        <f t="array" ref="B1409">iferror(index('rna-muscle'!$I:$I,match($A1409,'rna-muscle'!$A:$A,0)))</f>
        <v>BRN77M-D5</v>
      </c>
      <c r="C1409" t="str">
        <f t="array" ref="C1409">iferror(index('rna-muscle'!$L:$L,match($A1409,'rna-muscle'!$A:$A,0)))</f>
        <v>N</v>
      </c>
      <c r="D1409" t="str">
        <f t="array" ref="D1409">iferror(index('rna-gill'!$I:$I,match($A1409,'rna-gill'!$A:$A,0)))</f>
        <v>BRN77G-D5</v>
      </c>
      <c r="E1409" t="str">
        <f t="array" ref="E1409">iferror(index('rna-gill'!$L:$L,match($A1409,'rna-gill'!$A:$A,0)))</f>
        <v>N</v>
      </c>
      <c r="F1409" t="str">
        <f t="array" ref="F1409">iferror(index(fatty_acid!$G:$G,match($A1409,fatty_acid!$A:$A,0)))</f>
        <v>BFA36-66</v>
      </c>
      <c r="G1409" t="str">
        <f t="array" ref="G1409">iferror(index(fatty_acid!$J:$J,match($A1409,fatty_acid!$A:$A,0)))</f>
        <v>N</v>
      </c>
      <c r="H1409" t="str">
        <f t="array" ref="H1409">iferror(index(isotopes!$G:$G,match($A1409,isotopes!$A:$A,0)))</f>
        <v>BIS39-66</v>
      </c>
      <c r="I1409" t="str">
        <f t="array" ref="I1409">iferror(index(isotopes!$J:$J,match($A1409,isotopes!$A:$A,0)))</f>
        <v>N</v>
      </c>
      <c r="J1409" t="str">
        <f t="array" ref="J1409">iferror(index(extra_muscle!$G:$G,match($A1409,extra_muscle!$A:$A,0)))</f>
        <v>BXM38-66</v>
      </c>
      <c r="K1409" t="str">
        <f t="array" ref="K1409">iferror(index(extra_muscle!$J:$J,match($A1409,extra_muscle!$A:$A,0)))</f>
        <v>N</v>
      </c>
      <c r="L1409" s="59" t="str">
        <f t="array" ref="L1409">iferror(index(dna!$G:$G,match($A1409,dna!$A:$A,0)))</f>
        <v>BDN12-42</v>
      </c>
      <c r="M1409" s="60" t="str">
        <f t="array" ref="M1409">iferror(index(dna!$J:$J,match($A1409,dna!$A:$A,0)))</f>
        <v>N</v>
      </c>
      <c r="N1409" t="str">
        <f t="array" ref="N1409">iferror(index(stomachs!$G:$G,match($A1409,stomachs!$A:$A,0)))</f>
        <v/>
      </c>
      <c r="O1409" t="str">
        <f t="array" ref="O1409">iferror(index(stomachs!$J:$J,match($A1409,stomachs!$A:$A,0)))</f>
        <v/>
      </c>
      <c r="P1409" t="str">
        <f t="array" ref="P1409">iferror(index(sea_lice!$G:$G,match($A1409,sea_lice!$A:$A,0)))</f>
        <v/>
      </c>
      <c r="Q1409" t="str">
        <f t="array" ref="Q1409">iferror(index(sea_lice!$J:$J,match($A1409,sea_lice!$A:$A,0)))</f>
        <v/>
      </c>
      <c r="R1409" s="40" t="str">
        <f t="array" ref="R1409">iferror(index(dissected_fish!$F:$F,match($A1409,dissected_fish!$A:$A,0)))</f>
        <v>BCA111</v>
      </c>
      <c r="S1409" s="40" t="str">
        <f t="array" ref="S1409">iferror(index(dissected_fish!$K:$K,match($A1409,dissected_fish!$A:$A,0)))</f>
        <v>N</v>
      </c>
      <c r="T1409" s="61" t="str">
        <f t="array" ref="T1409">index(fish_lab_data!O:O,match(A1409,fish_lab_data!C:C,0))</f>
        <v>KB</v>
      </c>
      <c r="U1409" s="61">
        <f t="array" ref="U1409">if(A1409="","",index(fish_lab_data!X:X,match(A1409,fish_lab_data!C:C,0)))</f>
        <v>1408</v>
      </c>
    </row>
    <row r="1410">
      <c r="A1410" t="str">
        <f>fish_lab_data!C1410</f>
        <v>U16478</v>
      </c>
      <c r="B1410" t="str">
        <f t="array" ref="B1410">iferror(index('rna-muscle'!$I:$I,match($A1410,'rna-muscle'!$A:$A,0)))</f>
        <v>BRN77M-C5</v>
      </c>
      <c r="C1410" t="str">
        <f t="array" ref="C1410">iferror(index('rna-muscle'!$L:$L,match($A1410,'rna-muscle'!$A:$A,0)))</f>
        <v>N</v>
      </c>
      <c r="D1410" t="str">
        <f t="array" ref="D1410">iferror(index('rna-gill'!$I:$I,match($A1410,'rna-gill'!$A:$A,0)))</f>
        <v>BRN77G-C5</v>
      </c>
      <c r="E1410" t="str">
        <f t="array" ref="E1410">iferror(index('rna-gill'!$L:$L,match($A1410,'rna-gill'!$A:$A,0)))</f>
        <v>N</v>
      </c>
      <c r="F1410" t="str">
        <f t="array" ref="F1410">iferror(index(fatty_acid!$G:$G,match($A1410,fatty_acid!$A:$A,0)))</f>
        <v>BFA36-67</v>
      </c>
      <c r="G1410" t="str">
        <f t="array" ref="G1410">iferror(index(fatty_acid!$J:$J,match($A1410,fatty_acid!$A:$A,0)))</f>
        <v>N</v>
      </c>
      <c r="H1410" t="str">
        <f t="array" ref="H1410">iferror(index(isotopes!$G:$G,match($A1410,isotopes!$A:$A,0)))</f>
        <v>BIS39-67</v>
      </c>
      <c r="I1410" t="str">
        <f t="array" ref="I1410">iferror(index(isotopes!$J:$J,match($A1410,isotopes!$A:$A,0)))</f>
        <v>N</v>
      </c>
      <c r="J1410" t="str">
        <f t="array" ref="J1410">iferror(index(extra_muscle!$G:$G,match($A1410,extra_muscle!$A:$A,0)))</f>
        <v>BXM38-67</v>
      </c>
      <c r="K1410" t="str">
        <f t="array" ref="K1410">iferror(index(extra_muscle!$J:$J,match($A1410,extra_muscle!$A:$A,0)))</f>
        <v>N</v>
      </c>
      <c r="L1410" s="59" t="str">
        <f t="array" ref="L1410">iferror(index(dna!$G:$G,match($A1410,dna!$A:$A,0)))</f>
        <v>BDN12-43</v>
      </c>
      <c r="M1410" s="60" t="str">
        <f t="array" ref="M1410">iferror(index(dna!$J:$J,match($A1410,dna!$A:$A,0)))</f>
        <v>N</v>
      </c>
      <c r="N1410" t="str">
        <f t="array" ref="N1410">iferror(index(stomachs!$G:$G,match($A1410,stomachs!$A:$A,0)))</f>
        <v/>
      </c>
      <c r="O1410" t="str">
        <f t="array" ref="O1410">iferror(index(stomachs!$J:$J,match($A1410,stomachs!$A:$A,0)))</f>
        <v/>
      </c>
      <c r="P1410" t="str">
        <f t="array" ref="P1410">iferror(index(sea_lice!$G:$G,match($A1410,sea_lice!$A:$A,0)))</f>
        <v/>
      </c>
      <c r="Q1410" t="str">
        <f t="array" ref="Q1410">iferror(index(sea_lice!$J:$J,match($A1410,sea_lice!$A:$A,0)))</f>
        <v/>
      </c>
      <c r="R1410" s="40" t="str">
        <f t="array" ref="R1410">iferror(index(dissected_fish!$F:$F,match($A1410,dissected_fish!$A:$A,0)))</f>
        <v>BCA111</v>
      </c>
      <c r="S1410" s="40" t="str">
        <f t="array" ref="S1410">iferror(index(dissected_fish!$K:$K,match($A1410,dissected_fish!$A:$A,0)))</f>
        <v>N</v>
      </c>
      <c r="T1410" s="61" t="str">
        <f t="array" ref="T1410">index(fish_lab_data!O:O,match(A1410,fish_lab_data!C:C,0))</f>
        <v>KB</v>
      </c>
      <c r="U1410" s="61">
        <f t="array" ref="U1410">if(A1410="","",index(fish_lab_data!X:X,match(A1410,fish_lab_data!C:C,0)))</f>
        <v>1409</v>
      </c>
    </row>
    <row r="1411">
      <c r="A1411" t="str">
        <f>fish_lab_data!C1411</f>
        <v>U16477</v>
      </c>
      <c r="B1411" t="str">
        <f t="array" ref="B1411">iferror(index('rna-muscle'!$I:$I,match($A1411,'rna-muscle'!$A:$A,0)))</f>
        <v>BRN77M-B5</v>
      </c>
      <c r="C1411" t="str">
        <f t="array" ref="C1411">iferror(index('rna-muscle'!$L:$L,match($A1411,'rna-muscle'!$A:$A,0)))</f>
        <v>N</v>
      </c>
      <c r="D1411" t="str">
        <f t="array" ref="D1411">iferror(index('rna-gill'!$I:$I,match($A1411,'rna-gill'!$A:$A,0)))</f>
        <v>BRN77G-B5</v>
      </c>
      <c r="E1411" t="str">
        <f t="array" ref="E1411">iferror(index('rna-gill'!$L:$L,match($A1411,'rna-gill'!$A:$A,0)))</f>
        <v>N</v>
      </c>
      <c r="F1411" t="str">
        <f t="array" ref="F1411">iferror(index(fatty_acid!$G:$G,match($A1411,fatty_acid!$A:$A,0)))</f>
        <v>BFA36-68</v>
      </c>
      <c r="G1411" t="str">
        <f t="array" ref="G1411">iferror(index(fatty_acid!$J:$J,match($A1411,fatty_acid!$A:$A,0)))</f>
        <v>N</v>
      </c>
      <c r="H1411" t="str">
        <f t="array" ref="H1411">iferror(index(isotopes!$G:$G,match($A1411,isotopes!$A:$A,0)))</f>
        <v>BIS39-68</v>
      </c>
      <c r="I1411" t="str">
        <f t="array" ref="I1411">iferror(index(isotopes!$J:$J,match($A1411,isotopes!$A:$A,0)))</f>
        <v>N</v>
      </c>
      <c r="J1411" t="str">
        <f t="array" ref="J1411">iferror(index(extra_muscle!$G:$G,match($A1411,extra_muscle!$A:$A,0)))</f>
        <v>BXM38-68</v>
      </c>
      <c r="K1411" t="str">
        <f t="array" ref="K1411">iferror(index(extra_muscle!$J:$J,match($A1411,extra_muscle!$A:$A,0)))</f>
        <v>N</v>
      </c>
      <c r="L1411" s="59" t="str">
        <f t="array" ref="L1411">iferror(index(dna!$G:$G,match($A1411,dna!$A:$A,0)))</f>
        <v>BDN12-44</v>
      </c>
      <c r="M1411" s="60" t="str">
        <f t="array" ref="M1411">iferror(index(dna!$J:$J,match($A1411,dna!$A:$A,0)))</f>
        <v>N</v>
      </c>
      <c r="N1411" t="str">
        <f t="array" ref="N1411">iferror(index(stomachs!$G:$G,match($A1411,stomachs!$A:$A,0)))</f>
        <v/>
      </c>
      <c r="O1411" t="str">
        <f t="array" ref="O1411">iferror(index(stomachs!$J:$J,match($A1411,stomachs!$A:$A,0)))</f>
        <v/>
      </c>
      <c r="P1411" t="str">
        <f t="array" ref="P1411">iferror(index(sea_lice!$G:$G,match($A1411,sea_lice!$A:$A,0)))</f>
        <v/>
      </c>
      <c r="Q1411" t="str">
        <f t="array" ref="Q1411">iferror(index(sea_lice!$J:$J,match($A1411,sea_lice!$A:$A,0)))</f>
        <v/>
      </c>
      <c r="R1411" s="40" t="str">
        <f t="array" ref="R1411">iferror(index(dissected_fish!$F:$F,match($A1411,dissected_fish!$A:$A,0)))</f>
        <v>BCA111</v>
      </c>
      <c r="S1411" s="40" t="str">
        <f t="array" ref="S1411">iferror(index(dissected_fish!$K:$K,match($A1411,dissected_fish!$A:$A,0)))</f>
        <v>N</v>
      </c>
      <c r="T1411" s="61" t="str">
        <f t="array" ref="T1411">index(fish_lab_data!O:O,match(A1411,fish_lab_data!C:C,0))</f>
        <v>KB</v>
      </c>
      <c r="U1411" s="61">
        <f t="array" ref="U1411">if(A1411="","",index(fish_lab_data!X:X,match(A1411,fish_lab_data!C:C,0)))</f>
        <v>1410</v>
      </c>
    </row>
    <row r="1412">
      <c r="A1412" t="str">
        <f>fish_lab_data!C1412</f>
        <v>U16476</v>
      </c>
      <c r="B1412" t="str">
        <f t="array" ref="B1412">iferror(index('rna-muscle'!$I:$I,match($A1412,'rna-muscle'!$A:$A,0)))</f>
        <v>BRN77M-A5</v>
      </c>
      <c r="C1412" t="str">
        <f t="array" ref="C1412">iferror(index('rna-muscle'!$L:$L,match($A1412,'rna-muscle'!$A:$A,0)))</f>
        <v>N</v>
      </c>
      <c r="D1412" t="str">
        <f t="array" ref="D1412">iferror(index('rna-gill'!$I:$I,match($A1412,'rna-gill'!$A:$A,0)))</f>
        <v>BRN77G-A5</v>
      </c>
      <c r="E1412" t="str">
        <f t="array" ref="E1412">iferror(index('rna-gill'!$L:$L,match($A1412,'rna-gill'!$A:$A,0)))</f>
        <v>N</v>
      </c>
      <c r="F1412" t="str">
        <f t="array" ref="F1412">iferror(index(fatty_acid!$G:$G,match($A1412,fatty_acid!$A:$A,0)))</f>
        <v>BFA36-69</v>
      </c>
      <c r="G1412" t="str">
        <f t="array" ref="G1412">iferror(index(fatty_acid!$J:$J,match($A1412,fatty_acid!$A:$A,0)))</f>
        <v>N</v>
      </c>
      <c r="H1412" t="str">
        <f t="array" ref="H1412">iferror(index(isotopes!$G:$G,match($A1412,isotopes!$A:$A,0)))</f>
        <v>BIS39-69</v>
      </c>
      <c r="I1412" t="str">
        <f t="array" ref="I1412">iferror(index(isotopes!$J:$J,match($A1412,isotopes!$A:$A,0)))</f>
        <v>N</v>
      </c>
      <c r="J1412" t="str">
        <f t="array" ref="J1412">iferror(index(extra_muscle!$G:$G,match($A1412,extra_muscle!$A:$A,0)))</f>
        <v>BXM38-69</v>
      </c>
      <c r="K1412" t="str">
        <f t="array" ref="K1412">iferror(index(extra_muscle!$J:$J,match($A1412,extra_muscle!$A:$A,0)))</f>
        <v>N</v>
      </c>
      <c r="L1412" s="59" t="str">
        <f t="array" ref="L1412">iferror(index(dna!$G:$G,match($A1412,dna!$A:$A,0)))</f>
        <v>BDN12-45</v>
      </c>
      <c r="M1412" s="60" t="str">
        <f t="array" ref="M1412">iferror(index(dna!$J:$J,match($A1412,dna!$A:$A,0)))</f>
        <v>N</v>
      </c>
      <c r="N1412" t="str">
        <f t="array" ref="N1412">iferror(index(stomachs!$G:$G,match($A1412,stomachs!$A:$A,0)))</f>
        <v/>
      </c>
      <c r="O1412" t="str">
        <f t="array" ref="O1412">iferror(index(stomachs!$J:$J,match($A1412,stomachs!$A:$A,0)))</f>
        <v/>
      </c>
      <c r="P1412" t="str">
        <f t="array" ref="P1412">iferror(index(sea_lice!$G:$G,match($A1412,sea_lice!$A:$A,0)))</f>
        <v/>
      </c>
      <c r="Q1412" t="str">
        <f t="array" ref="Q1412">iferror(index(sea_lice!$J:$J,match($A1412,sea_lice!$A:$A,0)))</f>
        <v/>
      </c>
      <c r="R1412" s="40" t="str">
        <f t="array" ref="R1412">iferror(index(dissected_fish!$F:$F,match($A1412,dissected_fish!$A:$A,0)))</f>
        <v>BCA111</v>
      </c>
      <c r="S1412" s="40" t="str">
        <f t="array" ref="S1412">iferror(index(dissected_fish!$K:$K,match($A1412,dissected_fish!$A:$A,0)))</f>
        <v>N</v>
      </c>
      <c r="T1412" s="61" t="str">
        <f t="array" ref="T1412">index(fish_lab_data!O:O,match(A1412,fish_lab_data!C:C,0))</f>
        <v>KB</v>
      </c>
      <c r="U1412" s="61">
        <f t="array" ref="U1412">if(A1412="","",index(fish_lab_data!X:X,match(A1412,fish_lab_data!C:C,0)))</f>
        <v>1411</v>
      </c>
    </row>
    <row r="1413">
      <c r="A1413" t="str">
        <f>fish_lab_data!C1413</f>
        <v>U16475</v>
      </c>
      <c r="B1413" t="str">
        <f t="array" ref="B1413">iferror(index('rna-muscle'!$I:$I,match($A1413,'rna-muscle'!$A:$A,0)))</f>
        <v>BRN77M-G6</v>
      </c>
      <c r="C1413" t="str">
        <f t="array" ref="C1413">iferror(index('rna-muscle'!$L:$L,match($A1413,'rna-muscle'!$A:$A,0)))</f>
        <v>N</v>
      </c>
      <c r="D1413" t="str">
        <f t="array" ref="D1413">iferror(index('rna-gill'!$I:$I,match($A1413,'rna-gill'!$A:$A,0)))</f>
        <v>BRN77G-G6</v>
      </c>
      <c r="E1413" t="str">
        <f t="array" ref="E1413">iferror(index('rna-gill'!$L:$L,match($A1413,'rna-gill'!$A:$A,0)))</f>
        <v>N</v>
      </c>
      <c r="F1413" t="str">
        <f t="array" ref="F1413">iferror(index(fatty_acid!$G:$G,match($A1413,fatty_acid!$A:$A,0)))</f>
        <v>BFA36-70</v>
      </c>
      <c r="G1413" t="str">
        <f t="array" ref="G1413">iferror(index(fatty_acid!$J:$J,match($A1413,fatty_acid!$A:$A,0)))</f>
        <v>N</v>
      </c>
      <c r="H1413" t="str">
        <f t="array" ref="H1413">iferror(index(isotopes!$G:$G,match($A1413,isotopes!$A:$A,0)))</f>
        <v>BIS39-70</v>
      </c>
      <c r="I1413" t="str">
        <f t="array" ref="I1413">iferror(index(isotopes!$J:$J,match($A1413,isotopes!$A:$A,0)))</f>
        <v>N</v>
      </c>
      <c r="J1413" t="str">
        <f t="array" ref="J1413">iferror(index(extra_muscle!$G:$G,match($A1413,extra_muscle!$A:$A,0)))</f>
        <v>BXM38-70</v>
      </c>
      <c r="K1413" t="str">
        <f t="array" ref="K1413">iferror(index(extra_muscle!$J:$J,match($A1413,extra_muscle!$A:$A,0)))</f>
        <v>N</v>
      </c>
      <c r="L1413" s="59" t="str">
        <f t="array" ref="L1413">iferror(index(dna!$G:$G,match($A1413,dna!$A:$A,0)))</f>
        <v>BDN12-46</v>
      </c>
      <c r="M1413" s="60" t="str">
        <f t="array" ref="M1413">iferror(index(dna!$J:$J,match($A1413,dna!$A:$A,0)))</f>
        <v>N</v>
      </c>
      <c r="N1413" t="str">
        <f t="array" ref="N1413">iferror(index(stomachs!$G:$G,match($A1413,stomachs!$A:$A,0)))</f>
        <v/>
      </c>
      <c r="O1413" t="str">
        <f t="array" ref="O1413">iferror(index(stomachs!$J:$J,match($A1413,stomachs!$A:$A,0)))</f>
        <v/>
      </c>
      <c r="P1413" t="str">
        <f t="array" ref="P1413">iferror(index(sea_lice!$G:$G,match($A1413,sea_lice!$A:$A,0)))</f>
        <v/>
      </c>
      <c r="Q1413" t="str">
        <f t="array" ref="Q1413">iferror(index(sea_lice!$J:$J,match($A1413,sea_lice!$A:$A,0)))</f>
        <v/>
      </c>
      <c r="R1413" s="40" t="str">
        <f t="array" ref="R1413">iferror(index(dissected_fish!$F:$F,match($A1413,dissected_fish!$A:$A,0)))</f>
        <v>BCA111</v>
      </c>
      <c r="S1413" s="40" t="str">
        <f t="array" ref="S1413">iferror(index(dissected_fish!$K:$K,match($A1413,dissected_fish!$A:$A,0)))</f>
        <v>N</v>
      </c>
      <c r="T1413" s="61" t="str">
        <f t="array" ref="T1413">index(fish_lab_data!O:O,match(A1413,fish_lab_data!C:C,0))</f>
        <v>KB</v>
      </c>
      <c r="U1413" s="61">
        <f t="array" ref="U1413">if(A1413="","",index(fish_lab_data!X:X,match(A1413,fish_lab_data!C:C,0)))</f>
        <v>1412</v>
      </c>
    </row>
    <row r="1414">
      <c r="A1414" t="str">
        <f>fish_lab_data!C1414</f>
        <v>U17305</v>
      </c>
      <c r="B1414" t="str">
        <f t="array" ref="B1414">iferror(index('rna-muscle'!$I:$I,match($A1414,'rna-muscle'!$A:$A,0)))</f>
        <v>BRN76M-D10</v>
      </c>
      <c r="C1414" t="str">
        <f t="array" ref="C1414">iferror(index('rna-muscle'!$L:$L,match($A1414,'rna-muscle'!$A:$A,0)))</f>
        <v>N</v>
      </c>
      <c r="D1414" t="str">
        <f t="array" ref="D1414">iferror(index('rna-gill'!$I:$I,match($A1414,'rna-gill'!$A:$A,0)))</f>
        <v>BRN76G-D10</v>
      </c>
      <c r="E1414" t="str">
        <f t="array" ref="E1414">iferror(index('rna-gill'!$L:$L,match($A1414,'rna-gill'!$A:$A,0)))</f>
        <v>N</v>
      </c>
      <c r="F1414" t="str">
        <f t="array" ref="F1414">iferror(index(fatty_acid!$G:$G,match($A1414,fatty_acid!$A:$A,0)))</f>
        <v>BFA37-26</v>
      </c>
      <c r="G1414" t="str">
        <f t="array" ref="G1414">iferror(index(fatty_acid!$J:$J,match($A1414,fatty_acid!$A:$A,0)))</f>
        <v>N</v>
      </c>
      <c r="H1414" t="str">
        <f t="array" ref="H1414">iferror(index(isotopes!$G:$G,match($A1414,isotopes!$A:$A,0)))</f>
        <v>BIS40-25</v>
      </c>
      <c r="I1414" t="str">
        <f t="array" ref="I1414">iferror(index(isotopes!$J:$J,match($A1414,isotopes!$A:$A,0)))</f>
        <v>N</v>
      </c>
      <c r="J1414" t="str">
        <f t="array" ref="J1414">iferror(index(extra_muscle!$G:$G,match($A1414,extra_muscle!$A:$A,0)))</f>
        <v>BXM37-69</v>
      </c>
      <c r="K1414" t="str">
        <f t="array" ref="K1414">iferror(index(extra_muscle!$J:$J,match($A1414,extra_muscle!$A:$A,0)))</f>
        <v>N</v>
      </c>
      <c r="L1414" s="59" t="str">
        <f t="array" ref="L1414">iferror(index(dna!$G:$G,match($A1414,dna!$A:$A,0)))</f>
        <v>BDN11-43</v>
      </c>
      <c r="M1414" s="60" t="str">
        <f t="array" ref="M1414">iferror(index(dna!$J:$J,match($A1414,dna!$A:$A,0)))</f>
        <v>N</v>
      </c>
      <c r="N1414" t="str">
        <f t="array" ref="N1414">iferror(index(stomachs!$G:$G,match($A1414,stomachs!$A:$A,0)))</f>
        <v/>
      </c>
      <c r="O1414" t="str">
        <f t="array" ref="O1414">iferror(index(stomachs!$J:$J,match($A1414,stomachs!$A:$A,0)))</f>
        <v/>
      </c>
      <c r="P1414" t="str">
        <f t="array" ref="P1414">iferror(index(sea_lice!$G:$G,match($A1414,sea_lice!$A:$A,0)))</f>
        <v/>
      </c>
      <c r="Q1414" t="str">
        <f t="array" ref="Q1414">iferror(index(sea_lice!$J:$J,match($A1414,sea_lice!$A:$A,0)))</f>
        <v/>
      </c>
      <c r="R1414" s="40" t="str">
        <f t="array" ref="R1414">iferror(index(dissected_fish!$F:$F,match($A1414,dissected_fish!$A:$A,0)))</f>
        <v>BCA111</v>
      </c>
      <c r="S1414" s="40" t="str">
        <f t="array" ref="S1414">iferror(index(dissected_fish!$K:$K,match($A1414,dissected_fish!$A:$A,0)))</f>
        <v>N</v>
      </c>
      <c r="T1414" s="61" t="str">
        <f t="array" ref="T1414">index(fish_lab_data!O:O,match(A1414,fish_lab_data!C:C,0))</f>
        <v>JG</v>
      </c>
      <c r="U1414" s="61">
        <f t="array" ref="U1414">if(A1414="","",index(fish_lab_data!X:X,match(A1414,fish_lab_data!C:C,0)))</f>
        <v>1413</v>
      </c>
    </row>
    <row r="1415">
      <c r="A1415" t="str">
        <f>fish_lab_data!C1415</f>
        <v>U17308</v>
      </c>
      <c r="B1415" t="str">
        <f t="array" ref="B1415">iferror(index('rna-muscle'!$I:$I,match($A1415,'rna-muscle'!$A:$A,0)))</f>
        <v>BRN76M-C10</v>
      </c>
      <c r="C1415" t="str">
        <f t="array" ref="C1415">iferror(index('rna-muscle'!$L:$L,match($A1415,'rna-muscle'!$A:$A,0)))</f>
        <v>N</v>
      </c>
      <c r="D1415" t="str">
        <f t="array" ref="D1415">iferror(index('rna-gill'!$I:$I,match($A1415,'rna-gill'!$A:$A,0)))</f>
        <v>BRN76G-C10</v>
      </c>
      <c r="E1415" t="str">
        <f t="array" ref="E1415">iferror(index('rna-gill'!$L:$L,match($A1415,'rna-gill'!$A:$A,0)))</f>
        <v>N</v>
      </c>
      <c r="F1415" t="str">
        <f t="array" ref="F1415">iferror(index(fatty_acid!$G:$G,match($A1415,fatty_acid!$A:$A,0)))</f>
        <v>BFA37-27</v>
      </c>
      <c r="G1415" t="str">
        <f t="array" ref="G1415">iferror(index(fatty_acid!$J:$J,match($A1415,fatty_acid!$A:$A,0)))</f>
        <v>N</v>
      </c>
      <c r="H1415" t="str">
        <f t="array" ref="H1415">iferror(index(isotopes!$G:$G,match($A1415,isotopes!$A:$A,0)))</f>
        <v>BIS40-26</v>
      </c>
      <c r="I1415" t="str">
        <f t="array" ref="I1415">iferror(index(isotopes!$J:$J,match($A1415,isotopes!$A:$A,0)))</f>
        <v>N</v>
      </c>
      <c r="J1415" t="str">
        <f t="array" ref="J1415">iferror(index(extra_muscle!$G:$G,match($A1415,extra_muscle!$A:$A,0)))</f>
        <v>BXM37-70</v>
      </c>
      <c r="K1415" t="str">
        <f t="array" ref="K1415">iferror(index(extra_muscle!$J:$J,match($A1415,extra_muscle!$A:$A,0)))</f>
        <v>N</v>
      </c>
      <c r="L1415" s="59" t="str">
        <f t="array" ref="L1415">iferror(index(dna!$G:$G,match($A1415,dna!$A:$A,0)))</f>
        <v>BDN11-44</v>
      </c>
      <c r="M1415" s="60" t="str">
        <f t="array" ref="M1415">iferror(index(dna!$J:$J,match($A1415,dna!$A:$A,0)))</f>
        <v>N</v>
      </c>
      <c r="N1415" t="str">
        <f t="array" ref="N1415">iferror(index(stomachs!$G:$G,match($A1415,stomachs!$A:$A,0)))</f>
        <v/>
      </c>
      <c r="O1415" t="str">
        <f t="array" ref="O1415">iferror(index(stomachs!$J:$J,match($A1415,stomachs!$A:$A,0)))</f>
        <v/>
      </c>
      <c r="P1415" t="str">
        <f t="array" ref="P1415">iferror(index(sea_lice!$G:$G,match($A1415,sea_lice!$A:$A,0)))</f>
        <v/>
      </c>
      <c r="Q1415" t="str">
        <f t="array" ref="Q1415">iferror(index(sea_lice!$J:$J,match($A1415,sea_lice!$A:$A,0)))</f>
        <v/>
      </c>
      <c r="R1415" s="40" t="str">
        <f t="array" ref="R1415">iferror(index(dissected_fish!$F:$F,match($A1415,dissected_fish!$A:$A,0)))</f>
        <v>BCA111</v>
      </c>
      <c r="S1415" s="40" t="str">
        <f t="array" ref="S1415">iferror(index(dissected_fish!$K:$K,match($A1415,dissected_fish!$A:$A,0)))</f>
        <v>N</v>
      </c>
      <c r="T1415" s="61" t="str">
        <f t="array" ref="T1415">index(fish_lab_data!O:O,match(A1415,fish_lab_data!C:C,0))</f>
        <v>JG</v>
      </c>
      <c r="U1415" s="61">
        <f t="array" ref="U1415">if(A1415="","",index(fish_lab_data!X:X,match(A1415,fish_lab_data!C:C,0)))</f>
        <v>1414</v>
      </c>
    </row>
    <row r="1416">
      <c r="A1416" t="str">
        <f>fish_lab_data!C1416</f>
        <v>U17309</v>
      </c>
      <c r="B1416" t="str">
        <f t="array" ref="B1416">iferror(index('rna-muscle'!$I:$I,match($A1416,'rna-muscle'!$A:$A,0)))</f>
        <v>BRN76M-B10</v>
      </c>
      <c r="C1416" t="str">
        <f t="array" ref="C1416">iferror(index('rna-muscle'!$L:$L,match($A1416,'rna-muscle'!$A:$A,0)))</f>
        <v>N</v>
      </c>
      <c r="D1416" t="str">
        <f t="array" ref="D1416">iferror(index('rna-gill'!$I:$I,match($A1416,'rna-gill'!$A:$A,0)))</f>
        <v>BRN76G-B10</v>
      </c>
      <c r="E1416" t="str">
        <f t="array" ref="E1416">iferror(index('rna-gill'!$L:$L,match($A1416,'rna-gill'!$A:$A,0)))</f>
        <v>N</v>
      </c>
      <c r="F1416" t="str">
        <f t="array" ref="F1416">iferror(index(fatty_acid!$G:$G,match($A1416,fatty_acid!$A:$A,0)))</f>
        <v>BFA37-28</v>
      </c>
      <c r="G1416" t="str">
        <f t="array" ref="G1416">iferror(index(fatty_acid!$J:$J,match($A1416,fatty_acid!$A:$A,0)))</f>
        <v>N</v>
      </c>
      <c r="H1416" t="str">
        <f t="array" ref="H1416">iferror(index(isotopes!$G:$G,match($A1416,isotopes!$A:$A,0)))</f>
        <v>BIS40-27</v>
      </c>
      <c r="I1416" t="str">
        <f t="array" ref="I1416">iferror(index(isotopes!$J:$J,match($A1416,isotopes!$A:$A,0)))</f>
        <v>N</v>
      </c>
      <c r="J1416" t="str">
        <f t="array" ref="J1416">iferror(index(extra_muscle!$G:$G,match($A1416,extra_muscle!$A:$A,0)))</f>
        <v>BXM37-71</v>
      </c>
      <c r="K1416" t="str">
        <f t="array" ref="K1416">iferror(index(extra_muscle!$J:$J,match($A1416,extra_muscle!$A:$A,0)))</f>
        <v>N</v>
      </c>
      <c r="L1416" s="59" t="str">
        <f t="array" ref="L1416">iferror(index(dna!$G:$G,match($A1416,dna!$A:$A,0)))</f>
        <v>BDN11-45</v>
      </c>
      <c r="M1416" s="60" t="str">
        <f t="array" ref="M1416">iferror(index(dna!$J:$J,match($A1416,dna!$A:$A,0)))</f>
        <v>N</v>
      </c>
      <c r="N1416" t="str">
        <f t="array" ref="N1416">iferror(index(stomachs!$G:$G,match($A1416,stomachs!$A:$A,0)))</f>
        <v/>
      </c>
      <c r="O1416" t="str">
        <f t="array" ref="O1416">iferror(index(stomachs!$J:$J,match($A1416,stomachs!$A:$A,0)))</f>
        <v/>
      </c>
      <c r="P1416" t="str">
        <f t="array" ref="P1416">iferror(index(sea_lice!$G:$G,match($A1416,sea_lice!$A:$A,0)))</f>
        <v>BSL8-55</v>
      </c>
      <c r="Q1416" t="str">
        <f t="array" ref="Q1416">iferror(index(sea_lice!$J:$J,match($A1416,sea_lice!$A:$A,0)))</f>
        <v>N</v>
      </c>
      <c r="R1416" s="40" t="str">
        <f t="array" ref="R1416">iferror(index(dissected_fish!$F:$F,match($A1416,dissected_fish!$A:$A,0)))</f>
        <v>BCA111</v>
      </c>
      <c r="S1416" s="40" t="str">
        <f t="array" ref="S1416">iferror(index(dissected_fish!$K:$K,match($A1416,dissected_fish!$A:$A,0)))</f>
        <v>N</v>
      </c>
      <c r="T1416" s="61" t="str">
        <f t="array" ref="T1416">index(fish_lab_data!O:O,match(A1416,fish_lab_data!C:C,0))</f>
        <v>JG</v>
      </c>
      <c r="U1416" s="61">
        <f t="array" ref="U1416">if(A1416="","",index(fish_lab_data!X:X,match(A1416,fish_lab_data!C:C,0)))</f>
        <v>1415</v>
      </c>
    </row>
    <row r="1417">
      <c r="A1417" t="str">
        <f>fish_lab_data!C1417</f>
        <v>U17310</v>
      </c>
      <c r="B1417" t="str">
        <f t="array" ref="B1417">iferror(index('rna-muscle'!$I:$I,match($A1417,'rna-muscle'!$A:$A,0)))</f>
        <v>BRN76M-A10</v>
      </c>
      <c r="C1417" t="str">
        <f t="array" ref="C1417">iferror(index('rna-muscle'!$L:$L,match($A1417,'rna-muscle'!$A:$A,0)))</f>
        <v>N</v>
      </c>
      <c r="D1417" t="str">
        <f t="array" ref="D1417">iferror(index('rna-gill'!$I:$I,match($A1417,'rna-gill'!$A:$A,0)))</f>
        <v>BRN76G-A10</v>
      </c>
      <c r="E1417" t="str">
        <f t="array" ref="E1417">iferror(index('rna-gill'!$L:$L,match($A1417,'rna-gill'!$A:$A,0)))</f>
        <v>N</v>
      </c>
      <c r="F1417" t="str">
        <f t="array" ref="F1417">iferror(index(fatty_acid!$G:$G,match($A1417,fatty_acid!$A:$A,0)))</f>
        <v>BFA37-29</v>
      </c>
      <c r="G1417" t="str">
        <f t="array" ref="G1417">iferror(index(fatty_acid!$J:$J,match($A1417,fatty_acid!$A:$A,0)))</f>
        <v>N</v>
      </c>
      <c r="H1417" t="str">
        <f t="array" ref="H1417">iferror(index(isotopes!$G:$G,match($A1417,isotopes!$A:$A,0)))</f>
        <v>BIS40-28</v>
      </c>
      <c r="I1417" t="str">
        <f t="array" ref="I1417">iferror(index(isotopes!$J:$J,match($A1417,isotopes!$A:$A,0)))</f>
        <v>N</v>
      </c>
      <c r="J1417" t="str">
        <f t="array" ref="J1417">iferror(index(extra_muscle!$G:$G,match($A1417,extra_muscle!$A:$A,0)))</f>
        <v>BXM37-72</v>
      </c>
      <c r="K1417" t="str">
        <f t="array" ref="K1417">iferror(index(extra_muscle!$J:$J,match($A1417,extra_muscle!$A:$A,0)))</f>
        <v>N</v>
      </c>
      <c r="L1417" s="59" t="str">
        <f t="array" ref="L1417">iferror(index(dna!$G:$G,match($A1417,dna!$A:$A,0)))</f>
        <v>BDN11-46</v>
      </c>
      <c r="M1417" s="60" t="str">
        <f t="array" ref="M1417">iferror(index(dna!$J:$J,match($A1417,dna!$A:$A,0)))</f>
        <v>N</v>
      </c>
      <c r="N1417" t="str">
        <f t="array" ref="N1417">iferror(index(stomachs!$G:$G,match($A1417,stomachs!$A:$A,0)))</f>
        <v/>
      </c>
      <c r="O1417" t="str">
        <f t="array" ref="O1417">iferror(index(stomachs!$J:$J,match($A1417,stomachs!$A:$A,0)))</f>
        <v/>
      </c>
      <c r="P1417" t="str">
        <f t="array" ref="P1417">iferror(index(sea_lice!$G:$G,match($A1417,sea_lice!$A:$A,0)))</f>
        <v/>
      </c>
      <c r="Q1417" t="str">
        <f t="array" ref="Q1417">iferror(index(sea_lice!$J:$J,match($A1417,sea_lice!$A:$A,0)))</f>
        <v/>
      </c>
      <c r="R1417" s="40" t="str">
        <f t="array" ref="R1417">iferror(index(dissected_fish!$F:$F,match($A1417,dissected_fish!$A:$A,0)))</f>
        <v>BCA111</v>
      </c>
      <c r="S1417" s="40" t="str">
        <f t="array" ref="S1417">iferror(index(dissected_fish!$K:$K,match($A1417,dissected_fish!$A:$A,0)))</f>
        <v>N</v>
      </c>
      <c r="T1417" s="61" t="str">
        <f t="array" ref="T1417">index(fish_lab_data!O:O,match(A1417,fish_lab_data!C:C,0))</f>
        <v>JG</v>
      </c>
      <c r="U1417" s="61">
        <f t="array" ref="U1417">if(A1417="","",index(fish_lab_data!X:X,match(A1417,fish_lab_data!C:C,0)))</f>
        <v>1416</v>
      </c>
    </row>
    <row r="1418">
      <c r="A1418" t="str">
        <f>fish_lab_data!C1418</f>
        <v>U17302</v>
      </c>
      <c r="B1418" t="str">
        <f t="array" ref="B1418">iferror(index('rna-muscle'!$I:$I,match($A1418,'rna-muscle'!$A:$A,0)))</f>
        <v>BRN76M-H11</v>
      </c>
      <c r="C1418" t="str">
        <f t="array" ref="C1418">iferror(index('rna-muscle'!$L:$L,match($A1418,'rna-muscle'!$A:$A,0)))</f>
        <v>N</v>
      </c>
      <c r="D1418" t="str">
        <f t="array" ref="D1418">iferror(index('rna-gill'!$I:$I,match($A1418,'rna-gill'!$A:$A,0)))</f>
        <v>BRN76G-H11</v>
      </c>
      <c r="E1418" t="str">
        <f t="array" ref="E1418">iferror(index('rna-gill'!$L:$L,match($A1418,'rna-gill'!$A:$A,0)))</f>
        <v>N</v>
      </c>
      <c r="F1418" t="str">
        <f t="array" ref="F1418">iferror(index(fatty_acid!$G:$G,match($A1418,fatty_acid!$A:$A,0)))</f>
        <v>BFA37-30</v>
      </c>
      <c r="G1418" t="str">
        <f t="array" ref="G1418">iferror(index(fatty_acid!$J:$J,match($A1418,fatty_acid!$A:$A,0)))</f>
        <v>N</v>
      </c>
      <c r="H1418" t="str">
        <f t="array" ref="H1418">iferror(index(isotopes!$G:$G,match($A1418,isotopes!$A:$A,0)))</f>
        <v>BIS40-29</v>
      </c>
      <c r="I1418" t="str">
        <f t="array" ref="I1418">iferror(index(isotopes!$J:$J,match($A1418,isotopes!$A:$A,0)))</f>
        <v>N</v>
      </c>
      <c r="J1418" t="str">
        <f t="array" ref="J1418">iferror(index(extra_muscle!$G:$G,match($A1418,extra_muscle!$A:$A,0)))</f>
        <v>BXM37-73</v>
      </c>
      <c r="K1418" t="str">
        <f t="array" ref="K1418">iferror(index(extra_muscle!$J:$J,match($A1418,extra_muscle!$A:$A,0)))</f>
        <v>N</v>
      </c>
      <c r="L1418" s="59" t="str">
        <f t="array" ref="L1418">iferror(index(dna!$G:$G,match($A1418,dna!$A:$A,0)))</f>
        <v>BDN11-47</v>
      </c>
      <c r="M1418" s="60" t="str">
        <f t="array" ref="M1418">iferror(index(dna!$J:$J,match($A1418,dna!$A:$A,0)))</f>
        <v>N</v>
      </c>
      <c r="N1418" t="str">
        <f t="array" ref="N1418">iferror(index(stomachs!$G:$G,match($A1418,stomachs!$A:$A,0)))</f>
        <v/>
      </c>
      <c r="O1418" t="str">
        <f t="array" ref="O1418">iferror(index(stomachs!$J:$J,match($A1418,stomachs!$A:$A,0)))</f>
        <v/>
      </c>
      <c r="P1418" t="str">
        <f t="array" ref="P1418">iferror(index(sea_lice!$G:$G,match($A1418,sea_lice!$A:$A,0)))</f>
        <v/>
      </c>
      <c r="Q1418" t="str">
        <f t="array" ref="Q1418">iferror(index(sea_lice!$J:$J,match($A1418,sea_lice!$A:$A,0)))</f>
        <v/>
      </c>
      <c r="R1418" s="40" t="str">
        <f t="array" ref="R1418">iferror(index(dissected_fish!$F:$F,match($A1418,dissected_fish!$A:$A,0)))</f>
        <v>BCA111</v>
      </c>
      <c r="S1418" s="40" t="str">
        <f t="array" ref="S1418">iferror(index(dissected_fish!$K:$K,match($A1418,dissected_fish!$A:$A,0)))</f>
        <v>N</v>
      </c>
      <c r="T1418" s="61" t="str">
        <f t="array" ref="T1418">index(fish_lab_data!O:O,match(A1418,fish_lab_data!C:C,0))</f>
        <v>JG</v>
      </c>
      <c r="U1418" s="61">
        <f t="array" ref="U1418">if(A1418="","",index(fish_lab_data!X:X,match(A1418,fish_lab_data!C:C,0)))</f>
        <v>1417</v>
      </c>
    </row>
    <row r="1419">
      <c r="A1419" t="str">
        <f>fish_lab_data!C1419</f>
        <v>U17301</v>
      </c>
      <c r="B1419" t="str">
        <f t="array" ref="B1419">iferror(index('rna-muscle'!$I:$I,match($A1419,'rna-muscle'!$A:$A,0)))</f>
        <v>BRN76M-G11</v>
      </c>
      <c r="C1419" t="str">
        <f t="array" ref="C1419">iferror(index('rna-muscle'!$L:$L,match($A1419,'rna-muscle'!$A:$A,0)))</f>
        <v>N</v>
      </c>
      <c r="D1419" t="str">
        <f t="array" ref="D1419">iferror(index('rna-gill'!$I:$I,match($A1419,'rna-gill'!$A:$A,0)))</f>
        <v>BRN76G-G11</v>
      </c>
      <c r="E1419" t="str">
        <f t="array" ref="E1419">iferror(index('rna-gill'!$L:$L,match($A1419,'rna-gill'!$A:$A,0)))</f>
        <v>N</v>
      </c>
      <c r="F1419" t="str">
        <f t="array" ref="F1419">iferror(index(fatty_acid!$G:$G,match($A1419,fatty_acid!$A:$A,0)))</f>
        <v>BFA37-31</v>
      </c>
      <c r="G1419" t="str">
        <f t="array" ref="G1419">iferror(index(fatty_acid!$J:$J,match($A1419,fatty_acid!$A:$A,0)))</f>
        <v>N</v>
      </c>
      <c r="H1419" t="str">
        <f t="array" ref="H1419">iferror(index(isotopes!$G:$G,match($A1419,isotopes!$A:$A,0)))</f>
        <v>BIS40-30</v>
      </c>
      <c r="I1419" t="str">
        <f t="array" ref="I1419">iferror(index(isotopes!$J:$J,match($A1419,isotopes!$A:$A,0)))</f>
        <v>N</v>
      </c>
      <c r="J1419" t="str">
        <f t="array" ref="J1419">iferror(index(extra_muscle!$G:$G,match($A1419,extra_muscle!$A:$A,0)))</f>
        <v>BXM37-74</v>
      </c>
      <c r="K1419" t="str">
        <f t="array" ref="K1419">iferror(index(extra_muscle!$J:$J,match($A1419,extra_muscle!$A:$A,0)))</f>
        <v>N</v>
      </c>
      <c r="L1419" s="59" t="str">
        <f t="array" ref="L1419">iferror(index(dna!$G:$G,match($A1419,dna!$A:$A,0)))</f>
        <v>BDN11-48</v>
      </c>
      <c r="M1419" s="60" t="str">
        <f t="array" ref="M1419">iferror(index(dna!$J:$J,match($A1419,dna!$A:$A,0)))</f>
        <v>N</v>
      </c>
      <c r="N1419" t="str">
        <f t="array" ref="N1419">iferror(index(stomachs!$G:$G,match($A1419,stomachs!$A:$A,0)))</f>
        <v/>
      </c>
      <c r="O1419" t="str">
        <f t="array" ref="O1419">iferror(index(stomachs!$J:$J,match($A1419,stomachs!$A:$A,0)))</f>
        <v/>
      </c>
      <c r="P1419" t="str">
        <f t="array" ref="P1419">iferror(index(sea_lice!$G:$G,match($A1419,sea_lice!$A:$A,0)))</f>
        <v/>
      </c>
      <c r="Q1419" t="str">
        <f t="array" ref="Q1419">iferror(index(sea_lice!$J:$J,match($A1419,sea_lice!$A:$A,0)))</f>
        <v/>
      </c>
      <c r="R1419" s="40" t="str">
        <f t="array" ref="R1419">iferror(index(dissected_fish!$F:$F,match($A1419,dissected_fish!$A:$A,0)))</f>
        <v>BCA111</v>
      </c>
      <c r="S1419" s="40" t="str">
        <f t="array" ref="S1419">iferror(index(dissected_fish!$K:$K,match($A1419,dissected_fish!$A:$A,0)))</f>
        <v>N</v>
      </c>
      <c r="T1419" s="61" t="str">
        <f t="array" ref="T1419">index(fish_lab_data!O:O,match(A1419,fish_lab_data!C:C,0))</f>
        <v>JG</v>
      </c>
      <c r="U1419" s="61">
        <f t="array" ref="U1419">if(A1419="","",index(fish_lab_data!X:X,match(A1419,fish_lab_data!C:C,0)))</f>
        <v>1418</v>
      </c>
    </row>
    <row r="1420">
      <c r="A1420" t="str">
        <f>fish_lab_data!C1420</f>
        <v>U17307</v>
      </c>
      <c r="B1420" t="str">
        <f t="array" ref="B1420">iferror(index('rna-muscle'!$I:$I,match($A1420,'rna-muscle'!$A:$A,0)))</f>
        <v>BRN76M-F11</v>
      </c>
      <c r="C1420" t="str">
        <f t="array" ref="C1420">iferror(index('rna-muscle'!$L:$L,match($A1420,'rna-muscle'!$A:$A,0)))</f>
        <v>N</v>
      </c>
      <c r="D1420" t="str">
        <f t="array" ref="D1420">iferror(index('rna-gill'!$I:$I,match($A1420,'rna-gill'!$A:$A,0)))</f>
        <v>BRN76G-F11</v>
      </c>
      <c r="E1420" t="str">
        <f t="array" ref="E1420">iferror(index('rna-gill'!$L:$L,match($A1420,'rna-gill'!$A:$A,0)))</f>
        <v>N</v>
      </c>
      <c r="F1420" t="str">
        <f t="array" ref="F1420">iferror(index(fatty_acid!$G:$G,match($A1420,fatty_acid!$A:$A,0)))</f>
        <v>BFA37-32</v>
      </c>
      <c r="G1420" t="str">
        <f t="array" ref="G1420">iferror(index(fatty_acid!$J:$J,match($A1420,fatty_acid!$A:$A,0)))</f>
        <v>N</v>
      </c>
      <c r="H1420" t="str">
        <f t="array" ref="H1420">iferror(index(isotopes!$G:$G,match($A1420,isotopes!$A:$A,0)))</f>
        <v>BIS40-31</v>
      </c>
      <c r="I1420" t="str">
        <f t="array" ref="I1420">iferror(index(isotopes!$J:$J,match($A1420,isotopes!$A:$A,0)))</f>
        <v>N</v>
      </c>
      <c r="J1420" t="str">
        <f t="array" ref="J1420">iferror(index(extra_muscle!$G:$G,match($A1420,extra_muscle!$A:$A,0)))</f>
        <v>BXM37-75</v>
      </c>
      <c r="K1420" t="str">
        <f t="array" ref="K1420">iferror(index(extra_muscle!$J:$J,match($A1420,extra_muscle!$A:$A,0)))</f>
        <v>N</v>
      </c>
      <c r="L1420" s="59" t="str">
        <f t="array" ref="L1420">iferror(index(dna!$G:$G,match($A1420,dna!$A:$A,0)))</f>
        <v>BDN11-49</v>
      </c>
      <c r="M1420" s="60" t="str">
        <f t="array" ref="M1420">iferror(index(dna!$J:$J,match($A1420,dna!$A:$A,0)))</f>
        <v>N</v>
      </c>
      <c r="N1420" t="str">
        <f t="array" ref="N1420">iferror(index(stomachs!$G:$G,match($A1420,stomachs!$A:$A,0)))</f>
        <v/>
      </c>
      <c r="O1420" t="str">
        <f t="array" ref="O1420">iferror(index(stomachs!$J:$J,match($A1420,stomachs!$A:$A,0)))</f>
        <v/>
      </c>
      <c r="P1420" t="str">
        <f t="array" ref="P1420">iferror(index(sea_lice!$G:$G,match($A1420,sea_lice!$A:$A,0)))</f>
        <v>BSL8-57</v>
      </c>
      <c r="Q1420" t="str">
        <f t="array" ref="Q1420">iferror(index(sea_lice!$J:$J,match($A1420,sea_lice!$A:$A,0)))</f>
        <v>N</v>
      </c>
      <c r="R1420" s="40" t="str">
        <f t="array" ref="R1420">iferror(index(dissected_fish!$F:$F,match($A1420,dissected_fish!$A:$A,0)))</f>
        <v>BCA111</v>
      </c>
      <c r="S1420" s="40" t="str">
        <f t="array" ref="S1420">iferror(index(dissected_fish!$K:$K,match($A1420,dissected_fish!$A:$A,0)))</f>
        <v>N</v>
      </c>
      <c r="T1420" s="61" t="str">
        <f t="array" ref="T1420">index(fish_lab_data!O:O,match(A1420,fish_lab_data!C:C,0))</f>
        <v>JG</v>
      </c>
      <c r="U1420" s="61">
        <f t="array" ref="U1420">if(A1420="","",index(fish_lab_data!X:X,match(A1420,fish_lab_data!C:C,0)))</f>
        <v>1419</v>
      </c>
    </row>
    <row r="1421">
      <c r="A1421" t="str">
        <f>fish_lab_data!C1421</f>
        <v>U17303</v>
      </c>
      <c r="B1421" t="str">
        <f t="array" ref="B1421">iferror(index('rna-muscle'!$I:$I,match($A1421,'rna-muscle'!$A:$A,0)))</f>
        <v>BRN76M-E11</v>
      </c>
      <c r="C1421" t="str">
        <f t="array" ref="C1421">iferror(index('rna-muscle'!$L:$L,match($A1421,'rna-muscle'!$A:$A,0)))</f>
        <v>N</v>
      </c>
      <c r="D1421" t="str">
        <f t="array" ref="D1421">iferror(index('rna-gill'!$I:$I,match($A1421,'rna-gill'!$A:$A,0)))</f>
        <v>BRN76G-E11</v>
      </c>
      <c r="E1421" t="str">
        <f t="array" ref="E1421">iferror(index('rna-gill'!$L:$L,match($A1421,'rna-gill'!$A:$A,0)))</f>
        <v>N</v>
      </c>
      <c r="F1421" t="str">
        <f t="array" ref="F1421">iferror(index(fatty_acid!$G:$G,match($A1421,fatty_acid!$A:$A,0)))</f>
        <v>BFA37-33</v>
      </c>
      <c r="G1421" t="str">
        <f t="array" ref="G1421">iferror(index(fatty_acid!$J:$J,match($A1421,fatty_acid!$A:$A,0)))</f>
        <v>N</v>
      </c>
      <c r="H1421" t="str">
        <f t="array" ref="H1421">iferror(index(isotopes!$G:$G,match($A1421,isotopes!$A:$A,0)))</f>
        <v>BIS40-32</v>
      </c>
      <c r="I1421" t="str">
        <f t="array" ref="I1421">iferror(index(isotopes!$J:$J,match($A1421,isotopes!$A:$A,0)))</f>
        <v>N</v>
      </c>
      <c r="J1421" t="str">
        <f t="array" ref="J1421">iferror(index(extra_muscle!$G:$G,match($A1421,extra_muscle!$A:$A,0)))</f>
        <v>BXM37-76</v>
      </c>
      <c r="K1421" t="str">
        <f t="array" ref="K1421">iferror(index(extra_muscle!$J:$J,match($A1421,extra_muscle!$A:$A,0)))</f>
        <v>N</v>
      </c>
      <c r="L1421" s="59" t="str">
        <f t="array" ref="L1421">iferror(index(dna!$G:$G,match($A1421,dna!$A:$A,0)))</f>
        <v>BDN11-50</v>
      </c>
      <c r="M1421" s="60" t="str">
        <f t="array" ref="M1421">iferror(index(dna!$J:$J,match($A1421,dna!$A:$A,0)))</f>
        <v>N</v>
      </c>
      <c r="N1421" t="str">
        <f t="array" ref="N1421">iferror(index(stomachs!$G:$G,match($A1421,stomachs!$A:$A,0)))</f>
        <v/>
      </c>
      <c r="O1421" t="str">
        <f t="array" ref="O1421">iferror(index(stomachs!$J:$J,match($A1421,stomachs!$A:$A,0)))</f>
        <v/>
      </c>
      <c r="P1421" t="str">
        <f t="array" ref="P1421">iferror(index(sea_lice!$G:$G,match($A1421,sea_lice!$A:$A,0)))</f>
        <v/>
      </c>
      <c r="Q1421" t="str">
        <f t="array" ref="Q1421">iferror(index(sea_lice!$J:$J,match($A1421,sea_lice!$A:$A,0)))</f>
        <v/>
      </c>
      <c r="R1421" s="40" t="str">
        <f t="array" ref="R1421">iferror(index(dissected_fish!$F:$F,match($A1421,dissected_fish!$A:$A,0)))</f>
        <v>BCA111</v>
      </c>
      <c r="S1421" s="40" t="str">
        <f t="array" ref="S1421">iferror(index(dissected_fish!$K:$K,match($A1421,dissected_fish!$A:$A,0)))</f>
        <v>N</v>
      </c>
      <c r="T1421" s="61" t="str">
        <f t="array" ref="T1421">index(fish_lab_data!O:O,match(A1421,fish_lab_data!C:C,0))</f>
        <v>JG</v>
      </c>
      <c r="U1421" s="61">
        <f t="array" ref="U1421">if(A1421="","",index(fish_lab_data!X:X,match(A1421,fish_lab_data!C:C,0)))</f>
        <v>1420</v>
      </c>
    </row>
    <row r="1422">
      <c r="A1422" t="str">
        <f>fish_lab_data!C1422</f>
        <v>U17306</v>
      </c>
      <c r="B1422" t="str">
        <f t="array" ref="B1422">iferror(index('rna-muscle'!$I:$I,match($A1422,'rna-muscle'!$A:$A,0)))</f>
        <v>BRN76M-D11</v>
      </c>
      <c r="C1422" t="str">
        <f t="array" ref="C1422">iferror(index('rna-muscle'!$L:$L,match($A1422,'rna-muscle'!$A:$A,0)))</f>
        <v>N</v>
      </c>
      <c r="D1422" t="str">
        <f t="array" ref="D1422">iferror(index('rna-gill'!$I:$I,match($A1422,'rna-gill'!$A:$A,0)))</f>
        <v>BRN76G-D11</v>
      </c>
      <c r="E1422" t="str">
        <f t="array" ref="E1422">iferror(index('rna-gill'!$L:$L,match($A1422,'rna-gill'!$A:$A,0)))</f>
        <v>N</v>
      </c>
      <c r="F1422" t="str">
        <f t="array" ref="F1422">iferror(index(fatty_acid!$G:$G,match($A1422,fatty_acid!$A:$A,0)))</f>
        <v>BFA37-34</v>
      </c>
      <c r="G1422" t="str">
        <f t="array" ref="G1422">iferror(index(fatty_acid!$J:$J,match($A1422,fatty_acid!$A:$A,0)))</f>
        <v>N</v>
      </c>
      <c r="H1422" t="str">
        <f t="array" ref="H1422">iferror(index(isotopes!$G:$G,match($A1422,isotopes!$A:$A,0)))</f>
        <v>BIS40-33</v>
      </c>
      <c r="I1422" t="str">
        <f t="array" ref="I1422">iferror(index(isotopes!$J:$J,match($A1422,isotopes!$A:$A,0)))</f>
        <v>N</v>
      </c>
      <c r="J1422" t="str">
        <f t="array" ref="J1422">iferror(index(extra_muscle!$G:$G,match($A1422,extra_muscle!$A:$A,0)))</f>
        <v>BXM37-77</v>
      </c>
      <c r="K1422" t="str">
        <f t="array" ref="K1422">iferror(index(extra_muscle!$J:$J,match($A1422,extra_muscle!$A:$A,0)))</f>
        <v>N</v>
      </c>
      <c r="L1422" s="59" t="str">
        <f t="array" ref="L1422">iferror(index(dna!$G:$G,match($A1422,dna!$A:$A,0)))</f>
        <v>BDN11-51</v>
      </c>
      <c r="M1422" s="60" t="str">
        <f t="array" ref="M1422">iferror(index(dna!$J:$J,match($A1422,dna!$A:$A,0)))</f>
        <v>N</v>
      </c>
      <c r="N1422" t="str">
        <f t="array" ref="N1422">iferror(index(stomachs!$G:$G,match($A1422,stomachs!$A:$A,0)))</f>
        <v/>
      </c>
      <c r="O1422" t="str">
        <f t="array" ref="O1422">iferror(index(stomachs!$J:$J,match($A1422,stomachs!$A:$A,0)))</f>
        <v/>
      </c>
      <c r="P1422" t="str">
        <f t="array" ref="P1422">iferror(index(sea_lice!$G:$G,match($A1422,sea_lice!$A:$A,0)))</f>
        <v/>
      </c>
      <c r="Q1422" t="str">
        <f t="array" ref="Q1422">iferror(index(sea_lice!$J:$J,match($A1422,sea_lice!$A:$A,0)))</f>
        <v/>
      </c>
      <c r="R1422" s="40" t="str">
        <f t="array" ref="R1422">iferror(index(dissected_fish!$F:$F,match($A1422,dissected_fish!$A:$A,0)))</f>
        <v>BCA111</v>
      </c>
      <c r="S1422" s="40" t="str">
        <f t="array" ref="S1422">iferror(index(dissected_fish!$K:$K,match($A1422,dissected_fish!$A:$A,0)))</f>
        <v>N</v>
      </c>
      <c r="T1422" s="61" t="str">
        <f t="array" ref="T1422">index(fish_lab_data!O:O,match(A1422,fish_lab_data!C:C,0))</f>
        <v>JG</v>
      </c>
      <c r="U1422" s="61">
        <f t="array" ref="U1422">if(A1422="","",index(fish_lab_data!X:X,match(A1422,fish_lab_data!C:C,0)))</f>
        <v>1421</v>
      </c>
    </row>
    <row r="1423">
      <c r="A1423" t="str">
        <f>fish_lab_data!C1423</f>
        <v>U17304</v>
      </c>
      <c r="B1423" t="str">
        <f t="array" ref="B1423">iferror(index('rna-muscle'!$I:$I,match($A1423,'rna-muscle'!$A:$A,0)))</f>
        <v>BRN76M-C11</v>
      </c>
      <c r="C1423" t="str">
        <f t="array" ref="C1423">iferror(index('rna-muscle'!$L:$L,match($A1423,'rna-muscle'!$A:$A,0)))</f>
        <v>N</v>
      </c>
      <c r="D1423" t="str">
        <f t="array" ref="D1423">iferror(index('rna-gill'!$I:$I,match($A1423,'rna-gill'!$A:$A,0)))</f>
        <v>BRN76G-C11</v>
      </c>
      <c r="E1423" t="str">
        <f t="array" ref="E1423">iferror(index('rna-gill'!$L:$L,match($A1423,'rna-gill'!$A:$A,0)))</f>
        <v>N</v>
      </c>
      <c r="F1423" t="str">
        <f t="array" ref="F1423">iferror(index(fatty_acid!$G:$G,match($A1423,fatty_acid!$A:$A,0)))</f>
        <v>BFA37-35</v>
      </c>
      <c r="G1423" t="str">
        <f t="array" ref="G1423">iferror(index(fatty_acid!$J:$J,match($A1423,fatty_acid!$A:$A,0)))</f>
        <v>N</v>
      </c>
      <c r="H1423" t="str">
        <f t="array" ref="H1423">iferror(index(isotopes!$G:$G,match($A1423,isotopes!$A:$A,0)))</f>
        <v>BIS40-34</v>
      </c>
      <c r="I1423" t="str">
        <f t="array" ref="I1423">iferror(index(isotopes!$J:$J,match($A1423,isotopes!$A:$A,0)))</f>
        <v>N</v>
      </c>
      <c r="J1423" t="str">
        <f t="array" ref="J1423">iferror(index(extra_muscle!$G:$G,match($A1423,extra_muscle!$A:$A,0)))</f>
        <v>BXM37-78</v>
      </c>
      <c r="K1423" t="str">
        <f t="array" ref="K1423">iferror(index(extra_muscle!$J:$J,match($A1423,extra_muscle!$A:$A,0)))</f>
        <v>N</v>
      </c>
      <c r="L1423" s="59" t="str">
        <f t="array" ref="L1423">iferror(index(dna!$G:$G,match($A1423,dna!$A:$A,0)))</f>
        <v>BDN11-52</v>
      </c>
      <c r="M1423" s="60" t="str">
        <f t="array" ref="M1423">iferror(index(dna!$J:$J,match($A1423,dna!$A:$A,0)))</f>
        <v>N</v>
      </c>
      <c r="N1423" t="str">
        <f t="array" ref="N1423">iferror(index(stomachs!$G:$G,match($A1423,stomachs!$A:$A,0)))</f>
        <v/>
      </c>
      <c r="O1423" t="str">
        <f t="array" ref="O1423">iferror(index(stomachs!$J:$J,match($A1423,stomachs!$A:$A,0)))</f>
        <v/>
      </c>
      <c r="P1423" t="str">
        <f t="array" ref="P1423">iferror(index(sea_lice!$G:$G,match($A1423,sea_lice!$A:$A,0)))</f>
        <v/>
      </c>
      <c r="Q1423" t="str">
        <f t="array" ref="Q1423">iferror(index(sea_lice!$J:$J,match($A1423,sea_lice!$A:$A,0)))</f>
        <v/>
      </c>
      <c r="R1423" s="40" t="str">
        <f t="array" ref="R1423">iferror(index(dissected_fish!$F:$F,match($A1423,dissected_fish!$A:$A,0)))</f>
        <v>BCA111</v>
      </c>
      <c r="S1423" s="40" t="str">
        <f t="array" ref="S1423">iferror(index(dissected_fish!$K:$K,match($A1423,dissected_fish!$A:$A,0)))</f>
        <v>N</v>
      </c>
      <c r="T1423" s="61" t="str">
        <f t="array" ref="T1423">index(fish_lab_data!O:O,match(A1423,fish_lab_data!C:C,0))</f>
        <v>JG</v>
      </c>
      <c r="U1423" s="61">
        <f t="array" ref="U1423">if(A1423="","",index(fish_lab_data!X:X,match(A1423,fish_lab_data!C:C,0)))</f>
        <v>1422</v>
      </c>
    </row>
    <row r="1424">
      <c r="A1424" t="str">
        <f>fish_lab_data!C1424</f>
        <v>U17471</v>
      </c>
      <c r="B1424" t="str">
        <f t="array" ref="B1424">iferror(index('rna-muscle'!$I:$I,match($A1424,'rna-muscle'!$A:$A,0)))</f>
        <v>BRN76M-B11</v>
      </c>
      <c r="C1424" t="str">
        <f t="array" ref="C1424">iferror(index('rna-muscle'!$L:$L,match($A1424,'rna-muscle'!$A:$A,0)))</f>
        <v>N</v>
      </c>
      <c r="D1424" t="str">
        <f t="array" ref="D1424">iferror(index('rna-gill'!$I:$I,match($A1424,'rna-gill'!$A:$A,0)))</f>
        <v>BRN76G-B11</v>
      </c>
      <c r="E1424" t="str">
        <f t="array" ref="E1424">iferror(index('rna-gill'!$L:$L,match($A1424,'rna-gill'!$A:$A,0)))</f>
        <v>N</v>
      </c>
      <c r="F1424" t="str">
        <f t="array" ref="F1424">iferror(index(fatty_acid!$G:$G,match($A1424,fatty_acid!$A:$A,0)))</f>
        <v>BFA37-36</v>
      </c>
      <c r="G1424" t="str">
        <f t="array" ref="G1424">iferror(index(fatty_acid!$J:$J,match($A1424,fatty_acid!$A:$A,0)))</f>
        <v>N</v>
      </c>
      <c r="H1424" t="str">
        <f t="array" ref="H1424">iferror(index(isotopes!$G:$G,match($A1424,isotopes!$A:$A,0)))</f>
        <v>BIS40-35</v>
      </c>
      <c r="I1424" t="str">
        <f t="array" ref="I1424">iferror(index(isotopes!$J:$J,match($A1424,isotopes!$A:$A,0)))</f>
        <v>N</v>
      </c>
      <c r="J1424" t="str">
        <f t="array" ref="J1424">iferror(index(extra_muscle!$G:$G,match($A1424,extra_muscle!$A:$A,0)))</f>
        <v>BXM37-79</v>
      </c>
      <c r="K1424" t="str">
        <f t="array" ref="K1424">iferror(index(extra_muscle!$J:$J,match($A1424,extra_muscle!$A:$A,0)))</f>
        <v>N</v>
      </c>
      <c r="L1424" s="59" t="str">
        <f t="array" ref="L1424">iferror(index(dna!$G:$G,match($A1424,dna!$A:$A,0)))</f>
        <v>BDN11-53</v>
      </c>
      <c r="M1424" s="60" t="str">
        <f t="array" ref="M1424">iferror(index(dna!$J:$J,match($A1424,dna!$A:$A,0)))</f>
        <v>N</v>
      </c>
      <c r="N1424" t="str">
        <f t="array" ref="N1424">iferror(index(stomachs!$G:$G,match($A1424,stomachs!$A:$A,0)))</f>
        <v/>
      </c>
      <c r="O1424" t="str">
        <f t="array" ref="O1424">iferror(index(stomachs!$J:$J,match($A1424,stomachs!$A:$A,0)))</f>
        <v/>
      </c>
      <c r="P1424" t="str">
        <f t="array" ref="P1424">iferror(index(sea_lice!$G:$G,match($A1424,sea_lice!$A:$A,0)))</f>
        <v/>
      </c>
      <c r="Q1424" t="str">
        <f t="array" ref="Q1424">iferror(index(sea_lice!$J:$J,match($A1424,sea_lice!$A:$A,0)))</f>
        <v/>
      </c>
      <c r="R1424" s="40" t="str">
        <f t="array" ref="R1424">iferror(index(dissected_fish!$F:$F,match($A1424,dissected_fish!$A:$A,0)))</f>
        <v>BCA111</v>
      </c>
      <c r="S1424" s="40" t="str">
        <f t="array" ref="S1424">iferror(index(dissected_fish!$K:$K,match($A1424,dissected_fish!$A:$A,0)))</f>
        <v>N</v>
      </c>
      <c r="T1424" s="61" t="str">
        <f t="array" ref="T1424">index(fish_lab_data!O:O,match(A1424,fish_lab_data!C:C,0))</f>
        <v>JG</v>
      </c>
      <c r="U1424" s="61">
        <f t="array" ref="U1424">if(A1424="","",index(fish_lab_data!X:X,match(A1424,fish_lab_data!C:C,0)))</f>
        <v>1423</v>
      </c>
    </row>
    <row r="1425">
      <c r="A1425" t="str">
        <f>fish_lab_data!C1425</f>
        <v>U17480</v>
      </c>
      <c r="B1425" t="str">
        <f t="array" ref="B1425">iferror(index('rna-muscle'!$I:$I,match($A1425,'rna-muscle'!$A:$A,0)))</f>
        <v>BRN76M-A11</v>
      </c>
      <c r="C1425" t="str">
        <f t="array" ref="C1425">iferror(index('rna-muscle'!$L:$L,match($A1425,'rna-muscle'!$A:$A,0)))</f>
        <v>N</v>
      </c>
      <c r="D1425" t="str">
        <f t="array" ref="D1425">iferror(index('rna-gill'!$I:$I,match($A1425,'rna-gill'!$A:$A,0)))</f>
        <v>BRN76G-A11</v>
      </c>
      <c r="E1425" t="str">
        <f t="array" ref="E1425">iferror(index('rna-gill'!$L:$L,match($A1425,'rna-gill'!$A:$A,0)))</f>
        <v>N</v>
      </c>
      <c r="F1425" t="str">
        <f t="array" ref="F1425">iferror(index(fatty_acid!$G:$G,match($A1425,fatty_acid!$A:$A,0)))</f>
        <v>BFA37-37</v>
      </c>
      <c r="G1425" t="str">
        <f t="array" ref="G1425">iferror(index(fatty_acid!$J:$J,match($A1425,fatty_acid!$A:$A,0)))</f>
        <v>N</v>
      </c>
      <c r="H1425" t="str">
        <f t="array" ref="H1425">iferror(index(isotopes!$G:$G,match($A1425,isotopes!$A:$A,0)))</f>
        <v>BIS40-36</v>
      </c>
      <c r="I1425" t="str">
        <f t="array" ref="I1425">iferror(index(isotopes!$J:$J,match($A1425,isotopes!$A:$A,0)))</f>
        <v>N</v>
      </c>
      <c r="J1425" t="str">
        <f t="array" ref="J1425">iferror(index(extra_muscle!$G:$G,match($A1425,extra_muscle!$A:$A,0)))</f>
        <v>BXM37-80</v>
      </c>
      <c r="K1425" t="str">
        <f t="array" ref="K1425">iferror(index(extra_muscle!$J:$J,match($A1425,extra_muscle!$A:$A,0)))</f>
        <v>N</v>
      </c>
      <c r="L1425" s="59" t="str">
        <f t="array" ref="L1425">iferror(index(dna!$G:$G,match($A1425,dna!$A:$A,0)))</f>
        <v>BDN11-54</v>
      </c>
      <c r="M1425" s="60" t="str">
        <f t="array" ref="M1425">iferror(index(dna!$J:$J,match($A1425,dna!$A:$A,0)))</f>
        <v>N</v>
      </c>
      <c r="N1425" t="str">
        <f t="array" ref="N1425">iferror(index(stomachs!$G:$G,match($A1425,stomachs!$A:$A,0)))</f>
        <v/>
      </c>
      <c r="O1425" t="str">
        <f t="array" ref="O1425">iferror(index(stomachs!$J:$J,match($A1425,stomachs!$A:$A,0)))</f>
        <v/>
      </c>
      <c r="P1425" t="str">
        <f t="array" ref="P1425">iferror(index(sea_lice!$G:$G,match($A1425,sea_lice!$A:$A,0)))</f>
        <v>BSL2-92</v>
      </c>
      <c r="Q1425" t="str">
        <f t="array" ref="Q1425">iferror(index(sea_lice!$J:$J,match($A1425,sea_lice!$A:$A,0)))</f>
        <v>N</v>
      </c>
      <c r="R1425" s="40" t="str">
        <f t="array" ref="R1425">iferror(index(dissected_fish!$F:$F,match($A1425,dissected_fish!$A:$A,0)))</f>
        <v>BCA111</v>
      </c>
      <c r="S1425" s="40" t="str">
        <f t="array" ref="S1425">iferror(index(dissected_fish!$K:$K,match($A1425,dissected_fish!$A:$A,0)))</f>
        <v>N</v>
      </c>
      <c r="T1425" s="61" t="str">
        <f t="array" ref="T1425">index(fish_lab_data!O:O,match(A1425,fish_lab_data!C:C,0))</f>
        <v>JG</v>
      </c>
      <c r="U1425" s="61">
        <f t="array" ref="U1425">if(A1425="","",index(fish_lab_data!X:X,match(A1425,fish_lab_data!C:C,0)))</f>
        <v>1424</v>
      </c>
    </row>
    <row r="1426">
      <c r="A1426" t="str">
        <f>fish_lab_data!C1426</f>
        <v>U17472</v>
      </c>
      <c r="B1426" t="str">
        <f t="array" ref="B1426">iferror(index('rna-muscle'!$I:$I,match($A1426,'rna-muscle'!$A:$A,0)))</f>
        <v>BRN77M-H2</v>
      </c>
      <c r="C1426" t="str">
        <f t="array" ref="C1426">iferror(index('rna-muscle'!$L:$L,match($A1426,'rna-muscle'!$A:$A,0)))</f>
        <v>N</v>
      </c>
      <c r="D1426" t="str">
        <f t="array" ref="D1426">iferror(index('rna-gill'!$I:$I,match($A1426,'rna-gill'!$A:$A,0)))</f>
        <v>BRN77G-H2</v>
      </c>
      <c r="E1426" t="str">
        <f t="array" ref="E1426">iferror(index('rna-gill'!$L:$L,match($A1426,'rna-gill'!$A:$A,0)))</f>
        <v>N</v>
      </c>
      <c r="F1426" t="str">
        <f t="array" ref="F1426">iferror(index(fatty_acid!$G:$G,match($A1426,fatty_acid!$A:$A,0)))</f>
        <v>BFA37-38</v>
      </c>
      <c r="G1426" t="str">
        <f t="array" ref="G1426">iferror(index(fatty_acid!$J:$J,match($A1426,fatty_acid!$A:$A,0)))</f>
        <v>N</v>
      </c>
      <c r="H1426" t="str">
        <f t="array" ref="H1426">iferror(index(isotopes!$G:$G,match($A1426,isotopes!$A:$A,0)))</f>
        <v>BIS40-37</v>
      </c>
      <c r="I1426" t="str">
        <f t="array" ref="I1426">iferror(index(isotopes!$J:$J,match($A1426,isotopes!$A:$A,0)))</f>
        <v>N</v>
      </c>
      <c r="J1426" t="str">
        <f t="array" ref="J1426">iferror(index(extra_muscle!$G:$G,match($A1426,extra_muscle!$A:$A,0)))</f>
        <v>BXM37-81</v>
      </c>
      <c r="K1426" t="str">
        <f t="array" ref="K1426">iferror(index(extra_muscle!$J:$J,match($A1426,extra_muscle!$A:$A,0)))</f>
        <v>N</v>
      </c>
      <c r="L1426" s="59" t="str">
        <f t="array" ref="L1426">iferror(index(dna!$G:$G,match($A1426,dna!$A:$A,0)))</f>
        <v>BDN11-55</v>
      </c>
      <c r="M1426" s="60" t="str">
        <f t="array" ref="M1426">iferror(index(dna!$J:$J,match($A1426,dna!$A:$A,0)))</f>
        <v>N</v>
      </c>
      <c r="N1426" t="str">
        <f t="array" ref="N1426">iferror(index(stomachs!$G:$G,match($A1426,stomachs!$A:$A,0)))</f>
        <v/>
      </c>
      <c r="O1426" t="str">
        <f t="array" ref="O1426">iferror(index(stomachs!$J:$J,match($A1426,stomachs!$A:$A,0)))</f>
        <v/>
      </c>
      <c r="P1426" t="str">
        <f t="array" ref="P1426">iferror(index(sea_lice!$G:$G,match($A1426,sea_lice!$A:$A,0)))</f>
        <v>BSL2-94</v>
      </c>
      <c r="Q1426" t="str">
        <f t="array" ref="Q1426">iferror(index(sea_lice!$J:$J,match($A1426,sea_lice!$A:$A,0)))</f>
        <v>N</v>
      </c>
      <c r="R1426" s="40" t="str">
        <f t="array" ref="R1426">iferror(index(dissected_fish!$F:$F,match($A1426,dissected_fish!$A:$A,0)))</f>
        <v>BCA111</v>
      </c>
      <c r="S1426" s="40" t="str">
        <f t="array" ref="S1426">iferror(index(dissected_fish!$K:$K,match($A1426,dissected_fish!$A:$A,0)))</f>
        <v>N</v>
      </c>
      <c r="T1426" s="61" t="str">
        <f t="array" ref="T1426">index(fish_lab_data!O:O,match(A1426,fish_lab_data!C:C,0))</f>
        <v>JG</v>
      </c>
      <c r="U1426" s="61">
        <f t="array" ref="U1426">if(A1426="","",index(fish_lab_data!X:X,match(A1426,fish_lab_data!C:C,0)))</f>
        <v>1425</v>
      </c>
    </row>
    <row r="1427">
      <c r="A1427" t="str">
        <f>fish_lab_data!C1427</f>
        <v>U17479</v>
      </c>
      <c r="B1427" t="str">
        <f t="array" ref="B1427">iferror(index('rna-muscle'!$I:$I,match($A1427,'rna-muscle'!$A:$A,0)))</f>
        <v>BRN77M-G2</v>
      </c>
      <c r="C1427" t="str">
        <f t="array" ref="C1427">iferror(index('rna-muscle'!$L:$L,match($A1427,'rna-muscle'!$A:$A,0)))</f>
        <v>N</v>
      </c>
      <c r="D1427" t="str">
        <f t="array" ref="D1427">iferror(index('rna-gill'!$I:$I,match($A1427,'rna-gill'!$A:$A,0)))</f>
        <v>BRN77G-G2</v>
      </c>
      <c r="E1427" t="str">
        <f t="array" ref="E1427">iferror(index('rna-gill'!$L:$L,match($A1427,'rna-gill'!$A:$A,0)))</f>
        <v>N</v>
      </c>
      <c r="F1427" t="str">
        <f t="array" ref="F1427">iferror(index(fatty_acid!$G:$G,match($A1427,fatty_acid!$A:$A,0)))</f>
        <v>BFA37-39</v>
      </c>
      <c r="G1427" t="str">
        <f t="array" ref="G1427">iferror(index(fatty_acid!$J:$J,match($A1427,fatty_acid!$A:$A,0)))</f>
        <v>N</v>
      </c>
      <c r="H1427" t="str">
        <f t="array" ref="H1427">iferror(index(isotopes!$G:$G,match($A1427,isotopes!$A:$A,0)))</f>
        <v>BIS40-38</v>
      </c>
      <c r="I1427" t="str">
        <f t="array" ref="I1427">iferror(index(isotopes!$J:$J,match($A1427,isotopes!$A:$A,0)))</f>
        <v>N</v>
      </c>
      <c r="J1427" t="str">
        <f t="array" ref="J1427">iferror(index(extra_muscle!$G:$G,match($A1427,extra_muscle!$A:$A,0)))</f>
        <v>BXM39-1</v>
      </c>
      <c r="K1427" t="str">
        <f t="array" ref="K1427">iferror(index(extra_muscle!$J:$J,match($A1427,extra_muscle!$A:$A,0)))</f>
        <v>N</v>
      </c>
      <c r="L1427" s="59" t="str">
        <f t="array" ref="L1427">iferror(index(dna!$G:$G,match($A1427,dna!$A:$A,0)))</f>
        <v>BDN11-56</v>
      </c>
      <c r="M1427" s="60" t="str">
        <f t="array" ref="M1427">iferror(index(dna!$J:$J,match($A1427,dna!$A:$A,0)))</f>
        <v>N</v>
      </c>
      <c r="N1427" t="str">
        <f t="array" ref="N1427">iferror(index(stomachs!$G:$G,match($A1427,stomachs!$A:$A,0)))</f>
        <v/>
      </c>
      <c r="O1427" t="str">
        <f t="array" ref="O1427">iferror(index(stomachs!$J:$J,match($A1427,stomachs!$A:$A,0)))</f>
        <v/>
      </c>
      <c r="P1427" t="str">
        <f t="array" ref="P1427">iferror(index(sea_lice!$G:$G,match($A1427,sea_lice!$A:$A,0)))</f>
        <v/>
      </c>
      <c r="Q1427" t="str">
        <f t="array" ref="Q1427">iferror(index(sea_lice!$J:$J,match($A1427,sea_lice!$A:$A,0)))</f>
        <v/>
      </c>
      <c r="R1427" s="40" t="str">
        <f t="array" ref="R1427">iferror(index(dissected_fish!$F:$F,match($A1427,dissected_fish!$A:$A,0)))</f>
        <v>BCA111</v>
      </c>
      <c r="S1427" s="40" t="str">
        <f t="array" ref="S1427">iferror(index(dissected_fish!$K:$K,match($A1427,dissected_fish!$A:$A,0)))</f>
        <v>N</v>
      </c>
      <c r="T1427" s="61" t="str">
        <f t="array" ref="T1427">index(fish_lab_data!O:O,match(A1427,fish_lab_data!C:C,0))</f>
        <v>JG</v>
      </c>
      <c r="U1427" s="61">
        <f t="array" ref="U1427">if(A1427="","",index(fish_lab_data!X:X,match(A1427,fish_lab_data!C:C,0)))</f>
        <v>1426</v>
      </c>
    </row>
    <row r="1428">
      <c r="A1428" t="str">
        <f>fish_lab_data!C1428</f>
        <v>U17478</v>
      </c>
      <c r="B1428" t="str">
        <f t="array" ref="B1428">iferror(index('rna-muscle'!$I:$I,match($A1428,'rna-muscle'!$A:$A,0)))</f>
        <v>BRN77M-F2</v>
      </c>
      <c r="C1428" t="str">
        <f t="array" ref="C1428">iferror(index('rna-muscle'!$L:$L,match($A1428,'rna-muscle'!$A:$A,0)))</f>
        <v>N</v>
      </c>
      <c r="D1428" t="str">
        <f t="array" ref="D1428">iferror(index('rna-gill'!$I:$I,match($A1428,'rna-gill'!$A:$A,0)))</f>
        <v>BRN77G-F2</v>
      </c>
      <c r="E1428" t="str">
        <f t="array" ref="E1428">iferror(index('rna-gill'!$L:$L,match($A1428,'rna-gill'!$A:$A,0)))</f>
        <v>N</v>
      </c>
      <c r="F1428" t="str">
        <f t="array" ref="F1428">iferror(index(fatty_acid!$G:$G,match($A1428,fatty_acid!$A:$A,0)))</f>
        <v>BFA37-40</v>
      </c>
      <c r="G1428" t="str">
        <f t="array" ref="G1428">iferror(index(fatty_acid!$J:$J,match($A1428,fatty_acid!$A:$A,0)))</f>
        <v>N</v>
      </c>
      <c r="H1428" t="str">
        <f t="array" ref="H1428">iferror(index(isotopes!$G:$G,match($A1428,isotopes!$A:$A,0)))</f>
        <v>BIS40-39</v>
      </c>
      <c r="I1428" t="str">
        <f t="array" ref="I1428">iferror(index(isotopes!$J:$J,match($A1428,isotopes!$A:$A,0)))</f>
        <v>N</v>
      </c>
      <c r="J1428" t="str">
        <f t="array" ref="J1428">iferror(index(extra_muscle!$G:$G,match($A1428,extra_muscle!$A:$A,0)))</f>
        <v>BXM39-2</v>
      </c>
      <c r="K1428" t="str">
        <f t="array" ref="K1428">iferror(index(extra_muscle!$J:$J,match($A1428,extra_muscle!$A:$A,0)))</f>
        <v>N</v>
      </c>
      <c r="L1428" s="59" t="str">
        <f t="array" ref="L1428">iferror(index(dna!$G:$G,match($A1428,dna!$A:$A,0)))</f>
        <v>BDN11-57</v>
      </c>
      <c r="M1428" s="60" t="str">
        <f t="array" ref="M1428">iferror(index(dna!$J:$J,match($A1428,dna!$A:$A,0)))</f>
        <v>N</v>
      </c>
      <c r="N1428" t="str">
        <f t="array" ref="N1428">iferror(index(stomachs!$G:$G,match($A1428,stomachs!$A:$A,0)))</f>
        <v/>
      </c>
      <c r="O1428" t="str">
        <f t="array" ref="O1428">iferror(index(stomachs!$J:$J,match($A1428,stomachs!$A:$A,0)))</f>
        <v/>
      </c>
      <c r="P1428" t="str">
        <f t="array" ref="P1428">iferror(index(sea_lice!$G:$G,match($A1428,sea_lice!$A:$A,0)))</f>
        <v/>
      </c>
      <c r="Q1428" t="str">
        <f t="array" ref="Q1428">iferror(index(sea_lice!$J:$J,match($A1428,sea_lice!$A:$A,0)))</f>
        <v/>
      </c>
      <c r="R1428" s="40" t="str">
        <f t="array" ref="R1428">iferror(index(dissected_fish!$F:$F,match($A1428,dissected_fish!$A:$A,0)))</f>
        <v>BCA111</v>
      </c>
      <c r="S1428" s="40" t="str">
        <f t="array" ref="S1428">iferror(index(dissected_fish!$K:$K,match($A1428,dissected_fish!$A:$A,0)))</f>
        <v>N</v>
      </c>
      <c r="T1428" s="61" t="str">
        <f t="array" ref="T1428">index(fish_lab_data!O:O,match(A1428,fish_lab_data!C:C,0))</f>
        <v>JG</v>
      </c>
      <c r="U1428" s="61">
        <f t="array" ref="U1428">if(A1428="","",index(fish_lab_data!X:X,match(A1428,fish_lab_data!C:C,0)))</f>
        <v>1427</v>
      </c>
    </row>
    <row r="1429">
      <c r="A1429" t="str">
        <f>fish_lab_data!C1429</f>
        <v>U17475</v>
      </c>
      <c r="B1429" t="str">
        <f t="array" ref="B1429">iferror(index('rna-muscle'!$I:$I,match($A1429,'rna-muscle'!$A:$A,0)))</f>
        <v>BRN77M-E2</v>
      </c>
      <c r="C1429" t="str">
        <f t="array" ref="C1429">iferror(index('rna-muscle'!$L:$L,match($A1429,'rna-muscle'!$A:$A,0)))</f>
        <v>N</v>
      </c>
      <c r="D1429" t="str">
        <f t="array" ref="D1429">iferror(index('rna-gill'!$I:$I,match($A1429,'rna-gill'!$A:$A,0)))</f>
        <v>BRN77G-E2</v>
      </c>
      <c r="E1429" t="str">
        <f t="array" ref="E1429">iferror(index('rna-gill'!$L:$L,match($A1429,'rna-gill'!$A:$A,0)))</f>
        <v>N</v>
      </c>
      <c r="F1429" t="str">
        <f t="array" ref="F1429">iferror(index(fatty_acid!$G:$G,match($A1429,fatty_acid!$A:$A,0)))</f>
        <v>BFA37-41</v>
      </c>
      <c r="G1429" t="str">
        <f t="array" ref="G1429">iferror(index(fatty_acid!$J:$J,match($A1429,fatty_acid!$A:$A,0)))</f>
        <v>N</v>
      </c>
      <c r="H1429" t="str">
        <f t="array" ref="H1429">iferror(index(isotopes!$G:$G,match($A1429,isotopes!$A:$A,0)))</f>
        <v>BIS40-40</v>
      </c>
      <c r="I1429" t="str">
        <f t="array" ref="I1429">iferror(index(isotopes!$J:$J,match($A1429,isotopes!$A:$A,0)))</f>
        <v>N</v>
      </c>
      <c r="J1429" t="str">
        <f t="array" ref="J1429">iferror(index(extra_muscle!$G:$G,match($A1429,extra_muscle!$A:$A,0)))</f>
        <v>BXM39-3</v>
      </c>
      <c r="K1429" t="str">
        <f t="array" ref="K1429">iferror(index(extra_muscle!$J:$J,match($A1429,extra_muscle!$A:$A,0)))</f>
        <v>N</v>
      </c>
      <c r="L1429" s="59" t="str">
        <f t="array" ref="L1429">iferror(index(dna!$G:$G,match($A1429,dna!$A:$A,0)))</f>
        <v>BDN11-58</v>
      </c>
      <c r="M1429" s="60" t="str">
        <f t="array" ref="M1429">iferror(index(dna!$J:$J,match($A1429,dna!$A:$A,0)))</f>
        <v>N</v>
      </c>
      <c r="N1429" t="str">
        <f t="array" ref="N1429">iferror(index(stomachs!$G:$G,match($A1429,stomachs!$A:$A,0)))</f>
        <v/>
      </c>
      <c r="O1429" t="str">
        <f t="array" ref="O1429">iferror(index(stomachs!$J:$J,match($A1429,stomachs!$A:$A,0)))</f>
        <v/>
      </c>
      <c r="P1429" t="str">
        <f t="array" ref="P1429">iferror(index(sea_lice!$G:$G,match($A1429,sea_lice!$A:$A,0)))</f>
        <v>BSL2-96</v>
      </c>
      <c r="Q1429" t="str">
        <f t="array" ref="Q1429">iferror(index(sea_lice!$J:$J,match($A1429,sea_lice!$A:$A,0)))</f>
        <v>N</v>
      </c>
      <c r="R1429" s="40" t="str">
        <f t="array" ref="R1429">iferror(index(dissected_fish!$F:$F,match($A1429,dissected_fish!$A:$A,0)))</f>
        <v>BCA111</v>
      </c>
      <c r="S1429" s="40" t="str">
        <f t="array" ref="S1429">iferror(index(dissected_fish!$K:$K,match($A1429,dissected_fish!$A:$A,0)))</f>
        <v>N</v>
      </c>
      <c r="T1429" s="61" t="str">
        <f t="array" ref="T1429">index(fish_lab_data!O:O,match(A1429,fish_lab_data!C:C,0))</f>
        <v>JG</v>
      </c>
      <c r="U1429" s="61">
        <f t="array" ref="U1429">if(A1429="","",index(fish_lab_data!X:X,match(A1429,fish_lab_data!C:C,0)))</f>
        <v>1428</v>
      </c>
    </row>
    <row r="1430">
      <c r="A1430" t="str">
        <f>fish_lab_data!C1430</f>
        <v>U17473</v>
      </c>
      <c r="B1430" t="str">
        <f t="array" ref="B1430">iferror(index('rna-muscle'!$I:$I,match($A1430,'rna-muscle'!$A:$A,0)))</f>
        <v>BRN77M-D2</v>
      </c>
      <c r="C1430" t="str">
        <f t="array" ref="C1430">iferror(index('rna-muscle'!$L:$L,match($A1430,'rna-muscle'!$A:$A,0)))</f>
        <v>N</v>
      </c>
      <c r="D1430" t="str">
        <f t="array" ref="D1430">iferror(index('rna-gill'!$I:$I,match($A1430,'rna-gill'!$A:$A,0)))</f>
        <v>BRN77G-D2</v>
      </c>
      <c r="E1430" t="str">
        <f t="array" ref="E1430">iferror(index('rna-gill'!$L:$L,match($A1430,'rna-gill'!$A:$A,0)))</f>
        <v>N</v>
      </c>
      <c r="F1430" t="str">
        <f t="array" ref="F1430">iferror(index(fatty_acid!$G:$G,match($A1430,fatty_acid!$A:$A,0)))</f>
        <v>BFA37-42</v>
      </c>
      <c r="G1430" t="str">
        <f t="array" ref="G1430">iferror(index(fatty_acid!$J:$J,match($A1430,fatty_acid!$A:$A,0)))</f>
        <v>N</v>
      </c>
      <c r="H1430" t="str">
        <f t="array" ref="H1430">iferror(index(isotopes!$G:$G,match($A1430,isotopes!$A:$A,0)))</f>
        <v>BIS40-41</v>
      </c>
      <c r="I1430" t="str">
        <f t="array" ref="I1430">iferror(index(isotopes!$J:$J,match($A1430,isotopes!$A:$A,0)))</f>
        <v>N</v>
      </c>
      <c r="J1430" t="str">
        <f t="array" ref="J1430">iferror(index(extra_muscle!$G:$G,match($A1430,extra_muscle!$A:$A,0)))</f>
        <v>BXM39-4</v>
      </c>
      <c r="K1430" t="str">
        <f t="array" ref="K1430">iferror(index(extra_muscle!$J:$J,match($A1430,extra_muscle!$A:$A,0)))</f>
        <v>N</v>
      </c>
      <c r="L1430" s="59" t="str">
        <f t="array" ref="L1430">iferror(index(dna!$G:$G,match($A1430,dna!$A:$A,0)))</f>
        <v>BDN11-59</v>
      </c>
      <c r="M1430" s="60" t="str">
        <f t="array" ref="M1430">iferror(index(dna!$J:$J,match($A1430,dna!$A:$A,0)))</f>
        <v>N</v>
      </c>
      <c r="N1430" t="str">
        <f t="array" ref="N1430">iferror(index(stomachs!$G:$G,match($A1430,stomachs!$A:$A,0)))</f>
        <v/>
      </c>
      <c r="O1430" t="str">
        <f t="array" ref="O1430">iferror(index(stomachs!$J:$J,match($A1430,stomachs!$A:$A,0)))</f>
        <v/>
      </c>
      <c r="P1430" t="str">
        <f t="array" ref="P1430">iferror(index(sea_lice!$G:$G,match($A1430,sea_lice!$A:$A,0)))</f>
        <v/>
      </c>
      <c r="Q1430" t="str">
        <f t="array" ref="Q1430">iferror(index(sea_lice!$J:$J,match($A1430,sea_lice!$A:$A,0)))</f>
        <v/>
      </c>
      <c r="R1430" s="40" t="str">
        <f t="array" ref="R1430">iferror(index(dissected_fish!$F:$F,match($A1430,dissected_fish!$A:$A,0)))</f>
        <v>BCA111</v>
      </c>
      <c r="S1430" s="40" t="str">
        <f t="array" ref="S1430">iferror(index(dissected_fish!$K:$K,match($A1430,dissected_fish!$A:$A,0)))</f>
        <v>N</v>
      </c>
      <c r="T1430" s="61" t="str">
        <f t="array" ref="T1430">index(fish_lab_data!O:O,match(A1430,fish_lab_data!C:C,0))</f>
        <v>JG</v>
      </c>
      <c r="U1430" s="61">
        <f t="array" ref="U1430">if(A1430="","",index(fish_lab_data!X:X,match(A1430,fish_lab_data!C:C,0)))</f>
        <v>1429</v>
      </c>
    </row>
    <row r="1431">
      <c r="A1431" t="str">
        <f>fish_lab_data!C1431</f>
        <v>U17474</v>
      </c>
      <c r="B1431" t="str">
        <f t="array" ref="B1431">iferror(index('rna-muscle'!$I:$I,match($A1431,'rna-muscle'!$A:$A,0)))</f>
        <v>BRN77M-C2</v>
      </c>
      <c r="C1431" t="str">
        <f t="array" ref="C1431">iferror(index('rna-muscle'!$L:$L,match($A1431,'rna-muscle'!$A:$A,0)))</f>
        <v>N</v>
      </c>
      <c r="D1431" t="str">
        <f t="array" ref="D1431">iferror(index('rna-gill'!$I:$I,match($A1431,'rna-gill'!$A:$A,0)))</f>
        <v>BRN77G-C2</v>
      </c>
      <c r="E1431" t="str">
        <f t="array" ref="E1431">iferror(index('rna-gill'!$L:$L,match($A1431,'rna-gill'!$A:$A,0)))</f>
        <v>N</v>
      </c>
      <c r="F1431" t="str">
        <f t="array" ref="F1431">iferror(index(fatty_acid!$G:$G,match($A1431,fatty_acid!$A:$A,0)))</f>
        <v>BFA37-43</v>
      </c>
      <c r="G1431" t="str">
        <f t="array" ref="G1431">iferror(index(fatty_acid!$J:$J,match($A1431,fatty_acid!$A:$A,0)))</f>
        <v>N</v>
      </c>
      <c r="H1431" t="str">
        <f t="array" ref="H1431">iferror(index(isotopes!$G:$G,match($A1431,isotopes!$A:$A,0)))</f>
        <v>BIS40-42</v>
      </c>
      <c r="I1431" t="str">
        <f t="array" ref="I1431">iferror(index(isotopes!$J:$J,match($A1431,isotopes!$A:$A,0)))</f>
        <v>N</v>
      </c>
      <c r="J1431" t="str">
        <f t="array" ref="J1431">iferror(index(extra_muscle!$G:$G,match($A1431,extra_muscle!$A:$A,0)))</f>
        <v>BXM39-5</v>
      </c>
      <c r="K1431" t="str">
        <f t="array" ref="K1431">iferror(index(extra_muscle!$J:$J,match($A1431,extra_muscle!$A:$A,0)))</f>
        <v>N</v>
      </c>
      <c r="L1431" s="59" t="str">
        <f t="array" ref="L1431">iferror(index(dna!$G:$G,match($A1431,dna!$A:$A,0)))</f>
        <v>BDN11-60</v>
      </c>
      <c r="M1431" s="60" t="str">
        <f t="array" ref="M1431">iferror(index(dna!$J:$J,match($A1431,dna!$A:$A,0)))</f>
        <v>N</v>
      </c>
      <c r="N1431" t="str">
        <f t="array" ref="N1431">iferror(index(stomachs!$G:$G,match($A1431,stomachs!$A:$A,0)))</f>
        <v/>
      </c>
      <c r="O1431" t="str">
        <f t="array" ref="O1431">iferror(index(stomachs!$J:$J,match($A1431,stomachs!$A:$A,0)))</f>
        <v/>
      </c>
      <c r="P1431" t="str">
        <f t="array" ref="P1431">iferror(index(sea_lice!$G:$G,match($A1431,sea_lice!$A:$A,0)))</f>
        <v/>
      </c>
      <c r="Q1431" t="str">
        <f t="array" ref="Q1431">iferror(index(sea_lice!$J:$J,match($A1431,sea_lice!$A:$A,0)))</f>
        <v/>
      </c>
      <c r="R1431" s="40" t="str">
        <f t="array" ref="R1431">iferror(index(dissected_fish!$F:$F,match($A1431,dissected_fish!$A:$A,0)))</f>
        <v>BCA111</v>
      </c>
      <c r="S1431" s="40" t="str">
        <f t="array" ref="S1431">iferror(index(dissected_fish!$K:$K,match($A1431,dissected_fish!$A:$A,0)))</f>
        <v>N</v>
      </c>
      <c r="T1431" s="61" t="str">
        <f t="array" ref="T1431">index(fish_lab_data!O:O,match(A1431,fish_lab_data!C:C,0))</f>
        <v>JG</v>
      </c>
      <c r="U1431" s="61">
        <f t="array" ref="U1431">if(A1431="","",index(fish_lab_data!X:X,match(A1431,fish_lab_data!C:C,0)))</f>
        <v>1430</v>
      </c>
    </row>
    <row r="1432">
      <c r="A1432" t="str">
        <f>fish_lab_data!C1432</f>
        <v>U17477</v>
      </c>
      <c r="B1432" t="str">
        <f t="array" ref="B1432">iferror(index('rna-muscle'!$I:$I,match($A1432,'rna-muscle'!$A:$A,0)))</f>
        <v>BRN77M-B2</v>
      </c>
      <c r="C1432" t="str">
        <f t="array" ref="C1432">iferror(index('rna-muscle'!$L:$L,match($A1432,'rna-muscle'!$A:$A,0)))</f>
        <v>N</v>
      </c>
      <c r="D1432" t="str">
        <f t="array" ref="D1432">iferror(index('rna-gill'!$I:$I,match($A1432,'rna-gill'!$A:$A,0)))</f>
        <v>BRN77G-B2</v>
      </c>
      <c r="E1432" t="str">
        <f t="array" ref="E1432">iferror(index('rna-gill'!$L:$L,match($A1432,'rna-gill'!$A:$A,0)))</f>
        <v>N</v>
      </c>
      <c r="F1432" t="str">
        <f t="array" ref="F1432">iferror(index(fatty_acid!$G:$G,match($A1432,fatty_acid!$A:$A,0)))</f>
        <v>BFA37-44</v>
      </c>
      <c r="G1432" t="str">
        <f t="array" ref="G1432">iferror(index(fatty_acid!$J:$J,match($A1432,fatty_acid!$A:$A,0)))</f>
        <v>N</v>
      </c>
      <c r="H1432" t="str">
        <f t="array" ref="H1432">iferror(index(isotopes!$G:$G,match($A1432,isotopes!$A:$A,0)))</f>
        <v>BIS40-43</v>
      </c>
      <c r="I1432" t="str">
        <f t="array" ref="I1432">iferror(index(isotopes!$J:$J,match($A1432,isotopes!$A:$A,0)))</f>
        <v>N</v>
      </c>
      <c r="J1432" t="str">
        <f t="array" ref="J1432">iferror(index(extra_muscle!$G:$G,match($A1432,extra_muscle!$A:$A,0)))</f>
        <v>BXM39-6</v>
      </c>
      <c r="K1432" t="str">
        <f t="array" ref="K1432">iferror(index(extra_muscle!$J:$J,match($A1432,extra_muscle!$A:$A,0)))</f>
        <v>N</v>
      </c>
      <c r="L1432" s="59" t="str">
        <f t="array" ref="L1432">iferror(index(dna!$G:$G,match($A1432,dna!$A:$A,0)))</f>
        <v>BDN11-61</v>
      </c>
      <c r="M1432" s="60" t="str">
        <f t="array" ref="M1432">iferror(index(dna!$J:$J,match($A1432,dna!$A:$A,0)))</f>
        <v>N</v>
      </c>
      <c r="N1432" t="str">
        <f t="array" ref="N1432">iferror(index(stomachs!$G:$G,match($A1432,stomachs!$A:$A,0)))</f>
        <v/>
      </c>
      <c r="O1432" t="str">
        <f t="array" ref="O1432">iferror(index(stomachs!$J:$J,match($A1432,stomachs!$A:$A,0)))</f>
        <v/>
      </c>
      <c r="P1432" t="str">
        <f t="array" ref="P1432">iferror(index(sea_lice!$G:$G,match($A1432,sea_lice!$A:$A,0)))</f>
        <v/>
      </c>
      <c r="Q1432" t="str">
        <f t="array" ref="Q1432">iferror(index(sea_lice!$J:$J,match($A1432,sea_lice!$A:$A,0)))</f>
        <v/>
      </c>
      <c r="R1432" s="40" t="str">
        <f t="array" ref="R1432">iferror(index(dissected_fish!$F:$F,match($A1432,dissected_fish!$A:$A,0)))</f>
        <v>BCA111</v>
      </c>
      <c r="S1432" s="40" t="str">
        <f t="array" ref="S1432">iferror(index(dissected_fish!$K:$K,match($A1432,dissected_fish!$A:$A,0)))</f>
        <v>N</v>
      </c>
      <c r="T1432" s="61" t="str">
        <f t="array" ref="T1432">index(fish_lab_data!O:O,match(A1432,fish_lab_data!C:C,0))</f>
        <v>JG</v>
      </c>
      <c r="U1432" s="61">
        <f t="array" ref="U1432">if(A1432="","",index(fish_lab_data!X:X,match(A1432,fish_lab_data!C:C,0)))</f>
        <v>1431</v>
      </c>
    </row>
    <row r="1433">
      <c r="A1433" t="str">
        <f>fish_lab_data!C1433</f>
        <v>U17476</v>
      </c>
      <c r="B1433" t="str">
        <f t="array" ref="B1433">iferror(index('rna-muscle'!$I:$I,match($A1433,'rna-muscle'!$A:$A,0)))</f>
        <v>BRN77M-A2</v>
      </c>
      <c r="C1433" t="str">
        <f t="array" ref="C1433">iferror(index('rna-muscle'!$L:$L,match($A1433,'rna-muscle'!$A:$A,0)))</f>
        <v>N</v>
      </c>
      <c r="D1433" t="str">
        <f t="array" ref="D1433">iferror(index('rna-gill'!$I:$I,match($A1433,'rna-gill'!$A:$A,0)))</f>
        <v>BRN77G-A2</v>
      </c>
      <c r="E1433" t="str">
        <f t="array" ref="E1433">iferror(index('rna-gill'!$L:$L,match($A1433,'rna-gill'!$A:$A,0)))</f>
        <v>N</v>
      </c>
      <c r="F1433" t="str">
        <f t="array" ref="F1433">iferror(index(fatty_acid!$G:$G,match($A1433,fatty_acid!$A:$A,0)))</f>
        <v>BFA37-45</v>
      </c>
      <c r="G1433" t="str">
        <f t="array" ref="G1433">iferror(index(fatty_acid!$J:$J,match($A1433,fatty_acid!$A:$A,0)))</f>
        <v>N</v>
      </c>
      <c r="H1433" t="str">
        <f t="array" ref="H1433">iferror(index(isotopes!$G:$G,match($A1433,isotopes!$A:$A,0)))</f>
        <v>BIS40-44</v>
      </c>
      <c r="I1433" t="str">
        <f t="array" ref="I1433">iferror(index(isotopes!$J:$J,match($A1433,isotopes!$A:$A,0)))</f>
        <v>N</v>
      </c>
      <c r="J1433" t="str">
        <f t="array" ref="J1433">iferror(index(extra_muscle!$G:$G,match($A1433,extra_muscle!$A:$A,0)))</f>
        <v>BXM39-7</v>
      </c>
      <c r="K1433" t="str">
        <f t="array" ref="K1433">iferror(index(extra_muscle!$J:$J,match($A1433,extra_muscle!$A:$A,0)))</f>
        <v>N</v>
      </c>
      <c r="L1433" s="59" t="str">
        <f t="array" ref="L1433">iferror(index(dna!$G:$G,match($A1433,dna!$A:$A,0)))</f>
        <v>BDN11-62</v>
      </c>
      <c r="M1433" s="60" t="str">
        <f t="array" ref="M1433">iferror(index(dna!$J:$J,match($A1433,dna!$A:$A,0)))</f>
        <v>N</v>
      </c>
      <c r="N1433" t="str">
        <f t="array" ref="N1433">iferror(index(stomachs!$G:$G,match($A1433,stomachs!$A:$A,0)))</f>
        <v/>
      </c>
      <c r="O1433" t="str">
        <f t="array" ref="O1433">iferror(index(stomachs!$J:$J,match($A1433,stomachs!$A:$A,0)))</f>
        <v/>
      </c>
      <c r="P1433" t="str">
        <f t="array" ref="P1433">iferror(index(sea_lice!$G:$G,match($A1433,sea_lice!$A:$A,0)))</f>
        <v/>
      </c>
      <c r="Q1433" t="str">
        <f t="array" ref="Q1433">iferror(index(sea_lice!$J:$J,match($A1433,sea_lice!$A:$A,0)))</f>
        <v/>
      </c>
      <c r="R1433" s="40" t="str">
        <f t="array" ref="R1433">iferror(index(dissected_fish!$F:$F,match($A1433,dissected_fish!$A:$A,0)))</f>
        <v>BCA111</v>
      </c>
      <c r="S1433" s="40" t="str">
        <f t="array" ref="S1433">iferror(index(dissected_fish!$K:$K,match($A1433,dissected_fish!$A:$A,0)))</f>
        <v>N</v>
      </c>
      <c r="T1433" s="61" t="str">
        <f t="array" ref="T1433">index(fish_lab_data!O:O,match(A1433,fish_lab_data!C:C,0))</f>
        <v>JG</v>
      </c>
      <c r="U1433" s="61">
        <f t="array" ref="U1433">if(A1433="","",index(fish_lab_data!X:X,match(A1433,fish_lab_data!C:C,0)))</f>
        <v>1432</v>
      </c>
    </row>
    <row r="1434">
      <c r="A1434" t="str">
        <f>fish_lab_data!C1434</f>
        <v>U17209</v>
      </c>
      <c r="B1434" t="str">
        <f t="array" ref="B1434">iferror(index('rna-muscle'!$I:$I,match($A1434,'rna-muscle'!$A:$A,0)))</f>
        <v>BRN77M-H3</v>
      </c>
      <c r="C1434" t="str">
        <f t="array" ref="C1434">iferror(index('rna-muscle'!$L:$L,match($A1434,'rna-muscle'!$A:$A,0)))</f>
        <v>N</v>
      </c>
      <c r="D1434" t="str">
        <f t="array" ref="D1434">iferror(index('rna-gill'!$I:$I,match($A1434,'rna-gill'!$A:$A,0)))</f>
        <v>BRN77G-H3</v>
      </c>
      <c r="E1434" t="str">
        <f t="array" ref="E1434">iferror(index('rna-gill'!$L:$L,match($A1434,'rna-gill'!$A:$A,0)))</f>
        <v>N</v>
      </c>
      <c r="F1434" t="str">
        <f t="array" ref="F1434">iferror(index(fatty_acid!$G:$G,match($A1434,fatty_acid!$A:$A,0)))</f>
        <v>BFA37-46</v>
      </c>
      <c r="G1434" t="str">
        <f t="array" ref="G1434">iferror(index(fatty_acid!$J:$J,match($A1434,fatty_acid!$A:$A,0)))</f>
        <v>N</v>
      </c>
      <c r="H1434" t="str">
        <f t="array" ref="H1434">iferror(index(isotopes!$G:$G,match($A1434,isotopes!$A:$A,0)))</f>
        <v>BIS40-45</v>
      </c>
      <c r="I1434" t="str">
        <f t="array" ref="I1434">iferror(index(isotopes!$J:$J,match($A1434,isotopes!$A:$A,0)))</f>
        <v>N</v>
      </c>
      <c r="J1434" t="str">
        <f t="array" ref="J1434">iferror(index(extra_muscle!$G:$G,match($A1434,extra_muscle!$A:$A,0)))</f>
        <v>BXM39-8</v>
      </c>
      <c r="K1434" t="str">
        <f t="array" ref="K1434">iferror(index(extra_muscle!$J:$J,match($A1434,extra_muscle!$A:$A,0)))</f>
        <v>N</v>
      </c>
      <c r="L1434" s="59" t="str">
        <f t="array" ref="L1434">iferror(index(dna!$G:$G,match($A1434,dna!$A:$A,0)))</f>
        <v>BDN11-63</v>
      </c>
      <c r="M1434" s="60" t="str">
        <f t="array" ref="M1434">iferror(index(dna!$J:$J,match($A1434,dna!$A:$A,0)))</f>
        <v>N</v>
      </c>
      <c r="N1434" t="str">
        <f t="array" ref="N1434">iferror(index(stomachs!$G:$G,match($A1434,stomachs!$A:$A,0)))</f>
        <v/>
      </c>
      <c r="O1434" t="str">
        <f t="array" ref="O1434">iferror(index(stomachs!$J:$J,match($A1434,stomachs!$A:$A,0)))</f>
        <v/>
      </c>
      <c r="P1434" t="str">
        <f t="array" ref="P1434">iferror(index(sea_lice!$G:$G,match($A1434,sea_lice!$A:$A,0)))</f>
        <v/>
      </c>
      <c r="Q1434" t="str">
        <f t="array" ref="Q1434">iferror(index(sea_lice!$J:$J,match($A1434,sea_lice!$A:$A,0)))</f>
        <v/>
      </c>
      <c r="R1434" s="40" t="str">
        <f t="array" ref="R1434">iferror(index(dissected_fish!$F:$F,match($A1434,dissected_fish!$A:$A,0)))</f>
        <v>BCA111</v>
      </c>
      <c r="S1434" s="40" t="str">
        <f t="array" ref="S1434">iferror(index(dissected_fish!$K:$K,match($A1434,dissected_fish!$A:$A,0)))</f>
        <v>N</v>
      </c>
      <c r="T1434" s="61" t="str">
        <f t="array" ref="T1434">index(fish_lab_data!O:O,match(A1434,fish_lab_data!C:C,0))</f>
        <v>JG</v>
      </c>
      <c r="U1434" s="61">
        <f t="array" ref="U1434">if(A1434="","",index(fish_lab_data!X:X,match(A1434,fish_lab_data!C:C,0)))</f>
        <v>1433</v>
      </c>
    </row>
    <row r="1435">
      <c r="A1435" t="str">
        <f>fish_lab_data!C1435</f>
        <v>U17207</v>
      </c>
      <c r="B1435" t="str">
        <f t="array" ref="B1435">iferror(index('rna-muscle'!$I:$I,match($A1435,'rna-muscle'!$A:$A,0)))</f>
        <v>BRN77M-G3</v>
      </c>
      <c r="C1435" t="str">
        <f t="array" ref="C1435">iferror(index('rna-muscle'!$L:$L,match($A1435,'rna-muscle'!$A:$A,0)))</f>
        <v>N</v>
      </c>
      <c r="D1435" t="str">
        <f t="array" ref="D1435">iferror(index('rna-gill'!$I:$I,match($A1435,'rna-gill'!$A:$A,0)))</f>
        <v>BRN77G-G3</v>
      </c>
      <c r="E1435" t="str">
        <f t="array" ref="E1435">iferror(index('rna-gill'!$L:$L,match($A1435,'rna-gill'!$A:$A,0)))</f>
        <v>N</v>
      </c>
      <c r="F1435" t="str">
        <f t="array" ref="F1435">iferror(index(fatty_acid!$G:$G,match($A1435,fatty_acid!$A:$A,0)))</f>
        <v>BFA37-47</v>
      </c>
      <c r="G1435" t="str">
        <f t="array" ref="G1435">iferror(index(fatty_acid!$J:$J,match($A1435,fatty_acid!$A:$A,0)))</f>
        <v>N</v>
      </c>
      <c r="H1435" t="str">
        <f t="array" ref="H1435">iferror(index(isotopes!$G:$G,match($A1435,isotopes!$A:$A,0)))</f>
        <v>BIS40-46</v>
      </c>
      <c r="I1435" t="str">
        <f t="array" ref="I1435">iferror(index(isotopes!$J:$J,match($A1435,isotopes!$A:$A,0)))</f>
        <v>N</v>
      </c>
      <c r="J1435" t="str">
        <f t="array" ref="J1435">iferror(index(extra_muscle!$G:$G,match($A1435,extra_muscle!$A:$A,0)))</f>
        <v>BXM39-9</v>
      </c>
      <c r="K1435" t="str">
        <f t="array" ref="K1435">iferror(index(extra_muscle!$J:$J,match($A1435,extra_muscle!$A:$A,0)))</f>
        <v>N</v>
      </c>
      <c r="L1435" s="59" t="str">
        <f t="array" ref="L1435">iferror(index(dna!$G:$G,match($A1435,dna!$A:$A,0)))</f>
        <v>BDN11-64</v>
      </c>
      <c r="M1435" s="60" t="str">
        <f t="array" ref="M1435">iferror(index(dna!$J:$J,match($A1435,dna!$A:$A,0)))</f>
        <v>N</v>
      </c>
      <c r="N1435" t="str">
        <f t="array" ref="N1435">iferror(index(stomachs!$G:$G,match($A1435,stomachs!$A:$A,0)))</f>
        <v/>
      </c>
      <c r="O1435" t="str">
        <f t="array" ref="O1435">iferror(index(stomachs!$J:$J,match($A1435,stomachs!$A:$A,0)))</f>
        <v/>
      </c>
      <c r="P1435" t="str">
        <f t="array" ref="P1435">iferror(index(sea_lice!$G:$G,match($A1435,sea_lice!$A:$A,0)))</f>
        <v>BSL8-58</v>
      </c>
      <c r="Q1435" t="str">
        <f t="array" ref="Q1435">iferror(index(sea_lice!$J:$J,match($A1435,sea_lice!$A:$A,0)))</f>
        <v>N</v>
      </c>
      <c r="R1435" s="40" t="str">
        <f t="array" ref="R1435">iferror(index(dissected_fish!$F:$F,match($A1435,dissected_fish!$A:$A,0)))</f>
        <v>BCA111</v>
      </c>
      <c r="S1435" s="40" t="str">
        <f t="array" ref="S1435">iferror(index(dissected_fish!$K:$K,match($A1435,dissected_fish!$A:$A,0)))</f>
        <v>N</v>
      </c>
      <c r="T1435" s="61" t="str">
        <f t="array" ref="T1435">index(fish_lab_data!O:O,match(A1435,fish_lab_data!C:C,0))</f>
        <v>JG</v>
      </c>
      <c r="U1435" s="61">
        <f t="array" ref="U1435">if(A1435="","",index(fish_lab_data!X:X,match(A1435,fish_lab_data!C:C,0)))</f>
        <v>1434</v>
      </c>
    </row>
    <row r="1436">
      <c r="A1436" t="str">
        <f>fish_lab_data!C1436</f>
        <v>U17208</v>
      </c>
      <c r="B1436" t="str">
        <f t="array" ref="B1436">iferror(index('rna-muscle'!$I:$I,match($A1436,'rna-muscle'!$A:$A,0)))</f>
        <v>BRN77M-F3</v>
      </c>
      <c r="C1436" t="str">
        <f t="array" ref="C1436">iferror(index('rna-muscle'!$L:$L,match($A1436,'rna-muscle'!$A:$A,0)))</f>
        <v>N</v>
      </c>
      <c r="D1436" t="str">
        <f t="array" ref="D1436">iferror(index('rna-gill'!$I:$I,match($A1436,'rna-gill'!$A:$A,0)))</f>
        <v>BRN77G-F3</v>
      </c>
      <c r="E1436" t="str">
        <f t="array" ref="E1436">iferror(index('rna-gill'!$L:$L,match($A1436,'rna-gill'!$A:$A,0)))</f>
        <v>N</v>
      </c>
      <c r="F1436" t="str">
        <f t="array" ref="F1436">iferror(index(fatty_acid!$G:$G,match($A1436,fatty_acid!$A:$A,0)))</f>
        <v>BFA37-48</v>
      </c>
      <c r="G1436" t="str">
        <f t="array" ref="G1436">iferror(index(fatty_acid!$J:$J,match($A1436,fatty_acid!$A:$A,0)))</f>
        <v>N</v>
      </c>
      <c r="H1436" t="str">
        <f t="array" ref="H1436">iferror(index(isotopes!$G:$G,match($A1436,isotopes!$A:$A,0)))</f>
        <v>BIS40-47</v>
      </c>
      <c r="I1436" t="str">
        <f t="array" ref="I1436">iferror(index(isotopes!$J:$J,match($A1436,isotopes!$A:$A,0)))</f>
        <v>N</v>
      </c>
      <c r="J1436" t="str">
        <f t="array" ref="J1436">iferror(index(extra_muscle!$G:$G,match($A1436,extra_muscle!$A:$A,0)))</f>
        <v>BXM39-10</v>
      </c>
      <c r="K1436" t="str">
        <f t="array" ref="K1436">iferror(index(extra_muscle!$J:$J,match($A1436,extra_muscle!$A:$A,0)))</f>
        <v>N</v>
      </c>
      <c r="L1436" s="59" t="str">
        <f t="array" ref="L1436">iferror(index(dna!$G:$G,match($A1436,dna!$A:$A,0)))</f>
        <v>BDN11-65</v>
      </c>
      <c r="M1436" s="60" t="str">
        <f t="array" ref="M1436">iferror(index(dna!$J:$J,match($A1436,dna!$A:$A,0)))</f>
        <v>N</v>
      </c>
      <c r="N1436" t="str">
        <f t="array" ref="N1436">iferror(index(stomachs!$G:$G,match($A1436,stomachs!$A:$A,0)))</f>
        <v/>
      </c>
      <c r="O1436" t="str">
        <f t="array" ref="O1436">iferror(index(stomachs!$J:$J,match($A1436,stomachs!$A:$A,0)))</f>
        <v/>
      </c>
      <c r="P1436" t="str">
        <f t="array" ref="P1436">iferror(index(sea_lice!$G:$G,match($A1436,sea_lice!$A:$A,0)))</f>
        <v/>
      </c>
      <c r="Q1436" t="str">
        <f t="array" ref="Q1436">iferror(index(sea_lice!$J:$J,match($A1436,sea_lice!$A:$A,0)))</f>
        <v/>
      </c>
      <c r="R1436" s="40" t="str">
        <f t="array" ref="R1436">iferror(index(dissected_fish!$F:$F,match($A1436,dissected_fish!$A:$A,0)))</f>
        <v>BCA111</v>
      </c>
      <c r="S1436" s="40" t="str">
        <f t="array" ref="S1436">iferror(index(dissected_fish!$K:$K,match($A1436,dissected_fish!$A:$A,0)))</f>
        <v>N</v>
      </c>
      <c r="T1436" s="61" t="str">
        <f t="array" ref="T1436">index(fish_lab_data!O:O,match(A1436,fish_lab_data!C:C,0))</f>
        <v>JG</v>
      </c>
      <c r="U1436" s="61">
        <f t="array" ref="U1436">if(A1436="","",index(fish_lab_data!X:X,match(A1436,fish_lab_data!C:C,0)))</f>
        <v>1435</v>
      </c>
    </row>
    <row r="1437">
      <c r="A1437" t="str">
        <f>fish_lab_data!C1437</f>
        <v>U17205</v>
      </c>
      <c r="B1437" t="str">
        <f t="array" ref="B1437">iferror(index('rna-muscle'!$I:$I,match($A1437,'rna-muscle'!$A:$A,0)))</f>
        <v>BRN77M-E3</v>
      </c>
      <c r="C1437" t="str">
        <f t="array" ref="C1437">iferror(index('rna-muscle'!$L:$L,match($A1437,'rna-muscle'!$A:$A,0)))</f>
        <v>N</v>
      </c>
      <c r="D1437" t="str">
        <f t="array" ref="D1437">iferror(index('rna-gill'!$I:$I,match($A1437,'rna-gill'!$A:$A,0)))</f>
        <v>BRN77G-E3</v>
      </c>
      <c r="E1437" t="str">
        <f t="array" ref="E1437">iferror(index('rna-gill'!$L:$L,match($A1437,'rna-gill'!$A:$A,0)))</f>
        <v>N</v>
      </c>
      <c r="F1437" t="str">
        <f t="array" ref="F1437">iferror(index(fatty_acid!$G:$G,match($A1437,fatty_acid!$A:$A,0)))</f>
        <v>BFA37-49</v>
      </c>
      <c r="G1437" t="str">
        <f t="array" ref="G1437">iferror(index(fatty_acid!$J:$J,match($A1437,fatty_acid!$A:$A,0)))</f>
        <v>N</v>
      </c>
      <c r="H1437" t="str">
        <f t="array" ref="H1437">iferror(index(isotopes!$G:$G,match($A1437,isotopes!$A:$A,0)))</f>
        <v>BIS40-48</v>
      </c>
      <c r="I1437" t="str">
        <f t="array" ref="I1437">iferror(index(isotopes!$J:$J,match($A1437,isotopes!$A:$A,0)))</f>
        <v>N</v>
      </c>
      <c r="J1437" t="str">
        <f t="array" ref="J1437">iferror(index(extra_muscle!$G:$G,match($A1437,extra_muscle!$A:$A,0)))</f>
        <v>BXM39-11</v>
      </c>
      <c r="K1437" t="str">
        <f t="array" ref="K1437">iferror(index(extra_muscle!$J:$J,match($A1437,extra_muscle!$A:$A,0)))</f>
        <v>N</v>
      </c>
      <c r="L1437" s="59" t="str">
        <f t="array" ref="L1437">iferror(index(dna!$G:$G,match($A1437,dna!$A:$A,0)))</f>
        <v>BDN11-66</v>
      </c>
      <c r="M1437" s="60" t="str">
        <f t="array" ref="M1437">iferror(index(dna!$J:$J,match($A1437,dna!$A:$A,0)))</f>
        <v>N</v>
      </c>
      <c r="N1437" t="str">
        <f t="array" ref="N1437">iferror(index(stomachs!$G:$G,match($A1437,stomachs!$A:$A,0)))</f>
        <v/>
      </c>
      <c r="O1437" t="str">
        <f t="array" ref="O1437">iferror(index(stomachs!$J:$J,match($A1437,stomachs!$A:$A,0)))</f>
        <v/>
      </c>
      <c r="P1437" t="str">
        <f t="array" ref="P1437">iferror(index(sea_lice!$G:$G,match($A1437,sea_lice!$A:$A,0)))</f>
        <v>BSL8-59</v>
      </c>
      <c r="Q1437" t="str">
        <f t="array" ref="Q1437">iferror(index(sea_lice!$J:$J,match($A1437,sea_lice!$A:$A,0)))</f>
        <v>N</v>
      </c>
      <c r="R1437" s="40" t="str">
        <f t="array" ref="R1437">iferror(index(dissected_fish!$F:$F,match($A1437,dissected_fish!$A:$A,0)))</f>
        <v>BCA111</v>
      </c>
      <c r="S1437" s="40" t="str">
        <f t="array" ref="S1437">iferror(index(dissected_fish!$K:$K,match($A1437,dissected_fish!$A:$A,0)))</f>
        <v>N</v>
      </c>
      <c r="T1437" s="61" t="str">
        <f t="array" ref="T1437">index(fish_lab_data!O:O,match(A1437,fish_lab_data!C:C,0))</f>
        <v>JG</v>
      </c>
      <c r="U1437" s="61">
        <f t="array" ref="U1437">if(A1437="","",index(fish_lab_data!X:X,match(A1437,fish_lab_data!C:C,0)))</f>
        <v>1436</v>
      </c>
    </row>
    <row r="1438">
      <c r="A1438" t="str">
        <f>fish_lab_data!C1438</f>
        <v>U17206</v>
      </c>
      <c r="B1438" t="str">
        <f t="array" ref="B1438">iferror(index('rna-muscle'!$I:$I,match($A1438,'rna-muscle'!$A:$A,0)))</f>
        <v>BRN77M-D3</v>
      </c>
      <c r="C1438" t="str">
        <f t="array" ref="C1438">iferror(index('rna-muscle'!$L:$L,match($A1438,'rna-muscle'!$A:$A,0)))</f>
        <v>N</v>
      </c>
      <c r="D1438" t="str">
        <f t="array" ref="D1438">iferror(index('rna-gill'!$I:$I,match($A1438,'rna-gill'!$A:$A,0)))</f>
        <v>BRN77G-D3</v>
      </c>
      <c r="E1438" t="str">
        <f t="array" ref="E1438">iferror(index('rna-gill'!$L:$L,match($A1438,'rna-gill'!$A:$A,0)))</f>
        <v>N</v>
      </c>
      <c r="F1438" t="str">
        <f t="array" ref="F1438">iferror(index(fatty_acid!$G:$G,match($A1438,fatty_acid!$A:$A,0)))</f>
        <v>BFA37-50</v>
      </c>
      <c r="G1438" t="str">
        <f t="array" ref="G1438">iferror(index(fatty_acid!$J:$J,match($A1438,fatty_acid!$A:$A,0)))</f>
        <v>N</v>
      </c>
      <c r="H1438" t="str">
        <f t="array" ref="H1438">iferror(index(isotopes!$G:$G,match($A1438,isotopes!$A:$A,0)))</f>
        <v>BIS40-49</v>
      </c>
      <c r="I1438" t="str">
        <f t="array" ref="I1438">iferror(index(isotopes!$J:$J,match($A1438,isotopes!$A:$A,0)))</f>
        <v>N</v>
      </c>
      <c r="J1438" t="str">
        <f t="array" ref="J1438">iferror(index(extra_muscle!$G:$G,match($A1438,extra_muscle!$A:$A,0)))</f>
        <v>BXM39-12</v>
      </c>
      <c r="K1438" t="str">
        <f t="array" ref="K1438">iferror(index(extra_muscle!$J:$J,match($A1438,extra_muscle!$A:$A,0)))</f>
        <v>N</v>
      </c>
      <c r="L1438" s="59" t="str">
        <f t="array" ref="L1438">iferror(index(dna!$G:$G,match($A1438,dna!$A:$A,0)))</f>
        <v>BDN11-67</v>
      </c>
      <c r="M1438" s="60" t="str">
        <f t="array" ref="M1438">iferror(index(dna!$J:$J,match($A1438,dna!$A:$A,0)))</f>
        <v>N</v>
      </c>
      <c r="N1438" t="str">
        <f t="array" ref="N1438">iferror(index(stomachs!$G:$G,match($A1438,stomachs!$A:$A,0)))</f>
        <v/>
      </c>
      <c r="O1438" t="str">
        <f t="array" ref="O1438">iferror(index(stomachs!$J:$J,match($A1438,stomachs!$A:$A,0)))</f>
        <v/>
      </c>
      <c r="P1438" t="str">
        <f t="array" ref="P1438">iferror(index(sea_lice!$G:$G,match($A1438,sea_lice!$A:$A,0)))</f>
        <v>BSL8-60</v>
      </c>
      <c r="Q1438" t="str">
        <f t="array" ref="Q1438">iferror(index(sea_lice!$J:$J,match($A1438,sea_lice!$A:$A,0)))</f>
        <v>N</v>
      </c>
      <c r="R1438" s="40" t="str">
        <f t="array" ref="R1438">iferror(index(dissected_fish!$F:$F,match($A1438,dissected_fish!$A:$A,0)))</f>
        <v>BCA111</v>
      </c>
      <c r="S1438" s="40" t="str">
        <f t="array" ref="S1438">iferror(index(dissected_fish!$K:$K,match($A1438,dissected_fish!$A:$A,0)))</f>
        <v>N</v>
      </c>
      <c r="T1438" s="61" t="str">
        <f t="array" ref="T1438">index(fish_lab_data!O:O,match(A1438,fish_lab_data!C:C,0))</f>
        <v>JG</v>
      </c>
      <c r="U1438" s="61">
        <f t="array" ref="U1438">if(A1438="","",index(fish_lab_data!X:X,match(A1438,fish_lab_data!C:C,0)))</f>
        <v>1437</v>
      </c>
    </row>
    <row r="1439">
      <c r="A1439" t="str">
        <f>fish_lab_data!C1439</f>
        <v>U17202</v>
      </c>
      <c r="B1439" t="str">
        <f t="array" ref="B1439">iferror(index('rna-muscle'!$I:$I,match($A1439,'rna-muscle'!$A:$A,0)))</f>
        <v>BRN77M-C3</v>
      </c>
      <c r="C1439" t="str">
        <f t="array" ref="C1439">iferror(index('rna-muscle'!$L:$L,match($A1439,'rna-muscle'!$A:$A,0)))</f>
        <v>N</v>
      </c>
      <c r="D1439" t="str">
        <f t="array" ref="D1439">iferror(index('rna-gill'!$I:$I,match($A1439,'rna-gill'!$A:$A,0)))</f>
        <v>BRN77G-C3</v>
      </c>
      <c r="E1439" t="str">
        <f t="array" ref="E1439">iferror(index('rna-gill'!$L:$L,match($A1439,'rna-gill'!$A:$A,0)))</f>
        <v>N</v>
      </c>
      <c r="F1439" t="str">
        <f t="array" ref="F1439">iferror(index(fatty_acid!$G:$G,match($A1439,fatty_acid!$A:$A,0)))</f>
        <v>BFA37-51</v>
      </c>
      <c r="G1439" t="str">
        <f t="array" ref="G1439">iferror(index(fatty_acid!$J:$J,match($A1439,fatty_acid!$A:$A,0)))</f>
        <v>N</v>
      </c>
      <c r="H1439" t="str">
        <f t="array" ref="H1439">iferror(index(isotopes!$G:$G,match($A1439,isotopes!$A:$A,0)))</f>
        <v>BIS40-50</v>
      </c>
      <c r="I1439" t="str">
        <f t="array" ref="I1439">iferror(index(isotopes!$J:$J,match($A1439,isotopes!$A:$A,0)))</f>
        <v>N</v>
      </c>
      <c r="J1439" t="str">
        <f t="array" ref="J1439">iferror(index(extra_muscle!$G:$G,match($A1439,extra_muscle!$A:$A,0)))</f>
        <v>BXM39-13</v>
      </c>
      <c r="K1439" t="str">
        <f t="array" ref="K1439">iferror(index(extra_muscle!$J:$J,match($A1439,extra_muscle!$A:$A,0)))</f>
        <v>N</v>
      </c>
      <c r="L1439" s="59" t="str">
        <f t="array" ref="L1439">iferror(index(dna!$G:$G,match($A1439,dna!$A:$A,0)))</f>
        <v>BDN11-68</v>
      </c>
      <c r="M1439" s="60" t="str">
        <f t="array" ref="M1439">iferror(index(dna!$J:$J,match($A1439,dna!$A:$A,0)))</f>
        <v>N</v>
      </c>
      <c r="N1439" t="str">
        <f t="array" ref="N1439">iferror(index(stomachs!$G:$G,match($A1439,stomachs!$A:$A,0)))</f>
        <v/>
      </c>
      <c r="O1439" t="str">
        <f t="array" ref="O1439">iferror(index(stomachs!$J:$J,match($A1439,stomachs!$A:$A,0)))</f>
        <v/>
      </c>
      <c r="P1439" t="str">
        <f t="array" ref="P1439">iferror(index(sea_lice!$G:$G,match($A1439,sea_lice!$A:$A,0)))</f>
        <v/>
      </c>
      <c r="Q1439" t="str">
        <f t="array" ref="Q1439">iferror(index(sea_lice!$J:$J,match($A1439,sea_lice!$A:$A,0)))</f>
        <v/>
      </c>
      <c r="R1439" s="40" t="str">
        <f t="array" ref="R1439">iferror(index(dissected_fish!$F:$F,match($A1439,dissected_fish!$A:$A,0)))</f>
        <v>BCA111</v>
      </c>
      <c r="S1439" s="40" t="str">
        <f t="array" ref="S1439">iferror(index(dissected_fish!$K:$K,match($A1439,dissected_fish!$A:$A,0)))</f>
        <v>N</v>
      </c>
      <c r="T1439" s="61" t="str">
        <f t="array" ref="T1439">index(fish_lab_data!O:O,match(A1439,fish_lab_data!C:C,0))</f>
        <v>JG</v>
      </c>
      <c r="U1439" s="61">
        <f t="array" ref="U1439">if(A1439="","",index(fish_lab_data!X:X,match(A1439,fish_lab_data!C:C,0)))</f>
        <v>1438</v>
      </c>
    </row>
    <row r="1440">
      <c r="A1440" t="str">
        <f>fish_lab_data!C1440</f>
        <v>U17201</v>
      </c>
      <c r="B1440" t="str">
        <f t="array" ref="B1440">iferror(index('rna-muscle'!$I:$I,match($A1440,'rna-muscle'!$A:$A,0)))</f>
        <v>BRN77M-B3</v>
      </c>
      <c r="C1440" t="str">
        <f t="array" ref="C1440">iferror(index('rna-muscle'!$L:$L,match($A1440,'rna-muscle'!$A:$A,0)))</f>
        <v>N</v>
      </c>
      <c r="D1440" t="str">
        <f t="array" ref="D1440">iferror(index('rna-gill'!$I:$I,match($A1440,'rna-gill'!$A:$A,0)))</f>
        <v>BRN77G-B3</v>
      </c>
      <c r="E1440" t="str">
        <f t="array" ref="E1440">iferror(index('rna-gill'!$L:$L,match($A1440,'rna-gill'!$A:$A,0)))</f>
        <v>N</v>
      </c>
      <c r="F1440" t="str">
        <f t="array" ref="F1440">iferror(index(fatty_acid!$G:$G,match($A1440,fatty_acid!$A:$A,0)))</f>
        <v>BFA37-52</v>
      </c>
      <c r="G1440" t="str">
        <f t="array" ref="G1440">iferror(index(fatty_acid!$J:$J,match($A1440,fatty_acid!$A:$A,0)))</f>
        <v>N</v>
      </c>
      <c r="H1440" t="str">
        <f t="array" ref="H1440">iferror(index(isotopes!$G:$G,match($A1440,isotopes!$A:$A,0)))</f>
        <v>BIS40-51</v>
      </c>
      <c r="I1440" t="str">
        <f t="array" ref="I1440">iferror(index(isotopes!$J:$J,match($A1440,isotopes!$A:$A,0)))</f>
        <v>N</v>
      </c>
      <c r="J1440" t="str">
        <f t="array" ref="J1440">iferror(index(extra_muscle!$G:$G,match($A1440,extra_muscle!$A:$A,0)))</f>
        <v>BXM39-14</v>
      </c>
      <c r="K1440" t="str">
        <f t="array" ref="K1440">iferror(index(extra_muscle!$J:$J,match($A1440,extra_muscle!$A:$A,0)))</f>
        <v>N</v>
      </c>
      <c r="L1440" s="59" t="str">
        <f t="array" ref="L1440">iferror(index(dna!$G:$G,match($A1440,dna!$A:$A,0)))</f>
        <v>BDN11-69</v>
      </c>
      <c r="M1440" s="60" t="str">
        <f t="array" ref="M1440">iferror(index(dna!$J:$J,match($A1440,dna!$A:$A,0)))</f>
        <v>N</v>
      </c>
      <c r="N1440" t="str">
        <f t="array" ref="N1440">iferror(index(stomachs!$G:$G,match($A1440,stomachs!$A:$A,0)))</f>
        <v/>
      </c>
      <c r="O1440" t="str">
        <f t="array" ref="O1440">iferror(index(stomachs!$J:$J,match($A1440,stomachs!$A:$A,0)))</f>
        <v/>
      </c>
      <c r="P1440" t="str">
        <f t="array" ref="P1440">iferror(index(sea_lice!$G:$G,match($A1440,sea_lice!$A:$A,0)))</f>
        <v>BSL8-61</v>
      </c>
      <c r="Q1440" t="str">
        <f t="array" ref="Q1440">iferror(index(sea_lice!$J:$J,match($A1440,sea_lice!$A:$A,0)))</f>
        <v>N</v>
      </c>
      <c r="R1440" s="40" t="str">
        <f t="array" ref="R1440">iferror(index(dissected_fish!$F:$F,match($A1440,dissected_fish!$A:$A,0)))</f>
        <v>BCA111</v>
      </c>
      <c r="S1440" s="40" t="str">
        <f t="array" ref="S1440">iferror(index(dissected_fish!$K:$K,match($A1440,dissected_fish!$A:$A,0)))</f>
        <v>N</v>
      </c>
      <c r="T1440" s="61" t="str">
        <f t="array" ref="T1440">index(fish_lab_data!O:O,match(A1440,fish_lab_data!C:C,0))</f>
        <v>JG</v>
      </c>
      <c r="U1440" s="61">
        <f t="array" ref="U1440">if(A1440="","",index(fish_lab_data!X:X,match(A1440,fish_lab_data!C:C,0)))</f>
        <v>1439</v>
      </c>
    </row>
    <row r="1441">
      <c r="A1441" t="str">
        <f>fish_lab_data!C1441</f>
        <v>U17203</v>
      </c>
      <c r="B1441" t="str">
        <f t="array" ref="B1441">iferror(index('rna-muscle'!$I:$I,match($A1441,'rna-muscle'!$A:$A,0)))</f>
        <v>BRN77M-A3</v>
      </c>
      <c r="C1441" t="str">
        <f t="array" ref="C1441">iferror(index('rna-muscle'!$L:$L,match($A1441,'rna-muscle'!$A:$A,0)))</f>
        <v>N</v>
      </c>
      <c r="D1441" t="str">
        <f t="array" ref="D1441">iferror(index('rna-gill'!$I:$I,match($A1441,'rna-gill'!$A:$A,0)))</f>
        <v>BRN77G-A3</v>
      </c>
      <c r="E1441" t="str">
        <f t="array" ref="E1441">iferror(index('rna-gill'!$L:$L,match($A1441,'rna-gill'!$A:$A,0)))</f>
        <v>N</v>
      </c>
      <c r="F1441" t="str">
        <f t="array" ref="F1441">iferror(index(fatty_acid!$G:$G,match($A1441,fatty_acid!$A:$A,0)))</f>
        <v>BFA37-53</v>
      </c>
      <c r="G1441" t="str">
        <f t="array" ref="G1441">iferror(index(fatty_acid!$J:$J,match($A1441,fatty_acid!$A:$A,0)))</f>
        <v>N</v>
      </c>
      <c r="H1441" t="str">
        <f t="array" ref="H1441">iferror(index(isotopes!$G:$G,match($A1441,isotopes!$A:$A,0)))</f>
        <v>BIS40-52</v>
      </c>
      <c r="I1441" t="str">
        <f t="array" ref="I1441">iferror(index(isotopes!$J:$J,match($A1441,isotopes!$A:$A,0)))</f>
        <v>N</v>
      </c>
      <c r="J1441" t="str">
        <f t="array" ref="J1441">iferror(index(extra_muscle!$G:$G,match($A1441,extra_muscle!$A:$A,0)))</f>
        <v>BXM39-15</v>
      </c>
      <c r="K1441" t="str">
        <f t="array" ref="K1441">iferror(index(extra_muscle!$J:$J,match($A1441,extra_muscle!$A:$A,0)))</f>
        <v>N</v>
      </c>
      <c r="L1441" s="59" t="str">
        <f t="array" ref="L1441">iferror(index(dna!$G:$G,match($A1441,dna!$A:$A,0)))</f>
        <v>BDN11-70</v>
      </c>
      <c r="M1441" s="60" t="str">
        <f t="array" ref="M1441">iferror(index(dna!$J:$J,match($A1441,dna!$A:$A,0)))</f>
        <v>N</v>
      </c>
      <c r="N1441" t="str">
        <f t="array" ref="N1441">iferror(index(stomachs!$G:$G,match($A1441,stomachs!$A:$A,0)))</f>
        <v/>
      </c>
      <c r="O1441" t="str">
        <f t="array" ref="O1441">iferror(index(stomachs!$J:$J,match($A1441,stomachs!$A:$A,0)))</f>
        <v/>
      </c>
      <c r="P1441" t="str">
        <f t="array" ref="P1441">iferror(index(sea_lice!$G:$G,match($A1441,sea_lice!$A:$A,0)))</f>
        <v/>
      </c>
      <c r="Q1441" t="str">
        <f t="array" ref="Q1441">iferror(index(sea_lice!$J:$J,match($A1441,sea_lice!$A:$A,0)))</f>
        <v/>
      </c>
      <c r="R1441" s="40" t="str">
        <f t="array" ref="R1441">iferror(index(dissected_fish!$F:$F,match($A1441,dissected_fish!$A:$A,0)))</f>
        <v>BCA111</v>
      </c>
      <c r="S1441" s="40" t="str">
        <f t="array" ref="S1441">iferror(index(dissected_fish!$K:$K,match($A1441,dissected_fish!$A:$A,0)))</f>
        <v>N</v>
      </c>
      <c r="T1441" s="61" t="str">
        <f t="array" ref="T1441">index(fish_lab_data!O:O,match(A1441,fish_lab_data!C:C,0))</f>
        <v>JG</v>
      </c>
      <c r="U1441" s="61">
        <f t="array" ref="U1441">if(A1441="","",index(fish_lab_data!X:X,match(A1441,fish_lab_data!C:C,0)))</f>
        <v>1440</v>
      </c>
    </row>
    <row r="1442">
      <c r="A1442" t="str">
        <f>fish_lab_data!C1442</f>
        <v>U17204</v>
      </c>
      <c r="B1442" t="str">
        <f t="array" ref="B1442">iferror(index('rna-muscle'!$I:$I,match($A1442,'rna-muscle'!$A:$A,0)))</f>
        <v>BRN77M-B6</v>
      </c>
      <c r="C1442" t="str">
        <f t="array" ref="C1442">iferror(index('rna-muscle'!$L:$L,match($A1442,'rna-muscle'!$A:$A,0)))</f>
        <v>N</v>
      </c>
      <c r="D1442" t="str">
        <f t="array" ref="D1442">iferror(index('rna-gill'!$I:$I,match($A1442,'rna-gill'!$A:$A,0)))</f>
        <v>BRN77G-B6</v>
      </c>
      <c r="E1442" t="str">
        <f t="array" ref="E1442">iferror(index('rna-gill'!$L:$L,match($A1442,'rna-gill'!$A:$A,0)))</f>
        <v>N</v>
      </c>
      <c r="F1442" t="str">
        <f t="array" ref="F1442">iferror(index(fatty_acid!$G:$G,match($A1442,fatty_acid!$A:$A,0)))</f>
        <v>BFA37-54</v>
      </c>
      <c r="G1442" t="str">
        <f t="array" ref="G1442">iferror(index(fatty_acid!$J:$J,match($A1442,fatty_acid!$A:$A,0)))</f>
        <v>N</v>
      </c>
      <c r="H1442" t="str">
        <f t="array" ref="H1442">iferror(index(isotopes!$G:$G,match($A1442,isotopes!$A:$A,0)))</f>
        <v>BIS40-53</v>
      </c>
      <c r="I1442" t="str">
        <f t="array" ref="I1442">iferror(index(isotopes!$J:$J,match($A1442,isotopes!$A:$A,0)))</f>
        <v>N</v>
      </c>
      <c r="J1442" t="str">
        <f t="array" ref="J1442">iferror(index(extra_muscle!$G:$G,match($A1442,extra_muscle!$A:$A,0)))</f>
        <v>BXM39-16</v>
      </c>
      <c r="K1442" t="str">
        <f t="array" ref="K1442">iferror(index(extra_muscle!$J:$J,match($A1442,extra_muscle!$A:$A,0)))</f>
        <v>N</v>
      </c>
      <c r="L1442" s="59" t="str">
        <f t="array" ref="L1442">iferror(index(dna!$G:$G,match($A1442,dna!$A:$A,0)))</f>
        <v>BDN11-71</v>
      </c>
      <c r="M1442" s="60" t="str">
        <f t="array" ref="M1442">iferror(index(dna!$J:$J,match($A1442,dna!$A:$A,0)))</f>
        <v>N</v>
      </c>
      <c r="N1442" t="str">
        <f t="array" ref="N1442">iferror(index(stomachs!$G:$G,match($A1442,stomachs!$A:$A,0)))</f>
        <v/>
      </c>
      <c r="O1442" t="str">
        <f t="array" ref="O1442">iferror(index(stomachs!$J:$J,match($A1442,stomachs!$A:$A,0)))</f>
        <v/>
      </c>
      <c r="P1442" t="str">
        <f t="array" ref="P1442">iferror(index(sea_lice!$G:$G,match($A1442,sea_lice!$A:$A,0)))</f>
        <v>BSL8-63</v>
      </c>
      <c r="Q1442" t="str">
        <f t="array" ref="Q1442">iferror(index(sea_lice!$J:$J,match($A1442,sea_lice!$A:$A,0)))</f>
        <v>N</v>
      </c>
      <c r="R1442" s="40" t="str">
        <f t="array" ref="R1442">iferror(index(dissected_fish!$F:$F,match($A1442,dissected_fish!$A:$A,0)))</f>
        <v>BCA111</v>
      </c>
      <c r="S1442" s="40" t="str">
        <f t="array" ref="S1442">iferror(index(dissected_fish!$K:$K,match($A1442,dissected_fish!$A:$A,0)))</f>
        <v>N</v>
      </c>
      <c r="T1442" s="61" t="str">
        <f t="array" ref="T1442">index(fish_lab_data!O:O,match(A1442,fish_lab_data!C:C,0))</f>
        <v>JG</v>
      </c>
      <c r="U1442" s="61">
        <f t="array" ref="U1442">if(A1442="","",index(fish_lab_data!X:X,match(A1442,fish_lab_data!C:C,0)))</f>
        <v>1441</v>
      </c>
    </row>
    <row r="1443">
      <c r="A1443" t="str">
        <f>fish_lab_data!C1443</f>
        <v>U17210</v>
      </c>
      <c r="B1443" t="str">
        <f t="array" ref="B1443">iferror(index('rna-muscle'!$I:$I,match($A1443,'rna-muscle'!$A:$A,0)))</f>
        <v>BRN77M-A6</v>
      </c>
      <c r="C1443" t="str">
        <f t="array" ref="C1443">iferror(index('rna-muscle'!$L:$L,match($A1443,'rna-muscle'!$A:$A,0)))</f>
        <v>N</v>
      </c>
      <c r="D1443" t="str">
        <f t="array" ref="D1443">iferror(index('rna-gill'!$I:$I,match($A1443,'rna-gill'!$A:$A,0)))</f>
        <v>BRN77G-A6</v>
      </c>
      <c r="E1443" t="str">
        <f t="array" ref="E1443">iferror(index('rna-gill'!$L:$L,match($A1443,'rna-gill'!$A:$A,0)))</f>
        <v>N</v>
      </c>
      <c r="F1443" t="str">
        <f t="array" ref="F1443">iferror(index(fatty_acid!$G:$G,match($A1443,fatty_acid!$A:$A,0)))</f>
        <v>BFA37-55</v>
      </c>
      <c r="G1443" t="str">
        <f t="array" ref="G1443">iferror(index(fatty_acid!$J:$J,match($A1443,fatty_acid!$A:$A,0)))</f>
        <v>N</v>
      </c>
      <c r="H1443" t="str">
        <f t="array" ref="H1443">iferror(index(isotopes!$G:$G,match($A1443,isotopes!$A:$A,0)))</f>
        <v>BIS40-54</v>
      </c>
      <c r="I1443" t="str">
        <f t="array" ref="I1443">iferror(index(isotopes!$J:$J,match($A1443,isotopes!$A:$A,0)))</f>
        <v>N</v>
      </c>
      <c r="J1443" t="str">
        <f t="array" ref="J1443">iferror(index(extra_muscle!$G:$G,match($A1443,extra_muscle!$A:$A,0)))</f>
        <v>BXM39-17</v>
      </c>
      <c r="K1443" t="str">
        <f t="array" ref="K1443">iferror(index(extra_muscle!$J:$J,match($A1443,extra_muscle!$A:$A,0)))</f>
        <v>N</v>
      </c>
      <c r="L1443" s="59" t="str">
        <f t="array" ref="L1443">iferror(index(dna!$G:$G,match($A1443,dna!$A:$A,0)))</f>
        <v>BDN11-72</v>
      </c>
      <c r="M1443" s="60" t="str">
        <f t="array" ref="M1443">iferror(index(dna!$J:$J,match($A1443,dna!$A:$A,0)))</f>
        <v>N</v>
      </c>
      <c r="N1443" t="str">
        <f t="array" ref="N1443">iferror(index(stomachs!$G:$G,match($A1443,stomachs!$A:$A,0)))</f>
        <v/>
      </c>
      <c r="O1443" t="str">
        <f t="array" ref="O1443">iferror(index(stomachs!$J:$J,match($A1443,stomachs!$A:$A,0)))</f>
        <v/>
      </c>
      <c r="P1443" t="str">
        <f t="array" ref="P1443">iferror(index(sea_lice!$G:$G,match($A1443,sea_lice!$A:$A,0)))</f>
        <v>BSL8-64</v>
      </c>
      <c r="Q1443" t="str">
        <f t="array" ref="Q1443">iferror(index(sea_lice!$J:$J,match($A1443,sea_lice!$A:$A,0)))</f>
        <v>N</v>
      </c>
      <c r="R1443" s="40" t="str">
        <f t="array" ref="R1443">iferror(index(dissected_fish!$F:$F,match($A1443,dissected_fish!$A:$A,0)))</f>
        <v>BCA111</v>
      </c>
      <c r="S1443" s="40" t="str">
        <f t="array" ref="S1443">iferror(index(dissected_fish!$K:$K,match($A1443,dissected_fish!$A:$A,0)))</f>
        <v>N</v>
      </c>
      <c r="T1443" s="61" t="str">
        <f t="array" ref="T1443">index(fish_lab_data!O:O,match(A1443,fish_lab_data!C:C,0))</f>
        <v>JG</v>
      </c>
      <c r="U1443" s="61">
        <f t="array" ref="U1443">if(A1443="","",index(fish_lab_data!X:X,match(A1443,fish_lab_data!C:C,0)))</f>
        <v>1442</v>
      </c>
    </row>
    <row r="1444">
      <c r="A1444" t="str">
        <f>fish_lab_data!C1444</f>
        <v>U17491</v>
      </c>
      <c r="B1444" t="str">
        <f t="array" ref="B1444">iferror(index('rna-muscle'!$I:$I,match($A1444,'rna-muscle'!$A:$A,0)))</f>
        <v>BRN77M-H7</v>
      </c>
      <c r="C1444" t="str">
        <f t="array" ref="C1444">iferror(index('rna-muscle'!$L:$L,match($A1444,'rna-muscle'!$A:$A,0)))</f>
        <v>N</v>
      </c>
      <c r="D1444" t="str">
        <f t="array" ref="D1444">iferror(index('rna-gill'!$I:$I,match($A1444,'rna-gill'!$A:$A,0)))</f>
        <v>BRN77G-H7</v>
      </c>
      <c r="E1444" t="str">
        <f t="array" ref="E1444">iferror(index('rna-gill'!$L:$L,match($A1444,'rna-gill'!$A:$A,0)))</f>
        <v>N</v>
      </c>
      <c r="F1444" t="str">
        <f t="array" ref="F1444">iferror(index(fatty_acid!$G:$G,match($A1444,fatty_acid!$A:$A,0)))</f>
        <v>BFA37-56</v>
      </c>
      <c r="G1444" t="str">
        <f t="array" ref="G1444">iferror(index(fatty_acid!$J:$J,match($A1444,fatty_acid!$A:$A,0)))</f>
        <v>N</v>
      </c>
      <c r="H1444" t="str">
        <f t="array" ref="H1444">iferror(index(isotopes!$G:$G,match($A1444,isotopes!$A:$A,0)))</f>
        <v>BIS40-55</v>
      </c>
      <c r="I1444" t="str">
        <f t="array" ref="I1444">iferror(index(isotopes!$J:$J,match($A1444,isotopes!$A:$A,0)))</f>
        <v>N</v>
      </c>
      <c r="J1444" t="str">
        <f t="array" ref="J1444">iferror(index(extra_muscle!$G:$G,match($A1444,extra_muscle!$A:$A,0)))</f>
        <v>BXM39-18</v>
      </c>
      <c r="K1444" t="str">
        <f t="array" ref="K1444">iferror(index(extra_muscle!$J:$J,match($A1444,extra_muscle!$A:$A,0)))</f>
        <v>N</v>
      </c>
      <c r="L1444" s="59" t="str">
        <f t="array" ref="L1444">iferror(index(dna!$G:$G,match($A1444,dna!$A:$A,0)))</f>
        <v>BDN11-73</v>
      </c>
      <c r="M1444" s="60" t="str">
        <f t="array" ref="M1444">iferror(index(dna!$J:$J,match($A1444,dna!$A:$A,0)))</f>
        <v>N</v>
      </c>
      <c r="N1444" t="str">
        <f t="array" ref="N1444">iferror(index(stomachs!$G:$G,match($A1444,stomachs!$A:$A,0)))</f>
        <v/>
      </c>
      <c r="O1444" t="str">
        <f t="array" ref="O1444">iferror(index(stomachs!$J:$J,match($A1444,stomachs!$A:$A,0)))</f>
        <v/>
      </c>
      <c r="P1444" t="str">
        <f t="array" ref="P1444">iferror(index(sea_lice!$G:$G,match($A1444,sea_lice!$A:$A,0)))</f>
        <v/>
      </c>
      <c r="Q1444" t="str">
        <f t="array" ref="Q1444">iferror(index(sea_lice!$J:$J,match($A1444,sea_lice!$A:$A,0)))</f>
        <v/>
      </c>
      <c r="R1444" s="40" t="str">
        <f t="array" ref="R1444">iferror(index(dissected_fish!$F:$F,match($A1444,dissected_fish!$A:$A,0)))</f>
        <v>BCA111</v>
      </c>
      <c r="S1444" s="40" t="str">
        <f t="array" ref="S1444">iferror(index(dissected_fish!$K:$K,match($A1444,dissected_fish!$A:$A,0)))</f>
        <v>N</v>
      </c>
      <c r="T1444" s="61" t="str">
        <f t="array" ref="T1444">index(fish_lab_data!O:O,match(A1444,fish_lab_data!C:C,0))</f>
        <v>JG</v>
      </c>
      <c r="U1444" s="61">
        <f t="array" ref="U1444">if(A1444="","",index(fish_lab_data!X:X,match(A1444,fish_lab_data!C:C,0)))</f>
        <v>1443</v>
      </c>
    </row>
    <row r="1445">
      <c r="A1445" t="str">
        <f>fish_lab_data!C1445</f>
        <v>U17496</v>
      </c>
      <c r="B1445" t="str">
        <f t="array" ref="B1445">iferror(index('rna-muscle'!$I:$I,match($A1445,'rna-muscle'!$A:$A,0)))</f>
        <v>BRN77M-G7</v>
      </c>
      <c r="C1445" t="str">
        <f t="array" ref="C1445">iferror(index('rna-muscle'!$L:$L,match($A1445,'rna-muscle'!$A:$A,0)))</f>
        <v>N</v>
      </c>
      <c r="D1445" t="str">
        <f t="array" ref="D1445">iferror(index('rna-gill'!$I:$I,match($A1445,'rna-gill'!$A:$A,0)))</f>
        <v>BRN77G-G7</v>
      </c>
      <c r="E1445" t="str">
        <f t="array" ref="E1445">iferror(index('rna-gill'!$L:$L,match($A1445,'rna-gill'!$A:$A,0)))</f>
        <v>N</v>
      </c>
      <c r="F1445" t="str">
        <f t="array" ref="F1445">iferror(index(fatty_acid!$G:$G,match($A1445,fatty_acid!$A:$A,0)))</f>
        <v>BFA37-57</v>
      </c>
      <c r="G1445" t="str">
        <f t="array" ref="G1445">iferror(index(fatty_acid!$J:$J,match($A1445,fatty_acid!$A:$A,0)))</f>
        <v>N</v>
      </c>
      <c r="H1445" t="str">
        <f t="array" ref="H1445">iferror(index(isotopes!$G:$G,match($A1445,isotopes!$A:$A,0)))</f>
        <v>BIS40-56</v>
      </c>
      <c r="I1445" t="str">
        <f t="array" ref="I1445">iferror(index(isotopes!$J:$J,match($A1445,isotopes!$A:$A,0)))</f>
        <v>N</v>
      </c>
      <c r="J1445" t="str">
        <f t="array" ref="J1445">iferror(index(extra_muscle!$G:$G,match($A1445,extra_muscle!$A:$A,0)))</f>
        <v>BXM39-19</v>
      </c>
      <c r="K1445" t="str">
        <f t="array" ref="K1445">iferror(index(extra_muscle!$J:$J,match($A1445,extra_muscle!$A:$A,0)))</f>
        <v>N</v>
      </c>
      <c r="L1445" s="59" t="str">
        <f t="array" ref="L1445">iferror(index(dna!$G:$G,match($A1445,dna!$A:$A,0)))</f>
        <v>BDN11-74</v>
      </c>
      <c r="M1445" s="60" t="str">
        <f t="array" ref="M1445">iferror(index(dna!$J:$J,match($A1445,dna!$A:$A,0)))</f>
        <v>N</v>
      </c>
      <c r="N1445" t="str">
        <f t="array" ref="N1445">iferror(index(stomachs!$G:$G,match($A1445,stomachs!$A:$A,0)))</f>
        <v/>
      </c>
      <c r="O1445" t="str">
        <f t="array" ref="O1445">iferror(index(stomachs!$J:$J,match($A1445,stomachs!$A:$A,0)))</f>
        <v/>
      </c>
      <c r="P1445" t="str">
        <f t="array" ref="P1445">iferror(index(sea_lice!$G:$G,match($A1445,sea_lice!$A:$A,0)))</f>
        <v/>
      </c>
      <c r="Q1445" t="str">
        <f t="array" ref="Q1445">iferror(index(sea_lice!$J:$J,match($A1445,sea_lice!$A:$A,0)))</f>
        <v/>
      </c>
      <c r="R1445" s="40" t="str">
        <f t="array" ref="R1445">iferror(index(dissected_fish!$F:$F,match($A1445,dissected_fish!$A:$A,0)))</f>
        <v>BCA111</v>
      </c>
      <c r="S1445" s="40" t="str">
        <f t="array" ref="S1445">iferror(index(dissected_fish!$K:$K,match($A1445,dissected_fish!$A:$A,0)))</f>
        <v>N</v>
      </c>
      <c r="T1445" s="61" t="str">
        <f t="array" ref="T1445">index(fish_lab_data!O:O,match(A1445,fish_lab_data!C:C,0))</f>
        <v>JG</v>
      </c>
      <c r="U1445" s="61">
        <f t="array" ref="U1445">if(A1445="","",index(fish_lab_data!X:X,match(A1445,fish_lab_data!C:C,0)))</f>
        <v>1444</v>
      </c>
    </row>
    <row r="1446">
      <c r="A1446" t="str">
        <f>fish_lab_data!C1446</f>
        <v>U17494</v>
      </c>
      <c r="B1446" t="str">
        <f t="array" ref="B1446">iferror(index('rna-muscle'!$I:$I,match($A1446,'rna-muscle'!$A:$A,0)))</f>
        <v>BRN77M-F7</v>
      </c>
      <c r="C1446" t="str">
        <f t="array" ref="C1446">iferror(index('rna-muscle'!$L:$L,match($A1446,'rna-muscle'!$A:$A,0)))</f>
        <v>N</v>
      </c>
      <c r="D1446" t="str">
        <f t="array" ref="D1446">iferror(index('rna-gill'!$I:$I,match($A1446,'rna-gill'!$A:$A,0)))</f>
        <v>BRN77G-F7</v>
      </c>
      <c r="E1446" t="str">
        <f t="array" ref="E1446">iferror(index('rna-gill'!$L:$L,match($A1446,'rna-gill'!$A:$A,0)))</f>
        <v>N</v>
      </c>
      <c r="F1446" t="str">
        <f t="array" ref="F1446">iferror(index(fatty_acid!$G:$G,match($A1446,fatty_acid!$A:$A,0)))</f>
        <v>BFA37-58</v>
      </c>
      <c r="G1446" t="str">
        <f t="array" ref="G1446">iferror(index(fatty_acid!$J:$J,match($A1446,fatty_acid!$A:$A,0)))</f>
        <v>N</v>
      </c>
      <c r="H1446" t="str">
        <f t="array" ref="H1446">iferror(index(isotopes!$G:$G,match($A1446,isotopes!$A:$A,0)))</f>
        <v>BIS40-57</v>
      </c>
      <c r="I1446" t="str">
        <f t="array" ref="I1446">iferror(index(isotopes!$J:$J,match($A1446,isotopes!$A:$A,0)))</f>
        <v>N</v>
      </c>
      <c r="J1446" t="str">
        <f t="array" ref="J1446">iferror(index(extra_muscle!$G:$G,match($A1446,extra_muscle!$A:$A,0)))</f>
        <v>BXM39-20</v>
      </c>
      <c r="K1446" t="str">
        <f t="array" ref="K1446">iferror(index(extra_muscle!$J:$J,match($A1446,extra_muscle!$A:$A,0)))</f>
        <v>N</v>
      </c>
      <c r="L1446" s="59" t="str">
        <f t="array" ref="L1446">iferror(index(dna!$G:$G,match($A1446,dna!$A:$A,0)))</f>
        <v>BDN11-75</v>
      </c>
      <c r="M1446" s="60" t="str">
        <f t="array" ref="M1446">iferror(index(dna!$J:$J,match($A1446,dna!$A:$A,0)))</f>
        <v>N</v>
      </c>
      <c r="N1446" t="str">
        <f t="array" ref="N1446">iferror(index(stomachs!$G:$G,match($A1446,stomachs!$A:$A,0)))</f>
        <v/>
      </c>
      <c r="O1446" t="str">
        <f t="array" ref="O1446">iferror(index(stomachs!$J:$J,match($A1446,stomachs!$A:$A,0)))</f>
        <v/>
      </c>
      <c r="P1446" t="str">
        <f t="array" ref="P1446">iferror(index(sea_lice!$G:$G,match($A1446,sea_lice!$A:$A,0)))</f>
        <v/>
      </c>
      <c r="Q1446" t="str">
        <f t="array" ref="Q1446">iferror(index(sea_lice!$J:$J,match($A1446,sea_lice!$A:$A,0)))</f>
        <v/>
      </c>
      <c r="R1446" s="40" t="str">
        <f t="array" ref="R1446">iferror(index(dissected_fish!$F:$F,match($A1446,dissected_fish!$A:$A,0)))</f>
        <v>BCA111</v>
      </c>
      <c r="S1446" s="40" t="str">
        <f t="array" ref="S1446">iferror(index(dissected_fish!$K:$K,match($A1446,dissected_fish!$A:$A,0)))</f>
        <v>N</v>
      </c>
      <c r="T1446" s="61" t="str">
        <f t="array" ref="T1446">index(fish_lab_data!O:O,match(A1446,fish_lab_data!C:C,0))</f>
        <v>JG</v>
      </c>
      <c r="U1446" s="61">
        <f t="array" ref="U1446">if(A1446="","",index(fish_lab_data!X:X,match(A1446,fish_lab_data!C:C,0)))</f>
        <v>1445</v>
      </c>
    </row>
    <row r="1447">
      <c r="A1447" t="str">
        <f>fish_lab_data!C1447</f>
        <v>U17495</v>
      </c>
      <c r="B1447" t="str">
        <f t="array" ref="B1447">iferror(index('rna-muscle'!$I:$I,match($A1447,'rna-muscle'!$A:$A,0)))</f>
        <v>BRN77M-E7</v>
      </c>
      <c r="C1447" t="str">
        <f t="array" ref="C1447">iferror(index('rna-muscle'!$L:$L,match($A1447,'rna-muscle'!$A:$A,0)))</f>
        <v>N</v>
      </c>
      <c r="D1447" t="str">
        <f t="array" ref="D1447">iferror(index('rna-gill'!$I:$I,match($A1447,'rna-gill'!$A:$A,0)))</f>
        <v>BRN77G-E7</v>
      </c>
      <c r="E1447" t="str">
        <f t="array" ref="E1447">iferror(index('rna-gill'!$L:$L,match($A1447,'rna-gill'!$A:$A,0)))</f>
        <v>N</v>
      </c>
      <c r="F1447" t="str">
        <f t="array" ref="F1447">iferror(index(fatty_acid!$G:$G,match($A1447,fatty_acid!$A:$A,0)))</f>
        <v>BFA37-59</v>
      </c>
      <c r="G1447" t="str">
        <f t="array" ref="G1447">iferror(index(fatty_acid!$J:$J,match($A1447,fatty_acid!$A:$A,0)))</f>
        <v>N</v>
      </c>
      <c r="H1447" t="str">
        <f t="array" ref="H1447">iferror(index(isotopes!$G:$G,match($A1447,isotopes!$A:$A,0)))</f>
        <v>BIS40-58</v>
      </c>
      <c r="I1447" t="str">
        <f t="array" ref="I1447">iferror(index(isotopes!$J:$J,match($A1447,isotopes!$A:$A,0)))</f>
        <v>N</v>
      </c>
      <c r="J1447" t="str">
        <f t="array" ref="J1447">iferror(index(extra_muscle!$G:$G,match($A1447,extra_muscle!$A:$A,0)))</f>
        <v>BXM39-21</v>
      </c>
      <c r="K1447" t="str">
        <f t="array" ref="K1447">iferror(index(extra_muscle!$J:$J,match($A1447,extra_muscle!$A:$A,0)))</f>
        <v>N</v>
      </c>
      <c r="L1447" s="59" t="str">
        <f t="array" ref="L1447">iferror(index(dna!$G:$G,match($A1447,dna!$A:$A,0)))</f>
        <v>BDN11-76</v>
      </c>
      <c r="M1447" s="60" t="str">
        <f t="array" ref="M1447">iferror(index(dna!$J:$J,match($A1447,dna!$A:$A,0)))</f>
        <v>N</v>
      </c>
      <c r="N1447" t="str">
        <f t="array" ref="N1447">iferror(index(stomachs!$G:$G,match($A1447,stomachs!$A:$A,0)))</f>
        <v/>
      </c>
      <c r="O1447" t="str">
        <f t="array" ref="O1447">iferror(index(stomachs!$J:$J,match($A1447,stomachs!$A:$A,0)))</f>
        <v/>
      </c>
      <c r="P1447" t="str">
        <f t="array" ref="P1447">iferror(index(sea_lice!$G:$G,match($A1447,sea_lice!$A:$A,0)))</f>
        <v>BSL2-98</v>
      </c>
      <c r="Q1447" t="str">
        <f t="array" ref="Q1447">iferror(index(sea_lice!$J:$J,match($A1447,sea_lice!$A:$A,0)))</f>
        <v>N</v>
      </c>
      <c r="R1447" s="40" t="str">
        <f t="array" ref="R1447">iferror(index(dissected_fish!$F:$F,match($A1447,dissected_fish!$A:$A,0)))</f>
        <v>BCA111</v>
      </c>
      <c r="S1447" s="40" t="str">
        <f t="array" ref="S1447">iferror(index(dissected_fish!$K:$K,match($A1447,dissected_fish!$A:$A,0)))</f>
        <v>N</v>
      </c>
      <c r="T1447" s="61" t="str">
        <f t="array" ref="T1447">index(fish_lab_data!O:O,match(A1447,fish_lab_data!C:C,0))</f>
        <v>JG</v>
      </c>
      <c r="U1447" s="61">
        <f t="array" ref="U1447">if(A1447="","",index(fish_lab_data!X:X,match(A1447,fish_lab_data!C:C,0)))</f>
        <v>1446</v>
      </c>
    </row>
    <row r="1448">
      <c r="A1448" t="str">
        <f>fish_lab_data!C1448</f>
        <v>U17492</v>
      </c>
      <c r="B1448" t="str">
        <f t="array" ref="B1448">iferror(index('rna-muscle'!$I:$I,match($A1448,'rna-muscle'!$A:$A,0)))</f>
        <v>BRN77M-D7</v>
      </c>
      <c r="C1448" t="str">
        <f t="array" ref="C1448">iferror(index('rna-muscle'!$L:$L,match($A1448,'rna-muscle'!$A:$A,0)))</f>
        <v>N</v>
      </c>
      <c r="D1448" t="str">
        <f t="array" ref="D1448">iferror(index('rna-gill'!$I:$I,match($A1448,'rna-gill'!$A:$A,0)))</f>
        <v>BRN77G-D7</v>
      </c>
      <c r="E1448" t="str">
        <f t="array" ref="E1448">iferror(index('rna-gill'!$L:$L,match($A1448,'rna-gill'!$A:$A,0)))</f>
        <v>N</v>
      </c>
      <c r="F1448" t="str">
        <f t="array" ref="F1448">iferror(index(fatty_acid!$G:$G,match($A1448,fatty_acid!$A:$A,0)))</f>
        <v>BFA37-60</v>
      </c>
      <c r="G1448" t="str">
        <f t="array" ref="G1448">iferror(index(fatty_acid!$J:$J,match($A1448,fatty_acid!$A:$A,0)))</f>
        <v>N</v>
      </c>
      <c r="H1448" t="str">
        <f t="array" ref="H1448">iferror(index(isotopes!$G:$G,match($A1448,isotopes!$A:$A,0)))</f>
        <v>BIS40-59</v>
      </c>
      <c r="I1448" t="str">
        <f t="array" ref="I1448">iferror(index(isotopes!$J:$J,match($A1448,isotopes!$A:$A,0)))</f>
        <v>N</v>
      </c>
      <c r="J1448" t="str">
        <f t="array" ref="J1448">iferror(index(extra_muscle!$G:$G,match($A1448,extra_muscle!$A:$A,0)))</f>
        <v>BXM39-22</v>
      </c>
      <c r="K1448" t="str">
        <f t="array" ref="K1448">iferror(index(extra_muscle!$J:$J,match($A1448,extra_muscle!$A:$A,0)))</f>
        <v>N</v>
      </c>
      <c r="L1448" s="59" t="str">
        <f t="array" ref="L1448">iferror(index(dna!$G:$G,match($A1448,dna!$A:$A,0)))</f>
        <v>BDN11-77</v>
      </c>
      <c r="M1448" s="60" t="str">
        <f t="array" ref="M1448">iferror(index(dna!$J:$J,match($A1448,dna!$A:$A,0)))</f>
        <v>N</v>
      </c>
      <c r="N1448" t="str">
        <f t="array" ref="N1448">iferror(index(stomachs!$G:$G,match($A1448,stomachs!$A:$A,0)))</f>
        <v/>
      </c>
      <c r="O1448" t="str">
        <f t="array" ref="O1448">iferror(index(stomachs!$J:$J,match($A1448,stomachs!$A:$A,0)))</f>
        <v/>
      </c>
      <c r="P1448" t="str">
        <f t="array" ref="P1448">iferror(index(sea_lice!$G:$G,match($A1448,sea_lice!$A:$A,0)))</f>
        <v/>
      </c>
      <c r="Q1448" t="str">
        <f t="array" ref="Q1448">iferror(index(sea_lice!$J:$J,match($A1448,sea_lice!$A:$A,0)))</f>
        <v/>
      </c>
      <c r="R1448" s="40" t="str">
        <f t="array" ref="R1448">iferror(index(dissected_fish!$F:$F,match($A1448,dissected_fish!$A:$A,0)))</f>
        <v>BCA111</v>
      </c>
      <c r="S1448" s="40" t="str">
        <f t="array" ref="S1448">iferror(index(dissected_fish!$K:$K,match($A1448,dissected_fish!$A:$A,0)))</f>
        <v>N</v>
      </c>
      <c r="T1448" s="61" t="str">
        <f t="array" ref="T1448">index(fish_lab_data!O:O,match(A1448,fish_lab_data!C:C,0))</f>
        <v>JG</v>
      </c>
      <c r="U1448" s="61">
        <f t="array" ref="U1448">if(A1448="","",index(fish_lab_data!X:X,match(A1448,fish_lab_data!C:C,0)))</f>
        <v>1447</v>
      </c>
    </row>
    <row r="1449">
      <c r="A1449" t="str">
        <f>fish_lab_data!C1449</f>
        <v>U17493</v>
      </c>
      <c r="B1449" t="str">
        <f t="array" ref="B1449">iferror(index('rna-muscle'!$I:$I,match($A1449,'rna-muscle'!$A:$A,0)))</f>
        <v>BRN77M-C7</v>
      </c>
      <c r="C1449" t="str">
        <f t="array" ref="C1449">iferror(index('rna-muscle'!$L:$L,match($A1449,'rna-muscle'!$A:$A,0)))</f>
        <v>N</v>
      </c>
      <c r="D1449" t="str">
        <f t="array" ref="D1449">iferror(index('rna-gill'!$I:$I,match($A1449,'rna-gill'!$A:$A,0)))</f>
        <v>BRN77G-C7</v>
      </c>
      <c r="E1449" t="str">
        <f t="array" ref="E1449">iferror(index('rna-gill'!$L:$L,match($A1449,'rna-gill'!$A:$A,0)))</f>
        <v>N</v>
      </c>
      <c r="F1449" t="str">
        <f t="array" ref="F1449">iferror(index(fatty_acid!$G:$G,match($A1449,fatty_acid!$A:$A,0)))</f>
        <v>BFA37-61</v>
      </c>
      <c r="G1449" t="str">
        <f t="array" ref="G1449">iferror(index(fatty_acid!$J:$J,match($A1449,fatty_acid!$A:$A,0)))</f>
        <v>N</v>
      </c>
      <c r="H1449" t="str">
        <f t="array" ref="H1449">iferror(index(isotopes!$G:$G,match($A1449,isotopes!$A:$A,0)))</f>
        <v>BIS40-60</v>
      </c>
      <c r="I1449" t="str">
        <f t="array" ref="I1449">iferror(index(isotopes!$J:$J,match($A1449,isotopes!$A:$A,0)))</f>
        <v>N</v>
      </c>
      <c r="J1449" t="str">
        <f t="array" ref="J1449">iferror(index(extra_muscle!$G:$G,match($A1449,extra_muscle!$A:$A,0)))</f>
        <v>BXM39-23</v>
      </c>
      <c r="K1449" t="str">
        <f t="array" ref="K1449">iferror(index(extra_muscle!$J:$J,match($A1449,extra_muscle!$A:$A,0)))</f>
        <v>N</v>
      </c>
      <c r="L1449" s="59" t="str">
        <f t="array" ref="L1449">iferror(index(dna!$G:$G,match($A1449,dna!$A:$A,0)))</f>
        <v>BDN11-78</v>
      </c>
      <c r="M1449" s="60" t="str">
        <f t="array" ref="M1449">iferror(index(dna!$J:$J,match($A1449,dna!$A:$A,0)))</f>
        <v>N</v>
      </c>
      <c r="N1449" t="str">
        <f t="array" ref="N1449">iferror(index(stomachs!$G:$G,match($A1449,stomachs!$A:$A,0)))</f>
        <v/>
      </c>
      <c r="O1449" t="str">
        <f t="array" ref="O1449">iferror(index(stomachs!$J:$J,match($A1449,stomachs!$A:$A,0)))</f>
        <v/>
      </c>
      <c r="P1449" t="str">
        <f t="array" ref="P1449">iferror(index(sea_lice!$G:$G,match($A1449,sea_lice!$A:$A,0)))</f>
        <v/>
      </c>
      <c r="Q1449" t="str">
        <f t="array" ref="Q1449">iferror(index(sea_lice!$J:$J,match($A1449,sea_lice!$A:$A,0)))</f>
        <v/>
      </c>
      <c r="R1449" s="40" t="str">
        <f t="array" ref="R1449">iferror(index(dissected_fish!$F:$F,match($A1449,dissected_fish!$A:$A,0)))</f>
        <v>BCA111</v>
      </c>
      <c r="S1449" s="40" t="str">
        <f t="array" ref="S1449">iferror(index(dissected_fish!$K:$K,match($A1449,dissected_fish!$A:$A,0)))</f>
        <v>N</v>
      </c>
      <c r="T1449" s="61" t="str">
        <f t="array" ref="T1449">index(fish_lab_data!O:O,match(A1449,fish_lab_data!C:C,0))</f>
        <v>JG</v>
      </c>
      <c r="U1449" s="61">
        <f t="array" ref="U1449">if(A1449="","",index(fish_lab_data!X:X,match(A1449,fish_lab_data!C:C,0)))</f>
        <v>1448</v>
      </c>
    </row>
    <row r="1450">
      <c r="A1450" t="str">
        <f>fish_lab_data!C1450</f>
        <v>U16225</v>
      </c>
      <c r="B1450" t="str">
        <f t="array" ref="B1450">iferror(index('rna-muscle'!$I:$I,match($A1450,'rna-muscle'!$A:$A,0)))</f>
        <v>BRN77M-B7</v>
      </c>
      <c r="C1450" t="str">
        <f t="array" ref="C1450">iferror(index('rna-muscle'!$L:$L,match($A1450,'rna-muscle'!$A:$A,0)))</f>
        <v>N</v>
      </c>
      <c r="D1450" t="str">
        <f t="array" ref="D1450">iferror(index('rna-gill'!$I:$I,match($A1450,'rna-gill'!$A:$A,0)))</f>
        <v>BRN77G-B7</v>
      </c>
      <c r="E1450" t="str">
        <f t="array" ref="E1450">iferror(index('rna-gill'!$L:$L,match($A1450,'rna-gill'!$A:$A,0)))</f>
        <v>N</v>
      </c>
      <c r="F1450" t="str">
        <f t="array" ref="F1450">iferror(index(fatty_acid!$G:$G,match($A1450,fatty_acid!$A:$A,0)))</f>
        <v>BFA37-62</v>
      </c>
      <c r="G1450" t="str">
        <f t="array" ref="G1450">iferror(index(fatty_acid!$J:$J,match($A1450,fatty_acid!$A:$A,0)))</f>
        <v>N</v>
      </c>
      <c r="H1450" t="str">
        <f t="array" ref="H1450">iferror(index(isotopes!$G:$G,match($A1450,isotopes!$A:$A,0)))</f>
        <v>BIS40-61</v>
      </c>
      <c r="I1450" t="str">
        <f t="array" ref="I1450">iferror(index(isotopes!$J:$J,match($A1450,isotopes!$A:$A,0)))</f>
        <v>N</v>
      </c>
      <c r="J1450" t="str">
        <f t="array" ref="J1450">iferror(index(extra_muscle!$G:$G,match($A1450,extra_muscle!$A:$A,0)))</f>
        <v>BXM39-24</v>
      </c>
      <c r="K1450" t="str">
        <f t="array" ref="K1450">iferror(index(extra_muscle!$J:$J,match($A1450,extra_muscle!$A:$A,0)))</f>
        <v>N</v>
      </c>
      <c r="L1450" s="59" t="str">
        <f t="array" ref="L1450">iferror(index(dna!$G:$G,match($A1450,dna!$A:$A,0)))</f>
        <v>BDN11-79</v>
      </c>
      <c r="M1450" s="60" t="str">
        <f t="array" ref="M1450">iferror(index(dna!$J:$J,match($A1450,dna!$A:$A,0)))</f>
        <v>N</v>
      </c>
      <c r="N1450" t="str">
        <f t="array" ref="N1450">iferror(index(stomachs!$G:$G,match($A1450,stomachs!$A:$A,0)))</f>
        <v/>
      </c>
      <c r="O1450" t="str">
        <f t="array" ref="O1450">iferror(index(stomachs!$J:$J,match($A1450,stomachs!$A:$A,0)))</f>
        <v/>
      </c>
      <c r="P1450" t="str">
        <f t="array" ref="P1450">iferror(index(sea_lice!$G:$G,match($A1450,sea_lice!$A:$A,0)))</f>
        <v/>
      </c>
      <c r="Q1450" t="str">
        <f t="array" ref="Q1450">iferror(index(sea_lice!$J:$J,match($A1450,sea_lice!$A:$A,0)))</f>
        <v/>
      </c>
      <c r="R1450" s="40" t="str">
        <f t="array" ref="R1450">iferror(index(dissected_fish!$F:$F,match($A1450,dissected_fish!$A:$A,0)))</f>
        <v>BCA111</v>
      </c>
      <c r="S1450" s="40" t="str">
        <f t="array" ref="S1450">iferror(index(dissected_fish!$K:$K,match($A1450,dissected_fish!$A:$A,0)))</f>
        <v>N</v>
      </c>
      <c r="T1450" s="61" t="str">
        <f t="array" ref="T1450">index(fish_lab_data!O:O,match(A1450,fish_lab_data!C:C,0))</f>
        <v>JG</v>
      </c>
      <c r="U1450" s="61">
        <f t="array" ref="U1450">if(A1450="","",index(fish_lab_data!X:X,match(A1450,fish_lab_data!C:C,0)))</f>
        <v>1449</v>
      </c>
    </row>
    <row r="1451">
      <c r="A1451" t="str">
        <f>fish_lab_data!C1451</f>
        <v>U16223</v>
      </c>
      <c r="B1451" t="str">
        <f t="array" ref="B1451">iferror(index('rna-muscle'!$I:$I,match($A1451,'rna-muscle'!$A:$A,0)))</f>
        <v>BRN77M-A7</v>
      </c>
      <c r="C1451" t="str">
        <f t="array" ref="C1451">iferror(index('rna-muscle'!$L:$L,match($A1451,'rna-muscle'!$A:$A,0)))</f>
        <v>N</v>
      </c>
      <c r="D1451" t="str">
        <f t="array" ref="D1451">iferror(index('rna-gill'!$I:$I,match($A1451,'rna-gill'!$A:$A,0)))</f>
        <v>BRN77G-A7</v>
      </c>
      <c r="E1451" t="str">
        <f t="array" ref="E1451">iferror(index('rna-gill'!$L:$L,match($A1451,'rna-gill'!$A:$A,0)))</f>
        <v>N</v>
      </c>
      <c r="F1451" t="str">
        <f t="array" ref="F1451">iferror(index(fatty_acid!$G:$G,match($A1451,fatty_acid!$A:$A,0)))</f>
        <v>BFA37-63</v>
      </c>
      <c r="G1451" t="str">
        <f t="array" ref="G1451">iferror(index(fatty_acid!$J:$J,match($A1451,fatty_acid!$A:$A,0)))</f>
        <v>N</v>
      </c>
      <c r="H1451" t="str">
        <f t="array" ref="H1451">iferror(index(isotopes!$G:$G,match($A1451,isotopes!$A:$A,0)))</f>
        <v>BIS40-62</v>
      </c>
      <c r="I1451" t="str">
        <f t="array" ref="I1451">iferror(index(isotopes!$J:$J,match($A1451,isotopes!$A:$A,0)))</f>
        <v>N</v>
      </c>
      <c r="J1451" t="str">
        <f t="array" ref="J1451">iferror(index(extra_muscle!$G:$G,match($A1451,extra_muscle!$A:$A,0)))</f>
        <v>BXM39-25</v>
      </c>
      <c r="K1451" t="str">
        <f t="array" ref="K1451">iferror(index(extra_muscle!$J:$J,match($A1451,extra_muscle!$A:$A,0)))</f>
        <v>N</v>
      </c>
      <c r="L1451" s="59" t="str">
        <f t="array" ref="L1451">iferror(index(dna!$G:$G,match($A1451,dna!$A:$A,0)))</f>
        <v>BDN11-80</v>
      </c>
      <c r="M1451" s="60" t="str">
        <f t="array" ref="M1451">iferror(index(dna!$J:$J,match($A1451,dna!$A:$A,0)))</f>
        <v>N</v>
      </c>
      <c r="N1451" t="str">
        <f t="array" ref="N1451">iferror(index(stomachs!$G:$G,match($A1451,stomachs!$A:$A,0)))</f>
        <v/>
      </c>
      <c r="O1451" t="str">
        <f t="array" ref="O1451">iferror(index(stomachs!$J:$J,match($A1451,stomachs!$A:$A,0)))</f>
        <v/>
      </c>
      <c r="P1451" t="str">
        <f t="array" ref="P1451">iferror(index(sea_lice!$G:$G,match($A1451,sea_lice!$A:$A,0)))</f>
        <v/>
      </c>
      <c r="Q1451" t="str">
        <f t="array" ref="Q1451">iferror(index(sea_lice!$J:$J,match($A1451,sea_lice!$A:$A,0)))</f>
        <v/>
      </c>
      <c r="R1451" s="40" t="str">
        <f t="array" ref="R1451">iferror(index(dissected_fish!$F:$F,match($A1451,dissected_fish!$A:$A,0)))</f>
        <v>BCA111</v>
      </c>
      <c r="S1451" s="40" t="str">
        <f t="array" ref="S1451">iferror(index(dissected_fish!$K:$K,match($A1451,dissected_fish!$A:$A,0)))</f>
        <v>N</v>
      </c>
      <c r="T1451" s="61" t="str">
        <f t="array" ref="T1451">index(fish_lab_data!O:O,match(A1451,fish_lab_data!C:C,0))</f>
        <v>JG</v>
      </c>
      <c r="U1451" s="61">
        <f t="array" ref="U1451">if(A1451="","",index(fish_lab_data!X:X,match(A1451,fish_lab_data!C:C,0)))</f>
        <v>1450</v>
      </c>
    </row>
    <row r="1452">
      <c r="A1452" t="str">
        <f>fish_lab_data!C1452</f>
        <v>U16224</v>
      </c>
      <c r="B1452" t="str">
        <f t="array" ref="B1452">iferror(index('rna-muscle'!$I:$I,match($A1452,'rna-muscle'!$A:$A,0)))</f>
        <v>BRN77M-H8</v>
      </c>
      <c r="C1452" t="str">
        <f t="array" ref="C1452">iferror(index('rna-muscle'!$L:$L,match($A1452,'rna-muscle'!$A:$A,0)))</f>
        <v>N</v>
      </c>
      <c r="D1452" t="str">
        <f t="array" ref="D1452">iferror(index('rna-gill'!$I:$I,match($A1452,'rna-gill'!$A:$A,0)))</f>
        <v>BRN77G-H8</v>
      </c>
      <c r="E1452" t="str">
        <f t="array" ref="E1452">iferror(index('rna-gill'!$L:$L,match($A1452,'rna-gill'!$A:$A,0)))</f>
        <v>N</v>
      </c>
      <c r="F1452" t="str">
        <f t="array" ref="F1452">iferror(index(fatty_acid!$G:$G,match($A1452,fatty_acid!$A:$A,0)))</f>
        <v>BFA37-64</v>
      </c>
      <c r="G1452" t="str">
        <f t="array" ref="G1452">iferror(index(fatty_acid!$J:$J,match($A1452,fatty_acid!$A:$A,0)))</f>
        <v>N</v>
      </c>
      <c r="H1452" t="str">
        <f t="array" ref="H1452">iferror(index(isotopes!$G:$G,match($A1452,isotopes!$A:$A,0)))</f>
        <v>BIS40-63</v>
      </c>
      <c r="I1452" t="str">
        <f t="array" ref="I1452">iferror(index(isotopes!$J:$J,match($A1452,isotopes!$A:$A,0)))</f>
        <v>N</v>
      </c>
      <c r="J1452" t="str">
        <f t="array" ref="J1452">iferror(index(extra_muscle!$G:$G,match($A1452,extra_muscle!$A:$A,0)))</f>
        <v>BXM39-26</v>
      </c>
      <c r="K1452" t="str">
        <f t="array" ref="K1452">iferror(index(extra_muscle!$J:$J,match($A1452,extra_muscle!$A:$A,0)))</f>
        <v>N</v>
      </c>
      <c r="L1452" s="59" t="str">
        <f t="array" ref="L1452">iferror(index(dna!$G:$G,match($A1452,dna!$A:$A,0)))</f>
        <v>BDN11-81</v>
      </c>
      <c r="M1452" s="60" t="str">
        <f t="array" ref="M1452">iferror(index(dna!$J:$J,match($A1452,dna!$A:$A,0)))</f>
        <v>N</v>
      </c>
      <c r="N1452" t="str">
        <f t="array" ref="N1452">iferror(index(stomachs!$G:$G,match($A1452,stomachs!$A:$A,0)))</f>
        <v/>
      </c>
      <c r="O1452" t="str">
        <f t="array" ref="O1452">iferror(index(stomachs!$J:$J,match($A1452,stomachs!$A:$A,0)))</f>
        <v/>
      </c>
      <c r="P1452" t="str">
        <f t="array" ref="P1452">iferror(index(sea_lice!$G:$G,match($A1452,sea_lice!$A:$A,0)))</f>
        <v/>
      </c>
      <c r="Q1452" t="str">
        <f t="array" ref="Q1452">iferror(index(sea_lice!$J:$J,match($A1452,sea_lice!$A:$A,0)))</f>
        <v/>
      </c>
      <c r="R1452" s="40" t="str">
        <f t="array" ref="R1452">iferror(index(dissected_fish!$F:$F,match($A1452,dissected_fish!$A:$A,0)))</f>
        <v>BCA111</v>
      </c>
      <c r="S1452" s="40" t="str">
        <f t="array" ref="S1452">iferror(index(dissected_fish!$K:$K,match($A1452,dissected_fish!$A:$A,0)))</f>
        <v>N</v>
      </c>
      <c r="T1452" s="61" t="str">
        <f t="array" ref="T1452">index(fish_lab_data!O:O,match(A1452,fish_lab_data!C:C,0))</f>
        <v>JG</v>
      </c>
      <c r="U1452" s="61">
        <f t="array" ref="U1452">if(A1452="","",index(fish_lab_data!X:X,match(A1452,fish_lab_data!C:C,0)))</f>
        <v>1451</v>
      </c>
    </row>
    <row r="1453">
      <c r="A1453" t="str">
        <f>fish_lab_data!C1453</f>
        <v>U16221</v>
      </c>
      <c r="B1453" t="str">
        <f t="array" ref="B1453">iferror(index('rna-muscle'!$I:$I,match($A1453,'rna-muscle'!$A:$A,0)))</f>
        <v>BRN77M-G8</v>
      </c>
      <c r="C1453" t="str">
        <f t="array" ref="C1453">iferror(index('rna-muscle'!$L:$L,match($A1453,'rna-muscle'!$A:$A,0)))</f>
        <v>N</v>
      </c>
      <c r="D1453" t="str">
        <f t="array" ref="D1453">iferror(index('rna-gill'!$I:$I,match($A1453,'rna-gill'!$A:$A,0)))</f>
        <v>BRN77G-G8</v>
      </c>
      <c r="E1453" t="str">
        <f t="array" ref="E1453">iferror(index('rna-gill'!$L:$L,match($A1453,'rna-gill'!$A:$A,0)))</f>
        <v>N</v>
      </c>
      <c r="F1453" t="str">
        <f t="array" ref="F1453">iferror(index(fatty_acid!$G:$G,match($A1453,fatty_acid!$A:$A,0)))</f>
        <v>BFA37-65</v>
      </c>
      <c r="G1453" t="str">
        <f t="array" ref="G1453">iferror(index(fatty_acid!$J:$J,match($A1453,fatty_acid!$A:$A,0)))</f>
        <v>N</v>
      </c>
      <c r="H1453" t="str">
        <f t="array" ref="H1453">iferror(index(isotopes!$G:$G,match($A1453,isotopes!$A:$A,0)))</f>
        <v>BIS40-64</v>
      </c>
      <c r="I1453" t="str">
        <f t="array" ref="I1453">iferror(index(isotopes!$J:$J,match($A1453,isotopes!$A:$A,0)))</f>
        <v>N</v>
      </c>
      <c r="J1453" t="str">
        <f t="array" ref="J1453">iferror(index(extra_muscle!$G:$G,match($A1453,extra_muscle!$A:$A,0)))</f>
        <v>BXM39-27</v>
      </c>
      <c r="K1453" t="str">
        <f t="array" ref="K1453">iferror(index(extra_muscle!$J:$J,match($A1453,extra_muscle!$A:$A,0)))</f>
        <v>N</v>
      </c>
      <c r="L1453" s="59" t="str">
        <f t="array" ref="L1453">iferror(index(dna!$G:$G,match($A1453,dna!$A:$A,0)))</f>
        <v>BDN11-82</v>
      </c>
      <c r="M1453" s="60" t="str">
        <f t="array" ref="M1453">iferror(index(dna!$J:$J,match($A1453,dna!$A:$A,0)))</f>
        <v>N</v>
      </c>
      <c r="N1453" t="str">
        <f t="array" ref="N1453">iferror(index(stomachs!$G:$G,match($A1453,stomachs!$A:$A,0)))</f>
        <v/>
      </c>
      <c r="O1453" t="str">
        <f t="array" ref="O1453">iferror(index(stomachs!$J:$J,match($A1453,stomachs!$A:$A,0)))</f>
        <v/>
      </c>
      <c r="P1453" t="str">
        <f t="array" ref="P1453">iferror(index(sea_lice!$G:$G,match($A1453,sea_lice!$A:$A,0)))</f>
        <v/>
      </c>
      <c r="Q1453" t="str">
        <f t="array" ref="Q1453">iferror(index(sea_lice!$J:$J,match($A1453,sea_lice!$A:$A,0)))</f>
        <v/>
      </c>
      <c r="R1453" s="40" t="str">
        <f t="array" ref="R1453">iferror(index(dissected_fish!$F:$F,match($A1453,dissected_fish!$A:$A,0)))</f>
        <v>BCA111</v>
      </c>
      <c r="S1453" s="40" t="str">
        <f t="array" ref="S1453">iferror(index(dissected_fish!$K:$K,match($A1453,dissected_fish!$A:$A,0)))</f>
        <v>N</v>
      </c>
      <c r="T1453" s="61" t="str">
        <f t="array" ref="T1453">index(fish_lab_data!O:O,match(A1453,fish_lab_data!C:C,0))</f>
        <v>JG</v>
      </c>
      <c r="U1453" s="61">
        <f t="array" ref="U1453">if(A1453="","",index(fish_lab_data!X:X,match(A1453,fish_lab_data!C:C,0)))</f>
        <v>1452</v>
      </c>
    </row>
    <row r="1454">
      <c r="A1454" t="str">
        <f>fish_lab_data!C1454</f>
        <v>U16222</v>
      </c>
      <c r="B1454" t="str">
        <f t="array" ref="B1454">iferror(index('rna-muscle'!$I:$I,match($A1454,'rna-muscle'!$A:$A,0)))</f>
        <v>BRN77M-F8</v>
      </c>
      <c r="C1454" t="str">
        <f t="array" ref="C1454">iferror(index('rna-muscle'!$L:$L,match($A1454,'rna-muscle'!$A:$A,0)))</f>
        <v>N</v>
      </c>
      <c r="D1454" t="str">
        <f t="array" ref="D1454">iferror(index('rna-gill'!$I:$I,match($A1454,'rna-gill'!$A:$A,0)))</f>
        <v>BRN77G-F8</v>
      </c>
      <c r="E1454" t="str">
        <f t="array" ref="E1454">iferror(index('rna-gill'!$L:$L,match($A1454,'rna-gill'!$A:$A,0)))</f>
        <v>N</v>
      </c>
      <c r="F1454" t="str">
        <f t="array" ref="F1454">iferror(index(fatty_acid!$G:$G,match($A1454,fatty_acid!$A:$A,0)))</f>
        <v>BFA37-66</v>
      </c>
      <c r="G1454" t="str">
        <f t="array" ref="G1454">iferror(index(fatty_acid!$J:$J,match($A1454,fatty_acid!$A:$A,0)))</f>
        <v>N</v>
      </c>
      <c r="H1454" t="str">
        <f t="array" ref="H1454">iferror(index(isotopes!$G:$G,match($A1454,isotopes!$A:$A,0)))</f>
        <v>BIS40-65</v>
      </c>
      <c r="I1454" t="str">
        <f t="array" ref="I1454">iferror(index(isotopes!$J:$J,match($A1454,isotopes!$A:$A,0)))</f>
        <v>N</v>
      </c>
      <c r="J1454" t="str">
        <f t="array" ref="J1454">iferror(index(extra_muscle!$G:$G,match($A1454,extra_muscle!$A:$A,0)))</f>
        <v>BXM39-28</v>
      </c>
      <c r="K1454" t="str">
        <f t="array" ref="K1454">iferror(index(extra_muscle!$J:$J,match($A1454,extra_muscle!$A:$A,0)))</f>
        <v>N</v>
      </c>
      <c r="L1454" s="59" t="str">
        <f t="array" ref="L1454">iferror(index(dna!$G:$G,match($A1454,dna!$A:$A,0)))</f>
        <v>BDN11-83</v>
      </c>
      <c r="M1454" s="60" t="str">
        <f t="array" ref="M1454">iferror(index(dna!$J:$J,match($A1454,dna!$A:$A,0)))</f>
        <v>N</v>
      </c>
      <c r="N1454" t="str">
        <f t="array" ref="N1454">iferror(index(stomachs!$G:$G,match($A1454,stomachs!$A:$A,0)))</f>
        <v/>
      </c>
      <c r="O1454" t="str">
        <f t="array" ref="O1454">iferror(index(stomachs!$J:$J,match($A1454,stomachs!$A:$A,0)))</f>
        <v/>
      </c>
      <c r="P1454" t="str">
        <f t="array" ref="P1454">iferror(index(sea_lice!$G:$G,match($A1454,sea_lice!$A:$A,0)))</f>
        <v/>
      </c>
      <c r="Q1454" t="str">
        <f t="array" ref="Q1454">iferror(index(sea_lice!$J:$J,match($A1454,sea_lice!$A:$A,0)))</f>
        <v/>
      </c>
      <c r="R1454" s="40" t="str">
        <f t="array" ref="R1454">iferror(index(dissected_fish!$F:$F,match($A1454,dissected_fish!$A:$A,0)))</f>
        <v>BCA111</v>
      </c>
      <c r="S1454" s="40" t="str">
        <f t="array" ref="S1454">iferror(index(dissected_fish!$K:$K,match($A1454,dissected_fish!$A:$A,0)))</f>
        <v>N</v>
      </c>
      <c r="T1454" s="61" t="str">
        <f t="array" ref="T1454">index(fish_lab_data!O:O,match(A1454,fish_lab_data!C:C,0))</f>
        <v>JG</v>
      </c>
      <c r="U1454" s="61">
        <f t="array" ref="U1454">if(A1454="","",index(fish_lab_data!X:X,match(A1454,fish_lab_data!C:C,0)))</f>
        <v>1453</v>
      </c>
    </row>
    <row r="1455">
      <c r="A1455" t="str">
        <f>fish_lab_data!C1455</f>
        <v>U16474</v>
      </c>
      <c r="B1455" t="str">
        <f t="array" ref="B1455">iferror(index('rna-muscle'!$I:$I,match($A1455,'rna-muscle'!$A:$A,0)))</f>
        <v>BRN77M-F6</v>
      </c>
      <c r="C1455" t="str">
        <f t="array" ref="C1455">iferror(index('rna-muscle'!$L:$L,match($A1455,'rna-muscle'!$A:$A,0)))</f>
        <v>N</v>
      </c>
      <c r="D1455" t="str">
        <f t="array" ref="D1455">iferror(index('rna-gill'!$I:$I,match($A1455,'rna-gill'!$A:$A,0)))</f>
        <v>BRN77G-F6</v>
      </c>
      <c r="E1455" t="str">
        <f t="array" ref="E1455">iferror(index('rna-gill'!$L:$L,match($A1455,'rna-gill'!$A:$A,0)))</f>
        <v>N</v>
      </c>
      <c r="F1455" t="str">
        <f t="array" ref="F1455">iferror(index(fatty_acid!$G:$G,match($A1455,fatty_acid!$A:$A,0)))</f>
        <v>BFA36-71</v>
      </c>
      <c r="G1455" t="str">
        <f t="array" ref="G1455">iferror(index(fatty_acid!$J:$J,match($A1455,fatty_acid!$A:$A,0)))</f>
        <v>N</v>
      </c>
      <c r="H1455" t="str">
        <f t="array" ref="H1455">iferror(index(isotopes!$G:$G,match($A1455,isotopes!$A:$A,0)))</f>
        <v>BIS39-71</v>
      </c>
      <c r="I1455" t="str">
        <f t="array" ref="I1455">iferror(index(isotopes!$J:$J,match($A1455,isotopes!$A:$A,0)))</f>
        <v>N</v>
      </c>
      <c r="J1455" t="str">
        <f t="array" ref="J1455">iferror(index(extra_muscle!$G:$G,match($A1455,extra_muscle!$A:$A,0)))</f>
        <v>BXM38-71</v>
      </c>
      <c r="K1455" t="str">
        <f t="array" ref="K1455">iferror(index(extra_muscle!$J:$J,match($A1455,extra_muscle!$A:$A,0)))</f>
        <v>N</v>
      </c>
      <c r="L1455" s="59" t="str">
        <f t="array" ref="L1455">iferror(index(dna!$G:$G,match($A1455,dna!$A:$A,0)))</f>
        <v>BDN12-47</v>
      </c>
      <c r="M1455" s="60" t="str">
        <f t="array" ref="M1455">iferror(index(dna!$J:$J,match($A1455,dna!$A:$A,0)))</f>
        <v>N</v>
      </c>
      <c r="N1455" t="str">
        <f t="array" ref="N1455">iferror(index(stomachs!$G:$G,match($A1455,stomachs!$A:$A,0)))</f>
        <v/>
      </c>
      <c r="O1455" t="str">
        <f t="array" ref="O1455">iferror(index(stomachs!$J:$J,match($A1455,stomachs!$A:$A,0)))</f>
        <v/>
      </c>
      <c r="P1455" t="str">
        <f t="array" ref="P1455">iferror(index(sea_lice!$G:$G,match($A1455,sea_lice!$A:$A,0)))</f>
        <v/>
      </c>
      <c r="Q1455" t="str">
        <f t="array" ref="Q1455">iferror(index(sea_lice!$J:$J,match($A1455,sea_lice!$A:$A,0)))</f>
        <v/>
      </c>
      <c r="R1455" s="40" t="str">
        <f t="array" ref="R1455">iferror(index(dissected_fish!$F:$F,match($A1455,dissected_fish!$A:$A,0)))</f>
        <v>BCA111</v>
      </c>
      <c r="S1455" s="40" t="str">
        <f t="array" ref="S1455">iferror(index(dissected_fish!$K:$K,match($A1455,dissected_fish!$A:$A,0)))</f>
        <v>N</v>
      </c>
      <c r="T1455" s="61" t="str">
        <f t="array" ref="T1455">index(fish_lab_data!O:O,match(A1455,fish_lab_data!C:C,0))</f>
        <v>KB</v>
      </c>
      <c r="U1455" s="61">
        <f t="array" ref="U1455">if(A1455="","",index(fish_lab_data!X:X,match(A1455,fish_lab_data!C:C,0)))</f>
        <v>1454</v>
      </c>
    </row>
    <row r="1456">
      <c r="A1456" t="str">
        <f>fish_lab_data!C1456</f>
        <v>U16471</v>
      </c>
      <c r="B1456" t="str">
        <f t="array" ref="B1456">iferror(index('rna-muscle'!$I:$I,match($A1456,'rna-muscle'!$A:$A,0)))</f>
        <v>BRN77M-E6</v>
      </c>
      <c r="C1456" t="str">
        <f t="array" ref="C1456">iferror(index('rna-muscle'!$L:$L,match($A1456,'rna-muscle'!$A:$A,0)))</f>
        <v>N</v>
      </c>
      <c r="D1456" t="str">
        <f t="array" ref="D1456">iferror(index('rna-gill'!$I:$I,match($A1456,'rna-gill'!$A:$A,0)))</f>
        <v>BRN77G-E6</v>
      </c>
      <c r="E1456" t="str">
        <f t="array" ref="E1456">iferror(index('rna-gill'!$L:$L,match($A1456,'rna-gill'!$A:$A,0)))</f>
        <v>N</v>
      </c>
      <c r="F1456" t="str">
        <f t="array" ref="F1456">iferror(index(fatty_acid!$G:$G,match($A1456,fatty_acid!$A:$A,0)))</f>
        <v>BFA36-72</v>
      </c>
      <c r="G1456" t="str">
        <f t="array" ref="G1456">iferror(index(fatty_acid!$J:$J,match($A1456,fatty_acid!$A:$A,0)))</f>
        <v>N</v>
      </c>
      <c r="H1456" t="str">
        <f t="array" ref="H1456">iferror(index(isotopes!$G:$G,match($A1456,isotopes!$A:$A,0)))</f>
        <v>BIS39-72</v>
      </c>
      <c r="I1456" t="str">
        <f t="array" ref="I1456">iferror(index(isotopes!$J:$J,match($A1456,isotopes!$A:$A,0)))</f>
        <v>N</v>
      </c>
      <c r="J1456" t="str">
        <f t="array" ref="J1456">iferror(index(extra_muscle!$G:$G,match($A1456,extra_muscle!$A:$A,0)))</f>
        <v>BXM38-72</v>
      </c>
      <c r="K1456" t="str">
        <f t="array" ref="K1456">iferror(index(extra_muscle!$J:$J,match($A1456,extra_muscle!$A:$A,0)))</f>
        <v>N</v>
      </c>
      <c r="L1456" s="59" t="str">
        <f t="array" ref="L1456">iferror(index(dna!$G:$G,match($A1456,dna!$A:$A,0)))</f>
        <v>BDN12-48</v>
      </c>
      <c r="M1456" s="60" t="str">
        <f t="array" ref="M1456">iferror(index(dna!$J:$J,match($A1456,dna!$A:$A,0)))</f>
        <v>N</v>
      </c>
      <c r="N1456" t="str">
        <f t="array" ref="N1456">iferror(index(stomachs!$G:$G,match($A1456,stomachs!$A:$A,0)))</f>
        <v/>
      </c>
      <c r="O1456" t="str">
        <f t="array" ref="O1456">iferror(index(stomachs!$J:$J,match($A1456,stomachs!$A:$A,0)))</f>
        <v/>
      </c>
      <c r="P1456" t="str">
        <f t="array" ref="P1456">iferror(index(sea_lice!$G:$G,match($A1456,sea_lice!$A:$A,0)))</f>
        <v/>
      </c>
      <c r="Q1456" t="str">
        <f t="array" ref="Q1456">iferror(index(sea_lice!$J:$J,match($A1456,sea_lice!$A:$A,0)))</f>
        <v/>
      </c>
      <c r="R1456" s="40" t="str">
        <f t="array" ref="R1456">iferror(index(dissected_fish!$F:$F,match($A1456,dissected_fish!$A:$A,0)))</f>
        <v>BCA111</v>
      </c>
      <c r="S1456" s="40" t="str">
        <f t="array" ref="S1456">iferror(index(dissected_fish!$K:$K,match($A1456,dissected_fish!$A:$A,0)))</f>
        <v>N</v>
      </c>
      <c r="T1456" s="61" t="str">
        <f t="array" ref="T1456">index(fish_lab_data!O:O,match(A1456,fish_lab_data!C:C,0))</f>
        <v>KB</v>
      </c>
      <c r="U1456" s="61">
        <f t="array" ref="U1456">if(A1456="","",index(fish_lab_data!X:X,match(A1456,fish_lab_data!C:C,0)))</f>
        <v>1455</v>
      </c>
    </row>
    <row r="1457">
      <c r="A1457" t="str">
        <f>fish_lab_data!C1457</f>
        <v>U16473</v>
      </c>
      <c r="B1457" t="str">
        <f t="array" ref="B1457">iferror(index('rna-muscle'!$I:$I,match($A1457,'rna-muscle'!$A:$A,0)))</f>
        <v>BRN77M-D6</v>
      </c>
      <c r="C1457" t="str">
        <f t="array" ref="C1457">iferror(index('rna-muscle'!$L:$L,match($A1457,'rna-muscle'!$A:$A,0)))</f>
        <v>N</v>
      </c>
      <c r="D1457" t="str">
        <f t="array" ref="D1457">iferror(index('rna-gill'!$I:$I,match($A1457,'rna-gill'!$A:$A,0)))</f>
        <v>BRN77G-D6</v>
      </c>
      <c r="E1457" t="str">
        <f t="array" ref="E1457">iferror(index('rna-gill'!$L:$L,match($A1457,'rna-gill'!$A:$A,0)))</f>
        <v>N</v>
      </c>
      <c r="F1457" t="str">
        <f t="array" ref="F1457">iferror(index(fatty_acid!$G:$G,match($A1457,fatty_acid!$A:$A,0)))</f>
        <v>BFA36-73</v>
      </c>
      <c r="G1457" t="str">
        <f t="array" ref="G1457">iferror(index(fatty_acid!$J:$J,match($A1457,fatty_acid!$A:$A,0)))</f>
        <v>N</v>
      </c>
      <c r="H1457" t="str">
        <f t="array" ref="H1457">iferror(index(isotopes!$G:$G,match($A1457,isotopes!$A:$A,0)))</f>
        <v>BIS39-73</v>
      </c>
      <c r="I1457" t="str">
        <f t="array" ref="I1457">iferror(index(isotopes!$J:$J,match($A1457,isotopes!$A:$A,0)))</f>
        <v>N</v>
      </c>
      <c r="J1457" t="str">
        <f t="array" ref="J1457">iferror(index(extra_muscle!$G:$G,match($A1457,extra_muscle!$A:$A,0)))</f>
        <v>BXM38-73</v>
      </c>
      <c r="K1457" t="str">
        <f t="array" ref="K1457">iferror(index(extra_muscle!$J:$J,match($A1457,extra_muscle!$A:$A,0)))</f>
        <v>N</v>
      </c>
      <c r="L1457" s="59" t="str">
        <f t="array" ref="L1457">iferror(index(dna!$G:$G,match($A1457,dna!$A:$A,0)))</f>
        <v>BDN12-49</v>
      </c>
      <c r="M1457" s="60" t="str">
        <f t="array" ref="M1457">iferror(index(dna!$J:$J,match($A1457,dna!$A:$A,0)))</f>
        <v>N</v>
      </c>
      <c r="N1457" t="str">
        <f t="array" ref="N1457">iferror(index(stomachs!$G:$G,match($A1457,stomachs!$A:$A,0)))</f>
        <v/>
      </c>
      <c r="O1457" t="str">
        <f t="array" ref="O1457">iferror(index(stomachs!$J:$J,match($A1457,stomachs!$A:$A,0)))</f>
        <v/>
      </c>
      <c r="P1457" t="str">
        <f t="array" ref="P1457">iferror(index(sea_lice!$G:$G,match($A1457,sea_lice!$A:$A,0)))</f>
        <v/>
      </c>
      <c r="Q1457" t="str">
        <f t="array" ref="Q1457">iferror(index(sea_lice!$J:$J,match($A1457,sea_lice!$A:$A,0)))</f>
        <v/>
      </c>
      <c r="R1457" s="40" t="str">
        <f t="array" ref="R1457">iferror(index(dissected_fish!$F:$F,match($A1457,dissected_fish!$A:$A,0)))</f>
        <v>BCA111</v>
      </c>
      <c r="S1457" s="40" t="str">
        <f t="array" ref="S1457">iferror(index(dissected_fish!$K:$K,match($A1457,dissected_fish!$A:$A,0)))</f>
        <v>N</v>
      </c>
      <c r="T1457" s="61" t="str">
        <f t="array" ref="T1457">index(fish_lab_data!O:O,match(A1457,fish_lab_data!C:C,0))</f>
        <v>KB</v>
      </c>
      <c r="U1457" s="61">
        <f t="array" ref="U1457">if(A1457="","",index(fish_lab_data!X:X,match(A1457,fish_lab_data!C:C,0)))</f>
        <v>1456</v>
      </c>
    </row>
    <row r="1458">
      <c r="A1458" t="str">
        <f>fish_lab_data!C1458</f>
        <v>U16472</v>
      </c>
      <c r="B1458" t="str">
        <f t="array" ref="B1458">iferror(index('rna-muscle'!$I:$I,match($A1458,'rna-muscle'!$A:$A,0)))</f>
        <v>BRN77M-C6</v>
      </c>
      <c r="C1458" t="str">
        <f t="array" ref="C1458">iferror(index('rna-muscle'!$L:$L,match($A1458,'rna-muscle'!$A:$A,0)))</f>
        <v>N</v>
      </c>
      <c r="D1458" t="str">
        <f t="array" ref="D1458">iferror(index('rna-gill'!$I:$I,match($A1458,'rna-gill'!$A:$A,0)))</f>
        <v>BRN77G-C6</v>
      </c>
      <c r="E1458" t="str">
        <f t="array" ref="E1458">iferror(index('rna-gill'!$L:$L,match($A1458,'rna-gill'!$A:$A,0)))</f>
        <v>N</v>
      </c>
      <c r="F1458" t="str">
        <f t="array" ref="F1458">iferror(index(fatty_acid!$G:$G,match($A1458,fatty_acid!$A:$A,0)))</f>
        <v>BFA36-74</v>
      </c>
      <c r="G1458" t="str">
        <f t="array" ref="G1458">iferror(index(fatty_acid!$J:$J,match($A1458,fatty_acid!$A:$A,0)))</f>
        <v>N</v>
      </c>
      <c r="H1458" t="str">
        <f t="array" ref="H1458">iferror(index(isotopes!$G:$G,match($A1458,isotopes!$A:$A,0)))</f>
        <v>BIS39-74</v>
      </c>
      <c r="I1458" t="str">
        <f t="array" ref="I1458">iferror(index(isotopes!$J:$J,match($A1458,isotopes!$A:$A,0)))</f>
        <v>N</v>
      </c>
      <c r="J1458" t="str">
        <f t="array" ref="J1458">iferror(index(extra_muscle!$G:$G,match($A1458,extra_muscle!$A:$A,0)))</f>
        <v>BXM38-74</v>
      </c>
      <c r="K1458" t="str">
        <f t="array" ref="K1458">iferror(index(extra_muscle!$J:$J,match($A1458,extra_muscle!$A:$A,0)))</f>
        <v>N</v>
      </c>
      <c r="L1458" s="59" t="str">
        <f t="array" ref="L1458">iferror(index(dna!$G:$G,match($A1458,dna!$A:$A,0)))</f>
        <v>BDN12-50</v>
      </c>
      <c r="M1458" s="60" t="str">
        <f t="array" ref="M1458">iferror(index(dna!$J:$J,match($A1458,dna!$A:$A,0)))</f>
        <v>N</v>
      </c>
      <c r="N1458" t="str">
        <f t="array" ref="N1458">iferror(index(stomachs!$G:$G,match($A1458,stomachs!$A:$A,0)))</f>
        <v/>
      </c>
      <c r="O1458" t="str">
        <f t="array" ref="O1458">iferror(index(stomachs!$J:$J,match($A1458,stomachs!$A:$A,0)))</f>
        <v/>
      </c>
      <c r="P1458" t="str">
        <f t="array" ref="P1458">iferror(index(sea_lice!$G:$G,match($A1458,sea_lice!$A:$A,0)))</f>
        <v/>
      </c>
      <c r="Q1458" t="str">
        <f t="array" ref="Q1458">iferror(index(sea_lice!$J:$J,match($A1458,sea_lice!$A:$A,0)))</f>
        <v/>
      </c>
      <c r="R1458" s="40" t="str">
        <f t="array" ref="R1458">iferror(index(dissected_fish!$F:$F,match($A1458,dissected_fish!$A:$A,0)))</f>
        <v>BCA111</v>
      </c>
      <c r="S1458" s="40" t="str">
        <f t="array" ref="S1458">iferror(index(dissected_fish!$K:$K,match($A1458,dissected_fish!$A:$A,0)))</f>
        <v>N</v>
      </c>
      <c r="T1458" s="61" t="str">
        <f t="array" ref="T1458">index(fish_lab_data!O:O,match(A1458,fish_lab_data!C:C,0))</f>
        <v>KB</v>
      </c>
      <c r="U1458" s="61">
        <f t="array" ref="U1458">if(A1458="","",index(fish_lab_data!X:X,match(A1458,fish_lab_data!C:C,0)))</f>
        <v>1457</v>
      </c>
    </row>
    <row r="1459">
      <c r="A1459" t="str">
        <f>fish_lab_data!C1459</f>
        <v>U16841</v>
      </c>
      <c r="B1459" t="str">
        <f t="array" ref="B1459">iferror(index('rna-muscle'!$I:$I,match($A1459,'rna-muscle'!$A:$A,0)))</f>
        <v>BRN53M-B7</v>
      </c>
      <c r="C1459" t="str">
        <f t="array" ref="C1459">iferror(index('rna-muscle'!$L:$L,match($A1459,'rna-muscle'!$A:$A,0)))</f>
        <v>N</v>
      </c>
      <c r="D1459" t="str">
        <f t="array" ref="D1459">iferror(index('rna-gill'!$I:$I,match($A1459,'rna-gill'!$A:$A,0)))</f>
        <v>BRN53G-B7</v>
      </c>
      <c r="E1459" t="str">
        <f t="array" ref="E1459">iferror(index('rna-gill'!$L:$L,match($A1459,'rna-gill'!$A:$A,0)))</f>
        <v>N</v>
      </c>
      <c r="F1459" t="str">
        <f t="array" ref="F1459">iferror(index(fatty_acid!$G:$G,match($A1459,fatty_acid!$A:$A,0)))</f>
        <v>BFA36-75</v>
      </c>
      <c r="G1459" t="str">
        <f t="array" ref="G1459">iferror(index(fatty_acid!$J:$J,match($A1459,fatty_acid!$A:$A,0)))</f>
        <v>N</v>
      </c>
      <c r="H1459" t="str">
        <f t="array" ref="H1459">iferror(index(isotopes!$G:$G,match($A1459,isotopes!$A:$A,0)))</f>
        <v>BIS39-75</v>
      </c>
      <c r="I1459" t="str">
        <f t="array" ref="I1459">iferror(index(isotopes!$J:$J,match($A1459,isotopes!$A:$A,0)))</f>
        <v>N</v>
      </c>
      <c r="J1459" t="str">
        <f t="array" ref="J1459">iferror(index(extra_muscle!$G:$G,match($A1459,extra_muscle!$A:$A,0)))</f>
        <v>BXM38-75</v>
      </c>
      <c r="K1459" t="str">
        <f t="array" ref="K1459">iferror(index(extra_muscle!$J:$J,match($A1459,extra_muscle!$A:$A,0)))</f>
        <v>N</v>
      </c>
      <c r="L1459" s="59" t="str">
        <f t="array" ref="L1459">iferror(index(dna!$G:$G,match($A1459,dna!$A:$A,0)))</f>
        <v>BDN12-51</v>
      </c>
      <c r="M1459" s="60" t="str">
        <f t="array" ref="M1459">iferror(index(dna!$J:$J,match($A1459,dna!$A:$A,0)))</f>
        <v>N</v>
      </c>
      <c r="N1459" t="str">
        <f t="array" ref="N1459">iferror(index(stomachs!$G:$G,match($A1459,stomachs!$A:$A,0)))</f>
        <v/>
      </c>
      <c r="O1459" t="str">
        <f t="array" ref="O1459">iferror(index(stomachs!$J:$J,match($A1459,stomachs!$A:$A,0)))</f>
        <v/>
      </c>
      <c r="P1459" t="str">
        <f t="array" ref="P1459">iferror(index(sea_lice!$G:$G,match($A1459,sea_lice!$A:$A,0)))</f>
        <v/>
      </c>
      <c r="Q1459" t="str">
        <f t="array" ref="Q1459">iferror(index(sea_lice!$J:$J,match($A1459,sea_lice!$A:$A,0)))</f>
        <v/>
      </c>
      <c r="R1459" s="40" t="str">
        <f t="array" ref="R1459">iferror(index(dissected_fish!$F:$F,match($A1459,dissected_fish!$A:$A,0)))</f>
        <v>BCA112</v>
      </c>
      <c r="S1459" s="40" t="str">
        <f t="array" ref="S1459">iferror(index(dissected_fish!$K:$K,match($A1459,dissected_fish!$A:$A,0)))</f>
        <v>N</v>
      </c>
      <c r="T1459" s="61" t="str">
        <f t="array" ref="T1459">index(fish_lab_data!O:O,match(A1459,fish_lab_data!C:C,0))</f>
        <v>KB</v>
      </c>
      <c r="U1459" s="61">
        <f t="array" ref="U1459">if(A1459="","",index(fish_lab_data!X:X,match(A1459,fish_lab_data!C:C,0)))</f>
        <v>1458</v>
      </c>
    </row>
    <row r="1460">
      <c r="A1460" t="str">
        <f>fish_lab_data!C1460</f>
        <v>U16845</v>
      </c>
      <c r="B1460" t="str">
        <f t="array" ref="B1460">iferror(index('rna-muscle'!$I:$I,match($A1460,'rna-muscle'!$A:$A,0)))</f>
        <v>BRN53M-A7</v>
      </c>
      <c r="C1460" t="str">
        <f t="array" ref="C1460">iferror(index('rna-muscle'!$L:$L,match($A1460,'rna-muscle'!$A:$A,0)))</f>
        <v>N</v>
      </c>
      <c r="D1460" t="str">
        <f t="array" ref="D1460">iferror(index('rna-gill'!$I:$I,match($A1460,'rna-gill'!$A:$A,0)))</f>
        <v>BRN53G-A7</v>
      </c>
      <c r="E1460" t="str">
        <f t="array" ref="E1460">iferror(index('rna-gill'!$L:$L,match($A1460,'rna-gill'!$A:$A,0)))</f>
        <v>N</v>
      </c>
      <c r="F1460" t="str">
        <f t="array" ref="F1460">iferror(index(fatty_acid!$G:$G,match($A1460,fatty_acid!$A:$A,0)))</f>
        <v>BFA36-76</v>
      </c>
      <c r="G1460" t="str">
        <f t="array" ref="G1460">iferror(index(fatty_acid!$J:$J,match($A1460,fatty_acid!$A:$A,0)))</f>
        <v>N</v>
      </c>
      <c r="H1460" t="str">
        <f t="array" ref="H1460">iferror(index(isotopes!$G:$G,match($A1460,isotopes!$A:$A,0)))</f>
        <v>BIS39-76</v>
      </c>
      <c r="I1460" t="str">
        <f t="array" ref="I1460">iferror(index(isotopes!$J:$J,match($A1460,isotopes!$A:$A,0)))</f>
        <v>N</v>
      </c>
      <c r="J1460" t="str">
        <f t="array" ref="J1460">iferror(index(extra_muscle!$G:$G,match($A1460,extra_muscle!$A:$A,0)))</f>
        <v>BXM38-76</v>
      </c>
      <c r="K1460" t="str">
        <f t="array" ref="K1460">iferror(index(extra_muscle!$J:$J,match($A1460,extra_muscle!$A:$A,0)))</f>
        <v>N</v>
      </c>
      <c r="L1460" s="59" t="str">
        <f t="array" ref="L1460">iferror(index(dna!$G:$G,match($A1460,dna!$A:$A,0)))</f>
        <v>BDN12-52</v>
      </c>
      <c r="M1460" s="60" t="str">
        <f t="array" ref="M1460">iferror(index(dna!$J:$J,match($A1460,dna!$A:$A,0)))</f>
        <v>N</v>
      </c>
      <c r="N1460" t="str">
        <f t="array" ref="N1460">iferror(index(stomachs!$G:$G,match($A1460,stomachs!$A:$A,0)))</f>
        <v/>
      </c>
      <c r="O1460" t="str">
        <f t="array" ref="O1460">iferror(index(stomachs!$J:$J,match($A1460,stomachs!$A:$A,0)))</f>
        <v/>
      </c>
      <c r="P1460" t="str">
        <f t="array" ref="P1460">iferror(index(sea_lice!$G:$G,match($A1460,sea_lice!$A:$A,0)))</f>
        <v/>
      </c>
      <c r="Q1460" t="str">
        <f t="array" ref="Q1460">iferror(index(sea_lice!$J:$J,match($A1460,sea_lice!$A:$A,0)))</f>
        <v/>
      </c>
      <c r="R1460" s="40" t="str">
        <f t="array" ref="R1460">iferror(index(dissected_fish!$F:$F,match($A1460,dissected_fish!$A:$A,0)))</f>
        <v>BCA112</v>
      </c>
      <c r="S1460" s="40" t="str">
        <f t="array" ref="S1460">iferror(index(dissected_fish!$K:$K,match($A1460,dissected_fish!$A:$A,0)))</f>
        <v>N</v>
      </c>
      <c r="T1460" s="61" t="str">
        <f t="array" ref="T1460">index(fish_lab_data!O:O,match(A1460,fish_lab_data!C:C,0))</f>
        <v>KB</v>
      </c>
      <c r="U1460" s="61">
        <f t="array" ref="U1460">if(A1460="","",index(fish_lab_data!X:X,match(A1460,fish_lab_data!C:C,0)))</f>
        <v>1459</v>
      </c>
    </row>
    <row r="1461">
      <c r="A1461" t="str">
        <f>fish_lab_data!C1461</f>
        <v>U16844</v>
      </c>
      <c r="B1461" t="str">
        <f t="array" ref="B1461">iferror(index('rna-muscle'!$I:$I,match($A1461,'rna-muscle'!$A:$A,0)))</f>
        <v>BRN53M-G4</v>
      </c>
      <c r="C1461" t="str">
        <f t="array" ref="C1461">iferror(index('rna-muscle'!$L:$L,match($A1461,'rna-muscle'!$A:$A,0)))</f>
        <v>N</v>
      </c>
      <c r="D1461" t="str">
        <f t="array" ref="D1461">iferror(index('rna-gill'!$I:$I,match($A1461,'rna-gill'!$A:$A,0)))</f>
        <v>BRN53G-G4</v>
      </c>
      <c r="E1461" t="str">
        <f t="array" ref="E1461">iferror(index('rna-gill'!$L:$L,match($A1461,'rna-gill'!$A:$A,0)))</f>
        <v>N</v>
      </c>
      <c r="F1461" t="str">
        <f t="array" ref="F1461">iferror(index(fatty_acid!$G:$G,match($A1461,fatty_acid!$A:$A,0)))</f>
        <v>BFA36-77</v>
      </c>
      <c r="G1461" t="str">
        <f t="array" ref="G1461">iferror(index(fatty_acid!$J:$J,match($A1461,fatty_acid!$A:$A,0)))</f>
        <v>N</v>
      </c>
      <c r="H1461" t="str">
        <f t="array" ref="H1461">iferror(index(isotopes!$G:$G,match($A1461,isotopes!$A:$A,0)))</f>
        <v>BIS39-77</v>
      </c>
      <c r="I1461" t="str">
        <f t="array" ref="I1461">iferror(index(isotopes!$J:$J,match($A1461,isotopes!$A:$A,0)))</f>
        <v>N</v>
      </c>
      <c r="J1461" t="str">
        <f t="array" ref="J1461">iferror(index(extra_muscle!$G:$G,match($A1461,extra_muscle!$A:$A,0)))</f>
        <v>BXM38-77</v>
      </c>
      <c r="K1461" t="str">
        <f t="array" ref="K1461">iferror(index(extra_muscle!$J:$J,match($A1461,extra_muscle!$A:$A,0)))</f>
        <v>N</v>
      </c>
      <c r="L1461" s="59" t="str">
        <f t="array" ref="L1461">iferror(index(dna!$G:$G,match($A1461,dna!$A:$A,0)))</f>
        <v>BDN12-53</v>
      </c>
      <c r="M1461" s="60" t="str">
        <f t="array" ref="M1461">iferror(index(dna!$J:$J,match($A1461,dna!$A:$A,0)))</f>
        <v>N</v>
      </c>
      <c r="N1461" t="str">
        <f t="array" ref="N1461">iferror(index(stomachs!$G:$G,match($A1461,stomachs!$A:$A,0)))</f>
        <v/>
      </c>
      <c r="O1461" t="str">
        <f t="array" ref="O1461">iferror(index(stomachs!$J:$J,match($A1461,stomachs!$A:$A,0)))</f>
        <v/>
      </c>
      <c r="P1461" t="str">
        <f t="array" ref="P1461">iferror(index(sea_lice!$G:$G,match($A1461,sea_lice!$A:$A,0)))</f>
        <v/>
      </c>
      <c r="Q1461" t="str">
        <f t="array" ref="Q1461">iferror(index(sea_lice!$J:$J,match($A1461,sea_lice!$A:$A,0)))</f>
        <v/>
      </c>
      <c r="R1461" s="40" t="str">
        <f t="array" ref="R1461">iferror(index(dissected_fish!$F:$F,match($A1461,dissected_fish!$A:$A,0)))</f>
        <v>BCA112</v>
      </c>
      <c r="S1461" s="40" t="str">
        <f t="array" ref="S1461">iferror(index(dissected_fish!$K:$K,match($A1461,dissected_fish!$A:$A,0)))</f>
        <v>N</v>
      </c>
      <c r="T1461" s="61" t="str">
        <f t="array" ref="T1461">index(fish_lab_data!O:O,match(A1461,fish_lab_data!C:C,0))</f>
        <v>KB</v>
      </c>
      <c r="U1461" s="61">
        <f t="array" ref="U1461">if(A1461="","",index(fish_lab_data!X:X,match(A1461,fish_lab_data!C:C,0)))</f>
        <v>1460</v>
      </c>
    </row>
    <row r="1462">
      <c r="A1462" t="str">
        <f>fish_lab_data!C1462</f>
        <v>U16849</v>
      </c>
      <c r="B1462" t="str">
        <f t="array" ref="B1462">iferror(index('rna-muscle'!$I:$I,match($A1462,'rna-muscle'!$A:$A,0)))</f>
        <v>BRN53M-F4</v>
      </c>
      <c r="C1462" t="str">
        <f t="array" ref="C1462">iferror(index('rna-muscle'!$L:$L,match($A1462,'rna-muscle'!$A:$A,0)))</f>
        <v>N</v>
      </c>
      <c r="D1462" t="str">
        <f t="array" ref="D1462">iferror(index('rna-gill'!$I:$I,match($A1462,'rna-gill'!$A:$A,0)))</f>
        <v>BRN53G-F4</v>
      </c>
      <c r="E1462" t="str">
        <f t="array" ref="E1462">iferror(index('rna-gill'!$L:$L,match($A1462,'rna-gill'!$A:$A,0)))</f>
        <v>N</v>
      </c>
      <c r="F1462" t="str">
        <f t="array" ref="F1462">iferror(index(fatty_acid!$G:$G,match($A1462,fatty_acid!$A:$A,0)))</f>
        <v>BFA36-78</v>
      </c>
      <c r="G1462" t="str">
        <f t="array" ref="G1462">iferror(index(fatty_acid!$J:$J,match($A1462,fatty_acid!$A:$A,0)))</f>
        <v>N</v>
      </c>
      <c r="H1462" t="str">
        <f t="array" ref="H1462">iferror(index(isotopes!$G:$G,match($A1462,isotopes!$A:$A,0)))</f>
        <v>BIS39-78</v>
      </c>
      <c r="I1462" t="str">
        <f t="array" ref="I1462">iferror(index(isotopes!$J:$J,match($A1462,isotopes!$A:$A,0)))</f>
        <v>N</v>
      </c>
      <c r="J1462" t="str">
        <f t="array" ref="J1462">iferror(index(extra_muscle!$G:$G,match($A1462,extra_muscle!$A:$A,0)))</f>
        <v>BXM38-78</v>
      </c>
      <c r="K1462" t="str">
        <f t="array" ref="K1462">iferror(index(extra_muscle!$J:$J,match($A1462,extra_muscle!$A:$A,0)))</f>
        <v>N</v>
      </c>
      <c r="L1462" s="59" t="str">
        <f t="array" ref="L1462">iferror(index(dna!$G:$G,match($A1462,dna!$A:$A,0)))</f>
        <v>BDN12-54</v>
      </c>
      <c r="M1462" s="60" t="str">
        <f t="array" ref="M1462">iferror(index(dna!$J:$J,match($A1462,dna!$A:$A,0)))</f>
        <v>N</v>
      </c>
      <c r="N1462" t="str">
        <f t="array" ref="N1462">iferror(index(stomachs!$G:$G,match($A1462,stomachs!$A:$A,0)))</f>
        <v/>
      </c>
      <c r="O1462" t="str">
        <f t="array" ref="O1462">iferror(index(stomachs!$J:$J,match($A1462,stomachs!$A:$A,0)))</f>
        <v/>
      </c>
      <c r="P1462" t="str">
        <f t="array" ref="P1462">iferror(index(sea_lice!$G:$G,match($A1462,sea_lice!$A:$A,0)))</f>
        <v/>
      </c>
      <c r="Q1462" t="str">
        <f t="array" ref="Q1462">iferror(index(sea_lice!$J:$J,match($A1462,sea_lice!$A:$A,0)))</f>
        <v/>
      </c>
      <c r="R1462" s="40" t="str">
        <f t="array" ref="R1462">iferror(index(dissected_fish!$F:$F,match($A1462,dissected_fish!$A:$A,0)))</f>
        <v>BCA112</v>
      </c>
      <c r="S1462" s="40" t="str">
        <f t="array" ref="S1462">iferror(index(dissected_fish!$K:$K,match($A1462,dissected_fish!$A:$A,0)))</f>
        <v>N</v>
      </c>
      <c r="T1462" s="61" t="str">
        <f t="array" ref="T1462">index(fish_lab_data!O:O,match(A1462,fish_lab_data!C:C,0))</f>
        <v>KB</v>
      </c>
      <c r="U1462" s="61">
        <f t="array" ref="U1462">if(A1462="","",index(fish_lab_data!X:X,match(A1462,fish_lab_data!C:C,0)))</f>
        <v>1461</v>
      </c>
    </row>
    <row r="1463">
      <c r="A1463" t="str">
        <f>fish_lab_data!C1463</f>
        <v>U16847</v>
      </c>
      <c r="B1463" t="str">
        <f t="array" ref="B1463">iferror(index('rna-muscle'!$I:$I,match($A1463,'rna-muscle'!$A:$A,0)))</f>
        <v>BRN53M-E4</v>
      </c>
      <c r="C1463" t="str">
        <f t="array" ref="C1463">iferror(index('rna-muscle'!$L:$L,match($A1463,'rna-muscle'!$A:$A,0)))</f>
        <v>N</v>
      </c>
      <c r="D1463" t="str">
        <f t="array" ref="D1463">iferror(index('rna-gill'!$I:$I,match($A1463,'rna-gill'!$A:$A,0)))</f>
        <v>BRN53G-E4</v>
      </c>
      <c r="E1463" t="str">
        <f t="array" ref="E1463">iferror(index('rna-gill'!$L:$L,match($A1463,'rna-gill'!$A:$A,0)))</f>
        <v>N</v>
      </c>
      <c r="F1463" t="str">
        <f t="array" ref="F1463">iferror(index(fatty_acid!$G:$G,match($A1463,fatty_acid!$A:$A,0)))</f>
        <v>BFA36-79</v>
      </c>
      <c r="G1463" t="str">
        <f t="array" ref="G1463">iferror(index(fatty_acid!$J:$J,match($A1463,fatty_acid!$A:$A,0)))</f>
        <v>N</v>
      </c>
      <c r="H1463" t="str">
        <f t="array" ref="H1463">iferror(index(isotopes!$G:$G,match($A1463,isotopes!$A:$A,0)))</f>
        <v>BIS39-79</v>
      </c>
      <c r="I1463" t="str">
        <f t="array" ref="I1463">iferror(index(isotopes!$J:$J,match($A1463,isotopes!$A:$A,0)))</f>
        <v>N</v>
      </c>
      <c r="J1463" t="str">
        <f t="array" ref="J1463">iferror(index(extra_muscle!$G:$G,match($A1463,extra_muscle!$A:$A,0)))</f>
        <v>BXM38-79</v>
      </c>
      <c r="K1463" t="str">
        <f t="array" ref="K1463">iferror(index(extra_muscle!$J:$J,match($A1463,extra_muscle!$A:$A,0)))</f>
        <v>N</v>
      </c>
      <c r="L1463" s="59" t="str">
        <f t="array" ref="L1463">iferror(index(dna!$G:$G,match($A1463,dna!$A:$A,0)))</f>
        <v>BDN12-55</v>
      </c>
      <c r="M1463" s="60" t="str">
        <f t="array" ref="M1463">iferror(index(dna!$J:$J,match($A1463,dna!$A:$A,0)))</f>
        <v>N</v>
      </c>
      <c r="N1463" t="str">
        <f t="array" ref="N1463">iferror(index(stomachs!$G:$G,match($A1463,stomachs!$A:$A,0)))</f>
        <v/>
      </c>
      <c r="O1463" t="str">
        <f t="array" ref="O1463">iferror(index(stomachs!$J:$J,match($A1463,stomachs!$A:$A,0)))</f>
        <v/>
      </c>
      <c r="P1463" t="str">
        <f t="array" ref="P1463">iferror(index(sea_lice!$G:$G,match($A1463,sea_lice!$A:$A,0)))</f>
        <v/>
      </c>
      <c r="Q1463" t="str">
        <f t="array" ref="Q1463">iferror(index(sea_lice!$J:$J,match($A1463,sea_lice!$A:$A,0)))</f>
        <v/>
      </c>
      <c r="R1463" s="40" t="str">
        <f t="array" ref="R1463">iferror(index(dissected_fish!$F:$F,match($A1463,dissected_fish!$A:$A,0)))</f>
        <v>BCA112</v>
      </c>
      <c r="S1463" s="40" t="str">
        <f t="array" ref="S1463">iferror(index(dissected_fish!$K:$K,match($A1463,dissected_fish!$A:$A,0)))</f>
        <v>N</v>
      </c>
      <c r="T1463" s="61" t="str">
        <f t="array" ref="T1463">index(fish_lab_data!O:O,match(A1463,fish_lab_data!C:C,0))</f>
        <v>KB</v>
      </c>
      <c r="U1463" s="61">
        <f t="array" ref="U1463">if(A1463="","",index(fish_lab_data!X:X,match(A1463,fish_lab_data!C:C,0)))</f>
        <v>1462</v>
      </c>
    </row>
    <row r="1464">
      <c r="A1464" t="str">
        <f>fish_lab_data!C1464</f>
        <v>U16848</v>
      </c>
      <c r="B1464" t="str">
        <f t="array" ref="B1464">iferror(index('rna-muscle'!$I:$I,match($A1464,'rna-muscle'!$A:$A,0)))</f>
        <v>BRN53M-D4</v>
      </c>
      <c r="C1464" t="str">
        <f t="array" ref="C1464">iferror(index('rna-muscle'!$L:$L,match($A1464,'rna-muscle'!$A:$A,0)))</f>
        <v>N</v>
      </c>
      <c r="D1464" t="str">
        <f t="array" ref="D1464">iferror(index('rna-gill'!$I:$I,match($A1464,'rna-gill'!$A:$A,0)))</f>
        <v>BRN53G-D4</v>
      </c>
      <c r="E1464" t="str">
        <f t="array" ref="E1464">iferror(index('rna-gill'!$L:$L,match($A1464,'rna-gill'!$A:$A,0)))</f>
        <v>N</v>
      </c>
      <c r="F1464" t="str">
        <f t="array" ref="F1464">iferror(index(fatty_acid!$G:$G,match($A1464,fatty_acid!$A:$A,0)))</f>
        <v>BFA36-80</v>
      </c>
      <c r="G1464" t="str">
        <f t="array" ref="G1464">iferror(index(fatty_acid!$J:$J,match($A1464,fatty_acid!$A:$A,0)))</f>
        <v>N</v>
      </c>
      <c r="H1464" t="str">
        <f t="array" ref="H1464">iferror(index(isotopes!$G:$G,match($A1464,isotopes!$A:$A,0)))</f>
        <v>BIS39-80</v>
      </c>
      <c r="I1464" t="str">
        <f t="array" ref="I1464">iferror(index(isotopes!$J:$J,match($A1464,isotopes!$A:$A,0)))</f>
        <v>N</v>
      </c>
      <c r="J1464" t="str">
        <f t="array" ref="J1464">iferror(index(extra_muscle!$G:$G,match($A1464,extra_muscle!$A:$A,0)))</f>
        <v>BXM38-80</v>
      </c>
      <c r="K1464" t="str">
        <f t="array" ref="K1464">iferror(index(extra_muscle!$J:$J,match($A1464,extra_muscle!$A:$A,0)))</f>
        <v>N</v>
      </c>
      <c r="L1464" s="59" t="str">
        <f t="array" ref="L1464">iferror(index(dna!$G:$G,match($A1464,dna!$A:$A,0)))</f>
        <v>BDN12-56</v>
      </c>
      <c r="M1464" s="60" t="str">
        <f t="array" ref="M1464">iferror(index(dna!$J:$J,match($A1464,dna!$A:$A,0)))</f>
        <v>N</v>
      </c>
      <c r="N1464" t="str">
        <f t="array" ref="N1464">iferror(index(stomachs!$G:$G,match($A1464,stomachs!$A:$A,0)))</f>
        <v/>
      </c>
      <c r="O1464" t="str">
        <f t="array" ref="O1464">iferror(index(stomachs!$J:$J,match($A1464,stomachs!$A:$A,0)))</f>
        <v/>
      </c>
      <c r="P1464" t="str">
        <f t="array" ref="P1464">iferror(index(sea_lice!$G:$G,match($A1464,sea_lice!$A:$A,0)))</f>
        <v/>
      </c>
      <c r="Q1464" t="str">
        <f t="array" ref="Q1464">iferror(index(sea_lice!$J:$J,match($A1464,sea_lice!$A:$A,0)))</f>
        <v/>
      </c>
      <c r="R1464" s="40" t="str">
        <f t="array" ref="R1464">iferror(index(dissected_fish!$F:$F,match($A1464,dissected_fish!$A:$A,0)))</f>
        <v>BCA112</v>
      </c>
      <c r="S1464" s="40" t="str">
        <f t="array" ref="S1464">iferror(index(dissected_fish!$K:$K,match($A1464,dissected_fish!$A:$A,0)))</f>
        <v>N</v>
      </c>
      <c r="T1464" s="61" t="str">
        <f t="array" ref="T1464">index(fish_lab_data!O:O,match(A1464,fish_lab_data!C:C,0))</f>
        <v>KB</v>
      </c>
      <c r="U1464" s="61">
        <f t="array" ref="U1464">if(A1464="","",index(fish_lab_data!X:X,match(A1464,fish_lab_data!C:C,0)))</f>
        <v>1463</v>
      </c>
    </row>
    <row r="1465">
      <c r="A1465" t="str">
        <f>fish_lab_data!C1465</f>
        <v>U16850</v>
      </c>
      <c r="B1465" t="str">
        <f t="array" ref="B1465">iferror(index('rna-muscle'!$I:$I,match($A1465,'rna-muscle'!$A:$A,0)))</f>
        <v>BRN53M-C4</v>
      </c>
      <c r="C1465" t="str">
        <f t="array" ref="C1465">iferror(index('rna-muscle'!$L:$L,match($A1465,'rna-muscle'!$A:$A,0)))</f>
        <v>N</v>
      </c>
      <c r="D1465" t="str">
        <f t="array" ref="D1465">iferror(index('rna-gill'!$I:$I,match($A1465,'rna-gill'!$A:$A,0)))</f>
        <v>BRN53G-C4</v>
      </c>
      <c r="E1465" t="str">
        <f t="array" ref="E1465">iferror(index('rna-gill'!$L:$L,match($A1465,'rna-gill'!$A:$A,0)))</f>
        <v>N</v>
      </c>
      <c r="F1465" t="str">
        <f t="array" ref="F1465">iferror(index(fatty_acid!$G:$G,match($A1465,fatty_acid!$A:$A,0)))</f>
        <v>BFA36-81</v>
      </c>
      <c r="G1465" t="str">
        <f t="array" ref="G1465">iferror(index(fatty_acid!$J:$J,match($A1465,fatty_acid!$A:$A,0)))</f>
        <v>N</v>
      </c>
      <c r="H1465" t="str">
        <f t="array" ref="H1465">iferror(index(isotopes!$G:$G,match($A1465,isotopes!$A:$A,0)))</f>
        <v>BIS39-81</v>
      </c>
      <c r="I1465" t="str">
        <f t="array" ref="I1465">iferror(index(isotopes!$J:$J,match($A1465,isotopes!$A:$A,0)))</f>
        <v>N</v>
      </c>
      <c r="J1465" t="str">
        <f t="array" ref="J1465">iferror(index(extra_muscle!$G:$G,match($A1465,extra_muscle!$A:$A,0)))</f>
        <v>BXM38-81</v>
      </c>
      <c r="K1465" t="str">
        <f t="array" ref="K1465">iferror(index(extra_muscle!$J:$J,match($A1465,extra_muscle!$A:$A,0)))</f>
        <v>N</v>
      </c>
      <c r="L1465" s="59" t="str">
        <f t="array" ref="L1465">iferror(index(dna!$G:$G,match($A1465,dna!$A:$A,0)))</f>
        <v>BDN12-57</v>
      </c>
      <c r="M1465" s="60" t="str">
        <f t="array" ref="M1465">iferror(index(dna!$J:$J,match($A1465,dna!$A:$A,0)))</f>
        <v>N</v>
      </c>
      <c r="N1465" t="str">
        <f t="array" ref="N1465">iferror(index(stomachs!$G:$G,match($A1465,stomachs!$A:$A,0)))</f>
        <v/>
      </c>
      <c r="O1465" t="str">
        <f t="array" ref="O1465">iferror(index(stomachs!$J:$J,match($A1465,stomachs!$A:$A,0)))</f>
        <v/>
      </c>
      <c r="P1465" t="str">
        <f t="array" ref="P1465">iferror(index(sea_lice!$G:$G,match($A1465,sea_lice!$A:$A,0)))</f>
        <v>BSL8-62</v>
      </c>
      <c r="Q1465" t="str">
        <f t="array" ref="Q1465">iferror(index(sea_lice!$J:$J,match($A1465,sea_lice!$A:$A,0)))</f>
        <v>N</v>
      </c>
      <c r="R1465" s="40" t="str">
        <f t="array" ref="R1465">iferror(index(dissected_fish!$F:$F,match($A1465,dissected_fish!$A:$A,0)))</f>
        <v>BCA112</v>
      </c>
      <c r="S1465" s="40" t="str">
        <f t="array" ref="S1465">iferror(index(dissected_fish!$K:$K,match($A1465,dissected_fish!$A:$A,0)))</f>
        <v>N</v>
      </c>
      <c r="T1465" s="61" t="str">
        <f t="array" ref="T1465">index(fish_lab_data!O:O,match(A1465,fish_lab_data!C:C,0))</f>
        <v>KB</v>
      </c>
      <c r="U1465" s="61">
        <f t="array" ref="U1465">if(A1465="","",index(fish_lab_data!X:X,match(A1465,fish_lab_data!C:C,0)))</f>
        <v>1464</v>
      </c>
    </row>
    <row r="1466">
      <c r="A1466" t="str">
        <f>fish_lab_data!C1466</f>
        <v>U16843</v>
      </c>
      <c r="B1466" t="str">
        <f t="array" ref="B1466">iferror(index('rna-muscle'!$I:$I,match($A1466,'rna-muscle'!$A:$A,0)))</f>
        <v>BRN53M-B4</v>
      </c>
      <c r="C1466" t="str">
        <f t="array" ref="C1466">iferror(index('rna-muscle'!$L:$L,match($A1466,'rna-muscle'!$A:$A,0)))</f>
        <v>N</v>
      </c>
      <c r="D1466" t="str">
        <f t="array" ref="D1466">iferror(index('rna-gill'!$I:$I,match($A1466,'rna-gill'!$A:$A,0)))</f>
        <v>BRN53G-B4</v>
      </c>
      <c r="E1466" t="str">
        <f t="array" ref="E1466">iferror(index('rna-gill'!$L:$L,match($A1466,'rna-gill'!$A:$A,0)))</f>
        <v>N</v>
      </c>
      <c r="F1466" t="str">
        <f t="array" ref="F1466">iferror(index(fatty_acid!$G:$G,match($A1466,fatty_acid!$A:$A,0)))</f>
        <v>BFA38-1</v>
      </c>
      <c r="G1466" t="str">
        <f t="array" ref="G1466">iferror(index(fatty_acid!$J:$J,match($A1466,fatty_acid!$A:$A,0)))</f>
        <v>N</v>
      </c>
      <c r="H1466" t="str">
        <f t="array" ref="H1466">iferror(index(isotopes!$G:$G,match($A1466,isotopes!$A:$A,0)))</f>
        <v>BIS41-1</v>
      </c>
      <c r="I1466" t="str">
        <f t="array" ref="I1466">iferror(index(isotopes!$J:$J,match($A1466,isotopes!$A:$A,0)))</f>
        <v>N</v>
      </c>
      <c r="J1466" t="str">
        <f t="array" ref="J1466">iferror(index(extra_muscle!$G:$G,match($A1466,extra_muscle!$A:$A,0)))</f>
        <v>BXM40-1</v>
      </c>
      <c r="K1466" t="str">
        <f t="array" ref="K1466">iferror(index(extra_muscle!$J:$J,match($A1466,extra_muscle!$A:$A,0)))</f>
        <v>N</v>
      </c>
      <c r="L1466" s="59" t="str">
        <f t="array" ref="L1466">iferror(index(dna!$G:$G,match($A1466,dna!$A:$A,0)))</f>
        <v>BDN12-58</v>
      </c>
      <c r="M1466" s="60" t="str">
        <f t="array" ref="M1466">iferror(index(dna!$J:$J,match($A1466,dna!$A:$A,0)))</f>
        <v>N</v>
      </c>
      <c r="N1466" t="str">
        <f t="array" ref="N1466">iferror(index(stomachs!$G:$G,match($A1466,stomachs!$A:$A,0)))</f>
        <v/>
      </c>
      <c r="O1466" t="str">
        <f t="array" ref="O1466">iferror(index(stomachs!$J:$J,match($A1466,stomachs!$A:$A,0)))</f>
        <v/>
      </c>
      <c r="P1466" t="str">
        <f t="array" ref="P1466">iferror(index(sea_lice!$G:$G,match($A1466,sea_lice!$A:$A,0)))</f>
        <v/>
      </c>
      <c r="Q1466" t="str">
        <f t="array" ref="Q1466">iferror(index(sea_lice!$J:$J,match($A1466,sea_lice!$A:$A,0)))</f>
        <v/>
      </c>
      <c r="R1466" s="40" t="str">
        <f t="array" ref="R1466">iferror(index(dissected_fish!$F:$F,match($A1466,dissected_fish!$A:$A,0)))</f>
        <v>BCA112</v>
      </c>
      <c r="S1466" s="40" t="str">
        <f t="array" ref="S1466">iferror(index(dissected_fish!$K:$K,match($A1466,dissected_fish!$A:$A,0)))</f>
        <v>N</v>
      </c>
      <c r="T1466" s="61" t="str">
        <f t="array" ref="T1466">index(fish_lab_data!O:O,match(A1466,fish_lab_data!C:C,0))</f>
        <v>KB</v>
      </c>
      <c r="U1466" s="61">
        <f t="array" ref="U1466">if(A1466="","",index(fish_lab_data!X:X,match(A1466,fish_lab_data!C:C,0)))</f>
        <v>1465</v>
      </c>
    </row>
    <row r="1467">
      <c r="A1467" t="str">
        <f>fish_lab_data!C1467</f>
        <v>U16846</v>
      </c>
      <c r="B1467" t="str">
        <f t="array" ref="B1467">iferror(index('rna-muscle'!$I:$I,match($A1467,'rna-muscle'!$A:$A,0)))</f>
        <v>BRN53M-A4</v>
      </c>
      <c r="C1467" t="str">
        <f t="array" ref="C1467">iferror(index('rna-muscle'!$L:$L,match($A1467,'rna-muscle'!$A:$A,0)))</f>
        <v>N</v>
      </c>
      <c r="D1467" t="str">
        <f t="array" ref="D1467">iferror(index('rna-gill'!$I:$I,match($A1467,'rna-gill'!$A:$A,0)))</f>
        <v>BRN53G-A4</v>
      </c>
      <c r="E1467" t="str">
        <f t="array" ref="E1467">iferror(index('rna-gill'!$L:$L,match($A1467,'rna-gill'!$A:$A,0)))</f>
        <v>N</v>
      </c>
      <c r="F1467" t="str">
        <f t="array" ref="F1467">iferror(index(fatty_acid!$G:$G,match($A1467,fatty_acid!$A:$A,0)))</f>
        <v>BFA38-2</v>
      </c>
      <c r="G1467" t="str">
        <f t="array" ref="G1467">iferror(index(fatty_acid!$J:$J,match($A1467,fatty_acid!$A:$A,0)))</f>
        <v>N</v>
      </c>
      <c r="H1467" t="str">
        <f t="array" ref="H1467">iferror(index(isotopes!$G:$G,match($A1467,isotopes!$A:$A,0)))</f>
        <v>BIS41-2</v>
      </c>
      <c r="I1467" t="str">
        <f t="array" ref="I1467">iferror(index(isotopes!$J:$J,match($A1467,isotopes!$A:$A,0)))</f>
        <v>N</v>
      </c>
      <c r="J1467" t="str">
        <f t="array" ref="J1467">iferror(index(extra_muscle!$G:$G,match($A1467,extra_muscle!$A:$A,0)))</f>
        <v>BXM40-2</v>
      </c>
      <c r="K1467" t="str">
        <f t="array" ref="K1467">iferror(index(extra_muscle!$J:$J,match($A1467,extra_muscle!$A:$A,0)))</f>
        <v>N</v>
      </c>
      <c r="L1467" s="59" t="str">
        <f t="array" ref="L1467">iferror(index(dna!$G:$G,match($A1467,dna!$A:$A,0)))</f>
        <v>BDN12-59</v>
      </c>
      <c r="M1467" s="60" t="str">
        <f t="array" ref="M1467">iferror(index(dna!$J:$J,match($A1467,dna!$A:$A,0)))</f>
        <v>N</v>
      </c>
      <c r="N1467" t="str">
        <f t="array" ref="N1467">iferror(index(stomachs!$G:$G,match($A1467,stomachs!$A:$A,0)))</f>
        <v/>
      </c>
      <c r="O1467" t="str">
        <f t="array" ref="O1467">iferror(index(stomachs!$J:$J,match($A1467,stomachs!$A:$A,0)))</f>
        <v/>
      </c>
      <c r="P1467" t="str">
        <f t="array" ref="P1467">iferror(index(sea_lice!$G:$G,match($A1467,sea_lice!$A:$A,0)))</f>
        <v>BSL8-65</v>
      </c>
      <c r="Q1467" t="str">
        <f t="array" ref="Q1467">iferror(index(sea_lice!$J:$J,match($A1467,sea_lice!$A:$A,0)))</f>
        <v>N</v>
      </c>
      <c r="R1467" s="40" t="str">
        <f t="array" ref="R1467">iferror(index(dissected_fish!$F:$F,match($A1467,dissected_fish!$A:$A,0)))</f>
        <v>BCA112</v>
      </c>
      <c r="S1467" s="40" t="str">
        <f t="array" ref="S1467">iferror(index(dissected_fish!$K:$K,match($A1467,dissected_fish!$A:$A,0)))</f>
        <v>N</v>
      </c>
      <c r="T1467" s="61" t="str">
        <f t="array" ref="T1467">index(fish_lab_data!O:O,match(A1467,fish_lab_data!C:C,0))</f>
        <v>KB</v>
      </c>
      <c r="U1467" s="61">
        <f t="array" ref="U1467">if(A1467="","",index(fish_lab_data!X:X,match(A1467,fish_lab_data!C:C,0)))</f>
        <v>1466</v>
      </c>
    </row>
    <row r="1468">
      <c r="A1468" t="str">
        <f>fish_lab_data!C1468</f>
        <v>U16842</v>
      </c>
      <c r="B1468" t="str">
        <f t="array" ref="B1468">iferror(index('rna-muscle'!$I:$I,match($A1468,'rna-muscle'!$A:$A,0)))</f>
        <v>BRN53M-G9</v>
      </c>
      <c r="C1468" t="str">
        <f t="array" ref="C1468">iferror(index('rna-muscle'!$L:$L,match($A1468,'rna-muscle'!$A:$A,0)))</f>
        <v>N</v>
      </c>
      <c r="D1468" t="str">
        <f t="array" ref="D1468">iferror(index('rna-gill'!$I:$I,match($A1468,'rna-gill'!$A:$A,0)))</f>
        <v>BRN53G-G9</v>
      </c>
      <c r="E1468" t="str">
        <f t="array" ref="E1468">iferror(index('rna-gill'!$L:$L,match($A1468,'rna-gill'!$A:$A,0)))</f>
        <v>N</v>
      </c>
      <c r="F1468" t="str">
        <f t="array" ref="F1468">iferror(index(fatty_acid!$G:$G,match($A1468,fatty_acid!$A:$A,0)))</f>
        <v>BFA38-3</v>
      </c>
      <c r="G1468" t="str">
        <f t="array" ref="G1468">iferror(index(fatty_acid!$J:$J,match($A1468,fatty_acid!$A:$A,0)))</f>
        <v>N</v>
      </c>
      <c r="H1468" t="str">
        <f t="array" ref="H1468">iferror(index(isotopes!$G:$G,match($A1468,isotopes!$A:$A,0)))</f>
        <v>BIS41-3</v>
      </c>
      <c r="I1468" t="str">
        <f t="array" ref="I1468">iferror(index(isotopes!$J:$J,match($A1468,isotopes!$A:$A,0)))</f>
        <v>N</v>
      </c>
      <c r="J1468" t="str">
        <f t="array" ref="J1468">iferror(index(extra_muscle!$G:$G,match($A1468,extra_muscle!$A:$A,0)))</f>
        <v>BXM40-3</v>
      </c>
      <c r="K1468" t="str">
        <f t="array" ref="K1468">iferror(index(extra_muscle!$J:$J,match($A1468,extra_muscle!$A:$A,0)))</f>
        <v>N</v>
      </c>
      <c r="L1468" s="59" t="str">
        <f t="array" ref="L1468">iferror(index(dna!$G:$G,match($A1468,dna!$A:$A,0)))</f>
        <v>BDN12-60</v>
      </c>
      <c r="M1468" s="60" t="str">
        <f t="array" ref="M1468">iferror(index(dna!$J:$J,match($A1468,dna!$A:$A,0)))</f>
        <v>N</v>
      </c>
      <c r="N1468" t="str">
        <f t="array" ref="N1468">iferror(index(stomachs!$G:$G,match($A1468,stomachs!$A:$A,0)))</f>
        <v/>
      </c>
      <c r="O1468" t="str">
        <f t="array" ref="O1468">iferror(index(stomachs!$J:$J,match($A1468,stomachs!$A:$A,0)))</f>
        <v/>
      </c>
      <c r="P1468" t="str">
        <f t="array" ref="P1468">iferror(index(sea_lice!$G:$G,match($A1468,sea_lice!$A:$A,0)))</f>
        <v/>
      </c>
      <c r="Q1468" t="str">
        <f t="array" ref="Q1468">iferror(index(sea_lice!$J:$J,match($A1468,sea_lice!$A:$A,0)))</f>
        <v/>
      </c>
      <c r="R1468" s="40" t="str">
        <f t="array" ref="R1468">iferror(index(dissected_fish!$F:$F,match($A1468,dissected_fish!$A:$A,0)))</f>
        <v>BCA112</v>
      </c>
      <c r="S1468" s="40" t="str">
        <f t="array" ref="S1468">iferror(index(dissected_fish!$K:$K,match($A1468,dissected_fish!$A:$A,0)))</f>
        <v>N</v>
      </c>
      <c r="T1468" s="61" t="str">
        <f t="array" ref="T1468">index(fish_lab_data!O:O,match(A1468,fish_lab_data!C:C,0))</f>
        <v>KB</v>
      </c>
      <c r="U1468" s="61">
        <f t="array" ref="U1468">if(A1468="","",index(fish_lab_data!X:X,match(A1468,fish_lab_data!C:C,0)))</f>
        <v>1467</v>
      </c>
    </row>
    <row r="1469">
      <c r="A1469" t="str">
        <f>fish_lab_data!C1469</f>
        <v>U16771</v>
      </c>
      <c r="B1469" t="str">
        <f t="array" ref="B1469">iferror(index('rna-muscle'!$I:$I,match($A1469,'rna-muscle'!$A:$A,0)))</f>
        <v>BRN53M-F9</v>
      </c>
      <c r="C1469" t="str">
        <f t="array" ref="C1469">iferror(index('rna-muscle'!$L:$L,match($A1469,'rna-muscle'!$A:$A,0)))</f>
        <v>N</v>
      </c>
      <c r="D1469" t="str">
        <f t="array" ref="D1469">iferror(index('rna-gill'!$I:$I,match($A1469,'rna-gill'!$A:$A,0)))</f>
        <v>BRN53G-F9</v>
      </c>
      <c r="E1469" t="str">
        <f t="array" ref="E1469">iferror(index('rna-gill'!$L:$L,match($A1469,'rna-gill'!$A:$A,0)))</f>
        <v>N</v>
      </c>
      <c r="F1469" t="str">
        <f t="array" ref="F1469">iferror(index(fatty_acid!$G:$G,match($A1469,fatty_acid!$A:$A,0)))</f>
        <v>BFA38-4</v>
      </c>
      <c r="G1469" t="str">
        <f t="array" ref="G1469">iferror(index(fatty_acid!$J:$J,match($A1469,fatty_acid!$A:$A,0)))</f>
        <v>N</v>
      </c>
      <c r="H1469" t="str">
        <f t="array" ref="H1469">iferror(index(isotopes!$G:$G,match($A1469,isotopes!$A:$A,0)))</f>
        <v>BIS41-4</v>
      </c>
      <c r="I1469" t="str">
        <f t="array" ref="I1469">iferror(index(isotopes!$J:$J,match($A1469,isotopes!$A:$A,0)))</f>
        <v>N</v>
      </c>
      <c r="J1469" t="str">
        <f t="array" ref="J1469">iferror(index(extra_muscle!$G:$G,match($A1469,extra_muscle!$A:$A,0)))</f>
        <v>BXM40-4</v>
      </c>
      <c r="K1469" t="str">
        <f t="array" ref="K1469">iferror(index(extra_muscle!$J:$J,match($A1469,extra_muscle!$A:$A,0)))</f>
        <v>N</v>
      </c>
      <c r="L1469" s="59" t="str">
        <f t="array" ref="L1469">iferror(index(dna!$G:$G,match($A1469,dna!$A:$A,0)))</f>
        <v>BDN12-61</v>
      </c>
      <c r="M1469" s="60" t="str">
        <f t="array" ref="M1469">iferror(index(dna!$J:$J,match($A1469,dna!$A:$A,0)))</f>
        <v>N</v>
      </c>
      <c r="N1469" t="str">
        <f t="array" ref="N1469">iferror(index(stomachs!$G:$G,match($A1469,stomachs!$A:$A,0)))</f>
        <v/>
      </c>
      <c r="O1469" t="str">
        <f t="array" ref="O1469">iferror(index(stomachs!$J:$J,match($A1469,stomachs!$A:$A,0)))</f>
        <v/>
      </c>
      <c r="P1469" t="str">
        <f t="array" ref="P1469">iferror(index(sea_lice!$G:$G,match($A1469,sea_lice!$A:$A,0)))</f>
        <v/>
      </c>
      <c r="Q1469" t="str">
        <f t="array" ref="Q1469">iferror(index(sea_lice!$J:$J,match($A1469,sea_lice!$A:$A,0)))</f>
        <v/>
      </c>
      <c r="R1469" s="40" t="str">
        <f t="array" ref="R1469">iferror(index(dissected_fish!$F:$F,match($A1469,dissected_fish!$A:$A,0)))</f>
        <v>BCA112</v>
      </c>
      <c r="S1469" s="40" t="str">
        <f t="array" ref="S1469">iferror(index(dissected_fish!$K:$K,match($A1469,dissected_fish!$A:$A,0)))</f>
        <v>N</v>
      </c>
      <c r="T1469" s="61" t="str">
        <f t="array" ref="T1469">index(fish_lab_data!O:O,match(A1469,fish_lab_data!C:C,0))</f>
        <v>KB</v>
      </c>
      <c r="U1469" s="61">
        <f t="array" ref="U1469">if(A1469="","",index(fish_lab_data!X:X,match(A1469,fish_lab_data!C:C,0)))</f>
        <v>1468</v>
      </c>
    </row>
    <row r="1470">
      <c r="A1470" t="str">
        <f>fish_lab_data!C1470</f>
        <v>U16779</v>
      </c>
      <c r="B1470" t="str">
        <f t="array" ref="B1470">iferror(index('rna-muscle'!$I:$I,match($A1470,'rna-muscle'!$A:$A,0)))</f>
        <v>BRN53M-E9</v>
      </c>
      <c r="C1470" t="str">
        <f t="array" ref="C1470">iferror(index('rna-muscle'!$L:$L,match($A1470,'rna-muscle'!$A:$A,0)))</f>
        <v>N</v>
      </c>
      <c r="D1470" t="str">
        <f t="array" ref="D1470">iferror(index('rna-gill'!$I:$I,match($A1470,'rna-gill'!$A:$A,0)))</f>
        <v>BRN53G-E9</v>
      </c>
      <c r="E1470" t="str">
        <f t="array" ref="E1470">iferror(index('rna-gill'!$L:$L,match($A1470,'rna-gill'!$A:$A,0)))</f>
        <v>N</v>
      </c>
      <c r="F1470" t="str">
        <f t="array" ref="F1470">iferror(index(fatty_acid!$G:$G,match($A1470,fatty_acid!$A:$A,0)))</f>
        <v>BFA38-5</v>
      </c>
      <c r="G1470" t="str">
        <f t="array" ref="G1470">iferror(index(fatty_acid!$J:$J,match($A1470,fatty_acid!$A:$A,0)))</f>
        <v>N</v>
      </c>
      <c r="H1470" t="str">
        <f t="array" ref="H1470">iferror(index(isotopes!$G:$G,match($A1470,isotopes!$A:$A,0)))</f>
        <v>BIS41-5</v>
      </c>
      <c r="I1470" t="str">
        <f t="array" ref="I1470">iferror(index(isotopes!$J:$J,match($A1470,isotopes!$A:$A,0)))</f>
        <v>N</v>
      </c>
      <c r="J1470" t="str">
        <f t="array" ref="J1470">iferror(index(extra_muscle!$G:$G,match($A1470,extra_muscle!$A:$A,0)))</f>
        <v>BXM40-5</v>
      </c>
      <c r="K1470" t="str">
        <f t="array" ref="K1470">iferror(index(extra_muscle!$J:$J,match($A1470,extra_muscle!$A:$A,0)))</f>
        <v>N</v>
      </c>
      <c r="L1470" s="59" t="str">
        <f t="array" ref="L1470">iferror(index(dna!$G:$G,match($A1470,dna!$A:$A,0)))</f>
        <v>BDN12-62</v>
      </c>
      <c r="M1470" s="60" t="str">
        <f t="array" ref="M1470">iferror(index(dna!$J:$J,match($A1470,dna!$A:$A,0)))</f>
        <v>N</v>
      </c>
      <c r="N1470" t="str">
        <f t="array" ref="N1470">iferror(index(stomachs!$G:$G,match($A1470,stomachs!$A:$A,0)))</f>
        <v/>
      </c>
      <c r="O1470" t="str">
        <f t="array" ref="O1470">iferror(index(stomachs!$J:$J,match($A1470,stomachs!$A:$A,0)))</f>
        <v/>
      </c>
      <c r="P1470" t="str">
        <f t="array" ref="P1470">iferror(index(sea_lice!$G:$G,match($A1470,sea_lice!$A:$A,0)))</f>
        <v/>
      </c>
      <c r="Q1470" t="str">
        <f t="array" ref="Q1470">iferror(index(sea_lice!$J:$J,match($A1470,sea_lice!$A:$A,0)))</f>
        <v/>
      </c>
      <c r="R1470" s="40" t="str">
        <f t="array" ref="R1470">iferror(index(dissected_fish!$F:$F,match($A1470,dissected_fish!$A:$A,0)))</f>
        <v>BCA112</v>
      </c>
      <c r="S1470" s="40" t="str">
        <f t="array" ref="S1470">iferror(index(dissected_fish!$K:$K,match($A1470,dissected_fish!$A:$A,0)))</f>
        <v>N</v>
      </c>
      <c r="T1470" s="61" t="str">
        <f t="array" ref="T1470">index(fish_lab_data!O:O,match(A1470,fish_lab_data!C:C,0))</f>
        <v>KB</v>
      </c>
      <c r="U1470" s="61">
        <f t="array" ref="U1470">if(A1470="","",index(fish_lab_data!X:X,match(A1470,fish_lab_data!C:C,0)))</f>
        <v>1469</v>
      </c>
    </row>
    <row r="1471">
      <c r="A1471" t="str">
        <f>fish_lab_data!C1471</f>
        <v>U16776</v>
      </c>
      <c r="B1471" t="str">
        <f t="array" ref="B1471">iferror(index('rna-muscle'!$I:$I,match($A1471,'rna-muscle'!$A:$A,0)))</f>
        <v>BRN53M-D9</v>
      </c>
      <c r="C1471" t="str">
        <f t="array" ref="C1471">iferror(index('rna-muscle'!$L:$L,match($A1471,'rna-muscle'!$A:$A,0)))</f>
        <v>N</v>
      </c>
      <c r="D1471" t="str">
        <f t="array" ref="D1471">iferror(index('rna-gill'!$I:$I,match($A1471,'rna-gill'!$A:$A,0)))</f>
        <v>BRN53G-D9</v>
      </c>
      <c r="E1471" t="str">
        <f t="array" ref="E1471">iferror(index('rna-gill'!$L:$L,match($A1471,'rna-gill'!$A:$A,0)))</f>
        <v>N</v>
      </c>
      <c r="F1471" t="str">
        <f t="array" ref="F1471">iferror(index(fatty_acid!$G:$G,match($A1471,fatty_acid!$A:$A,0)))</f>
        <v>BFA38-6</v>
      </c>
      <c r="G1471" t="str">
        <f t="array" ref="G1471">iferror(index(fatty_acid!$J:$J,match($A1471,fatty_acid!$A:$A,0)))</f>
        <v>N</v>
      </c>
      <c r="H1471" t="str">
        <f t="array" ref="H1471">iferror(index(isotopes!$G:$G,match($A1471,isotopes!$A:$A,0)))</f>
        <v>BIS41-6</v>
      </c>
      <c r="I1471" t="str">
        <f t="array" ref="I1471">iferror(index(isotopes!$J:$J,match($A1471,isotopes!$A:$A,0)))</f>
        <v>N</v>
      </c>
      <c r="J1471" t="str">
        <f t="array" ref="J1471">iferror(index(extra_muscle!$G:$G,match($A1471,extra_muscle!$A:$A,0)))</f>
        <v>BXM40-6</v>
      </c>
      <c r="K1471" t="str">
        <f t="array" ref="K1471">iferror(index(extra_muscle!$J:$J,match($A1471,extra_muscle!$A:$A,0)))</f>
        <v>N</v>
      </c>
      <c r="L1471" s="59" t="str">
        <f t="array" ref="L1471">iferror(index(dna!$G:$G,match($A1471,dna!$A:$A,0)))</f>
        <v>BDN12-63</v>
      </c>
      <c r="M1471" s="60" t="str">
        <f t="array" ref="M1471">iferror(index(dna!$J:$J,match($A1471,dna!$A:$A,0)))</f>
        <v>N</v>
      </c>
      <c r="N1471" t="str">
        <f t="array" ref="N1471">iferror(index(stomachs!$G:$G,match($A1471,stomachs!$A:$A,0)))</f>
        <v/>
      </c>
      <c r="O1471" t="str">
        <f t="array" ref="O1471">iferror(index(stomachs!$J:$J,match($A1471,stomachs!$A:$A,0)))</f>
        <v/>
      </c>
      <c r="P1471" t="str">
        <f t="array" ref="P1471">iferror(index(sea_lice!$G:$G,match($A1471,sea_lice!$A:$A,0)))</f>
        <v/>
      </c>
      <c r="Q1471" t="str">
        <f t="array" ref="Q1471">iferror(index(sea_lice!$J:$J,match($A1471,sea_lice!$A:$A,0)))</f>
        <v/>
      </c>
      <c r="R1471" s="40" t="str">
        <f t="array" ref="R1471">iferror(index(dissected_fish!$F:$F,match($A1471,dissected_fish!$A:$A,0)))</f>
        <v>BCA112</v>
      </c>
      <c r="S1471" s="40" t="str">
        <f t="array" ref="S1471">iferror(index(dissected_fish!$K:$K,match($A1471,dissected_fish!$A:$A,0)))</f>
        <v>N</v>
      </c>
      <c r="T1471" s="61" t="str">
        <f t="array" ref="T1471">index(fish_lab_data!O:O,match(A1471,fish_lab_data!C:C,0))</f>
        <v>KB</v>
      </c>
      <c r="U1471" s="61">
        <f t="array" ref="U1471">if(A1471="","",index(fish_lab_data!X:X,match(A1471,fish_lab_data!C:C,0)))</f>
        <v>1470</v>
      </c>
    </row>
    <row r="1472">
      <c r="A1472" t="str">
        <f>fish_lab_data!C1472</f>
        <v>U16780</v>
      </c>
      <c r="B1472" t="str">
        <f t="array" ref="B1472">iferror(index('rna-muscle'!$I:$I,match($A1472,'rna-muscle'!$A:$A,0)))</f>
        <v>BRN53M-C9</v>
      </c>
      <c r="C1472" t="str">
        <f t="array" ref="C1472">iferror(index('rna-muscle'!$L:$L,match($A1472,'rna-muscle'!$A:$A,0)))</f>
        <v>N</v>
      </c>
      <c r="D1472" t="str">
        <f t="array" ref="D1472">iferror(index('rna-gill'!$I:$I,match($A1472,'rna-gill'!$A:$A,0)))</f>
        <v>BRN53G-C9</v>
      </c>
      <c r="E1472" t="str">
        <f t="array" ref="E1472">iferror(index('rna-gill'!$L:$L,match($A1472,'rna-gill'!$A:$A,0)))</f>
        <v>N</v>
      </c>
      <c r="F1472" t="str">
        <f t="array" ref="F1472">iferror(index(fatty_acid!$G:$G,match($A1472,fatty_acid!$A:$A,0)))</f>
        <v>BFA38-7</v>
      </c>
      <c r="G1472" t="str">
        <f t="array" ref="G1472">iferror(index(fatty_acid!$J:$J,match($A1472,fatty_acid!$A:$A,0)))</f>
        <v>N</v>
      </c>
      <c r="H1472" t="str">
        <f t="array" ref="H1472">iferror(index(isotopes!$G:$G,match($A1472,isotopes!$A:$A,0)))</f>
        <v>BIS41-7</v>
      </c>
      <c r="I1472" t="str">
        <f t="array" ref="I1472">iferror(index(isotopes!$J:$J,match($A1472,isotopes!$A:$A,0)))</f>
        <v>N</v>
      </c>
      <c r="J1472" t="str">
        <f t="array" ref="J1472">iferror(index(extra_muscle!$G:$G,match($A1472,extra_muscle!$A:$A,0)))</f>
        <v>BXM40-7</v>
      </c>
      <c r="K1472" t="str">
        <f t="array" ref="K1472">iferror(index(extra_muscle!$J:$J,match($A1472,extra_muscle!$A:$A,0)))</f>
        <v>N</v>
      </c>
      <c r="L1472" s="59" t="str">
        <f t="array" ref="L1472">iferror(index(dna!$G:$G,match($A1472,dna!$A:$A,0)))</f>
        <v>BDN12-64</v>
      </c>
      <c r="M1472" s="60" t="str">
        <f t="array" ref="M1472">iferror(index(dna!$J:$J,match($A1472,dna!$A:$A,0)))</f>
        <v>N</v>
      </c>
      <c r="N1472" t="str">
        <f t="array" ref="N1472">iferror(index(stomachs!$G:$G,match($A1472,stomachs!$A:$A,0)))</f>
        <v/>
      </c>
      <c r="O1472" t="str">
        <f t="array" ref="O1472">iferror(index(stomachs!$J:$J,match($A1472,stomachs!$A:$A,0)))</f>
        <v/>
      </c>
      <c r="P1472" t="str">
        <f t="array" ref="P1472">iferror(index(sea_lice!$G:$G,match($A1472,sea_lice!$A:$A,0)))</f>
        <v/>
      </c>
      <c r="Q1472" t="str">
        <f t="array" ref="Q1472">iferror(index(sea_lice!$J:$J,match($A1472,sea_lice!$A:$A,0)))</f>
        <v/>
      </c>
      <c r="R1472" s="40" t="str">
        <f t="array" ref="R1472">iferror(index(dissected_fish!$F:$F,match($A1472,dissected_fish!$A:$A,0)))</f>
        <v>BCA112</v>
      </c>
      <c r="S1472" s="40" t="str">
        <f t="array" ref="S1472">iferror(index(dissected_fish!$K:$K,match($A1472,dissected_fish!$A:$A,0)))</f>
        <v>N</v>
      </c>
      <c r="T1472" s="61" t="str">
        <f t="array" ref="T1472">index(fish_lab_data!O:O,match(A1472,fish_lab_data!C:C,0))</f>
        <v>KB</v>
      </c>
      <c r="U1472" s="61">
        <f t="array" ref="U1472">if(A1472="","",index(fish_lab_data!X:X,match(A1472,fish_lab_data!C:C,0)))</f>
        <v>1471</v>
      </c>
    </row>
    <row r="1473">
      <c r="A1473" t="str">
        <f>fish_lab_data!C1473</f>
        <v>U16774</v>
      </c>
      <c r="B1473" t="str">
        <f t="array" ref="B1473">iferror(index('rna-muscle'!$I:$I,match($A1473,'rna-muscle'!$A:$A,0)))</f>
        <v>BRN53M-B9</v>
      </c>
      <c r="C1473" t="str">
        <f t="array" ref="C1473">iferror(index('rna-muscle'!$L:$L,match($A1473,'rna-muscle'!$A:$A,0)))</f>
        <v>N</v>
      </c>
      <c r="D1473" t="str">
        <f t="array" ref="D1473">iferror(index('rna-gill'!$I:$I,match($A1473,'rna-gill'!$A:$A,0)))</f>
        <v>BRN53G-B9</v>
      </c>
      <c r="E1473" t="str">
        <f t="array" ref="E1473">iferror(index('rna-gill'!$L:$L,match($A1473,'rna-gill'!$A:$A,0)))</f>
        <v>N</v>
      </c>
      <c r="F1473" t="str">
        <f t="array" ref="F1473">iferror(index(fatty_acid!$G:$G,match($A1473,fatty_acid!$A:$A,0)))</f>
        <v>BFA38-8</v>
      </c>
      <c r="G1473" t="str">
        <f t="array" ref="G1473">iferror(index(fatty_acid!$J:$J,match($A1473,fatty_acid!$A:$A,0)))</f>
        <v>N</v>
      </c>
      <c r="H1473" t="str">
        <f t="array" ref="H1473">iferror(index(isotopes!$G:$G,match($A1473,isotopes!$A:$A,0)))</f>
        <v>BIS41-8</v>
      </c>
      <c r="I1473" t="str">
        <f t="array" ref="I1473">iferror(index(isotopes!$J:$J,match($A1473,isotopes!$A:$A,0)))</f>
        <v>N</v>
      </c>
      <c r="J1473" t="str">
        <f t="array" ref="J1473">iferror(index(extra_muscle!$G:$G,match($A1473,extra_muscle!$A:$A,0)))</f>
        <v>BXM40-8</v>
      </c>
      <c r="K1473" t="str">
        <f t="array" ref="K1473">iferror(index(extra_muscle!$J:$J,match($A1473,extra_muscle!$A:$A,0)))</f>
        <v>N</v>
      </c>
      <c r="L1473" s="59" t="str">
        <f t="array" ref="L1473">iferror(index(dna!$G:$G,match($A1473,dna!$A:$A,0)))</f>
        <v>BDN12-65</v>
      </c>
      <c r="M1473" s="60" t="str">
        <f t="array" ref="M1473">iferror(index(dna!$J:$J,match($A1473,dna!$A:$A,0)))</f>
        <v>N</v>
      </c>
      <c r="N1473" t="str">
        <f t="array" ref="N1473">iferror(index(stomachs!$G:$G,match($A1473,stomachs!$A:$A,0)))</f>
        <v/>
      </c>
      <c r="O1473" t="str">
        <f t="array" ref="O1473">iferror(index(stomachs!$J:$J,match($A1473,stomachs!$A:$A,0)))</f>
        <v/>
      </c>
      <c r="P1473" t="str">
        <f t="array" ref="P1473">iferror(index(sea_lice!$G:$G,match($A1473,sea_lice!$A:$A,0)))</f>
        <v/>
      </c>
      <c r="Q1473" t="str">
        <f t="array" ref="Q1473">iferror(index(sea_lice!$J:$J,match($A1473,sea_lice!$A:$A,0)))</f>
        <v/>
      </c>
      <c r="R1473" s="40" t="str">
        <f t="array" ref="R1473">iferror(index(dissected_fish!$F:$F,match($A1473,dissected_fish!$A:$A,0)))</f>
        <v>BCA112</v>
      </c>
      <c r="S1473" s="40" t="str">
        <f t="array" ref="S1473">iferror(index(dissected_fish!$K:$K,match($A1473,dissected_fish!$A:$A,0)))</f>
        <v>N</v>
      </c>
      <c r="T1473" s="61" t="str">
        <f t="array" ref="T1473">index(fish_lab_data!O:O,match(A1473,fish_lab_data!C:C,0))</f>
        <v>KB</v>
      </c>
      <c r="U1473" s="61">
        <f t="array" ref="U1473">if(A1473="","",index(fish_lab_data!X:X,match(A1473,fish_lab_data!C:C,0)))</f>
        <v>1472</v>
      </c>
    </row>
    <row r="1474">
      <c r="A1474" t="str">
        <f>fish_lab_data!C1474</f>
        <v>U16773</v>
      </c>
      <c r="B1474" t="str">
        <f t="array" ref="B1474">iferror(index('rna-muscle'!$I:$I,match($A1474,'rna-muscle'!$A:$A,0)))</f>
        <v>BRN53M-A9</v>
      </c>
      <c r="C1474" t="str">
        <f t="array" ref="C1474">iferror(index('rna-muscle'!$L:$L,match($A1474,'rna-muscle'!$A:$A,0)))</f>
        <v>N</v>
      </c>
      <c r="D1474" t="str">
        <f t="array" ref="D1474">iferror(index('rna-gill'!$I:$I,match($A1474,'rna-gill'!$A:$A,0)))</f>
        <v>BRN53G-A9</v>
      </c>
      <c r="E1474" t="str">
        <f t="array" ref="E1474">iferror(index('rna-gill'!$L:$L,match($A1474,'rna-gill'!$A:$A,0)))</f>
        <v>N</v>
      </c>
      <c r="F1474" t="str">
        <f t="array" ref="F1474">iferror(index(fatty_acid!$G:$G,match($A1474,fatty_acid!$A:$A,0)))</f>
        <v>BFA38-9</v>
      </c>
      <c r="G1474" t="str">
        <f t="array" ref="G1474">iferror(index(fatty_acid!$J:$J,match($A1474,fatty_acid!$A:$A,0)))</f>
        <v>N</v>
      </c>
      <c r="H1474" t="str">
        <f t="array" ref="H1474">iferror(index(isotopes!$G:$G,match($A1474,isotopes!$A:$A,0)))</f>
        <v>BIS41-9</v>
      </c>
      <c r="I1474" t="str">
        <f t="array" ref="I1474">iferror(index(isotopes!$J:$J,match($A1474,isotopes!$A:$A,0)))</f>
        <v>N</v>
      </c>
      <c r="J1474" t="str">
        <f t="array" ref="J1474">iferror(index(extra_muscle!$G:$G,match($A1474,extra_muscle!$A:$A,0)))</f>
        <v>BXM40-9</v>
      </c>
      <c r="K1474" t="str">
        <f t="array" ref="K1474">iferror(index(extra_muscle!$J:$J,match($A1474,extra_muscle!$A:$A,0)))</f>
        <v>N</v>
      </c>
      <c r="L1474" s="59" t="str">
        <f t="array" ref="L1474">iferror(index(dna!$G:$G,match($A1474,dna!$A:$A,0)))</f>
        <v>BDN12-66</v>
      </c>
      <c r="M1474" s="60" t="str">
        <f t="array" ref="M1474">iferror(index(dna!$J:$J,match($A1474,dna!$A:$A,0)))</f>
        <v>N</v>
      </c>
      <c r="N1474" t="str">
        <f t="array" ref="N1474">iferror(index(stomachs!$G:$G,match($A1474,stomachs!$A:$A,0)))</f>
        <v/>
      </c>
      <c r="O1474" t="str">
        <f t="array" ref="O1474">iferror(index(stomachs!$J:$J,match($A1474,stomachs!$A:$A,0)))</f>
        <v/>
      </c>
      <c r="P1474" t="str">
        <f t="array" ref="P1474">iferror(index(sea_lice!$G:$G,match($A1474,sea_lice!$A:$A,0)))</f>
        <v/>
      </c>
      <c r="Q1474" t="str">
        <f t="array" ref="Q1474">iferror(index(sea_lice!$J:$J,match($A1474,sea_lice!$A:$A,0)))</f>
        <v/>
      </c>
      <c r="R1474" s="40" t="str">
        <f t="array" ref="R1474">iferror(index(dissected_fish!$F:$F,match($A1474,dissected_fish!$A:$A,0)))</f>
        <v>BCA112</v>
      </c>
      <c r="S1474" s="40" t="str">
        <f t="array" ref="S1474">iferror(index(dissected_fish!$K:$K,match($A1474,dissected_fish!$A:$A,0)))</f>
        <v>N</v>
      </c>
      <c r="T1474" s="61" t="str">
        <f t="array" ref="T1474">index(fish_lab_data!O:O,match(A1474,fish_lab_data!C:C,0))</f>
        <v>KB</v>
      </c>
      <c r="U1474" s="61">
        <f t="array" ref="U1474">if(A1474="","",index(fish_lab_data!X:X,match(A1474,fish_lab_data!C:C,0)))</f>
        <v>1473</v>
      </c>
    </row>
    <row r="1475">
      <c r="A1475" t="str">
        <f>fish_lab_data!C1475</f>
        <v>U17179</v>
      </c>
      <c r="B1475" t="str">
        <f t="array" ref="B1475">iferror(index('rna-muscle'!$I:$I,match($A1475,'rna-muscle'!$A:$A,0)))</f>
        <v>BRN55M-A5</v>
      </c>
      <c r="C1475" t="str">
        <f t="array" ref="C1475">iferror(index('rna-muscle'!$L:$L,match($A1475,'rna-muscle'!$A:$A,0)))</f>
        <v>N</v>
      </c>
      <c r="D1475" t="str">
        <f t="array" ref="D1475">iferror(index('rna-gill'!$I:$I,match($A1475,'rna-gill'!$A:$A,0)))</f>
        <v>BRN55G-A5</v>
      </c>
      <c r="E1475" t="str">
        <f t="array" ref="E1475">iferror(index('rna-gill'!$L:$L,match($A1475,'rna-gill'!$A:$A,0)))</f>
        <v>N</v>
      </c>
      <c r="F1475" t="str">
        <f t="array" ref="F1475">iferror(index(fatty_acid!$G:$G,match($A1475,fatty_acid!$A:$A,0)))</f>
        <v>BFA37-67</v>
      </c>
      <c r="G1475" t="str">
        <f t="array" ref="G1475">iferror(index(fatty_acid!$J:$J,match($A1475,fatty_acid!$A:$A,0)))</f>
        <v>N</v>
      </c>
      <c r="H1475" t="str">
        <f t="array" ref="H1475">iferror(index(isotopes!$G:$G,match($A1475,isotopes!$A:$A,0)))</f>
        <v>BIS40-66</v>
      </c>
      <c r="I1475" t="str">
        <f t="array" ref="I1475">iferror(index(isotopes!$J:$J,match($A1475,isotopes!$A:$A,0)))</f>
        <v>N</v>
      </c>
      <c r="J1475" t="str">
        <f t="array" ref="J1475">iferror(index(extra_muscle!$G:$G,match($A1475,extra_muscle!$A:$A,0)))</f>
        <v>BXM39-29</v>
      </c>
      <c r="K1475" t="str">
        <f t="array" ref="K1475">iferror(index(extra_muscle!$J:$J,match($A1475,extra_muscle!$A:$A,0)))</f>
        <v>N</v>
      </c>
      <c r="L1475" s="59" t="str">
        <f t="array" ref="L1475">iferror(index(dna!$G:$G,match($A1475,dna!$A:$A,0)))</f>
        <v>BDN11-84</v>
      </c>
      <c r="M1475" s="60" t="str">
        <f t="array" ref="M1475">iferror(index(dna!$J:$J,match($A1475,dna!$A:$A,0)))</f>
        <v>N</v>
      </c>
      <c r="N1475" t="str">
        <f t="array" ref="N1475">iferror(index(stomachs!$G:$G,match($A1475,stomachs!$A:$A,0)))</f>
        <v/>
      </c>
      <c r="O1475" t="str">
        <f t="array" ref="O1475">iferror(index(stomachs!$J:$J,match($A1475,stomachs!$A:$A,0)))</f>
        <v/>
      </c>
      <c r="P1475" t="str">
        <f t="array" ref="P1475">iferror(index(sea_lice!$G:$G,match($A1475,sea_lice!$A:$A,0)))</f>
        <v/>
      </c>
      <c r="Q1475" t="str">
        <f t="array" ref="Q1475">iferror(index(sea_lice!$J:$J,match($A1475,sea_lice!$A:$A,0)))</f>
        <v/>
      </c>
      <c r="R1475" s="40" t="str">
        <f t="array" ref="R1475">iferror(index(dissected_fish!$F:$F,match($A1475,dissected_fish!$A:$A,0)))</f>
        <v>BCA112</v>
      </c>
      <c r="S1475" s="40" t="str">
        <f t="array" ref="S1475">iferror(index(dissected_fish!$K:$K,match($A1475,dissected_fish!$A:$A,0)))</f>
        <v>N</v>
      </c>
      <c r="T1475" s="61" t="str">
        <f t="array" ref="T1475">index(fish_lab_data!O:O,match(A1475,fish_lab_data!C:C,0))</f>
        <v>JG</v>
      </c>
      <c r="U1475" s="61">
        <f t="array" ref="U1475">if(A1475="","",index(fish_lab_data!X:X,match(A1475,fish_lab_data!C:C,0)))</f>
        <v>1474</v>
      </c>
    </row>
    <row r="1476">
      <c r="A1476" t="str">
        <f>fish_lab_data!C1476</f>
        <v>U17178</v>
      </c>
      <c r="B1476" t="str">
        <f t="array" ref="B1476">iferror(index('rna-muscle'!$I:$I,match($A1476,'rna-muscle'!$A:$A,0)))</f>
        <v>BRN55M-H9</v>
      </c>
      <c r="C1476" t="str">
        <f t="array" ref="C1476">iferror(index('rna-muscle'!$L:$L,match($A1476,'rna-muscle'!$A:$A,0)))</f>
        <v>N</v>
      </c>
      <c r="D1476" t="str">
        <f t="array" ref="D1476">iferror(index('rna-gill'!$I:$I,match($A1476,'rna-gill'!$A:$A,0)))</f>
        <v>BRN55G-H9</v>
      </c>
      <c r="E1476" t="str">
        <f t="array" ref="E1476">iferror(index('rna-gill'!$L:$L,match($A1476,'rna-gill'!$A:$A,0)))</f>
        <v>N</v>
      </c>
      <c r="F1476" t="str">
        <f t="array" ref="F1476">iferror(index(fatty_acid!$G:$G,match($A1476,fatty_acid!$A:$A,0)))</f>
        <v>BFA37-68</v>
      </c>
      <c r="G1476" t="str">
        <f t="array" ref="G1476">iferror(index(fatty_acid!$J:$J,match($A1476,fatty_acid!$A:$A,0)))</f>
        <v>N</v>
      </c>
      <c r="H1476" t="str">
        <f t="array" ref="H1476">iferror(index(isotopes!$G:$G,match($A1476,isotopes!$A:$A,0)))</f>
        <v>BIS40-67</v>
      </c>
      <c r="I1476" t="str">
        <f t="array" ref="I1476">iferror(index(isotopes!$J:$J,match($A1476,isotopes!$A:$A,0)))</f>
        <v>N</v>
      </c>
      <c r="J1476" t="str">
        <f t="array" ref="J1476">iferror(index(extra_muscle!$G:$G,match($A1476,extra_muscle!$A:$A,0)))</f>
        <v>BXM39-30</v>
      </c>
      <c r="K1476" t="str">
        <f t="array" ref="K1476">iferror(index(extra_muscle!$J:$J,match($A1476,extra_muscle!$A:$A,0)))</f>
        <v>N</v>
      </c>
      <c r="L1476" s="59" t="str">
        <f t="array" ref="L1476">iferror(index(dna!$G:$G,match($A1476,dna!$A:$A,0)))</f>
        <v>BDN11-85</v>
      </c>
      <c r="M1476" s="60" t="str">
        <f t="array" ref="M1476">iferror(index(dna!$J:$J,match($A1476,dna!$A:$A,0)))</f>
        <v>N</v>
      </c>
      <c r="N1476" t="str">
        <f t="array" ref="N1476">iferror(index(stomachs!$G:$G,match($A1476,stomachs!$A:$A,0)))</f>
        <v/>
      </c>
      <c r="O1476" t="str">
        <f t="array" ref="O1476">iferror(index(stomachs!$J:$J,match($A1476,stomachs!$A:$A,0)))</f>
        <v/>
      </c>
      <c r="P1476" t="str">
        <f t="array" ref="P1476">iferror(index(sea_lice!$G:$G,match($A1476,sea_lice!$A:$A,0)))</f>
        <v/>
      </c>
      <c r="Q1476" t="str">
        <f t="array" ref="Q1476">iferror(index(sea_lice!$J:$J,match($A1476,sea_lice!$A:$A,0)))</f>
        <v/>
      </c>
      <c r="R1476" s="40" t="str">
        <f t="array" ref="R1476">iferror(index(dissected_fish!$F:$F,match($A1476,dissected_fish!$A:$A,0)))</f>
        <v>BCA112</v>
      </c>
      <c r="S1476" s="40" t="str">
        <f t="array" ref="S1476">iferror(index(dissected_fish!$K:$K,match($A1476,dissected_fish!$A:$A,0)))</f>
        <v>N</v>
      </c>
      <c r="T1476" s="61" t="str">
        <f t="array" ref="T1476">index(fish_lab_data!O:O,match(A1476,fish_lab_data!C:C,0))</f>
        <v>JG</v>
      </c>
      <c r="U1476" s="61">
        <f t="array" ref="U1476">if(A1476="","",index(fish_lab_data!X:X,match(A1476,fish_lab_data!C:C,0)))</f>
        <v>1475</v>
      </c>
    </row>
    <row r="1477">
      <c r="A1477" t="str">
        <f>fish_lab_data!C1477</f>
        <v>U17171</v>
      </c>
      <c r="B1477" t="str">
        <f t="array" ref="B1477">iferror(index('rna-muscle'!$I:$I,match($A1477,'rna-muscle'!$A:$A,0)))</f>
        <v>BRN55M-G9</v>
      </c>
      <c r="C1477" t="str">
        <f t="array" ref="C1477">iferror(index('rna-muscle'!$L:$L,match($A1477,'rna-muscle'!$A:$A,0)))</f>
        <v>N</v>
      </c>
      <c r="D1477" t="str">
        <f t="array" ref="D1477">iferror(index('rna-gill'!$I:$I,match($A1477,'rna-gill'!$A:$A,0)))</f>
        <v>BRN55G-G9</v>
      </c>
      <c r="E1477" t="str">
        <f t="array" ref="E1477">iferror(index('rna-gill'!$L:$L,match($A1477,'rna-gill'!$A:$A,0)))</f>
        <v>N</v>
      </c>
      <c r="F1477" t="str">
        <f t="array" ref="F1477">iferror(index(fatty_acid!$G:$G,match($A1477,fatty_acid!$A:$A,0)))</f>
        <v>BFA37-69</v>
      </c>
      <c r="G1477" t="str">
        <f t="array" ref="G1477">iferror(index(fatty_acid!$J:$J,match($A1477,fatty_acid!$A:$A,0)))</f>
        <v>N</v>
      </c>
      <c r="H1477" t="str">
        <f t="array" ref="H1477">iferror(index(isotopes!$G:$G,match($A1477,isotopes!$A:$A,0)))</f>
        <v>BIS40-68</v>
      </c>
      <c r="I1477" t="str">
        <f t="array" ref="I1477">iferror(index(isotopes!$J:$J,match($A1477,isotopes!$A:$A,0)))</f>
        <v>N</v>
      </c>
      <c r="J1477" t="str">
        <f t="array" ref="J1477">iferror(index(extra_muscle!$G:$G,match($A1477,extra_muscle!$A:$A,0)))</f>
        <v>BXM39-31</v>
      </c>
      <c r="K1477" t="str">
        <f t="array" ref="K1477">iferror(index(extra_muscle!$J:$J,match($A1477,extra_muscle!$A:$A,0)))</f>
        <v>N</v>
      </c>
      <c r="L1477" s="59" t="str">
        <f t="array" ref="L1477">iferror(index(dna!$G:$G,match($A1477,dna!$A:$A,0)))</f>
        <v>BDN11-86</v>
      </c>
      <c r="M1477" s="60" t="str">
        <f t="array" ref="M1477">iferror(index(dna!$J:$J,match($A1477,dna!$A:$A,0)))</f>
        <v>N</v>
      </c>
      <c r="N1477" t="str">
        <f t="array" ref="N1477">iferror(index(stomachs!$G:$G,match($A1477,stomachs!$A:$A,0)))</f>
        <v/>
      </c>
      <c r="O1477" t="str">
        <f t="array" ref="O1477">iferror(index(stomachs!$J:$J,match($A1477,stomachs!$A:$A,0)))</f>
        <v/>
      </c>
      <c r="P1477" t="str">
        <f t="array" ref="P1477">iferror(index(sea_lice!$G:$G,match($A1477,sea_lice!$A:$A,0)))</f>
        <v/>
      </c>
      <c r="Q1477" t="str">
        <f t="array" ref="Q1477">iferror(index(sea_lice!$J:$J,match($A1477,sea_lice!$A:$A,0)))</f>
        <v/>
      </c>
      <c r="R1477" s="40" t="str">
        <f t="array" ref="R1477">iferror(index(dissected_fish!$F:$F,match($A1477,dissected_fish!$A:$A,0)))</f>
        <v>BCA112</v>
      </c>
      <c r="S1477" s="40" t="str">
        <f t="array" ref="S1477">iferror(index(dissected_fish!$K:$K,match($A1477,dissected_fish!$A:$A,0)))</f>
        <v>N</v>
      </c>
      <c r="T1477" s="61" t="str">
        <f t="array" ref="T1477">index(fish_lab_data!O:O,match(A1477,fish_lab_data!C:C,0))</f>
        <v>JG</v>
      </c>
      <c r="U1477" s="61">
        <f t="array" ref="U1477">if(A1477="","",index(fish_lab_data!X:X,match(A1477,fish_lab_data!C:C,0)))</f>
        <v>1476</v>
      </c>
    </row>
    <row r="1478">
      <c r="A1478" t="str">
        <f>fish_lab_data!C1478</f>
        <v>U17175</v>
      </c>
      <c r="B1478" t="str">
        <f t="array" ref="B1478">iferror(index('rna-muscle'!$I:$I,match($A1478,'rna-muscle'!$A:$A,0)))</f>
        <v>BRN55M-F9</v>
      </c>
      <c r="C1478" t="str">
        <f t="array" ref="C1478">iferror(index('rna-muscle'!$L:$L,match($A1478,'rna-muscle'!$A:$A,0)))</f>
        <v>N</v>
      </c>
      <c r="D1478" t="str">
        <f t="array" ref="D1478">iferror(index('rna-gill'!$I:$I,match($A1478,'rna-gill'!$A:$A,0)))</f>
        <v>BRN55G-F9</v>
      </c>
      <c r="E1478" t="str">
        <f t="array" ref="E1478">iferror(index('rna-gill'!$L:$L,match($A1478,'rna-gill'!$A:$A,0)))</f>
        <v>N</v>
      </c>
      <c r="F1478" t="str">
        <f t="array" ref="F1478">iferror(index(fatty_acid!$G:$G,match($A1478,fatty_acid!$A:$A,0)))</f>
        <v>BFA37-70</v>
      </c>
      <c r="G1478" t="str">
        <f t="array" ref="G1478">iferror(index(fatty_acid!$J:$J,match($A1478,fatty_acid!$A:$A,0)))</f>
        <v>N</v>
      </c>
      <c r="H1478" t="str">
        <f t="array" ref="H1478">iferror(index(isotopes!$G:$G,match($A1478,isotopes!$A:$A,0)))</f>
        <v>BIS40-69</v>
      </c>
      <c r="I1478" t="str">
        <f t="array" ref="I1478">iferror(index(isotopes!$J:$J,match($A1478,isotopes!$A:$A,0)))</f>
        <v>N</v>
      </c>
      <c r="J1478" t="str">
        <f t="array" ref="J1478">iferror(index(extra_muscle!$G:$G,match($A1478,extra_muscle!$A:$A,0)))</f>
        <v>BXM39-32</v>
      </c>
      <c r="K1478" t="str">
        <f t="array" ref="K1478">iferror(index(extra_muscle!$J:$J,match($A1478,extra_muscle!$A:$A,0)))</f>
        <v>N</v>
      </c>
      <c r="L1478" s="59" t="str">
        <f t="array" ref="L1478">iferror(index(dna!$G:$G,match($A1478,dna!$A:$A,0)))</f>
        <v>BDN11-87</v>
      </c>
      <c r="M1478" s="60" t="str">
        <f t="array" ref="M1478">iferror(index(dna!$J:$J,match($A1478,dna!$A:$A,0)))</f>
        <v>N</v>
      </c>
      <c r="N1478" t="str">
        <f t="array" ref="N1478">iferror(index(stomachs!$G:$G,match($A1478,stomachs!$A:$A,0)))</f>
        <v/>
      </c>
      <c r="O1478" t="str">
        <f t="array" ref="O1478">iferror(index(stomachs!$J:$J,match($A1478,stomachs!$A:$A,0)))</f>
        <v/>
      </c>
      <c r="P1478" t="str">
        <f t="array" ref="P1478">iferror(index(sea_lice!$G:$G,match($A1478,sea_lice!$A:$A,0)))</f>
        <v/>
      </c>
      <c r="Q1478" t="str">
        <f t="array" ref="Q1478">iferror(index(sea_lice!$J:$J,match($A1478,sea_lice!$A:$A,0)))</f>
        <v/>
      </c>
      <c r="R1478" s="40" t="str">
        <f t="array" ref="R1478">iferror(index(dissected_fish!$F:$F,match($A1478,dissected_fish!$A:$A,0)))</f>
        <v>BCA112</v>
      </c>
      <c r="S1478" s="40" t="str">
        <f t="array" ref="S1478">iferror(index(dissected_fish!$K:$K,match($A1478,dissected_fish!$A:$A,0)))</f>
        <v>N</v>
      </c>
      <c r="T1478" s="61" t="str">
        <f t="array" ref="T1478">index(fish_lab_data!O:O,match(A1478,fish_lab_data!C:C,0))</f>
        <v>JG</v>
      </c>
      <c r="U1478" s="61">
        <f t="array" ref="U1478">if(A1478="","",index(fish_lab_data!X:X,match(A1478,fish_lab_data!C:C,0)))</f>
        <v>1477</v>
      </c>
    </row>
    <row r="1479">
      <c r="A1479" t="str">
        <f>fish_lab_data!C1479</f>
        <v>U17174</v>
      </c>
      <c r="B1479" t="str">
        <f t="array" ref="B1479">iferror(index('rna-muscle'!$I:$I,match($A1479,'rna-muscle'!$A:$A,0)))</f>
        <v>BRN55M-E9</v>
      </c>
      <c r="C1479" t="str">
        <f t="array" ref="C1479">iferror(index('rna-muscle'!$L:$L,match($A1479,'rna-muscle'!$A:$A,0)))</f>
        <v>N</v>
      </c>
      <c r="D1479" t="str">
        <f t="array" ref="D1479">iferror(index('rna-gill'!$I:$I,match($A1479,'rna-gill'!$A:$A,0)))</f>
        <v>BRN55G-E9</v>
      </c>
      <c r="E1479" t="str">
        <f t="array" ref="E1479">iferror(index('rna-gill'!$L:$L,match($A1479,'rna-gill'!$A:$A,0)))</f>
        <v>N</v>
      </c>
      <c r="F1479" t="str">
        <f t="array" ref="F1479">iferror(index(fatty_acid!$G:$G,match($A1479,fatty_acid!$A:$A,0)))</f>
        <v>BFA37-71</v>
      </c>
      <c r="G1479" t="str">
        <f t="array" ref="G1479">iferror(index(fatty_acid!$J:$J,match($A1479,fatty_acid!$A:$A,0)))</f>
        <v>N</v>
      </c>
      <c r="H1479" t="str">
        <f t="array" ref="H1479">iferror(index(isotopes!$G:$G,match($A1479,isotopes!$A:$A,0)))</f>
        <v>BIS40-70</v>
      </c>
      <c r="I1479" t="str">
        <f t="array" ref="I1479">iferror(index(isotopes!$J:$J,match($A1479,isotopes!$A:$A,0)))</f>
        <v>N</v>
      </c>
      <c r="J1479" t="str">
        <f t="array" ref="J1479">iferror(index(extra_muscle!$G:$G,match($A1479,extra_muscle!$A:$A,0)))</f>
        <v>BXM39-33</v>
      </c>
      <c r="K1479" t="str">
        <f t="array" ref="K1479">iferror(index(extra_muscle!$J:$J,match($A1479,extra_muscle!$A:$A,0)))</f>
        <v>N</v>
      </c>
      <c r="L1479" s="59" t="str">
        <f t="array" ref="L1479">iferror(index(dna!$G:$G,match($A1479,dna!$A:$A,0)))</f>
        <v>BDN11-88</v>
      </c>
      <c r="M1479" s="60" t="str">
        <f t="array" ref="M1479">iferror(index(dna!$J:$J,match($A1479,dna!$A:$A,0)))</f>
        <v>N</v>
      </c>
      <c r="N1479" t="str">
        <f t="array" ref="N1479">iferror(index(stomachs!$G:$G,match($A1479,stomachs!$A:$A,0)))</f>
        <v/>
      </c>
      <c r="O1479" t="str">
        <f t="array" ref="O1479">iferror(index(stomachs!$J:$J,match($A1479,stomachs!$A:$A,0)))</f>
        <v/>
      </c>
      <c r="P1479" t="str">
        <f t="array" ref="P1479">iferror(index(sea_lice!$G:$G,match($A1479,sea_lice!$A:$A,0)))</f>
        <v/>
      </c>
      <c r="Q1479" t="str">
        <f t="array" ref="Q1479">iferror(index(sea_lice!$J:$J,match($A1479,sea_lice!$A:$A,0)))</f>
        <v/>
      </c>
      <c r="R1479" s="40" t="str">
        <f t="array" ref="R1479">iferror(index(dissected_fish!$F:$F,match($A1479,dissected_fish!$A:$A,0)))</f>
        <v>BCA112</v>
      </c>
      <c r="S1479" s="40" t="str">
        <f t="array" ref="S1479">iferror(index(dissected_fish!$K:$K,match($A1479,dissected_fish!$A:$A,0)))</f>
        <v>N</v>
      </c>
      <c r="T1479" s="61" t="str">
        <f t="array" ref="T1479">index(fish_lab_data!O:O,match(A1479,fish_lab_data!C:C,0))</f>
        <v>JG</v>
      </c>
      <c r="U1479" s="61">
        <f t="array" ref="U1479">if(A1479="","",index(fish_lab_data!X:X,match(A1479,fish_lab_data!C:C,0)))</f>
        <v>1478</v>
      </c>
    </row>
    <row r="1480">
      <c r="A1480" t="str">
        <f>fish_lab_data!C1480</f>
        <v>U17177</v>
      </c>
      <c r="B1480" t="str">
        <f t="array" ref="B1480">iferror(index('rna-muscle'!$I:$I,match($A1480,'rna-muscle'!$A:$A,0)))</f>
        <v>BRN55M-D9</v>
      </c>
      <c r="C1480" t="str">
        <f t="array" ref="C1480">iferror(index('rna-muscle'!$L:$L,match($A1480,'rna-muscle'!$A:$A,0)))</f>
        <v>N</v>
      </c>
      <c r="D1480" t="str">
        <f t="array" ref="D1480">iferror(index('rna-gill'!$I:$I,match($A1480,'rna-gill'!$A:$A,0)))</f>
        <v>BRN55G-D9</v>
      </c>
      <c r="E1480" t="str">
        <f t="array" ref="E1480">iferror(index('rna-gill'!$L:$L,match($A1480,'rna-gill'!$A:$A,0)))</f>
        <v>N</v>
      </c>
      <c r="F1480" t="str">
        <f t="array" ref="F1480">iferror(index(fatty_acid!$G:$G,match($A1480,fatty_acid!$A:$A,0)))</f>
        <v>BFA37-72</v>
      </c>
      <c r="G1480" t="str">
        <f t="array" ref="G1480">iferror(index(fatty_acid!$J:$J,match($A1480,fatty_acid!$A:$A,0)))</f>
        <v>N</v>
      </c>
      <c r="H1480" t="str">
        <f t="array" ref="H1480">iferror(index(isotopes!$G:$G,match($A1480,isotopes!$A:$A,0)))</f>
        <v>BIS40-71</v>
      </c>
      <c r="I1480" t="str">
        <f t="array" ref="I1480">iferror(index(isotopes!$J:$J,match($A1480,isotopes!$A:$A,0)))</f>
        <v>N</v>
      </c>
      <c r="J1480" t="str">
        <f t="array" ref="J1480">iferror(index(extra_muscle!$G:$G,match($A1480,extra_muscle!$A:$A,0)))</f>
        <v>BXM39-34</v>
      </c>
      <c r="K1480" t="str">
        <f t="array" ref="K1480">iferror(index(extra_muscle!$J:$J,match($A1480,extra_muscle!$A:$A,0)))</f>
        <v>N</v>
      </c>
      <c r="L1480" s="59" t="str">
        <f t="array" ref="L1480">iferror(index(dna!$G:$G,match($A1480,dna!$A:$A,0)))</f>
        <v>BDN11-89</v>
      </c>
      <c r="M1480" s="60" t="str">
        <f t="array" ref="M1480">iferror(index(dna!$J:$J,match($A1480,dna!$A:$A,0)))</f>
        <v>N</v>
      </c>
      <c r="N1480" t="str">
        <f t="array" ref="N1480">iferror(index(stomachs!$G:$G,match($A1480,stomachs!$A:$A,0)))</f>
        <v/>
      </c>
      <c r="O1480" t="str">
        <f t="array" ref="O1480">iferror(index(stomachs!$J:$J,match($A1480,stomachs!$A:$A,0)))</f>
        <v/>
      </c>
      <c r="P1480" t="str">
        <f t="array" ref="P1480">iferror(index(sea_lice!$G:$G,match($A1480,sea_lice!$A:$A,0)))</f>
        <v/>
      </c>
      <c r="Q1480" t="str">
        <f t="array" ref="Q1480">iferror(index(sea_lice!$J:$J,match($A1480,sea_lice!$A:$A,0)))</f>
        <v/>
      </c>
      <c r="R1480" s="40" t="str">
        <f t="array" ref="R1480">iferror(index(dissected_fish!$F:$F,match($A1480,dissected_fish!$A:$A,0)))</f>
        <v>BCA112</v>
      </c>
      <c r="S1480" s="40" t="str">
        <f t="array" ref="S1480">iferror(index(dissected_fish!$K:$K,match($A1480,dissected_fish!$A:$A,0)))</f>
        <v>N</v>
      </c>
      <c r="T1480" s="61" t="str">
        <f t="array" ref="T1480">index(fish_lab_data!O:O,match(A1480,fish_lab_data!C:C,0))</f>
        <v>JG</v>
      </c>
      <c r="U1480" s="61">
        <f t="array" ref="U1480">if(A1480="","",index(fish_lab_data!X:X,match(A1480,fish_lab_data!C:C,0)))</f>
        <v>1479</v>
      </c>
    </row>
    <row r="1481">
      <c r="A1481" t="str">
        <f>fish_lab_data!C1481</f>
        <v>U17176</v>
      </c>
      <c r="B1481" t="str">
        <f t="array" ref="B1481">iferror(index('rna-muscle'!$I:$I,match($A1481,'rna-muscle'!$A:$A,0)))</f>
        <v>BRN55M-C9</v>
      </c>
      <c r="C1481" t="str">
        <f t="array" ref="C1481">iferror(index('rna-muscle'!$L:$L,match($A1481,'rna-muscle'!$A:$A,0)))</f>
        <v>N</v>
      </c>
      <c r="D1481" t="str">
        <f t="array" ref="D1481">iferror(index('rna-gill'!$I:$I,match($A1481,'rna-gill'!$A:$A,0)))</f>
        <v>BRN55G-C9</v>
      </c>
      <c r="E1481" t="str">
        <f t="array" ref="E1481">iferror(index('rna-gill'!$L:$L,match($A1481,'rna-gill'!$A:$A,0)))</f>
        <v>N</v>
      </c>
      <c r="F1481" t="str">
        <f t="array" ref="F1481">iferror(index(fatty_acid!$G:$G,match($A1481,fatty_acid!$A:$A,0)))</f>
        <v>BFA37-73</v>
      </c>
      <c r="G1481" t="str">
        <f t="array" ref="G1481">iferror(index(fatty_acid!$J:$J,match($A1481,fatty_acid!$A:$A,0)))</f>
        <v>N</v>
      </c>
      <c r="H1481" t="str">
        <f t="array" ref="H1481">iferror(index(isotopes!$G:$G,match($A1481,isotopes!$A:$A,0)))</f>
        <v>BIS40-72</v>
      </c>
      <c r="I1481" t="str">
        <f t="array" ref="I1481">iferror(index(isotopes!$J:$J,match($A1481,isotopes!$A:$A,0)))</f>
        <v>N</v>
      </c>
      <c r="J1481" t="str">
        <f t="array" ref="J1481">iferror(index(extra_muscle!$G:$G,match($A1481,extra_muscle!$A:$A,0)))</f>
        <v>BXM39-35</v>
      </c>
      <c r="K1481" t="str">
        <f t="array" ref="K1481">iferror(index(extra_muscle!$J:$J,match($A1481,extra_muscle!$A:$A,0)))</f>
        <v>N</v>
      </c>
      <c r="L1481" s="59" t="str">
        <f t="array" ref="L1481">iferror(index(dna!$G:$G,match($A1481,dna!$A:$A,0)))</f>
        <v>BDN11-90</v>
      </c>
      <c r="M1481" s="60" t="str">
        <f t="array" ref="M1481">iferror(index(dna!$J:$J,match($A1481,dna!$A:$A,0)))</f>
        <v>N</v>
      </c>
      <c r="N1481" t="str">
        <f t="array" ref="N1481">iferror(index(stomachs!$G:$G,match($A1481,stomachs!$A:$A,0)))</f>
        <v/>
      </c>
      <c r="O1481" t="str">
        <f t="array" ref="O1481">iferror(index(stomachs!$J:$J,match($A1481,stomachs!$A:$A,0)))</f>
        <v/>
      </c>
      <c r="P1481" t="str">
        <f t="array" ref="P1481">iferror(index(sea_lice!$G:$G,match($A1481,sea_lice!$A:$A,0)))</f>
        <v/>
      </c>
      <c r="Q1481" t="str">
        <f t="array" ref="Q1481">iferror(index(sea_lice!$J:$J,match($A1481,sea_lice!$A:$A,0)))</f>
        <v/>
      </c>
      <c r="R1481" s="40" t="str">
        <f t="array" ref="R1481">iferror(index(dissected_fish!$F:$F,match($A1481,dissected_fish!$A:$A,0)))</f>
        <v>BCA112</v>
      </c>
      <c r="S1481" s="40" t="str">
        <f t="array" ref="S1481">iferror(index(dissected_fish!$K:$K,match($A1481,dissected_fish!$A:$A,0)))</f>
        <v>N</v>
      </c>
      <c r="T1481" s="61" t="str">
        <f t="array" ref="T1481">index(fish_lab_data!O:O,match(A1481,fish_lab_data!C:C,0))</f>
        <v>JG</v>
      </c>
      <c r="U1481" s="61">
        <f t="array" ref="U1481">if(A1481="","",index(fish_lab_data!X:X,match(A1481,fish_lab_data!C:C,0)))</f>
        <v>1480</v>
      </c>
    </row>
    <row r="1482">
      <c r="A1482" t="str">
        <f>fish_lab_data!C1482</f>
        <v>U17172</v>
      </c>
      <c r="B1482" t="str">
        <f t="array" ref="B1482">iferror(index('rna-muscle'!$I:$I,match($A1482,'rna-muscle'!$A:$A,0)))</f>
        <v>BRN55M-B9</v>
      </c>
      <c r="C1482" t="str">
        <f t="array" ref="C1482">iferror(index('rna-muscle'!$L:$L,match($A1482,'rna-muscle'!$A:$A,0)))</f>
        <v>N</v>
      </c>
      <c r="D1482" t="str">
        <f t="array" ref="D1482">iferror(index('rna-gill'!$I:$I,match($A1482,'rna-gill'!$A:$A,0)))</f>
        <v>BRN55G-B9</v>
      </c>
      <c r="E1482" t="str">
        <f t="array" ref="E1482">iferror(index('rna-gill'!$L:$L,match($A1482,'rna-gill'!$A:$A,0)))</f>
        <v>N</v>
      </c>
      <c r="F1482" t="str">
        <f t="array" ref="F1482">iferror(index(fatty_acid!$G:$G,match($A1482,fatty_acid!$A:$A,0)))</f>
        <v>BFA37-74</v>
      </c>
      <c r="G1482" t="str">
        <f t="array" ref="G1482">iferror(index(fatty_acid!$J:$J,match($A1482,fatty_acid!$A:$A,0)))</f>
        <v>N</v>
      </c>
      <c r="H1482" t="str">
        <f t="array" ref="H1482">iferror(index(isotopes!$G:$G,match($A1482,isotopes!$A:$A,0)))</f>
        <v>BIS40-73</v>
      </c>
      <c r="I1482" t="str">
        <f t="array" ref="I1482">iferror(index(isotopes!$J:$J,match($A1482,isotopes!$A:$A,0)))</f>
        <v>N</v>
      </c>
      <c r="J1482" t="str">
        <f t="array" ref="J1482">iferror(index(extra_muscle!$G:$G,match($A1482,extra_muscle!$A:$A,0)))</f>
        <v>BXM39-36</v>
      </c>
      <c r="K1482" t="str">
        <f t="array" ref="K1482">iferror(index(extra_muscle!$J:$J,match($A1482,extra_muscle!$A:$A,0)))</f>
        <v>N</v>
      </c>
      <c r="L1482" s="59" t="str">
        <f t="array" ref="L1482">iferror(index(dna!$G:$G,match($A1482,dna!$A:$A,0)))</f>
        <v>BDN11-91</v>
      </c>
      <c r="M1482" s="60" t="str">
        <f t="array" ref="M1482">iferror(index(dna!$J:$J,match($A1482,dna!$A:$A,0)))</f>
        <v>N</v>
      </c>
      <c r="N1482" t="str">
        <f t="array" ref="N1482">iferror(index(stomachs!$G:$G,match($A1482,stomachs!$A:$A,0)))</f>
        <v/>
      </c>
      <c r="O1482" t="str">
        <f t="array" ref="O1482">iferror(index(stomachs!$J:$J,match($A1482,stomachs!$A:$A,0)))</f>
        <v/>
      </c>
      <c r="P1482" t="str">
        <f t="array" ref="P1482">iferror(index(sea_lice!$G:$G,match($A1482,sea_lice!$A:$A,0)))</f>
        <v/>
      </c>
      <c r="Q1482" t="str">
        <f t="array" ref="Q1482">iferror(index(sea_lice!$J:$J,match($A1482,sea_lice!$A:$A,0)))</f>
        <v/>
      </c>
      <c r="R1482" s="40" t="str">
        <f t="array" ref="R1482">iferror(index(dissected_fish!$F:$F,match($A1482,dissected_fish!$A:$A,0)))</f>
        <v>BCA112</v>
      </c>
      <c r="S1482" s="40" t="str">
        <f t="array" ref="S1482">iferror(index(dissected_fish!$K:$K,match($A1482,dissected_fish!$A:$A,0)))</f>
        <v>N</v>
      </c>
      <c r="T1482" s="61" t="str">
        <f t="array" ref="T1482">index(fish_lab_data!O:O,match(A1482,fish_lab_data!C:C,0))</f>
        <v>JG</v>
      </c>
      <c r="U1482" s="61">
        <f t="array" ref="U1482">if(A1482="","",index(fish_lab_data!X:X,match(A1482,fish_lab_data!C:C,0)))</f>
        <v>1481</v>
      </c>
    </row>
    <row r="1483">
      <c r="A1483" t="str">
        <f>fish_lab_data!C1483</f>
        <v>U17173</v>
      </c>
      <c r="B1483" t="str">
        <f t="array" ref="B1483">iferror(index('rna-muscle'!$I:$I,match($A1483,'rna-muscle'!$A:$A,0)))</f>
        <v>BRN55M-A9</v>
      </c>
      <c r="C1483" t="str">
        <f t="array" ref="C1483">iferror(index('rna-muscle'!$L:$L,match($A1483,'rna-muscle'!$A:$A,0)))</f>
        <v>N</v>
      </c>
      <c r="D1483" t="str">
        <f t="array" ref="D1483">iferror(index('rna-gill'!$I:$I,match($A1483,'rna-gill'!$A:$A,0)))</f>
        <v>BRN55G-A9</v>
      </c>
      <c r="E1483" t="str">
        <f t="array" ref="E1483">iferror(index('rna-gill'!$L:$L,match($A1483,'rna-gill'!$A:$A,0)))</f>
        <v>N</v>
      </c>
      <c r="F1483" t="str">
        <f t="array" ref="F1483">iferror(index(fatty_acid!$G:$G,match($A1483,fatty_acid!$A:$A,0)))</f>
        <v>BFA37-75</v>
      </c>
      <c r="G1483" t="str">
        <f t="array" ref="G1483">iferror(index(fatty_acid!$J:$J,match($A1483,fatty_acid!$A:$A,0)))</f>
        <v>N</v>
      </c>
      <c r="H1483" t="str">
        <f t="array" ref="H1483">iferror(index(isotopes!$G:$G,match($A1483,isotopes!$A:$A,0)))</f>
        <v>BIS40-74</v>
      </c>
      <c r="I1483" t="str">
        <f t="array" ref="I1483">iferror(index(isotopes!$J:$J,match($A1483,isotopes!$A:$A,0)))</f>
        <v>N</v>
      </c>
      <c r="J1483" t="str">
        <f t="array" ref="J1483">iferror(index(extra_muscle!$G:$G,match($A1483,extra_muscle!$A:$A,0)))</f>
        <v>BXM39-37</v>
      </c>
      <c r="K1483" t="str">
        <f t="array" ref="K1483">iferror(index(extra_muscle!$J:$J,match($A1483,extra_muscle!$A:$A,0)))</f>
        <v>N</v>
      </c>
      <c r="L1483" s="59" t="str">
        <f t="array" ref="L1483">iferror(index(dna!$G:$G,match($A1483,dna!$A:$A,0)))</f>
        <v>BDN11-92</v>
      </c>
      <c r="M1483" s="60" t="str">
        <f t="array" ref="M1483">iferror(index(dna!$J:$J,match($A1483,dna!$A:$A,0)))</f>
        <v>N</v>
      </c>
      <c r="N1483" t="str">
        <f t="array" ref="N1483">iferror(index(stomachs!$G:$G,match($A1483,stomachs!$A:$A,0)))</f>
        <v/>
      </c>
      <c r="O1483" t="str">
        <f t="array" ref="O1483">iferror(index(stomachs!$J:$J,match($A1483,stomachs!$A:$A,0)))</f>
        <v/>
      </c>
      <c r="P1483" t="str">
        <f t="array" ref="P1483">iferror(index(sea_lice!$G:$G,match($A1483,sea_lice!$A:$A,0)))</f>
        <v/>
      </c>
      <c r="Q1483" t="str">
        <f t="array" ref="Q1483">iferror(index(sea_lice!$J:$J,match($A1483,sea_lice!$A:$A,0)))</f>
        <v/>
      </c>
      <c r="R1483" s="40" t="str">
        <f t="array" ref="R1483">iferror(index(dissected_fish!$F:$F,match($A1483,dissected_fish!$A:$A,0)))</f>
        <v>BCA112</v>
      </c>
      <c r="S1483" s="40" t="str">
        <f t="array" ref="S1483">iferror(index(dissected_fish!$K:$K,match($A1483,dissected_fish!$A:$A,0)))</f>
        <v>N</v>
      </c>
      <c r="T1483" s="61" t="str">
        <f t="array" ref="T1483">index(fish_lab_data!O:O,match(A1483,fish_lab_data!C:C,0))</f>
        <v>JG</v>
      </c>
      <c r="U1483" s="61">
        <f t="array" ref="U1483">if(A1483="","",index(fish_lab_data!X:X,match(A1483,fish_lab_data!C:C,0)))</f>
        <v>1482</v>
      </c>
    </row>
    <row r="1484">
      <c r="A1484" t="str">
        <f>fish_lab_data!C1484</f>
        <v>U16595</v>
      </c>
      <c r="B1484" t="str">
        <f t="array" ref="B1484">iferror(index('rna-muscle'!$I:$I,match($A1484,'rna-muscle'!$A:$A,0)))</f>
        <v>BRN55M-H10</v>
      </c>
      <c r="C1484" t="str">
        <f t="array" ref="C1484">iferror(index('rna-muscle'!$L:$L,match($A1484,'rna-muscle'!$A:$A,0)))</f>
        <v>N</v>
      </c>
      <c r="D1484" t="str">
        <f t="array" ref="D1484">iferror(index('rna-gill'!$I:$I,match($A1484,'rna-gill'!$A:$A,0)))</f>
        <v>BRN55G-H10</v>
      </c>
      <c r="E1484" t="str">
        <f t="array" ref="E1484">iferror(index('rna-gill'!$L:$L,match($A1484,'rna-gill'!$A:$A,0)))</f>
        <v>N</v>
      </c>
      <c r="F1484" t="str">
        <f t="array" ref="F1484">iferror(index(fatty_acid!$G:$G,match($A1484,fatty_acid!$A:$A,0)))</f>
        <v>BFA37-76</v>
      </c>
      <c r="G1484" t="str">
        <f t="array" ref="G1484">iferror(index(fatty_acid!$J:$J,match($A1484,fatty_acid!$A:$A,0)))</f>
        <v>N</v>
      </c>
      <c r="H1484" t="str">
        <f t="array" ref="H1484">iferror(index(isotopes!$G:$G,match($A1484,isotopes!$A:$A,0)))</f>
        <v>BIS40-75</v>
      </c>
      <c r="I1484" t="str">
        <f t="array" ref="I1484">iferror(index(isotopes!$J:$J,match($A1484,isotopes!$A:$A,0)))</f>
        <v>N</v>
      </c>
      <c r="J1484" t="str">
        <f t="array" ref="J1484">iferror(index(extra_muscle!$G:$G,match($A1484,extra_muscle!$A:$A,0)))</f>
        <v>BXM39-38</v>
      </c>
      <c r="K1484" t="str">
        <f t="array" ref="K1484">iferror(index(extra_muscle!$J:$J,match($A1484,extra_muscle!$A:$A,0)))</f>
        <v>N</v>
      </c>
      <c r="L1484" s="59" t="str">
        <f t="array" ref="L1484">iferror(index(dna!$G:$G,match($A1484,dna!$A:$A,0)))</f>
        <v>BDN11-93</v>
      </c>
      <c r="M1484" s="60" t="str">
        <f t="array" ref="M1484">iferror(index(dna!$J:$J,match($A1484,dna!$A:$A,0)))</f>
        <v>N</v>
      </c>
      <c r="N1484" t="str">
        <f t="array" ref="N1484">iferror(index(stomachs!$G:$G,match($A1484,stomachs!$A:$A,0)))</f>
        <v/>
      </c>
      <c r="O1484" t="str">
        <f t="array" ref="O1484">iferror(index(stomachs!$J:$J,match($A1484,stomachs!$A:$A,0)))</f>
        <v/>
      </c>
      <c r="P1484" t="str">
        <f t="array" ref="P1484">iferror(index(sea_lice!$G:$G,match($A1484,sea_lice!$A:$A,0)))</f>
        <v>BSL8-68</v>
      </c>
      <c r="Q1484" t="str">
        <f t="array" ref="Q1484">iferror(index(sea_lice!$J:$J,match($A1484,sea_lice!$A:$A,0)))</f>
        <v>N</v>
      </c>
      <c r="R1484" s="40" t="str">
        <f t="array" ref="R1484">iferror(index(dissected_fish!$F:$F,match($A1484,dissected_fish!$A:$A,0)))</f>
        <v>BCA112</v>
      </c>
      <c r="S1484" s="40" t="str">
        <f t="array" ref="S1484">iferror(index(dissected_fish!$K:$K,match($A1484,dissected_fish!$A:$A,0)))</f>
        <v>N</v>
      </c>
      <c r="T1484" s="61" t="str">
        <f t="array" ref="T1484">index(fish_lab_data!O:O,match(A1484,fish_lab_data!C:C,0))</f>
        <v>JG</v>
      </c>
      <c r="U1484" s="61">
        <f t="array" ref="U1484">if(A1484="","",index(fish_lab_data!X:X,match(A1484,fish_lab_data!C:C,0)))</f>
        <v>1483</v>
      </c>
    </row>
    <row r="1485">
      <c r="A1485" t="str">
        <f>fish_lab_data!C1485</f>
        <v>U16591</v>
      </c>
      <c r="B1485" t="str">
        <f t="array" ref="B1485">iferror(index('rna-muscle'!$I:$I,match($A1485,'rna-muscle'!$A:$A,0)))</f>
        <v>BRN55M-G10</v>
      </c>
      <c r="C1485" t="str">
        <f t="array" ref="C1485">iferror(index('rna-muscle'!$L:$L,match($A1485,'rna-muscle'!$A:$A,0)))</f>
        <v>N</v>
      </c>
      <c r="D1485" t="str">
        <f t="array" ref="D1485">iferror(index('rna-gill'!$I:$I,match($A1485,'rna-gill'!$A:$A,0)))</f>
        <v>BRN55G-G10</v>
      </c>
      <c r="E1485" t="str">
        <f t="array" ref="E1485">iferror(index('rna-gill'!$L:$L,match($A1485,'rna-gill'!$A:$A,0)))</f>
        <v>N</v>
      </c>
      <c r="F1485" t="str">
        <f t="array" ref="F1485">iferror(index(fatty_acid!$G:$G,match($A1485,fatty_acid!$A:$A,0)))</f>
        <v>BFA37-77</v>
      </c>
      <c r="G1485" t="str">
        <f t="array" ref="G1485">iferror(index(fatty_acid!$J:$J,match($A1485,fatty_acid!$A:$A,0)))</f>
        <v>N</v>
      </c>
      <c r="H1485" t="str">
        <f t="array" ref="H1485">iferror(index(isotopes!$G:$G,match($A1485,isotopes!$A:$A,0)))</f>
        <v>BIS40-76</v>
      </c>
      <c r="I1485" t="str">
        <f t="array" ref="I1485">iferror(index(isotopes!$J:$J,match($A1485,isotopes!$A:$A,0)))</f>
        <v>N</v>
      </c>
      <c r="J1485" t="str">
        <f t="array" ref="J1485">iferror(index(extra_muscle!$G:$G,match($A1485,extra_muscle!$A:$A,0)))</f>
        <v>BXM39-39</v>
      </c>
      <c r="K1485" t="str">
        <f t="array" ref="K1485">iferror(index(extra_muscle!$J:$J,match($A1485,extra_muscle!$A:$A,0)))</f>
        <v>N</v>
      </c>
      <c r="L1485" s="59" t="str">
        <f t="array" ref="L1485">iferror(index(dna!$G:$G,match($A1485,dna!$A:$A,0)))</f>
        <v>BDN11-94</v>
      </c>
      <c r="M1485" s="60" t="str">
        <f t="array" ref="M1485">iferror(index(dna!$J:$J,match($A1485,dna!$A:$A,0)))</f>
        <v>N</v>
      </c>
      <c r="N1485" t="str">
        <f t="array" ref="N1485">iferror(index(stomachs!$G:$G,match($A1485,stomachs!$A:$A,0)))</f>
        <v/>
      </c>
      <c r="O1485" t="str">
        <f t="array" ref="O1485">iferror(index(stomachs!$J:$J,match($A1485,stomachs!$A:$A,0)))</f>
        <v/>
      </c>
      <c r="P1485" t="str">
        <f t="array" ref="P1485">iferror(index(sea_lice!$G:$G,match($A1485,sea_lice!$A:$A,0)))</f>
        <v/>
      </c>
      <c r="Q1485" t="str">
        <f t="array" ref="Q1485">iferror(index(sea_lice!$J:$J,match($A1485,sea_lice!$A:$A,0)))</f>
        <v/>
      </c>
      <c r="R1485" s="40" t="str">
        <f t="array" ref="R1485">iferror(index(dissected_fish!$F:$F,match($A1485,dissected_fish!$A:$A,0)))</f>
        <v>BCA112</v>
      </c>
      <c r="S1485" s="40" t="str">
        <f t="array" ref="S1485">iferror(index(dissected_fish!$K:$K,match($A1485,dissected_fish!$A:$A,0)))</f>
        <v>N</v>
      </c>
      <c r="T1485" s="61" t="str">
        <f t="array" ref="T1485">index(fish_lab_data!O:O,match(A1485,fish_lab_data!C:C,0))</f>
        <v>JG</v>
      </c>
      <c r="U1485" s="61">
        <f t="array" ref="U1485">if(A1485="","",index(fish_lab_data!X:X,match(A1485,fish_lab_data!C:C,0)))</f>
        <v>1484</v>
      </c>
    </row>
    <row r="1486">
      <c r="A1486" t="str">
        <f>fish_lab_data!C1486</f>
        <v>U16593</v>
      </c>
      <c r="B1486" t="str">
        <f t="array" ref="B1486">iferror(index('rna-muscle'!$I:$I,match($A1486,'rna-muscle'!$A:$A,0)))</f>
        <v>BRN55M-F10</v>
      </c>
      <c r="C1486" t="str">
        <f t="array" ref="C1486">iferror(index('rna-muscle'!$L:$L,match($A1486,'rna-muscle'!$A:$A,0)))</f>
        <v>N</v>
      </c>
      <c r="D1486" t="str">
        <f t="array" ref="D1486">iferror(index('rna-gill'!$I:$I,match($A1486,'rna-gill'!$A:$A,0)))</f>
        <v>BRN55G-F10</v>
      </c>
      <c r="E1486" t="str">
        <f t="array" ref="E1486">iferror(index('rna-gill'!$L:$L,match($A1486,'rna-gill'!$A:$A,0)))</f>
        <v>N</v>
      </c>
      <c r="F1486" t="str">
        <f t="array" ref="F1486">iferror(index(fatty_acid!$G:$G,match($A1486,fatty_acid!$A:$A,0)))</f>
        <v>BFA37-78</v>
      </c>
      <c r="G1486" t="str">
        <f t="array" ref="G1486">iferror(index(fatty_acid!$J:$J,match($A1486,fatty_acid!$A:$A,0)))</f>
        <v>N</v>
      </c>
      <c r="H1486" t="str">
        <f t="array" ref="H1486">iferror(index(isotopes!$G:$G,match($A1486,isotopes!$A:$A,0)))</f>
        <v>BIS40-77</v>
      </c>
      <c r="I1486" t="str">
        <f t="array" ref="I1486">iferror(index(isotopes!$J:$J,match($A1486,isotopes!$A:$A,0)))</f>
        <v>N</v>
      </c>
      <c r="J1486" t="str">
        <f t="array" ref="J1486">iferror(index(extra_muscle!$G:$G,match($A1486,extra_muscle!$A:$A,0)))</f>
        <v>BXM39-40</v>
      </c>
      <c r="K1486" t="str">
        <f t="array" ref="K1486">iferror(index(extra_muscle!$J:$J,match($A1486,extra_muscle!$A:$A,0)))</f>
        <v>N</v>
      </c>
      <c r="L1486" s="59" t="str">
        <f t="array" ref="L1486">iferror(index(dna!$G:$G,match($A1486,dna!$A:$A,0)))</f>
        <v>BDN11-95</v>
      </c>
      <c r="M1486" s="60" t="str">
        <f t="array" ref="M1486">iferror(index(dna!$J:$J,match($A1486,dna!$A:$A,0)))</f>
        <v>N</v>
      </c>
      <c r="N1486" t="str">
        <f t="array" ref="N1486">iferror(index(stomachs!$G:$G,match($A1486,stomachs!$A:$A,0)))</f>
        <v/>
      </c>
      <c r="O1486" t="str">
        <f t="array" ref="O1486">iferror(index(stomachs!$J:$J,match($A1486,stomachs!$A:$A,0)))</f>
        <v/>
      </c>
      <c r="P1486" t="str">
        <f t="array" ref="P1486">iferror(index(sea_lice!$G:$G,match($A1486,sea_lice!$A:$A,0)))</f>
        <v/>
      </c>
      <c r="Q1486" t="str">
        <f t="array" ref="Q1486">iferror(index(sea_lice!$J:$J,match($A1486,sea_lice!$A:$A,0)))</f>
        <v/>
      </c>
      <c r="R1486" s="40" t="str">
        <f t="array" ref="R1486">iferror(index(dissected_fish!$F:$F,match($A1486,dissected_fish!$A:$A,0)))</f>
        <v>BCA112</v>
      </c>
      <c r="S1486" s="40" t="str">
        <f t="array" ref="S1486">iferror(index(dissected_fish!$K:$K,match($A1486,dissected_fish!$A:$A,0)))</f>
        <v>N</v>
      </c>
      <c r="T1486" s="61" t="str">
        <f t="array" ref="T1486">index(fish_lab_data!O:O,match(A1486,fish_lab_data!C:C,0))</f>
        <v>JG</v>
      </c>
      <c r="U1486" s="61">
        <f t="array" ref="U1486">if(A1486="","",index(fish_lab_data!X:X,match(A1486,fish_lab_data!C:C,0)))</f>
        <v>1485</v>
      </c>
    </row>
    <row r="1487">
      <c r="A1487" t="str">
        <f>fish_lab_data!C1487</f>
        <v>U16594</v>
      </c>
      <c r="B1487" t="str">
        <f t="array" ref="B1487">iferror(index('rna-muscle'!$I:$I,match($A1487,'rna-muscle'!$A:$A,0)))</f>
        <v>BRN55M-E10</v>
      </c>
      <c r="C1487" t="str">
        <f t="array" ref="C1487">iferror(index('rna-muscle'!$L:$L,match($A1487,'rna-muscle'!$A:$A,0)))</f>
        <v>N</v>
      </c>
      <c r="D1487" t="str">
        <f t="array" ref="D1487">iferror(index('rna-gill'!$I:$I,match($A1487,'rna-gill'!$A:$A,0)))</f>
        <v>BRN55G-E10</v>
      </c>
      <c r="E1487" t="str">
        <f t="array" ref="E1487">iferror(index('rna-gill'!$L:$L,match($A1487,'rna-gill'!$A:$A,0)))</f>
        <v>N</v>
      </c>
      <c r="F1487" t="str">
        <f t="array" ref="F1487">iferror(index(fatty_acid!$G:$G,match($A1487,fatty_acid!$A:$A,0)))</f>
        <v>BFA37-79</v>
      </c>
      <c r="G1487" t="str">
        <f t="array" ref="G1487">iferror(index(fatty_acid!$J:$J,match($A1487,fatty_acid!$A:$A,0)))</f>
        <v>N</v>
      </c>
      <c r="H1487" t="str">
        <f t="array" ref="H1487">iferror(index(isotopes!$G:$G,match($A1487,isotopes!$A:$A,0)))</f>
        <v>BIS40-78</v>
      </c>
      <c r="I1487" t="str">
        <f t="array" ref="I1487">iferror(index(isotopes!$J:$J,match($A1487,isotopes!$A:$A,0)))</f>
        <v>N</v>
      </c>
      <c r="J1487" t="str">
        <f t="array" ref="J1487">iferror(index(extra_muscle!$G:$G,match($A1487,extra_muscle!$A:$A,0)))</f>
        <v>BXM39-41</v>
      </c>
      <c r="K1487" t="str">
        <f t="array" ref="K1487">iferror(index(extra_muscle!$J:$J,match($A1487,extra_muscle!$A:$A,0)))</f>
        <v>N</v>
      </c>
      <c r="L1487" s="59" t="str">
        <f t="array" ref="L1487">iferror(index(dna!$G:$G,match($A1487,dna!$A:$A,0)))</f>
        <v>BDN11-96</v>
      </c>
      <c r="M1487" s="60" t="str">
        <f t="array" ref="M1487">iferror(index(dna!$J:$J,match($A1487,dna!$A:$A,0)))</f>
        <v>N</v>
      </c>
      <c r="N1487" t="str">
        <f t="array" ref="N1487">iferror(index(stomachs!$G:$G,match($A1487,stomachs!$A:$A,0)))</f>
        <v/>
      </c>
      <c r="O1487" t="str">
        <f t="array" ref="O1487">iferror(index(stomachs!$J:$J,match($A1487,stomachs!$A:$A,0)))</f>
        <v/>
      </c>
      <c r="P1487" t="str">
        <f t="array" ref="P1487">iferror(index(sea_lice!$G:$G,match($A1487,sea_lice!$A:$A,0)))</f>
        <v/>
      </c>
      <c r="Q1487" t="str">
        <f t="array" ref="Q1487">iferror(index(sea_lice!$J:$J,match($A1487,sea_lice!$A:$A,0)))</f>
        <v/>
      </c>
      <c r="R1487" s="40" t="str">
        <f t="array" ref="R1487">iferror(index(dissected_fish!$F:$F,match($A1487,dissected_fish!$A:$A,0)))</f>
        <v>BCA112</v>
      </c>
      <c r="S1487" s="40" t="str">
        <f t="array" ref="S1487">iferror(index(dissected_fish!$K:$K,match($A1487,dissected_fish!$A:$A,0)))</f>
        <v>N</v>
      </c>
      <c r="T1487" s="61" t="str">
        <f t="array" ref="T1487">index(fish_lab_data!O:O,match(A1487,fish_lab_data!C:C,0))</f>
        <v>JG</v>
      </c>
      <c r="U1487" s="61">
        <f t="array" ref="U1487">if(A1487="","",index(fish_lab_data!X:X,match(A1487,fish_lab_data!C:C,0)))</f>
        <v>1486</v>
      </c>
    </row>
    <row r="1488">
      <c r="A1488" t="str">
        <f>fish_lab_data!C1488</f>
        <v>U16592</v>
      </c>
      <c r="B1488" t="str">
        <f t="array" ref="B1488">iferror(index('rna-muscle'!$I:$I,match($A1488,'rna-muscle'!$A:$A,0)))</f>
        <v>BRN55M-D10</v>
      </c>
      <c r="C1488" t="str">
        <f t="array" ref="C1488">iferror(index('rna-muscle'!$L:$L,match($A1488,'rna-muscle'!$A:$A,0)))</f>
        <v>N</v>
      </c>
      <c r="D1488" t="str">
        <f t="array" ref="D1488">iferror(index('rna-gill'!$I:$I,match($A1488,'rna-gill'!$A:$A,0)))</f>
        <v>BRN55G-D10</v>
      </c>
      <c r="E1488" t="str">
        <f t="array" ref="E1488">iferror(index('rna-gill'!$L:$L,match($A1488,'rna-gill'!$A:$A,0)))</f>
        <v>N</v>
      </c>
      <c r="F1488" t="str">
        <f t="array" ref="F1488">iferror(index(fatty_acid!$G:$G,match($A1488,fatty_acid!$A:$A,0)))</f>
        <v>BFA37-80</v>
      </c>
      <c r="G1488" t="str">
        <f t="array" ref="G1488">iferror(index(fatty_acid!$J:$J,match($A1488,fatty_acid!$A:$A,0)))</f>
        <v>N</v>
      </c>
      <c r="H1488" t="str">
        <f t="array" ref="H1488">iferror(index(isotopes!$G:$G,match($A1488,isotopes!$A:$A,0)))</f>
        <v>BIS40-79</v>
      </c>
      <c r="I1488" t="str">
        <f t="array" ref="I1488">iferror(index(isotopes!$J:$J,match($A1488,isotopes!$A:$A,0)))</f>
        <v>N</v>
      </c>
      <c r="J1488" t="str">
        <f t="array" ref="J1488">iferror(index(extra_muscle!$G:$G,match($A1488,extra_muscle!$A:$A,0)))</f>
        <v>BXM39-42</v>
      </c>
      <c r="K1488" t="str">
        <f t="array" ref="K1488">iferror(index(extra_muscle!$J:$J,match($A1488,extra_muscle!$A:$A,0)))</f>
        <v>N</v>
      </c>
      <c r="L1488" s="59" t="str">
        <f t="array" ref="L1488">iferror(index(dna!$G:$G,match($A1488,dna!$A:$A,0)))</f>
        <v>BDN11-97</v>
      </c>
      <c r="M1488" s="60" t="str">
        <f t="array" ref="M1488">iferror(index(dna!$J:$J,match($A1488,dna!$A:$A,0)))</f>
        <v>N</v>
      </c>
      <c r="N1488" t="str">
        <f t="array" ref="N1488">iferror(index(stomachs!$G:$G,match($A1488,stomachs!$A:$A,0)))</f>
        <v/>
      </c>
      <c r="O1488" t="str">
        <f t="array" ref="O1488">iferror(index(stomachs!$J:$J,match($A1488,stomachs!$A:$A,0)))</f>
        <v/>
      </c>
      <c r="P1488" t="str">
        <f t="array" ref="P1488">iferror(index(sea_lice!$G:$G,match($A1488,sea_lice!$A:$A,0)))</f>
        <v/>
      </c>
      <c r="Q1488" t="str">
        <f t="array" ref="Q1488">iferror(index(sea_lice!$J:$J,match($A1488,sea_lice!$A:$A,0)))</f>
        <v/>
      </c>
      <c r="R1488" s="40" t="str">
        <f t="array" ref="R1488">iferror(index(dissected_fish!$F:$F,match($A1488,dissected_fish!$A:$A,0)))</f>
        <v>BCA112</v>
      </c>
      <c r="S1488" s="40" t="str">
        <f t="array" ref="S1488">iferror(index(dissected_fish!$K:$K,match($A1488,dissected_fish!$A:$A,0)))</f>
        <v>N</v>
      </c>
      <c r="T1488" s="61" t="str">
        <f t="array" ref="T1488">index(fish_lab_data!O:O,match(A1488,fish_lab_data!C:C,0))</f>
        <v>JG</v>
      </c>
      <c r="U1488" s="61">
        <f t="array" ref="U1488">if(A1488="","",index(fish_lab_data!X:X,match(A1488,fish_lab_data!C:C,0)))</f>
        <v>1487</v>
      </c>
    </row>
    <row r="1489">
      <c r="A1489" t="str">
        <f>fish_lab_data!C1489</f>
        <v>U16635</v>
      </c>
      <c r="B1489" t="str">
        <f t="array" ref="B1489">iferror(index('rna-muscle'!$I:$I,match($A1489,'rna-muscle'!$A:$A,0)))</f>
        <v>BRN55M-C10</v>
      </c>
      <c r="C1489" t="str">
        <f t="array" ref="C1489">iferror(index('rna-muscle'!$L:$L,match($A1489,'rna-muscle'!$A:$A,0)))</f>
        <v>N</v>
      </c>
      <c r="D1489" t="str">
        <f t="array" ref="D1489">iferror(index('rna-gill'!$I:$I,match($A1489,'rna-gill'!$A:$A,0)))</f>
        <v>BRN55G-C10</v>
      </c>
      <c r="E1489" t="str">
        <f t="array" ref="E1489">iferror(index('rna-gill'!$L:$L,match($A1489,'rna-gill'!$A:$A,0)))</f>
        <v>N</v>
      </c>
      <c r="F1489" t="str">
        <f t="array" ref="F1489">iferror(index(fatty_acid!$G:$G,match($A1489,fatty_acid!$A:$A,0)))</f>
        <v>BFA37-81</v>
      </c>
      <c r="G1489" t="str">
        <f t="array" ref="G1489">iferror(index(fatty_acid!$J:$J,match($A1489,fatty_acid!$A:$A,0)))</f>
        <v>N</v>
      </c>
      <c r="H1489" t="str">
        <f t="array" ref="H1489">iferror(index(isotopes!$G:$G,match($A1489,isotopes!$A:$A,0)))</f>
        <v>BIS40-80</v>
      </c>
      <c r="I1489" t="str">
        <f t="array" ref="I1489">iferror(index(isotopes!$J:$J,match($A1489,isotopes!$A:$A,0)))</f>
        <v>N</v>
      </c>
      <c r="J1489" t="str">
        <f t="array" ref="J1489">iferror(index(extra_muscle!$G:$G,match($A1489,extra_muscle!$A:$A,0)))</f>
        <v>BXM39-43</v>
      </c>
      <c r="K1489" t="str">
        <f t="array" ref="K1489">iferror(index(extra_muscle!$J:$J,match($A1489,extra_muscle!$A:$A,0)))</f>
        <v>N</v>
      </c>
      <c r="L1489" s="59" t="str">
        <f t="array" ref="L1489">iferror(index(dna!$G:$G,match($A1489,dna!$A:$A,0)))</f>
        <v>BDN11-98</v>
      </c>
      <c r="M1489" s="60" t="str">
        <f t="array" ref="M1489">iferror(index(dna!$J:$J,match($A1489,dna!$A:$A,0)))</f>
        <v>N</v>
      </c>
      <c r="N1489" t="str">
        <f t="array" ref="N1489">iferror(index(stomachs!$G:$G,match($A1489,stomachs!$A:$A,0)))</f>
        <v/>
      </c>
      <c r="O1489" t="str">
        <f t="array" ref="O1489">iferror(index(stomachs!$J:$J,match($A1489,stomachs!$A:$A,0)))</f>
        <v/>
      </c>
      <c r="P1489" t="str">
        <f t="array" ref="P1489">iferror(index(sea_lice!$G:$G,match($A1489,sea_lice!$A:$A,0)))</f>
        <v/>
      </c>
      <c r="Q1489" t="str">
        <f t="array" ref="Q1489">iferror(index(sea_lice!$J:$J,match($A1489,sea_lice!$A:$A,0)))</f>
        <v/>
      </c>
      <c r="R1489" s="40" t="str">
        <f t="array" ref="R1489">iferror(index(dissected_fish!$F:$F,match($A1489,dissected_fish!$A:$A,0)))</f>
        <v>BCA112</v>
      </c>
      <c r="S1489" s="40" t="str">
        <f t="array" ref="S1489">iferror(index(dissected_fish!$K:$K,match($A1489,dissected_fish!$A:$A,0)))</f>
        <v>N</v>
      </c>
      <c r="T1489" s="61" t="str">
        <f t="array" ref="T1489">index(fish_lab_data!O:O,match(A1489,fish_lab_data!C:C,0))</f>
        <v>JG</v>
      </c>
      <c r="U1489" s="61">
        <f t="array" ref="U1489">if(A1489="","",index(fish_lab_data!X:X,match(A1489,fish_lab_data!C:C,0)))</f>
        <v>1488</v>
      </c>
    </row>
    <row r="1490">
      <c r="A1490" t="str">
        <f>fish_lab_data!C1490</f>
        <v>U16640</v>
      </c>
      <c r="B1490" t="str">
        <f t="array" ref="B1490">iferror(index('rna-muscle'!$I:$I,match($A1490,'rna-muscle'!$A:$A,0)))</f>
        <v>BRN55M-B10</v>
      </c>
      <c r="C1490" t="str">
        <f t="array" ref="C1490">iferror(index('rna-muscle'!$L:$L,match($A1490,'rna-muscle'!$A:$A,0)))</f>
        <v>N</v>
      </c>
      <c r="D1490" t="str">
        <f t="array" ref="D1490">iferror(index('rna-gill'!$I:$I,match($A1490,'rna-gill'!$A:$A,0)))</f>
        <v>BRN55G-B10</v>
      </c>
      <c r="E1490" t="str">
        <f t="array" ref="E1490">iferror(index('rna-gill'!$L:$L,match($A1490,'rna-gill'!$A:$A,0)))</f>
        <v>N</v>
      </c>
      <c r="F1490" t="str">
        <f t="array" ref="F1490">iferror(index(fatty_acid!$G:$G,match($A1490,fatty_acid!$A:$A,0)))</f>
        <v>BFA39-1</v>
      </c>
      <c r="G1490" t="str">
        <f t="array" ref="G1490">iferror(index(fatty_acid!$J:$J,match($A1490,fatty_acid!$A:$A,0)))</f>
        <v>N</v>
      </c>
      <c r="H1490" t="str">
        <f t="array" ref="H1490">iferror(index(isotopes!$G:$G,match($A1490,isotopes!$A:$A,0)))</f>
        <v>BIS40-81</v>
      </c>
      <c r="I1490" t="str">
        <f t="array" ref="I1490">iferror(index(isotopes!$J:$J,match($A1490,isotopes!$A:$A,0)))</f>
        <v>N</v>
      </c>
      <c r="J1490" t="str">
        <f t="array" ref="J1490">iferror(index(extra_muscle!$G:$G,match($A1490,extra_muscle!$A:$A,0)))</f>
        <v>BXM39-44</v>
      </c>
      <c r="K1490" t="str">
        <f t="array" ref="K1490">iferror(index(extra_muscle!$J:$J,match($A1490,extra_muscle!$A:$A,0)))</f>
        <v>N</v>
      </c>
      <c r="L1490" s="59" t="str">
        <f t="array" ref="L1490">iferror(index(dna!$G:$G,match($A1490,dna!$A:$A,0)))</f>
        <v>BDN11-99</v>
      </c>
      <c r="M1490" s="60" t="str">
        <f t="array" ref="M1490">iferror(index(dna!$J:$J,match($A1490,dna!$A:$A,0)))</f>
        <v>N</v>
      </c>
      <c r="N1490" t="str">
        <f t="array" ref="N1490">iferror(index(stomachs!$G:$G,match($A1490,stomachs!$A:$A,0)))</f>
        <v/>
      </c>
      <c r="O1490" t="str">
        <f t="array" ref="O1490">iferror(index(stomachs!$J:$J,match($A1490,stomachs!$A:$A,0)))</f>
        <v/>
      </c>
      <c r="P1490" t="str">
        <f t="array" ref="P1490">iferror(index(sea_lice!$G:$G,match($A1490,sea_lice!$A:$A,0)))</f>
        <v>BSL8-69</v>
      </c>
      <c r="Q1490" t="str">
        <f t="array" ref="Q1490">iferror(index(sea_lice!$J:$J,match($A1490,sea_lice!$A:$A,0)))</f>
        <v>N</v>
      </c>
      <c r="R1490" s="40" t="str">
        <f t="array" ref="R1490">iferror(index(dissected_fish!$F:$F,match($A1490,dissected_fish!$A:$A,0)))</f>
        <v>BCA112</v>
      </c>
      <c r="S1490" s="40" t="str">
        <f t="array" ref="S1490">iferror(index(dissected_fish!$K:$K,match($A1490,dissected_fish!$A:$A,0)))</f>
        <v>N</v>
      </c>
      <c r="T1490" s="61" t="str">
        <f t="array" ref="T1490">index(fish_lab_data!O:O,match(A1490,fish_lab_data!C:C,0))</f>
        <v>JG</v>
      </c>
      <c r="U1490" s="61">
        <f t="array" ref="U1490">if(A1490="","",index(fish_lab_data!X:X,match(A1490,fish_lab_data!C:C,0)))</f>
        <v>1489</v>
      </c>
    </row>
    <row r="1491">
      <c r="A1491" t="str">
        <f>fish_lab_data!C1491</f>
        <v>U16639</v>
      </c>
      <c r="B1491" t="str">
        <f t="array" ref="B1491">iferror(index('rna-muscle'!$I:$I,match($A1491,'rna-muscle'!$A:$A,0)))</f>
        <v>BRN55M-A10</v>
      </c>
      <c r="C1491" t="str">
        <f t="array" ref="C1491">iferror(index('rna-muscle'!$L:$L,match($A1491,'rna-muscle'!$A:$A,0)))</f>
        <v>N</v>
      </c>
      <c r="D1491" t="str">
        <f t="array" ref="D1491">iferror(index('rna-gill'!$I:$I,match($A1491,'rna-gill'!$A:$A,0)))</f>
        <v>BRN55G-A10</v>
      </c>
      <c r="E1491" t="str">
        <f t="array" ref="E1491">iferror(index('rna-gill'!$L:$L,match($A1491,'rna-gill'!$A:$A,0)))</f>
        <v>N</v>
      </c>
      <c r="F1491" t="str">
        <f t="array" ref="F1491">iferror(index(fatty_acid!$G:$G,match($A1491,fatty_acid!$A:$A,0)))</f>
        <v>BFA39-2</v>
      </c>
      <c r="G1491" t="str">
        <f t="array" ref="G1491">iferror(index(fatty_acid!$J:$J,match($A1491,fatty_acid!$A:$A,0)))</f>
        <v>N</v>
      </c>
      <c r="H1491" t="str">
        <f t="array" ref="H1491">iferror(index(isotopes!$G:$G,match($A1491,isotopes!$A:$A,0)))</f>
        <v>BIS42-1</v>
      </c>
      <c r="I1491" t="str">
        <f t="array" ref="I1491">iferror(index(isotopes!$J:$J,match($A1491,isotopes!$A:$A,0)))</f>
        <v>N</v>
      </c>
      <c r="J1491" t="str">
        <f t="array" ref="J1491">iferror(index(extra_muscle!$G:$G,match($A1491,extra_muscle!$A:$A,0)))</f>
        <v>BXM39-45</v>
      </c>
      <c r="K1491" t="str">
        <f t="array" ref="K1491">iferror(index(extra_muscle!$J:$J,match($A1491,extra_muscle!$A:$A,0)))</f>
        <v>N</v>
      </c>
      <c r="L1491" s="59" t="str">
        <f t="array" ref="L1491">iferror(index(dna!$G:$G,match($A1491,dna!$A:$A,0)))</f>
        <v>BDN11-100</v>
      </c>
      <c r="M1491" s="60" t="str">
        <f t="array" ref="M1491">iferror(index(dna!$J:$J,match($A1491,dna!$A:$A,0)))</f>
        <v>N</v>
      </c>
      <c r="N1491" t="str">
        <f t="array" ref="N1491">iferror(index(stomachs!$G:$G,match($A1491,stomachs!$A:$A,0)))</f>
        <v/>
      </c>
      <c r="O1491" t="str">
        <f t="array" ref="O1491">iferror(index(stomachs!$J:$J,match($A1491,stomachs!$A:$A,0)))</f>
        <v/>
      </c>
      <c r="P1491" t="str">
        <f t="array" ref="P1491">iferror(index(sea_lice!$G:$G,match($A1491,sea_lice!$A:$A,0)))</f>
        <v/>
      </c>
      <c r="Q1491" t="str">
        <f t="array" ref="Q1491">iferror(index(sea_lice!$J:$J,match($A1491,sea_lice!$A:$A,0)))</f>
        <v/>
      </c>
      <c r="R1491" s="40" t="str">
        <f t="array" ref="R1491">iferror(index(dissected_fish!$F:$F,match($A1491,dissected_fish!$A:$A,0)))</f>
        <v>BCA112</v>
      </c>
      <c r="S1491" s="40" t="str">
        <f t="array" ref="S1491">iferror(index(dissected_fish!$K:$K,match($A1491,dissected_fish!$A:$A,0)))</f>
        <v>N</v>
      </c>
      <c r="T1491" s="61" t="str">
        <f t="array" ref="T1491">index(fish_lab_data!O:O,match(A1491,fish_lab_data!C:C,0))</f>
        <v>JG</v>
      </c>
      <c r="U1491" s="61">
        <f t="array" ref="U1491">if(A1491="","",index(fish_lab_data!X:X,match(A1491,fish_lab_data!C:C,0)))</f>
        <v>1490</v>
      </c>
    </row>
    <row r="1492">
      <c r="A1492" t="str">
        <f>fish_lab_data!C1492</f>
        <v>U16634</v>
      </c>
      <c r="B1492" t="str">
        <f t="array" ref="B1492">iferror(index('rna-muscle'!$I:$I,match($A1492,'rna-muscle'!$A:$A,0)))</f>
        <v>BRN55M-H11</v>
      </c>
      <c r="C1492" t="str">
        <f t="array" ref="C1492">iferror(index('rna-muscle'!$L:$L,match($A1492,'rna-muscle'!$A:$A,0)))</f>
        <v>N</v>
      </c>
      <c r="D1492" t="str">
        <f t="array" ref="D1492">iferror(index('rna-gill'!$I:$I,match($A1492,'rna-gill'!$A:$A,0)))</f>
        <v>BRN55G-H11</v>
      </c>
      <c r="E1492" t="str">
        <f t="array" ref="E1492">iferror(index('rna-gill'!$L:$L,match($A1492,'rna-gill'!$A:$A,0)))</f>
        <v>N</v>
      </c>
      <c r="F1492" t="str">
        <f t="array" ref="F1492">iferror(index(fatty_acid!$G:$G,match($A1492,fatty_acid!$A:$A,0)))</f>
        <v>BFA39-3</v>
      </c>
      <c r="G1492" t="str">
        <f t="array" ref="G1492">iferror(index(fatty_acid!$J:$J,match($A1492,fatty_acid!$A:$A,0)))</f>
        <v>N</v>
      </c>
      <c r="H1492" t="str">
        <f t="array" ref="H1492">iferror(index(isotopes!$G:$G,match($A1492,isotopes!$A:$A,0)))</f>
        <v>BIS42-2</v>
      </c>
      <c r="I1492" t="str">
        <f t="array" ref="I1492">iferror(index(isotopes!$J:$J,match($A1492,isotopes!$A:$A,0)))</f>
        <v>N</v>
      </c>
      <c r="J1492" t="str">
        <f t="array" ref="J1492">iferror(index(extra_muscle!$G:$G,match($A1492,extra_muscle!$A:$A,0)))</f>
        <v>BXM39-46</v>
      </c>
      <c r="K1492" t="str">
        <f t="array" ref="K1492">iferror(index(extra_muscle!$J:$J,match($A1492,extra_muscle!$A:$A,0)))</f>
        <v>N</v>
      </c>
      <c r="L1492" s="59" t="str">
        <f t="array" ref="L1492">iferror(index(dna!$G:$G,match($A1492,dna!$A:$A,0)))</f>
        <v>BDN13-1</v>
      </c>
      <c r="M1492" s="60" t="str">
        <f t="array" ref="M1492">iferror(index(dna!$J:$J,match($A1492,dna!$A:$A,0)))</f>
        <v>N</v>
      </c>
      <c r="N1492" t="str">
        <f t="array" ref="N1492">iferror(index(stomachs!$G:$G,match($A1492,stomachs!$A:$A,0)))</f>
        <v/>
      </c>
      <c r="O1492" t="str">
        <f t="array" ref="O1492">iferror(index(stomachs!$J:$J,match($A1492,stomachs!$A:$A,0)))</f>
        <v/>
      </c>
      <c r="P1492" t="str">
        <f t="array" ref="P1492">iferror(index(sea_lice!$G:$G,match($A1492,sea_lice!$A:$A,0)))</f>
        <v/>
      </c>
      <c r="Q1492" t="str">
        <f t="array" ref="Q1492">iferror(index(sea_lice!$J:$J,match($A1492,sea_lice!$A:$A,0)))</f>
        <v/>
      </c>
      <c r="R1492" s="40" t="str">
        <f t="array" ref="R1492">iferror(index(dissected_fish!$F:$F,match($A1492,dissected_fish!$A:$A,0)))</f>
        <v>BCA112</v>
      </c>
      <c r="S1492" s="40" t="str">
        <f t="array" ref="S1492">iferror(index(dissected_fish!$K:$K,match($A1492,dissected_fish!$A:$A,0)))</f>
        <v>N</v>
      </c>
      <c r="T1492" s="61" t="str">
        <f t="array" ref="T1492">index(fish_lab_data!O:O,match(A1492,fish_lab_data!C:C,0))</f>
        <v>JG</v>
      </c>
      <c r="U1492" s="61">
        <f t="array" ref="U1492">if(A1492="","",index(fish_lab_data!X:X,match(A1492,fish_lab_data!C:C,0)))</f>
        <v>1491</v>
      </c>
    </row>
    <row r="1493">
      <c r="A1493" t="str">
        <f>fish_lab_data!C1493</f>
        <v>U16631</v>
      </c>
      <c r="B1493" t="str">
        <f t="array" ref="B1493">iferror(index('rna-muscle'!$I:$I,match($A1493,'rna-muscle'!$A:$A,0)))</f>
        <v>BRN55M-G11</v>
      </c>
      <c r="C1493" t="str">
        <f t="array" ref="C1493">iferror(index('rna-muscle'!$L:$L,match($A1493,'rna-muscle'!$A:$A,0)))</f>
        <v>N</v>
      </c>
      <c r="D1493" t="str">
        <f t="array" ref="D1493">iferror(index('rna-gill'!$I:$I,match($A1493,'rna-gill'!$A:$A,0)))</f>
        <v>BRN55G-G11</v>
      </c>
      <c r="E1493" t="str">
        <f t="array" ref="E1493">iferror(index('rna-gill'!$L:$L,match($A1493,'rna-gill'!$A:$A,0)))</f>
        <v>N</v>
      </c>
      <c r="F1493" t="str">
        <f t="array" ref="F1493">iferror(index(fatty_acid!$G:$G,match($A1493,fatty_acid!$A:$A,0)))</f>
        <v>BFA39-4</v>
      </c>
      <c r="G1493" t="str">
        <f t="array" ref="G1493">iferror(index(fatty_acid!$J:$J,match($A1493,fatty_acid!$A:$A,0)))</f>
        <v>N</v>
      </c>
      <c r="H1493" t="str">
        <f t="array" ref="H1493">iferror(index(isotopes!$G:$G,match($A1493,isotopes!$A:$A,0)))</f>
        <v>BIS42-3</v>
      </c>
      <c r="I1493" t="str">
        <f t="array" ref="I1493">iferror(index(isotopes!$J:$J,match($A1493,isotopes!$A:$A,0)))</f>
        <v>N</v>
      </c>
      <c r="J1493" t="str">
        <f t="array" ref="J1493">iferror(index(extra_muscle!$G:$G,match($A1493,extra_muscle!$A:$A,0)))</f>
        <v>BXM39-47</v>
      </c>
      <c r="K1493" t="str">
        <f t="array" ref="K1493">iferror(index(extra_muscle!$J:$J,match($A1493,extra_muscle!$A:$A,0)))</f>
        <v>N</v>
      </c>
      <c r="L1493" s="59" t="str">
        <f t="array" ref="L1493">iferror(index(dna!$G:$G,match($A1493,dna!$A:$A,0)))</f>
        <v>BDN13-2</v>
      </c>
      <c r="M1493" s="60" t="str">
        <f t="array" ref="M1493">iferror(index(dna!$J:$J,match($A1493,dna!$A:$A,0)))</f>
        <v>N</v>
      </c>
      <c r="N1493" t="str">
        <f t="array" ref="N1493">iferror(index(stomachs!$G:$G,match($A1493,stomachs!$A:$A,0)))</f>
        <v/>
      </c>
      <c r="O1493" t="str">
        <f t="array" ref="O1493">iferror(index(stomachs!$J:$J,match($A1493,stomachs!$A:$A,0)))</f>
        <v/>
      </c>
      <c r="P1493" t="str">
        <f t="array" ref="P1493">iferror(index(sea_lice!$G:$G,match($A1493,sea_lice!$A:$A,0)))</f>
        <v/>
      </c>
      <c r="Q1493" t="str">
        <f t="array" ref="Q1493">iferror(index(sea_lice!$J:$J,match($A1493,sea_lice!$A:$A,0)))</f>
        <v/>
      </c>
      <c r="R1493" s="40" t="str">
        <f t="array" ref="R1493">iferror(index(dissected_fish!$F:$F,match($A1493,dissected_fish!$A:$A,0)))</f>
        <v>BCA112</v>
      </c>
      <c r="S1493" s="40" t="str">
        <f t="array" ref="S1493">iferror(index(dissected_fish!$K:$K,match($A1493,dissected_fish!$A:$A,0)))</f>
        <v>N</v>
      </c>
      <c r="T1493" s="61" t="str">
        <f t="array" ref="T1493">index(fish_lab_data!O:O,match(A1493,fish_lab_data!C:C,0))</f>
        <v>JG</v>
      </c>
      <c r="U1493" s="61">
        <f t="array" ref="U1493">if(A1493="","",index(fish_lab_data!X:X,match(A1493,fish_lab_data!C:C,0)))</f>
        <v>1492</v>
      </c>
    </row>
    <row r="1494">
      <c r="A1494" t="str">
        <f>fish_lab_data!C1494</f>
        <v>U16636</v>
      </c>
      <c r="B1494" t="str">
        <f t="array" ref="B1494">iferror(index('rna-muscle'!$I:$I,match($A1494,'rna-muscle'!$A:$A,0)))</f>
        <v>BRN55M-F11</v>
      </c>
      <c r="C1494" t="str">
        <f t="array" ref="C1494">iferror(index('rna-muscle'!$L:$L,match($A1494,'rna-muscle'!$A:$A,0)))</f>
        <v>N</v>
      </c>
      <c r="D1494" t="str">
        <f t="array" ref="D1494">iferror(index('rna-gill'!$I:$I,match($A1494,'rna-gill'!$A:$A,0)))</f>
        <v>BRN55G-F11</v>
      </c>
      <c r="E1494" t="str">
        <f t="array" ref="E1494">iferror(index('rna-gill'!$L:$L,match($A1494,'rna-gill'!$A:$A,0)))</f>
        <v>N</v>
      </c>
      <c r="F1494" t="str">
        <f t="array" ref="F1494">iferror(index(fatty_acid!$G:$G,match($A1494,fatty_acid!$A:$A,0)))</f>
        <v>BFA39-5</v>
      </c>
      <c r="G1494" t="str">
        <f t="array" ref="G1494">iferror(index(fatty_acid!$J:$J,match($A1494,fatty_acid!$A:$A,0)))</f>
        <v>N</v>
      </c>
      <c r="H1494" t="str">
        <f t="array" ref="H1494">iferror(index(isotopes!$G:$G,match($A1494,isotopes!$A:$A,0)))</f>
        <v>BIS42-4</v>
      </c>
      <c r="I1494" t="str">
        <f t="array" ref="I1494">iferror(index(isotopes!$J:$J,match($A1494,isotopes!$A:$A,0)))</f>
        <v>N</v>
      </c>
      <c r="J1494" t="str">
        <f t="array" ref="J1494">iferror(index(extra_muscle!$G:$G,match($A1494,extra_muscle!$A:$A,0)))</f>
        <v>BXM39-48</v>
      </c>
      <c r="K1494" t="str">
        <f t="array" ref="K1494">iferror(index(extra_muscle!$J:$J,match($A1494,extra_muscle!$A:$A,0)))</f>
        <v>N</v>
      </c>
      <c r="L1494" s="59" t="str">
        <f t="array" ref="L1494">iferror(index(dna!$G:$G,match($A1494,dna!$A:$A,0)))</f>
        <v>BDN13-3</v>
      </c>
      <c r="M1494" s="60" t="str">
        <f t="array" ref="M1494">iferror(index(dna!$J:$J,match($A1494,dna!$A:$A,0)))</f>
        <v>N</v>
      </c>
      <c r="N1494" t="str">
        <f t="array" ref="N1494">iferror(index(stomachs!$G:$G,match($A1494,stomachs!$A:$A,0)))</f>
        <v/>
      </c>
      <c r="O1494" t="str">
        <f t="array" ref="O1494">iferror(index(stomachs!$J:$J,match($A1494,stomachs!$A:$A,0)))</f>
        <v/>
      </c>
      <c r="P1494" t="str">
        <f t="array" ref="P1494">iferror(index(sea_lice!$G:$G,match($A1494,sea_lice!$A:$A,0)))</f>
        <v/>
      </c>
      <c r="Q1494" t="str">
        <f t="array" ref="Q1494">iferror(index(sea_lice!$J:$J,match($A1494,sea_lice!$A:$A,0)))</f>
        <v/>
      </c>
      <c r="R1494" s="40" t="str">
        <f t="array" ref="R1494">iferror(index(dissected_fish!$F:$F,match($A1494,dissected_fish!$A:$A,0)))</f>
        <v>BCA112</v>
      </c>
      <c r="S1494" s="40" t="str">
        <f t="array" ref="S1494">iferror(index(dissected_fish!$K:$K,match($A1494,dissected_fish!$A:$A,0)))</f>
        <v>N</v>
      </c>
      <c r="T1494" s="61" t="str">
        <f t="array" ref="T1494">index(fish_lab_data!O:O,match(A1494,fish_lab_data!C:C,0))</f>
        <v>JG</v>
      </c>
      <c r="U1494" s="61">
        <f t="array" ref="U1494">if(A1494="","",index(fish_lab_data!X:X,match(A1494,fish_lab_data!C:C,0)))</f>
        <v>1493</v>
      </c>
    </row>
    <row r="1495">
      <c r="A1495" t="str">
        <f>fish_lab_data!C1495</f>
        <v>U16632</v>
      </c>
      <c r="B1495" t="str">
        <f t="array" ref="B1495">iferror(index('rna-muscle'!$I:$I,match($A1495,'rna-muscle'!$A:$A,0)))</f>
        <v>BRN55M-E11</v>
      </c>
      <c r="C1495" t="str">
        <f t="array" ref="C1495">iferror(index('rna-muscle'!$L:$L,match($A1495,'rna-muscle'!$A:$A,0)))</f>
        <v>N</v>
      </c>
      <c r="D1495" t="str">
        <f t="array" ref="D1495">iferror(index('rna-gill'!$I:$I,match($A1495,'rna-gill'!$A:$A,0)))</f>
        <v>BRN55G-E11</v>
      </c>
      <c r="E1495" t="str">
        <f t="array" ref="E1495">iferror(index('rna-gill'!$L:$L,match($A1495,'rna-gill'!$A:$A,0)))</f>
        <v>N</v>
      </c>
      <c r="F1495" t="str">
        <f t="array" ref="F1495">iferror(index(fatty_acid!$G:$G,match($A1495,fatty_acid!$A:$A,0)))</f>
        <v>BFA39-6</v>
      </c>
      <c r="G1495" t="str">
        <f t="array" ref="G1495">iferror(index(fatty_acid!$J:$J,match($A1495,fatty_acid!$A:$A,0)))</f>
        <v>N</v>
      </c>
      <c r="H1495" t="str">
        <f t="array" ref="H1495">iferror(index(isotopes!$G:$G,match($A1495,isotopes!$A:$A,0)))</f>
        <v>BIS42-5</v>
      </c>
      <c r="I1495" t="str">
        <f t="array" ref="I1495">iferror(index(isotopes!$J:$J,match($A1495,isotopes!$A:$A,0)))</f>
        <v>N</v>
      </c>
      <c r="J1495" t="str">
        <f t="array" ref="J1495">iferror(index(extra_muscle!$G:$G,match($A1495,extra_muscle!$A:$A,0)))</f>
        <v>BXM39-49</v>
      </c>
      <c r="K1495" t="str">
        <f t="array" ref="K1495">iferror(index(extra_muscle!$J:$J,match($A1495,extra_muscle!$A:$A,0)))</f>
        <v>N</v>
      </c>
      <c r="L1495" s="59" t="str">
        <f t="array" ref="L1495">iferror(index(dna!$G:$G,match($A1495,dna!$A:$A,0)))</f>
        <v>BDN13-4</v>
      </c>
      <c r="M1495" s="60" t="str">
        <f t="array" ref="M1495">iferror(index(dna!$J:$J,match($A1495,dna!$A:$A,0)))</f>
        <v>N</v>
      </c>
      <c r="N1495" t="str">
        <f t="array" ref="N1495">iferror(index(stomachs!$G:$G,match($A1495,stomachs!$A:$A,0)))</f>
        <v/>
      </c>
      <c r="O1495" t="str">
        <f t="array" ref="O1495">iferror(index(stomachs!$J:$J,match($A1495,stomachs!$A:$A,0)))</f>
        <v/>
      </c>
      <c r="P1495" t="str">
        <f t="array" ref="P1495">iferror(index(sea_lice!$G:$G,match($A1495,sea_lice!$A:$A,0)))</f>
        <v/>
      </c>
      <c r="Q1495" t="str">
        <f t="array" ref="Q1495">iferror(index(sea_lice!$J:$J,match($A1495,sea_lice!$A:$A,0)))</f>
        <v/>
      </c>
      <c r="R1495" s="40" t="str">
        <f t="array" ref="R1495">iferror(index(dissected_fish!$F:$F,match($A1495,dissected_fish!$A:$A,0)))</f>
        <v>BCA112</v>
      </c>
      <c r="S1495" s="40" t="str">
        <f t="array" ref="S1495">iferror(index(dissected_fish!$K:$K,match($A1495,dissected_fish!$A:$A,0)))</f>
        <v>N</v>
      </c>
      <c r="T1495" s="61" t="str">
        <f t="array" ref="T1495">index(fish_lab_data!O:O,match(A1495,fish_lab_data!C:C,0))</f>
        <v>JG</v>
      </c>
      <c r="U1495" s="61">
        <f t="array" ref="U1495">if(A1495="","",index(fish_lab_data!X:X,match(A1495,fish_lab_data!C:C,0)))</f>
        <v>1494</v>
      </c>
    </row>
    <row r="1496">
      <c r="A1496" t="str">
        <f>fish_lab_data!C1496</f>
        <v>U16638</v>
      </c>
      <c r="B1496" t="str">
        <f t="array" ref="B1496">iferror(index('rna-muscle'!$I:$I,match($A1496,'rna-muscle'!$A:$A,0)))</f>
        <v>BRN55M-D11</v>
      </c>
      <c r="C1496" t="str">
        <f t="array" ref="C1496">iferror(index('rna-muscle'!$L:$L,match($A1496,'rna-muscle'!$A:$A,0)))</f>
        <v>N</v>
      </c>
      <c r="D1496" t="str">
        <f t="array" ref="D1496">iferror(index('rna-gill'!$I:$I,match($A1496,'rna-gill'!$A:$A,0)))</f>
        <v>BRN55G-D11</v>
      </c>
      <c r="E1496" t="str">
        <f t="array" ref="E1496">iferror(index('rna-gill'!$L:$L,match($A1496,'rna-gill'!$A:$A,0)))</f>
        <v>N</v>
      </c>
      <c r="F1496" t="str">
        <f t="array" ref="F1496">iferror(index(fatty_acid!$G:$G,match($A1496,fatty_acid!$A:$A,0)))</f>
        <v>BFA39-7</v>
      </c>
      <c r="G1496" t="str">
        <f t="array" ref="G1496">iferror(index(fatty_acid!$J:$J,match($A1496,fatty_acid!$A:$A,0)))</f>
        <v>N</v>
      </c>
      <c r="H1496" t="str">
        <f t="array" ref="H1496">iferror(index(isotopes!$G:$G,match($A1496,isotopes!$A:$A,0)))</f>
        <v>BIS42-6</v>
      </c>
      <c r="I1496" t="str">
        <f t="array" ref="I1496">iferror(index(isotopes!$J:$J,match($A1496,isotopes!$A:$A,0)))</f>
        <v>N</v>
      </c>
      <c r="J1496" t="str">
        <f t="array" ref="J1496">iferror(index(extra_muscle!$G:$G,match($A1496,extra_muscle!$A:$A,0)))</f>
        <v>BXM39-50</v>
      </c>
      <c r="K1496" t="str">
        <f t="array" ref="K1496">iferror(index(extra_muscle!$J:$J,match($A1496,extra_muscle!$A:$A,0)))</f>
        <v>N</v>
      </c>
      <c r="L1496" s="59" t="str">
        <f t="array" ref="L1496">iferror(index(dna!$G:$G,match($A1496,dna!$A:$A,0)))</f>
        <v>BDN13-5</v>
      </c>
      <c r="M1496" s="60" t="str">
        <f t="array" ref="M1496">iferror(index(dna!$J:$J,match($A1496,dna!$A:$A,0)))</f>
        <v>N</v>
      </c>
      <c r="N1496" t="str">
        <f t="array" ref="N1496">iferror(index(stomachs!$G:$G,match($A1496,stomachs!$A:$A,0)))</f>
        <v/>
      </c>
      <c r="O1496" t="str">
        <f t="array" ref="O1496">iferror(index(stomachs!$J:$J,match($A1496,stomachs!$A:$A,0)))</f>
        <v/>
      </c>
      <c r="P1496" t="str">
        <f t="array" ref="P1496">iferror(index(sea_lice!$G:$G,match($A1496,sea_lice!$A:$A,0)))</f>
        <v/>
      </c>
      <c r="Q1496" t="str">
        <f t="array" ref="Q1496">iferror(index(sea_lice!$J:$J,match($A1496,sea_lice!$A:$A,0)))</f>
        <v/>
      </c>
      <c r="R1496" s="40" t="str">
        <f t="array" ref="R1496">iferror(index(dissected_fish!$F:$F,match($A1496,dissected_fish!$A:$A,0)))</f>
        <v>BCA112</v>
      </c>
      <c r="S1496" s="40" t="str">
        <f t="array" ref="S1496">iferror(index(dissected_fish!$K:$K,match($A1496,dissected_fish!$A:$A,0)))</f>
        <v>N</v>
      </c>
      <c r="T1496" s="61" t="str">
        <f t="array" ref="T1496">index(fish_lab_data!O:O,match(A1496,fish_lab_data!C:C,0))</f>
        <v>JG</v>
      </c>
      <c r="U1496" s="61">
        <f t="array" ref="U1496">if(A1496="","",index(fish_lab_data!X:X,match(A1496,fish_lab_data!C:C,0)))</f>
        <v>1495</v>
      </c>
    </row>
    <row r="1497" ht="13.5" customHeight="1">
      <c r="A1497" t="str">
        <f>fish_lab_data!C1497</f>
        <v>U16775</v>
      </c>
      <c r="B1497" t="str">
        <f t="array" ref="B1497">iferror(index('rna-muscle'!$I:$I,match($A1497,'rna-muscle'!$A:$A,0)))</f>
        <v>BRN53M-H10</v>
      </c>
      <c r="C1497" t="str">
        <f t="array" ref="C1497">iferror(index('rna-muscle'!$L:$L,match($A1497,'rna-muscle'!$A:$A,0)))</f>
        <v>N</v>
      </c>
      <c r="D1497" t="str">
        <f t="array" ref="D1497">iferror(index('rna-gill'!$I:$I,match($A1497,'rna-gill'!$A:$A,0)))</f>
        <v>BRN53G-H10</v>
      </c>
      <c r="E1497" t="str">
        <f t="array" ref="E1497">iferror(index('rna-gill'!$L:$L,match($A1497,'rna-gill'!$A:$A,0)))</f>
        <v>N</v>
      </c>
      <c r="F1497" t="str">
        <f t="array" ref="F1497">iferror(index(fatty_acid!$G:$G,match($A1497,fatty_acid!$A:$A,0)))</f>
        <v>BFA38-10</v>
      </c>
      <c r="G1497" t="str">
        <f t="array" ref="G1497">iferror(index(fatty_acid!$J:$J,match($A1497,fatty_acid!$A:$A,0)))</f>
        <v>N</v>
      </c>
      <c r="H1497" t="str">
        <f t="array" ref="H1497">iferror(index(isotopes!$G:$G,match($A1497,isotopes!$A:$A,0)))</f>
        <v>BIS41-10</v>
      </c>
      <c r="I1497" t="str">
        <f t="array" ref="I1497">iferror(index(isotopes!$J:$J,match($A1497,isotopes!$A:$A,0)))</f>
        <v>N</v>
      </c>
      <c r="J1497" t="str">
        <f t="array" ref="J1497">iferror(index(extra_muscle!$G:$G,match($A1497,extra_muscle!$A:$A,0)))</f>
        <v>BXM40-10</v>
      </c>
      <c r="K1497" t="str">
        <f t="array" ref="K1497">iferror(index(extra_muscle!$J:$J,match($A1497,extra_muscle!$A:$A,0)))</f>
        <v>N</v>
      </c>
      <c r="L1497" s="59" t="str">
        <f t="array" ref="L1497">iferror(index(dna!$G:$G,match($A1497,dna!$A:$A,0)))</f>
        <v>BDN12-67</v>
      </c>
      <c r="M1497" s="60" t="str">
        <f t="array" ref="M1497">iferror(index(dna!$J:$J,match($A1497,dna!$A:$A,0)))</f>
        <v>N</v>
      </c>
      <c r="N1497" t="str">
        <f t="array" ref="N1497">iferror(index(stomachs!$G:$G,match($A1497,stomachs!$A:$A,0)))</f>
        <v/>
      </c>
      <c r="O1497" t="str">
        <f t="array" ref="O1497">iferror(index(stomachs!$J:$J,match($A1497,stomachs!$A:$A,0)))</f>
        <v/>
      </c>
      <c r="P1497" t="str">
        <f t="array" ref="P1497">iferror(index(sea_lice!$G:$G,match($A1497,sea_lice!$A:$A,0)))</f>
        <v/>
      </c>
      <c r="Q1497" t="str">
        <f t="array" ref="Q1497">iferror(index(sea_lice!$J:$J,match($A1497,sea_lice!$A:$A,0)))</f>
        <v/>
      </c>
      <c r="R1497" s="40" t="str">
        <f t="array" ref="R1497">iferror(index(dissected_fish!$F:$F,match($A1497,dissected_fish!$A:$A,0)))</f>
        <v>BCA112</v>
      </c>
      <c r="S1497" s="40" t="str">
        <f t="array" ref="S1497">iferror(index(dissected_fish!$K:$K,match($A1497,dissected_fish!$A:$A,0)))</f>
        <v>N</v>
      </c>
      <c r="T1497" s="61" t="str">
        <f t="array" ref="T1497">index(fish_lab_data!O:O,match(A1497,fish_lab_data!C:C,0))</f>
        <v>KB</v>
      </c>
      <c r="U1497" s="61">
        <f t="array" ref="U1497">if(A1497="","",index(fish_lab_data!X:X,match(A1497,fish_lab_data!C:C,0)))</f>
        <v>1496</v>
      </c>
    </row>
    <row r="1498">
      <c r="A1498" t="str">
        <f>fish_lab_data!C1498</f>
        <v>U16772</v>
      </c>
      <c r="B1498" t="str">
        <f t="array" ref="B1498">iferror(index('rna-muscle'!$I:$I,match($A1498,'rna-muscle'!$A:$A,0)))</f>
        <v>BRN53M-G10</v>
      </c>
      <c r="C1498" t="str">
        <f t="array" ref="C1498">iferror(index('rna-muscle'!$L:$L,match($A1498,'rna-muscle'!$A:$A,0)))</f>
        <v>N</v>
      </c>
      <c r="D1498" t="str">
        <f t="array" ref="D1498">iferror(index('rna-gill'!$I:$I,match($A1498,'rna-gill'!$A:$A,0)))</f>
        <v>BRN53G-G10</v>
      </c>
      <c r="E1498" t="str">
        <f t="array" ref="E1498">iferror(index('rna-gill'!$L:$L,match($A1498,'rna-gill'!$A:$A,0)))</f>
        <v>N</v>
      </c>
      <c r="F1498" t="str">
        <f t="array" ref="F1498">iferror(index(fatty_acid!$G:$G,match($A1498,fatty_acid!$A:$A,0)))</f>
        <v>BFA38-11</v>
      </c>
      <c r="G1498" t="str">
        <f t="array" ref="G1498">iferror(index(fatty_acid!$J:$J,match($A1498,fatty_acid!$A:$A,0)))</f>
        <v>N</v>
      </c>
      <c r="H1498" t="str">
        <f t="array" ref="H1498">iferror(index(isotopes!$G:$G,match($A1498,isotopes!$A:$A,0)))</f>
        <v>BIS41-11</v>
      </c>
      <c r="I1498" t="str">
        <f t="array" ref="I1498">iferror(index(isotopes!$J:$J,match($A1498,isotopes!$A:$A,0)))</f>
        <v>N</v>
      </c>
      <c r="J1498" t="str">
        <f t="array" ref="J1498">iferror(index(extra_muscle!$G:$G,match($A1498,extra_muscle!$A:$A,0)))</f>
        <v>BXM40-11</v>
      </c>
      <c r="K1498" t="str">
        <f t="array" ref="K1498">iferror(index(extra_muscle!$J:$J,match($A1498,extra_muscle!$A:$A,0)))</f>
        <v>N</v>
      </c>
      <c r="L1498" s="59" t="str">
        <f t="array" ref="L1498">iferror(index(dna!$G:$G,match($A1498,dna!$A:$A,0)))</f>
        <v>BDN12-68</v>
      </c>
      <c r="M1498" s="60" t="str">
        <f t="array" ref="M1498">iferror(index(dna!$J:$J,match($A1498,dna!$A:$A,0)))</f>
        <v>N</v>
      </c>
      <c r="N1498" t="str">
        <f t="array" ref="N1498">iferror(index(stomachs!$G:$G,match($A1498,stomachs!$A:$A,0)))</f>
        <v/>
      </c>
      <c r="O1498" t="str">
        <f t="array" ref="O1498">iferror(index(stomachs!$J:$J,match($A1498,stomachs!$A:$A,0)))</f>
        <v/>
      </c>
      <c r="P1498" t="str">
        <f t="array" ref="P1498">iferror(index(sea_lice!$G:$G,match($A1498,sea_lice!$A:$A,0)))</f>
        <v>BSL8-66</v>
      </c>
      <c r="Q1498" t="str">
        <f t="array" ref="Q1498">iferror(index(sea_lice!$J:$J,match($A1498,sea_lice!$A:$A,0)))</f>
        <v>N</v>
      </c>
      <c r="R1498" s="40" t="str">
        <f t="array" ref="R1498">iferror(index(dissected_fish!$F:$F,match($A1498,dissected_fish!$A:$A,0)))</f>
        <v>BCA112</v>
      </c>
      <c r="S1498" s="40" t="str">
        <f t="array" ref="S1498">iferror(index(dissected_fish!$K:$K,match($A1498,dissected_fish!$A:$A,0)))</f>
        <v>N</v>
      </c>
      <c r="T1498" s="61" t="str">
        <f t="array" ref="T1498">index(fish_lab_data!O:O,match(A1498,fish_lab_data!C:C,0))</f>
        <v>KB</v>
      </c>
      <c r="U1498" s="61">
        <f t="array" ref="U1498">if(A1498="","",index(fish_lab_data!X:X,match(A1498,fish_lab_data!C:C,0)))</f>
        <v>1497</v>
      </c>
    </row>
    <row r="1499">
      <c r="A1499" t="str">
        <f>fish_lab_data!C1499</f>
        <v>U16778</v>
      </c>
      <c r="B1499" t="str">
        <f t="array" ref="B1499">iferror(index('rna-muscle'!$I:$I,match($A1499,'rna-muscle'!$A:$A,0)))</f>
        <v>BRN53M-F10</v>
      </c>
      <c r="C1499" t="str">
        <f t="array" ref="C1499">iferror(index('rna-muscle'!$L:$L,match($A1499,'rna-muscle'!$A:$A,0)))</f>
        <v>N</v>
      </c>
      <c r="D1499" t="str">
        <f t="array" ref="D1499">iferror(index('rna-gill'!$I:$I,match($A1499,'rna-gill'!$A:$A,0)))</f>
        <v>BRN53G-F10</v>
      </c>
      <c r="E1499" t="str">
        <f t="array" ref="E1499">iferror(index('rna-gill'!$L:$L,match($A1499,'rna-gill'!$A:$A,0)))</f>
        <v>N</v>
      </c>
      <c r="F1499" t="str">
        <f t="array" ref="F1499">iferror(index(fatty_acid!$G:$G,match($A1499,fatty_acid!$A:$A,0)))</f>
        <v>BFA38-12</v>
      </c>
      <c r="G1499" t="str">
        <f t="array" ref="G1499">iferror(index(fatty_acid!$J:$J,match($A1499,fatty_acid!$A:$A,0)))</f>
        <v>N</v>
      </c>
      <c r="H1499" t="str">
        <f t="array" ref="H1499">iferror(index(isotopes!$G:$G,match($A1499,isotopes!$A:$A,0)))</f>
        <v>BIS41-12</v>
      </c>
      <c r="I1499" t="str">
        <f t="array" ref="I1499">iferror(index(isotopes!$J:$J,match($A1499,isotopes!$A:$A,0)))</f>
        <v>N</v>
      </c>
      <c r="J1499" t="str">
        <f t="array" ref="J1499">iferror(index(extra_muscle!$G:$G,match($A1499,extra_muscle!$A:$A,0)))</f>
        <v>BXM40-12</v>
      </c>
      <c r="K1499" t="str">
        <f t="array" ref="K1499">iferror(index(extra_muscle!$J:$J,match($A1499,extra_muscle!$A:$A,0)))</f>
        <v>N</v>
      </c>
      <c r="L1499" s="59" t="str">
        <f t="array" ref="L1499">iferror(index(dna!$G:$G,match($A1499,dna!$A:$A,0)))</f>
        <v>BDN12-69</v>
      </c>
      <c r="M1499" s="60" t="str">
        <f t="array" ref="M1499">iferror(index(dna!$J:$J,match($A1499,dna!$A:$A,0)))</f>
        <v>N</v>
      </c>
      <c r="N1499" t="str">
        <f t="array" ref="N1499">iferror(index(stomachs!$G:$G,match($A1499,stomachs!$A:$A,0)))</f>
        <v/>
      </c>
      <c r="O1499" t="str">
        <f t="array" ref="O1499">iferror(index(stomachs!$J:$J,match($A1499,stomachs!$A:$A,0)))</f>
        <v/>
      </c>
      <c r="P1499" t="str">
        <f t="array" ref="P1499">iferror(index(sea_lice!$G:$G,match($A1499,sea_lice!$A:$A,0)))</f>
        <v/>
      </c>
      <c r="Q1499" t="str">
        <f t="array" ref="Q1499">iferror(index(sea_lice!$J:$J,match($A1499,sea_lice!$A:$A,0)))</f>
        <v/>
      </c>
      <c r="R1499" s="40" t="str">
        <f t="array" ref="R1499">iferror(index(dissected_fish!$F:$F,match($A1499,dissected_fish!$A:$A,0)))</f>
        <v>BCA112</v>
      </c>
      <c r="S1499" s="40" t="str">
        <f t="array" ref="S1499">iferror(index(dissected_fish!$K:$K,match($A1499,dissected_fish!$A:$A,0)))</f>
        <v>N</v>
      </c>
      <c r="T1499" s="61" t="str">
        <f t="array" ref="T1499">index(fish_lab_data!O:O,match(A1499,fish_lab_data!C:C,0))</f>
        <v>KB</v>
      </c>
      <c r="U1499" s="61">
        <f t="array" ref="U1499">if(A1499="","",index(fish_lab_data!X:X,match(A1499,fish_lab_data!C:C,0)))</f>
        <v>1498</v>
      </c>
    </row>
    <row r="1500">
      <c r="A1500" t="str">
        <f>fish_lab_data!C1500</f>
        <v>U16777</v>
      </c>
      <c r="B1500" t="str">
        <f t="array" ref="B1500">iferror(index('rna-muscle'!$I:$I,match($A1500,'rna-muscle'!$A:$A,0)))</f>
        <v>BRN53M-E10</v>
      </c>
      <c r="C1500" t="str">
        <f t="array" ref="C1500">iferror(index('rna-muscle'!$L:$L,match($A1500,'rna-muscle'!$A:$A,0)))</f>
        <v>N</v>
      </c>
      <c r="D1500" t="str">
        <f t="array" ref="D1500">iferror(index('rna-gill'!$I:$I,match($A1500,'rna-gill'!$A:$A,0)))</f>
        <v>BRN53G-E10</v>
      </c>
      <c r="E1500" t="str">
        <f t="array" ref="E1500">iferror(index('rna-gill'!$L:$L,match($A1500,'rna-gill'!$A:$A,0)))</f>
        <v>N</v>
      </c>
      <c r="F1500" t="str">
        <f t="array" ref="F1500">iferror(index(fatty_acid!$G:$G,match($A1500,fatty_acid!$A:$A,0)))</f>
        <v>BFA38-13</v>
      </c>
      <c r="G1500" t="str">
        <f t="array" ref="G1500">iferror(index(fatty_acid!$J:$J,match($A1500,fatty_acid!$A:$A,0)))</f>
        <v>N</v>
      </c>
      <c r="H1500" t="str">
        <f t="array" ref="H1500">iferror(index(isotopes!$G:$G,match($A1500,isotopes!$A:$A,0)))</f>
        <v>BIS41-13</v>
      </c>
      <c r="I1500" t="str">
        <f t="array" ref="I1500">iferror(index(isotopes!$J:$J,match($A1500,isotopes!$A:$A,0)))</f>
        <v>N</v>
      </c>
      <c r="J1500" t="str">
        <f t="array" ref="J1500">iferror(index(extra_muscle!$G:$G,match($A1500,extra_muscle!$A:$A,0)))</f>
        <v>BXM40-13</v>
      </c>
      <c r="K1500" t="str">
        <f t="array" ref="K1500">iferror(index(extra_muscle!$J:$J,match($A1500,extra_muscle!$A:$A,0)))</f>
        <v>N</v>
      </c>
      <c r="L1500" s="59" t="str">
        <f t="array" ref="L1500">iferror(index(dna!$G:$G,match($A1500,dna!$A:$A,0)))</f>
        <v>BDN12-70</v>
      </c>
      <c r="M1500" s="60" t="str">
        <f t="array" ref="M1500">iferror(index(dna!$J:$J,match($A1500,dna!$A:$A,0)))</f>
        <v>N</v>
      </c>
      <c r="N1500" t="str">
        <f t="array" ref="N1500">iferror(index(stomachs!$G:$G,match($A1500,stomachs!$A:$A,0)))</f>
        <v/>
      </c>
      <c r="O1500" t="str">
        <f t="array" ref="O1500">iferror(index(stomachs!$J:$J,match($A1500,stomachs!$A:$A,0)))</f>
        <v/>
      </c>
      <c r="P1500" t="str">
        <f t="array" ref="P1500">iferror(index(sea_lice!$G:$G,match($A1500,sea_lice!$A:$A,0)))</f>
        <v/>
      </c>
      <c r="Q1500" t="str">
        <f t="array" ref="Q1500">iferror(index(sea_lice!$J:$J,match($A1500,sea_lice!$A:$A,0)))</f>
        <v/>
      </c>
      <c r="R1500" s="40" t="str">
        <f t="array" ref="R1500">iferror(index(dissected_fish!$F:$F,match($A1500,dissected_fish!$A:$A,0)))</f>
        <v>BCA112</v>
      </c>
      <c r="S1500" s="40" t="str">
        <f t="array" ref="S1500">iferror(index(dissected_fish!$K:$K,match($A1500,dissected_fish!$A:$A,0)))</f>
        <v>N</v>
      </c>
      <c r="T1500" s="61" t="str">
        <f t="array" ref="T1500">index(fish_lab_data!O:O,match(A1500,fish_lab_data!C:C,0))</f>
        <v>KB</v>
      </c>
      <c r="U1500" s="61">
        <f t="array" ref="U1500">if(A1500="","",index(fish_lab_data!X:X,match(A1500,fish_lab_data!C:C,0)))</f>
        <v>1499</v>
      </c>
    </row>
    <row r="1501">
      <c r="A1501" t="str">
        <f>fish_lab_data!C1501</f>
        <v>U16091</v>
      </c>
      <c r="B1501" t="str">
        <f t="array" ref="B1501">iferror(index('rna-muscle'!$I:$I,match($A1501,'rna-muscle'!$A:$A,0)))</f>
        <v>BRN53M-D10</v>
      </c>
      <c r="C1501" t="str">
        <f t="array" ref="C1501">iferror(index('rna-muscle'!$L:$L,match($A1501,'rna-muscle'!$A:$A,0)))</f>
        <v>N</v>
      </c>
      <c r="D1501" t="str">
        <f t="array" ref="D1501">iferror(index('rna-gill'!$I:$I,match($A1501,'rna-gill'!$A:$A,0)))</f>
        <v>BRN53G-D10</v>
      </c>
      <c r="E1501" t="str">
        <f t="array" ref="E1501">iferror(index('rna-gill'!$L:$L,match($A1501,'rna-gill'!$A:$A,0)))</f>
        <v>N</v>
      </c>
      <c r="F1501" t="str">
        <f t="array" ref="F1501">iferror(index(fatty_acid!$G:$G,match($A1501,fatty_acid!$A:$A,0)))</f>
        <v>BFA38-14</v>
      </c>
      <c r="G1501" t="str">
        <f t="array" ref="G1501">iferror(index(fatty_acid!$J:$J,match($A1501,fatty_acid!$A:$A,0)))</f>
        <v>N</v>
      </c>
      <c r="H1501" t="str">
        <f t="array" ref="H1501">iferror(index(isotopes!$G:$G,match($A1501,isotopes!$A:$A,0)))</f>
        <v>BIS41-14</v>
      </c>
      <c r="I1501" t="str">
        <f t="array" ref="I1501">iferror(index(isotopes!$J:$J,match($A1501,isotopes!$A:$A,0)))</f>
        <v>N</v>
      </c>
      <c r="J1501" t="str">
        <f t="array" ref="J1501">iferror(index(extra_muscle!$G:$G,match($A1501,extra_muscle!$A:$A,0)))</f>
        <v>BXM40-14</v>
      </c>
      <c r="K1501" t="str">
        <f t="array" ref="K1501">iferror(index(extra_muscle!$J:$J,match($A1501,extra_muscle!$A:$A,0)))</f>
        <v>N</v>
      </c>
      <c r="L1501" s="59" t="str">
        <f t="array" ref="L1501">iferror(index(dna!$G:$G,match($A1501,dna!$A:$A,0)))</f>
        <v>BDN12-71</v>
      </c>
      <c r="M1501" s="60" t="str">
        <f t="array" ref="M1501">iferror(index(dna!$J:$J,match($A1501,dna!$A:$A,0)))</f>
        <v>N</v>
      </c>
      <c r="N1501" t="str">
        <f t="array" ref="N1501">iferror(index(stomachs!$G:$G,match($A1501,stomachs!$A:$A,0)))</f>
        <v/>
      </c>
      <c r="O1501" t="str">
        <f t="array" ref="O1501">iferror(index(stomachs!$J:$J,match($A1501,stomachs!$A:$A,0)))</f>
        <v/>
      </c>
      <c r="P1501" t="str">
        <f t="array" ref="P1501">iferror(index(sea_lice!$G:$G,match($A1501,sea_lice!$A:$A,0)))</f>
        <v/>
      </c>
      <c r="Q1501" t="str">
        <f t="array" ref="Q1501">iferror(index(sea_lice!$J:$J,match($A1501,sea_lice!$A:$A,0)))</f>
        <v/>
      </c>
      <c r="R1501" s="40" t="str">
        <f t="array" ref="R1501">iferror(index(dissected_fish!$F:$F,match($A1501,dissected_fish!$A:$A,0)))</f>
        <v>BCA112</v>
      </c>
      <c r="S1501" s="40" t="str">
        <f t="array" ref="S1501">iferror(index(dissected_fish!$K:$K,match($A1501,dissected_fish!$A:$A,0)))</f>
        <v>N</v>
      </c>
      <c r="T1501" s="61" t="str">
        <f t="array" ref="T1501">index(fish_lab_data!O:O,match(A1501,fish_lab_data!C:C,0))</f>
        <v>KB</v>
      </c>
      <c r="U1501" s="61">
        <f t="array" ref="U1501">if(A1501="","",index(fish_lab_data!X:X,match(A1501,fish_lab_data!C:C,0)))</f>
        <v>1500</v>
      </c>
    </row>
    <row r="1502">
      <c r="A1502" t="str">
        <f>fish_lab_data!C1502</f>
        <v>U16097</v>
      </c>
      <c r="B1502" t="str">
        <f t="array" ref="B1502">iferror(index('rna-muscle'!$I:$I,match($A1502,'rna-muscle'!$A:$A,0)))</f>
        <v>BRN53M-C10</v>
      </c>
      <c r="C1502" t="str">
        <f t="array" ref="C1502">iferror(index('rna-muscle'!$L:$L,match($A1502,'rna-muscle'!$A:$A,0)))</f>
        <v>N</v>
      </c>
      <c r="D1502" t="str">
        <f t="array" ref="D1502">iferror(index('rna-gill'!$I:$I,match($A1502,'rna-gill'!$A:$A,0)))</f>
        <v>BRN53G-C10</v>
      </c>
      <c r="E1502" t="str">
        <f t="array" ref="E1502">iferror(index('rna-gill'!$L:$L,match($A1502,'rna-gill'!$A:$A,0)))</f>
        <v>N</v>
      </c>
      <c r="F1502" t="str">
        <f t="array" ref="F1502">iferror(index(fatty_acid!$G:$G,match($A1502,fatty_acid!$A:$A,0)))</f>
        <v>BFA38-15</v>
      </c>
      <c r="G1502" t="str">
        <f t="array" ref="G1502">iferror(index(fatty_acid!$J:$J,match($A1502,fatty_acid!$A:$A,0)))</f>
        <v>N</v>
      </c>
      <c r="H1502" t="str">
        <f t="array" ref="H1502">iferror(index(isotopes!$G:$G,match($A1502,isotopes!$A:$A,0)))</f>
        <v>BIS41-15</v>
      </c>
      <c r="I1502" t="str">
        <f t="array" ref="I1502">iferror(index(isotopes!$J:$J,match($A1502,isotopes!$A:$A,0)))</f>
        <v>N</v>
      </c>
      <c r="J1502" t="str">
        <f t="array" ref="J1502">iferror(index(extra_muscle!$G:$G,match($A1502,extra_muscle!$A:$A,0)))</f>
        <v>BXM40-15</v>
      </c>
      <c r="K1502" t="str">
        <f t="array" ref="K1502">iferror(index(extra_muscle!$J:$J,match($A1502,extra_muscle!$A:$A,0)))</f>
        <v>N</v>
      </c>
      <c r="L1502" s="59" t="str">
        <f t="array" ref="L1502">iferror(index(dna!$G:$G,match($A1502,dna!$A:$A,0)))</f>
        <v>BDN12-72</v>
      </c>
      <c r="M1502" s="60" t="str">
        <f t="array" ref="M1502">iferror(index(dna!$J:$J,match($A1502,dna!$A:$A,0)))</f>
        <v>N</v>
      </c>
      <c r="N1502" t="str">
        <f t="array" ref="N1502">iferror(index(stomachs!$G:$G,match($A1502,stomachs!$A:$A,0)))</f>
        <v/>
      </c>
      <c r="O1502" t="str">
        <f t="array" ref="O1502">iferror(index(stomachs!$J:$J,match($A1502,stomachs!$A:$A,0)))</f>
        <v/>
      </c>
      <c r="P1502" t="str">
        <f t="array" ref="P1502">iferror(index(sea_lice!$G:$G,match($A1502,sea_lice!$A:$A,0)))</f>
        <v/>
      </c>
      <c r="Q1502" t="str">
        <f t="array" ref="Q1502">iferror(index(sea_lice!$J:$J,match($A1502,sea_lice!$A:$A,0)))</f>
        <v/>
      </c>
      <c r="R1502" s="40" t="str">
        <f t="array" ref="R1502">iferror(index(dissected_fish!$F:$F,match($A1502,dissected_fish!$A:$A,0)))</f>
        <v>BCA112</v>
      </c>
      <c r="S1502" s="40" t="str">
        <f t="array" ref="S1502">iferror(index(dissected_fish!$K:$K,match($A1502,dissected_fish!$A:$A,0)))</f>
        <v>N</v>
      </c>
      <c r="T1502" s="61" t="str">
        <f t="array" ref="T1502">index(fish_lab_data!O:O,match(A1502,fish_lab_data!C:C,0))</f>
        <v>KB</v>
      </c>
      <c r="U1502" s="61">
        <f t="array" ref="U1502">if(A1502="","",index(fish_lab_data!X:X,match(A1502,fish_lab_data!C:C,0)))</f>
        <v>1501</v>
      </c>
    </row>
    <row r="1503">
      <c r="A1503" t="str">
        <f>fish_lab_data!C1503</f>
        <v>U16093</v>
      </c>
      <c r="B1503" t="str">
        <f t="array" ref="B1503">iferror(index('rna-muscle'!$I:$I,match($A1503,'rna-muscle'!$A:$A,0)))</f>
        <v>BRN53M-B10</v>
      </c>
      <c r="C1503" t="str">
        <f t="array" ref="C1503">iferror(index('rna-muscle'!$L:$L,match($A1503,'rna-muscle'!$A:$A,0)))</f>
        <v>N</v>
      </c>
      <c r="D1503" t="str">
        <f t="array" ref="D1503">iferror(index('rna-gill'!$I:$I,match($A1503,'rna-gill'!$A:$A,0)))</f>
        <v>BRN53G-B10</v>
      </c>
      <c r="E1503" t="str">
        <f t="array" ref="E1503">iferror(index('rna-gill'!$L:$L,match($A1503,'rna-gill'!$A:$A,0)))</f>
        <v>N</v>
      </c>
      <c r="F1503" t="str">
        <f t="array" ref="F1503">iferror(index(fatty_acid!$G:$G,match($A1503,fatty_acid!$A:$A,0)))</f>
        <v>BFA38-16</v>
      </c>
      <c r="G1503" t="str">
        <f t="array" ref="G1503">iferror(index(fatty_acid!$J:$J,match($A1503,fatty_acid!$A:$A,0)))</f>
        <v>N</v>
      </c>
      <c r="H1503" t="str">
        <f t="array" ref="H1503">iferror(index(isotopes!$G:$G,match($A1503,isotopes!$A:$A,0)))</f>
        <v>BIS41-16</v>
      </c>
      <c r="I1503" t="str">
        <f t="array" ref="I1503">iferror(index(isotopes!$J:$J,match($A1503,isotopes!$A:$A,0)))</f>
        <v>N</v>
      </c>
      <c r="J1503" t="str">
        <f t="array" ref="J1503">iferror(index(extra_muscle!$G:$G,match($A1503,extra_muscle!$A:$A,0)))</f>
        <v>BXM40-16</v>
      </c>
      <c r="K1503" t="str">
        <f t="array" ref="K1503">iferror(index(extra_muscle!$J:$J,match($A1503,extra_muscle!$A:$A,0)))</f>
        <v>N</v>
      </c>
      <c r="L1503" s="59" t="str">
        <f t="array" ref="L1503">iferror(index(dna!$G:$G,match($A1503,dna!$A:$A,0)))</f>
        <v>BDN12-73</v>
      </c>
      <c r="M1503" s="60" t="str">
        <f t="array" ref="M1503">iferror(index(dna!$J:$J,match($A1503,dna!$A:$A,0)))</f>
        <v>N</v>
      </c>
      <c r="N1503" t="str">
        <f t="array" ref="N1503">iferror(index(stomachs!$G:$G,match($A1503,stomachs!$A:$A,0)))</f>
        <v/>
      </c>
      <c r="O1503" t="str">
        <f t="array" ref="O1503">iferror(index(stomachs!$J:$J,match($A1503,stomachs!$A:$A,0)))</f>
        <v/>
      </c>
      <c r="P1503" t="str">
        <f t="array" ref="P1503">iferror(index(sea_lice!$G:$G,match($A1503,sea_lice!$A:$A,0)))</f>
        <v/>
      </c>
      <c r="Q1503" t="str">
        <f t="array" ref="Q1503">iferror(index(sea_lice!$J:$J,match($A1503,sea_lice!$A:$A,0)))</f>
        <v/>
      </c>
      <c r="R1503" s="40" t="str">
        <f t="array" ref="R1503">iferror(index(dissected_fish!$F:$F,match($A1503,dissected_fish!$A:$A,0)))</f>
        <v>BCA112</v>
      </c>
      <c r="S1503" s="40" t="str">
        <f t="array" ref="S1503">iferror(index(dissected_fish!$K:$K,match($A1503,dissected_fish!$A:$A,0)))</f>
        <v>N</v>
      </c>
      <c r="T1503" s="61" t="str">
        <f t="array" ref="T1503">index(fish_lab_data!O:O,match(A1503,fish_lab_data!C:C,0))</f>
        <v>KB</v>
      </c>
      <c r="U1503" s="61">
        <f t="array" ref="U1503">if(A1503="","",index(fish_lab_data!X:X,match(A1503,fish_lab_data!C:C,0)))</f>
        <v>1502</v>
      </c>
    </row>
    <row r="1504">
      <c r="A1504" t="str">
        <f>fish_lab_data!C1504</f>
        <v>U16092</v>
      </c>
      <c r="B1504" t="str">
        <f t="array" ref="B1504">iferror(index('rna-muscle'!$I:$I,match($A1504,'rna-muscle'!$A:$A,0)))</f>
        <v>BRN53M-A10</v>
      </c>
      <c r="C1504" t="str">
        <f t="array" ref="C1504">iferror(index('rna-muscle'!$L:$L,match($A1504,'rna-muscle'!$A:$A,0)))</f>
        <v>N</v>
      </c>
      <c r="D1504" t="str">
        <f t="array" ref="D1504">iferror(index('rna-gill'!$I:$I,match($A1504,'rna-gill'!$A:$A,0)))</f>
        <v>BRN53G-A10</v>
      </c>
      <c r="E1504" t="str">
        <f t="array" ref="E1504">iferror(index('rna-gill'!$L:$L,match($A1504,'rna-gill'!$A:$A,0)))</f>
        <v>N</v>
      </c>
      <c r="F1504" t="str">
        <f t="array" ref="F1504">iferror(index(fatty_acid!$G:$G,match($A1504,fatty_acid!$A:$A,0)))</f>
        <v>BFA38-17</v>
      </c>
      <c r="G1504" t="str">
        <f t="array" ref="G1504">iferror(index(fatty_acid!$J:$J,match($A1504,fatty_acid!$A:$A,0)))</f>
        <v>N</v>
      </c>
      <c r="H1504" t="str">
        <f t="array" ref="H1504">iferror(index(isotopes!$G:$G,match($A1504,isotopes!$A:$A,0)))</f>
        <v>BIS41-17</v>
      </c>
      <c r="I1504" t="str">
        <f t="array" ref="I1504">iferror(index(isotopes!$J:$J,match($A1504,isotopes!$A:$A,0)))</f>
        <v>N</v>
      </c>
      <c r="J1504" t="str">
        <f t="array" ref="J1504">iferror(index(extra_muscle!$G:$G,match($A1504,extra_muscle!$A:$A,0)))</f>
        <v>BXM40-17</v>
      </c>
      <c r="K1504" t="str">
        <f t="array" ref="K1504">iferror(index(extra_muscle!$J:$J,match($A1504,extra_muscle!$A:$A,0)))</f>
        <v>N</v>
      </c>
      <c r="L1504" s="59" t="str">
        <f t="array" ref="L1504">iferror(index(dna!$G:$G,match($A1504,dna!$A:$A,0)))</f>
        <v>BDN12-74</v>
      </c>
      <c r="M1504" s="60" t="str">
        <f t="array" ref="M1504">iferror(index(dna!$J:$J,match($A1504,dna!$A:$A,0)))</f>
        <v>N</v>
      </c>
      <c r="N1504" t="str">
        <f t="array" ref="N1504">iferror(index(stomachs!$G:$G,match($A1504,stomachs!$A:$A,0)))</f>
        <v/>
      </c>
      <c r="O1504" t="str">
        <f t="array" ref="O1504">iferror(index(stomachs!$J:$J,match($A1504,stomachs!$A:$A,0)))</f>
        <v/>
      </c>
      <c r="P1504" t="str">
        <f t="array" ref="P1504">iferror(index(sea_lice!$G:$G,match($A1504,sea_lice!$A:$A,0)))</f>
        <v>BSL8-67</v>
      </c>
      <c r="Q1504" t="str">
        <f t="array" ref="Q1504">iferror(index(sea_lice!$J:$J,match($A1504,sea_lice!$A:$A,0)))</f>
        <v>N</v>
      </c>
      <c r="R1504" s="40" t="str">
        <f t="array" ref="R1504">iferror(index(dissected_fish!$F:$F,match($A1504,dissected_fish!$A:$A,0)))</f>
        <v>BCA112</v>
      </c>
      <c r="S1504" s="40" t="str">
        <f t="array" ref="S1504">iferror(index(dissected_fish!$K:$K,match($A1504,dissected_fish!$A:$A,0)))</f>
        <v>N</v>
      </c>
      <c r="T1504" s="61" t="str">
        <f t="array" ref="T1504">index(fish_lab_data!O:O,match(A1504,fish_lab_data!C:C,0))</f>
        <v>KB</v>
      </c>
      <c r="U1504" s="61">
        <f t="array" ref="U1504">if(A1504="","",index(fish_lab_data!X:X,match(A1504,fish_lab_data!C:C,0)))</f>
        <v>1503</v>
      </c>
    </row>
    <row r="1505">
      <c r="A1505" t="str">
        <f>fish_lab_data!C1505</f>
        <v>U16095</v>
      </c>
      <c r="B1505" t="str">
        <f t="array" ref="B1505">iferror(index('rna-muscle'!$I:$I,match($A1505,'rna-muscle'!$A:$A,0)))</f>
        <v>BRN53M-H11</v>
      </c>
      <c r="C1505" t="str">
        <f t="array" ref="C1505">iferror(index('rna-muscle'!$L:$L,match($A1505,'rna-muscle'!$A:$A,0)))</f>
        <v>N</v>
      </c>
      <c r="D1505" t="str">
        <f t="array" ref="D1505">iferror(index('rna-gill'!$I:$I,match($A1505,'rna-gill'!$A:$A,0)))</f>
        <v>BRN53G-H11</v>
      </c>
      <c r="E1505" t="str">
        <f t="array" ref="E1505">iferror(index('rna-gill'!$L:$L,match($A1505,'rna-gill'!$A:$A,0)))</f>
        <v>N</v>
      </c>
      <c r="F1505" t="str">
        <f t="array" ref="F1505">iferror(index(fatty_acid!$G:$G,match($A1505,fatty_acid!$A:$A,0)))</f>
        <v>BFA38-18</v>
      </c>
      <c r="G1505" t="str">
        <f t="array" ref="G1505">iferror(index(fatty_acid!$J:$J,match($A1505,fatty_acid!$A:$A,0)))</f>
        <v>N</v>
      </c>
      <c r="H1505" t="str">
        <f t="array" ref="H1505">iferror(index(isotopes!$G:$G,match($A1505,isotopes!$A:$A,0)))</f>
        <v>BIS41-18</v>
      </c>
      <c r="I1505" t="str">
        <f t="array" ref="I1505">iferror(index(isotopes!$J:$J,match($A1505,isotopes!$A:$A,0)))</f>
        <v>N</v>
      </c>
      <c r="J1505" t="str">
        <f t="array" ref="J1505">iferror(index(extra_muscle!$G:$G,match($A1505,extra_muscle!$A:$A,0)))</f>
        <v>BXM40-18</v>
      </c>
      <c r="K1505" t="str">
        <f t="array" ref="K1505">iferror(index(extra_muscle!$J:$J,match($A1505,extra_muscle!$A:$A,0)))</f>
        <v>N</v>
      </c>
      <c r="L1505" s="59" t="str">
        <f t="array" ref="L1505">iferror(index(dna!$G:$G,match($A1505,dna!$A:$A,0)))</f>
        <v>BDN12-75</v>
      </c>
      <c r="M1505" s="60" t="str">
        <f t="array" ref="M1505">iferror(index(dna!$J:$J,match($A1505,dna!$A:$A,0)))</f>
        <v>N</v>
      </c>
      <c r="N1505" t="str">
        <f t="array" ref="N1505">iferror(index(stomachs!$G:$G,match($A1505,stomachs!$A:$A,0)))</f>
        <v/>
      </c>
      <c r="O1505" t="str">
        <f t="array" ref="O1505">iferror(index(stomachs!$J:$J,match($A1505,stomachs!$A:$A,0)))</f>
        <v/>
      </c>
      <c r="P1505" t="str">
        <f t="array" ref="P1505">iferror(index(sea_lice!$G:$G,match($A1505,sea_lice!$A:$A,0)))</f>
        <v/>
      </c>
      <c r="Q1505" t="str">
        <f t="array" ref="Q1505">iferror(index(sea_lice!$J:$J,match($A1505,sea_lice!$A:$A,0)))</f>
        <v/>
      </c>
      <c r="R1505" s="40" t="str">
        <f t="array" ref="R1505">iferror(index(dissected_fish!$F:$F,match($A1505,dissected_fish!$A:$A,0)))</f>
        <v>BCA112</v>
      </c>
      <c r="S1505" s="40" t="str">
        <f t="array" ref="S1505">iferror(index(dissected_fish!$K:$K,match($A1505,dissected_fish!$A:$A,0)))</f>
        <v>N</v>
      </c>
      <c r="T1505" s="61" t="str">
        <f t="array" ref="T1505">index(fish_lab_data!O:O,match(A1505,fish_lab_data!C:C,0))</f>
        <v>KB</v>
      </c>
      <c r="U1505" s="61">
        <f t="array" ref="U1505">if(A1505="","",index(fish_lab_data!X:X,match(A1505,fish_lab_data!C:C,0)))</f>
        <v>1504</v>
      </c>
    </row>
    <row r="1506">
      <c r="A1506" t="str">
        <f>fish_lab_data!C1506</f>
        <v>U16098</v>
      </c>
      <c r="B1506" t="str">
        <f t="array" ref="B1506">iferror(index('rna-muscle'!$I:$I,match($A1506,'rna-muscle'!$A:$A,0)))</f>
        <v>BRN53M-G11</v>
      </c>
      <c r="C1506" t="str">
        <f t="array" ref="C1506">iferror(index('rna-muscle'!$L:$L,match($A1506,'rna-muscle'!$A:$A,0)))</f>
        <v>N</v>
      </c>
      <c r="D1506" t="str">
        <f t="array" ref="D1506">iferror(index('rna-gill'!$I:$I,match($A1506,'rna-gill'!$A:$A,0)))</f>
        <v>BRN53G-G11</v>
      </c>
      <c r="E1506" t="str">
        <f t="array" ref="E1506">iferror(index('rna-gill'!$L:$L,match($A1506,'rna-gill'!$A:$A,0)))</f>
        <v>N</v>
      </c>
      <c r="F1506" t="str">
        <f t="array" ref="F1506">iferror(index(fatty_acid!$G:$G,match($A1506,fatty_acid!$A:$A,0)))</f>
        <v>BFA38-19</v>
      </c>
      <c r="G1506" t="str">
        <f t="array" ref="G1506">iferror(index(fatty_acid!$J:$J,match($A1506,fatty_acid!$A:$A,0)))</f>
        <v>N</v>
      </c>
      <c r="H1506" t="str">
        <f t="array" ref="H1506">iferror(index(isotopes!$G:$G,match($A1506,isotopes!$A:$A,0)))</f>
        <v>BIS41-19</v>
      </c>
      <c r="I1506" t="str">
        <f t="array" ref="I1506">iferror(index(isotopes!$J:$J,match($A1506,isotopes!$A:$A,0)))</f>
        <v>N</v>
      </c>
      <c r="J1506" t="str">
        <f t="array" ref="J1506">iferror(index(extra_muscle!$G:$G,match($A1506,extra_muscle!$A:$A,0)))</f>
        <v>BXM40-19</v>
      </c>
      <c r="K1506" t="str">
        <f t="array" ref="K1506">iferror(index(extra_muscle!$J:$J,match($A1506,extra_muscle!$A:$A,0)))</f>
        <v>N</v>
      </c>
      <c r="L1506" s="59" t="str">
        <f t="array" ref="L1506">iferror(index(dna!$G:$G,match($A1506,dna!$A:$A,0)))</f>
        <v>BDN12-76</v>
      </c>
      <c r="M1506" s="60" t="str">
        <f t="array" ref="M1506">iferror(index(dna!$J:$J,match($A1506,dna!$A:$A,0)))</f>
        <v>N</v>
      </c>
      <c r="N1506" t="str">
        <f t="array" ref="N1506">iferror(index(stomachs!$G:$G,match($A1506,stomachs!$A:$A,0)))</f>
        <v/>
      </c>
      <c r="O1506" t="str">
        <f t="array" ref="O1506">iferror(index(stomachs!$J:$J,match($A1506,stomachs!$A:$A,0)))</f>
        <v/>
      </c>
      <c r="P1506" t="str">
        <f t="array" ref="P1506">iferror(index(sea_lice!$G:$G,match($A1506,sea_lice!$A:$A,0)))</f>
        <v/>
      </c>
      <c r="Q1506" t="str">
        <f t="array" ref="Q1506">iferror(index(sea_lice!$J:$J,match($A1506,sea_lice!$A:$A,0)))</f>
        <v/>
      </c>
      <c r="R1506" s="40" t="str">
        <f t="array" ref="R1506">iferror(index(dissected_fish!$F:$F,match($A1506,dissected_fish!$A:$A,0)))</f>
        <v>BCA112</v>
      </c>
      <c r="S1506" s="40" t="str">
        <f t="array" ref="S1506">iferror(index(dissected_fish!$K:$K,match($A1506,dissected_fish!$A:$A,0)))</f>
        <v>N</v>
      </c>
      <c r="T1506" s="61" t="str">
        <f t="array" ref="T1506">index(fish_lab_data!O:O,match(A1506,fish_lab_data!C:C,0))</f>
        <v>KB</v>
      </c>
      <c r="U1506" s="61">
        <f t="array" ref="U1506">if(A1506="","",index(fish_lab_data!X:X,match(A1506,fish_lab_data!C:C,0)))</f>
        <v>1505</v>
      </c>
    </row>
    <row r="1507">
      <c r="A1507" t="str">
        <f>fish_lab_data!C1507</f>
        <v>U16100</v>
      </c>
      <c r="B1507" t="str">
        <f t="array" ref="B1507">iferror(index('rna-muscle'!$I:$I,match($A1507,'rna-muscle'!$A:$A,0)))</f>
        <v>BRN53M-F11</v>
      </c>
      <c r="C1507" t="str">
        <f t="array" ref="C1507">iferror(index('rna-muscle'!$L:$L,match($A1507,'rna-muscle'!$A:$A,0)))</f>
        <v>N</v>
      </c>
      <c r="D1507" t="str">
        <f t="array" ref="D1507">iferror(index('rna-gill'!$I:$I,match($A1507,'rna-gill'!$A:$A,0)))</f>
        <v>BRN53G-F11</v>
      </c>
      <c r="E1507" t="str">
        <f t="array" ref="E1507">iferror(index('rna-gill'!$L:$L,match($A1507,'rna-gill'!$A:$A,0)))</f>
        <v>N</v>
      </c>
      <c r="F1507" t="str">
        <f t="array" ref="F1507">iferror(index(fatty_acid!$G:$G,match($A1507,fatty_acid!$A:$A,0)))</f>
        <v>BFA38-20</v>
      </c>
      <c r="G1507" t="str">
        <f t="array" ref="G1507">iferror(index(fatty_acid!$J:$J,match($A1507,fatty_acid!$A:$A,0)))</f>
        <v>N</v>
      </c>
      <c r="H1507" t="str">
        <f t="array" ref="H1507">iferror(index(isotopes!$G:$G,match($A1507,isotopes!$A:$A,0)))</f>
        <v>BIS41-20</v>
      </c>
      <c r="I1507" t="str">
        <f t="array" ref="I1507">iferror(index(isotopes!$J:$J,match($A1507,isotopes!$A:$A,0)))</f>
        <v>N</v>
      </c>
      <c r="J1507" t="str">
        <f t="array" ref="J1507">iferror(index(extra_muscle!$G:$G,match($A1507,extra_muscle!$A:$A,0)))</f>
        <v>BXM40-20</v>
      </c>
      <c r="K1507" t="str">
        <f t="array" ref="K1507">iferror(index(extra_muscle!$J:$J,match($A1507,extra_muscle!$A:$A,0)))</f>
        <v>N</v>
      </c>
      <c r="L1507" s="59" t="str">
        <f t="array" ref="L1507">iferror(index(dna!$G:$G,match($A1507,dna!$A:$A,0)))</f>
        <v>BDN12-77</v>
      </c>
      <c r="M1507" s="60" t="str">
        <f t="array" ref="M1507">iferror(index(dna!$J:$J,match($A1507,dna!$A:$A,0)))</f>
        <v>N</v>
      </c>
      <c r="N1507" t="str">
        <f t="array" ref="N1507">iferror(index(stomachs!$G:$G,match($A1507,stomachs!$A:$A,0)))</f>
        <v/>
      </c>
      <c r="O1507" t="str">
        <f t="array" ref="O1507">iferror(index(stomachs!$J:$J,match($A1507,stomachs!$A:$A,0)))</f>
        <v/>
      </c>
      <c r="P1507" t="str">
        <f t="array" ref="P1507">iferror(index(sea_lice!$G:$G,match($A1507,sea_lice!$A:$A,0)))</f>
        <v/>
      </c>
      <c r="Q1507" t="str">
        <f t="array" ref="Q1507">iferror(index(sea_lice!$J:$J,match($A1507,sea_lice!$A:$A,0)))</f>
        <v/>
      </c>
      <c r="R1507" s="40" t="str">
        <f t="array" ref="R1507">iferror(index(dissected_fish!$F:$F,match($A1507,dissected_fish!$A:$A,0)))</f>
        <v>BCA112</v>
      </c>
      <c r="S1507" s="40" t="str">
        <f t="array" ref="S1507">iferror(index(dissected_fish!$K:$K,match($A1507,dissected_fish!$A:$A,0)))</f>
        <v>N</v>
      </c>
      <c r="T1507" s="61" t="str">
        <f t="array" ref="T1507">index(fish_lab_data!O:O,match(A1507,fish_lab_data!C:C,0))</f>
        <v>KB</v>
      </c>
      <c r="U1507" s="61">
        <f t="array" ref="U1507">if(A1507="","",index(fish_lab_data!X:X,match(A1507,fish_lab_data!C:C,0)))</f>
        <v>1506</v>
      </c>
    </row>
    <row r="1508">
      <c r="A1508" t="str">
        <f>fish_lab_data!C1508</f>
        <v>U16096</v>
      </c>
      <c r="B1508" t="str">
        <f t="array" ref="B1508">iferror(index('rna-muscle'!$I:$I,match($A1508,'rna-muscle'!$A:$A,0)))</f>
        <v>BRN53M-E11</v>
      </c>
      <c r="C1508" t="str">
        <f t="array" ref="C1508">iferror(index('rna-muscle'!$L:$L,match($A1508,'rna-muscle'!$A:$A,0)))</f>
        <v>N</v>
      </c>
      <c r="D1508" t="str">
        <f t="array" ref="D1508">iferror(index('rna-gill'!$I:$I,match($A1508,'rna-gill'!$A:$A,0)))</f>
        <v>BRN53G-E11</v>
      </c>
      <c r="E1508" t="str">
        <f t="array" ref="E1508">iferror(index('rna-gill'!$L:$L,match($A1508,'rna-gill'!$A:$A,0)))</f>
        <v>N</v>
      </c>
      <c r="F1508" t="str">
        <f t="array" ref="F1508">iferror(index(fatty_acid!$G:$G,match($A1508,fatty_acid!$A:$A,0)))</f>
        <v>BFA38-21</v>
      </c>
      <c r="G1508" t="str">
        <f t="array" ref="G1508">iferror(index(fatty_acid!$J:$J,match($A1508,fatty_acid!$A:$A,0)))</f>
        <v>N</v>
      </c>
      <c r="H1508" t="str">
        <f t="array" ref="H1508">iferror(index(isotopes!$G:$G,match($A1508,isotopes!$A:$A,0)))</f>
        <v>BIS41-21</v>
      </c>
      <c r="I1508" t="str">
        <f t="array" ref="I1508">iferror(index(isotopes!$J:$J,match($A1508,isotopes!$A:$A,0)))</f>
        <v>N</v>
      </c>
      <c r="J1508" t="str">
        <f t="array" ref="J1508">iferror(index(extra_muscle!$G:$G,match($A1508,extra_muscle!$A:$A,0)))</f>
        <v>BXM40-21</v>
      </c>
      <c r="K1508" t="str">
        <f t="array" ref="K1508">iferror(index(extra_muscle!$J:$J,match($A1508,extra_muscle!$A:$A,0)))</f>
        <v>N</v>
      </c>
      <c r="L1508" s="59" t="str">
        <f t="array" ref="L1508">iferror(index(dna!$G:$G,match($A1508,dna!$A:$A,0)))</f>
        <v>BDN12-78</v>
      </c>
      <c r="M1508" s="60" t="str">
        <f t="array" ref="M1508">iferror(index(dna!$J:$J,match($A1508,dna!$A:$A,0)))</f>
        <v>N</v>
      </c>
      <c r="N1508" t="str">
        <f t="array" ref="N1508">iferror(index(stomachs!$G:$G,match($A1508,stomachs!$A:$A,0)))</f>
        <v/>
      </c>
      <c r="O1508" t="str">
        <f t="array" ref="O1508">iferror(index(stomachs!$J:$J,match($A1508,stomachs!$A:$A,0)))</f>
        <v/>
      </c>
      <c r="P1508" t="str">
        <f t="array" ref="P1508">iferror(index(sea_lice!$G:$G,match($A1508,sea_lice!$A:$A,0)))</f>
        <v/>
      </c>
      <c r="Q1508" t="str">
        <f t="array" ref="Q1508">iferror(index(sea_lice!$J:$J,match($A1508,sea_lice!$A:$A,0)))</f>
        <v/>
      </c>
      <c r="R1508" s="40" t="str">
        <f t="array" ref="R1508">iferror(index(dissected_fish!$F:$F,match($A1508,dissected_fish!$A:$A,0)))</f>
        <v>BCA112</v>
      </c>
      <c r="S1508" s="40" t="str">
        <f t="array" ref="S1508">iferror(index(dissected_fish!$K:$K,match($A1508,dissected_fish!$A:$A,0)))</f>
        <v>N</v>
      </c>
      <c r="T1508" s="61" t="str">
        <f t="array" ref="T1508">index(fish_lab_data!O:O,match(A1508,fish_lab_data!C:C,0))</f>
        <v>KB</v>
      </c>
      <c r="U1508" s="61">
        <f t="array" ref="U1508">if(A1508="","",index(fish_lab_data!X:X,match(A1508,fish_lab_data!C:C,0)))</f>
        <v>1507</v>
      </c>
    </row>
    <row r="1509">
      <c r="A1509" t="str">
        <f>fish_lab_data!C1509</f>
        <v>U16099</v>
      </c>
      <c r="B1509" t="str">
        <f t="array" ref="B1509">iferror(index('rna-muscle'!$I:$I,match($A1509,'rna-muscle'!$A:$A,0)))</f>
        <v>BRN53M-D11</v>
      </c>
      <c r="C1509" t="str">
        <f t="array" ref="C1509">iferror(index('rna-muscle'!$L:$L,match($A1509,'rna-muscle'!$A:$A,0)))</f>
        <v>N</v>
      </c>
      <c r="D1509" t="str">
        <f t="array" ref="D1509">iferror(index('rna-gill'!$I:$I,match($A1509,'rna-gill'!$A:$A,0)))</f>
        <v>BRN53G-D11</v>
      </c>
      <c r="E1509" t="str">
        <f t="array" ref="E1509">iferror(index('rna-gill'!$L:$L,match($A1509,'rna-gill'!$A:$A,0)))</f>
        <v>N</v>
      </c>
      <c r="F1509" t="str">
        <f t="array" ref="F1509">iferror(index(fatty_acid!$G:$G,match($A1509,fatty_acid!$A:$A,0)))</f>
        <v>BFA38-22</v>
      </c>
      <c r="G1509" t="str">
        <f t="array" ref="G1509">iferror(index(fatty_acid!$J:$J,match($A1509,fatty_acid!$A:$A,0)))</f>
        <v>N</v>
      </c>
      <c r="H1509" t="str">
        <f t="array" ref="H1509">iferror(index(isotopes!$G:$G,match($A1509,isotopes!$A:$A,0)))</f>
        <v>BIS41-22</v>
      </c>
      <c r="I1509" t="str">
        <f t="array" ref="I1509">iferror(index(isotopes!$J:$J,match($A1509,isotopes!$A:$A,0)))</f>
        <v>N</v>
      </c>
      <c r="J1509" t="str">
        <f t="array" ref="J1509">iferror(index(extra_muscle!$G:$G,match($A1509,extra_muscle!$A:$A,0)))</f>
        <v>BXM40-22</v>
      </c>
      <c r="K1509" t="str">
        <f t="array" ref="K1509">iferror(index(extra_muscle!$J:$J,match($A1509,extra_muscle!$A:$A,0)))</f>
        <v>N</v>
      </c>
      <c r="L1509" s="59" t="str">
        <f t="array" ref="L1509">iferror(index(dna!$G:$G,match($A1509,dna!$A:$A,0)))</f>
        <v>BDN12-79</v>
      </c>
      <c r="M1509" s="60" t="str">
        <f t="array" ref="M1509">iferror(index(dna!$J:$J,match($A1509,dna!$A:$A,0)))</f>
        <v>N</v>
      </c>
      <c r="N1509" t="str">
        <f t="array" ref="N1509">iferror(index(stomachs!$G:$G,match($A1509,stomachs!$A:$A,0)))</f>
        <v/>
      </c>
      <c r="O1509" t="str">
        <f t="array" ref="O1509">iferror(index(stomachs!$J:$J,match($A1509,stomachs!$A:$A,0)))</f>
        <v/>
      </c>
      <c r="P1509" t="str">
        <f t="array" ref="P1509">iferror(index(sea_lice!$G:$G,match($A1509,sea_lice!$A:$A,0)))</f>
        <v/>
      </c>
      <c r="Q1509" t="str">
        <f t="array" ref="Q1509">iferror(index(sea_lice!$J:$J,match($A1509,sea_lice!$A:$A,0)))</f>
        <v/>
      </c>
      <c r="R1509" s="40" t="str">
        <f t="array" ref="R1509">iferror(index(dissected_fish!$F:$F,match($A1509,dissected_fish!$A:$A,0)))</f>
        <v>BCA112</v>
      </c>
      <c r="S1509" s="40" t="str">
        <f t="array" ref="S1509">iferror(index(dissected_fish!$K:$K,match($A1509,dissected_fish!$A:$A,0)))</f>
        <v>N</v>
      </c>
      <c r="T1509" s="61" t="str">
        <f t="array" ref="T1509">index(fish_lab_data!O:O,match(A1509,fish_lab_data!C:C,0))</f>
        <v>KB</v>
      </c>
      <c r="U1509" s="61">
        <f t="array" ref="U1509">if(A1509="","",index(fish_lab_data!X:X,match(A1509,fish_lab_data!C:C,0)))</f>
        <v>1508</v>
      </c>
    </row>
    <row r="1510">
      <c r="A1510" t="str">
        <f>fish_lab_data!C1510</f>
        <v>U16094</v>
      </c>
      <c r="B1510" t="str">
        <f t="array" ref="B1510">iferror(index('rna-muscle'!$I:$I,match($A1510,'rna-muscle'!$A:$A,0)))</f>
        <v>BRN53M-C11</v>
      </c>
      <c r="C1510" t="str">
        <f t="array" ref="C1510">iferror(index('rna-muscle'!$L:$L,match($A1510,'rna-muscle'!$A:$A,0)))</f>
        <v>N</v>
      </c>
      <c r="D1510" t="str">
        <f t="array" ref="D1510">iferror(index('rna-gill'!$I:$I,match($A1510,'rna-gill'!$A:$A,0)))</f>
        <v>BRN53G-C11</v>
      </c>
      <c r="E1510" t="str">
        <f t="array" ref="E1510">iferror(index('rna-gill'!$L:$L,match($A1510,'rna-gill'!$A:$A,0)))</f>
        <v>N</v>
      </c>
      <c r="F1510" t="str">
        <f t="array" ref="F1510">iferror(index(fatty_acid!$G:$G,match($A1510,fatty_acid!$A:$A,0)))</f>
        <v>BFA38-23</v>
      </c>
      <c r="G1510" t="str">
        <f t="array" ref="G1510">iferror(index(fatty_acid!$J:$J,match($A1510,fatty_acid!$A:$A,0)))</f>
        <v>N</v>
      </c>
      <c r="H1510" t="str">
        <f t="array" ref="H1510">iferror(index(isotopes!$G:$G,match($A1510,isotopes!$A:$A,0)))</f>
        <v>BIS41-23</v>
      </c>
      <c r="I1510" t="str">
        <f t="array" ref="I1510">iferror(index(isotopes!$J:$J,match($A1510,isotopes!$A:$A,0)))</f>
        <v>N</v>
      </c>
      <c r="J1510" t="str">
        <f t="array" ref="J1510">iferror(index(extra_muscle!$G:$G,match($A1510,extra_muscle!$A:$A,0)))</f>
        <v>BXM40-23</v>
      </c>
      <c r="K1510" t="str">
        <f t="array" ref="K1510">iferror(index(extra_muscle!$J:$J,match($A1510,extra_muscle!$A:$A,0)))</f>
        <v>N</v>
      </c>
      <c r="L1510" s="59" t="str">
        <f t="array" ref="L1510">iferror(index(dna!$G:$G,match($A1510,dna!$A:$A,0)))</f>
        <v>BDN12-80</v>
      </c>
      <c r="M1510" s="60" t="str">
        <f t="array" ref="M1510">iferror(index(dna!$J:$J,match($A1510,dna!$A:$A,0)))</f>
        <v>N</v>
      </c>
      <c r="N1510" t="str">
        <f t="array" ref="N1510">iferror(index(stomachs!$G:$G,match($A1510,stomachs!$A:$A,0)))</f>
        <v/>
      </c>
      <c r="O1510" t="str">
        <f t="array" ref="O1510">iferror(index(stomachs!$J:$J,match($A1510,stomachs!$A:$A,0)))</f>
        <v/>
      </c>
      <c r="P1510" t="str">
        <f t="array" ref="P1510">iferror(index(sea_lice!$G:$G,match($A1510,sea_lice!$A:$A,0)))</f>
        <v/>
      </c>
      <c r="Q1510" t="str">
        <f t="array" ref="Q1510">iferror(index(sea_lice!$J:$J,match($A1510,sea_lice!$A:$A,0)))</f>
        <v/>
      </c>
      <c r="R1510" s="40" t="str">
        <f t="array" ref="R1510">iferror(index(dissected_fish!$F:$F,match($A1510,dissected_fish!$A:$A,0)))</f>
        <v>BCA112</v>
      </c>
      <c r="S1510" s="40" t="str">
        <f t="array" ref="S1510">iferror(index(dissected_fish!$K:$K,match($A1510,dissected_fish!$A:$A,0)))</f>
        <v>N</v>
      </c>
      <c r="T1510" s="61" t="str">
        <f t="array" ref="T1510">index(fish_lab_data!O:O,match(A1510,fish_lab_data!C:C,0))</f>
        <v>KB</v>
      </c>
      <c r="U1510" s="61">
        <f t="array" ref="U1510">if(A1510="","",index(fish_lab_data!X:X,match(A1510,fish_lab_data!C:C,0)))</f>
        <v>1509</v>
      </c>
    </row>
    <row r="1511">
      <c r="A1511" t="str">
        <f>fish_lab_data!C1511</f>
        <v>U17921</v>
      </c>
      <c r="B1511" t="str">
        <f t="array" ref="B1511">iferror(index('rna-muscle'!$I:$I,match($A1511,'rna-muscle'!$A:$A,0)))</f>
        <v>BRN53M-B11</v>
      </c>
      <c r="C1511" t="str">
        <f t="array" ref="C1511">iferror(index('rna-muscle'!$L:$L,match($A1511,'rna-muscle'!$A:$A,0)))</f>
        <v>N</v>
      </c>
      <c r="D1511" t="str">
        <f t="array" ref="D1511">iferror(index('rna-gill'!$I:$I,match($A1511,'rna-gill'!$A:$A,0)))</f>
        <v>BRN53G-B11</v>
      </c>
      <c r="E1511" t="str">
        <f t="array" ref="E1511">iferror(index('rna-gill'!$L:$L,match($A1511,'rna-gill'!$A:$A,0)))</f>
        <v>N</v>
      </c>
      <c r="F1511" t="str">
        <f t="array" ref="F1511">iferror(index(fatty_acid!$G:$G,match($A1511,fatty_acid!$A:$A,0)))</f>
        <v>BFA38-24</v>
      </c>
      <c r="G1511" t="str">
        <f t="array" ref="G1511">iferror(index(fatty_acid!$J:$J,match($A1511,fatty_acid!$A:$A,0)))</f>
        <v>N</v>
      </c>
      <c r="H1511" t="str">
        <f t="array" ref="H1511">iferror(index(isotopes!$G:$G,match($A1511,isotopes!$A:$A,0)))</f>
        <v>BIS41-24</v>
      </c>
      <c r="I1511" t="str">
        <f t="array" ref="I1511">iferror(index(isotopes!$J:$J,match($A1511,isotopes!$A:$A,0)))</f>
        <v>N</v>
      </c>
      <c r="J1511" t="str">
        <f t="array" ref="J1511">iferror(index(extra_muscle!$G:$G,match($A1511,extra_muscle!$A:$A,0)))</f>
        <v>BXM40-24</v>
      </c>
      <c r="K1511" t="str">
        <f t="array" ref="K1511">iferror(index(extra_muscle!$J:$J,match($A1511,extra_muscle!$A:$A,0)))</f>
        <v>N</v>
      </c>
      <c r="L1511" s="59" t="str">
        <f t="array" ref="L1511">iferror(index(dna!$G:$G,match($A1511,dna!$A:$A,0)))</f>
        <v>BDN12-81</v>
      </c>
      <c r="M1511" s="60" t="str">
        <f t="array" ref="M1511">iferror(index(dna!$J:$J,match($A1511,dna!$A:$A,0)))</f>
        <v>N</v>
      </c>
      <c r="N1511" t="str">
        <f t="array" ref="N1511">iferror(index(stomachs!$G:$G,match($A1511,stomachs!$A:$A,0)))</f>
        <v/>
      </c>
      <c r="O1511" t="str">
        <f t="array" ref="O1511">iferror(index(stomachs!$J:$J,match($A1511,stomachs!$A:$A,0)))</f>
        <v/>
      </c>
      <c r="P1511" t="str">
        <f t="array" ref="P1511">iferror(index(sea_lice!$G:$G,match($A1511,sea_lice!$A:$A,0)))</f>
        <v/>
      </c>
      <c r="Q1511" t="str">
        <f t="array" ref="Q1511">iferror(index(sea_lice!$J:$J,match($A1511,sea_lice!$A:$A,0)))</f>
        <v/>
      </c>
      <c r="R1511" s="40" t="str">
        <f t="array" ref="R1511">iferror(index(dissected_fish!$F:$F,match($A1511,dissected_fish!$A:$A,0)))</f>
        <v>BCA112</v>
      </c>
      <c r="S1511" s="40" t="str">
        <f t="array" ref="S1511">iferror(index(dissected_fish!$K:$K,match($A1511,dissected_fish!$A:$A,0)))</f>
        <v>N</v>
      </c>
      <c r="T1511" s="61" t="str">
        <f t="array" ref="T1511">index(fish_lab_data!O:O,match(A1511,fish_lab_data!C:C,0))</f>
        <v>KB</v>
      </c>
      <c r="U1511" s="61">
        <f t="array" ref="U1511">if(A1511="","",index(fish_lab_data!X:X,match(A1511,fish_lab_data!C:C,0)))</f>
        <v>1510</v>
      </c>
    </row>
    <row r="1512">
      <c r="A1512" t="str">
        <f>fish_lab_data!C1512</f>
        <v>U16691</v>
      </c>
      <c r="B1512" t="str">
        <f t="array" ref="B1512">iferror(index('rna-muscle'!$I:$I,match($A1512,'rna-muscle'!$A:$A,0)))</f>
        <v>BRN53M-A11</v>
      </c>
      <c r="C1512" t="str">
        <f t="array" ref="C1512">iferror(index('rna-muscle'!$L:$L,match($A1512,'rna-muscle'!$A:$A,0)))</f>
        <v>N</v>
      </c>
      <c r="D1512" t="str">
        <f t="array" ref="D1512">iferror(index('rna-gill'!$I:$I,match($A1512,'rna-gill'!$A:$A,0)))</f>
        <v>BRN53G-A11</v>
      </c>
      <c r="E1512" t="str">
        <f t="array" ref="E1512">iferror(index('rna-gill'!$L:$L,match($A1512,'rna-gill'!$A:$A,0)))</f>
        <v>N</v>
      </c>
      <c r="F1512" t="str">
        <f t="array" ref="F1512">iferror(index(fatty_acid!$G:$G,match($A1512,fatty_acid!$A:$A,0)))</f>
        <v>BFA38-25</v>
      </c>
      <c r="G1512" t="str">
        <f t="array" ref="G1512">iferror(index(fatty_acid!$J:$J,match($A1512,fatty_acid!$A:$A,0)))</f>
        <v>N</v>
      </c>
      <c r="H1512" t="str">
        <f t="array" ref="H1512">iferror(index(isotopes!$G:$G,match($A1512,isotopes!$A:$A,0)))</f>
        <v>BIS41-25</v>
      </c>
      <c r="I1512" t="str">
        <f t="array" ref="I1512">iferror(index(isotopes!$J:$J,match($A1512,isotopes!$A:$A,0)))</f>
        <v>N</v>
      </c>
      <c r="J1512" t="str">
        <f t="array" ref="J1512">iferror(index(extra_muscle!$G:$G,match($A1512,extra_muscle!$A:$A,0)))</f>
        <v>BXM40-25</v>
      </c>
      <c r="K1512" t="str">
        <f t="array" ref="K1512">iferror(index(extra_muscle!$J:$J,match($A1512,extra_muscle!$A:$A,0)))</f>
        <v>N</v>
      </c>
      <c r="L1512" s="59" t="str">
        <f t="array" ref="L1512">iferror(index(dna!$G:$G,match($A1512,dna!$A:$A,0)))</f>
        <v>BDN12-82</v>
      </c>
      <c r="M1512" s="60" t="str">
        <f t="array" ref="M1512">iferror(index(dna!$J:$J,match($A1512,dna!$A:$A,0)))</f>
        <v>N</v>
      </c>
      <c r="N1512" t="str">
        <f t="array" ref="N1512">iferror(index(stomachs!$G:$G,match($A1512,stomachs!$A:$A,0)))</f>
        <v/>
      </c>
      <c r="O1512" t="str">
        <f t="array" ref="O1512">iferror(index(stomachs!$J:$J,match($A1512,stomachs!$A:$A,0)))</f>
        <v/>
      </c>
      <c r="P1512" t="str">
        <f t="array" ref="P1512">iferror(index(sea_lice!$G:$G,match($A1512,sea_lice!$A:$A,0)))</f>
        <v/>
      </c>
      <c r="Q1512" t="str">
        <f t="array" ref="Q1512">iferror(index(sea_lice!$J:$J,match($A1512,sea_lice!$A:$A,0)))</f>
        <v/>
      </c>
      <c r="R1512" s="40" t="str">
        <f t="array" ref="R1512">iferror(index(dissected_fish!$F:$F,match($A1512,dissected_fish!$A:$A,0)))</f>
        <v>BCA112</v>
      </c>
      <c r="S1512" s="40" t="str">
        <f t="array" ref="S1512">iferror(index(dissected_fish!$K:$K,match($A1512,dissected_fish!$A:$A,0)))</f>
        <v>N</v>
      </c>
      <c r="T1512" s="61" t="str">
        <f t="array" ref="T1512">index(fish_lab_data!O:O,match(A1512,fish_lab_data!C:C,0))</f>
        <v>KB</v>
      </c>
      <c r="U1512" s="61">
        <f t="array" ref="U1512">if(A1512="","",index(fish_lab_data!X:X,match(A1512,fish_lab_data!C:C,0)))</f>
        <v>1511</v>
      </c>
    </row>
    <row r="1513">
      <c r="A1513" t="str">
        <f>fish_lab_data!C1513</f>
        <v>U16421</v>
      </c>
      <c r="B1513" t="str">
        <f t="array" ref="B1513">iferror(index('rna-muscle'!$I:$I,match($A1513,'rna-muscle'!$A:$A,0)))</f>
        <v>BRN53M-G12</v>
      </c>
      <c r="C1513" t="str">
        <f t="array" ref="C1513">iferror(index('rna-muscle'!$L:$L,match($A1513,'rna-muscle'!$A:$A,0)))</f>
        <v>N</v>
      </c>
      <c r="D1513" t="str">
        <f t="array" ref="D1513">iferror(index('rna-gill'!$I:$I,match($A1513,'rna-gill'!$A:$A,0)))</f>
        <v>BRN53G-G12</v>
      </c>
      <c r="E1513" t="str">
        <f t="array" ref="E1513">iferror(index('rna-gill'!$L:$L,match($A1513,'rna-gill'!$A:$A,0)))</f>
        <v>N</v>
      </c>
      <c r="F1513" t="str">
        <f t="array" ref="F1513">iferror(index(fatty_acid!$G:$G,match($A1513,fatty_acid!$A:$A,0)))</f>
        <v>BFA38-26</v>
      </c>
      <c r="G1513" t="str">
        <f t="array" ref="G1513">iferror(index(fatty_acid!$J:$J,match($A1513,fatty_acid!$A:$A,0)))</f>
        <v>N</v>
      </c>
      <c r="H1513" t="str">
        <f t="array" ref="H1513">iferror(index(isotopes!$G:$G,match($A1513,isotopes!$A:$A,0)))</f>
        <v>BIS41-26</v>
      </c>
      <c r="I1513" t="str">
        <f t="array" ref="I1513">iferror(index(isotopes!$J:$J,match($A1513,isotopes!$A:$A,0)))</f>
        <v>N</v>
      </c>
      <c r="J1513" t="str">
        <f t="array" ref="J1513">iferror(index(extra_muscle!$G:$G,match($A1513,extra_muscle!$A:$A,0)))</f>
        <v>BXM40-26</v>
      </c>
      <c r="K1513" t="str">
        <f t="array" ref="K1513">iferror(index(extra_muscle!$J:$J,match($A1513,extra_muscle!$A:$A,0)))</f>
        <v>N</v>
      </c>
      <c r="L1513" s="59" t="str">
        <f t="array" ref="L1513">iferror(index(dna!$G:$G,match($A1513,dna!$A:$A,0)))</f>
        <v>BDN12-83</v>
      </c>
      <c r="M1513" s="60" t="str">
        <f t="array" ref="M1513">iferror(index(dna!$J:$J,match($A1513,dna!$A:$A,0)))</f>
        <v>N</v>
      </c>
      <c r="N1513" t="str">
        <f t="array" ref="N1513">iferror(index(stomachs!$G:$G,match($A1513,stomachs!$A:$A,0)))</f>
        <v/>
      </c>
      <c r="O1513" t="str">
        <f t="array" ref="O1513">iferror(index(stomachs!$J:$J,match($A1513,stomachs!$A:$A,0)))</f>
        <v/>
      </c>
      <c r="P1513" t="str">
        <f t="array" ref="P1513">iferror(index(sea_lice!$G:$G,match($A1513,sea_lice!$A:$A,0)))</f>
        <v>BSL8-70</v>
      </c>
      <c r="Q1513" t="str">
        <f t="array" ref="Q1513">iferror(index(sea_lice!$J:$J,match($A1513,sea_lice!$A:$A,0)))</f>
        <v>N</v>
      </c>
      <c r="R1513" s="40" t="str">
        <f t="array" ref="R1513">iferror(index(dissected_fish!$F:$F,match($A1513,dissected_fish!$A:$A,0)))</f>
        <v>BCA112</v>
      </c>
      <c r="S1513" s="40" t="str">
        <f t="array" ref="S1513">iferror(index(dissected_fish!$K:$K,match($A1513,dissected_fish!$A:$A,0)))</f>
        <v>N</v>
      </c>
      <c r="T1513" s="61" t="str">
        <f t="array" ref="T1513">index(fish_lab_data!O:O,match(A1513,fish_lab_data!C:C,0))</f>
        <v>KB</v>
      </c>
      <c r="U1513" s="61">
        <f t="array" ref="U1513">if(A1513="","",index(fish_lab_data!X:X,match(A1513,fish_lab_data!C:C,0)))</f>
        <v>1512</v>
      </c>
    </row>
    <row r="1514">
      <c r="A1514" t="str">
        <f>fish_lab_data!C1514</f>
        <v>U16422</v>
      </c>
      <c r="B1514" t="str">
        <f t="array" ref="B1514">iferror(index('rna-muscle'!$I:$I,match($A1514,'rna-muscle'!$A:$A,0)))</f>
        <v>BRN53M-F12</v>
      </c>
      <c r="C1514" t="str">
        <f t="array" ref="C1514">iferror(index('rna-muscle'!$L:$L,match($A1514,'rna-muscle'!$A:$A,0)))</f>
        <v>N</v>
      </c>
      <c r="D1514" t="str">
        <f t="array" ref="D1514">iferror(index('rna-gill'!$I:$I,match($A1514,'rna-gill'!$A:$A,0)))</f>
        <v>BRN53G-F12</v>
      </c>
      <c r="E1514" t="str">
        <f t="array" ref="E1514">iferror(index('rna-gill'!$L:$L,match($A1514,'rna-gill'!$A:$A,0)))</f>
        <v>N</v>
      </c>
      <c r="F1514" t="str">
        <f t="array" ref="F1514">iferror(index(fatty_acid!$G:$G,match($A1514,fatty_acid!$A:$A,0)))</f>
        <v>BFA38-27</v>
      </c>
      <c r="G1514" t="str">
        <f t="array" ref="G1514">iferror(index(fatty_acid!$J:$J,match($A1514,fatty_acid!$A:$A,0)))</f>
        <v>N</v>
      </c>
      <c r="H1514" t="str">
        <f t="array" ref="H1514">iferror(index(isotopes!$G:$G,match($A1514,isotopes!$A:$A,0)))</f>
        <v>BIS41-27</v>
      </c>
      <c r="I1514" t="str">
        <f t="array" ref="I1514">iferror(index(isotopes!$J:$J,match($A1514,isotopes!$A:$A,0)))</f>
        <v>N</v>
      </c>
      <c r="J1514" t="str">
        <f t="array" ref="J1514">iferror(index(extra_muscle!$G:$G,match($A1514,extra_muscle!$A:$A,0)))</f>
        <v>BXM40-27</v>
      </c>
      <c r="K1514" t="str">
        <f t="array" ref="K1514">iferror(index(extra_muscle!$J:$J,match($A1514,extra_muscle!$A:$A,0)))</f>
        <v>N</v>
      </c>
      <c r="L1514" s="59" t="str">
        <f t="array" ref="L1514">iferror(index(dna!$G:$G,match($A1514,dna!$A:$A,0)))</f>
        <v>BDN12-84</v>
      </c>
      <c r="M1514" s="60" t="str">
        <f t="array" ref="M1514">iferror(index(dna!$J:$J,match($A1514,dna!$A:$A,0)))</f>
        <v>N</v>
      </c>
      <c r="N1514" t="str">
        <f t="array" ref="N1514">iferror(index(stomachs!$G:$G,match($A1514,stomachs!$A:$A,0)))</f>
        <v/>
      </c>
      <c r="O1514" t="str">
        <f t="array" ref="O1514">iferror(index(stomachs!$J:$J,match($A1514,stomachs!$A:$A,0)))</f>
        <v/>
      </c>
      <c r="P1514" t="str">
        <f t="array" ref="P1514">iferror(index(sea_lice!$G:$G,match($A1514,sea_lice!$A:$A,0)))</f>
        <v/>
      </c>
      <c r="Q1514" t="str">
        <f t="array" ref="Q1514">iferror(index(sea_lice!$J:$J,match($A1514,sea_lice!$A:$A,0)))</f>
        <v/>
      </c>
      <c r="R1514" s="40" t="str">
        <f t="array" ref="R1514">iferror(index(dissected_fish!$F:$F,match($A1514,dissected_fish!$A:$A,0)))</f>
        <v>BCA112</v>
      </c>
      <c r="S1514" s="40" t="str">
        <f t="array" ref="S1514">iferror(index(dissected_fish!$K:$K,match($A1514,dissected_fish!$A:$A,0)))</f>
        <v>N</v>
      </c>
      <c r="T1514" s="61" t="str">
        <f t="array" ref="T1514">index(fish_lab_data!O:O,match(A1514,fish_lab_data!C:C,0))</f>
        <v>KB</v>
      </c>
      <c r="U1514" s="61">
        <f t="array" ref="U1514">if(A1514="","",index(fish_lab_data!X:X,match(A1514,fish_lab_data!C:C,0)))</f>
        <v>1513</v>
      </c>
    </row>
    <row r="1515">
      <c r="A1515" t="str">
        <f>fish_lab_data!C1515</f>
        <v>U16862</v>
      </c>
      <c r="B1515" t="str">
        <f t="array" ref="B1515">iferror(index('rna-muscle'!$I:$I,match($A1515,'rna-muscle'!$A:$A,0)))</f>
        <v>BRN53M-E12</v>
      </c>
      <c r="C1515" t="str">
        <f t="array" ref="C1515">iferror(index('rna-muscle'!$L:$L,match($A1515,'rna-muscle'!$A:$A,0)))</f>
        <v>N</v>
      </c>
      <c r="D1515" t="str">
        <f t="array" ref="D1515">iferror(index('rna-gill'!$I:$I,match($A1515,'rna-gill'!$A:$A,0)))</f>
        <v>BRN53G-E12</v>
      </c>
      <c r="E1515" t="str">
        <f t="array" ref="E1515">iferror(index('rna-gill'!$L:$L,match($A1515,'rna-gill'!$A:$A,0)))</f>
        <v>N</v>
      </c>
      <c r="F1515" t="str">
        <f t="array" ref="F1515">iferror(index(fatty_acid!$G:$G,match($A1515,fatty_acid!$A:$A,0)))</f>
        <v>BFA38-28</v>
      </c>
      <c r="G1515" t="str">
        <f t="array" ref="G1515">iferror(index(fatty_acid!$J:$J,match($A1515,fatty_acid!$A:$A,0)))</f>
        <v>N</v>
      </c>
      <c r="H1515" t="str">
        <f t="array" ref="H1515">iferror(index(isotopes!$G:$G,match($A1515,isotopes!$A:$A,0)))</f>
        <v>BIS41-28</v>
      </c>
      <c r="I1515" t="str">
        <f t="array" ref="I1515">iferror(index(isotopes!$J:$J,match($A1515,isotopes!$A:$A,0)))</f>
        <v>N</v>
      </c>
      <c r="J1515" t="str">
        <f t="array" ref="J1515">iferror(index(extra_muscle!$G:$G,match($A1515,extra_muscle!$A:$A,0)))</f>
        <v>BXM40-28</v>
      </c>
      <c r="K1515" t="str">
        <f t="array" ref="K1515">iferror(index(extra_muscle!$J:$J,match($A1515,extra_muscle!$A:$A,0)))</f>
        <v>N</v>
      </c>
      <c r="L1515" s="59" t="str">
        <f t="array" ref="L1515">iferror(index(dna!$G:$G,match($A1515,dna!$A:$A,0)))</f>
        <v>BDN12-85</v>
      </c>
      <c r="M1515" s="60" t="str">
        <f t="array" ref="M1515">iferror(index(dna!$J:$J,match($A1515,dna!$A:$A,0)))</f>
        <v>N</v>
      </c>
      <c r="N1515" t="str">
        <f t="array" ref="N1515">iferror(index(stomachs!$G:$G,match($A1515,stomachs!$A:$A,0)))</f>
        <v/>
      </c>
      <c r="O1515" t="str">
        <f t="array" ref="O1515">iferror(index(stomachs!$J:$J,match($A1515,stomachs!$A:$A,0)))</f>
        <v/>
      </c>
      <c r="P1515" t="str">
        <f t="array" ref="P1515">iferror(index(sea_lice!$G:$G,match($A1515,sea_lice!$A:$A,0)))</f>
        <v/>
      </c>
      <c r="Q1515" t="str">
        <f t="array" ref="Q1515">iferror(index(sea_lice!$J:$J,match($A1515,sea_lice!$A:$A,0)))</f>
        <v/>
      </c>
      <c r="R1515" s="40" t="str">
        <f t="array" ref="R1515">iferror(index(dissected_fish!$F:$F,match($A1515,dissected_fish!$A:$A,0)))</f>
        <v>BCA112</v>
      </c>
      <c r="S1515" s="40" t="str">
        <f t="array" ref="S1515">iferror(index(dissected_fish!$K:$K,match($A1515,dissected_fish!$A:$A,0)))</f>
        <v>N</v>
      </c>
      <c r="T1515" s="61" t="str">
        <f t="array" ref="T1515">index(fish_lab_data!O:O,match(A1515,fish_lab_data!C:C,0))</f>
        <v>KB</v>
      </c>
      <c r="U1515" s="61">
        <f t="array" ref="U1515">if(A1515="","",index(fish_lab_data!X:X,match(A1515,fish_lab_data!C:C,0)))</f>
        <v>1514</v>
      </c>
    </row>
    <row r="1516">
      <c r="A1516" t="str">
        <f>fish_lab_data!C1516</f>
        <v>U16863</v>
      </c>
      <c r="B1516" t="str">
        <f t="array" ref="B1516">iferror(index('rna-muscle'!$I:$I,match($A1516,'rna-muscle'!$A:$A,0)))</f>
        <v>BRN53M-D12</v>
      </c>
      <c r="C1516" t="str">
        <f t="array" ref="C1516">iferror(index('rna-muscle'!$L:$L,match($A1516,'rna-muscle'!$A:$A,0)))</f>
        <v>N</v>
      </c>
      <c r="D1516" t="str">
        <f t="array" ref="D1516">iferror(index('rna-gill'!$I:$I,match($A1516,'rna-gill'!$A:$A,0)))</f>
        <v>BRN53G-D12</v>
      </c>
      <c r="E1516" t="str">
        <f t="array" ref="E1516">iferror(index('rna-gill'!$L:$L,match($A1516,'rna-gill'!$A:$A,0)))</f>
        <v>N</v>
      </c>
      <c r="F1516" t="str">
        <f t="array" ref="F1516">iferror(index(fatty_acid!$G:$G,match($A1516,fatty_acid!$A:$A,0)))</f>
        <v>BFA38-29</v>
      </c>
      <c r="G1516" t="str">
        <f t="array" ref="G1516">iferror(index(fatty_acid!$J:$J,match($A1516,fatty_acid!$A:$A,0)))</f>
        <v>N</v>
      </c>
      <c r="H1516" t="str">
        <f t="array" ref="H1516">iferror(index(isotopes!$G:$G,match($A1516,isotopes!$A:$A,0)))</f>
        <v>BIS41-29</v>
      </c>
      <c r="I1516" t="str">
        <f t="array" ref="I1516">iferror(index(isotopes!$J:$J,match($A1516,isotopes!$A:$A,0)))</f>
        <v>N</v>
      </c>
      <c r="J1516" t="str">
        <f t="array" ref="J1516">iferror(index(extra_muscle!$G:$G,match($A1516,extra_muscle!$A:$A,0)))</f>
        <v>BXM40-29</v>
      </c>
      <c r="K1516" t="str">
        <f t="array" ref="K1516">iferror(index(extra_muscle!$J:$J,match($A1516,extra_muscle!$A:$A,0)))</f>
        <v>N</v>
      </c>
      <c r="L1516" s="59" t="str">
        <f t="array" ref="L1516">iferror(index(dna!$G:$G,match($A1516,dna!$A:$A,0)))</f>
        <v>BDN12-86</v>
      </c>
      <c r="M1516" s="60" t="str">
        <f t="array" ref="M1516">iferror(index(dna!$J:$J,match($A1516,dna!$A:$A,0)))</f>
        <v>N</v>
      </c>
      <c r="N1516" t="str">
        <f t="array" ref="N1516">iferror(index(stomachs!$G:$G,match($A1516,stomachs!$A:$A,0)))</f>
        <v/>
      </c>
      <c r="O1516" t="str">
        <f t="array" ref="O1516">iferror(index(stomachs!$J:$J,match($A1516,stomachs!$A:$A,0)))</f>
        <v/>
      </c>
      <c r="P1516" t="str">
        <f t="array" ref="P1516">iferror(index(sea_lice!$G:$G,match($A1516,sea_lice!$A:$A,0)))</f>
        <v/>
      </c>
      <c r="Q1516" t="str">
        <f t="array" ref="Q1516">iferror(index(sea_lice!$J:$J,match($A1516,sea_lice!$A:$A,0)))</f>
        <v/>
      </c>
      <c r="R1516" s="40" t="str">
        <f t="array" ref="R1516">iferror(index(dissected_fish!$F:$F,match($A1516,dissected_fish!$A:$A,0)))</f>
        <v>BCA112</v>
      </c>
      <c r="S1516" s="40" t="str">
        <f t="array" ref="S1516">iferror(index(dissected_fish!$K:$K,match($A1516,dissected_fish!$A:$A,0)))</f>
        <v>N</v>
      </c>
      <c r="T1516" s="61" t="str">
        <f t="array" ref="T1516">index(fish_lab_data!O:O,match(A1516,fish_lab_data!C:C,0))</f>
        <v>KB</v>
      </c>
      <c r="U1516" s="61">
        <f t="array" ref="U1516">if(A1516="","",index(fish_lab_data!X:X,match(A1516,fish_lab_data!C:C,0)))</f>
        <v>1515</v>
      </c>
    </row>
    <row r="1517">
      <c r="A1517" t="str">
        <f>fish_lab_data!C1517</f>
        <v>U16861</v>
      </c>
      <c r="B1517" t="str">
        <f t="array" ref="B1517">iferror(index('rna-muscle'!$I:$I,match($A1517,'rna-muscle'!$A:$A,0)))</f>
        <v>BRN53M-C12</v>
      </c>
      <c r="C1517" t="str">
        <f t="array" ref="C1517">iferror(index('rna-muscle'!$L:$L,match($A1517,'rna-muscle'!$A:$A,0)))</f>
        <v>N</v>
      </c>
      <c r="D1517" t="str">
        <f t="array" ref="D1517">iferror(index('rna-gill'!$I:$I,match($A1517,'rna-gill'!$A:$A,0)))</f>
        <v>BRN53G-C12</v>
      </c>
      <c r="E1517" t="str">
        <f t="array" ref="E1517">iferror(index('rna-gill'!$L:$L,match($A1517,'rna-gill'!$A:$A,0)))</f>
        <v>N</v>
      </c>
      <c r="F1517" t="str">
        <f t="array" ref="F1517">iferror(index(fatty_acid!$G:$G,match($A1517,fatty_acid!$A:$A,0)))</f>
        <v>BFA38-30</v>
      </c>
      <c r="G1517" t="str">
        <f t="array" ref="G1517">iferror(index(fatty_acid!$J:$J,match($A1517,fatty_acid!$A:$A,0)))</f>
        <v>N</v>
      </c>
      <c r="H1517" t="str">
        <f t="array" ref="H1517">iferror(index(isotopes!$G:$G,match($A1517,isotopes!$A:$A,0)))</f>
        <v>BIS41-30</v>
      </c>
      <c r="I1517" t="str">
        <f t="array" ref="I1517">iferror(index(isotopes!$J:$J,match($A1517,isotopes!$A:$A,0)))</f>
        <v>N</v>
      </c>
      <c r="J1517" t="str">
        <f t="array" ref="J1517">iferror(index(extra_muscle!$G:$G,match($A1517,extra_muscle!$A:$A,0)))</f>
        <v>BXM40-30</v>
      </c>
      <c r="K1517" t="str">
        <f t="array" ref="K1517">iferror(index(extra_muscle!$J:$J,match($A1517,extra_muscle!$A:$A,0)))</f>
        <v>N</v>
      </c>
      <c r="L1517" s="59" t="str">
        <f t="array" ref="L1517">iferror(index(dna!$G:$G,match($A1517,dna!$A:$A,0)))</f>
        <v>BDN12-87</v>
      </c>
      <c r="M1517" s="60" t="str">
        <f t="array" ref="M1517">iferror(index(dna!$J:$J,match($A1517,dna!$A:$A,0)))</f>
        <v>N</v>
      </c>
      <c r="N1517" t="str">
        <f t="array" ref="N1517">iferror(index(stomachs!$G:$G,match($A1517,stomachs!$A:$A,0)))</f>
        <v/>
      </c>
      <c r="O1517" t="str">
        <f t="array" ref="O1517">iferror(index(stomachs!$J:$J,match($A1517,stomachs!$A:$A,0)))</f>
        <v/>
      </c>
      <c r="P1517" t="str">
        <f t="array" ref="P1517">iferror(index(sea_lice!$G:$G,match($A1517,sea_lice!$A:$A,0)))</f>
        <v/>
      </c>
      <c r="Q1517" t="str">
        <f t="array" ref="Q1517">iferror(index(sea_lice!$J:$J,match($A1517,sea_lice!$A:$A,0)))</f>
        <v/>
      </c>
      <c r="R1517" s="40" t="str">
        <f t="array" ref="R1517">iferror(index(dissected_fish!$F:$F,match($A1517,dissected_fish!$A:$A,0)))</f>
        <v>BCA112</v>
      </c>
      <c r="S1517" s="40" t="str">
        <f t="array" ref="S1517">iferror(index(dissected_fish!$K:$K,match($A1517,dissected_fish!$A:$A,0)))</f>
        <v>N</v>
      </c>
      <c r="T1517" s="61" t="str">
        <f t="array" ref="T1517">index(fish_lab_data!O:O,match(A1517,fish_lab_data!C:C,0))</f>
        <v>KB</v>
      </c>
      <c r="U1517" s="61">
        <f t="array" ref="U1517">if(A1517="","",index(fish_lab_data!X:X,match(A1517,fish_lab_data!C:C,0)))</f>
        <v>1516</v>
      </c>
    </row>
    <row r="1518">
      <c r="A1518" t="str">
        <f>fish_lab_data!C1518</f>
        <v>U16721</v>
      </c>
      <c r="B1518" t="str">
        <f t="array" ref="B1518">iferror(index('rna-muscle'!$I:$I,match($A1518,'rna-muscle'!$A:$A,0)))</f>
        <v>BRN53M-B12</v>
      </c>
      <c r="C1518" t="str">
        <f t="array" ref="C1518">iferror(index('rna-muscle'!$L:$L,match($A1518,'rna-muscle'!$A:$A,0)))</f>
        <v>N</v>
      </c>
      <c r="D1518" t="str">
        <f t="array" ref="D1518">iferror(index('rna-gill'!$I:$I,match($A1518,'rna-gill'!$A:$A,0)))</f>
        <v>BRN53G-B12</v>
      </c>
      <c r="E1518" t="str">
        <f t="array" ref="E1518">iferror(index('rna-gill'!$L:$L,match($A1518,'rna-gill'!$A:$A,0)))</f>
        <v>N</v>
      </c>
      <c r="F1518" t="str">
        <f t="array" ref="F1518">iferror(index(fatty_acid!$G:$G,match($A1518,fatty_acid!$A:$A,0)))</f>
        <v>BFA38-31</v>
      </c>
      <c r="G1518" t="str">
        <f t="array" ref="G1518">iferror(index(fatty_acid!$J:$J,match($A1518,fatty_acid!$A:$A,0)))</f>
        <v>N</v>
      </c>
      <c r="H1518" t="str">
        <f t="array" ref="H1518">iferror(index(isotopes!$G:$G,match($A1518,isotopes!$A:$A,0)))</f>
        <v>BIS41-31</v>
      </c>
      <c r="I1518" t="str">
        <f t="array" ref="I1518">iferror(index(isotopes!$J:$J,match($A1518,isotopes!$A:$A,0)))</f>
        <v>N</v>
      </c>
      <c r="J1518" t="str">
        <f t="array" ref="J1518">iferror(index(extra_muscle!$G:$G,match($A1518,extra_muscle!$A:$A,0)))</f>
        <v>BXM40-31</v>
      </c>
      <c r="K1518" t="str">
        <f t="array" ref="K1518">iferror(index(extra_muscle!$J:$J,match($A1518,extra_muscle!$A:$A,0)))</f>
        <v>N</v>
      </c>
      <c r="L1518" s="59" t="str">
        <f t="array" ref="L1518">iferror(index(dna!$G:$G,match($A1518,dna!$A:$A,0)))</f>
        <v>BDN12-88</v>
      </c>
      <c r="M1518" s="60" t="str">
        <f t="array" ref="M1518">iferror(index(dna!$J:$J,match($A1518,dna!$A:$A,0)))</f>
        <v>N</v>
      </c>
      <c r="N1518" t="str">
        <f t="array" ref="N1518">iferror(index(stomachs!$G:$G,match($A1518,stomachs!$A:$A,0)))</f>
        <v/>
      </c>
      <c r="O1518" t="str">
        <f t="array" ref="O1518">iferror(index(stomachs!$J:$J,match($A1518,stomachs!$A:$A,0)))</f>
        <v/>
      </c>
      <c r="P1518" t="str">
        <f t="array" ref="P1518">iferror(index(sea_lice!$G:$G,match($A1518,sea_lice!$A:$A,0)))</f>
        <v>BSL8-71</v>
      </c>
      <c r="Q1518" t="str">
        <f t="array" ref="Q1518">iferror(index(sea_lice!$J:$J,match($A1518,sea_lice!$A:$A,0)))</f>
        <v>N</v>
      </c>
      <c r="R1518" s="40" t="str">
        <f t="array" ref="R1518">iferror(index(dissected_fish!$F:$F,match($A1518,dissected_fish!$A:$A,0)))</f>
        <v>BCA112</v>
      </c>
      <c r="S1518" s="40" t="str">
        <f t="array" ref="S1518">iferror(index(dissected_fish!$K:$K,match($A1518,dissected_fish!$A:$A,0)))</f>
        <v>N</v>
      </c>
      <c r="T1518" s="61" t="str">
        <f t="array" ref="T1518">index(fish_lab_data!O:O,match(A1518,fish_lab_data!C:C,0))</f>
        <v>KB</v>
      </c>
      <c r="U1518" s="61">
        <f t="array" ref="U1518">if(A1518="","",index(fish_lab_data!X:X,match(A1518,fish_lab_data!C:C,0)))</f>
        <v>1517</v>
      </c>
    </row>
    <row r="1519">
      <c r="A1519" t="str">
        <f>fish_lab_data!C1519</f>
        <v>U16131</v>
      </c>
      <c r="B1519" t="str">
        <f t="array" ref="B1519">iferror(index('rna-muscle'!$I:$I,match($A1519,'rna-muscle'!$A:$A,0)))</f>
        <v>BRN53M-A12</v>
      </c>
      <c r="C1519" t="str">
        <f t="array" ref="C1519">iferror(index('rna-muscle'!$L:$L,match($A1519,'rna-muscle'!$A:$A,0)))</f>
        <v>N</v>
      </c>
      <c r="D1519" t="str">
        <f t="array" ref="D1519">iferror(index('rna-gill'!$I:$I,match($A1519,'rna-gill'!$A:$A,0)))</f>
        <v>BRN53G-A12</v>
      </c>
      <c r="E1519" t="str">
        <f t="array" ref="E1519">iferror(index('rna-gill'!$L:$L,match($A1519,'rna-gill'!$A:$A,0)))</f>
        <v>N</v>
      </c>
      <c r="F1519" t="str">
        <f t="array" ref="F1519">iferror(index(fatty_acid!$G:$G,match($A1519,fatty_acid!$A:$A,0)))</f>
        <v>BFA38-32</v>
      </c>
      <c r="G1519" t="str">
        <f t="array" ref="G1519">iferror(index(fatty_acid!$J:$J,match($A1519,fatty_acid!$A:$A,0)))</f>
        <v>N</v>
      </c>
      <c r="H1519" t="str">
        <f t="array" ref="H1519">iferror(index(isotopes!$G:$G,match($A1519,isotopes!$A:$A,0)))</f>
        <v>BIS41-32</v>
      </c>
      <c r="I1519" t="str">
        <f t="array" ref="I1519">iferror(index(isotopes!$J:$J,match($A1519,isotopes!$A:$A,0)))</f>
        <v>N</v>
      </c>
      <c r="J1519" t="str">
        <f t="array" ref="J1519">iferror(index(extra_muscle!$G:$G,match($A1519,extra_muscle!$A:$A,0)))</f>
        <v>BXM40-32</v>
      </c>
      <c r="K1519" t="str">
        <f t="array" ref="K1519">iferror(index(extra_muscle!$J:$J,match($A1519,extra_muscle!$A:$A,0)))</f>
        <v>N</v>
      </c>
      <c r="L1519" s="59" t="str">
        <f t="array" ref="L1519">iferror(index(dna!$G:$G,match($A1519,dna!$A:$A,0)))</f>
        <v>BDN12-89</v>
      </c>
      <c r="M1519" s="60" t="str">
        <f t="array" ref="M1519">iferror(index(dna!$J:$J,match($A1519,dna!$A:$A,0)))</f>
        <v>N</v>
      </c>
      <c r="N1519" t="str">
        <f t="array" ref="N1519">iferror(index(stomachs!$G:$G,match($A1519,stomachs!$A:$A,0)))</f>
        <v/>
      </c>
      <c r="O1519" t="str">
        <f t="array" ref="O1519">iferror(index(stomachs!$J:$J,match($A1519,stomachs!$A:$A,0)))</f>
        <v/>
      </c>
      <c r="P1519" t="str">
        <f t="array" ref="P1519">iferror(index(sea_lice!$G:$G,match($A1519,sea_lice!$A:$A,0)))</f>
        <v>BSL8-72</v>
      </c>
      <c r="Q1519" t="str">
        <f t="array" ref="Q1519">iferror(index(sea_lice!$J:$J,match($A1519,sea_lice!$A:$A,0)))</f>
        <v>N</v>
      </c>
      <c r="R1519" s="40" t="str">
        <f t="array" ref="R1519">iferror(index(dissected_fish!$F:$F,match($A1519,dissected_fish!$A:$A,0)))</f>
        <v>BCA112</v>
      </c>
      <c r="S1519" s="40" t="str">
        <f t="array" ref="S1519">iferror(index(dissected_fish!$K:$K,match($A1519,dissected_fish!$A:$A,0)))</f>
        <v>N</v>
      </c>
      <c r="T1519" s="61" t="str">
        <f t="array" ref="T1519">index(fish_lab_data!O:O,match(A1519,fish_lab_data!C:C,0))</f>
        <v>KB</v>
      </c>
      <c r="U1519" s="61">
        <f t="array" ref="U1519">if(A1519="","",index(fish_lab_data!X:X,match(A1519,fish_lab_data!C:C,0)))</f>
        <v>1518</v>
      </c>
    </row>
    <row r="1520">
      <c r="A1520" t="str">
        <f>fish_lab_data!C1520</f>
        <v>U17841</v>
      </c>
      <c r="B1520" t="str">
        <f t="array" ref="B1520">iferror(index('rna-muscle'!$I:$I,match($A1520,'rna-muscle'!$A:$A,0)))</f>
        <v>BRN78M-H1</v>
      </c>
      <c r="C1520" t="str">
        <f t="array" ref="C1520">iferror(index('rna-muscle'!$L:$L,match($A1520,'rna-muscle'!$A:$A,0)))</f>
        <v>N</v>
      </c>
      <c r="D1520" t="str">
        <f t="array" ref="D1520">iferror(index('rna-gill'!$I:$I,match($A1520,'rna-gill'!$A:$A,0)))</f>
        <v>BRN78G-H1</v>
      </c>
      <c r="E1520" t="str">
        <f t="array" ref="E1520">iferror(index('rna-gill'!$L:$L,match($A1520,'rna-gill'!$A:$A,0)))</f>
        <v>N</v>
      </c>
      <c r="F1520" t="str">
        <f t="array" ref="F1520">iferror(index(fatty_acid!$G:$G,match($A1520,fatty_acid!$A:$A,0)))</f>
        <v>BFA38-33</v>
      </c>
      <c r="G1520" t="str">
        <f t="array" ref="G1520">iferror(index(fatty_acid!$J:$J,match($A1520,fatty_acid!$A:$A,0)))</f>
        <v>N</v>
      </c>
      <c r="H1520" t="str">
        <f t="array" ref="H1520">iferror(index(isotopes!$G:$G,match($A1520,isotopes!$A:$A,0)))</f>
        <v>BIS41-33</v>
      </c>
      <c r="I1520" t="str">
        <f t="array" ref="I1520">iferror(index(isotopes!$J:$J,match($A1520,isotopes!$A:$A,0)))</f>
        <v>N</v>
      </c>
      <c r="J1520" t="str">
        <f t="array" ref="J1520">iferror(index(extra_muscle!$G:$G,match($A1520,extra_muscle!$A:$A,0)))</f>
        <v>BXM40-33</v>
      </c>
      <c r="K1520" t="str">
        <f t="array" ref="K1520">iferror(index(extra_muscle!$J:$J,match($A1520,extra_muscle!$A:$A,0)))</f>
        <v>N</v>
      </c>
      <c r="L1520" s="59" t="str">
        <f t="array" ref="L1520">iferror(index(dna!$G:$G,match($A1520,dna!$A:$A,0)))</f>
        <v>BDN12-90</v>
      </c>
      <c r="M1520" s="60" t="str">
        <f t="array" ref="M1520">iferror(index(dna!$J:$J,match($A1520,dna!$A:$A,0)))</f>
        <v>N</v>
      </c>
      <c r="N1520" t="str">
        <f t="array" ref="N1520">iferror(index(stomachs!$G:$G,match($A1520,stomachs!$A:$A,0)))</f>
        <v/>
      </c>
      <c r="O1520" t="str">
        <f t="array" ref="O1520">iferror(index(stomachs!$J:$J,match($A1520,stomachs!$A:$A,0)))</f>
        <v/>
      </c>
      <c r="P1520" t="str">
        <f t="array" ref="P1520">iferror(index(sea_lice!$G:$G,match($A1520,sea_lice!$A:$A,0)))</f>
        <v/>
      </c>
      <c r="Q1520" t="str">
        <f t="array" ref="Q1520">iferror(index(sea_lice!$J:$J,match($A1520,sea_lice!$A:$A,0)))</f>
        <v/>
      </c>
      <c r="R1520" s="40" t="str">
        <f t="array" ref="R1520">iferror(index(dissected_fish!$F:$F,match($A1520,dissected_fish!$A:$A,0)))</f>
        <v>BCA112</v>
      </c>
      <c r="S1520" s="40" t="str">
        <f t="array" ref="S1520">iferror(index(dissected_fish!$K:$K,match($A1520,dissected_fish!$A:$A,0)))</f>
        <v>N</v>
      </c>
      <c r="T1520" s="61" t="str">
        <f t="array" ref="T1520">index(fish_lab_data!O:O,match(A1520,fish_lab_data!C:C,0))</f>
        <v>KB</v>
      </c>
      <c r="U1520" s="61">
        <f t="array" ref="U1520">if(A1520="","",index(fish_lab_data!X:X,match(A1520,fish_lab_data!C:C,0)))</f>
        <v>1519</v>
      </c>
    </row>
    <row r="1521">
      <c r="A1521" t="str">
        <f>fish_lab_data!C1521</f>
        <v>U16331</v>
      </c>
      <c r="B1521" t="str">
        <f t="array" ref="B1521">iferror(index('rna-muscle'!$I:$I,match($A1521,'rna-muscle'!$A:$A,0)))</f>
        <v>BRN78M-G1</v>
      </c>
      <c r="C1521" t="str">
        <f t="array" ref="C1521">iferror(index('rna-muscle'!$L:$L,match($A1521,'rna-muscle'!$A:$A,0)))</f>
        <v>N</v>
      </c>
      <c r="D1521" t="str">
        <f t="array" ref="D1521">iferror(index('rna-gill'!$I:$I,match($A1521,'rna-gill'!$A:$A,0)))</f>
        <v>BRN78G-G1</v>
      </c>
      <c r="E1521" t="str">
        <f t="array" ref="E1521">iferror(index('rna-gill'!$L:$L,match($A1521,'rna-gill'!$A:$A,0)))</f>
        <v>N</v>
      </c>
      <c r="F1521" t="str">
        <f t="array" ref="F1521">iferror(index(fatty_acid!$G:$G,match($A1521,fatty_acid!$A:$A,0)))</f>
        <v>BFA38-34</v>
      </c>
      <c r="G1521" t="str">
        <f t="array" ref="G1521">iferror(index(fatty_acid!$J:$J,match($A1521,fatty_acid!$A:$A,0)))</f>
        <v>N</v>
      </c>
      <c r="H1521" t="str">
        <f t="array" ref="H1521">iferror(index(isotopes!$G:$G,match($A1521,isotopes!$A:$A,0)))</f>
        <v>BIS41-34</v>
      </c>
      <c r="I1521" t="str">
        <f t="array" ref="I1521">iferror(index(isotopes!$J:$J,match($A1521,isotopes!$A:$A,0)))</f>
        <v>N</v>
      </c>
      <c r="J1521" t="str">
        <f t="array" ref="J1521">iferror(index(extra_muscle!$G:$G,match($A1521,extra_muscle!$A:$A,0)))</f>
        <v>BXM40-34</v>
      </c>
      <c r="K1521" t="str">
        <f t="array" ref="K1521">iferror(index(extra_muscle!$J:$J,match($A1521,extra_muscle!$A:$A,0)))</f>
        <v>N</v>
      </c>
      <c r="L1521" s="59" t="str">
        <f t="array" ref="L1521">iferror(index(dna!$G:$G,match($A1521,dna!$A:$A,0)))</f>
        <v>BDN12-91</v>
      </c>
      <c r="M1521" s="60" t="str">
        <f t="array" ref="M1521">iferror(index(dna!$J:$J,match($A1521,dna!$A:$A,0)))</f>
        <v>N</v>
      </c>
      <c r="N1521" t="str">
        <f t="array" ref="N1521">iferror(index(stomachs!$G:$G,match($A1521,stomachs!$A:$A,0)))</f>
        <v/>
      </c>
      <c r="O1521" t="str">
        <f t="array" ref="O1521">iferror(index(stomachs!$J:$J,match($A1521,stomachs!$A:$A,0)))</f>
        <v/>
      </c>
      <c r="P1521" t="str">
        <f t="array" ref="P1521">iferror(index(sea_lice!$G:$G,match($A1521,sea_lice!$A:$A,0)))</f>
        <v/>
      </c>
      <c r="Q1521" t="str">
        <f t="array" ref="Q1521">iferror(index(sea_lice!$J:$J,match($A1521,sea_lice!$A:$A,0)))</f>
        <v/>
      </c>
      <c r="R1521" s="40" t="str">
        <f t="array" ref="R1521">iferror(index(dissected_fish!$F:$F,match($A1521,dissected_fish!$A:$A,0)))</f>
        <v>BCA112</v>
      </c>
      <c r="S1521" s="40" t="str">
        <f t="array" ref="S1521">iferror(index(dissected_fish!$K:$K,match($A1521,dissected_fish!$A:$A,0)))</f>
        <v>N</v>
      </c>
      <c r="T1521" s="61" t="str">
        <f t="array" ref="T1521">index(fish_lab_data!O:O,match(A1521,fish_lab_data!C:C,0))</f>
        <v>KB</v>
      </c>
      <c r="U1521" s="61">
        <f t="array" ref="U1521">if(A1521="","",index(fish_lab_data!X:X,match(A1521,fish_lab_data!C:C,0)))</f>
        <v>1520</v>
      </c>
    </row>
    <row r="1522">
      <c r="A1522" t="str">
        <f>fish_lab_data!C1522</f>
        <v>U17481</v>
      </c>
      <c r="B1522" t="str">
        <f t="array" ref="B1522">iferror(index('rna-muscle'!$I:$I,match($A1522,'rna-muscle'!$A:$A,0)))</f>
        <v>BRN78M-F1</v>
      </c>
      <c r="C1522" t="str">
        <f t="array" ref="C1522">iferror(index('rna-muscle'!$L:$L,match($A1522,'rna-muscle'!$A:$A,0)))</f>
        <v>N</v>
      </c>
      <c r="D1522" t="str">
        <f t="array" ref="D1522">iferror(index('rna-gill'!$I:$I,match($A1522,'rna-gill'!$A:$A,0)))</f>
        <v>BRN78G-F1</v>
      </c>
      <c r="E1522" t="str">
        <f t="array" ref="E1522">iferror(index('rna-gill'!$L:$L,match($A1522,'rna-gill'!$A:$A,0)))</f>
        <v>N</v>
      </c>
      <c r="F1522" t="str">
        <f t="array" ref="F1522">iferror(index(fatty_acid!$G:$G,match($A1522,fatty_acid!$A:$A,0)))</f>
        <v>BFA38-35</v>
      </c>
      <c r="G1522" t="str">
        <f t="array" ref="G1522">iferror(index(fatty_acid!$J:$J,match($A1522,fatty_acid!$A:$A,0)))</f>
        <v>N</v>
      </c>
      <c r="H1522" t="str">
        <f t="array" ref="H1522">iferror(index(isotopes!$G:$G,match($A1522,isotopes!$A:$A,0)))</f>
        <v>BIS41-35</v>
      </c>
      <c r="I1522" t="str">
        <f t="array" ref="I1522">iferror(index(isotopes!$J:$J,match($A1522,isotopes!$A:$A,0)))</f>
        <v>N</v>
      </c>
      <c r="J1522" t="str">
        <f t="array" ref="J1522">iferror(index(extra_muscle!$G:$G,match($A1522,extra_muscle!$A:$A,0)))</f>
        <v>BXM40-35</v>
      </c>
      <c r="K1522" t="str">
        <f t="array" ref="K1522">iferror(index(extra_muscle!$J:$J,match($A1522,extra_muscle!$A:$A,0)))</f>
        <v>N</v>
      </c>
      <c r="L1522" s="59" t="str">
        <f t="array" ref="L1522">iferror(index(dna!$G:$G,match($A1522,dna!$A:$A,0)))</f>
        <v>BDN12-92</v>
      </c>
      <c r="M1522" s="60" t="str">
        <f t="array" ref="M1522">iferror(index(dna!$J:$J,match($A1522,dna!$A:$A,0)))</f>
        <v>N</v>
      </c>
      <c r="N1522" t="str">
        <f t="array" ref="N1522">iferror(index(stomachs!$G:$G,match($A1522,stomachs!$A:$A,0)))</f>
        <v/>
      </c>
      <c r="O1522" t="str">
        <f t="array" ref="O1522">iferror(index(stomachs!$J:$J,match($A1522,stomachs!$A:$A,0)))</f>
        <v/>
      </c>
      <c r="P1522" t="str">
        <f t="array" ref="P1522">iferror(index(sea_lice!$G:$G,match($A1522,sea_lice!$A:$A,0)))</f>
        <v/>
      </c>
      <c r="Q1522" t="str">
        <f t="array" ref="Q1522">iferror(index(sea_lice!$J:$J,match($A1522,sea_lice!$A:$A,0)))</f>
        <v/>
      </c>
      <c r="R1522" s="40" t="str">
        <f t="array" ref="R1522">iferror(index(dissected_fish!$F:$F,match($A1522,dissected_fish!$A:$A,0)))</f>
        <v>BCA112</v>
      </c>
      <c r="S1522" s="40" t="str">
        <f t="array" ref="S1522">iferror(index(dissected_fish!$K:$K,match($A1522,dissected_fish!$A:$A,0)))</f>
        <v>N</v>
      </c>
      <c r="T1522" s="61" t="str">
        <f t="array" ref="T1522">index(fish_lab_data!O:O,match(A1522,fish_lab_data!C:C,0))</f>
        <v>KB</v>
      </c>
      <c r="U1522" s="61">
        <f t="array" ref="U1522">if(A1522="","",index(fish_lab_data!X:X,match(A1522,fish_lab_data!C:C,0)))</f>
        <v>1521</v>
      </c>
    </row>
    <row r="1523">
      <c r="A1523" t="str">
        <f>fish_lab_data!C1523</f>
        <v>U16071</v>
      </c>
      <c r="B1523" t="str">
        <f t="array" ref="B1523">iferror(index('rna-muscle'!$I:$I,match($A1523,'rna-muscle'!$A:$A,0)))</f>
        <v>BRN78M-E1</v>
      </c>
      <c r="C1523" t="str">
        <f t="array" ref="C1523">iferror(index('rna-muscle'!$L:$L,match($A1523,'rna-muscle'!$A:$A,0)))</f>
        <v>N</v>
      </c>
      <c r="D1523" t="str">
        <f t="array" ref="D1523">iferror(index('rna-gill'!$I:$I,match($A1523,'rna-gill'!$A:$A,0)))</f>
        <v>BRN78G-E1</v>
      </c>
      <c r="E1523" t="str">
        <f t="array" ref="E1523">iferror(index('rna-gill'!$L:$L,match($A1523,'rna-gill'!$A:$A,0)))</f>
        <v>N</v>
      </c>
      <c r="F1523" t="str">
        <f t="array" ref="F1523">iferror(index(fatty_acid!$G:$G,match($A1523,fatty_acid!$A:$A,0)))</f>
        <v>BFA38-36</v>
      </c>
      <c r="G1523" t="str">
        <f t="array" ref="G1523">iferror(index(fatty_acid!$J:$J,match($A1523,fatty_acid!$A:$A,0)))</f>
        <v>N</v>
      </c>
      <c r="H1523" t="str">
        <f t="array" ref="H1523">iferror(index(isotopes!$G:$G,match($A1523,isotopes!$A:$A,0)))</f>
        <v>BIS41-36</v>
      </c>
      <c r="I1523" t="str">
        <f t="array" ref="I1523">iferror(index(isotopes!$J:$J,match($A1523,isotopes!$A:$A,0)))</f>
        <v>N</v>
      </c>
      <c r="J1523" t="str">
        <f t="array" ref="J1523">iferror(index(extra_muscle!$G:$G,match($A1523,extra_muscle!$A:$A,0)))</f>
        <v>BXM40-36</v>
      </c>
      <c r="K1523" t="str">
        <f t="array" ref="K1523">iferror(index(extra_muscle!$J:$J,match($A1523,extra_muscle!$A:$A,0)))</f>
        <v>N</v>
      </c>
      <c r="L1523" s="59" t="str">
        <f t="array" ref="L1523">iferror(index(dna!$G:$G,match($A1523,dna!$A:$A,0)))</f>
        <v>BDN12-93</v>
      </c>
      <c r="M1523" s="60" t="str">
        <f t="array" ref="M1523">iferror(index(dna!$J:$J,match($A1523,dna!$A:$A,0)))</f>
        <v>N</v>
      </c>
      <c r="N1523" t="str">
        <f t="array" ref="N1523">iferror(index(stomachs!$G:$G,match($A1523,stomachs!$A:$A,0)))</f>
        <v/>
      </c>
      <c r="O1523" t="str">
        <f t="array" ref="O1523">iferror(index(stomachs!$J:$J,match($A1523,stomachs!$A:$A,0)))</f>
        <v/>
      </c>
      <c r="P1523" t="str">
        <f t="array" ref="P1523">iferror(index(sea_lice!$G:$G,match($A1523,sea_lice!$A:$A,0)))</f>
        <v/>
      </c>
      <c r="Q1523" t="str">
        <f t="array" ref="Q1523">iferror(index(sea_lice!$J:$J,match($A1523,sea_lice!$A:$A,0)))</f>
        <v/>
      </c>
      <c r="R1523" s="40" t="str">
        <f t="array" ref="R1523">iferror(index(dissected_fish!$F:$F,match($A1523,dissected_fish!$A:$A,0)))</f>
        <v>BCA112</v>
      </c>
      <c r="S1523" s="40" t="str">
        <f t="array" ref="S1523">iferror(index(dissected_fish!$K:$K,match($A1523,dissected_fish!$A:$A,0)))</f>
        <v>N</v>
      </c>
      <c r="T1523" s="61" t="str">
        <f t="array" ref="T1523">index(fish_lab_data!O:O,match(A1523,fish_lab_data!C:C,0))</f>
        <v>KB</v>
      </c>
      <c r="U1523" s="61">
        <f t="array" ref="U1523">if(A1523="","",index(fish_lab_data!X:X,match(A1523,fish_lab_data!C:C,0)))</f>
        <v>1522</v>
      </c>
    </row>
    <row r="1524">
      <c r="A1524" t="str">
        <f>fish_lab_data!C1524</f>
        <v>U17031</v>
      </c>
      <c r="B1524" t="str">
        <f t="array" ref="B1524">iferror(index('rna-muscle'!$I:$I,match($A1524,'rna-muscle'!$A:$A,0)))</f>
        <v>BRN78M-D1</v>
      </c>
      <c r="C1524" t="str">
        <f t="array" ref="C1524">iferror(index('rna-muscle'!$L:$L,match($A1524,'rna-muscle'!$A:$A,0)))</f>
        <v>N</v>
      </c>
      <c r="D1524" t="str">
        <f t="array" ref="D1524">iferror(index('rna-gill'!$I:$I,match($A1524,'rna-gill'!$A:$A,0)))</f>
        <v>BRN78G-D1</v>
      </c>
      <c r="E1524" t="str">
        <f t="array" ref="E1524">iferror(index('rna-gill'!$L:$L,match($A1524,'rna-gill'!$A:$A,0)))</f>
        <v>N</v>
      </c>
      <c r="F1524" t="str">
        <f t="array" ref="F1524">iferror(index(fatty_acid!$G:$G,match($A1524,fatty_acid!$A:$A,0)))</f>
        <v>BFA38-37</v>
      </c>
      <c r="G1524" t="str">
        <f t="array" ref="G1524">iferror(index(fatty_acid!$J:$J,match($A1524,fatty_acid!$A:$A,0)))</f>
        <v>N</v>
      </c>
      <c r="H1524" t="str">
        <f t="array" ref="H1524">iferror(index(isotopes!$G:$G,match($A1524,isotopes!$A:$A,0)))</f>
        <v>BIS41-37</v>
      </c>
      <c r="I1524" t="str">
        <f t="array" ref="I1524">iferror(index(isotopes!$J:$J,match($A1524,isotopes!$A:$A,0)))</f>
        <v>N</v>
      </c>
      <c r="J1524" t="str">
        <f t="array" ref="J1524">iferror(index(extra_muscle!$G:$G,match($A1524,extra_muscle!$A:$A,0)))</f>
        <v>BXM40-37</v>
      </c>
      <c r="K1524" t="str">
        <f t="array" ref="K1524">iferror(index(extra_muscle!$J:$J,match($A1524,extra_muscle!$A:$A,0)))</f>
        <v>N</v>
      </c>
      <c r="L1524" s="59" t="str">
        <f t="array" ref="L1524">iferror(index(dna!$G:$G,match($A1524,dna!$A:$A,0)))</f>
        <v>BDN12-94</v>
      </c>
      <c r="M1524" s="60" t="str">
        <f t="array" ref="M1524">iferror(index(dna!$J:$J,match($A1524,dna!$A:$A,0)))</f>
        <v>N</v>
      </c>
      <c r="N1524" t="str">
        <f t="array" ref="N1524">iferror(index(stomachs!$G:$G,match($A1524,stomachs!$A:$A,0)))</f>
        <v/>
      </c>
      <c r="O1524" t="str">
        <f t="array" ref="O1524">iferror(index(stomachs!$J:$J,match($A1524,stomachs!$A:$A,0)))</f>
        <v/>
      </c>
      <c r="P1524" t="str">
        <f t="array" ref="P1524">iferror(index(sea_lice!$G:$G,match($A1524,sea_lice!$A:$A,0)))</f>
        <v>BSL8-73</v>
      </c>
      <c r="Q1524" t="str">
        <f t="array" ref="Q1524">iferror(index(sea_lice!$J:$J,match($A1524,sea_lice!$A:$A,0)))</f>
        <v>N</v>
      </c>
      <c r="R1524" s="40" t="str">
        <f t="array" ref="R1524">iferror(index(dissected_fish!$F:$F,match($A1524,dissected_fish!$A:$A,0)))</f>
        <v>BCA112</v>
      </c>
      <c r="S1524" s="40" t="str">
        <f t="array" ref="S1524">iferror(index(dissected_fish!$K:$K,match($A1524,dissected_fish!$A:$A,0)))</f>
        <v>N</v>
      </c>
      <c r="T1524" s="61" t="str">
        <f t="array" ref="T1524">index(fish_lab_data!O:O,match(A1524,fish_lab_data!C:C,0))</f>
        <v>KB</v>
      </c>
      <c r="U1524" s="61">
        <f t="array" ref="U1524">if(A1524="","",index(fish_lab_data!X:X,match(A1524,fish_lab_data!C:C,0)))</f>
        <v>1523</v>
      </c>
    </row>
    <row r="1525">
      <c r="A1525" t="str">
        <f>fish_lab_data!C1525</f>
        <v>U17061</v>
      </c>
      <c r="B1525" t="str">
        <f t="array" ref="B1525">iferror(index('rna-muscle'!$I:$I,match($A1525,'rna-muscle'!$A:$A,0)))</f>
        <v>BRN78M-C1</v>
      </c>
      <c r="C1525" t="str">
        <f t="array" ref="C1525">iferror(index('rna-muscle'!$L:$L,match($A1525,'rna-muscle'!$A:$A,0)))</f>
        <v>N</v>
      </c>
      <c r="D1525" t="str">
        <f t="array" ref="D1525">iferror(index('rna-gill'!$I:$I,match($A1525,'rna-gill'!$A:$A,0)))</f>
        <v>BRN78G-C1</v>
      </c>
      <c r="E1525" t="str">
        <f t="array" ref="E1525">iferror(index('rna-gill'!$L:$L,match($A1525,'rna-gill'!$A:$A,0)))</f>
        <v>N</v>
      </c>
      <c r="F1525" t="str">
        <f t="array" ref="F1525">iferror(index(fatty_acid!$G:$G,match($A1525,fatty_acid!$A:$A,0)))</f>
        <v>BFA38-38</v>
      </c>
      <c r="G1525" t="str">
        <f t="array" ref="G1525">iferror(index(fatty_acid!$J:$J,match($A1525,fatty_acid!$A:$A,0)))</f>
        <v>N</v>
      </c>
      <c r="H1525" t="str">
        <f t="array" ref="H1525">iferror(index(isotopes!$G:$G,match($A1525,isotopes!$A:$A,0)))</f>
        <v>BIS41-38</v>
      </c>
      <c r="I1525" t="str">
        <f t="array" ref="I1525">iferror(index(isotopes!$J:$J,match($A1525,isotopes!$A:$A,0)))</f>
        <v>N</v>
      </c>
      <c r="J1525" t="str">
        <f t="array" ref="J1525">iferror(index(extra_muscle!$G:$G,match($A1525,extra_muscle!$A:$A,0)))</f>
        <v>BXM40-38</v>
      </c>
      <c r="K1525" t="str">
        <f t="array" ref="K1525">iferror(index(extra_muscle!$J:$J,match($A1525,extra_muscle!$A:$A,0)))</f>
        <v>N</v>
      </c>
      <c r="L1525" s="59" t="str">
        <f t="array" ref="L1525">iferror(index(dna!$G:$G,match($A1525,dna!$A:$A,0)))</f>
        <v>BDN12-95</v>
      </c>
      <c r="M1525" s="60" t="str">
        <f t="array" ref="M1525">iferror(index(dna!$J:$J,match($A1525,dna!$A:$A,0)))</f>
        <v>N</v>
      </c>
      <c r="N1525" t="str">
        <f t="array" ref="N1525">iferror(index(stomachs!$G:$G,match($A1525,stomachs!$A:$A,0)))</f>
        <v/>
      </c>
      <c r="O1525" t="str">
        <f t="array" ref="O1525">iferror(index(stomachs!$J:$J,match($A1525,stomachs!$A:$A,0)))</f>
        <v/>
      </c>
      <c r="P1525" t="str">
        <f t="array" ref="P1525">iferror(index(sea_lice!$G:$G,match($A1525,sea_lice!$A:$A,0)))</f>
        <v/>
      </c>
      <c r="Q1525" t="str">
        <f t="array" ref="Q1525">iferror(index(sea_lice!$J:$J,match($A1525,sea_lice!$A:$A,0)))</f>
        <v/>
      </c>
      <c r="R1525" s="40" t="str">
        <f t="array" ref="R1525">iferror(index(dissected_fish!$F:$F,match($A1525,dissected_fish!$A:$A,0)))</f>
        <v>BCA112</v>
      </c>
      <c r="S1525" s="40" t="str">
        <f t="array" ref="S1525">iferror(index(dissected_fish!$K:$K,match($A1525,dissected_fish!$A:$A,0)))</f>
        <v>N</v>
      </c>
      <c r="T1525" s="61" t="str">
        <f t="array" ref="T1525">index(fish_lab_data!O:O,match(A1525,fish_lab_data!C:C,0))</f>
        <v>KB</v>
      </c>
      <c r="U1525" s="61">
        <f t="array" ref="U1525">if(A1525="","",index(fish_lab_data!X:X,match(A1525,fish_lab_data!C:C,0)))</f>
        <v>1524</v>
      </c>
    </row>
    <row r="1526">
      <c r="A1526" t="str">
        <f>fish_lab_data!C1526</f>
        <v>U16381</v>
      </c>
      <c r="B1526" t="str">
        <f t="array" ref="B1526">iferror(index('rna-muscle'!$I:$I,match($A1526,'rna-muscle'!$A:$A,0)))</f>
        <v>BRN78M-B1</v>
      </c>
      <c r="C1526" t="str">
        <f t="array" ref="C1526">iferror(index('rna-muscle'!$L:$L,match($A1526,'rna-muscle'!$A:$A,0)))</f>
        <v>N</v>
      </c>
      <c r="D1526" t="str">
        <f t="array" ref="D1526">iferror(index('rna-gill'!$I:$I,match($A1526,'rna-gill'!$A:$A,0)))</f>
        <v>BRN78G-B1</v>
      </c>
      <c r="E1526" t="str">
        <f t="array" ref="E1526">iferror(index('rna-gill'!$L:$L,match($A1526,'rna-gill'!$A:$A,0)))</f>
        <v>N</v>
      </c>
      <c r="F1526" t="str">
        <f t="array" ref="F1526">iferror(index(fatty_acid!$G:$G,match($A1526,fatty_acid!$A:$A,0)))</f>
        <v>BFA38-39</v>
      </c>
      <c r="G1526" t="str">
        <f t="array" ref="G1526">iferror(index(fatty_acid!$J:$J,match($A1526,fatty_acid!$A:$A,0)))</f>
        <v>N</v>
      </c>
      <c r="H1526" t="str">
        <f t="array" ref="H1526">iferror(index(isotopes!$G:$G,match($A1526,isotopes!$A:$A,0)))</f>
        <v>BIS41-39</v>
      </c>
      <c r="I1526" t="str">
        <f t="array" ref="I1526">iferror(index(isotopes!$J:$J,match($A1526,isotopes!$A:$A,0)))</f>
        <v>N</v>
      </c>
      <c r="J1526" t="str">
        <f t="array" ref="J1526">iferror(index(extra_muscle!$G:$G,match($A1526,extra_muscle!$A:$A,0)))</f>
        <v>BXM40-39</v>
      </c>
      <c r="K1526" t="str">
        <f t="array" ref="K1526">iferror(index(extra_muscle!$J:$J,match($A1526,extra_muscle!$A:$A,0)))</f>
        <v>N</v>
      </c>
      <c r="L1526" s="59" t="str">
        <f t="array" ref="L1526">iferror(index(dna!$G:$G,match($A1526,dna!$A:$A,0)))</f>
        <v>BDN12-96</v>
      </c>
      <c r="M1526" s="60" t="str">
        <f t="array" ref="M1526">iferror(index(dna!$J:$J,match($A1526,dna!$A:$A,0)))</f>
        <v>N</v>
      </c>
      <c r="N1526" t="str">
        <f t="array" ref="N1526">iferror(index(stomachs!$G:$G,match($A1526,stomachs!$A:$A,0)))</f>
        <v/>
      </c>
      <c r="O1526" t="str">
        <f t="array" ref="O1526">iferror(index(stomachs!$J:$J,match($A1526,stomachs!$A:$A,0)))</f>
        <v/>
      </c>
      <c r="P1526" t="str">
        <f t="array" ref="P1526">iferror(index(sea_lice!$G:$G,match($A1526,sea_lice!$A:$A,0)))</f>
        <v/>
      </c>
      <c r="Q1526" t="str">
        <f t="array" ref="Q1526">iferror(index(sea_lice!$J:$J,match($A1526,sea_lice!$A:$A,0)))</f>
        <v/>
      </c>
      <c r="R1526" s="40" t="str">
        <f t="array" ref="R1526">iferror(index(dissected_fish!$F:$F,match($A1526,dissected_fish!$A:$A,0)))</f>
        <v>BCA112</v>
      </c>
      <c r="S1526" s="40" t="str">
        <f t="array" ref="S1526">iferror(index(dissected_fish!$K:$K,match($A1526,dissected_fish!$A:$A,0)))</f>
        <v>N</v>
      </c>
      <c r="T1526" s="61" t="str">
        <f t="array" ref="T1526">index(fish_lab_data!O:O,match(A1526,fish_lab_data!C:C,0))</f>
        <v>KB</v>
      </c>
      <c r="U1526" s="61">
        <f t="array" ref="U1526">if(A1526="","",index(fish_lab_data!X:X,match(A1526,fish_lab_data!C:C,0)))</f>
        <v>1525</v>
      </c>
    </row>
    <row r="1527">
      <c r="A1527" t="str">
        <f>fish_lab_data!C1527</f>
        <v>U16311</v>
      </c>
      <c r="B1527" t="str">
        <f t="array" ref="B1527">iferror(index('rna-muscle'!$I:$I,match($A1527,'rna-muscle'!$A:$A,0)))</f>
        <v>BRN78M-A1</v>
      </c>
      <c r="C1527" t="str">
        <f t="array" ref="C1527">iferror(index('rna-muscle'!$L:$L,match($A1527,'rna-muscle'!$A:$A,0)))</f>
        <v>N</v>
      </c>
      <c r="D1527" t="str">
        <f t="array" ref="D1527">iferror(index('rna-gill'!$I:$I,match($A1527,'rna-gill'!$A:$A,0)))</f>
        <v>BRN78G-A1</v>
      </c>
      <c r="E1527" t="str">
        <f t="array" ref="E1527">iferror(index('rna-gill'!$L:$L,match($A1527,'rna-gill'!$A:$A,0)))</f>
        <v>N</v>
      </c>
      <c r="F1527" t="str">
        <f t="array" ref="F1527">iferror(index(fatty_acid!$G:$G,match($A1527,fatty_acid!$A:$A,0)))</f>
        <v>BFA38-40</v>
      </c>
      <c r="G1527" t="str">
        <f t="array" ref="G1527">iferror(index(fatty_acid!$J:$J,match($A1527,fatty_acid!$A:$A,0)))</f>
        <v>N</v>
      </c>
      <c r="H1527" t="str">
        <f t="array" ref="H1527">iferror(index(isotopes!$G:$G,match($A1527,isotopes!$A:$A,0)))</f>
        <v>BIS41-40</v>
      </c>
      <c r="I1527" t="str">
        <f t="array" ref="I1527">iferror(index(isotopes!$J:$J,match($A1527,isotopes!$A:$A,0)))</f>
        <v>N</v>
      </c>
      <c r="J1527" t="str">
        <f t="array" ref="J1527">iferror(index(extra_muscle!$G:$G,match($A1527,extra_muscle!$A:$A,0)))</f>
        <v>BXM40-40</v>
      </c>
      <c r="K1527" t="str">
        <f t="array" ref="K1527">iferror(index(extra_muscle!$J:$J,match($A1527,extra_muscle!$A:$A,0)))</f>
        <v>N</v>
      </c>
      <c r="L1527" s="59" t="str">
        <f t="array" ref="L1527">iferror(index(dna!$G:$G,match($A1527,dna!$A:$A,0)))</f>
        <v>BDN12-97</v>
      </c>
      <c r="M1527" s="60" t="str">
        <f t="array" ref="M1527">iferror(index(dna!$J:$J,match($A1527,dna!$A:$A,0)))</f>
        <v>N</v>
      </c>
      <c r="N1527" t="str">
        <f t="array" ref="N1527">iferror(index(stomachs!$G:$G,match($A1527,stomachs!$A:$A,0)))</f>
        <v/>
      </c>
      <c r="O1527" t="str">
        <f t="array" ref="O1527">iferror(index(stomachs!$J:$J,match($A1527,stomachs!$A:$A,0)))</f>
        <v/>
      </c>
      <c r="P1527" t="str">
        <f t="array" ref="P1527">iferror(index(sea_lice!$G:$G,match($A1527,sea_lice!$A:$A,0)))</f>
        <v/>
      </c>
      <c r="Q1527" t="str">
        <f t="array" ref="Q1527">iferror(index(sea_lice!$J:$J,match($A1527,sea_lice!$A:$A,0)))</f>
        <v/>
      </c>
      <c r="R1527" s="40" t="str">
        <f t="array" ref="R1527">iferror(index(dissected_fish!$F:$F,match($A1527,dissected_fish!$A:$A,0)))</f>
        <v>BCA112</v>
      </c>
      <c r="S1527" s="40" t="str">
        <f t="array" ref="S1527">iferror(index(dissected_fish!$K:$K,match($A1527,dissected_fish!$A:$A,0)))</f>
        <v>N</v>
      </c>
      <c r="T1527" s="61" t="str">
        <f t="array" ref="T1527">index(fish_lab_data!O:O,match(A1527,fish_lab_data!C:C,0))</f>
        <v>KB</v>
      </c>
      <c r="U1527" s="61">
        <f t="array" ref="U1527">if(A1527="","",index(fish_lab_data!X:X,match(A1527,fish_lab_data!C:C,0)))</f>
        <v>1526</v>
      </c>
    </row>
    <row r="1528">
      <c r="A1528" t="str">
        <f>fish_lab_data!C1528</f>
        <v>U16312</v>
      </c>
      <c r="B1528" t="str">
        <f t="array" ref="B1528">iferror(index('rna-muscle'!$I:$I,match($A1528,'rna-muscle'!$A:$A,0)))</f>
        <v>BRN78M-H2</v>
      </c>
      <c r="C1528" t="str">
        <f t="array" ref="C1528">iferror(index('rna-muscle'!$L:$L,match($A1528,'rna-muscle'!$A:$A,0)))</f>
        <v>N</v>
      </c>
      <c r="D1528" t="str">
        <f t="array" ref="D1528">iferror(index('rna-gill'!$I:$I,match($A1528,'rna-gill'!$A:$A,0)))</f>
        <v>BRN78G-H2</v>
      </c>
      <c r="E1528" t="str">
        <f t="array" ref="E1528">iferror(index('rna-gill'!$L:$L,match($A1528,'rna-gill'!$A:$A,0)))</f>
        <v>N</v>
      </c>
      <c r="F1528" t="str">
        <f t="array" ref="F1528">iferror(index(fatty_acid!$G:$G,match($A1528,fatty_acid!$A:$A,0)))</f>
        <v>BFA38-41</v>
      </c>
      <c r="G1528" t="str">
        <f t="array" ref="G1528">iferror(index(fatty_acid!$J:$J,match($A1528,fatty_acid!$A:$A,0)))</f>
        <v>N</v>
      </c>
      <c r="H1528" t="str">
        <f t="array" ref="H1528">iferror(index(isotopes!$G:$G,match($A1528,isotopes!$A:$A,0)))</f>
        <v>BIS41-41</v>
      </c>
      <c r="I1528" t="str">
        <f t="array" ref="I1528">iferror(index(isotopes!$J:$J,match($A1528,isotopes!$A:$A,0)))</f>
        <v>N</v>
      </c>
      <c r="J1528" t="str">
        <f t="array" ref="J1528">iferror(index(extra_muscle!$G:$G,match($A1528,extra_muscle!$A:$A,0)))</f>
        <v>BXM40-41</v>
      </c>
      <c r="K1528" t="str">
        <f t="array" ref="K1528">iferror(index(extra_muscle!$J:$J,match($A1528,extra_muscle!$A:$A,0)))</f>
        <v>N</v>
      </c>
      <c r="L1528" s="59" t="str">
        <f t="array" ref="L1528">iferror(index(dna!$G:$G,match($A1528,dna!$A:$A,0)))</f>
        <v>BDN12-98</v>
      </c>
      <c r="M1528" s="60" t="str">
        <f t="array" ref="M1528">iferror(index(dna!$J:$J,match($A1528,dna!$A:$A,0)))</f>
        <v>N</v>
      </c>
      <c r="N1528" t="str">
        <f t="array" ref="N1528">iferror(index(stomachs!$G:$G,match($A1528,stomachs!$A:$A,0)))</f>
        <v/>
      </c>
      <c r="O1528" t="str">
        <f t="array" ref="O1528">iferror(index(stomachs!$J:$J,match($A1528,stomachs!$A:$A,0)))</f>
        <v/>
      </c>
      <c r="P1528" t="str">
        <f t="array" ref="P1528">iferror(index(sea_lice!$G:$G,match($A1528,sea_lice!$A:$A,0)))</f>
        <v/>
      </c>
      <c r="Q1528" t="str">
        <f t="array" ref="Q1528">iferror(index(sea_lice!$J:$J,match($A1528,sea_lice!$A:$A,0)))</f>
        <v/>
      </c>
      <c r="R1528" s="40" t="str">
        <f t="array" ref="R1528">iferror(index(dissected_fish!$F:$F,match($A1528,dissected_fish!$A:$A,0)))</f>
        <v>BCA112</v>
      </c>
      <c r="S1528" s="40" t="str">
        <f t="array" ref="S1528">iferror(index(dissected_fish!$K:$K,match($A1528,dissected_fish!$A:$A,0)))</f>
        <v>N</v>
      </c>
      <c r="T1528" s="61" t="str">
        <f t="array" ref="T1528">index(fish_lab_data!O:O,match(A1528,fish_lab_data!C:C,0))</f>
        <v>KB</v>
      </c>
      <c r="U1528" s="61">
        <f t="array" ref="U1528">if(A1528="","",index(fish_lab_data!X:X,match(A1528,fish_lab_data!C:C,0)))</f>
        <v>1527</v>
      </c>
    </row>
    <row r="1529">
      <c r="A1529" t="str">
        <f>fish_lab_data!C1529</f>
        <v>U16371</v>
      </c>
      <c r="B1529" t="str">
        <f t="array" ref="B1529">iferror(index('rna-muscle'!$I:$I,match($A1529,'rna-muscle'!$A:$A,0)))</f>
        <v>BRN79M-H1</v>
      </c>
      <c r="C1529" t="str">
        <f t="array" ref="C1529">iferror(index('rna-muscle'!$L:$L,match($A1529,'rna-muscle'!$A:$A,0)))</f>
        <v>N</v>
      </c>
      <c r="D1529" t="str">
        <f t="array" ref="D1529">iferror(index('rna-gill'!$I:$I,match($A1529,'rna-gill'!$A:$A,0)))</f>
        <v>BRN79G-H1</v>
      </c>
      <c r="E1529" t="str">
        <f t="array" ref="E1529">iferror(index('rna-gill'!$L:$L,match($A1529,'rna-gill'!$A:$A,0)))</f>
        <v>N</v>
      </c>
      <c r="F1529" t="str">
        <f t="array" ref="F1529">iferror(index(fatty_acid!$G:$G,match($A1529,fatty_acid!$A:$A,0)))</f>
        <v>BFA38-42</v>
      </c>
      <c r="G1529" t="str">
        <f t="array" ref="G1529">iferror(index(fatty_acid!$J:$J,match($A1529,fatty_acid!$A:$A,0)))</f>
        <v>N</v>
      </c>
      <c r="H1529" t="str">
        <f t="array" ref="H1529">iferror(index(isotopes!$G:$G,match($A1529,isotopes!$A:$A,0)))</f>
        <v>BIS41-42</v>
      </c>
      <c r="I1529" t="str">
        <f t="array" ref="I1529">iferror(index(isotopes!$J:$J,match($A1529,isotopes!$A:$A,0)))</f>
        <v>N</v>
      </c>
      <c r="J1529" t="str">
        <f t="array" ref="J1529">iferror(index(extra_muscle!$G:$G,match($A1529,extra_muscle!$A:$A,0)))</f>
        <v>BXM40-42</v>
      </c>
      <c r="K1529" t="str">
        <f t="array" ref="K1529">iferror(index(extra_muscle!$J:$J,match($A1529,extra_muscle!$A:$A,0)))</f>
        <v>N</v>
      </c>
      <c r="L1529" s="59" t="str">
        <f t="array" ref="L1529">iferror(index(dna!$G:$G,match($A1529,dna!$A:$A,0)))</f>
        <v>BDN12-99</v>
      </c>
      <c r="M1529" s="60" t="str">
        <f t="array" ref="M1529">iferror(index(dna!$J:$J,match($A1529,dna!$A:$A,0)))</f>
        <v>N</v>
      </c>
      <c r="N1529" t="str">
        <f t="array" ref="N1529">iferror(index(stomachs!$G:$G,match($A1529,stomachs!$A:$A,0)))</f>
        <v/>
      </c>
      <c r="O1529" t="str">
        <f t="array" ref="O1529">iferror(index(stomachs!$J:$J,match($A1529,stomachs!$A:$A,0)))</f>
        <v/>
      </c>
      <c r="P1529" t="str">
        <f t="array" ref="P1529">iferror(index(sea_lice!$G:$G,match($A1529,sea_lice!$A:$A,0)))</f>
        <v/>
      </c>
      <c r="Q1529" t="str">
        <f t="array" ref="Q1529">iferror(index(sea_lice!$J:$J,match($A1529,sea_lice!$A:$A,0)))</f>
        <v/>
      </c>
      <c r="R1529" s="40" t="str">
        <f t="array" ref="R1529">iferror(index(dissected_fish!$F:$F,match($A1529,dissected_fish!$A:$A,0)))</f>
        <v>BCA112</v>
      </c>
      <c r="S1529" s="40" t="str">
        <f t="array" ref="S1529">iferror(index(dissected_fish!$K:$K,match($A1529,dissected_fish!$A:$A,0)))</f>
        <v>N</v>
      </c>
      <c r="T1529" s="61" t="str">
        <f t="array" ref="T1529">index(fish_lab_data!O:O,match(A1529,fish_lab_data!C:C,0))</f>
        <v>KB</v>
      </c>
      <c r="U1529" s="61">
        <f t="array" ref="U1529">if(A1529="","",index(fish_lab_data!X:X,match(A1529,fish_lab_data!C:C,0)))</f>
        <v>1528</v>
      </c>
    </row>
    <row r="1530">
      <c r="A1530" t="str">
        <f>fish_lab_data!C1530</f>
        <v>U16372</v>
      </c>
      <c r="B1530" t="str">
        <f t="array" ref="B1530">iferror(index('rna-muscle'!$I:$I,match($A1530,'rna-muscle'!$A:$A,0)))</f>
        <v>BRN79M-G1</v>
      </c>
      <c r="C1530" t="str">
        <f t="array" ref="C1530">iferror(index('rna-muscle'!$L:$L,match($A1530,'rna-muscle'!$A:$A,0)))</f>
        <v>N</v>
      </c>
      <c r="D1530" t="str">
        <f t="array" ref="D1530">iferror(index('rna-gill'!$I:$I,match($A1530,'rna-gill'!$A:$A,0)))</f>
        <v>BRN79G-G1</v>
      </c>
      <c r="E1530" t="str">
        <f t="array" ref="E1530">iferror(index('rna-gill'!$L:$L,match($A1530,'rna-gill'!$A:$A,0)))</f>
        <v>N</v>
      </c>
      <c r="F1530" t="str">
        <f t="array" ref="F1530">iferror(index(fatty_acid!$G:$G,match($A1530,fatty_acid!$A:$A,0)))</f>
        <v>BFA38-43</v>
      </c>
      <c r="G1530" t="str">
        <f t="array" ref="G1530">iferror(index(fatty_acid!$J:$J,match($A1530,fatty_acid!$A:$A,0)))</f>
        <v>N</v>
      </c>
      <c r="H1530" t="str">
        <f t="array" ref="H1530">iferror(index(isotopes!$G:$G,match($A1530,isotopes!$A:$A,0)))</f>
        <v>BIS41-43</v>
      </c>
      <c r="I1530" t="str">
        <f t="array" ref="I1530">iferror(index(isotopes!$J:$J,match($A1530,isotopes!$A:$A,0)))</f>
        <v>N</v>
      </c>
      <c r="J1530" t="str">
        <f t="array" ref="J1530">iferror(index(extra_muscle!$G:$G,match($A1530,extra_muscle!$A:$A,0)))</f>
        <v>BXM40-43</v>
      </c>
      <c r="K1530" t="str">
        <f t="array" ref="K1530">iferror(index(extra_muscle!$J:$J,match($A1530,extra_muscle!$A:$A,0)))</f>
        <v>N</v>
      </c>
      <c r="L1530" s="59" t="str">
        <f t="array" ref="L1530">iferror(index(dna!$G:$G,match($A1530,dna!$A:$A,0)))</f>
        <v>BDN14-1</v>
      </c>
      <c r="M1530" s="60" t="str">
        <f t="array" ref="M1530">iferror(index(dna!$J:$J,match($A1530,dna!$A:$A,0)))</f>
        <v>N</v>
      </c>
      <c r="N1530" t="str">
        <f t="array" ref="N1530">iferror(index(stomachs!$G:$G,match($A1530,stomachs!$A:$A,0)))</f>
        <v/>
      </c>
      <c r="O1530" t="str">
        <f t="array" ref="O1530">iferror(index(stomachs!$J:$J,match($A1530,stomachs!$A:$A,0)))</f>
        <v/>
      </c>
      <c r="P1530" t="str">
        <f t="array" ref="P1530">iferror(index(sea_lice!$G:$G,match($A1530,sea_lice!$A:$A,0)))</f>
        <v>BSL8-75</v>
      </c>
      <c r="Q1530" t="str">
        <f t="array" ref="Q1530">iferror(index(sea_lice!$J:$J,match($A1530,sea_lice!$A:$A,0)))</f>
        <v>N</v>
      </c>
      <c r="R1530" s="40" t="str">
        <f t="array" ref="R1530">iferror(index(dissected_fish!$F:$F,match($A1530,dissected_fish!$A:$A,0)))</f>
        <v>BCA112</v>
      </c>
      <c r="S1530" s="40" t="str">
        <f t="array" ref="S1530">iferror(index(dissected_fish!$K:$K,match($A1530,dissected_fish!$A:$A,0)))</f>
        <v>N</v>
      </c>
      <c r="T1530" s="61" t="str">
        <f t="array" ref="T1530">index(fish_lab_data!O:O,match(A1530,fish_lab_data!C:C,0))</f>
        <v>KB</v>
      </c>
      <c r="U1530" s="61">
        <f t="array" ref="U1530">if(A1530="","",index(fish_lab_data!X:X,match(A1530,fish_lab_data!C:C,0)))</f>
        <v>1529</v>
      </c>
    </row>
    <row r="1531">
      <c r="A1531" t="str">
        <f>fish_lab_data!C1531</f>
        <v>U16171</v>
      </c>
      <c r="B1531" t="str">
        <f t="array" ref="B1531">iferror(index('rna-muscle'!$I:$I,match($A1531,'rna-muscle'!$A:$A,0)))</f>
        <v>BRN79M-F1</v>
      </c>
      <c r="C1531" t="str">
        <f t="array" ref="C1531">iferror(index('rna-muscle'!$L:$L,match($A1531,'rna-muscle'!$A:$A,0)))</f>
        <v>N</v>
      </c>
      <c r="D1531" t="str">
        <f t="array" ref="D1531">iferror(index('rna-gill'!$I:$I,match($A1531,'rna-gill'!$A:$A,0)))</f>
        <v>BRN79G-F1</v>
      </c>
      <c r="E1531" t="str">
        <f t="array" ref="E1531">iferror(index('rna-gill'!$L:$L,match($A1531,'rna-gill'!$A:$A,0)))</f>
        <v>N</v>
      </c>
      <c r="F1531" t="str">
        <f t="array" ref="F1531">iferror(index(fatty_acid!$G:$G,match($A1531,fatty_acid!$A:$A,0)))</f>
        <v>BFA38-44</v>
      </c>
      <c r="G1531" t="str">
        <f t="array" ref="G1531">iferror(index(fatty_acid!$J:$J,match($A1531,fatty_acid!$A:$A,0)))</f>
        <v>N</v>
      </c>
      <c r="H1531" t="str">
        <f t="array" ref="H1531">iferror(index(isotopes!$G:$G,match($A1531,isotopes!$A:$A,0)))</f>
        <v>BIS41-44</v>
      </c>
      <c r="I1531" t="str">
        <f t="array" ref="I1531">iferror(index(isotopes!$J:$J,match($A1531,isotopes!$A:$A,0)))</f>
        <v>N</v>
      </c>
      <c r="J1531" t="str">
        <f t="array" ref="J1531">iferror(index(extra_muscle!$G:$G,match($A1531,extra_muscle!$A:$A,0)))</f>
        <v>BXM40-44</v>
      </c>
      <c r="K1531" t="str">
        <f t="array" ref="K1531">iferror(index(extra_muscle!$J:$J,match($A1531,extra_muscle!$A:$A,0)))</f>
        <v>N</v>
      </c>
      <c r="L1531" s="59" t="str">
        <f t="array" ref="L1531">iferror(index(dna!$G:$G,match($A1531,dna!$A:$A,0)))</f>
        <v>BDN14-2</v>
      </c>
      <c r="M1531" s="60" t="str">
        <f t="array" ref="M1531">iferror(index(dna!$J:$J,match($A1531,dna!$A:$A,0)))</f>
        <v>N</v>
      </c>
      <c r="N1531" t="str">
        <f t="array" ref="N1531">iferror(index(stomachs!$G:$G,match($A1531,stomachs!$A:$A,0)))</f>
        <v/>
      </c>
      <c r="O1531" t="str">
        <f t="array" ref="O1531">iferror(index(stomachs!$J:$J,match($A1531,stomachs!$A:$A,0)))</f>
        <v/>
      </c>
      <c r="P1531" t="str">
        <f t="array" ref="P1531">iferror(index(sea_lice!$G:$G,match($A1531,sea_lice!$A:$A,0)))</f>
        <v/>
      </c>
      <c r="Q1531" t="str">
        <f t="array" ref="Q1531">iferror(index(sea_lice!$J:$J,match($A1531,sea_lice!$A:$A,0)))</f>
        <v/>
      </c>
      <c r="R1531" s="40" t="str">
        <f t="array" ref="R1531">iferror(index(dissected_fish!$F:$F,match($A1531,dissected_fish!$A:$A,0)))</f>
        <v>BCA112</v>
      </c>
      <c r="S1531" s="40" t="str">
        <f t="array" ref="S1531">iferror(index(dissected_fish!$K:$K,match($A1531,dissected_fish!$A:$A,0)))</f>
        <v>N</v>
      </c>
      <c r="T1531" s="61" t="str">
        <f t="array" ref="T1531">index(fish_lab_data!O:O,match(A1531,fish_lab_data!C:C,0))</f>
        <v>KB</v>
      </c>
      <c r="U1531" s="61">
        <f t="array" ref="U1531">if(A1531="","",index(fish_lab_data!X:X,match(A1531,fish_lab_data!C:C,0)))</f>
        <v>1530</v>
      </c>
    </row>
    <row r="1532">
      <c r="A1532" t="str">
        <f>fish_lab_data!C1532</f>
        <v>U16172</v>
      </c>
      <c r="B1532" t="str">
        <f t="array" ref="B1532">iferror(index('rna-muscle'!$I:$I,match($A1532,'rna-muscle'!$A:$A,0)))</f>
        <v>BRN79M-E1</v>
      </c>
      <c r="C1532" t="str">
        <f t="array" ref="C1532">iferror(index('rna-muscle'!$L:$L,match($A1532,'rna-muscle'!$A:$A,0)))</f>
        <v>N</v>
      </c>
      <c r="D1532" t="str">
        <f t="array" ref="D1532">iferror(index('rna-gill'!$I:$I,match($A1532,'rna-gill'!$A:$A,0)))</f>
        <v>BRN79G-E1</v>
      </c>
      <c r="E1532" t="str">
        <f t="array" ref="E1532">iferror(index('rna-gill'!$L:$L,match($A1532,'rna-gill'!$A:$A,0)))</f>
        <v>N</v>
      </c>
      <c r="F1532" t="str">
        <f t="array" ref="F1532">iferror(index(fatty_acid!$G:$G,match($A1532,fatty_acid!$A:$A,0)))</f>
        <v>BFA38-45</v>
      </c>
      <c r="G1532" t="str">
        <f t="array" ref="G1532">iferror(index(fatty_acid!$J:$J,match($A1532,fatty_acid!$A:$A,0)))</f>
        <v>N</v>
      </c>
      <c r="H1532" t="str">
        <f t="array" ref="H1532">iferror(index(isotopes!$G:$G,match($A1532,isotopes!$A:$A,0)))</f>
        <v>BIS41-45</v>
      </c>
      <c r="I1532" t="str">
        <f t="array" ref="I1532">iferror(index(isotopes!$J:$J,match($A1532,isotopes!$A:$A,0)))</f>
        <v>N</v>
      </c>
      <c r="J1532" t="str">
        <f t="array" ref="J1532">iferror(index(extra_muscle!$G:$G,match($A1532,extra_muscle!$A:$A,0)))</f>
        <v>BXM40-45</v>
      </c>
      <c r="K1532" t="str">
        <f t="array" ref="K1532">iferror(index(extra_muscle!$J:$J,match($A1532,extra_muscle!$A:$A,0)))</f>
        <v>N</v>
      </c>
      <c r="L1532" s="59" t="str">
        <f t="array" ref="L1532">iferror(index(dna!$G:$G,match($A1532,dna!$A:$A,0)))</f>
        <v>BDN14-3</v>
      </c>
      <c r="M1532" s="60" t="str">
        <f t="array" ref="M1532">iferror(index(dna!$J:$J,match($A1532,dna!$A:$A,0)))</f>
        <v>N</v>
      </c>
      <c r="N1532" t="str">
        <f t="array" ref="N1532">iferror(index(stomachs!$G:$G,match($A1532,stomachs!$A:$A,0)))</f>
        <v/>
      </c>
      <c r="O1532" t="str">
        <f t="array" ref="O1532">iferror(index(stomachs!$J:$J,match($A1532,stomachs!$A:$A,0)))</f>
        <v/>
      </c>
      <c r="P1532" t="str">
        <f t="array" ref="P1532">iferror(index(sea_lice!$G:$G,match($A1532,sea_lice!$A:$A,0)))</f>
        <v/>
      </c>
      <c r="Q1532" t="str">
        <f t="array" ref="Q1532">iferror(index(sea_lice!$J:$J,match($A1532,sea_lice!$A:$A,0)))</f>
        <v/>
      </c>
      <c r="R1532" s="40" t="str">
        <f t="array" ref="R1532">iferror(index(dissected_fish!$F:$F,match($A1532,dissected_fish!$A:$A,0)))</f>
        <v>BCA112</v>
      </c>
      <c r="S1532" s="40" t="str">
        <f t="array" ref="S1532">iferror(index(dissected_fish!$K:$K,match($A1532,dissected_fish!$A:$A,0)))</f>
        <v>N</v>
      </c>
      <c r="T1532" s="61" t="str">
        <f t="array" ref="T1532">index(fish_lab_data!O:O,match(A1532,fish_lab_data!C:C,0))</f>
        <v>KB</v>
      </c>
      <c r="U1532" s="61">
        <f t="array" ref="U1532">if(A1532="","",index(fish_lab_data!X:X,match(A1532,fish_lab_data!C:C,0)))</f>
        <v>1531</v>
      </c>
    </row>
    <row r="1533">
      <c r="A1533" t="str">
        <f>fish_lab_data!C1533</f>
        <v>U16216</v>
      </c>
      <c r="B1533" t="str">
        <f t="array" ref="B1533">iferror(index('rna-muscle'!$I:$I,match($A1533,'rna-muscle'!$A:$A,0)))</f>
        <v>BRN79M-D1</v>
      </c>
      <c r="C1533" t="str">
        <f t="array" ref="C1533">iferror(index('rna-muscle'!$L:$L,match($A1533,'rna-muscle'!$A:$A,0)))</f>
        <v>N</v>
      </c>
      <c r="D1533" t="str">
        <f t="array" ref="D1533">iferror(index('rna-gill'!$I:$I,match($A1533,'rna-gill'!$A:$A,0)))</f>
        <v>BRN79G-D1</v>
      </c>
      <c r="E1533" t="str">
        <f t="array" ref="E1533">iferror(index('rna-gill'!$L:$L,match($A1533,'rna-gill'!$A:$A,0)))</f>
        <v>N</v>
      </c>
      <c r="F1533" t="str">
        <f t="array" ref="F1533">iferror(index(fatty_acid!$G:$G,match($A1533,fatty_acid!$A:$A,0)))</f>
        <v>BFA38-46</v>
      </c>
      <c r="G1533" t="str">
        <f t="array" ref="G1533">iferror(index(fatty_acid!$J:$J,match($A1533,fatty_acid!$A:$A,0)))</f>
        <v>N</v>
      </c>
      <c r="H1533" t="str">
        <f t="array" ref="H1533">iferror(index(isotopes!$G:$G,match($A1533,isotopes!$A:$A,0)))</f>
        <v>BIS41-46</v>
      </c>
      <c r="I1533" t="str">
        <f t="array" ref="I1533">iferror(index(isotopes!$J:$J,match($A1533,isotopes!$A:$A,0)))</f>
        <v>N</v>
      </c>
      <c r="J1533" t="str">
        <f t="array" ref="J1533">iferror(index(extra_muscle!$G:$G,match($A1533,extra_muscle!$A:$A,0)))</f>
        <v>BXM40-46</v>
      </c>
      <c r="K1533" t="str">
        <f t="array" ref="K1533">iferror(index(extra_muscle!$J:$J,match($A1533,extra_muscle!$A:$A,0)))</f>
        <v>N</v>
      </c>
      <c r="L1533" s="59" t="str">
        <f t="array" ref="L1533">iferror(index(dna!$G:$G,match($A1533,dna!$A:$A,0)))</f>
        <v>BDN14-4</v>
      </c>
      <c r="M1533" s="60" t="str">
        <f t="array" ref="M1533">iferror(index(dna!$J:$J,match($A1533,dna!$A:$A,0)))</f>
        <v>N</v>
      </c>
      <c r="N1533" t="str">
        <f t="array" ref="N1533">iferror(index(stomachs!$G:$G,match($A1533,stomachs!$A:$A,0)))</f>
        <v/>
      </c>
      <c r="O1533" t="str">
        <f t="array" ref="O1533">iferror(index(stomachs!$J:$J,match($A1533,stomachs!$A:$A,0)))</f>
        <v/>
      </c>
      <c r="P1533" t="str">
        <f t="array" ref="P1533">iferror(index(sea_lice!$G:$G,match($A1533,sea_lice!$A:$A,0)))</f>
        <v/>
      </c>
      <c r="Q1533" t="str">
        <f t="array" ref="Q1533">iferror(index(sea_lice!$J:$J,match($A1533,sea_lice!$A:$A,0)))</f>
        <v/>
      </c>
      <c r="R1533" s="40" t="str">
        <f t="array" ref="R1533">iferror(index(dissected_fish!$F:$F,match($A1533,dissected_fish!$A:$A,0)))</f>
        <v>BCA112</v>
      </c>
      <c r="S1533" s="40" t="str">
        <f t="array" ref="S1533">iferror(index(dissected_fish!$K:$K,match($A1533,dissected_fish!$A:$A,0)))</f>
        <v>N</v>
      </c>
      <c r="T1533" s="61" t="str">
        <f t="array" ref="T1533">index(fish_lab_data!O:O,match(A1533,fish_lab_data!C:C,0))</f>
        <v>KB</v>
      </c>
      <c r="U1533" s="61">
        <f t="array" ref="U1533">if(A1533="","",index(fish_lab_data!X:X,match(A1533,fish_lab_data!C:C,0)))</f>
        <v>1532</v>
      </c>
    </row>
    <row r="1534">
      <c r="A1534" t="str">
        <f>fish_lab_data!C1534</f>
        <v>U16211</v>
      </c>
      <c r="B1534" t="str">
        <f t="array" ref="B1534">iferror(index('rna-muscle'!$I:$I,match($A1534,'rna-muscle'!$A:$A,0)))</f>
        <v>BRN79M-C1</v>
      </c>
      <c r="C1534" t="str">
        <f t="array" ref="C1534">iferror(index('rna-muscle'!$L:$L,match($A1534,'rna-muscle'!$A:$A,0)))</f>
        <v>N</v>
      </c>
      <c r="D1534" t="str">
        <f t="array" ref="D1534">iferror(index('rna-gill'!$I:$I,match($A1534,'rna-gill'!$A:$A,0)))</f>
        <v>BRN79G-C1</v>
      </c>
      <c r="E1534" t="str">
        <f t="array" ref="E1534">iferror(index('rna-gill'!$L:$L,match($A1534,'rna-gill'!$A:$A,0)))</f>
        <v>N</v>
      </c>
      <c r="F1534" t="str">
        <f t="array" ref="F1534">iferror(index(fatty_acid!$G:$G,match($A1534,fatty_acid!$A:$A,0)))</f>
        <v>BFA38-47</v>
      </c>
      <c r="G1534" t="str">
        <f t="array" ref="G1534">iferror(index(fatty_acid!$J:$J,match($A1534,fatty_acid!$A:$A,0)))</f>
        <v>N</v>
      </c>
      <c r="H1534" t="str">
        <f t="array" ref="H1534">iferror(index(isotopes!$G:$G,match($A1534,isotopes!$A:$A,0)))</f>
        <v>BIS41-47</v>
      </c>
      <c r="I1534" t="str">
        <f t="array" ref="I1534">iferror(index(isotopes!$J:$J,match($A1534,isotopes!$A:$A,0)))</f>
        <v>N</v>
      </c>
      <c r="J1534" t="str">
        <f t="array" ref="J1534">iferror(index(extra_muscle!$G:$G,match($A1534,extra_muscle!$A:$A,0)))</f>
        <v>BXM40-47</v>
      </c>
      <c r="K1534" t="str">
        <f t="array" ref="K1534">iferror(index(extra_muscle!$J:$J,match($A1534,extra_muscle!$A:$A,0)))</f>
        <v>N</v>
      </c>
      <c r="L1534" s="59" t="str">
        <f t="array" ref="L1534">iferror(index(dna!$G:$G,match($A1534,dna!$A:$A,0)))</f>
        <v>BDN14-5</v>
      </c>
      <c r="M1534" s="60" t="str">
        <f t="array" ref="M1534">iferror(index(dna!$J:$J,match($A1534,dna!$A:$A,0)))</f>
        <v>N</v>
      </c>
      <c r="N1534" t="str">
        <f t="array" ref="N1534">iferror(index(stomachs!$G:$G,match($A1534,stomachs!$A:$A,0)))</f>
        <v/>
      </c>
      <c r="O1534" t="str">
        <f t="array" ref="O1534">iferror(index(stomachs!$J:$J,match($A1534,stomachs!$A:$A,0)))</f>
        <v/>
      </c>
      <c r="P1534" t="str">
        <f t="array" ref="P1534">iferror(index(sea_lice!$G:$G,match($A1534,sea_lice!$A:$A,0)))</f>
        <v/>
      </c>
      <c r="Q1534" t="str">
        <f t="array" ref="Q1534">iferror(index(sea_lice!$J:$J,match($A1534,sea_lice!$A:$A,0)))</f>
        <v/>
      </c>
      <c r="R1534" s="40" t="str">
        <f t="array" ref="R1534">iferror(index(dissected_fish!$F:$F,match($A1534,dissected_fish!$A:$A,0)))</f>
        <v>BCA112</v>
      </c>
      <c r="S1534" s="40" t="str">
        <f t="array" ref="S1534">iferror(index(dissected_fish!$K:$K,match($A1534,dissected_fish!$A:$A,0)))</f>
        <v>N</v>
      </c>
      <c r="T1534" s="61" t="str">
        <f t="array" ref="T1534">index(fish_lab_data!O:O,match(A1534,fish_lab_data!C:C,0))</f>
        <v>KB</v>
      </c>
      <c r="U1534" s="61">
        <f t="array" ref="U1534">if(A1534="","",index(fish_lab_data!X:X,match(A1534,fish_lab_data!C:C,0)))</f>
        <v>1533</v>
      </c>
    </row>
    <row r="1535">
      <c r="A1535" t="str">
        <f>fish_lab_data!C1535</f>
        <v>U16212</v>
      </c>
      <c r="B1535" t="str">
        <f t="array" ref="B1535">iferror(index('rna-muscle'!$I:$I,match($A1535,'rna-muscle'!$A:$A,0)))</f>
        <v>BRN79M-B1</v>
      </c>
      <c r="C1535" t="str">
        <f t="array" ref="C1535">iferror(index('rna-muscle'!$L:$L,match($A1535,'rna-muscle'!$A:$A,0)))</f>
        <v>N</v>
      </c>
      <c r="D1535" t="str">
        <f t="array" ref="D1535">iferror(index('rna-gill'!$I:$I,match($A1535,'rna-gill'!$A:$A,0)))</f>
        <v>BRN79G-B1</v>
      </c>
      <c r="E1535" t="str">
        <f t="array" ref="E1535">iferror(index('rna-gill'!$L:$L,match($A1535,'rna-gill'!$A:$A,0)))</f>
        <v>N</v>
      </c>
      <c r="F1535" t="str">
        <f t="array" ref="F1535">iferror(index(fatty_acid!$G:$G,match($A1535,fatty_acid!$A:$A,0)))</f>
        <v>BFA38-48</v>
      </c>
      <c r="G1535" t="str">
        <f t="array" ref="G1535">iferror(index(fatty_acid!$J:$J,match($A1535,fatty_acid!$A:$A,0)))</f>
        <v>N</v>
      </c>
      <c r="H1535" t="str">
        <f t="array" ref="H1535">iferror(index(isotopes!$G:$G,match($A1535,isotopes!$A:$A,0)))</f>
        <v>BIS41-48</v>
      </c>
      <c r="I1535" t="str">
        <f t="array" ref="I1535">iferror(index(isotopes!$J:$J,match($A1535,isotopes!$A:$A,0)))</f>
        <v>N</v>
      </c>
      <c r="J1535" t="str">
        <f t="array" ref="J1535">iferror(index(extra_muscle!$G:$G,match($A1535,extra_muscle!$A:$A,0)))</f>
        <v>BXM40-48</v>
      </c>
      <c r="K1535" t="str">
        <f t="array" ref="K1535">iferror(index(extra_muscle!$J:$J,match($A1535,extra_muscle!$A:$A,0)))</f>
        <v>N</v>
      </c>
      <c r="L1535" s="59" t="str">
        <f t="array" ref="L1535">iferror(index(dna!$G:$G,match($A1535,dna!$A:$A,0)))</f>
        <v>BDN14-6</v>
      </c>
      <c r="M1535" s="60" t="str">
        <f t="array" ref="M1535">iferror(index(dna!$J:$J,match($A1535,dna!$A:$A,0)))</f>
        <v>N</v>
      </c>
      <c r="N1535" t="str">
        <f t="array" ref="N1535">iferror(index(stomachs!$G:$G,match($A1535,stomachs!$A:$A,0)))</f>
        <v/>
      </c>
      <c r="O1535" t="str">
        <f t="array" ref="O1535">iferror(index(stomachs!$J:$J,match($A1535,stomachs!$A:$A,0)))</f>
        <v/>
      </c>
      <c r="P1535" t="str">
        <f t="array" ref="P1535">iferror(index(sea_lice!$G:$G,match($A1535,sea_lice!$A:$A,0)))</f>
        <v>BSL8-76</v>
      </c>
      <c r="Q1535" t="str">
        <f t="array" ref="Q1535">iferror(index(sea_lice!$J:$J,match($A1535,sea_lice!$A:$A,0)))</f>
        <v>N</v>
      </c>
      <c r="R1535" s="40" t="str">
        <f t="array" ref="R1535">iferror(index(dissected_fish!$F:$F,match($A1535,dissected_fish!$A:$A,0)))</f>
        <v>BCA112</v>
      </c>
      <c r="S1535" s="40" t="str">
        <f t="array" ref="S1535">iferror(index(dissected_fish!$K:$K,match($A1535,dissected_fish!$A:$A,0)))</f>
        <v>N</v>
      </c>
      <c r="T1535" s="61" t="str">
        <f t="array" ref="T1535">index(fish_lab_data!O:O,match(A1535,fish_lab_data!C:C,0))</f>
        <v>KB</v>
      </c>
      <c r="U1535" s="61">
        <f t="array" ref="U1535">if(A1535="","",index(fish_lab_data!X:X,match(A1535,fish_lab_data!C:C,0)))</f>
        <v>1534</v>
      </c>
    </row>
    <row r="1536">
      <c r="A1536" t="str">
        <f>fish_lab_data!C1536</f>
        <v>U16213</v>
      </c>
      <c r="B1536" t="str">
        <f t="array" ref="B1536">iferror(index('rna-muscle'!$I:$I,match($A1536,'rna-muscle'!$A:$A,0)))</f>
        <v>BRN79M-A1</v>
      </c>
      <c r="C1536" t="str">
        <f t="array" ref="C1536">iferror(index('rna-muscle'!$L:$L,match($A1536,'rna-muscle'!$A:$A,0)))</f>
        <v>N</v>
      </c>
      <c r="D1536" t="str">
        <f t="array" ref="D1536">iferror(index('rna-gill'!$I:$I,match($A1536,'rna-gill'!$A:$A,0)))</f>
        <v>BRN79G-A1</v>
      </c>
      <c r="E1536" t="str">
        <f t="array" ref="E1536">iferror(index('rna-gill'!$L:$L,match($A1536,'rna-gill'!$A:$A,0)))</f>
        <v>N</v>
      </c>
      <c r="F1536" t="str">
        <f t="array" ref="F1536">iferror(index(fatty_acid!$G:$G,match($A1536,fatty_acid!$A:$A,0)))</f>
        <v>BFA38-49</v>
      </c>
      <c r="G1536" t="str">
        <f t="array" ref="G1536">iferror(index(fatty_acid!$J:$J,match($A1536,fatty_acid!$A:$A,0)))</f>
        <v>N</v>
      </c>
      <c r="H1536" t="str">
        <f t="array" ref="H1536">iferror(index(isotopes!$G:$G,match($A1536,isotopes!$A:$A,0)))</f>
        <v>BIS41-49</v>
      </c>
      <c r="I1536" t="str">
        <f t="array" ref="I1536">iferror(index(isotopes!$J:$J,match($A1536,isotopes!$A:$A,0)))</f>
        <v>N</v>
      </c>
      <c r="J1536" t="str">
        <f t="array" ref="J1536">iferror(index(extra_muscle!$G:$G,match($A1536,extra_muscle!$A:$A,0)))</f>
        <v>BXM40-49</v>
      </c>
      <c r="K1536" t="str">
        <f t="array" ref="K1536">iferror(index(extra_muscle!$J:$J,match($A1536,extra_muscle!$A:$A,0)))</f>
        <v>N</v>
      </c>
      <c r="L1536" s="59" t="str">
        <f t="array" ref="L1536">iferror(index(dna!$G:$G,match($A1536,dna!$A:$A,0)))</f>
        <v>BDN14-7</v>
      </c>
      <c r="M1536" s="60" t="str">
        <f t="array" ref="M1536">iferror(index(dna!$J:$J,match($A1536,dna!$A:$A,0)))</f>
        <v>N</v>
      </c>
      <c r="N1536" t="str">
        <f t="array" ref="N1536">iferror(index(stomachs!$G:$G,match($A1536,stomachs!$A:$A,0)))</f>
        <v/>
      </c>
      <c r="O1536" t="str">
        <f t="array" ref="O1536">iferror(index(stomachs!$J:$J,match($A1536,stomachs!$A:$A,0)))</f>
        <v/>
      </c>
      <c r="P1536" t="str">
        <f t="array" ref="P1536">iferror(index(sea_lice!$G:$G,match($A1536,sea_lice!$A:$A,0)))</f>
        <v>BSL8-77</v>
      </c>
      <c r="Q1536" t="str">
        <f t="array" ref="Q1536">iferror(index(sea_lice!$J:$J,match($A1536,sea_lice!$A:$A,0)))</f>
        <v>N</v>
      </c>
      <c r="R1536" s="40" t="str">
        <f t="array" ref="R1536">iferror(index(dissected_fish!$F:$F,match($A1536,dissected_fish!$A:$A,0)))</f>
        <v>BCA112</v>
      </c>
      <c r="S1536" s="40" t="str">
        <f t="array" ref="S1536">iferror(index(dissected_fish!$K:$K,match($A1536,dissected_fish!$A:$A,0)))</f>
        <v>N</v>
      </c>
      <c r="T1536" s="61" t="str">
        <f t="array" ref="T1536">index(fish_lab_data!O:O,match(A1536,fish_lab_data!C:C,0))</f>
        <v>KB</v>
      </c>
      <c r="U1536" s="61">
        <f t="array" ref="U1536">if(A1536="","",index(fish_lab_data!X:X,match(A1536,fish_lab_data!C:C,0)))</f>
        <v>1535</v>
      </c>
    </row>
    <row r="1537">
      <c r="A1537" t="str">
        <f>fish_lab_data!C1537</f>
        <v>U16215</v>
      </c>
      <c r="B1537" t="str">
        <f t="array" ref="B1537">iferror(index('rna-muscle'!$I:$I,match($A1537,'rna-muscle'!$A:$A,0)))</f>
        <v>BRN79M-H3</v>
      </c>
      <c r="C1537" t="str">
        <f t="array" ref="C1537">iferror(index('rna-muscle'!$L:$L,match($A1537,'rna-muscle'!$A:$A,0)))</f>
        <v>N</v>
      </c>
      <c r="D1537" t="str">
        <f t="array" ref="D1537">iferror(index('rna-gill'!$I:$I,match($A1537,'rna-gill'!$A:$A,0)))</f>
        <v>BRN79G-H3</v>
      </c>
      <c r="E1537" t="str">
        <f t="array" ref="E1537">iferror(index('rna-gill'!$L:$L,match($A1537,'rna-gill'!$A:$A,0)))</f>
        <v>N</v>
      </c>
      <c r="F1537" t="str">
        <f t="array" ref="F1537">iferror(index(fatty_acid!$G:$G,match($A1537,fatty_acid!$A:$A,0)))</f>
        <v>BFA38-50</v>
      </c>
      <c r="G1537" t="str">
        <f t="array" ref="G1537">iferror(index(fatty_acid!$J:$J,match($A1537,fatty_acid!$A:$A,0)))</f>
        <v>N</v>
      </c>
      <c r="H1537" t="str">
        <f t="array" ref="H1537">iferror(index(isotopes!$G:$G,match($A1537,isotopes!$A:$A,0)))</f>
        <v>BIS41-50</v>
      </c>
      <c r="I1537" t="str">
        <f t="array" ref="I1537">iferror(index(isotopes!$J:$J,match($A1537,isotopes!$A:$A,0)))</f>
        <v>N</v>
      </c>
      <c r="J1537" t="str">
        <f t="array" ref="J1537">iferror(index(extra_muscle!$G:$G,match($A1537,extra_muscle!$A:$A,0)))</f>
        <v>BXM40-50</v>
      </c>
      <c r="K1537" t="str">
        <f t="array" ref="K1537">iferror(index(extra_muscle!$J:$J,match($A1537,extra_muscle!$A:$A,0)))</f>
        <v>N</v>
      </c>
      <c r="L1537" s="59" t="str">
        <f t="array" ref="L1537">iferror(index(dna!$G:$G,match($A1537,dna!$A:$A,0)))</f>
        <v>BDN14-8</v>
      </c>
      <c r="M1537" s="60" t="str">
        <f t="array" ref="M1537">iferror(index(dna!$J:$J,match($A1537,dna!$A:$A,0)))</f>
        <v>N</v>
      </c>
      <c r="N1537" t="str">
        <f t="array" ref="N1537">iferror(index(stomachs!$G:$G,match($A1537,stomachs!$A:$A,0)))</f>
        <v/>
      </c>
      <c r="O1537" t="str">
        <f t="array" ref="O1537">iferror(index(stomachs!$J:$J,match($A1537,stomachs!$A:$A,0)))</f>
        <v/>
      </c>
      <c r="P1537" t="str">
        <f t="array" ref="P1537">iferror(index(sea_lice!$G:$G,match($A1537,sea_lice!$A:$A,0)))</f>
        <v/>
      </c>
      <c r="Q1537" t="str">
        <f t="array" ref="Q1537">iferror(index(sea_lice!$J:$J,match($A1537,sea_lice!$A:$A,0)))</f>
        <v/>
      </c>
      <c r="R1537" s="40" t="str">
        <f t="array" ref="R1537">iferror(index(dissected_fish!$F:$F,match($A1537,dissected_fish!$A:$A,0)))</f>
        <v>BCA112</v>
      </c>
      <c r="S1537" s="40" t="str">
        <f t="array" ref="S1537">iferror(index(dissected_fish!$K:$K,match($A1537,dissected_fish!$A:$A,0)))</f>
        <v>N</v>
      </c>
      <c r="T1537" s="61" t="str">
        <f t="array" ref="T1537">index(fish_lab_data!O:O,match(A1537,fish_lab_data!C:C,0))</f>
        <v>KB</v>
      </c>
      <c r="U1537" s="61">
        <f t="array" ref="U1537">if(A1537="","",index(fish_lab_data!X:X,match(A1537,fish_lab_data!C:C,0)))</f>
        <v>1536</v>
      </c>
    </row>
    <row r="1538">
      <c r="A1538" t="str">
        <f>fish_lab_data!C1538</f>
        <v>U16214</v>
      </c>
      <c r="B1538" t="str">
        <f t="array" ref="B1538">iferror(index('rna-muscle'!$I:$I,match($A1538,'rna-muscle'!$A:$A,0)))</f>
        <v>BRN79M-G3</v>
      </c>
      <c r="C1538" t="str">
        <f t="array" ref="C1538">iferror(index('rna-muscle'!$L:$L,match($A1538,'rna-muscle'!$A:$A,0)))</f>
        <v>N</v>
      </c>
      <c r="D1538" t="str">
        <f t="array" ref="D1538">iferror(index('rna-gill'!$I:$I,match($A1538,'rna-gill'!$A:$A,0)))</f>
        <v>BRN79G-G3</v>
      </c>
      <c r="E1538" t="str">
        <f t="array" ref="E1538">iferror(index('rna-gill'!$L:$L,match($A1538,'rna-gill'!$A:$A,0)))</f>
        <v>N</v>
      </c>
      <c r="F1538" t="str">
        <f t="array" ref="F1538">iferror(index(fatty_acid!$G:$G,match($A1538,fatty_acid!$A:$A,0)))</f>
        <v>BFA38-51</v>
      </c>
      <c r="G1538" t="str">
        <f t="array" ref="G1538">iferror(index(fatty_acid!$J:$J,match($A1538,fatty_acid!$A:$A,0)))</f>
        <v>N</v>
      </c>
      <c r="H1538" t="str">
        <f t="array" ref="H1538">iferror(index(isotopes!$G:$G,match($A1538,isotopes!$A:$A,0)))</f>
        <v>BIS41-51</v>
      </c>
      <c r="I1538" t="str">
        <f t="array" ref="I1538">iferror(index(isotopes!$J:$J,match($A1538,isotopes!$A:$A,0)))</f>
        <v>N</v>
      </c>
      <c r="J1538" t="str">
        <f t="array" ref="J1538">iferror(index(extra_muscle!$G:$G,match($A1538,extra_muscle!$A:$A,0)))</f>
        <v>BXM40-51</v>
      </c>
      <c r="K1538" t="str">
        <f t="array" ref="K1538">iferror(index(extra_muscle!$J:$J,match($A1538,extra_muscle!$A:$A,0)))</f>
        <v>N</v>
      </c>
      <c r="L1538" s="59" t="str">
        <f t="array" ref="L1538">iferror(index(dna!$G:$G,match($A1538,dna!$A:$A,0)))</f>
        <v>BDN14-9</v>
      </c>
      <c r="M1538" s="60" t="str">
        <f t="array" ref="M1538">iferror(index(dna!$J:$J,match($A1538,dna!$A:$A,0)))</f>
        <v>N</v>
      </c>
      <c r="N1538" t="str">
        <f t="array" ref="N1538">iferror(index(stomachs!$G:$G,match($A1538,stomachs!$A:$A,0)))</f>
        <v/>
      </c>
      <c r="O1538" t="str">
        <f t="array" ref="O1538">iferror(index(stomachs!$J:$J,match($A1538,stomachs!$A:$A,0)))</f>
        <v/>
      </c>
      <c r="P1538" t="str">
        <f t="array" ref="P1538">iferror(index(sea_lice!$G:$G,match($A1538,sea_lice!$A:$A,0)))</f>
        <v/>
      </c>
      <c r="Q1538" t="str">
        <f t="array" ref="Q1538">iferror(index(sea_lice!$J:$J,match($A1538,sea_lice!$A:$A,0)))</f>
        <v/>
      </c>
      <c r="R1538" s="40" t="str">
        <f t="array" ref="R1538">iferror(index(dissected_fish!$F:$F,match($A1538,dissected_fish!$A:$A,0)))</f>
        <v>BCA112</v>
      </c>
      <c r="S1538" s="40" t="str">
        <f t="array" ref="S1538">iferror(index(dissected_fish!$K:$K,match($A1538,dissected_fish!$A:$A,0)))</f>
        <v>N</v>
      </c>
      <c r="T1538" s="61" t="str">
        <f t="array" ref="T1538">index(fish_lab_data!O:O,match(A1538,fish_lab_data!C:C,0))</f>
        <v>KB</v>
      </c>
      <c r="U1538" s="61">
        <f t="array" ref="U1538">if(A1538="","",index(fish_lab_data!X:X,match(A1538,fish_lab_data!C:C,0)))</f>
        <v>1537</v>
      </c>
    </row>
    <row r="1539">
      <c r="A1539" t="str">
        <f>fish_lab_data!C1539</f>
        <v>U17641</v>
      </c>
      <c r="B1539" t="str">
        <f t="array" ref="B1539">iferror(index('rna-muscle'!$I:$I,match($A1539,'rna-muscle'!$A:$A,0)))</f>
        <v>BRN79M-F3</v>
      </c>
      <c r="C1539" t="str">
        <f t="array" ref="C1539">iferror(index('rna-muscle'!$L:$L,match($A1539,'rna-muscle'!$A:$A,0)))</f>
        <v>N</v>
      </c>
      <c r="D1539" t="str">
        <f t="array" ref="D1539">iferror(index('rna-gill'!$I:$I,match($A1539,'rna-gill'!$A:$A,0)))</f>
        <v>BRN79G-F3</v>
      </c>
      <c r="E1539" t="str">
        <f t="array" ref="E1539">iferror(index('rna-gill'!$L:$L,match($A1539,'rna-gill'!$A:$A,0)))</f>
        <v>N</v>
      </c>
      <c r="F1539" t="str">
        <f t="array" ref="F1539">iferror(index(fatty_acid!$G:$G,match($A1539,fatty_acid!$A:$A,0)))</f>
        <v>BFA38-52</v>
      </c>
      <c r="G1539" t="str">
        <f t="array" ref="G1539">iferror(index(fatty_acid!$J:$J,match($A1539,fatty_acid!$A:$A,0)))</f>
        <v>N</v>
      </c>
      <c r="H1539" t="str">
        <f t="array" ref="H1539">iferror(index(isotopes!$G:$G,match($A1539,isotopes!$A:$A,0)))</f>
        <v>BIS41-52</v>
      </c>
      <c r="I1539" t="str">
        <f t="array" ref="I1539">iferror(index(isotopes!$J:$J,match($A1539,isotopes!$A:$A,0)))</f>
        <v>N</v>
      </c>
      <c r="J1539" t="str">
        <f t="array" ref="J1539">iferror(index(extra_muscle!$G:$G,match($A1539,extra_muscle!$A:$A,0)))</f>
        <v>BXM40-52</v>
      </c>
      <c r="K1539" t="str">
        <f t="array" ref="K1539">iferror(index(extra_muscle!$J:$J,match($A1539,extra_muscle!$A:$A,0)))</f>
        <v>N</v>
      </c>
      <c r="L1539" s="59" t="str">
        <f t="array" ref="L1539">iferror(index(dna!$G:$G,match($A1539,dna!$A:$A,0)))</f>
        <v>BDN14-11</v>
      </c>
      <c r="M1539" s="60" t="str">
        <f t="array" ref="M1539">iferror(index(dna!$J:$J,match($A1539,dna!$A:$A,0)))</f>
        <v>N</v>
      </c>
      <c r="N1539" t="str">
        <f t="array" ref="N1539">iferror(index(stomachs!$G:$G,match($A1539,stomachs!$A:$A,0)))</f>
        <v/>
      </c>
      <c r="O1539" t="str">
        <f t="array" ref="O1539">iferror(index(stomachs!$J:$J,match($A1539,stomachs!$A:$A,0)))</f>
        <v/>
      </c>
      <c r="P1539" t="str">
        <f t="array" ref="P1539">iferror(index(sea_lice!$G:$G,match($A1539,sea_lice!$A:$A,0)))</f>
        <v/>
      </c>
      <c r="Q1539" t="str">
        <f t="array" ref="Q1539">iferror(index(sea_lice!$J:$J,match($A1539,sea_lice!$A:$A,0)))</f>
        <v/>
      </c>
      <c r="R1539" s="40" t="str">
        <f t="array" ref="R1539">iferror(index(dissected_fish!$F:$F,match($A1539,dissected_fish!$A:$A,0)))</f>
        <v>BCA112</v>
      </c>
      <c r="S1539" s="40" t="str">
        <f t="array" ref="S1539">iferror(index(dissected_fish!$K:$K,match($A1539,dissected_fish!$A:$A,0)))</f>
        <v>N</v>
      </c>
      <c r="T1539" s="61" t="str">
        <f t="array" ref="T1539">index(fish_lab_data!O:O,match(A1539,fish_lab_data!C:C,0))</f>
        <v>KB</v>
      </c>
      <c r="U1539" s="61">
        <f t="array" ref="U1539">if(A1539="","",index(fish_lab_data!X:X,match(A1539,fish_lab_data!C:C,0)))</f>
        <v>1538</v>
      </c>
    </row>
    <row r="1540">
      <c r="A1540" t="str">
        <f>fish_lab_data!C1540</f>
        <v>U16531</v>
      </c>
      <c r="B1540" t="str">
        <f t="array" ref="B1540">iferror(index('rna-muscle'!$I:$I,match($A1540,'rna-muscle'!$A:$A,0)))</f>
        <v>BRN79M-E3</v>
      </c>
      <c r="C1540" t="str">
        <f t="array" ref="C1540">iferror(index('rna-muscle'!$L:$L,match($A1540,'rna-muscle'!$A:$A,0)))</f>
        <v>N</v>
      </c>
      <c r="D1540" t="str">
        <f t="array" ref="D1540">iferror(index('rna-gill'!$I:$I,match($A1540,'rna-gill'!$A:$A,0)))</f>
        <v>BRN79G-E3</v>
      </c>
      <c r="E1540" t="str">
        <f t="array" ref="E1540">iferror(index('rna-gill'!$L:$L,match($A1540,'rna-gill'!$A:$A,0)))</f>
        <v>N</v>
      </c>
      <c r="F1540" t="str">
        <f t="array" ref="F1540">iferror(index(fatty_acid!$G:$G,match($A1540,fatty_acid!$A:$A,0)))</f>
        <v>BFA38-53</v>
      </c>
      <c r="G1540" t="str">
        <f t="array" ref="G1540">iferror(index(fatty_acid!$J:$J,match($A1540,fatty_acid!$A:$A,0)))</f>
        <v>N</v>
      </c>
      <c r="H1540" t="str">
        <f t="array" ref="H1540">iferror(index(isotopes!$G:$G,match($A1540,isotopes!$A:$A,0)))</f>
        <v>BIS41-53</v>
      </c>
      <c r="I1540" t="str">
        <f t="array" ref="I1540">iferror(index(isotopes!$J:$J,match($A1540,isotopes!$A:$A,0)))</f>
        <v>N</v>
      </c>
      <c r="J1540" t="str">
        <f t="array" ref="J1540">iferror(index(extra_muscle!$G:$G,match($A1540,extra_muscle!$A:$A,0)))</f>
        <v>BXM40-53</v>
      </c>
      <c r="K1540" t="str">
        <f t="array" ref="K1540">iferror(index(extra_muscle!$J:$J,match($A1540,extra_muscle!$A:$A,0)))</f>
        <v>N</v>
      </c>
      <c r="L1540" s="59" t="str">
        <f t="array" ref="L1540">iferror(index(dna!$G:$G,match($A1540,dna!$A:$A,0)))</f>
        <v>BDN14-12</v>
      </c>
      <c r="M1540" s="60" t="str">
        <f t="array" ref="M1540">iferror(index(dna!$J:$J,match($A1540,dna!$A:$A,0)))</f>
        <v>N</v>
      </c>
      <c r="N1540" t="str">
        <f t="array" ref="N1540">iferror(index(stomachs!$G:$G,match($A1540,stomachs!$A:$A,0)))</f>
        <v/>
      </c>
      <c r="O1540" t="str">
        <f t="array" ref="O1540">iferror(index(stomachs!$J:$J,match($A1540,stomachs!$A:$A,0)))</f>
        <v/>
      </c>
      <c r="P1540" t="str">
        <f t="array" ref="P1540">iferror(index(sea_lice!$G:$G,match($A1540,sea_lice!$A:$A,0)))</f>
        <v/>
      </c>
      <c r="Q1540" t="str">
        <f t="array" ref="Q1540">iferror(index(sea_lice!$J:$J,match($A1540,sea_lice!$A:$A,0)))</f>
        <v/>
      </c>
      <c r="R1540" s="40" t="str">
        <f t="array" ref="R1540">iferror(index(dissected_fish!$F:$F,match($A1540,dissected_fish!$A:$A,0)))</f>
        <v>BCA112</v>
      </c>
      <c r="S1540" s="40" t="str">
        <f t="array" ref="S1540">iferror(index(dissected_fish!$K:$K,match($A1540,dissected_fish!$A:$A,0)))</f>
        <v>N</v>
      </c>
      <c r="T1540" s="61" t="str">
        <f t="array" ref="T1540">index(fish_lab_data!O:O,match(A1540,fish_lab_data!C:C,0))</f>
        <v>KB</v>
      </c>
      <c r="U1540" s="61">
        <f t="array" ref="U1540">if(A1540="","",index(fish_lab_data!X:X,match(A1540,fish_lab_data!C:C,0)))</f>
        <v>1539</v>
      </c>
    </row>
    <row r="1541">
      <c r="A1541" t="str">
        <f>fish_lab_data!C1541</f>
        <v>U17431</v>
      </c>
      <c r="B1541" t="str">
        <f t="array" ref="B1541">iferror(index('rna-muscle'!$I:$I,match($A1541,'rna-muscle'!$A:$A,0)))</f>
        <v>BRN79M-D3</v>
      </c>
      <c r="C1541" t="str">
        <f t="array" ref="C1541">iferror(index('rna-muscle'!$L:$L,match($A1541,'rna-muscle'!$A:$A,0)))</f>
        <v>N</v>
      </c>
      <c r="D1541" t="str">
        <f t="array" ref="D1541">iferror(index('rna-gill'!$I:$I,match($A1541,'rna-gill'!$A:$A,0)))</f>
        <v>BRN79G-D3</v>
      </c>
      <c r="E1541" t="str">
        <f t="array" ref="E1541">iferror(index('rna-gill'!$L:$L,match($A1541,'rna-gill'!$A:$A,0)))</f>
        <v>N</v>
      </c>
      <c r="F1541" t="str">
        <f t="array" ref="F1541">iferror(index(fatty_acid!$G:$G,match($A1541,fatty_acid!$A:$A,0)))</f>
        <v>BFA38-54</v>
      </c>
      <c r="G1541" t="str">
        <f t="array" ref="G1541">iferror(index(fatty_acid!$J:$J,match($A1541,fatty_acid!$A:$A,0)))</f>
        <v>N</v>
      </c>
      <c r="H1541" t="str">
        <f t="array" ref="H1541">iferror(index(isotopes!$G:$G,match($A1541,isotopes!$A:$A,0)))</f>
        <v>BIS41-54</v>
      </c>
      <c r="I1541" t="str">
        <f t="array" ref="I1541">iferror(index(isotopes!$J:$J,match($A1541,isotopes!$A:$A,0)))</f>
        <v>N</v>
      </c>
      <c r="J1541" t="str">
        <f t="array" ref="J1541">iferror(index(extra_muscle!$G:$G,match($A1541,extra_muscle!$A:$A,0)))</f>
        <v>BXM40-54</v>
      </c>
      <c r="K1541" t="str">
        <f t="array" ref="K1541">iferror(index(extra_muscle!$J:$J,match($A1541,extra_muscle!$A:$A,0)))</f>
        <v>N</v>
      </c>
      <c r="L1541" s="59" t="str">
        <f t="array" ref="L1541">iferror(index(dna!$G:$G,match($A1541,dna!$A:$A,0)))</f>
        <v>BDN14-13</v>
      </c>
      <c r="M1541" s="60" t="str">
        <f t="array" ref="M1541">iferror(index(dna!$J:$J,match($A1541,dna!$A:$A,0)))</f>
        <v>N</v>
      </c>
      <c r="N1541" t="str">
        <f t="array" ref="N1541">iferror(index(stomachs!$G:$G,match($A1541,stomachs!$A:$A,0)))</f>
        <v/>
      </c>
      <c r="O1541" t="str">
        <f t="array" ref="O1541">iferror(index(stomachs!$J:$J,match($A1541,stomachs!$A:$A,0)))</f>
        <v/>
      </c>
      <c r="P1541" t="str">
        <f t="array" ref="P1541">iferror(index(sea_lice!$G:$G,match($A1541,sea_lice!$A:$A,0)))</f>
        <v/>
      </c>
      <c r="Q1541" t="str">
        <f t="array" ref="Q1541">iferror(index(sea_lice!$J:$J,match($A1541,sea_lice!$A:$A,0)))</f>
        <v/>
      </c>
      <c r="R1541" s="40" t="str">
        <f t="array" ref="R1541">iferror(index(dissected_fish!$F:$F,match($A1541,dissected_fish!$A:$A,0)))</f>
        <v>BCA112</v>
      </c>
      <c r="S1541" s="40" t="str">
        <f t="array" ref="S1541">iferror(index(dissected_fish!$K:$K,match($A1541,dissected_fish!$A:$A,0)))</f>
        <v>N</v>
      </c>
      <c r="T1541" s="61" t="str">
        <f t="array" ref="T1541">index(fish_lab_data!O:O,match(A1541,fish_lab_data!C:C,0))</f>
        <v>KB</v>
      </c>
      <c r="U1541" s="61">
        <f t="array" ref="U1541">if(A1541="","",index(fish_lab_data!X:X,match(A1541,fish_lab_data!C:C,0)))</f>
        <v>1540</v>
      </c>
    </row>
    <row r="1542">
      <c r="A1542" t="str">
        <f>fish_lab_data!C1542</f>
        <v>U16633</v>
      </c>
      <c r="B1542" t="str">
        <f t="array" ref="B1542">iferror(index('rna-muscle'!$I:$I,match($A1542,'rna-muscle'!$A:$A,0)))</f>
        <v>BRN55M-C11</v>
      </c>
      <c r="C1542" t="str">
        <f t="array" ref="C1542">iferror(index('rna-muscle'!$L:$L,match($A1542,'rna-muscle'!$A:$A,0)))</f>
        <v>N</v>
      </c>
      <c r="D1542" t="str">
        <f t="array" ref="D1542">iferror(index('rna-gill'!$I:$I,match($A1542,'rna-gill'!$A:$A,0)))</f>
        <v>BRN55G-C11</v>
      </c>
      <c r="E1542" t="str">
        <f t="array" ref="E1542">iferror(index('rna-gill'!$L:$L,match($A1542,'rna-gill'!$A:$A,0)))</f>
        <v>N</v>
      </c>
      <c r="F1542" t="str">
        <f t="array" ref="F1542">iferror(index(fatty_acid!$G:$G,match($A1542,fatty_acid!$A:$A,0)))</f>
        <v>BFA39-8</v>
      </c>
      <c r="G1542" t="str">
        <f t="array" ref="G1542">iferror(index(fatty_acid!$J:$J,match($A1542,fatty_acid!$A:$A,0)))</f>
        <v>N</v>
      </c>
      <c r="H1542" t="str">
        <f t="array" ref="H1542">iferror(index(isotopes!$G:$G,match($A1542,isotopes!$A:$A,0)))</f>
        <v>BIS42-7</v>
      </c>
      <c r="I1542" t="str">
        <f t="array" ref="I1542">iferror(index(isotopes!$J:$J,match($A1542,isotopes!$A:$A,0)))</f>
        <v>N</v>
      </c>
      <c r="J1542" t="str">
        <f t="array" ref="J1542">iferror(index(extra_muscle!$G:$G,match($A1542,extra_muscle!$A:$A,0)))</f>
        <v>BXM39-51</v>
      </c>
      <c r="K1542" t="str">
        <f t="array" ref="K1542">iferror(index(extra_muscle!$J:$J,match($A1542,extra_muscle!$A:$A,0)))</f>
        <v>N</v>
      </c>
      <c r="L1542" s="59" t="str">
        <f t="array" ref="L1542">iferror(index(dna!$G:$G,match($A1542,dna!$A:$A,0)))</f>
        <v>BDN13-6</v>
      </c>
      <c r="M1542" s="60" t="str">
        <f t="array" ref="M1542">iferror(index(dna!$J:$J,match($A1542,dna!$A:$A,0)))</f>
        <v>N</v>
      </c>
      <c r="N1542" t="str">
        <f t="array" ref="N1542">iferror(index(stomachs!$G:$G,match($A1542,stomachs!$A:$A,0)))</f>
        <v/>
      </c>
      <c r="O1542" t="str">
        <f t="array" ref="O1542">iferror(index(stomachs!$J:$J,match($A1542,stomachs!$A:$A,0)))</f>
        <v/>
      </c>
      <c r="P1542" t="str">
        <f t="array" ref="P1542">iferror(index(sea_lice!$G:$G,match($A1542,sea_lice!$A:$A,0)))</f>
        <v>BSL8-74</v>
      </c>
      <c r="Q1542" t="str">
        <f t="array" ref="Q1542">iferror(index(sea_lice!$J:$J,match($A1542,sea_lice!$A:$A,0)))</f>
        <v>N</v>
      </c>
      <c r="R1542" s="40" t="str">
        <f t="array" ref="R1542">iferror(index(dissected_fish!$F:$F,match($A1542,dissected_fish!$A:$A,0)))</f>
        <v>BCA112</v>
      </c>
      <c r="S1542" s="40" t="str">
        <f t="array" ref="S1542">iferror(index(dissected_fish!$K:$K,match($A1542,dissected_fish!$A:$A,0)))</f>
        <v>N</v>
      </c>
      <c r="T1542" s="61" t="str">
        <f t="array" ref="T1542">index(fish_lab_data!O:O,match(A1542,fish_lab_data!C:C,0))</f>
        <v>JG</v>
      </c>
      <c r="U1542" s="61">
        <f t="array" ref="U1542">if(A1542="","",index(fish_lab_data!X:X,match(A1542,fish_lab_data!C:C,0)))</f>
        <v>1541</v>
      </c>
    </row>
    <row r="1543">
      <c r="A1543" t="str">
        <f>fish_lab_data!C1543</f>
        <v>U16637</v>
      </c>
      <c r="B1543" t="str">
        <f t="array" ref="B1543">iferror(index('rna-muscle'!$I:$I,match($A1543,'rna-muscle'!$A:$A,0)))</f>
        <v>BRN55M-B11</v>
      </c>
      <c r="C1543" t="str">
        <f t="array" ref="C1543">iferror(index('rna-muscle'!$L:$L,match($A1543,'rna-muscle'!$A:$A,0)))</f>
        <v>N</v>
      </c>
      <c r="D1543" t="str">
        <f t="array" ref="D1543">iferror(index('rna-gill'!$I:$I,match($A1543,'rna-gill'!$A:$A,0)))</f>
        <v>BRN55G-B11</v>
      </c>
      <c r="E1543" t="str">
        <f t="array" ref="E1543">iferror(index('rna-gill'!$L:$L,match($A1543,'rna-gill'!$A:$A,0)))</f>
        <v>N</v>
      </c>
      <c r="F1543" t="str">
        <f t="array" ref="F1543">iferror(index(fatty_acid!$G:$G,match($A1543,fatty_acid!$A:$A,0)))</f>
        <v>BFA39-9</v>
      </c>
      <c r="G1543" t="str">
        <f t="array" ref="G1543">iferror(index(fatty_acid!$J:$J,match($A1543,fatty_acid!$A:$A,0)))</f>
        <v>N</v>
      </c>
      <c r="H1543" t="str">
        <f t="array" ref="H1543">iferror(index(isotopes!$G:$G,match($A1543,isotopes!$A:$A,0)))</f>
        <v>BIS42-8</v>
      </c>
      <c r="I1543" t="str">
        <f t="array" ref="I1543">iferror(index(isotopes!$J:$J,match($A1543,isotopes!$A:$A,0)))</f>
        <v>N</v>
      </c>
      <c r="J1543" t="str">
        <f t="array" ref="J1543">iferror(index(extra_muscle!$G:$G,match($A1543,extra_muscle!$A:$A,0)))</f>
        <v>BXM39-52</v>
      </c>
      <c r="K1543" t="str">
        <f t="array" ref="K1543">iferror(index(extra_muscle!$J:$J,match($A1543,extra_muscle!$A:$A,0)))</f>
        <v>N</v>
      </c>
      <c r="L1543" s="59" t="str">
        <f t="array" ref="L1543">iferror(index(dna!$G:$G,match($A1543,dna!$A:$A,0)))</f>
        <v>BDN13-7</v>
      </c>
      <c r="M1543" s="60" t="str">
        <f t="array" ref="M1543">iferror(index(dna!$J:$J,match($A1543,dna!$A:$A,0)))</f>
        <v>N</v>
      </c>
      <c r="N1543" t="str">
        <f t="array" ref="N1543">iferror(index(stomachs!$G:$G,match($A1543,stomachs!$A:$A,0)))</f>
        <v/>
      </c>
      <c r="O1543" t="str">
        <f t="array" ref="O1543">iferror(index(stomachs!$J:$J,match($A1543,stomachs!$A:$A,0)))</f>
        <v/>
      </c>
      <c r="P1543" t="str">
        <f t="array" ref="P1543">iferror(index(sea_lice!$G:$G,match($A1543,sea_lice!$A:$A,0)))</f>
        <v/>
      </c>
      <c r="Q1543" t="str">
        <f t="array" ref="Q1543">iferror(index(sea_lice!$J:$J,match($A1543,sea_lice!$A:$A,0)))</f>
        <v/>
      </c>
      <c r="R1543" s="40" t="str">
        <f t="array" ref="R1543">iferror(index(dissected_fish!$F:$F,match($A1543,dissected_fish!$A:$A,0)))</f>
        <v>BCA112</v>
      </c>
      <c r="S1543" s="40" t="str">
        <f t="array" ref="S1543">iferror(index(dissected_fish!$K:$K,match($A1543,dissected_fish!$A:$A,0)))</f>
        <v>N</v>
      </c>
      <c r="T1543" s="61" t="str">
        <f t="array" ref="T1543">index(fish_lab_data!O:O,match(A1543,fish_lab_data!C:C,0))</f>
        <v>JG</v>
      </c>
      <c r="U1543" s="61">
        <f t="array" ref="U1543">if(A1543="","",index(fish_lab_data!X:X,match(A1543,fish_lab_data!C:C,0)))</f>
        <v>1542</v>
      </c>
    </row>
    <row r="1544">
      <c r="A1544" t="str">
        <f>fish_lab_data!C1544</f>
        <v>U17250</v>
      </c>
      <c r="B1544" t="str">
        <f t="array" ref="B1544">iferror(index('rna-muscle'!$I:$I,match($A1544,'rna-muscle'!$A:$A,0)))</f>
        <v>BRN55M-A11</v>
      </c>
      <c r="C1544" t="str">
        <f t="array" ref="C1544">iferror(index('rna-muscle'!$L:$L,match($A1544,'rna-muscle'!$A:$A,0)))</f>
        <v>N</v>
      </c>
      <c r="D1544" t="str">
        <f t="array" ref="D1544">iferror(index('rna-gill'!$I:$I,match($A1544,'rna-gill'!$A:$A,0)))</f>
        <v>BRN55G-A11</v>
      </c>
      <c r="E1544" t="str">
        <f t="array" ref="E1544">iferror(index('rna-gill'!$L:$L,match($A1544,'rna-gill'!$A:$A,0)))</f>
        <v>N</v>
      </c>
      <c r="F1544" t="str">
        <f t="array" ref="F1544">iferror(index(fatty_acid!$G:$G,match($A1544,fatty_acid!$A:$A,0)))</f>
        <v>BFA39-10</v>
      </c>
      <c r="G1544" t="str">
        <f t="array" ref="G1544">iferror(index(fatty_acid!$J:$J,match($A1544,fatty_acid!$A:$A,0)))</f>
        <v>N</v>
      </c>
      <c r="H1544" t="str">
        <f t="array" ref="H1544">iferror(index(isotopes!$G:$G,match($A1544,isotopes!$A:$A,0)))</f>
        <v>BIS42-9</v>
      </c>
      <c r="I1544" t="str">
        <f t="array" ref="I1544">iferror(index(isotopes!$J:$J,match($A1544,isotopes!$A:$A,0)))</f>
        <v>N</v>
      </c>
      <c r="J1544" t="str">
        <f t="array" ref="J1544">iferror(index(extra_muscle!$G:$G,match($A1544,extra_muscle!$A:$A,0)))</f>
        <v>BXM39-53</v>
      </c>
      <c r="K1544" t="str">
        <f t="array" ref="K1544">iferror(index(extra_muscle!$J:$J,match($A1544,extra_muscle!$A:$A,0)))</f>
        <v>N</v>
      </c>
      <c r="L1544" s="59" t="str">
        <f t="array" ref="L1544">iferror(index(dna!$G:$G,match($A1544,dna!$A:$A,0)))</f>
        <v>BDN13-8</v>
      </c>
      <c r="M1544" s="60" t="str">
        <f t="array" ref="M1544">iferror(index(dna!$J:$J,match($A1544,dna!$A:$A,0)))</f>
        <v>N</v>
      </c>
      <c r="N1544" t="str">
        <f t="array" ref="N1544">iferror(index(stomachs!$G:$G,match($A1544,stomachs!$A:$A,0)))</f>
        <v/>
      </c>
      <c r="O1544" t="str">
        <f t="array" ref="O1544">iferror(index(stomachs!$J:$J,match($A1544,stomachs!$A:$A,0)))</f>
        <v/>
      </c>
      <c r="P1544" t="str">
        <f t="array" ref="P1544">iferror(index(sea_lice!$G:$G,match($A1544,sea_lice!$A:$A,0)))</f>
        <v/>
      </c>
      <c r="Q1544" t="str">
        <f t="array" ref="Q1544">iferror(index(sea_lice!$J:$J,match($A1544,sea_lice!$A:$A,0)))</f>
        <v/>
      </c>
      <c r="R1544" s="40" t="str">
        <f t="array" ref="R1544">iferror(index(dissected_fish!$F:$F,match($A1544,dissected_fish!$A:$A,0)))</f>
        <v>BCA112</v>
      </c>
      <c r="S1544" s="40" t="str">
        <f t="array" ref="S1544">iferror(index(dissected_fish!$K:$K,match($A1544,dissected_fish!$A:$A,0)))</f>
        <v>N</v>
      </c>
      <c r="T1544" s="61" t="str">
        <f t="array" ref="T1544">index(fish_lab_data!O:O,match(A1544,fish_lab_data!C:C,0))</f>
        <v>JG</v>
      </c>
      <c r="U1544" s="61">
        <f t="array" ref="U1544">if(A1544="","",index(fish_lab_data!X:X,match(A1544,fish_lab_data!C:C,0)))</f>
        <v>1543</v>
      </c>
    </row>
    <row r="1545">
      <c r="A1545" t="str">
        <f>fish_lab_data!C1545</f>
        <v>U17249</v>
      </c>
      <c r="B1545" t="str">
        <f t="array" ref="B1545">iferror(index('rna-muscle'!$I:$I,match($A1545,'rna-muscle'!$A:$A,0)))</f>
        <v>BRN55M-G12</v>
      </c>
      <c r="C1545" t="str">
        <f t="array" ref="C1545">iferror(index('rna-muscle'!$L:$L,match($A1545,'rna-muscle'!$A:$A,0)))</f>
        <v>N</v>
      </c>
      <c r="D1545" t="str">
        <f t="array" ref="D1545">iferror(index('rna-gill'!$I:$I,match($A1545,'rna-gill'!$A:$A,0)))</f>
        <v>BRN55G-G12</v>
      </c>
      <c r="E1545" t="str">
        <f t="array" ref="E1545">iferror(index('rna-gill'!$L:$L,match($A1545,'rna-gill'!$A:$A,0)))</f>
        <v>N</v>
      </c>
      <c r="F1545" t="str">
        <f t="array" ref="F1545">iferror(index(fatty_acid!$G:$G,match($A1545,fatty_acid!$A:$A,0)))</f>
        <v>BFA39-11</v>
      </c>
      <c r="G1545" t="str">
        <f t="array" ref="G1545">iferror(index(fatty_acid!$J:$J,match($A1545,fatty_acid!$A:$A,0)))</f>
        <v>N</v>
      </c>
      <c r="H1545" t="str">
        <f t="array" ref="H1545">iferror(index(isotopes!$G:$G,match($A1545,isotopes!$A:$A,0)))</f>
        <v>BIS42-10</v>
      </c>
      <c r="I1545" t="str">
        <f t="array" ref="I1545">iferror(index(isotopes!$J:$J,match($A1545,isotopes!$A:$A,0)))</f>
        <v>N</v>
      </c>
      <c r="J1545" t="str">
        <f t="array" ref="J1545">iferror(index(extra_muscle!$G:$G,match($A1545,extra_muscle!$A:$A,0)))</f>
        <v>BXM39-54</v>
      </c>
      <c r="K1545" t="str">
        <f t="array" ref="K1545">iferror(index(extra_muscle!$J:$J,match($A1545,extra_muscle!$A:$A,0)))</f>
        <v>N</v>
      </c>
      <c r="L1545" s="59" t="str">
        <f t="array" ref="L1545">iferror(index(dna!$G:$G,match($A1545,dna!$A:$A,0)))</f>
        <v>BDN13-9</v>
      </c>
      <c r="M1545" s="60" t="str">
        <f t="array" ref="M1545">iferror(index(dna!$J:$J,match($A1545,dna!$A:$A,0)))</f>
        <v>N</v>
      </c>
      <c r="N1545" t="str">
        <f t="array" ref="N1545">iferror(index(stomachs!$G:$G,match($A1545,stomachs!$A:$A,0)))</f>
        <v/>
      </c>
      <c r="O1545" t="str">
        <f t="array" ref="O1545">iferror(index(stomachs!$J:$J,match($A1545,stomachs!$A:$A,0)))</f>
        <v/>
      </c>
      <c r="P1545" t="str">
        <f t="array" ref="P1545">iferror(index(sea_lice!$G:$G,match($A1545,sea_lice!$A:$A,0)))</f>
        <v/>
      </c>
      <c r="Q1545" t="str">
        <f t="array" ref="Q1545">iferror(index(sea_lice!$J:$J,match($A1545,sea_lice!$A:$A,0)))</f>
        <v/>
      </c>
      <c r="R1545" s="40" t="str">
        <f t="array" ref="R1545">iferror(index(dissected_fish!$F:$F,match($A1545,dissected_fish!$A:$A,0)))</f>
        <v>BCA112</v>
      </c>
      <c r="S1545" s="40" t="str">
        <f t="array" ref="S1545">iferror(index(dissected_fish!$K:$K,match($A1545,dissected_fish!$A:$A,0)))</f>
        <v>N</v>
      </c>
      <c r="T1545" s="61" t="str">
        <f t="array" ref="T1545">index(fish_lab_data!O:O,match(A1545,fish_lab_data!C:C,0))</f>
        <v>JG</v>
      </c>
      <c r="U1545" s="61">
        <f t="array" ref="U1545">if(A1545="","",index(fish_lab_data!X:X,match(A1545,fish_lab_data!C:C,0)))</f>
        <v>1544</v>
      </c>
    </row>
    <row r="1546">
      <c r="A1546" t="str">
        <f>fish_lab_data!C1546</f>
        <v>U17247</v>
      </c>
      <c r="B1546" t="str">
        <f t="array" ref="B1546">iferror(index('rna-muscle'!$I:$I,match($A1546,'rna-muscle'!$A:$A,0)))</f>
        <v>BRN55M-F12</v>
      </c>
      <c r="C1546" t="str">
        <f t="array" ref="C1546">iferror(index('rna-muscle'!$L:$L,match($A1546,'rna-muscle'!$A:$A,0)))</f>
        <v>N</v>
      </c>
      <c r="D1546" t="str">
        <f t="array" ref="D1546">iferror(index('rna-gill'!$I:$I,match($A1546,'rna-gill'!$A:$A,0)))</f>
        <v>BRN55G-F12</v>
      </c>
      <c r="E1546" t="str">
        <f t="array" ref="E1546">iferror(index('rna-gill'!$L:$L,match($A1546,'rna-gill'!$A:$A,0)))</f>
        <v>N</v>
      </c>
      <c r="F1546" t="str">
        <f t="array" ref="F1546">iferror(index(fatty_acid!$G:$G,match($A1546,fatty_acid!$A:$A,0)))</f>
        <v>BFA39-12</v>
      </c>
      <c r="G1546" t="str">
        <f t="array" ref="G1546">iferror(index(fatty_acid!$J:$J,match($A1546,fatty_acid!$A:$A,0)))</f>
        <v>N</v>
      </c>
      <c r="H1546" t="str">
        <f t="array" ref="H1546">iferror(index(isotopes!$G:$G,match($A1546,isotopes!$A:$A,0)))</f>
        <v>BIS42-11</v>
      </c>
      <c r="I1546" t="str">
        <f t="array" ref="I1546">iferror(index(isotopes!$J:$J,match($A1546,isotopes!$A:$A,0)))</f>
        <v>N</v>
      </c>
      <c r="J1546" t="str">
        <f t="array" ref="J1546">iferror(index(extra_muscle!$G:$G,match($A1546,extra_muscle!$A:$A,0)))</f>
        <v>BXM39-55</v>
      </c>
      <c r="K1546" t="str">
        <f t="array" ref="K1546">iferror(index(extra_muscle!$J:$J,match($A1546,extra_muscle!$A:$A,0)))</f>
        <v>N</v>
      </c>
      <c r="L1546" s="59" t="str">
        <f t="array" ref="L1546">iferror(index(dna!$G:$G,match($A1546,dna!$A:$A,0)))</f>
        <v>BDN13-10</v>
      </c>
      <c r="M1546" s="60" t="str">
        <f t="array" ref="M1546">iferror(index(dna!$J:$J,match($A1546,dna!$A:$A,0)))</f>
        <v>N</v>
      </c>
      <c r="N1546" t="str">
        <f t="array" ref="N1546">iferror(index(stomachs!$G:$G,match($A1546,stomachs!$A:$A,0)))</f>
        <v/>
      </c>
      <c r="O1546" t="str">
        <f t="array" ref="O1546">iferror(index(stomachs!$J:$J,match($A1546,stomachs!$A:$A,0)))</f>
        <v/>
      </c>
      <c r="P1546" t="str">
        <f t="array" ref="P1546">iferror(index(sea_lice!$G:$G,match($A1546,sea_lice!$A:$A,0)))</f>
        <v/>
      </c>
      <c r="Q1546" t="str">
        <f t="array" ref="Q1546">iferror(index(sea_lice!$J:$J,match($A1546,sea_lice!$A:$A,0)))</f>
        <v/>
      </c>
      <c r="R1546" s="40" t="str">
        <f t="array" ref="R1546">iferror(index(dissected_fish!$F:$F,match($A1546,dissected_fish!$A:$A,0)))</f>
        <v>BCA112</v>
      </c>
      <c r="S1546" s="40" t="str">
        <f t="array" ref="S1546">iferror(index(dissected_fish!$K:$K,match($A1546,dissected_fish!$A:$A,0)))</f>
        <v>N</v>
      </c>
      <c r="T1546" s="61" t="str">
        <f t="array" ref="T1546">index(fish_lab_data!O:O,match(A1546,fish_lab_data!C:C,0))</f>
        <v>JG</v>
      </c>
      <c r="U1546" s="61">
        <f t="array" ref="U1546">if(A1546="","",index(fish_lab_data!X:X,match(A1546,fish_lab_data!C:C,0)))</f>
        <v>1545</v>
      </c>
    </row>
    <row r="1547">
      <c r="A1547" t="str">
        <f>fish_lab_data!C1547</f>
        <v>U17248</v>
      </c>
      <c r="B1547" t="str">
        <f t="array" ref="B1547">iferror(index('rna-muscle'!$I:$I,match($A1547,'rna-muscle'!$A:$A,0)))</f>
        <v>BRN55M-E12</v>
      </c>
      <c r="C1547" t="str">
        <f t="array" ref="C1547">iferror(index('rna-muscle'!$L:$L,match($A1547,'rna-muscle'!$A:$A,0)))</f>
        <v>N</v>
      </c>
      <c r="D1547" t="str">
        <f t="array" ref="D1547">iferror(index('rna-gill'!$I:$I,match($A1547,'rna-gill'!$A:$A,0)))</f>
        <v>BRN55G-E12</v>
      </c>
      <c r="E1547" t="str">
        <f t="array" ref="E1547">iferror(index('rna-gill'!$L:$L,match($A1547,'rna-gill'!$A:$A,0)))</f>
        <v>N</v>
      </c>
      <c r="F1547" t="str">
        <f t="array" ref="F1547">iferror(index(fatty_acid!$G:$G,match($A1547,fatty_acid!$A:$A,0)))</f>
        <v>BFA39-13</v>
      </c>
      <c r="G1547" t="str">
        <f t="array" ref="G1547">iferror(index(fatty_acid!$J:$J,match($A1547,fatty_acid!$A:$A,0)))</f>
        <v>N</v>
      </c>
      <c r="H1547" t="str">
        <f t="array" ref="H1547">iferror(index(isotopes!$G:$G,match($A1547,isotopes!$A:$A,0)))</f>
        <v>BIS42-12</v>
      </c>
      <c r="I1547" t="str">
        <f t="array" ref="I1547">iferror(index(isotopes!$J:$J,match($A1547,isotopes!$A:$A,0)))</f>
        <v>N</v>
      </c>
      <c r="J1547" t="str">
        <f t="array" ref="J1547">iferror(index(extra_muscle!$G:$G,match($A1547,extra_muscle!$A:$A,0)))</f>
        <v>BXM39-56</v>
      </c>
      <c r="K1547" t="str">
        <f t="array" ref="K1547">iferror(index(extra_muscle!$J:$J,match($A1547,extra_muscle!$A:$A,0)))</f>
        <v>N</v>
      </c>
      <c r="L1547" s="59" t="str">
        <f t="array" ref="L1547">iferror(index(dna!$G:$G,match($A1547,dna!$A:$A,0)))</f>
        <v>BDN13-11</v>
      </c>
      <c r="M1547" s="60" t="str">
        <f t="array" ref="M1547">iferror(index(dna!$J:$J,match($A1547,dna!$A:$A,0)))</f>
        <v>N</v>
      </c>
      <c r="N1547" t="str">
        <f t="array" ref="N1547">iferror(index(stomachs!$G:$G,match($A1547,stomachs!$A:$A,0)))</f>
        <v/>
      </c>
      <c r="O1547" t="str">
        <f t="array" ref="O1547">iferror(index(stomachs!$J:$J,match($A1547,stomachs!$A:$A,0)))</f>
        <v/>
      </c>
      <c r="P1547" t="str">
        <f t="array" ref="P1547">iferror(index(sea_lice!$G:$G,match($A1547,sea_lice!$A:$A,0)))</f>
        <v/>
      </c>
      <c r="Q1547" t="str">
        <f t="array" ref="Q1547">iferror(index(sea_lice!$J:$J,match($A1547,sea_lice!$A:$A,0)))</f>
        <v/>
      </c>
      <c r="R1547" s="40" t="str">
        <f t="array" ref="R1547">iferror(index(dissected_fish!$F:$F,match($A1547,dissected_fish!$A:$A,0)))</f>
        <v>BCA112</v>
      </c>
      <c r="S1547" s="40" t="str">
        <f t="array" ref="S1547">iferror(index(dissected_fish!$K:$K,match($A1547,dissected_fish!$A:$A,0)))</f>
        <v>N</v>
      </c>
      <c r="T1547" s="61" t="str">
        <f t="array" ref="T1547">index(fish_lab_data!O:O,match(A1547,fish_lab_data!C:C,0))</f>
        <v>JG</v>
      </c>
      <c r="U1547" s="61">
        <f t="array" ref="U1547">if(A1547="","",index(fish_lab_data!X:X,match(A1547,fish_lab_data!C:C,0)))</f>
        <v>1546</v>
      </c>
    </row>
    <row r="1548">
      <c r="A1548" t="str">
        <f>fish_lab_data!C1548</f>
        <v>U17245</v>
      </c>
      <c r="B1548" t="str">
        <f t="array" ref="B1548">iferror(index('rna-muscle'!$I:$I,match($A1548,'rna-muscle'!$A:$A,0)))</f>
        <v>BRN55M-D12</v>
      </c>
      <c r="C1548" t="str">
        <f t="array" ref="C1548">iferror(index('rna-muscle'!$L:$L,match($A1548,'rna-muscle'!$A:$A,0)))</f>
        <v>N</v>
      </c>
      <c r="D1548" t="str">
        <f t="array" ref="D1548">iferror(index('rna-gill'!$I:$I,match($A1548,'rna-gill'!$A:$A,0)))</f>
        <v>BRN55G-D12</v>
      </c>
      <c r="E1548" t="str">
        <f t="array" ref="E1548">iferror(index('rna-gill'!$L:$L,match($A1548,'rna-gill'!$A:$A,0)))</f>
        <v>N</v>
      </c>
      <c r="F1548" t="str">
        <f t="array" ref="F1548">iferror(index(fatty_acid!$G:$G,match($A1548,fatty_acid!$A:$A,0)))</f>
        <v>BFA39-14</v>
      </c>
      <c r="G1548" t="str">
        <f t="array" ref="G1548">iferror(index(fatty_acid!$J:$J,match($A1548,fatty_acid!$A:$A,0)))</f>
        <v>N</v>
      </c>
      <c r="H1548" t="str">
        <f t="array" ref="H1548">iferror(index(isotopes!$G:$G,match($A1548,isotopes!$A:$A,0)))</f>
        <v>BIS42-13</v>
      </c>
      <c r="I1548" t="str">
        <f t="array" ref="I1548">iferror(index(isotopes!$J:$J,match($A1548,isotopes!$A:$A,0)))</f>
        <v>N</v>
      </c>
      <c r="J1548" t="str">
        <f t="array" ref="J1548">iferror(index(extra_muscle!$G:$G,match($A1548,extra_muscle!$A:$A,0)))</f>
        <v>BXM39-57</v>
      </c>
      <c r="K1548" t="str">
        <f t="array" ref="K1548">iferror(index(extra_muscle!$J:$J,match($A1548,extra_muscle!$A:$A,0)))</f>
        <v>N</v>
      </c>
      <c r="L1548" s="59" t="str">
        <f t="array" ref="L1548">iferror(index(dna!$G:$G,match($A1548,dna!$A:$A,0)))</f>
        <v>BDN13-12</v>
      </c>
      <c r="M1548" s="60" t="str">
        <f t="array" ref="M1548">iferror(index(dna!$J:$J,match($A1548,dna!$A:$A,0)))</f>
        <v>N</v>
      </c>
      <c r="N1548" t="str">
        <f t="array" ref="N1548">iferror(index(stomachs!$G:$G,match($A1548,stomachs!$A:$A,0)))</f>
        <v/>
      </c>
      <c r="O1548" t="str">
        <f t="array" ref="O1548">iferror(index(stomachs!$J:$J,match($A1548,stomachs!$A:$A,0)))</f>
        <v/>
      </c>
      <c r="P1548" t="str">
        <f t="array" ref="P1548">iferror(index(sea_lice!$G:$G,match($A1548,sea_lice!$A:$A,0)))</f>
        <v/>
      </c>
      <c r="Q1548" t="str">
        <f t="array" ref="Q1548">iferror(index(sea_lice!$J:$J,match($A1548,sea_lice!$A:$A,0)))</f>
        <v/>
      </c>
      <c r="R1548" s="40" t="str">
        <f t="array" ref="R1548">iferror(index(dissected_fish!$F:$F,match($A1548,dissected_fish!$A:$A,0)))</f>
        <v>BCA112</v>
      </c>
      <c r="S1548" s="40" t="str">
        <f t="array" ref="S1548">iferror(index(dissected_fish!$K:$K,match($A1548,dissected_fish!$A:$A,0)))</f>
        <v>N</v>
      </c>
      <c r="T1548" s="61" t="str">
        <f t="array" ref="T1548">index(fish_lab_data!O:O,match(A1548,fish_lab_data!C:C,0))</f>
        <v>JG</v>
      </c>
      <c r="U1548" s="61">
        <f t="array" ref="U1548">if(A1548="","",index(fish_lab_data!X:X,match(A1548,fish_lab_data!C:C,0)))</f>
        <v>1547</v>
      </c>
    </row>
    <row r="1549">
      <c r="A1549" t="str">
        <f>fish_lab_data!C1549</f>
        <v>U17246</v>
      </c>
      <c r="B1549" t="str">
        <f t="array" ref="B1549">iferror(index('rna-muscle'!$I:$I,match($A1549,'rna-muscle'!$A:$A,0)))</f>
        <v>BRN55M-C12</v>
      </c>
      <c r="C1549" t="str">
        <f t="array" ref="C1549">iferror(index('rna-muscle'!$L:$L,match($A1549,'rna-muscle'!$A:$A,0)))</f>
        <v>N</v>
      </c>
      <c r="D1549" t="str">
        <f t="array" ref="D1549">iferror(index('rna-gill'!$I:$I,match($A1549,'rna-gill'!$A:$A,0)))</f>
        <v>BRN55G-C12</v>
      </c>
      <c r="E1549" t="str">
        <f t="array" ref="E1549">iferror(index('rna-gill'!$L:$L,match($A1549,'rna-gill'!$A:$A,0)))</f>
        <v>N</v>
      </c>
      <c r="F1549" t="str">
        <f t="array" ref="F1549">iferror(index(fatty_acid!$G:$G,match($A1549,fatty_acid!$A:$A,0)))</f>
        <v>BFA39-15</v>
      </c>
      <c r="G1549" t="str">
        <f t="array" ref="G1549">iferror(index(fatty_acid!$J:$J,match($A1549,fatty_acid!$A:$A,0)))</f>
        <v>N</v>
      </c>
      <c r="H1549" t="str">
        <f t="array" ref="H1549">iferror(index(isotopes!$G:$G,match($A1549,isotopes!$A:$A,0)))</f>
        <v>BIS42-14</v>
      </c>
      <c r="I1549" t="str">
        <f t="array" ref="I1549">iferror(index(isotopes!$J:$J,match($A1549,isotopes!$A:$A,0)))</f>
        <v>N</v>
      </c>
      <c r="J1549" t="str">
        <f t="array" ref="J1549">iferror(index(extra_muscle!$G:$G,match($A1549,extra_muscle!$A:$A,0)))</f>
        <v>BXM39-58</v>
      </c>
      <c r="K1549" t="str">
        <f t="array" ref="K1549">iferror(index(extra_muscle!$J:$J,match($A1549,extra_muscle!$A:$A,0)))</f>
        <v>N</v>
      </c>
      <c r="L1549" s="59" t="str">
        <f t="array" ref="L1549">iferror(index(dna!$G:$G,match($A1549,dna!$A:$A,0)))</f>
        <v>BDN13-13</v>
      </c>
      <c r="M1549" s="60" t="str">
        <f t="array" ref="M1549">iferror(index(dna!$J:$J,match($A1549,dna!$A:$A,0)))</f>
        <v>N</v>
      </c>
      <c r="N1549" t="str">
        <f t="array" ref="N1549">iferror(index(stomachs!$G:$G,match($A1549,stomachs!$A:$A,0)))</f>
        <v/>
      </c>
      <c r="O1549" t="str">
        <f t="array" ref="O1549">iferror(index(stomachs!$J:$J,match($A1549,stomachs!$A:$A,0)))</f>
        <v/>
      </c>
      <c r="P1549" t="str">
        <f t="array" ref="P1549">iferror(index(sea_lice!$G:$G,match($A1549,sea_lice!$A:$A,0)))</f>
        <v/>
      </c>
      <c r="Q1549" t="str">
        <f t="array" ref="Q1549">iferror(index(sea_lice!$J:$J,match($A1549,sea_lice!$A:$A,0)))</f>
        <v/>
      </c>
      <c r="R1549" s="40" t="str">
        <f t="array" ref="R1549">iferror(index(dissected_fish!$F:$F,match($A1549,dissected_fish!$A:$A,0)))</f>
        <v>BCA112</v>
      </c>
      <c r="S1549" s="40" t="str">
        <f t="array" ref="S1549">iferror(index(dissected_fish!$K:$K,match($A1549,dissected_fish!$A:$A,0)))</f>
        <v>N</v>
      </c>
      <c r="T1549" s="61" t="str">
        <f t="array" ref="T1549">index(fish_lab_data!O:O,match(A1549,fish_lab_data!C:C,0))</f>
        <v>JG</v>
      </c>
      <c r="U1549" s="61">
        <f t="array" ref="U1549">if(A1549="","",index(fish_lab_data!X:X,match(A1549,fish_lab_data!C:C,0)))</f>
        <v>1548</v>
      </c>
    </row>
    <row r="1550">
      <c r="A1550" t="str">
        <f>fish_lab_data!C1550</f>
        <v>U17243</v>
      </c>
      <c r="B1550" t="str">
        <f t="array" ref="B1550">iferror(index('rna-muscle'!$I:$I,match($A1550,'rna-muscle'!$A:$A,0)))</f>
        <v>BRN55M-B12</v>
      </c>
      <c r="C1550" t="str">
        <f t="array" ref="C1550">iferror(index('rna-muscle'!$L:$L,match($A1550,'rna-muscle'!$A:$A,0)))</f>
        <v>N</v>
      </c>
      <c r="D1550" t="str">
        <f t="array" ref="D1550">iferror(index('rna-gill'!$I:$I,match($A1550,'rna-gill'!$A:$A,0)))</f>
        <v>BRN55G-B12</v>
      </c>
      <c r="E1550" t="str">
        <f t="array" ref="E1550">iferror(index('rna-gill'!$L:$L,match($A1550,'rna-gill'!$A:$A,0)))</f>
        <v>N</v>
      </c>
      <c r="F1550" t="str">
        <f t="array" ref="F1550">iferror(index(fatty_acid!$G:$G,match($A1550,fatty_acid!$A:$A,0)))</f>
        <v>BFA39-16</v>
      </c>
      <c r="G1550" t="str">
        <f t="array" ref="G1550">iferror(index(fatty_acid!$J:$J,match($A1550,fatty_acid!$A:$A,0)))</f>
        <v>N</v>
      </c>
      <c r="H1550" t="str">
        <f t="array" ref="H1550">iferror(index(isotopes!$G:$G,match($A1550,isotopes!$A:$A,0)))</f>
        <v>BIS42-15</v>
      </c>
      <c r="I1550" t="str">
        <f t="array" ref="I1550">iferror(index(isotopes!$J:$J,match($A1550,isotopes!$A:$A,0)))</f>
        <v>N</v>
      </c>
      <c r="J1550" t="str">
        <f t="array" ref="J1550">iferror(index(extra_muscle!$G:$G,match($A1550,extra_muscle!$A:$A,0)))</f>
        <v>BXM39-59</v>
      </c>
      <c r="K1550" t="str">
        <f t="array" ref="K1550">iferror(index(extra_muscle!$J:$J,match($A1550,extra_muscle!$A:$A,0)))</f>
        <v>N</v>
      </c>
      <c r="L1550" s="59" t="str">
        <f t="array" ref="L1550">iferror(index(dna!$G:$G,match($A1550,dna!$A:$A,0)))</f>
        <v>BDN13-14</v>
      </c>
      <c r="M1550" s="60" t="str">
        <f t="array" ref="M1550">iferror(index(dna!$J:$J,match($A1550,dna!$A:$A,0)))</f>
        <v>N</v>
      </c>
      <c r="N1550" t="str">
        <f t="array" ref="N1550">iferror(index(stomachs!$G:$G,match($A1550,stomachs!$A:$A,0)))</f>
        <v/>
      </c>
      <c r="O1550" t="str">
        <f t="array" ref="O1550">iferror(index(stomachs!$J:$J,match($A1550,stomachs!$A:$A,0)))</f>
        <v/>
      </c>
      <c r="P1550" t="str">
        <f t="array" ref="P1550">iferror(index(sea_lice!$G:$G,match($A1550,sea_lice!$A:$A,0)))</f>
        <v/>
      </c>
      <c r="Q1550" t="str">
        <f t="array" ref="Q1550">iferror(index(sea_lice!$J:$J,match($A1550,sea_lice!$A:$A,0)))</f>
        <v/>
      </c>
      <c r="R1550" s="40" t="str">
        <f t="array" ref="R1550">iferror(index(dissected_fish!$F:$F,match($A1550,dissected_fish!$A:$A,0)))</f>
        <v>BCA112</v>
      </c>
      <c r="S1550" s="40" t="str">
        <f t="array" ref="S1550">iferror(index(dissected_fish!$K:$K,match($A1550,dissected_fish!$A:$A,0)))</f>
        <v>N</v>
      </c>
      <c r="T1550" s="61" t="str">
        <f t="array" ref="T1550">index(fish_lab_data!O:O,match(A1550,fish_lab_data!C:C,0))</f>
        <v>JG</v>
      </c>
      <c r="U1550" s="61">
        <f t="array" ref="U1550">if(A1550="","",index(fish_lab_data!X:X,match(A1550,fish_lab_data!C:C,0)))</f>
        <v>1549</v>
      </c>
    </row>
    <row r="1551">
      <c r="A1551" t="str">
        <f>fish_lab_data!C1551</f>
        <v>U17244</v>
      </c>
      <c r="B1551" t="str">
        <f t="array" ref="B1551">iferror(index('rna-muscle'!$I:$I,match($A1551,'rna-muscle'!$A:$A,0)))</f>
        <v>BRN55M-A12</v>
      </c>
      <c r="C1551" t="str">
        <f t="array" ref="C1551">iferror(index('rna-muscle'!$L:$L,match($A1551,'rna-muscle'!$A:$A,0)))</f>
        <v>N</v>
      </c>
      <c r="D1551" t="str">
        <f t="array" ref="D1551">iferror(index('rna-gill'!$I:$I,match($A1551,'rna-gill'!$A:$A,0)))</f>
        <v>BRN55G-A12</v>
      </c>
      <c r="E1551" t="str">
        <f t="array" ref="E1551">iferror(index('rna-gill'!$L:$L,match($A1551,'rna-gill'!$A:$A,0)))</f>
        <v>N</v>
      </c>
      <c r="F1551" t="str">
        <f t="array" ref="F1551">iferror(index(fatty_acid!$G:$G,match($A1551,fatty_acid!$A:$A,0)))</f>
        <v>BFA39-17</v>
      </c>
      <c r="G1551" t="str">
        <f t="array" ref="G1551">iferror(index(fatty_acid!$J:$J,match($A1551,fatty_acid!$A:$A,0)))</f>
        <v>N</v>
      </c>
      <c r="H1551" t="str">
        <f t="array" ref="H1551">iferror(index(isotopes!$G:$G,match($A1551,isotopes!$A:$A,0)))</f>
        <v>BIS42-16</v>
      </c>
      <c r="I1551" t="str">
        <f t="array" ref="I1551">iferror(index(isotopes!$J:$J,match($A1551,isotopes!$A:$A,0)))</f>
        <v>N</v>
      </c>
      <c r="J1551" t="str">
        <f t="array" ref="J1551">iferror(index(extra_muscle!$G:$G,match($A1551,extra_muscle!$A:$A,0)))</f>
        <v>BXM39-60</v>
      </c>
      <c r="K1551" t="str">
        <f t="array" ref="K1551">iferror(index(extra_muscle!$J:$J,match($A1551,extra_muscle!$A:$A,0)))</f>
        <v>N</v>
      </c>
      <c r="L1551" s="59" t="str">
        <f t="array" ref="L1551">iferror(index(dna!$G:$G,match($A1551,dna!$A:$A,0)))</f>
        <v>BDN13-15</v>
      </c>
      <c r="M1551" s="60" t="str">
        <f t="array" ref="M1551">iferror(index(dna!$J:$J,match($A1551,dna!$A:$A,0)))</f>
        <v>N</v>
      </c>
      <c r="N1551" t="str">
        <f t="array" ref="N1551">iferror(index(stomachs!$G:$G,match($A1551,stomachs!$A:$A,0)))</f>
        <v/>
      </c>
      <c r="O1551" t="str">
        <f t="array" ref="O1551">iferror(index(stomachs!$J:$J,match($A1551,stomachs!$A:$A,0)))</f>
        <v/>
      </c>
      <c r="P1551" t="str">
        <f t="array" ref="P1551">iferror(index(sea_lice!$G:$G,match($A1551,sea_lice!$A:$A,0)))</f>
        <v/>
      </c>
      <c r="Q1551" t="str">
        <f t="array" ref="Q1551">iferror(index(sea_lice!$J:$J,match($A1551,sea_lice!$A:$A,0)))</f>
        <v/>
      </c>
      <c r="R1551" s="40" t="str">
        <f t="array" ref="R1551">iferror(index(dissected_fish!$F:$F,match($A1551,dissected_fish!$A:$A,0)))</f>
        <v>BCA112</v>
      </c>
      <c r="S1551" s="40" t="str">
        <f t="array" ref="S1551">iferror(index(dissected_fish!$K:$K,match($A1551,dissected_fish!$A:$A,0)))</f>
        <v>N</v>
      </c>
      <c r="T1551" s="61" t="str">
        <f t="array" ref="T1551">index(fish_lab_data!O:O,match(A1551,fish_lab_data!C:C,0))</f>
        <v>JG</v>
      </c>
      <c r="U1551" s="61">
        <f t="array" ref="U1551">if(A1551="","",index(fish_lab_data!X:X,match(A1551,fish_lab_data!C:C,0)))</f>
        <v>1550</v>
      </c>
    </row>
    <row r="1552">
      <c r="A1552" t="str">
        <f>fish_lab_data!C1552</f>
        <v>U17242</v>
      </c>
      <c r="B1552" t="str">
        <f t="array" ref="B1552">iferror(index('rna-muscle'!$I:$I,match($A1552,'rna-muscle'!$A:$A,0)))</f>
        <v>BRN79M-H2</v>
      </c>
      <c r="C1552" t="str">
        <f t="array" ref="C1552">iferror(index('rna-muscle'!$L:$L,match($A1552,'rna-muscle'!$A:$A,0)))</f>
        <v>N</v>
      </c>
      <c r="D1552" t="str">
        <f t="array" ref="D1552">iferror(index('rna-gill'!$I:$I,match($A1552,'rna-gill'!$A:$A,0)))</f>
        <v>BRN79G-H2</v>
      </c>
      <c r="E1552" t="str">
        <f t="array" ref="E1552">iferror(index('rna-gill'!$L:$L,match($A1552,'rna-gill'!$A:$A,0)))</f>
        <v>N</v>
      </c>
      <c r="F1552" t="str">
        <f t="array" ref="F1552">iferror(index(fatty_acid!$G:$G,match($A1552,fatty_acid!$A:$A,0)))</f>
        <v>BFA39-18</v>
      </c>
      <c r="G1552" t="str">
        <f t="array" ref="G1552">iferror(index(fatty_acid!$J:$J,match($A1552,fatty_acid!$A:$A,0)))</f>
        <v>N</v>
      </c>
      <c r="H1552" t="str">
        <f t="array" ref="H1552">iferror(index(isotopes!$G:$G,match($A1552,isotopes!$A:$A,0)))</f>
        <v>BIS42-17</v>
      </c>
      <c r="I1552" t="str">
        <f t="array" ref="I1552">iferror(index(isotopes!$J:$J,match($A1552,isotopes!$A:$A,0)))</f>
        <v>N</v>
      </c>
      <c r="J1552" t="str">
        <f t="array" ref="J1552">iferror(index(extra_muscle!$G:$G,match($A1552,extra_muscle!$A:$A,0)))</f>
        <v>BXM39-61</v>
      </c>
      <c r="K1552" t="str">
        <f t="array" ref="K1552">iferror(index(extra_muscle!$J:$J,match($A1552,extra_muscle!$A:$A,0)))</f>
        <v>N</v>
      </c>
      <c r="L1552" s="59" t="str">
        <f t="array" ref="L1552">iferror(index(dna!$G:$G,match($A1552,dna!$A:$A,0)))</f>
        <v>BDN13-17</v>
      </c>
      <c r="M1552" s="60" t="str">
        <f t="array" ref="M1552">iferror(index(dna!$J:$J,match($A1552,dna!$A:$A,0)))</f>
        <v>N</v>
      </c>
      <c r="N1552" t="str">
        <f t="array" ref="N1552">iferror(index(stomachs!$G:$G,match($A1552,stomachs!$A:$A,0)))</f>
        <v/>
      </c>
      <c r="O1552" t="str">
        <f t="array" ref="O1552">iferror(index(stomachs!$J:$J,match($A1552,stomachs!$A:$A,0)))</f>
        <v/>
      </c>
      <c r="P1552" t="str">
        <f t="array" ref="P1552">iferror(index(sea_lice!$G:$G,match($A1552,sea_lice!$A:$A,0)))</f>
        <v/>
      </c>
      <c r="Q1552" t="str">
        <f t="array" ref="Q1552">iferror(index(sea_lice!$J:$J,match($A1552,sea_lice!$A:$A,0)))</f>
        <v/>
      </c>
      <c r="R1552" s="40" t="str">
        <f t="array" ref="R1552">iferror(index(dissected_fish!$F:$F,match($A1552,dissected_fish!$A:$A,0)))</f>
        <v>BCA112</v>
      </c>
      <c r="S1552" s="40" t="str">
        <f t="array" ref="S1552">iferror(index(dissected_fish!$K:$K,match($A1552,dissected_fish!$A:$A,0)))</f>
        <v>N</v>
      </c>
      <c r="T1552" s="61" t="str">
        <f t="array" ref="T1552">index(fish_lab_data!O:O,match(A1552,fish_lab_data!C:C,0))</f>
        <v>JG</v>
      </c>
      <c r="U1552" s="61">
        <f t="array" ref="U1552">if(A1552="","",index(fish_lab_data!X:X,match(A1552,fish_lab_data!C:C,0)))</f>
        <v>1551</v>
      </c>
    </row>
    <row r="1553">
      <c r="A1553" t="str">
        <f>fish_lab_data!C1553</f>
        <v>U17241</v>
      </c>
      <c r="B1553" t="str">
        <f t="array" ref="B1553">iferror(index('rna-muscle'!$I:$I,match($A1553,'rna-muscle'!$A:$A,0)))</f>
        <v>BRN79M-G2</v>
      </c>
      <c r="C1553" t="str">
        <f t="array" ref="C1553">iferror(index('rna-muscle'!$L:$L,match($A1553,'rna-muscle'!$A:$A,0)))</f>
        <v>N</v>
      </c>
      <c r="D1553" t="str">
        <f t="array" ref="D1553">iferror(index('rna-gill'!$I:$I,match($A1553,'rna-gill'!$A:$A,0)))</f>
        <v>BRN79G-G2</v>
      </c>
      <c r="E1553" t="str">
        <f t="array" ref="E1553">iferror(index('rna-gill'!$L:$L,match($A1553,'rna-gill'!$A:$A,0)))</f>
        <v>N</v>
      </c>
      <c r="F1553" t="str">
        <f t="array" ref="F1553">iferror(index(fatty_acid!$G:$G,match($A1553,fatty_acid!$A:$A,0)))</f>
        <v>BFA39-19</v>
      </c>
      <c r="G1553" t="str">
        <f t="array" ref="G1553">iferror(index(fatty_acid!$J:$J,match($A1553,fatty_acid!$A:$A,0)))</f>
        <v>N</v>
      </c>
      <c r="H1553" t="str">
        <f t="array" ref="H1553">iferror(index(isotopes!$G:$G,match($A1553,isotopes!$A:$A,0)))</f>
        <v>BIS42-18</v>
      </c>
      <c r="I1553" t="str">
        <f t="array" ref="I1553">iferror(index(isotopes!$J:$J,match($A1553,isotopes!$A:$A,0)))</f>
        <v>N</v>
      </c>
      <c r="J1553" t="str">
        <f t="array" ref="J1553">iferror(index(extra_muscle!$G:$G,match($A1553,extra_muscle!$A:$A,0)))</f>
        <v>BXM39-62</v>
      </c>
      <c r="K1553" t="str">
        <f t="array" ref="K1553">iferror(index(extra_muscle!$J:$J,match($A1553,extra_muscle!$A:$A,0)))</f>
        <v>N</v>
      </c>
      <c r="L1553" s="59" t="str">
        <f t="array" ref="L1553">iferror(index(dna!$G:$G,match($A1553,dna!$A:$A,0)))</f>
        <v>BDN13-18</v>
      </c>
      <c r="M1553" s="60" t="str">
        <f t="array" ref="M1553">iferror(index(dna!$J:$J,match($A1553,dna!$A:$A,0)))</f>
        <v>N</v>
      </c>
      <c r="N1553" t="str">
        <f t="array" ref="N1553">iferror(index(stomachs!$G:$G,match($A1553,stomachs!$A:$A,0)))</f>
        <v/>
      </c>
      <c r="O1553" t="str">
        <f t="array" ref="O1553">iferror(index(stomachs!$J:$J,match($A1553,stomachs!$A:$A,0)))</f>
        <v/>
      </c>
      <c r="P1553" t="str">
        <f t="array" ref="P1553">iferror(index(sea_lice!$G:$G,match($A1553,sea_lice!$A:$A,0)))</f>
        <v/>
      </c>
      <c r="Q1553" t="str">
        <f t="array" ref="Q1553">iferror(index(sea_lice!$J:$J,match($A1553,sea_lice!$A:$A,0)))</f>
        <v/>
      </c>
      <c r="R1553" s="40" t="str">
        <f t="array" ref="R1553">iferror(index(dissected_fish!$F:$F,match($A1553,dissected_fish!$A:$A,0)))</f>
        <v>BCA112</v>
      </c>
      <c r="S1553" s="40" t="str">
        <f t="array" ref="S1553">iferror(index(dissected_fish!$K:$K,match($A1553,dissected_fish!$A:$A,0)))</f>
        <v>N</v>
      </c>
      <c r="T1553" s="61" t="str">
        <f t="array" ref="T1553">index(fish_lab_data!O:O,match(A1553,fish_lab_data!C:C,0))</f>
        <v>JG</v>
      </c>
      <c r="U1553" s="61">
        <f t="array" ref="U1553">if(A1553="","",index(fish_lab_data!X:X,match(A1553,fish_lab_data!C:C,0)))</f>
        <v>1552</v>
      </c>
    </row>
    <row r="1554">
      <c r="A1554" t="str">
        <f>fish_lab_data!C1554</f>
        <v>U16851</v>
      </c>
      <c r="B1554" t="str">
        <f t="array" ref="B1554">iferror(index('rna-muscle'!$I:$I,match($A1554,'rna-muscle'!$A:$A,0)))</f>
        <v>BRN79M-F2</v>
      </c>
      <c r="C1554" t="str">
        <f t="array" ref="C1554">iferror(index('rna-muscle'!$L:$L,match($A1554,'rna-muscle'!$A:$A,0)))</f>
        <v>N</v>
      </c>
      <c r="D1554" t="str">
        <f t="array" ref="D1554">iferror(index('rna-gill'!$I:$I,match($A1554,'rna-gill'!$A:$A,0)))</f>
        <v>BRN79G-F2</v>
      </c>
      <c r="E1554" t="str">
        <f t="array" ref="E1554">iferror(index('rna-gill'!$L:$L,match($A1554,'rna-gill'!$A:$A,0)))</f>
        <v>N</v>
      </c>
      <c r="F1554" t="str">
        <f t="array" ref="F1554">iferror(index(fatty_acid!$G:$G,match($A1554,fatty_acid!$A:$A,0)))</f>
        <v>BFA39-20</v>
      </c>
      <c r="G1554" t="str">
        <f t="array" ref="G1554">iferror(index(fatty_acid!$J:$J,match($A1554,fatty_acid!$A:$A,0)))</f>
        <v>N</v>
      </c>
      <c r="H1554" t="str">
        <f t="array" ref="H1554">iferror(index(isotopes!$G:$G,match($A1554,isotopes!$A:$A,0)))</f>
        <v>BIS42-19</v>
      </c>
      <c r="I1554" t="str">
        <f t="array" ref="I1554">iferror(index(isotopes!$J:$J,match($A1554,isotopes!$A:$A,0)))</f>
        <v>N</v>
      </c>
      <c r="J1554" t="str">
        <f t="array" ref="J1554">iferror(index(extra_muscle!$G:$G,match($A1554,extra_muscle!$A:$A,0)))</f>
        <v>BXM39-63</v>
      </c>
      <c r="K1554" t="str">
        <f t="array" ref="K1554">iferror(index(extra_muscle!$J:$J,match($A1554,extra_muscle!$A:$A,0)))</f>
        <v>N</v>
      </c>
      <c r="L1554" s="59" t="str">
        <f t="array" ref="L1554">iferror(index(dna!$G:$G,match($A1554,dna!$A:$A,0)))</f>
        <v>BDN13-19</v>
      </c>
      <c r="M1554" s="60" t="str">
        <f t="array" ref="M1554">iferror(index(dna!$J:$J,match($A1554,dna!$A:$A,0)))</f>
        <v>N</v>
      </c>
      <c r="N1554" t="str">
        <f t="array" ref="N1554">iferror(index(stomachs!$G:$G,match($A1554,stomachs!$A:$A,0)))</f>
        <v/>
      </c>
      <c r="O1554" t="str">
        <f t="array" ref="O1554">iferror(index(stomachs!$J:$J,match($A1554,stomachs!$A:$A,0)))</f>
        <v/>
      </c>
      <c r="P1554" t="str">
        <f t="array" ref="P1554">iferror(index(sea_lice!$G:$G,match($A1554,sea_lice!$A:$A,0)))</f>
        <v/>
      </c>
      <c r="Q1554" t="str">
        <f t="array" ref="Q1554">iferror(index(sea_lice!$J:$J,match($A1554,sea_lice!$A:$A,0)))</f>
        <v/>
      </c>
      <c r="R1554" s="40" t="str">
        <f t="array" ref="R1554">iferror(index(dissected_fish!$F:$F,match($A1554,dissected_fish!$A:$A,0)))</f>
        <v>BCA112</v>
      </c>
      <c r="S1554" s="40" t="str">
        <f t="array" ref="S1554">iferror(index(dissected_fish!$K:$K,match($A1554,dissected_fish!$A:$A,0)))</f>
        <v>N</v>
      </c>
      <c r="T1554" s="61" t="str">
        <f t="array" ref="T1554">index(fish_lab_data!O:O,match(A1554,fish_lab_data!C:C,0))</f>
        <v>JG</v>
      </c>
      <c r="U1554" s="61">
        <f t="array" ref="U1554">if(A1554="","",index(fish_lab_data!X:X,match(A1554,fish_lab_data!C:C,0)))</f>
        <v>1553</v>
      </c>
    </row>
    <row r="1555">
      <c r="A1555" t="str">
        <f>fish_lab_data!C1555</f>
        <v>U16855</v>
      </c>
      <c r="B1555" t="str">
        <f t="array" ref="B1555">iferror(index('rna-muscle'!$I:$I,match($A1555,'rna-muscle'!$A:$A,0)))</f>
        <v>BRN79M-E2</v>
      </c>
      <c r="C1555" t="str">
        <f t="array" ref="C1555">iferror(index('rna-muscle'!$L:$L,match($A1555,'rna-muscle'!$A:$A,0)))</f>
        <v>N</v>
      </c>
      <c r="D1555" t="str">
        <f t="array" ref="D1555">iferror(index('rna-gill'!$I:$I,match($A1555,'rna-gill'!$A:$A,0)))</f>
        <v>BRN79G-E2</v>
      </c>
      <c r="E1555" t="str">
        <f t="array" ref="E1555">iferror(index('rna-gill'!$L:$L,match($A1555,'rna-gill'!$A:$A,0)))</f>
        <v>N</v>
      </c>
      <c r="F1555" t="str">
        <f t="array" ref="F1555">iferror(index(fatty_acid!$G:$G,match($A1555,fatty_acid!$A:$A,0)))</f>
        <v>BFA39-21</v>
      </c>
      <c r="G1555" t="str">
        <f t="array" ref="G1555">iferror(index(fatty_acid!$J:$J,match($A1555,fatty_acid!$A:$A,0)))</f>
        <v>N</v>
      </c>
      <c r="H1555" t="str">
        <f t="array" ref="H1555">iferror(index(isotopes!$G:$G,match($A1555,isotopes!$A:$A,0)))</f>
        <v>BIS42-20</v>
      </c>
      <c r="I1555" t="str">
        <f t="array" ref="I1555">iferror(index(isotopes!$J:$J,match($A1555,isotopes!$A:$A,0)))</f>
        <v>N</v>
      </c>
      <c r="J1555" t="str">
        <f t="array" ref="J1555">iferror(index(extra_muscle!$G:$G,match($A1555,extra_muscle!$A:$A,0)))</f>
        <v>BXM39-64</v>
      </c>
      <c r="K1555" t="str">
        <f t="array" ref="K1555">iferror(index(extra_muscle!$J:$J,match($A1555,extra_muscle!$A:$A,0)))</f>
        <v>N</v>
      </c>
      <c r="L1555" s="59" t="str">
        <f t="array" ref="L1555">iferror(index(dna!$G:$G,match($A1555,dna!$A:$A,0)))</f>
        <v>BDN13-20</v>
      </c>
      <c r="M1555" s="60" t="str">
        <f t="array" ref="M1555">iferror(index(dna!$J:$J,match($A1555,dna!$A:$A,0)))</f>
        <v>N</v>
      </c>
      <c r="N1555" t="str">
        <f t="array" ref="N1555">iferror(index(stomachs!$G:$G,match($A1555,stomachs!$A:$A,0)))</f>
        <v/>
      </c>
      <c r="O1555" t="str">
        <f t="array" ref="O1555">iferror(index(stomachs!$J:$J,match($A1555,stomachs!$A:$A,0)))</f>
        <v/>
      </c>
      <c r="P1555" t="str">
        <f t="array" ref="P1555">iferror(index(sea_lice!$G:$G,match($A1555,sea_lice!$A:$A,0)))</f>
        <v/>
      </c>
      <c r="Q1555" t="str">
        <f t="array" ref="Q1555">iferror(index(sea_lice!$J:$J,match($A1555,sea_lice!$A:$A,0)))</f>
        <v/>
      </c>
      <c r="R1555" s="40" t="str">
        <f t="array" ref="R1555">iferror(index(dissected_fish!$F:$F,match($A1555,dissected_fish!$A:$A,0)))</f>
        <v>BCA112</v>
      </c>
      <c r="S1555" s="40" t="str">
        <f t="array" ref="S1555">iferror(index(dissected_fish!$K:$K,match($A1555,dissected_fish!$A:$A,0)))</f>
        <v>N</v>
      </c>
      <c r="T1555" s="61" t="str">
        <f t="array" ref="T1555">index(fish_lab_data!O:O,match(A1555,fish_lab_data!C:C,0))</f>
        <v>JG</v>
      </c>
      <c r="U1555" s="61">
        <f t="array" ref="U1555">if(A1555="","",index(fish_lab_data!X:X,match(A1555,fish_lab_data!C:C,0)))</f>
        <v>1554</v>
      </c>
    </row>
    <row r="1556">
      <c r="A1556" t="str">
        <f>fish_lab_data!C1556</f>
        <v>U16852</v>
      </c>
      <c r="B1556" t="str">
        <f t="array" ref="B1556">iferror(index('rna-muscle'!$I:$I,match($A1556,'rna-muscle'!$A:$A,0)))</f>
        <v>BRN79M-D2</v>
      </c>
      <c r="C1556" t="str">
        <f t="array" ref="C1556">iferror(index('rna-muscle'!$L:$L,match($A1556,'rna-muscle'!$A:$A,0)))</f>
        <v>N</v>
      </c>
      <c r="D1556" t="str">
        <f t="array" ref="D1556">iferror(index('rna-gill'!$I:$I,match($A1556,'rna-gill'!$A:$A,0)))</f>
        <v>BRN79G-D2</v>
      </c>
      <c r="E1556" t="str">
        <f t="array" ref="E1556">iferror(index('rna-gill'!$L:$L,match($A1556,'rna-gill'!$A:$A,0)))</f>
        <v>N</v>
      </c>
      <c r="F1556" t="str">
        <f t="array" ref="F1556">iferror(index(fatty_acid!$G:$G,match($A1556,fatty_acid!$A:$A,0)))</f>
        <v>BFA39-22</v>
      </c>
      <c r="G1556" t="str">
        <f t="array" ref="G1556">iferror(index(fatty_acid!$J:$J,match($A1556,fatty_acid!$A:$A,0)))</f>
        <v>N</v>
      </c>
      <c r="H1556" t="str">
        <f t="array" ref="H1556">iferror(index(isotopes!$G:$G,match($A1556,isotopes!$A:$A,0)))</f>
        <v>BIS42-21</v>
      </c>
      <c r="I1556" t="str">
        <f t="array" ref="I1556">iferror(index(isotopes!$J:$J,match($A1556,isotopes!$A:$A,0)))</f>
        <v>N</v>
      </c>
      <c r="J1556" t="str">
        <f t="array" ref="J1556">iferror(index(extra_muscle!$G:$G,match($A1556,extra_muscle!$A:$A,0)))</f>
        <v>BXM39-65</v>
      </c>
      <c r="K1556" t="str">
        <f t="array" ref="K1556">iferror(index(extra_muscle!$J:$J,match($A1556,extra_muscle!$A:$A,0)))</f>
        <v>N</v>
      </c>
      <c r="L1556" s="59" t="str">
        <f t="array" ref="L1556">iferror(index(dna!$G:$G,match($A1556,dna!$A:$A,0)))</f>
        <v>BDN13-21</v>
      </c>
      <c r="M1556" s="60" t="str">
        <f t="array" ref="M1556">iferror(index(dna!$J:$J,match($A1556,dna!$A:$A,0)))</f>
        <v>N</v>
      </c>
      <c r="N1556" t="str">
        <f t="array" ref="N1556">iferror(index(stomachs!$G:$G,match($A1556,stomachs!$A:$A,0)))</f>
        <v/>
      </c>
      <c r="O1556" t="str">
        <f t="array" ref="O1556">iferror(index(stomachs!$J:$J,match($A1556,stomachs!$A:$A,0)))</f>
        <v/>
      </c>
      <c r="P1556" t="str">
        <f t="array" ref="P1556">iferror(index(sea_lice!$G:$G,match($A1556,sea_lice!$A:$A,0)))</f>
        <v/>
      </c>
      <c r="Q1556" t="str">
        <f t="array" ref="Q1556">iferror(index(sea_lice!$J:$J,match($A1556,sea_lice!$A:$A,0)))</f>
        <v/>
      </c>
      <c r="R1556" s="40" t="str">
        <f t="array" ref="R1556">iferror(index(dissected_fish!$F:$F,match($A1556,dissected_fish!$A:$A,0)))</f>
        <v>BCA112</v>
      </c>
      <c r="S1556" s="40" t="str">
        <f t="array" ref="S1556">iferror(index(dissected_fish!$K:$K,match($A1556,dissected_fish!$A:$A,0)))</f>
        <v>N</v>
      </c>
      <c r="T1556" s="61" t="str">
        <f t="array" ref="T1556">index(fish_lab_data!O:O,match(A1556,fish_lab_data!C:C,0))</f>
        <v>JG</v>
      </c>
      <c r="U1556" s="61">
        <f t="array" ref="U1556">if(A1556="","",index(fish_lab_data!X:X,match(A1556,fish_lab_data!C:C,0)))</f>
        <v>1555</v>
      </c>
    </row>
    <row r="1557">
      <c r="A1557" t="str">
        <f>fish_lab_data!C1557</f>
        <v>U16854</v>
      </c>
      <c r="B1557" t="str">
        <f t="array" ref="B1557">iferror(index('rna-muscle'!$I:$I,match($A1557,'rna-muscle'!$A:$A,0)))</f>
        <v>BRN79M-C2</v>
      </c>
      <c r="C1557" t="str">
        <f t="array" ref="C1557">iferror(index('rna-muscle'!$L:$L,match($A1557,'rna-muscle'!$A:$A,0)))</f>
        <v>N</v>
      </c>
      <c r="D1557" t="str">
        <f t="array" ref="D1557">iferror(index('rna-gill'!$I:$I,match($A1557,'rna-gill'!$A:$A,0)))</f>
        <v>BRN79G-C2</v>
      </c>
      <c r="E1557" t="str">
        <f t="array" ref="E1557">iferror(index('rna-gill'!$L:$L,match($A1557,'rna-gill'!$A:$A,0)))</f>
        <v>N</v>
      </c>
      <c r="F1557" t="str">
        <f t="array" ref="F1557">iferror(index(fatty_acid!$G:$G,match($A1557,fatty_acid!$A:$A,0)))</f>
        <v>BFA39-23</v>
      </c>
      <c r="G1557" t="str">
        <f t="array" ref="G1557">iferror(index(fatty_acid!$J:$J,match($A1557,fatty_acid!$A:$A,0)))</f>
        <v>N</v>
      </c>
      <c r="H1557" t="str">
        <f t="array" ref="H1557">iferror(index(isotopes!$G:$G,match($A1557,isotopes!$A:$A,0)))</f>
        <v>BIS42-22</v>
      </c>
      <c r="I1557" t="str">
        <f t="array" ref="I1557">iferror(index(isotopes!$J:$J,match($A1557,isotopes!$A:$A,0)))</f>
        <v>N</v>
      </c>
      <c r="J1557" t="str">
        <f t="array" ref="J1557">iferror(index(extra_muscle!$G:$G,match($A1557,extra_muscle!$A:$A,0)))</f>
        <v>BXM39-66</v>
      </c>
      <c r="K1557" t="str">
        <f t="array" ref="K1557">iferror(index(extra_muscle!$J:$J,match($A1557,extra_muscle!$A:$A,0)))</f>
        <v>N</v>
      </c>
      <c r="L1557" s="59" t="str">
        <f t="array" ref="L1557">iferror(index(dna!$G:$G,match($A1557,dna!$A:$A,0)))</f>
        <v>BDN13-22</v>
      </c>
      <c r="M1557" s="60" t="str">
        <f t="array" ref="M1557">iferror(index(dna!$J:$J,match($A1557,dna!$A:$A,0)))</f>
        <v>N</v>
      </c>
      <c r="N1557" t="str">
        <f t="array" ref="N1557">iferror(index(stomachs!$G:$G,match($A1557,stomachs!$A:$A,0)))</f>
        <v/>
      </c>
      <c r="O1557" t="str">
        <f t="array" ref="O1557">iferror(index(stomachs!$J:$J,match($A1557,stomachs!$A:$A,0)))</f>
        <v/>
      </c>
      <c r="P1557" t="str">
        <f t="array" ref="P1557">iferror(index(sea_lice!$G:$G,match($A1557,sea_lice!$A:$A,0)))</f>
        <v/>
      </c>
      <c r="Q1557" t="str">
        <f t="array" ref="Q1557">iferror(index(sea_lice!$J:$J,match($A1557,sea_lice!$A:$A,0)))</f>
        <v/>
      </c>
      <c r="R1557" s="40" t="str">
        <f t="array" ref="R1557">iferror(index(dissected_fish!$F:$F,match($A1557,dissected_fish!$A:$A,0)))</f>
        <v>BCA112</v>
      </c>
      <c r="S1557" s="40" t="str">
        <f t="array" ref="S1557">iferror(index(dissected_fish!$K:$K,match($A1557,dissected_fish!$A:$A,0)))</f>
        <v>N</v>
      </c>
      <c r="T1557" s="61" t="str">
        <f t="array" ref="T1557">index(fish_lab_data!O:O,match(A1557,fish_lab_data!C:C,0))</f>
        <v>JG</v>
      </c>
      <c r="U1557" s="61">
        <f t="array" ref="U1557">if(A1557="","",index(fish_lab_data!X:X,match(A1557,fish_lab_data!C:C,0)))</f>
        <v>1556</v>
      </c>
    </row>
    <row r="1558">
      <c r="A1558" t="str">
        <f>fish_lab_data!C1558</f>
        <v>U16853</v>
      </c>
      <c r="B1558" t="str">
        <f t="array" ref="B1558">iferror(index('rna-muscle'!$I:$I,match($A1558,'rna-muscle'!$A:$A,0)))</f>
        <v>BRN79M-B2</v>
      </c>
      <c r="C1558" t="str">
        <f t="array" ref="C1558">iferror(index('rna-muscle'!$L:$L,match($A1558,'rna-muscle'!$A:$A,0)))</f>
        <v>N</v>
      </c>
      <c r="D1558" t="str">
        <f t="array" ref="D1558">iferror(index('rna-gill'!$I:$I,match($A1558,'rna-gill'!$A:$A,0)))</f>
        <v>BRN79G-B2</v>
      </c>
      <c r="E1558" t="str">
        <f t="array" ref="E1558">iferror(index('rna-gill'!$L:$L,match($A1558,'rna-gill'!$A:$A,0)))</f>
        <v>N</v>
      </c>
      <c r="F1558" t="str">
        <f t="array" ref="F1558">iferror(index(fatty_acid!$G:$G,match($A1558,fatty_acid!$A:$A,0)))</f>
        <v>BFA39-24</v>
      </c>
      <c r="G1558" t="str">
        <f t="array" ref="G1558">iferror(index(fatty_acid!$J:$J,match($A1558,fatty_acid!$A:$A,0)))</f>
        <v>N</v>
      </c>
      <c r="H1558" t="str">
        <f t="array" ref="H1558">iferror(index(isotopes!$G:$G,match($A1558,isotopes!$A:$A,0)))</f>
        <v>BIS42-23</v>
      </c>
      <c r="I1558" t="str">
        <f t="array" ref="I1558">iferror(index(isotopes!$J:$J,match($A1558,isotopes!$A:$A,0)))</f>
        <v>N</v>
      </c>
      <c r="J1558" t="str">
        <f t="array" ref="J1558">iferror(index(extra_muscle!$G:$G,match($A1558,extra_muscle!$A:$A,0)))</f>
        <v>BXM39-67</v>
      </c>
      <c r="K1558" t="str">
        <f t="array" ref="K1558">iferror(index(extra_muscle!$J:$J,match($A1558,extra_muscle!$A:$A,0)))</f>
        <v>N</v>
      </c>
      <c r="L1558" s="59" t="str">
        <f t="array" ref="L1558">iferror(index(dna!$G:$G,match($A1558,dna!$A:$A,0)))</f>
        <v>BDN13-23</v>
      </c>
      <c r="M1558" s="60" t="str">
        <f t="array" ref="M1558">iferror(index(dna!$J:$J,match($A1558,dna!$A:$A,0)))</f>
        <v>N</v>
      </c>
      <c r="N1558" t="str">
        <f t="array" ref="N1558">iferror(index(stomachs!$G:$G,match($A1558,stomachs!$A:$A,0)))</f>
        <v/>
      </c>
      <c r="O1558" t="str">
        <f t="array" ref="O1558">iferror(index(stomachs!$J:$J,match($A1558,stomachs!$A:$A,0)))</f>
        <v/>
      </c>
      <c r="P1558" t="str">
        <f t="array" ref="P1558">iferror(index(sea_lice!$G:$G,match($A1558,sea_lice!$A:$A,0)))</f>
        <v/>
      </c>
      <c r="Q1558" t="str">
        <f t="array" ref="Q1558">iferror(index(sea_lice!$J:$J,match($A1558,sea_lice!$A:$A,0)))</f>
        <v/>
      </c>
      <c r="R1558" s="40" t="str">
        <f t="array" ref="R1558">iferror(index(dissected_fish!$F:$F,match($A1558,dissected_fish!$A:$A,0)))</f>
        <v>BCA112</v>
      </c>
      <c r="S1558" s="40" t="str">
        <f t="array" ref="S1558">iferror(index(dissected_fish!$K:$K,match($A1558,dissected_fish!$A:$A,0)))</f>
        <v>N</v>
      </c>
      <c r="T1558" s="61" t="str">
        <f t="array" ref="T1558">index(fish_lab_data!O:O,match(A1558,fish_lab_data!C:C,0))</f>
        <v>JG</v>
      </c>
      <c r="U1558" s="61">
        <f t="array" ref="U1558">if(A1558="","",index(fish_lab_data!X:X,match(A1558,fish_lab_data!C:C,0)))</f>
        <v>1557</v>
      </c>
    </row>
  </sheetData>
  <autoFilter ref="$A$1:$U$1558"/>
  <customSheetViews>
    <customSheetView guid="{176A3B82-B02F-4171-AD95-67F11276393C}" filter="1" showAutoFilter="1">
      <autoFilter ref="$A$1:$U$272">
        <filterColumn colId="19">
          <filters>
            <filter val="KB"/>
          </filters>
        </filterColumn>
      </autoFilter>
    </customSheetView>
  </customSheetViews>
  <conditionalFormatting sqref="C1:E1558 G1:G1558 I1:I1558 K1:M1558 O1:O1558 Q1:Q1558 S1:S1558">
    <cfRule type="cellIs" dxfId="0" priority="1" operator="equal">
      <formula>"Y"</formula>
    </cfRule>
  </conditionalFormatting>
  <conditionalFormatting sqref="A1:A1558">
    <cfRule type="notContainsBlanks" dxfId="2" priority="2">
      <formula>LEN(TRIM(A1))&gt;0</formula>
    </cfRule>
  </conditionalFormatting>
  <drawing r:id="rId2"/>
  <legacyDrawing r:id="rId3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t="str">
        <f>IFERROR(__xludf.DUMMYFUNCTION("IMPORTRANGE(""https://docs.google.com/spreadsheets/d/1hTC60Nc60k23rMMzcV9clPo4mcR1iqQYgKR2zD6nOfQ/edit#gid=1157640907"", ""FISH_FIELD_DATA!A:A"")"),"semsp_id")</f>
        <v>semsp_id</v>
      </c>
    </row>
    <row r="2">
      <c r="A2" t="str">
        <f>IFERROR(__xludf.DUMMYFUNCTION("""COMPUTED_VALUE"""),"2015-05-12-D01-SO-1")</f>
        <v>2015-05-12-D01-SO-1</v>
      </c>
    </row>
    <row r="3">
      <c r="A3" t="str">
        <f>IFERROR(__xludf.DUMMYFUNCTION("""COMPUTED_VALUE"""),"2015-05-12-D01-SO-2")</f>
        <v>2015-05-12-D01-SO-2</v>
      </c>
    </row>
    <row r="4">
      <c r="A4" t="str">
        <f>IFERROR(__xludf.DUMMYFUNCTION("""COMPUTED_VALUE"""),"2015-05-12-D01-SO-3")</f>
        <v>2015-05-12-D01-SO-3</v>
      </c>
    </row>
    <row r="5">
      <c r="A5" t="str">
        <f>IFERROR(__xludf.DUMMYFUNCTION("""COMPUTED_VALUE"""),"2015-05-12-D01-SO-4")</f>
        <v>2015-05-12-D01-SO-4</v>
      </c>
    </row>
    <row r="6">
      <c r="A6" t="str">
        <f>IFERROR(__xludf.DUMMYFUNCTION("""COMPUTED_VALUE"""),"2015-05-12-D01-SO-5")</f>
        <v>2015-05-12-D01-SO-5</v>
      </c>
    </row>
    <row r="7">
      <c r="A7" t="str">
        <f>IFERROR(__xludf.DUMMYFUNCTION("""COMPUTED_VALUE"""),"2015-05-12-D01-SO-6")</f>
        <v>2015-05-12-D01-SO-6</v>
      </c>
    </row>
    <row r="8">
      <c r="A8" t="str">
        <f>IFERROR(__xludf.DUMMYFUNCTION("""COMPUTED_VALUE"""),"2015-05-12-D01-SO-7")</f>
        <v>2015-05-12-D01-SO-7</v>
      </c>
    </row>
    <row r="9">
      <c r="A9" t="str">
        <f>IFERROR(__xludf.DUMMYFUNCTION("""COMPUTED_VALUE"""),"2015-05-12-D01-SO-8")</f>
        <v>2015-05-12-D01-SO-8</v>
      </c>
    </row>
    <row r="10">
      <c r="A10" t="str">
        <f>IFERROR(__xludf.DUMMYFUNCTION("""COMPUTED_VALUE"""),"2015-05-12-D01-SO-9")</f>
        <v>2015-05-12-D01-SO-9</v>
      </c>
    </row>
    <row r="11">
      <c r="A11" t="str">
        <f>IFERROR(__xludf.DUMMYFUNCTION("""COMPUTED_VALUE"""),"2015-05-12-D01-SO-10")</f>
        <v>2015-05-12-D01-SO-10</v>
      </c>
    </row>
    <row r="12">
      <c r="A12" t="str">
        <f>IFERROR(__xludf.DUMMYFUNCTION("""COMPUTED_VALUE"""),"2015-05-12-D01-SO-11")</f>
        <v>2015-05-12-D01-SO-11</v>
      </c>
    </row>
    <row r="13">
      <c r="A13" t="str">
        <f>IFERROR(__xludf.DUMMYFUNCTION("""COMPUTED_VALUE"""),"2015-05-12-D01-SO-12")</f>
        <v>2015-05-12-D01-SO-12</v>
      </c>
    </row>
    <row r="14">
      <c r="A14" t="str">
        <f>IFERROR(__xludf.DUMMYFUNCTION("""COMPUTED_VALUE"""),"2015-05-12-D01-SO-13")</f>
        <v>2015-05-12-D01-SO-13</v>
      </c>
    </row>
    <row r="15">
      <c r="A15" t="str">
        <f>IFERROR(__xludf.DUMMYFUNCTION("""COMPUTED_VALUE"""),"2015-05-12-D01-SO-14")</f>
        <v>2015-05-12-D01-SO-14</v>
      </c>
    </row>
    <row r="16">
      <c r="A16" t="str">
        <f>IFERROR(__xludf.DUMMYFUNCTION("""COMPUTED_VALUE"""),"2015-05-12-D01-SO-15")</f>
        <v>2015-05-12-D01-SO-15</v>
      </c>
    </row>
    <row r="17">
      <c r="A17" t="str">
        <f>IFERROR(__xludf.DUMMYFUNCTION("""COMPUTED_VALUE"""),"2015-05-12-D01-SO-16")</f>
        <v>2015-05-12-D01-SO-16</v>
      </c>
    </row>
    <row r="18">
      <c r="A18" t="str">
        <f>IFERROR(__xludf.DUMMYFUNCTION("""COMPUTED_VALUE"""),"2015-05-12-D01-SO-17")</f>
        <v>2015-05-12-D01-SO-17</v>
      </c>
    </row>
    <row r="19">
      <c r="A19" t="str">
        <f>IFERROR(__xludf.DUMMYFUNCTION("""COMPUTED_VALUE"""),"2015-05-12-D01-SO-18")</f>
        <v>2015-05-12-D01-SO-18</v>
      </c>
    </row>
    <row r="20">
      <c r="A20" t="str">
        <f>IFERROR(__xludf.DUMMYFUNCTION("""COMPUTED_VALUE"""),"2015-05-12-D01-SO-19")</f>
        <v>2015-05-12-D01-SO-19</v>
      </c>
    </row>
    <row r="21">
      <c r="A21" t="str">
        <f>IFERROR(__xludf.DUMMYFUNCTION("""COMPUTED_VALUE"""),"2015-05-12-D01-SO-20")</f>
        <v>2015-05-12-D01-SO-20</v>
      </c>
    </row>
    <row r="22">
      <c r="A22" t="str">
        <f>IFERROR(__xludf.DUMMYFUNCTION("""COMPUTED_VALUE"""),"2015-05-12-D01-SO-21")</f>
        <v>2015-05-12-D01-SO-21</v>
      </c>
    </row>
    <row r="23">
      <c r="A23" t="str">
        <f>IFERROR(__xludf.DUMMYFUNCTION("""COMPUTED_VALUE"""),"2015-05-12-D01-SO-22")</f>
        <v>2015-05-12-D01-SO-22</v>
      </c>
    </row>
    <row r="24">
      <c r="A24" t="str">
        <f>IFERROR(__xludf.DUMMYFUNCTION("""COMPUTED_VALUE"""),"2015-05-12-D01-SO-23")</f>
        <v>2015-05-12-D01-SO-23</v>
      </c>
    </row>
    <row r="25">
      <c r="A25" t="str">
        <f>IFERROR(__xludf.DUMMYFUNCTION("""COMPUTED_VALUE"""),"2015-05-12-D01-SO-24")</f>
        <v>2015-05-12-D01-SO-24</v>
      </c>
    </row>
    <row r="26">
      <c r="A26" t="str">
        <f>IFERROR(__xludf.DUMMYFUNCTION("""COMPUTED_VALUE"""),"2015-05-12-D01-SO-25")</f>
        <v>2015-05-12-D01-SO-25</v>
      </c>
    </row>
    <row r="27">
      <c r="A27" t="str">
        <f>IFERROR(__xludf.DUMMYFUNCTION("""COMPUTED_VALUE"""),"2015-05-12-D01-SO-26")</f>
        <v>2015-05-12-D01-SO-26</v>
      </c>
    </row>
    <row r="28">
      <c r="A28" t="str">
        <f>IFERROR(__xludf.DUMMYFUNCTION("""COMPUTED_VALUE"""),"2015-05-12-D01-SO-27")</f>
        <v>2015-05-12-D01-SO-27</v>
      </c>
    </row>
    <row r="29">
      <c r="A29" t="str">
        <f>IFERROR(__xludf.DUMMYFUNCTION("""COMPUTED_VALUE"""),"2015-05-12-D01-SO-28")</f>
        <v>2015-05-12-D01-SO-28</v>
      </c>
    </row>
    <row r="30">
      <c r="A30" t="str">
        <f>IFERROR(__xludf.DUMMYFUNCTION("""COMPUTED_VALUE"""),"2015-05-12-D01-SO-29")</f>
        <v>2015-05-12-D01-SO-29</v>
      </c>
    </row>
    <row r="31">
      <c r="A31" t="str">
        <f>IFERROR(__xludf.DUMMYFUNCTION("""COMPUTED_VALUE"""),"2015-05-12-D01-SO-30")</f>
        <v>2015-05-12-D01-SO-30</v>
      </c>
    </row>
    <row r="32">
      <c r="A32" t="str">
        <f>IFERROR(__xludf.DUMMYFUNCTION("""COMPUTED_VALUE"""),"2015-05-12-D01-CU-1")</f>
        <v>2015-05-12-D01-CU-1</v>
      </c>
    </row>
    <row r="33">
      <c r="A33" t="str">
        <f>IFERROR(__xludf.DUMMYFUNCTION("""COMPUTED_VALUE"""),"2015-05-12-D01-CU-2")</f>
        <v>2015-05-12-D01-CU-2</v>
      </c>
    </row>
    <row r="34">
      <c r="A34" t="str">
        <f>IFERROR(__xludf.DUMMYFUNCTION("""COMPUTED_VALUE"""),"2015-05-12-D01-CU-3")</f>
        <v>2015-05-12-D01-CU-3</v>
      </c>
    </row>
    <row r="35">
      <c r="A35" t="str">
        <f>IFERROR(__xludf.DUMMYFUNCTION("""COMPUTED_VALUE"""),"2015-05-12-D01-CU-4")</f>
        <v>2015-05-12-D01-CU-4</v>
      </c>
    </row>
    <row r="36">
      <c r="A36" t="str">
        <f>IFERROR(__xludf.DUMMYFUNCTION("""COMPUTED_VALUE"""),"2015-05-12-D01-CU-5")</f>
        <v>2015-05-12-D01-CU-5</v>
      </c>
    </row>
    <row r="37">
      <c r="A37" t="str">
        <f>IFERROR(__xludf.DUMMYFUNCTION("""COMPUTED_VALUE"""),"2015-05-12-D01-CU-6")</f>
        <v>2015-05-12-D01-CU-6</v>
      </c>
    </row>
    <row r="38">
      <c r="A38" t="str">
        <f>IFERROR(__xludf.DUMMYFUNCTION("""COMPUTED_VALUE"""),"2015-05-12-D01-CU-7")</f>
        <v>2015-05-12-D01-CU-7</v>
      </c>
    </row>
    <row r="39">
      <c r="A39" t="str">
        <f>IFERROR(__xludf.DUMMYFUNCTION("""COMPUTED_VALUE"""),"2015-05-12-D01-CU-8")</f>
        <v>2015-05-12-D01-CU-8</v>
      </c>
    </row>
    <row r="40">
      <c r="A40" t="str">
        <f>IFERROR(__xludf.DUMMYFUNCTION("""COMPUTED_VALUE"""),"2015-05-12-D01-CU-9")</f>
        <v>2015-05-12-D01-CU-9</v>
      </c>
    </row>
    <row r="41">
      <c r="A41" t="str">
        <f>IFERROR(__xludf.DUMMYFUNCTION("""COMPUTED_VALUE"""),"2015-05-12-D01-CU-10")</f>
        <v>2015-05-12-D01-CU-10</v>
      </c>
    </row>
    <row r="42">
      <c r="A42" t="str">
        <f>IFERROR(__xludf.DUMMYFUNCTION("""COMPUTED_VALUE"""),"2015-05-12-D01-CO-1")</f>
        <v>2015-05-12-D01-CO-1</v>
      </c>
    </row>
    <row r="43">
      <c r="A43" t="str">
        <f>IFERROR(__xludf.DUMMYFUNCTION("""COMPUTED_VALUE"""),"2015-05-12-D01-HE-1")</f>
        <v>2015-05-12-D01-HE-1</v>
      </c>
    </row>
    <row r="44">
      <c r="A44" t="str">
        <f>IFERROR(__xludf.DUMMYFUNCTION("""COMPUTED_VALUE"""),"2015-05-12-D01-HE-2")</f>
        <v>2015-05-12-D01-HE-2</v>
      </c>
    </row>
    <row r="45">
      <c r="A45" t="str">
        <f>IFERROR(__xludf.DUMMYFUNCTION("""COMPUTED_VALUE"""),"2015-05-13-D02-SO-1")</f>
        <v>2015-05-13-D02-SO-1</v>
      </c>
    </row>
    <row r="46">
      <c r="A46" t="str">
        <f>IFERROR(__xludf.DUMMYFUNCTION("""COMPUTED_VALUE"""),"2015-05-13-D02-SO-2")</f>
        <v>2015-05-13-D02-SO-2</v>
      </c>
    </row>
    <row r="47">
      <c r="A47" t="str">
        <f>IFERROR(__xludf.DUMMYFUNCTION("""COMPUTED_VALUE"""),"2015-05-13-D02-SO-3")</f>
        <v>2015-05-13-D02-SO-3</v>
      </c>
    </row>
    <row r="48">
      <c r="A48" t="str">
        <f>IFERROR(__xludf.DUMMYFUNCTION("""COMPUTED_VALUE"""),"2015-05-13-D02-SO-4")</f>
        <v>2015-05-13-D02-SO-4</v>
      </c>
    </row>
    <row r="49">
      <c r="A49" t="str">
        <f>IFERROR(__xludf.DUMMYFUNCTION("""COMPUTED_VALUE"""),"2015-05-13-D02-SO-5")</f>
        <v>2015-05-13-D02-SO-5</v>
      </c>
    </row>
    <row r="50">
      <c r="A50" t="str">
        <f>IFERROR(__xludf.DUMMYFUNCTION("""COMPUTED_VALUE"""),"2015-05-13-D02-SO-6")</f>
        <v>2015-05-13-D02-SO-6</v>
      </c>
    </row>
    <row r="51">
      <c r="A51" t="str">
        <f>IFERROR(__xludf.DUMMYFUNCTION("""COMPUTED_VALUE"""),"2015-05-13-D02-SO-7")</f>
        <v>2015-05-13-D02-SO-7</v>
      </c>
    </row>
    <row r="52">
      <c r="A52" t="str">
        <f>IFERROR(__xludf.DUMMYFUNCTION("""COMPUTED_VALUE"""),"2015-05-13-D02-SO-8")</f>
        <v>2015-05-13-D02-SO-8</v>
      </c>
    </row>
    <row r="53">
      <c r="A53" t="str">
        <f>IFERROR(__xludf.DUMMYFUNCTION("""COMPUTED_VALUE"""),"2015-05-13-D02-SO-9")</f>
        <v>2015-05-13-D02-SO-9</v>
      </c>
    </row>
    <row r="54">
      <c r="A54" t="str">
        <f>IFERROR(__xludf.DUMMYFUNCTION("""COMPUTED_VALUE"""),"2015-05-13-D02-SO-10")</f>
        <v>2015-05-13-D02-SO-10</v>
      </c>
    </row>
    <row r="55">
      <c r="A55" t="str">
        <f>IFERROR(__xludf.DUMMYFUNCTION("""COMPUTED_VALUE"""),"2015-05-13-D02-SO-11")</f>
        <v>2015-05-13-D02-SO-11</v>
      </c>
    </row>
    <row r="56">
      <c r="A56" t="str">
        <f>IFERROR(__xludf.DUMMYFUNCTION("""COMPUTED_VALUE"""),"2015-05-13-D02-SO-12")</f>
        <v>2015-05-13-D02-SO-12</v>
      </c>
    </row>
    <row r="57">
      <c r="A57" t="str">
        <f>IFERROR(__xludf.DUMMYFUNCTION("""COMPUTED_VALUE"""),"2015-05-13-D02-SO-13")</f>
        <v>2015-05-13-D02-SO-13</v>
      </c>
    </row>
    <row r="58">
      <c r="A58" t="str">
        <f>IFERROR(__xludf.DUMMYFUNCTION("""COMPUTED_VALUE"""),"2015-05-13-D02-SO-14")</f>
        <v>2015-05-13-D02-SO-14</v>
      </c>
    </row>
    <row r="59">
      <c r="A59" t="str">
        <f>IFERROR(__xludf.DUMMYFUNCTION("""COMPUTED_VALUE"""),"2015-05-13-D02-SO-15")</f>
        <v>2015-05-13-D02-SO-15</v>
      </c>
    </row>
    <row r="60">
      <c r="A60" t="str">
        <f>IFERROR(__xludf.DUMMYFUNCTION("""COMPUTED_VALUE"""),"2015-05-13-D02-SO-16")</f>
        <v>2015-05-13-D02-SO-16</v>
      </c>
    </row>
    <row r="61">
      <c r="A61" t="str">
        <f>IFERROR(__xludf.DUMMYFUNCTION("""COMPUTED_VALUE"""),"2015-05-13-D02-SO-17")</f>
        <v>2015-05-13-D02-SO-17</v>
      </c>
    </row>
    <row r="62">
      <c r="A62" t="str">
        <f>IFERROR(__xludf.DUMMYFUNCTION("""COMPUTED_VALUE"""),"2015-05-13-D02-SO-18")</f>
        <v>2015-05-13-D02-SO-18</v>
      </c>
    </row>
    <row r="63">
      <c r="A63" t="str">
        <f>IFERROR(__xludf.DUMMYFUNCTION("""COMPUTED_VALUE"""),"2015-05-13-D02-SO-19")</f>
        <v>2015-05-13-D02-SO-19</v>
      </c>
    </row>
    <row r="64">
      <c r="A64" t="str">
        <f>IFERROR(__xludf.DUMMYFUNCTION("""COMPUTED_VALUE"""),"2015-05-13-D02-SO-20")</f>
        <v>2015-05-13-D02-SO-20</v>
      </c>
    </row>
    <row r="65">
      <c r="A65" t="str">
        <f>IFERROR(__xludf.DUMMYFUNCTION("""COMPUTED_VALUE"""),"2015-05-13-D02-SO-21")</f>
        <v>2015-05-13-D02-SO-21</v>
      </c>
    </row>
    <row r="66">
      <c r="A66" t="str">
        <f>IFERROR(__xludf.DUMMYFUNCTION("""COMPUTED_VALUE"""),"2015-05-13-D02-SO-22")</f>
        <v>2015-05-13-D02-SO-22</v>
      </c>
    </row>
    <row r="67">
      <c r="A67" t="str">
        <f>IFERROR(__xludf.DUMMYFUNCTION("""COMPUTED_VALUE"""),"2015-05-13-D02-SO-23")</f>
        <v>2015-05-13-D02-SO-23</v>
      </c>
    </row>
    <row r="68">
      <c r="A68" t="str">
        <f>IFERROR(__xludf.DUMMYFUNCTION("""COMPUTED_VALUE"""),"2015-05-13-D02-SO-24")</f>
        <v>2015-05-13-D02-SO-24</v>
      </c>
    </row>
    <row r="69">
      <c r="A69" t="str">
        <f>IFERROR(__xludf.DUMMYFUNCTION("""COMPUTED_VALUE"""),"2015-05-13-D02-SO-25")</f>
        <v>2015-05-13-D02-SO-25</v>
      </c>
    </row>
    <row r="70">
      <c r="A70" t="str">
        <f>IFERROR(__xludf.DUMMYFUNCTION("""COMPUTED_VALUE"""),"2015-05-13-D02-SO-26")</f>
        <v>2015-05-13-D02-SO-26</v>
      </c>
    </row>
    <row r="71">
      <c r="A71" t="str">
        <f>IFERROR(__xludf.DUMMYFUNCTION("""COMPUTED_VALUE"""),"2015-05-13-D02-SO-27")</f>
        <v>2015-05-13-D02-SO-27</v>
      </c>
    </row>
    <row r="72">
      <c r="A72" t="str">
        <f>IFERROR(__xludf.DUMMYFUNCTION("""COMPUTED_VALUE"""),"2015-05-13-D02-SO-28")</f>
        <v>2015-05-13-D02-SO-28</v>
      </c>
    </row>
    <row r="73">
      <c r="A73" t="str">
        <f>IFERROR(__xludf.DUMMYFUNCTION("""COMPUTED_VALUE"""),"2015-05-13-D02-SO-29")</f>
        <v>2015-05-13-D02-SO-29</v>
      </c>
    </row>
    <row r="74">
      <c r="A74" t="str">
        <f>IFERROR(__xludf.DUMMYFUNCTION("""COMPUTED_VALUE"""),"2015-05-13-D02-SO-30")</f>
        <v>2015-05-13-D02-SO-30</v>
      </c>
    </row>
    <row r="75">
      <c r="A75" t="str">
        <f>IFERROR(__xludf.DUMMYFUNCTION("""COMPUTED_VALUE"""),"2015-05-13-D02-CU-1")</f>
        <v>2015-05-13-D02-CU-1</v>
      </c>
    </row>
    <row r="76">
      <c r="A76" t="str">
        <f>IFERROR(__xludf.DUMMYFUNCTION("""COMPUTED_VALUE"""),"2015-05-13-D02-CU-2")</f>
        <v>2015-05-13-D02-CU-2</v>
      </c>
    </row>
    <row r="77">
      <c r="A77" t="str">
        <f>IFERROR(__xludf.DUMMYFUNCTION("""COMPUTED_VALUE"""),"2015-05-13-D02-CU-3")</f>
        <v>2015-05-13-D02-CU-3</v>
      </c>
    </row>
    <row r="78">
      <c r="A78" t="str">
        <f>IFERROR(__xludf.DUMMYFUNCTION("""COMPUTED_VALUE"""),"2015-05-13-D02-CU-4")</f>
        <v>2015-05-13-D02-CU-4</v>
      </c>
    </row>
    <row r="79">
      <c r="A79" t="str">
        <f>IFERROR(__xludf.DUMMYFUNCTION("""COMPUTED_VALUE"""),"2015-05-13-D02-CU-5")</f>
        <v>2015-05-13-D02-CU-5</v>
      </c>
    </row>
    <row r="80">
      <c r="A80" t="str">
        <f>IFERROR(__xludf.DUMMYFUNCTION("""COMPUTED_VALUE"""),"2015-05-13-D02-CU-6")</f>
        <v>2015-05-13-D02-CU-6</v>
      </c>
    </row>
    <row r="81">
      <c r="A81" t="str">
        <f>IFERROR(__xludf.DUMMYFUNCTION("""COMPUTED_VALUE"""),"2015-05-13-D02-CU-7")</f>
        <v>2015-05-13-D02-CU-7</v>
      </c>
    </row>
    <row r="82">
      <c r="A82" t="str">
        <f>IFERROR(__xludf.DUMMYFUNCTION("""COMPUTED_VALUE"""),"2015-05-13-D02-CU-8")</f>
        <v>2015-05-13-D02-CU-8</v>
      </c>
    </row>
    <row r="83">
      <c r="A83" t="str">
        <f>IFERROR(__xludf.DUMMYFUNCTION("""COMPUTED_VALUE"""),"2015-05-13-D02-CU-9")</f>
        <v>2015-05-13-D02-CU-9</v>
      </c>
    </row>
    <row r="84">
      <c r="A84" t="str">
        <f>IFERROR(__xludf.DUMMYFUNCTION("""COMPUTED_VALUE"""),"2015-05-13-D02-CU-10")</f>
        <v>2015-05-13-D02-CU-10</v>
      </c>
    </row>
    <row r="85">
      <c r="A85" t="str">
        <f>IFERROR(__xludf.DUMMYFUNCTION("""COMPUTED_VALUE"""),"2015-05-14-D04-SO-1")</f>
        <v>2015-05-14-D04-SO-1</v>
      </c>
    </row>
    <row r="86">
      <c r="A86" t="str">
        <f>IFERROR(__xludf.DUMMYFUNCTION("""COMPUTED_VALUE"""),"2015-05-14-D04-SO-2")</f>
        <v>2015-05-14-D04-SO-2</v>
      </c>
    </row>
    <row r="87">
      <c r="A87" t="str">
        <f>IFERROR(__xludf.DUMMYFUNCTION("""COMPUTED_VALUE"""),"2015-05-14-D04-SO-3")</f>
        <v>2015-05-14-D04-SO-3</v>
      </c>
    </row>
    <row r="88">
      <c r="A88" t="str">
        <f>IFERROR(__xludf.DUMMYFUNCTION("""COMPUTED_VALUE"""),"2015-05-14-D04-SO-4")</f>
        <v>2015-05-14-D04-SO-4</v>
      </c>
    </row>
    <row r="89">
      <c r="A89" t="str">
        <f>IFERROR(__xludf.DUMMYFUNCTION("""COMPUTED_VALUE"""),"2015-05-14-D04-SO-5")</f>
        <v>2015-05-14-D04-SO-5</v>
      </c>
    </row>
    <row r="90">
      <c r="A90" t="str">
        <f>IFERROR(__xludf.DUMMYFUNCTION("""COMPUTED_VALUE"""),"2015-05-14-D04-SO-6")</f>
        <v>2015-05-14-D04-SO-6</v>
      </c>
    </row>
    <row r="91">
      <c r="A91" t="str">
        <f>IFERROR(__xludf.DUMMYFUNCTION("""COMPUTED_VALUE"""),"2015-05-14-D04-SO-7")</f>
        <v>2015-05-14-D04-SO-7</v>
      </c>
    </row>
    <row r="92">
      <c r="A92" t="str">
        <f>IFERROR(__xludf.DUMMYFUNCTION("""COMPUTED_VALUE"""),"2015-05-14-D04-SO-8")</f>
        <v>2015-05-14-D04-SO-8</v>
      </c>
    </row>
    <row r="93">
      <c r="A93" t="str">
        <f>IFERROR(__xludf.DUMMYFUNCTION("""COMPUTED_VALUE"""),"2015-05-14-D04-SO-9")</f>
        <v>2015-05-14-D04-SO-9</v>
      </c>
    </row>
    <row r="94">
      <c r="A94" t="str">
        <f>IFERROR(__xludf.DUMMYFUNCTION("""COMPUTED_VALUE"""),"2015-05-14-D04-SO-10")</f>
        <v>2015-05-14-D04-SO-10</v>
      </c>
    </row>
    <row r="95">
      <c r="A95" t="str">
        <f>IFERROR(__xludf.DUMMYFUNCTION("""COMPUTED_VALUE"""),"2015-05-14-D04-SO-11")</f>
        <v>2015-05-14-D04-SO-11</v>
      </c>
    </row>
    <row r="96">
      <c r="A96" t="str">
        <f>IFERROR(__xludf.DUMMYFUNCTION("""COMPUTED_VALUE"""),"2015-05-14-D04-SO-12")</f>
        <v>2015-05-14-D04-SO-12</v>
      </c>
    </row>
    <row r="97">
      <c r="A97" t="str">
        <f>IFERROR(__xludf.DUMMYFUNCTION("""COMPUTED_VALUE"""),"2015-05-14-D04-SO-13")</f>
        <v>2015-05-14-D04-SO-13</v>
      </c>
    </row>
    <row r="98">
      <c r="A98" t="str">
        <f>IFERROR(__xludf.DUMMYFUNCTION("""COMPUTED_VALUE"""),"2015-05-14-D04-SO-14")</f>
        <v>2015-05-14-D04-SO-14</v>
      </c>
    </row>
    <row r="99">
      <c r="A99" t="str">
        <f>IFERROR(__xludf.DUMMYFUNCTION("""COMPUTED_VALUE"""),"2015-05-14-D04-SO-15")</f>
        <v>2015-05-14-D04-SO-15</v>
      </c>
    </row>
    <row r="100">
      <c r="A100" t="str">
        <f>IFERROR(__xludf.DUMMYFUNCTION("""COMPUTED_VALUE"""),"2015-05-14-D04-SO-16")</f>
        <v>2015-05-14-D04-SO-16</v>
      </c>
    </row>
    <row r="101">
      <c r="A101" t="str">
        <f>IFERROR(__xludf.DUMMYFUNCTION("""COMPUTED_VALUE"""),"2015-05-14-D04-SO-17")</f>
        <v>2015-05-14-D04-SO-17</v>
      </c>
    </row>
    <row r="102">
      <c r="A102" t="str">
        <f>IFERROR(__xludf.DUMMYFUNCTION("""COMPUTED_VALUE"""),"2015-05-14-D04-SO-18")</f>
        <v>2015-05-14-D04-SO-18</v>
      </c>
    </row>
    <row r="103">
      <c r="A103" t="str">
        <f>IFERROR(__xludf.DUMMYFUNCTION("""COMPUTED_VALUE"""),"2015-05-14-D04-SO-19")</f>
        <v>2015-05-14-D04-SO-19</v>
      </c>
    </row>
    <row r="104">
      <c r="A104" t="str">
        <f>IFERROR(__xludf.DUMMYFUNCTION("""COMPUTED_VALUE"""),"2015-05-14-D04-SO-20")</f>
        <v>2015-05-14-D04-SO-20</v>
      </c>
    </row>
    <row r="105">
      <c r="A105" t="str">
        <f>IFERROR(__xludf.DUMMYFUNCTION("""COMPUTED_VALUE"""),"2015-05-14-D04-SO-21")</f>
        <v>2015-05-14-D04-SO-21</v>
      </c>
    </row>
    <row r="106">
      <c r="A106" t="str">
        <f>IFERROR(__xludf.DUMMYFUNCTION("""COMPUTED_VALUE"""),"2015-05-14-D04-SO-22")</f>
        <v>2015-05-14-D04-SO-22</v>
      </c>
    </row>
    <row r="107">
      <c r="A107" t="str">
        <f>IFERROR(__xludf.DUMMYFUNCTION("""COMPUTED_VALUE"""),"2015-05-14-D04-SO-23")</f>
        <v>2015-05-14-D04-SO-23</v>
      </c>
    </row>
    <row r="108">
      <c r="A108" t="str">
        <f>IFERROR(__xludf.DUMMYFUNCTION("""COMPUTED_VALUE"""),"2015-05-14-D04-SO-24")</f>
        <v>2015-05-14-D04-SO-24</v>
      </c>
    </row>
    <row r="109">
      <c r="A109" t="str">
        <f>IFERROR(__xludf.DUMMYFUNCTION("""COMPUTED_VALUE"""),"2015-05-14-D04-SO-25")</f>
        <v>2015-05-14-D04-SO-25</v>
      </c>
    </row>
    <row r="110">
      <c r="A110" t="str">
        <f>IFERROR(__xludf.DUMMYFUNCTION("""COMPUTED_VALUE"""),"2015-05-14-D04-SO-26")</f>
        <v>2015-05-14-D04-SO-26</v>
      </c>
    </row>
    <row r="111">
      <c r="A111" t="str">
        <f>IFERROR(__xludf.DUMMYFUNCTION("""COMPUTED_VALUE"""),"2015-05-14-D04-SO-27")</f>
        <v>2015-05-14-D04-SO-27</v>
      </c>
    </row>
    <row r="112">
      <c r="A112" t="str">
        <f>IFERROR(__xludf.DUMMYFUNCTION("""COMPUTED_VALUE"""),"2015-05-14-D04-SO-28")</f>
        <v>2015-05-14-D04-SO-28</v>
      </c>
    </row>
    <row r="113">
      <c r="A113" t="str">
        <f>IFERROR(__xludf.DUMMYFUNCTION("""COMPUTED_VALUE"""),"2015-05-14-D04-SO-29")</f>
        <v>2015-05-14-D04-SO-29</v>
      </c>
    </row>
    <row r="114">
      <c r="A114" t="str">
        <f>IFERROR(__xludf.DUMMYFUNCTION("""COMPUTED_VALUE"""),"2015-05-14-D04-SO-30")</f>
        <v>2015-05-14-D04-SO-30</v>
      </c>
    </row>
    <row r="115">
      <c r="A115" t="str">
        <f>IFERROR(__xludf.DUMMYFUNCTION("""COMPUTED_VALUE"""),"2015-05-14-D04-HE-1")</f>
        <v>2015-05-14-D04-HE-1</v>
      </c>
    </row>
    <row r="116">
      <c r="A116" t="str">
        <f>IFERROR(__xludf.DUMMYFUNCTION("""COMPUTED_VALUE"""),"2015-05-14-D04-HE-2")</f>
        <v>2015-05-14-D04-HE-2</v>
      </c>
    </row>
    <row r="117">
      <c r="A117" t="str">
        <f>IFERROR(__xludf.DUMMYFUNCTION("""COMPUTED_VALUE"""),"2015-05-14-D04-HE-3")</f>
        <v>2015-05-14-D04-HE-3</v>
      </c>
    </row>
    <row r="118">
      <c r="A118" t="str">
        <f>IFERROR(__xludf.DUMMYFUNCTION("""COMPUTED_VALUE"""),"2015-05-14-D04-HE-4")</f>
        <v>2015-05-14-D04-HE-4</v>
      </c>
    </row>
    <row r="119">
      <c r="A119" t="str">
        <f>IFERROR(__xludf.DUMMYFUNCTION("""COMPUTED_VALUE"""),"2015-05-14-D04-HE-5")</f>
        <v>2015-05-14-D04-HE-5</v>
      </c>
    </row>
    <row r="120">
      <c r="A120" t="str">
        <f>IFERROR(__xludf.DUMMYFUNCTION("""COMPUTED_VALUE"""),"2015-05-14-D04-HE-6")</f>
        <v>2015-05-14-D04-HE-6</v>
      </c>
    </row>
    <row r="121">
      <c r="A121" t="str">
        <f>IFERROR(__xludf.DUMMYFUNCTION("""COMPUTED_VALUE"""),"2015-05-14-D04-HE-7")</f>
        <v>2015-05-14-D04-HE-7</v>
      </c>
    </row>
    <row r="122">
      <c r="A122" t="str">
        <f>IFERROR(__xludf.DUMMYFUNCTION("""COMPUTED_VALUE"""),"2015-05-15-D05-SO-1")</f>
        <v>2015-05-15-D05-SO-1</v>
      </c>
    </row>
    <row r="123">
      <c r="A123" t="str">
        <f>IFERROR(__xludf.DUMMYFUNCTION("""COMPUTED_VALUE"""),"2015-05-15-D05-SO-2")</f>
        <v>2015-05-15-D05-SO-2</v>
      </c>
    </row>
    <row r="124">
      <c r="A124" t="str">
        <f>IFERROR(__xludf.DUMMYFUNCTION("""COMPUTED_VALUE"""),"2015-05-15-D05-SO-3")</f>
        <v>2015-05-15-D05-SO-3</v>
      </c>
    </row>
    <row r="125">
      <c r="A125" t="str">
        <f>IFERROR(__xludf.DUMMYFUNCTION("""COMPUTED_VALUE"""),"2015-05-15-D05-SO-4")</f>
        <v>2015-05-15-D05-SO-4</v>
      </c>
    </row>
    <row r="126">
      <c r="A126" t="str">
        <f>IFERROR(__xludf.DUMMYFUNCTION("""COMPUTED_VALUE"""),"2015-05-15-D05-SO-5")</f>
        <v>2015-05-15-D05-SO-5</v>
      </c>
    </row>
    <row r="127">
      <c r="A127" t="str">
        <f>IFERROR(__xludf.DUMMYFUNCTION("""COMPUTED_VALUE"""),"2015-05-15-D05-SO-6")</f>
        <v>2015-05-15-D05-SO-6</v>
      </c>
    </row>
    <row r="128">
      <c r="A128" t="str">
        <f>IFERROR(__xludf.DUMMYFUNCTION("""COMPUTED_VALUE"""),"2015-05-15-D05-SO-7")</f>
        <v>2015-05-15-D05-SO-7</v>
      </c>
    </row>
    <row r="129">
      <c r="A129" t="str">
        <f>IFERROR(__xludf.DUMMYFUNCTION("""COMPUTED_VALUE"""),"2015-05-15-D05-SO-8")</f>
        <v>2015-05-15-D05-SO-8</v>
      </c>
    </row>
    <row r="130">
      <c r="A130" t="str">
        <f>IFERROR(__xludf.DUMMYFUNCTION("""COMPUTED_VALUE"""),"2015-05-15-D05-SO-9")</f>
        <v>2015-05-15-D05-SO-9</v>
      </c>
    </row>
    <row r="131">
      <c r="A131" t="str">
        <f>IFERROR(__xludf.DUMMYFUNCTION("""COMPUTED_VALUE"""),"2015-05-15-D05-SO-10")</f>
        <v>2015-05-15-D05-SO-10</v>
      </c>
    </row>
    <row r="132">
      <c r="A132" t="str">
        <f>IFERROR(__xludf.DUMMYFUNCTION("""COMPUTED_VALUE"""),"2015-05-15-D05-SO-11")</f>
        <v>2015-05-15-D05-SO-11</v>
      </c>
    </row>
    <row r="133">
      <c r="A133" t="str">
        <f>IFERROR(__xludf.DUMMYFUNCTION("""COMPUTED_VALUE"""),"2015-05-15-D05-SO-12")</f>
        <v>2015-05-15-D05-SO-12</v>
      </c>
    </row>
    <row r="134">
      <c r="A134" t="str">
        <f>IFERROR(__xludf.DUMMYFUNCTION("""COMPUTED_VALUE"""),"2015-05-15-D05-SO-13")</f>
        <v>2015-05-15-D05-SO-13</v>
      </c>
    </row>
    <row r="135">
      <c r="A135" t="str">
        <f>IFERROR(__xludf.DUMMYFUNCTION("""COMPUTED_VALUE"""),"2015-05-15-D05-SO-14")</f>
        <v>2015-05-15-D05-SO-14</v>
      </c>
    </row>
    <row r="136">
      <c r="A136" t="str">
        <f>IFERROR(__xludf.DUMMYFUNCTION("""COMPUTED_VALUE"""),"2015-05-15-D05-SO-15")</f>
        <v>2015-05-15-D05-SO-15</v>
      </c>
    </row>
    <row r="137">
      <c r="A137" t="str">
        <f>IFERROR(__xludf.DUMMYFUNCTION("""COMPUTED_VALUE"""),"2015-05-15-D05-SO-16")</f>
        <v>2015-05-15-D05-SO-16</v>
      </c>
    </row>
    <row r="138">
      <c r="A138" t="str">
        <f>IFERROR(__xludf.DUMMYFUNCTION("""COMPUTED_VALUE"""),"2015-05-15-D05-SO-17")</f>
        <v>2015-05-15-D05-SO-17</v>
      </c>
    </row>
    <row r="139">
      <c r="A139" t="str">
        <f>IFERROR(__xludf.DUMMYFUNCTION("""COMPUTED_VALUE"""),"2015-05-15-D05-SO-18")</f>
        <v>2015-05-15-D05-SO-18</v>
      </c>
    </row>
    <row r="140">
      <c r="A140" t="str">
        <f>IFERROR(__xludf.DUMMYFUNCTION("""COMPUTED_VALUE"""),"2015-05-15-D05-SO-19")</f>
        <v>2015-05-15-D05-SO-19</v>
      </c>
    </row>
    <row r="141">
      <c r="A141" t="str">
        <f>IFERROR(__xludf.DUMMYFUNCTION("""COMPUTED_VALUE"""),"2015-05-15-D05-SO-20")</f>
        <v>2015-05-15-D05-SO-20</v>
      </c>
    </row>
    <row r="142">
      <c r="A142" t="str">
        <f>IFERROR(__xludf.DUMMYFUNCTION("""COMPUTED_VALUE"""),"2015-05-15-D05-SO-21")</f>
        <v>2015-05-15-D05-SO-21</v>
      </c>
    </row>
    <row r="143">
      <c r="A143" t="str">
        <f>IFERROR(__xludf.DUMMYFUNCTION("""COMPUTED_VALUE"""),"2015-05-15-D05-SO-22")</f>
        <v>2015-05-15-D05-SO-22</v>
      </c>
    </row>
    <row r="144">
      <c r="A144" t="str">
        <f>IFERROR(__xludf.DUMMYFUNCTION("""COMPUTED_VALUE"""),"2015-05-15-D05-SO-23")</f>
        <v>2015-05-15-D05-SO-23</v>
      </c>
    </row>
    <row r="145">
      <c r="A145" t="str">
        <f>IFERROR(__xludf.DUMMYFUNCTION("""COMPUTED_VALUE"""),"2015-05-15-D05-SO-24")</f>
        <v>2015-05-15-D05-SO-24</v>
      </c>
    </row>
    <row r="146">
      <c r="A146" t="str">
        <f>IFERROR(__xludf.DUMMYFUNCTION("""COMPUTED_VALUE"""),"2015-05-15-D05-SO-25")</f>
        <v>2015-05-15-D05-SO-25</v>
      </c>
    </row>
    <row r="147">
      <c r="A147" t="str">
        <f>IFERROR(__xludf.DUMMYFUNCTION("""COMPUTED_VALUE"""),"2015-05-15-D05-SO-26")</f>
        <v>2015-05-15-D05-SO-26</v>
      </c>
    </row>
    <row r="148">
      <c r="A148" t="str">
        <f>IFERROR(__xludf.DUMMYFUNCTION("""COMPUTED_VALUE"""),"2015-05-15-D05-SO-27")</f>
        <v>2015-05-15-D05-SO-27</v>
      </c>
    </row>
    <row r="149">
      <c r="A149" t="str">
        <f>IFERROR(__xludf.DUMMYFUNCTION("""COMPUTED_VALUE"""),"2015-05-15-D05-SO-28")</f>
        <v>2015-05-15-D05-SO-28</v>
      </c>
    </row>
    <row r="150">
      <c r="A150" t="str">
        <f>IFERROR(__xludf.DUMMYFUNCTION("""COMPUTED_VALUE"""),"2015-05-15-D05-SO-29")</f>
        <v>2015-05-15-D05-SO-29</v>
      </c>
    </row>
    <row r="151">
      <c r="A151" t="str">
        <f>IFERROR(__xludf.DUMMYFUNCTION("""COMPUTED_VALUE"""),"2015-05-15-D05-SO-30")</f>
        <v>2015-05-15-D05-SO-30</v>
      </c>
    </row>
    <row r="152">
      <c r="A152" t="str">
        <f>IFERROR(__xludf.DUMMYFUNCTION("""COMPUTED_VALUE"""),"2015-05-15-D02-SO-1")</f>
        <v>2015-05-15-D02-SO-1</v>
      </c>
    </row>
    <row r="153">
      <c r="A153" t="str">
        <f>IFERROR(__xludf.DUMMYFUNCTION("""COMPUTED_VALUE"""),"2015-05-15-D02-SO-2")</f>
        <v>2015-05-15-D02-SO-2</v>
      </c>
    </row>
    <row r="154">
      <c r="A154" t="str">
        <f>IFERROR(__xludf.DUMMYFUNCTION("""COMPUTED_VALUE"""),"2015-05-15-D02-SO-3")</f>
        <v>2015-05-15-D02-SO-3</v>
      </c>
    </row>
    <row r="155">
      <c r="A155" t="str">
        <f>IFERROR(__xludf.DUMMYFUNCTION("""COMPUTED_VALUE"""),"2015-05-15-D02-SO-4")</f>
        <v>2015-05-15-D02-SO-4</v>
      </c>
    </row>
    <row r="156">
      <c r="A156" t="str">
        <f>IFERROR(__xludf.DUMMYFUNCTION("""COMPUTED_VALUE"""),"2015-05-15-D02-SO-5")</f>
        <v>2015-05-15-D02-SO-5</v>
      </c>
    </row>
    <row r="157">
      <c r="A157" t="str">
        <f>IFERROR(__xludf.DUMMYFUNCTION("""COMPUTED_VALUE"""),"2015-05-15-D02-SO-6")</f>
        <v>2015-05-15-D02-SO-6</v>
      </c>
    </row>
    <row r="158">
      <c r="A158" t="str">
        <f>IFERROR(__xludf.DUMMYFUNCTION("""COMPUTED_VALUE"""),"2015-05-15-D02-SO-7")</f>
        <v>2015-05-15-D02-SO-7</v>
      </c>
    </row>
    <row r="159">
      <c r="A159" t="str">
        <f>IFERROR(__xludf.DUMMYFUNCTION("""COMPUTED_VALUE"""),"2015-05-15-D02-SO-8")</f>
        <v>2015-05-15-D02-SO-8</v>
      </c>
    </row>
    <row r="160">
      <c r="A160" t="str">
        <f>IFERROR(__xludf.DUMMYFUNCTION("""COMPUTED_VALUE"""),"2015-05-15-D02-SO-9")</f>
        <v>2015-05-15-D02-SO-9</v>
      </c>
    </row>
    <row r="161">
      <c r="A161" t="str">
        <f>IFERROR(__xludf.DUMMYFUNCTION("""COMPUTED_VALUE"""),"2015-05-15-D02-SO-10")</f>
        <v>2015-05-15-D02-SO-10</v>
      </c>
    </row>
    <row r="162">
      <c r="A162" t="str">
        <f>IFERROR(__xludf.DUMMYFUNCTION("""COMPUTED_VALUE"""),"2015-05-15-D02-SO-11")</f>
        <v>2015-05-15-D02-SO-11</v>
      </c>
    </row>
    <row r="163">
      <c r="A163" t="str">
        <f>IFERROR(__xludf.DUMMYFUNCTION("""COMPUTED_VALUE"""),"2015-05-15-D02-SO-12")</f>
        <v>2015-05-15-D02-SO-12</v>
      </c>
    </row>
    <row r="164">
      <c r="A164" t="str">
        <f>IFERROR(__xludf.DUMMYFUNCTION("""COMPUTED_VALUE"""),"2015-05-15-D02-SO-13")</f>
        <v>2015-05-15-D02-SO-13</v>
      </c>
    </row>
    <row r="165">
      <c r="A165" t="str">
        <f>IFERROR(__xludf.DUMMYFUNCTION("""COMPUTED_VALUE"""),"2015-05-15-D02-SO-14")</f>
        <v>2015-05-15-D02-SO-14</v>
      </c>
    </row>
    <row r="166">
      <c r="A166" t="str">
        <f>IFERROR(__xludf.DUMMYFUNCTION("""COMPUTED_VALUE"""),"2015-05-15-D02-SO-15")</f>
        <v>2015-05-15-D02-SO-15</v>
      </c>
    </row>
    <row r="167">
      <c r="A167" t="str">
        <f>IFERROR(__xludf.DUMMYFUNCTION("""COMPUTED_VALUE"""),"2015-05-15-D02-SO-16")</f>
        <v>2015-05-15-D02-SO-16</v>
      </c>
    </row>
    <row r="168">
      <c r="A168" t="str">
        <f>IFERROR(__xludf.DUMMYFUNCTION("""COMPUTED_VALUE"""),"2015-05-15-D02-SO-17")</f>
        <v>2015-05-15-D02-SO-17</v>
      </c>
    </row>
    <row r="169">
      <c r="A169" t="str">
        <f>IFERROR(__xludf.DUMMYFUNCTION("""COMPUTED_VALUE"""),"2015-05-15-D02-SO-18")</f>
        <v>2015-05-15-D02-SO-18</v>
      </c>
    </row>
    <row r="170">
      <c r="A170" t="str">
        <f>IFERROR(__xludf.DUMMYFUNCTION("""COMPUTED_VALUE"""),"2015-05-15-D02-SO-19")</f>
        <v>2015-05-15-D02-SO-19</v>
      </c>
    </row>
    <row r="171">
      <c r="A171" t="str">
        <f>IFERROR(__xludf.DUMMYFUNCTION("""COMPUTED_VALUE"""),"2015-05-15-D02-SO-20")</f>
        <v>2015-05-15-D02-SO-20</v>
      </c>
    </row>
    <row r="172">
      <c r="A172" t="str">
        <f>IFERROR(__xludf.DUMMYFUNCTION("""COMPUTED_VALUE"""),"2015-05-15-D02-SO-21")</f>
        <v>2015-05-15-D02-SO-21</v>
      </c>
    </row>
    <row r="173">
      <c r="A173" t="str">
        <f>IFERROR(__xludf.DUMMYFUNCTION("""COMPUTED_VALUE"""),"2015-05-15-D02-SO-22")</f>
        <v>2015-05-15-D02-SO-22</v>
      </c>
    </row>
    <row r="174">
      <c r="A174" t="str">
        <f>IFERROR(__xludf.DUMMYFUNCTION("""COMPUTED_VALUE"""),"2015-05-15-D02-SO-23")</f>
        <v>2015-05-15-D02-SO-23</v>
      </c>
    </row>
    <row r="175">
      <c r="A175" t="str">
        <f>IFERROR(__xludf.DUMMYFUNCTION("""COMPUTED_VALUE"""),"2015-05-15-D02-SO-24")</f>
        <v>2015-05-15-D02-SO-24</v>
      </c>
    </row>
    <row r="176">
      <c r="A176" t="str">
        <f>IFERROR(__xludf.DUMMYFUNCTION("""COMPUTED_VALUE"""),"2015-05-15-D02-SO-25")</f>
        <v>2015-05-15-D02-SO-25</v>
      </c>
    </row>
    <row r="177">
      <c r="A177" t="str">
        <f>IFERROR(__xludf.DUMMYFUNCTION("""COMPUTED_VALUE"""),"2015-05-15-D02-SO-26")</f>
        <v>2015-05-15-D02-SO-26</v>
      </c>
    </row>
    <row r="178">
      <c r="A178" t="str">
        <f>IFERROR(__xludf.DUMMYFUNCTION("""COMPUTED_VALUE"""),"2015-05-15-D02-SO-27")</f>
        <v>2015-05-15-D02-SO-27</v>
      </c>
    </row>
    <row r="179">
      <c r="A179" t="str">
        <f>IFERROR(__xludf.DUMMYFUNCTION("""COMPUTED_VALUE"""),"2015-05-15-D02-SO-28")</f>
        <v>2015-05-15-D02-SO-28</v>
      </c>
    </row>
    <row r="180">
      <c r="A180" t="str">
        <f>IFERROR(__xludf.DUMMYFUNCTION("""COMPUTED_VALUE"""),"2015-05-15-D02-SO-29")</f>
        <v>2015-05-15-D02-SO-29</v>
      </c>
    </row>
    <row r="181">
      <c r="A181" t="str">
        <f>IFERROR(__xludf.DUMMYFUNCTION("""COMPUTED_VALUE"""),"2015-05-15-D02-SO-30")</f>
        <v>2015-05-15-D02-SO-30</v>
      </c>
    </row>
    <row r="182">
      <c r="A182" t="str">
        <f>IFERROR(__xludf.DUMMYFUNCTION("""COMPUTED_VALUE"""),"2015-05-15-D03-SO-1")</f>
        <v>2015-05-15-D03-SO-1</v>
      </c>
    </row>
    <row r="183">
      <c r="A183" t="str">
        <f>IFERROR(__xludf.DUMMYFUNCTION("""COMPUTED_VALUE"""),"2015-05-15-D03-SO-2")</f>
        <v>2015-05-15-D03-SO-2</v>
      </c>
    </row>
    <row r="184">
      <c r="A184" t="str">
        <f>IFERROR(__xludf.DUMMYFUNCTION("""COMPUTED_VALUE"""),"2015-05-15-D03-SO-3")</f>
        <v>2015-05-15-D03-SO-3</v>
      </c>
    </row>
    <row r="185">
      <c r="A185" t="str">
        <f>IFERROR(__xludf.DUMMYFUNCTION("""COMPUTED_VALUE"""),"2015-05-15-D03-SO-4")</f>
        <v>2015-05-15-D03-SO-4</v>
      </c>
    </row>
    <row r="186">
      <c r="A186" t="str">
        <f>IFERROR(__xludf.DUMMYFUNCTION("""COMPUTED_VALUE"""),"2015-05-15-D03-SO-5")</f>
        <v>2015-05-15-D03-SO-5</v>
      </c>
    </row>
    <row r="187">
      <c r="A187" t="str">
        <f>IFERROR(__xludf.DUMMYFUNCTION("""COMPUTED_VALUE"""),"2015-05-15-D03-SO-6")</f>
        <v>2015-05-15-D03-SO-6</v>
      </c>
    </row>
    <row r="188">
      <c r="A188" t="str">
        <f>IFERROR(__xludf.DUMMYFUNCTION("""COMPUTED_VALUE"""),"2015-05-15-D03-SO-7")</f>
        <v>2015-05-15-D03-SO-7</v>
      </c>
    </row>
    <row r="189">
      <c r="A189" t="str">
        <f>IFERROR(__xludf.DUMMYFUNCTION("""COMPUTED_VALUE"""),"2015-05-15-D03-SO-8")</f>
        <v>2015-05-15-D03-SO-8</v>
      </c>
    </row>
    <row r="190">
      <c r="A190" t="str">
        <f>IFERROR(__xludf.DUMMYFUNCTION("""COMPUTED_VALUE"""),"2015-05-15-D03-SO-9")</f>
        <v>2015-05-15-D03-SO-9</v>
      </c>
    </row>
    <row r="191">
      <c r="A191" t="str">
        <f>IFERROR(__xludf.DUMMYFUNCTION("""COMPUTED_VALUE"""),"2015-05-15-D03-SO-10")</f>
        <v>2015-05-15-D03-SO-10</v>
      </c>
    </row>
    <row r="192">
      <c r="A192" t="str">
        <f>IFERROR(__xludf.DUMMYFUNCTION("""COMPUTED_VALUE"""),"2015-05-15-D03-SO-11")</f>
        <v>2015-05-15-D03-SO-11</v>
      </c>
    </row>
    <row r="193">
      <c r="A193" t="str">
        <f>IFERROR(__xludf.DUMMYFUNCTION("""COMPUTED_VALUE"""),"2015-05-15-D03-SO-12")</f>
        <v>2015-05-15-D03-SO-12</v>
      </c>
    </row>
    <row r="194">
      <c r="A194" t="str">
        <f>IFERROR(__xludf.DUMMYFUNCTION("""COMPUTED_VALUE"""),"2015-05-15-D03-SO-13")</f>
        <v>2015-05-15-D03-SO-13</v>
      </c>
    </row>
    <row r="195">
      <c r="A195" t="str">
        <f>IFERROR(__xludf.DUMMYFUNCTION("""COMPUTED_VALUE"""),"2015-05-15-D03-SO-14")</f>
        <v>2015-05-15-D03-SO-14</v>
      </c>
    </row>
    <row r="196">
      <c r="A196" t="str">
        <f>IFERROR(__xludf.DUMMYFUNCTION("""COMPUTED_VALUE"""),"2015-05-15-D03-SO-15")</f>
        <v>2015-05-15-D03-SO-15</v>
      </c>
    </row>
    <row r="197">
      <c r="A197" t="str">
        <f>IFERROR(__xludf.DUMMYFUNCTION("""COMPUTED_VALUE"""),"2015-05-15-D03-SO-16")</f>
        <v>2015-05-15-D03-SO-16</v>
      </c>
    </row>
    <row r="198">
      <c r="A198" t="str">
        <f>IFERROR(__xludf.DUMMYFUNCTION("""COMPUTED_VALUE"""),"2015-05-15-D03-SO-17")</f>
        <v>2015-05-15-D03-SO-17</v>
      </c>
    </row>
    <row r="199">
      <c r="A199" t="str">
        <f>IFERROR(__xludf.DUMMYFUNCTION("""COMPUTED_VALUE"""),"2015-05-15-D03-SO-18")</f>
        <v>2015-05-15-D03-SO-18</v>
      </c>
    </row>
    <row r="200">
      <c r="A200" t="str">
        <f>IFERROR(__xludf.DUMMYFUNCTION("""COMPUTED_VALUE"""),"2015-05-15-D03-SO-19")</f>
        <v>2015-05-15-D03-SO-19</v>
      </c>
    </row>
    <row r="201">
      <c r="A201" t="str">
        <f>IFERROR(__xludf.DUMMYFUNCTION("""COMPUTED_VALUE"""),"2015-05-15-D03-SO-20")</f>
        <v>2015-05-15-D03-SO-20</v>
      </c>
    </row>
    <row r="202">
      <c r="A202" t="str">
        <f>IFERROR(__xludf.DUMMYFUNCTION("""COMPUTED_VALUE"""),"2015-05-15-D03-SO-21")</f>
        <v>2015-05-15-D03-SO-21</v>
      </c>
    </row>
    <row r="203">
      <c r="A203" t="str">
        <f>IFERROR(__xludf.DUMMYFUNCTION("""COMPUTED_VALUE"""),"2015-05-15-D03-SO-22")</f>
        <v>2015-05-15-D03-SO-22</v>
      </c>
    </row>
    <row r="204">
      <c r="A204" t="str">
        <f>IFERROR(__xludf.DUMMYFUNCTION("""COMPUTED_VALUE"""),"2015-05-15-D03-SO-23")</f>
        <v>2015-05-15-D03-SO-23</v>
      </c>
    </row>
    <row r="205">
      <c r="A205" t="str">
        <f>IFERROR(__xludf.DUMMYFUNCTION("""COMPUTED_VALUE"""),"2015-05-15-D03-SO-24")</f>
        <v>2015-05-15-D03-SO-24</v>
      </c>
    </row>
    <row r="206">
      <c r="A206" t="str">
        <f>IFERROR(__xludf.DUMMYFUNCTION("""COMPUTED_VALUE"""),"2015-05-15-D03-SO-25")</f>
        <v>2015-05-15-D03-SO-25</v>
      </c>
    </row>
    <row r="207">
      <c r="A207" t="str">
        <f>IFERROR(__xludf.DUMMYFUNCTION("""COMPUTED_VALUE"""),"2015-05-15-D03-SO-26")</f>
        <v>2015-05-15-D03-SO-26</v>
      </c>
    </row>
    <row r="208">
      <c r="A208" t="str">
        <f>IFERROR(__xludf.DUMMYFUNCTION("""COMPUTED_VALUE"""),"2015-05-15-D03-SO-27")</f>
        <v>2015-05-15-D03-SO-27</v>
      </c>
    </row>
    <row r="209">
      <c r="A209" t="str">
        <f>IFERROR(__xludf.DUMMYFUNCTION("""COMPUTED_VALUE"""),"2015-05-15-D03-SO-28")</f>
        <v>2015-05-15-D03-SO-28</v>
      </c>
    </row>
    <row r="210">
      <c r="A210" t="str">
        <f>IFERROR(__xludf.DUMMYFUNCTION("""COMPUTED_VALUE"""),"2015-05-15-D03-SO-29")</f>
        <v>2015-05-15-D03-SO-29</v>
      </c>
    </row>
    <row r="211">
      <c r="A211" t="str">
        <f>IFERROR(__xludf.DUMMYFUNCTION("""COMPUTED_VALUE"""),"2015-05-15-D03-SO-30")</f>
        <v>2015-05-15-D03-SO-30</v>
      </c>
    </row>
    <row r="212">
      <c r="A212" t="str">
        <f>IFERROR(__xludf.DUMMYFUNCTION("""COMPUTED_VALUE"""),"2015-05-15-D05-PI-1")</f>
        <v>2015-05-15-D05-PI-1</v>
      </c>
    </row>
    <row r="213">
      <c r="A213" t="str">
        <f>IFERROR(__xludf.DUMMYFUNCTION("""COMPUTED_VALUE"""),"2015-05-15-D05-CU-1")</f>
        <v>2015-05-15-D05-CU-1</v>
      </c>
    </row>
    <row r="214">
      <c r="A214" t="str">
        <f>IFERROR(__xludf.DUMMYFUNCTION("""COMPUTED_VALUE"""),"2015-05-15-D05-CU-2")</f>
        <v>2015-05-15-D05-CU-2</v>
      </c>
    </row>
    <row r="215">
      <c r="A215" t="str">
        <f>IFERROR(__xludf.DUMMYFUNCTION("""COMPUTED_VALUE"""),"2015-05-15-D05-CU-3")</f>
        <v>2015-05-15-D05-CU-3</v>
      </c>
    </row>
    <row r="216">
      <c r="A216" t="str">
        <f>IFERROR(__xludf.DUMMYFUNCTION("""COMPUTED_VALUE"""),"2015-05-15-D05-CU-4")</f>
        <v>2015-05-15-D05-CU-4</v>
      </c>
    </row>
    <row r="217">
      <c r="A217" t="str">
        <f>IFERROR(__xludf.DUMMYFUNCTION("""COMPUTED_VALUE"""),"2015-05-15-D05-CU-5")</f>
        <v>2015-05-15-D05-CU-5</v>
      </c>
    </row>
    <row r="218">
      <c r="A218" t="str">
        <f>IFERROR(__xludf.DUMMYFUNCTION("""COMPUTED_VALUE"""),"2015-05-15-D02-CU-1")</f>
        <v>2015-05-15-D02-CU-1</v>
      </c>
    </row>
    <row r="219">
      <c r="A219" t="str">
        <f>IFERROR(__xludf.DUMMYFUNCTION("""COMPUTED_VALUE"""),"2015-05-15-D02-CU-2")</f>
        <v>2015-05-15-D02-CU-2</v>
      </c>
    </row>
    <row r="220">
      <c r="A220" t="str">
        <f>IFERROR(__xludf.DUMMYFUNCTION("""COMPUTED_VALUE"""),"2015-05-15-D02-CU-3")</f>
        <v>2015-05-15-D02-CU-3</v>
      </c>
    </row>
    <row r="221">
      <c r="A221" t="str">
        <f>IFERROR(__xludf.DUMMYFUNCTION("""COMPUTED_VALUE"""),"2015-05-15-D02-CU-4")</f>
        <v>2015-05-15-D02-CU-4</v>
      </c>
    </row>
    <row r="222">
      <c r="A222" t="str">
        <f>IFERROR(__xludf.DUMMYFUNCTION("""COMPUTED_VALUE"""),"2015-05-15-D02-CU-5")</f>
        <v>2015-05-15-D02-CU-5</v>
      </c>
    </row>
    <row r="223">
      <c r="A223" t="str">
        <f>IFERROR(__xludf.DUMMYFUNCTION("""COMPUTED_VALUE"""),"2015-05-15-D02-CU-6")</f>
        <v>2015-05-15-D02-CU-6</v>
      </c>
    </row>
    <row r="224">
      <c r="A224" t="str">
        <f>IFERROR(__xludf.DUMMYFUNCTION("""COMPUTED_VALUE"""),"2015-05-15-D02-CU-7")</f>
        <v>2015-05-15-D02-CU-7</v>
      </c>
    </row>
    <row r="225">
      <c r="A225" t="str">
        <f>IFERROR(__xludf.DUMMYFUNCTION("""COMPUTED_VALUE"""),"2015-05-15-D02-CU-8")</f>
        <v>2015-05-15-D02-CU-8</v>
      </c>
    </row>
    <row r="226">
      <c r="A226" t="str">
        <f>IFERROR(__xludf.DUMMYFUNCTION("""COMPUTED_VALUE"""),"2015-05-15-D02-CU-9")</f>
        <v>2015-05-15-D02-CU-9</v>
      </c>
    </row>
    <row r="227">
      <c r="A227" t="str">
        <f>IFERROR(__xludf.DUMMYFUNCTION("""COMPUTED_VALUE"""),"2015-05-15-D02-CU-10")</f>
        <v>2015-05-15-D02-CU-10</v>
      </c>
    </row>
    <row r="228">
      <c r="A228" t="str">
        <f>IFERROR(__xludf.DUMMYFUNCTION("""COMPUTED_VALUE"""),"2015-05-15-D03-CU-1")</f>
        <v>2015-05-15-D03-CU-1</v>
      </c>
    </row>
    <row r="229">
      <c r="A229" t="str">
        <f>IFERROR(__xludf.DUMMYFUNCTION("""COMPUTED_VALUE"""),"2015-05-15-D03-CU-2")</f>
        <v>2015-05-15-D03-CU-2</v>
      </c>
    </row>
    <row r="230">
      <c r="A230" t="str">
        <f>IFERROR(__xludf.DUMMYFUNCTION("""COMPUTED_VALUE"""),"2015-05-15-D03-CU-3")</f>
        <v>2015-05-15-D03-CU-3</v>
      </c>
    </row>
    <row r="231">
      <c r="A231" t="str">
        <f>IFERROR(__xludf.DUMMYFUNCTION("""COMPUTED_VALUE"""),"2015-05-15-D03-CU-4")</f>
        <v>2015-05-15-D03-CU-4</v>
      </c>
    </row>
    <row r="232">
      <c r="A232" t="str">
        <f>IFERROR(__xludf.DUMMYFUNCTION("""COMPUTED_VALUE"""),"2015-05-15-D03-CU-5")</f>
        <v>2015-05-15-D03-CU-5</v>
      </c>
    </row>
    <row r="233">
      <c r="A233" t="str">
        <f>IFERROR(__xludf.DUMMYFUNCTION("""COMPUTED_VALUE"""),"2015-05-15-D03-CU-6")</f>
        <v>2015-05-15-D03-CU-6</v>
      </c>
    </row>
    <row r="234">
      <c r="A234" t="str">
        <f>IFERROR(__xludf.DUMMYFUNCTION("""COMPUTED_VALUE"""),"2015-05-15-D03-CU-7")</f>
        <v>2015-05-15-D03-CU-7</v>
      </c>
    </row>
    <row r="235">
      <c r="A235" t="str">
        <f>IFERROR(__xludf.DUMMYFUNCTION("""COMPUTED_VALUE"""),"2015-05-15-D03-CU-8")</f>
        <v>2015-05-15-D03-CU-8</v>
      </c>
    </row>
    <row r="236">
      <c r="A236" t="str">
        <f>IFERROR(__xludf.DUMMYFUNCTION("""COMPUTED_VALUE"""),"2015-05-15-D03-CU-9")</f>
        <v>2015-05-15-D03-CU-9</v>
      </c>
    </row>
    <row r="237">
      <c r="A237" t="str">
        <f>IFERROR(__xludf.DUMMYFUNCTION("""COMPUTED_VALUE"""),"2015-05-15-D03-CU-10")</f>
        <v>2015-05-15-D03-CU-10</v>
      </c>
    </row>
    <row r="238">
      <c r="A238" t="str">
        <f>IFERROR(__xludf.DUMMYFUNCTION("""COMPUTED_VALUE"""),"2015-05-15-D02-HE-1")</f>
        <v>2015-05-15-D02-HE-1</v>
      </c>
    </row>
    <row r="239">
      <c r="A239" t="str">
        <f>IFERROR(__xludf.DUMMYFUNCTION("""COMPUTED_VALUE"""),"2015-05-15-D03-HE-1")</f>
        <v>2015-05-15-D03-HE-1</v>
      </c>
    </row>
    <row r="240">
      <c r="A240" t="str">
        <f>IFERROR(__xludf.DUMMYFUNCTION("""COMPUTED_VALUE"""),"2015-05-15-D03-HE-2")</f>
        <v>2015-05-15-D03-HE-2</v>
      </c>
    </row>
    <row r="241">
      <c r="A241" t="str">
        <f>IFERROR(__xludf.DUMMYFUNCTION("""COMPUTED_VALUE"""),"2015-05-16-D06-SO-1")</f>
        <v>2015-05-16-D06-SO-1</v>
      </c>
    </row>
    <row r="242">
      <c r="A242" t="str">
        <f>IFERROR(__xludf.DUMMYFUNCTION("""COMPUTED_VALUE"""),"2015-05-16-D06-SO-2")</f>
        <v>2015-05-16-D06-SO-2</v>
      </c>
    </row>
    <row r="243">
      <c r="A243" t="str">
        <f>IFERROR(__xludf.DUMMYFUNCTION("""COMPUTED_VALUE"""),"2015-05-16-D06-SO-3")</f>
        <v>2015-05-16-D06-SO-3</v>
      </c>
    </row>
    <row r="244">
      <c r="A244" t="str">
        <f>IFERROR(__xludf.DUMMYFUNCTION("""COMPUTED_VALUE"""),"2015-05-16-D06-SO-4")</f>
        <v>2015-05-16-D06-SO-4</v>
      </c>
    </row>
    <row r="245">
      <c r="A245" t="str">
        <f>IFERROR(__xludf.DUMMYFUNCTION("""COMPUTED_VALUE"""),"2015-05-16-D06-SO-5")</f>
        <v>2015-05-16-D06-SO-5</v>
      </c>
    </row>
    <row r="246">
      <c r="A246" t="str">
        <f>IFERROR(__xludf.DUMMYFUNCTION("""COMPUTED_VALUE"""),"2015-05-16-D06-SO-6")</f>
        <v>2015-05-16-D06-SO-6</v>
      </c>
    </row>
    <row r="247">
      <c r="A247" t="str">
        <f>IFERROR(__xludf.DUMMYFUNCTION("""COMPUTED_VALUE"""),"2015-05-16-D06-SO-7")</f>
        <v>2015-05-16-D06-SO-7</v>
      </c>
    </row>
    <row r="248">
      <c r="A248" t="str">
        <f>IFERROR(__xludf.DUMMYFUNCTION("""COMPUTED_VALUE"""),"2015-05-16-D06-SO-8")</f>
        <v>2015-05-16-D06-SO-8</v>
      </c>
    </row>
    <row r="249">
      <c r="A249" t="str">
        <f>IFERROR(__xludf.DUMMYFUNCTION("""COMPUTED_VALUE"""),"2015-05-16-D06-SO-9")</f>
        <v>2015-05-16-D06-SO-9</v>
      </c>
    </row>
    <row r="250">
      <c r="A250" t="str">
        <f>IFERROR(__xludf.DUMMYFUNCTION("""COMPUTED_VALUE"""),"2015-05-16-D06-SO-10")</f>
        <v>2015-05-16-D06-SO-10</v>
      </c>
    </row>
    <row r="251">
      <c r="A251" t="str">
        <f>IFERROR(__xludf.DUMMYFUNCTION("""COMPUTED_VALUE"""),"2015-05-16-D06-SO-11")</f>
        <v>2015-05-16-D06-SO-11</v>
      </c>
    </row>
    <row r="252">
      <c r="A252" t="str">
        <f>IFERROR(__xludf.DUMMYFUNCTION("""COMPUTED_VALUE"""),"2015-05-16-D06-SO-12")</f>
        <v>2015-05-16-D06-SO-12</v>
      </c>
    </row>
    <row r="253">
      <c r="A253" t="str">
        <f>IFERROR(__xludf.DUMMYFUNCTION("""COMPUTED_VALUE"""),"2015-05-16-D06-SO-13")</f>
        <v>2015-05-16-D06-SO-13</v>
      </c>
    </row>
    <row r="254">
      <c r="A254" t="str">
        <f>IFERROR(__xludf.DUMMYFUNCTION("""COMPUTED_VALUE"""),"2015-05-16-D06-SO-14")</f>
        <v>2015-05-16-D06-SO-14</v>
      </c>
    </row>
    <row r="255">
      <c r="A255" t="str">
        <f>IFERROR(__xludf.DUMMYFUNCTION("""COMPUTED_VALUE"""),"2015-05-16-D06-SO-15")</f>
        <v>2015-05-16-D06-SO-15</v>
      </c>
    </row>
    <row r="256">
      <c r="A256" t="str">
        <f>IFERROR(__xludf.DUMMYFUNCTION("""COMPUTED_VALUE"""),"2015-05-16-D06-SO-16")</f>
        <v>2015-05-16-D06-SO-16</v>
      </c>
    </row>
    <row r="257">
      <c r="A257" t="str">
        <f>IFERROR(__xludf.DUMMYFUNCTION("""COMPUTED_VALUE"""),"2015-05-16-D06-SO-17")</f>
        <v>2015-05-16-D06-SO-17</v>
      </c>
    </row>
    <row r="258">
      <c r="A258" t="str">
        <f>IFERROR(__xludf.DUMMYFUNCTION("""COMPUTED_VALUE"""),"2015-05-16-D06-SO-18")</f>
        <v>2015-05-16-D06-SO-18</v>
      </c>
    </row>
    <row r="259">
      <c r="A259" t="str">
        <f>IFERROR(__xludf.DUMMYFUNCTION("""COMPUTED_VALUE"""),"2015-05-16-D06-SO-19")</f>
        <v>2015-05-16-D06-SO-19</v>
      </c>
    </row>
    <row r="260">
      <c r="A260" t="str">
        <f>IFERROR(__xludf.DUMMYFUNCTION("""COMPUTED_VALUE"""),"2015-05-16-D06-SO-20")</f>
        <v>2015-05-16-D06-SO-20</v>
      </c>
    </row>
    <row r="261">
      <c r="A261" t="str">
        <f>IFERROR(__xludf.DUMMYFUNCTION("""COMPUTED_VALUE"""),"2015-05-16-D06-SO-21")</f>
        <v>2015-05-16-D06-SO-21</v>
      </c>
    </row>
    <row r="262">
      <c r="A262" t="str">
        <f>IFERROR(__xludf.DUMMYFUNCTION("""COMPUTED_VALUE"""),"2015-05-16-D06-SO-22")</f>
        <v>2015-05-16-D06-SO-22</v>
      </c>
    </row>
    <row r="263">
      <c r="A263" t="str">
        <f>IFERROR(__xludf.DUMMYFUNCTION("""COMPUTED_VALUE"""),"2015-05-16-D06-SO-23")</f>
        <v>2015-05-16-D06-SO-23</v>
      </c>
    </row>
    <row r="264">
      <c r="A264" t="str">
        <f>IFERROR(__xludf.DUMMYFUNCTION("""COMPUTED_VALUE"""),"2015-05-16-D06-SO-24")</f>
        <v>2015-05-16-D06-SO-24</v>
      </c>
    </row>
    <row r="265">
      <c r="A265" t="str">
        <f>IFERROR(__xludf.DUMMYFUNCTION("""COMPUTED_VALUE"""),"2015-05-16-D06-SO-25")</f>
        <v>2015-05-16-D06-SO-25</v>
      </c>
    </row>
    <row r="266">
      <c r="A266" t="str">
        <f>IFERROR(__xludf.DUMMYFUNCTION("""COMPUTED_VALUE"""),"2015-05-16-D06-SO-26")</f>
        <v>2015-05-16-D06-SO-26</v>
      </c>
    </row>
    <row r="267">
      <c r="A267" t="str">
        <f>IFERROR(__xludf.DUMMYFUNCTION("""COMPUTED_VALUE"""),"2015-05-16-D06-SO-27")</f>
        <v>2015-05-16-D06-SO-27</v>
      </c>
    </row>
    <row r="268">
      <c r="A268" t="str">
        <f>IFERROR(__xludf.DUMMYFUNCTION("""COMPUTED_VALUE"""),"2015-05-16-D06-SO-28")</f>
        <v>2015-05-16-D06-SO-28</v>
      </c>
    </row>
    <row r="269">
      <c r="A269" t="str">
        <f>IFERROR(__xludf.DUMMYFUNCTION("""COMPUTED_VALUE"""),"2015-05-16-D06-SO-29")</f>
        <v>2015-05-16-D06-SO-29</v>
      </c>
    </row>
    <row r="270">
      <c r="A270" t="str">
        <f>IFERROR(__xludf.DUMMYFUNCTION("""COMPUTED_VALUE"""),"2015-05-16-D06-SO-30")</f>
        <v>2015-05-16-D06-SO-30</v>
      </c>
    </row>
    <row r="271">
      <c r="A271" t="str">
        <f>IFERROR(__xludf.DUMMYFUNCTION("""COMPUTED_VALUE"""),"2015-05-16-D07-SO-1")</f>
        <v>2015-05-16-D07-SO-1</v>
      </c>
    </row>
    <row r="272">
      <c r="A272" t="str">
        <f>IFERROR(__xludf.DUMMYFUNCTION("""COMPUTED_VALUE"""),"2015-05-16-D07-SO-2")</f>
        <v>2015-05-16-D07-SO-2</v>
      </c>
    </row>
    <row r="273">
      <c r="A273" t="str">
        <f>IFERROR(__xludf.DUMMYFUNCTION("""COMPUTED_VALUE"""),"2015-05-16-D07-SO-3")</f>
        <v>2015-05-16-D07-SO-3</v>
      </c>
    </row>
    <row r="274">
      <c r="A274" t="str">
        <f>IFERROR(__xludf.DUMMYFUNCTION("""COMPUTED_VALUE"""),"2015-05-16-D07-SO-4")</f>
        <v>2015-05-16-D07-SO-4</v>
      </c>
    </row>
    <row r="275">
      <c r="A275" t="str">
        <f>IFERROR(__xludf.DUMMYFUNCTION("""COMPUTED_VALUE"""),"2015-05-16-D07-SO-5")</f>
        <v>2015-05-16-D07-SO-5</v>
      </c>
    </row>
    <row r="276">
      <c r="A276" t="str">
        <f>IFERROR(__xludf.DUMMYFUNCTION("""COMPUTED_VALUE"""),"2015-05-16-D07-SO-6")</f>
        <v>2015-05-16-D07-SO-6</v>
      </c>
    </row>
    <row r="277">
      <c r="A277" t="str">
        <f>IFERROR(__xludf.DUMMYFUNCTION("""COMPUTED_VALUE"""),"2015-05-16-D07-SO-7")</f>
        <v>2015-05-16-D07-SO-7</v>
      </c>
    </row>
    <row r="278">
      <c r="A278" t="str">
        <f>IFERROR(__xludf.DUMMYFUNCTION("""COMPUTED_VALUE"""),"2015-05-16-D07-SO-8")</f>
        <v>2015-05-16-D07-SO-8</v>
      </c>
    </row>
    <row r="279">
      <c r="A279" t="str">
        <f>IFERROR(__xludf.DUMMYFUNCTION("""COMPUTED_VALUE"""),"2015-05-16-D07-SO-9")</f>
        <v>2015-05-16-D07-SO-9</v>
      </c>
    </row>
    <row r="280">
      <c r="A280" t="str">
        <f>IFERROR(__xludf.DUMMYFUNCTION("""COMPUTED_VALUE"""),"2015-05-16-D07-SO-10")</f>
        <v>2015-05-16-D07-SO-10</v>
      </c>
    </row>
    <row r="281">
      <c r="A281" t="str">
        <f>IFERROR(__xludf.DUMMYFUNCTION("""COMPUTED_VALUE"""),"2015-05-16-D07-SO-11")</f>
        <v>2015-05-16-D07-SO-11</v>
      </c>
    </row>
    <row r="282">
      <c r="A282" t="str">
        <f>IFERROR(__xludf.DUMMYFUNCTION("""COMPUTED_VALUE"""),"2015-05-16-D07-SO-12")</f>
        <v>2015-05-16-D07-SO-12</v>
      </c>
    </row>
    <row r="283">
      <c r="A283" t="str">
        <f>IFERROR(__xludf.DUMMYFUNCTION("""COMPUTED_VALUE"""),"2015-05-16-D07-SO-13")</f>
        <v>2015-05-16-D07-SO-13</v>
      </c>
    </row>
    <row r="284">
      <c r="A284" t="str">
        <f>IFERROR(__xludf.DUMMYFUNCTION("""COMPUTED_VALUE"""),"2015-05-16-D07-SO-14")</f>
        <v>2015-05-16-D07-SO-14</v>
      </c>
    </row>
    <row r="285">
      <c r="A285" t="str">
        <f>IFERROR(__xludf.DUMMYFUNCTION("""COMPUTED_VALUE"""),"2015-05-16-D07-SO-15")</f>
        <v>2015-05-16-D07-SO-15</v>
      </c>
    </row>
    <row r="286">
      <c r="A286" t="str">
        <f>IFERROR(__xludf.DUMMYFUNCTION("""COMPUTED_VALUE"""),"2015-05-16-D07-SO-16")</f>
        <v>2015-05-16-D07-SO-16</v>
      </c>
    </row>
    <row r="287">
      <c r="A287" t="str">
        <f>IFERROR(__xludf.DUMMYFUNCTION("""COMPUTED_VALUE"""),"2015-05-16-D07-SO-17")</f>
        <v>2015-05-16-D07-SO-17</v>
      </c>
    </row>
    <row r="288">
      <c r="A288" t="str">
        <f>IFERROR(__xludf.DUMMYFUNCTION("""COMPUTED_VALUE"""),"2015-05-16-D07-SO-18")</f>
        <v>2015-05-16-D07-SO-18</v>
      </c>
    </row>
    <row r="289">
      <c r="A289" t="str">
        <f>IFERROR(__xludf.DUMMYFUNCTION("""COMPUTED_VALUE"""),"2015-05-16-D07-SO-19")</f>
        <v>2015-05-16-D07-SO-19</v>
      </c>
    </row>
    <row r="290">
      <c r="A290" t="str">
        <f>IFERROR(__xludf.DUMMYFUNCTION("""COMPUTED_VALUE"""),"2015-05-16-D07-SO-20")</f>
        <v>2015-05-16-D07-SO-20</v>
      </c>
    </row>
    <row r="291">
      <c r="A291" t="str">
        <f>IFERROR(__xludf.DUMMYFUNCTION("""COMPUTED_VALUE"""),"2015-05-16-D07-SO-21")</f>
        <v>2015-05-16-D07-SO-21</v>
      </c>
    </row>
    <row r="292">
      <c r="A292" t="str">
        <f>IFERROR(__xludf.DUMMYFUNCTION("""COMPUTED_VALUE"""),"2015-05-16-D07-SO-22")</f>
        <v>2015-05-16-D07-SO-22</v>
      </c>
    </row>
    <row r="293">
      <c r="A293" t="str">
        <f>IFERROR(__xludf.DUMMYFUNCTION("""COMPUTED_VALUE"""),"2015-05-16-D07-SO-23")</f>
        <v>2015-05-16-D07-SO-23</v>
      </c>
    </row>
    <row r="294">
      <c r="A294" t="str">
        <f>IFERROR(__xludf.DUMMYFUNCTION("""COMPUTED_VALUE"""),"2015-05-16-D07-SO-24")</f>
        <v>2015-05-16-D07-SO-24</v>
      </c>
    </row>
    <row r="295">
      <c r="A295" t="str">
        <f>IFERROR(__xludf.DUMMYFUNCTION("""COMPUTED_VALUE"""),"2015-05-16-D07-SO-25")</f>
        <v>2015-05-16-D07-SO-25</v>
      </c>
    </row>
    <row r="296">
      <c r="A296" t="str">
        <f>IFERROR(__xludf.DUMMYFUNCTION("""COMPUTED_VALUE"""),"2015-05-16-D07-SO-26")</f>
        <v>2015-05-16-D07-SO-26</v>
      </c>
    </row>
    <row r="297">
      <c r="A297" t="str">
        <f>IFERROR(__xludf.DUMMYFUNCTION("""COMPUTED_VALUE"""),"2015-05-16-D07-SO-27")</f>
        <v>2015-05-16-D07-SO-27</v>
      </c>
    </row>
    <row r="298">
      <c r="A298" t="str">
        <f>IFERROR(__xludf.DUMMYFUNCTION("""COMPUTED_VALUE"""),"2015-05-16-D07-SO-28")</f>
        <v>2015-05-16-D07-SO-28</v>
      </c>
    </row>
    <row r="299">
      <c r="A299" t="str">
        <f>IFERROR(__xludf.DUMMYFUNCTION("""COMPUTED_VALUE"""),"2015-05-16-D07-SO-29")</f>
        <v>2015-05-16-D07-SO-29</v>
      </c>
    </row>
    <row r="300">
      <c r="A300" t="str">
        <f>IFERROR(__xludf.DUMMYFUNCTION("""COMPUTED_VALUE"""),"2015-05-16-D07-SO-30")</f>
        <v>2015-05-16-D07-SO-30</v>
      </c>
    </row>
    <row r="301">
      <c r="A301" t="str">
        <f>IFERROR(__xludf.DUMMYFUNCTION("""COMPUTED_VALUE"""),"2015-05-16-D06-PI-1")</f>
        <v>2015-05-16-D06-PI-1</v>
      </c>
    </row>
    <row r="302">
      <c r="A302" t="str">
        <f>IFERROR(__xludf.DUMMYFUNCTION("""COMPUTED_VALUE"""),"2015-05-16-D06-PI-2")</f>
        <v>2015-05-16-D06-PI-2</v>
      </c>
    </row>
    <row r="303">
      <c r="A303" t="str">
        <f>IFERROR(__xludf.DUMMYFUNCTION("""COMPUTED_VALUE"""),"2015-05-16-D07-PI-1")</f>
        <v>2015-05-16-D07-PI-1</v>
      </c>
    </row>
    <row r="304">
      <c r="A304" t="str">
        <f>IFERROR(__xludf.DUMMYFUNCTION("""COMPUTED_VALUE"""),"2015-05-16-D06-CU-1")</f>
        <v>2015-05-16-D06-CU-1</v>
      </c>
    </row>
    <row r="305">
      <c r="A305" t="str">
        <f>IFERROR(__xludf.DUMMYFUNCTION("""COMPUTED_VALUE"""),"2015-05-16-D06-CU-2")</f>
        <v>2015-05-16-D06-CU-2</v>
      </c>
    </row>
    <row r="306">
      <c r="A306" t="str">
        <f>IFERROR(__xludf.DUMMYFUNCTION("""COMPUTED_VALUE"""),"2015-05-16-D06-CU-3")</f>
        <v>2015-05-16-D06-CU-3</v>
      </c>
    </row>
    <row r="307">
      <c r="A307" t="str">
        <f>IFERROR(__xludf.DUMMYFUNCTION("""COMPUTED_VALUE"""),"2015-05-16-D06-CU-4")</f>
        <v>2015-05-16-D06-CU-4</v>
      </c>
    </row>
    <row r="308">
      <c r="A308" t="str">
        <f>IFERROR(__xludf.DUMMYFUNCTION("""COMPUTED_VALUE"""),"2015-05-16-D06-CU-5")</f>
        <v>2015-05-16-D06-CU-5</v>
      </c>
    </row>
    <row r="309">
      <c r="A309" t="str">
        <f>IFERROR(__xludf.DUMMYFUNCTION("""COMPUTED_VALUE"""),"2015-05-16-D06-CU-6")</f>
        <v>2015-05-16-D06-CU-6</v>
      </c>
    </row>
    <row r="310">
      <c r="A310" t="str">
        <f>IFERROR(__xludf.DUMMYFUNCTION("""COMPUTED_VALUE"""),"2015-05-16-D06-CU-7")</f>
        <v>2015-05-16-D06-CU-7</v>
      </c>
    </row>
    <row r="311">
      <c r="A311" t="str">
        <f>IFERROR(__xludf.DUMMYFUNCTION("""COMPUTED_VALUE"""),"2015-05-16-D06-CU-8")</f>
        <v>2015-05-16-D06-CU-8</v>
      </c>
    </row>
    <row r="312">
      <c r="A312" t="str">
        <f>IFERROR(__xludf.DUMMYFUNCTION("""COMPUTED_VALUE"""),"2015-05-16-D06-CU-9")</f>
        <v>2015-05-16-D06-CU-9</v>
      </c>
    </row>
    <row r="313">
      <c r="A313" t="str">
        <f>IFERROR(__xludf.DUMMYFUNCTION("""COMPUTED_VALUE"""),"2015-05-16-D06-CU-10")</f>
        <v>2015-05-16-D06-CU-10</v>
      </c>
    </row>
    <row r="314">
      <c r="A314" t="str">
        <f>IFERROR(__xludf.DUMMYFUNCTION("""COMPUTED_VALUE"""),"2015-05-16-D07-CU-1")</f>
        <v>2015-05-16-D07-CU-1</v>
      </c>
    </row>
    <row r="315">
      <c r="A315" t="str">
        <f>IFERROR(__xludf.DUMMYFUNCTION("""COMPUTED_VALUE"""),"2015-05-16-D07-CU-2")</f>
        <v>2015-05-16-D07-CU-2</v>
      </c>
    </row>
    <row r="316">
      <c r="A316" t="str">
        <f>IFERROR(__xludf.DUMMYFUNCTION("""COMPUTED_VALUE"""),"2015-05-16-D07-CU-3")</f>
        <v>2015-05-16-D07-CU-3</v>
      </c>
    </row>
    <row r="317">
      <c r="A317" t="str">
        <f>IFERROR(__xludf.DUMMYFUNCTION("""COMPUTED_VALUE"""),"2015-05-16-D07-CU-4")</f>
        <v>2015-05-16-D07-CU-4</v>
      </c>
    </row>
    <row r="318">
      <c r="A318" t="str">
        <f>IFERROR(__xludf.DUMMYFUNCTION("""COMPUTED_VALUE"""),"2015-05-16-D07-CU-5")</f>
        <v>2015-05-16-D07-CU-5</v>
      </c>
    </row>
    <row r="319">
      <c r="A319" t="str">
        <f>IFERROR(__xludf.DUMMYFUNCTION("""COMPUTED_VALUE"""),"2015-05-16-D07-CU-6")</f>
        <v>2015-05-16-D07-CU-6</v>
      </c>
    </row>
    <row r="320">
      <c r="A320" t="str">
        <f>IFERROR(__xludf.DUMMYFUNCTION("""COMPUTED_VALUE"""),"2015-05-16-D07-CU-7")</f>
        <v>2015-05-16-D07-CU-7</v>
      </c>
    </row>
    <row r="321">
      <c r="A321" t="str">
        <f>IFERROR(__xludf.DUMMYFUNCTION("""COMPUTED_VALUE"""),"2015-05-16-D07-CU-8")</f>
        <v>2015-05-16-D07-CU-8</v>
      </c>
    </row>
    <row r="322">
      <c r="A322" t="str">
        <f>IFERROR(__xludf.DUMMYFUNCTION("""COMPUTED_VALUE"""),"2015-05-16-D07-CU-9")</f>
        <v>2015-05-16-D07-CU-9</v>
      </c>
    </row>
    <row r="323">
      <c r="A323" t="str">
        <f>IFERROR(__xludf.DUMMYFUNCTION("""COMPUTED_VALUE"""),"2015-05-16-D07-CU-10")</f>
        <v>2015-05-16-D07-CU-10</v>
      </c>
    </row>
    <row r="324">
      <c r="A324" t="str">
        <f>IFERROR(__xludf.DUMMYFUNCTION("""COMPUTED_VALUE"""),"2015-05-16-D06-CO-1")</f>
        <v>2015-05-16-D06-CO-1</v>
      </c>
    </row>
    <row r="325">
      <c r="A325" t="str">
        <f>IFERROR(__xludf.DUMMYFUNCTION("""COMPUTED_VALUE"""),"2015-05-16-D06-CO-2")</f>
        <v>2015-05-16-D06-CO-2</v>
      </c>
    </row>
    <row r="326">
      <c r="A326" t="str">
        <f>IFERROR(__xludf.DUMMYFUNCTION("""COMPUTED_VALUE"""),"2015-05-16-D06-CO-3")</f>
        <v>2015-05-16-D06-CO-3</v>
      </c>
    </row>
    <row r="327">
      <c r="A327" t="str">
        <f>IFERROR(__xludf.DUMMYFUNCTION("""COMPUTED_VALUE"""),"2015-05-16-D06-CO-4")</f>
        <v>2015-05-16-D06-CO-4</v>
      </c>
    </row>
    <row r="328">
      <c r="A328" t="str">
        <f>IFERROR(__xludf.DUMMYFUNCTION("""COMPUTED_VALUE"""),"2015-05-16-D07-CO-1")</f>
        <v>2015-05-16-D07-CO-1</v>
      </c>
    </row>
    <row r="329">
      <c r="A329" t="str">
        <f>IFERROR(__xludf.DUMMYFUNCTION("""COMPUTED_VALUE"""),"2015-05-16-D07-HE-1")</f>
        <v>2015-05-16-D07-HE-1</v>
      </c>
    </row>
    <row r="330">
      <c r="A330" t="str">
        <f>IFERROR(__xludf.DUMMYFUNCTION("""COMPUTED_VALUE"""),"2015-05-16-D07-HE-2")</f>
        <v>2015-05-16-D07-HE-2</v>
      </c>
    </row>
    <row r="331">
      <c r="A331" t="str">
        <f>IFERROR(__xludf.DUMMYFUNCTION("""COMPUTED_VALUE"""),"2015-05-16-D07-HE-3")</f>
        <v>2015-05-16-D07-HE-3</v>
      </c>
    </row>
    <row r="332">
      <c r="A332" t="str">
        <f>IFERROR(__xludf.DUMMYFUNCTION("""COMPUTED_VALUE"""),"2015-05-16-D07-HE-4")</f>
        <v>2015-05-16-D07-HE-4</v>
      </c>
    </row>
    <row r="333">
      <c r="A333" t="str">
        <f>IFERROR(__xludf.DUMMYFUNCTION("""COMPUTED_VALUE"""),"2015-05-16-D07-HE-5")</f>
        <v>2015-05-16-D07-HE-5</v>
      </c>
    </row>
    <row r="334">
      <c r="A334" t="str">
        <f>IFERROR(__xludf.DUMMYFUNCTION("""COMPUTED_VALUE"""),"2015-05-16-D07-HE-6")</f>
        <v>2015-05-16-D07-HE-6</v>
      </c>
    </row>
    <row r="335">
      <c r="A335" t="str">
        <f>IFERROR(__xludf.DUMMYFUNCTION("""COMPUTED_VALUE"""),"2015-05-16-D07-HE-7")</f>
        <v>2015-05-16-D07-HE-7</v>
      </c>
    </row>
    <row r="336">
      <c r="A336" t="str">
        <f>IFERROR(__xludf.DUMMYFUNCTION("""COMPUTED_VALUE"""),"2015-05-16-D07-HE-8")</f>
        <v>2015-05-16-D07-HE-8</v>
      </c>
    </row>
    <row r="337">
      <c r="A337" t="str">
        <f>IFERROR(__xludf.DUMMYFUNCTION("""COMPUTED_VALUE"""),"2015-05-16-D07-HE-9")</f>
        <v>2015-05-16-D07-HE-9</v>
      </c>
    </row>
    <row r="338">
      <c r="A338" t="str">
        <f>IFERROR(__xludf.DUMMYFUNCTION("""COMPUTED_VALUE"""),"2015-05-16-D07-HE-10")</f>
        <v>2015-05-16-D07-HE-10</v>
      </c>
    </row>
    <row r="339">
      <c r="A339" t="str">
        <f>IFERROR(__xludf.DUMMYFUNCTION("""COMPUTED_VALUE"""),"2015-05-17-D02-SO-1")</f>
        <v>2015-05-17-D02-SO-1</v>
      </c>
    </row>
    <row r="340">
      <c r="A340" t="str">
        <f>IFERROR(__xludf.DUMMYFUNCTION("""COMPUTED_VALUE"""),"2015-05-17-D02-SO-2")</f>
        <v>2015-05-17-D02-SO-2</v>
      </c>
    </row>
    <row r="341">
      <c r="A341" t="str">
        <f>IFERROR(__xludf.DUMMYFUNCTION("""COMPUTED_VALUE"""),"2015-05-17-D02-SO-3")</f>
        <v>2015-05-17-D02-SO-3</v>
      </c>
    </row>
    <row r="342">
      <c r="A342" t="str">
        <f>IFERROR(__xludf.DUMMYFUNCTION("""COMPUTED_VALUE"""),"2015-05-17-D02-SO-4")</f>
        <v>2015-05-17-D02-SO-4</v>
      </c>
    </row>
    <row r="343">
      <c r="A343" t="str">
        <f>IFERROR(__xludf.DUMMYFUNCTION("""COMPUTED_VALUE"""),"2015-05-17-D02-SO-5")</f>
        <v>2015-05-17-D02-SO-5</v>
      </c>
    </row>
    <row r="344">
      <c r="A344" t="str">
        <f>IFERROR(__xludf.DUMMYFUNCTION("""COMPUTED_VALUE"""),"2015-05-17-D02-SO-6")</f>
        <v>2015-05-17-D02-SO-6</v>
      </c>
    </row>
    <row r="345">
      <c r="A345" t="str">
        <f>IFERROR(__xludf.DUMMYFUNCTION("""COMPUTED_VALUE"""),"2015-05-17-D02-SO-7")</f>
        <v>2015-05-17-D02-SO-7</v>
      </c>
    </row>
    <row r="346">
      <c r="A346" t="str">
        <f>IFERROR(__xludf.DUMMYFUNCTION("""COMPUTED_VALUE"""),"2015-05-17-D02-SO-8")</f>
        <v>2015-05-17-D02-SO-8</v>
      </c>
    </row>
    <row r="347">
      <c r="A347" t="str">
        <f>IFERROR(__xludf.DUMMYFUNCTION("""COMPUTED_VALUE"""),"2015-05-17-D02-CU-1")</f>
        <v>2015-05-17-D02-CU-1</v>
      </c>
    </row>
    <row r="348">
      <c r="A348" t="str">
        <f>IFERROR(__xludf.DUMMYFUNCTION("""COMPUTED_VALUE"""),"2015-05-17-D02-CU-2")</f>
        <v>2015-05-17-D02-CU-2</v>
      </c>
    </row>
    <row r="349">
      <c r="A349" t="str">
        <f>IFERROR(__xludf.DUMMYFUNCTION("""COMPUTED_VALUE"""),"2015-05-17-D02-CU-3")</f>
        <v>2015-05-17-D02-CU-3</v>
      </c>
    </row>
    <row r="350">
      <c r="A350" t="str">
        <f>IFERROR(__xludf.DUMMYFUNCTION("""COMPUTED_VALUE"""),"2015-05-17-D02-CU-4")</f>
        <v>2015-05-17-D02-CU-4</v>
      </c>
    </row>
    <row r="351">
      <c r="A351" t="str">
        <f>IFERROR(__xludf.DUMMYFUNCTION("""COMPUTED_VALUE"""),"2015-05-17-D02-CU-5")</f>
        <v>2015-05-17-D02-CU-5</v>
      </c>
    </row>
    <row r="352">
      <c r="A352" t="str">
        <f>IFERROR(__xludf.DUMMYFUNCTION("""COMPUTED_VALUE"""),"2015-05-17-D02-CU-6")</f>
        <v>2015-05-17-D02-CU-6</v>
      </c>
    </row>
    <row r="353">
      <c r="A353" t="str">
        <f>IFERROR(__xludf.DUMMYFUNCTION("""COMPUTED_VALUE"""),"2015-05-17-D02-CU-7")</f>
        <v>2015-05-17-D02-CU-7</v>
      </c>
    </row>
    <row r="354">
      <c r="A354" t="str">
        <f>IFERROR(__xludf.DUMMYFUNCTION("""COMPUTED_VALUE"""),"2015-05-17-D02-CU-8")</f>
        <v>2015-05-17-D02-CU-8</v>
      </c>
    </row>
    <row r="355">
      <c r="A355" t="str">
        <f>IFERROR(__xludf.DUMMYFUNCTION("""COMPUTED_VALUE"""),"2015-05-17-D02-CU-9")</f>
        <v>2015-05-17-D02-CU-9</v>
      </c>
    </row>
    <row r="356">
      <c r="A356" t="str">
        <f>IFERROR(__xludf.DUMMYFUNCTION("""COMPUTED_VALUE"""),"2015-05-17-D02-CU-10")</f>
        <v>2015-05-17-D02-CU-10</v>
      </c>
    </row>
    <row r="357">
      <c r="A357" t="str">
        <f>IFERROR(__xludf.DUMMYFUNCTION("""COMPUTED_VALUE"""),"2015-05-18-D03-SO-1")</f>
        <v>2015-05-18-D03-SO-1</v>
      </c>
    </row>
    <row r="358">
      <c r="A358" t="str">
        <f>IFERROR(__xludf.DUMMYFUNCTION("""COMPUTED_VALUE"""),"2015-05-18-D03-SO-2")</f>
        <v>2015-05-18-D03-SO-2</v>
      </c>
    </row>
    <row r="359">
      <c r="A359" t="str">
        <f>IFERROR(__xludf.DUMMYFUNCTION("""COMPUTED_VALUE"""),"2015-05-18-D03-SO-3")</f>
        <v>2015-05-18-D03-SO-3</v>
      </c>
    </row>
    <row r="360">
      <c r="A360" t="str">
        <f>IFERROR(__xludf.DUMMYFUNCTION("""COMPUTED_VALUE"""),"2015-05-18-D03-SO-4")</f>
        <v>2015-05-18-D03-SO-4</v>
      </c>
    </row>
    <row r="361">
      <c r="A361" t="str">
        <f>IFERROR(__xludf.DUMMYFUNCTION("""COMPUTED_VALUE"""),"2015-05-18-D03-SO-5")</f>
        <v>2015-05-18-D03-SO-5</v>
      </c>
    </row>
    <row r="362">
      <c r="A362" t="str">
        <f>IFERROR(__xludf.DUMMYFUNCTION("""COMPUTED_VALUE"""),"2015-05-18-D03-SO-6")</f>
        <v>2015-05-18-D03-SO-6</v>
      </c>
    </row>
    <row r="363">
      <c r="A363" t="str">
        <f>IFERROR(__xludf.DUMMYFUNCTION("""COMPUTED_VALUE"""),"2015-05-18-D03-SO-7")</f>
        <v>2015-05-18-D03-SO-7</v>
      </c>
    </row>
    <row r="364">
      <c r="A364" t="str">
        <f>IFERROR(__xludf.DUMMYFUNCTION("""COMPUTED_VALUE"""),"2015-05-18-D03-SO-8")</f>
        <v>2015-05-18-D03-SO-8</v>
      </c>
    </row>
    <row r="365">
      <c r="A365" t="str">
        <f>IFERROR(__xludf.DUMMYFUNCTION("""COMPUTED_VALUE"""),"2015-05-18-D03-SO-9")</f>
        <v>2015-05-18-D03-SO-9</v>
      </c>
    </row>
    <row r="366">
      <c r="A366" t="str">
        <f>IFERROR(__xludf.DUMMYFUNCTION("""COMPUTED_VALUE"""),"2015-05-18-D03-SO-10")</f>
        <v>2015-05-18-D03-SO-10</v>
      </c>
    </row>
    <row r="367">
      <c r="A367" t="str">
        <f>IFERROR(__xludf.DUMMYFUNCTION("""COMPUTED_VALUE"""),"2015-05-18-D03-SO-11")</f>
        <v>2015-05-18-D03-SO-11</v>
      </c>
    </row>
    <row r="368">
      <c r="A368" t="str">
        <f>IFERROR(__xludf.DUMMYFUNCTION("""COMPUTED_VALUE"""),"2015-05-18-D03-SO-12")</f>
        <v>2015-05-18-D03-SO-12</v>
      </c>
    </row>
    <row r="369">
      <c r="A369" t="str">
        <f>IFERROR(__xludf.DUMMYFUNCTION("""COMPUTED_VALUE"""),"2015-05-18-D03-SO-13")</f>
        <v>2015-05-18-D03-SO-13</v>
      </c>
    </row>
    <row r="370">
      <c r="A370" t="str">
        <f>IFERROR(__xludf.DUMMYFUNCTION("""COMPUTED_VALUE"""),"2015-05-18-D03-SO-14")</f>
        <v>2015-05-18-D03-SO-14</v>
      </c>
    </row>
    <row r="371">
      <c r="A371" t="str">
        <f>IFERROR(__xludf.DUMMYFUNCTION("""COMPUTED_VALUE"""),"2015-05-18-D03-SO-15")</f>
        <v>2015-05-18-D03-SO-15</v>
      </c>
    </row>
    <row r="372">
      <c r="A372" t="str">
        <f>IFERROR(__xludf.DUMMYFUNCTION("""COMPUTED_VALUE"""),"2015-05-18-D03-SO-16")</f>
        <v>2015-05-18-D03-SO-16</v>
      </c>
    </row>
    <row r="373">
      <c r="A373" t="str">
        <f>IFERROR(__xludf.DUMMYFUNCTION("""COMPUTED_VALUE"""),"2015-05-18-D03-SO-17")</f>
        <v>2015-05-18-D03-SO-17</v>
      </c>
    </row>
    <row r="374">
      <c r="A374" t="str">
        <f>IFERROR(__xludf.DUMMYFUNCTION("""COMPUTED_VALUE"""),"2015-05-18-D03-SO-18")</f>
        <v>2015-05-18-D03-SO-18</v>
      </c>
    </row>
    <row r="375">
      <c r="A375" t="str">
        <f>IFERROR(__xludf.DUMMYFUNCTION("""COMPUTED_VALUE"""),"2015-05-18-D03-SO-19")</f>
        <v>2015-05-18-D03-SO-19</v>
      </c>
    </row>
    <row r="376">
      <c r="A376" t="str">
        <f>IFERROR(__xludf.DUMMYFUNCTION("""COMPUTED_VALUE"""),"2015-05-18-D03-SO-20")</f>
        <v>2015-05-18-D03-SO-20</v>
      </c>
    </row>
    <row r="377">
      <c r="A377" t="str">
        <f>IFERROR(__xludf.DUMMYFUNCTION("""COMPUTED_VALUE"""),"2015-05-18-D03-SO-21")</f>
        <v>2015-05-18-D03-SO-21</v>
      </c>
    </row>
    <row r="378">
      <c r="A378" t="str">
        <f>IFERROR(__xludf.DUMMYFUNCTION("""COMPUTED_VALUE"""),"2015-05-18-D03-SO-22")</f>
        <v>2015-05-18-D03-SO-22</v>
      </c>
    </row>
    <row r="379">
      <c r="A379" t="str">
        <f>IFERROR(__xludf.DUMMYFUNCTION("""COMPUTED_VALUE"""),"2015-05-18-D03-SO-23")</f>
        <v>2015-05-18-D03-SO-23</v>
      </c>
    </row>
    <row r="380">
      <c r="A380" t="str">
        <f>IFERROR(__xludf.DUMMYFUNCTION("""COMPUTED_VALUE"""),"2015-05-18-D03-SO-24")</f>
        <v>2015-05-18-D03-SO-24</v>
      </c>
    </row>
    <row r="381">
      <c r="A381" t="str">
        <f>IFERROR(__xludf.DUMMYFUNCTION("""COMPUTED_VALUE"""),"2015-05-18-D03-SO-25")</f>
        <v>2015-05-18-D03-SO-25</v>
      </c>
    </row>
    <row r="382">
      <c r="A382" t="str">
        <f>IFERROR(__xludf.DUMMYFUNCTION("""COMPUTED_VALUE"""),"2015-05-18-D03-SO-26")</f>
        <v>2015-05-18-D03-SO-26</v>
      </c>
    </row>
    <row r="383">
      <c r="A383" t="str">
        <f>IFERROR(__xludf.DUMMYFUNCTION("""COMPUTED_VALUE"""),"2015-05-18-D03-SO-27")</f>
        <v>2015-05-18-D03-SO-27</v>
      </c>
    </row>
    <row r="384">
      <c r="A384" t="str">
        <f>IFERROR(__xludf.DUMMYFUNCTION("""COMPUTED_VALUE"""),"2015-05-18-D03-SO-28")</f>
        <v>2015-05-18-D03-SO-28</v>
      </c>
    </row>
    <row r="385">
      <c r="A385" t="str">
        <f>IFERROR(__xludf.DUMMYFUNCTION("""COMPUTED_VALUE"""),"2015-05-18-D03-SO-29")</f>
        <v>2015-05-18-D03-SO-29</v>
      </c>
    </row>
    <row r="386">
      <c r="A386" t="str">
        <f>IFERROR(__xludf.DUMMYFUNCTION("""COMPUTED_VALUE"""),"2015-05-18-D03-SO-30")</f>
        <v>2015-05-18-D03-SO-30</v>
      </c>
    </row>
    <row r="387">
      <c r="A387" t="str">
        <f>IFERROR(__xludf.DUMMYFUNCTION("""COMPUTED_VALUE"""),"2015-05-18-D05-SO-1")</f>
        <v>2015-05-18-D05-SO-1</v>
      </c>
    </row>
    <row r="388">
      <c r="A388" t="str">
        <f>IFERROR(__xludf.DUMMYFUNCTION("""COMPUTED_VALUE"""),"2015-05-18-D05-SO-2")</f>
        <v>2015-05-18-D05-SO-2</v>
      </c>
    </row>
    <row r="389">
      <c r="A389" t="str">
        <f>IFERROR(__xludf.DUMMYFUNCTION("""COMPUTED_VALUE"""),"2015-05-18-D05-SO-3")</f>
        <v>2015-05-18-D05-SO-3</v>
      </c>
    </row>
    <row r="390">
      <c r="A390" t="str">
        <f>IFERROR(__xludf.DUMMYFUNCTION("""COMPUTED_VALUE"""),"2015-05-18-D05-SO-4")</f>
        <v>2015-05-18-D05-SO-4</v>
      </c>
    </row>
    <row r="391">
      <c r="A391" t="str">
        <f>IFERROR(__xludf.DUMMYFUNCTION("""COMPUTED_VALUE"""),"2015-05-18-D05-SO-5")</f>
        <v>2015-05-18-D05-SO-5</v>
      </c>
    </row>
    <row r="392">
      <c r="A392" t="str">
        <f>IFERROR(__xludf.DUMMYFUNCTION("""COMPUTED_VALUE"""),"2015-05-18-D05-SO-6")</f>
        <v>2015-05-18-D05-SO-6</v>
      </c>
    </row>
    <row r="393">
      <c r="A393" t="str">
        <f>IFERROR(__xludf.DUMMYFUNCTION("""COMPUTED_VALUE"""),"2015-05-18-D05-PI-1")</f>
        <v>2015-05-18-D05-PI-1</v>
      </c>
    </row>
    <row r="394">
      <c r="A394" t="str">
        <f>IFERROR(__xludf.DUMMYFUNCTION("""COMPUTED_VALUE"""),"2015-05-18-D03-CU-1")</f>
        <v>2015-05-18-D03-CU-1</v>
      </c>
    </row>
    <row r="395">
      <c r="A395" t="str">
        <f>IFERROR(__xludf.DUMMYFUNCTION("""COMPUTED_VALUE"""),"2015-05-18-D05-CU-1")</f>
        <v>2015-05-18-D05-CU-1</v>
      </c>
    </row>
    <row r="396">
      <c r="A396" t="str">
        <f>IFERROR(__xludf.DUMMYFUNCTION("""COMPUTED_VALUE"""),"2015-05-18-D05-CU-2")</f>
        <v>2015-05-18-D05-CU-2</v>
      </c>
    </row>
    <row r="397">
      <c r="A397" t="str">
        <f>IFERROR(__xludf.DUMMYFUNCTION("""COMPUTED_VALUE"""),"2015-05-18-D05-CU-3")</f>
        <v>2015-05-18-D05-CU-3</v>
      </c>
    </row>
    <row r="398">
      <c r="A398" t="str">
        <f>IFERROR(__xludf.DUMMYFUNCTION("""COMPUTED_VALUE"""),"2015-05-18-D05-CU-4")</f>
        <v>2015-05-18-D05-CU-4</v>
      </c>
    </row>
    <row r="399">
      <c r="A399" t="str">
        <f>IFERROR(__xludf.DUMMYFUNCTION("""COMPUTED_VALUE"""),"2015-05-18-D05-CU-5")</f>
        <v>2015-05-18-D05-CU-5</v>
      </c>
    </row>
    <row r="400">
      <c r="A400" t="str">
        <f>IFERROR(__xludf.DUMMYFUNCTION("""COMPUTED_VALUE"""),"2015-05-18-D05-CU-6")</f>
        <v>2015-05-18-D05-CU-6</v>
      </c>
    </row>
    <row r="401">
      <c r="A401" t="str">
        <f>IFERROR(__xludf.DUMMYFUNCTION("""COMPUTED_VALUE"""),"2015-05-18-D05-CU-7")</f>
        <v>2015-05-18-D05-CU-7</v>
      </c>
    </row>
    <row r="402">
      <c r="A402" t="str">
        <f>IFERROR(__xludf.DUMMYFUNCTION("""COMPUTED_VALUE"""),"2015-05-18-D05-CU-8")</f>
        <v>2015-05-18-D05-CU-8</v>
      </c>
    </row>
    <row r="403">
      <c r="A403" t="str">
        <f>IFERROR(__xludf.DUMMYFUNCTION("""COMPUTED_VALUE"""),"2015-05-18-D05-CU-9")</f>
        <v>2015-05-18-D05-CU-9</v>
      </c>
    </row>
    <row r="404">
      <c r="A404" t="str">
        <f>IFERROR(__xludf.DUMMYFUNCTION("""COMPUTED_VALUE"""),"2015-05-18-D05-CU-10")</f>
        <v>2015-05-18-D05-CU-10</v>
      </c>
    </row>
    <row r="405">
      <c r="A405" t="str">
        <f>IFERROR(__xludf.DUMMYFUNCTION("""COMPUTED_VALUE"""),"2015-05-18-D03-HE-1")</f>
        <v>2015-05-18-D03-HE-1</v>
      </c>
    </row>
    <row r="406">
      <c r="A406" t="str">
        <f>IFERROR(__xludf.DUMMYFUNCTION("""COMPUTED_VALUE"""),"2015-05-18-D03-HE-2")</f>
        <v>2015-05-18-D03-HE-2</v>
      </c>
    </row>
    <row r="407">
      <c r="A407" t="str">
        <f>IFERROR(__xludf.DUMMYFUNCTION("""COMPUTED_VALUE"""),"2015-05-19-D08-SO-1")</f>
        <v>2015-05-19-D08-SO-1</v>
      </c>
    </row>
    <row r="408">
      <c r="A408" t="str">
        <f>IFERROR(__xludf.DUMMYFUNCTION("""COMPUTED_VALUE"""),"2015-05-19-D08-SO-2")</f>
        <v>2015-05-19-D08-SO-2</v>
      </c>
    </row>
    <row r="409">
      <c r="A409" t="str">
        <f>IFERROR(__xludf.DUMMYFUNCTION("""COMPUTED_VALUE"""),"2015-05-19-D08-SO-3")</f>
        <v>2015-05-19-D08-SO-3</v>
      </c>
    </row>
    <row r="410">
      <c r="A410" t="str">
        <f>IFERROR(__xludf.DUMMYFUNCTION("""COMPUTED_VALUE"""),"2015-05-19-D08-SO-4")</f>
        <v>2015-05-19-D08-SO-4</v>
      </c>
    </row>
    <row r="411">
      <c r="A411" t="str">
        <f>IFERROR(__xludf.DUMMYFUNCTION("""COMPUTED_VALUE"""),"2015-05-19-D08-SO-5")</f>
        <v>2015-05-19-D08-SO-5</v>
      </c>
    </row>
    <row r="412">
      <c r="A412" t="str">
        <f>IFERROR(__xludf.DUMMYFUNCTION("""COMPUTED_VALUE"""),"2015-05-19-D08-SO-6")</f>
        <v>2015-05-19-D08-SO-6</v>
      </c>
    </row>
    <row r="413">
      <c r="A413" t="str">
        <f>IFERROR(__xludf.DUMMYFUNCTION("""COMPUTED_VALUE"""),"2015-05-19-D08-SO-7")</f>
        <v>2015-05-19-D08-SO-7</v>
      </c>
    </row>
    <row r="414">
      <c r="A414" t="str">
        <f>IFERROR(__xludf.DUMMYFUNCTION("""COMPUTED_VALUE"""),"2015-05-19-D08-SO-8")</f>
        <v>2015-05-19-D08-SO-8</v>
      </c>
    </row>
    <row r="415">
      <c r="A415" t="str">
        <f>IFERROR(__xludf.DUMMYFUNCTION("""COMPUTED_VALUE"""),"2015-05-19-D08-SO-9")</f>
        <v>2015-05-19-D08-SO-9</v>
      </c>
    </row>
    <row r="416">
      <c r="A416" t="str">
        <f>IFERROR(__xludf.DUMMYFUNCTION("""COMPUTED_VALUE"""),"2015-05-19-D08-SO-10")</f>
        <v>2015-05-19-D08-SO-10</v>
      </c>
    </row>
    <row r="417">
      <c r="A417" t="str">
        <f>IFERROR(__xludf.DUMMYFUNCTION("""COMPUTED_VALUE"""),"2015-05-19-D08-SO-11")</f>
        <v>2015-05-19-D08-SO-11</v>
      </c>
    </row>
    <row r="418">
      <c r="A418" t="str">
        <f>IFERROR(__xludf.DUMMYFUNCTION("""COMPUTED_VALUE"""),"2015-05-19-D08-SO-12")</f>
        <v>2015-05-19-D08-SO-12</v>
      </c>
    </row>
    <row r="419">
      <c r="A419" t="str">
        <f>IFERROR(__xludf.DUMMYFUNCTION("""COMPUTED_VALUE"""),"2015-05-19-D08-SO-13")</f>
        <v>2015-05-19-D08-SO-13</v>
      </c>
    </row>
    <row r="420">
      <c r="A420" t="str">
        <f>IFERROR(__xludf.DUMMYFUNCTION("""COMPUTED_VALUE"""),"2015-05-19-D08-SO-14")</f>
        <v>2015-05-19-D08-SO-14</v>
      </c>
    </row>
    <row r="421">
      <c r="A421" t="str">
        <f>IFERROR(__xludf.DUMMYFUNCTION("""COMPUTED_VALUE"""),"2015-05-19-D08-SO-15")</f>
        <v>2015-05-19-D08-SO-15</v>
      </c>
    </row>
    <row r="422">
      <c r="A422" t="str">
        <f>IFERROR(__xludf.DUMMYFUNCTION("""COMPUTED_VALUE"""),"2015-05-19-D08-SO-16")</f>
        <v>2015-05-19-D08-SO-16</v>
      </c>
    </row>
    <row r="423">
      <c r="A423" t="str">
        <f>IFERROR(__xludf.DUMMYFUNCTION("""COMPUTED_VALUE"""),"2015-05-19-D08-SO-17")</f>
        <v>2015-05-19-D08-SO-17</v>
      </c>
    </row>
    <row r="424">
      <c r="A424" t="str">
        <f>IFERROR(__xludf.DUMMYFUNCTION("""COMPUTED_VALUE"""),"2015-05-19-D08-SO-18")</f>
        <v>2015-05-19-D08-SO-18</v>
      </c>
    </row>
    <row r="425">
      <c r="A425" t="str">
        <f>IFERROR(__xludf.DUMMYFUNCTION("""COMPUTED_VALUE"""),"2015-05-19-D08-SO-19")</f>
        <v>2015-05-19-D08-SO-19</v>
      </c>
    </row>
    <row r="426">
      <c r="A426" t="str">
        <f>IFERROR(__xludf.DUMMYFUNCTION("""COMPUTED_VALUE"""),"2015-05-19-D08-SO-20")</f>
        <v>2015-05-19-D08-SO-20</v>
      </c>
    </row>
    <row r="427">
      <c r="A427" t="str">
        <f>IFERROR(__xludf.DUMMYFUNCTION("""COMPUTED_VALUE"""),"2015-05-19-D08-SO-21")</f>
        <v>2015-05-19-D08-SO-21</v>
      </c>
    </row>
    <row r="428">
      <c r="A428" t="str">
        <f>IFERROR(__xludf.DUMMYFUNCTION("""COMPUTED_VALUE"""),"2015-05-19-D08-SO-22")</f>
        <v>2015-05-19-D08-SO-22</v>
      </c>
    </row>
    <row r="429">
      <c r="A429" t="str">
        <f>IFERROR(__xludf.DUMMYFUNCTION("""COMPUTED_VALUE"""),"2015-05-19-D08-SO-23")</f>
        <v>2015-05-19-D08-SO-23</v>
      </c>
    </row>
    <row r="430">
      <c r="A430" t="str">
        <f>IFERROR(__xludf.DUMMYFUNCTION("""COMPUTED_VALUE"""),"2015-05-19-D08-SO-24")</f>
        <v>2015-05-19-D08-SO-24</v>
      </c>
    </row>
    <row r="431">
      <c r="A431" t="str">
        <f>IFERROR(__xludf.DUMMYFUNCTION("""COMPUTED_VALUE"""),"2015-05-19-D08-SO-25")</f>
        <v>2015-05-19-D08-SO-25</v>
      </c>
    </row>
    <row r="432">
      <c r="A432" t="str">
        <f>IFERROR(__xludf.DUMMYFUNCTION("""COMPUTED_VALUE"""),"2015-05-19-D08-SO-26")</f>
        <v>2015-05-19-D08-SO-26</v>
      </c>
    </row>
    <row r="433">
      <c r="A433" t="str">
        <f>IFERROR(__xludf.DUMMYFUNCTION("""COMPUTED_VALUE"""),"2015-05-19-D08-SO-27")</f>
        <v>2015-05-19-D08-SO-27</v>
      </c>
    </row>
    <row r="434">
      <c r="A434" t="str">
        <f>IFERROR(__xludf.DUMMYFUNCTION("""COMPUTED_VALUE"""),"2015-05-19-D08-SO-28")</f>
        <v>2015-05-19-D08-SO-28</v>
      </c>
    </row>
    <row r="435">
      <c r="A435" t="str">
        <f>IFERROR(__xludf.DUMMYFUNCTION("""COMPUTED_VALUE"""),"2015-05-19-D08-SO-29")</f>
        <v>2015-05-19-D08-SO-29</v>
      </c>
    </row>
    <row r="436">
      <c r="A436" t="str">
        <f>IFERROR(__xludf.DUMMYFUNCTION("""COMPUTED_VALUE"""),"2015-05-19-D08-SO-30")</f>
        <v>2015-05-19-D08-SO-30</v>
      </c>
    </row>
    <row r="437">
      <c r="A437" t="str">
        <f>IFERROR(__xludf.DUMMYFUNCTION("""COMPUTED_VALUE"""),"2015-05-19-D08-PI-1")</f>
        <v>2015-05-19-D08-PI-1</v>
      </c>
    </row>
    <row r="438">
      <c r="A438" t="str">
        <f>IFERROR(__xludf.DUMMYFUNCTION("""COMPUTED_VALUE"""),"2015-05-19-D08-PI-2")</f>
        <v>2015-05-19-D08-PI-2</v>
      </c>
    </row>
    <row r="439">
      <c r="A439" t="str">
        <f>IFERROR(__xludf.DUMMYFUNCTION("""COMPUTED_VALUE"""),"2015-05-19-D08-CU-1")</f>
        <v>2015-05-19-D08-CU-1</v>
      </c>
    </row>
    <row r="440">
      <c r="A440" t="str">
        <f>IFERROR(__xludf.DUMMYFUNCTION("""COMPUTED_VALUE"""),"2015-05-19-D08-CU-2")</f>
        <v>2015-05-19-D08-CU-2</v>
      </c>
    </row>
    <row r="441">
      <c r="A441" t="str">
        <f>IFERROR(__xludf.DUMMYFUNCTION("""COMPUTED_VALUE"""),"2015-05-19-D08-CU-3")</f>
        <v>2015-05-19-D08-CU-3</v>
      </c>
    </row>
    <row r="442">
      <c r="A442" t="str">
        <f>IFERROR(__xludf.DUMMYFUNCTION("""COMPUTED_VALUE"""),"2015-05-19-D08-CU-4")</f>
        <v>2015-05-19-D08-CU-4</v>
      </c>
    </row>
    <row r="443">
      <c r="A443" t="str">
        <f>IFERROR(__xludf.DUMMYFUNCTION("""COMPUTED_VALUE"""),"2015-05-19-D08-CU-5")</f>
        <v>2015-05-19-D08-CU-5</v>
      </c>
    </row>
    <row r="444">
      <c r="A444" t="str">
        <f>IFERROR(__xludf.DUMMYFUNCTION("""COMPUTED_VALUE"""),"2015-05-19-D08-CU-6")</f>
        <v>2015-05-19-D08-CU-6</v>
      </c>
    </row>
    <row r="445">
      <c r="A445" t="str">
        <f>IFERROR(__xludf.DUMMYFUNCTION("""COMPUTED_VALUE"""),"2015-05-19-D08-CU-7")</f>
        <v>2015-05-19-D08-CU-7</v>
      </c>
    </row>
    <row r="446">
      <c r="A446" t="str">
        <f>IFERROR(__xludf.DUMMYFUNCTION("""COMPUTED_VALUE"""),"2015-05-19-D08-CU-8")</f>
        <v>2015-05-19-D08-CU-8</v>
      </c>
    </row>
    <row r="447">
      <c r="A447" t="str">
        <f>IFERROR(__xludf.DUMMYFUNCTION("""COMPUTED_VALUE"""),"2015-05-19-D08-CU-9")</f>
        <v>2015-05-19-D08-CU-9</v>
      </c>
    </row>
    <row r="448">
      <c r="A448" t="str">
        <f>IFERROR(__xludf.DUMMYFUNCTION("""COMPUTED_VALUE"""),"2015-05-19-D08-CU-10")</f>
        <v>2015-05-19-D08-CU-10</v>
      </c>
    </row>
    <row r="449">
      <c r="A449" t="str">
        <f>IFERROR(__xludf.DUMMYFUNCTION("""COMPUTED_VALUE"""),"2015-05-19-D08-CO-1")</f>
        <v>2015-05-19-D08-CO-1</v>
      </c>
    </row>
    <row r="450">
      <c r="A450" t="str">
        <f>IFERROR(__xludf.DUMMYFUNCTION("""COMPUTED_VALUE"""),"2015-05-19-D08-CO-2")</f>
        <v>2015-05-19-D08-CO-2</v>
      </c>
    </row>
    <row r="451">
      <c r="A451" t="str">
        <f>IFERROR(__xludf.DUMMYFUNCTION("""COMPUTED_VALUE"""),"2015-05-19-D08-HE-1")</f>
        <v>2015-05-19-D08-HE-1</v>
      </c>
    </row>
    <row r="452">
      <c r="A452" t="str">
        <f>IFERROR(__xludf.DUMMYFUNCTION("""COMPUTED_VALUE"""),"2015-05-19-D08-HE-2")</f>
        <v>2015-05-19-D08-HE-2</v>
      </c>
    </row>
    <row r="453">
      <c r="A453" t="str">
        <f>IFERROR(__xludf.DUMMYFUNCTION("""COMPUTED_VALUE"""),"2015-05-19-D08-HE-3")</f>
        <v>2015-05-19-D08-HE-3</v>
      </c>
    </row>
    <row r="454">
      <c r="A454" t="str">
        <f>IFERROR(__xludf.DUMMYFUNCTION("""COMPUTED_VALUE"""),"2015-05-19-D08-HE-4")</f>
        <v>2015-05-19-D08-HE-4</v>
      </c>
    </row>
    <row r="455">
      <c r="A455" t="str">
        <f>IFERROR(__xludf.DUMMYFUNCTION("""COMPUTED_VALUE"""),"2015-05-19-D08-HE-5")</f>
        <v>2015-05-19-D08-HE-5</v>
      </c>
    </row>
    <row r="456">
      <c r="A456" t="str">
        <f>IFERROR(__xludf.DUMMYFUNCTION("""COMPUTED_VALUE"""),"2015-05-20-D09-SO-1")</f>
        <v>2015-05-20-D09-SO-1</v>
      </c>
    </row>
    <row r="457">
      <c r="A457" t="str">
        <f>IFERROR(__xludf.DUMMYFUNCTION("""COMPUTED_VALUE"""),"2015-05-20-D09-SO-2")</f>
        <v>2015-05-20-D09-SO-2</v>
      </c>
    </row>
    <row r="458">
      <c r="A458" t="str">
        <f>IFERROR(__xludf.DUMMYFUNCTION("""COMPUTED_VALUE"""),"2015-05-20-D09-SO-3")</f>
        <v>2015-05-20-D09-SO-3</v>
      </c>
    </row>
    <row r="459">
      <c r="A459" t="str">
        <f>IFERROR(__xludf.DUMMYFUNCTION("""COMPUTED_VALUE"""),"2015-05-20-D09-SO-4")</f>
        <v>2015-05-20-D09-SO-4</v>
      </c>
    </row>
    <row r="460">
      <c r="A460" t="str">
        <f>IFERROR(__xludf.DUMMYFUNCTION("""COMPUTED_VALUE"""),"2015-05-20-D09-SO-5")</f>
        <v>2015-05-20-D09-SO-5</v>
      </c>
    </row>
    <row r="461">
      <c r="A461" t="str">
        <f>IFERROR(__xludf.DUMMYFUNCTION("""COMPUTED_VALUE"""),"2015-05-20-D09-SO-6")</f>
        <v>2015-05-20-D09-SO-6</v>
      </c>
    </row>
    <row r="462">
      <c r="A462" t="str">
        <f>IFERROR(__xludf.DUMMYFUNCTION("""COMPUTED_VALUE"""),"2015-05-20-D09-SO-7")</f>
        <v>2015-05-20-D09-SO-7</v>
      </c>
    </row>
    <row r="463">
      <c r="A463" t="str">
        <f>IFERROR(__xludf.DUMMYFUNCTION("""COMPUTED_VALUE"""),"2015-05-20-D09-SO-8")</f>
        <v>2015-05-20-D09-SO-8</v>
      </c>
    </row>
    <row r="464">
      <c r="A464" t="str">
        <f>IFERROR(__xludf.DUMMYFUNCTION("""COMPUTED_VALUE"""),"2015-05-20-D09-SO-9")</f>
        <v>2015-05-20-D09-SO-9</v>
      </c>
    </row>
    <row r="465">
      <c r="A465" t="str">
        <f>IFERROR(__xludf.DUMMYFUNCTION("""COMPUTED_VALUE"""),"2015-05-20-D09-SO-10")</f>
        <v>2015-05-20-D09-SO-10</v>
      </c>
    </row>
    <row r="466">
      <c r="A466" t="str">
        <f>IFERROR(__xludf.DUMMYFUNCTION("""COMPUTED_VALUE"""),"2015-05-20-D09-SO-11")</f>
        <v>2015-05-20-D09-SO-11</v>
      </c>
    </row>
    <row r="467">
      <c r="A467" t="str">
        <f>IFERROR(__xludf.DUMMYFUNCTION("""COMPUTED_VALUE"""),"2015-05-20-D09-SO-12")</f>
        <v>2015-05-20-D09-SO-12</v>
      </c>
    </row>
    <row r="468">
      <c r="A468" t="str">
        <f>IFERROR(__xludf.DUMMYFUNCTION("""COMPUTED_VALUE"""),"2015-05-20-D09-SO-13")</f>
        <v>2015-05-20-D09-SO-13</v>
      </c>
    </row>
    <row r="469">
      <c r="A469" t="str">
        <f>IFERROR(__xludf.DUMMYFUNCTION("""COMPUTED_VALUE"""),"2015-05-20-D09-SO-14")</f>
        <v>2015-05-20-D09-SO-14</v>
      </c>
    </row>
    <row r="470">
      <c r="A470" t="str">
        <f>IFERROR(__xludf.DUMMYFUNCTION("""COMPUTED_VALUE"""),"2015-05-20-D09-SO-15")</f>
        <v>2015-05-20-D09-SO-15</v>
      </c>
    </row>
    <row r="471">
      <c r="A471" t="str">
        <f>IFERROR(__xludf.DUMMYFUNCTION("""COMPUTED_VALUE"""),"2015-05-20-D09-SO-16")</f>
        <v>2015-05-20-D09-SO-16</v>
      </c>
    </row>
    <row r="472">
      <c r="A472" t="str">
        <f>IFERROR(__xludf.DUMMYFUNCTION("""COMPUTED_VALUE"""),"2015-05-20-D09-SO-17")</f>
        <v>2015-05-20-D09-SO-17</v>
      </c>
    </row>
    <row r="473">
      <c r="A473" t="str">
        <f>IFERROR(__xludf.DUMMYFUNCTION("""COMPUTED_VALUE"""),"2015-05-20-D09-SO-18")</f>
        <v>2015-05-20-D09-SO-18</v>
      </c>
    </row>
    <row r="474">
      <c r="A474" t="str">
        <f>IFERROR(__xludf.DUMMYFUNCTION("""COMPUTED_VALUE"""),"2015-05-20-D09-SO-19")</f>
        <v>2015-05-20-D09-SO-19</v>
      </c>
    </row>
    <row r="475">
      <c r="A475" t="str">
        <f>IFERROR(__xludf.DUMMYFUNCTION("""COMPUTED_VALUE"""),"2015-05-20-D09-SO-20")</f>
        <v>2015-05-20-D09-SO-20</v>
      </c>
    </row>
    <row r="476">
      <c r="A476" t="str">
        <f>IFERROR(__xludf.DUMMYFUNCTION("""COMPUTED_VALUE"""),"2015-05-20-D09-SO-21")</f>
        <v>2015-05-20-D09-SO-21</v>
      </c>
    </row>
    <row r="477">
      <c r="A477" t="str">
        <f>IFERROR(__xludf.DUMMYFUNCTION("""COMPUTED_VALUE"""),"2015-05-20-D09-SO-22")</f>
        <v>2015-05-20-D09-SO-22</v>
      </c>
    </row>
    <row r="478">
      <c r="A478" t="str">
        <f>IFERROR(__xludf.DUMMYFUNCTION("""COMPUTED_VALUE"""),"2015-05-20-D09-SO-23")</f>
        <v>2015-05-20-D09-SO-23</v>
      </c>
    </row>
    <row r="479">
      <c r="A479" t="str">
        <f>IFERROR(__xludf.DUMMYFUNCTION("""COMPUTED_VALUE"""),"2015-05-20-D09-SO-24")</f>
        <v>2015-05-20-D09-SO-24</v>
      </c>
    </row>
    <row r="480">
      <c r="A480" t="str">
        <f>IFERROR(__xludf.DUMMYFUNCTION("""COMPUTED_VALUE"""),"2015-05-20-D09-SO-25")</f>
        <v>2015-05-20-D09-SO-25</v>
      </c>
    </row>
    <row r="481">
      <c r="A481" t="str">
        <f>IFERROR(__xludf.DUMMYFUNCTION("""COMPUTED_VALUE"""),"2015-05-20-D09-SO-26")</f>
        <v>2015-05-20-D09-SO-26</v>
      </c>
    </row>
    <row r="482">
      <c r="A482" t="str">
        <f>IFERROR(__xludf.DUMMYFUNCTION("""COMPUTED_VALUE"""),"2015-05-20-D09-SO-27")</f>
        <v>2015-05-20-D09-SO-27</v>
      </c>
    </row>
    <row r="483">
      <c r="A483" t="str">
        <f>IFERROR(__xludf.DUMMYFUNCTION("""COMPUTED_VALUE"""),"2015-05-20-D09-SO-28")</f>
        <v>2015-05-20-D09-SO-28</v>
      </c>
    </row>
    <row r="484">
      <c r="A484" t="str">
        <f>IFERROR(__xludf.DUMMYFUNCTION("""COMPUTED_VALUE"""),"2015-05-20-D09-SO-29")</f>
        <v>2015-05-20-D09-SO-29</v>
      </c>
    </row>
    <row r="485">
      <c r="A485" t="str">
        <f>IFERROR(__xludf.DUMMYFUNCTION("""COMPUTED_VALUE"""),"2015-05-20-D09-SO-30")</f>
        <v>2015-05-20-D09-SO-30</v>
      </c>
    </row>
    <row r="486">
      <c r="A486" t="str">
        <f>IFERROR(__xludf.DUMMYFUNCTION("""COMPUTED_VALUE"""),"2015-05-20-J05-SO-1")</f>
        <v>2015-05-20-J05-SO-1</v>
      </c>
    </row>
    <row r="487">
      <c r="A487" t="str">
        <f>IFERROR(__xludf.DUMMYFUNCTION("""COMPUTED_VALUE"""),"2015-05-20-J05-SO-2")</f>
        <v>2015-05-20-J05-SO-2</v>
      </c>
    </row>
    <row r="488">
      <c r="A488" t="str">
        <f>IFERROR(__xludf.DUMMYFUNCTION("""COMPUTED_VALUE"""),"2015-05-20-J05-SO-3")</f>
        <v>2015-05-20-J05-SO-3</v>
      </c>
    </row>
    <row r="489">
      <c r="A489" t="str">
        <f>IFERROR(__xludf.DUMMYFUNCTION("""COMPUTED_VALUE"""),"2015-05-20-J05-SO-4")</f>
        <v>2015-05-20-J05-SO-4</v>
      </c>
    </row>
    <row r="490">
      <c r="A490" t="str">
        <f>IFERROR(__xludf.DUMMYFUNCTION("""COMPUTED_VALUE"""),"2015-05-20-J05-SO-5")</f>
        <v>2015-05-20-J05-SO-5</v>
      </c>
    </row>
    <row r="491">
      <c r="A491" t="str">
        <f>IFERROR(__xludf.DUMMYFUNCTION("""COMPUTED_VALUE"""),"2015-05-20-J05-SO-6")</f>
        <v>2015-05-20-J05-SO-6</v>
      </c>
    </row>
    <row r="492">
      <c r="A492" t="str">
        <f>IFERROR(__xludf.DUMMYFUNCTION("""COMPUTED_VALUE"""),"2015-05-20-J05-SO-7")</f>
        <v>2015-05-20-J05-SO-7</v>
      </c>
    </row>
    <row r="493">
      <c r="A493" t="str">
        <f>IFERROR(__xludf.DUMMYFUNCTION("""COMPUTED_VALUE"""),"2015-05-20-J05-SO-8")</f>
        <v>2015-05-20-J05-SO-8</v>
      </c>
    </row>
    <row r="494">
      <c r="A494" t="str">
        <f>IFERROR(__xludf.DUMMYFUNCTION("""COMPUTED_VALUE"""),"2015-05-20-J05-SO-9")</f>
        <v>2015-05-20-J05-SO-9</v>
      </c>
    </row>
    <row r="495">
      <c r="A495" t="str">
        <f>IFERROR(__xludf.DUMMYFUNCTION("""COMPUTED_VALUE"""),"2015-05-20-J05-SO-10")</f>
        <v>2015-05-20-J05-SO-10</v>
      </c>
    </row>
    <row r="496">
      <c r="A496" t="str">
        <f>IFERROR(__xludf.DUMMYFUNCTION("""COMPUTED_VALUE"""),"2015-05-20-J05-SO-11")</f>
        <v>2015-05-20-J05-SO-11</v>
      </c>
    </row>
    <row r="497">
      <c r="A497" t="str">
        <f>IFERROR(__xludf.DUMMYFUNCTION("""COMPUTED_VALUE"""),"2015-05-20-J05-SO-12")</f>
        <v>2015-05-20-J05-SO-12</v>
      </c>
    </row>
    <row r="498">
      <c r="A498" t="str">
        <f>IFERROR(__xludf.DUMMYFUNCTION("""COMPUTED_VALUE"""),"2015-05-20-J05-SO-13")</f>
        <v>2015-05-20-J05-SO-13</v>
      </c>
    </row>
    <row r="499">
      <c r="A499" t="str">
        <f>IFERROR(__xludf.DUMMYFUNCTION("""COMPUTED_VALUE"""),"2015-05-20-J05-SO-14")</f>
        <v>2015-05-20-J05-SO-14</v>
      </c>
    </row>
    <row r="500">
      <c r="A500" t="str">
        <f>IFERROR(__xludf.DUMMYFUNCTION("""COMPUTED_VALUE"""),"2015-05-20-J05-SO-15")</f>
        <v>2015-05-20-J05-SO-15</v>
      </c>
    </row>
    <row r="501">
      <c r="A501" t="str">
        <f>IFERROR(__xludf.DUMMYFUNCTION("""COMPUTED_VALUE"""),"2015-05-20-J05-SO-16")</f>
        <v>2015-05-20-J05-SO-16</v>
      </c>
    </row>
    <row r="502">
      <c r="A502" t="str">
        <f>IFERROR(__xludf.DUMMYFUNCTION("""COMPUTED_VALUE"""),"2015-05-20-J05-SO-17")</f>
        <v>2015-05-20-J05-SO-17</v>
      </c>
    </row>
    <row r="503">
      <c r="A503" t="str">
        <f>IFERROR(__xludf.DUMMYFUNCTION("""COMPUTED_VALUE"""),"2015-05-20-J05-SO-18")</f>
        <v>2015-05-20-J05-SO-18</v>
      </c>
    </row>
    <row r="504">
      <c r="A504" t="str">
        <f>IFERROR(__xludf.DUMMYFUNCTION("""COMPUTED_VALUE"""),"2015-05-20-J05-SO-19")</f>
        <v>2015-05-20-J05-SO-19</v>
      </c>
    </row>
    <row r="505">
      <c r="A505" t="str">
        <f>IFERROR(__xludf.DUMMYFUNCTION("""COMPUTED_VALUE"""),"2015-05-20-J05-SO-20")</f>
        <v>2015-05-20-J05-SO-20</v>
      </c>
    </row>
    <row r="506">
      <c r="A506" t="str">
        <f>IFERROR(__xludf.DUMMYFUNCTION("""COMPUTED_VALUE"""),"2015-05-20-J05-SO-21")</f>
        <v>2015-05-20-J05-SO-21</v>
      </c>
    </row>
    <row r="507">
      <c r="A507" t="str">
        <f>IFERROR(__xludf.DUMMYFUNCTION("""COMPUTED_VALUE"""),"2015-05-20-J05-SO-22")</f>
        <v>2015-05-20-J05-SO-22</v>
      </c>
    </row>
    <row r="508">
      <c r="A508" t="str">
        <f>IFERROR(__xludf.DUMMYFUNCTION("""COMPUTED_VALUE"""),"2015-05-20-J05-SO-23")</f>
        <v>2015-05-20-J05-SO-23</v>
      </c>
    </row>
    <row r="509">
      <c r="A509" t="str">
        <f>IFERROR(__xludf.DUMMYFUNCTION("""COMPUTED_VALUE"""),"2015-05-20-J05-SO-24")</f>
        <v>2015-05-20-J05-SO-24</v>
      </c>
    </row>
    <row r="510">
      <c r="A510" t="str">
        <f>IFERROR(__xludf.DUMMYFUNCTION("""COMPUTED_VALUE"""),"2015-05-20-J05-SO-25")</f>
        <v>2015-05-20-J05-SO-25</v>
      </c>
    </row>
    <row r="511">
      <c r="A511" t="str">
        <f>IFERROR(__xludf.DUMMYFUNCTION("""COMPUTED_VALUE"""),"2015-05-20-J05-SO-26")</f>
        <v>2015-05-20-J05-SO-26</v>
      </c>
    </row>
    <row r="512">
      <c r="A512" t="str">
        <f>IFERROR(__xludf.DUMMYFUNCTION("""COMPUTED_VALUE"""),"2015-05-20-J05-SO-27")</f>
        <v>2015-05-20-J05-SO-27</v>
      </c>
    </row>
    <row r="513">
      <c r="A513" t="str">
        <f>IFERROR(__xludf.DUMMYFUNCTION("""COMPUTED_VALUE"""),"2015-05-20-J05-SO-28")</f>
        <v>2015-05-20-J05-SO-28</v>
      </c>
    </row>
    <row r="514">
      <c r="A514" t="str">
        <f>IFERROR(__xludf.DUMMYFUNCTION("""COMPUTED_VALUE"""),"2015-05-20-J05-SO-29")</f>
        <v>2015-05-20-J05-SO-29</v>
      </c>
    </row>
    <row r="515">
      <c r="A515" t="str">
        <f>IFERROR(__xludf.DUMMYFUNCTION("""COMPUTED_VALUE"""),"2015-05-20-J05-SO-30")</f>
        <v>2015-05-20-J05-SO-30</v>
      </c>
    </row>
    <row r="516">
      <c r="A516" t="str">
        <f>IFERROR(__xludf.DUMMYFUNCTION("""COMPUTED_VALUE"""),"2015-05-20-J05-PI-1")</f>
        <v>2015-05-20-J05-PI-1</v>
      </c>
    </row>
    <row r="517">
      <c r="A517" t="str">
        <f>IFERROR(__xludf.DUMMYFUNCTION("""COMPUTED_VALUE"""),"2015-05-20-D09-CU-1")</f>
        <v>2015-05-20-D09-CU-1</v>
      </c>
    </row>
    <row r="518">
      <c r="A518" t="str">
        <f>IFERROR(__xludf.DUMMYFUNCTION("""COMPUTED_VALUE"""),"2015-05-20-D09-CU-2")</f>
        <v>2015-05-20-D09-CU-2</v>
      </c>
    </row>
    <row r="519">
      <c r="A519" t="str">
        <f>IFERROR(__xludf.DUMMYFUNCTION("""COMPUTED_VALUE"""),"2015-05-20-D09-CU-3")</f>
        <v>2015-05-20-D09-CU-3</v>
      </c>
    </row>
    <row r="520">
      <c r="A520" t="str">
        <f>IFERROR(__xludf.DUMMYFUNCTION("""COMPUTED_VALUE"""),"2015-05-20-D09-CU-4")</f>
        <v>2015-05-20-D09-CU-4</v>
      </c>
    </row>
    <row r="521">
      <c r="A521" t="str">
        <f>IFERROR(__xludf.DUMMYFUNCTION("""COMPUTED_VALUE"""),"2015-05-20-D09-CU-5")</f>
        <v>2015-05-20-D09-CU-5</v>
      </c>
    </row>
    <row r="522">
      <c r="A522" t="str">
        <f>IFERROR(__xludf.DUMMYFUNCTION("""COMPUTED_VALUE"""),"2015-05-20-D09-CU-6")</f>
        <v>2015-05-20-D09-CU-6</v>
      </c>
    </row>
    <row r="523">
      <c r="A523" t="str">
        <f>IFERROR(__xludf.DUMMYFUNCTION("""COMPUTED_VALUE"""),"2015-05-20-D09-CU-7")</f>
        <v>2015-05-20-D09-CU-7</v>
      </c>
    </row>
    <row r="524">
      <c r="A524" t="str">
        <f>IFERROR(__xludf.DUMMYFUNCTION("""COMPUTED_VALUE"""),"2015-05-20-D09-CU-8")</f>
        <v>2015-05-20-D09-CU-8</v>
      </c>
    </row>
    <row r="525">
      <c r="A525" t="str">
        <f>IFERROR(__xludf.DUMMYFUNCTION("""COMPUTED_VALUE"""),"2015-05-20-D09-CU-9")</f>
        <v>2015-05-20-D09-CU-9</v>
      </c>
    </row>
    <row r="526">
      <c r="A526" t="str">
        <f>IFERROR(__xludf.DUMMYFUNCTION("""COMPUTED_VALUE"""),"2015-05-20-D09-CU-10")</f>
        <v>2015-05-20-D09-CU-10</v>
      </c>
    </row>
    <row r="527">
      <c r="A527" t="str">
        <f>IFERROR(__xludf.DUMMYFUNCTION("""COMPUTED_VALUE"""),"2015-05-20-J05-CU-1")</f>
        <v>2015-05-20-J05-CU-1</v>
      </c>
    </row>
    <row r="528">
      <c r="A528" t="str">
        <f>IFERROR(__xludf.DUMMYFUNCTION("""COMPUTED_VALUE"""),"2015-05-20-J05-CU-2")</f>
        <v>2015-05-20-J05-CU-2</v>
      </c>
    </row>
    <row r="529">
      <c r="A529" t="str">
        <f>IFERROR(__xludf.DUMMYFUNCTION("""COMPUTED_VALUE"""),"2015-05-20-J05-CU-3")</f>
        <v>2015-05-20-J05-CU-3</v>
      </c>
    </row>
    <row r="530">
      <c r="A530" t="str">
        <f>IFERROR(__xludf.DUMMYFUNCTION("""COMPUTED_VALUE"""),"2015-05-20-J05-CU-4")</f>
        <v>2015-05-20-J05-CU-4</v>
      </c>
    </row>
    <row r="531">
      <c r="A531" t="str">
        <f>IFERROR(__xludf.DUMMYFUNCTION("""COMPUTED_VALUE"""),"2015-05-20-J05-CU-5")</f>
        <v>2015-05-20-J05-CU-5</v>
      </c>
    </row>
    <row r="532">
      <c r="A532" t="str">
        <f>IFERROR(__xludf.DUMMYFUNCTION("""COMPUTED_VALUE"""),"2015-05-20-J05-CU-6")</f>
        <v>2015-05-20-J05-CU-6</v>
      </c>
    </row>
    <row r="533">
      <c r="A533" t="str">
        <f>IFERROR(__xludf.DUMMYFUNCTION("""COMPUTED_VALUE"""),"2015-05-20-J05-CU-7")</f>
        <v>2015-05-20-J05-CU-7</v>
      </c>
    </row>
    <row r="534">
      <c r="A534" t="str">
        <f>IFERROR(__xludf.DUMMYFUNCTION("""COMPUTED_VALUE"""),"2015-05-20-J05-CU-8")</f>
        <v>2015-05-20-J05-CU-8</v>
      </c>
    </row>
    <row r="535">
      <c r="A535" t="str">
        <f>IFERROR(__xludf.DUMMYFUNCTION("""COMPUTED_VALUE"""),"2015-05-20-J05-CU-9")</f>
        <v>2015-05-20-J05-CU-9</v>
      </c>
    </row>
    <row r="536">
      <c r="A536" t="str">
        <f>IFERROR(__xludf.DUMMYFUNCTION("""COMPUTED_VALUE"""),"2015-05-20-J05-CU-10")</f>
        <v>2015-05-20-J05-CU-10</v>
      </c>
    </row>
    <row r="537">
      <c r="A537" t="str">
        <f>IFERROR(__xludf.DUMMYFUNCTION("""COMPUTED_VALUE"""),"2015-05-20-D09-CO-1")</f>
        <v>2015-05-20-D09-CO-1</v>
      </c>
    </row>
    <row r="538">
      <c r="A538" t="str">
        <f>IFERROR(__xludf.DUMMYFUNCTION("""COMPUTED_VALUE"""),"2015-05-20-J05-CO-1")</f>
        <v>2015-05-20-J05-CO-1</v>
      </c>
    </row>
    <row r="539">
      <c r="A539" t="str">
        <f>IFERROR(__xludf.DUMMYFUNCTION("""COMPUTED_VALUE"""),"2015-05-20-J05-CO-2")</f>
        <v>2015-05-20-J05-CO-2</v>
      </c>
    </row>
    <row r="540">
      <c r="A540" t="str">
        <f>IFERROR(__xludf.DUMMYFUNCTION("""COMPUTED_VALUE"""),"2015-05-20-J05-CO-3")</f>
        <v>2015-05-20-J05-CO-3</v>
      </c>
    </row>
    <row r="541">
      <c r="A541" t="str">
        <f>IFERROR(__xludf.DUMMYFUNCTION("""COMPUTED_VALUE"""),"2015-05-20-J05-CO-4")</f>
        <v>2015-05-20-J05-CO-4</v>
      </c>
    </row>
    <row r="542">
      <c r="A542" t="str">
        <f>IFERROR(__xludf.DUMMYFUNCTION("""COMPUTED_VALUE"""),"2015-05-20-J05-CO-5")</f>
        <v>2015-05-20-J05-CO-5</v>
      </c>
    </row>
    <row r="543">
      <c r="A543" t="str">
        <f>IFERROR(__xludf.DUMMYFUNCTION("""COMPUTED_VALUE"""),"2015-05-20-J05-CO-6")</f>
        <v>2015-05-20-J05-CO-6</v>
      </c>
    </row>
    <row r="544">
      <c r="A544" t="str">
        <f>IFERROR(__xludf.DUMMYFUNCTION("""COMPUTED_VALUE"""),"2015-05-20-D09-HE-1")</f>
        <v>2015-05-20-D09-HE-1</v>
      </c>
    </row>
    <row r="545">
      <c r="A545" t="str">
        <f>IFERROR(__xludf.DUMMYFUNCTION("""COMPUTED_VALUE"""),"2015-05-20-D09-HE-2")</f>
        <v>2015-05-20-D09-HE-2</v>
      </c>
    </row>
    <row r="546">
      <c r="A546" t="str">
        <f>IFERROR(__xludf.DUMMYFUNCTION("""COMPUTED_VALUE"""),"2015-05-20-D09-HE-3")</f>
        <v>2015-05-20-D09-HE-3</v>
      </c>
    </row>
    <row r="547">
      <c r="A547" t="str">
        <f>IFERROR(__xludf.DUMMYFUNCTION("""COMPUTED_VALUE"""),"2015-05-20-D09-HE-4")</f>
        <v>2015-05-20-D09-HE-4</v>
      </c>
    </row>
    <row r="548">
      <c r="A548" t="str">
        <f>IFERROR(__xludf.DUMMYFUNCTION("""COMPUTED_VALUE"""),"2015-05-20-D09-HE-5")</f>
        <v>2015-05-20-D09-HE-5</v>
      </c>
    </row>
    <row r="549">
      <c r="A549" t="str">
        <f>IFERROR(__xludf.DUMMYFUNCTION("""COMPUTED_VALUE"""),"2015-05-20-D09-HE-6")</f>
        <v>2015-05-20-D09-HE-6</v>
      </c>
    </row>
    <row r="550">
      <c r="A550" t="str">
        <f>IFERROR(__xludf.DUMMYFUNCTION("""COMPUTED_VALUE"""),"2015-05-20-D09-HE-7")</f>
        <v>2015-05-20-D09-HE-7</v>
      </c>
    </row>
    <row r="551">
      <c r="A551" t="str">
        <f>IFERROR(__xludf.DUMMYFUNCTION("""COMPUTED_VALUE"""),"2015-05-20-D09-HE-8")</f>
        <v>2015-05-20-D09-HE-8</v>
      </c>
    </row>
    <row r="552">
      <c r="A552" t="str">
        <f>IFERROR(__xludf.DUMMYFUNCTION("""COMPUTED_VALUE"""),"2015-05-20-D09-HE-9")</f>
        <v>2015-05-20-D09-HE-9</v>
      </c>
    </row>
    <row r="553">
      <c r="A553" t="str">
        <f>IFERROR(__xludf.DUMMYFUNCTION("""COMPUTED_VALUE"""),"2015-05-20-D09-HE-10")</f>
        <v>2015-05-20-D09-HE-10</v>
      </c>
    </row>
    <row r="554">
      <c r="A554" t="str">
        <f>IFERROR(__xludf.DUMMYFUNCTION("""COMPUTED_VALUE"""),"2015-05-20-J05-HE-1")</f>
        <v>2015-05-20-J05-HE-1</v>
      </c>
    </row>
    <row r="555">
      <c r="A555" t="str">
        <f>IFERROR(__xludf.DUMMYFUNCTION("""COMPUTED_VALUE"""),"2015-05-20-J05-HE-2")</f>
        <v>2015-05-20-J05-HE-2</v>
      </c>
    </row>
    <row r="556">
      <c r="A556" t="str">
        <f>IFERROR(__xludf.DUMMYFUNCTION("""COMPUTED_VALUE"""),"2015-05-20-J05-HE-3")</f>
        <v>2015-05-20-J05-HE-3</v>
      </c>
    </row>
    <row r="557">
      <c r="A557" t="str">
        <f>IFERROR(__xludf.DUMMYFUNCTION("""COMPUTED_VALUE"""),"2015-05-20-J05-HE-4")</f>
        <v>2015-05-20-J05-HE-4</v>
      </c>
    </row>
    <row r="558">
      <c r="A558" t="str">
        <f>IFERROR(__xludf.DUMMYFUNCTION("""COMPUTED_VALUE"""),"2015-05-21-D03-SO-1")</f>
        <v>2015-05-21-D03-SO-1</v>
      </c>
    </row>
    <row r="559">
      <c r="A559" t="str">
        <f>IFERROR(__xludf.DUMMYFUNCTION("""COMPUTED_VALUE"""),"2015-05-21-D03-SO-2")</f>
        <v>2015-05-21-D03-SO-2</v>
      </c>
    </row>
    <row r="560">
      <c r="A560" t="str">
        <f>IFERROR(__xludf.DUMMYFUNCTION("""COMPUTED_VALUE"""),"2015-05-21-D03-SO-3")</f>
        <v>2015-05-21-D03-SO-3</v>
      </c>
    </row>
    <row r="561">
      <c r="A561" t="str">
        <f>IFERROR(__xludf.DUMMYFUNCTION("""COMPUTED_VALUE"""),"2015-05-21-D07-SO-1")</f>
        <v>2015-05-21-D07-SO-1</v>
      </c>
    </row>
    <row r="562">
      <c r="A562" t="str">
        <f>IFERROR(__xludf.DUMMYFUNCTION("""COMPUTED_VALUE"""),"2015-05-21-D07-SO-2")</f>
        <v>2015-05-21-D07-SO-2</v>
      </c>
    </row>
    <row r="563">
      <c r="A563" t="str">
        <f>IFERROR(__xludf.DUMMYFUNCTION("""COMPUTED_VALUE"""),"2015-05-21-D07-SO-3")</f>
        <v>2015-05-21-D07-SO-3</v>
      </c>
    </row>
    <row r="564">
      <c r="A564" t="str">
        <f>IFERROR(__xludf.DUMMYFUNCTION("""COMPUTED_VALUE"""),"2015-05-21-D07-SO-4")</f>
        <v>2015-05-21-D07-SO-4</v>
      </c>
    </row>
    <row r="565">
      <c r="A565" t="str">
        <f>IFERROR(__xludf.DUMMYFUNCTION("""COMPUTED_VALUE"""),"2015-05-21-D07-SO-5")</f>
        <v>2015-05-21-D07-SO-5</v>
      </c>
    </row>
    <row r="566">
      <c r="A566" t="str">
        <f>IFERROR(__xludf.DUMMYFUNCTION("""COMPUTED_VALUE"""),"2015-05-21-D07-SO-6")</f>
        <v>2015-05-21-D07-SO-6</v>
      </c>
    </row>
    <row r="567">
      <c r="A567" t="str">
        <f>IFERROR(__xludf.DUMMYFUNCTION("""COMPUTED_VALUE"""),"2015-05-21-D07-SO-7")</f>
        <v>2015-05-21-D07-SO-7</v>
      </c>
    </row>
    <row r="568">
      <c r="A568" t="str">
        <f>IFERROR(__xludf.DUMMYFUNCTION("""COMPUTED_VALUE"""),"2015-05-21-D07-SO-8")</f>
        <v>2015-05-21-D07-SO-8</v>
      </c>
    </row>
    <row r="569">
      <c r="A569" t="str">
        <f>IFERROR(__xludf.DUMMYFUNCTION("""COMPUTED_VALUE"""),"2015-05-21-D07-SO-9")</f>
        <v>2015-05-21-D07-SO-9</v>
      </c>
    </row>
    <row r="570">
      <c r="A570" t="str">
        <f>IFERROR(__xludf.DUMMYFUNCTION("""COMPUTED_VALUE"""),"2015-05-21-D07-SO-10")</f>
        <v>2015-05-21-D07-SO-10</v>
      </c>
    </row>
    <row r="571">
      <c r="A571" t="str">
        <f>IFERROR(__xludf.DUMMYFUNCTION("""COMPUTED_VALUE"""),"2015-05-21-D07-SO-11")</f>
        <v>2015-05-21-D07-SO-11</v>
      </c>
    </row>
    <row r="572">
      <c r="A572" t="str">
        <f>IFERROR(__xludf.DUMMYFUNCTION("""COMPUTED_VALUE"""),"2015-05-21-D07-SO-12")</f>
        <v>2015-05-21-D07-SO-12</v>
      </c>
    </row>
    <row r="573">
      <c r="A573" t="str">
        <f>IFERROR(__xludf.DUMMYFUNCTION("""COMPUTED_VALUE"""),"2015-05-21-D07-SO-13")</f>
        <v>2015-05-21-D07-SO-13</v>
      </c>
    </row>
    <row r="574">
      <c r="A574" t="str">
        <f>IFERROR(__xludf.DUMMYFUNCTION("""COMPUTED_VALUE"""),"2015-05-21-D07-SO-14")</f>
        <v>2015-05-21-D07-SO-14</v>
      </c>
    </row>
    <row r="575">
      <c r="A575" t="str">
        <f>IFERROR(__xludf.DUMMYFUNCTION("""COMPUTED_VALUE"""),"2015-05-21-D07-SO-15")</f>
        <v>2015-05-21-D07-SO-15</v>
      </c>
    </row>
    <row r="576">
      <c r="A576" t="str">
        <f>IFERROR(__xludf.DUMMYFUNCTION("""COMPUTED_VALUE"""),"2015-05-21-D07-SO-16")</f>
        <v>2015-05-21-D07-SO-16</v>
      </c>
    </row>
    <row r="577">
      <c r="A577" t="str">
        <f>IFERROR(__xludf.DUMMYFUNCTION("""COMPUTED_VALUE"""),"2015-05-21-D07-SO-17")</f>
        <v>2015-05-21-D07-SO-17</v>
      </c>
    </row>
    <row r="578">
      <c r="A578" t="str">
        <f>IFERROR(__xludf.DUMMYFUNCTION("""COMPUTED_VALUE"""),"2015-05-21-D07-SO-18")</f>
        <v>2015-05-21-D07-SO-18</v>
      </c>
    </row>
    <row r="579">
      <c r="A579" t="str">
        <f>IFERROR(__xludf.DUMMYFUNCTION("""COMPUTED_VALUE"""),"2015-05-21-D07-SO-19")</f>
        <v>2015-05-21-D07-SO-19</v>
      </c>
    </row>
    <row r="580">
      <c r="A580" t="str">
        <f>IFERROR(__xludf.DUMMYFUNCTION("""COMPUTED_VALUE"""),"2015-05-21-D07-SO-20")</f>
        <v>2015-05-21-D07-SO-20</v>
      </c>
    </row>
    <row r="581">
      <c r="A581" t="str">
        <f>IFERROR(__xludf.DUMMYFUNCTION("""COMPUTED_VALUE"""),"2015-05-21-D07-SO-21")</f>
        <v>2015-05-21-D07-SO-21</v>
      </c>
    </row>
    <row r="582">
      <c r="A582" t="str">
        <f>IFERROR(__xludf.DUMMYFUNCTION("""COMPUTED_VALUE"""),"2015-05-21-D07-SO-22")</f>
        <v>2015-05-21-D07-SO-22</v>
      </c>
    </row>
    <row r="583">
      <c r="A583" t="str">
        <f>IFERROR(__xludf.DUMMYFUNCTION("""COMPUTED_VALUE"""),"2015-05-21-D07-SO-23")</f>
        <v>2015-05-21-D07-SO-23</v>
      </c>
    </row>
    <row r="584">
      <c r="A584" t="str">
        <f>IFERROR(__xludf.DUMMYFUNCTION("""COMPUTED_VALUE"""),"2015-05-21-D07-SO-24")</f>
        <v>2015-05-21-D07-SO-24</v>
      </c>
    </row>
    <row r="585">
      <c r="A585" t="str">
        <f>IFERROR(__xludf.DUMMYFUNCTION("""COMPUTED_VALUE"""),"2015-05-21-D07-SO-25")</f>
        <v>2015-05-21-D07-SO-25</v>
      </c>
    </row>
    <row r="586">
      <c r="A586" t="str">
        <f>IFERROR(__xludf.DUMMYFUNCTION("""COMPUTED_VALUE"""),"2015-05-21-D07-SO-26")</f>
        <v>2015-05-21-D07-SO-26</v>
      </c>
    </row>
    <row r="587">
      <c r="A587" t="str">
        <f>IFERROR(__xludf.DUMMYFUNCTION("""COMPUTED_VALUE"""),"2015-05-21-D07-SO-27")</f>
        <v>2015-05-21-D07-SO-27</v>
      </c>
    </row>
    <row r="588">
      <c r="A588" t="str">
        <f>IFERROR(__xludf.DUMMYFUNCTION("""COMPUTED_VALUE"""),"2015-05-21-D07-SO-28")</f>
        <v>2015-05-21-D07-SO-28</v>
      </c>
    </row>
    <row r="589">
      <c r="A589" t="str">
        <f>IFERROR(__xludf.DUMMYFUNCTION("""COMPUTED_VALUE"""),"2015-05-21-D07-SO-29")</f>
        <v>2015-05-21-D07-SO-29</v>
      </c>
    </row>
    <row r="590">
      <c r="A590" t="str">
        <f>IFERROR(__xludf.DUMMYFUNCTION("""COMPUTED_VALUE"""),"2015-05-21-D07-SO-30")</f>
        <v>2015-05-21-D07-SO-30</v>
      </c>
    </row>
    <row r="591">
      <c r="A591" t="str">
        <f>IFERROR(__xludf.DUMMYFUNCTION("""COMPUTED_VALUE"""),"2015-05-21-J06-SO-1")</f>
        <v>2015-05-21-J06-SO-1</v>
      </c>
    </row>
    <row r="592">
      <c r="A592" t="str">
        <f>IFERROR(__xludf.DUMMYFUNCTION("""COMPUTED_VALUE"""),"2015-05-21-J06-SO-2")</f>
        <v>2015-05-21-J06-SO-2</v>
      </c>
    </row>
    <row r="593">
      <c r="A593" t="str">
        <f>IFERROR(__xludf.DUMMYFUNCTION("""COMPUTED_VALUE"""),"2015-05-21-J06-SO-3")</f>
        <v>2015-05-21-J06-SO-3</v>
      </c>
    </row>
    <row r="594">
      <c r="A594" t="str">
        <f>IFERROR(__xludf.DUMMYFUNCTION("""COMPUTED_VALUE"""),"2015-05-21-J06-SO-4")</f>
        <v>2015-05-21-J06-SO-4</v>
      </c>
    </row>
    <row r="595">
      <c r="A595" t="str">
        <f>IFERROR(__xludf.DUMMYFUNCTION("""COMPUTED_VALUE"""),"2015-05-21-J06-SO-5")</f>
        <v>2015-05-21-J06-SO-5</v>
      </c>
    </row>
    <row r="596">
      <c r="A596" t="str">
        <f>IFERROR(__xludf.DUMMYFUNCTION("""COMPUTED_VALUE"""),"2015-05-21-J06-SO-6")</f>
        <v>2015-05-21-J06-SO-6</v>
      </c>
    </row>
    <row r="597">
      <c r="A597" t="str">
        <f>IFERROR(__xludf.DUMMYFUNCTION("""COMPUTED_VALUE"""),"2015-05-21-J06-SO-7")</f>
        <v>2015-05-21-J06-SO-7</v>
      </c>
    </row>
    <row r="598">
      <c r="A598" t="str">
        <f>IFERROR(__xludf.DUMMYFUNCTION("""COMPUTED_VALUE"""),"2015-05-21-J06-SO-8")</f>
        <v>2015-05-21-J06-SO-8</v>
      </c>
    </row>
    <row r="599">
      <c r="A599" t="str">
        <f>IFERROR(__xludf.DUMMYFUNCTION("""COMPUTED_VALUE"""),"2015-05-21-J06-SO-9")</f>
        <v>2015-05-21-J06-SO-9</v>
      </c>
    </row>
    <row r="600">
      <c r="A600" t="str">
        <f>IFERROR(__xludf.DUMMYFUNCTION("""COMPUTED_VALUE"""),"2015-05-21-J06-SO-10")</f>
        <v>2015-05-21-J06-SO-10</v>
      </c>
    </row>
    <row r="601">
      <c r="A601" t="str">
        <f>IFERROR(__xludf.DUMMYFUNCTION("""COMPUTED_VALUE"""),"2015-05-21-J06-SO-11")</f>
        <v>2015-05-21-J06-SO-11</v>
      </c>
    </row>
    <row r="602">
      <c r="A602" t="str">
        <f>IFERROR(__xludf.DUMMYFUNCTION("""COMPUTED_VALUE"""),"2015-05-21-J06-SO-12")</f>
        <v>2015-05-21-J06-SO-12</v>
      </c>
    </row>
    <row r="603">
      <c r="A603" t="str">
        <f>IFERROR(__xludf.DUMMYFUNCTION("""COMPUTED_VALUE"""),"2015-05-21-J06-SO-13")</f>
        <v>2015-05-21-J06-SO-13</v>
      </c>
    </row>
    <row r="604">
      <c r="A604" t="str">
        <f>IFERROR(__xludf.DUMMYFUNCTION("""COMPUTED_VALUE"""),"2015-05-21-J06-SO-14")</f>
        <v>2015-05-21-J06-SO-14</v>
      </c>
    </row>
    <row r="605">
      <c r="A605" t="str">
        <f>IFERROR(__xludf.DUMMYFUNCTION("""COMPUTED_VALUE"""),"2015-05-21-J06-SO-15")</f>
        <v>2015-05-21-J06-SO-15</v>
      </c>
    </row>
    <row r="606">
      <c r="A606" t="str">
        <f>IFERROR(__xludf.DUMMYFUNCTION("""COMPUTED_VALUE"""),"2015-05-21-J06-SO-16")</f>
        <v>2015-05-21-J06-SO-16</v>
      </c>
    </row>
    <row r="607">
      <c r="A607" t="str">
        <f>IFERROR(__xludf.DUMMYFUNCTION("""COMPUTED_VALUE"""),"2015-05-21-J06-SO-17")</f>
        <v>2015-05-21-J06-SO-17</v>
      </c>
    </row>
    <row r="608">
      <c r="A608" t="str">
        <f>IFERROR(__xludf.DUMMYFUNCTION("""COMPUTED_VALUE"""),"2015-05-21-J06-SO-18")</f>
        <v>2015-05-21-J06-SO-18</v>
      </c>
    </row>
    <row r="609">
      <c r="A609" t="str">
        <f>IFERROR(__xludf.DUMMYFUNCTION("""COMPUTED_VALUE"""),"2015-05-21-J06-SO-19")</f>
        <v>2015-05-21-J06-SO-19</v>
      </c>
    </row>
    <row r="610">
      <c r="A610" t="str">
        <f>IFERROR(__xludf.DUMMYFUNCTION("""COMPUTED_VALUE"""),"2015-05-21-J06-SO-20")</f>
        <v>2015-05-21-J06-SO-20</v>
      </c>
    </row>
    <row r="611">
      <c r="A611" t="str">
        <f>IFERROR(__xludf.DUMMYFUNCTION("""COMPUTED_VALUE"""),"2015-05-21-J06-SO-21")</f>
        <v>2015-05-21-J06-SO-21</v>
      </c>
    </row>
    <row r="612">
      <c r="A612" t="str">
        <f>IFERROR(__xludf.DUMMYFUNCTION("""COMPUTED_VALUE"""),"2015-05-21-J06-SO-22")</f>
        <v>2015-05-21-J06-SO-22</v>
      </c>
    </row>
    <row r="613">
      <c r="A613" t="str">
        <f>IFERROR(__xludf.DUMMYFUNCTION("""COMPUTED_VALUE"""),"2015-05-21-J06-SO-23")</f>
        <v>2015-05-21-J06-SO-23</v>
      </c>
    </row>
    <row r="614">
      <c r="A614" t="str">
        <f>IFERROR(__xludf.DUMMYFUNCTION("""COMPUTED_VALUE"""),"2015-05-21-J06-SO-24")</f>
        <v>2015-05-21-J06-SO-24</v>
      </c>
    </row>
    <row r="615">
      <c r="A615" t="str">
        <f>IFERROR(__xludf.DUMMYFUNCTION("""COMPUTED_VALUE"""),"2015-05-21-J06-SO-25")</f>
        <v>2015-05-21-J06-SO-25</v>
      </c>
    </row>
    <row r="616">
      <c r="A616" t="str">
        <f>IFERROR(__xludf.DUMMYFUNCTION("""COMPUTED_VALUE"""),"2015-05-21-J06-SO-26")</f>
        <v>2015-05-21-J06-SO-26</v>
      </c>
    </row>
    <row r="617">
      <c r="A617" t="str">
        <f>IFERROR(__xludf.DUMMYFUNCTION("""COMPUTED_VALUE"""),"2015-05-21-J06-SO-27")</f>
        <v>2015-05-21-J06-SO-27</v>
      </c>
    </row>
    <row r="618">
      <c r="A618" t="str">
        <f>IFERROR(__xludf.DUMMYFUNCTION("""COMPUTED_VALUE"""),"2015-05-21-J06-SO-28")</f>
        <v>2015-05-21-J06-SO-28</v>
      </c>
    </row>
    <row r="619">
      <c r="A619" t="str">
        <f>IFERROR(__xludf.DUMMYFUNCTION("""COMPUTED_VALUE"""),"2015-05-21-J06-SO-29")</f>
        <v>2015-05-21-J06-SO-29</v>
      </c>
    </row>
    <row r="620">
      <c r="A620" t="str">
        <f>IFERROR(__xludf.DUMMYFUNCTION("""COMPUTED_VALUE"""),"2015-05-21-J06-SO-30")</f>
        <v>2015-05-21-J06-SO-30</v>
      </c>
    </row>
    <row r="621">
      <c r="A621" t="str">
        <f>IFERROR(__xludf.DUMMYFUNCTION("""COMPUTED_VALUE"""),"2015-05-21-D03-PI-1")</f>
        <v>2015-05-21-D03-PI-1</v>
      </c>
    </row>
    <row r="622">
      <c r="A622" t="str">
        <f>IFERROR(__xludf.DUMMYFUNCTION("""COMPUTED_VALUE"""),"2015-05-21-D03-PI-2")</f>
        <v>2015-05-21-D03-PI-2</v>
      </c>
    </row>
    <row r="623">
      <c r="A623" t="str">
        <f>IFERROR(__xludf.DUMMYFUNCTION("""COMPUTED_VALUE"""),"2015-05-21-D03-PI-3")</f>
        <v>2015-05-21-D03-PI-3</v>
      </c>
    </row>
    <row r="624">
      <c r="A624" t="str">
        <f>IFERROR(__xludf.DUMMYFUNCTION("""COMPUTED_VALUE"""),"2015-05-21-D03-PI-4")</f>
        <v>2015-05-21-D03-PI-4</v>
      </c>
    </row>
    <row r="625">
      <c r="A625" t="str">
        <f>IFERROR(__xludf.DUMMYFUNCTION("""COMPUTED_VALUE"""),"2015-05-21-D03-PI-5")</f>
        <v>2015-05-21-D03-PI-5</v>
      </c>
    </row>
    <row r="626">
      <c r="A626" t="str">
        <f>IFERROR(__xludf.DUMMYFUNCTION("""COMPUTED_VALUE"""),"2015-05-21-D07-PI-1")</f>
        <v>2015-05-21-D07-PI-1</v>
      </c>
    </row>
    <row r="627">
      <c r="A627" t="str">
        <f>IFERROR(__xludf.DUMMYFUNCTION("""COMPUTED_VALUE"""),"2015-05-21-D07-PI-2")</f>
        <v>2015-05-21-D07-PI-2</v>
      </c>
    </row>
    <row r="628">
      <c r="A628" t="str">
        <f>IFERROR(__xludf.DUMMYFUNCTION("""COMPUTED_VALUE"""),"2015-05-21-D07-PI-3")</f>
        <v>2015-05-21-D07-PI-3</v>
      </c>
    </row>
    <row r="629">
      <c r="A629" t="str">
        <f>IFERROR(__xludf.DUMMYFUNCTION("""COMPUTED_VALUE"""),"2015-05-21-D07-PI-4")</f>
        <v>2015-05-21-D07-PI-4</v>
      </c>
    </row>
    <row r="630">
      <c r="A630" t="str">
        <f>IFERROR(__xludf.DUMMYFUNCTION("""COMPUTED_VALUE"""),"2015-05-21-D07-PI-5")</f>
        <v>2015-05-21-D07-PI-5</v>
      </c>
    </row>
    <row r="631">
      <c r="A631" t="str">
        <f>IFERROR(__xludf.DUMMYFUNCTION("""COMPUTED_VALUE"""),"2015-05-21-D07-PI-6")</f>
        <v>2015-05-21-D07-PI-6</v>
      </c>
    </row>
    <row r="632">
      <c r="A632" t="str">
        <f>IFERROR(__xludf.DUMMYFUNCTION("""COMPUTED_VALUE"""),"2015-05-21-D07-PI-7")</f>
        <v>2015-05-21-D07-PI-7</v>
      </c>
    </row>
    <row r="633">
      <c r="A633" t="str">
        <f>IFERROR(__xludf.DUMMYFUNCTION("""COMPUTED_VALUE"""),"2015-05-21-D07-PI-8")</f>
        <v>2015-05-21-D07-PI-8</v>
      </c>
    </row>
    <row r="634">
      <c r="A634" t="str">
        <f>IFERROR(__xludf.DUMMYFUNCTION("""COMPUTED_VALUE"""),"2015-05-21-D03-CU-1")</f>
        <v>2015-05-21-D03-CU-1</v>
      </c>
    </row>
    <row r="635">
      <c r="A635" t="str">
        <f>IFERROR(__xludf.DUMMYFUNCTION("""COMPUTED_VALUE"""),"2015-05-21-D03-CU-2")</f>
        <v>2015-05-21-D03-CU-2</v>
      </c>
    </row>
    <row r="636">
      <c r="A636" t="str">
        <f>IFERROR(__xludf.DUMMYFUNCTION("""COMPUTED_VALUE"""),"2015-05-21-D03-CU-3")</f>
        <v>2015-05-21-D03-CU-3</v>
      </c>
    </row>
    <row r="637">
      <c r="A637" t="str">
        <f>IFERROR(__xludf.DUMMYFUNCTION("""COMPUTED_VALUE"""),"2015-05-21-D03-CU-4")</f>
        <v>2015-05-21-D03-CU-4</v>
      </c>
    </row>
    <row r="638">
      <c r="A638" t="str">
        <f>IFERROR(__xludf.DUMMYFUNCTION("""COMPUTED_VALUE"""),"2015-05-21-D03-CU-5")</f>
        <v>2015-05-21-D03-CU-5</v>
      </c>
    </row>
    <row r="639">
      <c r="A639" t="str">
        <f>IFERROR(__xludf.DUMMYFUNCTION("""COMPUTED_VALUE"""),"2015-05-21-D03-CU-6")</f>
        <v>2015-05-21-D03-CU-6</v>
      </c>
    </row>
    <row r="640">
      <c r="A640" t="str">
        <f>IFERROR(__xludf.DUMMYFUNCTION("""COMPUTED_VALUE"""),"2015-05-21-D03-CU-7")</f>
        <v>2015-05-21-D03-CU-7</v>
      </c>
    </row>
    <row r="641">
      <c r="A641" t="str">
        <f>IFERROR(__xludf.DUMMYFUNCTION("""COMPUTED_VALUE"""),"2015-05-21-D03-CU-8")</f>
        <v>2015-05-21-D03-CU-8</v>
      </c>
    </row>
    <row r="642">
      <c r="A642" t="str">
        <f>IFERROR(__xludf.DUMMYFUNCTION("""COMPUTED_VALUE"""),"2015-05-21-D03-CU-9")</f>
        <v>2015-05-21-D03-CU-9</v>
      </c>
    </row>
    <row r="643">
      <c r="A643" t="str">
        <f>IFERROR(__xludf.DUMMYFUNCTION("""COMPUTED_VALUE"""),"2015-05-21-D03-CU-10")</f>
        <v>2015-05-21-D03-CU-10</v>
      </c>
    </row>
    <row r="644">
      <c r="A644" t="str">
        <f>IFERROR(__xludf.DUMMYFUNCTION("""COMPUTED_VALUE"""),"2015-05-21-D07-CU-1")</f>
        <v>2015-05-21-D07-CU-1</v>
      </c>
    </row>
    <row r="645">
      <c r="A645" t="str">
        <f>IFERROR(__xludf.DUMMYFUNCTION("""COMPUTED_VALUE"""),"2015-05-21-D07-CU-2")</f>
        <v>2015-05-21-D07-CU-2</v>
      </c>
    </row>
    <row r="646">
      <c r="A646" t="str">
        <f>IFERROR(__xludf.DUMMYFUNCTION("""COMPUTED_VALUE"""),"2015-05-21-D07-CU-3")</f>
        <v>2015-05-21-D07-CU-3</v>
      </c>
    </row>
    <row r="647">
      <c r="A647" t="str">
        <f>IFERROR(__xludf.DUMMYFUNCTION("""COMPUTED_VALUE"""),"2015-05-21-D07-CU-4")</f>
        <v>2015-05-21-D07-CU-4</v>
      </c>
    </row>
    <row r="648">
      <c r="A648" t="str">
        <f>IFERROR(__xludf.DUMMYFUNCTION("""COMPUTED_VALUE"""),"2015-05-21-D07-CU-5")</f>
        <v>2015-05-21-D07-CU-5</v>
      </c>
    </row>
    <row r="649">
      <c r="A649" t="str">
        <f>IFERROR(__xludf.DUMMYFUNCTION("""COMPUTED_VALUE"""),"2015-05-21-D07-CU-6")</f>
        <v>2015-05-21-D07-CU-6</v>
      </c>
    </row>
    <row r="650">
      <c r="A650" t="str">
        <f>IFERROR(__xludf.DUMMYFUNCTION("""COMPUTED_VALUE"""),"2015-05-21-D07-CU-7")</f>
        <v>2015-05-21-D07-CU-7</v>
      </c>
    </row>
    <row r="651">
      <c r="A651" t="str">
        <f>IFERROR(__xludf.DUMMYFUNCTION("""COMPUTED_VALUE"""),"2015-05-21-D07-CU-8")</f>
        <v>2015-05-21-D07-CU-8</v>
      </c>
    </row>
    <row r="652">
      <c r="A652" t="str">
        <f>IFERROR(__xludf.DUMMYFUNCTION("""COMPUTED_VALUE"""),"2015-05-21-D07-CU-9")</f>
        <v>2015-05-21-D07-CU-9</v>
      </c>
    </row>
    <row r="653">
      <c r="A653" t="str">
        <f>IFERROR(__xludf.DUMMYFUNCTION("""COMPUTED_VALUE"""),"2015-05-21-D07-CU-10")</f>
        <v>2015-05-21-D07-CU-10</v>
      </c>
    </row>
    <row r="654">
      <c r="A654" t="str">
        <f>IFERROR(__xludf.DUMMYFUNCTION("""COMPUTED_VALUE"""),"2015-05-21-J06-CU-1")</f>
        <v>2015-05-21-J06-CU-1</v>
      </c>
    </row>
    <row r="655">
      <c r="A655" t="str">
        <f>IFERROR(__xludf.DUMMYFUNCTION("""COMPUTED_VALUE"""),"2015-05-21-J06-CU-2")</f>
        <v>2015-05-21-J06-CU-2</v>
      </c>
    </row>
    <row r="656">
      <c r="A656" t="str">
        <f>IFERROR(__xludf.DUMMYFUNCTION("""COMPUTED_VALUE"""),"2015-05-21-J06-CU-3")</f>
        <v>2015-05-21-J06-CU-3</v>
      </c>
    </row>
    <row r="657">
      <c r="A657" t="str">
        <f>IFERROR(__xludf.DUMMYFUNCTION("""COMPUTED_VALUE"""),"2015-05-21-J06-CU-4")</f>
        <v>2015-05-21-J06-CU-4</v>
      </c>
    </row>
    <row r="658">
      <c r="A658" t="str">
        <f>IFERROR(__xludf.DUMMYFUNCTION("""COMPUTED_VALUE"""),"2015-05-21-J06-CU-5")</f>
        <v>2015-05-21-J06-CU-5</v>
      </c>
    </row>
    <row r="659">
      <c r="A659" t="str">
        <f>IFERROR(__xludf.DUMMYFUNCTION("""COMPUTED_VALUE"""),"2015-05-21-J06-CU-6")</f>
        <v>2015-05-21-J06-CU-6</v>
      </c>
    </row>
    <row r="660">
      <c r="A660" t="str">
        <f>IFERROR(__xludf.DUMMYFUNCTION("""COMPUTED_VALUE"""),"2015-05-21-J06-CU-7")</f>
        <v>2015-05-21-J06-CU-7</v>
      </c>
    </row>
    <row r="661">
      <c r="A661" t="str">
        <f>IFERROR(__xludf.DUMMYFUNCTION("""COMPUTED_VALUE"""),"2015-05-21-J06-CU-8")</f>
        <v>2015-05-21-J06-CU-8</v>
      </c>
    </row>
    <row r="662">
      <c r="A662" t="str">
        <f>IFERROR(__xludf.DUMMYFUNCTION("""COMPUTED_VALUE"""),"2015-05-21-J06-CU-9")</f>
        <v>2015-05-21-J06-CU-9</v>
      </c>
    </row>
    <row r="663">
      <c r="A663" t="str">
        <f>IFERROR(__xludf.DUMMYFUNCTION("""COMPUTED_VALUE"""),"2015-05-21-J06-CU-10")</f>
        <v>2015-05-21-J06-CU-10</v>
      </c>
    </row>
    <row r="664">
      <c r="A664" t="str">
        <f>IFERROR(__xludf.DUMMYFUNCTION("""COMPUTED_VALUE"""),"2015-05-21-D03-CO-1")</f>
        <v>2015-05-21-D03-CO-1</v>
      </c>
    </row>
    <row r="665">
      <c r="A665" t="str">
        <f>IFERROR(__xludf.DUMMYFUNCTION("""COMPUTED_VALUE"""),"2015-05-21-D07-CO-1")</f>
        <v>2015-05-21-D07-CO-1</v>
      </c>
    </row>
    <row r="666">
      <c r="A666" t="str">
        <f>IFERROR(__xludf.DUMMYFUNCTION("""COMPUTED_VALUE"""),"2015-05-21-J06-CO-1")</f>
        <v>2015-05-21-J06-CO-1</v>
      </c>
    </row>
    <row r="667">
      <c r="A667" t="str">
        <f>IFERROR(__xludf.DUMMYFUNCTION("""COMPUTED_VALUE"""),"2015-05-21-J06-CO-2")</f>
        <v>2015-05-21-J06-CO-2</v>
      </c>
    </row>
    <row r="668">
      <c r="A668" t="str">
        <f>IFERROR(__xludf.DUMMYFUNCTION("""COMPUTED_VALUE"""),"2015-05-21-J06-CO-3")</f>
        <v>2015-05-21-J06-CO-3</v>
      </c>
    </row>
    <row r="669">
      <c r="A669" t="str">
        <f>IFERROR(__xludf.DUMMYFUNCTION("""COMPUTED_VALUE"""),"2015-05-22-J07-SO-1")</f>
        <v>2015-05-22-J07-SO-1</v>
      </c>
    </row>
    <row r="670">
      <c r="A670" t="str">
        <f>IFERROR(__xludf.DUMMYFUNCTION("""COMPUTED_VALUE"""),"2015-05-22-J07-SO-2")</f>
        <v>2015-05-22-J07-SO-2</v>
      </c>
    </row>
    <row r="671">
      <c r="A671" t="str">
        <f>IFERROR(__xludf.DUMMYFUNCTION("""COMPUTED_VALUE"""),"2015-05-22-J07-SO-3")</f>
        <v>2015-05-22-J07-SO-3</v>
      </c>
    </row>
    <row r="672">
      <c r="A672" t="str">
        <f>IFERROR(__xludf.DUMMYFUNCTION("""COMPUTED_VALUE"""),"2015-05-22-J07-SO-4")</f>
        <v>2015-05-22-J07-SO-4</v>
      </c>
    </row>
    <row r="673">
      <c r="A673" t="str">
        <f>IFERROR(__xludf.DUMMYFUNCTION("""COMPUTED_VALUE"""),"2015-05-22-J07-SO-5")</f>
        <v>2015-05-22-J07-SO-5</v>
      </c>
    </row>
    <row r="674">
      <c r="A674" t="str">
        <f>IFERROR(__xludf.DUMMYFUNCTION("""COMPUTED_VALUE"""),"2015-05-22-J07-SO-6")</f>
        <v>2015-05-22-J07-SO-6</v>
      </c>
    </row>
    <row r="675">
      <c r="A675" t="str">
        <f>IFERROR(__xludf.DUMMYFUNCTION("""COMPUTED_VALUE"""),"2015-05-22-J07-SO-7")</f>
        <v>2015-05-22-J07-SO-7</v>
      </c>
    </row>
    <row r="676">
      <c r="A676" t="str">
        <f>IFERROR(__xludf.DUMMYFUNCTION("""COMPUTED_VALUE"""),"2015-05-22-J07-SO-8")</f>
        <v>2015-05-22-J07-SO-8</v>
      </c>
    </row>
    <row r="677">
      <c r="A677" t="str">
        <f>IFERROR(__xludf.DUMMYFUNCTION("""COMPUTED_VALUE"""),"2015-05-22-J07-SO-9")</f>
        <v>2015-05-22-J07-SO-9</v>
      </c>
    </row>
    <row r="678">
      <c r="A678" t="str">
        <f>IFERROR(__xludf.DUMMYFUNCTION("""COMPUTED_VALUE"""),"2015-05-22-J07-SO-10")</f>
        <v>2015-05-22-J07-SO-10</v>
      </c>
    </row>
    <row r="679">
      <c r="A679" t="str">
        <f>IFERROR(__xludf.DUMMYFUNCTION("""COMPUTED_VALUE"""),"2015-05-22-J07-SO-11")</f>
        <v>2015-05-22-J07-SO-11</v>
      </c>
    </row>
    <row r="680">
      <c r="A680" t="str">
        <f>IFERROR(__xludf.DUMMYFUNCTION("""COMPUTED_VALUE"""),"2015-05-22-J07-SO-12")</f>
        <v>2015-05-22-J07-SO-12</v>
      </c>
    </row>
    <row r="681">
      <c r="A681" t="str">
        <f>IFERROR(__xludf.DUMMYFUNCTION("""COMPUTED_VALUE"""),"2015-05-22-J07-SO-13")</f>
        <v>2015-05-22-J07-SO-13</v>
      </c>
    </row>
    <row r="682">
      <c r="A682" t="str">
        <f>IFERROR(__xludf.DUMMYFUNCTION("""COMPUTED_VALUE"""),"2015-05-22-J07-SO-14")</f>
        <v>2015-05-22-J07-SO-14</v>
      </c>
    </row>
    <row r="683">
      <c r="A683" t="str">
        <f>IFERROR(__xludf.DUMMYFUNCTION("""COMPUTED_VALUE"""),"2015-05-22-J07-SO-15")</f>
        <v>2015-05-22-J07-SO-15</v>
      </c>
    </row>
    <row r="684">
      <c r="A684" t="str">
        <f>IFERROR(__xludf.DUMMYFUNCTION("""COMPUTED_VALUE"""),"2015-05-22-J07-SO-16")</f>
        <v>2015-05-22-J07-SO-16</v>
      </c>
    </row>
    <row r="685">
      <c r="A685" t="str">
        <f>IFERROR(__xludf.DUMMYFUNCTION("""COMPUTED_VALUE"""),"2015-05-22-J07-SO-17")</f>
        <v>2015-05-22-J07-SO-17</v>
      </c>
    </row>
    <row r="686">
      <c r="A686" t="str">
        <f>IFERROR(__xludf.DUMMYFUNCTION("""COMPUTED_VALUE"""),"2015-05-22-J07-SO-18")</f>
        <v>2015-05-22-J07-SO-18</v>
      </c>
    </row>
    <row r="687">
      <c r="A687" t="str">
        <f>IFERROR(__xludf.DUMMYFUNCTION("""COMPUTED_VALUE"""),"2015-05-22-J07-SO-19")</f>
        <v>2015-05-22-J07-SO-19</v>
      </c>
    </row>
    <row r="688">
      <c r="A688" t="str">
        <f>IFERROR(__xludf.DUMMYFUNCTION("""COMPUTED_VALUE"""),"2015-05-22-J07-SO-20")</f>
        <v>2015-05-22-J07-SO-20</v>
      </c>
    </row>
    <row r="689">
      <c r="A689" t="str">
        <f>IFERROR(__xludf.DUMMYFUNCTION("""COMPUTED_VALUE"""),"2015-05-22-J07-SO-21")</f>
        <v>2015-05-22-J07-SO-21</v>
      </c>
    </row>
    <row r="690">
      <c r="A690" t="str">
        <f>IFERROR(__xludf.DUMMYFUNCTION("""COMPUTED_VALUE"""),"2015-05-22-J07-SO-22")</f>
        <v>2015-05-22-J07-SO-22</v>
      </c>
    </row>
    <row r="691">
      <c r="A691" t="str">
        <f>IFERROR(__xludf.DUMMYFUNCTION("""COMPUTED_VALUE"""),"2015-05-22-J07-SO-23")</f>
        <v>2015-05-22-J07-SO-23</v>
      </c>
    </row>
    <row r="692">
      <c r="A692" t="str">
        <f>IFERROR(__xludf.DUMMYFUNCTION("""COMPUTED_VALUE"""),"2015-05-22-J07-SO-24")</f>
        <v>2015-05-22-J07-SO-24</v>
      </c>
    </row>
    <row r="693">
      <c r="A693" t="str">
        <f>IFERROR(__xludf.DUMMYFUNCTION("""COMPUTED_VALUE"""),"2015-05-22-J07-SO-25")</f>
        <v>2015-05-22-J07-SO-25</v>
      </c>
    </row>
    <row r="694">
      <c r="A694" t="str">
        <f>IFERROR(__xludf.DUMMYFUNCTION("""COMPUTED_VALUE"""),"2015-05-22-J07-SO-26")</f>
        <v>2015-05-22-J07-SO-26</v>
      </c>
    </row>
    <row r="695">
      <c r="A695" t="str">
        <f>IFERROR(__xludf.DUMMYFUNCTION("""COMPUTED_VALUE"""),"2015-05-22-J07-SO-27")</f>
        <v>2015-05-22-J07-SO-27</v>
      </c>
    </row>
    <row r="696">
      <c r="A696" t="str">
        <f>IFERROR(__xludf.DUMMYFUNCTION("""COMPUTED_VALUE"""),"2015-05-22-J07-SO-28")</f>
        <v>2015-05-22-J07-SO-28</v>
      </c>
    </row>
    <row r="697">
      <c r="A697" t="str">
        <f>IFERROR(__xludf.DUMMYFUNCTION("""COMPUTED_VALUE"""),"2015-05-22-J07-SO-29")</f>
        <v>2015-05-22-J07-SO-29</v>
      </c>
    </row>
    <row r="698">
      <c r="A698" t="str">
        <f>IFERROR(__xludf.DUMMYFUNCTION("""COMPUTED_VALUE"""),"2015-05-22-J07-SO-30")</f>
        <v>2015-05-22-J07-SO-30</v>
      </c>
    </row>
    <row r="699">
      <c r="A699" t="str">
        <f>IFERROR(__xludf.DUMMYFUNCTION("""COMPUTED_VALUE"""),"2015-05-22-J08-SO-1")</f>
        <v>2015-05-22-J08-SO-1</v>
      </c>
    </row>
    <row r="700">
      <c r="A700" t="str">
        <f>IFERROR(__xludf.DUMMYFUNCTION("""COMPUTED_VALUE"""),"2015-05-22-J08-SO-2")</f>
        <v>2015-05-22-J08-SO-2</v>
      </c>
    </row>
    <row r="701">
      <c r="A701" t="str">
        <f>IFERROR(__xludf.DUMMYFUNCTION("""COMPUTED_VALUE"""),"2015-05-22-J08-SO-3")</f>
        <v>2015-05-22-J08-SO-3</v>
      </c>
    </row>
    <row r="702">
      <c r="A702" t="str">
        <f>IFERROR(__xludf.DUMMYFUNCTION("""COMPUTED_VALUE"""),"2015-05-22-J08-SO-4")</f>
        <v>2015-05-22-J08-SO-4</v>
      </c>
    </row>
    <row r="703">
      <c r="A703" t="str">
        <f>IFERROR(__xludf.DUMMYFUNCTION("""COMPUTED_VALUE"""),"2015-05-22-J08-SO-5")</f>
        <v>2015-05-22-J08-SO-5</v>
      </c>
    </row>
    <row r="704">
      <c r="A704" t="str">
        <f>IFERROR(__xludf.DUMMYFUNCTION("""COMPUTED_VALUE"""),"2015-05-22-J08-SO-6")</f>
        <v>2015-05-22-J08-SO-6</v>
      </c>
    </row>
    <row r="705">
      <c r="A705" t="str">
        <f>IFERROR(__xludf.DUMMYFUNCTION("""COMPUTED_VALUE"""),"2015-05-22-J08-SO-7")</f>
        <v>2015-05-22-J08-SO-7</v>
      </c>
    </row>
    <row r="706">
      <c r="A706" t="str">
        <f>IFERROR(__xludf.DUMMYFUNCTION("""COMPUTED_VALUE"""),"2015-05-22-J08-SO-8")</f>
        <v>2015-05-22-J08-SO-8</v>
      </c>
    </row>
    <row r="707">
      <c r="A707" t="str">
        <f>IFERROR(__xludf.DUMMYFUNCTION("""COMPUTED_VALUE"""),"2015-05-22-J08-SO-9")</f>
        <v>2015-05-22-J08-SO-9</v>
      </c>
    </row>
    <row r="708">
      <c r="A708" t="str">
        <f>IFERROR(__xludf.DUMMYFUNCTION("""COMPUTED_VALUE"""),"2015-05-22-J08-SO-10")</f>
        <v>2015-05-22-J08-SO-10</v>
      </c>
    </row>
    <row r="709">
      <c r="A709" t="str">
        <f>IFERROR(__xludf.DUMMYFUNCTION("""COMPUTED_VALUE"""),"2015-05-22-J08-SO-11")</f>
        <v>2015-05-22-J08-SO-11</v>
      </c>
    </row>
    <row r="710">
      <c r="A710" t="str">
        <f>IFERROR(__xludf.DUMMYFUNCTION("""COMPUTED_VALUE"""),"2015-05-22-J08-SO-12")</f>
        <v>2015-05-22-J08-SO-12</v>
      </c>
    </row>
    <row r="711">
      <c r="A711" t="str">
        <f>IFERROR(__xludf.DUMMYFUNCTION("""COMPUTED_VALUE"""),"2015-05-22-J08-SO-13")</f>
        <v>2015-05-22-J08-SO-13</v>
      </c>
    </row>
    <row r="712">
      <c r="A712" t="str">
        <f>IFERROR(__xludf.DUMMYFUNCTION("""COMPUTED_VALUE"""),"2015-05-22-J08-SO-14")</f>
        <v>2015-05-22-J08-SO-14</v>
      </c>
    </row>
    <row r="713">
      <c r="A713" t="str">
        <f>IFERROR(__xludf.DUMMYFUNCTION("""COMPUTED_VALUE"""),"2015-05-22-J08-SO-15")</f>
        <v>2015-05-22-J08-SO-15</v>
      </c>
    </row>
    <row r="714">
      <c r="A714" t="str">
        <f>IFERROR(__xludf.DUMMYFUNCTION("""COMPUTED_VALUE"""),"2015-05-22-J08-SO-16")</f>
        <v>2015-05-22-J08-SO-16</v>
      </c>
    </row>
    <row r="715">
      <c r="A715" t="str">
        <f>IFERROR(__xludf.DUMMYFUNCTION("""COMPUTED_VALUE"""),"2015-05-22-J08-SO-17")</f>
        <v>2015-05-22-J08-SO-17</v>
      </c>
    </row>
    <row r="716">
      <c r="A716" t="str">
        <f>IFERROR(__xludf.DUMMYFUNCTION("""COMPUTED_VALUE"""),"2015-05-22-J08-SO-18")</f>
        <v>2015-05-22-J08-SO-18</v>
      </c>
    </row>
    <row r="717">
      <c r="A717" t="str">
        <f>IFERROR(__xludf.DUMMYFUNCTION("""COMPUTED_VALUE"""),"2015-05-22-J08-SO-19")</f>
        <v>2015-05-22-J08-SO-19</v>
      </c>
    </row>
    <row r="718">
      <c r="A718" t="str">
        <f>IFERROR(__xludf.DUMMYFUNCTION("""COMPUTED_VALUE"""),"2015-05-22-J08-SO-20")</f>
        <v>2015-05-22-J08-SO-20</v>
      </c>
    </row>
    <row r="719">
      <c r="A719" t="str">
        <f>IFERROR(__xludf.DUMMYFUNCTION("""COMPUTED_VALUE"""),"2015-05-22-J08-SO-21")</f>
        <v>2015-05-22-J08-SO-21</v>
      </c>
    </row>
    <row r="720">
      <c r="A720" t="str">
        <f>IFERROR(__xludf.DUMMYFUNCTION("""COMPUTED_VALUE"""),"2015-05-22-J08-SO-22")</f>
        <v>2015-05-22-J08-SO-22</v>
      </c>
    </row>
    <row r="721">
      <c r="A721" t="str">
        <f>IFERROR(__xludf.DUMMYFUNCTION("""COMPUTED_VALUE"""),"2015-05-22-J08-SO-23")</f>
        <v>2015-05-22-J08-SO-23</v>
      </c>
    </row>
    <row r="722">
      <c r="A722" t="str">
        <f>IFERROR(__xludf.DUMMYFUNCTION("""COMPUTED_VALUE"""),"2015-05-22-J08-SO-24")</f>
        <v>2015-05-22-J08-SO-24</v>
      </c>
    </row>
    <row r="723">
      <c r="A723" t="str">
        <f>IFERROR(__xludf.DUMMYFUNCTION("""COMPUTED_VALUE"""),"2015-05-22-J08-SO-25")</f>
        <v>2015-05-22-J08-SO-25</v>
      </c>
    </row>
    <row r="724">
      <c r="A724" t="str">
        <f>IFERROR(__xludf.DUMMYFUNCTION("""COMPUTED_VALUE"""),"2015-05-22-J08-SO-26")</f>
        <v>2015-05-22-J08-SO-26</v>
      </c>
    </row>
    <row r="725">
      <c r="A725" t="str">
        <f>IFERROR(__xludf.DUMMYFUNCTION("""COMPUTED_VALUE"""),"2015-05-22-J08-SO-27")</f>
        <v>2015-05-22-J08-SO-27</v>
      </c>
    </row>
    <row r="726">
      <c r="A726" t="str">
        <f>IFERROR(__xludf.DUMMYFUNCTION("""COMPUTED_VALUE"""),"2015-05-22-J08-SO-28")</f>
        <v>2015-05-22-J08-SO-28</v>
      </c>
    </row>
    <row r="727">
      <c r="A727" t="str">
        <f>IFERROR(__xludf.DUMMYFUNCTION("""COMPUTED_VALUE"""),"2015-05-22-J08-SO-29")</f>
        <v>2015-05-22-J08-SO-29</v>
      </c>
    </row>
    <row r="728">
      <c r="A728" t="str">
        <f>IFERROR(__xludf.DUMMYFUNCTION("""COMPUTED_VALUE"""),"2015-05-22-J08-SO-30")</f>
        <v>2015-05-22-J08-SO-30</v>
      </c>
    </row>
    <row r="729">
      <c r="A729" t="str">
        <f>IFERROR(__xludf.DUMMYFUNCTION("""COMPUTED_VALUE"""),"2015-05-22-J04-SO-1")</f>
        <v>2015-05-22-J04-SO-1</v>
      </c>
    </row>
    <row r="730">
      <c r="A730" t="str">
        <f>IFERROR(__xludf.DUMMYFUNCTION("""COMPUTED_VALUE"""),"2015-05-22-J04-SO-2")</f>
        <v>2015-05-22-J04-SO-2</v>
      </c>
    </row>
    <row r="731">
      <c r="A731" t="str">
        <f>IFERROR(__xludf.DUMMYFUNCTION("""COMPUTED_VALUE"""),"2015-05-22-J04-SO-3")</f>
        <v>2015-05-22-J04-SO-3</v>
      </c>
    </row>
    <row r="732">
      <c r="A732" t="str">
        <f>IFERROR(__xludf.DUMMYFUNCTION("""COMPUTED_VALUE"""),"2015-05-22-J04-SO-4")</f>
        <v>2015-05-22-J04-SO-4</v>
      </c>
    </row>
    <row r="733">
      <c r="A733" t="str">
        <f>IFERROR(__xludf.DUMMYFUNCTION("""COMPUTED_VALUE"""),"2015-05-22-J04-SO-5")</f>
        <v>2015-05-22-J04-SO-5</v>
      </c>
    </row>
    <row r="734">
      <c r="A734" t="str">
        <f>IFERROR(__xludf.DUMMYFUNCTION("""COMPUTED_VALUE"""),"2015-05-22-J04-SO-6")</f>
        <v>2015-05-22-J04-SO-6</v>
      </c>
    </row>
    <row r="735">
      <c r="A735" t="str">
        <f>IFERROR(__xludf.DUMMYFUNCTION("""COMPUTED_VALUE"""),"2015-05-22-J04-SO-7")</f>
        <v>2015-05-22-J04-SO-7</v>
      </c>
    </row>
    <row r="736">
      <c r="A736" t="str">
        <f>IFERROR(__xludf.DUMMYFUNCTION("""COMPUTED_VALUE"""),"2015-05-22-J04-SO-8")</f>
        <v>2015-05-22-J04-SO-8</v>
      </c>
    </row>
    <row r="737">
      <c r="A737" t="str">
        <f>IFERROR(__xludf.DUMMYFUNCTION("""COMPUTED_VALUE"""),"2015-05-22-J04-SO-9")</f>
        <v>2015-05-22-J04-SO-9</v>
      </c>
    </row>
    <row r="738">
      <c r="A738" t="str">
        <f>IFERROR(__xludf.DUMMYFUNCTION("""COMPUTED_VALUE"""),"2015-05-22-J04-SO-10")</f>
        <v>2015-05-22-J04-SO-10</v>
      </c>
    </row>
    <row r="739">
      <c r="A739" t="str">
        <f>IFERROR(__xludf.DUMMYFUNCTION("""COMPUTED_VALUE"""),"2015-05-22-J04-SO-11")</f>
        <v>2015-05-22-J04-SO-11</v>
      </c>
    </row>
    <row r="740">
      <c r="A740" t="str">
        <f>IFERROR(__xludf.DUMMYFUNCTION("""COMPUTED_VALUE"""),"2015-05-22-J04-SO-12")</f>
        <v>2015-05-22-J04-SO-12</v>
      </c>
    </row>
    <row r="741">
      <c r="A741" t="str">
        <f>IFERROR(__xludf.DUMMYFUNCTION("""COMPUTED_VALUE"""),"2015-05-22-J04-SO-13")</f>
        <v>2015-05-22-J04-SO-13</v>
      </c>
    </row>
    <row r="742">
      <c r="A742" t="str">
        <f>IFERROR(__xludf.DUMMYFUNCTION("""COMPUTED_VALUE"""),"2015-05-22-J04-SO-14")</f>
        <v>2015-05-22-J04-SO-14</v>
      </c>
    </row>
    <row r="743">
      <c r="A743" t="str">
        <f>IFERROR(__xludf.DUMMYFUNCTION("""COMPUTED_VALUE"""),"2015-05-22-J04-SO-15")</f>
        <v>2015-05-22-J04-SO-15</v>
      </c>
    </row>
    <row r="744">
      <c r="A744" t="str">
        <f>IFERROR(__xludf.DUMMYFUNCTION("""COMPUTED_VALUE"""),"2015-05-22-J04-SO-16")</f>
        <v>2015-05-22-J04-SO-16</v>
      </c>
    </row>
    <row r="745">
      <c r="A745" t="str">
        <f>IFERROR(__xludf.DUMMYFUNCTION("""COMPUTED_VALUE"""),"2015-05-22-J04-SO-17")</f>
        <v>2015-05-22-J04-SO-17</v>
      </c>
    </row>
    <row r="746">
      <c r="A746" t="str">
        <f>IFERROR(__xludf.DUMMYFUNCTION("""COMPUTED_VALUE"""),"2015-05-22-J04-SO-18")</f>
        <v>2015-05-22-J04-SO-18</v>
      </c>
    </row>
    <row r="747">
      <c r="A747" t="str">
        <f>IFERROR(__xludf.DUMMYFUNCTION("""COMPUTED_VALUE"""),"2015-05-22-J04-SO-19")</f>
        <v>2015-05-22-J04-SO-19</v>
      </c>
    </row>
    <row r="748">
      <c r="A748" t="str">
        <f>IFERROR(__xludf.DUMMYFUNCTION("""COMPUTED_VALUE"""),"2015-05-22-J04-SO-20")</f>
        <v>2015-05-22-J04-SO-20</v>
      </c>
    </row>
    <row r="749">
      <c r="A749" t="str">
        <f>IFERROR(__xludf.DUMMYFUNCTION("""COMPUTED_VALUE"""),"2015-05-22-J04-SO-21")</f>
        <v>2015-05-22-J04-SO-21</v>
      </c>
    </row>
    <row r="750">
      <c r="A750" t="str">
        <f>IFERROR(__xludf.DUMMYFUNCTION("""COMPUTED_VALUE"""),"2015-05-22-J04-SO-22")</f>
        <v>2015-05-22-J04-SO-22</v>
      </c>
    </row>
    <row r="751">
      <c r="A751" t="str">
        <f>IFERROR(__xludf.DUMMYFUNCTION("""COMPUTED_VALUE"""),"2015-05-22-J04-SO-23")</f>
        <v>2015-05-22-J04-SO-23</v>
      </c>
    </row>
    <row r="752">
      <c r="A752" t="str">
        <f>IFERROR(__xludf.DUMMYFUNCTION("""COMPUTED_VALUE"""),"2015-05-22-J04-SO-24")</f>
        <v>2015-05-22-J04-SO-24</v>
      </c>
    </row>
    <row r="753">
      <c r="A753" t="str">
        <f>IFERROR(__xludf.DUMMYFUNCTION("""COMPUTED_VALUE"""),"2015-05-22-J04-SO-25")</f>
        <v>2015-05-22-J04-SO-25</v>
      </c>
    </row>
    <row r="754">
      <c r="A754" t="str">
        <f>IFERROR(__xludf.DUMMYFUNCTION("""COMPUTED_VALUE"""),"2015-05-22-J04-SO-26")</f>
        <v>2015-05-22-J04-SO-26</v>
      </c>
    </row>
    <row r="755">
      <c r="A755" t="str">
        <f>IFERROR(__xludf.DUMMYFUNCTION("""COMPUTED_VALUE"""),"2015-05-22-J04-SO-27")</f>
        <v>2015-05-22-J04-SO-27</v>
      </c>
    </row>
    <row r="756">
      <c r="A756" t="str">
        <f>IFERROR(__xludf.DUMMYFUNCTION("""COMPUTED_VALUE"""),"2015-05-22-J04-SO-28")</f>
        <v>2015-05-22-J04-SO-28</v>
      </c>
    </row>
    <row r="757">
      <c r="A757" t="str">
        <f>IFERROR(__xludf.DUMMYFUNCTION("""COMPUTED_VALUE"""),"2015-05-22-J04-SO-29")</f>
        <v>2015-05-22-J04-SO-29</v>
      </c>
    </row>
    <row r="758">
      <c r="A758" t="str">
        <f>IFERROR(__xludf.DUMMYFUNCTION("""COMPUTED_VALUE"""),"2015-05-22-J04-SO-30")</f>
        <v>2015-05-22-J04-SO-30</v>
      </c>
    </row>
    <row r="759">
      <c r="A759" t="str">
        <f>IFERROR(__xludf.DUMMYFUNCTION("""COMPUTED_VALUE"""),"2015-05-22-J07-CU-1")</f>
        <v>2015-05-22-J07-CU-1</v>
      </c>
    </row>
    <row r="760">
      <c r="A760" t="str">
        <f>IFERROR(__xludf.DUMMYFUNCTION("""COMPUTED_VALUE"""),"2015-05-22-J08-CU-1")</f>
        <v>2015-05-22-J08-CU-1</v>
      </c>
    </row>
    <row r="761">
      <c r="A761" t="str">
        <f>IFERROR(__xludf.DUMMYFUNCTION("""COMPUTED_VALUE"""),"2015-05-22-J08-CU-2")</f>
        <v>2015-05-22-J08-CU-2</v>
      </c>
    </row>
    <row r="762">
      <c r="A762" t="str">
        <f>IFERROR(__xludf.DUMMYFUNCTION("""COMPUTED_VALUE"""),"2015-05-22-J08-CU-3")</f>
        <v>2015-05-22-J08-CU-3</v>
      </c>
    </row>
    <row r="763">
      <c r="A763" t="str">
        <f>IFERROR(__xludf.DUMMYFUNCTION("""COMPUTED_VALUE"""),"2015-05-22-J04-CU-1")</f>
        <v>2015-05-22-J04-CU-1</v>
      </c>
    </row>
    <row r="764">
      <c r="A764" t="str">
        <f>IFERROR(__xludf.DUMMYFUNCTION("""COMPUTED_VALUE"""),"2015-05-22-J04-CU-2")</f>
        <v>2015-05-22-J04-CU-2</v>
      </c>
    </row>
    <row r="765">
      <c r="A765" t="str">
        <f>IFERROR(__xludf.DUMMYFUNCTION("""COMPUTED_VALUE"""),"2015-05-22-J07-CO-1")</f>
        <v>2015-05-22-J07-CO-1</v>
      </c>
    </row>
    <row r="766">
      <c r="A766" t="str">
        <f>IFERROR(__xludf.DUMMYFUNCTION("""COMPUTED_VALUE"""),"2015-05-22-J07-CO-2")</f>
        <v>2015-05-22-J07-CO-2</v>
      </c>
    </row>
    <row r="767">
      <c r="A767" t="str">
        <f>IFERROR(__xludf.DUMMYFUNCTION("""COMPUTED_VALUE"""),"2015-05-22-J07-CO-3")</f>
        <v>2015-05-22-J07-CO-3</v>
      </c>
    </row>
    <row r="768">
      <c r="A768" t="str">
        <f>IFERROR(__xludf.DUMMYFUNCTION("""COMPUTED_VALUE"""),"2015-05-22-J07-CO-4")</f>
        <v>2015-05-22-J07-CO-4</v>
      </c>
    </row>
    <row r="769">
      <c r="A769" t="str">
        <f>IFERROR(__xludf.DUMMYFUNCTION("""COMPUTED_VALUE"""),"2015-05-22-J08-CO-1")</f>
        <v>2015-05-22-J08-CO-1</v>
      </c>
    </row>
    <row r="770">
      <c r="A770" t="str">
        <f>IFERROR(__xludf.DUMMYFUNCTION("""COMPUTED_VALUE"""),"2015-05-22-J08-CO-2")</f>
        <v>2015-05-22-J08-CO-2</v>
      </c>
    </row>
    <row r="771">
      <c r="A771" t="str">
        <f>IFERROR(__xludf.DUMMYFUNCTION("""COMPUTED_VALUE"""),"2015-05-22-J08-CO-3")</f>
        <v>2015-05-22-J08-CO-3</v>
      </c>
    </row>
    <row r="772">
      <c r="A772" t="str">
        <f>IFERROR(__xludf.DUMMYFUNCTION("""COMPUTED_VALUE"""),"2015-05-22-J08-CO-4")</f>
        <v>2015-05-22-J08-CO-4</v>
      </c>
    </row>
    <row r="773">
      <c r="A773" t="str">
        <f>IFERROR(__xludf.DUMMYFUNCTION("""COMPUTED_VALUE"""),"2015-05-22-J08-CO-5")</f>
        <v>2015-05-22-J08-CO-5</v>
      </c>
    </row>
    <row r="774">
      <c r="A774" t="str">
        <f>IFERROR(__xludf.DUMMYFUNCTION("""COMPUTED_VALUE"""),"2015-05-22-J08-CO-6")</f>
        <v>2015-05-22-J08-CO-6</v>
      </c>
    </row>
    <row r="775">
      <c r="A775" t="str">
        <f>IFERROR(__xludf.DUMMYFUNCTION("""COMPUTED_VALUE"""),"2015-05-22-J08-CO-7")</f>
        <v>2015-05-22-J08-CO-7</v>
      </c>
    </row>
    <row r="776">
      <c r="A776" t="str">
        <f>IFERROR(__xludf.DUMMYFUNCTION("""COMPUTED_VALUE"""),"2015-05-22-J08-CO-8")</f>
        <v>2015-05-22-J08-CO-8</v>
      </c>
    </row>
    <row r="777">
      <c r="A777" t="str">
        <f>IFERROR(__xludf.DUMMYFUNCTION("""COMPUTED_VALUE"""),"2015-05-22-J08-CO-9")</f>
        <v>2015-05-22-J08-CO-9</v>
      </c>
    </row>
    <row r="778">
      <c r="A778" t="str">
        <f>IFERROR(__xludf.DUMMYFUNCTION("""COMPUTED_VALUE"""),"2015-05-22-J08-CO-10")</f>
        <v>2015-05-22-J08-CO-10</v>
      </c>
    </row>
    <row r="779">
      <c r="A779" t="str">
        <f>IFERROR(__xludf.DUMMYFUNCTION("""COMPUTED_VALUE"""),"2015-05-22-J04-CO-1")</f>
        <v>2015-05-22-J04-CO-1</v>
      </c>
    </row>
    <row r="780">
      <c r="A780" t="str">
        <f>IFERROR(__xludf.DUMMYFUNCTION("""COMPUTED_VALUE"""),"2015-05-22-J04-CO-2")</f>
        <v>2015-05-22-J04-CO-2</v>
      </c>
    </row>
    <row r="781">
      <c r="A781" t="str">
        <f>IFERROR(__xludf.DUMMYFUNCTION("""COMPUTED_VALUE"""),"2015-05-22-J04-CO-3")</f>
        <v>2015-05-22-J04-CO-3</v>
      </c>
    </row>
    <row r="782">
      <c r="A782" t="str">
        <f>IFERROR(__xludf.DUMMYFUNCTION("""COMPUTED_VALUE"""),"2015-05-22-J04-CO-4")</f>
        <v>2015-05-22-J04-CO-4</v>
      </c>
    </row>
    <row r="783">
      <c r="A783" t="str">
        <f>IFERROR(__xludf.DUMMYFUNCTION("""COMPUTED_VALUE"""),"2015-05-22-J04-CO-5")</f>
        <v>2015-05-22-J04-CO-5</v>
      </c>
    </row>
    <row r="784">
      <c r="A784" t="str">
        <f>IFERROR(__xludf.DUMMYFUNCTION("""COMPUTED_VALUE"""),"2015-05-22-J04-CO-6")</f>
        <v>2015-05-22-J04-CO-6</v>
      </c>
    </row>
    <row r="785">
      <c r="A785" t="str">
        <f>IFERROR(__xludf.DUMMYFUNCTION("""COMPUTED_VALUE"""),"2015-05-22-J04-CO-7")</f>
        <v>2015-05-22-J04-CO-7</v>
      </c>
    </row>
    <row r="786">
      <c r="A786" t="str">
        <f>IFERROR(__xludf.DUMMYFUNCTION("""COMPUTED_VALUE"""),"2015-05-22-J04-CO-8")</f>
        <v>2015-05-22-J04-CO-8</v>
      </c>
    </row>
    <row r="787">
      <c r="A787" t="str">
        <f>IFERROR(__xludf.DUMMYFUNCTION("""COMPUTED_VALUE"""),"2015-05-22-J04-CO-9")</f>
        <v>2015-05-22-J04-CO-9</v>
      </c>
    </row>
    <row r="788">
      <c r="A788" t="str">
        <f>IFERROR(__xludf.DUMMYFUNCTION("""COMPUTED_VALUE"""),"2015-05-22-J04-CO-10")</f>
        <v>2015-05-22-J04-CO-10</v>
      </c>
    </row>
    <row r="789">
      <c r="A789" t="str">
        <f>IFERROR(__xludf.DUMMYFUNCTION("""COMPUTED_VALUE"""),"2015-05-22-J04-HE-1")</f>
        <v>2015-05-22-J04-HE-1</v>
      </c>
    </row>
    <row r="790">
      <c r="A790" t="str">
        <f>IFERROR(__xludf.DUMMYFUNCTION("""COMPUTED_VALUE"""),"2015-05-23-D08-SO-1")</f>
        <v>2015-05-23-D08-SO-1</v>
      </c>
    </row>
    <row r="791">
      <c r="A791" t="str">
        <f>IFERROR(__xludf.DUMMYFUNCTION("""COMPUTED_VALUE"""),"2015-05-23-D08-SO-2")</f>
        <v>2015-05-23-D08-SO-2</v>
      </c>
    </row>
    <row r="792">
      <c r="A792" t="str">
        <f>IFERROR(__xludf.DUMMYFUNCTION("""COMPUTED_VALUE"""),"2015-05-23-D08-SO-3")</f>
        <v>2015-05-23-D08-SO-3</v>
      </c>
    </row>
    <row r="793">
      <c r="A793" t="str">
        <f>IFERROR(__xludf.DUMMYFUNCTION("""COMPUTED_VALUE"""),"2015-05-23-D08-SO-4")</f>
        <v>2015-05-23-D08-SO-4</v>
      </c>
    </row>
    <row r="794">
      <c r="A794" t="str">
        <f>IFERROR(__xludf.DUMMYFUNCTION("""COMPUTED_VALUE"""),"2015-05-23-D08-SO-5")</f>
        <v>2015-05-23-D08-SO-5</v>
      </c>
    </row>
    <row r="795">
      <c r="A795" t="str">
        <f>IFERROR(__xludf.DUMMYFUNCTION("""COMPUTED_VALUE"""),"2015-05-23-D08-SO-6")</f>
        <v>2015-05-23-D08-SO-6</v>
      </c>
    </row>
    <row r="796">
      <c r="A796" t="str">
        <f>IFERROR(__xludf.DUMMYFUNCTION("""COMPUTED_VALUE"""),"2015-05-23-D08-SO-7")</f>
        <v>2015-05-23-D08-SO-7</v>
      </c>
    </row>
    <row r="797">
      <c r="A797" t="str">
        <f>IFERROR(__xludf.DUMMYFUNCTION("""COMPUTED_VALUE"""),"2015-05-23-D08-SO-8")</f>
        <v>2015-05-23-D08-SO-8</v>
      </c>
    </row>
    <row r="798">
      <c r="A798" t="str">
        <f>IFERROR(__xludf.DUMMYFUNCTION("""COMPUTED_VALUE"""),"2015-05-23-D08-SO-9")</f>
        <v>2015-05-23-D08-SO-9</v>
      </c>
    </row>
    <row r="799">
      <c r="A799" t="str">
        <f>IFERROR(__xludf.DUMMYFUNCTION("""COMPUTED_VALUE"""),"2015-05-23-D08-SO-10")</f>
        <v>2015-05-23-D08-SO-10</v>
      </c>
    </row>
    <row r="800">
      <c r="A800" t="str">
        <f>IFERROR(__xludf.DUMMYFUNCTION("""COMPUTED_VALUE"""),"2015-05-23-D08-SO-11")</f>
        <v>2015-05-23-D08-SO-11</v>
      </c>
    </row>
    <row r="801">
      <c r="A801" t="str">
        <f>IFERROR(__xludf.DUMMYFUNCTION("""COMPUTED_VALUE"""),"2015-05-23-D08-SO-12")</f>
        <v>2015-05-23-D08-SO-12</v>
      </c>
    </row>
    <row r="802">
      <c r="A802" t="str">
        <f>IFERROR(__xludf.DUMMYFUNCTION("""COMPUTED_VALUE"""),"2015-05-23-D08-SO-13")</f>
        <v>2015-05-23-D08-SO-13</v>
      </c>
    </row>
    <row r="803">
      <c r="A803" t="str">
        <f>IFERROR(__xludf.DUMMYFUNCTION("""COMPUTED_VALUE"""),"2015-05-23-D08-SO-14")</f>
        <v>2015-05-23-D08-SO-14</v>
      </c>
    </row>
    <row r="804">
      <c r="A804" t="str">
        <f>IFERROR(__xludf.DUMMYFUNCTION("""COMPUTED_VALUE"""),"2015-05-23-D08-SO-15")</f>
        <v>2015-05-23-D08-SO-15</v>
      </c>
    </row>
    <row r="805">
      <c r="A805" t="str">
        <f>IFERROR(__xludf.DUMMYFUNCTION("""COMPUTED_VALUE"""),"2015-05-23-D08-SO-16")</f>
        <v>2015-05-23-D08-SO-16</v>
      </c>
    </row>
    <row r="806">
      <c r="A806" t="str">
        <f>IFERROR(__xludf.DUMMYFUNCTION("""COMPUTED_VALUE"""),"2015-05-23-D08-SO-17")</f>
        <v>2015-05-23-D08-SO-17</v>
      </c>
    </row>
    <row r="807">
      <c r="A807" t="str">
        <f>IFERROR(__xludf.DUMMYFUNCTION("""COMPUTED_VALUE"""),"2015-05-23-D08-SO-18")</f>
        <v>2015-05-23-D08-SO-18</v>
      </c>
    </row>
    <row r="808">
      <c r="A808" t="str">
        <f>IFERROR(__xludf.DUMMYFUNCTION("""COMPUTED_VALUE"""),"2015-05-23-D08-SO-19")</f>
        <v>2015-05-23-D08-SO-19</v>
      </c>
    </row>
    <row r="809">
      <c r="A809" t="str">
        <f>IFERROR(__xludf.DUMMYFUNCTION("""COMPUTED_VALUE"""),"2015-05-23-D08-SO-20")</f>
        <v>2015-05-23-D08-SO-20</v>
      </c>
    </row>
    <row r="810">
      <c r="A810" t="str">
        <f>IFERROR(__xludf.DUMMYFUNCTION("""COMPUTED_VALUE"""),"2015-05-23-D08-SO-21")</f>
        <v>2015-05-23-D08-SO-21</v>
      </c>
    </row>
    <row r="811">
      <c r="A811" t="str">
        <f>IFERROR(__xludf.DUMMYFUNCTION("""COMPUTED_VALUE"""),"2015-05-23-D08-SO-22")</f>
        <v>2015-05-23-D08-SO-22</v>
      </c>
    </row>
    <row r="812">
      <c r="A812" t="str">
        <f>IFERROR(__xludf.DUMMYFUNCTION("""COMPUTED_VALUE"""),"2015-05-23-D08-SO-23")</f>
        <v>2015-05-23-D08-SO-23</v>
      </c>
    </row>
    <row r="813">
      <c r="A813" t="str">
        <f>IFERROR(__xludf.DUMMYFUNCTION("""COMPUTED_VALUE"""),"2015-05-23-D08-SO-24")</f>
        <v>2015-05-23-D08-SO-24</v>
      </c>
    </row>
    <row r="814">
      <c r="A814" t="str">
        <f>IFERROR(__xludf.DUMMYFUNCTION("""COMPUTED_VALUE"""),"2015-05-23-D08-SO-25")</f>
        <v>2015-05-23-D08-SO-25</v>
      </c>
    </row>
    <row r="815">
      <c r="A815" t="str">
        <f>IFERROR(__xludf.DUMMYFUNCTION("""COMPUTED_VALUE"""),"2015-05-23-D08-SO-26")</f>
        <v>2015-05-23-D08-SO-26</v>
      </c>
    </row>
    <row r="816">
      <c r="A816" t="str">
        <f>IFERROR(__xludf.DUMMYFUNCTION("""COMPUTED_VALUE"""),"2015-05-23-D08-SO-27")</f>
        <v>2015-05-23-D08-SO-27</v>
      </c>
    </row>
    <row r="817">
      <c r="A817" t="str">
        <f>IFERROR(__xludf.DUMMYFUNCTION("""COMPUTED_VALUE"""),"2015-05-23-D08-SO-28")</f>
        <v>2015-05-23-D08-SO-28</v>
      </c>
    </row>
    <row r="818">
      <c r="A818" t="str">
        <f>IFERROR(__xludf.DUMMYFUNCTION("""COMPUTED_VALUE"""),"2015-05-23-D08-SO-29")</f>
        <v>2015-05-23-D08-SO-29</v>
      </c>
    </row>
    <row r="819">
      <c r="A819" t="str">
        <f>IFERROR(__xludf.DUMMYFUNCTION("""COMPUTED_VALUE"""),"2015-05-23-D10-SO-1")</f>
        <v>2015-05-23-D10-SO-1</v>
      </c>
    </row>
    <row r="820">
      <c r="A820" t="str">
        <f>IFERROR(__xludf.DUMMYFUNCTION("""COMPUTED_VALUE"""),"2015-05-23-D10-SO-2")</f>
        <v>2015-05-23-D10-SO-2</v>
      </c>
    </row>
    <row r="821">
      <c r="A821" t="str">
        <f>IFERROR(__xludf.DUMMYFUNCTION("""COMPUTED_VALUE"""),"2015-05-23-D10-SO-3")</f>
        <v>2015-05-23-D10-SO-3</v>
      </c>
    </row>
    <row r="822">
      <c r="A822" t="str">
        <f>IFERROR(__xludf.DUMMYFUNCTION("""COMPUTED_VALUE"""),"2015-05-23-D10-SO-4")</f>
        <v>2015-05-23-D10-SO-4</v>
      </c>
    </row>
    <row r="823">
      <c r="A823" t="str">
        <f>IFERROR(__xludf.DUMMYFUNCTION("""COMPUTED_VALUE"""),"2015-05-23-D10-SO-5")</f>
        <v>2015-05-23-D10-SO-5</v>
      </c>
    </row>
    <row r="824">
      <c r="A824" t="str">
        <f>IFERROR(__xludf.DUMMYFUNCTION("""COMPUTED_VALUE"""),"2015-05-23-D10-SO-6")</f>
        <v>2015-05-23-D10-SO-6</v>
      </c>
    </row>
    <row r="825">
      <c r="A825" t="str">
        <f>IFERROR(__xludf.DUMMYFUNCTION("""COMPUTED_VALUE"""),"2015-05-23-D10-SO-7")</f>
        <v>2015-05-23-D10-SO-7</v>
      </c>
    </row>
    <row r="826">
      <c r="A826" t="str">
        <f>IFERROR(__xludf.DUMMYFUNCTION("""COMPUTED_VALUE"""),"2015-05-23-D10-SO-8")</f>
        <v>2015-05-23-D10-SO-8</v>
      </c>
    </row>
    <row r="827">
      <c r="A827" t="str">
        <f>IFERROR(__xludf.DUMMYFUNCTION("""COMPUTED_VALUE"""),"2015-05-23-D10-SO-9")</f>
        <v>2015-05-23-D10-SO-9</v>
      </c>
    </row>
    <row r="828">
      <c r="A828" t="str">
        <f>IFERROR(__xludf.DUMMYFUNCTION("""COMPUTED_VALUE"""),"2015-05-23-D10-SO-10")</f>
        <v>2015-05-23-D10-SO-10</v>
      </c>
    </row>
    <row r="829">
      <c r="A829" t="str">
        <f>IFERROR(__xludf.DUMMYFUNCTION("""COMPUTED_VALUE"""),"2015-05-23-D10-SO-11")</f>
        <v>2015-05-23-D10-SO-11</v>
      </c>
    </row>
    <row r="830">
      <c r="A830" t="str">
        <f>IFERROR(__xludf.DUMMYFUNCTION("""COMPUTED_VALUE"""),"2015-05-23-D10-SO-12")</f>
        <v>2015-05-23-D10-SO-12</v>
      </c>
    </row>
    <row r="831">
      <c r="A831" t="str">
        <f>IFERROR(__xludf.DUMMYFUNCTION("""COMPUTED_VALUE"""),"2015-05-23-D10-SO-13")</f>
        <v>2015-05-23-D10-SO-13</v>
      </c>
    </row>
    <row r="832">
      <c r="A832" t="str">
        <f>IFERROR(__xludf.DUMMYFUNCTION("""COMPUTED_VALUE"""),"2015-05-23-D10-SO-14")</f>
        <v>2015-05-23-D10-SO-14</v>
      </c>
    </row>
    <row r="833">
      <c r="A833" t="str">
        <f>IFERROR(__xludf.DUMMYFUNCTION("""COMPUTED_VALUE"""),"2015-05-23-D10-SO-15")</f>
        <v>2015-05-23-D10-SO-15</v>
      </c>
    </row>
    <row r="834">
      <c r="A834" t="str">
        <f>IFERROR(__xludf.DUMMYFUNCTION("""COMPUTED_VALUE"""),"2015-05-23-D10-SO-16")</f>
        <v>2015-05-23-D10-SO-16</v>
      </c>
    </row>
    <row r="835">
      <c r="A835" t="str">
        <f>IFERROR(__xludf.DUMMYFUNCTION("""COMPUTED_VALUE"""),"2015-05-23-D10-SO-17")</f>
        <v>2015-05-23-D10-SO-17</v>
      </c>
    </row>
    <row r="836">
      <c r="A836" t="str">
        <f>IFERROR(__xludf.DUMMYFUNCTION("""COMPUTED_VALUE"""),"2015-05-23-D10-SO-18")</f>
        <v>2015-05-23-D10-SO-18</v>
      </c>
    </row>
    <row r="837">
      <c r="A837" t="str">
        <f>IFERROR(__xludf.DUMMYFUNCTION("""COMPUTED_VALUE"""),"2015-05-23-D10-SO-19")</f>
        <v>2015-05-23-D10-SO-19</v>
      </c>
    </row>
    <row r="838">
      <c r="A838" t="str">
        <f>IFERROR(__xludf.DUMMYFUNCTION("""COMPUTED_VALUE"""),"2015-05-23-D10-SO-20")</f>
        <v>2015-05-23-D10-SO-20</v>
      </c>
    </row>
    <row r="839">
      <c r="A839" t="str">
        <f>IFERROR(__xludf.DUMMYFUNCTION("""COMPUTED_VALUE"""),"2015-05-23-D10-SO-21")</f>
        <v>2015-05-23-D10-SO-21</v>
      </c>
    </row>
    <row r="840">
      <c r="A840" t="str">
        <f>IFERROR(__xludf.DUMMYFUNCTION("""COMPUTED_VALUE"""),"2015-05-23-D10-SO-22")</f>
        <v>2015-05-23-D10-SO-22</v>
      </c>
    </row>
    <row r="841">
      <c r="A841" t="str">
        <f>IFERROR(__xludf.DUMMYFUNCTION("""COMPUTED_VALUE"""),"2015-05-23-D10-SO-23")</f>
        <v>2015-05-23-D10-SO-23</v>
      </c>
    </row>
    <row r="842">
      <c r="A842" t="str">
        <f>IFERROR(__xludf.DUMMYFUNCTION("""COMPUTED_VALUE"""),"2015-05-23-D10-SO-24")</f>
        <v>2015-05-23-D10-SO-24</v>
      </c>
    </row>
    <row r="843">
      <c r="A843" t="str">
        <f>IFERROR(__xludf.DUMMYFUNCTION("""COMPUTED_VALUE"""),"2015-05-23-D10-SO-25")</f>
        <v>2015-05-23-D10-SO-25</v>
      </c>
    </row>
    <row r="844">
      <c r="A844" t="str">
        <f>IFERROR(__xludf.DUMMYFUNCTION("""COMPUTED_VALUE"""),"2015-05-23-D10-SO-26")</f>
        <v>2015-05-23-D10-SO-26</v>
      </c>
    </row>
    <row r="845">
      <c r="A845" t="str">
        <f>IFERROR(__xludf.DUMMYFUNCTION("""COMPUTED_VALUE"""),"2015-05-23-D10-SO-27")</f>
        <v>2015-05-23-D10-SO-27</v>
      </c>
    </row>
    <row r="846">
      <c r="A846" t="str">
        <f>IFERROR(__xludf.DUMMYFUNCTION("""COMPUTED_VALUE"""),"2015-05-23-D10-SO-28")</f>
        <v>2015-05-23-D10-SO-28</v>
      </c>
    </row>
    <row r="847">
      <c r="A847" t="str">
        <f>IFERROR(__xludf.DUMMYFUNCTION("""COMPUTED_VALUE"""),"2015-05-23-D10-SO-29")</f>
        <v>2015-05-23-D10-SO-29</v>
      </c>
    </row>
    <row r="848">
      <c r="A848" t="str">
        <f>IFERROR(__xludf.DUMMYFUNCTION("""COMPUTED_VALUE"""),"2015-05-23-D10-SO-30")</f>
        <v>2015-05-23-D10-SO-30</v>
      </c>
    </row>
    <row r="849">
      <c r="A849" t="str">
        <f>IFERROR(__xludf.DUMMYFUNCTION("""COMPUTED_VALUE"""),"2015-05-23-J03-SO-1")</f>
        <v>2015-05-23-J03-SO-1</v>
      </c>
    </row>
    <row r="850">
      <c r="A850" t="str">
        <f>IFERROR(__xludf.DUMMYFUNCTION("""COMPUTED_VALUE"""),"2015-05-23-J03-SO-2")</f>
        <v>2015-05-23-J03-SO-2</v>
      </c>
    </row>
    <row r="851">
      <c r="A851" t="str">
        <f>IFERROR(__xludf.DUMMYFUNCTION("""COMPUTED_VALUE"""),"2015-05-23-J03-SO-3")</f>
        <v>2015-05-23-J03-SO-3</v>
      </c>
    </row>
    <row r="852">
      <c r="A852" t="str">
        <f>IFERROR(__xludf.DUMMYFUNCTION("""COMPUTED_VALUE"""),"2015-05-23-J03-SO-4")</f>
        <v>2015-05-23-J03-SO-4</v>
      </c>
    </row>
    <row r="853">
      <c r="A853" t="str">
        <f>IFERROR(__xludf.DUMMYFUNCTION("""COMPUTED_VALUE"""),"2015-05-23-J03-SO-5")</f>
        <v>2015-05-23-J03-SO-5</v>
      </c>
    </row>
    <row r="854">
      <c r="A854" t="str">
        <f>IFERROR(__xludf.DUMMYFUNCTION("""COMPUTED_VALUE"""),"2015-05-23-J03-SO-6")</f>
        <v>2015-05-23-J03-SO-6</v>
      </c>
    </row>
    <row r="855">
      <c r="A855" t="str">
        <f>IFERROR(__xludf.DUMMYFUNCTION("""COMPUTED_VALUE"""),"2015-05-23-J03-SO-7")</f>
        <v>2015-05-23-J03-SO-7</v>
      </c>
    </row>
    <row r="856">
      <c r="A856" t="str">
        <f>IFERROR(__xludf.DUMMYFUNCTION("""COMPUTED_VALUE"""),"2015-05-23-J03-SO-8")</f>
        <v>2015-05-23-J03-SO-8</v>
      </c>
    </row>
    <row r="857">
      <c r="A857" t="str">
        <f>IFERROR(__xludf.DUMMYFUNCTION("""COMPUTED_VALUE"""),"2015-05-23-J03-SO-9")</f>
        <v>2015-05-23-J03-SO-9</v>
      </c>
    </row>
    <row r="858">
      <c r="A858" t="str">
        <f>IFERROR(__xludf.DUMMYFUNCTION("""COMPUTED_VALUE"""),"2015-05-23-J03-SO-10")</f>
        <v>2015-05-23-J03-SO-10</v>
      </c>
    </row>
    <row r="859">
      <c r="A859" t="str">
        <f>IFERROR(__xludf.DUMMYFUNCTION("""COMPUTED_VALUE"""),"2015-05-23-J03-SO-11")</f>
        <v>2015-05-23-J03-SO-11</v>
      </c>
    </row>
    <row r="860">
      <c r="A860" t="str">
        <f>IFERROR(__xludf.DUMMYFUNCTION("""COMPUTED_VALUE"""),"2015-05-23-J03-SO-12")</f>
        <v>2015-05-23-J03-SO-12</v>
      </c>
    </row>
    <row r="861">
      <c r="A861" t="str">
        <f>IFERROR(__xludf.DUMMYFUNCTION("""COMPUTED_VALUE"""),"2015-05-23-J03-SO-13")</f>
        <v>2015-05-23-J03-SO-13</v>
      </c>
    </row>
    <row r="862">
      <c r="A862" t="str">
        <f>IFERROR(__xludf.DUMMYFUNCTION("""COMPUTED_VALUE"""),"2015-05-23-J03-SO-14")</f>
        <v>2015-05-23-J03-SO-14</v>
      </c>
    </row>
    <row r="863">
      <c r="A863" t="str">
        <f>IFERROR(__xludf.DUMMYFUNCTION("""COMPUTED_VALUE"""),"2015-05-23-J03-SO-15")</f>
        <v>2015-05-23-J03-SO-15</v>
      </c>
    </row>
    <row r="864">
      <c r="A864" t="str">
        <f>IFERROR(__xludf.DUMMYFUNCTION("""COMPUTED_VALUE"""),"2015-05-23-J03-SO-16")</f>
        <v>2015-05-23-J03-SO-16</v>
      </c>
    </row>
    <row r="865">
      <c r="A865" t="str">
        <f>IFERROR(__xludf.DUMMYFUNCTION("""COMPUTED_VALUE"""),"2015-05-23-J03-SO-17")</f>
        <v>2015-05-23-J03-SO-17</v>
      </c>
    </row>
    <row r="866">
      <c r="A866" t="str">
        <f>IFERROR(__xludf.DUMMYFUNCTION("""COMPUTED_VALUE"""),"2015-05-23-J03-SO-18")</f>
        <v>2015-05-23-J03-SO-18</v>
      </c>
    </row>
    <row r="867">
      <c r="A867" t="str">
        <f>IFERROR(__xludf.DUMMYFUNCTION("""COMPUTED_VALUE"""),"2015-05-23-J03-SO-19")</f>
        <v>2015-05-23-J03-SO-19</v>
      </c>
    </row>
    <row r="868">
      <c r="A868" t="str">
        <f>IFERROR(__xludf.DUMMYFUNCTION("""COMPUTED_VALUE"""),"2015-05-23-J03-SO-20")</f>
        <v>2015-05-23-J03-SO-20</v>
      </c>
    </row>
    <row r="869">
      <c r="A869" t="str">
        <f>IFERROR(__xludf.DUMMYFUNCTION("""COMPUTED_VALUE"""),"2015-05-23-J03-SO-21")</f>
        <v>2015-05-23-J03-SO-21</v>
      </c>
    </row>
    <row r="870">
      <c r="A870" t="str">
        <f>IFERROR(__xludf.DUMMYFUNCTION("""COMPUTED_VALUE"""),"2015-05-23-J03-SO-22")</f>
        <v>2015-05-23-J03-SO-22</v>
      </c>
    </row>
    <row r="871">
      <c r="A871" t="str">
        <f>IFERROR(__xludf.DUMMYFUNCTION("""COMPUTED_VALUE"""),"2015-05-23-J03-SO-23")</f>
        <v>2015-05-23-J03-SO-23</v>
      </c>
    </row>
    <row r="872">
      <c r="A872" t="str">
        <f>IFERROR(__xludf.DUMMYFUNCTION("""COMPUTED_VALUE"""),"2015-05-23-J03-SO-24")</f>
        <v>2015-05-23-J03-SO-24</v>
      </c>
    </row>
    <row r="873">
      <c r="A873" t="str">
        <f>IFERROR(__xludf.DUMMYFUNCTION("""COMPUTED_VALUE"""),"2015-05-23-J03-SO-25")</f>
        <v>2015-05-23-J03-SO-25</v>
      </c>
    </row>
    <row r="874">
      <c r="A874" t="str">
        <f>IFERROR(__xludf.DUMMYFUNCTION("""COMPUTED_VALUE"""),"2015-05-23-J03-SO-26")</f>
        <v>2015-05-23-J03-SO-26</v>
      </c>
    </row>
    <row r="875">
      <c r="A875" t="str">
        <f>IFERROR(__xludf.DUMMYFUNCTION("""COMPUTED_VALUE"""),"2015-05-23-J03-SO-27")</f>
        <v>2015-05-23-J03-SO-27</v>
      </c>
    </row>
    <row r="876">
      <c r="A876" t="str">
        <f>IFERROR(__xludf.DUMMYFUNCTION("""COMPUTED_VALUE"""),"2015-05-23-J03-SO-28")</f>
        <v>2015-05-23-J03-SO-28</v>
      </c>
    </row>
    <row r="877">
      <c r="A877" t="str">
        <f>IFERROR(__xludf.DUMMYFUNCTION("""COMPUTED_VALUE"""),"2015-05-23-J03-SO-29")</f>
        <v>2015-05-23-J03-SO-29</v>
      </c>
    </row>
    <row r="878">
      <c r="A878" t="str">
        <f>IFERROR(__xludf.DUMMYFUNCTION("""COMPUTED_VALUE"""),"2015-05-23-J03-SO-30")</f>
        <v>2015-05-23-J03-SO-30</v>
      </c>
    </row>
    <row r="879">
      <c r="A879" t="str">
        <f>IFERROR(__xludf.DUMMYFUNCTION("""COMPUTED_VALUE"""),"2015-05-23-J09-SO-1")</f>
        <v>2015-05-23-J09-SO-1</v>
      </c>
    </row>
    <row r="880">
      <c r="A880" t="str">
        <f>IFERROR(__xludf.DUMMYFUNCTION("""COMPUTED_VALUE"""),"2015-05-23-J09-SO-2")</f>
        <v>2015-05-23-J09-SO-2</v>
      </c>
    </row>
    <row r="881">
      <c r="A881" t="str">
        <f>IFERROR(__xludf.DUMMYFUNCTION("""COMPUTED_VALUE"""),"2015-05-23-J09-SO-3")</f>
        <v>2015-05-23-J09-SO-3</v>
      </c>
    </row>
    <row r="882">
      <c r="A882" t="str">
        <f>IFERROR(__xludf.DUMMYFUNCTION("""COMPUTED_VALUE"""),"2015-05-23-J09-SO-4")</f>
        <v>2015-05-23-J09-SO-4</v>
      </c>
    </row>
    <row r="883">
      <c r="A883" t="str">
        <f>IFERROR(__xludf.DUMMYFUNCTION("""COMPUTED_VALUE"""),"2015-05-23-J09-SO-5")</f>
        <v>2015-05-23-J09-SO-5</v>
      </c>
    </row>
    <row r="884">
      <c r="A884" t="str">
        <f>IFERROR(__xludf.DUMMYFUNCTION("""COMPUTED_VALUE"""),"2015-05-23-J09-SO-6")</f>
        <v>2015-05-23-J09-SO-6</v>
      </c>
    </row>
    <row r="885">
      <c r="A885" t="str">
        <f>IFERROR(__xludf.DUMMYFUNCTION("""COMPUTED_VALUE"""),"2015-05-23-J09-SO-7")</f>
        <v>2015-05-23-J09-SO-7</v>
      </c>
    </row>
    <row r="886">
      <c r="A886" t="str">
        <f>IFERROR(__xludf.DUMMYFUNCTION("""COMPUTED_VALUE"""),"2015-05-23-J09-SO-8")</f>
        <v>2015-05-23-J09-SO-8</v>
      </c>
    </row>
    <row r="887">
      <c r="A887" t="str">
        <f>IFERROR(__xludf.DUMMYFUNCTION("""COMPUTED_VALUE"""),"2015-05-23-J09-SO-9")</f>
        <v>2015-05-23-J09-SO-9</v>
      </c>
    </row>
    <row r="888">
      <c r="A888" t="str">
        <f>IFERROR(__xludf.DUMMYFUNCTION("""COMPUTED_VALUE"""),"2015-05-23-J09-SO-10")</f>
        <v>2015-05-23-J09-SO-10</v>
      </c>
    </row>
    <row r="889">
      <c r="A889" t="str">
        <f>IFERROR(__xludf.DUMMYFUNCTION("""COMPUTED_VALUE"""),"2015-05-23-J09-SO-11")</f>
        <v>2015-05-23-J09-SO-11</v>
      </c>
    </row>
    <row r="890">
      <c r="A890" t="str">
        <f>IFERROR(__xludf.DUMMYFUNCTION("""COMPUTED_VALUE"""),"2015-05-23-J09-SO-12")</f>
        <v>2015-05-23-J09-SO-12</v>
      </c>
    </row>
    <row r="891">
      <c r="A891" t="str">
        <f>IFERROR(__xludf.DUMMYFUNCTION("""COMPUTED_VALUE"""),"2015-05-23-J09-SO-13")</f>
        <v>2015-05-23-J09-SO-13</v>
      </c>
    </row>
    <row r="892">
      <c r="A892" t="str">
        <f>IFERROR(__xludf.DUMMYFUNCTION("""COMPUTED_VALUE"""),"2015-05-23-J09-SO-14")</f>
        <v>2015-05-23-J09-SO-14</v>
      </c>
    </row>
    <row r="893">
      <c r="A893" t="str">
        <f>IFERROR(__xludf.DUMMYFUNCTION("""COMPUTED_VALUE"""),"2015-05-23-J09-SO-15")</f>
        <v>2015-05-23-J09-SO-15</v>
      </c>
    </row>
    <row r="894">
      <c r="A894" t="str">
        <f>IFERROR(__xludf.DUMMYFUNCTION("""COMPUTED_VALUE"""),"2015-05-23-J09-SO-16")</f>
        <v>2015-05-23-J09-SO-16</v>
      </c>
    </row>
    <row r="895">
      <c r="A895" t="str">
        <f>IFERROR(__xludf.DUMMYFUNCTION("""COMPUTED_VALUE"""),"2015-05-23-J09-SO-17")</f>
        <v>2015-05-23-J09-SO-17</v>
      </c>
    </row>
    <row r="896">
      <c r="A896" t="str">
        <f>IFERROR(__xludf.DUMMYFUNCTION("""COMPUTED_VALUE"""),"2015-05-23-J09-SO-18")</f>
        <v>2015-05-23-J09-SO-18</v>
      </c>
    </row>
    <row r="897">
      <c r="A897" t="str">
        <f>IFERROR(__xludf.DUMMYFUNCTION("""COMPUTED_VALUE"""),"2015-05-23-J09-SO-19")</f>
        <v>2015-05-23-J09-SO-19</v>
      </c>
    </row>
    <row r="898">
      <c r="A898" t="str">
        <f>IFERROR(__xludf.DUMMYFUNCTION("""COMPUTED_VALUE"""),"2015-05-23-J09-SO-20")</f>
        <v>2015-05-23-J09-SO-20</v>
      </c>
    </row>
    <row r="899">
      <c r="A899" t="str">
        <f>IFERROR(__xludf.DUMMYFUNCTION("""COMPUTED_VALUE"""),"2015-05-23-J09-SO-21")</f>
        <v>2015-05-23-J09-SO-21</v>
      </c>
    </row>
    <row r="900">
      <c r="A900" t="str">
        <f>IFERROR(__xludf.DUMMYFUNCTION("""COMPUTED_VALUE"""),"2015-05-23-J09-SO-22")</f>
        <v>2015-05-23-J09-SO-22</v>
      </c>
    </row>
    <row r="901">
      <c r="A901" t="str">
        <f>IFERROR(__xludf.DUMMYFUNCTION("""COMPUTED_VALUE"""),"2015-05-23-J09-SO-23")</f>
        <v>2015-05-23-J09-SO-23</v>
      </c>
    </row>
    <row r="902">
      <c r="A902" t="str">
        <f>IFERROR(__xludf.DUMMYFUNCTION("""COMPUTED_VALUE"""),"2015-05-23-J09-SO-24")</f>
        <v>2015-05-23-J09-SO-24</v>
      </c>
    </row>
    <row r="903">
      <c r="A903" t="str">
        <f>IFERROR(__xludf.DUMMYFUNCTION("""COMPUTED_VALUE"""),"2015-05-23-J09-SO-25")</f>
        <v>2015-05-23-J09-SO-25</v>
      </c>
    </row>
    <row r="904">
      <c r="A904" t="str">
        <f>IFERROR(__xludf.DUMMYFUNCTION("""COMPUTED_VALUE"""),"2015-05-23-J09-SO-26")</f>
        <v>2015-05-23-J09-SO-26</v>
      </c>
    </row>
    <row r="905">
      <c r="A905" t="str">
        <f>IFERROR(__xludf.DUMMYFUNCTION("""COMPUTED_VALUE"""),"2015-05-23-J09-SO-27")</f>
        <v>2015-05-23-J09-SO-27</v>
      </c>
    </row>
    <row r="906">
      <c r="A906" t="str">
        <f>IFERROR(__xludf.DUMMYFUNCTION("""COMPUTED_VALUE"""),"2015-05-23-J09-SO-28")</f>
        <v>2015-05-23-J09-SO-28</v>
      </c>
    </row>
    <row r="907">
      <c r="A907" t="str">
        <f>IFERROR(__xludf.DUMMYFUNCTION("""COMPUTED_VALUE"""),"2015-05-23-J09-SO-29")</f>
        <v>2015-05-23-J09-SO-29</v>
      </c>
    </row>
    <row r="908">
      <c r="A908" t="str">
        <f>IFERROR(__xludf.DUMMYFUNCTION("""COMPUTED_VALUE"""),"2015-05-23-J09-SO-30")</f>
        <v>2015-05-23-J09-SO-30</v>
      </c>
    </row>
    <row r="909">
      <c r="A909" t="str">
        <f>IFERROR(__xludf.DUMMYFUNCTION("""COMPUTED_VALUE"""),"2015-05-23-J10-SO-1")</f>
        <v>2015-05-23-J10-SO-1</v>
      </c>
    </row>
    <row r="910">
      <c r="A910" t="str">
        <f>IFERROR(__xludf.DUMMYFUNCTION("""COMPUTED_VALUE"""),"2015-05-23-J10-SO-2")</f>
        <v>2015-05-23-J10-SO-2</v>
      </c>
    </row>
    <row r="911">
      <c r="A911" t="str">
        <f>IFERROR(__xludf.DUMMYFUNCTION("""COMPUTED_VALUE"""),"2015-05-23-J10-SO-3")</f>
        <v>2015-05-23-J10-SO-3</v>
      </c>
    </row>
    <row r="912">
      <c r="A912" t="str">
        <f>IFERROR(__xludf.DUMMYFUNCTION("""COMPUTED_VALUE"""),"2015-05-23-J10-SO-4")</f>
        <v>2015-05-23-J10-SO-4</v>
      </c>
    </row>
    <row r="913">
      <c r="A913" t="str">
        <f>IFERROR(__xludf.DUMMYFUNCTION("""COMPUTED_VALUE"""),"2015-05-23-J10-SO-5")</f>
        <v>2015-05-23-J10-SO-5</v>
      </c>
    </row>
    <row r="914">
      <c r="A914" t="str">
        <f>IFERROR(__xludf.DUMMYFUNCTION("""COMPUTED_VALUE"""),"2015-05-23-J10-SO-6")</f>
        <v>2015-05-23-J10-SO-6</v>
      </c>
    </row>
    <row r="915">
      <c r="A915" t="str">
        <f>IFERROR(__xludf.DUMMYFUNCTION("""COMPUTED_VALUE"""),"2015-05-23-J10-SO-7")</f>
        <v>2015-05-23-J10-SO-7</v>
      </c>
    </row>
    <row r="916">
      <c r="A916" t="str">
        <f>IFERROR(__xludf.DUMMYFUNCTION("""COMPUTED_VALUE"""),"2015-05-23-J10-SO-8")</f>
        <v>2015-05-23-J10-SO-8</v>
      </c>
    </row>
    <row r="917">
      <c r="A917" t="str">
        <f>IFERROR(__xludf.DUMMYFUNCTION("""COMPUTED_VALUE"""),"2015-05-23-J10-SO-9")</f>
        <v>2015-05-23-J10-SO-9</v>
      </c>
    </row>
    <row r="918">
      <c r="A918" t="str">
        <f>IFERROR(__xludf.DUMMYFUNCTION("""COMPUTED_VALUE"""),"2015-05-23-J10-SO-10")</f>
        <v>2015-05-23-J10-SO-10</v>
      </c>
    </row>
    <row r="919">
      <c r="A919" t="str">
        <f>IFERROR(__xludf.DUMMYFUNCTION("""COMPUTED_VALUE"""),"2015-05-23-J10-SO-11")</f>
        <v>2015-05-23-J10-SO-11</v>
      </c>
    </row>
    <row r="920">
      <c r="A920" t="str">
        <f>IFERROR(__xludf.DUMMYFUNCTION("""COMPUTED_VALUE"""),"2015-05-23-J10-SO-12")</f>
        <v>2015-05-23-J10-SO-12</v>
      </c>
    </row>
    <row r="921">
      <c r="A921" t="str">
        <f>IFERROR(__xludf.DUMMYFUNCTION("""COMPUTED_VALUE"""),"2015-05-23-J10-SO-13")</f>
        <v>2015-05-23-J10-SO-13</v>
      </c>
    </row>
    <row r="922">
      <c r="A922" t="str">
        <f>IFERROR(__xludf.DUMMYFUNCTION("""COMPUTED_VALUE"""),"2015-05-23-J10-SO-14")</f>
        <v>2015-05-23-J10-SO-14</v>
      </c>
    </row>
    <row r="923">
      <c r="A923" t="str">
        <f>IFERROR(__xludf.DUMMYFUNCTION("""COMPUTED_VALUE"""),"2015-05-23-J10-SO-15")</f>
        <v>2015-05-23-J10-SO-15</v>
      </c>
    </row>
    <row r="924">
      <c r="A924" t="str">
        <f>IFERROR(__xludf.DUMMYFUNCTION("""COMPUTED_VALUE"""),"2015-05-23-J10-SO-16")</f>
        <v>2015-05-23-J10-SO-16</v>
      </c>
    </row>
    <row r="925">
      <c r="A925" t="str">
        <f>IFERROR(__xludf.DUMMYFUNCTION("""COMPUTED_VALUE"""),"2015-05-23-J10-SO-17")</f>
        <v>2015-05-23-J10-SO-17</v>
      </c>
    </row>
    <row r="926">
      <c r="A926" t="str">
        <f>IFERROR(__xludf.DUMMYFUNCTION("""COMPUTED_VALUE"""),"2015-05-23-J10-SO-18")</f>
        <v>2015-05-23-J10-SO-18</v>
      </c>
    </row>
    <row r="927">
      <c r="A927" t="str">
        <f>IFERROR(__xludf.DUMMYFUNCTION("""COMPUTED_VALUE"""),"2015-05-23-J10-SO-19")</f>
        <v>2015-05-23-J10-SO-19</v>
      </c>
    </row>
    <row r="928">
      <c r="A928" t="str">
        <f>IFERROR(__xludf.DUMMYFUNCTION("""COMPUTED_VALUE"""),"2015-05-23-J10-SO-20")</f>
        <v>2015-05-23-J10-SO-20</v>
      </c>
    </row>
    <row r="929">
      <c r="A929" t="str">
        <f>IFERROR(__xludf.DUMMYFUNCTION("""COMPUTED_VALUE"""),"2015-05-23-J10-SO-21")</f>
        <v>2015-05-23-J10-SO-21</v>
      </c>
    </row>
    <row r="930">
      <c r="A930" t="str">
        <f>IFERROR(__xludf.DUMMYFUNCTION("""COMPUTED_VALUE"""),"2015-05-23-J10-SO-22")</f>
        <v>2015-05-23-J10-SO-22</v>
      </c>
    </row>
    <row r="931">
      <c r="A931" t="str">
        <f>IFERROR(__xludf.DUMMYFUNCTION("""COMPUTED_VALUE"""),"2015-05-23-J10-SO-23")</f>
        <v>2015-05-23-J10-SO-23</v>
      </c>
    </row>
    <row r="932">
      <c r="A932" t="str">
        <f>IFERROR(__xludf.DUMMYFUNCTION("""COMPUTED_VALUE"""),"2015-05-23-J10-SO-24")</f>
        <v>2015-05-23-J10-SO-24</v>
      </c>
    </row>
    <row r="933">
      <c r="A933" t="str">
        <f>IFERROR(__xludf.DUMMYFUNCTION("""COMPUTED_VALUE"""),"2015-05-23-J10-SO-25")</f>
        <v>2015-05-23-J10-SO-25</v>
      </c>
    </row>
    <row r="934">
      <c r="A934" t="str">
        <f>IFERROR(__xludf.DUMMYFUNCTION("""COMPUTED_VALUE"""),"2015-05-23-J10-SO-26")</f>
        <v>2015-05-23-J10-SO-26</v>
      </c>
    </row>
    <row r="935">
      <c r="A935" t="str">
        <f>IFERROR(__xludf.DUMMYFUNCTION("""COMPUTED_VALUE"""),"2015-05-23-J10-SO-27")</f>
        <v>2015-05-23-J10-SO-27</v>
      </c>
    </row>
    <row r="936">
      <c r="A936" t="str">
        <f>IFERROR(__xludf.DUMMYFUNCTION("""COMPUTED_VALUE"""),"2015-05-23-J10-SO-28")</f>
        <v>2015-05-23-J10-SO-28</v>
      </c>
    </row>
    <row r="937">
      <c r="A937" t="str">
        <f>IFERROR(__xludf.DUMMYFUNCTION("""COMPUTED_VALUE"""),"2015-05-23-J10-SO-29")</f>
        <v>2015-05-23-J10-SO-29</v>
      </c>
    </row>
    <row r="938">
      <c r="A938" t="str">
        <f>IFERROR(__xludf.DUMMYFUNCTION("""COMPUTED_VALUE"""),"2015-05-23-J10-SO-30")</f>
        <v>2015-05-23-J10-SO-30</v>
      </c>
    </row>
    <row r="939">
      <c r="A939" t="str">
        <f>IFERROR(__xludf.DUMMYFUNCTION("""COMPUTED_VALUE"""),"2015-05-23-D10-PI-1")</f>
        <v>2015-05-23-D10-PI-1</v>
      </c>
    </row>
    <row r="940">
      <c r="A940" t="str">
        <f>IFERROR(__xludf.DUMMYFUNCTION("""COMPUTED_VALUE"""),"2015-05-23-D10-PI-2")</f>
        <v>2015-05-23-D10-PI-2</v>
      </c>
    </row>
    <row r="941">
      <c r="A941" t="str">
        <f>IFERROR(__xludf.DUMMYFUNCTION("""COMPUTED_VALUE"""),"2015-05-23-D08-CU-1")</f>
        <v>2015-05-23-D08-CU-1</v>
      </c>
    </row>
    <row r="942">
      <c r="A942" t="str">
        <f>IFERROR(__xludf.DUMMYFUNCTION("""COMPUTED_VALUE"""),"2015-05-23-D08-CU-2")</f>
        <v>2015-05-23-D08-CU-2</v>
      </c>
    </row>
    <row r="943">
      <c r="A943" t="str">
        <f>IFERROR(__xludf.DUMMYFUNCTION("""COMPUTED_VALUE"""),"2015-05-23-D08-CU-3")</f>
        <v>2015-05-23-D08-CU-3</v>
      </c>
    </row>
    <row r="944">
      <c r="A944" t="str">
        <f>IFERROR(__xludf.DUMMYFUNCTION("""COMPUTED_VALUE"""),"2015-05-23-D08-CU-4")</f>
        <v>2015-05-23-D08-CU-4</v>
      </c>
    </row>
    <row r="945">
      <c r="A945" t="str">
        <f>IFERROR(__xludf.DUMMYFUNCTION("""COMPUTED_VALUE"""),"2015-05-23-D08-CU-5")</f>
        <v>2015-05-23-D08-CU-5</v>
      </c>
    </row>
    <row r="946">
      <c r="A946" t="str">
        <f>IFERROR(__xludf.DUMMYFUNCTION("""COMPUTED_VALUE"""),"2015-05-23-D08-CU-6")</f>
        <v>2015-05-23-D08-CU-6</v>
      </c>
    </row>
    <row r="947">
      <c r="A947" t="str">
        <f>IFERROR(__xludf.DUMMYFUNCTION("""COMPUTED_VALUE"""),"2015-05-23-D08-CU-7")</f>
        <v>2015-05-23-D08-CU-7</v>
      </c>
    </row>
    <row r="948">
      <c r="A948" t="str">
        <f>IFERROR(__xludf.DUMMYFUNCTION("""COMPUTED_VALUE"""),"2015-05-23-D08-CU-8")</f>
        <v>2015-05-23-D08-CU-8</v>
      </c>
    </row>
    <row r="949">
      <c r="A949" t="str">
        <f>IFERROR(__xludf.DUMMYFUNCTION("""COMPUTED_VALUE"""),"2015-05-23-D08-CU-9")</f>
        <v>2015-05-23-D08-CU-9</v>
      </c>
    </row>
    <row r="950">
      <c r="A950" t="str">
        <f>IFERROR(__xludf.DUMMYFUNCTION("""COMPUTED_VALUE"""),"2015-05-23-D08-CU-10")</f>
        <v>2015-05-23-D08-CU-10</v>
      </c>
    </row>
    <row r="951">
      <c r="A951" t="str">
        <f>IFERROR(__xludf.DUMMYFUNCTION("""COMPUTED_VALUE"""),"2015-05-23-D10-CU-1")</f>
        <v>2015-05-23-D10-CU-1</v>
      </c>
    </row>
    <row r="952">
      <c r="A952" t="str">
        <f>IFERROR(__xludf.DUMMYFUNCTION("""COMPUTED_VALUE"""),"2015-05-23-D10-CU-2")</f>
        <v>2015-05-23-D10-CU-2</v>
      </c>
    </row>
    <row r="953">
      <c r="A953" t="str">
        <f>IFERROR(__xludf.DUMMYFUNCTION("""COMPUTED_VALUE"""),"2015-05-23-J09-CU-1")</f>
        <v>2015-05-23-J09-CU-1</v>
      </c>
    </row>
    <row r="954">
      <c r="A954" t="str">
        <f>IFERROR(__xludf.DUMMYFUNCTION("""COMPUTED_VALUE"""),"2015-05-23-J09-CU-2")</f>
        <v>2015-05-23-J09-CU-2</v>
      </c>
    </row>
    <row r="955">
      <c r="A955" t="str">
        <f>IFERROR(__xludf.DUMMYFUNCTION("""COMPUTED_VALUE"""),"2015-05-23-J09-CU-3")</f>
        <v>2015-05-23-J09-CU-3</v>
      </c>
    </row>
    <row r="956">
      <c r="A956" t="str">
        <f>IFERROR(__xludf.DUMMYFUNCTION("""COMPUTED_VALUE"""),"2015-05-23-J09-CU-4")</f>
        <v>2015-05-23-J09-CU-4</v>
      </c>
    </row>
    <row r="957">
      <c r="A957" t="str">
        <f>IFERROR(__xludf.DUMMYFUNCTION("""COMPUTED_VALUE"""),"2015-05-23-J09-CU-5")</f>
        <v>2015-05-23-J09-CU-5</v>
      </c>
    </row>
    <row r="958">
      <c r="A958" t="str">
        <f>IFERROR(__xludf.DUMMYFUNCTION("""COMPUTED_VALUE"""),"2015-05-23-J09-CU-6")</f>
        <v>2015-05-23-J09-CU-6</v>
      </c>
    </row>
    <row r="959">
      <c r="A959" t="str">
        <f>IFERROR(__xludf.DUMMYFUNCTION("""COMPUTED_VALUE"""),"2015-05-23-J09-CU-7")</f>
        <v>2015-05-23-J09-CU-7</v>
      </c>
    </row>
    <row r="960">
      <c r="A960" t="str">
        <f>IFERROR(__xludf.DUMMYFUNCTION("""COMPUTED_VALUE"""),"2015-05-23-J09-CU-8")</f>
        <v>2015-05-23-J09-CU-8</v>
      </c>
    </row>
    <row r="961">
      <c r="A961" t="str">
        <f>IFERROR(__xludf.DUMMYFUNCTION("""COMPUTED_VALUE"""),"2015-05-23-J09-CU-9")</f>
        <v>2015-05-23-J09-CU-9</v>
      </c>
    </row>
    <row r="962">
      <c r="A962" t="str">
        <f>IFERROR(__xludf.DUMMYFUNCTION("""COMPUTED_VALUE"""),"2015-05-23-J09-CU-10")</f>
        <v>2015-05-23-J09-CU-10</v>
      </c>
    </row>
    <row r="963">
      <c r="A963" t="str">
        <f>IFERROR(__xludf.DUMMYFUNCTION("""COMPUTED_VALUE"""),"2015-05-23-J10-CU-1")</f>
        <v>2015-05-23-J10-CU-1</v>
      </c>
    </row>
    <row r="964">
      <c r="A964" t="str">
        <f>IFERROR(__xludf.DUMMYFUNCTION("""COMPUTED_VALUE"""),"2015-05-23-J10-CU-2")</f>
        <v>2015-05-23-J10-CU-2</v>
      </c>
    </row>
    <row r="965">
      <c r="A965" t="str">
        <f>IFERROR(__xludf.DUMMYFUNCTION("""COMPUTED_VALUE"""),"2015-05-23-J10-CU-3")</f>
        <v>2015-05-23-J10-CU-3</v>
      </c>
    </row>
    <row r="966">
      <c r="A966" t="str">
        <f>IFERROR(__xludf.DUMMYFUNCTION("""COMPUTED_VALUE"""),"2015-05-23-J10-CU-4")</f>
        <v>2015-05-23-J10-CU-4</v>
      </c>
    </row>
    <row r="967">
      <c r="A967" t="str">
        <f>IFERROR(__xludf.DUMMYFUNCTION("""COMPUTED_VALUE"""),"2015-05-23-J10-CU-5")</f>
        <v>2015-05-23-J10-CU-5</v>
      </c>
    </row>
    <row r="968">
      <c r="A968" t="str">
        <f>IFERROR(__xludf.DUMMYFUNCTION("""COMPUTED_VALUE"""),"2015-05-23-J10-CU-6")</f>
        <v>2015-05-23-J10-CU-6</v>
      </c>
    </row>
    <row r="969">
      <c r="A969" t="str">
        <f>IFERROR(__xludf.DUMMYFUNCTION("""COMPUTED_VALUE"""),"2015-05-23-J10-CU-7")</f>
        <v>2015-05-23-J10-CU-7</v>
      </c>
    </row>
    <row r="970">
      <c r="A970" t="str">
        <f>IFERROR(__xludf.DUMMYFUNCTION("""COMPUTED_VALUE"""),"2015-05-23-J10-CU-8")</f>
        <v>2015-05-23-J10-CU-8</v>
      </c>
    </row>
    <row r="971">
      <c r="A971" t="str">
        <f>IFERROR(__xludf.DUMMYFUNCTION("""COMPUTED_VALUE"""),"2015-05-23-J10-CU-9")</f>
        <v>2015-05-23-J10-CU-9</v>
      </c>
    </row>
    <row r="972">
      <c r="A972" t="str">
        <f>IFERROR(__xludf.DUMMYFUNCTION("""COMPUTED_VALUE"""),"2015-05-23-J10-CU-10")</f>
        <v>2015-05-23-J10-CU-10</v>
      </c>
    </row>
    <row r="973">
      <c r="A973" t="str">
        <f>IFERROR(__xludf.DUMMYFUNCTION("""COMPUTED_VALUE"""),"2015-05-23-D08-CO-1")</f>
        <v>2015-05-23-D08-CO-1</v>
      </c>
    </row>
    <row r="974">
      <c r="A974" t="str">
        <f>IFERROR(__xludf.DUMMYFUNCTION("""COMPUTED_VALUE"""),"2015-05-23-J09-CO-1")</f>
        <v>2015-05-23-J09-CO-1</v>
      </c>
    </row>
    <row r="975">
      <c r="A975" t="str">
        <f>IFERROR(__xludf.DUMMYFUNCTION("""COMPUTED_VALUE"""),"2015-05-23-J09-CO-2")</f>
        <v>2015-05-23-J09-CO-2</v>
      </c>
    </row>
    <row r="976">
      <c r="A976" t="str">
        <f>IFERROR(__xludf.DUMMYFUNCTION("""COMPUTED_VALUE"""),"2015-05-23-J09-CO-3")</f>
        <v>2015-05-23-J09-CO-3</v>
      </c>
    </row>
    <row r="977">
      <c r="A977" t="str">
        <f>IFERROR(__xludf.DUMMYFUNCTION("""COMPUTED_VALUE"""),"2015-05-23-J09-CO-4")</f>
        <v>2015-05-23-J09-CO-4</v>
      </c>
    </row>
    <row r="978">
      <c r="A978" t="str">
        <f>IFERROR(__xludf.DUMMYFUNCTION("""COMPUTED_VALUE"""),"2015-05-23-J09-CO-5")</f>
        <v>2015-05-23-J09-CO-5</v>
      </c>
    </row>
    <row r="979">
      <c r="A979" t="str">
        <f>IFERROR(__xludf.DUMMYFUNCTION("""COMPUTED_VALUE"""),"2015-05-23-J09-CO-6")</f>
        <v>2015-05-23-J09-CO-6</v>
      </c>
    </row>
    <row r="980">
      <c r="A980" t="str">
        <f>IFERROR(__xludf.DUMMYFUNCTION("""COMPUTED_VALUE"""),"2015-05-23-J09-CO-7")</f>
        <v>2015-05-23-J09-CO-7</v>
      </c>
    </row>
    <row r="981">
      <c r="A981" t="str">
        <f>IFERROR(__xludf.DUMMYFUNCTION("""COMPUTED_VALUE"""),"2015-05-23-J09-CO-8")</f>
        <v>2015-05-23-J09-CO-8</v>
      </c>
    </row>
    <row r="982">
      <c r="A982" t="str">
        <f>IFERROR(__xludf.DUMMYFUNCTION("""COMPUTED_VALUE"""),"2015-05-23-D08-HE-1")</f>
        <v>2015-05-23-D08-HE-1</v>
      </c>
    </row>
    <row r="983">
      <c r="A983" t="str">
        <f>IFERROR(__xludf.DUMMYFUNCTION("""COMPUTED_VALUE"""),"2015-05-23-D10-HE-1")</f>
        <v>2015-05-23-D10-HE-1</v>
      </c>
    </row>
    <row r="984">
      <c r="A984" t="str">
        <f>IFERROR(__xludf.DUMMYFUNCTION("""COMPUTED_VALUE"""),"2015-05-23-J09-HE-1")</f>
        <v>2015-05-23-J09-HE-1</v>
      </c>
    </row>
    <row r="985">
      <c r="A985" t="str">
        <f>IFERROR(__xludf.DUMMYFUNCTION("""COMPUTED_VALUE"""),"2015-05-23-J09-HE-2")</f>
        <v>2015-05-23-J09-HE-2</v>
      </c>
    </row>
    <row r="986">
      <c r="A986" t="str">
        <f>IFERROR(__xludf.DUMMYFUNCTION("""COMPUTED_VALUE"""),"2015-05-23-J09-HE-3")</f>
        <v>2015-05-23-J09-HE-3</v>
      </c>
    </row>
    <row r="987">
      <c r="A987" t="str">
        <f>IFERROR(__xludf.DUMMYFUNCTION("""COMPUTED_VALUE"""),"2015-05-23-J09-HE-4")</f>
        <v>2015-05-23-J09-HE-4</v>
      </c>
    </row>
    <row r="988">
      <c r="A988" t="str">
        <f>IFERROR(__xludf.DUMMYFUNCTION("""COMPUTED_VALUE"""),"2015-05-23-J09-HE-5")</f>
        <v>2015-05-23-J09-HE-5</v>
      </c>
    </row>
    <row r="989">
      <c r="A989" t="str">
        <f>IFERROR(__xludf.DUMMYFUNCTION("""COMPUTED_VALUE"""),"2015-05-24-D11-SO-1")</f>
        <v>2015-05-24-D11-SO-1</v>
      </c>
    </row>
    <row r="990">
      <c r="A990" t="str">
        <f>IFERROR(__xludf.DUMMYFUNCTION("""COMPUTED_VALUE"""),"2015-05-24-D11-SO-2")</f>
        <v>2015-05-24-D11-SO-2</v>
      </c>
    </row>
    <row r="991">
      <c r="A991" t="str">
        <f>IFERROR(__xludf.DUMMYFUNCTION("""COMPUTED_VALUE"""),"2015-05-24-D11-SO-3")</f>
        <v>2015-05-24-D11-SO-3</v>
      </c>
    </row>
    <row r="992">
      <c r="A992" t="str">
        <f>IFERROR(__xludf.DUMMYFUNCTION("""COMPUTED_VALUE"""),"2015-05-24-D11-SO-4")</f>
        <v>2015-05-24-D11-SO-4</v>
      </c>
    </row>
    <row r="993">
      <c r="A993" t="str">
        <f>IFERROR(__xludf.DUMMYFUNCTION("""COMPUTED_VALUE"""),"2015-05-24-D11-SO-5")</f>
        <v>2015-05-24-D11-SO-5</v>
      </c>
    </row>
    <row r="994">
      <c r="A994" t="str">
        <f>IFERROR(__xludf.DUMMYFUNCTION("""COMPUTED_VALUE"""),"2015-05-24-D11-SO-6")</f>
        <v>2015-05-24-D11-SO-6</v>
      </c>
    </row>
    <row r="995">
      <c r="A995" t="str">
        <f>IFERROR(__xludf.DUMMYFUNCTION("""COMPUTED_VALUE"""),"2015-05-24-D11-SO-7")</f>
        <v>2015-05-24-D11-SO-7</v>
      </c>
    </row>
    <row r="996">
      <c r="A996" t="str">
        <f>IFERROR(__xludf.DUMMYFUNCTION("""COMPUTED_VALUE"""),"2015-05-24-D11-SO-8")</f>
        <v>2015-05-24-D11-SO-8</v>
      </c>
    </row>
    <row r="997">
      <c r="A997" t="str">
        <f>IFERROR(__xludf.DUMMYFUNCTION("""COMPUTED_VALUE"""),"2015-05-24-D11-SO-9")</f>
        <v>2015-05-24-D11-SO-9</v>
      </c>
    </row>
    <row r="998">
      <c r="A998" t="str">
        <f>IFERROR(__xludf.DUMMYFUNCTION("""COMPUTED_VALUE"""),"2015-05-24-D11-SO-10")</f>
        <v>2015-05-24-D11-SO-10</v>
      </c>
    </row>
    <row r="999">
      <c r="A999" t="str">
        <f>IFERROR(__xludf.DUMMYFUNCTION("""COMPUTED_VALUE"""),"2015-05-24-D11-SO-11")</f>
        <v>2015-05-24-D11-SO-11</v>
      </c>
    </row>
    <row r="1000">
      <c r="A1000" t="str">
        <f>IFERROR(__xludf.DUMMYFUNCTION("""COMPUTED_VALUE"""),"2015-05-24-D11-SO-12")</f>
        <v>2015-05-24-D11-SO-12</v>
      </c>
    </row>
    <row r="1001">
      <c r="A1001" t="str">
        <f>IFERROR(__xludf.DUMMYFUNCTION("""COMPUTED_VALUE"""),"2015-05-24-D11-SO-13")</f>
        <v>2015-05-24-D11-SO-13</v>
      </c>
    </row>
    <row r="1002">
      <c r="A1002" t="str">
        <f>IFERROR(__xludf.DUMMYFUNCTION("""COMPUTED_VALUE"""),"2015-05-24-D11-SO-14")</f>
        <v>2015-05-24-D11-SO-14</v>
      </c>
    </row>
    <row r="1003">
      <c r="A1003" t="str">
        <f>IFERROR(__xludf.DUMMYFUNCTION("""COMPUTED_VALUE"""),"2015-05-24-D11-SO-15")</f>
        <v>2015-05-24-D11-SO-15</v>
      </c>
    </row>
    <row r="1004">
      <c r="A1004" t="str">
        <f>IFERROR(__xludf.DUMMYFUNCTION("""COMPUTED_VALUE"""),"2015-05-24-D11-SO-16")</f>
        <v>2015-05-24-D11-SO-16</v>
      </c>
    </row>
    <row r="1005">
      <c r="A1005" t="str">
        <f>IFERROR(__xludf.DUMMYFUNCTION("""COMPUTED_VALUE"""),"2015-05-24-D11-SO-17")</f>
        <v>2015-05-24-D11-SO-17</v>
      </c>
    </row>
    <row r="1006">
      <c r="A1006" t="str">
        <f>IFERROR(__xludf.DUMMYFUNCTION("""COMPUTED_VALUE"""),"2015-05-24-D11-SO-18")</f>
        <v>2015-05-24-D11-SO-18</v>
      </c>
    </row>
    <row r="1007">
      <c r="A1007" t="str">
        <f>IFERROR(__xludf.DUMMYFUNCTION("""COMPUTED_VALUE"""),"2015-05-24-D11-SO-19")</f>
        <v>2015-05-24-D11-SO-19</v>
      </c>
    </row>
    <row r="1008">
      <c r="A1008" t="str">
        <f>IFERROR(__xludf.DUMMYFUNCTION("""COMPUTED_VALUE"""),"2015-05-24-D11-SO-20")</f>
        <v>2015-05-24-D11-SO-20</v>
      </c>
    </row>
    <row r="1009">
      <c r="A1009" t="str">
        <f>IFERROR(__xludf.DUMMYFUNCTION("""COMPUTED_VALUE"""),"2015-05-24-D11-SO-21")</f>
        <v>2015-05-24-D11-SO-21</v>
      </c>
    </row>
    <row r="1010">
      <c r="A1010" t="str">
        <f>IFERROR(__xludf.DUMMYFUNCTION("""COMPUTED_VALUE"""),"2015-05-24-D11-SO-22")</f>
        <v>2015-05-24-D11-SO-22</v>
      </c>
    </row>
    <row r="1011">
      <c r="A1011" t="str">
        <f>IFERROR(__xludf.DUMMYFUNCTION("""COMPUTED_VALUE"""),"2015-05-24-D11-SO-23")</f>
        <v>2015-05-24-D11-SO-23</v>
      </c>
    </row>
    <row r="1012">
      <c r="A1012" t="str">
        <f>IFERROR(__xludf.DUMMYFUNCTION("""COMPUTED_VALUE"""),"2015-05-24-D11-SO-24")</f>
        <v>2015-05-24-D11-SO-24</v>
      </c>
    </row>
    <row r="1013">
      <c r="A1013" t="str">
        <f>IFERROR(__xludf.DUMMYFUNCTION("""COMPUTED_VALUE"""),"2015-05-24-D11-SO-25")</f>
        <v>2015-05-24-D11-SO-25</v>
      </c>
    </row>
    <row r="1014">
      <c r="A1014" t="str">
        <f>IFERROR(__xludf.DUMMYFUNCTION("""COMPUTED_VALUE"""),"2015-05-24-D11-SO-26")</f>
        <v>2015-05-24-D11-SO-26</v>
      </c>
    </row>
    <row r="1015">
      <c r="A1015" t="str">
        <f>IFERROR(__xludf.DUMMYFUNCTION("""COMPUTED_VALUE"""),"2015-05-24-D11-SO-27")</f>
        <v>2015-05-24-D11-SO-27</v>
      </c>
    </row>
    <row r="1016">
      <c r="A1016" t="str">
        <f>IFERROR(__xludf.DUMMYFUNCTION("""COMPUTED_VALUE"""),"2015-05-24-D11-SO-28")</f>
        <v>2015-05-24-D11-SO-28</v>
      </c>
    </row>
    <row r="1017">
      <c r="A1017" t="str">
        <f>IFERROR(__xludf.DUMMYFUNCTION("""COMPUTED_VALUE"""),"2015-05-24-D11-SO-29")</f>
        <v>2015-05-24-D11-SO-29</v>
      </c>
    </row>
    <row r="1018">
      <c r="A1018" t="str">
        <f>IFERROR(__xludf.DUMMYFUNCTION("""COMPUTED_VALUE"""),"2015-05-24-D11-SO-30")</f>
        <v>2015-05-24-D11-SO-30</v>
      </c>
    </row>
    <row r="1019">
      <c r="A1019" t="str">
        <f>IFERROR(__xludf.DUMMYFUNCTION("""COMPUTED_VALUE"""),"2015-05-24-D09-SO-1")</f>
        <v>2015-05-24-D09-SO-1</v>
      </c>
    </row>
    <row r="1020">
      <c r="A1020" t="str">
        <f>IFERROR(__xludf.DUMMYFUNCTION("""COMPUTED_VALUE"""),"2015-05-24-D09-SO-2")</f>
        <v>2015-05-24-D09-SO-2</v>
      </c>
    </row>
    <row r="1021">
      <c r="A1021" t="str">
        <f>IFERROR(__xludf.DUMMYFUNCTION("""COMPUTED_VALUE"""),"2015-05-24-D09-SO-3")</f>
        <v>2015-05-24-D09-SO-3</v>
      </c>
    </row>
    <row r="1022">
      <c r="A1022" t="str">
        <f>IFERROR(__xludf.DUMMYFUNCTION("""COMPUTED_VALUE"""),"2015-05-24-D09-SO-4")</f>
        <v>2015-05-24-D09-SO-4</v>
      </c>
    </row>
    <row r="1023">
      <c r="A1023" t="str">
        <f>IFERROR(__xludf.DUMMYFUNCTION("""COMPUTED_VALUE"""),"2015-05-24-D09-SO-5")</f>
        <v>2015-05-24-D09-SO-5</v>
      </c>
    </row>
    <row r="1024">
      <c r="A1024" t="str">
        <f>IFERROR(__xludf.DUMMYFUNCTION("""COMPUTED_VALUE"""),"2015-05-24-D09-SO-6")</f>
        <v>2015-05-24-D09-SO-6</v>
      </c>
    </row>
    <row r="1025">
      <c r="A1025" t="str">
        <f>IFERROR(__xludf.DUMMYFUNCTION("""COMPUTED_VALUE"""),"2015-05-24-D09-SO-7")</f>
        <v>2015-05-24-D09-SO-7</v>
      </c>
    </row>
    <row r="1026">
      <c r="A1026" t="str">
        <f>IFERROR(__xludf.DUMMYFUNCTION("""COMPUTED_VALUE"""),"2015-05-24-D09-SO-8")</f>
        <v>2015-05-24-D09-SO-8</v>
      </c>
    </row>
    <row r="1027">
      <c r="A1027" t="str">
        <f>IFERROR(__xludf.DUMMYFUNCTION("""COMPUTED_VALUE"""),"2015-05-24-D09-SO-9")</f>
        <v>2015-05-24-D09-SO-9</v>
      </c>
    </row>
    <row r="1028">
      <c r="A1028" t="str">
        <f>IFERROR(__xludf.DUMMYFUNCTION("""COMPUTED_VALUE"""),"2015-05-24-D09-SO-10")</f>
        <v>2015-05-24-D09-SO-10</v>
      </c>
    </row>
    <row r="1029">
      <c r="A1029" t="str">
        <f>IFERROR(__xludf.DUMMYFUNCTION("""COMPUTED_VALUE"""),"2015-05-24-D09-SO-11")</f>
        <v>2015-05-24-D09-SO-11</v>
      </c>
    </row>
    <row r="1030">
      <c r="A1030" t="str">
        <f>IFERROR(__xludf.DUMMYFUNCTION("""COMPUTED_VALUE"""),"2015-05-24-D09-SO-12")</f>
        <v>2015-05-24-D09-SO-12</v>
      </c>
    </row>
    <row r="1031">
      <c r="A1031" t="str">
        <f>IFERROR(__xludf.DUMMYFUNCTION("""COMPUTED_VALUE"""),"2015-05-24-D09-SO-13")</f>
        <v>2015-05-24-D09-SO-13</v>
      </c>
    </row>
    <row r="1032">
      <c r="A1032" t="str">
        <f>IFERROR(__xludf.DUMMYFUNCTION("""COMPUTED_VALUE"""),"2015-05-24-D09-SO-14")</f>
        <v>2015-05-24-D09-SO-14</v>
      </c>
    </row>
    <row r="1033">
      <c r="A1033" t="str">
        <f>IFERROR(__xludf.DUMMYFUNCTION("""COMPUTED_VALUE"""),"2015-05-24-D09-SO-15")</f>
        <v>2015-05-24-D09-SO-15</v>
      </c>
    </row>
    <row r="1034">
      <c r="A1034" t="str">
        <f>IFERROR(__xludf.DUMMYFUNCTION("""COMPUTED_VALUE"""),"2015-05-24-D09-SO-16")</f>
        <v>2015-05-24-D09-SO-16</v>
      </c>
    </row>
    <row r="1035">
      <c r="A1035" t="str">
        <f>IFERROR(__xludf.DUMMYFUNCTION("""COMPUTED_VALUE"""),"2015-05-24-D09-SO-17")</f>
        <v>2015-05-24-D09-SO-17</v>
      </c>
    </row>
    <row r="1036">
      <c r="A1036" t="str">
        <f>IFERROR(__xludf.DUMMYFUNCTION("""COMPUTED_VALUE"""),"2015-05-24-D09-SO-18")</f>
        <v>2015-05-24-D09-SO-18</v>
      </c>
    </row>
    <row r="1037">
      <c r="A1037" t="str">
        <f>IFERROR(__xludf.DUMMYFUNCTION("""COMPUTED_VALUE"""),"2015-05-24-D09-SO-19")</f>
        <v>2015-05-24-D09-SO-19</v>
      </c>
    </row>
    <row r="1038">
      <c r="A1038" t="str">
        <f>IFERROR(__xludf.DUMMYFUNCTION("""COMPUTED_VALUE"""),"2015-05-24-D09-SO-20")</f>
        <v>2015-05-24-D09-SO-20</v>
      </c>
    </row>
    <row r="1039">
      <c r="A1039" t="str">
        <f>IFERROR(__xludf.DUMMYFUNCTION("""COMPUTED_VALUE"""),"2015-05-24-D09-SO-21")</f>
        <v>2015-05-24-D09-SO-21</v>
      </c>
    </row>
    <row r="1040">
      <c r="A1040" t="str">
        <f>IFERROR(__xludf.DUMMYFUNCTION("""COMPUTED_VALUE"""),"2015-05-24-D09-SO-22")</f>
        <v>2015-05-24-D09-SO-22</v>
      </c>
    </row>
    <row r="1041">
      <c r="A1041" t="str">
        <f>IFERROR(__xludf.DUMMYFUNCTION("""COMPUTED_VALUE"""),"2015-05-24-D09-SO-23")</f>
        <v>2015-05-24-D09-SO-23</v>
      </c>
    </row>
    <row r="1042">
      <c r="A1042" t="str">
        <f>IFERROR(__xludf.DUMMYFUNCTION("""COMPUTED_VALUE"""),"2015-05-24-D09-SO-24")</f>
        <v>2015-05-24-D09-SO-24</v>
      </c>
    </row>
    <row r="1043">
      <c r="A1043" t="str">
        <f>IFERROR(__xludf.DUMMYFUNCTION("""COMPUTED_VALUE"""),"2015-05-24-D09-SO-25")</f>
        <v>2015-05-24-D09-SO-25</v>
      </c>
    </row>
    <row r="1044">
      <c r="A1044" t="str">
        <f>IFERROR(__xludf.DUMMYFUNCTION("""COMPUTED_VALUE"""),"2015-05-24-D09-SO-26")</f>
        <v>2015-05-24-D09-SO-26</v>
      </c>
    </row>
    <row r="1045">
      <c r="A1045" t="str">
        <f>IFERROR(__xludf.DUMMYFUNCTION("""COMPUTED_VALUE"""),"2015-05-24-D09-SO-27")</f>
        <v>2015-05-24-D09-SO-27</v>
      </c>
    </row>
    <row r="1046">
      <c r="A1046" t="str">
        <f>IFERROR(__xludf.DUMMYFUNCTION("""COMPUTED_VALUE"""),"2015-05-24-D09-SO-28")</f>
        <v>2015-05-24-D09-SO-28</v>
      </c>
    </row>
    <row r="1047">
      <c r="A1047" t="str">
        <f>IFERROR(__xludf.DUMMYFUNCTION("""COMPUTED_VALUE"""),"2015-05-24-D09-SO-29")</f>
        <v>2015-05-24-D09-SO-29</v>
      </c>
    </row>
    <row r="1048">
      <c r="A1048" t="str">
        <f>IFERROR(__xludf.DUMMYFUNCTION("""COMPUTED_VALUE"""),"2015-05-24-D09-SO-30")</f>
        <v>2015-05-24-D09-SO-30</v>
      </c>
    </row>
    <row r="1049">
      <c r="A1049" t="str">
        <f>IFERROR(__xludf.DUMMYFUNCTION("""COMPUTED_VALUE"""),"2015-05-24-J02-SO-1")</f>
        <v>2015-05-24-J02-SO-1</v>
      </c>
    </row>
    <row r="1050">
      <c r="A1050" t="str">
        <f>IFERROR(__xludf.DUMMYFUNCTION("""COMPUTED_VALUE"""),"2015-05-24-J02-SO-2")</f>
        <v>2015-05-24-J02-SO-2</v>
      </c>
    </row>
    <row r="1051">
      <c r="A1051" t="str">
        <f>IFERROR(__xludf.DUMMYFUNCTION("""COMPUTED_VALUE"""),"2015-05-24-J02-SO-3")</f>
        <v>2015-05-24-J02-SO-3</v>
      </c>
    </row>
    <row r="1052">
      <c r="A1052" t="str">
        <f>IFERROR(__xludf.DUMMYFUNCTION("""COMPUTED_VALUE"""),"2015-05-24-J02-SO-4")</f>
        <v>2015-05-24-J02-SO-4</v>
      </c>
    </row>
    <row r="1053">
      <c r="A1053" t="str">
        <f>IFERROR(__xludf.DUMMYFUNCTION("""COMPUTED_VALUE"""),"2015-05-24-J02-SO-5")</f>
        <v>2015-05-24-J02-SO-5</v>
      </c>
    </row>
    <row r="1054">
      <c r="A1054" t="str">
        <f>IFERROR(__xludf.DUMMYFUNCTION("""COMPUTED_VALUE"""),"2015-05-24-J02-SO-6")</f>
        <v>2015-05-24-J02-SO-6</v>
      </c>
    </row>
    <row r="1055">
      <c r="A1055" t="str">
        <f>IFERROR(__xludf.DUMMYFUNCTION("""COMPUTED_VALUE"""),"2015-05-24-J02-SO-7")</f>
        <v>2015-05-24-J02-SO-7</v>
      </c>
    </row>
    <row r="1056">
      <c r="A1056" t="str">
        <f>IFERROR(__xludf.DUMMYFUNCTION("""COMPUTED_VALUE"""),"2015-05-24-J02-SO-8")</f>
        <v>2015-05-24-J02-SO-8</v>
      </c>
    </row>
    <row r="1057">
      <c r="A1057" t="str">
        <f>IFERROR(__xludf.DUMMYFUNCTION("""COMPUTED_VALUE"""),"2015-05-24-J02-SO-9")</f>
        <v>2015-05-24-J02-SO-9</v>
      </c>
    </row>
    <row r="1058">
      <c r="A1058" t="str">
        <f>IFERROR(__xludf.DUMMYFUNCTION("""COMPUTED_VALUE"""),"2015-05-24-J02-SO-10")</f>
        <v>2015-05-24-J02-SO-10</v>
      </c>
    </row>
    <row r="1059">
      <c r="A1059" t="str">
        <f>IFERROR(__xludf.DUMMYFUNCTION("""COMPUTED_VALUE"""),"2015-05-24-J02-SO-11")</f>
        <v>2015-05-24-J02-SO-11</v>
      </c>
    </row>
    <row r="1060">
      <c r="A1060" t="str">
        <f>IFERROR(__xludf.DUMMYFUNCTION("""COMPUTED_VALUE"""),"2015-05-24-J02-SO-12")</f>
        <v>2015-05-24-J02-SO-12</v>
      </c>
    </row>
    <row r="1061">
      <c r="A1061" t="str">
        <f>IFERROR(__xludf.DUMMYFUNCTION("""COMPUTED_VALUE"""),"2015-05-24-J02-SO-13")</f>
        <v>2015-05-24-J02-SO-13</v>
      </c>
    </row>
    <row r="1062">
      <c r="A1062" t="str">
        <f>IFERROR(__xludf.DUMMYFUNCTION("""COMPUTED_VALUE"""),"2015-05-24-J02-SO-14")</f>
        <v>2015-05-24-J02-SO-14</v>
      </c>
    </row>
    <row r="1063">
      <c r="A1063" t="str">
        <f>IFERROR(__xludf.DUMMYFUNCTION("""COMPUTED_VALUE"""),"2015-05-24-J02-SO-15")</f>
        <v>2015-05-24-J02-SO-15</v>
      </c>
    </row>
    <row r="1064">
      <c r="A1064" t="str">
        <f>IFERROR(__xludf.DUMMYFUNCTION("""COMPUTED_VALUE"""),"2015-05-24-J02-SO-16")</f>
        <v>2015-05-24-J02-SO-16</v>
      </c>
    </row>
    <row r="1065">
      <c r="A1065" t="str">
        <f>IFERROR(__xludf.DUMMYFUNCTION("""COMPUTED_VALUE"""),"2015-05-24-J02-SO-17")</f>
        <v>2015-05-24-J02-SO-17</v>
      </c>
    </row>
    <row r="1066">
      <c r="A1066" t="str">
        <f>IFERROR(__xludf.DUMMYFUNCTION("""COMPUTED_VALUE"""),"2015-05-24-J02-SO-18")</f>
        <v>2015-05-24-J02-SO-18</v>
      </c>
    </row>
    <row r="1067">
      <c r="A1067" t="str">
        <f>IFERROR(__xludf.DUMMYFUNCTION("""COMPUTED_VALUE"""),"2015-05-24-J02-SO-19")</f>
        <v>2015-05-24-J02-SO-19</v>
      </c>
    </row>
    <row r="1068">
      <c r="A1068" t="str">
        <f>IFERROR(__xludf.DUMMYFUNCTION("""COMPUTED_VALUE"""),"2015-05-24-J02-SO-20")</f>
        <v>2015-05-24-J02-SO-20</v>
      </c>
    </row>
    <row r="1069">
      <c r="A1069" t="str">
        <f>IFERROR(__xludf.DUMMYFUNCTION("""COMPUTED_VALUE"""),"2015-05-24-J02-SO-21")</f>
        <v>2015-05-24-J02-SO-21</v>
      </c>
    </row>
    <row r="1070">
      <c r="A1070" t="str">
        <f>IFERROR(__xludf.DUMMYFUNCTION("""COMPUTED_VALUE"""),"2015-05-24-J02-SO-22")</f>
        <v>2015-05-24-J02-SO-22</v>
      </c>
    </row>
    <row r="1071">
      <c r="A1071" t="str">
        <f>IFERROR(__xludf.DUMMYFUNCTION("""COMPUTED_VALUE"""),"2015-05-24-J02-SO-23")</f>
        <v>2015-05-24-J02-SO-23</v>
      </c>
    </row>
    <row r="1072">
      <c r="A1072" t="str">
        <f>IFERROR(__xludf.DUMMYFUNCTION("""COMPUTED_VALUE"""),"2015-05-24-J02-SO-24")</f>
        <v>2015-05-24-J02-SO-24</v>
      </c>
    </row>
    <row r="1073">
      <c r="A1073" t="str">
        <f>IFERROR(__xludf.DUMMYFUNCTION("""COMPUTED_VALUE"""),"2015-05-24-J02-SO-25")</f>
        <v>2015-05-24-J02-SO-25</v>
      </c>
    </row>
    <row r="1074">
      <c r="A1074" t="str">
        <f>IFERROR(__xludf.DUMMYFUNCTION("""COMPUTED_VALUE"""),"2015-05-24-J02-SO-26")</f>
        <v>2015-05-24-J02-SO-26</v>
      </c>
    </row>
    <row r="1075">
      <c r="A1075" t="str">
        <f>IFERROR(__xludf.DUMMYFUNCTION("""COMPUTED_VALUE"""),"2015-05-24-J02-SO-27")</f>
        <v>2015-05-24-J02-SO-27</v>
      </c>
    </row>
    <row r="1076">
      <c r="A1076" t="str">
        <f>IFERROR(__xludf.DUMMYFUNCTION("""COMPUTED_VALUE"""),"2015-05-24-J02-SO-28")</f>
        <v>2015-05-24-J02-SO-28</v>
      </c>
    </row>
    <row r="1077">
      <c r="A1077" t="str">
        <f>IFERROR(__xludf.DUMMYFUNCTION("""COMPUTED_VALUE"""),"2015-05-24-J02-SO-29")</f>
        <v>2015-05-24-J02-SO-29</v>
      </c>
    </row>
    <row r="1078">
      <c r="A1078" t="str">
        <f>IFERROR(__xludf.DUMMYFUNCTION("""COMPUTED_VALUE"""),"2015-05-24-J02-SO-30")</f>
        <v>2015-05-24-J02-SO-30</v>
      </c>
    </row>
    <row r="1079">
      <c r="A1079" t="str">
        <f>IFERROR(__xludf.DUMMYFUNCTION("""COMPUTED_VALUE"""),"2015-05-24-J06-SO-1")</f>
        <v>2015-05-24-J06-SO-1</v>
      </c>
    </row>
    <row r="1080">
      <c r="A1080" t="str">
        <f>IFERROR(__xludf.DUMMYFUNCTION("""COMPUTED_VALUE"""),"2015-05-24-J06-SO-2")</f>
        <v>2015-05-24-J06-SO-2</v>
      </c>
    </row>
    <row r="1081">
      <c r="A1081" t="str">
        <f>IFERROR(__xludf.DUMMYFUNCTION("""COMPUTED_VALUE"""),"2015-05-24-J06-SO-3")</f>
        <v>2015-05-24-J06-SO-3</v>
      </c>
    </row>
    <row r="1082">
      <c r="A1082" t="str">
        <f>IFERROR(__xludf.DUMMYFUNCTION("""COMPUTED_VALUE"""),"2015-05-24-J06-SO-4")</f>
        <v>2015-05-24-J06-SO-4</v>
      </c>
    </row>
    <row r="1083">
      <c r="A1083" t="str">
        <f>IFERROR(__xludf.DUMMYFUNCTION("""COMPUTED_VALUE"""),"2015-05-24-J06-SO-5")</f>
        <v>2015-05-24-J06-SO-5</v>
      </c>
    </row>
    <row r="1084">
      <c r="A1084" t="str">
        <f>IFERROR(__xludf.DUMMYFUNCTION("""COMPUTED_VALUE"""),"2015-05-24-J06-SO-6")</f>
        <v>2015-05-24-J06-SO-6</v>
      </c>
    </row>
    <row r="1085">
      <c r="A1085" t="str">
        <f>IFERROR(__xludf.DUMMYFUNCTION("""COMPUTED_VALUE"""),"2015-05-24-J06-SO-7")</f>
        <v>2015-05-24-J06-SO-7</v>
      </c>
    </row>
    <row r="1086">
      <c r="A1086" t="str">
        <f>IFERROR(__xludf.DUMMYFUNCTION("""COMPUTED_VALUE"""),"2015-05-24-J06-SO-8")</f>
        <v>2015-05-24-J06-SO-8</v>
      </c>
    </row>
    <row r="1087">
      <c r="A1087" t="str">
        <f>IFERROR(__xludf.DUMMYFUNCTION("""COMPUTED_VALUE"""),"2015-05-24-J06-SO-9")</f>
        <v>2015-05-24-J06-SO-9</v>
      </c>
    </row>
    <row r="1088">
      <c r="A1088" t="str">
        <f>IFERROR(__xludf.DUMMYFUNCTION("""COMPUTED_VALUE"""),"2015-05-24-J06-SO-10")</f>
        <v>2015-05-24-J06-SO-10</v>
      </c>
    </row>
    <row r="1089">
      <c r="A1089" t="str">
        <f>IFERROR(__xludf.DUMMYFUNCTION("""COMPUTED_VALUE"""),"2015-05-24-J06-SO-11")</f>
        <v>2015-05-24-J06-SO-11</v>
      </c>
    </row>
    <row r="1090">
      <c r="A1090" t="str">
        <f>IFERROR(__xludf.DUMMYFUNCTION("""COMPUTED_VALUE"""),"2015-05-24-J06-SO-12")</f>
        <v>2015-05-24-J06-SO-12</v>
      </c>
    </row>
    <row r="1091">
      <c r="A1091" t="str">
        <f>IFERROR(__xludf.DUMMYFUNCTION("""COMPUTED_VALUE"""),"2015-05-24-J06-SO-13")</f>
        <v>2015-05-24-J06-SO-13</v>
      </c>
    </row>
    <row r="1092">
      <c r="A1092" t="str">
        <f>IFERROR(__xludf.DUMMYFUNCTION("""COMPUTED_VALUE"""),"2015-05-24-J06-SO-14")</f>
        <v>2015-05-24-J06-SO-14</v>
      </c>
    </row>
    <row r="1093">
      <c r="A1093" t="str">
        <f>IFERROR(__xludf.DUMMYFUNCTION("""COMPUTED_VALUE"""),"2015-05-24-J06-SO-15")</f>
        <v>2015-05-24-J06-SO-15</v>
      </c>
    </row>
    <row r="1094">
      <c r="A1094" t="str">
        <f>IFERROR(__xludf.DUMMYFUNCTION("""COMPUTED_VALUE"""),"2015-05-24-J06-SO-16")</f>
        <v>2015-05-24-J06-SO-16</v>
      </c>
    </row>
    <row r="1095">
      <c r="A1095" t="str">
        <f>IFERROR(__xludf.DUMMYFUNCTION("""COMPUTED_VALUE"""),"2015-05-24-J06-SO-17")</f>
        <v>2015-05-24-J06-SO-17</v>
      </c>
    </row>
    <row r="1096">
      <c r="A1096" t="str">
        <f>IFERROR(__xludf.DUMMYFUNCTION("""COMPUTED_VALUE"""),"2015-05-24-J06-SO-18")</f>
        <v>2015-05-24-J06-SO-18</v>
      </c>
    </row>
    <row r="1097">
      <c r="A1097" t="str">
        <f>IFERROR(__xludf.DUMMYFUNCTION("""COMPUTED_VALUE"""),"2015-05-24-J06-SO-19")</f>
        <v>2015-05-24-J06-SO-19</v>
      </c>
    </row>
    <row r="1098">
      <c r="A1098" t="str">
        <f>IFERROR(__xludf.DUMMYFUNCTION("""COMPUTED_VALUE"""),"2015-05-24-J06-SO-20")</f>
        <v>2015-05-24-J06-SO-20</v>
      </c>
    </row>
    <row r="1099">
      <c r="A1099" t="str">
        <f>IFERROR(__xludf.DUMMYFUNCTION("""COMPUTED_VALUE"""),"2015-05-24-J06-SO-21")</f>
        <v>2015-05-24-J06-SO-21</v>
      </c>
    </row>
    <row r="1100">
      <c r="A1100" t="str">
        <f>IFERROR(__xludf.DUMMYFUNCTION("""COMPUTED_VALUE"""),"2015-05-24-J06-SO-22")</f>
        <v>2015-05-24-J06-SO-22</v>
      </c>
    </row>
    <row r="1101">
      <c r="A1101" t="str">
        <f>IFERROR(__xludf.DUMMYFUNCTION("""COMPUTED_VALUE"""),"2015-05-24-J06-SO-23")</f>
        <v>2015-05-24-J06-SO-23</v>
      </c>
    </row>
    <row r="1102">
      <c r="A1102" t="str">
        <f>IFERROR(__xludf.DUMMYFUNCTION("""COMPUTED_VALUE"""),"2015-05-24-J06-SO-24")</f>
        <v>2015-05-24-J06-SO-24</v>
      </c>
    </row>
    <row r="1103">
      <c r="A1103" t="str">
        <f>IFERROR(__xludf.DUMMYFUNCTION("""COMPUTED_VALUE"""),"2015-05-24-J06-SO-25")</f>
        <v>2015-05-24-J06-SO-25</v>
      </c>
    </row>
    <row r="1104">
      <c r="A1104" t="str">
        <f>IFERROR(__xludf.DUMMYFUNCTION("""COMPUTED_VALUE"""),"2015-05-24-J06-SO-26")</f>
        <v>2015-05-24-J06-SO-26</v>
      </c>
    </row>
    <row r="1105">
      <c r="A1105" t="str">
        <f>IFERROR(__xludf.DUMMYFUNCTION("""COMPUTED_VALUE"""),"2015-05-24-J06-SO-27")</f>
        <v>2015-05-24-J06-SO-27</v>
      </c>
    </row>
    <row r="1106">
      <c r="A1106" t="str">
        <f>IFERROR(__xludf.DUMMYFUNCTION("""COMPUTED_VALUE"""),"2015-05-24-J06-SO-28")</f>
        <v>2015-05-24-J06-SO-28</v>
      </c>
    </row>
    <row r="1107">
      <c r="A1107" t="str">
        <f>IFERROR(__xludf.DUMMYFUNCTION("""COMPUTED_VALUE"""),"2015-05-24-J06-SO-29")</f>
        <v>2015-05-24-J06-SO-29</v>
      </c>
    </row>
    <row r="1108">
      <c r="A1108" t="str">
        <f>IFERROR(__xludf.DUMMYFUNCTION("""COMPUTED_VALUE"""),"2015-05-24-J06-SO-30")</f>
        <v>2015-05-24-J06-SO-30</v>
      </c>
    </row>
    <row r="1109">
      <c r="A1109" t="str">
        <f>IFERROR(__xludf.DUMMYFUNCTION("""COMPUTED_VALUE"""),"2015-05-24-D09-PI-1")</f>
        <v>2015-05-24-D09-PI-1</v>
      </c>
    </row>
    <row r="1110">
      <c r="A1110" t="str">
        <f>IFERROR(__xludf.DUMMYFUNCTION("""COMPUTED_VALUE"""),"2015-05-24-D09-PI-2")</f>
        <v>2015-05-24-D09-PI-2</v>
      </c>
    </row>
    <row r="1111">
      <c r="A1111" t="str">
        <f>IFERROR(__xludf.DUMMYFUNCTION("""COMPUTED_VALUE"""),"2015-05-24-D11-CU-1")</f>
        <v>2015-05-24-D11-CU-1</v>
      </c>
    </row>
    <row r="1112">
      <c r="A1112" t="str">
        <f>IFERROR(__xludf.DUMMYFUNCTION("""COMPUTED_VALUE"""),"2015-05-24-D11-CU-2")</f>
        <v>2015-05-24-D11-CU-2</v>
      </c>
    </row>
    <row r="1113">
      <c r="A1113" t="str">
        <f>IFERROR(__xludf.DUMMYFUNCTION("""COMPUTED_VALUE"""),"2015-05-24-D11-CU-3")</f>
        <v>2015-05-24-D11-CU-3</v>
      </c>
    </row>
    <row r="1114">
      <c r="A1114" t="str">
        <f>IFERROR(__xludf.DUMMYFUNCTION("""COMPUTED_VALUE"""),"2015-05-24-D11-CU-4")</f>
        <v>2015-05-24-D11-CU-4</v>
      </c>
    </row>
    <row r="1115">
      <c r="A1115" t="str">
        <f>IFERROR(__xludf.DUMMYFUNCTION("""COMPUTED_VALUE"""),"2015-05-24-D11-CU-5")</f>
        <v>2015-05-24-D11-CU-5</v>
      </c>
    </row>
    <row r="1116">
      <c r="A1116" t="str">
        <f>IFERROR(__xludf.DUMMYFUNCTION("""COMPUTED_VALUE"""),"2015-05-24-D11-CU-6")</f>
        <v>2015-05-24-D11-CU-6</v>
      </c>
    </row>
    <row r="1117">
      <c r="A1117" t="str">
        <f>IFERROR(__xludf.DUMMYFUNCTION("""COMPUTED_VALUE"""),"2015-05-24-D11-CU-7")</f>
        <v>2015-05-24-D11-CU-7</v>
      </c>
    </row>
    <row r="1118">
      <c r="A1118" t="str">
        <f>IFERROR(__xludf.DUMMYFUNCTION("""COMPUTED_VALUE"""),"2015-05-24-D11-CU-8")</f>
        <v>2015-05-24-D11-CU-8</v>
      </c>
    </row>
    <row r="1119">
      <c r="A1119" t="str">
        <f>IFERROR(__xludf.DUMMYFUNCTION("""COMPUTED_VALUE"""),"2015-05-24-D11-CU-9")</f>
        <v>2015-05-24-D11-CU-9</v>
      </c>
    </row>
    <row r="1120">
      <c r="A1120" t="str">
        <f>IFERROR(__xludf.DUMMYFUNCTION("""COMPUTED_VALUE"""),"2015-05-24-D11-CU-10")</f>
        <v>2015-05-24-D11-CU-10</v>
      </c>
    </row>
    <row r="1121">
      <c r="A1121" t="str">
        <f>IFERROR(__xludf.DUMMYFUNCTION("""COMPUTED_VALUE"""),"2015-05-24-D09-CU-1")</f>
        <v>2015-05-24-D09-CU-1</v>
      </c>
    </row>
    <row r="1122">
      <c r="A1122" t="str">
        <f>IFERROR(__xludf.DUMMYFUNCTION("""COMPUTED_VALUE"""),"2015-05-24-D09-CU-2")</f>
        <v>2015-05-24-D09-CU-2</v>
      </c>
    </row>
    <row r="1123">
      <c r="A1123" t="str">
        <f>IFERROR(__xludf.DUMMYFUNCTION("""COMPUTED_VALUE"""),"2015-05-24-D09-CU-3")</f>
        <v>2015-05-24-D09-CU-3</v>
      </c>
    </row>
    <row r="1124">
      <c r="A1124" t="str">
        <f>IFERROR(__xludf.DUMMYFUNCTION("""COMPUTED_VALUE"""),"2015-05-24-D09-CU-4")</f>
        <v>2015-05-24-D09-CU-4</v>
      </c>
    </row>
    <row r="1125">
      <c r="A1125" t="str">
        <f>IFERROR(__xludf.DUMMYFUNCTION("""COMPUTED_VALUE"""),"2015-05-24-J02-CU-1")</f>
        <v>2015-05-24-J02-CU-1</v>
      </c>
    </row>
    <row r="1126">
      <c r="A1126" t="str">
        <f>IFERROR(__xludf.DUMMYFUNCTION("""COMPUTED_VALUE"""),"2015-05-24-J02-CU-2")</f>
        <v>2015-05-24-J02-CU-2</v>
      </c>
    </row>
    <row r="1127">
      <c r="A1127" t="str">
        <f>IFERROR(__xludf.DUMMYFUNCTION("""COMPUTED_VALUE"""),"2015-05-24-J02-CU-3")</f>
        <v>2015-05-24-J02-CU-3</v>
      </c>
    </row>
    <row r="1128">
      <c r="A1128" t="str">
        <f>IFERROR(__xludf.DUMMYFUNCTION("""COMPUTED_VALUE"""),"2015-05-24-J02-CU-4")</f>
        <v>2015-05-24-J02-CU-4</v>
      </c>
    </row>
    <row r="1129">
      <c r="A1129" t="str">
        <f>IFERROR(__xludf.DUMMYFUNCTION("""COMPUTED_VALUE"""),"2015-05-24-J02-CU-5")</f>
        <v>2015-05-24-J02-CU-5</v>
      </c>
    </row>
    <row r="1130">
      <c r="A1130" t="str">
        <f>IFERROR(__xludf.DUMMYFUNCTION("""COMPUTED_VALUE"""),"2015-05-24-J02-CU-6")</f>
        <v>2015-05-24-J02-CU-6</v>
      </c>
    </row>
    <row r="1131">
      <c r="A1131" t="str">
        <f>IFERROR(__xludf.DUMMYFUNCTION("""COMPUTED_VALUE"""),"2015-05-24-J02-CU-7")</f>
        <v>2015-05-24-J02-CU-7</v>
      </c>
    </row>
    <row r="1132">
      <c r="A1132" t="str">
        <f>IFERROR(__xludf.DUMMYFUNCTION("""COMPUTED_VALUE"""),"2015-05-24-J06-CU-1")</f>
        <v>2015-05-24-J06-CU-1</v>
      </c>
    </row>
    <row r="1133">
      <c r="A1133" t="str">
        <f>IFERROR(__xludf.DUMMYFUNCTION("""COMPUTED_VALUE"""),"2015-05-24-J06-CU-2")</f>
        <v>2015-05-24-J06-CU-2</v>
      </c>
    </row>
    <row r="1134">
      <c r="A1134" t="str">
        <f>IFERROR(__xludf.DUMMYFUNCTION("""COMPUTED_VALUE"""),"2015-05-24-D11-CO-1")</f>
        <v>2015-05-24-D11-CO-1</v>
      </c>
    </row>
    <row r="1135">
      <c r="A1135" t="str">
        <f>IFERROR(__xludf.DUMMYFUNCTION("""COMPUTED_VALUE"""),"2015-05-24-J02-CO-1")</f>
        <v>2015-05-24-J02-CO-1</v>
      </c>
    </row>
    <row r="1136">
      <c r="A1136" t="str">
        <f>IFERROR(__xludf.DUMMYFUNCTION("""COMPUTED_VALUE"""),"2015-05-24-D11-HE-1")</f>
        <v>2015-05-24-D11-HE-1</v>
      </c>
    </row>
    <row r="1137">
      <c r="A1137" t="str">
        <f>IFERROR(__xludf.DUMMYFUNCTION("""COMPUTED_VALUE"""),"2015-05-24-D11-HE-2")</f>
        <v>2015-05-24-D11-HE-2</v>
      </c>
    </row>
    <row r="1138">
      <c r="A1138" t="str">
        <f>IFERROR(__xludf.DUMMYFUNCTION("""COMPUTED_VALUE"""),"2015-05-24-D11-HE-3")</f>
        <v>2015-05-24-D11-HE-3</v>
      </c>
    </row>
    <row r="1139">
      <c r="A1139" t="str">
        <f>IFERROR(__xludf.DUMMYFUNCTION("""COMPUTED_VALUE"""),"2015-05-24-D11-HE-4")</f>
        <v>2015-05-24-D11-HE-4</v>
      </c>
    </row>
    <row r="1140">
      <c r="A1140" t="str">
        <f>IFERROR(__xludf.DUMMYFUNCTION("""COMPUTED_VALUE"""),"2015-05-24-D11-HE-5")</f>
        <v>2015-05-24-D11-HE-5</v>
      </c>
    </row>
    <row r="1141">
      <c r="A1141" t="str">
        <f>IFERROR(__xludf.DUMMYFUNCTION("""COMPUTED_VALUE"""),"2015-05-24-D11-HE-6")</f>
        <v>2015-05-24-D11-HE-6</v>
      </c>
    </row>
    <row r="1142">
      <c r="A1142" t="str">
        <f>IFERROR(__xludf.DUMMYFUNCTION("""COMPUTED_VALUE"""),"2015-05-24-D09-HE-1")</f>
        <v>2015-05-24-D09-HE-1</v>
      </c>
    </row>
    <row r="1143">
      <c r="A1143" t="str">
        <f>IFERROR(__xludf.DUMMYFUNCTION("""COMPUTED_VALUE"""),"2015-05-25-D08-SO-1")</f>
        <v>2015-05-25-D08-SO-1</v>
      </c>
    </row>
    <row r="1144">
      <c r="A1144" t="str">
        <f>IFERROR(__xludf.DUMMYFUNCTION("""COMPUTED_VALUE"""),"2015-05-25-D08-SO-2")</f>
        <v>2015-05-25-D08-SO-2</v>
      </c>
    </row>
    <row r="1145">
      <c r="A1145" t="str">
        <f>IFERROR(__xludf.DUMMYFUNCTION("""COMPUTED_VALUE"""),"2015-05-25-D08-SO-3")</f>
        <v>2015-05-25-D08-SO-3</v>
      </c>
    </row>
    <row r="1146">
      <c r="A1146" t="str">
        <f>IFERROR(__xludf.DUMMYFUNCTION("""COMPUTED_VALUE"""),"2015-05-25-D08-SO-4")</f>
        <v>2015-05-25-D08-SO-4</v>
      </c>
    </row>
    <row r="1147">
      <c r="A1147" t="str">
        <f>IFERROR(__xludf.DUMMYFUNCTION("""COMPUTED_VALUE"""),"2015-05-25-D08-SO-5")</f>
        <v>2015-05-25-D08-SO-5</v>
      </c>
    </row>
    <row r="1148">
      <c r="A1148" t="str">
        <f>IFERROR(__xludf.DUMMYFUNCTION("""COMPUTED_VALUE"""),"2015-05-25-D08-SO-6")</f>
        <v>2015-05-25-D08-SO-6</v>
      </c>
    </row>
    <row r="1149">
      <c r="A1149" t="str">
        <f>IFERROR(__xludf.DUMMYFUNCTION("""COMPUTED_VALUE"""),"2015-05-25-D08-SO-7")</f>
        <v>2015-05-25-D08-SO-7</v>
      </c>
    </row>
    <row r="1150">
      <c r="A1150" t="str">
        <f>IFERROR(__xludf.DUMMYFUNCTION("""COMPUTED_VALUE"""),"2015-05-25-D08-SO-8")</f>
        <v>2015-05-25-D08-SO-8</v>
      </c>
    </row>
    <row r="1151">
      <c r="A1151" t="str">
        <f>IFERROR(__xludf.DUMMYFUNCTION("""COMPUTED_VALUE"""),"2015-05-25-D08-SO-9")</f>
        <v>2015-05-25-D08-SO-9</v>
      </c>
    </row>
    <row r="1152">
      <c r="A1152" t="str">
        <f>IFERROR(__xludf.DUMMYFUNCTION("""COMPUTED_VALUE"""),"2015-05-25-D08-SO-10")</f>
        <v>2015-05-25-D08-SO-10</v>
      </c>
    </row>
    <row r="1153">
      <c r="A1153" t="str">
        <f>IFERROR(__xludf.DUMMYFUNCTION("""COMPUTED_VALUE"""),"2015-05-25-D08-SO-11")</f>
        <v>2015-05-25-D08-SO-11</v>
      </c>
    </row>
    <row r="1154">
      <c r="A1154" t="str">
        <f>IFERROR(__xludf.DUMMYFUNCTION("""COMPUTED_VALUE"""),"2015-05-25-D08-SO-12")</f>
        <v>2015-05-25-D08-SO-12</v>
      </c>
    </row>
    <row r="1155">
      <c r="A1155" t="str">
        <f>IFERROR(__xludf.DUMMYFUNCTION("""COMPUTED_VALUE"""),"2015-05-25-D08-SO-13")</f>
        <v>2015-05-25-D08-SO-13</v>
      </c>
    </row>
    <row r="1156">
      <c r="A1156" t="str">
        <f>IFERROR(__xludf.DUMMYFUNCTION("""COMPUTED_VALUE"""),"2015-05-25-D08-SO-14")</f>
        <v>2015-05-25-D08-SO-14</v>
      </c>
    </row>
    <row r="1157">
      <c r="A1157" t="str">
        <f>IFERROR(__xludf.DUMMYFUNCTION("""COMPUTED_VALUE"""),"2015-05-25-D08-SO-15")</f>
        <v>2015-05-25-D08-SO-15</v>
      </c>
    </row>
    <row r="1158">
      <c r="A1158" t="str">
        <f>IFERROR(__xludf.DUMMYFUNCTION("""COMPUTED_VALUE"""),"2015-05-25-D08-SO-16")</f>
        <v>2015-05-25-D08-SO-16</v>
      </c>
    </row>
    <row r="1159">
      <c r="A1159" t="str">
        <f>IFERROR(__xludf.DUMMYFUNCTION("""COMPUTED_VALUE"""),"2015-05-25-D08-SO-17")</f>
        <v>2015-05-25-D08-SO-17</v>
      </c>
    </row>
    <row r="1160">
      <c r="A1160" t="str">
        <f>IFERROR(__xludf.DUMMYFUNCTION("""COMPUTED_VALUE"""),"2015-05-25-D08-SO-18")</f>
        <v>2015-05-25-D08-SO-18</v>
      </c>
    </row>
    <row r="1161">
      <c r="A1161" t="str">
        <f>IFERROR(__xludf.DUMMYFUNCTION("""COMPUTED_VALUE"""),"2015-05-25-D08-SO-19")</f>
        <v>2015-05-25-D08-SO-19</v>
      </c>
    </row>
    <row r="1162">
      <c r="A1162" t="str">
        <f>IFERROR(__xludf.DUMMYFUNCTION("""COMPUTED_VALUE"""),"2015-05-25-D08-SO-20")</f>
        <v>2015-05-25-D08-SO-20</v>
      </c>
    </row>
    <row r="1163">
      <c r="A1163" t="str">
        <f>IFERROR(__xludf.DUMMYFUNCTION("""COMPUTED_VALUE"""),"2015-05-25-D08-SO-21")</f>
        <v>2015-05-25-D08-SO-21</v>
      </c>
    </row>
    <row r="1164">
      <c r="A1164" t="str">
        <f>IFERROR(__xludf.DUMMYFUNCTION("""COMPUTED_VALUE"""),"2015-05-25-D08-SO-22")</f>
        <v>2015-05-25-D08-SO-22</v>
      </c>
    </row>
    <row r="1165">
      <c r="A1165" t="str">
        <f>IFERROR(__xludf.DUMMYFUNCTION("""COMPUTED_VALUE"""),"2015-05-25-D08-SO-23")</f>
        <v>2015-05-25-D08-SO-23</v>
      </c>
    </row>
    <row r="1166">
      <c r="A1166" t="str">
        <f>IFERROR(__xludf.DUMMYFUNCTION("""COMPUTED_VALUE"""),"2015-05-25-D08-SO-24")</f>
        <v>2015-05-25-D08-SO-24</v>
      </c>
    </row>
    <row r="1167">
      <c r="A1167" t="str">
        <f>IFERROR(__xludf.DUMMYFUNCTION("""COMPUTED_VALUE"""),"2015-05-25-D08-SO-25")</f>
        <v>2015-05-25-D08-SO-25</v>
      </c>
    </row>
    <row r="1168">
      <c r="A1168" t="str">
        <f>IFERROR(__xludf.DUMMYFUNCTION("""COMPUTED_VALUE"""),"2015-05-25-D08-SO-26")</f>
        <v>2015-05-25-D08-SO-26</v>
      </c>
    </row>
    <row r="1169">
      <c r="A1169" t="str">
        <f>IFERROR(__xludf.DUMMYFUNCTION("""COMPUTED_VALUE"""),"2015-05-25-D08-SO-27")</f>
        <v>2015-05-25-D08-SO-27</v>
      </c>
    </row>
    <row r="1170">
      <c r="A1170" t="str">
        <f>IFERROR(__xludf.DUMMYFUNCTION("""COMPUTED_VALUE"""),"2015-05-25-D08-SO-28")</f>
        <v>2015-05-25-D08-SO-28</v>
      </c>
    </row>
    <row r="1171">
      <c r="A1171" t="str">
        <f>IFERROR(__xludf.DUMMYFUNCTION("""COMPUTED_VALUE"""),"2015-05-25-D08-SO-29")</f>
        <v>2015-05-25-D08-SO-29</v>
      </c>
    </row>
    <row r="1172">
      <c r="A1172" t="str">
        <f>IFERROR(__xludf.DUMMYFUNCTION("""COMPUTED_VALUE"""),"2015-05-25-D08-SO-30")</f>
        <v>2015-05-25-D08-SO-30</v>
      </c>
    </row>
    <row r="1173">
      <c r="A1173" t="str">
        <f>IFERROR(__xludf.DUMMYFUNCTION("""COMPUTED_VALUE"""),"2015-05-25-J05-SO-1")</f>
        <v>2015-05-25-J05-SO-1</v>
      </c>
    </row>
    <row r="1174">
      <c r="A1174" t="str">
        <f>IFERROR(__xludf.DUMMYFUNCTION("""COMPUTED_VALUE"""),"2015-05-25-J05-SO-2")</f>
        <v>2015-05-25-J05-SO-2</v>
      </c>
    </row>
    <row r="1175">
      <c r="A1175" t="str">
        <f>IFERROR(__xludf.DUMMYFUNCTION("""COMPUTED_VALUE"""),"2015-05-25-J05-SO-3")</f>
        <v>2015-05-25-J05-SO-3</v>
      </c>
    </row>
    <row r="1176">
      <c r="A1176" t="str">
        <f>IFERROR(__xludf.DUMMYFUNCTION("""COMPUTED_VALUE"""),"2015-05-25-J05-SO-4")</f>
        <v>2015-05-25-J05-SO-4</v>
      </c>
    </row>
    <row r="1177">
      <c r="A1177" t="str">
        <f>IFERROR(__xludf.DUMMYFUNCTION("""COMPUTED_VALUE"""),"2015-05-25-J05-SO-5")</f>
        <v>2015-05-25-J05-SO-5</v>
      </c>
    </row>
    <row r="1178">
      <c r="A1178" t="str">
        <f>IFERROR(__xludf.DUMMYFUNCTION("""COMPUTED_VALUE"""),"2015-05-25-J05-SO-6")</f>
        <v>2015-05-25-J05-SO-6</v>
      </c>
    </row>
    <row r="1179">
      <c r="A1179" t="str">
        <f>IFERROR(__xludf.DUMMYFUNCTION("""COMPUTED_VALUE"""),"2015-05-25-J05-SO-7")</f>
        <v>2015-05-25-J05-SO-7</v>
      </c>
    </row>
    <row r="1180">
      <c r="A1180" t="str">
        <f>IFERROR(__xludf.DUMMYFUNCTION("""COMPUTED_VALUE"""),"2015-05-25-J05-SO-8")</f>
        <v>2015-05-25-J05-SO-8</v>
      </c>
    </row>
    <row r="1181">
      <c r="A1181" t="str">
        <f>IFERROR(__xludf.DUMMYFUNCTION("""COMPUTED_VALUE"""),"2015-05-25-J05-SO-9")</f>
        <v>2015-05-25-J05-SO-9</v>
      </c>
    </row>
    <row r="1182">
      <c r="A1182" t="str">
        <f>IFERROR(__xludf.DUMMYFUNCTION("""COMPUTED_VALUE"""),"2015-05-25-J05-SO-10")</f>
        <v>2015-05-25-J05-SO-10</v>
      </c>
    </row>
    <row r="1183">
      <c r="A1183" t="str">
        <f>IFERROR(__xludf.DUMMYFUNCTION("""COMPUTED_VALUE"""),"2015-05-25-J05-SO-11")</f>
        <v>2015-05-25-J05-SO-11</v>
      </c>
    </row>
    <row r="1184">
      <c r="A1184" t="str">
        <f>IFERROR(__xludf.DUMMYFUNCTION("""COMPUTED_VALUE"""),"2015-05-25-J05-SO-12")</f>
        <v>2015-05-25-J05-SO-12</v>
      </c>
    </row>
    <row r="1185">
      <c r="A1185" t="str">
        <f>IFERROR(__xludf.DUMMYFUNCTION("""COMPUTED_VALUE"""),"2015-05-25-J05-SO-13")</f>
        <v>2015-05-25-J05-SO-13</v>
      </c>
    </row>
    <row r="1186">
      <c r="A1186" t="str">
        <f>IFERROR(__xludf.DUMMYFUNCTION("""COMPUTED_VALUE"""),"2015-05-25-J05-SO-14")</f>
        <v>2015-05-25-J05-SO-14</v>
      </c>
    </row>
    <row r="1187">
      <c r="A1187" t="str">
        <f>IFERROR(__xludf.DUMMYFUNCTION("""COMPUTED_VALUE"""),"2015-05-25-J05-SO-15")</f>
        <v>2015-05-25-J05-SO-15</v>
      </c>
    </row>
    <row r="1188">
      <c r="A1188" t="str">
        <f>IFERROR(__xludf.DUMMYFUNCTION("""COMPUTED_VALUE"""),"2015-05-25-J05-SO-16")</f>
        <v>2015-05-25-J05-SO-16</v>
      </c>
    </row>
    <row r="1189">
      <c r="A1189" t="str">
        <f>IFERROR(__xludf.DUMMYFUNCTION("""COMPUTED_VALUE"""),"2015-05-25-J05-SO-17")</f>
        <v>2015-05-25-J05-SO-17</v>
      </c>
    </row>
    <row r="1190">
      <c r="A1190" t="str">
        <f>IFERROR(__xludf.DUMMYFUNCTION("""COMPUTED_VALUE"""),"2015-05-25-J05-SO-18")</f>
        <v>2015-05-25-J05-SO-18</v>
      </c>
    </row>
    <row r="1191">
      <c r="A1191" t="str">
        <f>IFERROR(__xludf.DUMMYFUNCTION("""COMPUTED_VALUE"""),"2015-05-25-J05-SO-19")</f>
        <v>2015-05-25-J05-SO-19</v>
      </c>
    </row>
    <row r="1192">
      <c r="A1192" t="str">
        <f>IFERROR(__xludf.DUMMYFUNCTION("""COMPUTED_VALUE"""),"2015-05-25-J05-SO-20")</f>
        <v>2015-05-25-J05-SO-20</v>
      </c>
    </row>
    <row r="1193">
      <c r="A1193" t="str">
        <f>IFERROR(__xludf.DUMMYFUNCTION("""COMPUTED_VALUE"""),"2015-05-25-J05-SO-21")</f>
        <v>2015-05-25-J05-SO-21</v>
      </c>
    </row>
    <row r="1194">
      <c r="A1194" t="str">
        <f>IFERROR(__xludf.DUMMYFUNCTION("""COMPUTED_VALUE"""),"2015-05-25-J05-SO-22")</f>
        <v>2015-05-25-J05-SO-22</v>
      </c>
    </row>
    <row r="1195">
      <c r="A1195" t="str">
        <f>IFERROR(__xludf.DUMMYFUNCTION("""COMPUTED_VALUE"""),"2015-05-25-J05-SO-23")</f>
        <v>2015-05-25-J05-SO-23</v>
      </c>
    </row>
    <row r="1196">
      <c r="A1196" t="str">
        <f>IFERROR(__xludf.DUMMYFUNCTION("""COMPUTED_VALUE"""),"2015-05-25-J05-SO-24")</f>
        <v>2015-05-25-J05-SO-24</v>
      </c>
    </row>
    <row r="1197">
      <c r="A1197" t="str">
        <f>IFERROR(__xludf.DUMMYFUNCTION("""COMPUTED_VALUE"""),"2015-05-25-J05-SO-25")</f>
        <v>2015-05-25-J05-SO-25</v>
      </c>
    </row>
    <row r="1198">
      <c r="A1198" t="str">
        <f>IFERROR(__xludf.DUMMYFUNCTION("""COMPUTED_VALUE"""),"2015-05-25-J05-SO-26")</f>
        <v>2015-05-25-J05-SO-26</v>
      </c>
    </row>
    <row r="1199">
      <c r="A1199" t="str">
        <f>IFERROR(__xludf.DUMMYFUNCTION("""COMPUTED_VALUE"""),"2015-05-25-J05-SO-27")</f>
        <v>2015-05-25-J05-SO-27</v>
      </c>
    </row>
    <row r="1200">
      <c r="A1200" t="str">
        <f>IFERROR(__xludf.DUMMYFUNCTION("""COMPUTED_VALUE"""),"2015-05-25-J05-SO-28")</f>
        <v>2015-05-25-J05-SO-28</v>
      </c>
    </row>
    <row r="1201">
      <c r="A1201" t="str">
        <f>IFERROR(__xludf.DUMMYFUNCTION("""COMPUTED_VALUE"""),"2015-05-25-J05-SO-29")</f>
        <v>2015-05-25-J05-SO-29</v>
      </c>
    </row>
    <row r="1202">
      <c r="A1202" t="str">
        <f>IFERROR(__xludf.DUMMYFUNCTION("""COMPUTED_VALUE"""),"2015-05-25-J05-SO-30")</f>
        <v>2015-05-25-J05-SO-30</v>
      </c>
    </row>
    <row r="1203">
      <c r="A1203" t="str">
        <f>IFERROR(__xludf.DUMMYFUNCTION("""COMPUTED_VALUE"""),"2015-05-25-J04-SO-1")</f>
        <v>2015-05-25-J04-SO-1</v>
      </c>
    </row>
    <row r="1204">
      <c r="A1204" t="str">
        <f>IFERROR(__xludf.DUMMYFUNCTION("""COMPUTED_VALUE"""),"2015-05-25-J04-SO-2")</f>
        <v>2015-05-25-J04-SO-2</v>
      </c>
    </row>
    <row r="1205">
      <c r="A1205" t="str">
        <f>IFERROR(__xludf.DUMMYFUNCTION("""COMPUTED_VALUE"""),"2015-05-25-J04-SO-3")</f>
        <v>2015-05-25-J04-SO-3</v>
      </c>
    </row>
    <row r="1206">
      <c r="A1206" t="str">
        <f>IFERROR(__xludf.DUMMYFUNCTION("""COMPUTED_VALUE"""),"2015-05-25-J04-SO-4")</f>
        <v>2015-05-25-J04-SO-4</v>
      </c>
    </row>
    <row r="1207">
      <c r="A1207" t="str">
        <f>IFERROR(__xludf.DUMMYFUNCTION("""COMPUTED_VALUE"""),"2015-05-25-J04-SO-5")</f>
        <v>2015-05-25-J04-SO-5</v>
      </c>
    </row>
    <row r="1208">
      <c r="A1208" t="str">
        <f>IFERROR(__xludf.DUMMYFUNCTION("""COMPUTED_VALUE"""),"2015-05-25-J04-SO-6")</f>
        <v>2015-05-25-J04-SO-6</v>
      </c>
    </row>
    <row r="1209">
      <c r="A1209" t="str">
        <f>IFERROR(__xludf.DUMMYFUNCTION("""COMPUTED_VALUE"""),"2015-05-25-J04-SO-7")</f>
        <v>2015-05-25-J04-SO-7</v>
      </c>
    </row>
    <row r="1210">
      <c r="A1210" t="str">
        <f>IFERROR(__xludf.DUMMYFUNCTION("""COMPUTED_VALUE"""),"2015-05-25-J04-SO-8")</f>
        <v>2015-05-25-J04-SO-8</v>
      </c>
    </row>
    <row r="1211">
      <c r="A1211" t="str">
        <f>IFERROR(__xludf.DUMMYFUNCTION("""COMPUTED_VALUE"""),"2015-05-25-J04-SO-9")</f>
        <v>2015-05-25-J04-SO-9</v>
      </c>
    </row>
    <row r="1212">
      <c r="A1212" t="str">
        <f>IFERROR(__xludf.DUMMYFUNCTION("""COMPUTED_VALUE"""),"2015-05-25-J04-SO-10")</f>
        <v>2015-05-25-J04-SO-10</v>
      </c>
    </row>
    <row r="1213">
      <c r="A1213" t="str">
        <f>IFERROR(__xludf.DUMMYFUNCTION("""COMPUTED_VALUE"""),"2015-05-25-J04-SO-11")</f>
        <v>2015-05-25-J04-SO-11</v>
      </c>
    </row>
    <row r="1214">
      <c r="A1214" t="str">
        <f>IFERROR(__xludf.DUMMYFUNCTION("""COMPUTED_VALUE"""),"2015-05-25-J04-SO-12")</f>
        <v>2015-05-25-J04-SO-12</v>
      </c>
    </row>
    <row r="1215">
      <c r="A1215" t="str">
        <f>IFERROR(__xludf.DUMMYFUNCTION("""COMPUTED_VALUE"""),"2015-05-25-J04-SO-13")</f>
        <v>2015-05-25-J04-SO-13</v>
      </c>
    </row>
    <row r="1216">
      <c r="A1216" t="str">
        <f>IFERROR(__xludf.DUMMYFUNCTION("""COMPUTED_VALUE"""),"2015-05-25-J04-SO-14")</f>
        <v>2015-05-25-J04-SO-14</v>
      </c>
    </row>
    <row r="1217">
      <c r="A1217" t="str">
        <f>IFERROR(__xludf.DUMMYFUNCTION("""COMPUTED_VALUE"""),"2015-05-25-J04-SO-15")</f>
        <v>2015-05-25-J04-SO-15</v>
      </c>
    </row>
    <row r="1218">
      <c r="A1218" t="str">
        <f>IFERROR(__xludf.DUMMYFUNCTION("""COMPUTED_VALUE"""),"2015-05-25-J04-SO-16")</f>
        <v>2015-05-25-J04-SO-16</v>
      </c>
    </row>
    <row r="1219">
      <c r="A1219" t="str">
        <f>IFERROR(__xludf.DUMMYFUNCTION("""COMPUTED_VALUE"""),"2015-05-25-J04-SO-17")</f>
        <v>2015-05-25-J04-SO-17</v>
      </c>
    </row>
    <row r="1220">
      <c r="A1220" t="str">
        <f>IFERROR(__xludf.DUMMYFUNCTION("""COMPUTED_VALUE"""),"2015-05-25-J04-SO-18")</f>
        <v>2015-05-25-J04-SO-18</v>
      </c>
    </row>
    <row r="1221">
      <c r="A1221" t="str">
        <f>IFERROR(__xludf.DUMMYFUNCTION("""COMPUTED_VALUE"""),"2015-05-25-J04-SO-19")</f>
        <v>2015-05-25-J04-SO-19</v>
      </c>
    </row>
    <row r="1222">
      <c r="A1222" t="str">
        <f>IFERROR(__xludf.DUMMYFUNCTION("""COMPUTED_VALUE"""),"2015-05-25-J04-SO-20")</f>
        <v>2015-05-25-J04-SO-20</v>
      </c>
    </row>
    <row r="1223">
      <c r="A1223" t="str">
        <f>IFERROR(__xludf.DUMMYFUNCTION("""COMPUTED_VALUE"""),"2015-05-25-J04-SO-21")</f>
        <v>2015-05-25-J04-SO-21</v>
      </c>
    </row>
    <row r="1224">
      <c r="A1224" t="str">
        <f>IFERROR(__xludf.DUMMYFUNCTION("""COMPUTED_VALUE"""),"2015-05-25-J04-SO-22")</f>
        <v>2015-05-25-J04-SO-22</v>
      </c>
    </row>
    <row r="1225">
      <c r="A1225" t="str">
        <f>IFERROR(__xludf.DUMMYFUNCTION("""COMPUTED_VALUE"""),"2015-05-25-J04-SO-23")</f>
        <v>2015-05-25-J04-SO-23</v>
      </c>
    </row>
    <row r="1226">
      <c r="A1226" t="str">
        <f>IFERROR(__xludf.DUMMYFUNCTION("""COMPUTED_VALUE"""),"2015-05-25-J04-SO-24")</f>
        <v>2015-05-25-J04-SO-24</v>
      </c>
    </row>
    <row r="1227">
      <c r="A1227" t="str">
        <f>IFERROR(__xludf.DUMMYFUNCTION("""COMPUTED_VALUE"""),"2015-05-25-J04-SO-25")</f>
        <v>2015-05-25-J04-SO-25</v>
      </c>
    </row>
    <row r="1228">
      <c r="A1228" t="str">
        <f>IFERROR(__xludf.DUMMYFUNCTION("""COMPUTED_VALUE"""),"2015-05-25-J04-SO-26")</f>
        <v>2015-05-25-J04-SO-26</v>
      </c>
    </row>
    <row r="1229">
      <c r="A1229" t="str">
        <f>IFERROR(__xludf.DUMMYFUNCTION("""COMPUTED_VALUE"""),"2015-05-25-J04-SO-27")</f>
        <v>2015-05-25-J04-SO-27</v>
      </c>
    </row>
    <row r="1230">
      <c r="A1230" t="str">
        <f>IFERROR(__xludf.DUMMYFUNCTION("""COMPUTED_VALUE"""),"2015-05-25-J04-SO-28")</f>
        <v>2015-05-25-J04-SO-28</v>
      </c>
    </row>
    <row r="1231">
      <c r="A1231" t="str">
        <f>IFERROR(__xludf.DUMMYFUNCTION("""COMPUTED_VALUE"""),"2015-05-25-J04-SO-29")</f>
        <v>2015-05-25-J04-SO-29</v>
      </c>
    </row>
    <row r="1232">
      <c r="A1232" t="str">
        <f>IFERROR(__xludf.DUMMYFUNCTION("""COMPUTED_VALUE"""),"2015-05-25-J04-SO-30")</f>
        <v>2015-05-25-J04-SO-30</v>
      </c>
    </row>
    <row r="1233">
      <c r="A1233" t="str">
        <f>IFERROR(__xludf.DUMMYFUNCTION("""COMPUTED_VALUE"""),"2015-05-25-J08-SO-1")</f>
        <v>2015-05-25-J08-SO-1</v>
      </c>
    </row>
    <row r="1234">
      <c r="A1234" t="str">
        <f>IFERROR(__xludf.DUMMYFUNCTION("""COMPUTED_VALUE"""),"2015-05-25-J08-SO-2")</f>
        <v>2015-05-25-J08-SO-2</v>
      </c>
    </row>
    <row r="1235">
      <c r="A1235" t="str">
        <f>IFERROR(__xludf.DUMMYFUNCTION("""COMPUTED_VALUE"""),"2015-05-25-J08-SO-3")</f>
        <v>2015-05-25-J08-SO-3</v>
      </c>
    </row>
    <row r="1236">
      <c r="A1236" t="str">
        <f>IFERROR(__xludf.DUMMYFUNCTION("""COMPUTED_VALUE"""),"2015-05-25-J08-SO-4")</f>
        <v>2015-05-25-J08-SO-4</v>
      </c>
    </row>
    <row r="1237">
      <c r="A1237" t="str">
        <f>IFERROR(__xludf.DUMMYFUNCTION("""COMPUTED_VALUE"""),"2015-05-25-J08-SO-5")</f>
        <v>2015-05-25-J08-SO-5</v>
      </c>
    </row>
    <row r="1238">
      <c r="A1238" t="str">
        <f>IFERROR(__xludf.DUMMYFUNCTION("""COMPUTED_VALUE"""),"2015-05-25-J08-SO-6")</f>
        <v>2015-05-25-J08-SO-6</v>
      </c>
    </row>
    <row r="1239">
      <c r="A1239" t="str">
        <f>IFERROR(__xludf.DUMMYFUNCTION("""COMPUTED_VALUE"""),"2015-05-25-J08-SO-7")</f>
        <v>2015-05-25-J08-SO-7</v>
      </c>
    </row>
    <row r="1240">
      <c r="A1240" t="str">
        <f>IFERROR(__xludf.DUMMYFUNCTION("""COMPUTED_VALUE"""),"2015-05-25-J08-SO-8")</f>
        <v>2015-05-25-J08-SO-8</v>
      </c>
    </row>
    <row r="1241">
      <c r="A1241" t="str">
        <f>IFERROR(__xludf.DUMMYFUNCTION("""COMPUTED_VALUE"""),"2015-05-25-J08-SO-9")</f>
        <v>2015-05-25-J08-SO-9</v>
      </c>
    </row>
    <row r="1242">
      <c r="A1242" t="str">
        <f>IFERROR(__xludf.DUMMYFUNCTION("""COMPUTED_VALUE"""),"2015-05-25-J08-SO-10")</f>
        <v>2015-05-25-J08-SO-10</v>
      </c>
    </row>
    <row r="1243">
      <c r="A1243" t="str">
        <f>IFERROR(__xludf.DUMMYFUNCTION("""COMPUTED_VALUE"""),"2015-05-25-J08-SO-11")</f>
        <v>2015-05-25-J08-SO-11</v>
      </c>
    </row>
    <row r="1244">
      <c r="A1244" t="str">
        <f>IFERROR(__xludf.DUMMYFUNCTION("""COMPUTED_VALUE"""),"2015-05-25-J08-SO-12")</f>
        <v>2015-05-25-J08-SO-12</v>
      </c>
    </row>
    <row r="1245">
      <c r="A1245" t="str">
        <f>IFERROR(__xludf.DUMMYFUNCTION("""COMPUTED_VALUE"""),"2015-05-25-J08-SO-13")</f>
        <v>2015-05-25-J08-SO-13</v>
      </c>
    </row>
    <row r="1246">
      <c r="A1246" t="str">
        <f>IFERROR(__xludf.DUMMYFUNCTION("""COMPUTED_VALUE"""),"2015-05-25-J08-SO-14")</f>
        <v>2015-05-25-J08-SO-14</v>
      </c>
    </row>
    <row r="1247">
      <c r="A1247" t="str">
        <f>IFERROR(__xludf.DUMMYFUNCTION("""COMPUTED_VALUE"""),"2015-05-25-J08-SO-15")</f>
        <v>2015-05-25-J08-SO-15</v>
      </c>
    </row>
    <row r="1248">
      <c r="A1248" t="str">
        <f>IFERROR(__xludf.DUMMYFUNCTION("""COMPUTED_VALUE"""),"2015-05-25-J08-SO-16")</f>
        <v>2015-05-25-J08-SO-16</v>
      </c>
    </row>
    <row r="1249">
      <c r="A1249" t="str">
        <f>IFERROR(__xludf.DUMMYFUNCTION("""COMPUTED_VALUE"""),"2015-05-25-J08-SO-17")</f>
        <v>2015-05-25-J08-SO-17</v>
      </c>
    </row>
    <row r="1250">
      <c r="A1250" t="str">
        <f>IFERROR(__xludf.DUMMYFUNCTION("""COMPUTED_VALUE"""),"2015-05-25-J08-SO-18")</f>
        <v>2015-05-25-J08-SO-18</v>
      </c>
    </row>
    <row r="1251">
      <c r="A1251" t="str">
        <f>IFERROR(__xludf.DUMMYFUNCTION("""COMPUTED_VALUE"""),"2015-05-25-J08-SO-19")</f>
        <v>2015-05-25-J08-SO-19</v>
      </c>
    </row>
    <row r="1252">
      <c r="A1252" t="str">
        <f>IFERROR(__xludf.DUMMYFUNCTION("""COMPUTED_VALUE"""),"2015-05-25-J08-SO-20")</f>
        <v>2015-05-25-J08-SO-20</v>
      </c>
    </row>
    <row r="1253">
      <c r="A1253" t="str">
        <f>IFERROR(__xludf.DUMMYFUNCTION("""COMPUTED_VALUE"""),"2015-05-25-J08-SO-21")</f>
        <v>2015-05-25-J08-SO-21</v>
      </c>
    </row>
    <row r="1254">
      <c r="A1254" t="str">
        <f>IFERROR(__xludf.DUMMYFUNCTION("""COMPUTED_VALUE"""),"2015-05-25-J08-SO-22")</f>
        <v>2015-05-25-J08-SO-22</v>
      </c>
    </row>
    <row r="1255">
      <c r="A1255" t="str">
        <f>IFERROR(__xludf.DUMMYFUNCTION("""COMPUTED_VALUE"""),"2015-05-25-J08-SO-23")</f>
        <v>2015-05-25-J08-SO-23</v>
      </c>
    </row>
    <row r="1256">
      <c r="A1256" t="str">
        <f>IFERROR(__xludf.DUMMYFUNCTION("""COMPUTED_VALUE"""),"2015-05-25-J08-SO-24")</f>
        <v>2015-05-25-J08-SO-24</v>
      </c>
    </row>
    <row r="1257">
      <c r="A1257" t="str">
        <f>IFERROR(__xludf.DUMMYFUNCTION("""COMPUTED_VALUE"""),"2015-05-25-J08-SO-25")</f>
        <v>2015-05-25-J08-SO-25</v>
      </c>
    </row>
    <row r="1258">
      <c r="A1258" t="str">
        <f>IFERROR(__xludf.DUMMYFUNCTION("""COMPUTED_VALUE"""),"2015-05-25-J08-SO-26")</f>
        <v>2015-05-25-J08-SO-26</v>
      </c>
    </row>
    <row r="1259">
      <c r="A1259" t="str">
        <f>IFERROR(__xludf.DUMMYFUNCTION("""COMPUTED_VALUE"""),"2015-05-25-J08-SO-27")</f>
        <v>2015-05-25-J08-SO-27</v>
      </c>
    </row>
    <row r="1260">
      <c r="A1260" t="str">
        <f>IFERROR(__xludf.DUMMYFUNCTION("""COMPUTED_VALUE"""),"2015-05-25-J08-SO-28")</f>
        <v>2015-05-25-J08-SO-28</v>
      </c>
    </row>
    <row r="1261">
      <c r="A1261" t="str">
        <f>IFERROR(__xludf.DUMMYFUNCTION("""COMPUTED_VALUE"""),"2015-05-25-J08-SO-29")</f>
        <v>2015-05-25-J08-SO-29</v>
      </c>
    </row>
    <row r="1262">
      <c r="A1262" t="str">
        <f>IFERROR(__xludf.DUMMYFUNCTION("""COMPUTED_VALUE"""),"2015-05-25-J08-SO-30")</f>
        <v>2015-05-25-J08-SO-30</v>
      </c>
    </row>
    <row r="1263">
      <c r="A1263" t="str">
        <f>IFERROR(__xludf.DUMMYFUNCTION("""COMPUTED_VALUE"""),"2015-05-25-J04-PI-1")</f>
        <v>2015-05-25-J04-PI-1</v>
      </c>
    </row>
    <row r="1264">
      <c r="A1264" t="str">
        <f>IFERROR(__xludf.DUMMYFUNCTION("""COMPUTED_VALUE"""),"2015-05-25-J04-PI-2")</f>
        <v>2015-05-25-J04-PI-2</v>
      </c>
    </row>
    <row r="1265">
      <c r="A1265" t="str">
        <f>IFERROR(__xludf.DUMMYFUNCTION("""COMPUTED_VALUE"""),"2015-05-25-D08-CU-1")</f>
        <v>2015-05-25-D08-CU-1</v>
      </c>
    </row>
    <row r="1266">
      <c r="A1266" t="str">
        <f>IFERROR(__xludf.DUMMYFUNCTION("""COMPUTED_VALUE"""),"2015-05-25-D08-CU-2")</f>
        <v>2015-05-25-D08-CU-2</v>
      </c>
    </row>
    <row r="1267">
      <c r="A1267" t="str">
        <f>IFERROR(__xludf.DUMMYFUNCTION("""COMPUTED_VALUE"""),"2015-05-25-D08-CU-3")</f>
        <v>2015-05-25-D08-CU-3</v>
      </c>
    </row>
    <row r="1268">
      <c r="A1268" t="str">
        <f>IFERROR(__xludf.DUMMYFUNCTION("""COMPUTED_VALUE"""),"2015-05-25-D08-CU-4")</f>
        <v>2015-05-25-D08-CU-4</v>
      </c>
    </row>
    <row r="1269">
      <c r="A1269" t="str">
        <f>IFERROR(__xludf.DUMMYFUNCTION("""COMPUTED_VALUE"""),"2015-05-25-D08-CU-5")</f>
        <v>2015-05-25-D08-CU-5</v>
      </c>
    </row>
    <row r="1270">
      <c r="A1270" t="str">
        <f>IFERROR(__xludf.DUMMYFUNCTION("""COMPUTED_VALUE"""),"2015-05-25-D08-CU-6")</f>
        <v>2015-05-25-D08-CU-6</v>
      </c>
    </row>
    <row r="1271">
      <c r="A1271" t="str">
        <f>IFERROR(__xludf.DUMMYFUNCTION("""COMPUTED_VALUE"""),"2015-05-25-D08-CU-7")</f>
        <v>2015-05-25-D08-CU-7</v>
      </c>
    </row>
    <row r="1272">
      <c r="A1272" t="str">
        <f>IFERROR(__xludf.DUMMYFUNCTION("""COMPUTED_VALUE"""),"2015-05-25-D08-CU-8")</f>
        <v>2015-05-25-D08-CU-8</v>
      </c>
    </row>
    <row r="1273">
      <c r="A1273" t="str">
        <f>IFERROR(__xludf.DUMMYFUNCTION("""COMPUTED_VALUE"""),"2015-05-25-D08-CU-9")</f>
        <v>2015-05-25-D08-CU-9</v>
      </c>
    </row>
    <row r="1274">
      <c r="A1274" t="str">
        <f>IFERROR(__xludf.DUMMYFUNCTION("""COMPUTED_VALUE"""),"2015-05-25-D08-CU-10")</f>
        <v>2015-05-25-D08-CU-10</v>
      </c>
    </row>
    <row r="1275">
      <c r="A1275" t="str">
        <f>IFERROR(__xludf.DUMMYFUNCTION("""COMPUTED_VALUE"""),"2015-05-25-J05-CU-1")</f>
        <v>2015-05-25-J05-CU-1</v>
      </c>
    </row>
    <row r="1276">
      <c r="A1276" t="str">
        <f>IFERROR(__xludf.DUMMYFUNCTION("""COMPUTED_VALUE"""),"2015-05-25-J05-CU-2")</f>
        <v>2015-05-25-J05-CU-2</v>
      </c>
    </row>
    <row r="1277">
      <c r="A1277" t="str">
        <f>IFERROR(__xludf.DUMMYFUNCTION("""COMPUTED_VALUE"""),"2015-05-25-J05-CU-3")</f>
        <v>2015-05-25-J05-CU-3</v>
      </c>
    </row>
    <row r="1278">
      <c r="A1278" t="str">
        <f>IFERROR(__xludf.DUMMYFUNCTION("""COMPUTED_VALUE"""),"2015-05-25-J05-CU-4")</f>
        <v>2015-05-25-J05-CU-4</v>
      </c>
    </row>
    <row r="1279">
      <c r="A1279" t="str">
        <f>IFERROR(__xludf.DUMMYFUNCTION("""COMPUTED_VALUE"""),"2015-05-25-J05-CU-5")</f>
        <v>2015-05-25-J05-CU-5</v>
      </c>
    </row>
    <row r="1280">
      <c r="A1280" t="str">
        <f>IFERROR(__xludf.DUMMYFUNCTION("""COMPUTED_VALUE"""),"2015-05-25-J05-CU-6")</f>
        <v>2015-05-25-J05-CU-6</v>
      </c>
    </row>
    <row r="1281">
      <c r="A1281" t="str">
        <f>IFERROR(__xludf.DUMMYFUNCTION("""COMPUTED_VALUE"""),"2015-05-25-J05-CU-7")</f>
        <v>2015-05-25-J05-CU-7</v>
      </c>
    </row>
    <row r="1282">
      <c r="A1282" t="str">
        <f>IFERROR(__xludf.DUMMYFUNCTION("""COMPUTED_VALUE"""),"2015-05-25-J05-CU-8")</f>
        <v>2015-05-25-J05-CU-8</v>
      </c>
    </row>
    <row r="1283">
      <c r="A1283" t="str">
        <f>IFERROR(__xludf.DUMMYFUNCTION("""COMPUTED_VALUE"""),"2015-05-25-J05-CU-9")</f>
        <v>2015-05-25-J05-CU-9</v>
      </c>
    </row>
    <row r="1284">
      <c r="A1284" t="str">
        <f>IFERROR(__xludf.DUMMYFUNCTION("""COMPUTED_VALUE"""),"2015-05-25-J05-CU-10")</f>
        <v>2015-05-25-J05-CU-10</v>
      </c>
    </row>
    <row r="1285">
      <c r="A1285" t="str">
        <f>IFERROR(__xludf.DUMMYFUNCTION("""COMPUTED_VALUE"""),"2015-05-25-J04-CU-1")</f>
        <v>2015-05-25-J04-CU-1</v>
      </c>
    </row>
    <row r="1286">
      <c r="A1286" t="str">
        <f>IFERROR(__xludf.DUMMYFUNCTION("""COMPUTED_VALUE"""),"2015-05-25-J04-CU-2")</f>
        <v>2015-05-25-J04-CU-2</v>
      </c>
    </row>
    <row r="1287">
      <c r="A1287" t="str">
        <f>IFERROR(__xludf.DUMMYFUNCTION("""COMPUTED_VALUE"""),"2015-05-25-J04-CU-3")</f>
        <v>2015-05-25-J04-CU-3</v>
      </c>
    </row>
    <row r="1288">
      <c r="A1288" t="str">
        <f>IFERROR(__xludf.DUMMYFUNCTION("""COMPUTED_VALUE"""),"2015-05-25-J04-CU-4")</f>
        <v>2015-05-25-J04-CU-4</v>
      </c>
    </row>
    <row r="1289">
      <c r="A1289" t="str">
        <f>IFERROR(__xludf.DUMMYFUNCTION("""COMPUTED_VALUE"""),"2015-05-25-J04-CU-5")</f>
        <v>2015-05-25-J04-CU-5</v>
      </c>
    </row>
    <row r="1290">
      <c r="A1290" t="str">
        <f>IFERROR(__xludf.DUMMYFUNCTION("""COMPUTED_VALUE"""),"2015-05-25-J04-CU-6")</f>
        <v>2015-05-25-J04-CU-6</v>
      </c>
    </row>
    <row r="1291">
      <c r="A1291" t="str">
        <f>IFERROR(__xludf.DUMMYFUNCTION("""COMPUTED_VALUE"""),"2015-05-25-J04-CU-7")</f>
        <v>2015-05-25-J04-CU-7</v>
      </c>
    </row>
    <row r="1292">
      <c r="A1292" t="str">
        <f>IFERROR(__xludf.DUMMYFUNCTION("""COMPUTED_VALUE"""),"2015-05-25-J04-CU-8")</f>
        <v>2015-05-25-J04-CU-8</v>
      </c>
    </row>
    <row r="1293">
      <c r="A1293" t="str">
        <f>IFERROR(__xludf.DUMMYFUNCTION("""COMPUTED_VALUE"""),"2015-05-25-J04-CU-9")</f>
        <v>2015-05-25-J04-CU-9</v>
      </c>
    </row>
    <row r="1294">
      <c r="A1294" t="str">
        <f>IFERROR(__xludf.DUMMYFUNCTION("""COMPUTED_VALUE"""),"2015-05-25-J04-CU-10")</f>
        <v>2015-05-25-J04-CU-10</v>
      </c>
    </row>
    <row r="1295">
      <c r="A1295" t="str">
        <f>IFERROR(__xludf.DUMMYFUNCTION("""COMPUTED_VALUE"""),"2015-05-25-J08-CU-1")</f>
        <v>2015-05-25-J08-CU-1</v>
      </c>
    </row>
    <row r="1296">
      <c r="A1296" t="str">
        <f>IFERROR(__xludf.DUMMYFUNCTION("""COMPUTED_VALUE"""),"2015-05-25-J08-CU-2")</f>
        <v>2015-05-25-J08-CU-2</v>
      </c>
    </row>
    <row r="1297">
      <c r="A1297" t="str">
        <f>IFERROR(__xludf.DUMMYFUNCTION("""COMPUTED_VALUE"""),"2015-05-25-J08-CU-3")</f>
        <v>2015-05-25-J08-CU-3</v>
      </c>
    </row>
    <row r="1298">
      <c r="A1298" t="str">
        <f>IFERROR(__xludf.DUMMYFUNCTION("""COMPUTED_VALUE"""),"2015-05-25-J08-CU-4")</f>
        <v>2015-05-25-J08-CU-4</v>
      </c>
    </row>
    <row r="1299">
      <c r="A1299" t="str">
        <f>IFERROR(__xludf.DUMMYFUNCTION("""COMPUTED_VALUE"""),"2015-05-25-J08-CU-5")</f>
        <v>2015-05-25-J08-CU-5</v>
      </c>
    </row>
    <row r="1300">
      <c r="A1300" t="str">
        <f>IFERROR(__xludf.DUMMYFUNCTION("""COMPUTED_VALUE"""),"2015-05-25-J08-CU-6")</f>
        <v>2015-05-25-J08-CU-6</v>
      </c>
    </row>
    <row r="1301">
      <c r="A1301" t="str">
        <f>IFERROR(__xludf.DUMMYFUNCTION("""COMPUTED_VALUE"""),"2015-05-25-J08-CU-7")</f>
        <v>2015-05-25-J08-CU-7</v>
      </c>
    </row>
    <row r="1302">
      <c r="A1302" t="str">
        <f>IFERROR(__xludf.DUMMYFUNCTION("""COMPUTED_VALUE"""),"2015-05-25-J08-CU-8")</f>
        <v>2015-05-25-J08-CU-8</v>
      </c>
    </row>
    <row r="1303">
      <c r="A1303" t="str">
        <f>IFERROR(__xludf.DUMMYFUNCTION("""COMPUTED_VALUE"""),"2015-05-25-J08-CU-9")</f>
        <v>2015-05-25-J08-CU-9</v>
      </c>
    </row>
    <row r="1304">
      <c r="A1304" t="str">
        <f>IFERROR(__xludf.DUMMYFUNCTION("""COMPUTED_VALUE"""),"2015-05-25-J08-CU-10")</f>
        <v>2015-05-25-J08-CU-10</v>
      </c>
    </row>
    <row r="1305">
      <c r="A1305" t="str">
        <f>IFERROR(__xludf.DUMMYFUNCTION("""COMPUTED_VALUE"""),"2015-05-25-J04-CO-1")</f>
        <v>2015-05-25-J04-CO-1</v>
      </c>
    </row>
    <row r="1306">
      <c r="A1306" t="str">
        <f>IFERROR(__xludf.DUMMYFUNCTION("""COMPUTED_VALUE"""),"2015-05-25-J04-CO-2")</f>
        <v>2015-05-25-J04-CO-2</v>
      </c>
    </row>
    <row r="1307">
      <c r="A1307" t="str">
        <f>IFERROR(__xludf.DUMMYFUNCTION("""COMPUTED_VALUE"""),"2015-05-25-J04-CO-3")</f>
        <v>2015-05-25-J04-CO-3</v>
      </c>
    </row>
    <row r="1308">
      <c r="A1308" t="str">
        <f>IFERROR(__xludf.DUMMYFUNCTION("""COMPUTED_VALUE"""),"2015-05-25-J04-CO-4")</f>
        <v>2015-05-25-J04-CO-4</v>
      </c>
    </row>
    <row r="1309">
      <c r="A1309" t="str">
        <f>IFERROR(__xludf.DUMMYFUNCTION("""COMPUTED_VALUE"""),"2015-05-25-J08-CO-1")</f>
        <v>2015-05-25-J08-CO-1</v>
      </c>
    </row>
    <row r="1310">
      <c r="A1310" t="str">
        <f>IFERROR(__xludf.DUMMYFUNCTION("""COMPUTED_VALUE"""),"2015-05-25-J05-HE-1")</f>
        <v>2015-05-25-J05-HE-1</v>
      </c>
    </row>
    <row r="1311">
      <c r="A1311" t="str">
        <f>IFERROR(__xludf.DUMMYFUNCTION("""COMPUTED_VALUE"""),"2015-05-25-J05-HE-2")</f>
        <v>2015-05-25-J05-HE-2</v>
      </c>
    </row>
    <row r="1312">
      <c r="A1312" t="str">
        <f>IFERROR(__xludf.DUMMYFUNCTION("""COMPUTED_VALUE"""),"2015-05-25-J05-HE-3")</f>
        <v>2015-05-25-J05-HE-3</v>
      </c>
    </row>
    <row r="1313">
      <c r="A1313" t="str">
        <f>IFERROR(__xludf.DUMMYFUNCTION("""COMPUTED_VALUE"""),"2015-05-25-J05-HE-4")</f>
        <v>2015-05-25-J05-HE-4</v>
      </c>
    </row>
    <row r="1314">
      <c r="A1314" t="str">
        <f>IFERROR(__xludf.DUMMYFUNCTION("""COMPUTED_VALUE"""),"2015-05-25-J08-HE-1")</f>
        <v>2015-05-25-J08-HE-1</v>
      </c>
    </row>
    <row r="1315">
      <c r="A1315" t="str">
        <f>IFERROR(__xludf.DUMMYFUNCTION("""COMPUTED_VALUE"""),"2015-05-25-J08-HE-2")</f>
        <v>2015-05-25-J08-HE-2</v>
      </c>
    </row>
    <row r="1316">
      <c r="A1316" t="str">
        <f>IFERROR(__xludf.DUMMYFUNCTION("""COMPUTED_VALUE"""),"2015-05-25-J08-HE-3")</f>
        <v>2015-05-25-J08-HE-3</v>
      </c>
    </row>
    <row r="1317">
      <c r="A1317" t="str">
        <f>IFERROR(__xludf.DUMMYFUNCTION("""COMPUTED_VALUE"""),"2015-05-26-D10-SO-1")</f>
        <v>2015-05-26-D10-SO-1</v>
      </c>
    </row>
    <row r="1318">
      <c r="A1318" t="str">
        <f>IFERROR(__xludf.DUMMYFUNCTION("""COMPUTED_VALUE"""),"2015-05-26-D10-SO-2")</f>
        <v>2015-05-26-D10-SO-2</v>
      </c>
    </row>
    <row r="1319">
      <c r="A1319" t="str">
        <f>IFERROR(__xludf.DUMMYFUNCTION("""COMPUTED_VALUE"""),"2015-05-26-D10-SO-3")</f>
        <v>2015-05-26-D10-SO-3</v>
      </c>
    </row>
    <row r="1320">
      <c r="A1320" t="str">
        <f>IFERROR(__xludf.DUMMYFUNCTION("""COMPUTED_VALUE"""),"2015-05-26-D10-SO-4")</f>
        <v>2015-05-26-D10-SO-4</v>
      </c>
    </row>
    <row r="1321">
      <c r="A1321" t="str">
        <f>IFERROR(__xludf.DUMMYFUNCTION("""COMPUTED_VALUE"""),"2015-05-26-D10-SO-5")</f>
        <v>2015-05-26-D10-SO-5</v>
      </c>
    </row>
    <row r="1322">
      <c r="A1322" t="str">
        <f>IFERROR(__xludf.DUMMYFUNCTION("""COMPUTED_VALUE"""),"2015-05-26-D10-SO-6")</f>
        <v>2015-05-26-D10-SO-6</v>
      </c>
    </row>
    <row r="1323">
      <c r="A1323" t="str">
        <f>IFERROR(__xludf.DUMMYFUNCTION("""COMPUTED_VALUE"""),"2015-05-26-D10-SO-7")</f>
        <v>2015-05-26-D10-SO-7</v>
      </c>
    </row>
    <row r="1324">
      <c r="A1324" t="str">
        <f>IFERROR(__xludf.DUMMYFUNCTION("""COMPUTED_VALUE"""),"2015-05-26-D10-SO-8")</f>
        <v>2015-05-26-D10-SO-8</v>
      </c>
    </row>
    <row r="1325">
      <c r="A1325" t="str">
        <f>IFERROR(__xludf.DUMMYFUNCTION("""COMPUTED_VALUE"""),"2015-05-26-D10-SO-9")</f>
        <v>2015-05-26-D10-SO-9</v>
      </c>
    </row>
    <row r="1326">
      <c r="A1326" t="str">
        <f>IFERROR(__xludf.DUMMYFUNCTION("""COMPUTED_VALUE"""),"2015-05-26-D10-SO-10")</f>
        <v>2015-05-26-D10-SO-10</v>
      </c>
    </row>
    <row r="1327">
      <c r="A1327" t="str">
        <f>IFERROR(__xludf.DUMMYFUNCTION("""COMPUTED_VALUE"""),"2015-05-26-D10-SO-11")</f>
        <v>2015-05-26-D10-SO-11</v>
      </c>
    </row>
    <row r="1328">
      <c r="A1328" t="str">
        <f>IFERROR(__xludf.DUMMYFUNCTION("""COMPUTED_VALUE"""),"2015-05-26-D10-SO-12")</f>
        <v>2015-05-26-D10-SO-12</v>
      </c>
    </row>
    <row r="1329">
      <c r="A1329" t="str">
        <f>IFERROR(__xludf.DUMMYFUNCTION("""COMPUTED_VALUE"""),"2015-05-26-D10-SO-13")</f>
        <v>2015-05-26-D10-SO-13</v>
      </c>
    </row>
    <row r="1330">
      <c r="A1330" t="str">
        <f>IFERROR(__xludf.DUMMYFUNCTION("""COMPUTED_VALUE"""),"2015-05-26-D10-SO-14")</f>
        <v>2015-05-26-D10-SO-14</v>
      </c>
    </row>
    <row r="1331">
      <c r="A1331" t="str">
        <f>IFERROR(__xludf.DUMMYFUNCTION("""COMPUTED_VALUE"""),"2015-05-26-D10-SO-15")</f>
        <v>2015-05-26-D10-SO-15</v>
      </c>
    </row>
    <row r="1332">
      <c r="A1332" t="str">
        <f>IFERROR(__xludf.DUMMYFUNCTION("""COMPUTED_VALUE"""),"2015-05-26-D10-SO-16")</f>
        <v>2015-05-26-D10-SO-16</v>
      </c>
    </row>
    <row r="1333">
      <c r="A1333" t="str">
        <f>IFERROR(__xludf.DUMMYFUNCTION("""COMPUTED_VALUE"""),"2015-05-26-D10-SO-17")</f>
        <v>2015-05-26-D10-SO-17</v>
      </c>
    </row>
    <row r="1334">
      <c r="A1334" t="str">
        <f>IFERROR(__xludf.DUMMYFUNCTION("""COMPUTED_VALUE"""),"2015-05-26-D10-SO-18")</f>
        <v>2015-05-26-D10-SO-18</v>
      </c>
    </row>
    <row r="1335">
      <c r="A1335" t="str">
        <f>IFERROR(__xludf.DUMMYFUNCTION("""COMPUTED_VALUE"""),"2015-05-26-D10-SO-19")</f>
        <v>2015-05-26-D10-SO-19</v>
      </c>
    </row>
    <row r="1336">
      <c r="A1336" t="str">
        <f>IFERROR(__xludf.DUMMYFUNCTION("""COMPUTED_VALUE"""),"2015-05-26-D10-SO-20")</f>
        <v>2015-05-26-D10-SO-20</v>
      </c>
    </row>
    <row r="1337">
      <c r="A1337" t="str">
        <f>IFERROR(__xludf.DUMMYFUNCTION("""COMPUTED_VALUE"""),"2015-05-26-D10-SO-21")</f>
        <v>2015-05-26-D10-SO-21</v>
      </c>
    </row>
    <row r="1338">
      <c r="A1338" t="str">
        <f>IFERROR(__xludf.DUMMYFUNCTION("""COMPUTED_VALUE"""),"2015-05-26-D10-SO-22")</f>
        <v>2015-05-26-D10-SO-22</v>
      </c>
    </row>
    <row r="1339">
      <c r="A1339" t="str">
        <f>IFERROR(__xludf.DUMMYFUNCTION("""COMPUTED_VALUE"""),"2015-05-26-D10-SO-23")</f>
        <v>2015-05-26-D10-SO-23</v>
      </c>
    </row>
    <row r="1340">
      <c r="A1340" t="str">
        <f>IFERROR(__xludf.DUMMYFUNCTION("""COMPUTED_VALUE"""),"2015-05-26-D10-SO-24")</f>
        <v>2015-05-26-D10-SO-24</v>
      </c>
    </row>
    <row r="1341">
      <c r="A1341" t="str">
        <f>IFERROR(__xludf.DUMMYFUNCTION("""COMPUTED_VALUE"""),"2015-05-26-D10-SO-25")</f>
        <v>2015-05-26-D10-SO-25</v>
      </c>
    </row>
    <row r="1342">
      <c r="A1342" t="str">
        <f>IFERROR(__xludf.DUMMYFUNCTION("""COMPUTED_VALUE"""),"2015-05-26-D10-SO-26")</f>
        <v>2015-05-26-D10-SO-26</v>
      </c>
    </row>
    <row r="1343">
      <c r="A1343" t="str">
        <f>IFERROR(__xludf.DUMMYFUNCTION("""COMPUTED_VALUE"""),"2015-05-26-D10-SO-27")</f>
        <v>2015-05-26-D10-SO-27</v>
      </c>
    </row>
    <row r="1344">
      <c r="A1344" t="str">
        <f>IFERROR(__xludf.DUMMYFUNCTION("""COMPUTED_VALUE"""),"2015-05-26-D10-SO-28")</f>
        <v>2015-05-26-D10-SO-28</v>
      </c>
    </row>
    <row r="1345">
      <c r="A1345" t="str">
        <f>IFERROR(__xludf.DUMMYFUNCTION("""COMPUTED_VALUE"""),"2015-05-26-D10-SO-29")</f>
        <v>2015-05-26-D10-SO-29</v>
      </c>
    </row>
    <row r="1346">
      <c r="A1346" t="str">
        <f>IFERROR(__xludf.DUMMYFUNCTION("""COMPUTED_VALUE"""),"2015-05-26-D10-SO-30")</f>
        <v>2015-05-26-D10-SO-30</v>
      </c>
    </row>
    <row r="1347">
      <c r="A1347" t="str">
        <f>IFERROR(__xludf.DUMMYFUNCTION("""COMPUTED_VALUE"""),"2015-05-26-D09-SO-1")</f>
        <v>2015-05-26-D09-SO-1</v>
      </c>
    </row>
    <row r="1348">
      <c r="A1348" t="str">
        <f>IFERROR(__xludf.DUMMYFUNCTION("""COMPUTED_VALUE"""),"2015-05-26-D09-SO-2")</f>
        <v>2015-05-26-D09-SO-2</v>
      </c>
    </row>
    <row r="1349">
      <c r="A1349" t="str">
        <f>IFERROR(__xludf.DUMMYFUNCTION("""COMPUTED_VALUE"""),"2015-05-26-D09-SO-3")</f>
        <v>2015-05-26-D09-SO-3</v>
      </c>
    </row>
    <row r="1350">
      <c r="A1350" t="str">
        <f>IFERROR(__xludf.DUMMYFUNCTION("""COMPUTED_VALUE"""),"2015-05-26-D09-SO-4")</f>
        <v>2015-05-26-D09-SO-4</v>
      </c>
    </row>
    <row r="1351">
      <c r="A1351" t="str">
        <f>IFERROR(__xludf.DUMMYFUNCTION("""COMPUTED_VALUE"""),"2015-05-26-D09-SO-5")</f>
        <v>2015-05-26-D09-SO-5</v>
      </c>
    </row>
    <row r="1352">
      <c r="A1352" t="str">
        <f>IFERROR(__xludf.DUMMYFUNCTION("""COMPUTED_VALUE"""),"2015-05-26-D09-SO-6")</f>
        <v>2015-05-26-D09-SO-6</v>
      </c>
    </row>
    <row r="1353">
      <c r="A1353" t="str">
        <f>IFERROR(__xludf.DUMMYFUNCTION("""COMPUTED_VALUE"""),"2015-05-26-D09-SO-7")</f>
        <v>2015-05-26-D09-SO-7</v>
      </c>
    </row>
    <row r="1354">
      <c r="A1354" t="str">
        <f>IFERROR(__xludf.DUMMYFUNCTION("""COMPUTED_VALUE"""),"2015-05-26-D09-SO-8")</f>
        <v>2015-05-26-D09-SO-8</v>
      </c>
    </row>
    <row r="1355">
      <c r="A1355" t="str">
        <f>IFERROR(__xludf.DUMMYFUNCTION("""COMPUTED_VALUE"""),"2015-05-26-D09-SO-9")</f>
        <v>2015-05-26-D09-SO-9</v>
      </c>
    </row>
    <row r="1356">
      <c r="A1356" t="str">
        <f>IFERROR(__xludf.DUMMYFUNCTION("""COMPUTED_VALUE"""),"2015-05-26-D09-SO-10")</f>
        <v>2015-05-26-D09-SO-10</v>
      </c>
    </row>
    <row r="1357">
      <c r="A1357" t="str">
        <f>IFERROR(__xludf.DUMMYFUNCTION("""COMPUTED_VALUE"""),"2015-05-26-D09-SO-11")</f>
        <v>2015-05-26-D09-SO-11</v>
      </c>
    </row>
    <row r="1358">
      <c r="A1358" t="str">
        <f>IFERROR(__xludf.DUMMYFUNCTION("""COMPUTED_VALUE"""),"2015-05-26-D09-SO-12")</f>
        <v>2015-05-26-D09-SO-12</v>
      </c>
    </row>
    <row r="1359">
      <c r="A1359" t="str">
        <f>IFERROR(__xludf.DUMMYFUNCTION("""COMPUTED_VALUE"""),"2015-05-26-D09-SO-13")</f>
        <v>2015-05-26-D09-SO-13</v>
      </c>
    </row>
    <row r="1360">
      <c r="A1360" t="str">
        <f>IFERROR(__xludf.DUMMYFUNCTION("""COMPUTED_VALUE"""),"2015-05-26-D09-SO-14")</f>
        <v>2015-05-26-D09-SO-14</v>
      </c>
    </row>
    <row r="1361">
      <c r="A1361" t="str">
        <f>IFERROR(__xludf.DUMMYFUNCTION("""COMPUTED_VALUE"""),"2015-05-26-D09-SO-15")</f>
        <v>2015-05-26-D09-SO-15</v>
      </c>
    </row>
    <row r="1362">
      <c r="A1362" t="str">
        <f>IFERROR(__xludf.DUMMYFUNCTION("""COMPUTED_VALUE"""),"2015-05-26-D09-SO-16")</f>
        <v>2015-05-26-D09-SO-16</v>
      </c>
    </row>
    <row r="1363">
      <c r="A1363" t="str">
        <f>IFERROR(__xludf.DUMMYFUNCTION("""COMPUTED_VALUE"""),"2015-05-26-D09-SO-17")</f>
        <v>2015-05-26-D09-SO-17</v>
      </c>
    </row>
    <row r="1364">
      <c r="A1364" t="str">
        <f>IFERROR(__xludf.DUMMYFUNCTION("""COMPUTED_VALUE"""),"2015-05-26-D09-SO-18")</f>
        <v>2015-05-26-D09-SO-18</v>
      </c>
    </row>
    <row r="1365">
      <c r="A1365" t="str">
        <f>IFERROR(__xludf.DUMMYFUNCTION("""COMPUTED_VALUE"""),"2015-05-26-D09-SO-19")</f>
        <v>2015-05-26-D09-SO-19</v>
      </c>
    </row>
    <row r="1366">
      <c r="A1366" t="str">
        <f>IFERROR(__xludf.DUMMYFUNCTION("""COMPUTED_VALUE"""),"2015-05-26-D09-SO-20")</f>
        <v>2015-05-26-D09-SO-20</v>
      </c>
    </row>
    <row r="1367">
      <c r="A1367" t="str">
        <f>IFERROR(__xludf.DUMMYFUNCTION("""COMPUTED_VALUE"""),"2015-05-26-D09-SO-21")</f>
        <v>2015-05-26-D09-SO-21</v>
      </c>
    </row>
    <row r="1368">
      <c r="A1368" t="str">
        <f>IFERROR(__xludf.DUMMYFUNCTION("""COMPUTED_VALUE"""),"2015-05-26-D09-SO-22")</f>
        <v>2015-05-26-D09-SO-22</v>
      </c>
    </row>
    <row r="1369">
      <c r="A1369" t="str">
        <f>IFERROR(__xludf.DUMMYFUNCTION("""COMPUTED_VALUE"""),"2015-05-26-D09-SO-23")</f>
        <v>2015-05-26-D09-SO-23</v>
      </c>
    </row>
    <row r="1370">
      <c r="A1370" t="str">
        <f>IFERROR(__xludf.DUMMYFUNCTION("""COMPUTED_VALUE"""),"2015-05-26-D09-SO-24")</f>
        <v>2015-05-26-D09-SO-24</v>
      </c>
    </row>
    <row r="1371">
      <c r="A1371" t="str">
        <f>IFERROR(__xludf.DUMMYFUNCTION("""COMPUTED_VALUE"""),"2015-05-26-D09-SO-25")</f>
        <v>2015-05-26-D09-SO-25</v>
      </c>
    </row>
    <row r="1372">
      <c r="A1372" t="str">
        <f>IFERROR(__xludf.DUMMYFUNCTION("""COMPUTED_VALUE"""),"2015-05-26-D09-SO-26")</f>
        <v>2015-05-26-D09-SO-26</v>
      </c>
    </row>
    <row r="1373">
      <c r="A1373" t="str">
        <f>IFERROR(__xludf.DUMMYFUNCTION("""COMPUTED_VALUE"""),"2015-05-26-D09-SO-27")</f>
        <v>2015-05-26-D09-SO-27</v>
      </c>
    </row>
    <row r="1374">
      <c r="A1374" t="str">
        <f>IFERROR(__xludf.DUMMYFUNCTION("""COMPUTED_VALUE"""),"2015-05-26-D09-SO-28")</f>
        <v>2015-05-26-D09-SO-28</v>
      </c>
    </row>
    <row r="1375">
      <c r="A1375" t="str">
        <f>IFERROR(__xludf.DUMMYFUNCTION("""COMPUTED_VALUE"""),"2015-05-26-D09-SO-29")</f>
        <v>2015-05-26-D09-SO-29</v>
      </c>
    </row>
    <row r="1376">
      <c r="A1376" t="str">
        <f>IFERROR(__xludf.DUMMYFUNCTION("""COMPUTED_VALUE"""),"2015-05-26-D09-SO-30")</f>
        <v>2015-05-26-D09-SO-30</v>
      </c>
    </row>
    <row r="1377">
      <c r="A1377" t="str">
        <f>IFERROR(__xludf.DUMMYFUNCTION("""COMPUTED_VALUE"""),"2015-05-26-J07-SO-1")</f>
        <v>2015-05-26-J07-SO-1</v>
      </c>
    </row>
    <row r="1378">
      <c r="A1378" t="str">
        <f>IFERROR(__xludf.DUMMYFUNCTION("""COMPUTED_VALUE"""),"2015-05-26-J07-SO-2")</f>
        <v>2015-05-26-J07-SO-2</v>
      </c>
    </row>
    <row r="1379">
      <c r="A1379" t="str">
        <f>IFERROR(__xludf.DUMMYFUNCTION("""COMPUTED_VALUE"""),"2015-05-26-J07-SO-3")</f>
        <v>2015-05-26-J07-SO-3</v>
      </c>
    </row>
    <row r="1380">
      <c r="A1380" t="str">
        <f>IFERROR(__xludf.DUMMYFUNCTION("""COMPUTED_VALUE"""),"2015-05-26-J07-SO-4")</f>
        <v>2015-05-26-J07-SO-4</v>
      </c>
    </row>
    <row r="1381">
      <c r="A1381" t="str">
        <f>IFERROR(__xludf.DUMMYFUNCTION("""COMPUTED_VALUE"""),"2015-05-26-J07-SO-5")</f>
        <v>2015-05-26-J07-SO-5</v>
      </c>
    </row>
    <row r="1382">
      <c r="A1382" t="str">
        <f>IFERROR(__xludf.DUMMYFUNCTION("""COMPUTED_VALUE"""),"2015-05-26-J07-SO-6")</f>
        <v>2015-05-26-J07-SO-6</v>
      </c>
    </row>
    <row r="1383">
      <c r="A1383" t="str">
        <f>IFERROR(__xludf.DUMMYFUNCTION("""COMPUTED_VALUE"""),"2015-05-26-J07-SO-7")</f>
        <v>2015-05-26-J07-SO-7</v>
      </c>
    </row>
    <row r="1384">
      <c r="A1384" t="str">
        <f>IFERROR(__xludf.DUMMYFUNCTION("""COMPUTED_VALUE"""),"2015-05-26-J07-SO-8")</f>
        <v>2015-05-26-J07-SO-8</v>
      </c>
    </row>
    <row r="1385">
      <c r="A1385" t="str">
        <f>IFERROR(__xludf.DUMMYFUNCTION("""COMPUTED_VALUE"""),"2015-05-26-J07-SO-9")</f>
        <v>2015-05-26-J07-SO-9</v>
      </c>
    </row>
    <row r="1386">
      <c r="A1386" t="str">
        <f>IFERROR(__xludf.DUMMYFUNCTION("""COMPUTED_VALUE"""),"2015-05-26-J07-SO-10")</f>
        <v>2015-05-26-J07-SO-10</v>
      </c>
    </row>
    <row r="1387">
      <c r="A1387" t="str">
        <f>IFERROR(__xludf.DUMMYFUNCTION("""COMPUTED_VALUE"""),"2015-05-26-J07-SO-11")</f>
        <v>2015-05-26-J07-SO-11</v>
      </c>
    </row>
    <row r="1388">
      <c r="A1388" t="str">
        <f>IFERROR(__xludf.DUMMYFUNCTION("""COMPUTED_VALUE"""),"2015-05-26-J07-SO-12")</f>
        <v>2015-05-26-J07-SO-12</v>
      </c>
    </row>
    <row r="1389">
      <c r="A1389" t="str">
        <f>IFERROR(__xludf.DUMMYFUNCTION("""COMPUTED_VALUE"""),"2015-05-26-J07-SO-13")</f>
        <v>2015-05-26-J07-SO-13</v>
      </c>
    </row>
    <row r="1390">
      <c r="A1390" t="str">
        <f>IFERROR(__xludf.DUMMYFUNCTION("""COMPUTED_VALUE"""),"2015-05-26-J07-SO-14")</f>
        <v>2015-05-26-J07-SO-14</v>
      </c>
    </row>
    <row r="1391">
      <c r="A1391" t="str">
        <f>IFERROR(__xludf.DUMMYFUNCTION("""COMPUTED_VALUE"""),"2015-05-26-J07-SO-15")</f>
        <v>2015-05-26-J07-SO-15</v>
      </c>
    </row>
    <row r="1392">
      <c r="A1392" t="str">
        <f>IFERROR(__xludf.DUMMYFUNCTION("""COMPUTED_VALUE"""),"2015-05-26-J07-SO-16")</f>
        <v>2015-05-26-J07-SO-16</v>
      </c>
    </row>
    <row r="1393">
      <c r="A1393" t="str">
        <f>IFERROR(__xludf.DUMMYFUNCTION("""COMPUTED_VALUE"""),"2015-05-26-J07-SO-17")</f>
        <v>2015-05-26-J07-SO-17</v>
      </c>
    </row>
    <row r="1394">
      <c r="A1394" t="str">
        <f>IFERROR(__xludf.DUMMYFUNCTION("""COMPUTED_VALUE"""),"2015-05-26-J07-SO-18")</f>
        <v>2015-05-26-J07-SO-18</v>
      </c>
    </row>
    <row r="1395">
      <c r="A1395" t="str">
        <f>IFERROR(__xludf.DUMMYFUNCTION("""COMPUTED_VALUE"""),"2015-05-26-J07-SO-19")</f>
        <v>2015-05-26-J07-SO-19</v>
      </c>
    </row>
    <row r="1396">
      <c r="A1396" t="str">
        <f>IFERROR(__xludf.DUMMYFUNCTION("""COMPUTED_VALUE"""),"2015-05-26-J07-SO-20")</f>
        <v>2015-05-26-J07-SO-20</v>
      </c>
    </row>
    <row r="1397">
      <c r="A1397" t="str">
        <f>IFERROR(__xludf.DUMMYFUNCTION("""COMPUTED_VALUE"""),"2015-05-26-J07-SO-21")</f>
        <v>2015-05-26-J07-SO-21</v>
      </c>
    </row>
    <row r="1398">
      <c r="A1398" t="str">
        <f>IFERROR(__xludf.DUMMYFUNCTION("""COMPUTED_VALUE"""),"2015-05-26-J07-SO-22")</f>
        <v>2015-05-26-J07-SO-22</v>
      </c>
    </row>
    <row r="1399">
      <c r="A1399" t="str">
        <f>IFERROR(__xludf.DUMMYFUNCTION("""COMPUTED_VALUE"""),"2015-05-26-J07-SO-23")</f>
        <v>2015-05-26-J07-SO-23</v>
      </c>
    </row>
    <row r="1400">
      <c r="A1400" t="str">
        <f>IFERROR(__xludf.DUMMYFUNCTION("""COMPUTED_VALUE"""),"2015-05-26-J07-SO-24")</f>
        <v>2015-05-26-J07-SO-24</v>
      </c>
    </row>
    <row r="1401">
      <c r="A1401" t="str">
        <f>IFERROR(__xludf.DUMMYFUNCTION("""COMPUTED_VALUE"""),"2015-05-26-J07-SO-25")</f>
        <v>2015-05-26-J07-SO-25</v>
      </c>
    </row>
    <row r="1402">
      <c r="A1402" t="str">
        <f>IFERROR(__xludf.DUMMYFUNCTION("""COMPUTED_VALUE"""),"2015-05-26-J07-SO-26")</f>
        <v>2015-05-26-J07-SO-26</v>
      </c>
    </row>
    <row r="1403">
      <c r="A1403" t="str">
        <f>IFERROR(__xludf.DUMMYFUNCTION("""COMPUTED_VALUE"""),"2015-05-26-J07-SO-27")</f>
        <v>2015-05-26-J07-SO-27</v>
      </c>
    </row>
    <row r="1404">
      <c r="A1404" t="str">
        <f>IFERROR(__xludf.DUMMYFUNCTION("""COMPUTED_VALUE"""),"2015-05-26-J07-SO-28")</f>
        <v>2015-05-26-J07-SO-28</v>
      </c>
    </row>
    <row r="1405">
      <c r="A1405" t="str">
        <f>IFERROR(__xludf.DUMMYFUNCTION("""COMPUTED_VALUE"""),"2015-05-26-J07-SO-29")</f>
        <v>2015-05-26-J07-SO-29</v>
      </c>
    </row>
    <row r="1406">
      <c r="A1406" t="str">
        <f>IFERROR(__xludf.DUMMYFUNCTION("""COMPUTED_VALUE"""),"2015-05-26-J07-SO-30")</f>
        <v>2015-05-26-J07-SO-30</v>
      </c>
    </row>
    <row r="1407">
      <c r="A1407" t="str">
        <f>IFERROR(__xludf.DUMMYFUNCTION("""COMPUTED_VALUE"""),"2015-05-26-J03-SO-1")</f>
        <v>2015-05-26-J03-SO-1</v>
      </c>
    </row>
    <row r="1408">
      <c r="A1408" t="str">
        <f>IFERROR(__xludf.DUMMYFUNCTION("""COMPUTED_VALUE"""),"2015-05-26-J03-SO-2")</f>
        <v>2015-05-26-J03-SO-2</v>
      </c>
    </row>
    <row r="1409">
      <c r="A1409" t="str">
        <f>IFERROR(__xludf.DUMMYFUNCTION("""COMPUTED_VALUE"""),"2015-05-26-J03-SO-3")</f>
        <v>2015-05-26-J03-SO-3</v>
      </c>
    </row>
    <row r="1410">
      <c r="A1410" t="str">
        <f>IFERROR(__xludf.DUMMYFUNCTION("""COMPUTED_VALUE"""),"2015-05-26-J03-SO-4")</f>
        <v>2015-05-26-J03-SO-4</v>
      </c>
    </row>
    <row r="1411">
      <c r="A1411" t="str">
        <f>IFERROR(__xludf.DUMMYFUNCTION("""COMPUTED_VALUE"""),"2015-05-26-J03-SO-5")</f>
        <v>2015-05-26-J03-SO-5</v>
      </c>
    </row>
    <row r="1412">
      <c r="A1412" t="str">
        <f>IFERROR(__xludf.DUMMYFUNCTION("""COMPUTED_VALUE"""),"2015-05-26-J03-SO-6")</f>
        <v>2015-05-26-J03-SO-6</v>
      </c>
    </row>
    <row r="1413">
      <c r="A1413" t="str">
        <f>IFERROR(__xludf.DUMMYFUNCTION("""COMPUTED_VALUE"""),"2015-05-26-J03-SO-7")</f>
        <v>2015-05-26-J03-SO-7</v>
      </c>
    </row>
    <row r="1414">
      <c r="A1414" t="str">
        <f>IFERROR(__xludf.DUMMYFUNCTION("""COMPUTED_VALUE"""),"2015-05-26-J03-SO-8")</f>
        <v>2015-05-26-J03-SO-8</v>
      </c>
    </row>
    <row r="1415">
      <c r="A1415" t="str">
        <f>IFERROR(__xludf.DUMMYFUNCTION("""COMPUTED_VALUE"""),"2015-05-26-J03-SO-9")</f>
        <v>2015-05-26-J03-SO-9</v>
      </c>
    </row>
    <row r="1416">
      <c r="A1416" t="str">
        <f>IFERROR(__xludf.DUMMYFUNCTION("""COMPUTED_VALUE"""),"2015-05-26-J03-SO-10")</f>
        <v>2015-05-26-J03-SO-10</v>
      </c>
    </row>
    <row r="1417">
      <c r="A1417" t="str">
        <f>IFERROR(__xludf.DUMMYFUNCTION("""COMPUTED_VALUE"""),"2015-05-26-J03-SO-11")</f>
        <v>2015-05-26-J03-SO-11</v>
      </c>
    </row>
    <row r="1418">
      <c r="A1418" t="str">
        <f>IFERROR(__xludf.DUMMYFUNCTION("""COMPUTED_VALUE"""),"2015-05-26-J03-SO-12")</f>
        <v>2015-05-26-J03-SO-12</v>
      </c>
    </row>
    <row r="1419">
      <c r="A1419" t="str">
        <f>IFERROR(__xludf.DUMMYFUNCTION("""COMPUTED_VALUE"""),"2015-05-26-J03-SO-13")</f>
        <v>2015-05-26-J03-SO-13</v>
      </c>
    </row>
    <row r="1420">
      <c r="A1420" t="str">
        <f>IFERROR(__xludf.DUMMYFUNCTION("""COMPUTED_VALUE"""),"2015-05-26-J03-SO-14")</f>
        <v>2015-05-26-J03-SO-14</v>
      </c>
    </row>
    <row r="1421">
      <c r="A1421" t="str">
        <f>IFERROR(__xludf.DUMMYFUNCTION("""COMPUTED_VALUE"""),"2015-05-26-J03-SO-15")</f>
        <v>2015-05-26-J03-SO-15</v>
      </c>
    </row>
    <row r="1422">
      <c r="A1422" t="str">
        <f>IFERROR(__xludf.DUMMYFUNCTION("""COMPUTED_VALUE"""),"2015-05-26-J03-SO-16")</f>
        <v>2015-05-26-J03-SO-16</v>
      </c>
    </row>
    <row r="1423">
      <c r="A1423" t="str">
        <f>IFERROR(__xludf.DUMMYFUNCTION("""COMPUTED_VALUE"""),"2015-05-26-J03-SO-17")</f>
        <v>2015-05-26-J03-SO-17</v>
      </c>
    </row>
    <row r="1424">
      <c r="A1424" t="str">
        <f>IFERROR(__xludf.DUMMYFUNCTION("""COMPUTED_VALUE"""),"2015-05-26-J03-SO-18")</f>
        <v>2015-05-26-J03-SO-18</v>
      </c>
    </row>
    <row r="1425">
      <c r="A1425" t="str">
        <f>IFERROR(__xludf.DUMMYFUNCTION("""COMPUTED_VALUE"""),"2015-05-26-J03-SO-19")</f>
        <v>2015-05-26-J03-SO-19</v>
      </c>
    </row>
    <row r="1426">
      <c r="A1426" t="str">
        <f>IFERROR(__xludf.DUMMYFUNCTION("""COMPUTED_VALUE"""),"2015-05-26-J03-SO-20")</f>
        <v>2015-05-26-J03-SO-20</v>
      </c>
    </row>
    <row r="1427">
      <c r="A1427" t="str">
        <f>IFERROR(__xludf.DUMMYFUNCTION("""COMPUTED_VALUE"""),"2015-05-26-J03-SO-21")</f>
        <v>2015-05-26-J03-SO-21</v>
      </c>
    </row>
    <row r="1428">
      <c r="A1428" t="str">
        <f>IFERROR(__xludf.DUMMYFUNCTION("""COMPUTED_VALUE"""),"2015-05-26-J03-SO-22")</f>
        <v>2015-05-26-J03-SO-22</v>
      </c>
    </row>
    <row r="1429">
      <c r="A1429" t="str">
        <f>IFERROR(__xludf.DUMMYFUNCTION("""COMPUTED_VALUE"""),"2015-05-26-J03-SO-23")</f>
        <v>2015-05-26-J03-SO-23</v>
      </c>
    </row>
    <row r="1430">
      <c r="A1430" t="str">
        <f>IFERROR(__xludf.DUMMYFUNCTION("""COMPUTED_VALUE"""),"2015-05-26-J03-SO-24")</f>
        <v>2015-05-26-J03-SO-24</v>
      </c>
    </row>
    <row r="1431">
      <c r="A1431" t="str">
        <f>IFERROR(__xludf.DUMMYFUNCTION("""COMPUTED_VALUE"""),"2015-05-26-J03-SO-25")</f>
        <v>2015-05-26-J03-SO-25</v>
      </c>
    </row>
    <row r="1432">
      <c r="A1432" t="str">
        <f>IFERROR(__xludf.DUMMYFUNCTION("""COMPUTED_VALUE"""),"2015-05-26-J03-SO-26")</f>
        <v>2015-05-26-J03-SO-26</v>
      </c>
    </row>
    <row r="1433">
      <c r="A1433" t="str">
        <f>IFERROR(__xludf.DUMMYFUNCTION("""COMPUTED_VALUE"""),"2015-05-26-J03-SO-27")</f>
        <v>2015-05-26-J03-SO-27</v>
      </c>
    </row>
    <row r="1434">
      <c r="A1434" t="str">
        <f>IFERROR(__xludf.DUMMYFUNCTION("""COMPUTED_VALUE"""),"2015-05-26-J03-SO-28")</f>
        <v>2015-05-26-J03-SO-28</v>
      </c>
    </row>
    <row r="1435">
      <c r="A1435" t="str">
        <f>IFERROR(__xludf.DUMMYFUNCTION("""COMPUTED_VALUE"""),"2015-05-26-J03-SO-29")</f>
        <v>2015-05-26-J03-SO-29</v>
      </c>
    </row>
    <row r="1436">
      <c r="A1436" t="str">
        <f>IFERROR(__xludf.DUMMYFUNCTION("""COMPUTED_VALUE"""),"2015-05-26-J03-SO-30")</f>
        <v>2015-05-26-J03-SO-30</v>
      </c>
    </row>
    <row r="1437">
      <c r="A1437" t="str">
        <f>IFERROR(__xludf.DUMMYFUNCTION("""COMPUTED_VALUE"""),"2015-05-26-J09-SO-1")</f>
        <v>2015-05-26-J09-SO-1</v>
      </c>
    </row>
    <row r="1438">
      <c r="A1438" t="str">
        <f>IFERROR(__xludf.DUMMYFUNCTION("""COMPUTED_VALUE"""),"2015-05-26-J09-SO-2")</f>
        <v>2015-05-26-J09-SO-2</v>
      </c>
    </row>
    <row r="1439">
      <c r="A1439" t="str">
        <f>IFERROR(__xludf.DUMMYFUNCTION("""COMPUTED_VALUE"""),"2015-05-26-J09-SO-3")</f>
        <v>2015-05-26-J09-SO-3</v>
      </c>
    </row>
    <row r="1440">
      <c r="A1440" t="str">
        <f>IFERROR(__xludf.DUMMYFUNCTION("""COMPUTED_VALUE"""),"2015-05-26-J09-SO-4")</f>
        <v>2015-05-26-J09-SO-4</v>
      </c>
    </row>
    <row r="1441">
      <c r="A1441" t="str">
        <f>IFERROR(__xludf.DUMMYFUNCTION("""COMPUTED_VALUE"""),"2015-05-26-J09-SO-5")</f>
        <v>2015-05-26-J09-SO-5</v>
      </c>
    </row>
    <row r="1442">
      <c r="A1442" t="str">
        <f>IFERROR(__xludf.DUMMYFUNCTION("""COMPUTED_VALUE"""),"2015-05-26-J09-SO-6")</f>
        <v>2015-05-26-J09-SO-6</v>
      </c>
    </row>
    <row r="1443">
      <c r="A1443" t="str">
        <f>IFERROR(__xludf.DUMMYFUNCTION("""COMPUTED_VALUE"""),"2015-05-26-J09-SO-7")</f>
        <v>2015-05-26-J09-SO-7</v>
      </c>
    </row>
    <row r="1444">
      <c r="A1444" t="str">
        <f>IFERROR(__xludf.DUMMYFUNCTION("""COMPUTED_VALUE"""),"2015-05-26-J09-SO-8")</f>
        <v>2015-05-26-J09-SO-8</v>
      </c>
    </row>
    <row r="1445">
      <c r="A1445" t="str">
        <f>IFERROR(__xludf.DUMMYFUNCTION("""COMPUTED_VALUE"""),"2015-05-26-J09-SO-9")</f>
        <v>2015-05-26-J09-SO-9</v>
      </c>
    </row>
    <row r="1446">
      <c r="A1446" t="str">
        <f>IFERROR(__xludf.DUMMYFUNCTION("""COMPUTED_VALUE"""),"2015-05-26-J09-SO-10")</f>
        <v>2015-05-26-J09-SO-10</v>
      </c>
    </row>
    <row r="1447">
      <c r="A1447" t="str">
        <f>IFERROR(__xludf.DUMMYFUNCTION("""COMPUTED_VALUE"""),"2015-05-26-J09-SO-11")</f>
        <v>2015-05-26-J09-SO-11</v>
      </c>
    </row>
    <row r="1448">
      <c r="A1448" t="str">
        <f>IFERROR(__xludf.DUMMYFUNCTION("""COMPUTED_VALUE"""),"2015-05-26-J09-SO-12")</f>
        <v>2015-05-26-J09-SO-12</v>
      </c>
    </row>
    <row r="1449">
      <c r="A1449" t="str">
        <f>IFERROR(__xludf.DUMMYFUNCTION("""COMPUTED_VALUE"""),"2015-05-26-J09-SO-13")</f>
        <v>2015-05-26-J09-SO-13</v>
      </c>
    </row>
    <row r="1450">
      <c r="A1450" t="str">
        <f>IFERROR(__xludf.DUMMYFUNCTION("""COMPUTED_VALUE"""),"2015-05-26-J09-SO-14")</f>
        <v>2015-05-26-J09-SO-14</v>
      </c>
    </row>
    <row r="1451">
      <c r="A1451" t="str">
        <f>IFERROR(__xludf.DUMMYFUNCTION("""COMPUTED_VALUE"""),"2015-05-26-J09-SO-15")</f>
        <v>2015-05-26-J09-SO-15</v>
      </c>
    </row>
    <row r="1452">
      <c r="A1452" t="str">
        <f>IFERROR(__xludf.DUMMYFUNCTION("""COMPUTED_VALUE"""),"2015-05-26-J09-SO-16")</f>
        <v>2015-05-26-J09-SO-16</v>
      </c>
    </row>
    <row r="1453">
      <c r="A1453" t="str">
        <f>IFERROR(__xludf.DUMMYFUNCTION("""COMPUTED_VALUE"""),"2015-05-26-J09-SO-17")</f>
        <v>2015-05-26-J09-SO-17</v>
      </c>
    </row>
    <row r="1454">
      <c r="A1454" t="str">
        <f>IFERROR(__xludf.DUMMYFUNCTION("""COMPUTED_VALUE"""),"2015-05-26-J09-SO-18")</f>
        <v>2015-05-26-J09-SO-18</v>
      </c>
    </row>
    <row r="1455">
      <c r="A1455" t="str">
        <f>IFERROR(__xludf.DUMMYFUNCTION("""COMPUTED_VALUE"""),"2015-05-26-J09-SO-19")</f>
        <v>2015-05-26-J09-SO-19</v>
      </c>
    </row>
    <row r="1456">
      <c r="A1456" t="str">
        <f>IFERROR(__xludf.DUMMYFUNCTION("""COMPUTED_VALUE"""),"2015-05-26-J09-SO-20")</f>
        <v>2015-05-26-J09-SO-20</v>
      </c>
    </row>
    <row r="1457">
      <c r="A1457" t="str">
        <f>IFERROR(__xludf.DUMMYFUNCTION("""COMPUTED_VALUE"""),"2015-05-26-J09-SO-21")</f>
        <v>2015-05-26-J09-SO-21</v>
      </c>
    </row>
    <row r="1458">
      <c r="A1458" t="str">
        <f>IFERROR(__xludf.DUMMYFUNCTION("""COMPUTED_VALUE"""),"2015-05-26-J09-SO-22")</f>
        <v>2015-05-26-J09-SO-22</v>
      </c>
    </row>
    <row r="1459">
      <c r="A1459" t="str">
        <f>IFERROR(__xludf.DUMMYFUNCTION("""COMPUTED_VALUE"""),"2015-05-26-J09-SO-23")</f>
        <v>2015-05-26-J09-SO-23</v>
      </c>
    </row>
    <row r="1460">
      <c r="A1460" t="str">
        <f>IFERROR(__xludf.DUMMYFUNCTION("""COMPUTED_VALUE"""),"2015-05-26-J09-SO-24")</f>
        <v>2015-05-26-J09-SO-24</v>
      </c>
    </row>
    <row r="1461">
      <c r="A1461" t="str">
        <f>IFERROR(__xludf.DUMMYFUNCTION("""COMPUTED_VALUE"""),"2015-05-26-J09-SO-25")</f>
        <v>2015-05-26-J09-SO-25</v>
      </c>
    </row>
    <row r="1462">
      <c r="A1462" t="str">
        <f>IFERROR(__xludf.DUMMYFUNCTION("""COMPUTED_VALUE"""),"2015-05-26-J09-SO-26")</f>
        <v>2015-05-26-J09-SO-26</v>
      </c>
    </row>
    <row r="1463">
      <c r="A1463" t="str">
        <f>IFERROR(__xludf.DUMMYFUNCTION("""COMPUTED_VALUE"""),"2015-05-26-J09-SO-27")</f>
        <v>2015-05-26-J09-SO-27</v>
      </c>
    </row>
    <row r="1464">
      <c r="A1464" t="str">
        <f>IFERROR(__xludf.DUMMYFUNCTION("""COMPUTED_VALUE"""),"2015-05-26-J09-SO-28")</f>
        <v>2015-05-26-J09-SO-28</v>
      </c>
    </row>
    <row r="1465">
      <c r="A1465" t="str">
        <f>IFERROR(__xludf.DUMMYFUNCTION("""COMPUTED_VALUE"""),"2015-05-26-J09-SO-29")</f>
        <v>2015-05-26-J09-SO-29</v>
      </c>
    </row>
    <row r="1466">
      <c r="A1466" t="str">
        <f>IFERROR(__xludf.DUMMYFUNCTION("""COMPUTED_VALUE"""),"2015-05-26-J09-SO-30")</f>
        <v>2015-05-26-J09-SO-30</v>
      </c>
    </row>
    <row r="1467">
      <c r="A1467" t="str">
        <f>IFERROR(__xludf.DUMMYFUNCTION("""COMPUTED_VALUE"""),"2015-05-26-J09-PI-1")</f>
        <v>2015-05-26-J09-PI-1</v>
      </c>
    </row>
    <row r="1468">
      <c r="A1468" t="str">
        <f>IFERROR(__xludf.DUMMYFUNCTION("""COMPUTED_VALUE"""),"2015-05-26-D10-CU-1")</f>
        <v>2015-05-26-D10-CU-1</v>
      </c>
    </row>
    <row r="1469">
      <c r="A1469" t="str">
        <f>IFERROR(__xludf.DUMMYFUNCTION("""COMPUTED_VALUE"""),"2015-05-26-D10-CU-2")</f>
        <v>2015-05-26-D10-CU-2</v>
      </c>
    </row>
    <row r="1470">
      <c r="A1470" t="str">
        <f>IFERROR(__xludf.DUMMYFUNCTION("""COMPUTED_VALUE"""),"2015-05-26-D10-CU-3")</f>
        <v>2015-05-26-D10-CU-3</v>
      </c>
    </row>
    <row r="1471">
      <c r="A1471" t="str">
        <f>IFERROR(__xludf.DUMMYFUNCTION("""COMPUTED_VALUE"""),"2015-05-26-D10-CU-4")</f>
        <v>2015-05-26-D10-CU-4</v>
      </c>
    </row>
    <row r="1472">
      <c r="A1472" t="str">
        <f>IFERROR(__xludf.DUMMYFUNCTION("""COMPUTED_VALUE"""),"2015-05-26-D10-CU-5")</f>
        <v>2015-05-26-D10-CU-5</v>
      </c>
    </row>
    <row r="1473">
      <c r="A1473" t="str">
        <f>IFERROR(__xludf.DUMMYFUNCTION("""COMPUTED_VALUE"""),"2015-05-26-D09-CU-1")</f>
        <v>2015-05-26-D09-CU-1</v>
      </c>
    </row>
    <row r="1474">
      <c r="A1474" t="str">
        <f>IFERROR(__xludf.DUMMYFUNCTION("""COMPUTED_VALUE"""),"2015-05-26-D09-CU-2")</f>
        <v>2015-05-26-D09-CU-2</v>
      </c>
    </row>
    <row r="1475">
      <c r="A1475" t="str">
        <f>IFERROR(__xludf.DUMMYFUNCTION("""COMPUTED_VALUE"""),"2015-05-26-D09-CU-3")</f>
        <v>2015-05-26-D09-CU-3</v>
      </c>
    </row>
    <row r="1476">
      <c r="A1476" t="str">
        <f>IFERROR(__xludf.DUMMYFUNCTION("""COMPUTED_VALUE"""),"2015-05-26-D09-CU-4")</f>
        <v>2015-05-26-D09-CU-4</v>
      </c>
    </row>
    <row r="1477">
      <c r="A1477" t="str">
        <f>IFERROR(__xludf.DUMMYFUNCTION("""COMPUTED_VALUE"""),"2015-05-26-D09-CU-5")</f>
        <v>2015-05-26-D09-CU-5</v>
      </c>
    </row>
    <row r="1478">
      <c r="A1478" t="str">
        <f>IFERROR(__xludf.DUMMYFUNCTION("""COMPUTED_VALUE"""),"2015-05-26-D09-CU-6")</f>
        <v>2015-05-26-D09-CU-6</v>
      </c>
    </row>
    <row r="1479">
      <c r="A1479" t="str">
        <f>IFERROR(__xludf.DUMMYFUNCTION("""COMPUTED_VALUE"""),"2015-05-26-D09-CU-7")</f>
        <v>2015-05-26-D09-CU-7</v>
      </c>
    </row>
    <row r="1480">
      <c r="A1480" t="str">
        <f>IFERROR(__xludf.DUMMYFUNCTION("""COMPUTED_VALUE"""),"2015-05-26-D09-CU-8")</f>
        <v>2015-05-26-D09-CU-8</v>
      </c>
    </row>
    <row r="1481">
      <c r="A1481" t="str">
        <f>IFERROR(__xludf.DUMMYFUNCTION("""COMPUTED_VALUE"""),"2015-05-26-D09-CU-9")</f>
        <v>2015-05-26-D09-CU-9</v>
      </c>
    </row>
    <row r="1482">
      <c r="A1482" t="str">
        <f>IFERROR(__xludf.DUMMYFUNCTION("""COMPUTED_VALUE"""),"2015-05-26-D09-CU-10")</f>
        <v>2015-05-26-D09-CU-10</v>
      </c>
    </row>
    <row r="1483">
      <c r="A1483" t="str">
        <f>IFERROR(__xludf.DUMMYFUNCTION("""COMPUTED_VALUE"""),"2015-05-26-J07-CU-1")</f>
        <v>2015-05-26-J07-CU-1</v>
      </c>
    </row>
    <row r="1484">
      <c r="A1484" t="str">
        <f>IFERROR(__xludf.DUMMYFUNCTION("""COMPUTED_VALUE"""),"2015-05-26-J07-CU-2")</f>
        <v>2015-05-26-J07-CU-2</v>
      </c>
    </row>
    <row r="1485">
      <c r="A1485" t="str">
        <f>IFERROR(__xludf.DUMMYFUNCTION("""COMPUTED_VALUE"""),"2015-05-26-J07-CU-3")</f>
        <v>2015-05-26-J07-CU-3</v>
      </c>
    </row>
    <row r="1486">
      <c r="A1486" t="str">
        <f>IFERROR(__xludf.DUMMYFUNCTION("""COMPUTED_VALUE"""),"2015-05-26-J07-CU-4")</f>
        <v>2015-05-26-J07-CU-4</v>
      </c>
    </row>
    <row r="1487">
      <c r="A1487" t="str">
        <f>IFERROR(__xludf.DUMMYFUNCTION("""COMPUTED_VALUE"""),"2015-05-26-J07-CU-5")</f>
        <v>2015-05-26-J07-CU-5</v>
      </c>
    </row>
    <row r="1488">
      <c r="A1488" t="str">
        <f>IFERROR(__xludf.DUMMYFUNCTION("""COMPUTED_VALUE"""),"2015-05-26-J07-CU-6")</f>
        <v>2015-05-26-J07-CU-6</v>
      </c>
    </row>
    <row r="1489">
      <c r="A1489" t="str">
        <f>IFERROR(__xludf.DUMMYFUNCTION("""COMPUTED_VALUE"""),"2015-05-26-J07-CU-7")</f>
        <v>2015-05-26-J07-CU-7</v>
      </c>
    </row>
    <row r="1490">
      <c r="A1490" t="str">
        <f>IFERROR(__xludf.DUMMYFUNCTION("""COMPUTED_VALUE"""),"2015-05-26-J07-CU-8")</f>
        <v>2015-05-26-J07-CU-8</v>
      </c>
    </row>
    <row r="1491">
      <c r="A1491" t="str">
        <f>IFERROR(__xludf.DUMMYFUNCTION("""COMPUTED_VALUE"""),"2015-05-26-J07-CU-9")</f>
        <v>2015-05-26-J07-CU-9</v>
      </c>
    </row>
    <row r="1492">
      <c r="A1492" t="str">
        <f>IFERROR(__xludf.DUMMYFUNCTION("""COMPUTED_VALUE"""),"2015-05-26-J07-CU-10")</f>
        <v>2015-05-26-J07-CU-10</v>
      </c>
    </row>
    <row r="1493">
      <c r="A1493" t="str">
        <f>IFERROR(__xludf.DUMMYFUNCTION("""COMPUTED_VALUE"""),"2015-05-26-J03-CU-1")</f>
        <v>2015-05-26-J03-CU-1</v>
      </c>
    </row>
    <row r="1494">
      <c r="A1494" t="str">
        <f>IFERROR(__xludf.DUMMYFUNCTION("""COMPUTED_VALUE"""),"2015-05-26-J03-CU-2")</f>
        <v>2015-05-26-J03-CU-2</v>
      </c>
    </row>
    <row r="1495">
      <c r="A1495" t="str">
        <f>IFERROR(__xludf.DUMMYFUNCTION("""COMPUTED_VALUE"""),"2015-05-26-J03-CU-3")</f>
        <v>2015-05-26-J03-CU-3</v>
      </c>
    </row>
    <row r="1496">
      <c r="A1496" t="str">
        <f>IFERROR(__xludf.DUMMYFUNCTION("""COMPUTED_VALUE"""),"2015-05-26-J03-CU-4")</f>
        <v>2015-05-26-J03-CU-4</v>
      </c>
    </row>
    <row r="1497">
      <c r="A1497" t="str">
        <f>IFERROR(__xludf.DUMMYFUNCTION("""COMPUTED_VALUE"""),"2015-05-26-J03-CU-5")</f>
        <v>2015-05-26-J03-CU-5</v>
      </c>
    </row>
    <row r="1498">
      <c r="A1498" t="str">
        <f>IFERROR(__xludf.DUMMYFUNCTION("""COMPUTED_VALUE"""),"2015-05-26-J03-CU-6")</f>
        <v>2015-05-26-J03-CU-6</v>
      </c>
    </row>
    <row r="1499">
      <c r="A1499" t="str">
        <f>IFERROR(__xludf.DUMMYFUNCTION("""COMPUTED_VALUE"""),"2015-05-26-J03-CU-7")</f>
        <v>2015-05-26-J03-CU-7</v>
      </c>
    </row>
    <row r="1500">
      <c r="A1500" t="str">
        <f>IFERROR(__xludf.DUMMYFUNCTION("""COMPUTED_VALUE"""),"2015-05-26-J03-CU-8")</f>
        <v>2015-05-26-J03-CU-8</v>
      </c>
    </row>
    <row r="1501">
      <c r="A1501" t="str">
        <f>IFERROR(__xludf.DUMMYFUNCTION("""COMPUTED_VALUE"""),"2015-05-26-J03-CU-9")</f>
        <v>2015-05-26-J03-CU-9</v>
      </c>
    </row>
    <row r="1502">
      <c r="A1502" t="str">
        <f>IFERROR(__xludf.DUMMYFUNCTION("""COMPUTED_VALUE"""),"2015-05-26-J03-CU-10")</f>
        <v>2015-05-26-J03-CU-10</v>
      </c>
    </row>
    <row r="1503">
      <c r="A1503" t="str">
        <f>IFERROR(__xludf.DUMMYFUNCTION("""COMPUTED_VALUE"""),"2015-05-26-J09-CU-1")</f>
        <v>2015-05-26-J09-CU-1</v>
      </c>
    </row>
    <row r="1504">
      <c r="A1504" t="str">
        <f>IFERROR(__xludf.DUMMYFUNCTION("""COMPUTED_VALUE"""),"2015-05-26-J09-CU-2")</f>
        <v>2015-05-26-J09-CU-2</v>
      </c>
    </row>
    <row r="1505">
      <c r="A1505" t="str">
        <f>IFERROR(__xludf.DUMMYFUNCTION("""COMPUTED_VALUE"""),"2015-05-26-J09-CU-3")</f>
        <v>2015-05-26-J09-CU-3</v>
      </c>
    </row>
    <row r="1506">
      <c r="A1506" t="str">
        <f>IFERROR(__xludf.DUMMYFUNCTION("""COMPUTED_VALUE"""),"2015-05-26-J09-CU-4")</f>
        <v>2015-05-26-J09-CU-4</v>
      </c>
    </row>
    <row r="1507">
      <c r="A1507" t="str">
        <f>IFERROR(__xludf.DUMMYFUNCTION("""COMPUTED_VALUE"""),"2015-05-26-J09-CU-5")</f>
        <v>2015-05-26-J09-CU-5</v>
      </c>
    </row>
    <row r="1508">
      <c r="A1508" t="str">
        <f>IFERROR(__xludf.DUMMYFUNCTION("""COMPUTED_VALUE"""),"2015-05-26-J09-CU-6")</f>
        <v>2015-05-26-J09-CU-6</v>
      </c>
    </row>
    <row r="1509">
      <c r="A1509" t="str">
        <f>IFERROR(__xludf.DUMMYFUNCTION("""COMPUTED_VALUE"""),"2015-05-26-J09-CU-7")</f>
        <v>2015-05-26-J09-CU-7</v>
      </c>
    </row>
    <row r="1510">
      <c r="A1510" t="str">
        <f>IFERROR(__xludf.DUMMYFUNCTION("""COMPUTED_VALUE"""),"2015-05-26-J09-CU-8")</f>
        <v>2015-05-26-J09-CU-8</v>
      </c>
    </row>
    <row r="1511">
      <c r="A1511" t="str">
        <f>IFERROR(__xludf.DUMMYFUNCTION("""COMPUTED_VALUE"""),"2015-05-26-J09-CU-9")</f>
        <v>2015-05-26-J09-CU-9</v>
      </c>
    </row>
    <row r="1512">
      <c r="A1512" t="str">
        <f>IFERROR(__xludf.DUMMYFUNCTION("""COMPUTED_VALUE"""),"2015-05-26-J09-CU-10")</f>
        <v>2015-05-26-J09-CU-10</v>
      </c>
    </row>
    <row r="1513">
      <c r="A1513" t="str">
        <f>IFERROR(__xludf.DUMMYFUNCTION("""COMPUTED_VALUE"""),"2015-05-26-D10-CO-1")</f>
        <v>2015-05-26-D10-CO-1</v>
      </c>
    </row>
    <row r="1514">
      <c r="A1514" t="str">
        <f>IFERROR(__xludf.DUMMYFUNCTION("""COMPUTED_VALUE"""),"2015-05-26-J07-CO-1")</f>
        <v>2015-05-26-J07-CO-1</v>
      </c>
    </row>
    <row r="1515">
      <c r="A1515" t="str">
        <f>IFERROR(__xludf.DUMMYFUNCTION("""COMPUTED_VALUE"""),"2015-05-26-J03-CO-1")</f>
        <v>2015-05-26-J03-CO-1</v>
      </c>
    </row>
    <row r="1516">
      <c r="A1516" t="str">
        <f>IFERROR(__xludf.DUMMYFUNCTION("""COMPUTED_VALUE"""),"2015-05-26-D10-HE-1")</f>
        <v>2015-05-26-D10-HE-1</v>
      </c>
    </row>
    <row r="1517">
      <c r="A1517" t="str">
        <f>IFERROR(__xludf.DUMMYFUNCTION("""COMPUTED_VALUE"""),"2015-05-26-J07-HE-1")</f>
        <v>2015-05-26-J07-HE-1</v>
      </c>
    </row>
    <row r="1518">
      <c r="A1518" t="str">
        <f>IFERROR(__xludf.DUMMYFUNCTION("""COMPUTED_VALUE"""),"2015-05-26-J07-HE-2")</f>
        <v>2015-05-26-J07-HE-2</v>
      </c>
    </row>
    <row r="1519">
      <c r="A1519" t="str">
        <f>IFERROR(__xludf.DUMMYFUNCTION("""COMPUTED_VALUE"""),"2015-05-26-J07-HE-3")</f>
        <v>2015-05-26-J07-HE-3</v>
      </c>
    </row>
    <row r="1520">
      <c r="A1520" t="str">
        <f>IFERROR(__xludf.DUMMYFUNCTION("""COMPUTED_VALUE"""),"2015-05-26-J07-HE-4")</f>
        <v>2015-05-26-J07-HE-4</v>
      </c>
    </row>
    <row r="1521">
      <c r="A1521" t="str">
        <f>IFERROR(__xludf.DUMMYFUNCTION("""COMPUTED_VALUE"""),"2015-05-26-J07-HE-5")</f>
        <v>2015-05-26-J07-HE-5</v>
      </c>
    </row>
    <row r="1522">
      <c r="A1522" t="str">
        <f>IFERROR(__xludf.DUMMYFUNCTION("""COMPUTED_VALUE"""),"2015-05-26-J09-HE-1")</f>
        <v>2015-05-26-J09-HE-1</v>
      </c>
    </row>
    <row r="1523">
      <c r="A1523" t="str">
        <f>IFERROR(__xludf.DUMMYFUNCTION("""COMPUTED_VALUE"""),"2015-05-27-J10-SO-1")</f>
        <v>2015-05-27-J10-SO-1</v>
      </c>
    </row>
    <row r="1524">
      <c r="A1524" t="str">
        <f>IFERROR(__xludf.DUMMYFUNCTION("""COMPUTED_VALUE"""),"2015-05-27-J10-SO-2")</f>
        <v>2015-05-27-J10-SO-2</v>
      </c>
    </row>
    <row r="1525">
      <c r="A1525" t="str">
        <f>IFERROR(__xludf.DUMMYFUNCTION("""COMPUTED_VALUE"""),"2015-05-27-J10-SO-3")</f>
        <v>2015-05-27-J10-SO-3</v>
      </c>
    </row>
    <row r="1526">
      <c r="A1526" t="str">
        <f>IFERROR(__xludf.DUMMYFUNCTION("""COMPUTED_VALUE"""),"2015-05-27-J10-SO-4")</f>
        <v>2015-05-27-J10-SO-4</v>
      </c>
    </row>
    <row r="1527">
      <c r="A1527" t="str">
        <f>IFERROR(__xludf.DUMMYFUNCTION("""COMPUTED_VALUE"""),"2015-05-27-J10-SO-5")</f>
        <v>2015-05-27-J10-SO-5</v>
      </c>
    </row>
    <row r="1528">
      <c r="A1528" t="str">
        <f>IFERROR(__xludf.DUMMYFUNCTION("""COMPUTED_VALUE"""),"2015-05-27-J10-SO-6")</f>
        <v>2015-05-27-J10-SO-6</v>
      </c>
    </row>
    <row r="1529">
      <c r="A1529" t="str">
        <f>IFERROR(__xludf.DUMMYFUNCTION("""COMPUTED_VALUE"""),"2015-05-27-J10-SO-7")</f>
        <v>2015-05-27-J10-SO-7</v>
      </c>
    </row>
    <row r="1530">
      <c r="A1530" t="str">
        <f>IFERROR(__xludf.DUMMYFUNCTION("""COMPUTED_VALUE"""),"2015-05-27-J10-SO-8")</f>
        <v>2015-05-27-J10-SO-8</v>
      </c>
    </row>
    <row r="1531">
      <c r="A1531" t="str">
        <f>IFERROR(__xludf.DUMMYFUNCTION("""COMPUTED_VALUE"""),"2015-05-27-J10-SO-9")</f>
        <v>2015-05-27-J10-SO-9</v>
      </c>
    </row>
    <row r="1532">
      <c r="A1532" t="str">
        <f>IFERROR(__xludf.DUMMYFUNCTION("""COMPUTED_VALUE"""),"2015-05-27-J10-SO-10")</f>
        <v>2015-05-27-J10-SO-10</v>
      </c>
    </row>
    <row r="1533">
      <c r="A1533" t="str">
        <f>IFERROR(__xludf.DUMMYFUNCTION("""COMPUTED_VALUE"""),"2015-05-27-J10-SO-11")</f>
        <v>2015-05-27-J10-SO-11</v>
      </c>
    </row>
    <row r="1534">
      <c r="A1534" t="str">
        <f>IFERROR(__xludf.DUMMYFUNCTION("""COMPUTED_VALUE"""),"2015-05-27-J10-SO-12")</f>
        <v>2015-05-27-J10-SO-12</v>
      </c>
    </row>
    <row r="1535">
      <c r="A1535" t="str">
        <f>IFERROR(__xludf.DUMMYFUNCTION("""COMPUTED_VALUE"""),"2015-05-27-J10-SO-13")</f>
        <v>2015-05-27-J10-SO-13</v>
      </c>
    </row>
    <row r="1536">
      <c r="A1536" t="str">
        <f>IFERROR(__xludf.DUMMYFUNCTION("""COMPUTED_VALUE"""),"2015-05-27-J10-SO-14")</f>
        <v>2015-05-27-J10-SO-14</v>
      </c>
    </row>
    <row r="1537">
      <c r="A1537" t="str">
        <f>IFERROR(__xludf.DUMMYFUNCTION("""COMPUTED_VALUE"""),"2015-05-27-J10-SO-15")</f>
        <v>2015-05-27-J10-SO-15</v>
      </c>
    </row>
    <row r="1538">
      <c r="A1538" t="str">
        <f>IFERROR(__xludf.DUMMYFUNCTION("""COMPUTED_VALUE"""),"2015-05-27-J10-SO-16")</f>
        <v>2015-05-27-J10-SO-16</v>
      </c>
    </row>
    <row r="1539">
      <c r="A1539" t="str">
        <f>IFERROR(__xludf.DUMMYFUNCTION("""COMPUTED_VALUE"""),"2015-05-27-J10-SO-17")</f>
        <v>2015-05-27-J10-SO-17</v>
      </c>
    </row>
    <row r="1540">
      <c r="A1540" t="str">
        <f>IFERROR(__xludf.DUMMYFUNCTION("""COMPUTED_VALUE"""),"2015-05-27-J10-SO-18")</f>
        <v>2015-05-27-J10-SO-18</v>
      </c>
    </row>
    <row r="1541">
      <c r="A1541" t="str">
        <f>IFERROR(__xludf.DUMMYFUNCTION("""COMPUTED_VALUE"""),"2015-05-27-J10-SO-19")</f>
        <v>2015-05-27-J10-SO-19</v>
      </c>
    </row>
    <row r="1542">
      <c r="A1542" t="str">
        <f>IFERROR(__xludf.DUMMYFUNCTION("""COMPUTED_VALUE"""),"2015-05-27-J10-SO-20")</f>
        <v>2015-05-27-J10-SO-20</v>
      </c>
    </row>
    <row r="1543">
      <c r="A1543" t="str">
        <f>IFERROR(__xludf.DUMMYFUNCTION("""COMPUTED_VALUE"""),"2015-05-27-J10-SO-21")</f>
        <v>2015-05-27-J10-SO-21</v>
      </c>
    </row>
    <row r="1544">
      <c r="A1544" t="str">
        <f>IFERROR(__xludf.DUMMYFUNCTION("""COMPUTED_VALUE"""),"2015-05-27-J10-SO-22")</f>
        <v>2015-05-27-J10-SO-22</v>
      </c>
    </row>
    <row r="1545">
      <c r="A1545" t="str">
        <f>IFERROR(__xludf.DUMMYFUNCTION("""COMPUTED_VALUE"""),"2015-05-27-J10-SO-23")</f>
        <v>2015-05-27-J10-SO-23</v>
      </c>
    </row>
    <row r="1546">
      <c r="A1546" t="str">
        <f>IFERROR(__xludf.DUMMYFUNCTION("""COMPUTED_VALUE"""),"2015-05-27-J10-SO-24")</f>
        <v>2015-05-27-J10-SO-24</v>
      </c>
    </row>
    <row r="1547">
      <c r="A1547" t="str">
        <f>IFERROR(__xludf.DUMMYFUNCTION("""COMPUTED_VALUE"""),"2015-05-27-J10-SO-25")</f>
        <v>2015-05-27-J10-SO-25</v>
      </c>
    </row>
    <row r="1548">
      <c r="A1548" t="str">
        <f>IFERROR(__xludf.DUMMYFUNCTION("""COMPUTED_VALUE"""),"2015-05-27-J10-SO-26")</f>
        <v>2015-05-27-J10-SO-26</v>
      </c>
    </row>
    <row r="1549">
      <c r="A1549" t="str">
        <f>IFERROR(__xludf.DUMMYFUNCTION("""COMPUTED_VALUE"""),"2015-05-27-J10-SO-27")</f>
        <v>2015-05-27-J10-SO-27</v>
      </c>
    </row>
    <row r="1550">
      <c r="A1550" t="str">
        <f>IFERROR(__xludf.DUMMYFUNCTION("""COMPUTED_VALUE"""),"2015-05-27-J10-SO-28")</f>
        <v>2015-05-27-J10-SO-28</v>
      </c>
    </row>
    <row r="1551">
      <c r="A1551" t="str">
        <f>IFERROR(__xludf.DUMMYFUNCTION("""COMPUTED_VALUE"""),"2015-05-27-J10-SO-29")</f>
        <v>2015-05-27-J10-SO-29</v>
      </c>
    </row>
    <row r="1552">
      <c r="A1552" t="str">
        <f>IFERROR(__xludf.DUMMYFUNCTION("""COMPUTED_VALUE"""),"2015-05-27-J10-SO-30")</f>
        <v>2015-05-27-J10-SO-30</v>
      </c>
    </row>
    <row r="1553">
      <c r="A1553" t="str">
        <f>IFERROR(__xludf.DUMMYFUNCTION("""COMPUTED_VALUE"""),"2015-05-27-J09-SO-1")</f>
        <v>2015-05-27-J09-SO-1</v>
      </c>
    </row>
    <row r="1554">
      <c r="A1554" t="str">
        <f>IFERROR(__xludf.DUMMYFUNCTION("""COMPUTED_VALUE"""),"2015-05-27-J09-SO-2")</f>
        <v>2015-05-27-J09-SO-2</v>
      </c>
    </row>
    <row r="1555">
      <c r="A1555" t="str">
        <f>IFERROR(__xludf.DUMMYFUNCTION("""COMPUTED_VALUE"""),"2015-05-27-J09-SO-3")</f>
        <v>2015-05-27-J09-SO-3</v>
      </c>
    </row>
    <row r="1556">
      <c r="A1556" t="str">
        <f>IFERROR(__xludf.DUMMYFUNCTION("""COMPUTED_VALUE"""),"2015-05-27-J09-SO-4")</f>
        <v>2015-05-27-J09-SO-4</v>
      </c>
    </row>
    <row r="1557">
      <c r="A1557" t="str">
        <f>IFERROR(__xludf.DUMMYFUNCTION("""COMPUTED_VALUE"""),"2015-05-27-J09-SO-5")</f>
        <v>2015-05-27-J09-SO-5</v>
      </c>
    </row>
    <row r="1558">
      <c r="A1558" t="str">
        <f>IFERROR(__xludf.DUMMYFUNCTION("""COMPUTED_VALUE"""),"2015-05-27-J09-SO-6")</f>
        <v>2015-05-27-J09-SO-6</v>
      </c>
    </row>
    <row r="1559">
      <c r="A1559" t="str">
        <f>IFERROR(__xludf.DUMMYFUNCTION("""COMPUTED_VALUE"""),"2015-05-27-J09-SO-7")</f>
        <v>2015-05-27-J09-SO-7</v>
      </c>
    </row>
    <row r="1560">
      <c r="A1560" t="str">
        <f>IFERROR(__xludf.DUMMYFUNCTION("""COMPUTED_VALUE"""),"2015-05-27-J09-SO-8")</f>
        <v>2015-05-27-J09-SO-8</v>
      </c>
    </row>
    <row r="1561">
      <c r="A1561" t="str">
        <f>IFERROR(__xludf.DUMMYFUNCTION("""COMPUTED_VALUE"""),"2015-05-27-J09-SO-9")</f>
        <v>2015-05-27-J09-SO-9</v>
      </c>
    </row>
    <row r="1562">
      <c r="A1562" t="str">
        <f>IFERROR(__xludf.DUMMYFUNCTION("""COMPUTED_VALUE"""),"2015-05-27-J09-SO-10")</f>
        <v>2015-05-27-J09-SO-10</v>
      </c>
    </row>
    <row r="1563">
      <c r="A1563" t="str">
        <f>IFERROR(__xludf.DUMMYFUNCTION("""COMPUTED_VALUE"""),"2015-05-27-J09-SO-11")</f>
        <v>2015-05-27-J09-SO-11</v>
      </c>
    </row>
    <row r="1564">
      <c r="A1564" t="str">
        <f>IFERROR(__xludf.DUMMYFUNCTION("""COMPUTED_VALUE"""),"2015-05-27-J09-SO-12")</f>
        <v>2015-05-27-J09-SO-12</v>
      </c>
    </row>
    <row r="1565">
      <c r="A1565" t="str">
        <f>IFERROR(__xludf.DUMMYFUNCTION("""COMPUTED_VALUE"""),"2015-05-27-J09-SO-13")</f>
        <v>2015-05-27-J09-SO-13</v>
      </c>
    </row>
    <row r="1566">
      <c r="A1566" t="str">
        <f>IFERROR(__xludf.DUMMYFUNCTION("""COMPUTED_VALUE"""),"2015-05-27-J09-SO-14")</f>
        <v>2015-05-27-J09-SO-14</v>
      </c>
    </row>
    <row r="1567">
      <c r="A1567" t="str">
        <f>IFERROR(__xludf.DUMMYFUNCTION("""COMPUTED_VALUE"""),"2015-05-27-J09-SO-15")</f>
        <v>2015-05-27-J09-SO-15</v>
      </c>
    </row>
    <row r="1568">
      <c r="A1568" t="str">
        <f>IFERROR(__xludf.DUMMYFUNCTION("""COMPUTED_VALUE"""),"2015-05-27-J09-SO-16")</f>
        <v>2015-05-27-J09-SO-16</v>
      </c>
    </row>
    <row r="1569">
      <c r="A1569" t="str">
        <f>IFERROR(__xludf.DUMMYFUNCTION("""COMPUTED_VALUE"""),"2015-05-27-J09-SO-17")</f>
        <v>2015-05-27-J09-SO-17</v>
      </c>
    </row>
    <row r="1570">
      <c r="A1570" t="str">
        <f>IFERROR(__xludf.DUMMYFUNCTION("""COMPUTED_VALUE"""),"2015-05-27-J09-SO-18")</f>
        <v>2015-05-27-J09-SO-18</v>
      </c>
    </row>
    <row r="1571">
      <c r="A1571" t="str">
        <f>IFERROR(__xludf.DUMMYFUNCTION("""COMPUTED_VALUE"""),"2015-05-27-J09-SO-19")</f>
        <v>2015-05-27-J09-SO-19</v>
      </c>
    </row>
    <row r="1572">
      <c r="A1572" t="str">
        <f>IFERROR(__xludf.DUMMYFUNCTION("""COMPUTED_VALUE"""),"2015-05-27-J09-SO-20")</f>
        <v>2015-05-27-J09-SO-20</v>
      </c>
    </row>
    <row r="1573">
      <c r="A1573" t="str">
        <f>IFERROR(__xludf.DUMMYFUNCTION("""COMPUTED_VALUE"""),"2015-05-27-J09-SO-21")</f>
        <v>2015-05-27-J09-SO-21</v>
      </c>
    </row>
    <row r="1574">
      <c r="A1574" t="str">
        <f>IFERROR(__xludf.DUMMYFUNCTION("""COMPUTED_VALUE"""),"2015-05-27-J09-SO-22")</f>
        <v>2015-05-27-J09-SO-22</v>
      </c>
    </row>
    <row r="1575">
      <c r="A1575" t="str">
        <f>IFERROR(__xludf.DUMMYFUNCTION("""COMPUTED_VALUE"""),"2015-05-27-J09-SO-23")</f>
        <v>2015-05-27-J09-SO-23</v>
      </c>
    </row>
    <row r="1576">
      <c r="A1576" t="str">
        <f>IFERROR(__xludf.DUMMYFUNCTION("""COMPUTED_VALUE"""),"2015-05-27-J09-SO-24")</f>
        <v>2015-05-27-J09-SO-24</v>
      </c>
    </row>
    <row r="1577">
      <c r="A1577" t="str">
        <f>IFERROR(__xludf.DUMMYFUNCTION("""COMPUTED_VALUE"""),"2015-05-27-J09-SO-25")</f>
        <v>2015-05-27-J09-SO-25</v>
      </c>
    </row>
    <row r="1578">
      <c r="A1578" t="str">
        <f>IFERROR(__xludf.DUMMYFUNCTION("""COMPUTED_VALUE"""),"2015-05-27-J09-SO-26")</f>
        <v>2015-05-27-J09-SO-26</v>
      </c>
    </row>
    <row r="1579">
      <c r="A1579" t="str">
        <f>IFERROR(__xludf.DUMMYFUNCTION("""COMPUTED_VALUE"""),"2015-05-27-J09-SO-27")</f>
        <v>2015-05-27-J09-SO-27</v>
      </c>
    </row>
    <row r="1580">
      <c r="A1580" t="str">
        <f>IFERROR(__xludf.DUMMYFUNCTION("""COMPUTED_VALUE"""),"2015-05-27-J09-SO-28")</f>
        <v>2015-05-27-J09-SO-28</v>
      </c>
    </row>
    <row r="1581">
      <c r="A1581" t="str">
        <f>IFERROR(__xludf.DUMMYFUNCTION("""COMPUTED_VALUE"""),"2015-05-27-J09-SO-29")</f>
        <v>2015-05-27-J09-SO-29</v>
      </c>
    </row>
    <row r="1582">
      <c r="A1582" t="str">
        <f>IFERROR(__xludf.DUMMYFUNCTION("""COMPUTED_VALUE"""),"2015-05-27-J09-SO-30")</f>
        <v>2015-05-27-J09-SO-30</v>
      </c>
    </row>
    <row r="1583">
      <c r="A1583" t="str">
        <f>IFERROR(__xludf.DUMMYFUNCTION("""COMPUTED_VALUE"""),"2015-05-27-J10-CU-1")</f>
        <v>2015-05-27-J10-CU-1</v>
      </c>
    </row>
    <row r="1584">
      <c r="A1584" t="str">
        <f>IFERROR(__xludf.DUMMYFUNCTION("""COMPUTED_VALUE"""),"2015-05-27-J10-CU-2")</f>
        <v>2015-05-27-J10-CU-2</v>
      </c>
    </row>
    <row r="1585">
      <c r="A1585" t="str">
        <f>IFERROR(__xludf.DUMMYFUNCTION("""COMPUTED_VALUE"""),"2015-05-27-J10-CU-3")</f>
        <v>2015-05-27-J10-CU-3</v>
      </c>
    </row>
    <row r="1586">
      <c r="A1586" t="str">
        <f>IFERROR(__xludf.DUMMYFUNCTION("""COMPUTED_VALUE"""),"2015-05-27-J10-CU-4")</f>
        <v>2015-05-27-J10-CU-4</v>
      </c>
    </row>
    <row r="1587">
      <c r="A1587" t="str">
        <f>IFERROR(__xludf.DUMMYFUNCTION("""COMPUTED_VALUE"""),"2015-05-27-J10-CU-5")</f>
        <v>2015-05-27-J10-CU-5</v>
      </c>
    </row>
    <row r="1588">
      <c r="A1588" t="str">
        <f>IFERROR(__xludf.DUMMYFUNCTION("""COMPUTED_VALUE"""),"2015-05-27-J10-CU-6")</f>
        <v>2015-05-27-J10-CU-6</v>
      </c>
    </row>
    <row r="1589">
      <c r="A1589" t="str">
        <f>IFERROR(__xludf.DUMMYFUNCTION("""COMPUTED_VALUE"""),"2015-05-27-J10-CU-7")</f>
        <v>2015-05-27-J10-CU-7</v>
      </c>
    </row>
    <row r="1590">
      <c r="A1590" t="str">
        <f>IFERROR(__xludf.DUMMYFUNCTION("""COMPUTED_VALUE"""),"2015-05-27-J10-CU-8")</f>
        <v>2015-05-27-J10-CU-8</v>
      </c>
    </row>
    <row r="1591">
      <c r="A1591" t="str">
        <f>IFERROR(__xludf.DUMMYFUNCTION("""COMPUTED_VALUE"""),"2015-05-27-J10-CU-9")</f>
        <v>2015-05-27-J10-CU-9</v>
      </c>
    </row>
    <row r="1592">
      <c r="A1592" t="str">
        <f>IFERROR(__xludf.DUMMYFUNCTION("""COMPUTED_VALUE"""),"2015-05-27-J10-CU-10")</f>
        <v>2015-05-27-J10-CU-10</v>
      </c>
    </row>
    <row r="1593">
      <c r="A1593" t="str">
        <f>IFERROR(__xludf.DUMMYFUNCTION("""COMPUTED_VALUE"""),"2015-05-27-J09-CU-1")</f>
        <v>2015-05-27-J09-CU-1</v>
      </c>
    </row>
    <row r="1594">
      <c r="A1594" t="str">
        <f>IFERROR(__xludf.DUMMYFUNCTION("""COMPUTED_VALUE"""),"2015-05-27-J09-CU-2")</f>
        <v>2015-05-27-J09-CU-2</v>
      </c>
    </row>
    <row r="1595">
      <c r="A1595" t="str">
        <f>IFERROR(__xludf.DUMMYFUNCTION("""COMPUTED_VALUE"""),"2015-05-27-J09-CU-3")</f>
        <v>2015-05-27-J09-CU-3</v>
      </c>
    </row>
    <row r="1596">
      <c r="A1596" t="str">
        <f>IFERROR(__xludf.DUMMYFUNCTION("""COMPUTED_VALUE"""),"2015-05-27-J09-CU-4")</f>
        <v>2015-05-27-J09-CU-4</v>
      </c>
    </row>
    <row r="1597">
      <c r="A1597" t="str">
        <f>IFERROR(__xludf.DUMMYFUNCTION("""COMPUTED_VALUE"""),"2015-05-27-J09-CU-5")</f>
        <v>2015-05-27-J09-CU-5</v>
      </c>
    </row>
    <row r="1598">
      <c r="A1598" t="str">
        <f>IFERROR(__xludf.DUMMYFUNCTION("""COMPUTED_VALUE"""),"2015-05-27-J09-CU-6")</f>
        <v>2015-05-27-J09-CU-6</v>
      </c>
    </row>
    <row r="1599">
      <c r="A1599" t="str">
        <f>IFERROR(__xludf.DUMMYFUNCTION("""COMPUTED_VALUE"""),"2015-05-27-J09-CU-7")</f>
        <v>2015-05-27-J09-CU-7</v>
      </c>
    </row>
    <row r="1600">
      <c r="A1600" t="str">
        <f>IFERROR(__xludf.DUMMYFUNCTION("""COMPUTED_VALUE"""),"2015-05-27-J09-CU-8")</f>
        <v>2015-05-27-J09-CU-8</v>
      </c>
    </row>
    <row r="1601">
      <c r="A1601" t="str">
        <f>IFERROR(__xludf.DUMMYFUNCTION("""COMPUTED_VALUE"""),"2015-05-27-J09-CU-9")</f>
        <v>2015-05-27-J09-CU-9</v>
      </c>
    </row>
    <row r="1602">
      <c r="A1602" t="str">
        <f>IFERROR(__xludf.DUMMYFUNCTION("""COMPUTED_VALUE"""),"2015-05-27-J09-CU-10")</f>
        <v>2015-05-27-J09-CU-10</v>
      </c>
    </row>
    <row r="1603">
      <c r="A1603" t="str">
        <f>IFERROR(__xludf.DUMMYFUNCTION("""COMPUTED_VALUE"""),"2015-05-27-J10-CO-1")</f>
        <v>2015-05-27-J10-CO-1</v>
      </c>
    </row>
    <row r="1604">
      <c r="A1604" t="str">
        <f>IFERROR(__xludf.DUMMYFUNCTION("""COMPUTED_VALUE"""),"2015-05-27-J10-CO-2")</f>
        <v>2015-05-27-J10-CO-2</v>
      </c>
    </row>
    <row r="1605">
      <c r="A1605" t="str">
        <f>IFERROR(__xludf.DUMMYFUNCTION("""COMPUTED_VALUE"""),"2015-05-27-J10-CO-3")</f>
        <v>2015-05-27-J10-CO-3</v>
      </c>
    </row>
    <row r="1606">
      <c r="A1606" t="str">
        <f>IFERROR(__xludf.DUMMYFUNCTION("""COMPUTED_VALUE"""),"2015-05-27-J10-CO-4")</f>
        <v>2015-05-27-J10-CO-4</v>
      </c>
    </row>
    <row r="1607">
      <c r="A1607" t="str">
        <f>IFERROR(__xludf.DUMMYFUNCTION("""COMPUTED_VALUE"""),"2015-05-27-J10-CO-5")</f>
        <v>2015-05-27-J10-CO-5</v>
      </c>
    </row>
    <row r="1608">
      <c r="A1608" t="str">
        <f>IFERROR(__xludf.DUMMYFUNCTION("""COMPUTED_VALUE"""),"2015-05-27-J10-CO-6")</f>
        <v>2015-05-27-J10-CO-6</v>
      </c>
    </row>
    <row r="1609">
      <c r="A1609" t="str">
        <f>IFERROR(__xludf.DUMMYFUNCTION("""COMPUTED_VALUE"""),"2015-05-27-J10-CO-7")</f>
        <v>2015-05-27-J10-CO-7</v>
      </c>
    </row>
    <row r="1610">
      <c r="A1610" t="str">
        <f>IFERROR(__xludf.DUMMYFUNCTION("""COMPUTED_VALUE"""),"2015-05-27-J10-CO-8")</f>
        <v>2015-05-27-J10-CO-8</v>
      </c>
    </row>
    <row r="1611">
      <c r="A1611" t="str">
        <f>IFERROR(__xludf.DUMMYFUNCTION("""COMPUTED_VALUE"""),"2015-05-27-J10-CO-9")</f>
        <v>2015-05-27-J10-CO-9</v>
      </c>
    </row>
    <row r="1612">
      <c r="A1612" t="str">
        <f>IFERROR(__xludf.DUMMYFUNCTION("""COMPUTED_VALUE"""),"2015-05-27-J10-CO-10")</f>
        <v>2015-05-27-J10-CO-10</v>
      </c>
    </row>
    <row r="1613">
      <c r="A1613" t="str">
        <f>IFERROR(__xludf.DUMMYFUNCTION("""COMPUTED_VALUE"""),"2015-05-27-J09-CO-1")</f>
        <v>2015-05-27-J09-CO-1</v>
      </c>
    </row>
    <row r="1614">
      <c r="A1614" t="str">
        <f>IFERROR(__xludf.DUMMYFUNCTION("""COMPUTED_VALUE"""),"2015-05-27-J09-CO-2")</f>
        <v>2015-05-27-J09-CO-2</v>
      </c>
    </row>
    <row r="1615">
      <c r="A1615" t="str">
        <f>IFERROR(__xludf.DUMMYFUNCTION("""COMPUTED_VALUE"""),"2015-05-27-J09-CO-3")</f>
        <v>2015-05-27-J09-CO-3</v>
      </c>
    </row>
    <row r="1616">
      <c r="A1616" t="str">
        <f>IFERROR(__xludf.DUMMYFUNCTION("""COMPUTED_VALUE"""),"2015-05-27-J09-CO-4")</f>
        <v>2015-05-27-J09-CO-4</v>
      </c>
    </row>
    <row r="1617">
      <c r="A1617" t="str">
        <f>IFERROR(__xludf.DUMMYFUNCTION("""COMPUTED_VALUE"""),"2015-05-27-J09-CO-5")</f>
        <v>2015-05-27-J09-CO-5</v>
      </c>
    </row>
    <row r="1618">
      <c r="A1618" t="str">
        <f>IFERROR(__xludf.DUMMYFUNCTION("""COMPUTED_VALUE"""),"2015-05-27-J09-CO-6")</f>
        <v>2015-05-27-J09-CO-6</v>
      </c>
    </row>
    <row r="1619">
      <c r="A1619" t="str">
        <f>IFERROR(__xludf.DUMMYFUNCTION("""COMPUTED_VALUE"""),"2015-05-27-J09-HE-1")</f>
        <v>2015-05-27-J09-HE-1</v>
      </c>
    </row>
    <row r="1620">
      <c r="A1620" t="str">
        <f>IFERROR(__xludf.DUMMYFUNCTION("""COMPUTED_VALUE"""),"2015-05-27-J09-HE-2")</f>
        <v>2015-05-27-J09-HE-2</v>
      </c>
    </row>
    <row r="1621">
      <c r="A1621" t="str">
        <f>IFERROR(__xludf.DUMMYFUNCTION("""COMPUTED_VALUE"""),"2015-05-28-D10-SO-1")</f>
        <v>2015-05-28-D10-SO-1</v>
      </c>
    </row>
    <row r="1622">
      <c r="A1622" t="str">
        <f>IFERROR(__xludf.DUMMYFUNCTION("""COMPUTED_VALUE"""),"2015-05-28-D10-SO-2")</f>
        <v>2015-05-28-D10-SO-2</v>
      </c>
    </row>
    <row r="1623">
      <c r="A1623" t="str">
        <f>IFERROR(__xludf.DUMMYFUNCTION("""COMPUTED_VALUE"""),"2015-05-28-D10-SO-3")</f>
        <v>2015-05-28-D10-SO-3</v>
      </c>
    </row>
    <row r="1624">
      <c r="A1624" t="str">
        <f>IFERROR(__xludf.DUMMYFUNCTION("""COMPUTED_VALUE"""),"2015-05-28-D10-SO-4")</f>
        <v>2015-05-28-D10-SO-4</v>
      </c>
    </row>
    <row r="1625">
      <c r="A1625" t="str">
        <f>IFERROR(__xludf.DUMMYFUNCTION("""COMPUTED_VALUE"""),"2015-05-28-D10-SO-5")</f>
        <v>2015-05-28-D10-SO-5</v>
      </c>
    </row>
    <row r="1626">
      <c r="A1626" t="str">
        <f>IFERROR(__xludf.DUMMYFUNCTION("""COMPUTED_VALUE"""),"2015-05-28-D10-SO-6")</f>
        <v>2015-05-28-D10-SO-6</v>
      </c>
    </row>
    <row r="1627">
      <c r="A1627" t="str">
        <f>IFERROR(__xludf.DUMMYFUNCTION("""COMPUTED_VALUE"""),"2015-05-28-D10-SO-7")</f>
        <v>2015-05-28-D10-SO-7</v>
      </c>
    </row>
    <row r="1628">
      <c r="A1628" t="str">
        <f>IFERROR(__xludf.DUMMYFUNCTION("""COMPUTED_VALUE"""),"2015-05-28-D10-SO-8")</f>
        <v>2015-05-28-D10-SO-8</v>
      </c>
    </row>
    <row r="1629">
      <c r="A1629" t="str">
        <f>IFERROR(__xludf.DUMMYFUNCTION("""COMPUTED_VALUE"""),"2015-05-28-D10-SO-9")</f>
        <v>2015-05-28-D10-SO-9</v>
      </c>
    </row>
    <row r="1630">
      <c r="A1630" t="str">
        <f>IFERROR(__xludf.DUMMYFUNCTION("""COMPUTED_VALUE"""),"2015-05-28-D10-SO-10")</f>
        <v>2015-05-28-D10-SO-10</v>
      </c>
    </row>
    <row r="1631">
      <c r="A1631" t="str">
        <f>IFERROR(__xludf.DUMMYFUNCTION("""COMPUTED_VALUE"""),"2015-05-28-D10-SO-11")</f>
        <v>2015-05-28-D10-SO-11</v>
      </c>
    </row>
    <row r="1632">
      <c r="A1632" t="str">
        <f>IFERROR(__xludf.DUMMYFUNCTION("""COMPUTED_VALUE"""),"2015-05-28-D10-SO-12")</f>
        <v>2015-05-28-D10-SO-12</v>
      </c>
    </row>
    <row r="1633">
      <c r="A1633" t="str">
        <f>IFERROR(__xludf.DUMMYFUNCTION("""COMPUTED_VALUE"""),"2015-05-28-D10-SO-13")</f>
        <v>2015-05-28-D10-SO-13</v>
      </c>
    </row>
    <row r="1634">
      <c r="A1634" t="str">
        <f>IFERROR(__xludf.DUMMYFUNCTION("""COMPUTED_VALUE"""),"2015-05-28-D10-SO-14")</f>
        <v>2015-05-28-D10-SO-14</v>
      </c>
    </row>
    <row r="1635">
      <c r="A1635" t="str">
        <f>IFERROR(__xludf.DUMMYFUNCTION("""COMPUTED_VALUE"""),"2015-05-28-D10-SO-15")</f>
        <v>2015-05-28-D10-SO-15</v>
      </c>
    </row>
    <row r="1636">
      <c r="A1636" t="str">
        <f>IFERROR(__xludf.DUMMYFUNCTION("""COMPUTED_VALUE"""),"2015-05-28-D10-SO-16")</f>
        <v>2015-05-28-D10-SO-16</v>
      </c>
    </row>
    <row r="1637">
      <c r="A1637" t="str">
        <f>IFERROR(__xludf.DUMMYFUNCTION("""COMPUTED_VALUE"""),"2015-05-28-D10-SO-17")</f>
        <v>2015-05-28-D10-SO-17</v>
      </c>
    </row>
    <row r="1638">
      <c r="A1638" t="str">
        <f>IFERROR(__xludf.DUMMYFUNCTION("""COMPUTED_VALUE"""),"2015-05-28-D10-SO-18")</f>
        <v>2015-05-28-D10-SO-18</v>
      </c>
    </row>
    <row r="1639">
      <c r="A1639" t="str">
        <f>IFERROR(__xludf.DUMMYFUNCTION("""COMPUTED_VALUE"""),"2015-05-28-D10-SO-19")</f>
        <v>2015-05-28-D10-SO-19</v>
      </c>
    </row>
    <row r="1640">
      <c r="A1640" t="str">
        <f>IFERROR(__xludf.DUMMYFUNCTION("""COMPUTED_VALUE"""),"2015-05-28-D10-SO-20")</f>
        <v>2015-05-28-D10-SO-20</v>
      </c>
    </row>
    <row r="1641">
      <c r="A1641" t="str">
        <f>IFERROR(__xludf.DUMMYFUNCTION("""COMPUTED_VALUE"""),"2015-05-28-D10-SO-21")</f>
        <v>2015-05-28-D10-SO-21</v>
      </c>
    </row>
    <row r="1642">
      <c r="A1642" t="str">
        <f>IFERROR(__xludf.DUMMYFUNCTION("""COMPUTED_VALUE"""),"2015-05-28-D10-SO-22")</f>
        <v>2015-05-28-D10-SO-22</v>
      </c>
    </row>
    <row r="1643">
      <c r="A1643" t="str">
        <f>IFERROR(__xludf.DUMMYFUNCTION("""COMPUTED_VALUE"""),"2015-05-28-D10-SO-23")</f>
        <v>2015-05-28-D10-SO-23</v>
      </c>
    </row>
    <row r="1644">
      <c r="A1644" t="str">
        <f>IFERROR(__xludf.DUMMYFUNCTION("""COMPUTED_VALUE"""),"2015-05-28-D10-SO-24")</f>
        <v>2015-05-28-D10-SO-24</v>
      </c>
    </row>
    <row r="1645">
      <c r="A1645" t="str">
        <f>IFERROR(__xludf.DUMMYFUNCTION("""COMPUTED_VALUE"""),"2015-05-28-D10-SO-25")</f>
        <v>2015-05-28-D10-SO-25</v>
      </c>
    </row>
    <row r="1646">
      <c r="A1646" t="str">
        <f>IFERROR(__xludf.DUMMYFUNCTION("""COMPUTED_VALUE"""),"2015-05-28-D10-SO-26")</f>
        <v>2015-05-28-D10-SO-26</v>
      </c>
    </row>
    <row r="1647">
      <c r="A1647" t="str">
        <f>IFERROR(__xludf.DUMMYFUNCTION("""COMPUTED_VALUE"""),"2015-05-28-D10-SO-27")</f>
        <v>2015-05-28-D10-SO-27</v>
      </c>
    </row>
    <row r="1648">
      <c r="A1648" t="str">
        <f>IFERROR(__xludf.DUMMYFUNCTION("""COMPUTED_VALUE"""),"2015-05-28-D10-SO-28")</f>
        <v>2015-05-28-D10-SO-28</v>
      </c>
    </row>
    <row r="1649">
      <c r="A1649" t="str">
        <f>IFERROR(__xludf.DUMMYFUNCTION("""COMPUTED_VALUE"""),"2015-05-28-D10-SO-29")</f>
        <v>2015-05-28-D10-SO-29</v>
      </c>
    </row>
    <row r="1650">
      <c r="A1650" t="str">
        <f>IFERROR(__xludf.DUMMYFUNCTION("""COMPUTED_VALUE"""),"2015-05-28-D10-SO-30")</f>
        <v>2015-05-28-D10-SO-30</v>
      </c>
    </row>
    <row r="1651">
      <c r="A1651" t="str">
        <f>IFERROR(__xludf.DUMMYFUNCTION("""COMPUTED_VALUE"""),"2015-05-28-D09-SO-1")</f>
        <v>2015-05-28-D09-SO-1</v>
      </c>
    </row>
    <row r="1652">
      <c r="A1652" t="str">
        <f>IFERROR(__xludf.DUMMYFUNCTION("""COMPUTED_VALUE"""),"2015-05-28-D09-SO-2")</f>
        <v>2015-05-28-D09-SO-2</v>
      </c>
    </row>
    <row r="1653">
      <c r="A1653" t="str">
        <f>IFERROR(__xludf.DUMMYFUNCTION("""COMPUTED_VALUE"""),"2015-05-28-D09-SO-3")</f>
        <v>2015-05-28-D09-SO-3</v>
      </c>
    </row>
    <row r="1654">
      <c r="A1654" t="str">
        <f>IFERROR(__xludf.DUMMYFUNCTION("""COMPUTED_VALUE"""),"2015-05-28-D09-SO-4")</f>
        <v>2015-05-28-D09-SO-4</v>
      </c>
    </row>
    <row r="1655">
      <c r="A1655" t="str">
        <f>IFERROR(__xludf.DUMMYFUNCTION("""COMPUTED_VALUE"""),"2015-05-28-D09-SO-5")</f>
        <v>2015-05-28-D09-SO-5</v>
      </c>
    </row>
    <row r="1656">
      <c r="A1656" t="str">
        <f>IFERROR(__xludf.DUMMYFUNCTION("""COMPUTED_VALUE"""),"2015-05-28-D09-SO-6")</f>
        <v>2015-05-28-D09-SO-6</v>
      </c>
    </row>
    <row r="1657">
      <c r="A1657" t="str">
        <f>IFERROR(__xludf.DUMMYFUNCTION("""COMPUTED_VALUE"""),"2015-05-28-D09-SO-7")</f>
        <v>2015-05-28-D09-SO-7</v>
      </c>
    </row>
    <row r="1658">
      <c r="A1658" t="str">
        <f>IFERROR(__xludf.DUMMYFUNCTION("""COMPUTED_VALUE"""),"2015-05-28-D09-SO-8")</f>
        <v>2015-05-28-D09-SO-8</v>
      </c>
    </row>
    <row r="1659">
      <c r="A1659" t="str">
        <f>IFERROR(__xludf.DUMMYFUNCTION("""COMPUTED_VALUE"""),"2015-05-28-D09-SO-9")</f>
        <v>2015-05-28-D09-SO-9</v>
      </c>
    </row>
    <row r="1660">
      <c r="A1660" t="str">
        <f>IFERROR(__xludf.DUMMYFUNCTION("""COMPUTED_VALUE"""),"2015-05-28-D09-SO-10")</f>
        <v>2015-05-28-D09-SO-10</v>
      </c>
    </row>
    <row r="1661">
      <c r="A1661" t="str">
        <f>IFERROR(__xludf.DUMMYFUNCTION("""COMPUTED_VALUE"""),"2015-05-28-D09-SO-11")</f>
        <v>2015-05-28-D09-SO-11</v>
      </c>
    </row>
    <row r="1662">
      <c r="A1662" t="str">
        <f>IFERROR(__xludf.DUMMYFUNCTION("""COMPUTED_VALUE"""),"2015-05-28-D09-SO-12")</f>
        <v>2015-05-28-D09-SO-12</v>
      </c>
    </row>
    <row r="1663">
      <c r="A1663" t="str">
        <f>IFERROR(__xludf.DUMMYFUNCTION("""COMPUTED_VALUE"""),"2015-05-28-D09-SO-13")</f>
        <v>2015-05-28-D09-SO-13</v>
      </c>
    </row>
    <row r="1664">
      <c r="A1664" t="str">
        <f>IFERROR(__xludf.DUMMYFUNCTION("""COMPUTED_VALUE"""),"2015-05-28-D09-SO-14")</f>
        <v>2015-05-28-D09-SO-14</v>
      </c>
    </row>
    <row r="1665">
      <c r="A1665" t="str">
        <f>IFERROR(__xludf.DUMMYFUNCTION("""COMPUTED_VALUE"""),"2015-05-28-D09-SO-15")</f>
        <v>2015-05-28-D09-SO-15</v>
      </c>
    </row>
    <row r="1666">
      <c r="A1666" t="str">
        <f>IFERROR(__xludf.DUMMYFUNCTION("""COMPUTED_VALUE"""),"2015-05-28-D09-SO-16")</f>
        <v>2015-05-28-D09-SO-16</v>
      </c>
    </row>
    <row r="1667">
      <c r="A1667" t="str">
        <f>IFERROR(__xludf.DUMMYFUNCTION("""COMPUTED_VALUE"""),"2015-05-28-D09-SO-17")</f>
        <v>2015-05-28-D09-SO-17</v>
      </c>
    </row>
    <row r="1668">
      <c r="A1668" t="str">
        <f>IFERROR(__xludf.DUMMYFUNCTION("""COMPUTED_VALUE"""),"2015-05-28-D09-SO-18")</f>
        <v>2015-05-28-D09-SO-18</v>
      </c>
    </row>
    <row r="1669">
      <c r="A1669" t="str">
        <f>IFERROR(__xludf.DUMMYFUNCTION("""COMPUTED_VALUE"""),"2015-05-28-D09-SO-19")</f>
        <v>2015-05-28-D09-SO-19</v>
      </c>
    </row>
    <row r="1670">
      <c r="A1670" t="str">
        <f>IFERROR(__xludf.DUMMYFUNCTION("""COMPUTED_VALUE"""),"2015-05-28-D09-SO-20")</f>
        <v>2015-05-28-D09-SO-20</v>
      </c>
    </row>
    <row r="1671">
      <c r="A1671" t="str">
        <f>IFERROR(__xludf.DUMMYFUNCTION("""COMPUTED_VALUE"""),"2015-05-28-D09-SO-21")</f>
        <v>2015-05-28-D09-SO-21</v>
      </c>
    </row>
    <row r="1672">
      <c r="A1672" t="str">
        <f>IFERROR(__xludf.DUMMYFUNCTION("""COMPUTED_VALUE"""),"2015-05-28-D09-SO-22")</f>
        <v>2015-05-28-D09-SO-22</v>
      </c>
    </row>
    <row r="1673">
      <c r="A1673" t="str">
        <f>IFERROR(__xludf.DUMMYFUNCTION("""COMPUTED_VALUE"""),"2015-05-28-D09-SO-23")</f>
        <v>2015-05-28-D09-SO-23</v>
      </c>
    </row>
    <row r="1674">
      <c r="A1674" t="str">
        <f>IFERROR(__xludf.DUMMYFUNCTION("""COMPUTED_VALUE"""),"2015-05-28-D09-SO-24")</f>
        <v>2015-05-28-D09-SO-24</v>
      </c>
    </row>
    <row r="1675">
      <c r="A1675" t="str">
        <f>IFERROR(__xludf.DUMMYFUNCTION("""COMPUTED_VALUE"""),"2015-05-28-D09-SO-25")</f>
        <v>2015-05-28-D09-SO-25</v>
      </c>
    </row>
    <row r="1676">
      <c r="A1676" t="str">
        <f>IFERROR(__xludf.DUMMYFUNCTION("""COMPUTED_VALUE"""),"2015-05-28-D09-SO-26")</f>
        <v>2015-05-28-D09-SO-26</v>
      </c>
    </row>
    <row r="1677">
      <c r="A1677" t="str">
        <f>IFERROR(__xludf.DUMMYFUNCTION("""COMPUTED_VALUE"""),"2015-05-28-D09-SO-27")</f>
        <v>2015-05-28-D09-SO-27</v>
      </c>
    </row>
    <row r="1678">
      <c r="A1678" t="str">
        <f>IFERROR(__xludf.DUMMYFUNCTION("""COMPUTED_VALUE"""),"2015-05-28-D09-SO-28")</f>
        <v>2015-05-28-D09-SO-28</v>
      </c>
    </row>
    <row r="1679">
      <c r="A1679" t="str">
        <f>IFERROR(__xludf.DUMMYFUNCTION("""COMPUTED_VALUE"""),"2015-05-28-D09-SO-29")</f>
        <v>2015-05-28-D09-SO-29</v>
      </c>
    </row>
    <row r="1680">
      <c r="A1680" t="str">
        <f>IFERROR(__xludf.DUMMYFUNCTION("""COMPUTED_VALUE"""),"2015-05-28-D09-SO-30")</f>
        <v>2015-05-28-D09-SO-30</v>
      </c>
    </row>
    <row r="1681">
      <c r="A1681" t="str">
        <f>IFERROR(__xludf.DUMMYFUNCTION("""COMPUTED_VALUE"""),"2015-05-28-J01-SO-1")</f>
        <v>2015-05-28-J01-SO-1</v>
      </c>
    </row>
    <row r="1682">
      <c r="A1682" t="str">
        <f>IFERROR(__xludf.DUMMYFUNCTION("""COMPUTED_VALUE"""),"2015-05-28-J01-SO-2")</f>
        <v>2015-05-28-J01-SO-2</v>
      </c>
    </row>
    <row r="1683">
      <c r="A1683" t="str">
        <f>IFERROR(__xludf.DUMMYFUNCTION("""COMPUTED_VALUE"""),"2015-05-28-J01-SO-3")</f>
        <v>2015-05-28-J01-SO-3</v>
      </c>
    </row>
    <row r="1684">
      <c r="A1684" t="str">
        <f>IFERROR(__xludf.DUMMYFUNCTION("""COMPUTED_VALUE"""),"2015-05-28-J01-SO-4")</f>
        <v>2015-05-28-J01-SO-4</v>
      </c>
    </row>
    <row r="1685">
      <c r="A1685" t="str">
        <f>IFERROR(__xludf.DUMMYFUNCTION("""COMPUTED_VALUE"""),"2015-05-28-J01-SO-5")</f>
        <v>2015-05-28-J01-SO-5</v>
      </c>
    </row>
    <row r="1686">
      <c r="A1686" t="str">
        <f>IFERROR(__xludf.DUMMYFUNCTION("""COMPUTED_VALUE"""),"2015-05-28-J01-SO-6")</f>
        <v>2015-05-28-J01-SO-6</v>
      </c>
    </row>
    <row r="1687">
      <c r="A1687" t="str">
        <f>IFERROR(__xludf.DUMMYFUNCTION("""COMPUTED_VALUE"""),"2015-05-28-J01-SO-7")</f>
        <v>2015-05-28-J01-SO-7</v>
      </c>
    </row>
    <row r="1688">
      <c r="A1688" t="str">
        <f>IFERROR(__xludf.DUMMYFUNCTION("""COMPUTED_VALUE"""),"2015-05-28-J01-SO-8")</f>
        <v>2015-05-28-J01-SO-8</v>
      </c>
    </row>
    <row r="1689">
      <c r="A1689" t="str">
        <f>IFERROR(__xludf.DUMMYFUNCTION("""COMPUTED_VALUE"""),"2015-05-28-J01-SO-9")</f>
        <v>2015-05-28-J01-SO-9</v>
      </c>
    </row>
    <row r="1690">
      <c r="A1690" t="str">
        <f>IFERROR(__xludf.DUMMYFUNCTION("""COMPUTED_VALUE"""),"2015-05-28-J01-SO-10")</f>
        <v>2015-05-28-J01-SO-10</v>
      </c>
    </row>
    <row r="1691">
      <c r="A1691" t="str">
        <f>IFERROR(__xludf.DUMMYFUNCTION("""COMPUTED_VALUE"""),"2015-05-28-J01-SO-11")</f>
        <v>2015-05-28-J01-SO-11</v>
      </c>
    </row>
    <row r="1692">
      <c r="A1692" t="str">
        <f>IFERROR(__xludf.DUMMYFUNCTION("""COMPUTED_VALUE"""),"2015-05-28-J01-SO-12")</f>
        <v>2015-05-28-J01-SO-12</v>
      </c>
    </row>
    <row r="1693">
      <c r="A1693" t="str">
        <f>IFERROR(__xludf.DUMMYFUNCTION("""COMPUTED_VALUE"""),"2015-05-28-J01-SO-13")</f>
        <v>2015-05-28-J01-SO-13</v>
      </c>
    </row>
    <row r="1694">
      <c r="A1694" t="str">
        <f>IFERROR(__xludf.DUMMYFUNCTION("""COMPUTED_VALUE"""),"2015-05-28-J01-SO-14")</f>
        <v>2015-05-28-J01-SO-14</v>
      </c>
    </row>
    <row r="1695">
      <c r="A1695" t="str">
        <f>IFERROR(__xludf.DUMMYFUNCTION("""COMPUTED_VALUE"""),"2015-05-28-J01-SO-15")</f>
        <v>2015-05-28-J01-SO-15</v>
      </c>
    </row>
    <row r="1696">
      <c r="A1696" t="str">
        <f>IFERROR(__xludf.DUMMYFUNCTION("""COMPUTED_VALUE"""),"2015-05-28-J01-SO-16")</f>
        <v>2015-05-28-J01-SO-16</v>
      </c>
    </row>
    <row r="1697">
      <c r="A1697" t="str">
        <f>IFERROR(__xludf.DUMMYFUNCTION("""COMPUTED_VALUE"""),"2015-05-28-J01-SO-17")</f>
        <v>2015-05-28-J01-SO-17</v>
      </c>
    </row>
    <row r="1698">
      <c r="A1698" t="str">
        <f>IFERROR(__xludf.DUMMYFUNCTION("""COMPUTED_VALUE"""),"2015-05-28-J01-SO-18")</f>
        <v>2015-05-28-J01-SO-18</v>
      </c>
    </row>
    <row r="1699">
      <c r="A1699" t="str">
        <f>IFERROR(__xludf.DUMMYFUNCTION("""COMPUTED_VALUE"""),"2015-05-28-J01-SO-19")</f>
        <v>2015-05-28-J01-SO-19</v>
      </c>
    </row>
    <row r="1700">
      <c r="A1700" t="str">
        <f>IFERROR(__xludf.DUMMYFUNCTION("""COMPUTED_VALUE"""),"2015-05-28-J01-SO-20")</f>
        <v>2015-05-28-J01-SO-20</v>
      </c>
    </row>
    <row r="1701">
      <c r="A1701" t="str">
        <f>IFERROR(__xludf.DUMMYFUNCTION("""COMPUTED_VALUE"""),"2015-05-28-J01-SO-21")</f>
        <v>2015-05-28-J01-SO-21</v>
      </c>
    </row>
    <row r="1702">
      <c r="A1702" t="str">
        <f>IFERROR(__xludf.DUMMYFUNCTION("""COMPUTED_VALUE"""),"2015-05-28-J01-SO-22")</f>
        <v>2015-05-28-J01-SO-22</v>
      </c>
    </row>
    <row r="1703">
      <c r="A1703" t="str">
        <f>IFERROR(__xludf.DUMMYFUNCTION("""COMPUTED_VALUE"""),"2015-05-28-J01-SO-23")</f>
        <v>2015-05-28-J01-SO-23</v>
      </c>
    </row>
    <row r="1704">
      <c r="A1704" t="str">
        <f>IFERROR(__xludf.DUMMYFUNCTION("""COMPUTED_VALUE"""),"2015-05-28-J01-SO-24")</f>
        <v>2015-05-28-J01-SO-24</v>
      </c>
    </row>
    <row r="1705">
      <c r="A1705" t="str">
        <f>IFERROR(__xludf.DUMMYFUNCTION("""COMPUTED_VALUE"""),"2015-05-28-J01-SO-25")</f>
        <v>2015-05-28-J01-SO-25</v>
      </c>
    </row>
    <row r="1706">
      <c r="A1706" t="str">
        <f>IFERROR(__xludf.DUMMYFUNCTION("""COMPUTED_VALUE"""),"2015-05-28-J01-SO-26")</f>
        <v>2015-05-28-J01-SO-26</v>
      </c>
    </row>
    <row r="1707">
      <c r="A1707" t="str">
        <f>IFERROR(__xludf.DUMMYFUNCTION("""COMPUTED_VALUE"""),"2015-05-28-J01-SO-27")</f>
        <v>2015-05-28-J01-SO-27</v>
      </c>
    </row>
    <row r="1708">
      <c r="A1708" t="str">
        <f>IFERROR(__xludf.DUMMYFUNCTION("""COMPUTED_VALUE"""),"2015-05-28-J01-SO-28")</f>
        <v>2015-05-28-J01-SO-28</v>
      </c>
    </row>
    <row r="1709">
      <c r="A1709" t="str">
        <f>IFERROR(__xludf.DUMMYFUNCTION("""COMPUTED_VALUE"""),"2015-05-28-J01-SO-29")</f>
        <v>2015-05-28-J01-SO-29</v>
      </c>
    </row>
    <row r="1710">
      <c r="A1710" t="str">
        <f>IFERROR(__xludf.DUMMYFUNCTION("""COMPUTED_VALUE"""),"2015-05-28-J01-SO-30")</f>
        <v>2015-05-28-J01-SO-30</v>
      </c>
    </row>
    <row r="1711">
      <c r="A1711" t="str">
        <f>IFERROR(__xludf.DUMMYFUNCTION("""COMPUTED_VALUE"""),"2015-05-28-D10-CU-1")</f>
        <v>2015-05-28-D10-CU-1</v>
      </c>
    </row>
    <row r="1712">
      <c r="A1712" t="str">
        <f>IFERROR(__xludf.DUMMYFUNCTION("""COMPUTED_VALUE"""),"2015-05-28-D10-CU-2")</f>
        <v>2015-05-28-D10-CU-2</v>
      </c>
    </row>
    <row r="1713">
      <c r="A1713" t="str">
        <f>IFERROR(__xludf.DUMMYFUNCTION("""COMPUTED_VALUE"""),"2015-05-28-D10-CU-3")</f>
        <v>2015-05-28-D10-CU-3</v>
      </c>
    </row>
    <row r="1714">
      <c r="A1714" t="str">
        <f>IFERROR(__xludf.DUMMYFUNCTION("""COMPUTED_VALUE"""),"2015-05-28-D10-CU-4")</f>
        <v>2015-05-28-D10-CU-4</v>
      </c>
    </row>
    <row r="1715">
      <c r="A1715" t="str">
        <f>IFERROR(__xludf.DUMMYFUNCTION("""COMPUTED_VALUE"""),"2015-05-28-D10-CU-5")</f>
        <v>2015-05-28-D10-CU-5</v>
      </c>
    </row>
    <row r="1716">
      <c r="A1716" t="str">
        <f>IFERROR(__xludf.DUMMYFUNCTION("""COMPUTED_VALUE"""),"2015-05-28-D09-CU-1")</f>
        <v>2015-05-28-D09-CU-1</v>
      </c>
    </row>
    <row r="1717">
      <c r="A1717" t="str">
        <f>IFERROR(__xludf.DUMMYFUNCTION("""COMPUTED_VALUE"""),"2015-05-28-D09-CU-2")</f>
        <v>2015-05-28-D09-CU-2</v>
      </c>
    </row>
    <row r="1718">
      <c r="A1718" t="str">
        <f>IFERROR(__xludf.DUMMYFUNCTION("""COMPUTED_VALUE"""),"2015-05-28-D09-CU-3")</f>
        <v>2015-05-28-D09-CU-3</v>
      </c>
    </row>
    <row r="1719">
      <c r="A1719" t="str">
        <f>IFERROR(__xludf.DUMMYFUNCTION("""COMPUTED_VALUE"""),"2015-05-28-D09-CU-4")</f>
        <v>2015-05-28-D09-CU-4</v>
      </c>
    </row>
    <row r="1720">
      <c r="A1720" t="str">
        <f>IFERROR(__xludf.DUMMYFUNCTION("""COMPUTED_VALUE"""),"2015-05-28-D09-CU-5")</f>
        <v>2015-05-28-D09-CU-5</v>
      </c>
    </row>
    <row r="1721">
      <c r="A1721" t="str">
        <f>IFERROR(__xludf.DUMMYFUNCTION("""COMPUTED_VALUE"""),"2015-05-28-D09-CU-6")</f>
        <v>2015-05-28-D09-CU-6</v>
      </c>
    </row>
    <row r="1722">
      <c r="A1722" t="str">
        <f>IFERROR(__xludf.DUMMYFUNCTION("""COMPUTED_VALUE"""),"2015-05-28-D09-CU-7")</f>
        <v>2015-05-28-D09-CU-7</v>
      </c>
    </row>
    <row r="1723">
      <c r="A1723" t="str">
        <f>IFERROR(__xludf.DUMMYFUNCTION("""COMPUTED_VALUE"""),"2015-05-28-D09-CU-8")</f>
        <v>2015-05-28-D09-CU-8</v>
      </c>
    </row>
    <row r="1724">
      <c r="A1724" t="str">
        <f>IFERROR(__xludf.DUMMYFUNCTION("""COMPUTED_VALUE"""),"2015-05-28-D09-CU-9")</f>
        <v>2015-05-28-D09-CU-9</v>
      </c>
    </row>
    <row r="1725">
      <c r="A1725" t="str">
        <f>IFERROR(__xludf.DUMMYFUNCTION("""COMPUTED_VALUE"""),"2015-05-28-D09-CU-10")</f>
        <v>2015-05-28-D09-CU-10</v>
      </c>
    </row>
    <row r="1726">
      <c r="A1726" t="str">
        <f>IFERROR(__xludf.DUMMYFUNCTION("""COMPUTED_VALUE"""),"2015-05-28-J01-CU-1")</f>
        <v>2015-05-28-J01-CU-1</v>
      </c>
    </row>
    <row r="1727">
      <c r="A1727" t="str">
        <f>IFERROR(__xludf.DUMMYFUNCTION("""COMPUTED_VALUE"""),"2015-05-28-J01-CU-2")</f>
        <v>2015-05-28-J01-CU-2</v>
      </c>
    </row>
    <row r="1728">
      <c r="A1728" t="str">
        <f>IFERROR(__xludf.DUMMYFUNCTION("""COMPUTED_VALUE"""),"2015-05-28-J01-CU-3")</f>
        <v>2015-05-28-J01-CU-3</v>
      </c>
    </row>
    <row r="1729">
      <c r="A1729" t="str">
        <f>IFERROR(__xludf.DUMMYFUNCTION("""COMPUTED_VALUE"""),"2015-05-28-J01-CU-4")</f>
        <v>2015-05-28-J01-CU-4</v>
      </c>
    </row>
    <row r="1730">
      <c r="A1730" t="str">
        <f>IFERROR(__xludf.DUMMYFUNCTION("""COMPUTED_VALUE"""),"2015-05-28-J01-CU-5")</f>
        <v>2015-05-28-J01-CU-5</v>
      </c>
    </row>
    <row r="1731">
      <c r="A1731" t="str">
        <f>IFERROR(__xludf.DUMMYFUNCTION("""COMPUTED_VALUE"""),"2015-05-28-J01-CU-6")</f>
        <v>2015-05-28-J01-CU-6</v>
      </c>
    </row>
    <row r="1732">
      <c r="A1732" t="str">
        <f>IFERROR(__xludf.DUMMYFUNCTION("""COMPUTED_VALUE"""),"2015-05-28-J01-CU-7")</f>
        <v>2015-05-28-J01-CU-7</v>
      </c>
    </row>
    <row r="1733">
      <c r="A1733" t="str">
        <f>IFERROR(__xludf.DUMMYFUNCTION("""COMPUTED_VALUE"""),"2015-05-28-J01-CU-8")</f>
        <v>2015-05-28-J01-CU-8</v>
      </c>
    </row>
    <row r="1734">
      <c r="A1734" t="str">
        <f>IFERROR(__xludf.DUMMYFUNCTION("""COMPUTED_VALUE"""),"2015-05-28-J01-CU-9")</f>
        <v>2015-05-28-J01-CU-9</v>
      </c>
    </row>
    <row r="1735">
      <c r="A1735" t="str">
        <f>IFERROR(__xludf.DUMMYFUNCTION("""COMPUTED_VALUE"""),"2015-05-28-J01-CU-10")</f>
        <v>2015-05-28-J01-CU-10</v>
      </c>
    </row>
    <row r="1736">
      <c r="A1736" t="str">
        <f>IFERROR(__xludf.DUMMYFUNCTION("""COMPUTED_VALUE"""),"2015-05-28-J01-CO-1")</f>
        <v>2015-05-28-J01-CO-1</v>
      </c>
    </row>
    <row r="1737">
      <c r="A1737" t="str">
        <f>IFERROR(__xludf.DUMMYFUNCTION("""COMPUTED_VALUE"""),"2015-05-28-J01-CO-2")</f>
        <v>2015-05-28-J01-CO-2</v>
      </c>
    </row>
    <row r="1738">
      <c r="A1738" t="str">
        <f>IFERROR(__xludf.DUMMYFUNCTION("""COMPUTED_VALUE"""),"2015-05-28-D10-HE-1")</f>
        <v>2015-05-28-D10-HE-1</v>
      </c>
    </row>
    <row r="1739">
      <c r="A1739" t="str">
        <f>IFERROR(__xludf.DUMMYFUNCTION("""COMPUTED_VALUE"""),"2015-05-28-D09-HE-1")</f>
        <v>2015-05-28-D09-HE-1</v>
      </c>
    </row>
    <row r="1740">
      <c r="A1740" t="str">
        <f>IFERROR(__xludf.DUMMYFUNCTION("""COMPUTED_VALUE"""),"2015-05-28-D09-HE-2")</f>
        <v>2015-05-28-D09-HE-2</v>
      </c>
    </row>
    <row r="1741">
      <c r="A1741" t="str">
        <f>IFERROR(__xludf.DUMMYFUNCTION("""COMPUTED_VALUE"""),"2015-05-28-D09-HE-3")</f>
        <v>2015-05-28-D09-HE-3</v>
      </c>
    </row>
    <row r="1742">
      <c r="A1742" t="str">
        <f>IFERROR(__xludf.DUMMYFUNCTION("""COMPUTED_VALUE"""),"2015-05-28-J01-HE-1")</f>
        <v>2015-05-28-J01-HE-1</v>
      </c>
    </row>
    <row r="1743">
      <c r="A1743" t="str">
        <f>IFERROR(__xludf.DUMMYFUNCTION("""COMPUTED_VALUE"""),"2015-05-29-J06-SO-1")</f>
        <v>2015-05-29-J06-SO-1</v>
      </c>
    </row>
    <row r="1744">
      <c r="A1744" t="str">
        <f>IFERROR(__xludf.DUMMYFUNCTION("""COMPUTED_VALUE"""),"2015-05-29-J06-SO-2")</f>
        <v>2015-05-29-J06-SO-2</v>
      </c>
    </row>
    <row r="1745">
      <c r="A1745" t="str">
        <f>IFERROR(__xludf.DUMMYFUNCTION("""COMPUTED_VALUE"""),"2015-05-29-J06-SO-3")</f>
        <v>2015-05-29-J06-SO-3</v>
      </c>
    </row>
    <row r="1746">
      <c r="A1746" t="str">
        <f>IFERROR(__xludf.DUMMYFUNCTION("""COMPUTED_VALUE"""),"2015-05-29-J06-SO-4")</f>
        <v>2015-05-29-J06-SO-4</v>
      </c>
    </row>
    <row r="1747">
      <c r="A1747" t="str">
        <f>IFERROR(__xludf.DUMMYFUNCTION("""COMPUTED_VALUE"""),"2015-05-29-J06-SO-5")</f>
        <v>2015-05-29-J06-SO-5</v>
      </c>
    </row>
    <row r="1748">
      <c r="A1748" t="str">
        <f>IFERROR(__xludf.DUMMYFUNCTION("""COMPUTED_VALUE"""),"2015-05-29-J06-SO-6")</f>
        <v>2015-05-29-J06-SO-6</v>
      </c>
    </row>
    <row r="1749">
      <c r="A1749" t="str">
        <f>IFERROR(__xludf.DUMMYFUNCTION("""COMPUTED_VALUE"""),"2015-05-29-J06-SO-7")</f>
        <v>2015-05-29-J06-SO-7</v>
      </c>
    </row>
    <row r="1750">
      <c r="A1750" t="str">
        <f>IFERROR(__xludf.DUMMYFUNCTION("""COMPUTED_VALUE"""),"2015-05-29-J06-SO-8")</f>
        <v>2015-05-29-J06-SO-8</v>
      </c>
    </row>
    <row r="1751">
      <c r="A1751" t="str">
        <f>IFERROR(__xludf.DUMMYFUNCTION("""COMPUTED_VALUE"""),"2015-05-29-J06-SO-9")</f>
        <v>2015-05-29-J06-SO-9</v>
      </c>
    </row>
    <row r="1752">
      <c r="A1752" t="str">
        <f>IFERROR(__xludf.DUMMYFUNCTION("""COMPUTED_VALUE"""),"2015-05-29-J06-SO-10")</f>
        <v>2015-05-29-J06-SO-10</v>
      </c>
    </row>
    <row r="1753">
      <c r="A1753" t="str">
        <f>IFERROR(__xludf.DUMMYFUNCTION("""COMPUTED_VALUE"""),"2015-05-29-J06-SO-11")</f>
        <v>2015-05-29-J06-SO-11</v>
      </c>
    </row>
    <row r="1754">
      <c r="A1754" t="str">
        <f>IFERROR(__xludf.DUMMYFUNCTION("""COMPUTED_VALUE"""),"2015-05-29-J06-SO-12")</f>
        <v>2015-05-29-J06-SO-12</v>
      </c>
    </row>
    <row r="1755">
      <c r="A1755" t="str">
        <f>IFERROR(__xludf.DUMMYFUNCTION("""COMPUTED_VALUE"""),"2015-05-29-J06-SO-13")</f>
        <v>2015-05-29-J06-SO-13</v>
      </c>
    </row>
    <row r="1756">
      <c r="A1756" t="str">
        <f>IFERROR(__xludf.DUMMYFUNCTION("""COMPUTED_VALUE"""),"2015-05-29-J06-SO-14")</f>
        <v>2015-05-29-J06-SO-14</v>
      </c>
    </row>
    <row r="1757">
      <c r="A1757" t="str">
        <f>IFERROR(__xludf.DUMMYFUNCTION("""COMPUTED_VALUE"""),"2015-05-29-J06-SO-15")</f>
        <v>2015-05-29-J06-SO-15</v>
      </c>
    </row>
    <row r="1758">
      <c r="A1758" t="str">
        <f>IFERROR(__xludf.DUMMYFUNCTION("""COMPUTED_VALUE"""),"2015-05-29-J06-SO-16")</f>
        <v>2015-05-29-J06-SO-16</v>
      </c>
    </row>
    <row r="1759">
      <c r="A1759" t="str">
        <f>IFERROR(__xludf.DUMMYFUNCTION("""COMPUTED_VALUE"""),"2015-05-29-J06-SO-17")</f>
        <v>2015-05-29-J06-SO-17</v>
      </c>
    </row>
    <row r="1760">
      <c r="A1760" t="str">
        <f>IFERROR(__xludf.DUMMYFUNCTION("""COMPUTED_VALUE"""),"2015-05-29-J06-SO-18")</f>
        <v>2015-05-29-J06-SO-18</v>
      </c>
    </row>
    <row r="1761">
      <c r="A1761" t="str">
        <f>IFERROR(__xludf.DUMMYFUNCTION("""COMPUTED_VALUE"""),"2015-05-29-J06-SO-19")</f>
        <v>2015-05-29-J06-SO-19</v>
      </c>
    </row>
    <row r="1762">
      <c r="A1762" t="str">
        <f>IFERROR(__xludf.DUMMYFUNCTION("""COMPUTED_VALUE"""),"2015-05-29-J06-SO-20")</f>
        <v>2015-05-29-J06-SO-20</v>
      </c>
    </row>
    <row r="1763">
      <c r="A1763" t="str">
        <f>IFERROR(__xludf.DUMMYFUNCTION("""COMPUTED_VALUE"""),"2015-05-29-J06-SO-21")</f>
        <v>2015-05-29-J06-SO-21</v>
      </c>
    </row>
    <row r="1764">
      <c r="A1764" t="str">
        <f>IFERROR(__xludf.DUMMYFUNCTION("""COMPUTED_VALUE"""),"2015-05-29-J06-SO-22")</f>
        <v>2015-05-29-J06-SO-22</v>
      </c>
    </row>
    <row r="1765">
      <c r="A1765" t="str">
        <f>IFERROR(__xludf.DUMMYFUNCTION("""COMPUTED_VALUE"""),"2015-05-29-J06-SO-23")</f>
        <v>2015-05-29-J06-SO-23</v>
      </c>
    </row>
    <row r="1766">
      <c r="A1766" t="str">
        <f>IFERROR(__xludf.DUMMYFUNCTION("""COMPUTED_VALUE"""),"2015-05-29-J06-SO-24")</f>
        <v>2015-05-29-J06-SO-24</v>
      </c>
    </row>
    <row r="1767">
      <c r="A1767" t="str">
        <f>IFERROR(__xludf.DUMMYFUNCTION("""COMPUTED_VALUE"""),"2015-05-29-J06-SO-25")</f>
        <v>2015-05-29-J06-SO-25</v>
      </c>
    </row>
    <row r="1768">
      <c r="A1768" t="str">
        <f>IFERROR(__xludf.DUMMYFUNCTION("""COMPUTED_VALUE"""),"2015-05-29-J06-SO-26")</f>
        <v>2015-05-29-J06-SO-26</v>
      </c>
    </row>
    <row r="1769">
      <c r="A1769" t="str">
        <f>IFERROR(__xludf.DUMMYFUNCTION("""COMPUTED_VALUE"""),"2015-05-29-J06-SO-27")</f>
        <v>2015-05-29-J06-SO-27</v>
      </c>
    </row>
    <row r="1770">
      <c r="A1770" t="str">
        <f>IFERROR(__xludf.DUMMYFUNCTION("""COMPUTED_VALUE"""),"2015-05-29-J06-SO-28")</f>
        <v>2015-05-29-J06-SO-28</v>
      </c>
    </row>
    <row r="1771">
      <c r="A1771" t="str">
        <f>IFERROR(__xludf.DUMMYFUNCTION("""COMPUTED_VALUE"""),"2015-05-29-J06-SO-29")</f>
        <v>2015-05-29-J06-SO-29</v>
      </c>
    </row>
    <row r="1772">
      <c r="A1772" t="str">
        <f>IFERROR(__xludf.DUMMYFUNCTION("""COMPUTED_VALUE"""),"2015-05-29-J06-SO-30")</f>
        <v>2015-05-29-J06-SO-30</v>
      </c>
    </row>
    <row r="1773">
      <c r="A1773" t="str">
        <f>IFERROR(__xludf.DUMMYFUNCTION("""COMPUTED_VALUE"""),"2015-05-29-J06-CU-1")</f>
        <v>2015-05-29-J06-CU-1</v>
      </c>
    </row>
    <row r="1774">
      <c r="A1774" t="str">
        <f>IFERROR(__xludf.DUMMYFUNCTION("""COMPUTED_VALUE"""),"2015-05-29-J06-CU-2")</f>
        <v>2015-05-29-J06-CU-2</v>
      </c>
    </row>
    <row r="1775">
      <c r="A1775" t="str">
        <f>IFERROR(__xludf.DUMMYFUNCTION("""COMPUTED_VALUE"""),"2015-05-29-J06-CU-3")</f>
        <v>2015-05-29-J06-CU-3</v>
      </c>
    </row>
    <row r="1776">
      <c r="A1776" t="str">
        <f>IFERROR(__xludf.DUMMYFUNCTION("""COMPUTED_VALUE"""),"2015-05-29-J06-CU-4")</f>
        <v>2015-05-29-J06-CU-4</v>
      </c>
    </row>
    <row r="1777">
      <c r="A1777" t="str">
        <f>IFERROR(__xludf.DUMMYFUNCTION("""COMPUTED_VALUE"""),"2015-05-29-J06-CU-5")</f>
        <v>2015-05-29-J06-CU-5</v>
      </c>
    </row>
    <row r="1778">
      <c r="A1778" t="str">
        <f>IFERROR(__xludf.DUMMYFUNCTION("""COMPUTED_VALUE"""),"2015-05-29-J06-CU-6")</f>
        <v>2015-05-29-J06-CU-6</v>
      </c>
    </row>
    <row r="1779">
      <c r="A1779" t="str">
        <f>IFERROR(__xludf.DUMMYFUNCTION("""COMPUTED_VALUE"""),"2015-05-29-J06-CU-7")</f>
        <v>2015-05-29-J06-CU-7</v>
      </c>
    </row>
    <row r="1780">
      <c r="A1780" t="str">
        <f>IFERROR(__xludf.DUMMYFUNCTION("""COMPUTED_VALUE"""),"2015-05-29-J06-CU-8")</f>
        <v>2015-05-29-J06-CU-8</v>
      </c>
    </row>
    <row r="1781">
      <c r="A1781" t="str">
        <f>IFERROR(__xludf.DUMMYFUNCTION("""COMPUTED_VALUE"""),"2015-05-29-J06-CU-9")</f>
        <v>2015-05-29-J06-CU-9</v>
      </c>
    </row>
    <row r="1782">
      <c r="A1782" t="str">
        <f>IFERROR(__xludf.DUMMYFUNCTION("""COMPUTED_VALUE"""),"2015-05-29-J06-CU-10")</f>
        <v>2015-05-29-J06-CU-10</v>
      </c>
    </row>
    <row r="1783">
      <c r="A1783" t="str">
        <f>IFERROR(__xludf.DUMMYFUNCTION("""COMPUTED_VALUE"""),"2015-05-29-J06-CO-1")</f>
        <v>2015-05-29-J06-CO-1</v>
      </c>
    </row>
    <row r="1784">
      <c r="A1784" t="str">
        <f>IFERROR(__xludf.DUMMYFUNCTION("""COMPUTED_VALUE"""),"2015-05-29-J06-HE-1")</f>
        <v>2015-05-29-J06-HE-1</v>
      </c>
    </row>
    <row r="1785">
      <c r="A1785" t="str">
        <f>IFERROR(__xludf.DUMMYFUNCTION("""COMPUTED_VALUE"""),"2015-05-29-J06-HE-2")</f>
        <v>2015-05-29-J06-HE-2</v>
      </c>
    </row>
    <row r="1786">
      <c r="A1786" t="str">
        <f>IFERROR(__xludf.DUMMYFUNCTION("""COMPUTED_VALUE"""),"2015-05-29-J06-HE-3")</f>
        <v>2015-05-29-J06-HE-3</v>
      </c>
    </row>
    <row r="1787">
      <c r="A1787" t="str">
        <f>IFERROR(__xludf.DUMMYFUNCTION("""COMPUTED_VALUE"""),"2015-05-29-J06-HE-4")</f>
        <v>2015-05-29-J06-HE-4</v>
      </c>
    </row>
    <row r="1788">
      <c r="A1788" t="str">
        <f>IFERROR(__xludf.DUMMYFUNCTION("""COMPUTED_VALUE"""),"2015-05-29-J06-HE-5")</f>
        <v>2015-05-29-J06-HE-5</v>
      </c>
    </row>
    <row r="1789">
      <c r="A1789" t="str">
        <f>IFERROR(__xludf.DUMMYFUNCTION("""COMPUTED_VALUE"""),"2015-05-29-J06-HE-6")</f>
        <v>2015-05-29-J06-HE-6</v>
      </c>
    </row>
    <row r="1790">
      <c r="A1790" t="str">
        <f>IFERROR(__xludf.DUMMYFUNCTION("""COMPUTED_VALUE"""),"2015-05-30-D06-SO-1")</f>
        <v>2015-05-30-D06-SO-1</v>
      </c>
    </row>
    <row r="1791">
      <c r="A1791" t="str">
        <f>IFERROR(__xludf.DUMMYFUNCTION("""COMPUTED_VALUE"""),"2015-05-30-D06-SO-2")</f>
        <v>2015-05-30-D06-SO-2</v>
      </c>
    </row>
    <row r="1792">
      <c r="A1792" t="str">
        <f>IFERROR(__xludf.DUMMYFUNCTION("""COMPUTED_VALUE"""),"2015-05-30-D06-SO-3")</f>
        <v>2015-05-30-D06-SO-3</v>
      </c>
    </row>
    <row r="1793">
      <c r="A1793" t="str">
        <f>IFERROR(__xludf.DUMMYFUNCTION("""COMPUTED_VALUE"""),"2015-05-30-D06-SO-4")</f>
        <v>2015-05-30-D06-SO-4</v>
      </c>
    </row>
    <row r="1794">
      <c r="A1794" t="str">
        <f>IFERROR(__xludf.DUMMYFUNCTION("""COMPUTED_VALUE"""),"2015-05-30-D06-SO-5")</f>
        <v>2015-05-30-D06-SO-5</v>
      </c>
    </row>
    <row r="1795">
      <c r="A1795" t="str">
        <f>IFERROR(__xludf.DUMMYFUNCTION("""COMPUTED_VALUE"""),"2015-05-30-D06-SO-6")</f>
        <v>2015-05-30-D06-SO-6</v>
      </c>
    </row>
    <row r="1796">
      <c r="A1796" t="str">
        <f>IFERROR(__xludf.DUMMYFUNCTION("""COMPUTED_VALUE"""),"2015-05-30-D06-SO-7")</f>
        <v>2015-05-30-D06-SO-7</v>
      </c>
    </row>
    <row r="1797">
      <c r="A1797" t="str">
        <f>IFERROR(__xludf.DUMMYFUNCTION("""COMPUTED_VALUE"""),"2015-05-30-D06-SO-8")</f>
        <v>2015-05-30-D06-SO-8</v>
      </c>
    </row>
    <row r="1798">
      <c r="A1798" t="str">
        <f>IFERROR(__xludf.DUMMYFUNCTION("""COMPUTED_VALUE"""),"2015-05-30-D06-SO-9")</f>
        <v>2015-05-30-D06-SO-9</v>
      </c>
    </row>
    <row r="1799">
      <c r="A1799" t="str">
        <f>IFERROR(__xludf.DUMMYFUNCTION("""COMPUTED_VALUE"""),"2015-05-30-D06-SO-10")</f>
        <v>2015-05-30-D06-SO-10</v>
      </c>
    </row>
    <row r="1800">
      <c r="A1800" t="str">
        <f>IFERROR(__xludf.DUMMYFUNCTION("""COMPUTED_VALUE"""),"2015-05-30-D06-SO-11")</f>
        <v>2015-05-30-D06-SO-11</v>
      </c>
    </row>
    <row r="1801">
      <c r="A1801" t="str">
        <f>IFERROR(__xludf.DUMMYFUNCTION("""COMPUTED_VALUE"""),"2015-05-30-D06-SO-12")</f>
        <v>2015-05-30-D06-SO-12</v>
      </c>
    </row>
    <row r="1802">
      <c r="A1802" t="str">
        <f>IFERROR(__xludf.DUMMYFUNCTION("""COMPUTED_VALUE"""),"2015-05-30-D06-SO-13")</f>
        <v>2015-05-30-D06-SO-13</v>
      </c>
    </row>
    <row r="1803">
      <c r="A1803" t="str">
        <f>IFERROR(__xludf.DUMMYFUNCTION("""COMPUTED_VALUE"""),"2015-05-30-D06-SO-14")</f>
        <v>2015-05-30-D06-SO-14</v>
      </c>
    </row>
    <row r="1804">
      <c r="A1804" t="str">
        <f>IFERROR(__xludf.DUMMYFUNCTION("""COMPUTED_VALUE"""),"2015-05-30-D06-SO-15")</f>
        <v>2015-05-30-D06-SO-15</v>
      </c>
    </row>
    <row r="1805">
      <c r="A1805" t="str">
        <f>IFERROR(__xludf.DUMMYFUNCTION("""COMPUTED_VALUE"""),"2015-05-30-D06-SO-16")</f>
        <v>2015-05-30-D06-SO-16</v>
      </c>
    </row>
    <row r="1806">
      <c r="A1806" t="str">
        <f>IFERROR(__xludf.DUMMYFUNCTION("""COMPUTED_VALUE"""),"2015-05-30-D06-SO-17")</f>
        <v>2015-05-30-D06-SO-17</v>
      </c>
    </row>
    <row r="1807">
      <c r="A1807" t="str">
        <f>IFERROR(__xludf.DUMMYFUNCTION("""COMPUTED_VALUE"""),"2015-05-30-D06-SO-18")</f>
        <v>2015-05-30-D06-SO-18</v>
      </c>
    </row>
    <row r="1808">
      <c r="A1808" t="str">
        <f>IFERROR(__xludf.DUMMYFUNCTION("""COMPUTED_VALUE"""),"2015-05-30-D06-SO-19")</f>
        <v>2015-05-30-D06-SO-19</v>
      </c>
    </row>
    <row r="1809">
      <c r="A1809" t="str">
        <f>IFERROR(__xludf.DUMMYFUNCTION("""COMPUTED_VALUE"""),"2015-05-30-D06-SO-20")</f>
        <v>2015-05-30-D06-SO-20</v>
      </c>
    </row>
    <row r="1810">
      <c r="A1810" t="str">
        <f>IFERROR(__xludf.DUMMYFUNCTION("""COMPUTED_VALUE"""),"2015-05-30-D06-SO-21")</f>
        <v>2015-05-30-D06-SO-21</v>
      </c>
    </row>
    <row r="1811">
      <c r="A1811" t="str">
        <f>IFERROR(__xludf.DUMMYFUNCTION("""COMPUTED_VALUE"""),"2015-05-30-D06-SO-22")</f>
        <v>2015-05-30-D06-SO-22</v>
      </c>
    </row>
    <row r="1812">
      <c r="A1812" t="str">
        <f>IFERROR(__xludf.DUMMYFUNCTION("""COMPUTED_VALUE"""),"2015-05-30-D06-SO-23")</f>
        <v>2015-05-30-D06-SO-23</v>
      </c>
    </row>
    <row r="1813">
      <c r="A1813" t="str">
        <f>IFERROR(__xludf.DUMMYFUNCTION("""COMPUTED_VALUE"""),"2015-05-30-D06-SO-24")</f>
        <v>2015-05-30-D06-SO-24</v>
      </c>
    </row>
    <row r="1814">
      <c r="A1814" t="str">
        <f>IFERROR(__xludf.DUMMYFUNCTION("""COMPUTED_VALUE"""),"2015-05-30-D06-SO-25")</f>
        <v>2015-05-30-D06-SO-25</v>
      </c>
    </row>
    <row r="1815">
      <c r="A1815" t="str">
        <f>IFERROR(__xludf.DUMMYFUNCTION("""COMPUTED_VALUE"""),"2015-05-30-D06-SO-26")</f>
        <v>2015-05-30-D06-SO-26</v>
      </c>
    </row>
    <row r="1816">
      <c r="A1816" t="str">
        <f>IFERROR(__xludf.DUMMYFUNCTION("""COMPUTED_VALUE"""),"2015-05-30-D06-SO-27")</f>
        <v>2015-05-30-D06-SO-27</v>
      </c>
    </row>
    <row r="1817">
      <c r="A1817" t="str">
        <f>IFERROR(__xludf.DUMMYFUNCTION("""COMPUTED_VALUE"""),"2015-05-30-D06-SO-28")</f>
        <v>2015-05-30-D06-SO-28</v>
      </c>
    </row>
    <row r="1818">
      <c r="A1818" t="str">
        <f>IFERROR(__xludf.DUMMYFUNCTION("""COMPUTED_VALUE"""),"2015-05-30-D06-SO-29")</f>
        <v>2015-05-30-D06-SO-29</v>
      </c>
    </row>
    <row r="1819">
      <c r="A1819" t="str">
        <f>IFERROR(__xludf.DUMMYFUNCTION("""COMPUTED_VALUE"""),"2015-05-30-D06-SO-30")</f>
        <v>2015-05-30-D06-SO-30</v>
      </c>
    </row>
    <row r="1820">
      <c r="A1820" t="str">
        <f>IFERROR(__xludf.DUMMYFUNCTION("""COMPUTED_VALUE"""),"2015-05-30-J05-SO-1")</f>
        <v>2015-05-30-J05-SO-1</v>
      </c>
    </row>
    <row r="1821">
      <c r="A1821" t="str">
        <f>IFERROR(__xludf.DUMMYFUNCTION("""COMPUTED_VALUE"""),"2015-05-30-J05-SO-2")</f>
        <v>2015-05-30-J05-SO-2</v>
      </c>
    </row>
    <row r="1822">
      <c r="A1822" t="str">
        <f>IFERROR(__xludf.DUMMYFUNCTION("""COMPUTED_VALUE"""),"2015-05-30-J05-SO-3")</f>
        <v>2015-05-30-J05-SO-3</v>
      </c>
    </row>
    <row r="1823">
      <c r="A1823" t="str">
        <f>IFERROR(__xludf.DUMMYFUNCTION("""COMPUTED_VALUE"""),"2015-05-30-J05-SO-4")</f>
        <v>2015-05-30-J05-SO-4</v>
      </c>
    </row>
    <row r="1824">
      <c r="A1824" t="str">
        <f>IFERROR(__xludf.DUMMYFUNCTION("""COMPUTED_VALUE"""),"2015-05-30-J05-SO-5")</f>
        <v>2015-05-30-J05-SO-5</v>
      </c>
    </row>
    <row r="1825">
      <c r="A1825" t="str">
        <f>IFERROR(__xludf.DUMMYFUNCTION("""COMPUTED_VALUE"""),"2015-05-30-J05-SO-6")</f>
        <v>2015-05-30-J05-SO-6</v>
      </c>
    </row>
    <row r="1826">
      <c r="A1826" t="str">
        <f>IFERROR(__xludf.DUMMYFUNCTION("""COMPUTED_VALUE"""),"2015-05-30-J05-SO-7")</f>
        <v>2015-05-30-J05-SO-7</v>
      </c>
    </row>
    <row r="1827">
      <c r="A1827" t="str">
        <f>IFERROR(__xludf.DUMMYFUNCTION("""COMPUTED_VALUE"""),"2015-05-30-J05-SO-8")</f>
        <v>2015-05-30-J05-SO-8</v>
      </c>
    </row>
    <row r="1828">
      <c r="A1828" t="str">
        <f>IFERROR(__xludf.DUMMYFUNCTION("""COMPUTED_VALUE"""),"2015-05-30-J05-SO-9")</f>
        <v>2015-05-30-J05-SO-9</v>
      </c>
    </row>
    <row r="1829">
      <c r="A1829" t="str">
        <f>IFERROR(__xludf.DUMMYFUNCTION("""COMPUTED_VALUE"""),"2015-05-30-J05-SO-10")</f>
        <v>2015-05-30-J05-SO-10</v>
      </c>
    </row>
    <row r="1830">
      <c r="A1830" t="str">
        <f>IFERROR(__xludf.DUMMYFUNCTION("""COMPUTED_VALUE"""),"2015-05-30-J05-SO-11")</f>
        <v>2015-05-30-J05-SO-11</v>
      </c>
    </row>
    <row r="1831">
      <c r="A1831" t="str">
        <f>IFERROR(__xludf.DUMMYFUNCTION("""COMPUTED_VALUE"""),"2015-05-30-J05-SO-12")</f>
        <v>2015-05-30-J05-SO-12</v>
      </c>
    </row>
    <row r="1832">
      <c r="A1832" t="str">
        <f>IFERROR(__xludf.DUMMYFUNCTION("""COMPUTED_VALUE"""),"2015-05-30-J05-SO-13")</f>
        <v>2015-05-30-J05-SO-13</v>
      </c>
    </row>
    <row r="1833">
      <c r="A1833" t="str">
        <f>IFERROR(__xludf.DUMMYFUNCTION("""COMPUTED_VALUE"""),"2015-05-30-J05-SO-14")</f>
        <v>2015-05-30-J05-SO-14</v>
      </c>
    </row>
    <row r="1834">
      <c r="A1834" t="str">
        <f>IFERROR(__xludf.DUMMYFUNCTION("""COMPUTED_VALUE"""),"2015-05-30-J05-SO-15")</f>
        <v>2015-05-30-J05-SO-15</v>
      </c>
    </row>
    <row r="1835">
      <c r="A1835" t="str">
        <f>IFERROR(__xludf.DUMMYFUNCTION("""COMPUTED_VALUE"""),"2015-05-30-J05-SO-16")</f>
        <v>2015-05-30-J05-SO-16</v>
      </c>
    </row>
    <row r="1836">
      <c r="A1836" t="str">
        <f>IFERROR(__xludf.DUMMYFUNCTION("""COMPUTED_VALUE"""),"2015-05-30-J05-SO-17")</f>
        <v>2015-05-30-J05-SO-17</v>
      </c>
    </row>
    <row r="1837">
      <c r="A1837" t="str">
        <f>IFERROR(__xludf.DUMMYFUNCTION("""COMPUTED_VALUE"""),"2015-05-30-J05-SO-18")</f>
        <v>2015-05-30-J05-SO-18</v>
      </c>
    </row>
    <row r="1838">
      <c r="A1838" t="str">
        <f>IFERROR(__xludf.DUMMYFUNCTION("""COMPUTED_VALUE"""),"2015-05-30-J05-SO-19")</f>
        <v>2015-05-30-J05-SO-19</v>
      </c>
    </row>
    <row r="1839">
      <c r="A1839" t="str">
        <f>IFERROR(__xludf.DUMMYFUNCTION("""COMPUTED_VALUE"""),"2015-05-30-J05-SO-20")</f>
        <v>2015-05-30-J05-SO-20</v>
      </c>
    </row>
    <row r="1840">
      <c r="A1840" t="str">
        <f>IFERROR(__xludf.DUMMYFUNCTION("""COMPUTED_VALUE"""),"2015-05-30-J05-SO-21")</f>
        <v>2015-05-30-J05-SO-21</v>
      </c>
    </row>
    <row r="1841">
      <c r="A1841" t="str">
        <f>IFERROR(__xludf.DUMMYFUNCTION("""COMPUTED_VALUE"""),"2015-05-30-J05-SO-22")</f>
        <v>2015-05-30-J05-SO-22</v>
      </c>
    </row>
    <row r="1842">
      <c r="A1842" t="str">
        <f>IFERROR(__xludf.DUMMYFUNCTION("""COMPUTED_VALUE"""),"2015-05-30-J05-SO-23")</f>
        <v>2015-05-30-J05-SO-23</v>
      </c>
    </row>
    <row r="1843">
      <c r="A1843" t="str">
        <f>IFERROR(__xludf.DUMMYFUNCTION("""COMPUTED_VALUE"""),"2015-05-30-J05-SO-24")</f>
        <v>2015-05-30-J05-SO-24</v>
      </c>
    </row>
    <row r="1844">
      <c r="A1844" t="str">
        <f>IFERROR(__xludf.DUMMYFUNCTION("""COMPUTED_VALUE"""),"2015-05-30-J05-SO-25")</f>
        <v>2015-05-30-J05-SO-25</v>
      </c>
    </row>
    <row r="1845">
      <c r="A1845" t="str">
        <f>IFERROR(__xludf.DUMMYFUNCTION("""COMPUTED_VALUE"""),"2015-05-30-J05-SO-26")</f>
        <v>2015-05-30-J05-SO-26</v>
      </c>
    </row>
    <row r="1846">
      <c r="A1846" t="str">
        <f>IFERROR(__xludf.DUMMYFUNCTION("""COMPUTED_VALUE"""),"2015-05-30-J05-SO-27")</f>
        <v>2015-05-30-J05-SO-27</v>
      </c>
    </row>
    <row r="1847">
      <c r="A1847" t="str">
        <f>IFERROR(__xludf.DUMMYFUNCTION("""COMPUTED_VALUE"""),"2015-05-30-J05-SO-28")</f>
        <v>2015-05-30-J05-SO-28</v>
      </c>
    </row>
    <row r="1848">
      <c r="A1848" t="str">
        <f>IFERROR(__xludf.DUMMYFUNCTION("""COMPUTED_VALUE"""),"2015-05-30-J05-SO-29")</f>
        <v>2015-05-30-J05-SO-29</v>
      </c>
    </row>
    <row r="1849">
      <c r="A1849" t="str">
        <f>IFERROR(__xludf.DUMMYFUNCTION("""COMPUTED_VALUE"""),"2015-05-30-J05-SO-30")</f>
        <v>2015-05-30-J05-SO-30</v>
      </c>
    </row>
    <row r="1850">
      <c r="A1850" t="str">
        <f>IFERROR(__xludf.DUMMYFUNCTION("""COMPUTED_VALUE"""),"2015-05-30-J07-SO-1")</f>
        <v>2015-05-30-J07-SO-1</v>
      </c>
    </row>
    <row r="1851">
      <c r="A1851" t="str">
        <f>IFERROR(__xludf.DUMMYFUNCTION("""COMPUTED_VALUE"""),"2015-05-30-J07-SO-2")</f>
        <v>2015-05-30-J07-SO-2</v>
      </c>
    </row>
    <row r="1852">
      <c r="A1852" t="str">
        <f>IFERROR(__xludf.DUMMYFUNCTION("""COMPUTED_VALUE"""),"2015-05-30-J07-SO-3")</f>
        <v>2015-05-30-J07-SO-3</v>
      </c>
    </row>
    <row r="1853">
      <c r="A1853" t="str">
        <f>IFERROR(__xludf.DUMMYFUNCTION("""COMPUTED_VALUE"""),"2015-05-30-J07-SO-4")</f>
        <v>2015-05-30-J07-SO-4</v>
      </c>
    </row>
    <row r="1854">
      <c r="A1854" t="str">
        <f>IFERROR(__xludf.DUMMYFUNCTION("""COMPUTED_VALUE"""),"2015-05-30-J07-SO-5")</f>
        <v>2015-05-30-J07-SO-5</v>
      </c>
    </row>
    <row r="1855">
      <c r="A1855" t="str">
        <f>IFERROR(__xludf.DUMMYFUNCTION("""COMPUTED_VALUE"""),"2015-05-30-J07-SO-6")</f>
        <v>2015-05-30-J07-SO-6</v>
      </c>
    </row>
    <row r="1856">
      <c r="A1856" t="str">
        <f>IFERROR(__xludf.DUMMYFUNCTION("""COMPUTED_VALUE"""),"2015-05-30-J07-SO-7")</f>
        <v>2015-05-30-J07-SO-7</v>
      </c>
    </row>
    <row r="1857">
      <c r="A1857" t="str">
        <f>IFERROR(__xludf.DUMMYFUNCTION("""COMPUTED_VALUE"""),"2015-05-30-J07-SO-8")</f>
        <v>2015-05-30-J07-SO-8</v>
      </c>
    </row>
    <row r="1858">
      <c r="A1858" t="str">
        <f>IFERROR(__xludf.DUMMYFUNCTION("""COMPUTED_VALUE"""),"2015-05-30-J07-SO-9")</f>
        <v>2015-05-30-J07-SO-9</v>
      </c>
    </row>
    <row r="1859">
      <c r="A1859" t="str">
        <f>IFERROR(__xludf.DUMMYFUNCTION("""COMPUTED_VALUE"""),"2015-05-30-J07-SO-10")</f>
        <v>2015-05-30-J07-SO-10</v>
      </c>
    </row>
    <row r="1860">
      <c r="A1860" t="str">
        <f>IFERROR(__xludf.DUMMYFUNCTION("""COMPUTED_VALUE"""),"2015-05-30-J07-SO-11")</f>
        <v>2015-05-30-J07-SO-11</v>
      </c>
    </row>
    <row r="1861">
      <c r="A1861" t="str">
        <f>IFERROR(__xludf.DUMMYFUNCTION("""COMPUTED_VALUE"""),"2015-05-30-J07-SO-12")</f>
        <v>2015-05-30-J07-SO-12</v>
      </c>
    </row>
    <row r="1862">
      <c r="A1862" t="str">
        <f>IFERROR(__xludf.DUMMYFUNCTION("""COMPUTED_VALUE"""),"2015-05-30-J07-SO-13")</f>
        <v>2015-05-30-J07-SO-13</v>
      </c>
    </row>
    <row r="1863">
      <c r="A1863" t="str">
        <f>IFERROR(__xludf.DUMMYFUNCTION("""COMPUTED_VALUE"""),"2015-05-30-J07-SO-14")</f>
        <v>2015-05-30-J07-SO-14</v>
      </c>
    </row>
    <row r="1864">
      <c r="A1864" t="str">
        <f>IFERROR(__xludf.DUMMYFUNCTION("""COMPUTED_VALUE"""),"2015-05-30-J07-SO-15")</f>
        <v>2015-05-30-J07-SO-15</v>
      </c>
    </row>
    <row r="1865">
      <c r="A1865" t="str">
        <f>IFERROR(__xludf.DUMMYFUNCTION("""COMPUTED_VALUE"""),"2015-05-30-J07-SO-16")</f>
        <v>2015-05-30-J07-SO-16</v>
      </c>
    </row>
    <row r="1866">
      <c r="A1866" t="str">
        <f>IFERROR(__xludf.DUMMYFUNCTION("""COMPUTED_VALUE"""),"2015-05-30-J07-SO-17")</f>
        <v>2015-05-30-J07-SO-17</v>
      </c>
    </row>
    <row r="1867">
      <c r="A1867" t="str">
        <f>IFERROR(__xludf.DUMMYFUNCTION("""COMPUTED_VALUE"""),"2015-05-30-J07-SO-18")</f>
        <v>2015-05-30-J07-SO-18</v>
      </c>
    </row>
    <row r="1868">
      <c r="A1868" t="str">
        <f>IFERROR(__xludf.DUMMYFUNCTION("""COMPUTED_VALUE"""),"2015-05-30-J07-SO-19")</f>
        <v>2015-05-30-J07-SO-19</v>
      </c>
    </row>
    <row r="1869">
      <c r="A1869" t="str">
        <f>IFERROR(__xludf.DUMMYFUNCTION("""COMPUTED_VALUE"""),"2015-05-30-J07-SO-20")</f>
        <v>2015-05-30-J07-SO-20</v>
      </c>
    </row>
    <row r="1870">
      <c r="A1870" t="str">
        <f>IFERROR(__xludf.DUMMYFUNCTION("""COMPUTED_VALUE"""),"2015-05-30-J07-SO-21")</f>
        <v>2015-05-30-J07-SO-21</v>
      </c>
    </row>
    <row r="1871">
      <c r="A1871" t="str">
        <f>IFERROR(__xludf.DUMMYFUNCTION("""COMPUTED_VALUE"""),"2015-05-30-J07-SO-22")</f>
        <v>2015-05-30-J07-SO-22</v>
      </c>
    </row>
    <row r="1872">
      <c r="A1872" t="str">
        <f>IFERROR(__xludf.DUMMYFUNCTION("""COMPUTED_VALUE"""),"2015-05-30-J07-SO-23")</f>
        <v>2015-05-30-J07-SO-23</v>
      </c>
    </row>
    <row r="1873">
      <c r="A1873" t="str">
        <f>IFERROR(__xludf.DUMMYFUNCTION("""COMPUTED_VALUE"""),"2015-05-30-J07-SO-24")</f>
        <v>2015-05-30-J07-SO-24</v>
      </c>
    </row>
    <row r="1874">
      <c r="A1874" t="str">
        <f>IFERROR(__xludf.DUMMYFUNCTION("""COMPUTED_VALUE"""),"2015-05-30-J07-SO-25")</f>
        <v>2015-05-30-J07-SO-25</v>
      </c>
    </row>
    <row r="1875">
      <c r="A1875" t="str">
        <f>IFERROR(__xludf.DUMMYFUNCTION("""COMPUTED_VALUE"""),"2015-05-30-J07-SO-26")</f>
        <v>2015-05-30-J07-SO-26</v>
      </c>
    </row>
    <row r="1876">
      <c r="A1876" t="str">
        <f>IFERROR(__xludf.DUMMYFUNCTION("""COMPUTED_VALUE"""),"2015-05-30-J07-SO-27")</f>
        <v>2015-05-30-J07-SO-27</v>
      </c>
    </row>
    <row r="1877">
      <c r="A1877" t="str">
        <f>IFERROR(__xludf.DUMMYFUNCTION("""COMPUTED_VALUE"""),"2015-05-30-J07-SO-28")</f>
        <v>2015-05-30-J07-SO-28</v>
      </c>
    </row>
    <row r="1878">
      <c r="A1878" t="str">
        <f>IFERROR(__xludf.DUMMYFUNCTION("""COMPUTED_VALUE"""),"2015-05-30-J07-SO-29")</f>
        <v>2015-05-30-J07-SO-29</v>
      </c>
    </row>
    <row r="1879">
      <c r="A1879" t="str">
        <f>IFERROR(__xludf.DUMMYFUNCTION("""COMPUTED_VALUE"""),"2015-05-30-J07-SO-30")</f>
        <v>2015-05-30-J07-SO-30</v>
      </c>
    </row>
    <row r="1880">
      <c r="A1880" t="str">
        <f>IFERROR(__xludf.DUMMYFUNCTION("""COMPUTED_VALUE"""),"2015-05-30-J08-SO-1")</f>
        <v>2015-05-30-J08-SO-1</v>
      </c>
    </row>
    <row r="1881">
      <c r="A1881" t="str">
        <f>IFERROR(__xludf.DUMMYFUNCTION("""COMPUTED_VALUE"""),"2015-05-30-J08-SO-2")</f>
        <v>2015-05-30-J08-SO-2</v>
      </c>
    </row>
    <row r="1882">
      <c r="A1882" t="str">
        <f>IFERROR(__xludf.DUMMYFUNCTION("""COMPUTED_VALUE"""),"2015-05-30-J08-SO-3")</f>
        <v>2015-05-30-J08-SO-3</v>
      </c>
    </row>
    <row r="1883">
      <c r="A1883" t="str">
        <f>IFERROR(__xludf.DUMMYFUNCTION("""COMPUTED_VALUE"""),"2015-05-30-J08-SO-4")</f>
        <v>2015-05-30-J08-SO-4</v>
      </c>
    </row>
    <row r="1884">
      <c r="A1884" t="str">
        <f>IFERROR(__xludf.DUMMYFUNCTION("""COMPUTED_VALUE"""),"2015-05-30-J08-SO-5")</f>
        <v>2015-05-30-J08-SO-5</v>
      </c>
    </row>
    <row r="1885">
      <c r="A1885" t="str">
        <f>IFERROR(__xludf.DUMMYFUNCTION("""COMPUTED_VALUE"""),"2015-05-30-J08-SO-6")</f>
        <v>2015-05-30-J08-SO-6</v>
      </c>
    </row>
    <row r="1886">
      <c r="A1886" t="str">
        <f>IFERROR(__xludf.DUMMYFUNCTION("""COMPUTED_VALUE"""),"2015-05-30-J08-SO-7")</f>
        <v>2015-05-30-J08-SO-7</v>
      </c>
    </row>
    <row r="1887">
      <c r="A1887" t="str">
        <f>IFERROR(__xludf.DUMMYFUNCTION("""COMPUTED_VALUE"""),"2015-05-30-J08-SO-8")</f>
        <v>2015-05-30-J08-SO-8</v>
      </c>
    </row>
    <row r="1888">
      <c r="A1888" t="str">
        <f>IFERROR(__xludf.DUMMYFUNCTION("""COMPUTED_VALUE"""),"2015-05-30-J08-SO-9")</f>
        <v>2015-05-30-J08-SO-9</v>
      </c>
    </row>
    <row r="1889">
      <c r="A1889" t="str">
        <f>IFERROR(__xludf.DUMMYFUNCTION("""COMPUTED_VALUE"""),"2015-05-30-J08-SO-10")</f>
        <v>2015-05-30-J08-SO-10</v>
      </c>
    </row>
    <row r="1890">
      <c r="A1890" t="str">
        <f>IFERROR(__xludf.DUMMYFUNCTION("""COMPUTED_VALUE"""),"2015-05-30-J08-SO-11")</f>
        <v>2015-05-30-J08-SO-11</v>
      </c>
    </row>
    <row r="1891">
      <c r="A1891" t="str">
        <f>IFERROR(__xludf.DUMMYFUNCTION("""COMPUTED_VALUE"""),"2015-05-30-J08-SO-12")</f>
        <v>2015-05-30-J08-SO-12</v>
      </c>
    </row>
    <row r="1892">
      <c r="A1892" t="str">
        <f>IFERROR(__xludf.DUMMYFUNCTION("""COMPUTED_VALUE"""),"2015-05-30-J08-SO-13")</f>
        <v>2015-05-30-J08-SO-13</v>
      </c>
    </row>
    <row r="1893">
      <c r="A1893" t="str">
        <f>IFERROR(__xludf.DUMMYFUNCTION("""COMPUTED_VALUE"""),"2015-05-30-J08-SO-14")</f>
        <v>2015-05-30-J08-SO-14</v>
      </c>
    </row>
    <row r="1894">
      <c r="A1894" t="str">
        <f>IFERROR(__xludf.DUMMYFUNCTION("""COMPUTED_VALUE"""),"2015-05-30-J08-SO-15")</f>
        <v>2015-05-30-J08-SO-15</v>
      </c>
    </row>
    <row r="1895">
      <c r="A1895" t="str">
        <f>IFERROR(__xludf.DUMMYFUNCTION("""COMPUTED_VALUE"""),"2015-05-30-J08-SO-16")</f>
        <v>2015-05-30-J08-SO-16</v>
      </c>
    </row>
    <row r="1896">
      <c r="A1896" t="str">
        <f>IFERROR(__xludf.DUMMYFUNCTION("""COMPUTED_VALUE"""),"2015-05-30-J08-SO-17")</f>
        <v>2015-05-30-J08-SO-17</v>
      </c>
    </row>
    <row r="1897">
      <c r="A1897" t="str">
        <f>IFERROR(__xludf.DUMMYFUNCTION("""COMPUTED_VALUE"""),"2015-05-30-J08-SO-18")</f>
        <v>2015-05-30-J08-SO-18</v>
      </c>
    </row>
    <row r="1898">
      <c r="A1898" t="str">
        <f>IFERROR(__xludf.DUMMYFUNCTION("""COMPUTED_VALUE"""),"2015-05-30-J08-SO-19")</f>
        <v>2015-05-30-J08-SO-19</v>
      </c>
    </row>
    <row r="1899">
      <c r="A1899" t="str">
        <f>IFERROR(__xludf.DUMMYFUNCTION("""COMPUTED_VALUE"""),"2015-05-30-J08-SO-20")</f>
        <v>2015-05-30-J08-SO-20</v>
      </c>
    </row>
    <row r="1900">
      <c r="A1900" t="str">
        <f>IFERROR(__xludf.DUMMYFUNCTION("""COMPUTED_VALUE"""),"2015-05-30-J08-SO-21")</f>
        <v>2015-05-30-J08-SO-21</v>
      </c>
    </row>
    <row r="1901">
      <c r="A1901" t="str">
        <f>IFERROR(__xludf.DUMMYFUNCTION("""COMPUTED_VALUE"""),"2015-05-30-J08-SO-22")</f>
        <v>2015-05-30-J08-SO-22</v>
      </c>
    </row>
    <row r="1902">
      <c r="A1902" t="str">
        <f>IFERROR(__xludf.DUMMYFUNCTION("""COMPUTED_VALUE"""),"2015-05-30-J08-SO-23")</f>
        <v>2015-05-30-J08-SO-23</v>
      </c>
    </row>
    <row r="1903">
      <c r="A1903" t="str">
        <f>IFERROR(__xludf.DUMMYFUNCTION("""COMPUTED_VALUE"""),"2015-05-30-J08-SO-24")</f>
        <v>2015-05-30-J08-SO-24</v>
      </c>
    </row>
    <row r="1904">
      <c r="A1904" t="str">
        <f>IFERROR(__xludf.DUMMYFUNCTION("""COMPUTED_VALUE"""),"2015-05-30-J08-SO-25")</f>
        <v>2015-05-30-J08-SO-25</v>
      </c>
    </row>
    <row r="1905">
      <c r="A1905" t="str">
        <f>IFERROR(__xludf.DUMMYFUNCTION("""COMPUTED_VALUE"""),"2015-05-30-J08-SO-26")</f>
        <v>2015-05-30-J08-SO-26</v>
      </c>
    </row>
    <row r="1906">
      <c r="A1906" t="str">
        <f>IFERROR(__xludf.DUMMYFUNCTION("""COMPUTED_VALUE"""),"2015-05-30-J08-SO-27")</f>
        <v>2015-05-30-J08-SO-27</v>
      </c>
    </row>
    <row r="1907">
      <c r="A1907" t="str">
        <f>IFERROR(__xludf.DUMMYFUNCTION("""COMPUTED_VALUE"""),"2015-05-30-J08-SO-28")</f>
        <v>2015-05-30-J08-SO-28</v>
      </c>
    </row>
    <row r="1908">
      <c r="A1908" t="str">
        <f>IFERROR(__xludf.DUMMYFUNCTION("""COMPUTED_VALUE"""),"2015-05-30-J08-SO-29")</f>
        <v>2015-05-30-J08-SO-29</v>
      </c>
    </row>
    <row r="1909">
      <c r="A1909" t="str">
        <f>IFERROR(__xludf.DUMMYFUNCTION("""COMPUTED_VALUE"""),"2015-05-30-J08-SO-30")</f>
        <v>2015-05-30-J08-SO-30</v>
      </c>
    </row>
    <row r="1910">
      <c r="A1910" t="str">
        <f>IFERROR(__xludf.DUMMYFUNCTION("""COMPUTED_VALUE"""),"2015-05-30-J08-PI-1")</f>
        <v>2015-05-30-J08-PI-1</v>
      </c>
    </row>
    <row r="1911">
      <c r="A1911" t="str">
        <f>IFERROR(__xludf.DUMMYFUNCTION("""COMPUTED_VALUE"""),"2015-05-30-D06-CU-1")</f>
        <v>2015-05-30-D06-CU-1</v>
      </c>
    </row>
    <row r="1912">
      <c r="A1912" t="str">
        <f>IFERROR(__xludf.DUMMYFUNCTION("""COMPUTED_VALUE"""),"2015-05-30-D06-CU-2")</f>
        <v>2015-05-30-D06-CU-2</v>
      </c>
    </row>
    <row r="1913">
      <c r="A1913" t="str">
        <f>IFERROR(__xludf.DUMMYFUNCTION("""COMPUTED_VALUE"""),"2015-05-30-D06-CU-3")</f>
        <v>2015-05-30-D06-CU-3</v>
      </c>
    </row>
    <row r="1914">
      <c r="A1914" t="str">
        <f>IFERROR(__xludf.DUMMYFUNCTION("""COMPUTED_VALUE"""),"2015-05-30-D06-CU-4")</f>
        <v>2015-05-30-D06-CU-4</v>
      </c>
    </row>
    <row r="1915">
      <c r="A1915" t="str">
        <f>IFERROR(__xludf.DUMMYFUNCTION("""COMPUTED_VALUE"""),"2015-05-30-D06-CU-5")</f>
        <v>2015-05-30-D06-CU-5</v>
      </c>
    </row>
    <row r="1916">
      <c r="A1916" t="str">
        <f>IFERROR(__xludf.DUMMYFUNCTION("""COMPUTED_VALUE"""),"2015-05-30-D06-CU-6")</f>
        <v>2015-05-30-D06-CU-6</v>
      </c>
    </row>
    <row r="1917">
      <c r="A1917" t="str">
        <f>IFERROR(__xludf.DUMMYFUNCTION("""COMPUTED_VALUE"""),"2015-05-30-D06-CU-7")</f>
        <v>2015-05-30-D06-CU-7</v>
      </c>
    </row>
    <row r="1918">
      <c r="A1918" t="str">
        <f>IFERROR(__xludf.DUMMYFUNCTION("""COMPUTED_VALUE"""),"2015-05-30-D06-CU-8")</f>
        <v>2015-05-30-D06-CU-8</v>
      </c>
    </row>
    <row r="1919">
      <c r="A1919" t="str">
        <f>IFERROR(__xludf.DUMMYFUNCTION("""COMPUTED_VALUE"""),"2015-05-30-D06-CU-9")</f>
        <v>2015-05-30-D06-CU-9</v>
      </c>
    </row>
    <row r="1920">
      <c r="A1920" t="str">
        <f>IFERROR(__xludf.DUMMYFUNCTION("""COMPUTED_VALUE"""),"2015-05-30-D06-CU-10")</f>
        <v>2015-05-30-D06-CU-10</v>
      </c>
    </row>
    <row r="1921">
      <c r="A1921" t="str">
        <f>IFERROR(__xludf.DUMMYFUNCTION("""COMPUTED_VALUE"""),"2015-05-30-J05-CU-1")</f>
        <v>2015-05-30-J05-CU-1</v>
      </c>
    </row>
    <row r="1922">
      <c r="A1922" t="str">
        <f>IFERROR(__xludf.DUMMYFUNCTION("""COMPUTED_VALUE"""),"2015-05-30-J05-CU-2")</f>
        <v>2015-05-30-J05-CU-2</v>
      </c>
    </row>
    <row r="1923">
      <c r="A1923" t="str">
        <f>IFERROR(__xludf.DUMMYFUNCTION("""COMPUTED_VALUE"""),"2015-05-30-J05-CU-3")</f>
        <v>2015-05-30-J05-CU-3</v>
      </c>
    </row>
    <row r="1924">
      <c r="A1924" t="str">
        <f>IFERROR(__xludf.DUMMYFUNCTION("""COMPUTED_VALUE"""),"2015-05-30-J05-CU-4")</f>
        <v>2015-05-30-J05-CU-4</v>
      </c>
    </row>
    <row r="1925">
      <c r="A1925" t="str">
        <f>IFERROR(__xludf.DUMMYFUNCTION("""COMPUTED_VALUE"""),"2015-05-30-J05-CU-5")</f>
        <v>2015-05-30-J05-CU-5</v>
      </c>
    </row>
    <row r="1926">
      <c r="A1926" t="str">
        <f>IFERROR(__xludf.DUMMYFUNCTION("""COMPUTED_VALUE"""),"2015-05-30-J05-CU-6")</f>
        <v>2015-05-30-J05-CU-6</v>
      </c>
    </row>
    <row r="1927">
      <c r="A1927" t="str">
        <f>IFERROR(__xludf.DUMMYFUNCTION("""COMPUTED_VALUE"""),"2015-05-30-J05-CU-7")</f>
        <v>2015-05-30-J05-CU-7</v>
      </c>
    </row>
    <row r="1928">
      <c r="A1928" t="str">
        <f>IFERROR(__xludf.DUMMYFUNCTION("""COMPUTED_VALUE"""),"2015-05-30-J05-CU-8")</f>
        <v>2015-05-30-J05-CU-8</v>
      </c>
    </row>
    <row r="1929">
      <c r="A1929" t="str">
        <f>IFERROR(__xludf.DUMMYFUNCTION("""COMPUTED_VALUE"""),"2015-05-30-J05-CU-9")</f>
        <v>2015-05-30-J05-CU-9</v>
      </c>
    </row>
    <row r="1930">
      <c r="A1930" t="str">
        <f>IFERROR(__xludf.DUMMYFUNCTION("""COMPUTED_VALUE"""),"2015-05-30-J05-CU-10")</f>
        <v>2015-05-30-J05-CU-10</v>
      </c>
    </row>
    <row r="1931">
      <c r="A1931" t="str">
        <f>IFERROR(__xludf.DUMMYFUNCTION("""COMPUTED_VALUE"""),"2015-05-30-J07-CU-1")</f>
        <v>2015-05-30-J07-CU-1</v>
      </c>
    </row>
    <row r="1932">
      <c r="A1932" t="str">
        <f>IFERROR(__xludf.DUMMYFUNCTION("""COMPUTED_VALUE"""),"2015-05-30-J07-CU-2")</f>
        <v>2015-05-30-J07-CU-2</v>
      </c>
    </row>
    <row r="1933">
      <c r="A1933" t="str">
        <f>IFERROR(__xludf.DUMMYFUNCTION("""COMPUTED_VALUE"""),"2015-05-30-J07-CU-3")</f>
        <v>2015-05-30-J07-CU-3</v>
      </c>
    </row>
    <row r="1934">
      <c r="A1934" t="str">
        <f>IFERROR(__xludf.DUMMYFUNCTION("""COMPUTED_VALUE"""),"2015-05-30-J07-CU-4")</f>
        <v>2015-05-30-J07-CU-4</v>
      </c>
    </row>
    <row r="1935">
      <c r="A1935" t="str">
        <f>IFERROR(__xludf.DUMMYFUNCTION("""COMPUTED_VALUE"""),"2015-05-30-J07-CU-5")</f>
        <v>2015-05-30-J07-CU-5</v>
      </c>
    </row>
    <row r="1936">
      <c r="A1936" t="str">
        <f>IFERROR(__xludf.DUMMYFUNCTION("""COMPUTED_VALUE"""),"2015-05-30-J07-CU-6")</f>
        <v>2015-05-30-J07-CU-6</v>
      </c>
    </row>
    <row r="1937">
      <c r="A1937" t="str">
        <f>IFERROR(__xludf.DUMMYFUNCTION("""COMPUTED_VALUE"""),"2015-05-30-J07-CU-7")</f>
        <v>2015-05-30-J07-CU-7</v>
      </c>
    </row>
    <row r="1938">
      <c r="A1938" t="str">
        <f>IFERROR(__xludf.DUMMYFUNCTION("""COMPUTED_VALUE"""),"2015-05-30-J07-CU-8")</f>
        <v>2015-05-30-J07-CU-8</v>
      </c>
    </row>
    <row r="1939">
      <c r="A1939" t="str">
        <f>IFERROR(__xludf.DUMMYFUNCTION("""COMPUTED_VALUE"""),"2015-05-30-J07-CU-9")</f>
        <v>2015-05-30-J07-CU-9</v>
      </c>
    </row>
    <row r="1940">
      <c r="A1940" t="str">
        <f>IFERROR(__xludf.DUMMYFUNCTION("""COMPUTED_VALUE"""),"2015-05-30-J07-CU-10")</f>
        <v>2015-05-30-J07-CU-10</v>
      </c>
    </row>
    <row r="1941">
      <c r="A1941" t="str">
        <f>IFERROR(__xludf.DUMMYFUNCTION("""COMPUTED_VALUE"""),"2015-05-30-J08-CU-1")</f>
        <v>2015-05-30-J08-CU-1</v>
      </c>
    </row>
    <row r="1942">
      <c r="A1942" t="str">
        <f>IFERROR(__xludf.DUMMYFUNCTION("""COMPUTED_VALUE"""),"2015-05-30-J08-CU-2")</f>
        <v>2015-05-30-J08-CU-2</v>
      </c>
    </row>
    <row r="1943">
      <c r="A1943" t="str">
        <f>IFERROR(__xludf.DUMMYFUNCTION("""COMPUTED_VALUE"""),"2015-05-30-J08-CU-3")</f>
        <v>2015-05-30-J08-CU-3</v>
      </c>
    </row>
    <row r="1944">
      <c r="A1944" t="str">
        <f>IFERROR(__xludf.DUMMYFUNCTION("""COMPUTED_VALUE"""),"2015-05-30-J08-CU-4")</f>
        <v>2015-05-30-J08-CU-4</v>
      </c>
    </row>
    <row r="1945">
      <c r="A1945" t="str">
        <f>IFERROR(__xludf.DUMMYFUNCTION("""COMPUTED_VALUE"""),"2015-05-30-J08-CU-5")</f>
        <v>2015-05-30-J08-CU-5</v>
      </c>
    </row>
    <row r="1946">
      <c r="A1946" t="str">
        <f>IFERROR(__xludf.DUMMYFUNCTION("""COMPUTED_VALUE"""),"2015-05-30-J08-CU-6")</f>
        <v>2015-05-30-J08-CU-6</v>
      </c>
    </row>
    <row r="1947">
      <c r="A1947" t="str">
        <f>IFERROR(__xludf.DUMMYFUNCTION("""COMPUTED_VALUE"""),"2015-05-30-J08-CU-7")</f>
        <v>2015-05-30-J08-CU-7</v>
      </c>
    </row>
    <row r="1948">
      <c r="A1948" t="str">
        <f>IFERROR(__xludf.DUMMYFUNCTION("""COMPUTED_VALUE"""),"2015-05-30-J08-CU-8")</f>
        <v>2015-05-30-J08-CU-8</v>
      </c>
    </row>
    <row r="1949">
      <c r="A1949" t="str">
        <f>IFERROR(__xludf.DUMMYFUNCTION("""COMPUTED_VALUE"""),"2015-05-30-J08-CU-9")</f>
        <v>2015-05-30-J08-CU-9</v>
      </c>
    </row>
    <row r="1950">
      <c r="A1950" t="str">
        <f>IFERROR(__xludf.DUMMYFUNCTION("""COMPUTED_VALUE"""),"2015-05-30-J08-CU-10")</f>
        <v>2015-05-30-J08-CU-10</v>
      </c>
    </row>
    <row r="1951">
      <c r="A1951" t="str">
        <f>IFERROR(__xludf.DUMMYFUNCTION("""COMPUTED_VALUE"""),"2015-05-30-J05-CO-1")</f>
        <v>2015-05-30-J05-CO-1</v>
      </c>
    </row>
    <row r="1952">
      <c r="A1952" t="str">
        <f>IFERROR(__xludf.DUMMYFUNCTION("""COMPUTED_VALUE"""),"2015-05-30-J07-CO-1")</f>
        <v>2015-05-30-J07-CO-1</v>
      </c>
    </row>
    <row r="1953">
      <c r="A1953" t="str">
        <f>IFERROR(__xludf.DUMMYFUNCTION("""COMPUTED_VALUE"""),"2015-05-30-J07-CO-2")</f>
        <v>2015-05-30-J07-CO-2</v>
      </c>
    </row>
    <row r="1954">
      <c r="A1954" t="str">
        <f>IFERROR(__xludf.DUMMYFUNCTION("""COMPUTED_VALUE"""),"2015-05-30-J07-CO-3")</f>
        <v>2015-05-30-J07-CO-3</v>
      </c>
    </row>
    <row r="1955">
      <c r="A1955" t="str">
        <f>IFERROR(__xludf.DUMMYFUNCTION("""COMPUTED_VALUE"""),"2015-05-30-J07-CO-4")</f>
        <v>2015-05-30-J07-CO-4</v>
      </c>
    </row>
    <row r="1956">
      <c r="A1956" t="str">
        <f>IFERROR(__xludf.DUMMYFUNCTION("""COMPUTED_VALUE"""),"2015-05-30-J08-CO-1")</f>
        <v>2015-05-30-J08-CO-1</v>
      </c>
    </row>
    <row r="1957">
      <c r="A1957" t="str">
        <f>IFERROR(__xludf.DUMMYFUNCTION("""COMPUTED_VALUE"""),"2015-05-30-J07-HE-1")</f>
        <v>2015-05-30-J07-HE-1</v>
      </c>
    </row>
    <row r="1958">
      <c r="A1958" t="str">
        <f>IFERROR(__xludf.DUMMYFUNCTION("""COMPUTED_VALUE"""),"2015-05-30-J07-HE-2")</f>
        <v>2015-05-30-J07-HE-2</v>
      </c>
    </row>
    <row r="1959">
      <c r="A1959" t="str">
        <f>IFERROR(__xludf.DUMMYFUNCTION("""COMPUTED_VALUE"""),"2015-05-30-J07-HE-3")</f>
        <v>2015-05-30-J07-HE-3</v>
      </c>
    </row>
    <row r="1960">
      <c r="A1960" t="str">
        <f>IFERROR(__xludf.DUMMYFUNCTION("""COMPUTED_VALUE"""),"2015-05-30-J07-HE-4")</f>
        <v>2015-05-30-J07-HE-4</v>
      </c>
    </row>
    <row r="1961">
      <c r="A1961" t="str">
        <f>IFERROR(__xludf.DUMMYFUNCTION("""COMPUTED_VALUE"""),"2015-05-30-J07-HE-5")</f>
        <v>2015-05-30-J07-HE-5</v>
      </c>
    </row>
    <row r="1962">
      <c r="A1962" t="str">
        <f>IFERROR(__xludf.DUMMYFUNCTION("""COMPUTED_VALUE"""),"2015-05-30-J08-HE-1")</f>
        <v>2015-05-30-J08-HE-1</v>
      </c>
    </row>
    <row r="1963">
      <c r="A1963" t="str">
        <f>IFERROR(__xludf.DUMMYFUNCTION("""COMPUTED_VALUE"""),"2015-05-30-J08-HE-2")</f>
        <v>2015-05-30-J08-HE-2</v>
      </c>
    </row>
    <row r="1964">
      <c r="A1964" t="str">
        <f>IFERROR(__xludf.DUMMYFUNCTION("""COMPUTED_VALUE"""),"2015-05-30-J08-HE-3")</f>
        <v>2015-05-30-J08-HE-3</v>
      </c>
    </row>
    <row r="1965">
      <c r="A1965" t="str">
        <f>IFERROR(__xludf.DUMMYFUNCTION("""COMPUTED_VALUE"""),"2015-05-30-J08-HE-4")</f>
        <v>2015-05-30-J08-HE-4</v>
      </c>
    </row>
    <row r="1966">
      <c r="A1966" t="str">
        <f>IFERROR(__xludf.DUMMYFUNCTION("""COMPUTED_VALUE"""),"2015-05-30-J08-HE-5")</f>
        <v>2015-05-30-J08-HE-5</v>
      </c>
    </row>
    <row r="1967">
      <c r="A1967" t="str">
        <f>IFERROR(__xludf.DUMMYFUNCTION("""COMPUTED_VALUE"""),"2015-05-30-J08-HE-6")</f>
        <v>2015-05-30-J08-HE-6</v>
      </c>
    </row>
    <row r="1968">
      <c r="A1968" t="str">
        <f>IFERROR(__xludf.DUMMYFUNCTION("""COMPUTED_VALUE"""),"2015-05-30-J08-HE-7")</f>
        <v>2015-05-30-J08-HE-7</v>
      </c>
    </row>
    <row r="1969">
      <c r="A1969" t="str">
        <f>IFERROR(__xludf.DUMMYFUNCTION("""COMPUTED_VALUE"""),"2015-05-30-J08-HE-8")</f>
        <v>2015-05-30-J08-HE-8</v>
      </c>
    </row>
    <row r="1970">
      <c r="A1970" t="str">
        <f>IFERROR(__xludf.DUMMYFUNCTION("""COMPUTED_VALUE"""),"2015-05-30-J08-HE-9")</f>
        <v>2015-05-30-J08-HE-9</v>
      </c>
    </row>
    <row r="1971">
      <c r="A1971" t="str">
        <f>IFERROR(__xludf.DUMMYFUNCTION("""COMPUTED_VALUE"""),"2015-05-30-J08-HE-10")</f>
        <v>2015-05-30-J08-HE-10</v>
      </c>
    </row>
    <row r="1972">
      <c r="A1972" t="str">
        <f>IFERROR(__xludf.DUMMYFUNCTION("""COMPUTED_VALUE"""),"2015-05-31-D08-SO-1")</f>
        <v>2015-05-31-D08-SO-1</v>
      </c>
    </row>
    <row r="1973">
      <c r="A1973" t="str">
        <f>IFERROR(__xludf.DUMMYFUNCTION("""COMPUTED_VALUE"""),"2015-05-31-D08-SO-2")</f>
        <v>2015-05-31-D08-SO-2</v>
      </c>
    </row>
    <row r="1974">
      <c r="A1974" t="str">
        <f>IFERROR(__xludf.DUMMYFUNCTION("""COMPUTED_VALUE"""),"2015-05-31-J04-SO-1")</f>
        <v>2015-05-31-J04-SO-1</v>
      </c>
    </row>
    <row r="1975">
      <c r="A1975" t="str">
        <f>IFERROR(__xludf.DUMMYFUNCTION("""COMPUTED_VALUE"""),"2015-05-31-J04-SO-2")</f>
        <v>2015-05-31-J04-SO-2</v>
      </c>
    </row>
    <row r="1976">
      <c r="A1976" t="str">
        <f>IFERROR(__xludf.DUMMYFUNCTION("""COMPUTED_VALUE"""),"2015-05-31-J04-SO-3")</f>
        <v>2015-05-31-J04-SO-3</v>
      </c>
    </row>
    <row r="1977">
      <c r="A1977" t="str">
        <f>IFERROR(__xludf.DUMMYFUNCTION("""COMPUTED_VALUE"""),"2015-05-31-J04-SO-4")</f>
        <v>2015-05-31-J04-SO-4</v>
      </c>
    </row>
    <row r="1978">
      <c r="A1978" t="str">
        <f>IFERROR(__xludf.DUMMYFUNCTION("""COMPUTED_VALUE"""),"2015-05-31-J04-SO-5")</f>
        <v>2015-05-31-J04-SO-5</v>
      </c>
    </row>
    <row r="1979">
      <c r="A1979" t="str">
        <f>IFERROR(__xludf.DUMMYFUNCTION("""COMPUTED_VALUE"""),"2015-05-31-J04-SO-6")</f>
        <v>2015-05-31-J04-SO-6</v>
      </c>
    </row>
    <row r="1980">
      <c r="A1980" t="str">
        <f>IFERROR(__xludf.DUMMYFUNCTION("""COMPUTED_VALUE"""),"2015-05-31-J04-SO-7")</f>
        <v>2015-05-31-J04-SO-7</v>
      </c>
    </row>
    <row r="1981">
      <c r="A1981" t="str">
        <f>IFERROR(__xludf.DUMMYFUNCTION("""COMPUTED_VALUE"""),"2015-05-31-J04-SO-8")</f>
        <v>2015-05-31-J04-SO-8</v>
      </c>
    </row>
    <row r="1982">
      <c r="A1982" t="str">
        <f>IFERROR(__xludf.DUMMYFUNCTION("""COMPUTED_VALUE"""),"2015-05-31-J04-SO-9")</f>
        <v>2015-05-31-J04-SO-9</v>
      </c>
    </row>
    <row r="1983">
      <c r="A1983" t="str">
        <f>IFERROR(__xludf.DUMMYFUNCTION("""COMPUTED_VALUE"""),"2015-05-31-J04-SO-10")</f>
        <v>2015-05-31-J04-SO-10</v>
      </c>
    </row>
    <row r="1984">
      <c r="A1984" t="str">
        <f>IFERROR(__xludf.DUMMYFUNCTION("""COMPUTED_VALUE"""),"2015-05-31-J04-SO-11")</f>
        <v>2015-05-31-J04-SO-11</v>
      </c>
    </row>
    <row r="1985">
      <c r="A1985" t="str">
        <f>IFERROR(__xludf.DUMMYFUNCTION("""COMPUTED_VALUE"""),"2015-05-31-J04-SO-12")</f>
        <v>2015-05-31-J04-SO-12</v>
      </c>
    </row>
    <row r="1986">
      <c r="A1986" t="str">
        <f>IFERROR(__xludf.DUMMYFUNCTION("""COMPUTED_VALUE"""),"2015-05-31-J04-SO-13")</f>
        <v>2015-05-31-J04-SO-13</v>
      </c>
    </row>
    <row r="1987">
      <c r="A1987" t="str">
        <f>IFERROR(__xludf.DUMMYFUNCTION("""COMPUTED_VALUE"""),"2015-05-31-J04-SO-14")</f>
        <v>2015-05-31-J04-SO-14</v>
      </c>
    </row>
    <row r="1988">
      <c r="A1988" t="str">
        <f>IFERROR(__xludf.DUMMYFUNCTION("""COMPUTED_VALUE"""),"2015-05-31-J04-SO-15")</f>
        <v>2015-05-31-J04-SO-15</v>
      </c>
    </row>
    <row r="1989">
      <c r="A1989" t="str">
        <f>IFERROR(__xludf.DUMMYFUNCTION("""COMPUTED_VALUE"""),"2015-05-31-J04-SO-16")</f>
        <v>2015-05-31-J04-SO-16</v>
      </c>
    </row>
    <row r="1990">
      <c r="A1990" t="str">
        <f>IFERROR(__xludf.DUMMYFUNCTION("""COMPUTED_VALUE"""),"2015-05-31-J04-SO-17")</f>
        <v>2015-05-31-J04-SO-17</v>
      </c>
    </row>
    <row r="1991">
      <c r="A1991" t="str">
        <f>IFERROR(__xludf.DUMMYFUNCTION("""COMPUTED_VALUE"""),"2015-05-31-J04-SO-18")</f>
        <v>2015-05-31-J04-SO-18</v>
      </c>
    </row>
    <row r="1992">
      <c r="A1992" t="str">
        <f>IFERROR(__xludf.DUMMYFUNCTION("""COMPUTED_VALUE"""),"2015-05-31-J04-SO-19")</f>
        <v>2015-05-31-J04-SO-19</v>
      </c>
    </row>
    <row r="1993">
      <c r="A1993" t="str">
        <f>IFERROR(__xludf.DUMMYFUNCTION("""COMPUTED_VALUE"""),"2015-05-31-J04-SO-20")</f>
        <v>2015-05-31-J04-SO-20</v>
      </c>
    </row>
    <row r="1994">
      <c r="A1994" t="str">
        <f>IFERROR(__xludf.DUMMYFUNCTION("""COMPUTED_VALUE"""),"2015-05-31-J04-SO-21")</f>
        <v>2015-05-31-J04-SO-21</v>
      </c>
    </row>
    <row r="1995">
      <c r="A1995" t="str">
        <f>IFERROR(__xludf.DUMMYFUNCTION("""COMPUTED_VALUE"""),"2015-05-31-J04-SO-22")</f>
        <v>2015-05-31-J04-SO-22</v>
      </c>
    </row>
    <row r="1996">
      <c r="A1996" t="str">
        <f>IFERROR(__xludf.DUMMYFUNCTION("""COMPUTED_VALUE"""),"2015-05-31-J04-SO-23")</f>
        <v>2015-05-31-J04-SO-23</v>
      </c>
    </row>
    <row r="1997">
      <c r="A1997" t="str">
        <f>IFERROR(__xludf.DUMMYFUNCTION("""COMPUTED_VALUE"""),"2015-05-31-J04-SO-24")</f>
        <v>2015-05-31-J04-SO-24</v>
      </c>
    </row>
    <row r="1998">
      <c r="A1998" t="str">
        <f>IFERROR(__xludf.DUMMYFUNCTION("""COMPUTED_VALUE"""),"2015-05-31-J04-SO-25")</f>
        <v>2015-05-31-J04-SO-25</v>
      </c>
    </row>
    <row r="1999">
      <c r="A1999" t="str">
        <f>IFERROR(__xludf.DUMMYFUNCTION("""COMPUTED_VALUE"""),"2015-05-31-J04-SO-26")</f>
        <v>2015-05-31-J04-SO-26</v>
      </c>
    </row>
    <row r="2000">
      <c r="A2000" t="str">
        <f>IFERROR(__xludf.DUMMYFUNCTION("""COMPUTED_VALUE"""),"2015-05-31-J04-SO-27")</f>
        <v>2015-05-31-J04-SO-27</v>
      </c>
    </row>
    <row r="2001">
      <c r="A2001" t="str">
        <f>IFERROR(__xludf.DUMMYFUNCTION("""COMPUTED_VALUE"""),"2015-05-31-J04-SO-28")</f>
        <v>2015-05-31-J04-SO-28</v>
      </c>
    </row>
    <row r="2002">
      <c r="A2002" t="str">
        <f>IFERROR(__xludf.DUMMYFUNCTION("""COMPUTED_VALUE"""),"2015-05-31-J04-SO-29")</f>
        <v>2015-05-31-J04-SO-29</v>
      </c>
    </row>
    <row r="2003">
      <c r="A2003" t="str">
        <f>IFERROR(__xludf.DUMMYFUNCTION("""COMPUTED_VALUE"""),"2015-05-31-J04-SO-30")</f>
        <v>2015-05-31-J04-SO-30</v>
      </c>
    </row>
    <row r="2004">
      <c r="A2004" t="str">
        <f>IFERROR(__xludf.DUMMYFUNCTION("""COMPUTED_VALUE"""),"2015-05-31-J03-SO-1")</f>
        <v>2015-05-31-J03-SO-1</v>
      </c>
    </row>
    <row r="2005">
      <c r="A2005" t="str">
        <f>IFERROR(__xludf.DUMMYFUNCTION("""COMPUTED_VALUE"""),"2015-05-31-J03-SO-2")</f>
        <v>2015-05-31-J03-SO-2</v>
      </c>
    </row>
    <row r="2006">
      <c r="A2006" t="str">
        <f>IFERROR(__xludf.DUMMYFUNCTION("""COMPUTED_VALUE"""),"2015-05-31-J03-SO-3")</f>
        <v>2015-05-31-J03-SO-3</v>
      </c>
    </row>
    <row r="2007">
      <c r="A2007" t="str">
        <f>IFERROR(__xludf.DUMMYFUNCTION("""COMPUTED_VALUE"""),"2015-05-31-J03-SO-4")</f>
        <v>2015-05-31-J03-SO-4</v>
      </c>
    </row>
    <row r="2008">
      <c r="A2008" t="str">
        <f>IFERROR(__xludf.DUMMYFUNCTION("""COMPUTED_VALUE"""),"2015-05-31-J03-SO-5")</f>
        <v>2015-05-31-J03-SO-5</v>
      </c>
    </row>
    <row r="2009">
      <c r="A2009" t="str">
        <f>IFERROR(__xludf.DUMMYFUNCTION("""COMPUTED_VALUE"""),"2015-05-31-J03-SO-6")</f>
        <v>2015-05-31-J03-SO-6</v>
      </c>
    </row>
    <row r="2010">
      <c r="A2010" t="str">
        <f>IFERROR(__xludf.DUMMYFUNCTION("""COMPUTED_VALUE"""),"2015-05-31-J03-SO-7")</f>
        <v>2015-05-31-J03-SO-7</v>
      </c>
    </row>
    <row r="2011">
      <c r="A2011" t="str">
        <f>IFERROR(__xludf.DUMMYFUNCTION("""COMPUTED_VALUE"""),"2015-05-31-J03-SO-8")</f>
        <v>2015-05-31-J03-SO-8</v>
      </c>
    </row>
    <row r="2012">
      <c r="A2012" t="str">
        <f>IFERROR(__xludf.DUMMYFUNCTION("""COMPUTED_VALUE"""),"2015-05-31-J03-SO-9")</f>
        <v>2015-05-31-J03-SO-9</v>
      </c>
    </row>
    <row r="2013">
      <c r="A2013" t="str">
        <f>IFERROR(__xludf.DUMMYFUNCTION("""COMPUTED_VALUE"""),"2015-05-31-J03-SO-10")</f>
        <v>2015-05-31-J03-SO-10</v>
      </c>
    </row>
    <row r="2014">
      <c r="A2014" t="str">
        <f>IFERROR(__xludf.DUMMYFUNCTION("""COMPUTED_VALUE"""),"2015-05-31-J03-SO-11")</f>
        <v>2015-05-31-J03-SO-11</v>
      </c>
    </row>
    <row r="2015">
      <c r="A2015" t="str">
        <f>IFERROR(__xludf.DUMMYFUNCTION("""COMPUTED_VALUE"""),"2015-05-31-J03-SO-12")</f>
        <v>2015-05-31-J03-SO-12</v>
      </c>
    </row>
    <row r="2016">
      <c r="A2016" t="str">
        <f>IFERROR(__xludf.DUMMYFUNCTION("""COMPUTED_VALUE"""),"2015-05-31-J03-SO-13")</f>
        <v>2015-05-31-J03-SO-13</v>
      </c>
    </row>
    <row r="2017">
      <c r="A2017" t="str">
        <f>IFERROR(__xludf.DUMMYFUNCTION("""COMPUTED_VALUE"""),"2015-05-31-J03-SO-14")</f>
        <v>2015-05-31-J03-SO-14</v>
      </c>
    </row>
    <row r="2018">
      <c r="A2018" t="str">
        <f>IFERROR(__xludf.DUMMYFUNCTION("""COMPUTED_VALUE"""),"2015-05-31-J03-SO-15")</f>
        <v>2015-05-31-J03-SO-15</v>
      </c>
    </row>
    <row r="2019">
      <c r="A2019" t="str">
        <f>IFERROR(__xludf.DUMMYFUNCTION("""COMPUTED_VALUE"""),"2015-05-31-J03-SO-16")</f>
        <v>2015-05-31-J03-SO-16</v>
      </c>
    </row>
    <row r="2020">
      <c r="A2020" t="str">
        <f>IFERROR(__xludf.DUMMYFUNCTION("""COMPUTED_VALUE"""),"2015-05-31-J03-SO-17")</f>
        <v>2015-05-31-J03-SO-17</v>
      </c>
    </row>
    <row r="2021">
      <c r="A2021" t="str">
        <f>IFERROR(__xludf.DUMMYFUNCTION("""COMPUTED_VALUE"""),"2015-05-31-J03-SO-18")</f>
        <v>2015-05-31-J03-SO-18</v>
      </c>
    </row>
    <row r="2022">
      <c r="A2022" t="str">
        <f>IFERROR(__xludf.DUMMYFUNCTION("""COMPUTED_VALUE"""),"2015-05-31-J03-SO-19")</f>
        <v>2015-05-31-J03-SO-19</v>
      </c>
    </row>
    <row r="2023">
      <c r="A2023" t="str">
        <f>IFERROR(__xludf.DUMMYFUNCTION("""COMPUTED_VALUE"""),"2015-05-31-J03-SO-20")</f>
        <v>2015-05-31-J03-SO-20</v>
      </c>
    </row>
    <row r="2024">
      <c r="A2024" t="str">
        <f>IFERROR(__xludf.DUMMYFUNCTION("""COMPUTED_VALUE"""),"2015-05-31-J03-SO-21")</f>
        <v>2015-05-31-J03-SO-21</v>
      </c>
    </row>
    <row r="2025">
      <c r="A2025" t="str">
        <f>IFERROR(__xludf.DUMMYFUNCTION("""COMPUTED_VALUE"""),"2015-05-31-J03-SO-22")</f>
        <v>2015-05-31-J03-SO-22</v>
      </c>
    </row>
    <row r="2026">
      <c r="A2026" t="str">
        <f>IFERROR(__xludf.DUMMYFUNCTION("""COMPUTED_VALUE"""),"2015-05-31-J03-SO-23")</f>
        <v>2015-05-31-J03-SO-23</v>
      </c>
    </row>
    <row r="2027">
      <c r="A2027" t="str">
        <f>IFERROR(__xludf.DUMMYFUNCTION("""COMPUTED_VALUE"""),"2015-05-31-J03-SO-24")</f>
        <v>2015-05-31-J03-SO-24</v>
      </c>
    </row>
    <row r="2028">
      <c r="A2028" t="str">
        <f>IFERROR(__xludf.DUMMYFUNCTION("""COMPUTED_VALUE"""),"2015-05-31-J03-SO-25")</f>
        <v>2015-05-31-J03-SO-25</v>
      </c>
    </row>
    <row r="2029">
      <c r="A2029" t="str">
        <f>IFERROR(__xludf.DUMMYFUNCTION("""COMPUTED_VALUE"""),"2015-05-31-J03-SO-26")</f>
        <v>2015-05-31-J03-SO-26</v>
      </c>
    </row>
    <row r="2030">
      <c r="A2030" t="str">
        <f>IFERROR(__xludf.DUMMYFUNCTION("""COMPUTED_VALUE"""),"2015-05-31-J03-SO-27")</f>
        <v>2015-05-31-J03-SO-27</v>
      </c>
    </row>
    <row r="2031">
      <c r="A2031" t="str">
        <f>IFERROR(__xludf.DUMMYFUNCTION("""COMPUTED_VALUE"""),"2015-05-31-J03-SO-28")</f>
        <v>2015-05-31-J03-SO-28</v>
      </c>
    </row>
    <row r="2032">
      <c r="A2032" t="str">
        <f>IFERROR(__xludf.DUMMYFUNCTION("""COMPUTED_VALUE"""),"2015-05-31-J03-SO-29")</f>
        <v>2015-05-31-J03-SO-29</v>
      </c>
    </row>
    <row r="2033">
      <c r="A2033" t="str">
        <f>IFERROR(__xludf.DUMMYFUNCTION("""COMPUTED_VALUE"""),"2015-05-31-J03-SO-30")</f>
        <v>2015-05-31-J03-SO-30</v>
      </c>
    </row>
    <row r="2034">
      <c r="A2034" t="str">
        <f>IFERROR(__xludf.DUMMYFUNCTION("""COMPUTED_VALUE"""),"2015-05-31-J09-SO-1")</f>
        <v>2015-05-31-J09-SO-1</v>
      </c>
    </row>
    <row r="2035">
      <c r="A2035" t="str">
        <f>IFERROR(__xludf.DUMMYFUNCTION("""COMPUTED_VALUE"""),"2015-05-31-J09-SO-2")</f>
        <v>2015-05-31-J09-SO-2</v>
      </c>
    </row>
    <row r="2036">
      <c r="A2036" t="str">
        <f>IFERROR(__xludf.DUMMYFUNCTION("""COMPUTED_VALUE"""),"2015-05-31-J09-SO-3")</f>
        <v>2015-05-31-J09-SO-3</v>
      </c>
    </row>
    <row r="2037">
      <c r="A2037" t="str">
        <f>IFERROR(__xludf.DUMMYFUNCTION("""COMPUTED_VALUE"""),"2015-05-31-J09-SO-4")</f>
        <v>2015-05-31-J09-SO-4</v>
      </c>
    </row>
    <row r="2038">
      <c r="A2038" t="str">
        <f>IFERROR(__xludf.DUMMYFUNCTION("""COMPUTED_VALUE"""),"2015-05-31-J09-SO-5")</f>
        <v>2015-05-31-J09-SO-5</v>
      </c>
    </row>
    <row r="2039">
      <c r="A2039" t="str">
        <f>IFERROR(__xludf.DUMMYFUNCTION("""COMPUTED_VALUE"""),"2015-05-31-J09-SO-6")</f>
        <v>2015-05-31-J09-SO-6</v>
      </c>
    </row>
    <row r="2040">
      <c r="A2040" t="str">
        <f>IFERROR(__xludf.DUMMYFUNCTION("""COMPUTED_VALUE"""),"2015-05-31-J09-SO-7")</f>
        <v>2015-05-31-J09-SO-7</v>
      </c>
    </row>
    <row r="2041">
      <c r="A2041" t="str">
        <f>IFERROR(__xludf.DUMMYFUNCTION("""COMPUTED_VALUE"""),"2015-05-31-J09-SO-8")</f>
        <v>2015-05-31-J09-SO-8</v>
      </c>
    </row>
    <row r="2042">
      <c r="A2042" t="str">
        <f>IFERROR(__xludf.DUMMYFUNCTION("""COMPUTED_VALUE"""),"2015-05-31-J09-SO-9")</f>
        <v>2015-05-31-J09-SO-9</v>
      </c>
    </row>
    <row r="2043">
      <c r="A2043" t="str">
        <f>IFERROR(__xludf.DUMMYFUNCTION("""COMPUTED_VALUE"""),"2015-05-31-J09-SO-10")</f>
        <v>2015-05-31-J09-SO-10</v>
      </c>
    </row>
    <row r="2044">
      <c r="A2044" t="str">
        <f>IFERROR(__xludf.DUMMYFUNCTION("""COMPUTED_VALUE"""),"2015-05-31-J09-SO-11")</f>
        <v>2015-05-31-J09-SO-11</v>
      </c>
    </row>
    <row r="2045">
      <c r="A2045" t="str">
        <f>IFERROR(__xludf.DUMMYFUNCTION("""COMPUTED_VALUE"""),"2015-05-31-J09-SO-12")</f>
        <v>2015-05-31-J09-SO-12</v>
      </c>
    </row>
    <row r="2046">
      <c r="A2046" t="str">
        <f>IFERROR(__xludf.DUMMYFUNCTION("""COMPUTED_VALUE"""),"2015-05-31-J09-SO-13")</f>
        <v>2015-05-31-J09-SO-13</v>
      </c>
    </row>
    <row r="2047">
      <c r="A2047" t="str">
        <f>IFERROR(__xludf.DUMMYFUNCTION("""COMPUTED_VALUE"""),"2015-05-31-J09-SO-14")</f>
        <v>2015-05-31-J09-SO-14</v>
      </c>
    </row>
    <row r="2048">
      <c r="A2048" t="str">
        <f>IFERROR(__xludf.DUMMYFUNCTION("""COMPUTED_VALUE"""),"2015-05-31-J09-SO-15")</f>
        <v>2015-05-31-J09-SO-15</v>
      </c>
    </row>
    <row r="2049">
      <c r="A2049" t="str">
        <f>IFERROR(__xludf.DUMMYFUNCTION("""COMPUTED_VALUE"""),"2015-05-31-J09-SO-16")</f>
        <v>2015-05-31-J09-SO-16</v>
      </c>
    </row>
    <row r="2050">
      <c r="A2050" t="str">
        <f>IFERROR(__xludf.DUMMYFUNCTION("""COMPUTED_VALUE"""),"2015-05-31-J09-SO-17")</f>
        <v>2015-05-31-J09-SO-17</v>
      </c>
    </row>
    <row r="2051">
      <c r="A2051" t="str">
        <f>IFERROR(__xludf.DUMMYFUNCTION("""COMPUTED_VALUE"""),"2015-05-31-J09-SO-18")</f>
        <v>2015-05-31-J09-SO-18</v>
      </c>
    </row>
    <row r="2052">
      <c r="A2052" t="str">
        <f>IFERROR(__xludf.DUMMYFUNCTION("""COMPUTED_VALUE"""),"2015-05-31-J09-SO-19")</f>
        <v>2015-05-31-J09-SO-19</v>
      </c>
    </row>
    <row r="2053">
      <c r="A2053" t="str">
        <f>IFERROR(__xludf.DUMMYFUNCTION("""COMPUTED_VALUE"""),"2015-05-31-J09-SO-20")</f>
        <v>2015-05-31-J09-SO-20</v>
      </c>
    </row>
    <row r="2054">
      <c r="A2054" t="str">
        <f>IFERROR(__xludf.DUMMYFUNCTION("""COMPUTED_VALUE"""),"2015-05-31-J09-SO-21")</f>
        <v>2015-05-31-J09-SO-21</v>
      </c>
    </row>
    <row r="2055">
      <c r="A2055" t="str">
        <f>IFERROR(__xludf.DUMMYFUNCTION("""COMPUTED_VALUE"""),"2015-05-31-J09-SO-22")</f>
        <v>2015-05-31-J09-SO-22</v>
      </c>
    </row>
    <row r="2056">
      <c r="A2056" t="str">
        <f>IFERROR(__xludf.DUMMYFUNCTION("""COMPUTED_VALUE"""),"2015-05-31-J09-SO-23")</f>
        <v>2015-05-31-J09-SO-23</v>
      </c>
    </row>
    <row r="2057">
      <c r="A2057" t="str">
        <f>IFERROR(__xludf.DUMMYFUNCTION("""COMPUTED_VALUE"""),"2015-05-31-J09-SO-24")</f>
        <v>2015-05-31-J09-SO-24</v>
      </c>
    </row>
    <row r="2058">
      <c r="A2058" t="str">
        <f>IFERROR(__xludf.DUMMYFUNCTION("""COMPUTED_VALUE"""),"2015-05-31-J09-SO-25")</f>
        <v>2015-05-31-J09-SO-25</v>
      </c>
    </row>
    <row r="2059">
      <c r="A2059" t="str">
        <f>IFERROR(__xludf.DUMMYFUNCTION("""COMPUTED_VALUE"""),"2015-05-31-J09-SO-26")</f>
        <v>2015-05-31-J09-SO-26</v>
      </c>
    </row>
    <row r="2060">
      <c r="A2060" t="str">
        <f>IFERROR(__xludf.DUMMYFUNCTION("""COMPUTED_VALUE"""),"2015-05-31-J09-SO-27")</f>
        <v>2015-05-31-J09-SO-27</v>
      </c>
    </row>
    <row r="2061">
      <c r="A2061" t="str">
        <f>IFERROR(__xludf.DUMMYFUNCTION("""COMPUTED_VALUE"""),"2015-05-31-J09-SO-28")</f>
        <v>2015-05-31-J09-SO-28</v>
      </c>
    </row>
    <row r="2062">
      <c r="A2062" t="str">
        <f>IFERROR(__xludf.DUMMYFUNCTION("""COMPUTED_VALUE"""),"2015-05-31-J09-SO-29")</f>
        <v>2015-05-31-J09-SO-29</v>
      </c>
    </row>
    <row r="2063">
      <c r="A2063" t="str">
        <f>IFERROR(__xludf.DUMMYFUNCTION("""COMPUTED_VALUE"""),"2015-05-31-J09-SO-30")</f>
        <v>2015-05-31-J09-SO-30</v>
      </c>
    </row>
    <row r="2064">
      <c r="A2064" t="str">
        <f>IFERROR(__xludf.DUMMYFUNCTION("""COMPUTED_VALUE"""),"2015-05-31-D08-PI-1")</f>
        <v>2015-05-31-D08-PI-1</v>
      </c>
    </row>
    <row r="2065">
      <c r="A2065" t="str">
        <f>IFERROR(__xludf.DUMMYFUNCTION("""COMPUTED_VALUE"""),"2015-05-31-D08-CU-1")</f>
        <v>2015-05-31-D08-CU-1</v>
      </c>
    </row>
    <row r="2066">
      <c r="A2066" t="str">
        <f>IFERROR(__xludf.DUMMYFUNCTION("""COMPUTED_VALUE"""),"2015-05-31-D08-CU-2")</f>
        <v>2015-05-31-D08-CU-2</v>
      </c>
    </row>
    <row r="2067">
      <c r="A2067" t="str">
        <f>IFERROR(__xludf.DUMMYFUNCTION("""COMPUTED_VALUE"""),"2015-05-31-D08-CU-3")</f>
        <v>2015-05-31-D08-CU-3</v>
      </c>
    </row>
    <row r="2068">
      <c r="A2068" t="str">
        <f>IFERROR(__xludf.DUMMYFUNCTION("""COMPUTED_VALUE"""),"2015-05-31-D08-CU-4")</f>
        <v>2015-05-31-D08-CU-4</v>
      </c>
    </row>
    <row r="2069">
      <c r="A2069" t="str">
        <f>IFERROR(__xludf.DUMMYFUNCTION("""COMPUTED_VALUE"""),"2015-05-31-D08-CU-5")</f>
        <v>2015-05-31-D08-CU-5</v>
      </c>
    </row>
    <row r="2070">
      <c r="A2070" t="str">
        <f>IFERROR(__xludf.DUMMYFUNCTION("""COMPUTED_VALUE"""),"2015-05-31-D08-CU-6")</f>
        <v>2015-05-31-D08-CU-6</v>
      </c>
    </row>
    <row r="2071">
      <c r="A2071" t="str">
        <f>IFERROR(__xludf.DUMMYFUNCTION("""COMPUTED_VALUE"""),"2015-05-31-D08-CU-7")</f>
        <v>2015-05-31-D08-CU-7</v>
      </c>
    </row>
    <row r="2072">
      <c r="A2072" t="str">
        <f>IFERROR(__xludf.DUMMYFUNCTION("""COMPUTED_VALUE"""),"2015-05-31-D08-CU-8")</f>
        <v>2015-05-31-D08-CU-8</v>
      </c>
    </row>
    <row r="2073">
      <c r="A2073" t="str">
        <f>IFERROR(__xludf.DUMMYFUNCTION("""COMPUTED_VALUE"""),"2015-05-31-D08-CU-9")</f>
        <v>2015-05-31-D08-CU-9</v>
      </c>
    </row>
    <row r="2074">
      <c r="A2074" t="str">
        <f>IFERROR(__xludf.DUMMYFUNCTION("""COMPUTED_VALUE"""),"2015-05-31-D08-CU-10")</f>
        <v>2015-05-31-D08-CU-10</v>
      </c>
    </row>
    <row r="2075">
      <c r="A2075" t="str">
        <f>IFERROR(__xludf.DUMMYFUNCTION("""COMPUTED_VALUE"""),"2015-05-31-J04-CU-1")</f>
        <v>2015-05-31-J04-CU-1</v>
      </c>
    </row>
    <row r="2076">
      <c r="A2076" t="str">
        <f>IFERROR(__xludf.DUMMYFUNCTION("""COMPUTED_VALUE"""),"2015-05-31-J04-CU-2")</f>
        <v>2015-05-31-J04-CU-2</v>
      </c>
    </row>
    <row r="2077">
      <c r="A2077" t="str">
        <f>IFERROR(__xludf.DUMMYFUNCTION("""COMPUTED_VALUE"""),"2015-05-31-J04-CU-3")</f>
        <v>2015-05-31-J04-CU-3</v>
      </c>
    </row>
    <row r="2078">
      <c r="A2078" t="str">
        <f>IFERROR(__xludf.DUMMYFUNCTION("""COMPUTED_VALUE"""),"2015-05-31-J04-CU-4")</f>
        <v>2015-05-31-J04-CU-4</v>
      </c>
    </row>
    <row r="2079">
      <c r="A2079" t="str">
        <f>IFERROR(__xludf.DUMMYFUNCTION("""COMPUTED_VALUE"""),"2015-05-31-J04-CU-5")</f>
        <v>2015-05-31-J04-CU-5</v>
      </c>
    </row>
    <row r="2080">
      <c r="A2080" t="str">
        <f>IFERROR(__xludf.DUMMYFUNCTION("""COMPUTED_VALUE"""),"2015-05-31-J04-CU-6")</f>
        <v>2015-05-31-J04-CU-6</v>
      </c>
    </row>
    <row r="2081">
      <c r="A2081" t="str">
        <f>IFERROR(__xludf.DUMMYFUNCTION("""COMPUTED_VALUE"""),"2015-05-31-J04-CU-7")</f>
        <v>2015-05-31-J04-CU-7</v>
      </c>
    </row>
    <row r="2082">
      <c r="A2082" t="str">
        <f>IFERROR(__xludf.DUMMYFUNCTION("""COMPUTED_VALUE"""),"2015-05-31-J04-CU-8")</f>
        <v>2015-05-31-J04-CU-8</v>
      </c>
    </row>
    <row r="2083">
      <c r="A2083" t="str">
        <f>IFERROR(__xludf.DUMMYFUNCTION("""COMPUTED_VALUE"""),"2015-05-31-J04-CU-9")</f>
        <v>2015-05-31-J04-CU-9</v>
      </c>
    </row>
    <row r="2084">
      <c r="A2084" t="str">
        <f>IFERROR(__xludf.DUMMYFUNCTION("""COMPUTED_VALUE"""),"2015-05-31-J04-CU-10")</f>
        <v>2015-05-31-J04-CU-10</v>
      </c>
    </row>
    <row r="2085">
      <c r="A2085" t="str">
        <f>IFERROR(__xludf.DUMMYFUNCTION("""COMPUTED_VALUE"""),"2015-05-31-J03-CU-1")</f>
        <v>2015-05-31-J03-CU-1</v>
      </c>
    </row>
    <row r="2086">
      <c r="A2086" t="str">
        <f>IFERROR(__xludf.DUMMYFUNCTION("""COMPUTED_VALUE"""),"2015-05-31-J03-CU-2")</f>
        <v>2015-05-31-J03-CU-2</v>
      </c>
    </row>
    <row r="2087">
      <c r="A2087" t="str">
        <f>IFERROR(__xludf.DUMMYFUNCTION("""COMPUTED_VALUE"""),"2015-05-31-J03-CU-3")</f>
        <v>2015-05-31-J03-CU-3</v>
      </c>
    </row>
    <row r="2088">
      <c r="A2088" t="str">
        <f>IFERROR(__xludf.DUMMYFUNCTION("""COMPUTED_VALUE"""),"2015-05-31-J03-CU-4")</f>
        <v>2015-05-31-J03-CU-4</v>
      </c>
    </row>
    <row r="2089">
      <c r="A2089" t="str">
        <f>IFERROR(__xludf.DUMMYFUNCTION("""COMPUTED_VALUE"""),"2015-05-31-J03-CU-5")</f>
        <v>2015-05-31-J03-CU-5</v>
      </c>
    </row>
    <row r="2090">
      <c r="A2090" t="str">
        <f>IFERROR(__xludf.DUMMYFUNCTION("""COMPUTED_VALUE"""),"2015-05-31-J03-CU-6")</f>
        <v>2015-05-31-J03-CU-6</v>
      </c>
    </row>
    <row r="2091">
      <c r="A2091" t="str">
        <f>IFERROR(__xludf.DUMMYFUNCTION("""COMPUTED_VALUE"""),"2015-05-31-J03-CU-7")</f>
        <v>2015-05-31-J03-CU-7</v>
      </c>
    </row>
    <row r="2092">
      <c r="A2092" t="str">
        <f>IFERROR(__xludf.DUMMYFUNCTION("""COMPUTED_VALUE"""),"2015-05-31-J03-CU-8")</f>
        <v>2015-05-31-J03-CU-8</v>
      </c>
    </row>
    <row r="2093">
      <c r="A2093" t="str">
        <f>IFERROR(__xludf.DUMMYFUNCTION("""COMPUTED_VALUE"""),"2015-05-31-J03-CU-9")</f>
        <v>2015-05-31-J03-CU-9</v>
      </c>
    </row>
    <row r="2094">
      <c r="A2094" t="str">
        <f>IFERROR(__xludf.DUMMYFUNCTION("""COMPUTED_VALUE"""),"2015-05-31-J03-CU-10")</f>
        <v>2015-05-31-J03-CU-10</v>
      </c>
    </row>
    <row r="2095">
      <c r="A2095" t="str">
        <f>IFERROR(__xludf.DUMMYFUNCTION("""COMPUTED_VALUE"""),"2015-05-31-J09-CU-1")</f>
        <v>2015-05-31-J09-CU-1</v>
      </c>
    </row>
    <row r="2096">
      <c r="A2096" t="str">
        <f>IFERROR(__xludf.DUMMYFUNCTION("""COMPUTED_VALUE"""),"2015-05-31-J09-CU-2")</f>
        <v>2015-05-31-J09-CU-2</v>
      </c>
    </row>
    <row r="2097">
      <c r="A2097" t="str">
        <f>IFERROR(__xludf.DUMMYFUNCTION("""COMPUTED_VALUE"""),"2015-05-31-J09-CU-3")</f>
        <v>2015-05-31-J09-CU-3</v>
      </c>
    </row>
    <row r="2098">
      <c r="A2098" t="str">
        <f>IFERROR(__xludf.DUMMYFUNCTION("""COMPUTED_VALUE"""),"2015-05-31-J09-CU-4")</f>
        <v>2015-05-31-J09-CU-4</v>
      </c>
    </row>
    <row r="2099">
      <c r="A2099" t="str">
        <f>IFERROR(__xludf.DUMMYFUNCTION("""COMPUTED_VALUE"""),"2015-05-31-J09-CU-5")</f>
        <v>2015-05-31-J09-CU-5</v>
      </c>
    </row>
    <row r="2100">
      <c r="A2100" t="str">
        <f>IFERROR(__xludf.DUMMYFUNCTION("""COMPUTED_VALUE"""),"2015-05-31-J09-CU-6")</f>
        <v>2015-05-31-J09-CU-6</v>
      </c>
    </row>
    <row r="2101">
      <c r="A2101" t="str">
        <f>IFERROR(__xludf.DUMMYFUNCTION("""COMPUTED_VALUE"""),"2015-05-31-J09-CU-7")</f>
        <v>2015-05-31-J09-CU-7</v>
      </c>
    </row>
    <row r="2102">
      <c r="A2102" t="str">
        <f>IFERROR(__xludf.DUMMYFUNCTION("""COMPUTED_VALUE"""),"2015-05-31-J09-CU-8")</f>
        <v>2015-05-31-J09-CU-8</v>
      </c>
    </row>
    <row r="2103">
      <c r="A2103" t="str">
        <f>IFERROR(__xludf.DUMMYFUNCTION("""COMPUTED_VALUE"""),"2015-05-31-J09-CU-9")</f>
        <v>2015-05-31-J09-CU-9</v>
      </c>
    </row>
    <row r="2104">
      <c r="A2104" t="str">
        <f>IFERROR(__xludf.DUMMYFUNCTION("""COMPUTED_VALUE"""),"2015-05-31-J09-CU-10")</f>
        <v>2015-05-31-J09-CU-10</v>
      </c>
    </row>
    <row r="2105">
      <c r="A2105" t="str">
        <f>IFERROR(__xludf.DUMMYFUNCTION("""COMPUTED_VALUE"""),"2015-05-31-J09-CO-1")</f>
        <v>2015-05-31-J09-CO-1</v>
      </c>
    </row>
    <row r="2106">
      <c r="A2106" t="str">
        <f>IFERROR(__xludf.DUMMYFUNCTION("""COMPUTED_VALUE"""),"2015-05-31-J04-HE-1")</f>
        <v>2015-05-31-J04-HE-1</v>
      </c>
    </row>
    <row r="2107">
      <c r="A2107" t="str">
        <f>IFERROR(__xludf.DUMMYFUNCTION("""COMPUTED_VALUE"""),"2015-05-31-J04-HE-2")</f>
        <v>2015-05-31-J04-HE-2</v>
      </c>
    </row>
    <row r="2108">
      <c r="A2108" t="str">
        <f>IFERROR(__xludf.DUMMYFUNCTION("""COMPUTED_VALUE"""),"2015-05-31-J04-HE-3")</f>
        <v>2015-05-31-J04-HE-3</v>
      </c>
    </row>
    <row r="2109">
      <c r="A2109" t="str">
        <f>IFERROR(__xludf.DUMMYFUNCTION("""COMPUTED_VALUE"""),"2015-05-31-J03-HE-1")</f>
        <v>2015-05-31-J03-HE-1</v>
      </c>
    </row>
    <row r="2110">
      <c r="A2110" t="str">
        <f>IFERROR(__xludf.DUMMYFUNCTION("""COMPUTED_VALUE"""),"2015-05-31-J03-HE-2")</f>
        <v>2015-05-31-J03-HE-2</v>
      </c>
    </row>
    <row r="2111">
      <c r="A2111" t="str">
        <f>IFERROR(__xludf.DUMMYFUNCTION("""COMPUTED_VALUE"""),"2015-05-31-J03-HE-3")</f>
        <v>2015-05-31-J03-HE-3</v>
      </c>
    </row>
    <row r="2112">
      <c r="A2112" t="str">
        <f>IFERROR(__xludf.DUMMYFUNCTION("""COMPUTED_VALUE"""),"2015-05-31-J03-HE-4")</f>
        <v>2015-05-31-J03-HE-4</v>
      </c>
    </row>
    <row r="2113">
      <c r="A2113" t="str">
        <f>IFERROR(__xludf.DUMMYFUNCTION("""COMPUTED_VALUE"""),"2015-05-31-J03-HE-5")</f>
        <v>2015-05-31-J03-HE-5</v>
      </c>
    </row>
    <row r="2114">
      <c r="A2114" t="str">
        <f>IFERROR(__xludf.DUMMYFUNCTION("""COMPUTED_VALUE"""),"2015-05-31-J03-HE-6")</f>
        <v>2015-05-31-J03-HE-6</v>
      </c>
    </row>
    <row r="2115">
      <c r="A2115" t="str">
        <f>IFERROR(__xludf.DUMMYFUNCTION("""COMPUTED_VALUE"""),"2015-05-31-J03-HE-7")</f>
        <v>2015-05-31-J03-HE-7</v>
      </c>
    </row>
    <row r="2116">
      <c r="A2116" t="str">
        <f>IFERROR(__xludf.DUMMYFUNCTION("""COMPUTED_VALUE"""),"2015-05-31-J03-HE-8")</f>
        <v>2015-05-31-J03-HE-8</v>
      </c>
    </row>
    <row r="2117">
      <c r="A2117" t="str">
        <f>IFERROR(__xludf.DUMMYFUNCTION("""COMPUTED_VALUE"""),"2015-05-31-J03-HE-9")</f>
        <v>2015-05-31-J03-HE-9</v>
      </c>
    </row>
    <row r="2118">
      <c r="A2118" t="str">
        <f>IFERROR(__xludf.DUMMYFUNCTION("""COMPUTED_VALUE"""),"2015-05-31-J03-HE-10")</f>
        <v>2015-05-31-J03-HE-10</v>
      </c>
    </row>
    <row r="2119">
      <c r="A2119" t="str">
        <f>IFERROR(__xludf.DUMMYFUNCTION("""COMPUTED_VALUE"""),"2015-06-01-D10-SO-1")</f>
        <v>2015-06-01-D10-SO-1</v>
      </c>
    </row>
    <row r="2120">
      <c r="A2120" t="str">
        <f>IFERROR(__xludf.DUMMYFUNCTION("""COMPUTED_VALUE"""),"2015-06-01-D10-SO-2")</f>
        <v>2015-06-01-D10-SO-2</v>
      </c>
    </row>
    <row r="2121">
      <c r="A2121" t="str">
        <f>IFERROR(__xludf.DUMMYFUNCTION("""COMPUTED_VALUE"""),"2015-06-01-D10-SO-3")</f>
        <v>2015-06-01-D10-SO-3</v>
      </c>
    </row>
    <row r="2122">
      <c r="A2122" t="str">
        <f>IFERROR(__xludf.DUMMYFUNCTION("""COMPUTED_VALUE"""),"2015-06-01-D10-SO-4")</f>
        <v>2015-06-01-D10-SO-4</v>
      </c>
    </row>
    <row r="2123">
      <c r="A2123" t="str">
        <f>IFERROR(__xludf.DUMMYFUNCTION("""COMPUTED_VALUE"""),"2015-06-01-D10-SO-5")</f>
        <v>2015-06-01-D10-SO-5</v>
      </c>
    </row>
    <row r="2124">
      <c r="A2124" t="str">
        <f>IFERROR(__xludf.DUMMYFUNCTION("""COMPUTED_VALUE"""),"2015-06-01-D10-SO-6")</f>
        <v>2015-06-01-D10-SO-6</v>
      </c>
    </row>
    <row r="2125">
      <c r="A2125" t="str">
        <f>IFERROR(__xludf.DUMMYFUNCTION("""COMPUTED_VALUE"""),"2015-06-01-D10-SO-7")</f>
        <v>2015-06-01-D10-SO-7</v>
      </c>
    </row>
    <row r="2126">
      <c r="A2126" t="str">
        <f>IFERROR(__xludf.DUMMYFUNCTION("""COMPUTED_VALUE"""),"2015-06-01-D10-SO-8")</f>
        <v>2015-06-01-D10-SO-8</v>
      </c>
    </row>
    <row r="2127">
      <c r="A2127" t="str">
        <f>IFERROR(__xludf.DUMMYFUNCTION("""COMPUTED_VALUE"""),"2015-06-01-D10-SO-9")</f>
        <v>2015-06-01-D10-SO-9</v>
      </c>
    </row>
    <row r="2128">
      <c r="A2128" t="str">
        <f>IFERROR(__xludf.DUMMYFUNCTION("""COMPUTED_VALUE"""),"2015-06-01-D10-SO-10")</f>
        <v>2015-06-01-D10-SO-10</v>
      </c>
    </row>
    <row r="2129">
      <c r="A2129" t="str">
        <f>IFERROR(__xludf.DUMMYFUNCTION("""COMPUTED_VALUE"""),"2015-06-01-D10-SO-11")</f>
        <v>2015-06-01-D10-SO-11</v>
      </c>
    </row>
    <row r="2130">
      <c r="A2130" t="str">
        <f>IFERROR(__xludf.DUMMYFUNCTION("""COMPUTED_VALUE"""),"2015-06-01-D10-SO-12")</f>
        <v>2015-06-01-D10-SO-12</v>
      </c>
    </row>
    <row r="2131">
      <c r="A2131" t="str">
        <f>IFERROR(__xludf.DUMMYFUNCTION("""COMPUTED_VALUE"""),"2015-06-01-D10-SO-13")</f>
        <v>2015-06-01-D10-SO-13</v>
      </c>
    </row>
    <row r="2132">
      <c r="A2132" t="str">
        <f>IFERROR(__xludf.DUMMYFUNCTION("""COMPUTED_VALUE"""),"2015-06-01-D10-SO-14")</f>
        <v>2015-06-01-D10-SO-14</v>
      </c>
    </row>
    <row r="2133">
      <c r="A2133" t="str">
        <f>IFERROR(__xludf.DUMMYFUNCTION("""COMPUTED_VALUE"""),"2015-06-01-D10-SO-15")</f>
        <v>2015-06-01-D10-SO-15</v>
      </c>
    </row>
    <row r="2134">
      <c r="A2134" t="str">
        <f>IFERROR(__xludf.DUMMYFUNCTION("""COMPUTED_VALUE"""),"2015-06-01-D10-SO-16")</f>
        <v>2015-06-01-D10-SO-16</v>
      </c>
    </row>
    <row r="2135">
      <c r="A2135" t="str">
        <f>IFERROR(__xludf.DUMMYFUNCTION("""COMPUTED_VALUE"""),"2015-06-01-D10-SO-17")</f>
        <v>2015-06-01-D10-SO-17</v>
      </c>
    </row>
    <row r="2136">
      <c r="A2136" t="str">
        <f>IFERROR(__xludf.DUMMYFUNCTION("""COMPUTED_VALUE"""),"2015-06-01-D10-SO-18")</f>
        <v>2015-06-01-D10-SO-18</v>
      </c>
    </row>
    <row r="2137">
      <c r="A2137" t="str">
        <f>IFERROR(__xludf.DUMMYFUNCTION("""COMPUTED_VALUE"""),"2015-06-01-D10-SO-19")</f>
        <v>2015-06-01-D10-SO-19</v>
      </c>
    </row>
    <row r="2138">
      <c r="A2138" t="str">
        <f>IFERROR(__xludf.DUMMYFUNCTION("""COMPUTED_VALUE"""),"2015-06-01-D10-SO-20")</f>
        <v>2015-06-01-D10-SO-20</v>
      </c>
    </row>
    <row r="2139">
      <c r="A2139" t="str">
        <f>IFERROR(__xludf.DUMMYFUNCTION("""COMPUTED_VALUE"""),"2015-06-01-D10-SO-21")</f>
        <v>2015-06-01-D10-SO-21</v>
      </c>
    </row>
    <row r="2140">
      <c r="A2140" t="str">
        <f>IFERROR(__xludf.DUMMYFUNCTION("""COMPUTED_VALUE"""),"2015-06-01-D10-SO-22")</f>
        <v>2015-06-01-D10-SO-22</v>
      </c>
    </row>
    <row r="2141">
      <c r="A2141" t="str">
        <f>IFERROR(__xludf.DUMMYFUNCTION("""COMPUTED_VALUE"""),"2015-06-01-D10-SO-23")</f>
        <v>2015-06-01-D10-SO-23</v>
      </c>
    </row>
    <row r="2142">
      <c r="A2142" t="str">
        <f>IFERROR(__xludf.DUMMYFUNCTION("""COMPUTED_VALUE"""),"2015-06-01-D10-SO-24")</f>
        <v>2015-06-01-D10-SO-24</v>
      </c>
    </row>
    <row r="2143">
      <c r="A2143" t="str">
        <f>IFERROR(__xludf.DUMMYFUNCTION("""COMPUTED_VALUE"""),"2015-06-01-D10-SO-25")</f>
        <v>2015-06-01-D10-SO-25</v>
      </c>
    </row>
    <row r="2144">
      <c r="A2144" t="str">
        <f>IFERROR(__xludf.DUMMYFUNCTION("""COMPUTED_VALUE"""),"2015-06-01-D10-SO-26")</f>
        <v>2015-06-01-D10-SO-26</v>
      </c>
    </row>
    <row r="2145">
      <c r="A2145" t="str">
        <f>IFERROR(__xludf.DUMMYFUNCTION("""COMPUTED_VALUE"""),"2015-06-01-D10-SO-27")</f>
        <v>2015-06-01-D10-SO-27</v>
      </c>
    </row>
    <row r="2146">
      <c r="A2146" t="str">
        <f>IFERROR(__xludf.DUMMYFUNCTION("""COMPUTED_VALUE"""),"2015-06-01-D10-SO-28")</f>
        <v>2015-06-01-D10-SO-28</v>
      </c>
    </row>
    <row r="2147">
      <c r="A2147" t="str">
        <f>IFERROR(__xludf.DUMMYFUNCTION("""COMPUTED_VALUE"""),"2015-06-01-D10-SO-29")</f>
        <v>2015-06-01-D10-SO-29</v>
      </c>
    </row>
    <row r="2148">
      <c r="A2148" t="str">
        <f>IFERROR(__xludf.DUMMYFUNCTION("""COMPUTED_VALUE"""),"2015-06-01-D10-SO-30")</f>
        <v>2015-06-01-D10-SO-30</v>
      </c>
    </row>
    <row r="2149">
      <c r="A2149" t="str">
        <f>IFERROR(__xludf.DUMMYFUNCTION("""COMPUTED_VALUE"""),"2015-06-01-D11-SO-1")</f>
        <v>2015-06-01-D11-SO-1</v>
      </c>
    </row>
    <row r="2150">
      <c r="A2150" t="str">
        <f>IFERROR(__xludf.DUMMYFUNCTION("""COMPUTED_VALUE"""),"2015-06-01-D11-SO-2")</f>
        <v>2015-06-01-D11-SO-2</v>
      </c>
    </row>
    <row r="2151">
      <c r="A2151" t="str">
        <f>IFERROR(__xludf.DUMMYFUNCTION("""COMPUTED_VALUE"""),"2015-06-01-D11-SO-3")</f>
        <v>2015-06-01-D11-SO-3</v>
      </c>
    </row>
    <row r="2152">
      <c r="A2152" t="str">
        <f>IFERROR(__xludf.DUMMYFUNCTION("""COMPUTED_VALUE"""),"2015-06-01-D11-SO-4")</f>
        <v>2015-06-01-D11-SO-4</v>
      </c>
    </row>
    <row r="2153">
      <c r="A2153" t="str">
        <f>IFERROR(__xludf.DUMMYFUNCTION("""COMPUTED_VALUE"""),"2015-06-01-D11-SO-5")</f>
        <v>2015-06-01-D11-SO-5</v>
      </c>
    </row>
    <row r="2154">
      <c r="A2154" t="str">
        <f>IFERROR(__xludf.DUMMYFUNCTION("""COMPUTED_VALUE"""),"2015-06-01-D11-SO-6")</f>
        <v>2015-06-01-D11-SO-6</v>
      </c>
    </row>
    <row r="2155">
      <c r="A2155" t="str">
        <f>IFERROR(__xludf.DUMMYFUNCTION("""COMPUTED_VALUE"""),"2015-06-01-D11-SO-7")</f>
        <v>2015-06-01-D11-SO-7</v>
      </c>
    </row>
    <row r="2156">
      <c r="A2156" t="str">
        <f>IFERROR(__xludf.DUMMYFUNCTION("""COMPUTED_VALUE"""),"2015-06-01-D11-SO-8")</f>
        <v>2015-06-01-D11-SO-8</v>
      </c>
    </row>
    <row r="2157">
      <c r="A2157" t="str">
        <f>IFERROR(__xludf.DUMMYFUNCTION("""COMPUTED_VALUE"""),"2015-06-01-D11-SO-9")</f>
        <v>2015-06-01-D11-SO-9</v>
      </c>
    </row>
    <row r="2158">
      <c r="A2158" t="str">
        <f>IFERROR(__xludf.DUMMYFUNCTION("""COMPUTED_VALUE"""),"2015-06-01-D11-SO-10")</f>
        <v>2015-06-01-D11-SO-10</v>
      </c>
    </row>
    <row r="2159">
      <c r="A2159" t="str">
        <f>IFERROR(__xludf.DUMMYFUNCTION("""COMPUTED_VALUE"""),"2015-06-01-D11-SO-11")</f>
        <v>2015-06-01-D11-SO-11</v>
      </c>
    </row>
    <row r="2160">
      <c r="A2160" t="str">
        <f>IFERROR(__xludf.DUMMYFUNCTION("""COMPUTED_VALUE"""),"2015-06-01-D11-SO-12")</f>
        <v>2015-06-01-D11-SO-12</v>
      </c>
    </row>
    <row r="2161">
      <c r="A2161" t="str">
        <f>IFERROR(__xludf.DUMMYFUNCTION("""COMPUTED_VALUE"""),"2015-06-01-D11-SO-13")</f>
        <v>2015-06-01-D11-SO-13</v>
      </c>
    </row>
    <row r="2162">
      <c r="A2162" t="str">
        <f>IFERROR(__xludf.DUMMYFUNCTION("""COMPUTED_VALUE"""),"2015-06-01-D11-SO-14")</f>
        <v>2015-06-01-D11-SO-14</v>
      </c>
    </row>
    <row r="2163">
      <c r="A2163" t="str">
        <f>IFERROR(__xludf.DUMMYFUNCTION("""COMPUTED_VALUE"""),"2015-06-01-D11-SO-15")</f>
        <v>2015-06-01-D11-SO-15</v>
      </c>
    </row>
    <row r="2164">
      <c r="A2164" t="str">
        <f>IFERROR(__xludf.DUMMYFUNCTION("""COMPUTED_VALUE"""),"2015-06-01-D11-SO-16")</f>
        <v>2015-06-01-D11-SO-16</v>
      </c>
    </row>
    <row r="2165">
      <c r="A2165" t="str">
        <f>IFERROR(__xludf.DUMMYFUNCTION("""COMPUTED_VALUE"""),"2015-06-01-D11-SO-17")</f>
        <v>2015-06-01-D11-SO-17</v>
      </c>
    </row>
    <row r="2166">
      <c r="A2166" t="str">
        <f>IFERROR(__xludf.DUMMYFUNCTION("""COMPUTED_VALUE"""),"2015-06-01-D11-SO-18")</f>
        <v>2015-06-01-D11-SO-18</v>
      </c>
    </row>
    <row r="2167">
      <c r="A2167" t="str">
        <f>IFERROR(__xludf.DUMMYFUNCTION("""COMPUTED_VALUE"""),"2015-06-01-D11-SO-19")</f>
        <v>2015-06-01-D11-SO-19</v>
      </c>
    </row>
    <row r="2168">
      <c r="A2168" t="str">
        <f>IFERROR(__xludf.DUMMYFUNCTION("""COMPUTED_VALUE"""),"2015-06-01-D11-SO-20")</f>
        <v>2015-06-01-D11-SO-20</v>
      </c>
    </row>
    <row r="2169">
      <c r="A2169" t="str">
        <f>IFERROR(__xludf.DUMMYFUNCTION("""COMPUTED_VALUE"""),"2015-06-01-D11-SO-21")</f>
        <v>2015-06-01-D11-SO-21</v>
      </c>
    </row>
    <row r="2170">
      <c r="A2170" t="str">
        <f>IFERROR(__xludf.DUMMYFUNCTION("""COMPUTED_VALUE"""),"2015-06-01-D11-SO-22")</f>
        <v>2015-06-01-D11-SO-22</v>
      </c>
    </row>
    <row r="2171">
      <c r="A2171" t="str">
        <f>IFERROR(__xludf.DUMMYFUNCTION("""COMPUTED_VALUE"""),"2015-06-01-D11-SO-23")</f>
        <v>2015-06-01-D11-SO-23</v>
      </c>
    </row>
    <row r="2172">
      <c r="A2172" t="str">
        <f>IFERROR(__xludf.DUMMYFUNCTION("""COMPUTED_VALUE"""),"2015-06-01-D11-SO-24")</f>
        <v>2015-06-01-D11-SO-24</v>
      </c>
    </row>
    <row r="2173">
      <c r="A2173" t="str">
        <f>IFERROR(__xludf.DUMMYFUNCTION("""COMPUTED_VALUE"""),"2015-06-01-D11-SO-25")</f>
        <v>2015-06-01-D11-SO-25</v>
      </c>
    </row>
    <row r="2174">
      <c r="A2174" t="str">
        <f>IFERROR(__xludf.DUMMYFUNCTION("""COMPUTED_VALUE"""),"2015-06-01-D11-SO-26")</f>
        <v>2015-06-01-D11-SO-26</v>
      </c>
    </row>
    <row r="2175">
      <c r="A2175" t="str">
        <f>IFERROR(__xludf.DUMMYFUNCTION("""COMPUTED_VALUE"""),"2015-06-01-D11-SO-27")</f>
        <v>2015-06-01-D11-SO-27</v>
      </c>
    </row>
    <row r="2176">
      <c r="A2176" t="str">
        <f>IFERROR(__xludf.DUMMYFUNCTION("""COMPUTED_VALUE"""),"2015-06-01-D11-SO-28")</f>
        <v>2015-06-01-D11-SO-28</v>
      </c>
    </row>
    <row r="2177">
      <c r="A2177" t="str">
        <f>IFERROR(__xludf.DUMMYFUNCTION("""COMPUTED_VALUE"""),"2015-06-01-D11-SO-29")</f>
        <v>2015-06-01-D11-SO-29</v>
      </c>
    </row>
    <row r="2178">
      <c r="A2178" t="str">
        <f>IFERROR(__xludf.DUMMYFUNCTION("""COMPUTED_VALUE"""),"2015-06-01-D11-SO-30")</f>
        <v>2015-06-01-D11-SO-30</v>
      </c>
    </row>
    <row r="2179">
      <c r="A2179" t="str">
        <f>IFERROR(__xludf.DUMMYFUNCTION("""COMPUTED_VALUE"""),"2015-06-01-D09-SO-1")</f>
        <v>2015-06-01-D09-SO-1</v>
      </c>
    </row>
    <row r="2180">
      <c r="A2180" t="str">
        <f>IFERROR(__xludf.DUMMYFUNCTION("""COMPUTED_VALUE"""),"2015-06-01-D09-SO-2")</f>
        <v>2015-06-01-D09-SO-2</v>
      </c>
    </row>
    <row r="2181">
      <c r="A2181" t="str">
        <f>IFERROR(__xludf.DUMMYFUNCTION("""COMPUTED_VALUE"""),"2015-06-01-D09-SO-3")</f>
        <v>2015-06-01-D09-SO-3</v>
      </c>
    </row>
    <row r="2182">
      <c r="A2182" t="str">
        <f>IFERROR(__xludf.DUMMYFUNCTION("""COMPUTED_VALUE"""),"2015-06-01-D09-SO-4")</f>
        <v>2015-06-01-D09-SO-4</v>
      </c>
    </row>
    <row r="2183">
      <c r="A2183" t="str">
        <f>IFERROR(__xludf.DUMMYFUNCTION("""COMPUTED_VALUE"""),"2015-06-01-D09-SO-5")</f>
        <v>2015-06-01-D09-SO-5</v>
      </c>
    </row>
    <row r="2184">
      <c r="A2184" t="str">
        <f>IFERROR(__xludf.DUMMYFUNCTION("""COMPUTED_VALUE"""),"2015-06-01-D09-SO-6")</f>
        <v>2015-06-01-D09-SO-6</v>
      </c>
    </row>
    <row r="2185">
      <c r="A2185" t="str">
        <f>IFERROR(__xludf.DUMMYFUNCTION("""COMPUTED_VALUE"""),"2015-06-01-D09-SO-7")</f>
        <v>2015-06-01-D09-SO-7</v>
      </c>
    </row>
    <row r="2186">
      <c r="A2186" t="str">
        <f>IFERROR(__xludf.DUMMYFUNCTION("""COMPUTED_VALUE"""),"2015-06-01-D09-SO-8")</f>
        <v>2015-06-01-D09-SO-8</v>
      </c>
    </row>
    <row r="2187">
      <c r="A2187" t="str">
        <f>IFERROR(__xludf.DUMMYFUNCTION("""COMPUTED_VALUE"""),"2015-06-01-D09-SO-9")</f>
        <v>2015-06-01-D09-SO-9</v>
      </c>
    </row>
    <row r="2188">
      <c r="A2188" t="str">
        <f>IFERROR(__xludf.DUMMYFUNCTION("""COMPUTED_VALUE"""),"2015-06-01-D09-SO-10")</f>
        <v>2015-06-01-D09-SO-10</v>
      </c>
    </row>
    <row r="2189">
      <c r="A2189" t="str">
        <f>IFERROR(__xludf.DUMMYFUNCTION("""COMPUTED_VALUE"""),"2015-06-01-D09-SO-11")</f>
        <v>2015-06-01-D09-SO-11</v>
      </c>
    </row>
    <row r="2190">
      <c r="A2190" t="str">
        <f>IFERROR(__xludf.DUMMYFUNCTION("""COMPUTED_VALUE"""),"2015-06-01-D09-SO-12")</f>
        <v>2015-06-01-D09-SO-12</v>
      </c>
    </row>
    <row r="2191">
      <c r="A2191" t="str">
        <f>IFERROR(__xludf.DUMMYFUNCTION("""COMPUTED_VALUE"""),"2015-06-01-D09-SO-13")</f>
        <v>2015-06-01-D09-SO-13</v>
      </c>
    </row>
    <row r="2192">
      <c r="A2192" t="str">
        <f>IFERROR(__xludf.DUMMYFUNCTION("""COMPUTED_VALUE"""),"2015-06-01-D09-SO-14")</f>
        <v>2015-06-01-D09-SO-14</v>
      </c>
    </row>
    <row r="2193">
      <c r="A2193" t="str">
        <f>IFERROR(__xludf.DUMMYFUNCTION("""COMPUTED_VALUE"""),"2015-06-01-D09-SO-15")</f>
        <v>2015-06-01-D09-SO-15</v>
      </c>
    </row>
    <row r="2194">
      <c r="A2194" t="str">
        <f>IFERROR(__xludf.DUMMYFUNCTION("""COMPUTED_VALUE"""),"2015-06-01-D09-SO-16")</f>
        <v>2015-06-01-D09-SO-16</v>
      </c>
    </row>
    <row r="2195">
      <c r="A2195" t="str">
        <f>IFERROR(__xludf.DUMMYFUNCTION("""COMPUTED_VALUE"""),"2015-06-01-D09-SO-17")</f>
        <v>2015-06-01-D09-SO-17</v>
      </c>
    </row>
    <row r="2196">
      <c r="A2196" t="str">
        <f>IFERROR(__xludf.DUMMYFUNCTION("""COMPUTED_VALUE"""),"2015-06-01-D09-SO-18")</f>
        <v>2015-06-01-D09-SO-18</v>
      </c>
    </row>
    <row r="2197">
      <c r="A2197" t="str">
        <f>IFERROR(__xludf.DUMMYFUNCTION("""COMPUTED_VALUE"""),"2015-06-01-D09-SO-19")</f>
        <v>2015-06-01-D09-SO-19</v>
      </c>
    </row>
    <row r="2198">
      <c r="A2198" t="str">
        <f>IFERROR(__xludf.DUMMYFUNCTION("""COMPUTED_VALUE"""),"2015-06-01-D09-SO-20")</f>
        <v>2015-06-01-D09-SO-20</v>
      </c>
    </row>
    <row r="2199">
      <c r="A2199" t="str">
        <f>IFERROR(__xludf.DUMMYFUNCTION("""COMPUTED_VALUE"""),"2015-06-01-D09-SO-21")</f>
        <v>2015-06-01-D09-SO-21</v>
      </c>
    </row>
    <row r="2200">
      <c r="A2200" t="str">
        <f>IFERROR(__xludf.DUMMYFUNCTION("""COMPUTED_VALUE"""),"2015-06-01-D09-SO-22")</f>
        <v>2015-06-01-D09-SO-22</v>
      </c>
    </row>
    <row r="2201">
      <c r="A2201" t="str">
        <f>IFERROR(__xludf.DUMMYFUNCTION("""COMPUTED_VALUE"""),"2015-06-01-D09-SO-23")</f>
        <v>2015-06-01-D09-SO-23</v>
      </c>
    </row>
    <row r="2202">
      <c r="A2202" t="str">
        <f>IFERROR(__xludf.DUMMYFUNCTION("""COMPUTED_VALUE"""),"2015-06-01-D09-SO-24")</f>
        <v>2015-06-01-D09-SO-24</v>
      </c>
    </row>
    <row r="2203">
      <c r="A2203" t="str">
        <f>IFERROR(__xludf.DUMMYFUNCTION("""COMPUTED_VALUE"""),"2015-06-01-D09-SO-25")</f>
        <v>2015-06-01-D09-SO-25</v>
      </c>
    </row>
    <row r="2204">
      <c r="A2204" t="str">
        <f>IFERROR(__xludf.DUMMYFUNCTION("""COMPUTED_VALUE"""),"2015-06-01-D09-SO-26")</f>
        <v>2015-06-01-D09-SO-26</v>
      </c>
    </row>
    <row r="2205">
      <c r="A2205" t="str">
        <f>IFERROR(__xludf.DUMMYFUNCTION("""COMPUTED_VALUE"""),"2015-06-01-D09-SO-27")</f>
        <v>2015-06-01-D09-SO-27</v>
      </c>
    </row>
    <row r="2206">
      <c r="A2206" t="str">
        <f>IFERROR(__xludf.DUMMYFUNCTION("""COMPUTED_VALUE"""),"2015-06-01-D09-SO-28")</f>
        <v>2015-06-01-D09-SO-28</v>
      </c>
    </row>
    <row r="2207">
      <c r="A2207" t="str">
        <f>IFERROR(__xludf.DUMMYFUNCTION("""COMPUTED_VALUE"""),"2015-06-01-D09-SO-29")</f>
        <v>2015-06-01-D09-SO-29</v>
      </c>
    </row>
    <row r="2208">
      <c r="A2208" t="str">
        <f>IFERROR(__xludf.DUMMYFUNCTION("""COMPUTED_VALUE"""),"2015-06-01-D09-SO-30")</f>
        <v>2015-06-01-D09-SO-30</v>
      </c>
    </row>
    <row r="2209">
      <c r="A2209" t="str">
        <f>IFERROR(__xludf.DUMMYFUNCTION("""COMPUTED_VALUE"""),"2015-06-01-J02-SO-1")</f>
        <v>2015-06-01-J02-SO-1</v>
      </c>
    </row>
    <row r="2210">
      <c r="A2210" t="str">
        <f>IFERROR(__xludf.DUMMYFUNCTION("""COMPUTED_VALUE"""),"2015-06-01-J02-SO-2")</f>
        <v>2015-06-01-J02-SO-2</v>
      </c>
    </row>
    <row r="2211">
      <c r="A2211" t="str">
        <f>IFERROR(__xludf.DUMMYFUNCTION("""COMPUTED_VALUE"""),"2015-06-01-J02-SO-3")</f>
        <v>2015-06-01-J02-SO-3</v>
      </c>
    </row>
    <row r="2212">
      <c r="A2212" t="str">
        <f>IFERROR(__xludf.DUMMYFUNCTION("""COMPUTED_VALUE"""),"2015-06-01-J02-SO-4")</f>
        <v>2015-06-01-J02-SO-4</v>
      </c>
    </row>
    <row r="2213">
      <c r="A2213" t="str">
        <f>IFERROR(__xludf.DUMMYFUNCTION("""COMPUTED_VALUE"""),"2015-06-01-J02-SO-5")</f>
        <v>2015-06-01-J02-SO-5</v>
      </c>
    </row>
    <row r="2214">
      <c r="A2214" t="str">
        <f>IFERROR(__xludf.DUMMYFUNCTION("""COMPUTED_VALUE"""),"2015-06-01-J02-SO-6")</f>
        <v>2015-06-01-J02-SO-6</v>
      </c>
    </row>
    <row r="2215">
      <c r="A2215" t="str">
        <f>IFERROR(__xludf.DUMMYFUNCTION("""COMPUTED_VALUE"""),"2015-06-01-J02-SO-7")</f>
        <v>2015-06-01-J02-SO-7</v>
      </c>
    </row>
    <row r="2216">
      <c r="A2216" t="str">
        <f>IFERROR(__xludf.DUMMYFUNCTION("""COMPUTED_VALUE"""),"2015-06-01-J02-SO-8")</f>
        <v>2015-06-01-J02-SO-8</v>
      </c>
    </row>
    <row r="2217">
      <c r="A2217" t="str">
        <f>IFERROR(__xludf.DUMMYFUNCTION("""COMPUTED_VALUE"""),"2015-06-01-J02-SO-9")</f>
        <v>2015-06-01-J02-SO-9</v>
      </c>
    </row>
    <row r="2218">
      <c r="A2218" t="str">
        <f>IFERROR(__xludf.DUMMYFUNCTION("""COMPUTED_VALUE"""),"2015-06-01-J02-SO-10")</f>
        <v>2015-06-01-J02-SO-10</v>
      </c>
    </row>
    <row r="2219">
      <c r="A2219" t="str">
        <f>IFERROR(__xludf.DUMMYFUNCTION("""COMPUTED_VALUE"""),"2015-06-01-J02-SO-11")</f>
        <v>2015-06-01-J02-SO-11</v>
      </c>
    </row>
    <row r="2220">
      <c r="A2220" t="str">
        <f>IFERROR(__xludf.DUMMYFUNCTION("""COMPUTED_VALUE"""),"2015-06-01-J02-SO-12")</f>
        <v>2015-06-01-J02-SO-12</v>
      </c>
    </row>
    <row r="2221">
      <c r="A2221" t="str">
        <f>IFERROR(__xludf.DUMMYFUNCTION("""COMPUTED_VALUE"""),"2015-06-01-J02-SO-13")</f>
        <v>2015-06-01-J02-SO-13</v>
      </c>
    </row>
    <row r="2222">
      <c r="A2222" t="str">
        <f>IFERROR(__xludf.DUMMYFUNCTION("""COMPUTED_VALUE"""),"2015-06-01-J02-SO-14")</f>
        <v>2015-06-01-J02-SO-14</v>
      </c>
    </row>
    <row r="2223">
      <c r="A2223" t="str">
        <f>IFERROR(__xludf.DUMMYFUNCTION("""COMPUTED_VALUE"""),"2015-06-01-J02-SO-15")</f>
        <v>2015-06-01-J02-SO-15</v>
      </c>
    </row>
    <row r="2224">
      <c r="A2224" t="str">
        <f>IFERROR(__xludf.DUMMYFUNCTION("""COMPUTED_VALUE"""),"2015-06-01-J02-SO-16")</f>
        <v>2015-06-01-J02-SO-16</v>
      </c>
    </row>
    <row r="2225">
      <c r="A2225" t="str">
        <f>IFERROR(__xludf.DUMMYFUNCTION("""COMPUTED_VALUE"""),"2015-06-01-J02-SO-17")</f>
        <v>2015-06-01-J02-SO-17</v>
      </c>
    </row>
    <row r="2226">
      <c r="A2226" t="str">
        <f>IFERROR(__xludf.DUMMYFUNCTION("""COMPUTED_VALUE"""),"2015-06-01-J02-SO-18")</f>
        <v>2015-06-01-J02-SO-18</v>
      </c>
    </row>
    <row r="2227">
      <c r="A2227" t="str">
        <f>IFERROR(__xludf.DUMMYFUNCTION("""COMPUTED_VALUE"""),"2015-06-01-J02-SO-19")</f>
        <v>2015-06-01-J02-SO-19</v>
      </c>
    </row>
    <row r="2228">
      <c r="A2228" t="str">
        <f>IFERROR(__xludf.DUMMYFUNCTION("""COMPUTED_VALUE"""),"2015-06-01-J02-SO-20")</f>
        <v>2015-06-01-J02-SO-20</v>
      </c>
    </row>
    <row r="2229">
      <c r="A2229" t="str">
        <f>IFERROR(__xludf.DUMMYFUNCTION("""COMPUTED_VALUE"""),"2015-06-01-J02-SO-21")</f>
        <v>2015-06-01-J02-SO-21</v>
      </c>
    </row>
    <row r="2230">
      <c r="A2230" t="str">
        <f>IFERROR(__xludf.DUMMYFUNCTION("""COMPUTED_VALUE"""),"2015-06-01-J02-SO-22")</f>
        <v>2015-06-01-J02-SO-22</v>
      </c>
    </row>
    <row r="2231">
      <c r="A2231" t="str">
        <f>IFERROR(__xludf.DUMMYFUNCTION("""COMPUTED_VALUE"""),"2015-06-01-J02-SO-23")</f>
        <v>2015-06-01-J02-SO-23</v>
      </c>
    </row>
    <row r="2232">
      <c r="A2232" t="str">
        <f>IFERROR(__xludf.DUMMYFUNCTION("""COMPUTED_VALUE"""),"2015-06-01-J02-SO-24")</f>
        <v>2015-06-01-J02-SO-24</v>
      </c>
    </row>
    <row r="2233">
      <c r="A2233" t="str">
        <f>IFERROR(__xludf.DUMMYFUNCTION("""COMPUTED_VALUE"""),"2015-06-01-J02-SO-25")</f>
        <v>2015-06-01-J02-SO-25</v>
      </c>
    </row>
    <row r="2234">
      <c r="A2234" t="str">
        <f>IFERROR(__xludf.DUMMYFUNCTION("""COMPUTED_VALUE"""),"2015-06-01-J02-SO-26")</f>
        <v>2015-06-01-J02-SO-26</v>
      </c>
    </row>
    <row r="2235">
      <c r="A2235" t="str">
        <f>IFERROR(__xludf.DUMMYFUNCTION("""COMPUTED_VALUE"""),"2015-06-01-J02-SO-27")</f>
        <v>2015-06-01-J02-SO-27</v>
      </c>
    </row>
    <row r="2236">
      <c r="A2236" t="str">
        <f>IFERROR(__xludf.DUMMYFUNCTION("""COMPUTED_VALUE"""),"2015-06-01-J02-SO-28")</f>
        <v>2015-06-01-J02-SO-28</v>
      </c>
    </row>
    <row r="2237">
      <c r="A2237" t="str">
        <f>IFERROR(__xludf.DUMMYFUNCTION("""COMPUTED_VALUE"""),"2015-06-01-J02-SO-29")</f>
        <v>2015-06-01-J02-SO-29</v>
      </c>
    </row>
    <row r="2238">
      <c r="A2238" t="str">
        <f>IFERROR(__xludf.DUMMYFUNCTION("""COMPUTED_VALUE"""),"2015-06-01-J02-SO-30")</f>
        <v>2015-06-01-J02-SO-30</v>
      </c>
    </row>
    <row r="2239">
      <c r="A2239" t="str">
        <f>IFERROR(__xludf.DUMMYFUNCTION("""COMPUTED_VALUE"""),"2015-06-01-J01-SO-1")</f>
        <v>2015-06-01-J01-SO-1</v>
      </c>
    </row>
    <row r="2240">
      <c r="A2240" t="str">
        <f>IFERROR(__xludf.DUMMYFUNCTION("""COMPUTED_VALUE"""),"2015-06-01-J01-SO-2")</f>
        <v>2015-06-01-J01-SO-2</v>
      </c>
    </row>
    <row r="2241">
      <c r="A2241" t="str">
        <f>IFERROR(__xludf.DUMMYFUNCTION("""COMPUTED_VALUE"""),"2015-06-01-J01-SO-3")</f>
        <v>2015-06-01-J01-SO-3</v>
      </c>
    </row>
    <row r="2242">
      <c r="A2242" t="str">
        <f>IFERROR(__xludf.DUMMYFUNCTION("""COMPUTED_VALUE"""),"2015-06-01-J01-SO-4")</f>
        <v>2015-06-01-J01-SO-4</v>
      </c>
    </row>
    <row r="2243">
      <c r="A2243" t="str">
        <f>IFERROR(__xludf.DUMMYFUNCTION("""COMPUTED_VALUE"""),"2015-06-01-J01-SO-5")</f>
        <v>2015-06-01-J01-SO-5</v>
      </c>
    </row>
    <row r="2244">
      <c r="A2244" t="str">
        <f>IFERROR(__xludf.DUMMYFUNCTION("""COMPUTED_VALUE"""),"2015-06-01-J01-SO-6")</f>
        <v>2015-06-01-J01-SO-6</v>
      </c>
    </row>
    <row r="2245">
      <c r="A2245" t="str">
        <f>IFERROR(__xludf.DUMMYFUNCTION("""COMPUTED_VALUE"""),"2015-06-01-J01-SO-7")</f>
        <v>2015-06-01-J01-SO-7</v>
      </c>
    </row>
    <row r="2246">
      <c r="A2246" t="str">
        <f>IFERROR(__xludf.DUMMYFUNCTION("""COMPUTED_VALUE"""),"2015-06-01-J01-SO-8")</f>
        <v>2015-06-01-J01-SO-8</v>
      </c>
    </row>
    <row r="2247">
      <c r="A2247" t="str">
        <f>IFERROR(__xludf.DUMMYFUNCTION("""COMPUTED_VALUE"""),"2015-06-01-J01-SO-9")</f>
        <v>2015-06-01-J01-SO-9</v>
      </c>
    </row>
    <row r="2248">
      <c r="A2248" t="str">
        <f>IFERROR(__xludf.DUMMYFUNCTION("""COMPUTED_VALUE"""),"2015-06-01-J01-SO-10")</f>
        <v>2015-06-01-J01-SO-10</v>
      </c>
    </row>
    <row r="2249">
      <c r="A2249" t="str">
        <f>IFERROR(__xludf.DUMMYFUNCTION("""COMPUTED_VALUE"""),"2015-06-01-J01-SO-11")</f>
        <v>2015-06-01-J01-SO-11</v>
      </c>
    </row>
    <row r="2250">
      <c r="A2250" t="str">
        <f>IFERROR(__xludf.DUMMYFUNCTION("""COMPUTED_VALUE"""),"2015-06-01-J01-SO-12")</f>
        <v>2015-06-01-J01-SO-12</v>
      </c>
    </row>
    <row r="2251">
      <c r="A2251" t="str">
        <f>IFERROR(__xludf.DUMMYFUNCTION("""COMPUTED_VALUE"""),"2015-06-01-J01-SO-13")</f>
        <v>2015-06-01-J01-SO-13</v>
      </c>
    </row>
    <row r="2252">
      <c r="A2252" t="str">
        <f>IFERROR(__xludf.DUMMYFUNCTION("""COMPUTED_VALUE"""),"2015-06-01-J01-SO-14")</f>
        <v>2015-06-01-J01-SO-14</v>
      </c>
    </row>
    <row r="2253">
      <c r="A2253" t="str">
        <f>IFERROR(__xludf.DUMMYFUNCTION("""COMPUTED_VALUE"""),"2015-06-01-J01-SO-15")</f>
        <v>2015-06-01-J01-SO-15</v>
      </c>
    </row>
    <row r="2254">
      <c r="A2254" t="str">
        <f>IFERROR(__xludf.DUMMYFUNCTION("""COMPUTED_VALUE"""),"2015-06-01-J01-SO-16")</f>
        <v>2015-06-01-J01-SO-16</v>
      </c>
    </row>
    <row r="2255">
      <c r="A2255" t="str">
        <f>IFERROR(__xludf.DUMMYFUNCTION("""COMPUTED_VALUE"""),"2015-06-01-J01-SO-17")</f>
        <v>2015-06-01-J01-SO-17</v>
      </c>
    </row>
    <row r="2256">
      <c r="A2256" t="str">
        <f>IFERROR(__xludf.DUMMYFUNCTION("""COMPUTED_VALUE"""),"2015-06-01-J01-SO-18")</f>
        <v>2015-06-01-J01-SO-18</v>
      </c>
    </row>
    <row r="2257">
      <c r="A2257" t="str">
        <f>IFERROR(__xludf.DUMMYFUNCTION("""COMPUTED_VALUE"""),"2015-06-01-J01-SO-19")</f>
        <v>2015-06-01-J01-SO-19</v>
      </c>
    </row>
    <row r="2258">
      <c r="A2258" t="str">
        <f>IFERROR(__xludf.DUMMYFUNCTION("""COMPUTED_VALUE"""),"2015-06-01-J01-SO-20")</f>
        <v>2015-06-01-J01-SO-20</v>
      </c>
    </row>
    <row r="2259">
      <c r="A2259" t="str">
        <f>IFERROR(__xludf.DUMMYFUNCTION("""COMPUTED_VALUE"""),"2015-06-01-J01-SO-21")</f>
        <v>2015-06-01-J01-SO-21</v>
      </c>
    </row>
    <row r="2260">
      <c r="A2260" t="str">
        <f>IFERROR(__xludf.DUMMYFUNCTION("""COMPUTED_VALUE"""),"2015-06-01-J01-SO-22")</f>
        <v>2015-06-01-J01-SO-22</v>
      </c>
    </row>
    <row r="2261">
      <c r="A2261" t="str">
        <f>IFERROR(__xludf.DUMMYFUNCTION("""COMPUTED_VALUE"""),"2015-06-01-J01-SO-23")</f>
        <v>2015-06-01-J01-SO-23</v>
      </c>
    </row>
    <row r="2262">
      <c r="A2262" t="str">
        <f>IFERROR(__xludf.DUMMYFUNCTION("""COMPUTED_VALUE"""),"2015-06-01-J01-SO-24")</f>
        <v>2015-06-01-J01-SO-24</v>
      </c>
    </row>
    <row r="2263">
      <c r="A2263" t="str">
        <f>IFERROR(__xludf.DUMMYFUNCTION("""COMPUTED_VALUE"""),"2015-06-01-J01-SO-25")</f>
        <v>2015-06-01-J01-SO-25</v>
      </c>
    </row>
    <row r="2264">
      <c r="A2264" t="str">
        <f>IFERROR(__xludf.DUMMYFUNCTION("""COMPUTED_VALUE"""),"2015-06-01-J10-SO-1")</f>
        <v>2015-06-01-J10-SO-1</v>
      </c>
    </row>
    <row r="2265">
      <c r="A2265" t="str">
        <f>IFERROR(__xludf.DUMMYFUNCTION("""COMPUTED_VALUE"""),"2015-06-01-J10-SO-2")</f>
        <v>2015-06-01-J10-SO-2</v>
      </c>
    </row>
    <row r="2266">
      <c r="A2266" t="str">
        <f>IFERROR(__xludf.DUMMYFUNCTION("""COMPUTED_VALUE"""),"2015-06-01-J10-SO-3")</f>
        <v>2015-06-01-J10-SO-3</v>
      </c>
    </row>
    <row r="2267">
      <c r="A2267" t="str">
        <f>IFERROR(__xludf.DUMMYFUNCTION("""COMPUTED_VALUE"""),"2015-06-01-J10-SO-4")</f>
        <v>2015-06-01-J10-SO-4</v>
      </c>
    </row>
    <row r="2268">
      <c r="A2268" t="str">
        <f>IFERROR(__xludf.DUMMYFUNCTION("""COMPUTED_VALUE"""),"2015-06-01-J10-SO-5")</f>
        <v>2015-06-01-J10-SO-5</v>
      </c>
    </row>
    <row r="2269">
      <c r="A2269" t="str">
        <f>IFERROR(__xludf.DUMMYFUNCTION("""COMPUTED_VALUE"""),"2015-06-01-J10-SO-6")</f>
        <v>2015-06-01-J10-SO-6</v>
      </c>
    </row>
    <row r="2270">
      <c r="A2270" t="str">
        <f>IFERROR(__xludf.DUMMYFUNCTION("""COMPUTED_VALUE"""),"2015-06-01-J10-SO-7")</f>
        <v>2015-06-01-J10-SO-7</v>
      </c>
    </row>
    <row r="2271">
      <c r="A2271" t="str">
        <f>IFERROR(__xludf.DUMMYFUNCTION("""COMPUTED_VALUE"""),"2015-06-01-J10-SO-8")</f>
        <v>2015-06-01-J10-SO-8</v>
      </c>
    </row>
    <row r="2272">
      <c r="A2272" t="str">
        <f>IFERROR(__xludf.DUMMYFUNCTION("""COMPUTED_VALUE"""),"2015-06-01-J10-SO-9")</f>
        <v>2015-06-01-J10-SO-9</v>
      </c>
    </row>
    <row r="2273">
      <c r="A2273" t="str">
        <f>IFERROR(__xludf.DUMMYFUNCTION("""COMPUTED_VALUE"""),"2015-06-01-J10-SO-10")</f>
        <v>2015-06-01-J10-SO-10</v>
      </c>
    </row>
    <row r="2274">
      <c r="A2274" t="str">
        <f>IFERROR(__xludf.DUMMYFUNCTION("""COMPUTED_VALUE"""),"2015-06-01-J10-SO-11")</f>
        <v>2015-06-01-J10-SO-11</v>
      </c>
    </row>
    <row r="2275">
      <c r="A2275" t="str">
        <f>IFERROR(__xludf.DUMMYFUNCTION("""COMPUTED_VALUE"""),"2015-06-01-J10-SO-12")</f>
        <v>2015-06-01-J10-SO-12</v>
      </c>
    </row>
    <row r="2276">
      <c r="A2276" t="str">
        <f>IFERROR(__xludf.DUMMYFUNCTION("""COMPUTED_VALUE"""),"2015-06-01-J10-SO-13")</f>
        <v>2015-06-01-J10-SO-13</v>
      </c>
    </row>
    <row r="2277">
      <c r="A2277" t="str">
        <f>IFERROR(__xludf.DUMMYFUNCTION("""COMPUTED_VALUE"""),"2015-06-01-J10-SO-14")</f>
        <v>2015-06-01-J10-SO-14</v>
      </c>
    </row>
    <row r="2278">
      <c r="A2278" t="str">
        <f>IFERROR(__xludf.DUMMYFUNCTION("""COMPUTED_VALUE"""),"2015-06-01-J10-SO-15")</f>
        <v>2015-06-01-J10-SO-15</v>
      </c>
    </row>
    <row r="2279">
      <c r="A2279" t="str">
        <f>IFERROR(__xludf.DUMMYFUNCTION("""COMPUTED_VALUE"""),"2015-06-01-J10-SO-16")</f>
        <v>2015-06-01-J10-SO-16</v>
      </c>
    </row>
    <row r="2280">
      <c r="A2280" t="str">
        <f>IFERROR(__xludf.DUMMYFUNCTION("""COMPUTED_VALUE"""),"2015-06-01-J10-SO-17")</f>
        <v>2015-06-01-J10-SO-17</v>
      </c>
    </row>
    <row r="2281">
      <c r="A2281" t="str">
        <f>IFERROR(__xludf.DUMMYFUNCTION("""COMPUTED_VALUE"""),"2015-06-01-J10-SO-18")</f>
        <v>2015-06-01-J10-SO-18</v>
      </c>
    </row>
    <row r="2282">
      <c r="A2282" t="str">
        <f>IFERROR(__xludf.DUMMYFUNCTION("""COMPUTED_VALUE"""),"2015-06-01-J10-SO-19")</f>
        <v>2015-06-01-J10-SO-19</v>
      </c>
    </row>
    <row r="2283">
      <c r="A2283" t="str">
        <f>IFERROR(__xludf.DUMMYFUNCTION("""COMPUTED_VALUE"""),"2015-06-01-J10-SO-20")</f>
        <v>2015-06-01-J10-SO-20</v>
      </c>
    </row>
    <row r="2284">
      <c r="A2284" t="str">
        <f>IFERROR(__xludf.DUMMYFUNCTION("""COMPUTED_VALUE"""),"2015-06-01-J10-SO-21")</f>
        <v>2015-06-01-J10-SO-21</v>
      </c>
    </row>
    <row r="2285">
      <c r="A2285" t="str">
        <f>IFERROR(__xludf.DUMMYFUNCTION("""COMPUTED_VALUE"""),"2015-06-01-J10-SO-22")</f>
        <v>2015-06-01-J10-SO-22</v>
      </c>
    </row>
    <row r="2286">
      <c r="A2286" t="str">
        <f>IFERROR(__xludf.DUMMYFUNCTION("""COMPUTED_VALUE"""),"2015-06-01-J10-SO-23")</f>
        <v>2015-06-01-J10-SO-23</v>
      </c>
    </row>
    <row r="2287">
      <c r="A2287" t="str">
        <f>IFERROR(__xludf.DUMMYFUNCTION("""COMPUTED_VALUE"""),"2015-06-01-J10-SO-24")</f>
        <v>2015-06-01-J10-SO-24</v>
      </c>
    </row>
    <row r="2288">
      <c r="A2288" t="str">
        <f>IFERROR(__xludf.DUMMYFUNCTION("""COMPUTED_VALUE"""),"2015-06-01-J10-SO-25")</f>
        <v>2015-06-01-J10-SO-25</v>
      </c>
    </row>
    <row r="2289">
      <c r="A2289" t="str">
        <f>IFERROR(__xludf.DUMMYFUNCTION("""COMPUTED_VALUE"""),"2015-06-01-J10-SO-26")</f>
        <v>2015-06-01-J10-SO-26</v>
      </c>
    </row>
    <row r="2290">
      <c r="A2290" t="str">
        <f>IFERROR(__xludf.DUMMYFUNCTION("""COMPUTED_VALUE"""),"2015-06-01-J10-SO-27")</f>
        <v>2015-06-01-J10-SO-27</v>
      </c>
    </row>
    <row r="2291">
      <c r="A2291" t="str">
        <f>IFERROR(__xludf.DUMMYFUNCTION("""COMPUTED_VALUE"""),"2015-06-01-J10-SO-28")</f>
        <v>2015-06-01-J10-SO-28</v>
      </c>
    </row>
    <row r="2292">
      <c r="A2292" t="str">
        <f>IFERROR(__xludf.DUMMYFUNCTION("""COMPUTED_VALUE"""),"2015-06-01-J10-SO-29")</f>
        <v>2015-06-01-J10-SO-29</v>
      </c>
    </row>
    <row r="2293">
      <c r="A2293" t="str">
        <f>IFERROR(__xludf.DUMMYFUNCTION("""COMPUTED_VALUE"""),"2015-06-01-J10-SO-30")</f>
        <v>2015-06-01-J10-SO-30</v>
      </c>
    </row>
    <row r="2294">
      <c r="A2294" t="str">
        <f>IFERROR(__xludf.DUMMYFUNCTION("""COMPUTED_VALUE"""),"2015-06-01-D11-PI-1")</f>
        <v>2015-06-01-D11-PI-1</v>
      </c>
    </row>
    <row r="2295">
      <c r="A2295" t="str">
        <f>IFERROR(__xludf.DUMMYFUNCTION("""COMPUTED_VALUE"""),"2015-06-01-J01-PI-1")</f>
        <v>2015-06-01-J01-PI-1</v>
      </c>
    </row>
    <row r="2296">
      <c r="A2296" t="str">
        <f>IFERROR(__xludf.DUMMYFUNCTION("""COMPUTED_VALUE"""),"2015-06-01-J10-PI-1")</f>
        <v>2015-06-01-J10-PI-1</v>
      </c>
    </row>
    <row r="2297">
      <c r="A2297" t="str">
        <f>IFERROR(__xludf.DUMMYFUNCTION("""COMPUTED_VALUE"""),"2015-06-01-J10-PI-2")</f>
        <v>2015-06-01-J10-PI-2</v>
      </c>
    </row>
    <row r="2298">
      <c r="A2298" t="str">
        <f>IFERROR(__xludf.DUMMYFUNCTION("""COMPUTED_VALUE"""),"2015-06-01-D11-CU-1")</f>
        <v>2015-06-01-D11-CU-1</v>
      </c>
    </row>
    <row r="2299">
      <c r="A2299" t="str">
        <f>IFERROR(__xludf.DUMMYFUNCTION("""COMPUTED_VALUE"""),"2015-06-01-D11-CU-2")</f>
        <v>2015-06-01-D11-CU-2</v>
      </c>
    </row>
    <row r="2300">
      <c r="A2300" t="str">
        <f>IFERROR(__xludf.DUMMYFUNCTION("""COMPUTED_VALUE"""),"2015-06-01-D11-CU-3")</f>
        <v>2015-06-01-D11-CU-3</v>
      </c>
    </row>
    <row r="2301">
      <c r="A2301" t="str">
        <f>IFERROR(__xludf.DUMMYFUNCTION("""COMPUTED_VALUE"""),"2015-06-01-D11-CU-4")</f>
        <v>2015-06-01-D11-CU-4</v>
      </c>
    </row>
    <row r="2302">
      <c r="A2302" t="str">
        <f>IFERROR(__xludf.DUMMYFUNCTION("""COMPUTED_VALUE"""),"2015-06-01-D11-CU-5")</f>
        <v>2015-06-01-D11-CU-5</v>
      </c>
    </row>
    <row r="2303">
      <c r="A2303" t="str">
        <f>IFERROR(__xludf.DUMMYFUNCTION("""COMPUTED_VALUE"""),"2015-06-01-D11-CU-6")</f>
        <v>2015-06-01-D11-CU-6</v>
      </c>
    </row>
    <row r="2304">
      <c r="A2304" t="str">
        <f>IFERROR(__xludf.DUMMYFUNCTION("""COMPUTED_VALUE"""),"2015-06-01-D11-CU-7")</f>
        <v>2015-06-01-D11-CU-7</v>
      </c>
    </row>
    <row r="2305">
      <c r="A2305" t="str">
        <f>IFERROR(__xludf.DUMMYFUNCTION("""COMPUTED_VALUE"""),"2015-06-01-D11-CU-8")</f>
        <v>2015-06-01-D11-CU-8</v>
      </c>
    </row>
    <row r="2306">
      <c r="A2306" t="str">
        <f>IFERROR(__xludf.DUMMYFUNCTION("""COMPUTED_VALUE"""),"2015-06-01-D11-CU-9")</f>
        <v>2015-06-01-D11-CU-9</v>
      </c>
    </row>
    <row r="2307">
      <c r="A2307" t="str">
        <f>IFERROR(__xludf.DUMMYFUNCTION("""COMPUTED_VALUE"""),"2015-06-01-D11-CU-10")</f>
        <v>2015-06-01-D11-CU-10</v>
      </c>
    </row>
    <row r="2308">
      <c r="A2308" t="str">
        <f>IFERROR(__xludf.DUMMYFUNCTION("""COMPUTED_VALUE"""),"2015-06-01-D09-CU-1")</f>
        <v>2015-06-01-D09-CU-1</v>
      </c>
    </row>
    <row r="2309">
      <c r="A2309" t="str">
        <f>IFERROR(__xludf.DUMMYFUNCTION("""COMPUTED_VALUE"""),"2015-06-01-D09-CU-2")</f>
        <v>2015-06-01-D09-CU-2</v>
      </c>
    </row>
    <row r="2310">
      <c r="A2310" t="str">
        <f>IFERROR(__xludf.DUMMYFUNCTION("""COMPUTED_VALUE"""),"2015-06-01-D09-CU-3")</f>
        <v>2015-06-01-D09-CU-3</v>
      </c>
    </row>
    <row r="2311">
      <c r="A2311" t="str">
        <f>IFERROR(__xludf.DUMMYFUNCTION("""COMPUTED_VALUE"""),"2015-06-01-D09-CU-4")</f>
        <v>2015-06-01-D09-CU-4</v>
      </c>
    </row>
    <row r="2312">
      <c r="A2312" t="str">
        <f>IFERROR(__xludf.DUMMYFUNCTION("""COMPUTED_VALUE"""),"2015-06-01-D09-CU-5")</f>
        <v>2015-06-01-D09-CU-5</v>
      </c>
    </row>
    <row r="2313">
      <c r="A2313" t="str">
        <f>IFERROR(__xludf.DUMMYFUNCTION("""COMPUTED_VALUE"""),"2015-06-01-D09-CU-6")</f>
        <v>2015-06-01-D09-CU-6</v>
      </c>
    </row>
    <row r="2314">
      <c r="A2314" t="str">
        <f>IFERROR(__xludf.DUMMYFUNCTION("""COMPUTED_VALUE"""),"2015-06-01-D09-CU-7")</f>
        <v>2015-06-01-D09-CU-7</v>
      </c>
    </row>
    <row r="2315">
      <c r="A2315" t="str">
        <f>IFERROR(__xludf.DUMMYFUNCTION("""COMPUTED_VALUE"""),"2015-06-01-D09-CU-8")</f>
        <v>2015-06-01-D09-CU-8</v>
      </c>
    </row>
    <row r="2316">
      <c r="A2316" t="str">
        <f>IFERROR(__xludf.DUMMYFUNCTION("""COMPUTED_VALUE"""),"2015-06-01-D09-CU-9")</f>
        <v>2015-06-01-D09-CU-9</v>
      </c>
    </row>
    <row r="2317">
      <c r="A2317" t="str">
        <f>IFERROR(__xludf.DUMMYFUNCTION("""COMPUTED_VALUE"""),"2015-06-01-D09-CU-10")</f>
        <v>2015-06-01-D09-CU-10</v>
      </c>
    </row>
    <row r="2318">
      <c r="A2318" t="str">
        <f>IFERROR(__xludf.DUMMYFUNCTION("""COMPUTED_VALUE"""),"2015-06-01-J02-CU-1")</f>
        <v>2015-06-01-J02-CU-1</v>
      </c>
    </row>
    <row r="2319">
      <c r="A2319" t="str">
        <f>IFERROR(__xludf.DUMMYFUNCTION("""COMPUTED_VALUE"""),"2015-06-01-J02-CU-2")</f>
        <v>2015-06-01-J02-CU-2</v>
      </c>
    </row>
    <row r="2320">
      <c r="A2320" t="str">
        <f>IFERROR(__xludf.DUMMYFUNCTION("""COMPUTED_VALUE"""),"2015-06-01-J02-CU-3")</f>
        <v>2015-06-01-J02-CU-3</v>
      </c>
    </row>
    <row r="2321">
      <c r="A2321" t="str">
        <f>IFERROR(__xludf.DUMMYFUNCTION("""COMPUTED_VALUE"""),"2015-06-01-J02-CU-4")</f>
        <v>2015-06-01-J02-CU-4</v>
      </c>
    </row>
    <row r="2322">
      <c r="A2322" t="str">
        <f>IFERROR(__xludf.DUMMYFUNCTION("""COMPUTED_VALUE"""),"2015-06-01-J02-CU-5")</f>
        <v>2015-06-01-J02-CU-5</v>
      </c>
    </row>
    <row r="2323">
      <c r="A2323" t="str">
        <f>IFERROR(__xludf.DUMMYFUNCTION("""COMPUTED_VALUE"""),"2015-06-01-J01-CU-1")</f>
        <v>2015-06-01-J01-CU-1</v>
      </c>
    </row>
    <row r="2324">
      <c r="A2324" t="str">
        <f>IFERROR(__xludf.DUMMYFUNCTION("""COMPUTED_VALUE"""),"2015-06-01-J01-CU-2")</f>
        <v>2015-06-01-J01-CU-2</v>
      </c>
    </row>
    <row r="2325">
      <c r="A2325" t="str">
        <f>IFERROR(__xludf.DUMMYFUNCTION("""COMPUTED_VALUE"""),"2015-06-01-J01-CU-3")</f>
        <v>2015-06-01-J01-CU-3</v>
      </c>
    </row>
    <row r="2326">
      <c r="A2326" t="str">
        <f>IFERROR(__xludf.DUMMYFUNCTION("""COMPUTED_VALUE"""),"2015-06-01-J01-CU-4")</f>
        <v>2015-06-01-J01-CU-4</v>
      </c>
    </row>
    <row r="2327">
      <c r="A2327" t="str">
        <f>IFERROR(__xludf.DUMMYFUNCTION("""COMPUTED_VALUE"""),"2015-06-01-J01-CU-5")</f>
        <v>2015-06-01-J01-CU-5</v>
      </c>
    </row>
    <row r="2328">
      <c r="A2328" t="str">
        <f>IFERROR(__xludf.DUMMYFUNCTION("""COMPUTED_VALUE"""),"2015-06-01-J01-CU-6")</f>
        <v>2015-06-01-J01-CU-6</v>
      </c>
    </row>
    <row r="2329">
      <c r="A2329" t="str">
        <f>IFERROR(__xludf.DUMMYFUNCTION("""COMPUTED_VALUE"""),"2015-06-01-J01-CU-7")</f>
        <v>2015-06-01-J01-CU-7</v>
      </c>
    </row>
    <row r="2330">
      <c r="A2330" t="str">
        <f>IFERROR(__xludf.DUMMYFUNCTION("""COMPUTED_VALUE"""),"2015-06-01-J01-CU-8")</f>
        <v>2015-06-01-J01-CU-8</v>
      </c>
    </row>
    <row r="2331">
      <c r="A2331" t="str">
        <f>IFERROR(__xludf.DUMMYFUNCTION("""COMPUTED_VALUE"""),"2015-06-01-J01-CU-9")</f>
        <v>2015-06-01-J01-CU-9</v>
      </c>
    </row>
    <row r="2332">
      <c r="A2332" t="str">
        <f>IFERROR(__xludf.DUMMYFUNCTION("""COMPUTED_VALUE"""),"2015-06-01-J01-CU-10")</f>
        <v>2015-06-01-J01-CU-10</v>
      </c>
    </row>
    <row r="2333">
      <c r="A2333" t="str">
        <f>IFERROR(__xludf.DUMMYFUNCTION("""COMPUTED_VALUE"""),"2015-06-01-J10-CU-1")</f>
        <v>2015-06-01-J10-CU-1</v>
      </c>
    </row>
    <row r="2334">
      <c r="A2334" t="str">
        <f>IFERROR(__xludf.DUMMYFUNCTION("""COMPUTED_VALUE"""),"2015-06-01-J10-CU-2")</f>
        <v>2015-06-01-J10-CU-2</v>
      </c>
    </row>
    <row r="2335">
      <c r="A2335" t="str">
        <f>IFERROR(__xludf.DUMMYFUNCTION("""COMPUTED_VALUE"""),"2015-06-01-J10-CU-3")</f>
        <v>2015-06-01-J10-CU-3</v>
      </c>
    </row>
    <row r="2336">
      <c r="A2336" t="str">
        <f>IFERROR(__xludf.DUMMYFUNCTION("""COMPUTED_VALUE"""),"2015-06-01-J10-CU-4")</f>
        <v>2015-06-01-J10-CU-4</v>
      </c>
    </row>
    <row r="2337">
      <c r="A2337" t="str">
        <f>IFERROR(__xludf.DUMMYFUNCTION("""COMPUTED_VALUE"""),"2015-06-01-J10-CU-5")</f>
        <v>2015-06-01-J10-CU-5</v>
      </c>
    </row>
    <row r="2338">
      <c r="A2338" t="str">
        <f>IFERROR(__xludf.DUMMYFUNCTION("""COMPUTED_VALUE"""),"2015-06-01-J10-CU-6")</f>
        <v>2015-06-01-J10-CU-6</v>
      </c>
    </row>
    <row r="2339">
      <c r="A2339" t="str">
        <f>IFERROR(__xludf.DUMMYFUNCTION("""COMPUTED_VALUE"""),"2015-06-01-J10-CU-7")</f>
        <v>2015-06-01-J10-CU-7</v>
      </c>
    </row>
    <row r="2340">
      <c r="A2340" t="str">
        <f>IFERROR(__xludf.DUMMYFUNCTION("""COMPUTED_VALUE"""),"2015-06-01-J10-CU-8")</f>
        <v>2015-06-01-J10-CU-8</v>
      </c>
    </row>
    <row r="2341">
      <c r="A2341" t="str">
        <f>IFERROR(__xludf.DUMMYFUNCTION("""COMPUTED_VALUE"""),"2015-06-01-J10-CU-9")</f>
        <v>2015-06-01-J10-CU-9</v>
      </c>
    </row>
    <row r="2342">
      <c r="A2342" t="str">
        <f>IFERROR(__xludf.DUMMYFUNCTION("""COMPUTED_VALUE"""),"2015-06-01-J10-CU-10")</f>
        <v>2015-06-01-J10-CU-10</v>
      </c>
    </row>
    <row r="2343">
      <c r="A2343" t="str">
        <f>IFERROR(__xludf.DUMMYFUNCTION("""COMPUTED_VALUE"""),"2015-06-01-D10-CO-1")</f>
        <v>2015-06-01-D10-CO-1</v>
      </c>
    </row>
    <row r="2344">
      <c r="A2344" t="str">
        <f>IFERROR(__xludf.DUMMYFUNCTION("""COMPUTED_VALUE"""),"2015-06-01-D11-CO-1")</f>
        <v>2015-06-01-D11-CO-1</v>
      </c>
    </row>
    <row r="2345">
      <c r="A2345" t="str">
        <f>IFERROR(__xludf.DUMMYFUNCTION("""COMPUTED_VALUE"""),"2015-06-01-J01-CO-1")</f>
        <v>2015-06-01-J01-CO-1</v>
      </c>
    </row>
    <row r="2346">
      <c r="A2346" t="str">
        <f>IFERROR(__xludf.DUMMYFUNCTION("""COMPUTED_VALUE"""),"2015-06-01-J01-CO-2")</f>
        <v>2015-06-01-J01-CO-2</v>
      </c>
    </row>
    <row r="2347">
      <c r="A2347" t="str">
        <f>IFERROR(__xludf.DUMMYFUNCTION("""COMPUTED_VALUE"""),"2015-06-01-J01-CO-3")</f>
        <v>2015-06-01-J01-CO-3</v>
      </c>
    </row>
    <row r="2348">
      <c r="A2348" t="str">
        <f>IFERROR(__xludf.DUMMYFUNCTION("""COMPUTED_VALUE"""),"2015-06-01-J01-CO-4")</f>
        <v>2015-06-01-J01-CO-4</v>
      </c>
    </row>
    <row r="2349">
      <c r="A2349" t="str">
        <f>IFERROR(__xludf.DUMMYFUNCTION("""COMPUTED_VALUE"""),"2015-06-01-J01-CO-5")</f>
        <v>2015-06-01-J01-CO-5</v>
      </c>
    </row>
    <row r="2350">
      <c r="A2350" t="str">
        <f>IFERROR(__xludf.DUMMYFUNCTION("""COMPUTED_VALUE"""),"2015-06-01-J10-CO-1")</f>
        <v>2015-06-01-J10-CO-1</v>
      </c>
    </row>
    <row r="2351">
      <c r="A2351" t="str">
        <f>IFERROR(__xludf.DUMMYFUNCTION("""COMPUTED_VALUE"""),"2015-06-01-J10-CO-2")</f>
        <v>2015-06-01-J10-CO-2</v>
      </c>
    </row>
    <row r="2352">
      <c r="A2352" t="str">
        <f>IFERROR(__xludf.DUMMYFUNCTION("""COMPUTED_VALUE"""),"2015-06-01-J10-CO-3")</f>
        <v>2015-06-01-J10-CO-3</v>
      </c>
    </row>
    <row r="2353">
      <c r="A2353" t="str">
        <f>IFERROR(__xludf.DUMMYFUNCTION("""COMPUTED_VALUE"""),"2015-06-01-J10-CO-4")</f>
        <v>2015-06-01-J10-CO-4</v>
      </c>
    </row>
    <row r="2354">
      <c r="A2354" t="str">
        <f>IFERROR(__xludf.DUMMYFUNCTION("""COMPUTED_VALUE"""),"2015-06-01-D10-HE-1")</f>
        <v>2015-06-01-D10-HE-1</v>
      </c>
    </row>
    <row r="2355">
      <c r="A2355" t="str">
        <f>IFERROR(__xludf.DUMMYFUNCTION("""COMPUTED_VALUE"""),"2015-06-01-D11-HE-1")</f>
        <v>2015-06-01-D11-HE-1</v>
      </c>
    </row>
    <row r="2356">
      <c r="A2356" t="str">
        <f>IFERROR(__xludf.DUMMYFUNCTION("""COMPUTED_VALUE"""),"2015-06-01-D09-HE-1")</f>
        <v>2015-06-01-D09-HE-1</v>
      </c>
    </row>
    <row r="2357">
      <c r="A2357" t="str">
        <f>IFERROR(__xludf.DUMMYFUNCTION("""COMPUTED_VALUE"""),"2015-06-01-D09-HE-2")</f>
        <v>2015-06-01-D09-HE-2</v>
      </c>
    </row>
    <row r="2358">
      <c r="A2358" t="str">
        <f>IFERROR(__xludf.DUMMYFUNCTION("""COMPUTED_VALUE"""),"2015-06-01-D09-HE-3")</f>
        <v>2015-06-01-D09-HE-3</v>
      </c>
    </row>
    <row r="2359">
      <c r="A2359" t="str">
        <f>IFERROR(__xludf.DUMMYFUNCTION("""COMPUTED_VALUE"""),"2015-06-01-J01-HE-1")</f>
        <v>2015-06-01-J01-HE-1</v>
      </c>
    </row>
    <row r="2360">
      <c r="A2360" t="str">
        <f>IFERROR(__xludf.DUMMYFUNCTION("""COMPUTED_VALUE"""),"2015-06-02-J05-SO-1")</f>
        <v>2015-06-02-J05-SO-1</v>
      </c>
    </row>
    <row r="2361">
      <c r="A2361" t="str">
        <f>IFERROR(__xludf.DUMMYFUNCTION("""COMPUTED_VALUE"""),"2015-06-02-J05-SO-2")</f>
        <v>2015-06-02-J05-SO-2</v>
      </c>
    </row>
    <row r="2362">
      <c r="A2362" t="str">
        <f>IFERROR(__xludf.DUMMYFUNCTION("""COMPUTED_VALUE"""),"2015-06-02-J05-SO-3")</f>
        <v>2015-06-02-J05-SO-3</v>
      </c>
    </row>
    <row r="2363">
      <c r="A2363" t="str">
        <f>IFERROR(__xludf.DUMMYFUNCTION("""COMPUTED_VALUE"""),"2015-06-02-J05-SO-4")</f>
        <v>2015-06-02-J05-SO-4</v>
      </c>
    </row>
    <row r="2364">
      <c r="A2364" t="str">
        <f>IFERROR(__xludf.DUMMYFUNCTION("""COMPUTED_VALUE"""),"2015-06-02-J05-SO-5")</f>
        <v>2015-06-02-J05-SO-5</v>
      </c>
    </row>
    <row r="2365">
      <c r="A2365" t="str">
        <f>IFERROR(__xludf.DUMMYFUNCTION("""COMPUTED_VALUE"""),"2015-06-02-J05-SO-6")</f>
        <v>2015-06-02-J05-SO-6</v>
      </c>
    </row>
    <row r="2366">
      <c r="A2366" t="str">
        <f>IFERROR(__xludf.DUMMYFUNCTION("""COMPUTED_VALUE"""),"2015-06-02-J05-SO-7")</f>
        <v>2015-06-02-J05-SO-7</v>
      </c>
    </row>
    <row r="2367">
      <c r="A2367" t="str">
        <f>IFERROR(__xludf.DUMMYFUNCTION("""COMPUTED_VALUE"""),"2015-06-02-J05-SO-8")</f>
        <v>2015-06-02-J05-SO-8</v>
      </c>
    </row>
    <row r="2368">
      <c r="A2368" t="str">
        <f>IFERROR(__xludf.DUMMYFUNCTION("""COMPUTED_VALUE"""),"2015-06-02-J05-SO-9")</f>
        <v>2015-06-02-J05-SO-9</v>
      </c>
    </row>
    <row r="2369">
      <c r="A2369" t="str">
        <f>IFERROR(__xludf.DUMMYFUNCTION("""COMPUTED_VALUE"""),"2015-06-02-J05-SO-10")</f>
        <v>2015-06-02-J05-SO-10</v>
      </c>
    </row>
    <row r="2370">
      <c r="A2370" t="str">
        <f>IFERROR(__xludf.DUMMYFUNCTION("""COMPUTED_VALUE"""),"2015-06-02-J05-SO-11")</f>
        <v>2015-06-02-J05-SO-11</v>
      </c>
    </row>
    <row r="2371">
      <c r="A2371" t="str">
        <f>IFERROR(__xludf.DUMMYFUNCTION("""COMPUTED_VALUE"""),"2015-06-02-J05-SO-12")</f>
        <v>2015-06-02-J05-SO-12</v>
      </c>
    </row>
    <row r="2372">
      <c r="A2372" t="str">
        <f>IFERROR(__xludf.DUMMYFUNCTION("""COMPUTED_VALUE"""),"2015-06-02-J05-SO-13")</f>
        <v>2015-06-02-J05-SO-13</v>
      </c>
    </row>
    <row r="2373">
      <c r="A2373" t="str">
        <f>IFERROR(__xludf.DUMMYFUNCTION("""COMPUTED_VALUE"""),"2015-06-02-J05-SO-14")</f>
        <v>2015-06-02-J05-SO-14</v>
      </c>
    </row>
    <row r="2374">
      <c r="A2374" t="str">
        <f>IFERROR(__xludf.DUMMYFUNCTION("""COMPUTED_VALUE"""),"2015-06-02-J05-SO-15")</f>
        <v>2015-06-02-J05-SO-15</v>
      </c>
    </row>
    <row r="2375">
      <c r="A2375" t="str">
        <f>IFERROR(__xludf.DUMMYFUNCTION("""COMPUTED_VALUE"""),"2015-06-02-J05-SO-16")</f>
        <v>2015-06-02-J05-SO-16</v>
      </c>
    </row>
    <row r="2376">
      <c r="A2376" t="str">
        <f>IFERROR(__xludf.DUMMYFUNCTION("""COMPUTED_VALUE"""),"2015-06-02-J05-SO-17")</f>
        <v>2015-06-02-J05-SO-17</v>
      </c>
    </row>
    <row r="2377">
      <c r="A2377" t="str">
        <f>IFERROR(__xludf.DUMMYFUNCTION("""COMPUTED_VALUE"""),"2015-06-02-J05-SO-18")</f>
        <v>2015-06-02-J05-SO-18</v>
      </c>
    </row>
    <row r="2378">
      <c r="A2378" t="str">
        <f>IFERROR(__xludf.DUMMYFUNCTION("""COMPUTED_VALUE"""),"2015-06-02-J05-SO-19")</f>
        <v>2015-06-02-J05-SO-19</v>
      </c>
    </row>
    <row r="2379">
      <c r="A2379" t="str">
        <f>IFERROR(__xludf.DUMMYFUNCTION("""COMPUTED_VALUE"""),"2015-06-02-J05-SO-20")</f>
        <v>2015-06-02-J05-SO-20</v>
      </c>
    </row>
    <row r="2380">
      <c r="A2380" t="str">
        <f>IFERROR(__xludf.DUMMYFUNCTION("""COMPUTED_VALUE"""),"2015-06-02-J05-SO-21")</f>
        <v>2015-06-02-J05-SO-21</v>
      </c>
    </row>
    <row r="2381">
      <c r="A2381" t="str">
        <f>IFERROR(__xludf.DUMMYFUNCTION("""COMPUTED_VALUE"""),"2015-06-02-J05-SO-22")</f>
        <v>2015-06-02-J05-SO-22</v>
      </c>
    </row>
    <row r="2382">
      <c r="A2382" t="str">
        <f>IFERROR(__xludf.DUMMYFUNCTION("""COMPUTED_VALUE"""),"2015-06-02-J05-SO-23")</f>
        <v>2015-06-02-J05-SO-23</v>
      </c>
    </row>
    <row r="2383">
      <c r="A2383" t="str">
        <f>IFERROR(__xludf.DUMMYFUNCTION("""COMPUTED_VALUE"""),"2015-06-02-J05-SO-24")</f>
        <v>2015-06-02-J05-SO-24</v>
      </c>
    </row>
    <row r="2384">
      <c r="A2384" t="str">
        <f>IFERROR(__xludf.DUMMYFUNCTION("""COMPUTED_VALUE"""),"2015-06-02-J05-SO-25")</f>
        <v>2015-06-02-J05-SO-25</v>
      </c>
    </row>
    <row r="2385">
      <c r="A2385" t="str">
        <f>IFERROR(__xludf.DUMMYFUNCTION("""COMPUTED_VALUE"""),"2015-06-02-J05-SO-26")</f>
        <v>2015-06-02-J05-SO-26</v>
      </c>
    </row>
    <row r="2386">
      <c r="A2386" t="str">
        <f>IFERROR(__xludf.DUMMYFUNCTION("""COMPUTED_VALUE"""),"2015-06-02-J05-SO-27")</f>
        <v>2015-06-02-J05-SO-27</v>
      </c>
    </row>
    <row r="2387">
      <c r="A2387" t="str">
        <f>IFERROR(__xludf.DUMMYFUNCTION("""COMPUTED_VALUE"""),"2015-06-02-J05-SO-28")</f>
        <v>2015-06-02-J05-SO-28</v>
      </c>
    </row>
    <row r="2388">
      <c r="A2388" t="str">
        <f>IFERROR(__xludf.DUMMYFUNCTION("""COMPUTED_VALUE"""),"2015-06-02-J05-SO-29")</f>
        <v>2015-06-02-J05-SO-29</v>
      </c>
    </row>
    <row r="2389">
      <c r="A2389" t="str">
        <f>IFERROR(__xludf.DUMMYFUNCTION("""COMPUTED_VALUE"""),"2015-06-02-J05-SO-30")</f>
        <v>2015-06-02-J05-SO-30</v>
      </c>
    </row>
    <row r="2390">
      <c r="A2390" t="str">
        <f>IFERROR(__xludf.DUMMYFUNCTION("""COMPUTED_VALUE"""),"2015-06-02-J07-SO-1")</f>
        <v>2015-06-02-J07-SO-1</v>
      </c>
    </row>
    <row r="2391">
      <c r="A2391" t="str">
        <f>IFERROR(__xludf.DUMMYFUNCTION("""COMPUTED_VALUE"""),"2015-06-02-J07-SO-2")</f>
        <v>2015-06-02-J07-SO-2</v>
      </c>
    </row>
    <row r="2392">
      <c r="A2392" t="str">
        <f>IFERROR(__xludf.DUMMYFUNCTION("""COMPUTED_VALUE"""),"2015-06-02-J07-SO-3")</f>
        <v>2015-06-02-J07-SO-3</v>
      </c>
    </row>
    <row r="2393">
      <c r="A2393" t="str">
        <f>IFERROR(__xludf.DUMMYFUNCTION("""COMPUTED_VALUE"""),"2015-06-02-J07-SO-4")</f>
        <v>2015-06-02-J07-SO-4</v>
      </c>
    </row>
    <row r="2394">
      <c r="A2394" t="str">
        <f>IFERROR(__xludf.DUMMYFUNCTION("""COMPUTED_VALUE"""),"2015-06-02-J07-SO-5")</f>
        <v>2015-06-02-J07-SO-5</v>
      </c>
    </row>
    <row r="2395">
      <c r="A2395" t="str">
        <f>IFERROR(__xludf.DUMMYFUNCTION("""COMPUTED_VALUE"""),"2015-06-02-J07-SO-6")</f>
        <v>2015-06-02-J07-SO-6</v>
      </c>
    </row>
    <row r="2396">
      <c r="A2396" t="str">
        <f>IFERROR(__xludf.DUMMYFUNCTION("""COMPUTED_VALUE"""),"2015-06-02-J07-SO-7")</f>
        <v>2015-06-02-J07-SO-7</v>
      </c>
    </row>
    <row r="2397">
      <c r="A2397" t="str">
        <f>IFERROR(__xludf.DUMMYFUNCTION("""COMPUTED_VALUE"""),"2015-06-02-J07-SO-8")</f>
        <v>2015-06-02-J07-SO-8</v>
      </c>
    </row>
    <row r="2398">
      <c r="A2398" t="str">
        <f>IFERROR(__xludf.DUMMYFUNCTION("""COMPUTED_VALUE"""),"2015-06-02-J07-SO-9")</f>
        <v>2015-06-02-J07-SO-9</v>
      </c>
    </row>
    <row r="2399">
      <c r="A2399" t="str">
        <f>IFERROR(__xludf.DUMMYFUNCTION("""COMPUTED_VALUE"""),"2015-06-02-J07-SO-10")</f>
        <v>2015-06-02-J07-SO-10</v>
      </c>
    </row>
    <row r="2400">
      <c r="A2400" t="str">
        <f>IFERROR(__xludf.DUMMYFUNCTION("""COMPUTED_VALUE"""),"2015-06-02-J07-SO-11")</f>
        <v>2015-06-02-J07-SO-11</v>
      </c>
    </row>
    <row r="2401">
      <c r="A2401" t="str">
        <f>IFERROR(__xludf.DUMMYFUNCTION("""COMPUTED_VALUE"""),"2015-06-02-J07-SO-12")</f>
        <v>2015-06-02-J07-SO-12</v>
      </c>
    </row>
    <row r="2402">
      <c r="A2402" t="str">
        <f>IFERROR(__xludf.DUMMYFUNCTION("""COMPUTED_VALUE"""),"2015-06-02-J07-SO-13")</f>
        <v>2015-06-02-J07-SO-13</v>
      </c>
    </row>
    <row r="2403">
      <c r="A2403" t="str">
        <f>IFERROR(__xludf.DUMMYFUNCTION("""COMPUTED_VALUE"""),"2015-06-02-J07-SO-14")</f>
        <v>2015-06-02-J07-SO-14</v>
      </c>
    </row>
    <row r="2404">
      <c r="A2404" t="str">
        <f>IFERROR(__xludf.DUMMYFUNCTION("""COMPUTED_VALUE"""),"2015-06-02-J07-SO-15")</f>
        <v>2015-06-02-J07-SO-15</v>
      </c>
    </row>
    <row r="2405">
      <c r="A2405" t="str">
        <f>IFERROR(__xludf.DUMMYFUNCTION("""COMPUTED_VALUE"""),"2015-06-02-J07-SO-16")</f>
        <v>2015-06-02-J07-SO-16</v>
      </c>
    </row>
    <row r="2406">
      <c r="A2406" t="str">
        <f>IFERROR(__xludf.DUMMYFUNCTION("""COMPUTED_VALUE"""),"2015-06-02-J07-SO-17")</f>
        <v>2015-06-02-J07-SO-17</v>
      </c>
    </row>
    <row r="2407">
      <c r="A2407" t="str">
        <f>IFERROR(__xludf.DUMMYFUNCTION("""COMPUTED_VALUE"""),"2015-06-02-J07-SO-18")</f>
        <v>2015-06-02-J07-SO-18</v>
      </c>
    </row>
    <row r="2408">
      <c r="A2408" t="str">
        <f>IFERROR(__xludf.DUMMYFUNCTION("""COMPUTED_VALUE"""),"2015-06-02-J07-SO-19")</f>
        <v>2015-06-02-J07-SO-19</v>
      </c>
    </row>
    <row r="2409">
      <c r="A2409" t="str">
        <f>IFERROR(__xludf.DUMMYFUNCTION("""COMPUTED_VALUE"""),"2015-06-02-J07-SO-20")</f>
        <v>2015-06-02-J07-SO-20</v>
      </c>
    </row>
    <row r="2410">
      <c r="A2410" t="str">
        <f>IFERROR(__xludf.DUMMYFUNCTION("""COMPUTED_VALUE"""),"2015-06-02-J07-SO-21")</f>
        <v>2015-06-02-J07-SO-21</v>
      </c>
    </row>
    <row r="2411">
      <c r="A2411" t="str">
        <f>IFERROR(__xludf.DUMMYFUNCTION("""COMPUTED_VALUE"""),"2015-06-02-J07-SO-22")</f>
        <v>2015-06-02-J07-SO-22</v>
      </c>
    </row>
    <row r="2412">
      <c r="A2412" t="str">
        <f>IFERROR(__xludf.DUMMYFUNCTION("""COMPUTED_VALUE"""),"2015-06-02-J07-SO-23")</f>
        <v>2015-06-02-J07-SO-23</v>
      </c>
    </row>
    <row r="2413">
      <c r="A2413" t="str">
        <f>IFERROR(__xludf.DUMMYFUNCTION("""COMPUTED_VALUE"""),"2015-06-02-J07-SO-24")</f>
        <v>2015-06-02-J07-SO-24</v>
      </c>
    </row>
    <row r="2414">
      <c r="A2414" t="str">
        <f>IFERROR(__xludf.DUMMYFUNCTION("""COMPUTED_VALUE"""),"2015-06-02-J07-SO-25")</f>
        <v>2015-06-02-J07-SO-25</v>
      </c>
    </row>
    <row r="2415">
      <c r="A2415" t="str">
        <f>IFERROR(__xludf.DUMMYFUNCTION("""COMPUTED_VALUE"""),"2015-06-02-J07-SO-26")</f>
        <v>2015-06-02-J07-SO-26</v>
      </c>
    </row>
    <row r="2416">
      <c r="A2416" t="str">
        <f>IFERROR(__xludf.DUMMYFUNCTION("""COMPUTED_VALUE"""),"2015-06-02-J07-SO-27")</f>
        <v>2015-06-02-J07-SO-27</v>
      </c>
    </row>
    <row r="2417">
      <c r="A2417" t="str">
        <f>IFERROR(__xludf.DUMMYFUNCTION("""COMPUTED_VALUE"""),"2015-06-02-J07-SO-28")</f>
        <v>2015-06-02-J07-SO-28</v>
      </c>
    </row>
    <row r="2418">
      <c r="A2418" t="str">
        <f>IFERROR(__xludf.DUMMYFUNCTION("""COMPUTED_VALUE"""),"2015-06-02-J07-SO-29")</f>
        <v>2015-06-02-J07-SO-29</v>
      </c>
    </row>
    <row r="2419">
      <c r="A2419" t="str">
        <f>IFERROR(__xludf.DUMMYFUNCTION("""COMPUTED_VALUE"""),"2015-06-02-J07-SO-30")</f>
        <v>2015-06-02-J07-SO-30</v>
      </c>
    </row>
    <row r="2420">
      <c r="A2420" t="str">
        <f>IFERROR(__xludf.DUMMYFUNCTION("""COMPUTED_VALUE"""),"2015-06-02-J07-PI-1")</f>
        <v>2015-06-02-J07-PI-1</v>
      </c>
    </row>
    <row r="2421">
      <c r="A2421" t="str">
        <f>IFERROR(__xludf.DUMMYFUNCTION("""COMPUTED_VALUE"""),"2015-06-02-J07-PI-2")</f>
        <v>2015-06-02-J07-PI-2</v>
      </c>
    </row>
    <row r="2422">
      <c r="A2422" t="str">
        <f>IFERROR(__xludf.DUMMYFUNCTION("""COMPUTED_VALUE"""),"2015-06-02-J05-CU-1")</f>
        <v>2015-06-02-J05-CU-1</v>
      </c>
    </row>
    <row r="2423">
      <c r="A2423" t="str">
        <f>IFERROR(__xludf.DUMMYFUNCTION("""COMPUTED_VALUE"""),"2015-06-02-J05-CU-2")</f>
        <v>2015-06-02-J05-CU-2</v>
      </c>
    </row>
    <row r="2424">
      <c r="A2424" t="str">
        <f>IFERROR(__xludf.DUMMYFUNCTION("""COMPUTED_VALUE"""),"2015-06-02-J05-CU-3")</f>
        <v>2015-06-02-J05-CU-3</v>
      </c>
    </row>
    <row r="2425">
      <c r="A2425" t="str">
        <f>IFERROR(__xludf.DUMMYFUNCTION("""COMPUTED_VALUE"""),"2015-06-02-J05-CU-4")</f>
        <v>2015-06-02-J05-CU-4</v>
      </c>
    </row>
    <row r="2426">
      <c r="A2426" t="str">
        <f>IFERROR(__xludf.DUMMYFUNCTION("""COMPUTED_VALUE"""),"2015-06-02-J05-CU-5")</f>
        <v>2015-06-02-J05-CU-5</v>
      </c>
    </row>
    <row r="2427">
      <c r="A2427" t="str">
        <f>IFERROR(__xludf.DUMMYFUNCTION("""COMPUTED_VALUE"""),"2015-06-02-J05-CU-6")</f>
        <v>2015-06-02-J05-CU-6</v>
      </c>
    </row>
    <row r="2428">
      <c r="A2428" t="str">
        <f>IFERROR(__xludf.DUMMYFUNCTION("""COMPUTED_VALUE"""),"2015-06-02-J05-CU-7")</f>
        <v>2015-06-02-J05-CU-7</v>
      </c>
    </row>
    <row r="2429">
      <c r="A2429" t="str">
        <f>IFERROR(__xludf.DUMMYFUNCTION("""COMPUTED_VALUE"""),"2015-06-02-J05-CU-8")</f>
        <v>2015-06-02-J05-CU-8</v>
      </c>
    </row>
    <row r="2430">
      <c r="A2430" t="str">
        <f>IFERROR(__xludf.DUMMYFUNCTION("""COMPUTED_VALUE"""),"2015-06-02-J05-CU-9")</f>
        <v>2015-06-02-J05-CU-9</v>
      </c>
    </row>
    <row r="2431">
      <c r="A2431" t="str">
        <f>IFERROR(__xludf.DUMMYFUNCTION("""COMPUTED_VALUE"""),"2015-06-02-J05-CU-10")</f>
        <v>2015-06-02-J05-CU-10</v>
      </c>
    </row>
    <row r="2432">
      <c r="A2432" t="str">
        <f>IFERROR(__xludf.DUMMYFUNCTION("""COMPUTED_VALUE"""),"2015-06-02-J07-CU-1")</f>
        <v>2015-06-02-J07-CU-1</v>
      </c>
    </row>
    <row r="2433">
      <c r="A2433" t="str">
        <f>IFERROR(__xludf.DUMMYFUNCTION("""COMPUTED_VALUE"""),"2015-06-02-J07-CU-2")</f>
        <v>2015-06-02-J07-CU-2</v>
      </c>
    </row>
    <row r="2434">
      <c r="A2434" t="str">
        <f>IFERROR(__xludf.DUMMYFUNCTION("""COMPUTED_VALUE"""),"2015-06-02-J07-CU-3")</f>
        <v>2015-06-02-J07-CU-3</v>
      </c>
    </row>
    <row r="2435">
      <c r="A2435" t="str">
        <f>IFERROR(__xludf.DUMMYFUNCTION("""COMPUTED_VALUE"""),"2015-06-02-J07-CU-4")</f>
        <v>2015-06-02-J07-CU-4</v>
      </c>
    </row>
    <row r="2436">
      <c r="A2436" t="str">
        <f>IFERROR(__xludf.DUMMYFUNCTION("""COMPUTED_VALUE"""),"2015-06-02-J07-CU-5")</f>
        <v>2015-06-02-J07-CU-5</v>
      </c>
    </row>
    <row r="2437">
      <c r="A2437" t="str">
        <f>IFERROR(__xludf.DUMMYFUNCTION("""COMPUTED_VALUE"""),"2015-06-02-J07-CU-6")</f>
        <v>2015-06-02-J07-CU-6</v>
      </c>
    </row>
    <row r="2438">
      <c r="A2438" t="str">
        <f>IFERROR(__xludf.DUMMYFUNCTION("""COMPUTED_VALUE"""),"2015-06-02-J07-CU-7")</f>
        <v>2015-06-02-J07-CU-7</v>
      </c>
    </row>
    <row r="2439">
      <c r="A2439" t="str">
        <f>IFERROR(__xludf.DUMMYFUNCTION("""COMPUTED_VALUE"""),"2015-06-02-J07-CU-8")</f>
        <v>2015-06-02-J07-CU-8</v>
      </c>
    </row>
    <row r="2440">
      <c r="A2440" t="str">
        <f>IFERROR(__xludf.DUMMYFUNCTION("""COMPUTED_VALUE"""),"2015-06-02-J07-CU-9")</f>
        <v>2015-06-02-J07-CU-9</v>
      </c>
    </row>
    <row r="2441">
      <c r="A2441" t="str">
        <f>IFERROR(__xludf.DUMMYFUNCTION("""COMPUTED_VALUE"""),"2015-06-02-J07-CU-10")</f>
        <v>2015-06-02-J07-CU-10</v>
      </c>
    </row>
    <row r="2442">
      <c r="A2442" t="str">
        <f>IFERROR(__xludf.DUMMYFUNCTION("""COMPUTED_VALUE"""),"2015-06-02-J05-CO-1")</f>
        <v>2015-06-02-J05-CO-1</v>
      </c>
    </row>
    <row r="2443">
      <c r="A2443" t="str">
        <f>IFERROR(__xludf.DUMMYFUNCTION("""COMPUTED_VALUE"""),"2015-06-02-J05-CO-2")</f>
        <v>2015-06-02-J05-CO-2</v>
      </c>
    </row>
    <row r="2444">
      <c r="A2444" t="str">
        <f>IFERROR(__xludf.DUMMYFUNCTION("""COMPUTED_VALUE"""),"2015-06-02-J05-CO-3")</f>
        <v>2015-06-02-J05-CO-3</v>
      </c>
    </row>
    <row r="2445">
      <c r="A2445" t="str">
        <f>IFERROR(__xludf.DUMMYFUNCTION("""COMPUTED_VALUE"""),"2015-06-02-J07-HE-1")</f>
        <v>2015-06-02-J07-HE-1</v>
      </c>
    </row>
    <row r="2446">
      <c r="A2446" t="str">
        <f>IFERROR(__xludf.DUMMYFUNCTION("""COMPUTED_VALUE"""),"2015-06-02-J07-HE-2")</f>
        <v>2015-06-02-J07-HE-2</v>
      </c>
    </row>
    <row r="2447">
      <c r="A2447" t="str">
        <f>IFERROR(__xludf.DUMMYFUNCTION("""COMPUTED_VALUE"""),"2015-06-02-J07-HE-3")</f>
        <v>2015-06-02-J07-HE-3</v>
      </c>
    </row>
    <row r="2448">
      <c r="A2448" t="str">
        <f>IFERROR(__xludf.DUMMYFUNCTION("""COMPUTED_VALUE"""),"2015-06-02-J07-HE-4")</f>
        <v>2015-06-02-J07-HE-4</v>
      </c>
    </row>
    <row r="2449">
      <c r="A2449" t="str">
        <f>IFERROR(__xludf.DUMMYFUNCTION("""COMPUTED_VALUE"""),"2015-06-02-J07-HE-5")</f>
        <v>2015-06-02-J07-HE-5</v>
      </c>
    </row>
    <row r="2450">
      <c r="A2450" t="str">
        <f>IFERROR(__xludf.DUMMYFUNCTION("""COMPUTED_VALUE"""),"2015-06-03-D10-SO-1")</f>
        <v>2015-06-03-D10-SO-1</v>
      </c>
    </row>
    <row r="2451">
      <c r="A2451" t="str">
        <f>IFERROR(__xludf.DUMMYFUNCTION("""COMPUTED_VALUE"""),"2015-06-03-D10-SO-2")</f>
        <v>2015-06-03-D10-SO-2</v>
      </c>
    </row>
    <row r="2452">
      <c r="A2452" t="str">
        <f>IFERROR(__xludf.DUMMYFUNCTION("""COMPUTED_VALUE"""),"2015-06-03-D10-SO-3")</f>
        <v>2015-06-03-D10-SO-3</v>
      </c>
    </row>
    <row r="2453">
      <c r="A2453" t="str">
        <f>IFERROR(__xludf.DUMMYFUNCTION("""COMPUTED_VALUE"""),"2015-06-03-D10-SO-4")</f>
        <v>2015-06-03-D10-SO-4</v>
      </c>
    </row>
    <row r="2454">
      <c r="A2454" t="str">
        <f>IFERROR(__xludf.DUMMYFUNCTION("""COMPUTED_VALUE"""),"2015-06-03-D10-SO-5")</f>
        <v>2015-06-03-D10-SO-5</v>
      </c>
    </row>
    <row r="2455">
      <c r="A2455" t="str">
        <f>IFERROR(__xludf.DUMMYFUNCTION("""COMPUTED_VALUE"""),"2015-06-03-D10-SO-6")</f>
        <v>2015-06-03-D10-SO-6</v>
      </c>
    </row>
    <row r="2456">
      <c r="A2456" t="str">
        <f>IFERROR(__xludf.DUMMYFUNCTION("""COMPUTED_VALUE"""),"2015-06-03-D10-SO-7")</f>
        <v>2015-06-03-D10-SO-7</v>
      </c>
    </row>
    <row r="2457">
      <c r="A2457" t="str">
        <f>IFERROR(__xludf.DUMMYFUNCTION("""COMPUTED_VALUE"""),"2015-06-03-D10-SO-8")</f>
        <v>2015-06-03-D10-SO-8</v>
      </c>
    </row>
    <row r="2458">
      <c r="A2458" t="str">
        <f>IFERROR(__xludf.DUMMYFUNCTION("""COMPUTED_VALUE"""),"2015-06-03-D10-SO-9")</f>
        <v>2015-06-03-D10-SO-9</v>
      </c>
    </row>
    <row r="2459">
      <c r="A2459" t="str">
        <f>IFERROR(__xludf.DUMMYFUNCTION("""COMPUTED_VALUE"""),"2015-06-03-D10-SO-10")</f>
        <v>2015-06-03-D10-SO-10</v>
      </c>
    </row>
    <row r="2460">
      <c r="A2460" t="str">
        <f>IFERROR(__xludf.DUMMYFUNCTION("""COMPUTED_VALUE"""),"2015-06-03-D10-SO-11")</f>
        <v>2015-06-03-D10-SO-11</v>
      </c>
    </row>
    <row r="2461">
      <c r="A2461" t="str">
        <f>IFERROR(__xludf.DUMMYFUNCTION("""COMPUTED_VALUE"""),"2015-06-03-D10-SO-12")</f>
        <v>2015-06-03-D10-SO-12</v>
      </c>
    </row>
    <row r="2462">
      <c r="A2462" t="str">
        <f>IFERROR(__xludf.DUMMYFUNCTION("""COMPUTED_VALUE"""),"2015-06-03-D10-SO-13")</f>
        <v>2015-06-03-D10-SO-13</v>
      </c>
    </row>
    <row r="2463">
      <c r="A2463" t="str">
        <f>IFERROR(__xludf.DUMMYFUNCTION("""COMPUTED_VALUE"""),"2015-06-03-D10-SO-14")</f>
        <v>2015-06-03-D10-SO-14</v>
      </c>
    </row>
    <row r="2464">
      <c r="A2464" t="str">
        <f>IFERROR(__xludf.DUMMYFUNCTION("""COMPUTED_VALUE"""),"2015-06-03-D10-SO-15")</f>
        <v>2015-06-03-D10-SO-15</v>
      </c>
    </row>
    <row r="2465">
      <c r="A2465" t="str">
        <f>IFERROR(__xludf.DUMMYFUNCTION("""COMPUTED_VALUE"""),"2015-06-03-D10-SO-16")</f>
        <v>2015-06-03-D10-SO-16</v>
      </c>
    </row>
    <row r="2466">
      <c r="A2466" t="str">
        <f>IFERROR(__xludf.DUMMYFUNCTION("""COMPUTED_VALUE"""),"2015-06-03-D10-SO-17")</f>
        <v>2015-06-03-D10-SO-17</v>
      </c>
    </row>
    <row r="2467">
      <c r="A2467" t="str">
        <f>IFERROR(__xludf.DUMMYFUNCTION("""COMPUTED_VALUE"""),"2015-06-03-D10-SO-18")</f>
        <v>2015-06-03-D10-SO-18</v>
      </c>
    </row>
    <row r="2468">
      <c r="A2468" t="str">
        <f>IFERROR(__xludf.DUMMYFUNCTION("""COMPUTED_VALUE"""),"2015-06-03-D10-SO-19")</f>
        <v>2015-06-03-D10-SO-19</v>
      </c>
    </row>
    <row r="2469">
      <c r="A2469" t="str">
        <f>IFERROR(__xludf.DUMMYFUNCTION("""COMPUTED_VALUE"""),"2015-06-03-D10-SO-20")</f>
        <v>2015-06-03-D10-SO-20</v>
      </c>
    </row>
    <row r="2470">
      <c r="A2470" t="str">
        <f>IFERROR(__xludf.DUMMYFUNCTION("""COMPUTED_VALUE"""),"2015-06-03-D10-SO-21")</f>
        <v>2015-06-03-D10-SO-21</v>
      </c>
    </row>
    <row r="2471">
      <c r="A2471" t="str">
        <f>IFERROR(__xludf.DUMMYFUNCTION("""COMPUTED_VALUE"""),"2015-06-03-D10-SO-22")</f>
        <v>2015-06-03-D10-SO-22</v>
      </c>
    </row>
    <row r="2472">
      <c r="A2472" t="str">
        <f>IFERROR(__xludf.DUMMYFUNCTION("""COMPUTED_VALUE"""),"2015-06-03-D10-SO-23")</f>
        <v>2015-06-03-D10-SO-23</v>
      </c>
    </row>
    <row r="2473">
      <c r="A2473" t="str">
        <f>IFERROR(__xludf.DUMMYFUNCTION("""COMPUTED_VALUE"""),"2015-06-03-D10-SO-24")</f>
        <v>2015-06-03-D10-SO-24</v>
      </c>
    </row>
    <row r="2474">
      <c r="A2474" t="str">
        <f>IFERROR(__xludf.DUMMYFUNCTION("""COMPUTED_VALUE"""),"2015-06-03-D10-SO-25")</f>
        <v>2015-06-03-D10-SO-25</v>
      </c>
    </row>
    <row r="2475">
      <c r="A2475" t="str">
        <f>IFERROR(__xludf.DUMMYFUNCTION("""COMPUTED_VALUE"""),"2015-06-03-D10-SO-26")</f>
        <v>2015-06-03-D10-SO-26</v>
      </c>
    </row>
    <row r="2476">
      <c r="A2476" t="str">
        <f>IFERROR(__xludf.DUMMYFUNCTION("""COMPUTED_VALUE"""),"2015-06-03-D10-SO-27")</f>
        <v>2015-06-03-D10-SO-27</v>
      </c>
    </row>
    <row r="2477">
      <c r="A2477" t="str">
        <f>IFERROR(__xludf.DUMMYFUNCTION("""COMPUTED_VALUE"""),"2015-06-03-D10-SO-28")</f>
        <v>2015-06-03-D10-SO-28</v>
      </c>
    </row>
    <row r="2478">
      <c r="A2478" t="str">
        <f>IFERROR(__xludf.DUMMYFUNCTION("""COMPUTED_VALUE"""),"2015-06-03-D10-SO-29")</f>
        <v>2015-06-03-D10-SO-29</v>
      </c>
    </row>
    <row r="2479">
      <c r="A2479" t="str">
        <f>IFERROR(__xludf.DUMMYFUNCTION("""COMPUTED_VALUE"""),"2015-06-03-D10-SO-30")</f>
        <v>2015-06-03-D10-SO-30</v>
      </c>
    </row>
    <row r="2480">
      <c r="A2480" t="str">
        <f>IFERROR(__xludf.DUMMYFUNCTION("""COMPUTED_VALUE"""),"2015-06-03-D11-SO-1")</f>
        <v>2015-06-03-D11-SO-1</v>
      </c>
    </row>
    <row r="2481">
      <c r="A2481" t="str">
        <f>IFERROR(__xludf.DUMMYFUNCTION("""COMPUTED_VALUE"""),"2015-06-03-D11-SO-2")</f>
        <v>2015-06-03-D11-SO-2</v>
      </c>
    </row>
    <row r="2482">
      <c r="A2482" t="str">
        <f>IFERROR(__xludf.DUMMYFUNCTION("""COMPUTED_VALUE"""),"2015-06-03-D11-SO-3")</f>
        <v>2015-06-03-D11-SO-3</v>
      </c>
    </row>
    <row r="2483">
      <c r="A2483" t="str">
        <f>IFERROR(__xludf.DUMMYFUNCTION("""COMPUTED_VALUE"""),"2015-06-03-D11-SO-4")</f>
        <v>2015-06-03-D11-SO-4</v>
      </c>
    </row>
    <row r="2484">
      <c r="A2484" t="str">
        <f>IFERROR(__xludf.DUMMYFUNCTION("""COMPUTED_VALUE"""),"2015-06-03-D11-SO-5")</f>
        <v>2015-06-03-D11-SO-5</v>
      </c>
    </row>
    <row r="2485">
      <c r="A2485" t="str">
        <f>IFERROR(__xludf.DUMMYFUNCTION("""COMPUTED_VALUE"""),"2015-06-03-D11-SO-6")</f>
        <v>2015-06-03-D11-SO-6</v>
      </c>
    </row>
    <row r="2486">
      <c r="A2486" t="str">
        <f>IFERROR(__xludf.DUMMYFUNCTION("""COMPUTED_VALUE"""),"2015-06-03-D11-SO-7")</f>
        <v>2015-06-03-D11-SO-7</v>
      </c>
    </row>
    <row r="2487">
      <c r="A2487" t="str">
        <f>IFERROR(__xludf.DUMMYFUNCTION("""COMPUTED_VALUE"""),"2015-06-03-D11-SO-8")</f>
        <v>2015-06-03-D11-SO-8</v>
      </c>
    </row>
    <row r="2488">
      <c r="A2488" t="str">
        <f>IFERROR(__xludf.DUMMYFUNCTION("""COMPUTED_VALUE"""),"2015-06-03-D11-SO-9")</f>
        <v>2015-06-03-D11-SO-9</v>
      </c>
    </row>
    <row r="2489">
      <c r="A2489" t="str">
        <f>IFERROR(__xludf.DUMMYFUNCTION("""COMPUTED_VALUE"""),"2015-06-03-D11-SO-10")</f>
        <v>2015-06-03-D11-SO-10</v>
      </c>
    </row>
    <row r="2490">
      <c r="A2490" t="str">
        <f>IFERROR(__xludf.DUMMYFUNCTION("""COMPUTED_VALUE"""),"2015-06-03-D11-SO-11")</f>
        <v>2015-06-03-D11-SO-11</v>
      </c>
    </row>
    <row r="2491">
      <c r="A2491" t="str">
        <f>IFERROR(__xludf.DUMMYFUNCTION("""COMPUTED_VALUE"""),"2015-06-03-D11-SO-12")</f>
        <v>2015-06-03-D11-SO-12</v>
      </c>
    </row>
    <row r="2492">
      <c r="A2492" t="str">
        <f>IFERROR(__xludf.DUMMYFUNCTION("""COMPUTED_VALUE"""),"2015-06-03-D09-SO-1")</f>
        <v>2015-06-03-D09-SO-1</v>
      </c>
    </row>
    <row r="2493">
      <c r="A2493" t="str">
        <f>IFERROR(__xludf.DUMMYFUNCTION("""COMPUTED_VALUE"""),"2015-06-03-D09-SO-2")</f>
        <v>2015-06-03-D09-SO-2</v>
      </c>
    </row>
    <row r="2494">
      <c r="A2494" t="str">
        <f>IFERROR(__xludf.DUMMYFUNCTION("""COMPUTED_VALUE"""),"2015-06-03-D09-SO-3")</f>
        <v>2015-06-03-D09-SO-3</v>
      </c>
    </row>
    <row r="2495">
      <c r="A2495" t="str">
        <f>IFERROR(__xludf.DUMMYFUNCTION("""COMPUTED_VALUE"""),"2015-06-03-D09-SO-4")</f>
        <v>2015-06-03-D09-SO-4</v>
      </c>
    </row>
    <row r="2496">
      <c r="A2496" t="str">
        <f>IFERROR(__xludf.DUMMYFUNCTION("""COMPUTED_VALUE"""),"2015-06-03-D09-SO-5")</f>
        <v>2015-06-03-D09-SO-5</v>
      </c>
    </row>
    <row r="2497">
      <c r="A2497" t="str">
        <f>IFERROR(__xludf.DUMMYFUNCTION("""COMPUTED_VALUE"""),"2015-06-03-D09-SO-6")</f>
        <v>2015-06-03-D09-SO-6</v>
      </c>
    </row>
    <row r="2498">
      <c r="A2498" t="str">
        <f>IFERROR(__xludf.DUMMYFUNCTION("""COMPUTED_VALUE"""),"2015-06-03-D09-SO-7")</f>
        <v>2015-06-03-D09-SO-7</v>
      </c>
    </row>
    <row r="2499">
      <c r="A2499" t="str">
        <f>IFERROR(__xludf.DUMMYFUNCTION("""COMPUTED_VALUE"""),"2015-06-03-D09-SO-8")</f>
        <v>2015-06-03-D09-SO-8</v>
      </c>
    </row>
    <row r="2500">
      <c r="A2500" t="str">
        <f>IFERROR(__xludf.DUMMYFUNCTION("""COMPUTED_VALUE"""),"2015-06-03-D09-SO-9")</f>
        <v>2015-06-03-D09-SO-9</v>
      </c>
    </row>
    <row r="2501">
      <c r="A2501" t="str">
        <f>IFERROR(__xludf.DUMMYFUNCTION("""COMPUTED_VALUE"""),"2015-06-03-D09-SO-10")</f>
        <v>2015-06-03-D09-SO-10</v>
      </c>
    </row>
    <row r="2502">
      <c r="A2502" t="str">
        <f>IFERROR(__xludf.DUMMYFUNCTION("""COMPUTED_VALUE"""),"2015-06-03-D09-SO-11")</f>
        <v>2015-06-03-D09-SO-11</v>
      </c>
    </row>
    <row r="2503">
      <c r="A2503" t="str">
        <f>IFERROR(__xludf.DUMMYFUNCTION("""COMPUTED_VALUE"""),"2015-06-03-D09-SO-12")</f>
        <v>2015-06-03-D09-SO-12</v>
      </c>
    </row>
    <row r="2504">
      <c r="A2504" t="str">
        <f>IFERROR(__xludf.DUMMYFUNCTION("""COMPUTED_VALUE"""),"2015-06-03-D09-SO-13")</f>
        <v>2015-06-03-D09-SO-13</v>
      </c>
    </row>
    <row r="2505">
      <c r="A2505" t="str">
        <f>IFERROR(__xludf.DUMMYFUNCTION("""COMPUTED_VALUE"""),"2015-06-03-D09-SO-14")</f>
        <v>2015-06-03-D09-SO-14</v>
      </c>
    </row>
    <row r="2506">
      <c r="A2506" t="str">
        <f>IFERROR(__xludf.DUMMYFUNCTION("""COMPUTED_VALUE"""),"2015-06-03-D09-SO-15")</f>
        <v>2015-06-03-D09-SO-15</v>
      </c>
    </row>
    <row r="2507">
      <c r="A2507" t="str">
        <f>IFERROR(__xludf.DUMMYFUNCTION("""COMPUTED_VALUE"""),"2015-06-03-D09-SO-16")</f>
        <v>2015-06-03-D09-SO-16</v>
      </c>
    </row>
    <row r="2508">
      <c r="A2508" t="str">
        <f>IFERROR(__xludf.DUMMYFUNCTION("""COMPUTED_VALUE"""),"2015-06-03-D09-SO-17")</f>
        <v>2015-06-03-D09-SO-17</v>
      </c>
    </row>
    <row r="2509">
      <c r="A2509" t="str">
        <f>IFERROR(__xludf.DUMMYFUNCTION("""COMPUTED_VALUE"""),"2015-06-03-D09-SO-18")</f>
        <v>2015-06-03-D09-SO-18</v>
      </c>
    </row>
    <row r="2510">
      <c r="A2510" t="str">
        <f>IFERROR(__xludf.DUMMYFUNCTION("""COMPUTED_VALUE"""),"2015-06-03-D09-SO-19")</f>
        <v>2015-06-03-D09-SO-19</v>
      </c>
    </row>
    <row r="2511">
      <c r="A2511" t="str">
        <f>IFERROR(__xludf.DUMMYFUNCTION("""COMPUTED_VALUE"""),"2015-06-03-D09-SO-20")</f>
        <v>2015-06-03-D09-SO-20</v>
      </c>
    </row>
    <row r="2512">
      <c r="A2512" t="str">
        <f>IFERROR(__xludf.DUMMYFUNCTION("""COMPUTED_VALUE"""),"2015-06-03-D09-SO-21")</f>
        <v>2015-06-03-D09-SO-21</v>
      </c>
    </row>
    <row r="2513">
      <c r="A2513" t="str">
        <f>IFERROR(__xludf.DUMMYFUNCTION("""COMPUTED_VALUE"""),"2015-06-03-D09-SO-22")</f>
        <v>2015-06-03-D09-SO-22</v>
      </c>
    </row>
    <row r="2514">
      <c r="A2514" t="str">
        <f>IFERROR(__xludf.DUMMYFUNCTION("""COMPUTED_VALUE"""),"2015-06-03-D09-SO-23")</f>
        <v>2015-06-03-D09-SO-23</v>
      </c>
    </row>
    <row r="2515">
      <c r="A2515" t="str">
        <f>IFERROR(__xludf.DUMMYFUNCTION("""COMPUTED_VALUE"""),"2015-06-03-D09-SO-24")</f>
        <v>2015-06-03-D09-SO-24</v>
      </c>
    </row>
    <row r="2516">
      <c r="A2516" t="str">
        <f>IFERROR(__xludf.DUMMYFUNCTION("""COMPUTED_VALUE"""),"2015-06-03-D09-SO-25")</f>
        <v>2015-06-03-D09-SO-25</v>
      </c>
    </row>
    <row r="2517">
      <c r="A2517" t="str">
        <f>IFERROR(__xludf.DUMMYFUNCTION("""COMPUTED_VALUE"""),"2015-06-03-D09-SO-26")</f>
        <v>2015-06-03-D09-SO-26</v>
      </c>
    </row>
    <row r="2518">
      <c r="A2518" t="str">
        <f>IFERROR(__xludf.DUMMYFUNCTION("""COMPUTED_VALUE"""),"2015-06-03-D09-SO-27")</f>
        <v>2015-06-03-D09-SO-27</v>
      </c>
    </row>
    <row r="2519">
      <c r="A2519" t="str">
        <f>IFERROR(__xludf.DUMMYFUNCTION("""COMPUTED_VALUE"""),"2015-06-03-D09-SO-28")</f>
        <v>2015-06-03-D09-SO-28</v>
      </c>
    </row>
    <row r="2520">
      <c r="A2520" t="str">
        <f>IFERROR(__xludf.DUMMYFUNCTION("""COMPUTED_VALUE"""),"2015-06-03-D09-SO-29")</f>
        <v>2015-06-03-D09-SO-29</v>
      </c>
    </row>
    <row r="2521">
      <c r="A2521" t="str">
        <f>IFERROR(__xludf.DUMMYFUNCTION("""COMPUTED_VALUE"""),"2015-06-03-D09-SO-30")</f>
        <v>2015-06-03-D09-SO-30</v>
      </c>
    </row>
    <row r="2522">
      <c r="A2522" t="str">
        <f>IFERROR(__xludf.DUMMYFUNCTION("""COMPUTED_VALUE"""),"2015-06-03-J06-SO-1")</f>
        <v>2015-06-03-J06-SO-1</v>
      </c>
    </row>
    <row r="2523">
      <c r="A2523" t="str">
        <f>IFERROR(__xludf.DUMMYFUNCTION("""COMPUTED_VALUE"""),"2015-06-03-J06-SO-2")</f>
        <v>2015-06-03-J06-SO-2</v>
      </c>
    </row>
    <row r="2524">
      <c r="A2524" t="str">
        <f>IFERROR(__xludf.DUMMYFUNCTION("""COMPUTED_VALUE"""),"2015-06-03-J06-SO-3")</f>
        <v>2015-06-03-J06-SO-3</v>
      </c>
    </row>
    <row r="2525">
      <c r="A2525" t="str">
        <f>IFERROR(__xludf.DUMMYFUNCTION("""COMPUTED_VALUE"""),"2015-06-03-J06-SO-4")</f>
        <v>2015-06-03-J06-SO-4</v>
      </c>
    </row>
    <row r="2526">
      <c r="A2526" t="str">
        <f>IFERROR(__xludf.DUMMYFUNCTION("""COMPUTED_VALUE"""),"2015-06-03-J06-SO-5")</f>
        <v>2015-06-03-J06-SO-5</v>
      </c>
    </row>
    <row r="2527">
      <c r="A2527" t="str">
        <f>IFERROR(__xludf.DUMMYFUNCTION("""COMPUTED_VALUE"""),"2015-06-03-J06-SO-6")</f>
        <v>2015-06-03-J06-SO-6</v>
      </c>
    </row>
    <row r="2528">
      <c r="A2528" t="str">
        <f>IFERROR(__xludf.DUMMYFUNCTION("""COMPUTED_VALUE"""),"2015-06-03-J06-SO-7")</f>
        <v>2015-06-03-J06-SO-7</v>
      </c>
    </row>
    <row r="2529">
      <c r="A2529" t="str">
        <f>IFERROR(__xludf.DUMMYFUNCTION("""COMPUTED_VALUE"""),"2015-06-03-J06-SO-8")</f>
        <v>2015-06-03-J06-SO-8</v>
      </c>
    </row>
    <row r="2530">
      <c r="A2530" t="str">
        <f>IFERROR(__xludf.DUMMYFUNCTION("""COMPUTED_VALUE"""),"2015-06-03-J06-SO-9")</f>
        <v>2015-06-03-J06-SO-9</v>
      </c>
    </row>
    <row r="2531">
      <c r="A2531" t="str">
        <f>IFERROR(__xludf.DUMMYFUNCTION("""COMPUTED_VALUE"""),"2015-06-03-J06-SO-10")</f>
        <v>2015-06-03-J06-SO-10</v>
      </c>
    </row>
    <row r="2532">
      <c r="A2532" t="str">
        <f>IFERROR(__xludf.DUMMYFUNCTION("""COMPUTED_VALUE"""),"2015-06-03-J06-SO-11")</f>
        <v>2015-06-03-J06-SO-11</v>
      </c>
    </row>
    <row r="2533">
      <c r="A2533" t="str">
        <f>IFERROR(__xludf.DUMMYFUNCTION("""COMPUTED_VALUE"""),"2015-06-03-J06-SO-12")</f>
        <v>2015-06-03-J06-SO-12</v>
      </c>
    </row>
    <row r="2534">
      <c r="A2534" t="str">
        <f>IFERROR(__xludf.DUMMYFUNCTION("""COMPUTED_VALUE"""),"2015-06-03-J06-SO-13")</f>
        <v>2015-06-03-J06-SO-13</v>
      </c>
    </row>
    <row r="2535">
      <c r="A2535" t="str">
        <f>IFERROR(__xludf.DUMMYFUNCTION("""COMPUTED_VALUE"""),"2015-06-03-J06-SO-14")</f>
        <v>2015-06-03-J06-SO-14</v>
      </c>
    </row>
    <row r="2536">
      <c r="A2536" t="str">
        <f>IFERROR(__xludf.DUMMYFUNCTION("""COMPUTED_VALUE"""),"2015-06-03-J06-SO-15")</f>
        <v>2015-06-03-J06-SO-15</v>
      </c>
    </row>
    <row r="2537">
      <c r="A2537" t="str">
        <f>IFERROR(__xludf.DUMMYFUNCTION("""COMPUTED_VALUE"""),"2015-06-03-J06-SO-16")</f>
        <v>2015-06-03-J06-SO-16</v>
      </c>
    </row>
    <row r="2538">
      <c r="A2538" t="str">
        <f>IFERROR(__xludf.DUMMYFUNCTION("""COMPUTED_VALUE"""),"2015-06-03-J06-SO-17")</f>
        <v>2015-06-03-J06-SO-17</v>
      </c>
    </row>
    <row r="2539">
      <c r="A2539" t="str">
        <f>IFERROR(__xludf.DUMMYFUNCTION("""COMPUTED_VALUE"""),"2015-06-03-J06-SO-18")</f>
        <v>2015-06-03-J06-SO-18</v>
      </c>
    </row>
    <row r="2540">
      <c r="A2540" t="str">
        <f>IFERROR(__xludf.DUMMYFUNCTION("""COMPUTED_VALUE"""),"2015-06-03-J06-SO-19")</f>
        <v>2015-06-03-J06-SO-19</v>
      </c>
    </row>
    <row r="2541">
      <c r="A2541" t="str">
        <f>IFERROR(__xludf.DUMMYFUNCTION("""COMPUTED_VALUE"""),"2015-06-03-J06-SO-20")</f>
        <v>2015-06-03-J06-SO-20</v>
      </c>
    </row>
    <row r="2542">
      <c r="A2542" t="str">
        <f>IFERROR(__xludf.DUMMYFUNCTION("""COMPUTED_VALUE"""),"2015-06-03-J06-SO-21")</f>
        <v>2015-06-03-J06-SO-21</v>
      </c>
    </row>
    <row r="2543">
      <c r="A2543" t="str">
        <f>IFERROR(__xludf.DUMMYFUNCTION("""COMPUTED_VALUE"""),"2015-06-03-J06-SO-22")</f>
        <v>2015-06-03-J06-SO-22</v>
      </c>
    </row>
    <row r="2544">
      <c r="A2544" t="str">
        <f>IFERROR(__xludf.DUMMYFUNCTION("""COMPUTED_VALUE"""),"2015-06-03-J06-SO-23")</f>
        <v>2015-06-03-J06-SO-23</v>
      </c>
    </row>
    <row r="2545">
      <c r="A2545" t="str">
        <f>IFERROR(__xludf.DUMMYFUNCTION("""COMPUTED_VALUE"""),"2015-06-03-J06-SO-24")</f>
        <v>2015-06-03-J06-SO-24</v>
      </c>
    </row>
    <row r="2546">
      <c r="A2546" t="str">
        <f>IFERROR(__xludf.DUMMYFUNCTION("""COMPUTED_VALUE"""),"2015-06-03-J06-SO-25")</f>
        <v>2015-06-03-J06-SO-25</v>
      </c>
    </row>
    <row r="2547">
      <c r="A2547" t="str">
        <f>IFERROR(__xludf.DUMMYFUNCTION("""COMPUTED_VALUE"""),"2015-06-03-J06-SO-26")</f>
        <v>2015-06-03-J06-SO-26</v>
      </c>
    </row>
    <row r="2548">
      <c r="A2548" t="str">
        <f>IFERROR(__xludf.DUMMYFUNCTION("""COMPUTED_VALUE"""),"2015-06-03-J06-SO-27")</f>
        <v>2015-06-03-J06-SO-27</v>
      </c>
    </row>
    <row r="2549">
      <c r="A2549" t="str">
        <f>IFERROR(__xludf.DUMMYFUNCTION("""COMPUTED_VALUE"""),"2015-06-03-J06-SO-28")</f>
        <v>2015-06-03-J06-SO-28</v>
      </c>
    </row>
    <row r="2550">
      <c r="A2550" t="str">
        <f>IFERROR(__xludf.DUMMYFUNCTION("""COMPUTED_VALUE"""),"2015-06-03-J06-SO-29")</f>
        <v>2015-06-03-J06-SO-29</v>
      </c>
    </row>
    <row r="2551">
      <c r="A2551" t="str">
        <f>IFERROR(__xludf.DUMMYFUNCTION("""COMPUTED_VALUE"""),"2015-06-03-J06-SO-30")</f>
        <v>2015-06-03-J06-SO-30</v>
      </c>
    </row>
    <row r="2552">
      <c r="A2552" t="str">
        <f>IFERROR(__xludf.DUMMYFUNCTION("""COMPUTED_VALUE"""),"2015-06-03-J08-SO-1")</f>
        <v>2015-06-03-J08-SO-1</v>
      </c>
    </row>
    <row r="2553">
      <c r="A2553" t="str">
        <f>IFERROR(__xludf.DUMMYFUNCTION("""COMPUTED_VALUE"""),"2015-06-03-J08-SO-2")</f>
        <v>2015-06-03-J08-SO-2</v>
      </c>
    </row>
    <row r="2554">
      <c r="A2554" t="str">
        <f>IFERROR(__xludf.DUMMYFUNCTION("""COMPUTED_VALUE"""),"2015-06-03-J08-SO-3")</f>
        <v>2015-06-03-J08-SO-3</v>
      </c>
    </row>
    <row r="2555">
      <c r="A2555" t="str">
        <f>IFERROR(__xludf.DUMMYFUNCTION("""COMPUTED_VALUE"""),"2015-06-03-J08-SO-4")</f>
        <v>2015-06-03-J08-SO-4</v>
      </c>
    </row>
    <row r="2556">
      <c r="A2556" t="str">
        <f>IFERROR(__xludf.DUMMYFUNCTION("""COMPUTED_VALUE"""),"2015-06-03-J08-SO-5")</f>
        <v>2015-06-03-J08-SO-5</v>
      </c>
    </row>
    <row r="2557">
      <c r="A2557" t="str">
        <f>IFERROR(__xludf.DUMMYFUNCTION("""COMPUTED_VALUE"""),"2015-06-03-J08-SO-6")</f>
        <v>2015-06-03-J08-SO-6</v>
      </c>
    </row>
    <row r="2558">
      <c r="A2558" t="str">
        <f>IFERROR(__xludf.DUMMYFUNCTION("""COMPUTED_VALUE"""),"2015-06-03-J08-SO-7")</f>
        <v>2015-06-03-J08-SO-7</v>
      </c>
    </row>
    <row r="2559">
      <c r="A2559" t="str">
        <f>IFERROR(__xludf.DUMMYFUNCTION("""COMPUTED_VALUE"""),"2015-06-03-J08-SO-8")</f>
        <v>2015-06-03-J08-SO-8</v>
      </c>
    </row>
    <row r="2560">
      <c r="A2560" t="str">
        <f>IFERROR(__xludf.DUMMYFUNCTION("""COMPUTED_VALUE"""),"2015-06-03-J08-SO-9")</f>
        <v>2015-06-03-J08-SO-9</v>
      </c>
    </row>
    <row r="2561">
      <c r="A2561" t="str">
        <f>IFERROR(__xludf.DUMMYFUNCTION("""COMPUTED_VALUE"""),"2015-06-03-J08-SO-10")</f>
        <v>2015-06-03-J08-SO-10</v>
      </c>
    </row>
    <row r="2562">
      <c r="A2562" t="str">
        <f>IFERROR(__xludf.DUMMYFUNCTION("""COMPUTED_VALUE"""),"2015-06-03-J08-SO-11")</f>
        <v>2015-06-03-J08-SO-11</v>
      </c>
    </row>
    <row r="2563">
      <c r="A2563" t="str">
        <f>IFERROR(__xludf.DUMMYFUNCTION("""COMPUTED_VALUE"""),"2015-06-03-J08-SO-12")</f>
        <v>2015-06-03-J08-SO-12</v>
      </c>
    </row>
    <row r="2564">
      <c r="A2564" t="str">
        <f>IFERROR(__xludf.DUMMYFUNCTION("""COMPUTED_VALUE"""),"2015-06-03-J08-SO-13")</f>
        <v>2015-06-03-J08-SO-13</v>
      </c>
    </row>
    <row r="2565">
      <c r="A2565" t="str">
        <f>IFERROR(__xludf.DUMMYFUNCTION("""COMPUTED_VALUE"""),"2015-06-03-J08-SO-14")</f>
        <v>2015-06-03-J08-SO-14</v>
      </c>
    </row>
    <row r="2566">
      <c r="A2566" t="str">
        <f>IFERROR(__xludf.DUMMYFUNCTION("""COMPUTED_VALUE"""),"2015-06-03-J08-SO-15")</f>
        <v>2015-06-03-J08-SO-15</v>
      </c>
    </row>
    <row r="2567">
      <c r="A2567" t="str">
        <f>IFERROR(__xludf.DUMMYFUNCTION("""COMPUTED_VALUE"""),"2015-06-03-J08-SO-16")</f>
        <v>2015-06-03-J08-SO-16</v>
      </c>
    </row>
    <row r="2568">
      <c r="A2568" t="str">
        <f>IFERROR(__xludf.DUMMYFUNCTION("""COMPUTED_VALUE"""),"2015-06-03-J08-SO-17")</f>
        <v>2015-06-03-J08-SO-17</v>
      </c>
    </row>
    <row r="2569">
      <c r="A2569" t="str">
        <f>IFERROR(__xludf.DUMMYFUNCTION("""COMPUTED_VALUE"""),"2015-06-03-J08-SO-18")</f>
        <v>2015-06-03-J08-SO-18</v>
      </c>
    </row>
    <row r="2570">
      <c r="A2570" t="str">
        <f>IFERROR(__xludf.DUMMYFUNCTION("""COMPUTED_VALUE"""),"2015-06-03-J08-SO-19")</f>
        <v>2015-06-03-J08-SO-19</v>
      </c>
    </row>
    <row r="2571">
      <c r="A2571" t="str">
        <f>IFERROR(__xludf.DUMMYFUNCTION("""COMPUTED_VALUE"""),"2015-06-03-J08-SO-20")</f>
        <v>2015-06-03-J08-SO-20</v>
      </c>
    </row>
    <row r="2572">
      <c r="A2572" t="str">
        <f>IFERROR(__xludf.DUMMYFUNCTION("""COMPUTED_VALUE"""),"2015-06-03-J08-SO-21")</f>
        <v>2015-06-03-J08-SO-21</v>
      </c>
    </row>
    <row r="2573">
      <c r="A2573" t="str">
        <f>IFERROR(__xludf.DUMMYFUNCTION("""COMPUTED_VALUE"""),"2015-06-03-J08-SO-22")</f>
        <v>2015-06-03-J08-SO-22</v>
      </c>
    </row>
    <row r="2574">
      <c r="A2574" t="str">
        <f>IFERROR(__xludf.DUMMYFUNCTION("""COMPUTED_VALUE"""),"2015-06-03-J08-SO-23")</f>
        <v>2015-06-03-J08-SO-23</v>
      </c>
    </row>
    <row r="2575">
      <c r="A2575" t="str">
        <f>IFERROR(__xludf.DUMMYFUNCTION("""COMPUTED_VALUE"""),"2015-06-03-J08-SO-24")</f>
        <v>2015-06-03-J08-SO-24</v>
      </c>
    </row>
    <row r="2576">
      <c r="A2576" t="str">
        <f>IFERROR(__xludf.DUMMYFUNCTION("""COMPUTED_VALUE"""),"2015-06-03-J08-SO-25")</f>
        <v>2015-06-03-J08-SO-25</v>
      </c>
    </row>
    <row r="2577">
      <c r="A2577" t="str">
        <f>IFERROR(__xludf.DUMMYFUNCTION("""COMPUTED_VALUE"""),"2015-06-03-J08-SO-26")</f>
        <v>2015-06-03-J08-SO-26</v>
      </c>
    </row>
    <row r="2578">
      <c r="A2578" t="str">
        <f>IFERROR(__xludf.DUMMYFUNCTION("""COMPUTED_VALUE"""),"2015-06-03-J08-SO-27")</f>
        <v>2015-06-03-J08-SO-27</v>
      </c>
    </row>
    <row r="2579">
      <c r="A2579" t="str">
        <f>IFERROR(__xludf.DUMMYFUNCTION("""COMPUTED_VALUE"""),"2015-06-03-J08-SO-28")</f>
        <v>2015-06-03-J08-SO-28</v>
      </c>
    </row>
    <row r="2580">
      <c r="A2580" t="str">
        <f>IFERROR(__xludf.DUMMYFUNCTION("""COMPUTED_VALUE"""),"2015-06-03-J08-SO-29")</f>
        <v>2015-06-03-J08-SO-29</v>
      </c>
    </row>
    <row r="2581">
      <c r="A2581" t="str">
        <f>IFERROR(__xludf.DUMMYFUNCTION("""COMPUTED_VALUE"""),"2015-06-03-J08-SO-30")</f>
        <v>2015-06-03-J08-SO-30</v>
      </c>
    </row>
    <row r="2582">
      <c r="A2582" t="str">
        <f>IFERROR(__xludf.DUMMYFUNCTION("""COMPUTED_VALUE"""),"2015-06-03-J09-SO-1")</f>
        <v>2015-06-03-J09-SO-1</v>
      </c>
    </row>
    <row r="2583">
      <c r="A2583" t="str">
        <f>IFERROR(__xludf.DUMMYFUNCTION("""COMPUTED_VALUE"""),"2015-06-03-J09-SO-2")</f>
        <v>2015-06-03-J09-SO-2</v>
      </c>
    </row>
    <row r="2584">
      <c r="A2584" t="str">
        <f>IFERROR(__xludf.DUMMYFUNCTION("""COMPUTED_VALUE"""),"2015-06-03-J09-SO-3")</f>
        <v>2015-06-03-J09-SO-3</v>
      </c>
    </row>
    <row r="2585">
      <c r="A2585" t="str">
        <f>IFERROR(__xludf.DUMMYFUNCTION("""COMPUTED_VALUE"""),"2015-06-03-J09-SO-4")</f>
        <v>2015-06-03-J09-SO-4</v>
      </c>
    </row>
    <row r="2586">
      <c r="A2586" t="str">
        <f>IFERROR(__xludf.DUMMYFUNCTION("""COMPUTED_VALUE"""),"2015-06-03-J09-SO-5")</f>
        <v>2015-06-03-J09-SO-5</v>
      </c>
    </row>
    <row r="2587">
      <c r="A2587" t="str">
        <f>IFERROR(__xludf.DUMMYFUNCTION("""COMPUTED_VALUE"""),"2015-06-03-J09-SO-6")</f>
        <v>2015-06-03-J09-SO-6</v>
      </c>
    </row>
    <row r="2588">
      <c r="A2588" t="str">
        <f>IFERROR(__xludf.DUMMYFUNCTION("""COMPUTED_VALUE"""),"2015-06-03-J09-SO-7")</f>
        <v>2015-06-03-J09-SO-7</v>
      </c>
    </row>
    <row r="2589">
      <c r="A2589" t="str">
        <f>IFERROR(__xludf.DUMMYFUNCTION("""COMPUTED_VALUE"""),"2015-06-03-J09-SO-8")</f>
        <v>2015-06-03-J09-SO-8</v>
      </c>
    </row>
    <row r="2590">
      <c r="A2590" t="str">
        <f>IFERROR(__xludf.DUMMYFUNCTION("""COMPUTED_VALUE"""),"2015-06-03-J09-SO-9")</f>
        <v>2015-06-03-J09-SO-9</v>
      </c>
    </row>
    <row r="2591">
      <c r="A2591" t="str">
        <f>IFERROR(__xludf.DUMMYFUNCTION("""COMPUTED_VALUE"""),"2015-06-03-J09-SO-10")</f>
        <v>2015-06-03-J09-SO-10</v>
      </c>
    </row>
    <row r="2592">
      <c r="A2592" t="str">
        <f>IFERROR(__xludf.DUMMYFUNCTION("""COMPUTED_VALUE"""),"2015-06-03-J09-SO-11")</f>
        <v>2015-06-03-J09-SO-11</v>
      </c>
    </row>
    <row r="2593">
      <c r="A2593" t="str">
        <f>IFERROR(__xludf.DUMMYFUNCTION("""COMPUTED_VALUE"""),"2015-06-03-J09-SO-12")</f>
        <v>2015-06-03-J09-SO-12</v>
      </c>
    </row>
    <row r="2594">
      <c r="A2594" t="str">
        <f>IFERROR(__xludf.DUMMYFUNCTION("""COMPUTED_VALUE"""),"2015-06-03-J09-SO-13")</f>
        <v>2015-06-03-J09-SO-13</v>
      </c>
    </row>
    <row r="2595">
      <c r="A2595" t="str">
        <f>IFERROR(__xludf.DUMMYFUNCTION("""COMPUTED_VALUE"""),"2015-06-03-J09-SO-14")</f>
        <v>2015-06-03-J09-SO-14</v>
      </c>
    </row>
    <row r="2596">
      <c r="A2596" t="str">
        <f>IFERROR(__xludf.DUMMYFUNCTION("""COMPUTED_VALUE"""),"2015-06-03-J09-SO-15")</f>
        <v>2015-06-03-J09-SO-15</v>
      </c>
    </row>
    <row r="2597">
      <c r="A2597" t="str">
        <f>IFERROR(__xludf.DUMMYFUNCTION("""COMPUTED_VALUE"""),"2015-06-03-J09-SO-16")</f>
        <v>2015-06-03-J09-SO-16</v>
      </c>
    </row>
    <row r="2598">
      <c r="A2598" t="str">
        <f>IFERROR(__xludf.DUMMYFUNCTION("""COMPUTED_VALUE"""),"2015-06-03-J09-SO-17")</f>
        <v>2015-06-03-J09-SO-17</v>
      </c>
    </row>
    <row r="2599">
      <c r="A2599" t="str">
        <f>IFERROR(__xludf.DUMMYFUNCTION("""COMPUTED_VALUE"""),"2015-06-03-J09-SO-18")</f>
        <v>2015-06-03-J09-SO-18</v>
      </c>
    </row>
    <row r="2600">
      <c r="A2600" t="str">
        <f>IFERROR(__xludf.DUMMYFUNCTION("""COMPUTED_VALUE"""),"2015-06-03-J09-SO-19")</f>
        <v>2015-06-03-J09-SO-19</v>
      </c>
    </row>
    <row r="2601">
      <c r="A2601" t="str">
        <f>IFERROR(__xludf.DUMMYFUNCTION("""COMPUTED_VALUE"""),"2015-06-03-J09-SO-20")</f>
        <v>2015-06-03-J09-SO-20</v>
      </c>
    </row>
    <row r="2602">
      <c r="A2602" t="str">
        <f>IFERROR(__xludf.DUMMYFUNCTION("""COMPUTED_VALUE"""),"2015-06-03-J09-SO-21")</f>
        <v>2015-06-03-J09-SO-21</v>
      </c>
    </row>
    <row r="2603">
      <c r="A2603" t="str">
        <f>IFERROR(__xludf.DUMMYFUNCTION("""COMPUTED_VALUE"""),"2015-06-03-J09-SO-22")</f>
        <v>2015-06-03-J09-SO-22</v>
      </c>
    </row>
    <row r="2604">
      <c r="A2604" t="str">
        <f>IFERROR(__xludf.DUMMYFUNCTION("""COMPUTED_VALUE"""),"2015-06-03-J09-SO-23")</f>
        <v>2015-06-03-J09-SO-23</v>
      </c>
    </row>
    <row r="2605">
      <c r="A2605" t="str">
        <f>IFERROR(__xludf.DUMMYFUNCTION("""COMPUTED_VALUE"""),"2015-06-03-J09-SO-24")</f>
        <v>2015-06-03-J09-SO-24</v>
      </c>
    </row>
    <row r="2606">
      <c r="A2606" t="str">
        <f>IFERROR(__xludf.DUMMYFUNCTION("""COMPUTED_VALUE"""),"2015-06-03-J09-SO-25")</f>
        <v>2015-06-03-J09-SO-25</v>
      </c>
    </row>
    <row r="2607">
      <c r="A2607" t="str">
        <f>IFERROR(__xludf.DUMMYFUNCTION("""COMPUTED_VALUE"""),"2015-06-03-J09-SO-26")</f>
        <v>2015-06-03-J09-SO-26</v>
      </c>
    </row>
    <row r="2608">
      <c r="A2608" t="str">
        <f>IFERROR(__xludf.DUMMYFUNCTION("""COMPUTED_VALUE"""),"2015-06-03-J09-SO-27")</f>
        <v>2015-06-03-J09-SO-27</v>
      </c>
    </row>
    <row r="2609">
      <c r="A2609" t="str">
        <f>IFERROR(__xludf.DUMMYFUNCTION("""COMPUTED_VALUE"""),"2015-06-03-J09-SO-28")</f>
        <v>2015-06-03-J09-SO-28</v>
      </c>
    </row>
    <row r="2610">
      <c r="A2610" t="str">
        <f>IFERROR(__xludf.DUMMYFUNCTION("""COMPUTED_VALUE"""),"2015-06-03-J09-SO-29")</f>
        <v>2015-06-03-J09-SO-29</v>
      </c>
    </row>
    <row r="2611">
      <c r="A2611" t="str">
        <f>IFERROR(__xludf.DUMMYFUNCTION("""COMPUTED_VALUE"""),"2015-06-03-J09-SO-30")</f>
        <v>2015-06-03-J09-SO-30</v>
      </c>
    </row>
    <row r="2612">
      <c r="A2612" t="str">
        <f>IFERROR(__xludf.DUMMYFUNCTION("""COMPUTED_VALUE"""),"2015-06-03-D10-PI-1")</f>
        <v>2015-06-03-D10-PI-1</v>
      </c>
    </row>
    <row r="2613">
      <c r="A2613" t="str">
        <f>IFERROR(__xludf.DUMMYFUNCTION("""COMPUTED_VALUE"""),"2015-06-03-D09-PI-1")</f>
        <v>2015-06-03-D09-PI-1</v>
      </c>
    </row>
    <row r="2614">
      <c r="A2614" t="str">
        <f>IFERROR(__xludf.DUMMYFUNCTION("""COMPUTED_VALUE"""),"2015-06-03-D10-CU-1")</f>
        <v>2015-06-03-D10-CU-1</v>
      </c>
    </row>
    <row r="2615">
      <c r="A2615" t="str">
        <f>IFERROR(__xludf.DUMMYFUNCTION("""COMPUTED_VALUE"""),"2015-06-03-D10-CU-2")</f>
        <v>2015-06-03-D10-CU-2</v>
      </c>
    </row>
    <row r="2616">
      <c r="A2616" t="str">
        <f>IFERROR(__xludf.DUMMYFUNCTION("""COMPUTED_VALUE"""),"2015-06-03-D10-CU-3")</f>
        <v>2015-06-03-D10-CU-3</v>
      </c>
    </row>
    <row r="2617">
      <c r="A2617" t="str">
        <f>IFERROR(__xludf.DUMMYFUNCTION("""COMPUTED_VALUE"""),"2015-06-03-D10-CU-4")</f>
        <v>2015-06-03-D10-CU-4</v>
      </c>
    </row>
    <row r="2618">
      <c r="A2618" t="str">
        <f>IFERROR(__xludf.DUMMYFUNCTION("""COMPUTED_VALUE"""),"2015-06-03-D10-CU-5")</f>
        <v>2015-06-03-D10-CU-5</v>
      </c>
    </row>
    <row r="2619">
      <c r="A2619" t="str">
        <f>IFERROR(__xludf.DUMMYFUNCTION("""COMPUTED_VALUE"""),"2015-06-03-D10-CU-6")</f>
        <v>2015-06-03-D10-CU-6</v>
      </c>
    </row>
    <row r="2620">
      <c r="A2620" t="str">
        <f>IFERROR(__xludf.DUMMYFUNCTION("""COMPUTED_VALUE"""),"2015-06-03-D10-CU-7")</f>
        <v>2015-06-03-D10-CU-7</v>
      </c>
    </row>
    <row r="2621">
      <c r="A2621" t="str">
        <f>IFERROR(__xludf.DUMMYFUNCTION("""COMPUTED_VALUE"""),"2015-06-03-D10-CU-8")</f>
        <v>2015-06-03-D10-CU-8</v>
      </c>
    </row>
    <row r="2622">
      <c r="A2622" t="str">
        <f>IFERROR(__xludf.DUMMYFUNCTION("""COMPUTED_VALUE"""),"2015-06-03-D10-CU-9")</f>
        <v>2015-06-03-D10-CU-9</v>
      </c>
    </row>
    <row r="2623">
      <c r="A2623" t="str">
        <f>IFERROR(__xludf.DUMMYFUNCTION("""COMPUTED_VALUE"""),"2015-06-03-D10-CU-10")</f>
        <v>2015-06-03-D10-CU-10</v>
      </c>
    </row>
    <row r="2624">
      <c r="A2624" t="str">
        <f>IFERROR(__xludf.DUMMYFUNCTION("""COMPUTED_VALUE"""),"2015-06-03-D11-CU-1")</f>
        <v>2015-06-03-D11-CU-1</v>
      </c>
    </row>
    <row r="2625">
      <c r="A2625" t="str">
        <f>IFERROR(__xludf.DUMMYFUNCTION("""COMPUTED_VALUE"""),"2015-06-03-D11-CU-2")</f>
        <v>2015-06-03-D11-CU-2</v>
      </c>
    </row>
    <row r="2626">
      <c r="A2626" t="str">
        <f>IFERROR(__xludf.DUMMYFUNCTION("""COMPUTED_VALUE"""),"2015-06-03-D11-CU-3")</f>
        <v>2015-06-03-D11-CU-3</v>
      </c>
    </row>
    <row r="2627">
      <c r="A2627" t="str">
        <f>IFERROR(__xludf.DUMMYFUNCTION("""COMPUTED_VALUE"""),"2015-06-03-D11-CU-4")</f>
        <v>2015-06-03-D11-CU-4</v>
      </c>
    </row>
    <row r="2628">
      <c r="A2628" t="str">
        <f>IFERROR(__xludf.DUMMYFUNCTION("""COMPUTED_VALUE"""),"2015-06-03-D11-CU-5")</f>
        <v>2015-06-03-D11-CU-5</v>
      </c>
    </row>
    <row r="2629">
      <c r="A2629" t="str">
        <f>IFERROR(__xludf.DUMMYFUNCTION("""COMPUTED_VALUE"""),"2015-06-03-D11-CU-6")</f>
        <v>2015-06-03-D11-CU-6</v>
      </c>
    </row>
    <row r="2630">
      <c r="A2630" t="str">
        <f>IFERROR(__xludf.DUMMYFUNCTION("""COMPUTED_VALUE"""),"2015-06-03-D11-CU-7")</f>
        <v>2015-06-03-D11-CU-7</v>
      </c>
    </row>
    <row r="2631">
      <c r="A2631" t="str">
        <f>IFERROR(__xludf.DUMMYFUNCTION("""COMPUTED_VALUE"""),"2015-06-03-D11-CU-8")</f>
        <v>2015-06-03-D11-CU-8</v>
      </c>
    </row>
    <row r="2632">
      <c r="A2632" t="str">
        <f>IFERROR(__xludf.DUMMYFUNCTION("""COMPUTED_VALUE"""),"2015-06-03-D11-CU-9")</f>
        <v>2015-06-03-D11-CU-9</v>
      </c>
    </row>
    <row r="2633">
      <c r="A2633" t="str">
        <f>IFERROR(__xludf.DUMMYFUNCTION("""COMPUTED_VALUE"""),"2015-06-03-D11-CU-10")</f>
        <v>2015-06-03-D11-CU-10</v>
      </c>
    </row>
    <row r="2634">
      <c r="A2634" t="str">
        <f>IFERROR(__xludf.DUMMYFUNCTION("""COMPUTED_VALUE"""),"2015-06-03-D09-CU-1")</f>
        <v>2015-06-03-D09-CU-1</v>
      </c>
    </row>
    <row r="2635">
      <c r="A2635" t="str">
        <f>IFERROR(__xludf.DUMMYFUNCTION("""COMPUTED_VALUE"""),"2015-06-03-D09-CU-2")</f>
        <v>2015-06-03-D09-CU-2</v>
      </c>
    </row>
    <row r="2636">
      <c r="A2636" t="str">
        <f>IFERROR(__xludf.DUMMYFUNCTION("""COMPUTED_VALUE"""),"2015-06-03-D09-CU-3")</f>
        <v>2015-06-03-D09-CU-3</v>
      </c>
    </row>
    <row r="2637">
      <c r="A2637" t="str">
        <f>IFERROR(__xludf.DUMMYFUNCTION("""COMPUTED_VALUE"""),"2015-06-03-D09-CU-4")</f>
        <v>2015-06-03-D09-CU-4</v>
      </c>
    </row>
    <row r="2638">
      <c r="A2638" t="str">
        <f>IFERROR(__xludf.DUMMYFUNCTION("""COMPUTED_VALUE"""),"2015-06-03-D09-CU-5")</f>
        <v>2015-06-03-D09-CU-5</v>
      </c>
    </row>
    <row r="2639">
      <c r="A2639" t="str">
        <f>IFERROR(__xludf.DUMMYFUNCTION("""COMPUTED_VALUE"""),"2015-06-03-D09-CU-6")</f>
        <v>2015-06-03-D09-CU-6</v>
      </c>
    </row>
    <row r="2640">
      <c r="A2640" t="str">
        <f>IFERROR(__xludf.DUMMYFUNCTION("""COMPUTED_VALUE"""),"2015-06-03-D09-CU-7")</f>
        <v>2015-06-03-D09-CU-7</v>
      </c>
    </row>
    <row r="2641">
      <c r="A2641" t="str">
        <f>IFERROR(__xludf.DUMMYFUNCTION("""COMPUTED_VALUE"""),"2015-06-03-D09-CU-8")</f>
        <v>2015-06-03-D09-CU-8</v>
      </c>
    </row>
    <row r="2642">
      <c r="A2642" t="str">
        <f>IFERROR(__xludf.DUMMYFUNCTION("""COMPUTED_VALUE"""),"2015-06-03-D09-CU-9")</f>
        <v>2015-06-03-D09-CU-9</v>
      </c>
    </row>
    <row r="2643">
      <c r="A2643" t="str">
        <f>IFERROR(__xludf.DUMMYFUNCTION("""COMPUTED_VALUE"""),"2015-06-03-D09-CU-10")</f>
        <v>2015-06-03-D09-CU-10</v>
      </c>
    </row>
    <row r="2644">
      <c r="A2644" t="str">
        <f>IFERROR(__xludf.DUMMYFUNCTION("""COMPUTED_VALUE"""),"2015-06-03-J06-CU-1")</f>
        <v>2015-06-03-J06-CU-1</v>
      </c>
    </row>
    <row r="2645">
      <c r="A2645" t="str">
        <f>IFERROR(__xludf.DUMMYFUNCTION("""COMPUTED_VALUE"""),"2015-06-03-J06-CU-2")</f>
        <v>2015-06-03-J06-CU-2</v>
      </c>
    </row>
    <row r="2646">
      <c r="A2646" t="str">
        <f>IFERROR(__xludf.DUMMYFUNCTION("""COMPUTED_VALUE"""),"2015-06-03-J06-CU-3")</f>
        <v>2015-06-03-J06-CU-3</v>
      </c>
    </row>
    <row r="2647">
      <c r="A2647" t="str">
        <f>IFERROR(__xludf.DUMMYFUNCTION("""COMPUTED_VALUE"""),"2015-06-03-J06-CU-4")</f>
        <v>2015-06-03-J06-CU-4</v>
      </c>
    </row>
    <row r="2648">
      <c r="A2648" t="str">
        <f>IFERROR(__xludf.DUMMYFUNCTION("""COMPUTED_VALUE"""),"2015-06-03-J06-CU-5")</f>
        <v>2015-06-03-J06-CU-5</v>
      </c>
    </row>
    <row r="2649">
      <c r="A2649" t="str">
        <f>IFERROR(__xludf.DUMMYFUNCTION("""COMPUTED_VALUE"""),"2015-06-03-J06-CU-6")</f>
        <v>2015-06-03-J06-CU-6</v>
      </c>
    </row>
    <row r="2650">
      <c r="A2650" t="str">
        <f>IFERROR(__xludf.DUMMYFUNCTION("""COMPUTED_VALUE"""),"2015-06-03-J06-CU-7")</f>
        <v>2015-06-03-J06-CU-7</v>
      </c>
    </row>
    <row r="2651">
      <c r="A2651" t="str">
        <f>IFERROR(__xludf.DUMMYFUNCTION("""COMPUTED_VALUE"""),"2015-06-03-J06-CU-8")</f>
        <v>2015-06-03-J06-CU-8</v>
      </c>
    </row>
    <row r="2652">
      <c r="A2652" t="str">
        <f>IFERROR(__xludf.DUMMYFUNCTION("""COMPUTED_VALUE"""),"2015-06-03-J06-CU-9")</f>
        <v>2015-06-03-J06-CU-9</v>
      </c>
    </row>
    <row r="2653">
      <c r="A2653" t="str">
        <f>IFERROR(__xludf.DUMMYFUNCTION("""COMPUTED_VALUE"""),"2015-06-03-J06-CU-10")</f>
        <v>2015-06-03-J06-CU-10</v>
      </c>
    </row>
    <row r="2654">
      <c r="A2654" t="str">
        <f>IFERROR(__xludf.DUMMYFUNCTION("""COMPUTED_VALUE"""),"2015-06-03-J08-CU-1")</f>
        <v>2015-06-03-J08-CU-1</v>
      </c>
    </row>
    <row r="2655">
      <c r="A2655" t="str">
        <f>IFERROR(__xludf.DUMMYFUNCTION("""COMPUTED_VALUE"""),"2015-06-03-J08-CU-2")</f>
        <v>2015-06-03-J08-CU-2</v>
      </c>
    </row>
    <row r="2656">
      <c r="A2656" t="str">
        <f>IFERROR(__xludf.DUMMYFUNCTION("""COMPUTED_VALUE"""),"2015-06-03-J08-CU-3")</f>
        <v>2015-06-03-J08-CU-3</v>
      </c>
    </row>
    <row r="2657">
      <c r="A2657" t="str">
        <f>IFERROR(__xludf.DUMMYFUNCTION("""COMPUTED_VALUE"""),"2015-06-03-J08-CU-4")</f>
        <v>2015-06-03-J08-CU-4</v>
      </c>
    </row>
    <row r="2658">
      <c r="A2658" t="str">
        <f>IFERROR(__xludf.DUMMYFUNCTION("""COMPUTED_VALUE"""),"2015-06-03-J08-CU-5")</f>
        <v>2015-06-03-J08-CU-5</v>
      </c>
    </row>
    <row r="2659">
      <c r="A2659" t="str">
        <f>IFERROR(__xludf.DUMMYFUNCTION("""COMPUTED_VALUE"""),"2015-06-03-J08-CU-6")</f>
        <v>2015-06-03-J08-CU-6</v>
      </c>
    </row>
    <row r="2660">
      <c r="A2660" t="str">
        <f>IFERROR(__xludf.DUMMYFUNCTION("""COMPUTED_VALUE"""),"2015-06-03-J08-CU-7")</f>
        <v>2015-06-03-J08-CU-7</v>
      </c>
    </row>
    <row r="2661">
      <c r="A2661" t="str">
        <f>IFERROR(__xludf.DUMMYFUNCTION("""COMPUTED_VALUE"""),"2015-06-03-J08-CU-8")</f>
        <v>2015-06-03-J08-CU-8</v>
      </c>
    </row>
    <row r="2662">
      <c r="A2662" t="str">
        <f>IFERROR(__xludf.DUMMYFUNCTION("""COMPUTED_VALUE"""),"2015-06-03-J08-CU-9")</f>
        <v>2015-06-03-J08-CU-9</v>
      </c>
    </row>
    <row r="2663">
      <c r="A2663" t="str">
        <f>IFERROR(__xludf.DUMMYFUNCTION("""COMPUTED_VALUE"""),"2015-06-03-J08-CU-10")</f>
        <v>2015-06-03-J08-CU-10</v>
      </c>
    </row>
    <row r="2664">
      <c r="A2664" t="str">
        <f>IFERROR(__xludf.DUMMYFUNCTION("""COMPUTED_VALUE"""),"2015-06-03-J09-CU-1")</f>
        <v>2015-06-03-J09-CU-1</v>
      </c>
    </row>
    <row r="2665">
      <c r="A2665" t="str">
        <f>IFERROR(__xludf.DUMMYFUNCTION("""COMPUTED_VALUE"""),"2015-06-03-J09-CU-2")</f>
        <v>2015-06-03-J09-CU-2</v>
      </c>
    </row>
    <row r="2666">
      <c r="A2666" t="str">
        <f>IFERROR(__xludf.DUMMYFUNCTION("""COMPUTED_VALUE"""),"2015-06-03-J09-CU-3")</f>
        <v>2015-06-03-J09-CU-3</v>
      </c>
    </row>
    <row r="2667">
      <c r="A2667" t="str">
        <f>IFERROR(__xludf.DUMMYFUNCTION("""COMPUTED_VALUE"""),"2015-06-03-J09-CU-4")</f>
        <v>2015-06-03-J09-CU-4</v>
      </c>
    </row>
    <row r="2668">
      <c r="A2668" t="str">
        <f>IFERROR(__xludf.DUMMYFUNCTION("""COMPUTED_VALUE"""),"2015-06-03-J09-CU-5")</f>
        <v>2015-06-03-J09-CU-5</v>
      </c>
    </row>
    <row r="2669">
      <c r="A2669" t="str">
        <f>IFERROR(__xludf.DUMMYFUNCTION("""COMPUTED_VALUE"""),"2015-06-03-J09-CU-6")</f>
        <v>2015-06-03-J09-CU-6</v>
      </c>
    </row>
    <row r="2670">
      <c r="A2670" t="str">
        <f>IFERROR(__xludf.DUMMYFUNCTION("""COMPUTED_VALUE"""),"2015-06-03-J09-CU-7")</f>
        <v>2015-06-03-J09-CU-7</v>
      </c>
    </row>
    <row r="2671">
      <c r="A2671" t="str">
        <f>IFERROR(__xludf.DUMMYFUNCTION("""COMPUTED_VALUE"""),"2015-06-03-J09-CU-8")</f>
        <v>2015-06-03-J09-CU-8</v>
      </c>
    </row>
    <row r="2672">
      <c r="A2672" t="str">
        <f>IFERROR(__xludf.DUMMYFUNCTION("""COMPUTED_VALUE"""),"2015-06-03-J09-CU-9")</f>
        <v>2015-06-03-J09-CU-9</v>
      </c>
    </row>
    <row r="2673">
      <c r="A2673" t="str">
        <f>IFERROR(__xludf.DUMMYFUNCTION("""COMPUTED_VALUE"""),"2015-06-03-J09-CU-10")</f>
        <v>2015-06-03-J09-CU-10</v>
      </c>
    </row>
    <row r="2674">
      <c r="A2674" t="str">
        <f>IFERROR(__xludf.DUMMYFUNCTION("""COMPUTED_VALUE"""),"2015-06-03-D11-CO-1")</f>
        <v>2015-06-03-D11-CO-1</v>
      </c>
    </row>
    <row r="2675">
      <c r="A2675" t="str">
        <f>IFERROR(__xludf.DUMMYFUNCTION("""COMPUTED_VALUE"""),"2015-06-03-D10-HE-1")</f>
        <v>2015-06-03-D10-HE-1</v>
      </c>
    </row>
    <row r="2676">
      <c r="A2676" t="str">
        <f>IFERROR(__xludf.DUMMYFUNCTION("""COMPUTED_VALUE"""),"2015-06-03-D09-HE-1")</f>
        <v>2015-06-03-D09-HE-1</v>
      </c>
    </row>
    <row r="2677">
      <c r="A2677" t="str">
        <f>IFERROR(__xludf.DUMMYFUNCTION("""COMPUTED_VALUE"""),"2015-06-03-D09-HE-2")</f>
        <v>2015-06-03-D09-HE-2</v>
      </c>
    </row>
    <row r="2678">
      <c r="A2678" t="str">
        <f>IFERROR(__xludf.DUMMYFUNCTION("""COMPUTED_VALUE"""),"2015-06-03-D09-HE-3")</f>
        <v>2015-06-03-D09-HE-3</v>
      </c>
    </row>
    <row r="2679">
      <c r="A2679" t="str">
        <f>IFERROR(__xludf.DUMMYFUNCTION("""COMPUTED_VALUE"""),"2015-06-03-D09-HE-4")</f>
        <v>2015-06-03-D09-HE-4</v>
      </c>
    </row>
    <row r="2680">
      <c r="A2680" t="str">
        <f>IFERROR(__xludf.DUMMYFUNCTION("""COMPUTED_VALUE"""),"2015-06-03-D09-HE-5")</f>
        <v>2015-06-03-D09-HE-5</v>
      </c>
    </row>
    <row r="2681">
      <c r="A2681" t="str">
        <f>IFERROR(__xludf.DUMMYFUNCTION("""COMPUTED_VALUE"""),"2015-06-03-D09-HE-6")</f>
        <v>2015-06-03-D09-HE-6</v>
      </c>
    </row>
    <row r="2682">
      <c r="A2682" t="str">
        <f>IFERROR(__xludf.DUMMYFUNCTION("""COMPUTED_VALUE"""),"2015-06-03-D09-HE-7")</f>
        <v>2015-06-03-D09-HE-7</v>
      </c>
    </row>
    <row r="2683">
      <c r="A2683" t="str">
        <f>IFERROR(__xludf.DUMMYFUNCTION("""COMPUTED_VALUE"""),"2015-06-03-J06-HE-1")</f>
        <v>2015-06-03-J06-HE-1</v>
      </c>
    </row>
    <row r="2684">
      <c r="A2684" t="str">
        <f>IFERROR(__xludf.DUMMYFUNCTION("""COMPUTED_VALUE"""),"2015-06-03-J06-HE-2")</f>
        <v>2015-06-03-J06-HE-2</v>
      </c>
    </row>
    <row r="2685">
      <c r="A2685" t="str">
        <f>IFERROR(__xludf.DUMMYFUNCTION("""COMPUTED_VALUE"""),"2015-06-03-J06-HE-3")</f>
        <v>2015-06-03-J06-HE-3</v>
      </c>
    </row>
    <row r="2686">
      <c r="A2686" t="str">
        <f>IFERROR(__xludf.DUMMYFUNCTION("""COMPUTED_VALUE"""),"2015-06-03-J09-HE-1")</f>
        <v>2015-06-03-J09-HE-1</v>
      </c>
    </row>
    <row r="2687">
      <c r="A2687" t="str">
        <f>IFERROR(__xludf.DUMMYFUNCTION("""COMPUTED_VALUE"""),"2015-06-03-J09-HE-2")</f>
        <v>2015-06-03-J09-HE-2</v>
      </c>
    </row>
    <row r="2688">
      <c r="A2688" t="str">
        <f>IFERROR(__xludf.DUMMYFUNCTION("""COMPUTED_VALUE"""),"2015-06-03-J09-HE-3")</f>
        <v>2015-06-03-J09-HE-3</v>
      </c>
    </row>
    <row r="2689">
      <c r="A2689" t="str">
        <f>IFERROR(__xludf.DUMMYFUNCTION("""COMPUTED_VALUE"""),"2015-06-03-J09-HE-4")</f>
        <v>2015-06-03-J09-HE-4</v>
      </c>
    </row>
    <row r="2690">
      <c r="A2690" t="str">
        <f>IFERROR(__xludf.DUMMYFUNCTION("""COMPUTED_VALUE"""),"2015-06-03-J09-HE-5")</f>
        <v>2015-06-03-J09-HE-5</v>
      </c>
    </row>
    <row r="2691">
      <c r="A2691" t="str">
        <f>IFERROR(__xludf.DUMMYFUNCTION("""COMPUTED_VALUE"""),"2015-06-04-D08-SO-1")</f>
        <v>2015-06-04-D08-SO-1</v>
      </c>
    </row>
    <row r="2692">
      <c r="A2692" t="str">
        <f>IFERROR(__xludf.DUMMYFUNCTION("""COMPUTED_VALUE"""),"2015-06-04-D08-SO-2")</f>
        <v>2015-06-04-D08-SO-2</v>
      </c>
    </row>
    <row r="2693">
      <c r="A2693" t="str">
        <f>IFERROR(__xludf.DUMMYFUNCTION("""COMPUTED_VALUE"""),"2015-06-04-D08-SO-3")</f>
        <v>2015-06-04-D08-SO-3</v>
      </c>
    </row>
    <row r="2694">
      <c r="A2694" t="str">
        <f>IFERROR(__xludf.DUMMYFUNCTION("""COMPUTED_VALUE"""),"2015-06-04-D08-SO-4")</f>
        <v>2015-06-04-D08-SO-4</v>
      </c>
    </row>
    <row r="2695">
      <c r="A2695" t="str">
        <f>IFERROR(__xludf.DUMMYFUNCTION("""COMPUTED_VALUE"""),"2015-06-04-D08-SO-5")</f>
        <v>2015-06-04-D08-SO-5</v>
      </c>
    </row>
    <row r="2696">
      <c r="A2696" t="str">
        <f>IFERROR(__xludf.DUMMYFUNCTION("""COMPUTED_VALUE"""),"2015-06-04-D08-SO-6")</f>
        <v>2015-06-04-D08-SO-6</v>
      </c>
    </row>
    <row r="2697">
      <c r="A2697" t="str">
        <f>IFERROR(__xludf.DUMMYFUNCTION("""COMPUTED_VALUE"""),"2015-06-04-D08-SO-7")</f>
        <v>2015-06-04-D08-SO-7</v>
      </c>
    </row>
    <row r="2698">
      <c r="A2698" t="str">
        <f>IFERROR(__xludf.DUMMYFUNCTION("""COMPUTED_VALUE"""),"2015-06-04-D08-SO-8")</f>
        <v>2015-06-04-D08-SO-8</v>
      </c>
    </row>
    <row r="2699">
      <c r="A2699" t="str">
        <f>IFERROR(__xludf.DUMMYFUNCTION("""COMPUTED_VALUE"""),"2015-06-04-D08-SO-9")</f>
        <v>2015-06-04-D08-SO-9</v>
      </c>
    </row>
    <row r="2700">
      <c r="A2700" t="str">
        <f>IFERROR(__xludf.DUMMYFUNCTION("""COMPUTED_VALUE"""),"2015-06-04-D08-SO-10")</f>
        <v>2015-06-04-D08-SO-10</v>
      </c>
    </row>
    <row r="2701">
      <c r="A2701" t="str">
        <f>IFERROR(__xludf.DUMMYFUNCTION("""COMPUTED_VALUE"""),"2015-06-04-D08-SO-11")</f>
        <v>2015-06-04-D08-SO-11</v>
      </c>
    </row>
    <row r="2702">
      <c r="A2702" t="str">
        <f>IFERROR(__xludf.DUMMYFUNCTION("""COMPUTED_VALUE"""),"2015-06-04-D08-SO-12")</f>
        <v>2015-06-04-D08-SO-12</v>
      </c>
    </row>
    <row r="2703">
      <c r="A2703" t="str">
        <f>IFERROR(__xludf.DUMMYFUNCTION("""COMPUTED_VALUE"""),"2015-06-04-D08-SO-13")</f>
        <v>2015-06-04-D08-SO-13</v>
      </c>
    </row>
    <row r="2704">
      <c r="A2704" t="str">
        <f>IFERROR(__xludf.DUMMYFUNCTION("""COMPUTED_VALUE"""),"2015-06-04-D08-SO-14")</f>
        <v>2015-06-04-D08-SO-14</v>
      </c>
    </row>
    <row r="2705">
      <c r="A2705" t="str">
        <f>IFERROR(__xludf.DUMMYFUNCTION("""COMPUTED_VALUE"""),"2015-06-04-D08-SO-15")</f>
        <v>2015-06-04-D08-SO-15</v>
      </c>
    </row>
    <row r="2706">
      <c r="A2706" t="str">
        <f>IFERROR(__xludf.DUMMYFUNCTION("""COMPUTED_VALUE"""),"2015-06-04-D08-SO-16")</f>
        <v>2015-06-04-D08-SO-16</v>
      </c>
    </row>
    <row r="2707">
      <c r="A2707" t="str">
        <f>IFERROR(__xludf.DUMMYFUNCTION("""COMPUTED_VALUE"""),"2015-06-04-D08-SO-17")</f>
        <v>2015-06-04-D08-SO-17</v>
      </c>
    </row>
    <row r="2708">
      <c r="A2708" t="str">
        <f>IFERROR(__xludf.DUMMYFUNCTION("""COMPUTED_VALUE"""),"2015-06-04-D08-SO-18")</f>
        <v>2015-06-04-D08-SO-18</v>
      </c>
    </row>
    <row r="2709">
      <c r="A2709" t="str">
        <f>IFERROR(__xludf.DUMMYFUNCTION("""COMPUTED_VALUE"""),"2015-06-04-D08-SO-19")</f>
        <v>2015-06-04-D08-SO-19</v>
      </c>
    </row>
    <row r="2710">
      <c r="A2710" t="str">
        <f>IFERROR(__xludf.DUMMYFUNCTION("""COMPUTED_VALUE"""),"2015-06-04-D08-SO-20")</f>
        <v>2015-06-04-D08-SO-20</v>
      </c>
    </row>
    <row r="2711">
      <c r="A2711" t="str">
        <f>IFERROR(__xludf.DUMMYFUNCTION("""COMPUTED_VALUE"""),"2015-06-04-D08-SO-21")</f>
        <v>2015-06-04-D08-SO-21</v>
      </c>
    </row>
    <row r="2712">
      <c r="A2712" t="str">
        <f>IFERROR(__xludf.DUMMYFUNCTION("""COMPUTED_VALUE"""),"2015-06-04-D08-SO-22")</f>
        <v>2015-06-04-D08-SO-22</v>
      </c>
    </row>
    <row r="2713">
      <c r="A2713" t="str">
        <f>IFERROR(__xludf.DUMMYFUNCTION("""COMPUTED_VALUE"""),"2015-06-04-D08-SO-23")</f>
        <v>2015-06-04-D08-SO-23</v>
      </c>
    </row>
    <row r="2714">
      <c r="A2714" t="str">
        <f>IFERROR(__xludf.DUMMYFUNCTION("""COMPUTED_VALUE"""),"2015-06-04-D08-SO-24")</f>
        <v>2015-06-04-D08-SO-24</v>
      </c>
    </row>
    <row r="2715">
      <c r="A2715" t="str">
        <f>IFERROR(__xludf.DUMMYFUNCTION("""COMPUTED_VALUE"""),"2015-06-04-D08-SO-25")</f>
        <v>2015-06-04-D08-SO-25</v>
      </c>
    </row>
    <row r="2716">
      <c r="A2716" t="str">
        <f>IFERROR(__xludf.DUMMYFUNCTION("""COMPUTED_VALUE"""),"2015-06-04-D08-SO-26")</f>
        <v>2015-06-04-D08-SO-26</v>
      </c>
    </row>
    <row r="2717">
      <c r="A2717" t="str">
        <f>IFERROR(__xludf.DUMMYFUNCTION("""COMPUTED_VALUE"""),"2015-06-04-D08-SO-27")</f>
        <v>2015-06-04-D08-SO-27</v>
      </c>
    </row>
    <row r="2718">
      <c r="A2718" t="str">
        <f>IFERROR(__xludf.DUMMYFUNCTION("""COMPUTED_VALUE"""),"2015-06-04-D08-SO-28")</f>
        <v>2015-06-04-D08-SO-28</v>
      </c>
    </row>
    <row r="2719">
      <c r="A2719" t="str">
        <f>IFERROR(__xludf.DUMMYFUNCTION("""COMPUTED_VALUE"""),"2015-06-04-D08-SO-29")</f>
        <v>2015-06-04-D08-SO-29</v>
      </c>
    </row>
    <row r="2720">
      <c r="A2720" t="str">
        <f>IFERROR(__xludf.DUMMYFUNCTION("""COMPUTED_VALUE"""),"2015-06-04-D06-SO-1")</f>
        <v>2015-06-04-D06-SO-1</v>
      </c>
    </row>
    <row r="2721">
      <c r="A2721" t="str">
        <f>IFERROR(__xludf.DUMMYFUNCTION("""COMPUTED_VALUE"""),"2015-06-04-D06-SO-2")</f>
        <v>2015-06-04-D06-SO-2</v>
      </c>
    </row>
    <row r="2722">
      <c r="A2722" t="str">
        <f>IFERROR(__xludf.DUMMYFUNCTION("""COMPUTED_VALUE"""),"2015-06-04-D06-SO-3")</f>
        <v>2015-06-04-D06-SO-3</v>
      </c>
    </row>
    <row r="2723">
      <c r="A2723" t="str">
        <f>IFERROR(__xludf.DUMMYFUNCTION("""COMPUTED_VALUE"""),"2015-06-04-D06-SO-4")</f>
        <v>2015-06-04-D06-SO-4</v>
      </c>
    </row>
    <row r="2724">
      <c r="A2724" t="str">
        <f>IFERROR(__xludf.DUMMYFUNCTION("""COMPUTED_VALUE"""),"2015-06-04-D06-SO-5")</f>
        <v>2015-06-04-D06-SO-5</v>
      </c>
    </row>
    <row r="2725">
      <c r="A2725" t="str">
        <f>IFERROR(__xludf.DUMMYFUNCTION("""COMPUTED_VALUE"""),"2015-06-04-D06-SO-6")</f>
        <v>2015-06-04-D06-SO-6</v>
      </c>
    </row>
    <row r="2726">
      <c r="A2726" t="str">
        <f>IFERROR(__xludf.DUMMYFUNCTION("""COMPUTED_VALUE"""),"2015-06-04-D06-SO-7")</f>
        <v>2015-06-04-D06-SO-7</v>
      </c>
    </row>
    <row r="2727">
      <c r="A2727" t="str">
        <f>IFERROR(__xludf.DUMMYFUNCTION("""COMPUTED_VALUE"""),"2015-06-04-D06-SO-8")</f>
        <v>2015-06-04-D06-SO-8</v>
      </c>
    </row>
    <row r="2728">
      <c r="A2728" t="str">
        <f>IFERROR(__xludf.DUMMYFUNCTION("""COMPUTED_VALUE"""),"2015-06-04-D06-SO-9")</f>
        <v>2015-06-04-D06-SO-9</v>
      </c>
    </row>
    <row r="2729">
      <c r="A2729" t="str">
        <f>IFERROR(__xludf.DUMMYFUNCTION("""COMPUTED_VALUE"""),"2015-06-04-D06-SO-10")</f>
        <v>2015-06-04-D06-SO-10</v>
      </c>
    </row>
    <row r="2730">
      <c r="A2730" t="str">
        <f>IFERROR(__xludf.DUMMYFUNCTION("""COMPUTED_VALUE"""),"2015-06-04-D06-SO-11")</f>
        <v>2015-06-04-D06-SO-11</v>
      </c>
    </row>
    <row r="2731">
      <c r="A2731" t="str">
        <f>IFERROR(__xludf.DUMMYFUNCTION("""COMPUTED_VALUE"""),"2015-06-04-D06-SO-12")</f>
        <v>2015-06-04-D06-SO-12</v>
      </c>
    </row>
    <row r="2732">
      <c r="A2732" t="str">
        <f>IFERROR(__xludf.DUMMYFUNCTION("""COMPUTED_VALUE"""),"2015-06-04-D06-SO-13")</f>
        <v>2015-06-04-D06-SO-13</v>
      </c>
    </row>
    <row r="2733">
      <c r="A2733" t="str">
        <f>IFERROR(__xludf.DUMMYFUNCTION("""COMPUTED_VALUE"""),"2015-06-04-D06-SO-14")</f>
        <v>2015-06-04-D06-SO-14</v>
      </c>
    </row>
    <row r="2734">
      <c r="A2734" t="str">
        <f>IFERROR(__xludf.DUMMYFUNCTION("""COMPUTED_VALUE"""),"2015-06-04-D06-SO-15")</f>
        <v>2015-06-04-D06-SO-15</v>
      </c>
    </row>
    <row r="2735">
      <c r="A2735" t="str">
        <f>IFERROR(__xludf.DUMMYFUNCTION("""COMPUTED_VALUE"""),"2015-06-04-J04-SO-1")</f>
        <v>2015-06-04-J04-SO-1</v>
      </c>
    </row>
    <row r="2736">
      <c r="A2736" t="str">
        <f>IFERROR(__xludf.DUMMYFUNCTION("""COMPUTED_VALUE"""),"2015-06-04-J04-SO-2")</f>
        <v>2015-06-04-J04-SO-2</v>
      </c>
    </row>
    <row r="2737">
      <c r="A2737" t="str">
        <f>IFERROR(__xludf.DUMMYFUNCTION("""COMPUTED_VALUE"""),"2015-06-04-J04-SO-3")</f>
        <v>2015-06-04-J04-SO-3</v>
      </c>
    </row>
    <row r="2738">
      <c r="A2738" t="str">
        <f>IFERROR(__xludf.DUMMYFUNCTION("""COMPUTED_VALUE"""),"2015-06-04-J04-SO-4")</f>
        <v>2015-06-04-J04-SO-4</v>
      </c>
    </row>
    <row r="2739">
      <c r="A2739" t="str">
        <f>IFERROR(__xludf.DUMMYFUNCTION("""COMPUTED_VALUE"""),"2015-06-04-J04-SO-5")</f>
        <v>2015-06-04-J04-SO-5</v>
      </c>
    </row>
    <row r="2740">
      <c r="A2740" t="str">
        <f>IFERROR(__xludf.DUMMYFUNCTION("""COMPUTED_VALUE"""),"2015-06-04-J04-SO-6")</f>
        <v>2015-06-04-J04-SO-6</v>
      </c>
    </row>
    <row r="2741">
      <c r="A2741" t="str">
        <f>IFERROR(__xludf.DUMMYFUNCTION("""COMPUTED_VALUE"""),"2015-06-04-J04-SO-7")</f>
        <v>2015-06-04-J04-SO-7</v>
      </c>
    </row>
    <row r="2742">
      <c r="A2742" t="str">
        <f>IFERROR(__xludf.DUMMYFUNCTION("""COMPUTED_VALUE"""),"2015-06-04-J04-SO-8")</f>
        <v>2015-06-04-J04-SO-8</v>
      </c>
    </row>
    <row r="2743">
      <c r="A2743" t="str">
        <f>IFERROR(__xludf.DUMMYFUNCTION("""COMPUTED_VALUE"""),"2015-06-04-J04-SO-9")</f>
        <v>2015-06-04-J04-SO-9</v>
      </c>
    </row>
    <row r="2744">
      <c r="A2744" t="str">
        <f>IFERROR(__xludf.DUMMYFUNCTION("""COMPUTED_VALUE"""),"2015-06-04-J04-SO-10")</f>
        <v>2015-06-04-J04-SO-10</v>
      </c>
    </row>
    <row r="2745">
      <c r="A2745" t="str">
        <f>IFERROR(__xludf.DUMMYFUNCTION("""COMPUTED_VALUE"""),"2015-06-04-J04-SO-11")</f>
        <v>2015-06-04-J04-SO-11</v>
      </c>
    </row>
    <row r="2746">
      <c r="A2746" t="str">
        <f>IFERROR(__xludf.DUMMYFUNCTION("""COMPUTED_VALUE"""),"2015-06-04-J04-SO-12")</f>
        <v>2015-06-04-J04-SO-12</v>
      </c>
    </row>
    <row r="2747">
      <c r="A2747" t="str">
        <f>IFERROR(__xludf.DUMMYFUNCTION("""COMPUTED_VALUE"""),"2015-06-04-J04-SO-13")</f>
        <v>2015-06-04-J04-SO-13</v>
      </c>
    </row>
    <row r="2748">
      <c r="A2748" t="str">
        <f>IFERROR(__xludf.DUMMYFUNCTION("""COMPUTED_VALUE"""),"2015-06-04-J04-SO-14")</f>
        <v>2015-06-04-J04-SO-14</v>
      </c>
    </row>
    <row r="2749">
      <c r="A2749" t="str">
        <f>IFERROR(__xludf.DUMMYFUNCTION("""COMPUTED_VALUE"""),"2015-06-04-J04-SO-15")</f>
        <v>2015-06-04-J04-SO-15</v>
      </c>
    </row>
    <row r="2750">
      <c r="A2750" t="str">
        <f>IFERROR(__xludf.DUMMYFUNCTION("""COMPUTED_VALUE"""),"2015-06-04-J04-SO-16")</f>
        <v>2015-06-04-J04-SO-16</v>
      </c>
    </row>
    <row r="2751">
      <c r="A2751" t="str">
        <f>IFERROR(__xludf.DUMMYFUNCTION("""COMPUTED_VALUE"""),"2015-06-04-J04-SO-17")</f>
        <v>2015-06-04-J04-SO-17</v>
      </c>
    </row>
    <row r="2752">
      <c r="A2752" t="str">
        <f>IFERROR(__xludf.DUMMYFUNCTION("""COMPUTED_VALUE"""),"2015-06-04-J04-SO-18")</f>
        <v>2015-06-04-J04-SO-18</v>
      </c>
    </row>
    <row r="2753">
      <c r="A2753" t="str">
        <f>IFERROR(__xludf.DUMMYFUNCTION("""COMPUTED_VALUE"""),"2015-06-04-J04-SO-19")</f>
        <v>2015-06-04-J04-SO-19</v>
      </c>
    </row>
    <row r="2754">
      <c r="A2754" t="str">
        <f>IFERROR(__xludf.DUMMYFUNCTION("""COMPUTED_VALUE"""),"2015-06-04-J04-SO-20")</f>
        <v>2015-06-04-J04-SO-20</v>
      </c>
    </row>
    <row r="2755">
      <c r="A2755" t="str">
        <f>IFERROR(__xludf.DUMMYFUNCTION("""COMPUTED_VALUE"""),"2015-06-04-J04-SO-21")</f>
        <v>2015-06-04-J04-SO-21</v>
      </c>
    </row>
    <row r="2756">
      <c r="A2756" t="str">
        <f>IFERROR(__xludf.DUMMYFUNCTION("""COMPUTED_VALUE"""),"2015-06-04-J04-SO-22")</f>
        <v>2015-06-04-J04-SO-22</v>
      </c>
    </row>
    <row r="2757">
      <c r="A2757" t="str">
        <f>IFERROR(__xludf.DUMMYFUNCTION("""COMPUTED_VALUE"""),"2015-06-04-J04-SO-23")</f>
        <v>2015-06-04-J04-SO-23</v>
      </c>
    </row>
    <row r="2758">
      <c r="A2758" t="str">
        <f>IFERROR(__xludf.DUMMYFUNCTION("""COMPUTED_VALUE"""),"2015-06-04-J04-SO-24")</f>
        <v>2015-06-04-J04-SO-24</v>
      </c>
    </row>
    <row r="2759">
      <c r="A2759" t="str">
        <f>IFERROR(__xludf.DUMMYFUNCTION("""COMPUTED_VALUE"""),"2015-06-04-J04-SO-25")</f>
        <v>2015-06-04-J04-SO-25</v>
      </c>
    </row>
    <row r="2760">
      <c r="A2760" t="str">
        <f>IFERROR(__xludf.DUMMYFUNCTION("""COMPUTED_VALUE"""),"2015-06-04-J04-SO-26")</f>
        <v>2015-06-04-J04-SO-26</v>
      </c>
    </row>
    <row r="2761">
      <c r="A2761" t="str">
        <f>IFERROR(__xludf.DUMMYFUNCTION("""COMPUTED_VALUE"""),"2015-06-04-J04-SO-27")</f>
        <v>2015-06-04-J04-SO-27</v>
      </c>
    </row>
    <row r="2762">
      <c r="A2762" t="str">
        <f>IFERROR(__xludf.DUMMYFUNCTION("""COMPUTED_VALUE"""),"2015-06-04-J04-SO-28")</f>
        <v>2015-06-04-J04-SO-28</v>
      </c>
    </row>
    <row r="2763">
      <c r="A2763" t="str">
        <f>IFERROR(__xludf.DUMMYFUNCTION("""COMPUTED_VALUE"""),"2015-06-04-J04-SO-29")</f>
        <v>2015-06-04-J04-SO-29</v>
      </c>
    </row>
    <row r="2764">
      <c r="A2764" t="str">
        <f>IFERROR(__xludf.DUMMYFUNCTION("""COMPUTED_VALUE"""),"2015-06-04-J04-SO-30")</f>
        <v>2015-06-04-J04-SO-30</v>
      </c>
    </row>
    <row r="2765">
      <c r="A2765" t="str">
        <f>IFERROR(__xludf.DUMMYFUNCTION("""COMPUTED_VALUE"""),"2015-06-04-J03-SO-1")</f>
        <v>2015-06-04-J03-SO-1</v>
      </c>
    </row>
    <row r="2766">
      <c r="A2766" t="str">
        <f>IFERROR(__xludf.DUMMYFUNCTION("""COMPUTED_VALUE"""),"2015-06-04-J03-SO-2")</f>
        <v>2015-06-04-J03-SO-2</v>
      </c>
    </row>
    <row r="2767">
      <c r="A2767" t="str">
        <f>IFERROR(__xludf.DUMMYFUNCTION("""COMPUTED_VALUE"""),"2015-06-04-J03-SO-3")</f>
        <v>2015-06-04-J03-SO-3</v>
      </c>
    </row>
    <row r="2768">
      <c r="A2768" t="str">
        <f>IFERROR(__xludf.DUMMYFUNCTION("""COMPUTED_VALUE"""),"2015-06-04-J03-SO-4")</f>
        <v>2015-06-04-J03-SO-4</v>
      </c>
    </row>
    <row r="2769">
      <c r="A2769" t="str">
        <f>IFERROR(__xludf.DUMMYFUNCTION("""COMPUTED_VALUE"""),"2015-06-04-J03-SO-5")</f>
        <v>2015-06-04-J03-SO-5</v>
      </c>
    </row>
    <row r="2770">
      <c r="A2770" t="str">
        <f>IFERROR(__xludf.DUMMYFUNCTION("""COMPUTED_VALUE"""),"2015-06-04-J03-SO-6")</f>
        <v>2015-06-04-J03-SO-6</v>
      </c>
    </row>
    <row r="2771">
      <c r="A2771" t="str">
        <f>IFERROR(__xludf.DUMMYFUNCTION("""COMPUTED_VALUE"""),"2015-06-04-J03-SO-7")</f>
        <v>2015-06-04-J03-SO-7</v>
      </c>
    </row>
    <row r="2772">
      <c r="A2772" t="str">
        <f>IFERROR(__xludf.DUMMYFUNCTION("""COMPUTED_VALUE"""),"2015-06-04-J03-SO-8")</f>
        <v>2015-06-04-J03-SO-8</v>
      </c>
    </row>
    <row r="2773">
      <c r="A2773" t="str">
        <f>IFERROR(__xludf.DUMMYFUNCTION("""COMPUTED_VALUE"""),"2015-06-04-J03-SO-9")</f>
        <v>2015-06-04-J03-SO-9</v>
      </c>
    </row>
    <row r="2774">
      <c r="A2774" t="str">
        <f>IFERROR(__xludf.DUMMYFUNCTION("""COMPUTED_VALUE"""),"2015-06-04-J03-SO-10")</f>
        <v>2015-06-04-J03-SO-10</v>
      </c>
    </row>
    <row r="2775">
      <c r="A2775" t="str">
        <f>IFERROR(__xludf.DUMMYFUNCTION("""COMPUTED_VALUE"""),"2015-06-04-J03-SO-11")</f>
        <v>2015-06-04-J03-SO-11</v>
      </c>
    </row>
    <row r="2776">
      <c r="A2776" t="str">
        <f>IFERROR(__xludf.DUMMYFUNCTION("""COMPUTED_VALUE"""),"2015-06-04-J03-SO-12")</f>
        <v>2015-06-04-J03-SO-12</v>
      </c>
    </row>
    <row r="2777">
      <c r="A2777" t="str">
        <f>IFERROR(__xludf.DUMMYFUNCTION("""COMPUTED_VALUE"""),"2015-06-04-J03-SO-13")</f>
        <v>2015-06-04-J03-SO-13</v>
      </c>
    </row>
    <row r="2778">
      <c r="A2778" t="str">
        <f>IFERROR(__xludf.DUMMYFUNCTION("""COMPUTED_VALUE"""),"2015-06-04-J03-SO-14")</f>
        <v>2015-06-04-J03-SO-14</v>
      </c>
    </row>
    <row r="2779">
      <c r="A2779" t="str">
        <f>IFERROR(__xludf.DUMMYFUNCTION("""COMPUTED_VALUE"""),"2015-06-04-J03-SO-15")</f>
        <v>2015-06-04-J03-SO-15</v>
      </c>
    </row>
    <row r="2780">
      <c r="A2780" t="str">
        <f>IFERROR(__xludf.DUMMYFUNCTION("""COMPUTED_VALUE"""),"2015-06-04-J03-SO-16")</f>
        <v>2015-06-04-J03-SO-16</v>
      </c>
    </row>
    <row r="2781">
      <c r="A2781" t="str">
        <f>IFERROR(__xludf.DUMMYFUNCTION("""COMPUTED_VALUE"""),"2015-06-04-J03-SO-17")</f>
        <v>2015-06-04-J03-SO-17</v>
      </c>
    </row>
    <row r="2782">
      <c r="A2782" t="str">
        <f>IFERROR(__xludf.DUMMYFUNCTION("""COMPUTED_VALUE"""),"2015-06-04-J03-SO-18")</f>
        <v>2015-06-04-J03-SO-18</v>
      </c>
    </row>
    <row r="2783">
      <c r="A2783" t="str">
        <f>IFERROR(__xludf.DUMMYFUNCTION("""COMPUTED_VALUE"""),"2015-06-04-J03-SO-19")</f>
        <v>2015-06-04-J03-SO-19</v>
      </c>
    </row>
    <row r="2784">
      <c r="A2784" t="str">
        <f>IFERROR(__xludf.DUMMYFUNCTION("""COMPUTED_VALUE"""),"2015-06-04-J03-SO-20")</f>
        <v>2015-06-04-J03-SO-20</v>
      </c>
    </row>
    <row r="2785">
      <c r="A2785" t="str">
        <f>IFERROR(__xludf.DUMMYFUNCTION("""COMPUTED_VALUE"""),"2015-06-04-J03-SO-21")</f>
        <v>2015-06-04-J03-SO-21</v>
      </c>
    </row>
    <row r="2786">
      <c r="A2786" t="str">
        <f>IFERROR(__xludf.DUMMYFUNCTION("""COMPUTED_VALUE"""),"2015-06-04-J03-SO-22")</f>
        <v>2015-06-04-J03-SO-22</v>
      </c>
    </row>
    <row r="2787">
      <c r="A2787" t="str">
        <f>IFERROR(__xludf.DUMMYFUNCTION("""COMPUTED_VALUE"""),"2015-06-04-J03-SO-23")</f>
        <v>2015-06-04-J03-SO-23</v>
      </c>
    </row>
    <row r="2788">
      <c r="A2788" t="str">
        <f>IFERROR(__xludf.DUMMYFUNCTION("""COMPUTED_VALUE"""),"2015-06-04-J03-SO-24")</f>
        <v>2015-06-04-J03-SO-24</v>
      </c>
    </row>
    <row r="2789">
      <c r="A2789" t="str">
        <f>IFERROR(__xludf.DUMMYFUNCTION("""COMPUTED_VALUE"""),"2015-06-04-J03-SO-25")</f>
        <v>2015-06-04-J03-SO-25</v>
      </c>
    </row>
    <row r="2790">
      <c r="A2790" t="str">
        <f>IFERROR(__xludf.DUMMYFUNCTION("""COMPUTED_VALUE"""),"2015-06-04-J03-SO-26")</f>
        <v>2015-06-04-J03-SO-26</v>
      </c>
    </row>
    <row r="2791">
      <c r="A2791" t="str">
        <f>IFERROR(__xludf.DUMMYFUNCTION("""COMPUTED_VALUE"""),"2015-06-04-J03-SO-27")</f>
        <v>2015-06-04-J03-SO-27</v>
      </c>
    </row>
    <row r="2792">
      <c r="A2792" t="str">
        <f>IFERROR(__xludf.DUMMYFUNCTION("""COMPUTED_VALUE"""),"2015-06-04-J03-SO-28")</f>
        <v>2015-06-04-J03-SO-28</v>
      </c>
    </row>
    <row r="2793">
      <c r="A2793" t="str">
        <f>IFERROR(__xludf.DUMMYFUNCTION("""COMPUTED_VALUE"""),"2015-06-04-J03-SO-29")</f>
        <v>2015-06-04-J03-SO-29</v>
      </c>
    </row>
    <row r="2794">
      <c r="A2794" t="str">
        <f>IFERROR(__xludf.DUMMYFUNCTION("""COMPUTED_VALUE"""),"2015-06-04-J03-SO-30")</f>
        <v>2015-06-04-J03-SO-30</v>
      </c>
    </row>
    <row r="2795">
      <c r="A2795" t="str">
        <f>IFERROR(__xludf.DUMMYFUNCTION("""COMPUTED_VALUE"""),"2015-06-04-J02-SO-1")</f>
        <v>2015-06-04-J02-SO-1</v>
      </c>
    </row>
    <row r="2796">
      <c r="A2796" t="str">
        <f>IFERROR(__xludf.DUMMYFUNCTION("""COMPUTED_VALUE"""),"2015-06-04-J02-SO-2")</f>
        <v>2015-06-04-J02-SO-2</v>
      </c>
    </row>
    <row r="2797">
      <c r="A2797" t="str">
        <f>IFERROR(__xludf.DUMMYFUNCTION("""COMPUTED_VALUE"""),"2015-06-04-J02-SO-3")</f>
        <v>2015-06-04-J02-SO-3</v>
      </c>
    </row>
    <row r="2798">
      <c r="A2798" t="str">
        <f>IFERROR(__xludf.DUMMYFUNCTION("""COMPUTED_VALUE"""),"2015-06-04-J02-SO-4")</f>
        <v>2015-06-04-J02-SO-4</v>
      </c>
    </row>
    <row r="2799">
      <c r="A2799" t="str">
        <f>IFERROR(__xludf.DUMMYFUNCTION("""COMPUTED_VALUE"""),"2015-06-04-J02-SO-5")</f>
        <v>2015-06-04-J02-SO-5</v>
      </c>
    </row>
    <row r="2800">
      <c r="A2800" t="str">
        <f>IFERROR(__xludf.DUMMYFUNCTION("""COMPUTED_VALUE"""),"2015-06-04-J02-SO-6")</f>
        <v>2015-06-04-J02-SO-6</v>
      </c>
    </row>
    <row r="2801">
      <c r="A2801" t="str">
        <f>IFERROR(__xludf.DUMMYFUNCTION("""COMPUTED_VALUE"""),"2015-06-04-J02-SO-7")</f>
        <v>2015-06-04-J02-SO-7</v>
      </c>
    </row>
    <row r="2802">
      <c r="A2802" t="str">
        <f>IFERROR(__xludf.DUMMYFUNCTION("""COMPUTED_VALUE"""),"2015-06-04-J02-SO-8")</f>
        <v>2015-06-04-J02-SO-8</v>
      </c>
    </row>
    <row r="2803">
      <c r="A2803" t="str">
        <f>IFERROR(__xludf.DUMMYFUNCTION("""COMPUTED_VALUE"""),"2015-06-04-J02-SO-9")</f>
        <v>2015-06-04-J02-SO-9</v>
      </c>
    </row>
    <row r="2804">
      <c r="A2804" t="str">
        <f>IFERROR(__xludf.DUMMYFUNCTION("""COMPUTED_VALUE"""),"2015-06-04-J02-SO-10")</f>
        <v>2015-06-04-J02-SO-10</v>
      </c>
    </row>
    <row r="2805">
      <c r="A2805" t="str">
        <f>IFERROR(__xludf.DUMMYFUNCTION("""COMPUTED_VALUE"""),"2015-06-04-J02-SO-11")</f>
        <v>2015-06-04-J02-SO-11</v>
      </c>
    </row>
    <row r="2806">
      <c r="A2806" t="str">
        <f>IFERROR(__xludf.DUMMYFUNCTION("""COMPUTED_VALUE"""),"2015-06-04-J02-SO-12")</f>
        <v>2015-06-04-J02-SO-12</v>
      </c>
    </row>
    <row r="2807">
      <c r="A2807" t="str">
        <f>IFERROR(__xludf.DUMMYFUNCTION("""COMPUTED_VALUE"""),"2015-06-04-J02-SO-13")</f>
        <v>2015-06-04-J02-SO-13</v>
      </c>
    </row>
    <row r="2808">
      <c r="A2808" t="str">
        <f>IFERROR(__xludf.DUMMYFUNCTION("""COMPUTED_VALUE"""),"2015-06-04-J02-SO-14")</f>
        <v>2015-06-04-J02-SO-14</v>
      </c>
    </row>
    <row r="2809">
      <c r="A2809" t="str">
        <f>IFERROR(__xludf.DUMMYFUNCTION("""COMPUTED_VALUE"""),"2015-06-04-J02-SO-15")</f>
        <v>2015-06-04-J02-SO-15</v>
      </c>
    </row>
    <row r="2810">
      <c r="A2810" t="str">
        <f>IFERROR(__xludf.DUMMYFUNCTION("""COMPUTED_VALUE"""),"2015-06-04-J02-SO-16")</f>
        <v>2015-06-04-J02-SO-16</v>
      </c>
    </row>
    <row r="2811">
      <c r="A2811" t="str">
        <f>IFERROR(__xludf.DUMMYFUNCTION("""COMPUTED_VALUE"""),"2015-06-04-J02-SO-17")</f>
        <v>2015-06-04-J02-SO-17</v>
      </c>
    </row>
    <row r="2812">
      <c r="A2812" t="str">
        <f>IFERROR(__xludf.DUMMYFUNCTION("""COMPUTED_VALUE"""),"2015-06-04-J02-SO-18")</f>
        <v>2015-06-04-J02-SO-18</v>
      </c>
    </row>
    <row r="2813">
      <c r="A2813" t="str">
        <f>IFERROR(__xludf.DUMMYFUNCTION("""COMPUTED_VALUE"""),"2015-06-04-J02-SO-19")</f>
        <v>2015-06-04-J02-SO-19</v>
      </c>
    </row>
    <row r="2814">
      <c r="A2814" t="str">
        <f>IFERROR(__xludf.DUMMYFUNCTION("""COMPUTED_VALUE"""),"2015-06-04-J02-SO-20")</f>
        <v>2015-06-04-J02-SO-20</v>
      </c>
    </row>
    <row r="2815">
      <c r="A2815" t="str">
        <f>IFERROR(__xludf.DUMMYFUNCTION("""COMPUTED_VALUE"""),"2015-06-04-J02-SO-21")</f>
        <v>2015-06-04-J02-SO-21</v>
      </c>
    </row>
    <row r="2816">
      <c r="A2816" t="str">
        <f>IFERROR(__xludf.DUMMYFUNCTION("""COMPUTED_VALUE"""),"2015-06-04-J02-SO-22")</f>
        <v>2015-06-04-J02-SO-22</v>
      </c>
    </row>
    <row r="2817">
      <c r="A2817" t="str">
        <f>IFERROR(__xludf.DUMMYFUNCTION("""COMPUTED_VALUE"""),"2015-06-04-J02-SO-23")</f>
        <v>2015-06-04-J02-SO-23</v>
      </c>
    </row>
    <row r="2818">
      <c r="A2818" t="str">
        <f>IFERROR(__xludf.DUMMYFUNCTION("""COMPUTED_VALUE"""),"2015-06-04-J02-SO-24")</f>
        <v>2015-06-04-J02-SO-24</v>
      </c>
    </row>
    <row r="2819">
      <c r="A2819" t="str">
        <f>IFERROR(__xludf.DUMMYFUNCTION("""COMPUTED_VALUE"""),"2015-06-04-J02-SO-25")</f>
        <v>2015-06-04-J02-SO-25</v>
      </c>
    </row>
    <row r="2820">
      <c r="A2820" t="str">
        <f>IFERROR(__xludf.DUMMYFUNCTION("""COMPUTED_VALUE"""),"2015-06-04-J02-SO-26")</f>
        <v>2015-06-04-J02-SO-26</v>
      </c>
    </row>
    <row r="2821">
      <c r="A2821" t="str">
        <f>IFERROR(__xludf.DUMMYFUNCTION("""COMPUTED_VALUE"""),"2015-06-04-J02-SO-27")</f>
        <v>2015-06-04-J02-SO-27</v>
      </c>
    </row>
    <row r="2822">
      <c r="A2822" t="str">
        <f>IFERROR(__xludf.DUMMYFUNCTION("""COMPUTED_VALUE"""),"2015-06-04-J02-SO-28")</f>
        <v>2015-06-04-J02-SO-28</v>
      </c>
    </row>
    <row r="2823">
      <c r="A2823" t="str">
        <f>IFERROR(__xludf.DUMMYFUNCTION("""COMPUTED_VALUE"""),"2015-06-04-J02-SO-29")</f>
        <v>2015-06-04-J02-SO-29</v>
      </c>
    </row>
    <row r="2824">
      <c r="A2824" t="str">
        <f>IFERROR(__xludf.DUMMYFUNCTION("""COMPUTED_VALUE"""),"2015-06-04-J02-SO-30")</f>
        <v>2015-06-04-J02-SO-30</v>
      </c>
    </row>
    <row r="2825">
      <c r="A2825" t="str">
        <f>IFERROR(__xludf.DUMMYFUNCTION("""COMPUTED_VALUE"""),"2015-06-04-D06-PI-1")</f>
        <v>2015-06-04-D06-PI-1</v>
      </c>
    </row>
    <row r="2826">
      <c r="A2826" t="str">
        <f>IFERROR(__xludf.DUMMYFUNCTION("""COMPUTED_VALUE"""),"2015-06-04-D06-PI-2")</f>
        <v>2015-06-04-D06-PI-2</v>
      </c>
    </row>
    <row r="2827">
      <c r="A2827" t="str">
        <f>IFERROR(__xludf.DUMMYFUNCTION("""COMPUTED_VALUE"""),"2015-06-04-D06-PI-3")</f>
        <v>2015-06-04-D06-PI-3</v>
      </c>
    </row>
    <row r="2828">
      <c r="A2828" t="str">
        <f>IFERROR(__xludf.DUMMYFUNCTION("""COMPUTED_VALUE"""),"2015-06-04-D06-PI-4")</f>
        <v>2015-06-04-D06-PI-4</v>
      </c>
    </row>
    <row r="2829">
      <c r="A2829" t="str">
        <f>IFERROR(__xludf.DUMMYFUNCTION("""COMPUTED_VALUE"""),"2015-06-04-J03-PI-1")</f>
        <v>2015-06-04-J03-PI-1</v>
      </c>
    </row>
    <row r="2830">
      <c r="A2830" t="str">
        <f>IFERROR(__xludf.DUMMYFUNCTION("""COMPUTED_VALUE"""),"2015-06-04-J03-PI-2")</f>
        <v>2015-06-04-J03-PI-2</v>
      </c>
    </row>
    <row r="2831">
      <c r="A2831" t="str">
        <f>IFERROR(__xludf.DUMMYFUNCTION("""COMPUTED_VALUE"""),"2015-06-04-J03-PI-3")</f>
        <v>2015-06-04-J03-PI-3</v>
      </c>
    </row>
    <row r="2832">
      <c r="A2832" t="str">
        <f>IFERROR(__xludf.DUMMYFUNCTION("""COMPUTED_VALUE"""),"2015-06-04-J03-PI-4")</f>
        <v>2015-06-04-J03-PI-4</v>
      </c>
    </row>
    <row r="2833">
      <c r="A2833" t="str">
        <f>IFERROR(__xludf.DUMMYFUNCTION("""COMPUTED_VALUE"""),"2015-06-04-J03-PI-5")</f>
        <v>2015-06-04-J03-PI-5</v>
      </c>
    </row>
    <row r="2834">
      <c r="A2834" t="str">
        <f>IFERROR(__xludf.DUMMYFUNCTION("""COMPUTED_VALUE"""),"2015-06-04-J03-PI-6")</f>
        <v>2015-06-04-J03-PI-6</v>
      </c>
    </row>
    <row r="2835">
      <c r="A2835" t="str">
        <f>IFERROR(__xludf.DUMMYFUNCTION("""COMPUTED_VALUE"""),"2015-06-04-J03-PI-7")</f>
        <v>2015-06-04-J03-PI-7</v>
      </c>
    </row>
    <row r="2836">
      <c r="A2836" t="str">
        <f>IFERROR(__xludf.DUMMYFUNCTION("""COMPUTED_VALUE"""),"2015-06-04-J02-PI-1")</f>
        <v>2015-06-04-J02-PI-1</v>
      </c>
    </row>
    <row r="2837">
      <c r="A2837" t="str">
        <f>IFERROR(__xludf.DUMMYFUNCTION("""COMPUTED_VALUE"""),"2015-06-04-D08-CU-1")</f>
        <v>2015-06-04-D08-CU-1</v>
      </c>
    </row>
    <row r="2838">
      <c r="A2838" t="str">
        <f>IFERROR(__xludf.DUMMYFUNCTION("""COMPUTED_VALUE"""),"2015-06-04-D08-CU-2")</f>
        <v>2015-06-04-D08-CU-2</v>
      </c>
    </row>
    <row r="2839">
      <c r="A2839" t="str">
        <f>IFERROR(__xludf.DUMMYFUNCTION("""COMPUTED_VALUE"""),"2015-06-04-D06-CU-1")</f>
        <v>2015-06-04-D06-CU-1</v>
      </c>
    </row>
    <row r="2840">
      <c r="A2840" t="str">
        <f>IFERROR(__xludf.DUMMYFUNCTION("""COMPUTED_VALUE"""),"2015-06-04-D06-CU-2")</f>
        <v>2015-06-04-D06-CU-2</v>
      </c>
    </row>
    <row r="2841">
      <c r="A2841" t="str">
        <f>IFERROR(__xludf.DUMMYFUNCTION("""COMPUTED_VALUE"""),"2015-06-04-D06-CU-3")</f>
        <v>2015-06-04-D06-CU-3</v>
      </c>
    </row>
    <row r="2842">
      <c r="A2842" t="str">
        <f>IFERROR(__xludf.DUMMYFUNCTION("""COMPUTED_VALUE"""),"2015-06-04-J04-CU-1")</f>
        <v>2015-06-04-J04-CU-1</v>
      </c>
    </row>
    <row r="2843">
      <c r="A2843" t="str">
        <f>IFERROR(__xludf.DUMMYFUNCTION("""COMPUTED_VALUE"""),"2015-06-04-J04-CU-2")</f>
        <v>2015-06-04-J04-CU-2</v>
      </c>
    </row>
    <row r="2844">
      <c r="A2844" t="str">
        <f>IFERROR(__xludf.DUMMYFUNCTION("""COMPUTED_VALUE"""),"2015-06-04-J04-CU-3")</f>
        <v>2015-06-04-J04-CU-3</v>
      </c>
    </row>
    <row r="2845">
      <c r="A2845" t="str">
        <f>IFERROR(__xludf.DUMMYFUNCTION("""COMPUTED_VALUE"""),"2015-06-04-J04-CU-4")</f>
        <v>2015-06-04-J04-CU-4</v>
      </c>
    </row>
    <row r="2846">
      <c r="A2846" t="str">
        <f>IFERROR(__xludf.DUMMYFUNCTION("""COMPUTED_VALUE"""),"2015-06-04-J04-CU-5")</f>
        <v>2015-06-04-J04-CU-5</v>
      </c>
    </row>
    <row r="2847">
      <c r="A2847" t="str">
        <f>IFERROR(__xludf.DUMMYFUNCTION("""COMPUTED_VALUE"""),"2015-06-04-J04-CU-6")</f>
        <v>2015-06-04-J04-CU-6</v>
      </c>
    </row>
    <row r="2848">
      <c r="A2848" t="str">
        <f>IFERROR(__xludf.DUMMYFUNCTION("""COMPUTED_VALUE"""),"2015-06-04-J04-CU-7")</f>
        <v>2015-06-04-J04-CU-7</v>
      </c>
    </row>
    <row r="2849">
      <c r="A2849" t="str">
        <f>IFERROR(__xludf.DUMMYFUNCTION("""COMPUTED_VALUE"""),"2015-06-04-J04-CU-8")</f>
        <v>2015-06-04-J04-CU-8</v>
      </c>
    </row>
    <row r="2850">
      <c r="A2850" t="str">
        <f>IFERROR(__xludf.DUMMYFUNCTION("""COMPUTED_VALUE"""),"2015-06-04-J04-CU-9")</f>
        <v>2015-06-04-J04-CU-9</v>
      </c>
    </row>
    <row r="2851">
      <c r="A2851" t="str">
        <f>IFERROR(__xludf.DUMMYFUNCTION("""COMPUTED_VALUE"""),"2015-06-04-J04-CU-10")</f>
        <v>2015-06-04-J04-CU-10</v>
      </c>
    </row>
    <row r="2852">
      <c r="A2852" t="str">
        <f>IFERROR(__xludf.DUMMYFUNCTION("""COMPUTED_VALUE"""),"2015-06-04-J03-CU-1")</f>
        <v>2015-06-04-J03-CU-1</v>
      </c>
    </row>
    <row r="2853">
      <c r="A2853" t="str">
        <f>IFERROR(__xludf.DUMMYFUNCTION("""COMPUTED_VALUE"""),"2015-06-04-J03-CU-2")</f>
        <v>2015-06-04-J03-CU-2</v>
      </c>
    </row>
    <row r="2854">
      <c r="A2854" t="str">
        <f>IFERROR(__xludf.DUMMYFUNCTION("""COMPUTED_VALUE"""),"2015-06-04-J03-CU-3")</f>
        <v>2015-06-04-J03-CU-3</v>
      </c>
    </row>
    <row r="2855">
      <c r="A2855" t="str">
        <f>IFERROR(__xludf.DUMMYFUNCTION("""COMPUTED_VALUE"""),"2015-06-04-J03-CU-4")</f>
        <v>2015-06-04-J03-CU-4</v>
      </c>
    </row>
    <row r="2856">
      <c r="A2856" t="str">
        <f>IFERROR(__xludf.DUMMYFUNCTION("""COMPUTED_VALUE"""),"2015-06-04-J03-CU-5")</f>
        <v>2015-06-04-J03-CU-5</v>
      </c>
    </row>
    <row r="2857">
      <c r="A2857" t="str">
        <f>IFERROR(__xludf.DUMMYFUNCTION("""COMPUTED_VALUE"""),"2015-06-04-J03-CU-6")</f>
        <v>2015-06-04-J03-CU-6</v>
      </c>
    </row>
    <row r="2858">
      <c r="A2858" t="str">
        <f>IFERROR(__xludf.DUMMYFUNCTION("""COMPUTED_VALUE"""),"2015-06-04-J03-CU-7")</f>
        <v>2015-06-04-J03-CU-7</v>
      </c>
    </row>
    <row r="2859">
      <c r="A2859" t="str">
        <f>IFERROR(__xludf.DUMMYFUNCTION("""COMPUTED_VALUE"""),"2015-06-04-J03-CU-8")</f>
        <v>2015-06-04-J03-CU-8</v>
      </c>
    </row>
    <row r="2860">
      <c r="A2860" t="str">
        <f>IFERROR(__xludf.DUMMYFUNCTION("""COMPUTED_VALUE"""),"2015-06-04-J03-CU-9")</f>
        <v>2015-06-04-J03-CU-9</v>
      </c>
    </row>
    <row r="2861">
      <c r="A2861" t="str">
        <f>IFERROR(__xludf.DUMMYFUNCTION("""COMPUTED_VALUE"""),"2015-06-04-J03-CU-10")</f>
        <v>2015-06-04-J03-CU-10</v>
      </c>
    </row>
    <row r="2862">
      <c r="A2862" t="str">
        <f>IFERROR(__xludf.DUMMYFUNCTION("""COMPUTED_VALUE"""),"2015-06-04-J02-CU-1")</f>
        <v>2015-06-04-J02-CU-1</v>
      </c>
    </row>
    <row r="2863">
      <c r="A2863" t="str">
        <f>IFERROR(__xludf.DUMMYFUNCTION("""COMPUTED_VALUE"""),"2015-06-04-J02-CU-2")</f>
        <v>2015-06-04-J02-CU-2</v>
      </c>
    </row>
    <row r="2864">
      <c r="A2864" t="str">
        <f>IFERROR(__xludf.DUMMYFUNCTION("""COMPUTED_VALUE"""),"2015-06-04-J02-CU-3")</f>
        <v>2015-06-04-J02-CU-3</v>
      </c>
    </row>
    <row r="2865">
      <c r="A2865" t="str">
        <f>IFERROR(__xludf.DUMMYFUNCTION("""COMPUTED_VALUE"""),"2015-06-04-J02-CU-4")</f>
        <v>2015-06-04-J02-CU-4</v>
      </c>
    </row>
    <row r="2866">
      <c r="A2866" t="str">
        <f>IFERROR(__xludf.DUMMYFUNCTION("""COMPUTED_VALUE"""),"2015-06-04-J02-CU-5")</f>
        <v>2015-06-04-J02-CU-5</v>
      </c>
    </row>
    <row r="2867">
      <c r="A2867" t="str">
        <f>IFERROR(__xludf.DUMMYFUNCTION("""COMPUTED_VALUE"""),"2015-06-04-J02-CU-6")</f>
        <v>2015-06-04-J02-CU-6</v>
      </c>
    </row>
    <row r="2868">
      <c r="A2868" t="str">
        <f>IFERROR(__xludf.DUMMYFUNCTION("""COMPUTED_VALUE"""),"2015-06-04-J02-CU-7")</f>
        <v>2015-06-04-J02-CU-7</v>
      </c>
    </row>
    <row r="2869">
      <c r="A2869" t="str">
        <f>IFERROR(__xludf.DUMMYFUNCTION("""COMPUTED_VALUE"""),"2015-06-04-J02-CU-8")</f>
        <v>2015-06-04-J02-CU-8</v>
      </c>
    </row>
    <row r="2870">
      <c r="A2870" t="str">
        <f>IFERROR(__xludf.DUMMYFUNCTION("""COMPUTED_VALUE"""),"2015-06-04-J02-CU-9")</f>
        <v>2015-06-04-J02-CU-9</v>
      </c>
    </row>
    <row r="2871">
      <c r="A2871" t="str">
        <f>IFERROR(__xludf.DUMMYFUNCTION("""COMPUTED_VALUE"""),"2015-06-04-J02-CU-10")</f>
        <v>2015-06-04-J02-CU-10</v>
      </c>
    </row>
    <row r="2872">
      <c r="A2872" t="str">
        <f>IFERROR(__xludf.DUMMYFUNCTION("""COMPUTED_VALUE"""),"2015-06-04-J02-CO-1")</f>
        <v>2015-06-04-J02-CO-1</v>
      </c>
    </row>
    <row r="2873">
      <c r="A2873" t="str">
        <f>IFERROR(__xludf.DUMMYFUNCTION("""COMPUTED_VALUE"""),"2015-06-04-J02-CO-2")</f>
        <v>2015-06-04-J02-CO-2</v>
      </c>
    </row>
    <row r="2874">
      <c r="A2874" t="str">
        <f>IFERROR(__xludf.DUMMYFUNCTION("""COMPUTED_VALUE"""),"2015-06-04-J02-CO-3")</f>
        <v>2015-06-04-J02-CO-3</v>
      </c>
    </row>
    <row r="2875">
      <c r="A2875" t="str">
        <f>IFERROR(__xludf.DUMMYFUNCTION("""COMPUTED_VALUE"""),"2015-06-04-J02-CO-4")</f>
        <v>2015-06-04-J02-CO-4</v>
      </c>
    </row>
    <row r="2876">
      <c r="A2876" t="str">
        <f>IFERROR(__xludf.DUMMYFUNCTION("""COMPUTED_VALUE"""),"2015-06-04-J02-CO-5")</f>
        <v>2015-06-04-J02-CO-5</v>
      </c>
    </row>
    <row r="2877">
      <c r="A2877" t="str">
        <f>IFERROR(__xludf.DUMMYFUNCTION("""COMPUTED_VALUE"""),"2015-06-04-J02-CO-6")</f>
        <v>2015-06-04-J02-CO-6</v>
      </c>
    </row>
    <row r="2878">
      <c r="A2878" t="str">
        <f>IFERROR(__xludf.DUMMYFUNCTION("""COMPUTED_VALUE"""),"2015-06-04-J04-HE-1")</f>
        <v>2015-06-04-J04-HE-1</v>
      </c>
    </row>
    <row r="2879">
      <c r="A2879" t="str">
        <f>IFERROR(__xludf.DUMMYFUNCTION("""COMPUTED_VALUE"""),"2015-06-04-J04-HE-2")</f>
        <v>2015-06-04-J04-HE-2</v>
      </c>
    </row>
    <row r="2880">
      <c r="A2880" t="str">
        <f>IFERROR(__xludf.DUMMYFUNCTION("""COMPUTED_VALUE"""),"2015-06-04-J03-HE-1")</f>
        <v>2015-06-04-J03-HE-1</v>
      </c>
    </row>
    <row r="2881">
      <c r="A2881" t="str">
        <f>IFERROR(__xludf.DUMMYFUNCTION("""COMPUTED_VALUE"""),"2015-06-04-J03-HE-2")</f>
        <v>2015-06-04-J03-HE-2</v>
      </c>
    </row>
    <row r="2882">
      <c r="A2882" t="str">
        <f>IFERROR(__xludf.DUMMYFUNCTION("""COMPUTED_VALUE"""),"2015-06-04-J03-HE-3")</f>
        <v>2015-06-04-J03-HE-3</v>
      </c>
    </row>
    <row r="2883">
      <c r="A2883" t="str">
        <f>IFERROR(__xludf.DUMMYFUNCTION("""COMPUTED_VALUE"""),"2015-06-04-J03-HE-4")</f>
        <v>2015-06-04-J03-HE-4</v>
      </c>
    </row>
    <row r="2884">
      <c r="A2884" t="str">
        <f>IFERROR(__xludf.DUMMYFUNCTION("""COMPUTED_VALUE"""),"2015-06-04-J03-HE-5")</f>
        <v>2015-06-04-J03-HE-5</v>
      </c>
    </row>
    <row r="2885">
      <c r="A2885" t="str">
        <f>IFERROR(__xludf.DUMMYFUNCTION("""COMPUTED_VALUE"""),"2015-06-04-J03-HE-6")</f>
        <v>2015-06-04-J03-HE-6</v>
      </c>
    </row>
    <row r="2886">
      <c r="A2886" t="str">
        <f>IFERROR(__xludf.DUMMYFUNCTION("""COMPUTED_VALUE"""),"2015-06-04-J03-HE-7")</f>
        <v>2015-06-04-J03-HE-7</v>
      </c>
    </row>
    <row r="2887">
      <c r="A2887" t="str">
        <f>IFERROR(__xludf.DUMMYFUNCTION("""COMPUTED_VALUE"""),"2015-06-04-J03-HE-8")</f>
        <v>2015-06-04-J03-HE-8</v>
      </c>
    </row>
    <row r="2888">
      <c r="A2888" t="str">
        <f>IFERROR(__xludf.DUMMYFUNCTION("""COMPUTED_VALUE"""),"2015-06-04-J03-HE-9")</f>
        <v>2015-06-04-J03-HE-9</v>
      </c>
    </row>
    <row r="2889">
      <c r="A2889" t="str">
        <f>IFERROR(__xludf.DUMMYFUNCTION("""COMPUTED_VALUE"""),"2015-06-04-J03-HE-10")</f>
        <v>2015-06-04-J03-HE-10</v>
      </c>
    </row>
    <row r="2890">
      <c r="A2890" t="str">
        <f>IFERROR(__xludf.DUMMYFUNCTION("""COMPUTED_VALUE"""),"2015-06-05-D10-SO-1")</f>
        <v>2015-06-05-D10-SO-1</v>
      </c>
    </row>
    <row r="2891">
      <c r="A2891" t="str">
        <f>IFERROR(__xludf.DUMMYFUNCTION("""COMPUTED_VALUE"""),"2015-06-05-D10-SO-2")</f>
        <v>2015-06-05-D10-SO-2</v>
      </c>
    </row>
    <row r="2892">
      <c r="A2892" t="str">
        <f>IFERROR(__xludf.DUMMYFUNCTION("""COMPUTED_VALUE"""),"2015-06-05-D10-SO-3")</f>
        <v>2015-06-05-D10-SO-3</v>
      </c>
    </row>
    <row r="2893">
      <c r="A2893" t="str">
        <f>IFERROR(__xludf.DUMMYFUNCTION("""COMPUTED_VALUE"""),"2015-06-05-D10-SO-4")</f>
        <v>2015-06-05-D10-SO-4</v>
      </c>
    </row>
    <row r="2894">
      <c r="A2894" t="str">
        <f>IFERROR(__xludf.DUMMYFUNCTION("""COMPUTED_VALUE"""),"2015-06-05-D10-SO-5")</f>
        <v>2015-06-05-D10-SO-5</v>
      </c>
    </row>
    <row r="2895">
      <c r="A2895" t="str">
        <f>IFERROR(__xludf.DUMMYFUNCTION("""COMPUTED_VALUE"""),"2015-06-05-D10-SO-6")</f>
        <v>2015-06-05-D10-SO-6</v>
      </c>
    </row>
    <row r="2896">
      <c r="A2896" t="str">
        <f>IFERROR(__xludf.DUMMYFUNCTION("""COMPUTED_VALUE"""),"2015-06-05-D10-SO-7")</f>
        <v>2015-06-05-D10-SO-7</v>
      </c>
    </row>
    <row r="2897">
      <c r="A2897" t="str">
        <f>IFERROR(__xludf.DUMMYFUNCTION("""COMPUTED_VALUE"""),"2015-06-05-D10-SO-8")</f>
        <v>2015-06-05-D10-SO-8</v>
      </c>
    </row>
    <row r="2898">
      <c r="A2898" t="str">
        <f>IFERROR(__xludf.DUMMYFUNCTION("""COMPUTED_VALUE"""),"2015-06-05-D10-SO-9")</f>
        <v>2015-06-05-D10-SO-9</v>
      </c>
    </row>
    <row r="2899">
      <c r="A2899" t="str">
        <f>IFERROR(__xludf.DUMMYFUNCTION("""COMPUTED_VALUE"""),"2015-06-05-D10-SO-10")</f>
        <v>2015-06-05-D10-SO-10</v>
      </c>
    </row>
    <row r="2900">
      <c r="A2900" t="str">
        <f>IFERROR(__xludf.DUMMYFUNCTION("""COMPUTED_VALUE"""),"2015-06-05-D10-SO-11")</f>
        <v>2015-06-05-D10-SO-11</v>
      </c>
    </row>
    <row r="2901">
      <c r="A2901" t="str">
        <f>IFERROR(__xludf.DUMMYFUNCTION("""COMPUTED_VALUE"""),"2015-06-05-D10-SO-12")</f>
        <v>2015-06-05-D10-SO-12</v>
      </c>
    </row>
    <row r="2902">
      <c r="A2902" t="str">
        <f>IFERROR(__xludf.DUMMYFUNCTION("""COMPUTED_VALUE"""),"2015-06-05-D10-SO-13")</f>
        <v>2015-06-05-D10-SO-13</v>
      </c>
    </row>
    <row r="2903">
      <c r="A2903" t="str">
        <f>IFERROR(__xludf.DUMMYFUNCTION("""COMPUTED_VALUE"""),"2015-06-05-D10-SO-14")</f>
        <v>2015-06-05-D10-SO-14</v>
      </c>
    </row>
    <row r="2904">
      <c r="A2904" t="str">
        <f>IFERROR(__xludf.DUMMYFUNCTION("""COMPUTED_VALUE"""),"2015-06-05-D10-SO-15")</f>
        <v>2015-06-05-D10-SO-15</v>
      </c>
    </row>
    <row r="2905">
      <c r="A2905" t="str">
        <f>IFERROR(__xludf.DUMMYFUNCTION("""COMPUTED_VALUE"""),"2015-06-05-D10-SO-16")</f>
        <v>2015-06-05-D10-SO-16</v>
      </c>
    </row>
    <row r="2906">
      <c r="A2906" t="str">
        <f>IFERROR(__xludf.DUMMYFUNCTION("""COMPUTED_VALUE"""),"2015-06-05-D10-SO-17")</f>
        <v>2015-06-05-D10-SO-17</v>
      </c>
    </row>
    <row r="2907">
      <c r="A2907" t="str">
        <f>IFERROR(__xludf.DUMMYFUNCTION("""COMPUTED_VALUE"""),"2015-06-05-D10-SO-18")</f>
        <v>2015-06-05-D10-SO-18</v>
      </c>
    </row>
    <row r="2908">
      <c r="A2908" t="str">
        <f>IFERROR(__xludf.DUMMYFUNCTION("""COMPUTED_VALUE"""),"2015-06-05-D10-SO-19")</f>
        <v>2015-06-05-D10-SO-19</v>
      </c>
    </row>
    <row r="2909">
      <c r="A2909" t="str">
        <f>IFERROR(__xludf.DUMMYFUNCTION("""COMPUTED_VALUE"""),"2015-06-05-D10-SO-20")</f>
        <v>2015-06-05-D10-SO-20</v>
      </c>
    </row>
    <row r="2910">
      <c r="A2910" t="str">
        <f>IFERROR(__xludf.DUMMYFUNCTION("""COMPUTED_VALUE"""),"2015-06-05-D10-SO-21")</f>
        <v>2015-06-05-D10-SO-21</v>
      </c>
    </row>
    <row r="2911">
      <c r="A2911" t="str">
        <f>IFERROR(__xludf.DUMMYFUNCTION("""COMPUTED_VALUE"""),"2015-06-05-D10-SO-22")</f>
        <v>2015-06-05-D10-SO-22</v>
      </c>
    </row>
    <row r="2912">
      <c r="A2912" t="str">
        <f>IFERROR(__xludf.DUMMYFUNCTION("""COMPUTED_VALUE"""),"2015-06-05-D09-SO-1")</f>
        <v>2015-06-05-D09-SO-1</v>
      </c>
    </row>
    <row r="2913">
      <c r="A2913" t="str">
        <f>IFERROR(__xludf.DUMMYFUNCTION("""COMPUTED_VALUE"""),"2015-06-05-D09-SO-2")</f>
        <v>2015-06-05-D09-SO-2</v>
      </c>
    </row>
    <row r="2914">
      <c r="A2914" t="str">
        <f>IFERROR(__xludf.DUMMYFUNCTION("""COMPUTED_VALUE"""),"2015-06-05-D09-SO-3")</f>
        <v>2015-06-05-D09-SO-3</v>
      </c>
    </row>
    <row r="2915">
      <c r="A2915" t="str">
        <f>IFERROR(__xludf.DUMMYFUNCTION("""COMPUTED_VALUE"""),"2015-06-05-D09-SO-4")</f>
        <v>2015-06-05-D09-SO-4</v>
      </c>
    </row>
    <row r="2916">
      <c r="A2916" t="str">
        <f>IFERROR(__xludf.DUMMYFUNCTION("""COMPUTED_VALUE"""),"2015-06-05-D09-SO-5")</f>
        <v>2015-06-05-D09-SO-5</v>
      </c>
    </row>
    <row r="2917">
      <c r="A2917" t="str">
        <f>IFERROR(__xludf.DUMMYFUNCTION("""COMPUTED_VALUE"""),"2015-06-05-D09-SO-6")</f>
        <v>2015-06-05-D09-SO-6</v>
      </c>
    </row>
    <row r="2918">
      <c r="A2918" t="str">
        <f>IFERROR(__xludf.DUMMYFUNCTION("""COMPUTED_VALUE"""),"2015-06-05-D09-SO-7")</f>
        <v>2015-06-05-D09-SO-7</v>
      </c>
    </row>
    <row r="2919">
      <c r="A2919" t="str">
        <f>IFERROR(__xludf.DUMMYFUNCTION("""COMPUTED_VALUE"""),"2015-06-05-D09-SO-8")</f>
        <v>2015-06-05-D09-SO-8</v>
      </c>
    </row>
    <row r="2920">
      <c r="A2920" t="str">
        <f>IFERROR(__xludf.DUMMYFUNCTION("""COMPUTED_VALUE"""),"2015-06-05-D09-SO-9")</f>
        <v>2015-06-05-D09-SO-9</v>
      </c>
    </row>
    <row r="2921">
      <c r="A2921" t="str">
        <f>IFERROR(__xludf.DUMMYFUNCTION("""COMPUTED_VALUE"""),"2015-06-05-D09-SO-10")</f>
        <v>2015-06-05-D09-SO-10</v>
      </c>
    </row>
    <row r="2922">
      <c r="A2922" t="str">
        <f>IFERROR(__xludf.DUMMYFUNCTION("""COMPUTED_VALUE"""),"2015-06-05-D09-SO-11")</f>
        <v>2015-06-05-D09-SO-11</v>
      </c>
    </row>
    <row r="2923">
      <c r="A2923" t="str">
        <f>IFERROR(__xludf.DUMMYFUNCTION("""COMPUTED_VALUE"""),"2015-06-05-D09-SO-12")</f>
        <v>2015-06-05-D09-SO-12</v>
      </c>
    </row>
    <row r="2924">
      <c r="A2924" t="str">
        <f>IFERROR(__xludf.DUMMYFUNCTION("""COMPUTED_VALUE"""),"2015-06-05-D09-SO-13")</f>
        <v>2015-06-05-D09-SO-13</v>
      </c>
    </row>
    <row r="2925">
      <c r="A2925" t="str">
        <f>IFERROR(__xludf.DUMMYFUNCTION("""COMPUTED_VALUE"""),"2015-06-05-D09-SO-14")</f>
        <v>2015-06-05-D09-SO-14</v>
      </c>
    </row>
    <row r="2926">
      <c r="A2926" t="str">
        <f>IFERROR(__xludf.DUMMYFUNCTION("""COMPUTED_VALUE"""),"2015-06-05-D09-SO-15")</f>
        <v>2015-06-05-D09-SO-15</v>
      </c>
    </row>
    <row r="2927">
      <c r="A2927" t="str">
        <f>IFERROR(__xludf.DUMMYFUNCTION("""COMPUTED_VALUE"""),"2015-06-05-D09-SO-16")</f>
        <v>2015-06-05-D09-SO-16</v>
      </c>
    </row>
    <row r="2928">
      <c r="A2928" t="str">
        <f>IFERROR(__xludf.DUMMYFUNCTION("""COMPUTED_VALUE"""),"2015-06-05-D09-SO-17")</f>
        <v>2015-06-05-D09-SO-17</v>
      </c>
    </row>
    <row r="2929">
      <c r="A2929" t="str">
        <f>IFERROR(__xludf.DUMMYFUNCTION("""COMPUTED_VALUE"""),"2015-06-05-D09-SO-18")</f>
        <v>2015-06-05-D09-SO-18</v>
      </c>
    </row>
    <row r="2930">
      <c r="A2930" t="str">
        <f>IFERROR(__xludf.DUMMYFUNCTION("""COMPUTED_VALUE"""),"2015-06-05-D09-SO-19")</f>
        <v>2015-06-05-D09-SO-19</v>
      </c>
    </row>
    <row r="2931">
      <c r="A2931" t="str">
        <f>IFERROR(__xludf.DUMMYFUNCTION("""COMPUTED_VALUE"""),"2015-06-05-D09-SO-20")</f>
        <v>2015-06-05-D09-SO-20</v>
      </c>
    </row>
    <row r="2932">
      <c r="A2932" t="str">
        <f>IFERROR(__xludf.DUMMYFUNCTION("""COMPUTED_VALUE"""),"2015-06-05-D09-SO-21")</f>
        <v>2015-06-05-D09-SO-21</v>
      </c>
    </row>
    <row r="2933">
      <c r="A2933" t="str">
        <f>IFERROR(__xludf.DUMMYFUNCTION("""COMPUTED_VALUE"""),"2015-06-05-D09-SO-22")</f>
        <v>2015-06-05-D09-SO-22</v>
      </c>
    </row>
    <row r="2934">
      <c r="A2934" t="str">
        <f>IFERROR(__xludf.DUMMYFUNCTION("""COMPUTED_VALUE"""),"2015-06-05-D09-SO-23")</f>
        <v>2015-06-05-D09-SO-23</v>
      </c>
    </row>
    <row r="2935">
      <c r="A2935" t="str">
        <f>IFERROR(__xludf.DUMMYFUNCTION("""COMPUTED_VALUE"""),"2015-06-05-D09-SO-24")</f>
        <v>2015-06-05-D09-SO-24</v>
      </c>
    </row>
    <row r="2936">
      <c r="A2936" t="str">
        <f>IFERROR(__xludf.DUMMYFUNCTION("""COMPUTED_VALUE"""),"2015-06-05-D09-SO-25")</f>
        <v>2015-06-05-D09-SO-25</v>
      </c>
    </row>
    <row r="2937">
      <c r="A2937" t="str">
        <f>IFERROR(__xludf.DUMMYFUNCTION("""COMPUTED_VALUE"""),"2015-06-05-D09-SO-26")</f>
        <v>2015-06-05-D09-SO-26</v>
      </c>
    </row>
    <row r="2938">
      <c r="A2938" t="str">
        <f>IFERROR(__xludf.DUMMYFUNCTION("""COMPUTED_VALUE"""),"2015-06-05-D09-SO-27")</f>
        <v>2015-06-05-D09-SO-27</v>
      </c>
    </row>
    <row r="2939">
      <c r="A2939" t="str">
        <f>IFERROR(__xludf.DUMMYFUNCTION("""COMPUTED_VALUE"""),"2015-06-05-D09-SO-28")</f>
        <v>2015-06-05-D09-SO-28</v>
      </c>
    </row>
    <row r="2940">
      <c r="A2940" t="str">
        <f>IFERROR(__xludf.DUMMYFUNCTION("""COMPUTED_VALUE"""),"2015-06-05-D09-SO-29")</f>
        <v>2015-06-05-D09-SO-29</v>
      </c>
    </row>
    <row r="2941">
      <c r="A2941" t="str">
        <f>IFERROR(__xludf.DUMMYFUNCTION("""COMPUTED_VALUE"""),"2015-06-05-D09-SO-30")</f>
        <v>2015-06-05-D09-SO-30</v>
      </c>
    </row>
    <row r="2942">
      <c r="A2942" t="str">
        <f>IFERROR(__xludf.DUMMYFUNCTION("""COMPUTED_VALUE"""),"2015-06-05-D07-SO-1")</f>
        <v>2015-06-05-D07-SO-1</v>
      </c>
    </row>
    <row r="2943">
      <c r="A2943" t="str">
        <f>IFERROR(__xludf.DUMMYFUNCTION("""COMPUTED_VALUE"""),"2015-06-05-D07-SO-2")</f>
        <v>2015-06-05-D07-SO-2</v>
      </c>
    </row>
    <row r="2944">
      <c r="A2944" t="str">
        <f>IFERROR(__xludf.DUMMYFUNCTION("""COMPUTED_VALUE"""),"2015-06-05-D07-SO-3")</f>
        <v>2015-06-05-D07-SO-3</v>
      </c>
    </row>
    <row r="2945">
      <c r="A2945" t="str">
        <f>IFERROR(__xludf.DUMMYFUNCTION("""COMPUTED_VALUE"""),"2015-06-05-D07-SO-4")</f>
        <v>2015-06-05-D07-SO-4</v>
      </c>
    </row>
    <row r="2946">
      <c r="A2946" t="str">
        <f>IFERROR(__xludf.DUMMYFUNCTION("""COMPUTED_VALUE"""),"2015-06-05-D07-SO-5")</f>
        <v>2015-06-05-D07-SO-5</v>
      </c>
    </row>
    <row r="2947">
      <c r="A2947" t="str">
        <f>IFERROR(__xludf.DUMMYFUNCTION("""COMPUTED_VALUE"""),"2015-06-05-D07-SO-6")</f>
        <v>2015-06-05-D07-SO-6</v>
      </c>
    </row>
    <row r="2948">
      <c r="A2948" t="str">
        <f>IFERROR(__xludf.DUMMYFUNCTION("""COMPUTED_VALUE"""),"2015-06-05-D07-SO-7")</f>
        <v>2015-06-05-D07-SO-7</v>
      </c>
    </row>
    <row r="2949">
      <c r="A2949" t="str">
        <f>IFERROR(__xludf.DUMMYFUNCTION("""COMPUTED_VALUE"""),"2015-06-05-D07-SO-8")</f>
        <v>2015-06-05-D07-SO-8</v>
      </c>
    </row>
    <row r="2950">
      <c r="A2950" t="str">
        <f>IFERROR(__xludf.DUMMYFUNCTION("""COMPUTED_VALUE"""),"2015-06-05-D07-SO-9")</f>
        <v>2015-06-05-D07-SO-9</v>
      </c>
    </row>
    <row r="2951">
      <c r="A2951" t="str">
        <f>IFERROR(__xludf.DUMMYFUNCTION("""COMPUTED_VALUE"""),"2015-06-05-D07-SO-10")</f>
        <v>2015-06-05-D07-SO-10</v>
      </c>
    </row>
    <row r="2952">
      <c r="A2952" t="str">
        <f>IFERROR(__xludf.DUMMYFUNCTION("""COMPUTED_VALUE"""),"2015-06-05-D07-SO-11")</f>
        <v>2015-06-05-D07-SO-11</v>
      </c>
    </row>
    <row r="2953">
      <c r="A2953" t="str">
        <f>IFERROR(__xludf.DUMMYFUNCTION("""COMPUTED_VALUE"""),"2015-06-05-D07-SO-12")</f>
        <v>2015-06-05-D07-SO-12</v>
      </c>
    </row>
    <row r="2954">
      <c r="A2954" t="str">
        <f>IFERROR(__xludf.DUMMYFUNCTION("""COMPUTED_VALUE"""),"2015-06-05-D07-SO-13")</f>
        <v>2015-06-05-D07-SO-13</v>
      </c>
    </row>
    <row r="2955">
      <c r="A2955" t="str">
        <f>IFERROR(__xludf.DUMMYFUNCTION("""COMPUTED_VALUE"""),"2015-06-05-J10-SO-1")</f>
        <v>2015-06-05-J10-SO-1</v>
      </c>
    </row>
    <row r="2956">
      <c r="A2956" t="str">
        <f>IFERROR(__xludf.DUMMYFUNCTION("""COMPUTED_VALUE"""),"2015-06-05-J10-SO-2")</f>
        <v>2015-06-05-J10-SO-2</v>
      </c>
    </row>
    <row r="2957">
      <c r="A2957" t="str">
        <f>IFERROR(__xludf.DUMMYFUNCTION("""COMPUTED_VALUE"""),"2015-06-05-J10-SO-3")</f>
        <v>2015-06-05-J10-SO-3</v>
      </c>
    </row>
    <row r="2958">
      <c r="A2958" t="str">
        <f>IFERROR(__xludf.DUMMYFUNCTION("""COMPUTED_VALUE"""),"2015-06-05-J10-SO-4")</f>
        <v>2015-06-05-J10-SO-4</v>
      </c>
    </row>
    <row r="2959">
      <c r="A2959" t="str">
        <f>IFERROR(__xludf.DUMMYFUNCTION("""COMPUTED_VALUE"""),"2015-06-05-J10-SO-5")</f>
        <v>2015-06-05-J10-SO-5</v>
      </c>
    </row>
    <row r="2960">
      <c r="A2960" t="str">
        <f>IFERROR(__xludf.DUMMYFUNCTION("""COMPUTED_VALUE"""),"2015-06-05-J10-SO-6")</f>
        <v>2015-06-05-J10-SO-6</v>
      </c>
    </row>
    <row r="2961">
      <c r="A2961" t="str">
        <f>IFERROR(__xludf.DUMMYFUNCTION("""COMPUTED_VALUE"""),"2015-06-05-J10-SO-7")</f>
        <v>2015-06-05-J10-SO-7</v>
      </c>
    </row>
    <row r="2962">
      <c r="A2962" t="str">
        <f>IFERROR(__xludf.DUMMYFUNCTION("""COMPUTED_VALUE"""),"2015-06-05-J10-SO-8")</f>
        <v>2015-06-05-J10-SO-8</v>
      </c>
    </row>
    <row r="2963">
      <c r="A2963" t="str">
        <f>IFERROR(__xludf.DUMMYFUNCTION("""COMPUTED_VALUE"""),"2015-06-05-J10-SO-9")</f>
        <v>2015-06-05-J10-SO-9</v>
      </c>
    </row>
    <row r="2964">
      <c r="A2964" t="str">
        <f>IFERROR(__xludf.DUMMYFUNCTION("""COMPUTED_VALUE"""),"2015-06-05-J10-SO-10")</f>
        <v>2015-06-05-J10-SO-10</v>
      </c>
    </row>
    <row r="2965">
      <c r="A2965" t="str">
        <f>IFERROR(__xludf.DUMMYFUNCTION("""COMPUTED_VALUE"""),"2015-06-05-J10-SO-11")</f>
        <v>2015-06-05-J10-SO-11</v>
      </c>
    </row>
    <row r="2966">
      <c r="A2966" t="str">
        <f>IFERROR(__xludf.DUMMYFUNCTION("""COMPUTED_VALUE"""),"2015-06-05-J10-SO-12")</f>
        <v>2015-06-05-J10-SO-12</v>
      </c>
    </row>
    <row r="2967">
      <c r="A2967" t="str">
        <f>IFERROR(__xludf.DUMMYFUNCTION("""COMPUTED_VALUE"""),"2015-06-05-J10-SO-13")</f>
        <v>2015-06-05-J10-SO-13</v>
      </c>
    </row>
    <row r="2968">
      <c r="A2968" t="str">
        <f>IFERROR(__xludf.DUMMYFUNCTION("""COMPUTED_VALUE"""),"2015-06-05-J10-SO-14")</f>
        <v>2015-06-05-J10-SO-14</v>
      </c>
    </row>
    <row r="2969">
      <c r="A2969" t="str">
        <f>IFERROR(__xludf.DUMMYFUNCTION("""COMPUTED_VALUE"""),"2015-06-05-J10-SO-15")</f>
        <v>2015-06-05-J10-SO-15</v>
      </c>
    </row>
    <row r="2970">
      <c r="A2970" t="str">
        <f>IFERROR(__xludf.DUMMYFUNCTION("""COMPUTED_VALUE"""),"2015-06-05-J10-SO-16")</f>
        <v>2015-06-05-J10-SO-16</v>
      </c>
    </row>
    <row r="2971">
      <c r="A2971" t="str">
        <f>IFERROR(__xludf.DUMMYFUNCTION("""COMPUTED_VALUE"""),"2015-06-05-J10-SO-17")</f>
        <v>2015-06-05-J10-SO-17</v>
      </c>
    </row>
    <row r="2972">
      <c r="A2972" t="str">
        <f>IFERROR(__xludf.DUMMYFUNCTION("""COMPUTED_VALUE"""),"2015-06-05-J10-SO-18")</f>
        <v>2015-06-05-J10-SO-18</v>
      </c>
    </row>
    <row r="2973">
      <c r="A2973" t="str">
        <f>IFERROR(__xludf.DUMMYFUNCTION("""COMPUTED_VALUE"""),"2015-06-05-J10-SO-19")</f>
        <v>2015-06-05-J10-SO-19</v>
      </c>
    </row>
    <row r="2974">
      <c r="A2974" t="str">
        <f>IFERROR(__xludf.DUMMYFUNCTION("""COMPUTED_VALUE"""),"2015-06-05-J10-SO-20")</f>
        <v>2015-06-05-J10-SO-20</v>
      </c>
    </row>
    <row r="2975">
      <c r="A2975" t="str">
        <f>IFERROR(__xludf.DUMMYFUNCTION("""COMPUTED_VALUE"""),"2015-06-05-J10-SO-21")</f>
        <v>2015-06-05-J10-SO-21</v>
      </c>
    </row>
    <row r="2976">
      <c r="A2976" t="str">
        <f>IFERROR(__xludf.DUMMYFUNCTION("""COMPUTED_VALUE"""),"2015-06-05-J10-SO-22")</f>
        <v>2015-06-05-J10-SO-22</v>
      </c>
    </row>
    <row r="2977">
      <c r="A2977" t="str">
        <f>IFERROR(__xludf.DUMMYFUNCTION("""COMPUTED_VALUE"""),"2015-06-05-J10-SO-23")</f>
        <v>2015-06-05-J10-SO-23</v>
      </c>
    </row>
    <row r="2978">
      <c r="A2978" t="str">
        <f>IFERROR(__xludf.DUMMYFUNCTION("""COMPUTED_VALUE"""),"2015-06-05-J10-SO-24")</f>
        <v>2015-06-05-J10-SO-24</v>
      </c>
    </row>
    <row r="2979">
      <c r="A2979" t="str">
        <f>IFERROR(__xludf.DUMMYFUNCTION("""COMPUTED_VALUE"""),"2015-06-05-J10-SO-25")</f>
        <v>2015-06-05-J10-SO-25</v>
      </c>
    </row>
    <row r="2980">
      <c r="A2980" t="str">
        <f>IFERROR(__xludf.DUMMYFUNCTION("""COMPUTED_VALUE"""),"2015-06-05-J10-SO-26")</f>
        <v>2015-06-05-J10-SO-26</v>
      </c>
    </row>
    <row r="2981">
      <c r="A2981" t="str">
        <f>IFERROR(__xludf.DUMMYFUNCTION("""COMPUTED_VALUE"""),"2015-06-05-J10-SO-27")</f>
        <v>2015-06-05-J10-SO-27</v>
      </c>
    </row>
    <row r="2982">
      <c r="A2982" t="str">
        <f>IFERROR(__xludf.DUMMYFUNCTION("""COMPUTED_VALUE"""),"2015-06-05-J10-SO-28")</f>
        <v>2015-06-05-J10-SO-28</v>
      </c>
    </row>
    <row r="2983">
      <c r="A2983" t="str">
        <f>IFERROR(__xludf.DUMMYFUNCTION("""COMPUTED_VALUE"""),"2015-06-05-J10-SO-29")</f>
        <v>2015-06-05-J10-SO-29</v>
      </c>
    </row>
    <row r="2984">
      <c r="A2984" t="str">
        <f>IFERROR(__xludf.DUMMYFUNCTION("""COMPUTED_VALUE"""),"2015-06-05-J10-SO-30")</f>
        <v>2015-06-05-J10-SO-30</v>
      </c>
    </row>
    <row r="2985">
      <c r="A2985" t="str">
        <f>IFERROR(__xludf.DUMMYFUNCTION("""COMPUTED_VALUE"""),"2015-06-05-J01-SO-1")</f>
        <v>2015-06-05-J01-SO-1</v>
      </c>
    </row>
    <row r="2986">
      <c r="A2986" t="str">
        <f>IFERROR(__xludf.DUMMYFUNCTION("""COMPUTED_VALUE"""),"2015-06-05-J01-SO-2")</f>
        <v>2015-06-05-J01-SO-2</v>
      </c>
    </row>
    <row r="2987">
      <c r="A2987" t="str">
        <f>IFERROR(__xludf.DUMMYFUNCTION("""COMPUTED_VALUE"""),"2015-06-05-J01-SO-3")</f>
        <v>2015-06-05-J01-SO-3</v>
      </c>
    </row>
    <row r="2988">
      <c r="A2988" t="str">
        <f>IFERROR(__xludf.DUMMYFUNCTION("""COMPUTED_VALUE"""),"2015-06-05-J01-SO-4")</f>
        <v>2015-06-05-J01-SO-4</v>
      </c>
    </row>
    <row r="2989">
      <c r="A2989" t="str">
        <f>IFERROR(__xludf.DUMMYFUNCTION("""COMPUTED_VALUE"""),"2015-06-05-J01-SO-5")</f>
        <v>2015-06-05-J01-SO-5</v>
      </c>
    </row>
    <row r="2990">
      <c r="A2990" t="str">
        <f>IFERROR(__xludf.DUMMYFUNCTION("""COMPUTED_VALUE"""),"2015-06-05-J01-SO-6")</f>
        <v>2015-06-05-J01-SO-6</v>
      </c>
    </row>
    <row r="2991">
      <c r="A2991" t="str">
        <f>IFERROR(__xludf.DUMMYFUNCTION("""COMPUTED_VALUE"""),"2015-06-05-J01-SO-7")</f>
        <v>2015-06-05-J01-SO-7</v>
      </c>
    </row>
    <row r="2992">
      <c r="A2992" t="str">
        <f>IFERROR(__xludf.DUMMYFUNCTION("""COMPUTED_VALUE"""),"2015-06-05-J01-SO-8")</f>
        <v>2015-06-05-J01-SO-8</v>
      </c>
    </row>
    <row r="2993">
      <c r="A2993" t="str">
        <f>IFERROR(__xludf.DUMMYFUNCTION("""COMPUTED_VALUE"""),"2015-06-05-J01-SO-9")</f>
        <v>2015-06-05-J01-SO-9</v>
      </c>
    </row>
    <row r="2994">
      <c r="A2994" t="str">
        <f>IFERROR(__xludf.DUMMYFUNCTION("""COMPUTED_VALUE"""),"2015-06-05-J01-SO-10")</f>
        <v>2015-06-05-J01-SO-10</v>
      </c>
    </row>
    <row r="2995">
      <c r="A2995" t="str">
        <f>IFERROR(__xludf.DUMMYFUNCTION("""COMPUTED_VALUE"""),"2015-06-05-J01-SO-11")</f>
        <v>2015-06-05-J01-SO-11</v>
      </c>
    </row>
    <row r="2996">
      <c r="A2996" t="str">
        <f>IFERROR(__xludf.DUMMYFUNCTION("""COMPUTED_VALUE"""),"2015-06-05-J01-SO-12")</f>
        <v>2015-06-05-J01-SO-12</v>
      </c>
    </row>
    <row r="2997">
      <c r="A2997" t="str">
        <f>IFERROR(__xludf.DUMMYFUNCTION("""COMPUTED_VALUE"""),"2015-06-05-J01-SO-13")</f>
        <v>2015-06-05-J01-SO-13</v>
      </c>
    </row>
    <row r="2998">
      <c r="A2998" t="str">
        <f>IFERROR(__xludf.DUMMYFUNCTION("""COMPUTED_VALUE"""),"2015-06-05-J01-SO-14")</f>
        <v>2015-06-05-J01-SO-14</v>
      </c>
    </row>
    <row r="2999">
      <c r="A2999" t="str">
        <f>IFERROR(__xludf.DUMMYFUNCTION("""COMPUTED_VALUE"""),"2015-06-05-J01-SO-15")</f>
        <v>2015-06-05-J01-SO-15</v>
      </c>
    </row>
    <row r="3000">
      <c r="A3000" t="str">
        <f>IFERROR(__xludf.DUMMYFUNCTION("""COMPUTED_VALUE"""),"2015-06-05-J01-SO-16")</f>
        <v>2015-06-05-J01-SO-16</v>
      </c>
    </row>
    <row r="3001">
      <c r="A3001" t="str">
        <f>IFERROR(__xludf.DUMMYFUNCTION("""COMPUTED_VALUE"""),"2015-06-05-J01-SO-17")</f>
        <v>2015-06-05-J01-SO-17</v>
      </c>
    </row>
    <row r="3002">
      <c r="A3002" t="str">
        <f>IFERROR(__xludf.DUMMYFUNCTION("""COMPUTED_VALUE"""),"2015-06-05-J01-SO-18")</f>
        <v>2015-06-05-J01-SO-18</v>
      </c>
    </row>
    <row r="3003">
      <c r="A3003" t="str">
        <f>IFERROR(__xludf.DUMMYFUNCTION("""COMPUTED_VALUE"""),"2015-06-05-J01-SO-19")</f>
        <v>2015-06-05-J01-SO-19</v>
      </c>
    </row>
    <row r="3004">
      <c r="A3004" t="str">
        <f>IFERROR(__xludf.DUMMYFUNCTION("""COMPUTED_VALUE"""),"2015-06-05-J01-SO-20")</f>
        <v>2015-06-05-J01-SO-20</v>
      </c>
    </row>
    <row r="3005">
      <c r="A3005" t="str">
        <f>IFERROR(__xludf.DUMMYFUNCTION("""COMPUTED_VALUE"""),"2015-06-05-J01-SO-21")</f>
        <v>2015-06-05-J01-SO-21</v>
      </c>
    </row>
    <row r="3006">
      <c r="A3006" t="str">
        <f>IFERROR(__xludf.DUMMYFUNCTION("""COMPUTED_VALUE"""),"2015-06-05-J01-SO-22")</f>
        <v>2015-06-05-J01-SO-22</v>
      </c>
    </row>
    <row r="3007">
      <c r="A3007" t="str">
        <f>IFERROR(__xludf.DUMMYFUNCTION("""COMPUTED_VALUE"""),"2015-06-05-J01-SO-23")</f>
        <v>2015-06-05-J01-SO-23</v>
      </c>
    </row>
    <row r="3008">
      <c r="A3008" t="str">
        <f>IFERROR(__xludf.DUMMYFUNCTION("""COMPUTED_VALUE"""),"2015-06-05-J01-SO-24")</f>
        <v>2015-06-05-J01-SO-24</v>
      </c>
    </row>
    <row r="3009">
      <c r="A3009" t="str">
        <f>IFERROR(__xludf.DUMMYFUNCTION("""COMPUTED_VALUE"""),"2015-06-05-J01-SO-25")</f>
        <v>2015-06-05-J01-SO-25</v>
      </c>
    </row>
    <row r="3010">
      <c r="A3010" t="str">
        <f>IFERROR(__xludf.DUMMYFUNCTION("""COMPUTED_VALUE"""),"2015-06-05-J01-SO-26")</f>
        <v>2015-06-05-J01-SO-26</v>
      </c>
    </row>
    <row r="3011">
      <c r="A3011" t="str">
        <f>IFERROR(__xludf.DUMMYFUNCTION("""COMPUTED_VALUE"""),"2015-06-05-J01-SO-27")</f>
        <v>2015-06-05-J01-SO-27</v>
      </c>
    </row>
    <row r="3012">
      <c r="A3012" t="str">
        <f>IFERROR(__xludf.DUMMYFUNCTION("""COMPUTED_VALUE"""),"2015-06-05-J01-SO-28")</f>
        <v>2015-06-05-J01-SO-28</v>
      </c>
    </row>
    <row r="3013">
      <c r="A3013" t="str">
        <f>IFERROR(__xludf.DUMMYFUNCTION("""COMPUTED_VALUE"""),"2015-06-05-J01-SO-29")</f>
        <v>2015-06-05-J01-SO-29</v>
      </c>
    </row>
    <row r="3014">
      <c r="A3014" t="str">
        <f>IFERROR(__xludf.DUMMYFUNCTION("""COMPUTED_VALUE"""),"2015-06-05-J01-SO-30")</f>
        <v>2015-06-05-J01-SO-30</v>
      </c>
    </row>
    <row r="3015">
      <c r="A3015" t="str">
        <f>IFERROR(__xludf.DUMMYFUNCTION("""COMPUTED_VALUE"""),"2015-06-05-D10-PI-1")</f>
        <v>2015-06-05-D10-PI-1</v>
      </c>
    </row>
    <row r="3016">
      <c r="A3016" t="str">
        <f>IFERROR(__xludf.DUMMYFUNCTION("""COMPUTED_VALUE"""),"2015-06-05-D10-PI-2")</f>
        <v>2015-06-05-D10-PI-2</v>
      </c>
    </row>
    <row r="3017">
      <c r="A3017" t="str">
        <f>IFERROR(__xludf.DUMMYFUNCTION("""COMPUTED_VALUE"""),"2015-06-05-D10-PI-3")</f>
        <v>2015-06-05-D10-PI-3</v>
      </c>
    </row>
    <row r="3018">
      <c r="A3018" t="str">
        <f>IFERROR(__xludf.DUMMYFUNCTION("""COMPUTED_VALUE"""),"2015-06-05-J01-PI-1")</f>
        <v>2015-06-05-J01-PI-1</v>
      </c>
    </row>
    <row r="3019">
      <c r="A3019" t="str">
        <f>IFERROR(__xludf.DUMMYFUNCTION("""COMPUTED_VALUE"""),"2015-06-05-J01-PI-2")</f>
        <v>2015-06-05-J01-PI-2</v>
      </c>
    </row>
    <row r="3020">
      <c r="A3020" t="str">
        <f>IFERROR(__xludf.DUMMYFUNCTION("""COMPUTED_VALUE"""),"2015-06-05-J01-PI-3")</f>
        <v>2015-06-05-J01-PI-3</v>
      </c>
    </row>
    <row r="3021">
      <c r="A3021" t="str">
        <f>IFERROR(__xludf.DUMMYFUNCTION("""COMPUTED_VALUE"""),"2015-06-05-D10-CU-1")</f>
        <v>2015-06-05-D10-CU-1</v>
      </c>
    </row>
    <row r="3022">
      <c r="A3022" t="str">
        <f>IFERROR(__xludf.DUMMYFUNCTION("""COMPUTED_VALUE"""),"2015-06-05-D10-CU-2")</f>
        <v>2015-06-05-D10-CU-2</v>
      </c>
    </row>
    <row r="3023">
      <c r="A3023" t="str">
        <f>IFERROR(__xludf.DUMMYFUNCTION("""COMPUTED_VALUE"""),"2015-06-05-D10-CU-3")</f>
        <v>2015-06-05-D10-CU-3</v>
      </c>
    </row>
    <row r="3024">
      <c r="A3024" t="str">
        <f>IFERROR(__xludf.DUMMYFUNCTION("""COMPUTED_VALUE"""),"2015-06-05-D10-CU-4")</f>
        <v>2015-06-05-D10-CU-4</v>
      </c>
    </row>
    <row r="3025">
      <c r="A3025" t="str">
        <f>IFERROR(__xludf.DUMMYFUNCTION("""COMPUTED_VALUE"""),"2015-06-05-D10-CU-5")</f>
        <v>2015-06-05-D10-CU-5</v>
      </c>
    </row>
    <row r="3026">
      <c r="A3026" t="str">
        <f>IFERROR(__xludf.DUMMYFUNCTION("""COMPUTED_VALUE"""),"2015-06-05-D10-CU-6")</f>
        <v>2015-06-05-D10-CU-6</v>
      </c>
    </row>
    <row r="3027">
      <c r="A3027" t="str">
        <f>IFERROR(__xludf.DUMMYFUNCTION("""COMPUTED_VALUE"""),"2015-06-05-D10-CU-7")</f>
        <v>2015-06-05-D10-CU-7</v>
      </c>
    </row>
    <row r="3028">
      <c r="A3028" t="str">
        <f>IFERROR(__xludf.DUMMYFUNCTION("""COMPUTED_VALUE"""),"2015-06-05-D10-CU-8")</f>
        <v>2015-06-05-D10-CU-8</v>
      </c>
    </row>
    <row r="3029">
      <c r="A3029" t="str">
        <f>IFERROR(__xludf.DUMMYFUNCTION("""COMPUTED_VALUE"""),"2015-06-05-D10-CU-9")</f>
        <v>2015-06-05-D10-CU-9</v>
      </c>
    </row>
    <row r="3030">
      <c r="A3030" t="str">
        <f>IFERROR(__xludf.DUMMYFUNCTION("""COMPUTED_VALUE"""),"2015-06-05-D10-CU-10")</f>
        <v>2015-06-05-D10-CU-10</v>
      </c>
    </row>
    <row r="3031">
      <c r="A3031" t="str">
        <f>IFERROR(__xludf.DUMMYFUNCTION("""COMPUTED_VALUE"""),"2015-06-05-D09-CU-1")</f>
        <v>2015-06-05-D09-CU-1</v>
      </c>
    </row>
    <row r="3032">
      <c r="A3032" t="str">
        <f>IFERROR(__xludf.DUMMYFUNCTION("""COMPUTED_VALUE"""),"2015-06-05-D09-CU-2")</f>
        <v>2015-06-05-D09-CU-2</v>
      </c>
    </row>
    <row r="3033">
      <c r="A3033" t="str">
        <f>IFERROR(__xludf.DUMMYFUNCTION("""COMPUTED_VALUE"""),"2015-06-05-D09-CU-3")</f>
        <v>2015-06-05-D09-CU-3</v>
      </c>
    </row>
    <row r="3034">
      <c r="A3034" t="str">
        <f>IFERROR(__xludf.DUMMYFUNCTION("""COMPUTED_VALUE"""),"2015-06-05-D09-CU-4")</f>
        <v>2015-06-05-D09-CU-4</v>
      </c>
    </row>
    <row r="3035">
      <c r="A3035" t="str">
        <f>IFERROR(__xludf.DUMMYFUNCTION("""COMPUTED_VALUE"""),"2015-06-05-D09-CU-5")</f>
        <v>2015-06-05-D09-CU-5</v>
      </c>
    </row>
    <row r="3036">
      <c r="A3036" t="str">
        <f>IFERROR(__xludf.DUMMYFUNCTION("""COMPUTED_VALUE"""),"2015-06-05-D09-CU-6")</f>
        <v>2015-06-05-D09-CU-6</v>
      </c>
    </row>
    <row r="3037">
      <c r="A3037" t="str">
        <f>IFERROR(__xludf.DUMMYFUNCTION("""COMPUTED_VALUE"""),"2015-06-05-D09-CU-7")</f>
        <v>2015-06-05-D09-CU-7</v>
      </c>
    </row>
    <row r="3038">
      <c r="A3038" t="str">
        <f>IFERROR(__xludf.DUMMYFUNCTION("""COMPUTED_VALUE"""),"2015-06-05-D09-CU-8")</f>
        <v>2015-06-05-D09-CU-8</v>
      </c>
    </row>
    <row r="3039">
      <c r="A3039" t="str">
        <f>IFERROR(__xludf.DUMMYFUNCTION("""COMPUTED_VALUE"""),"2015-06-05-D09-CU-9")</f>
        <v>2015-06-05-D09-CU-9</v>
      </c>
    </row>
    <row r="3040">
      <c r="A3040" t="str">
        <f>IFERROR(__xludf.DUMMYFUNCTION("""COMPUTED_VALUE"""),"2015-06-05-D09-CU-10")</f>
        <v>2015-06-05-D09-CU-10</v>
      </c>
    </row>
    <row r="3041">
      <c r="A3041" t="str">
        <f>IFERROR(__xludf.DUMMYFUNCTION("""COMPUTED_VALUE"""),"2015-06-05-D07-CU-1")</f>
        <v>2015-06-05-D07-CU-1</v>
      </c>
    </row>
    <row r="3042">
      <c r="A3042" t="str">
        <f>IFERROR(__xludf.DUMMYFUNCTION("""COMPUTED_VALUE"""),"2015-06-05-D07-CU-2")</f>
        <v>2015-06-05-D07-CU-2</v>
      </c>
    </row>
    <row r="3043">
      <c r="A3043" t="str">
        <f>IFERROR(__xludf.DUMMYFUNCTION("""COMPUTED_VALUE"""),"2015-06-05-D07-CU-3")</f>
        <v>2015-06-05-D07-CU-3</v>
      </c>
    </row>
    <row r="3044">
      <c r="A3044" t="str">
        <f>IFERROR(__xludf.DUMMYFUNCTION("""COMPUTED_VALUE"""),"2015-06-05-D07-CU-4")</f>
        <v>2015-06-05-D07-CU-4</v>
      </c>
    </row>
    <row r="3045">
      <c r="A3045" t="str">
        <f>IFERROR(__xludf.DUMMYFUNCTION("""COMPUTED_VALUE"""),"2015-06-05-D07-CU-5")</f>
        <v>2015-06-05-D07-CU-5</v>
      </c>
    </row>
    <row r="3046">
      <c r="A3046" t="str">
        <f>IFERROR(__xludf.DUMMYFUNCTION("""COMPUTED_VALUE"""),"2015-06-05-D07-CU-6")</f>
        <v>2015-06-05-D07-CU-6</v>
      </c>
    </row>
    <row r="3047">
      <c r="A3047" t="str">
        <f>IFERROR(__xludf.DUMMYFUNCTION("""COMPUTED_VALUE"""),"2015-06-05-D07-CU-7")</f>
        <v>2015-06-05-D07-CU-7</v>
      </c>
    </row>
    <row r="3048">
      <c r="A3048" t="str">
        <f>IFERROR(__xludf.DUMMYFUNCTION("""COMPUTED_VALUE"""),"2015-06-05-D07-CU-8")</f>
        <v>2015-06-05-D07-CU-8</v>
      </c>
    </row>
    <row r="3049">
      <c r="A3049" t="str">
        <f>IFERROR(__xludf.DUMMYFUNCTION("""COMPUTED_VALUE"""),"2015-06-05-D07-CU-9")</f>
        <v>2015-06-05-D07-CU-9</v>
      </c>
    </row>
    <row r="3050">
      <c r="A3050" t="str">
        <f>IFERROR(__xludf.DUMMYFUNCTION("""COMPUTED_VALUE"""),"2015-06-05-D07-CU-10")</f>
        <v>2015-06-05-D07-CU-10</v>
      </c>
    </row>
    <row r="3051">
      <c r="A3051" t="str">
        <f>IFERROR(__xludf.DUMMYFUNCTION("""COMPUTED_VALUE"""),"2015-06-05-J10-CU-1")</f>
        <v>2015-06-05-J10-CU-1</v>
      </c>
    </row>
    <row r="3052">
      <c r="A3052" t="str">
        <f>IFERROR(__xludf.DUMMYFUNCTION("""COMPUTED_VALUE"""),"2015-06-05-J10-CU-2")</f>
        <v>2015-06-05-J10-CU-2</v>
      </c>
    </row>
    <row r="3053">
      <c r="A3053" t="str">
        <f>IFERROR(__xludf.DUMMYFUNCTION("""COMPUTED_VALUE"""),"2015-06-05-J10-CU-3")</f>
        <v>2015-06-05-J10-CU-3</v>
      </c>
    </row>
    <row r="3054">
      <c r="A3054" t="str">
        <f>IFERROR(__xludf.DUMMYFUNCTION("""COMPUTED_VALUE"""),"2015-06-05-J10-CU-4")</f>
        <v>2015-06-05-J10-CU-4</v>
      </c>
    </row>
    <row r="3055">
      <c r="A3055" t="str">
        <f>IFERROR(__xludf.DUMMYFUNCTION("""COMPUTED_VALUE"""),"2015-06-05-J10-CU-5")</f>
        <v>2015-06-05-J10-CU-5</v>
      </c>
    </row>
    <row r="3056">
      <c r="A3056" t="str">
        <f>IFERROR(__xludf.DUMMYFUNCTION("""COMPUTED_VALUE"""),"2015-06-05-J10-CU-6")</f>
        <v>2015-06-05-J10-CU-6</v>
      </c>
    </row>
    <row r="3057">
      <c r="A3057" t="str">
        <f>IFERROR(__xludf.DUMMYFUNCTION("""COMPUTED_VALUE"""),"2015-06-05-J10-CU-7")</f>
        <v>2015-06-05-J10-CU-7</v>
      </c>
    </row>
    <row r="3058">
      <c r="A3058" t="str">
        <f>IFERROR(__xludf.DUMMYFUNCTION("""COMPUTED_VALUE"""),"2015-06-05-J10-CU-8")</f>
        <v>2015-06-05-J10-CU-8</v>
      </c>
    </row>
    <row r="3059">
      <c r="A3059" t="str">
        <f>IFERROR(__xludf.DUMMYFUNCTION("""COMPUTED_VALUE"""),"2015-06-05-J10-CU-9")</f>
        <v>2015-06-05-J10-CU-9</v>
      </c>
    </row>
    <row r="3060">
      <c r="A3060" t="str">
        <f>IFERROR(__xludf.DUMMYFUNCTION("""COMPUTED_VALUE"""),"2015-06-05-J10-CU-10")</f>
        <v>2015-06-05-J10-CU-10</v>
      </c>
    </row>
    <row r="3061">
      <c r="A3061" t="str">
        <f>IFERROR(__xludf.DUMMYFUNCTION("""COMPUTED_VALUE"""),"2015-06-05-J01-CU-1")</f>
        <v>2015-06-05-J01-CU-1</v>
      </c>
    </row>
    <row r="3062">
      <c r="A3062" t="str">
        <f>IFERROR(__xludf.DUMMYFUNCTION("""COMPUTED_VALUE"""),"2015-06-05-J01-CU-2")</f>
        <v>2015-06-05-J01-CU-2</v>
      </c>
    </row>
    <row r="3063">
      <c r="A3063" t="str">
        <f>IFERROR(__xludf.DUMMYFUNCTION("""COMPUTED_VALUE"""),"2015-06-05-J01-CU-3")</f>
        <v>2015-06-05-J01-CU-3</v>
      </c>
    </row>
    <row r="3064">
      <c r="A3064" t="str">
        <f>IFERROR(__xludf.DUMMYFUNCTION("""COMPUTED_VALUE"""),"2015-06-05-J01-CU-4")</f>
        <v>2015-06-05-J01-CU-4</v>
      </c>
    </row>
    <row r="3065">
      <c r="A3065" t="str">
        <f>IFERROR(__xludf.DUMMYFUNCTION("""COMPUTED_VALUE"""),"2015-06-05-J01-CU-5")</f>
        <v>2015-06-05-J01-CU-5</v>
      </c>
    </row>
    <row r="3066">
      <c r="A3066" t="str">
        <f>IFERROR(__xludf.DUMMYFUNCTION("""COMPUTED_VALUE"""),"2015-06-05-J01-CU-6")</f>
        <v>2015-06-05-J01-CU-6</v>
      </c>
    </row>
    <row r="3067">
      <c r="A3067" t="str">
        <f>IFERROR(__xludf.DUMMYFUNCTION("""COMPUTED_VALUE"""),"2015-06-05-J01-CU-7")</f>
        <v>2015-06-05-J01-CU-7</v>
      </c>
    </row>
    <row r="3068">
      <c r="A3068" t="str">
        <f>IFERROR(__xludf.DUMMYFUNCTION("""COMPUTED_VALUE"""),"2015-06-05-J01-CU-8")</f>
        <v>2015-06-05-J01-CU-8</v>
      </c>
    </row>
    <row r="3069">
      <c r="A3069" t="str">
        <f>IFERROR(__xludf.DUMMYFUNCTION("""COMPUTED_VALUE"""),"2015-06-05-J01-CU-9")</f>
        <v>2015-06-05-J01-CU-9</v>
      </c>
    </row>
    <row r="3070">
      <c r="A3070" t="str">
        <f>IFERROR(__xludf.DUMMYFUNCTION("""COMPUTED_VALUE"""),"2015-06-05-J01-CU-10")</f>
        <v>2015-06-05-J01-CU-10</v>
      </c>
    </row>
    <row r="3071">
      <c r="A3071" t="str">
        <f>IFERROR(__xludf.DUMMYFUNCTION("""COMPUTED_VALUE"""),"2015-06-05-D09-CO-1")</f>
        <v>2015-06-05-D09-CO-1</v>
      </c>
    </row>
    <row r="3072">
      <c r="A3072" t="str">
        <f>IFERROR(__xludf.DUMMYFUNCTION("""COMPUTED_VALUE"""),"2015-06-05-J10-CO-1")</f>
        <v>2015-06-05-J10-CO-1</v>
      </c>
    </row>
    <row r="3073">
      <c r="A3073" t="str">
        <f>IFERROR(__xludf.DUMMYFUNCTION("""COMPUTED_VALUE"""),"2015-06-05-J01-CO-1")</f>
        <v>2015-06-05-J01-CO-1</v>
      </c>
    </row>
    <row r="3074">
      <c r="A3074" t="str">
        <f>IFERROR(__xludf.DUMMYFUNCTION("""COMPUTED_VALUE"""),"2015-06-05-J01-CO-2")</f>
        <v>2015-06-05-J01-CO-2</v>
      </c>
    </row>
    <row r="3075">
      <c r="A3075" t="str">
        <f>IFERROR(__xludf.DUMMYFUNCTION("""COMPUTED_VALUE"""),"2015-06-05-J01-CO-3")</f>
        <v>2015-06-05-J01-CO-3</v>
      </c>
    </row>
    <row r="3076">
      <c r="A3076" t="str">
        <f>IFERROR(__xludf.DUMMYFUNCTION("""COMPUTED_VALUE"""),"2015-06-05-D10-HE-1")</f>
        <v>2015-06-05-D10-HE-1</v>
      </c>
    </row>
    <row r="3077">
      <c r="A3077" t="str">
        <f>IFERROR(__xludf.DUMMYFUNCTION("""COMPUTED_VALUE"""),"2015-06-05-D09-HE-1")</f>
        <v>2015-06-05-D09-HE-1</v>
      </c>
    </row>
    <row r="3078">
      <c r="A3078" t="str">
        <f>IFERROR(__xludf.DUMMYFUNCTION("""COMPUTED_VALUE"""),"2015-06-05-J01-HE-1")</f>
        <v>2015-06-05-J01-HE-1</v>
      </c>
    </row>
    <row r="3079">
      <c r="A3079" t="str">
        <f>IFERROR(__xludf.DUMMYFUNCTION("""COMPUTED_VALUE"""),"2015-06-05-J01-HE-2")</f>
        <v>2015-06-05-J01-HE-2</v>
      </c>
    </row>
    <row r="3080">
      <c r="A3080" t="str">
        <f>IFERROR(__xludf.DUMMYFUNCTION("""COMPUTED_VALUE"""),"2015-06-06-J07-SO-1")</f>
        <v>2015-06-06-J07-SO-1</v>
      </c>
    </row>
    <row r="3081">
      <c r="A3081" t="str">
        <f>IFERROR(__xludf.DUMMYFUNCTION("""COMPUTED_VALUE"""),"2015-06-06-J07-SO-2")</f>
        <v>2015-06-06-J07-SO-2</v>
      </c>
    </row>
    <row r="3082">
      <c r="A3082" t="str">
        <f>IFERROR(__xludf.DUMMYFUNCTION("""COMPUTED_VALUE"""),"2015-06-06-J07-SO-3")</f>
        <v>2015-06-06-J07-SO-3</v>
      </c>
    </row>
    <row r="3083">
      <c r="A3083" t="str">
        <f>IFERROR(__xludf.DUMMYFUNCTION("""COMPUTED_VALUE"""),"2015-06-06-J07-SO-4")</f>
        <v>2015-06-06-J07-SO-4</v>
      </c>
    </row>
    <row r="3084">
      <c r="A3084" t="str">
        <f>IFERROR(__xludf.DUMMYFUNCTION("""COMPUTED_VALUE"""),"2015-06-06-J07-SO-5")</f>
        <v>2015-06-06-J07-SO-5</v>
      </c>
    </row>
    <row r="3085">
      <c r="A3085" t="str">
        <f>IFERROR(__xludf.DUMMYFUNCTION("""COMPUTED_VALUE"""),"2015-06-06-J07-SO-6")</f>
        <v>2015-06-06-J07-SO-6</v>
      </c>
    </row>
    <row r="3086">
      <c r="A3086" t="str">
        <f>IFERROR(__xludf.DUMMYFUNCTION("""COMPUTED_VALUE"""),"2015-06-06-J07-SO-7")</f>
        <v>2015-06-06-J07-SO-7</v>
      </c>
    </row>
    <row r="3087">
      <c r="A3087" t="str">
        <f>IFERROR(__xludf.DUMMYFUNCTION("""COMPUTED_VALUE"""),"2015-06-06-J07-SO-8")</f>
        <v>2015-06-06-J07-SO-8</v>
      </c>
    </row>
    <row r="3088">
      <c r="A3088" t="str">
        <f>IFERROR(__xludf.DUMMYFUNCTION("""COMPUTED_VALUE"""),"2015-06-06-J07-SO-9")</f>
        <v>2015-06-06-J07-SO-9</v>
      </c>
    </row>
    <row r="3089">
      <c r="A3089" t="str">
        <f>IFERROR(__xludf.DUMMYFUNCTION("""COMPUTED_VALUE"""),"2015-06-06-J07-SO-10")</f>
        <v>2015-06-06-J07-SO-10</v>
      </c>
    </row>
    <row r="3090">
      <c r="A3090" t="str">
        <f>IFERROR(__xludf.DUMMYFUNCTION("""COMPUTED_VALUE"""),"2015-06-06-J07-SO-11")</f>
        <v>2015-06-06-J07-SO-11</v>
      </c>
    </row>
    <row r="3091">
      <c r="A3091" t="str">
        <f>IFERROR(__xludf.DUMMYFUNCTION("""COMPUTED_VALUE"""),"2015-06-06-J07-SO-12")</f>
        <v>2015-06-06-J07-SO-12</v>
      </c>
    </row>
    <row r="3092">
      <c r="A3092" t="str">
        <f>IFERROR(__xludf.DUMMYFUNCTION("""COMPUTED_VALUE"""),"2015-06-06-J07-SO-13")</f>
        <v>2015-06-06-J07-SO-13</v>
      </c>
    </row>
    <row r="3093">
      <c r="A3093" t="str">
        <f>IFERROR(__xludf.DUMMYFUNCTION("""COMPUTED_VALUE"""),"2015-06-06-J07-SO-14")</f>
        <v>2015-06-06-J07-SO-14</v>
      </c>
    </row>
    <row r="3094">
      <c r="A3094" t="str">
        <f>IFERROR(__xludf.DUMMYFUNCTION("""COMPUTED_VALUE"""),"2015-06-06-J07-SO-15")</f>
        <v>2015-06-06-J07-SO-15</v>
      </c>
    </row>
    <row r="3095">
      <c r="A3095" t="str">
        <f>IFERROR(__xludf.DUMMYFUNCTION("""COMPUTED_VALUE"""),"2015-06-06-J07-SO-16")</f>
        <v>2015-06-06-J07-SO-16</v>
      </c>
    </row>
    <row r="3096">
      <c r="A3096" t="str">
        <f>IFERROR(__xludf.DUMMYFUNCTION("""COMPUTED_VALUE"""),"2015-06-06-J07-SO-17")</f>
        <v>2015-06-06-J07-SO-17</v>
      </c>
    </row>
    <row r="3097">
      <c r="A3097" t="str">
        <f>IFERROR(__xludf.DUMMYFUNCTION("""COMPUTED_VALUE"""),"2015-06-06-J07-SO-18")</f>
        <v>2015-06-06-J07-SO-18</v>
      </c>
    </row>
    <row r="3098">
      <c r="A3098" t="str">
        <f>IFERROR(__xludf.DUMMYFUNCTION("""COMPUTED_VALUE"""),"2015-06-06-J07-SO-19")</f>
        <v>2015-06-06-J07-SO-19</v>
      </c>
    </row>
    <row r="3099">
      <c r="A3099" t="str">
        <f>IFERROR(__xludf.DUMMYFUNCTION("""COMPUTED_VALUE"""),"2015-06-06-J07-SO-20")</f>
        <v>2015-06-06-J07-SO-20</v>
      </c>
    </row>
    <row r="3100">
      <c r="A3100" t="str">
        <f>IFERROR(__xludf.DUMMYFUNCTION("""COMPUTED_VALUE"""),"2015-06-06-J07-SO-21")</f>
        <v>2015-06-06-J07-SO-21</v>
      </c>
    </row>
    <row r="3101">
      <c r="A3101" t="str">
        <f>IFERROR(__xludf.DUMMYFUNCTION("""COMPUTED_VALUE"""),"2015-06-06-J07-SO-22")</f>
        <v>2015-06-06-J07-SO-22</v>
      </c>
    </row>
    <row r="3102">
      <c r="A3102" t="str">
        <f>IFERROR(__xludf.DUMMYFUNCTION("""COMPUTED_VALUE"""),"2015-06-06-J07-SO-23")</f>
        <v>2015-06-06-J07-SO-23</v>
      </c>
    </row>
    <row r="3103">
      <c r="A3103" t="str">
        <f>IFERROR(__xludf.DUMMYFUNCTION("""COMPUTED_VALUE"""),"2015-06-06-J07-SO-24")</f>
        <v>2015-06-06-J07-SO-24</v>
      </c>
    </row>
    <row r="3104">
      <c r="A3104" t="str">
        <f>IFERROR(__xludf.DUMMYFUNCTION("""COMPUTED_VALUE"""),"2015-06-06-J07-SO-25")</f>
        <v>2015-06-06-J07-SO-25</v>
      </c>
    </row>
    <row r="3105">
      <c r="A3105" t="str">
        <f>IFERROR(__xludf.DUMMYFUNCTION("""COMPUTED_VALUE"""),"2015-06-06-J07-SO-26")</f>
        <v>2015-06-06-J07-SO-26</v>
      </c>
    </row>
    <row r="3106">
      <c r="A3106" t="str">
        <f>IFERROR(__xludf.DUMMYFUNCTION("""COMPUTED_VALUE"""),"2015-06-06-J07-SO-27")</f>
        <v>2015-06-06-J07-SO-27</v>
      </c>
    </row>
    <row r="3107">
      <c r="A3107" t="str">
        <f>IFERROR(__xludf.DUMMYFUNCTION("""COMPUTED_VALUE"""),"2015-06-06-J07-SO-28")</f>
        <v>2015-06-06-J07-SO-28</v>
      </c>
    </row>
    <row r="3108">
      <c r="A3108" t="str">
        <f>IFERROR(__xludf.DUMMYFUNCTION("""COMPUTED_VALUE"""),"2015-06-06-J07-SO-29")</f>
        <v>2015-06-06-J07-SO-29</v>
      </c>
    </row>
    <row r="3109">
      <c r="A3109" t="str">
        <f>IFERROR(__xludf.DUMMYFUNCTION("""COMPUTED_VALUE"""),"2015-06-06-J07-SO-30")</f>
        <v>2015-06-06-J07-SO-30</v>
      </c>
    </row>
    <row r="3110">
      <c r="A3110" t="str">
        <f>IFERROR(__xludf.DUMMYFUNCTION("""COMPUTED_VALUE"""),"2015-06-06-J07-PI-1")</f>
        <v>2015-06-06-J07-PI-1</v>
      </c>
    </row>
    <row r="3111">
      <c r="A3111" t="str">
        <f>IFERROR(__xludf.DUMMYFUNCTION("""COMPUTED_VALUE"""),"2015-06-06-J07-PI-2")</f>
        <v>2015-06-06-J07-PI-2</v>
      </c>
    </row>
    <row r="3112">
      <c r="A3112" t="str">
        <f>IFERROR(__xludf.DUMMYFUNCTION("""COMPUTED_VALUE"""),"2015-06-06-J07-PI-3")</f>
        <v>2015-06-06-J07-PI-3</v>
      </c>
    </row>
    <row r="3113">
      <c r="A3113" t="str">
        <f>IFERROR(__xludf.DUMMYFUNCTION("""COMPUTED_VALUE"""),"2015-06-06-J07-CU-1")</f>
        <v>2015-06-06-J07-CU-1</v>
      </c>
    </row>
    <row r="3114">
      <c r="A3114" t="str">
        <f>IFERROR(__xludf.DUMMYFUNCTION("""COMPUTED_VALUE"""),"2015-06-06-J07-CU-2")</f>
        <v>2015-06-06-J07-CU-2</v>
      </c>
    </row>
    <row r="3115">
      <c r="A3115" t="str">
        <f>IFERROR(__xludf.DUMMYFUNCTION("""COMPUTED_VALUE"""),"2015-06-06-J07-CU-3")</f>
        <v>2015-06-06-J07-CU-3</v>
      </c>
    </row>
    <row r="3116">
      <c r="A3116" t="str">
        <f>IFERROR(__xludf.DUMMYFUNCTION("""COMPUTED_VALUE"""),"2015-06-06-J07-CU-4")</f>
        <v>2015-06-06-J07-CU-4</v>
      </c>
    </row>
    <row r="3117">
      <c r="A3117" t="str">
        <f>IFERROR(__xludf.DUMMYFUNCTION("""COMPUTED_VALUE"""),"2015-06-06-J07-CU-5")</f>
        <v>2015-06-06-J07-CU-5</v>
      </c>
    </row>
    <row r="3118">
      <c r="A3118" t="str">
        <f>IFERROR(__xludf.DUMMYFUNCTION("""COMPUTED_VALUE"""),"2015-06-06-J07-CU-6")</f>
        <v>2015-06-06-J07-CU-6</v>
      </c>
    </row>
    <row r="3119">
      <c r="A3119" t="str">
        <f>IFERROR(__xludf.DUMMYFUNCTION("""COMPUTED_VALUE"""),"2015-06-06-J07-CU-7")</f>
        <v>2015-06-06-J07-CU-7</v>
      </c>
    </row>
    <row r="3120">
      <c r="A3120" t="str">
        <f>IFERROR(__xludf.DUMMYFUNCTION("""COMPUTED_VALUE"""),"2015-06-06-J07-CU-8")</f>
        <v>2015-06-06-J07-CU-8</v>
      </c>
    </row>
    <row r="3121">
      <c r="A3121" t="str">
        <f>IFERROR(__xludf.DUMMYFUNCTION("""COMPUTED_VALUE"""),"2015-06-06-J07-CU-9")</f>
        <v>2015-06-06-J07-CU-9</v>
      </c>
    </row>
    <row r="3122">
      <c r="A3122" t="str">
        <f>IFERROR(__xludf.DUMMYFUNCTION("""COMPUTED_VALUE"""),"2015-06-06-J07-CU-10")</f>
        <v>2015-06-06-J07-CU-10</v>
      </c>
    </row>
    <row r="3123">
      <c r="A3123" t="str">
        <f>IFERROR(__xludf.DUMMYFUNCTION("""COMPUTED_VALUE"""),"2015-06-07-D09-SO-1")</f>
        <v>2015-06-07-D09-SO-1</v>
      </c>
    </row>
    <row r="3124">
      <c r="A3124" t="str">
        <f>IFERROR(__xludf.DUMMYFUNCTION("""COMPUTED_VALUE"""),"2015-06-07-D09-SO-2")</f>
        <v>2015-06-07-D09-SO-2</v>
      </c>
    </row>
    <row r="3125">
      <c r="A3125" t="str">
        <f>IFERROR(__xludf.DUMMYFUNCTION("""COMPUTED_VALUE"""),"2015-06-07-D09-SO-3")</f>
        <v>2015-06-07-D09-SO-3</v>
      </c>
    </row>
    <row r="3126">
      <c r="A3126" t="str">
        <f>IFERROR(__xludf.DUMMYFUNCTION("""COMPUTED_VALUE"""),"2015-06-07-D09-SO-4")</f>
        <v>2015-06-07-D09-SO-4</v>
      </c>
    </row>
    <row r="3127">
      <c r="A3127" t="str">
        <f>IFERROR(__xludf.DUMMYFUNCTION("""COMPUTED_VALUE"""),"2015-06-07-D09-SO-5")</f>
        <v>2015-06-07-D09-SO-5</v>
      </c>
    </row>
    <row r="3128">
      <c r="A3128" t="str">
        <f>IFERROR(__xludf.DUMMYFUNCTION("""COMPUTED_VALUE"""),"2015-06-07-D09-SO-6")</f>
        <v>2015-06-07-D09-SO-6</v>
      </c>
    </row>
    <row r="3129">
      <c r="A3129" t="str">
        <f>IFERROR(__xludf.DUMMYFUNCTION("""COMPUTED_VALUE"""),"2015-06-07-D09-SO-7")</f>
        <v>2015-06-07-D09-SO-7</v>
      </c>
    </row>
    <row r="3130">
      <c r="A3130" t="str">
        <f>IFERROR(__xludf.DUMMYFUNCTION("""COMPUTED_VALUE"""),"2015-06-07-D09-SO-8")</f>
        <v>2015-06-07-D09-SO-8</v>
      </c>
    </row>
    <row r="3131">
      <c r="A3131" t="str">
        <f>IFERROR(__xludf.DUMMYFUNCTION("""COMPUTED_VALUE"""),"2015-06-07-D09-SO-9")</f>
        <v>2015-06-07-D09-SO-9</v>
      </c>
    </row>
    <row r="3132">
      <c r="A3132" t="str">
        <f>IFERROR(__xludf.DUMMYFUNCTION("""COMPUTED_VALUE"""),"2015-06-07-D09-SO-10")</f>
        <v>2015-06-07-D09-SO-10</v>
      </c>
    </row>
    <row r="3133">
      <c r="A3133" t="str">
        <f>IFERROR(__xludf.DUMMYFUNCTION("""COMPUTED_VALUE"""),"2015-06-07-D09-SO-11")</f>
        <v>2015-06-07-D09-SO-11</v>
      </c>
    </row>
    <row r="3134">
      <c r="A3134" t="str">
        <f>IFERROR(__xludf.DUMMYFUNCTION("""COMPUTED_VALUE"""),"2015-06-07-D09-SO-12")</f>
        <v>2015-06-07-D09-SO-12</v>
      </c>
    </row>
    <row r="3135">
      <c r="A3135" t="str">
        <f>IFERROR(__xludf.DUMMYFUNCTION("""COMPUTED_VALUE"""),"2015-06-07-D09-SO-13")</f>
        <v>2015-06-07-D09-SO-13</v>
      </c>
    </row>
    <row r="3136">
      <c r="A3136" t="str">
        <f>IFERROR(__xludf.DUMMYFUNCTION("""COMPUTED_VALUE"""),"2015-06-07-D09-SO-14")</f>
        <v>2015-06-07-D09-SO-14</v>
      </c>
    </row>
    <row r="3137">
      <c r="A3137" t="str">
        <f>IFERROR(__xludf.DUMMYFUNCTION("""COMPUTED_VALUE"""),"2015-06-07-D09-SO-15")</f>
        <v>2015-06-07-D09-SO-15</v>
      </c>
    </row>
    <row r="3138">
      <c r="A3138" t="str">
        <f>IFERROR(__xludf.DUMMYFUNCTION("""COMPUTED_VALUE"""),"2015-06-07-D09-SO-16")</f>
        <v>2015-06-07-D09-SO-16</v>
      </c>
    </row>
    <row r="3139">
      <c r="A3139" t="str">
        <f>IFERROR(__xludf.DUMMYFUNCTION("""COMPUTED_VALUE"""),"2015-06-07-D09-SO-17")</f>
        <v>2015-06-07-D09-SO-17</v>
      </c>
    </row>
    <row r="3140">
      <c r="A3140" t="str">
        <f>IFERROR(__xludf.DUMMYFUNCTION("""COMPUTED_VALUE"""),"2015-06-07-D09-SO-18")</f>
        <v>2015-06-07-D09-SO-18</v>
      </c>
    </row>
    <row r="3141">
      <c r="A3141" t="str">
        <f>IFERROR(__xludf.DUMMYFUNCTION("""COMPUTED_VALUE"""),"2015-06-07-D09-SO-19")</f>
        <v>2015-06-07-D09-SO-19</v>
      </c>
    </row>
    <row r="3142">
      <c r="A3142" t="str">
        <f>IFERROR(__xludf.DUMMYFUNCTION("""COMPUTED_VALUE"""),"2015-06-07-D09-SO-20")</f>
        <v>2015-06-07-D09-SO-20</v>
      </c>
    </row>
    <row r="3143">
      <c r="A3143" t="str">
        <f>IFERROR(__xludf.DUMMYFUNCTION("""COMPUTED_VALUE"""),"2015-06-07-D09-SO-21")</f>
        <v>2015-06-07-D09-SO-21</v>
      </c>
    </row>
    <row r="3144">
      <c r="A3144" t="str">
        <f>IFERROR(__xludf.DUMMYFUNCTION("""COMPUTED_VALUE"""),"2015-06-07-D09-SO-22")</f>
        <v>2015-06-07-D09-SO-22</v>
      </c>
    </row>
    <row r="3145">
      <c r="A3145" t="str">
        <f>IFERROR(__xludf.DUMMYFUNCTION("""COMPUTED_VALUE"""),"2015-06-07-D09-SO-23")</f>
        <v>2015-06-07-D09-SO-23</v>
      </c>
    </row>
    <row r="3146">
      <c r="A3146" t="str">
        <f>IFERROR(__xludf.DUMMYFUNCTION("""COMPUTED_VALUE"""),"2015-06-07-D09-SO-24")</f>
        <v>2015-06-07-D09-SO-24</v>
      </c>
    </row>
    <row r="3147">
      <c r="A3147" t="str">
        <f>IFERROR(__xludf.DUMMYFUNCTION("""COMPUTED_VALUE"""),"2015-06-07-D09-SO-25")</f>
        <v>2015-06-07-D09-SO-25</v>
      </c>
    </row>
    <row r="3148">
      <c r="A3148" t="str">
        <f>IFERROR(__xludf.DUMMYFUNCTION("""COMPUTED_VALUE"""),"2015-06-07-D09-SO-26")</f>
        <v>2015-06-07-D09-SO-26</v>
      </c>
    </row>
    <row r="3149">
      <c r="A3149" t="str">
        <f>IFERROR(__xludf.DUMMYFUNCTION("""COMPUTED_VALUE"""),"2015-06-07-D09-SO-27")</f>
        <v>2015-06-07-D09-SO-27</v>
      </c>
    </row>
    <row r="3150">
      <c r="A3150" t="str">
        <f>IFERROR(__xludf.DUMMYFUNCTION("""COMPUTED_VALUE"""),"2015-06-07-D09-SO-28")</f>
        <v>2015-06-07-D09-SO-28</v>
      </c>
    </row>
    <row r="3151">
      <c r="A3151" t="str">
        <f>IFERROR(__xludf.DUMMYFUNCTION("""COMPUTED_VALUE"""),"2015-06-07-D09-SO-29")</f>
        <v>2015-06-07-D09-SO-29</v>
      </c>
    </row>
    <row r="3152">
      <c r="A3152" t="str">
        <f>IFERROR(__xludf.DUMMYFUNCTION("""COMPUTED_VALUE"""),"2015-06-07-D09-SO-30")</f>
        <v>2015-06-07-D09-SO-30</v>
      </c>
    </row>
    <row r="3153">
      <c r="A3153" t="str">
        <f>IFERROR(__xludf.DUMMYFUNCTION("""COMPUTED_VALUE"""),"2015-06-07-D07-SO-1")</f>
        <v>2015-06-07-D07-SO-1</v>
      </c>
    </row>
    <row r="3154">
      <c r="A3154" t="str">
        <f>IFERROR(__xludf.DUMMYFUNCTION("""COMPUTED_VALUE"""),"2015-06-07-D07-SO-2")</f>
        <v>2015-06-07-D07-SO-2</v>
      </c>
    </row>
    <row r="3155">
      <c r="A3155" t="str">
        <f>IFERROR(__xludf.DUMMYFUNCTION("""COMPUTED_VALUE"""),"2015-06-07-D07-SO-3")</f>
        <v>2015-06-07-D07-SO-3</v>
      </c>
    </row>
    <row r="3156">
      <c r="A3156" t="str">
        <f>IFERROR(__xludf.DUMMYFUNCTION("""COMPUTED_VALUE"""),"2015-06-07-D07-SO-4")</f>
        <v>2015-06-07-D07-SO-4</v>
      </c>
    </row>
    <row r="3157">
      <c r="A3157" t="str">
        <f>IFERROR(__xludf.DUMMYFUNCTION("""COMPUTED_VALUE"""),"2015-06-07-D07-SO-5")</f>
        <v>2015-06-07-D07-SO-5</v>
      </c>
    </row>
    <row r="3158">
      <c r="A3158" t="str">
        <f>IFERROR(__xludf.DUMMYFUNCTION("""COMPUTED_VALUE"""),"2015-06-07-D07-SO-6")</f>
        <v>2015-06-07-D07-SO-6</v>
      </c>
    </row>
    <row r="3159">
      <c r="A3159" t="str">
        <f>IFERROR(__xludf.DUMMYFUNCTION("""COMPUTED_VALUE"""),"2015-06-07-D07-SO-7")</f>
        <v>2015-06-07-D07-SO-7</v>
      </c>
    </row>
    <row r="3160">
      <c r="A3160" t="str">
        <f>IFERROR(__xludf.DUMMYFUNCTION("""COMPUTED_VALUE"""),"2015-06-07-D07-SO-8")</f>
        <v>2015-06-07-D07-SO-8</v>
      </c>
    </row>
    <row r="3161">
      <c r="A3161" t="str">
        <f>IFERROR(__xludf.DUMMYFUNCTION("""COMPUTED_VALUE"""),"2015-06-07-D07-SO-9")</f>
        <v>2015-06-07-D07-SO-9</v>
      </c>
    </row>
    <row r="3162">
      <c r="A3162" t="str">
        <f>IFERROR(__xludf.DUMMYFUNCTION("""COMPUTED_VALUE"""),"2015-06-07-D07-SO-10")</f>
        <v>2015-06-07-D07-SO-10</v>
      </c>
    </row>
    <row r="3163">
      <c r="A3163" t="str">
        <f>IFERROR(__xludf.DUMMYFUNCTION("""COMPUTED_VALUE"""),"2015-06-07-D07-SO-11")</f>
        <v>2015-06-07-D07-SO-11</v>
      </c>
    </row>
    <row r="3164">
      <c r="A3164" t="str">
        <f>IFERROR(__xludf.DUMMYFUNCTION("""COMPUTED_VALUE"""),"2015-06-07-D07-SO-12")</f>
        <v>2015-06-07-D07-SO-12</v>
      </c>
    </row>
    <row r="3165">
      <c r="A3165" t="str">
        <f>IFERROR(__xludf.DUMMYFUNCTION("""COMPUTED_VALUE"""),"2015-06-07-D07-SO-13")</f>
        <v>2015-06-07-D07-SO-13</v>
      </c>
    </row>
    <row r="3166">
      <c r="A3166" t="str">
        <f>IFERROR(__xludf.DUMMYFUNCTION("""COMPUTED_VALUE"""),"2015-06-07-D07-SO-14")</f>
        <v>2015-06-07-D07-SO-14</v>
      </c>
    </row>
    <row r="3167">
      <c r="A3167" t="str">
        <f>IFERROR(__xludf.DUMMYFUNCTION("""COMPUTED_VALUE"""),"2015-06-07-D07-SO-15")</f>
        <v>2015-06-07-D07-SO-15</v>
      </c>
    </row>
    <row r="3168">
      <c r="A3168" t="str">
        <f>IFERROR(__xludf.DUMMYFUNCTION("""COMPUTED_VALUE"""),"2015-06-07-D07-SO-16")</f>
        <v>2015-06-07-D07-SO-16</v>
      </c>
    </row>
    <row r="3169">
      <c r="A3169" t="str">
        <f>IFERROR(__xludf.DUMMYFUNCTION("""COMPUTED_VALUE"""),"2015-06-07-D07-SO-17")</f>
        <v>2015-06-07-D07-SO-17</v>
      </c>
    </row>
    <row r="3170">
      <c r="A3170" t="str">
        <f>IFERROR(__xludf.DUMMYFUNCTION("""COMPUTED_VALUE"""),"2015-06-07-D07-SO-18")</f>
        <v>2015-06-07-D07-SO-18</v>
      </c>
    </row>
    <row r="3171">
      <c r="A3171" t="str">
        <f>IFERROR(__xludf.DUMMYFUNCTION("""COMPUTED_VALUE"""),"2015-06-07-D07-SO-19")</f>
        <v>2015-06-07-D07-SO-19</v>
      </c>
    </row>
    <row r="3172">
      <c r="A3172" t="str">
        <f>IFERROR(__xludf.DUMMYFUNCTION("""COMPUTED_VALUE"""),"2015-06-07-D07-SO-20")</f>
        <v>2015-06-07-D07-SO-20</v>
      </c>
    </row>
    <row r="3173">
      <c r="A3173" t="str">
        <f>IFERROR(__xludf.DUMMYFUNCTION("""COMPUTED_VALUE"""),"2015-06-07-D07-SO-21")</f>
        <v>2015-06-07-D07-SO-21</v>
      </c>
    </row>
    <row r="3174">
      <c r="A3174" t="str">
        <f>IFERROR(__xludf.DUMMYFUNCTION("""COMPUTED_VALUE"""),"2015-06-07-D07-SO-22")</f>
        <v>2015-06-07-D07-SO-22</v>
      </c>
    </row>
    <row r="3175">
      <c r="A3175" t="str">
        <f>IFERROR(__xludf.DUMMYFUNCTION("""COMPUTED_VALUE"""),"2015-06-07-D07-SO-23")</f>
        <v>2015-06-07-D07-SO-23</v>
      </c>
    </row>
    <row r="3176">
      <c r="A3176" t="str">
        <f>IFERROR(__xludf.DUMMYFUNCTION("""COMPUTED_VALUE"""),"2015-06-07-D07-SO-24")</f>
        <v>2015-06-07-D07-SO-24</v>
      </c>
    </row>
    <row r="3177">
      <c r="A3177" t="str">
        <f>IFERROR(__xludf.DUMMYFUNCTION("""COMPUTED_VALUE"""),"2015-06-07-D07-SO-25")</f>
        <v>2015-06-07-D07-SO-25</v>
      </c>
    </row>
    <row r="3178">
      <c r="A3178" t="str">
        <f>IFERROR(__xludf.DUMMYFUNCTION("""COMPUTED_VALUE"""),"2015-06-07-D07-SO-26")</f>
        <v>2015-06-07-D07-SO-26</v>
      </c>
    </row>
    <row r="3179">
      <c r="A3179" t="str">
        <f>IFERROR(__xludf.DUMMYFUNCTION("""COMPUTED_VALUE"""),"2015-06-07-D07-SO-27")</f>
        <v>2015-06-07-D07-SO-27</v>
      </c>
    </row>
    <row r="3180">
      <c r="A3180" t="str">
        <f>IFERROR(__xludf.DUMMYFUNCTION("""COMPUTED_VALUE"""),"2015-06-07-D07-SO-28")</f>
        <v>2015-06-07-D07-SO-28</v>
      </c>
    </row>
    <row r="3181">
      <c r="A3181" t="str">
        <f>IFERROR(__xludf.DUMMYFUNCTION("""COMPUTED_VALUE"""),"2015-06-07-D07-SO-29")</f>
        <v>2015-06-07-D07-SO-29</v>
      </c>
    </row>
    <row r="3182">
      <c r="A3182" t="str">
        <f>IFERROR(__xludf.DUMMYFUNCTION("""COMPUTED_VALUE"""),"2015-06-07-D07-SO-30")</f>
        <v>2015-06-07-D07-SO-30</v>
      </c>
    </row>
    <row r="3183">
      <c r="A3183" t="str">
        <f>IFERROR(__xludf.DUMMYFUNCTION("""COMPUTED_VALUE"""),"2015-06-07-J06-SO-1")</f>
        <v>2015-06-07-J06-SO-1</v>
      </c>
    </row>
    <row r="3184">
      <c r="A3184" t="str">
        <f>IFERROR(__xludf.DUMMYFUNCTION("""COMPUTED_VALUE"""),"2015-06-07-J06-SO-2")</f>
        <v>2015-06-07-J06-SO-2</v>
      </c>
    </row>
    <row r="3185">
      <c r="A3185" t="str">
        <f>IFERROR(__xludf.DUMMYFUNCTION("""COMPUTED_VALUE"""),"2015-06-07-J06-SO-3")</f>
        <v>2015-06-07-J06-SO-3</v>
      </c>
    </row>
    <row r="3186">
      <c r="A3186" t="str">
        <f>IFERROR(__xludf.DUMMYFUNCTION("""COMPUTED_VALUE"""),"2015-06-07-J06-SO-4")</f>
        <v>2015-06-07-J06-SO-4</v>
      </c>
    </row>
    <row r="3187">
      <c r="A3187" t="str">
        <f>IFERROR(__xludf.DUMMYFUNCTION("""COMPUTED_VALUE"""),"2015-06-07-J06-SO-5")</f>
        <v>2015-06-07-J06-SO-5</v>
      </c>
    </row>
    <row r="3188">
      <c r="A3188" t="str">
        <f>IFERROR(__xludf.DUMMYFUNCTION("""COMPUTED_VALUE"""),"2015-06-07-J06-SO-6")</f>
        <v>2015-06-07-J06-SO-6</v>
      </c>
    </row>
    <row r="3189">
      <c r="A3189" t="str">
        <f>IFERROR(__xludf.DUMMYFUNCTION("""COMPUTED_VALUE"""),"2015-06-07-J06-SO-7")</f>
        <v>2015-06-07-J06-SO-7</v>
      </c>
    </row>
    <row r="3190">
      <c r="A3190" t="str">
        <f>IFERROR(__xludf.DUMMYFUNCTION("""COMPUTED_VALUE"""),"2015-06-07-J06-SO-8")</f>
        <v>2015-06-07-J06-SO-8</v>
      </c>
    </row>
    <row r="3191">
      <c r="A3191" t="str">
        <f>IFERROR(__xludf.DUMMYFUNCTION("""COMPUTED_VALUE"""),"2015-06-07-J06-SO-9")</f>
        <v>2015-06-07-J06-SO-9</v>
      </c>
    </row>
    <row r="3192">
      <c r="A3192" t="str">
        <f>IFERROR(__xludf.DUMMYFUNCTION("""COMPUTED_VALUE"""),"2015-06-07-J06-SO-10")</f>
        <v>2015-06-07-J06-SO-10</v>
      </c>
    </row>
    <row r="3193">
      <c r="A3193" t="str">
        <f>IFERROR(__xludf.DUMMYFUNCTION("""COMPUTED_VALUE"""),"2015-06-07-J06-SO-11")</f>
        <v>2015-06-07-J06-SO-11</v>
      </c>
    </row>
    <row r="3194">
      <c r="A3194" t="str">
        <f>IFERROR(__xludf.DUMMYFUNCTION("""COMPUTED_VALUE"""),"2015-06-07-J06-SO-12")</f>
        <v>2015-06-07-J06-SO-12</v>
      </c>
    </row>
    <row r="3195">
      <c r="A3195" t="str">
        <f>IFERROR(__xludf.DUMMYFUNCTION("""COMPUTED_VALUE"""),"2015-06-07-J06-SO-13")</f>
        <v>2015-06-07-J06-SO-13</v>
      </c>
    </row>
    <row r="3196">
      <c r="A3196" t="str">
        <f>IFERROR(__xludf.DUMMYFUNCTION("""COMPUTED_VALUE"""),"2015-06-07-J06-SO-14")</f>
        <v>2015-06-07-J06-SO-14</v>
      </c>
    </row>
    <row r="3197">
      <c r="A3197" t="str">
        <f>IFERROR(__xludf.DUMMYFUNCTION("""COMPUTED_VALUE"""),"2015-06-07-J06-SO-15")</f>
        <v>2015-06-07-J06-SO-15</v>
      </c>
    </row>
    <row r="3198">
      <c r="A3198" t="str">
        <f>IFERROR(__xludf.DUMMYFUNCTION("""COMPUTED_VALUE"""),"2015-06-07-J06-SO-16")</f>
        <v>2015-06-07-J06-SO-16</v>
      </c>
    </row>
    <row r="3199">
      <c r="A3199" t="str">
        <f>IFERROR(__xludf.DUMMYFUNCTION("""COMPUTED_VALUE"""),"2015-06-07-J06-SO-17")</f>
        <v>2015-06-07-J06-SO-17</v>
      </c>
    </row>
    <row r="3200">
      <c r="A3200" t="str">
        <f>IFERROR(__xludf.DUMMYFUNCTION("""COMPUTED_VALUE"""),"2015-06-07-J06-SO-18")</f>
        <v>2015-06-07-J06-SO-18</v>
      </c>
    </row>
    <row r="3201">
      <c r="A3201" t="str">
        <f>IFERROR(__xludf.DUMMYFUNCTION("""COMPUTED_VALUE"""),"2015-06-07-J06-SO-19")</f>
        <v>2015-06-07-J06-SO-19</v>
      </c>
    </row>
    <row r="3202">
      <c r="A3202" t="str">
        <f>IFERROR(__xludf.DUMMYFUNCTION("""COMPUTED_VALUE"""),"2015-06-07-J06-SO-20")</f>
        <v>2015-06-07-J06-SO-20</v>
      </c>
    </row>
    <row r="3203">
      <c r="A3203" t="str">
        <f>IFERROR(__xludf.DUMMYFUNCTION("""COMPUTED_VALUE"""),"2015-06-07-J06-SO-21")</f>
        <v>2015-06-07-J06-SO-21</v>
      </c>
    </row>
    <row r="3204">
      <c r="A3204" t="str">
        <f>IFERROR(__xludf.DUMMYFUNCTION("""COMPUTED_VALUE"""),"2015-06-07-J06-SO-22")</f>
        <v>2015-06-07-J06-SO-22</v>
      </c>
    </row>
    <row r="3205">
      <c r="A3205" t="str">
        <f>IFERROR(__xludf.DUMMYFUNCTION("""COMPUTED_VALUE"""),"2015-06-07-J06-SO-23")</f>
        <v>2015-06-07-J06-SO-23</v>
      </c>
    </row>
    <row r="3206">
      <c r="A3206" t="str">
        <f>IFERROR(__xludf.DUMMYFUNCTION("""COMPUTED_VALUE"""),"2015-06-07-J06-SO-24")</f>
        <v>2015-06-07-J06-SO-24</v>
      </c>
    </row>
    <row r="3207">
      <c r="A3207" t="str">
        <f>IFERROR(__xludf.DUMMYFUNCTION("""COMPUTED_VALUE"""),"2015-06-07-J06-SO-25")</f>
        <v>2015-06-07-J06-SO-25</v>
      </c>
    </row>
    <row r="3208">
      <c r="A3208" t="str">
        <f>IFERROR(__xludf.DUMMYFUNCTION("""COMPUTED_VALUE"""),"2015-06-07-J06-SO-26")</f>
        <v>2015-06-07-J06-SO-26</v>
      </c>
    </row>
    <row r="3209">
      <c r="A3209" t="str">
        <f>IFERROR(__xludf.DUMMYFUNCTION("""COMPUTED_VALUE"""),"2015-06-07-J06-SO-27")</f>
        <v>2015-06-07-J06-SO-27</v>
      </c>
    </row>
    <row r="3210">
      <c r="A3210" t="str">
        <f>IFERROR(__xludf.DUMMYFUNCTION("""COMPUTED_VALUE"""),"2015-06-07-J06-SO-28")</f>
        <v>2015-06-07-J06-SO-28</v>
      </c>
    </row>
    <row r="3211">
      <c r="A3211" t="str">
        <f>IFERROR(__xludf.DUMMYFUNCTION("""COMPUTED_VALUE"""),"2015-06-07-J06-SO-29")</f>
        <v>2015-06-07-J06-SO-29</v>
      </c>
    </row>
    <row r="3212">
      <c r="A3212" t="str">
        <f>IFERROR(__xludf.DUMMYFUNCTION("""COMPUTED_VALUE"""),"2015-06-07-J06-SO-30")</f>
        <v>2015-06-07-J06-SO-30</v>
      </c>
    </row>
    <row r="3213">
      <c r="A3213" t="str">
        <f>IFERROR(__xludf.DUMMYFUNCTION("""COMPUTED_VALUE"""),"2015-06-07-J05-SO-1")</f>
        <v>2015-06-07-J05-SO-1</v>
      </c>
    </row>
    <row r="3214">
      <c r="A3214" t="str">
        <f>IFERROR(__xludf.DUMMYFUNCTION("""COMPUTED_VALUE"""),"2015-06-07-J05-SO-2")</f>
        <v>2015-06-07-J05-SO-2</v>
      </c>
    </row>
    <row r="3215">
      <c r="A3215" t="str">
        <f>IFERROR(__xludf.DUMMYFUNCTION("""COMPUTED_VALUE"""),"2015-06-07-J05-SO-3")</f>
        <v>2015-06-07-J05-SO-3</v>
      </c>
    </row>
    <row r="3216">
      <c r="A3216" t="str">
        <f>IFERROR(__xludf.DUMMYFUNCTION("""COMPUTED_VALUE"""),"2015-06-07-J05-SO-4")</f>
        <v>2015-06-07-J05-SO-4</v>
      </c>
    </row>
    <row r="3217">
      <c r="A3217" t="str">
        <f>IFERROR(__xludf.DUMMYFUNCTION("""COMPUTED_VALUE"""),"2015-06-07-J05-SO-5")</f>
        <v>2015-06-07-J05-SO-5</v>
      </c>
    </row>
    <row r="3218">
      <c r="A3218" t="str">
        <f>IFERROR(__xludf.DUMMYFUNCTION("""COMPUTED_VALUE"""),"2015-06-07-J05-SO-6")</f>
        <v>2015-06-07-J05-SO-6</v>
      </c>
    </row>
    <row r="3219">
      <c r="A3219" t="str">
        <f>IFERROR(__xludf.DUMMYFUNCTION("""COMPUTED_VALUE"""),"2015-06-07-J05-SO-7")</f>
        <v>2015-06-07-J05-SO-7</v>
      </c>
    </row>
    <row r="3220">
      <c r="A3220" t="str">
        <f>IFERROR(__xludf.DUMMYFUNCTION("""COMPUTED_VALUE"""),"2015-06-07-J05-SO-8")</f>
        <v>2015-06-07-J05-SO-8</v>
      </c>
    </row>
    <row r="3221">
      <c r="A3221" t="str">
        <f>IFERROR(__xludf.DUMMYFUNCTION("""COMPUTED_VALUE"""),"2015-06-07-J05-SO-9")</f>
        <v>2015-06-07-J05-SO-9</v>
      </c>
    </row>
    <row r="3222">
      <c r="A3222" t="str">
        <f>IFERROR(__xludf.DUMMYFUNCTION("""COMPUTED_VALUE"""),"2015-06-07-J05-SO-10")</f>
        <v>2015-06-07-J05-SO-10</v>
      </c>
    </row>
    <row r="3223">
      <c r="A3223" t="str">
        <f>IFERROR(__xludf.DUMMYFUNCTION("""COMPUTED_VALUE"""),"2015-06-07-J05-SO-11")</f>
        <v>2015-06-07-J05-SO-11</v>
      </c>
    </row>
    <row r="3224">
      <c r="A3224" t="str">
        <f>IFERROR(__xludf.DUMMYFUNCTION("""COMPUTED_VALUE"""),"2015-06-07-J05-SO-12")</f>
        <v>2015-06-07-J05-SO-12</v>
      </c>
    </row>
    <row r="3225">
      <c r="A3225" t="str">
        <f>IFERROR(__xludf.DUMMYFUNCTION("""COMPUTED_VALUE"""),"2015-06-07-J05-SO-13")</f>
        <v>2015-06-07-J05-SO-13</v>
      </c>
    </row>
    <row r="3226">
      <c r="A3226" t="str">
        <f>IFERROR(__xludf.DUMMYFUNCTION("""COMPUTED_VALUE"""),"2015-06-07-J05-SO-14")</f>
        <v>2015-06-07-J05-SO-14</v>
      </c>
    </row>
    <row r="3227">
      <c r="A3227" t="str">
        <f>IFERROR(__xludf.DUMMYFUNCTION("""COMPUTED_VALUE"""),"2015-06-07-J05-SO-15")</f>
        <v>2015-06-07-J05-SO-15</v>
      </c>
    </row>
    <row r="3228">
      <c r="A3228" t="str">
        <f>IFERROR(__xludf.DUMMYFUNCTION("""COMPUTED_VALUE"""),"2015-06-07-J05-SO-16")</f>
        <v>2015-06-07-J05-SO-16</v>
      </c>
    </row>
    <row r="3229">
      <c r="A3229" t="str">
        <f>IFERROR(__xludf.DUMMYFUNCTION("""COMPUTED_VALUE"""),"2015-06-07-J05-SO-17")</f>
        <v>2015-06-07-J05-SO-17</v>
      </c>
    </row>
    <row r="3230">
      <c r="A3230" t="str">
        <f>IFERROR(__xludf.DUMMYFUNCTION("""COMPUTED_VALUE"""),"2015-06-07-J05-SO-18")</f>
        <v>2015-06-07-J05-SO-18</v>
      </c>
    </row>
    <row r="3231">
      <c r="A3231" t="str">
        <f>IFERROR(__xludf.DUMMYFUNCTION("""COMPUTED_VALUE"""),"2015-06-07-J05-SO-19")</f>
        <v>2015-06-07-J05-SO-19</v>
      </c>
    </row>
    <row r="3232">
      <c r="A3232" t="str">
        <f>IFERROR(__xludf.DUMMYFUNCTION("""COMPUTED_VALUE"""),"2015-06-07-J05-SO-20")</f>
        <v>2015-06-07-J05-SO-20</v>
      </c>
    </row>
    <row r="3233">
      <c r="A3233" t="str">
        <f>IFERROR(__xludf.DUMMYFUNCTION("""COMPUTED_VALUE"""),"2015-06-07-J05-SO-21")</f>
        <v>2015-06-07-J05-SO-21</v>
      </c>
    </row>
    <row r="3234">
      <c r="A3234" t="str">
        <f>IFERROR(__xludf.DUMMYFUNCTION("""COMPUTED_VALUE"""),"2015-06-07-J05-SO-22")</f>
        <v>2015-06-07-J05-SO-22</v>
      </c>
    </row>
    <row r="3235">
      <c r="A3235" t="str">
        <f>IFERROR(__xludf.DUMMYFUNCTION("""COMPUTED_VALUE"""),"2015-06-07-J05-SO-23")</f>
        <v>2015-06-07-J05-SO-23</v>
      </c>
    </row>
    <row r="3236">
      <c r="A3236" t="str">
        <f>IFERROR(__xludf.DUMMYFUNCTION("""COMPUTED_VALUE"""),"2015-06-07-J05-SO-24")</f>
        <v>2015-06-07-J05-SO-24</v>
      </c>
    </row>
    <row r="3237">
      <c r="A3237" t="str">
        <f>IFERROR(__xludf.DUMMYFUNCTION("""COMPUTED_VALUE"""),"2015-06-07-J05-SO-25")</f>
        <v>2015-06-07-J05-SO-25</v>
      </c>
    </row>
    <row r="3238">
      <c r="A3238" t="str">
        <f>IFERROR(__xludf.DUMMYFUNCTION("""COMPUTED_VALUE"""),"2015-06-07-J05-SO-26")</f>
        <v>2015-06-07-J05-SO-26</v>
      </c>
    </row>
    <row r="3239">
      <c r="A3239" t="str">
        <f>IFERROR(__xludf.DUMMYFUNCTION("""COMPUTED_VALUE"""),"2015-06-07-J05-SO-27")</f>
        <v>2015-06-07-J05-SO-27</v>
      </c>
    </row>
    <row r="3240">
      <c r="A3240" t="str">
        <f>IFERROR(__xludf.DUMMYFUNCTION("""COMPUTED_VALUE"""),"2015-06-07-J05-SO-28")</f>
        <v>2015-06-07-J05-SO-28</v>
      </c>
    </row>
    <row r="3241">
      <c r="A3241" t="str">
        <f>IFERROR(__xludf.DUMMYFUNCTION("""COMPUTED_VALUE"""),"2015-06-07-J05-SO-29")</f>
        <v>2015-06-07-J05-SO-29</v>
      </c>
    </row>
    <row r="3242">
      <c r="A3242" t="str">
        <f>IFERROR(__xludf.DUMMYFUNCTION("""COMPUTED_VALUE"""),"2015-06-07-J05-SO-30")</f>
        <v>2015-06-07-J05-SO-30</v>
      </c>
    </row>
    <row r="3243">
      <c r="A3243" t="str">
        <f>IFERROR(__xludf.DUMMYFUNCTION("""COMPUTED_VALUE"""),"2015-06-07-J08-SO-1")</f>
        <v>2015-06-07-J08-SO-1</v>
      </c>
    </row>
    <row r="3244">
      <c r="A3244" t="str">
        <f>IFERROR(__xludf.DUMMYFUNCTION("""COMPUTED_VALUE"""),"2015-06-07-J08-SO-2")</f>
        <v>2015-06-07-J08-SO-2</v>
      </c>
    </row>
    <row r="3245">
      <c r="A3245" t="str">
        <f>IFERROR(__xludf.DUMMYFUNCTION("""COMPUTED_VALUE"""),"2015-06-07-J08-SO-3")</f>
        <v>2015-06-07-J08-SO-3</v>
      </c>
    </row>
    <row r="3246">
      <c r="A3246" t="str">
        <f>IFERROR(__xludf.DUMMYFUNCTION("""COMPUTED_VALUE"""),"2015-06-07-J08-SO-4")</f>
        <v>2015-06-07-J08-SO-4</v>
      </c>
    </row>
    <row r="3247">
      <c r="A3247" t="str">
        <f>IFERROR(__xludf.DUMMYFUNCTION("""COMPUTED_VALUE"""),"2015-06-07-J08-SO-5")</f>
        <v>2015-06-07-J08-SO-5</v>
      </c>
    </row>
    <row r="3248">
      <c r="A3248" t="str">
        <f>IFERROR(__xludf.DUMMYFUNCTION("""COMPUTED_VALUE"""),"2015-06-07-J08-SO-6")</f>
        <v>2015-06-07-J08-SO-6</v>
      </c>
    </row>
    <row r="3249">
      <c r="A3249" t="str">
        <f>IFERROR(__xludf.DUMMYFUNCTION("""COMPUTED_VALUE"""),"2015-06-07-J08-SO-7")</f>
        <v>2015-06-07-J08-SO-7</v>
      </c>
    </row>
    <row r="3250">
      <c r="A3250" t="str">
        <f>IFERROR(__xludf.DUMMYFUNCTION("""COMPUTED_VALUE"""),"2015-06-07-J08-SO-8")</f>
        <v>2015-06-07-J08-SO-8</v>
      </c>
    </row>
    <row r="3251">
      <c r="A3251" t="str">
        <f>IFERROR(__xludf.DUMMYFUNCTION("""COMPUTED_VALUE"""),"2015-06-07-J08-SO-9")</f>
        <v>2015-06-07-J08-SO-9</v>
      </c>
    </row>
    <row r="3252">
      <c r="A3252" t="str">
        <f>IFERROR(__xludf.DUMMYFUNCTION("""COMPUTED_VALUE"""),"2015-06-07-J08-SO-10")</f>
        <v>2015-06-07-J08-SO-10</v>
      </c>
    </row>
    <row r="3253">
      <c r="A3253" t="str">
        <f>IFERROR(__xludf.DUMMYFUNCTION("""COMPUTED_VALUE"""),"2015-06-07-J08-SO-11")</f>
        <v>2015-06-07-J08-SO-11</v>
      </c>
    </row>
    <row r="3254">
      <c r="A3254" t="str">
        <f>IFERROR(__xludf.DUMMYFUNCTION("""COMPUTED_VALUE"""),"2015-06-07-J08-SO-12")</f>
        <v>2015-06-07-J08-SO-12</v>
      </c>
    </row>
    <row r="3255">
      <c r="A3255" t="str">
        <f>IFERROR(__xludf.DUMMYFUNCTION("""COMPUTED_VALUE"""),"2015-06-07-J08-SO-13")</f>
        <v>2015-06-07-J08-SO-13</v>
      </c>
    </row>
    <row r="3256">
      <c r="A3256" t="str">
        <f>IFERROR(__xludf.DUMMYFUNCTION("""COMPUTED_VALUE"""),"2015-06-07-J08-SO-14")</f>
        <v>2015-06-07-J08-SO-14</v>
      </c>
    </row>
    <row r="3257">
      <c r="A3257" t="str">
        <f>IFERROR(__xludf.DUMMYFUNCTION("""COMPUTED_VALUE"""),"2015-06-07-J08-SO-15")</f>
        <v>2015-06-07-J08-SO-15</v>
      </c>
    </row>
    <row r="3258">
      <c r="A3258" t="str">
        <f>IFERROR(__xludf.DUMMYFUNCTION("""COMPUTED_VALUE"""),"2015-06-07-J08-SO-16")</f>
        <v>2015-06-07-J08-SO-16</v>
      </c>
    </row>
    <row r="3259">
      <c r="A3259" t="str">
        <f>IFERROR(__xludf.DUMMYFUNCTION("""COMPUTED_VALUE"""),"2015-06-07-J08-SO-17")</f>
        <v>2015-06-07-J08-SO-17</v>
      </c>
    </row>
    <row r="3260">
      <c r="A3260" t="str">
        <f>IFERROR(__xludf.DUMMYFUNCTION("""COMPUTED_VALUE"""),"2015-06-07-J08-SO-18")</f>
        <v>2015-06-07-J08-SO-18</v>
      </c>
    </row>
    <row r="3261">
      <c r="A3261" t="str">
        <f>IFERROR(__xludf.DUMMYFUNCTION("""COMPUTED_VALUE"""),"2015-06-07-J08-SO-19")</f>
        <v>2015-06-07-J08-SO-19</v>
      </c>
    </row>
    <row r="3262">
      <c r="A3262" t="str">
        <f>IFERROR(__xludf.DUMMYFUNCTION("""COMPUTED_VALUE"""),"2015-06-07-J08-SO-20")</f>
        <v>2015-06-07-J08-SO-20</v>
      </c>
    </row>
    <row r="3263">
      <c r="A3263" t="str">
        <f>IFERROR(__xludf.DUMMYFUNCTION("""COMPUTED_VALUE"""),"2015-06-07-J08-SO-21")</f>
        <v>2015-06-07-J08-SO-21</v>
      </c>
    </row>
    <row r="3264">
      <c r="A3264" t="str">
        <f>IFERROR(__xludf.DUMMYFUNCTION("""COMPUTED_VALUE"""),"2015-06-07-J08-SO-22")</f>
        <v>2015-06-07-J08-SO-22</v>
      </c>
    </row>
    <row r="3265">
      <c r="A3265" t="str">
        <f>IFERROR(__xludf.DUMMYFUNCTION("""COMPUTED_VALUE"""),"2015-06-07-J08-SO-23")</f>
        <v>2015-06-07-J08-SO-23</v>
      </c>
    </row>
    <row r="3266">
      <c r="A3266" t="str">
        <f>IFERROR(__xludf.DUMMYFUNCTION("""COMPUTED_VALUE"""),"2015-06-07-J08-SO-24")</f>
        <v>2015-06-07-J08-SO-24</v>
      </c>
    </row>
    <row r="3267">
      <c r="A3267" t="str">
        <f>IFERROR(__xludf.DUMMYFUNCTION("""COMPUTED_VALUE"""),"2015-06-07-J08-SO-25")</f>
        <v>2015-06-07-J08-SO-25</v>
      </c>
    </row>
    <row r="3268">
      <c r="A3268" t="str">
        <f>IFERROR(__xludf.DUMMYFUNCTION("""COMPUTED_VALUE"""),"2015-06-07-J08-SO-26")</f>
        <v>2015-06-07-J08-SO-26</v>
      </c>
    </row>
    <row r="3269">
      <c r="A3269" t="str">
        <f>IFERROR(__xludf.DUMMYFUNCTION("""COMPUTED_VALUE"""),"2015-06-07-J08-SO-27")</f>
        <v>2015-06-07-J08-SO-27</v>
      </c>
    </row>
    <row r="3270">
      <c r="A3270" t="str">
        <f>IFERROR(__xludf.DUMMYFUNCTION("""COMPUTED_VALUE"""),"2015-06-07-J08-SO-28")</f>
        <v>2015-06-07-J08-SO-28</v>
      </c>
    </row>
    <row r="3271">
      <c r="A3271" t="str">
        <f>IFERROR(__xludf.DUMMYFUNCTION("""COMPUTED_VALUE"""),"2015-06-07-J08-SO-29")</f>
        <v>2015-06-07-J08-SO-29</v>
      </c>
    </row>
    <row r="3272">
      <c r="A3272" t="str">
        <f>IFERROR(__xludf.DUMMYFUNCTION("""COMPUTED_VALUE"""),"2015-06-07-J08-SO-30")</f>
        <v>2015-06-07-J08-SO-30</v>
      </c>
    </row>
    <row r="3273">
      <c r="A3273" t="str">
        <f>IFERROR(__xludf.DUMMYFUNCTION("""COMPUTED_VALUE"""),"2015-06-07-J09-SO-1")</f>
        <v>2015-06-07-J09-SO-1</v>
      </c>
    </row>
    <row r="3274">
      <c r="A3274" t="str">
        <f>IFERROR(__xludf.DUMMYFUNCTION("""COMPUTED_VALUE"""),"2015-06-07-J09-SO-2")</f>
        <v>2015-06-07-J09-SO-2</v>
      </c>
    </row>
    <row r="3275">
      <c r="A3275" t="str">
        <f>IFERROR(__xludf.DUMMYFUNCTION("""COMPUTED_VALUE"""),"2015-06-07-J09-SO-3")</f>
        <v>2015-06-07-J09-SO-3</v>
      </c>
    </row>
    <row r="3276">
      <c r="A3276" t="str">
        <f>IFERROR(__xludf.DUMMYFUNCTION("""COMPUTED_VALUE"""),"2015-06-07-J09-SO-4")</f>
        <v>2015-06-07-J09-SO-4</v>
      </c>
    </row>
    <row r="3277">
      <c r="A3277" t="str">
        <f>IFERROR(__xludf.DUMMYFUNCTION("""COMPUTED_VALUE"""),"2015-06-07-J09-SO-5")</f>
        <v>2015-06-07-J09-SO-5</v>
      </c>
    </row>
    <row r="3278">
      <c r="A3278" t="str">
        <f>IFERROR(__xludf.DUMMYFUNCTION("""COMPUTED_VALUE"""),"2015-06-07-J09-SO-6")</f>
        <v>2015-06-07-J09-SO-6</v>
      </c>
    </row>
    <row r="3279">
      <c r="A3279" t="str">
        <f>IFERROR(__xludf.DUMMYFUNCTION("""COMPUTED_VALUE"""),"2015-06-07-J09-SO-7")</f>
        <v>2015-06-07-J09-SO-7</v>
      </c>
    </row>
    <row r="3280">
      <c r="A3280" t="str">
        <f>IFERROR(__xludf.DUMMYFUNCTION("""COMPUTED_VALUE"""),"2015-06-07-J09-SO-8")</f>
        <v>2015-06-07-J09-SO-8</v>
      </c>
    </row>
    <row r="3281">
      <c r="A3281" t="str">
        <f>IFERROR(__xludf.DUMMYFUNCTION("""COMPUTED_VALUE"""),"2015-06-07-J09-SO-9")</f>
        <v>2015-06-07-J09-SO-9</v>
      </c>
    </row>
    <row r="3282">
      <c r="A3282" t="str">
        <f>IFERROR(__xludf.DUMMYFUNCTION("""COMPUTED_VALUE"""),"2015-06-07-J09-SO-10")</f>
        <v>2015-06-07-J09-SO-10</v>
      </c>
    </row>
    <row r="3283">
      <c r="A3283" t="str">
        <f>IFERROR(__xludf.DUMMYFUNCTION("""COMPUTED_VALUE"""),"2015-06-07-J09-SO-11")</f>
        <v>2015-06-07-J09-SO-11</v>
      </c>
    </row>
    <row r="3284">
      <c r="A3284" t="str">
        <f>IFERROR(__xludf.DUMMYFUNCTION("""COMPUTED_VALUE"""),"2015-06-07-J09-SO-12")</f>
        <v>2015-06-07-J09-SO-12</v>
      </c>
    </row>
    <row r="3285">
      <c r="A3285" t="str">
        <f>IFERROR(__xludf.DUMMYFUNCTION("""COMPUTED_VALUE"""),"2015-06-07-J09-SO-13")</f>
        <v>2015-06-07-J09-SO-13</v>
      </c>
    </row>
    <row r="3286">
      <c r="A3286" t="str">
        <f>IFERROR(__xludf.DUMMYFUNCTION("""COMPUTED_VALUE"""),"2015-06-07-J09-SO-14")</f>
        <v>2015-06-07-J09-SO-14</v>
      </c>
    </row>
    <row r="3287">
      <c r="A3287" t="str">
        <f>IFERROR(__xludf.DUMMYFUNCTION("""COMPUTED_VALUE"""),"2015-06-07-J09-SO-15")</f>
        <v>2015-06-07-J09-SO-15</v>
      </c>
    </row>
    <row r="3288">
      <c r="A3288" t="str">
        <f>IFERROR(__xludf.DUMMYFUNCTION("""COMPUTED_VALUE"""),"2015-06-07-J09-SO-16")</f>
        <v>2015-06-07-J09-SO-16</v>
      </c>
    </row>
    <row r="3289">
      <c r="A3289" t="str">
        <f>IFERROR(__xludf.DUMMYFUNCTION("""COMPUTED_VALUE"""),"2015-06-07-J09-SO-17")</f>
        <v>2015-06-07-J09-SO-17</v>
      </c>
    </row>
    <row r="3290">
      <c r="A3290" t="str">
        <f>IFERROR(__xludf.DUMMYFUNCTION("""COMPUTED_VALUE"""),"2015-06-07-J09-SO-18")</f>
        <v>2015-06-07-J09-SO-18</v>
      </c>
    </row>
    <row r="3291">
      <c r="A3291" t="str">
        <f>IFERROR(__xludf.DUMMYFUNCTION("""COMPUTED_VALUE"""),"2015-06-07-J09-SO-19")</f>
        <v>2015-06-07-J09-SO-19</v>
      </c>
    </row>
    <row r="3292">
      <c r="A3292" t="str">
        <f>IFERROR(__xludf.DUMMYFUNCTION("""COMPUTED_VALUE"""),"2015-06-07-J09-SO-20")</f>
        <v>2015-06-07-J09-SO-20</v>
      </c>
    </row>
    <row r="3293">
      <c r="A3293" t="str">
        <f>IFERROR(__xludf.DUMMYFUNCTION("""COMPUTED_VALUE"""),"2015-06-07-J09-SO-21")</f>
        <v>2015-06-07-J09-SO-21</v>
      </c>
    </row>
    <row r="3294">
      <c r="A3294" t="str">
        <f>IFERROR(__xludf.DUMMYFUNCTION("""COMPUTED_VALUE"""),"2015-06-07-J09-SO-22")</f>
        <v>2015-06-07-J09-SO-22</v>
      </c>
    </row>
    <row r="3295">
      <c r="A3295" t="str">
        <f>IFERROR(__xludf.DUMMYFUNCTION("""COMPUTED_VALUE"""),"2015-06-07-J09-SO-23")</f>
        <v>2015-06-07-J09-SO-23</v>
      </c>
    </row>
    <row r="3296">
      <c r="A3296" t="str">
        <f>IFERROR(__xludf.DUMMYFUNCTION("""COMPUTED_VALUE"""),"2015-06-07-J09-SO-24")</f>
        <v>2015-06-07-J09-SO-24</v>
      </c>
    </row>
    <row r="3297">
      <c r="A3297" t="str">
        <f>IFERROR(__xludf.DUMMYFUNCTION("""COMPUTED_VALUE"""),"2015-06-07-J09-SO-25")</f>
        <v>2015-06-07-J09-SO-25</v>
      </c>
    </row>
    <row r="3298">
      <c r="A3298" t="str">
        <f>IFERROR(__xludf.DUMMYFUNCTION("""COMPUTED_VALUE"""),"2015-06-07-J09-SO-26")</f>
        <v>2015-06-07-J09-SO-26</v>
      </c>
    </row>
    <row r="3299">
      <c r="A3299" t="str">
        <f>IFERROR(__xludf.DUMMYFUNCTION("""COMPUTED_VALUE"""),"2015-06-07-J09-SO-27")</f>
        <v>2015-06-07-J09-SO-27</v>
      </c>
    </row>
    <row r="3300">
      <c r="A3300" t="str">
        <f>IFERROR(__xludf.DUMMYFUNCTION("""COMPUTED_VALUE"""),"2015-06-07-J09-SO-28")</f>
        <v>2015-06-07-J09-SO-28</v>
      </c>
    </row>
    <row r="3301">
      <c r="A3301" t="str">
        <f>IFERROR(__xludf.DUMMYFUNCTION("""COMPUTED_VALUE"""),"2015-06-07-J09-SO-29")</f>
        <v>2015-06-07-J09-SO-29</v>
      </c>
    </row>
    <row r="3302">
      <c r="A3302" t="str">
        <f>IFERROR(__xludf.DUMMYFUNCTION("""COMPUTED_VALUE"""),"2015-06-07-D09-PI-1")</f>
        <v>2015-06-07-D09-PI-1</v>
      </c>
    </row>
    <row r="3303">
      <c r="A3303" t="str">
        <f>IFERROR(__xludf.DUMMYFUNCTION("""COMPUTED_VALUE"""),"2015-06-07-D07-PI-1")</f>
        <v>2015-06-07-D07-PI-1</v>
      </c>
    </row>
    <row r="3304">
      <c r="A3304" t="str">
        <f>IFERROR(__xludf.DUMMYFUNCTION("""COMPUTED_VALUE"""),"2015-06-07-D07-PI-2")</f>
        <v>2015-06-07-D07-PI-2</v>
      </c>
    </row>
    <row r="3305">
      <c r="A3305" t="str">
        <f>IFERROR(__xludf.DUMMYFUNCTION("""COMPUTED_VALUE"""),"2015-06-07-D07-PI-3")</f>
        <v>2015-06-07-D07-PI-3</v>
      </c>
    </row>
    <row r="3306">
      <c r="A3306" t="str">
        <f>IFERROR(__xludf.DUMMYFUNCTION("""COMPUTED_VALUE"""),"2015-06-07-D07-PI-4")</f>
        <v>2015-06-07-D07-PI-4</v>
      </c>
    </row>
    <row r="3307">
      <c r="A3307" t="str">
        <f>IFERROR(__xludf.DUMMYFUNCTION("""COMPUTED_VALUE"""),"2015-06-07-D07-PI-5")</f>
        <v>2015-06-07-D07-PI-5</v>
      </c>
    </row>
    <row r="3308">
      <c r="A3308" t="str">
        <f>IFERROR(__xludf.DUMMYFUNCTION("""COMPUTED_VALUE"""),"2015-06-07-D07-PI-6")</f>
        <v>2015-06-07-D07-PI-6</v>
      </c>
    </row>
    <row r="3309">
      <c r="A3309" t="str">
        <f>IFERROR(__xludf.DUMMYFUNCTION("""COMPUTED_VALUE"""),"2015-06-07-J08-PI-1")</f>
        <v>2015-06-07-J08-PI-1</v>
      </c>
    </row>
    <row r="3310">
      <c r="A3310" t="str">
        <f>IFERROR(__xludf.DUMMYFUNCTION("""COMPUTED_VALUE"""),"2015-06-07-J08-PI-2")</f>
        <v>2015-06-07-J08-PI-2</v>
      </c>
    </row>
    <row r="3311">
      <c r="A3311" t="str">
        <f>IFERROR(__xludf.DUMMYFUNCTION("""COMPUTED_VALUE"""),"2015-06-07-J08-PI-3")</f>
        <v>2015-06-07-J08-PI-3</v>
      </c>
    </row>
    <row r="3312">
      <c r="A3312" t="str">
        <f>IFERROR(__xludf.DUMMYFUNCTION("""COMPUTED_VALUE"""),"2015-06-07-J09-PI-1")</f>
        <v>2015-06-07-J09-PI-1</v>
      </c>
    </row>
    <row r="3313">
      <c r="A3313" t="str">
        <f>IFERROR(__xludf.DUMMYFUNCTION("""COMPUTED_VALUE"""),"2015-06-07-J09-PI-2")</f>
        <v>2015-06-07-J09-PI-2</v>
      </c>
    </row>
    <row r="3314">
      <c r="A3314" t="str">
        <f>IFERROR(__xludf.DUMMYFUNCTION("""COMPUTED_VALUE"""),"2015-06-07-J09-PI-3")</f>
        <v>2015-06-07-J09-PI-3</v>
      </c>
    </row>
    <row r="3315">
      <c r="A3315" t="str">
        <f>IFERROR(__xludf.DUMMYFUNCTION("""COMPUTED_VALUE"""),"2015-06-07-J09-PI-4")</f>
        <v>2015-06-07-J09-PI-4</v>
      </c>
    </row>
    <row r="3316">
      <c r="A3316" t="str">
        <f>IFERROR(__xludf.DUMMYFUNCTION("""COMPUTED_VALUE"""),"2015-06-07-J09-PI-5")</f>
        <v>2015-06-07-J09-PI-5</v>
      </c>
    </row>
    <row r="3317">
      <c r="A3317" t="str">
        <f>IFERROR(__xludf.DUMMYFUNCTION("""COMPUTED_VALUE"""),"2015-06-07-J09-PI-6")</f>
        <v>2015-06-07-J09-PI-6</v>
      </c>
    </row>
    <row r="3318">
      <c r="A3318" t="str">
        <f>IFERROR(__xludf.DUMMYFUNCTION("""COMPUTED_VALUE"""),"2015-06-07-J09-PI-7")</f>
        <v>2015-06-07-J09-PI-7</v>
      </c>
    </row>
    <row r="3319">
      <c r="A3319" t="str">
        <f>IFERROR(__xludf.DUMMYFUNCTION("""COMPUTED_VALUE"""),"2015-06-07-J09-PI-8")</f>
        <v>2015-06-07-J09-PI-8</v>
      </c>
    </row>
    <row r="3320">
      <c r="A3320" t="str">
        <f>IFERROR(__xludf.DUMMYFUNCTION("""COMPUTED_VALUE"""),"2015-06-07-J09-PI-9")</f>
        <v>2015-06-07-J09-PI-9</v>
      </c>
    </row>
    <row r="3321">
      <c r="A3321" t="str">
        <f>IFERROR(__xludf.DUMMYFUNCTION("""COMPUTED_VALUE"""),"2015-06-07-J09-PI-10")</f>
        <v>2015-06-07-J09-PI-10</v>
      </c>
    </row>
    <row r="3322">
      <c r="A3322" t="str">
        <f>IFERROR(__xludf.DUMMYFUNCTION("""COMPUTED_VALUE"""),"2015-06-07-D09-CU-1")</f>
        <v>2015-06-07-D09-CU-1</v>
      </c>
    </row>
    <row r="3323">
      <c r="A3323" t="str">
        <f>IFERROR(__xludf.DUMMYFUNCTION("""COMPUTED_VALUE"""),"2015-06-07-D09-CU-2")</f>
        <v>2015-06-07-D09-CU-2</v>
      </c>
    </row>
    <row r="3324">
      <c r="A3324" t="str">
        <f>IFERROR(__xludf.DUMMYFUNCTION("""COMPUTED_VALUE"""),"2015-06-07-D09-CU-3")</f>
        <v>2015-06-07-D09-CU-3</v>
      </c>
    </row>
    <row r="3325">
      <c r="A3325" t="str">
        <f>IFERROR(__xludf.DUMMYFUNCTION("""COMPUTED_VALUE"""),"2015-06-07-D09-CU-4")</f>
        <v>2015-06-07-D09-CU-4</v>
      </c>
    </row>
    <row r="3326">
      <c r="A3326" t="str">
        <f>IFERROR(__xludf.DUMMYFUNCTION("""COMPUTED_VALUE"""),"2015-06-07-D09-CU-5")</f>
        <v>2015-06-07-D09-CU-5</v>
      </c>
    </row>
    <row r="3327">
      <c r="A3327" t="str">
        <f>IFERROR(__xludf.DUMMYFUNCTION("""COMPUTED_VALUE"""),"2015-06-07-D09-CU-6")</f>
        <v>2015-06-07-D09-CU-6</v>
      </c>
    </row>
    <row r="3328">
      <c r="A3328" t="str">
        <f>IFERROR(__xludf.DUMMYFUNCTION("""COMPUTED_VALUE"""),"2015-06-07-D09-CU-7")</f>
        <v>2015-06-07-D09-CU-7</v>
      </c>
    </row>
    <row r="3329">
      <c r="A3329" t="str">
        <f>IFERROR(__xludf.DUMMYFUNCTION("""COMPUTED_VALUE"""),"2015-06-07-D09-CU-8")</f>
        <v>2015-06-07-D09-CU-8</v>
      </c>
    </row>
    <row r="3330">
      <c r="A3330" t="str">
        <f>IFERROR(__xludf.DUMMYFUNCTION("""COMPUTED_VALUE"""),"2015-06-07-D09-CU-9")</f>
        <v>2015-06-07-D09-CU-9</v>
      </c>
    </row>
    <row r="3331">
      <c r="A3331" t="str">
        <f>IFERROR(__xludf.DUMMYFUNCTION("""COMPUTED_VALUE"""),"2015-06-07-D09-CU-10")</f>
        <v>2015-06-07-D09-CU-10</v>
      </c>
    </row>
    <row r="3332">
      <c r="A3332" t="str">
        <f>IFERROR(__xludf.DUMMYFUNCTION("""COMPUTED_VALUE"""),"2015-06-07-D07-CU-1")</f>
        <v>2015-06-07-D07-CU-1</v>
      </c>
    </row>
    <row r="3333">
      <c r="A3333" t="str">
        <f>IFERROR(__xludf.DUMMYFUNCTION("""COMPUTED_VALUE"""),"2015-06-07-D07-CU-2")</f>
        <v>2015-06-07-D07-CU-2</v>
      </c>
    </row>
    <row r="3334">
      <c r="A3334" t="str">
        <f>IFERROR(__xludf.DUMMYFUNCTION("""COMPUTED_VALUE"""),"2015-06-07-D07-CU-3")</f>
        <v>2015-06-07-D07-CU-3</v>
      </c>
    </row>
    <row r="3335">
      <c r="A3335" t="str">
        <f>IFERROR(__xludf.DUMMYFUNCTION("""COMPUTED_VALUE"""),"2015-06-07-D07-CU-4")</f>
        <v>2015-06-07-D07-CU-4</v>
      </c>
    </row>
    <row r="3336">
      <c r="A3336" t="str">
        <f>IFERROR(__xludf.DUMMYFUNCTION("""COMPUTED_VALUE"""),"2015-06-07-D07-CU-5")</f>
        <v>2015-06-07-D07-CU-5</v>
      </c>
    </row>
    <row r="3337">
      <c r="A3337" t="str">
        <f>IFERROR(__xludf.DUMMYFUNCTION("""COMPUTED_VALUE"""),"2015-06-07-D07-CU-6")</f>
        <v>2015-06-07-D07-CU-6</v>
      </c>
    </row>
    <row r="3338">
      <c r="A3338" t="str">
        <f>IFERROR(__xludf.DUMMYFUNCTION("""COMPUTED_VALUE"""),"2015-06-07-D07-CU-7")</f>
        <v>2015-06-07-D07-CU-7</v>
      </c>
    </row>
    <row r="3339">
      <c r="A3339" t="str">
        <f>IFERROR(__xludf.DUMMYFUNCTION("""COMPUTED_VALUE"""),"2015-06-07-D07-CU-8")</f>
        <v>2015-06-07-D07-CU-8</v>
      </c>
    </row>
    <row r="3340">
      <c r="A3340" t="str">
        <f>IFERROR(__xludf.DUMMYFUNCTION("""COMPUTED_VALUE"""),"2015-06-07-D07-CU-9")</f>
        <v>2015-06-07-D07-CU-9</v>
      </c>
    </row>
    <row r="3341">
      <c r="A3341" t="str">
        <f>IFERROR(__xludf.DUMMYFUNCTION("""COMPUTED_VALUE"""),"2015-06-07-D07-CU-10")</f>
        <v>2015-06-07-D07-CU-10</v>
      </c>
    </row>
    <row r="3342">
      <c r="A3342" t="str">
        <f>IFERROR(__xludf.DUMMYFUNCTION("""COMPUTED_VALUE"""),"2015-06-07-J06-CU-1")</f>
        <v>2015-06-07-J06-CU-1</v>
      </c>
    </row>
    <row r="3343">
      <c r="A3343" t="str">
        <f>IFERROR(__xludf.DUMMYFUNCTION("""COMPUTED_VALUE"""),"2015-06-07-J06-CU-2")</f>
        <v>2015-06-07-J06-CU-2</v>
      </c>
    </row>
    <row r="3344">
      <c r="A3344" t="str">
        <f>IFERROR(__xludf.DUMMYFUNCTION("""COMPUTED_VALUE"""),"2015-06-07-J06-CU-3")</f>
        <v>2015-06-07-J06-CU-3</v>
      </c>
    </row>
    <row r="3345">
      <c r="A3345" t="str">
        <f>IFERROR(__xludf.DUMMYFUNCTION("""COMPUTED_VALUE"""),"2015-06-07-J06-CU-4")</f>
        <v>2015-06-07-J06-CU-4</v>
      </c>
    </row>
    <row r="3346">
      <c r="A3346" t="str">
        <f>IFERROR(__xludf.DUMMYFUNCTION("""COMPUTED_VALUE"""),"2015-06-07-J06-CU-5")</f>
        <v>2015-06-07-J06-CU-5</v>
      </c>
    </row>
    <row r="3347">
      <c r="A3347" t="str">
        <f>IFERROR(__xludf.DUMMYFUNCTION("""COMPUTED_VALUE"""),"2015-06-07-J06-CU-6")</f>
        <v>2015-06-07-J06-CU-6</v>
      </c>
    </row>
    <row r="3348">
      <c r="A3348" t="str">
        <f>IFERROR(__xludf.DUMMYFUNCTION("""COMPUTED_VALUE"""),"2015-06-07-J06-CU-7")</f>
        <v>2015-06-07-J06-CU-7</v>
      </c>
    </row>
    <row r="3349">
      <c r="A3349" t="str">
        <f>IFERROR(__xludf.DUMMYFUNCTION("""COMPUTED_VALUE"""),"2015-06-07-J06-CU-8")</f>
        <v>2015-06-07-J06-CU-8</v>
      </c>
    </row>
    <row r="3350">
      <c r="A3350" t="str">
        <f>IFERROR(__xludf.DUMMYFUNCTION("""COMPUTED_VALUE"""),"2015-06-07-J06-CU-9")</f>
        <v>2015-06-07-J06-CU-9</v>
      </c>
    </row>
    <row r="3351">
      <c r="A3351" t="str">
        <f>IFERROR(__xludf.DUMMYFUNCTION("""COMPUTED_VALUE"""),"2015-06-07-J06-CU-10")</f>
        <v>2015-06-07-J06-CU-10</v>
      </c>
    </row>
    <row r="3352">
      <c r="A3352" t="str">
        <f>IFERROR(__xludf.DUMMYFUNCTION("""COMPUTED_VALUE"""),"2015-06-07-J05-CU-1")</f>
        <v>2015-06-07-J05-CU-1</v>
      </c>
    </row>
    <row r="3353">
      <c r="A3353" t="str">
        <f>IFERROR(__xludf.DUMMYFUNCTION("""COMPUTED_VALUE"""),"2015-06-07-J05-CU-2")</f>
        <v>2015-06-07-J05-CU-2</v>
      </c>
    </row>
    <row r="3354">
      <c r="A3354" t="str">
        <f>IFERROR(__xludf.DUMMYFUNCTION("""COMPUTED_VALUE"""),"2015-06-07-J05-CU-3")</f>
        <v>2015-06-07-J05-CU-3</v>
      </c>
    </row>
    <row r="3355">
      <c r="A3355" t="str">
        <f>IFERROR(__xludf.DUMMYFUNCTION("""COMPUTED_VALUE"""),"2015-06-07-J05-CU-4")</f>
        <v>2015-06-07-J05-CU-4</v>
      </c>
    </row>
    <row r="3356">
      <c r="A3356" t="str">
        <f>IFERROR(__xludf.DUMMYFUNCTION("""COMPUTED_VALUE"""),"2015-06-07-J05-CU-5")</f>
        <v>2015-06-07-J05-CU-5</v>
      </c>
    </row>
    <row r="3357">
      <c r="A3357" t="str">
        <f>IFERROR(__xludf.DUMMYFUNCTION("""COMPUTED_VALUE"""),"2015-06-07-J05-CU-6")</f>
        <v>2015-06-07-J05-CU-6</v>
      </c>
    </row>
    <row r="3358">
      <c r="A3358" t="str">
        <f>IFERROR(__xludf.DUMMYFUNCTION("""COMPUTED_VALUE"""),"2015-06-07-J05-CU-7")</f>
        <v>2015-06-07-J05-CU-7</v>
      </c>
    </row>
    <row r="3359">
      <c r="A3359" t="str">
        <f>IFERROR(__xludf.DUMMYFUNCTION("""COMPUTED_VALUE"""),"2015-06-07-J05-CU-8")</f>
        <v>2015-06-07-J05-CU-8</v>
      </c>
    </row>
    <row r="3360">
      <c r="A3360" t="str">
        <f>IFERROR(__xludf.DUMMYFUNCTION("""COMPUTED_VALUE"""),"2015-06-07-J05-CU-9")</f>
        <v>2015-06-07-J05-CU-9</v>
      </c>
    </row>
    <row r="3361">
      <c r="A3361" t="str">
        <f>IFERROR(__xludf.DUMMYFUNCTION("""COMPUTED_VALUE"""),"2015-06-07-J05-CU-10")</f>
        <v>2015-06-07-J05-CU-10</v>
      </c>
    </row>
    <row r="3362">
      <c r="A3362" t="str">
        <f>IFERROR(__xludf.DUMMYFUNCTION("""COMPUTED_VALUE"""),"2015-06-07-J08-CU-1")</f>
        <v>2015-06-07-J08-CU-1</v>
      </c>
    </row>
    <row r="3363">
      <c r="A3363" t="str">
        <f>IFERROR(__xludf.DUMMYFUNCTION("""COMPUTED_VALUE"""),"2015-06-07-J08-CU-2")</f>
        <v>2015-06-07-J08-CU-2</v>
      </c>
    </row>
    <row r="3364">
      <c r="A3364" t="str">
        <f>IFERROR(__xludf.DUMMYFUNCTION("""COMPUTED_VALUE"""),"2015-06-07-J08-CU-3")</f>
        <v>2015-06-07-J08-CU-3</v>
      </c>
    </row>
    <row r="3365">
      <c r="A3365" t="str">
        <f>IFERROR(__xludf.DUMMYFUNCTION("""COMPUTED_VALUE"""),"2015-06-07-J08-CU-4")</f>
        <v>2015-06-07-J08-CU-4</v>
      </c>
    </row>
    <row r="3366">
      <c r="A3366" t="str">
        <f>IFERROR(__xludf.DUMMYFUNCTION("""COMPUTED_VALUE"""),"2015-06-07-J08-CU-5")</f>
        <v>2015-06-07-J08-CU-5</v>
      </c>
    </row>
    <row r="3367">
      <c r="A3367" t="str">
        <f>IFERROR(__xludf.DUMMYFUNCTION("""COMPUTED_VALUE"""),"2015-06-07-J08-CU-6")</f>
        <v>2015-06-07-J08-CU-6</v>
      </c>
    </row>
    <row r="3368">
      <c r="A3368" t="str">
        <f>IFERROR(__xludf.DUMMYFUNCTION("""COMPUTED_VALUE"""),"2015-06-07-J08-CU-7")</f>
        <v>2015-06-07-J08-CU-7</v>
      </c>
    </row>
    <row r="3369">
      <c r="A3369" t="str">
        <f>IFERROR(__xludf.DUMMYFUNCTION("""COMPUTED_VALUE"""),"2015-06-07-J08-CU-8")</f>
        <v>2015-06-07-J08-CU-8</v>
      </c>
    </row>
    <row r="3370">
      <c r="A3370" t="str">
        <f>IFERROR(__xludf.DUMMYFUNCTION("""COMPUTED_VALUE"""),"2015-06-07-J08-CU-9")</f>
        <v>2015-06-07-J08-CU-9</v>
      </c>
    </row>
    <row r="3371">
      <c r="A3371" t="str">
        <f>IFERROR(__xludf.DUMMYFUNCTION("""COMPUTED_VALUE"""),"2015-06-07-J08-CU-10")</f>
        <v>2015-06-07-J08-CU-10</v>
      </c>
    </row>
    <row r="3372">
      <c r="A3372" t="str">
        <f>IFERROR(__xludf.DUMMYFUNCTION("""COMPUTED_VALUE"""),"2015-06-07-J09-CU-1")</f>
        <v>2015-06-07-J09-CU-1</v>
      </c>
    </row>
    <row r="3373">
      <c r="A3373" t="str">
        <f>IFERROR(__xludf.DUMMYFUNCTION("""COMPUTED_VALUE"""),"2015-06-07-J09-CU-2")</f>
        <v>2015-06-07-J09-CU-2</v>
      </c>
    </row>
    <row r="3374">
      <c r="A3374" t="str">
        <f>IFERROR(__xludf.DUMMYFUNCTION("""COMPUTED_VALUE"""),"2015-06-07-J09-CU-3")</f>
        <v>2015-06-07-J09-CU-3</v>
      </c>
    </row>
    <row r="3375">
      <c r="A3375" t="str">
        <f>IFERROR(__xludf.DUMMYFUNCTION("""COMPUTED_VALUE"""),"2015-06-07-J09-CU-4")</f>
        <v>2015-06-07-J09-CU-4</v>
      </c>
    </row>
    <row r="3376">
      <c r="A3376" t="str">
        <f>IFERROR(__xludf.DUMMYFUNCTION("""COMPUTED_VALUE"""),"2015-06-07-J09-CU-5")</f>
        <v>2015-06-07-J09-CU-5</v>
      </c>
    </row>
    <row r="3377">
      <c r="A3377" t="str">
        <f>IFERROR(__xludf.DUMMYFUNCTION("""COMPUTED_VALUE"""),"2015-06-07-J09-CU-6")</f>
        <v>2015-06-07-J09-CU-6</v>
      </c>
    </row>
    <row r="3378">
      <c r="A3378" t="str">
        <f>IFERROR(__xludf.DUMMYFUNCTION("""COMPUTED_VALUE"""),"2015-06-07-J09-CU-7")</f>
        <v>2015-06-07-J09-CU-7</v>
      </c>
    </row>
    <row r="3379">
      <c r="A3379" t="str">
        <f>IFERROR(__xludf.DUMMYFUNCTION("""COMPUTED_VALUE"""),"2015-06-07-J09-CU-8")</f>
        <v>2015-06-07-J09-CU-8</v>
      </c>
    </row>
    <row r="3380">
      <c r="A3380" t="str">
        <f>IFERROR(__xludf.DUMMYFUNCTION("""COMPUTED_VALUE"""),"2015-06-07-J09-CU-9")</f>
        <v>2015-06-07-J09-CU-9</v>
      </c>
    </row>
    <row r="3381">
      <c r="A3381" t="str">
        <f>IFERROR(__xludf.DUMMYFUNCTION("""COMPUTED_VALUE"""),"2015-06-07-J09-CU-10")</f>
        <v>2015-06-07-J09-CU-10</v>
      </c>
    </row>
    <row r="3382">
      <c r="A3382" t="str">
        <f>IFERROR(__xludf.DUMMYFUNCTION("""COMPUTED_VALUE"""),"2015-06-07-J06-CO-1")</f>
        <v>2015-06-07-J06-CO-1</v>
      </c>
    </row>
    <row r="3383">
      <c r="A3383" t="str">
        <f>IFERROR(__xludf.DUMMYFUNCTION("""COMPUTED_VALUE"""),"2015-06-07-J06-CO-2")</f>
        <v>2015-06-07-J06-CO-2</v>
      </c>
    </row>
    <row r="3384">
      <c r="A3384" t="str">
        <f>IFERROR(__xludf.DUMMYFUNCTION("""COMPUTED_VALUE"""),"2015-06-07-J06-CO-3")</f>
        <v>2015-06-07-J06-CO-3</v>
      </c>
    </row>
    <row r="3385">
      <c r="A3385" t="str">
        <f>IFERROR(__xludf.DUMMYFUNCTION("""COMPUTED_VALUE"""),"2015-06-07-J06-CO-4")</f>
        <v>2015-06-07-J06-CO-4</v>
      </c>
    </row>
    <row r="3386">
      <c r="A3386" t="str">
        <f>IFERROR(__xludf.DUMMYFUNCTION("""COMPUTED_VALUE"""),"2015-06-07-J05-CO-1")</f>
        <v>2015-06-07-J05-CO-1</v>
      </c>
    </row>
    <row r="3387">
      <c r="A3387" t="str">
        <f>IFERROR(__xludf.DUMMYFUNCTION("""COMPUTED_VALUE"""),"2015-06-07-J09-CO-1")</f>
        <v>2015-06-07-J09-CO-1</v>
      </c>
    </row>
    <row r="3388">
      <c r="A3388" t="str">
        <f>IFERROR(__xludf.DUMMYFUNCTION("""COMPUTED_VALUE"""),"2015-06-07-D09-HE-1")</f>
        <v>2015-06-07-D09-HE-1</v>
      </c>
    </row>
    <row r="3389">
      <c r="A3389" t="str">
        <f>IFERROR(__xludf.DUMMYFUNCTION("""COMPUTED_VALUE"""),"2015-06-07-J06-HE-1")</f>
        <v>2015-06-07-J06-HE-1</v>
      </c>
    </row>
    <row r="3390">
      <c r="A3390" t="str">
        <f>IFERROR(__xludf.DUMMYFUNCTION("""COMPUTED_VALUE"""),"2015-06-07-J06-HE-2")</f>
        <v>2015-06-07-J06-HE-2</v>
      </c>
    </row>
    <row r="3391">
      <c r="A3391" t="str">
        <f>IFERROR(__xludf.DUMMYFUNCTION("""COMPUTED_VALUE"""),"2015-06-08-J04-SO-1")</f>
        <v>2015-06-08-J04-SO-1</v>
      </c>
    </row>
    <row r="3392">
      <c r="A3392" t="str">
        <f>IFERROR(__xludf.DUMMYFUNCTION("""COMPUTED_VALUE"""),"2015-06-08-J04-SO-2")</f>
        <v>2015-06-08-J04-SO-2</v>
      </c>
    </row>
    <row r="3393">
      <c r="A3393" t="str">
        <f>IFERROR(__xludf.DUMMYFUNCTION("""COMPUTED_VALUE"""),"2015-06-08-J04-SO-3")</f>
        <v>2015-06-08-J04-SO-3</v>
      </c>
    </row>
    <row r="3394">
      <c r="A3394" t="str">
        <f>IFERROR(__xludf.DUMMYFUNCTION("""COMPUTED_VALUE"""),"2015-06-08-J04-SO-4")</f>
        <v>2015-06-08-J04-SO-4</v>
      </c>
    </row>
    <row r="3395">
      <c r="A3395" t="str">
        <f>IFERROR(__xludf.DUMMYFUNCTION("""COMPUTED_VALUE"""),"2015-06-08-J04-SO-5")</f>
        <v>2015-06-08-J04-SO-5</v>
      </c>
    </row>
    <row r="3396">
      <c r="A3396" t="str">
        <f>IFERROR(__xludf.DUMMYFUNCTION("""COMPUTED_VALUE"""),"2015-06-08-J04-SO-6")</f>
        <v>2015-06-08-J04-SO-6</v>
      </c>
    </row>
    <row r="3397">
      <c r="A3397" t="str">
        <f>IFERROR(__xludf.DUMMYFUNCTION("""COMPUTED_VALUE"""),"2015-06-08-J04-SO-7")</f>
        <v>2015-06-08-J04-SO-7</v>
      </c>
    </row>
    <row r="3398">
      <c r="A3398" t="str">
        <f>IFERROR(__xludf.DUMMYFUNCTION("""COMPUTED_VALUE"""),"2015-06-08-J04-SO-8")</f>
        <v>2015-06-08-J04-SO-8</v>
      </c>
    </row>
    <row r="3399">
      <c r="A3399" t="str">
        <f>IFERROR(__xludf.DUMMYFUNCTION("""COMPUTED_VALUE"""),"2015-06-08-J04-SO-9")</f>
        <v>2015-06-08-J04-SO-9</v>
      </c>
    </row>
    <row r="3400">
      <c r="A3400" t="str">
        <f>IFERROR(__xludf.DUMMYFUNCTION("""COMPUTED_VALUE"""),"2015-06-08-J04-SO-10")</f>
        <v>2015-06-08-J04-SO-10</v>
      </c>
    </row>
    <row r="3401">
      <c r="A3401" t="str">
        <f>IFERROR(__xludf.DUMMYFUNCTION("""COMPUTED_VALUE"""),"2015-06-08-J04-SO-11")</f>
        <v>2015-06-08-J04-SO-11</v>
      </c>
    </row>
    <row r="3402">
      <c r="A3402" t="str">
        <f>IFERROR(__xludf.DUMMYFUNCTION("""COMPUTED_VALUE"""),"2015-06-08-J04-SO-12")</f>
        <v>2015-06-08-J04-SO-12</v>
      </c>
    </row>
    <row r="3403">
      <c r="A3403" t="str">
        <f>IFERROR(__xludf.DUMMYFUNCTION("""COMPUTED_VALUE"""),"2015-06-08-J04-SO-13")</f>
        <v>2015-06-08-J04-SO-13</v>
      </c>
    </row>
    <row r="3404">
      <c r="A3404" t="str">
        <f>IFERROR(__xludf.DUMMYFUNCTION("""COMPUTED_VALUE"""),"2015-06-08-J04-SO-14")</f>
        <v>2015-06-08-J04-SO-14</v>
      </c>
    </row>
    <row r="3405">
      <c r="A3405" t="str">
        <f>IFERROR(__xludf.DUMMYFUNCTION("""COMPUTED_VALUE"""),"2015-06-08-J04-SO-15")</f>
        <v>2015-06-08-J04-SO-15</v>
      </c>
    </row>
    <row r="3406">
      <c r="A3406" t="str">
        <f>IFERROR(__xludf.DUMMYFUNCTION("""COMPUTED_VALUE"""),"2015-06-08-J04-SO-16")</f>
        <v>2015-06-08-J04-SO-16</v>
      </c>
    </row>
    <row r="3407">
      <c r="A3407" t="str">
        <f>IFERROR(__xludf.DUMMYFUNCTION("""COMPUTED_VALUE"""),"2015-06-08-J04-SO-17")</f>
        <v>2015-06-08-J04-SO-17</v>
      </c>
    </row>
    <row r="3408">
      <c r="A3408" t="str">
        <f>IFERROR(__xludf.DUMMYFUNCTION("""COMPUTED_VALUE"""),"2015-06-08-J04-SO-18")</f>
        <v>2015-06-08-J04-SO-18</v>
      </c>
    </row>
    <row r="3409">
      <c r="A3409" t="str">
        <f>IFERROR(__xludf.DUMMYFUNCTION("""COMPUTED_VALUE"""),"2015-06-08-J04-SO-19")</f>
        <v>2015-06-08-J04-SO-19</v>
      </c>
    </row>
    <row r="3410">
      <c r="A3410" t="str">
        <f>IFERROR(__xludf.DUMMYFUNCTION("""COMPUTED_VALUE"""),"2015-06-08-J04-SO-20")</f>
        <v>2015-06-08-J04-SO-20</v>
      </c>
    </row>
    <row r="3411">
      <c r="A3411" t="str">
        <f>IFERROR(__xludf.DUMMYFUNCTION("""COMPUTED_VALUE"""),"2015-06-08-J04-SO-21")</f>
        <v>2015-06-08-J04-SO-21</v>
      </c>
    </row>
    <row r="3412">
      <c r="A3412" t="str">
        <f>IFERROR(__xludf.DUMMYFUNCTION("""COMPUTED_VALUE"""),"2015-06-08-J04-SO-22")</f>
        <v>2015-06-08-J04-SO-22</v>
      </c>
    </row>
    <row r="3413">
      <c r="A3413" t="str">
        <f>IFERROR(__xludf.DUMMYFUNCTION("""COMPUTED_VALUE"""),"2015-06-08-J04-SO-23")</f>
        <v>2015-06-08-J04-SO-23</v>
      </c>
    </row>
    <row r="3414">
      <c r="A3414" t="str">
        <f>IFERROR(__xludf.DUMMYFUNCTION("""COMPUTED_VALUE"""),"2015-06-08-J04-SO-24")</f>
        <v>2015-06-08-J04-SO-24</v>
      </c>
    </row>
    <row r="3415">
      <c r="A3415" t="str">
        <f>IFERROR(__xludf.DUMMYFUNCTION("""COMPUTED_VALUE"""),"2015-06-08-J04-SO-25")</f>
        <v>2015-06-08-J04-SO-25</v>
      </c>
    </row>
    <row r="3416">
      <c r="A3416" t="str">
        <f>IFERROR(__xludf.DUMMYFUNCTION("""COMPUTED_VALUE"""),"2015-06-08-J04-SO-26")</f>
        <v>2015-06-08-J04-SO-26</v>
      </c>
    </row>
    <row r="3417">
      <c r="A3417" t="str">
        <f>IFERROR(__xludf.DUMMYFUNCTION("""COMPUTED_VALUE"""),"2015-06-08-J04-SO-27")</f>
        <v>2015-06-08-J04-SO-27</v>
      </c>
    </row>
    <row r="3418">
      <c r="A3418" t="str">
        <f>IFERROR(__xludf.DUMMYFUNCTION("""COMPUTED_VALUE"""),"2015-06-08-J04-SO-28")</f>
        <v>2015-06-08-J04-SO-28</v>
      </c>
    </row>
    <row r="3419">
      <c r="A3419" t="str">
        <f>IFERROR(__xludf.DUMMYFUNCTION("""COMPUTED_VALUE"""),"2015-06-08-J04-SO-29")</f>
        <v>2015-06-08-J04-SO-29</v>
      </c>
    </row>
    <row r="3420">
      <c r="A3420" t="str">
        <f>IFERROR(__xludf.DUMMYFUNCTION("""COMPUTED_VALUE"""),"2015-06-08-J04-SO-30")</f>
        <v>2015-06-08-J04-SO-30</v>
      </c>
    </row>
    <row r="3421">
      <c r="A3421" t="str">
        <f>IFERROR(__xludf.DUMMYFUNCTION("""COMPUTED_VALUE"""),"2015-06-08-J03-SO-1")</f>
        <v>2015-06-08-J03-SO-1</v>
      </c>
    </row>
    <row r="3422">
      <c r="A3422" t="str">
        <f>IFERROR(__xludf.DUMMYFUNCTION("""COMPUTED_VALUE"""),"2015-06-08-J03-SO-2")</f>
        <v>2015-06-08-J03-SO-2</v>
      </c>
    </row>
    <row r="3423">
      <c r="A3423" t="str">
        <f>IFERROR(__xludf.DUMMYFUNCTION("""COMPUTED_VALUE"""),"2015-06-08-J03-SO-3")</f>
        <v>2015-06-08-J03-SO-3</v>
      </c>
    </row>
    <row r="3424">
      <c r="A3424" t="str">
        <f>IFERROR(__xludf.DUMMYFUNCTION("""COMPUTED_VALUE"""),"2015-06-08-J03-SO-4")</f>
        <v>2015-06-08-J03-SO-4</v>
      </c>
    </row>
    <row r="3425">
      <c r="A3425" t="str">
        <f>IFERROR(__xludf.DUMMYFUNCTION("""COMPUTED_VALUE"""),"2015-06-08-J03-SO-5")</f>
        <v>2015-06-08-J03-SO-5</v>
      </c>
    </row>
    <row r="3426">
      <c r="A3426" t="str">
        <f>IFERROR(__xludf.DUMMYFUNCTION("""COMPUTED_VALUE"""),"2015-06-08-J03-SO-6")</f>
        <v>2015-06-08-J03-SO-6</v>
      </c>
    </row>
    <row r="3427">
      <c r="A3427" t="str">
        <f>IFERROR(__xludf.DUMMYFUNCTION("""COMPUTED_VALUE"""),"2015-06-08-J03-SO-7")</f>
        <v>2015-06-08-J03-SO-7</v>
      </c>
    </row>
    <row r="3428">
      <c r="A3428" t="str">
        <f>IFERROR(__xludf.DUMMYFUNCTION("""COMPUTED_VALUE"""),"2015-06-08-J03-SO-8")</f>
        <v>2015-06-08-J03-SO-8</v>
      </c>
    </row>
    <row r="3429">
      <c r="A3429" t="str">
        <f>IFERROR(__xludf.DUMMYFUNCTION("""COMPUTED_VALUE"""),"2015-06-08-J03-SO-9")</f>
        <v>2015-06-08-J03-SO-9</v>
      </c>
    </row>
    <row r="3430">
      <c r="A3430" t="str">
        <f>IFERROR(__xludf.DUMMYFUNCTION("""COMPUTED_VALUE"""),"2015-06-08-J03-SO-10")</f>
        <v>2015-06-08-J03-SO-10</v>
      </c>
    </row>
    <row r="3431">
      <c r="A3431" t="str">
        <f>IFERROR(__xludf.DUMMYFUNCTION("""COMPUTED_VALUE"""),"2015-06-08-J03-SO-11")</f>
        <v>2015-06-08-J03-SO-11</v>
      </c>
    </row>
    <row r="3432">
      <c r="A3432" t="str">
        <f>IFERROR(__xludf.DUMMYFUNCTION("""COMPUTED_VALUE"""),"2015-06-08-J03-SO-12")</f>
        <v>2015-06-08-J03-SO-12</v>
      </c>
    </row>
    <row r="3433">
      <c r="A3433" t="str">
        <f>IFERROR(__xludf.DUMMYFUNCTION("""COMPUTED_VALUE"""),"2015-06-08-J03-SO-13")</f>
        <v>2015-06-08-J03-SO-13</v>
      </c>
    </row>
    <row r="3434">
      <c r="A3434" t="str">
        <f>IFERROR(__xludf.DUMMYFUNCTION("""COMPUTED_VALUE"""),"2015-06-08-J03-SO-14")</f>
        <v>2015-06-08-J03-SO-14</v>
      </c>
    </row>
    <row r="3435">
      <c r="A3435" t="str">
        <f>IFERROR(__xludf.DUMMYFUNCTION("""COMPUTED_VALUE"""),"2015-06-08-J03-SO-15")</f>
        <v>2015-06-08-J03-SO-15</v>
      </c>
    </row>
    <row r="3436">
      <c r="A3436" t="str">
        <f>IFERROR(__xludf.DUMMYFUNCTION("""COMPUTED_VALUE"""),"2015-06-08-J03-SO-16")</f>
        <v>2015-06-08-J03-SO-16</v>
      </c>
    </row>
    <row r="3437">
      <c r="A3437" t="str">
        <f>IFERROR(__xludf.DUMMYFUNCTION("""COMPUTED_VALUE"""),"2015-06-08-J03-SO-17")</f>
        <v>2015-06-08-J03-SO-17</v>
      </c>
    </row>
    <row r="3438">
      <c r="A3438" t="str">
        <f>IFERROR(__xludf.DUMMYFUNCTION("""COMPUTED_VALUE"""),"2015-06-08-J03-SO-18")</f>
        <v>2015-06-08-J03-SO-18</v>
      </c>
    </row>
    <row r="3439">
      <c r="A3439" t="str">
        <f>IFERROR(__xludf.DUMMYFUNCTION("""COMPUTED_VALUE"""),"2015-06-08-J03-SO-19")</f>
        <v>2015-06-08-J03-SO-19</v>
      </c>
    </row>
    <row r="3440">
      <c r="A3440" t="str">
        <f>IFERROR(__xludf.DUMMYFUNCTION("""COMPUTED_VALUE"""),"2015-06-08-J03-SO-20")</f>
        <v>2015-06-08-J03-SO-20</v>
      </c>
    </row>
    <row r="3441">
      <c r="A3441" t="str">
        <f>IFERROR(__xludf.DUMMYFUNCTION("""COMPUTED_VALUE"""),"2015-06-08-J03-SO-21")</f>
        <v>2015-06-08-J03-SO-21</v>
      </c>
    </row>
    <row r="3442">
      <c r="A3442" t="str">
        <f>IFERROR(__xludf.DUMMYFUNCTION("""COMPUTED_VALUE"""),"2015-06-08-J03-SO-22")</f>
        <v>2015-06-08-J03-SO-22</v>
      </c>
    </row>
    <row r="3443">
      <c r="A3443" t="str">
        <f>IFERROR(__xludf.DUMMYFUNCTION("""COMPUTED_VALUE"""),"2015-06-08-J03-SO-23")</f>
        <v>2015-06-08-J03-SO-23</v>
      </c>
    </row>
    <row r="3444">
      <c r="A3444" t="str">
        <f>IFERROR(__xludf.DUMMYFUNCTION("""COMPUTED_VALUE"""),"2015-06-08-J03-SO-24")</f>
        <v>2015-06-08-J03-SO-24</v>
      </c>
    </row>
    <row r="3445">
      <c r="A3445" t="str">
        <f>IFERROR(__xludf.DUMMYFUNCTION("""COMPUTED_VALUE"""),"2015-06-08-J03-SO-25")</f>
        <v>2015-06-08-J03-SO-25</v>
      </c>
    </row>
    <row r="3446">
      <c r="A3446" t="str">
        <f>IFERROR(__xludf.DUMMYFUNCTION("""COMPUTED_VALUE"""),"2015-06-08-J03-SO-26")</f>
        <v>2015-06-08-J03-SO-26</v>
      </c>
    </row>
    <row r="3447">
      <c r="A3447" t="str">
        <f>IFERROR(__xludf.DUMMYFUNCTION("""COMPUTED_VALUE"""),"2015-06-08-J03-SO-27")</f>
        <v>2015-06-08-J03-SO-27</v>
      </c>
    </row>
    <row r="3448">
      <c r="A3448" t="str">
        <f>IFERROR(__xludf.DUMMYFUNCTION("""COMPUTED_VALUE"""),"2015-06-08-J03-SO-28")</f>
        <v>2015-06-08-J03-SO-28</v>
      </c>
    </row>
    <row r="3449">
      <c r="A3449" t="str">
        <f>IFERROR(__xludf.DUMMYFUNCTION("""COMPUTED_VALUE"""),"2015-06-08-J03-SO-29")</f>
        <v>2015-06-08-J03-SO-29</v>
      </c>
    </row>
    <row r="3450">
      <c r="A3450" t="str">
        <f>IFERROR(__xludf.DUMMYFUNCTION("""COMPUTED_VALUE"""),"2015-06-08-J03-SO-30")</f>
        <v>2015-06-08-J03-SO-30</v>
      </c>
    </row>
    <row r="3451">
      <c r="A3451" t="str">
        <f>IFERROR(__xludf.DUMMYFUNCTION("""COMPUTED_VALUE"""),"2015-06-08-J01-SO-1")</f>
        <v>2015-06-08-J01-SO-1</v>
      </c>
    </row>
    <row r="3452">
      <c r="A3452" t="str">
        <f>IFERROR(__xludf.DUMMYFUNCTION("""COMPUTED_VALUE"""),"2015-06-08-J01-SO-2")</f>
        <v>2015-06-08-J01-SO-2</v>
      </c>
    </row>
    <row r="3453">
      <c r="A3453" t="str">
        <f>IFERROR(__xludf.DUMMYFUNCTION("""COMPUTED_VALUE"""),"2015-06-08-J01-SO-3")</f>
        <v>2015-06-08-J01-SO-3</v>
      </c>
    </row>
    <row r="3454">
      <c r="A3454" t="str">
        <f>IFERROR(__xludf.DUMMYFUNCTION("""COMPUTED_VALUE"""),"2015-06-08-J01-SO-4")</f>
        <v>2015-06-08-J01-SO-4</v>
      </c>
    </row>
    <row r="3455">
      <c r="A3455" t="str">
        <f>IFERROR(__xludf.DUMMYFUNCTION("""COMPUTED_VALUE"""),"2015-06-08-J01-SO-5")</f>
        <v>2015-06-08-J01-SO-5</v>
      </c>
    </row>
    <row r="3456">
      <c r="A3456" t="str">
        <f>IFERROR(__xludf.DUMMYFUNCTION("""COMPUTED_VALUE"""),"2015-06-08-J01-SO-6")</f>
        <v>2015-06-08-J01-SO-6</v>
      </c>
    </row>
    <row r="3457">
      <c r="A3457" t="str">
        <f>IFERROR(__xludf.DUMMYFUNCTION("""COMPUTED_VALUE"""),"2015-06-08-J01-SO-7")</f>
        <v>2015-06-08-J01-SO-7</v>
      </c>
    </row>
    <row r="3458">
      <c r="A3458" t="str">
        <f>IFERROR(__xludf.DUMMYFUNCTION("""COMPUTED_VALUE"""),"2015-06-08-J01-SO-8")</f>
        <v>2015-06-08-J01-SO-8</v>
      </c>
    </row>
    <row r="3459">
      <c r="A3459" t="str">
        <f>IFERROR(__xludf.DUMMYFUNCTION("""COMPUTED_VALUE"""),"2015-06-08-J01-SO-9")</f>
        <v>2015-06-08-J01-SO-9</v>
      </c>
    </row>
    <row r="3460">
      <c r="A3460" t="str">
        <f>IFERROR(__xludf.DUMMYFUNCTION("""COMPUTED_VALUE"""),"2015-06-08-J01-SO-10")</f>
        <v>2015-06-08-J01-SO-10</v>
      </c>
    </row>
    <row r="3461">
      <c r="A3461" t="str">
        <f>IFERROR(__xludf.DUMMYFUNCTION("""COMPUTED_VALUE"""),"2015-06-08-J01-SO-11")</f>
        <v>2015-06-08-J01-SO-11</v>
      </c>
    </row>
    <row r="3462">
      <c r="A3462" t="str">
        <f>IFERROR(__xludf.DUMMYFUNCTION("""COMPUTED_VALUE"""),"2015-06-08-J01-SO-12")</f>
        <v>2015-06-08-J01-SO-12</v>
      </c>
    </row>
    <row r="3463">
      <c r="A3463" t="str">
        <f>IFERROR(__xludf.DUMMYFUNCTION("""COMPUTED_VALUE"""),"2015-06-08-J01-SO-13")</f>
        <v>2015-06-08-J01-SO-13</v>
      </c>
    </row>
    <row r="3464">
      <c r="A3464" t="str">
        <f>IFERROR(__xludf.DUMMYFUNCTION("""COMPUTED_VALUE"""),"2015-06-08-J01-SO-14")</f>
        <v>2015-06-08-J01-SO-14</v>
      </c>
    </row>
    <row r="3465">
      <c r="A3465" t="str">
        <f>IFERROR(__xludf.DUMMYFUNCTION("""COMPUTED_VALUE"""),"2015-06-08-J01-SO-15")</f>
        <v>2015-06-08-J01-SO-15</v>
      </c>
    </row>
    <row r="3466">
      <c r="A3466" t="str">
        <f>IFERROR(__xludf.DUMMYFUNCTION("""COMPUTED_VALUE"""),"2015-06-08-J01-SO-16")</f>
        <v>2015-06-08-J01-SO-16</v>
      </c>
    </row>
    <row r="3467">
      <c r="A3467" t="str">
        <f>IFERROR(__xludf.DUMMYFUNCTION("""COMPUTED_VALUE"""),"2015-06-08-J01-SO-17")</f>
        <v>2015-06-08-J01-SO-17</v>
      </c>
    </row>
    <row r="3468">
      <c r="A3468" t="str">
        <f>IFERROR(__xludf.DUMMYFUNCTION("""COMPUTED_VALUE"""),"2015-06-08-J01-SO-18")</f>
        <v>2015-06-08-J01-SO-18</v>
      </c>
    </row>
    <row r="3469">
      <c r="A3469" t="str">
        <f>IFERROR(__xludf.DUMMYFUNCTION("""COMPUTED_VALUE"""),"2015-06-08-J01-SO-19")</f>
        <v>2015-06-08-J01-SO-19</v>
      </c>
    </row>
    <row r="3470">
      <c r="A3470" t="str">
        <f>IFERROR(__xludf.DUMMYFUNCTION("""COMPUTED_VALUE"""),"2015-06-08-J01-SO-20")</f>
        <v>2015-06-08-J01-SO-20</v>
      </c>
    </row>
    <row r="3471">
      <c r="A3471" t="str">
        <f>IFERROR(__xludf.DUMMYFUNCTION("""COMPUTED_VALUE"""),"2015-06-08-J01-SO-21")</f>
        <v>2015-06-08-J01-SO-21</v>
      </c>
    </row>
    <row r="3472">
      <c r="A3472" t="str">
        <f>IFERROR(__xludf.DUMMYFUNCTION("""COMPUTED_VALUE"""),"2015-06-08-J01-SO-22")</f>
        <v>2015-06-08-J01-SO-22</v>
      </c>
    </row>
    <row r="3473">
      <c r="A3473" t="str">
        <f>IFERROR(__xludf.DUMMYFUNCTION("""COMPUTED_VALUE"""),"2015-06-08-J01-SO-23")</f>
        <v>2015-06-08-J01-SO-23</v>
      </c>
    </row>
    <row r="3474">
      <c r="A3474" t="str">
        <f>IFERROR(__xludf.DUMMYFUNCTION("""COMPUTED_VALUE"""),"2015-06-08-J01-SO-24")</f>
        <v>2015-06-08-J01-SO-24</v>
      </c>
    </row>
    <row r="3475">
      <c r="A3475" t="str">
        <f>IFERROR(__xludf.DUMMYFUNCTION("""COMPUTED_VALUE"""),"2015-06-08-J01-SO-25")</f>
        <v>2015-06-08-J01-SO-25</v>
      </c>
    </row>
    <row r="3476">
      <c r="A3476" t="str">
        <f>IFERROR(__xludf.DUMMYFUNCTION("""COMPUTED_VALUE"""),"2015-06-08-J01-SO-26")</f>
        <v>2015-06-08-J01-SO-26</v>
      </c>
    </row>
    <row r="3477">
      <c r="A3477" t="str">
        <f>IFERROR(__xludf.DUMMYFUNCTION("""COMPUTED_VALUE"""),"2015-06-08-J01-SO-27")</f>
        <v>2015-06-08-J01-SO-27</v>
      </c>
    </row>
    <row r="3478">
      <c r="A3478" t="str">
        <f>IFERROR(__xludf.DUMMYFUNCTION("""COMPUTED_VALUE"""),"2015-06-08-J01-SO-28")</f>
        <v>2015-06-08-J01-SO-28</v>
      </c>
    </row>
    <row r="3479">
      <c r="A3479" t="str">
        <f>IFERROR(__xludf.DUMMYFUNCTION("""COMPUTED_VALUE"""),"2015-06-08-J01-SO-29")</f>
        <v>2015-06-08-J01-SO-29</v>
      </c>
    </row>
    <row r="3480">
      <c r="A3480" t="str">
        <f>IFERROR(__xludf.DUMMYFUNCTION("""COMPUTED_VALUE"""),"2015-06-08-J01-SO-30")</f>
        <v>2015-06-08-J01-SO-30</v>
      </c>
    </row>
    <row r="3481">
      <c r="A3481" t="str">
        <f>IFERROR(__xludf.DUMMYFUNCTION("""COMPUTED_VALUE"""),"2015-06-08-J04-PI-1")</f>
        <v>2015-06-08-J04-PI-1</v>
      </c>
    </row>
    <row r="3482">
      <c r="A3482" t="str">
        <f>IFERROR(__xludf.DUMMYFUNCTION("""COMPUTED_VALUE"""),"2015-06-08-J04-PI-2")</f>
        <v>2015-06-08-J04-PI-2</v>
      </c>
    </row>
    <row r="3483">
      <c r="A3483" t="str">
        <f>IFERROR(__xludf.DUMMYFUNCTION("""COMPUTED_VALUE"""),"2015-06-08-J03-PI-1")</f>
        <v>2015-06-08-J03-PI-1</v>
      </c>
    </row>
    <row r="3484">
      <c r="A3484" t="str">
        <f>IFERROR(__xludf.DUMMYFUNCTION("""COMPUTED_VALUE"""),"2015-06-08-J01-PI-1")</f>
        <v>2015-06-08-J01-PI-1</v>
      </c>
    </row>
    <row r="3485">
      <c r="A3485" t="str">
        <f>IFERROR(__xludf.DUMMYFUNCTION("""COMPUTED_VALUE"""),"2015-06-08-J01-PI-2")</f>
        <v>2015-06-08-J01-PI-2</v>
      </c>
    </row>
    <row r="3486">
      <c r="A3486" t="str">
        <f>IFERROR(__xludf.DUMMYFUNCTION("""COMPUTED_VALUE"""),"2015-06-08-J01-PI-3")</f>
        <v>2015-06-08-J01-PI-3</v>
      </c>
    </row>
    <row r="3487">
      <c r="A3487" t="str">
        <f>IFERROR(__xludf.DUMMYFUNCTION("""COMPUTED_VALUE"""),"2015-06-08-J01-PI-4")</f>
        <v>2015-06-08-J01-PI-4</v>
      </c>
    </row>
    <row r="3488">
      <c r="A3488" t="str">
        <f>IFERROR(__xludf.DUMMYFUNCTION("""COMPUTED_VALUE"""),"2015-06-08-J01-PI-5")</f>
        <v>2015-06-08-J01-PI-5</v>
      </c>
    </row>
    <row r="3489">
      <c r="A3489" t="str">
        <f>IFERROR(__xludf.DUMMYFUNCTION("""COMPUTED_VALUE"""),"2015-06-08-J01-PI-6")</f>
        <v>2015-06-08-J01-PI-6</v>
      </c>
    </row>
    <row r="3490">
      <c r="A3490" t="str">
        <f>IFERROR(__xludf.DUMMYFUNCTION("""COMPUTED_VALUE"""),"2015-06-08-J01-PI-7")</f>
        <v>2015-06-08-J01-PI-7</v>
      </c>
    </row>
    <row r="3491">
      <c r="A3491" t="str">
        <f>IFERROR(__xludf.DUMMYFUNCTION("""COMPUTED_VALUE"""),"2015-06-08-J01-PI-8")</f>
        <v>2015-06-08-J01-PI-8</v>
      </c>
    </row>
    <row r="3492">
      <c r="A3492" t="str">
        <f>IFERROR(__xludf.DUMMYFUNCTION("""COMPUTED_VALUE"""),"2015-06-08-J01-PI-9")</f>
        <v>2015-06-08-J01-PI-9</v>
      </c>
    </row>
    <row r="3493">
      <c r="A3493" t="str">
        <f>IFERROR(__xludf.DUMMYFUNCTION("""COMPUTED_VALUE"""),"2015-06-08-J01-PI-10")</f>
        <v>2015-06-08-J01-PI-10</v>
      </c>
    </row>
    <row r="3494">
      <c r="A3494" t="str">
        <f>IFERROR(__xludf.DUMMYFUNCTION("""COMPUTED_VALUE"""),"2015-06-08-J04-CU-1")</f>
        <v>2015-06-08-J04-CU-1</v>
      </c>
    </row>
    <row r="3495">
      <c r="A3495" t="str">
        <f>IFERROR(__xludf.DUMMYFUNCTION("""COMPUTED_VALUE"""),"2015-06-08-J04-CU-2")</f>
        <v>2015-06-08-J04-CU-2</v>
      </c>
    </row>
    <row r="3496">
      <c r="A3496" t="str">
        <f>IFERROR(__xludf.DUMMYFUNCTION("""COMPUTED_VALUE"""),"2015-06-08-J04-CU-3")</f>
        <v>2015-06-08-J04-CU-3</v>
      </c>
    </row>
    <row r="3497">
      <c r="A3497" t="str">
        <f>IFERROR(__xludf.DUMMYFUNCTION("""COMPUTED_VALUE"""),"2015-06-08-J04-CU-4")</f>
        <v>2015-06-08-J04-CU-4</v>
      </c>
    </row>
    <row r="3498">
      <c r="A3498" t="str">
        <f>IFERROR(__xludf.DUMMYFUNCTION("""COMPUTED_VALUE"""),"2015-06-08-J04-CU-5")</f>
        <v>2015-06-08-J04-CU-5</v>
      </c>
    </row>
    <row r="3499">
      <c r="A3499" t="str">
        <f>IFERROR(__xludf.DUMMYFUNCTION("""COMPUTED_VALUE"""),"2015-06-08-J04-CU-6")</f>
        <v>2015-06-08-J04-CU-6</v>
      </c>
    </row>
    <row r="3500">
      <c r="A3500" t="str">
        <f>IFERROR(__xludf.DUMMYFUNCTION("""COMPUTED_VALUE"""),"2015-06-08-J04-CU-7")</f>
        <v>2015-06-08-J04-CU-7</v>
      </c>
    </row>
    <row r="3501">
      <c r="A3501" t="str">
        <f>IFERROR(__xludf.DUMMYFUNCTION("""COMPUTED_VALUE"""),"2015-06-08-J04-CU-8")</f>
        <v>2015-06-08-J04-CU-8</v>
      </c>
    </row>
    <row r="3502">
      <c r="A3502" t="str">
        <f>IFERROR(__xludf.DUMMYFUNCTION("""COMPUTED_VALUE"""),"2015-06-08-J04-CU-9")</f>
        <v>2015-06-08-J04-CU-9</v>
      </c>
    </row>
    <row r="3503">
      <c r="A3503" t="str">
        <f>IFERROR(__xludf.DUMMYFUNCTION("""COMPUTED_VALUE"""),"2015-06-08-J04-CU-10")</f>
        <v>2015-06-08-J04-CU-10</v>
      </c>
    </row>
    <row r="3504">
      <c r="A3504" t="str">
        <f>IFERROR(__xludf.DUMMYFUNCTION("""COMPUTED_VALUE"""),"2015-06-08-J03-CU-1")</f>
        <v>2015-06-08-J03-CU-1</v>
      </c>
    </row>
    <row r="3505">
      <c r="A3505" t="str">
        <f>IFERROR(__xludf.DUMMYFUNCTION("""COMPUTED_VALUE"""),"2015-06-08-J03-CU-2")</f>
        <v>2015-06-08-J03-CU-2</v>
      </c>
    </row>
    <row r="3506">
      <c r="A3506" t="str">
        <f>IFERROR(__xludf.DUMMYFUNCTION("""COMPUTED_VALUE"""),"2015-06-08-J03-CU-3")</f>
        <v>2015-06-08-J03-CU-3</v>
      </c>
    </row>
    <row r="3507">
      <c r="A3507" t="str">
        <f>IFERROR(__xludf.DUMMYFUNCTION("""COMPUTED_VALUE"""),"2015-06-08-J03-CU-4")</f>
        <v>2015-06-08-J03-CU-4</v>
      </c>
    </row>
    <row r="3508">
      <c r="A3508" t="str">
        <f>IFERROR(__xludf.DUMMYFUNCTION("""COMPUTED_VALUE"""),"2015-06-08-J03-CU-5")</f>
        <v>2015-06-08-J03-CU-5</v>
      </c>
    </row>
    <row r="3509">
      <c r="A3509" t="str">
        <f>IFERROR(__xludf.DUMMYFUNCTION("""COMPUTED_VALUE"""),"2015-06-08-J03-CU-6")</f>
        <v>2015-06-08-J03-CU-6</v>
      </c>
    </row>
    <row r="3510">
      <c r="A3510" t="str">
        <f>IFERROR(__xludf.DUMMYFUNCTION("""COMPUTED_VALUE"""),"2015-06-08-J03-CU-7")</f>
        <v>2015-06-08-J03-CU-7</v>
      </c>
    </row>
    <row r="3511">
      <c r="A3511" t="str">
        <f>IFERROR(__xludf.DUMMYFUNCTION("""COMPUTED_VALUE"""),"2015-06-08-J03-CU-8")</f>
        <v>2015-06-08-J03-CU-8</v>
      </c>
    </row>
    <row r="3512">
      <c r="A3512" t="str">
        <f>IFERROR(__xludf.DUMMYFUNCTION("""COMPUTED_VALUE"""),"2015-06-08-J03-CU-9")</f>
        <v>2015-06-08-J03-CU-9</v>
      </c>
    </row>
    <row r="3513">
      <c r="A3513" t="str">
        <f>IFERROR(__xludf.DUMMYFUNCTION("""COMPUTED_VALUE"""),"2015-06-08-J03-CU-10")</f>
        <v>2015-06-08-J03-CU-10</v>
      </c>
    </row>
    <row r="3514">
      <c r="A3514" t="str">
        <f>IFERROR(__xludf.DUMMYFUNCTION("""COMPUTED_VALUE"""),"2015-06-08-J01-CU-1")</f>
        <v>2015-06-08-J01-CU-1</v>
      </c>
    </row>
    <row r="3515">
      <c r="A3515" t="str">
        <f>IFERROR(__xludf.DUMMYFUNCTION("""COMPUTED_VALUE"""),"2015-06-08-J01-CU-2")</f>
        <v>2015-06-08-J01-CU-2</v>
      </c>
    </row>
    <row r="3516">
      <c r="A3516" t="str">
        <f>IFERROR(__xludf.DUMMYFUNCTION("""COMPUTED_VALUE"""),"2015-06-08-J01-CU-3")</f>
        <v>2015-06-08-J01-CU-3</v>
      </c>
    </row>
    <row r="3517">
      <c r="A3517" t="str">
        <f>IFERROR(__xludf.DUMMYFUNCTION("""COMPUTED_VALUE"""),"2015-06-08-J01-CU-4")</f>
        <v>2015-06-08-J01-CU-4</v>
      </c>
    </row>
    <row r="3518">
      <c r="A3518" t="str">
        <f>IFERROR(__xludf.DUMMYFUNCTION("""COMPUTED_VALUE"""),"2015-06-08-J01-CU-5")</f>
        <v>2015-06-08-J01-CU-5</v>
      </c>
    </row>
    <row r="3519">
      <c r="A3519" t="str">
        <f>IFERROR(__xludf.DUMMYFUNCTION("""COMPUTED_VALUE"""),"2015-06-08-J01-CU-6")</f>
        <v>2015-06-08-J01-CU-6</v>
      </c>
    </row>
    <row r="3520">
      <c r="A3520" t="str">
        <f>IFERROR(__xludf.DUMMYFUNCTION("""COMPUTED_VALUE"""),"2015-06-08-J01-CU-7")</f>
        <v>2015-06-08-J01-CU-7</v>
      </c>
    </row>
    <row r="3521">
      <c r="A3521" t="str">
        <f>IFERROR(__xludf.DUMMYFUNCTION("""COMPUTED_VALUE"""),"2015-06-08-J01-CU-8")</f>
        <v>2015-06-08-J01-CU-8</v>
      </c>
    </row>
    <row r="3522">
      <c r="A3522" t="str">
        <f>IFERROR(__xludf.DUMMYFUNCTION("""COMPUTED_VALUE"""),"2015-06-08-J01-CU-9")</f>
        <v>2015-06-08-J01-CU-9</v>
      </c>
    </row>
    <row r="3523">
      <c r="A3523" t="str">
        <f>IFERROR(__xludf.DUMMYFUNCTION("""COMPUTED_VALUE"""),"2015-06-08-J01-CU-10")</f>
        <v>2015-06-08-J01-CU-10</v>
      </c>
    </row>
    <row r="3524">
      <c r="A3524" t="str">
        <f>IFERROR(__xludf.DUMMYFUNCTION("""COMPUTED_VALUE"""),"2015-06-08-J04-CO-1")</f>
        <v>2015-06-08-J04-CO-1</v>
      </c>
    </row>
    <row r="3525">
      <c r="A3525" t="str">
        <f>IFERROR(__xludf.DUMMYFUNCTION("""COMPUTED_VALUE"""),"2015-06-08-J01-CO-1")</f>
        <v>2015-06-08-J01-CO-1</v>
      </c>
    </row>
    <row r="3526">
      <c r="A3526" t="str">
        <f>IFERROR(__xludf.DUMMYFUNCTION("""COMPUTED_VALUE"""),"2015-06-08-J01-CO-2")</f>
        <v>2015-06-08-J01-CO-2</v>
      </c>
    </row>
    <row r="3527">
      <c r="A3527" t="str">
        <f>IFERROR(__xludf.DUMMYFUNCTION("""COMPUTED_VALUE"""),"2015-06-08-J01-CO-3")</f>
        <v>2015-06-08-J01-CO-3</v>
      </c>
    </row>
    <row r="3528">
      <c r="A3528" t="str">
        <f>IFERROR(__xludf.DUMMYFUNCTION("""COMPUTED_VALUE"""),"2015-06-08-J04-HE-1")</f>
        <v>2015-06-08-J04-HE-1</v>
      </c>
    </row>
    <row r="3529">
      <c r="A3529" t="str">
        <f>IFERROR(__xludf.DUMMYFUNCTION("""COMPUTED_VALUE"""),"2015-06-08-J04-HE-2")</f>
        <v>2015-06-08-J04-HE-2</v>
      </c>
    </row>
    <row r="3530">
      <c r="A3530" t="str">
        <f>IFERROR(__xludf.DUMMYFUNCTION("""COMPUTED_VALUE"""),"2015-06-08-J03-HE-1")</f>
        <v>2015-06-08-J03-HE-1</v>
      </c>
    </row>
    <row r="3531">
      <c r="A3531" t="str">
        <f>IFERROR(__xludf.DUMMYFUNCTION("""COMPUTED_VALUE"""),"2015-06-08-J03-HE-2")</f>
        <v>2015-06-08-J03-HE-2</v>
      </c>
    </row>
    <row r="3532">
      <c r="A3532" t="str">
        <f>IFERROR(__xludf.DUMMYFUNCTION("""COMPUTED_VALUE"""),"2015-06-09-D09-SO-1")</f>
        <v>2015-06-09-D09-SO-1</v>
      </c>
    </row>
    <row r="3533">
      <c r="A3533" t="str">
        <f>IFERROR(__xludf.DUMMYFUNCTION("""COMPUTED_VALUE"""),"2015-06-09-D09-SO-2")</f>
        <v>2015-06-09-D09-SO-2</v>
      </c>
    </row>
    <row r="3534">
      <c r="A3534" t="str">
        <f>IFERROR(__xludf.DUMMYFUNCTION("""COMPUTED_VALUE"""),"2015-06-09-D09-SO-3")</f>
        <v>2015-06-09-D09-SO-3</v>
      </c>
    </row>
    <row r="3535">
      <c r="A3535" t="str">
        <f>IFERROR(__xludf.DUMMYFUNCTION("""COMPUTED_VALUE"""),"2015-06-09-D09-SO-4")</f>
        <v>2015-06-09-D09-SO-4</v>
      </c>
    </row>
    <row r="3536">
      <c r="A3536" t="str">
        <f>IFERROR(__xludf.DUMMYFUNCTION("""COMPUTED_VALUE"""),"2015-06-09-D09-SO-5")</f>
        <v>2015-06-09-D09-SO-5</v>
      </c>
    </row>
    <row r="3537">
      <c r="A3537" t="str">
        <f>IFERROR(__xludf.DUMMYFUNCTION("""COMPUTED_VALUE"""),"2015-06-09-D09-SO-6")</f>
        <v>2015-06-09-D09-SO-6</v>
      </c>
    </row>
    <row r="3538">
      <c r="A3538" t="str">
        <f>IFERROR(__xludf.DUMMYFUNCTION("""COMPUTED_VALUE"""),"2015-06-09-D09-SO-7")</f>
        <v>2015-06-09-D09-SO-7</v>
      </c>
    </row>
    <row r="3539">
      <c r="A3539" t="str">
        <f>IFERROR(__xludf.DUMMYFUNCTION("""COMPUTED_VALUE"""),"2015-06-09-D09-SO-8")</f>
        <v>2015-06-09-D09-SO-8</v>
      </c>
    </row>
    <row r="3540">
      <c r="A3540" t="str">
        <f>IFERROR(__xludf.DUMMYFUNCTION("""COMPUTED_VALUE"""),"2015-06-09-D09-SO-9")</f>
        <v>2015-06-09-D09-SO-9</v>
      </c>
    </row>
    <row r="3541">
      <c r="A3541" t="str">
        <f>IFERROR(__xludf.DUMMYFUNCTION("""COMPUTED_VALUE"""),"2015-06-09-D09-SO-10")</f>
        <v>2015-06-09-D09-SO-10</v>
      </c>
    </row>
    <row r="3542">
      <c r="A3542" t="str">
        <f>IFERROR(__xludf.DUMMYFUNCTION("""COMPUTED_VALUE"""),"2015-06-09-D09-SO-11")</f>
        <v>2015-06-09-D09-SO-11</v>
      </c>
    </row>
    <row r="3543">
      <c r="A3543" t="str">
        <f>IFERROR(__xludf.DUMMYFUNCTION("""COMPUTED_VALUE"""),"2015-06-09-D09-SO-12")</f>
        <v>2015-06-09-D09-SO-12</v>
      </c>
    </row>
    <row r="3544">
      <c r="A3544" t="str">
        <f>IFERROR(__xludf.DUMMYFUNCTION("""COMPUTED_VALUE"""),"2015-06-09-D09-SO-13")</f>
        <v>2015-06-09-D09-SO-13</v>
      </c>
    </row>
    <row r="3545">
      <c r="A3545" t="str">
        <f>IFERROR(__xludf.DUMMYFUNCTION("""COMPUTED_VALUE"""),"2015-06-09-D09-SO-14")</f>
        <v>2015-06-09-D09-SO-14</v>
      </c>
    </row>
    <row r="3546">
      <c r="A3546" t="str">
        <f>IFERROR(__xludf.DUMMYFUNCTION("""COMPUTED_VALUE"""),"2015-06-09-D09-SO-15")</f>
        <v>2015-06-09-D09-SO-15</v>
      </c>
    </row>
    <row r="3547">
      <c r="A3547" t="str">
        <f>IFERROR(__xludf.DUMMYFUNCTION("""COMPUTED_VALUE"""),"2015-06-09-D09-SO-16")</f>
        <v>2015-06-09-D09-SO-16</v>
      </c>
    </row>
    <row r="3548">
      <c r="A3548" t="str">
        <f>IFERROR(__xludf.DUMMYFUNCTION("""COMPUTED_VALUE"""),"2015-06-09-D09-SO-17")</f>
        <v>2015-06-09-D09-SO-17</v>
      </c>
    </row>
    <row r="3549">
      <c r="A3549" t="str">
        <f>IFERROR(__xludf.DUMMYFUNCTION("""COMPUTED_VALUE"""),"2015-06-09-D09-SO-18")</f>
        <v>2015-06-09-D09-SO-18</v>
      </c>
    </row>
    <row r="3550">
      <c r="A3550" t="str">
        <f>IFERROR(__xludf.DUMMYFUNCTION("""COMPUTED_VALUE"""),"2015-06-09-D09-SO-19")</f>
        <v>2015-06-09-D09-SO-19</v>
      </c>
    </row>
    <row r="3551">
      <c r="A3551" t="str">
        <f>IFERROR(__xludf.DUMMYFUNCTION("""COMPUTED_VALUE"""),"2015-06-09-D09-SO-20")</f>
        <v>2015-06-09-D09-SO-20</v>
      </c>
    </row>
    <row r="3552">
      <c r="A3552" t="str">
        <f>IFERROR(__xludf.DUMMYFUNCTION("""COMPUTED_VALUE"""),"2015-06-09-D09-SO-21")</f>
        <v>2015-06-09-D09-SO-21</v>
      </c>
    </row>
    <row r="3553">
      <c r="A3553" t="str">
        <f>IFERROR(__xludf.DUMMYFUNCTION("""COMPUTED_VALUE"""),"2015-06-09-D09-SO-22")</f>
        <v>2015-06-09-D09-SO-22</v>
      </c>
    </row>
    <row r="3554">
      <c r="A3554" t="str">
        <f>IFERROR(__xludf.DUMMYFUNCTION("""COMPUTED_VALUE"""),"2015-06-09-D09-SO-23")</f>
        <v>2015-06-09-D09-SO-23</v>
      </c>
    </row>
    <row r="3555">
      <c r="A3555" t="str">
        <f>IFERROR(__xludf.DUMMYFUNCTION("""COMPUTED_VALUE"""),"2015-06-09-D09-SO-24")</f>
        <v>2015-06-09-D09-SO-24</v>
      </c>
    </row>
    <row r="3556">
      <c r="A3556" t="str">
        <f>IFERROR(__xludf.DUMMYFUNCTION("""COMPUTED_VALUE"""),"2015-06-09-D09-SO-25")</f>
        <v>2015-06-09-D09-SO-25</v>
      </c>
    </row>
    <row r="3557">
      <c r="A3557" t="str">
        <f>IFERROR(__xludf.DUMMYFUNCTION("""COMPUTED_VALUE"""),"2015-06-09-D09-SO-26")</f>
        <v>2015-06-09-D09-SO-26</v>
      </c>
    </row>
    <row r="3558">
      <c r="A3558" t="str">
        <f>IFERROR(__xludf.DUMMYFUNCTION("""COMPUTED_VALUE"""),"2015-06-09-D09-SO-27")</f>
        <v>2015-06-09-D09-SO-27</v>
      </c>
    </row>
    <row r="3559">
      <c r="A3559" t="str">
        <f>IFERROR(__xludf.DUMMYFUNCTION("""COMPUTED_VALUE"""),"2015-06-09-D07-SO-1")</f>
        <v>2015-06-09-D07-SO-1</v>
      </c>
    </row>
    <row r="3560">
      <c r="A3560" t="str">
        <f>IFERROR(__xludf.DUMMYFUNCTION("""COMPUTED_VALUE"""),"2015-06-09-D07-SO-2")</f>
        <v>2015-06-09-D07-SO-2</v>
      </c>
    </row>
    <row r="3561">
      <c r="A3561" t="str">
        <f>IFERROR(__xludf.DUMMYFUNCTION("""COMPUTED_VALUE"""),"2015-06-09-D07-SO-3")</f>
        <v>2015-06-09-D07-SO-3</v>
      </c>
    </row>
    <row r="3562">
      <c r="A3562" t="str">
        <f>IFERROR(__xludf.DUMMYFUNCTION("""COMPUTED_VALUE"""),"2015-06-09-D07-SO-4")</f>
        <v>2015-06-09-D07-SO-4</v>
      </c>
    </row>
    <row r="3563">
      <c r="A3563" t="str">
        <f>IFERROR(__xludf.DUMMYFUNCTION("""COMPUTED_VALUE"""),"2015-06-09-D07-SO-5")</f>
        <v>2015-06-09-D07-SO-5</v>
      </c>
    </row>
    <row r="3564">
      <c r="A3564" t="str">
        <f>IFERROR(__xludf.DUMMYFUNCTION("""COMPUTED_VALUE"""),"2015-06-09-D07-SO-6")</f>
        <v>2015-06-09-D07-SO-6</v>
      </c>
    </row>
    <row r="3565">
      <c r="A3565" t="str">
        <f>IFERROR(__xludf.DUMMYFUNCTION("""COMPUTED_VALUE"""),"2015-06-09-D07-SO-7")</f>
        <v>2015-06-09-D07-SO-7</v>
      </c>
    </row>
    <row r="3566">
      <c r="A3566" t="str">
        <f>IFERROR(__xludf.DUMMYFUNCTION("""COMPUTED_VALUE"""),"2015-06-09-D07-SO-8")</f>
        <v>2015-06-09-D07-SO-8</v>
      </c>
    </row>
    <row r="3567">
      <c r="A3567" t="str">
        <f>IFERROR(__xludf.DUMMYFUNCTION("""COMPUTED_VALUE"""),"2015-06-09-D07-SO-9")</f>
        <v>2015-06-09-D07-SO-9</v>
      </c>
    </row>
    <row r="3568">
      <c r="A3568" t="str">
        <f>IFERROR(__xludf.DUMMYFUNCTION("""COMPUTED_VALUE"""),"2015-06-09-D07-SO-10")</f>
        <v>2015-06-09-D07-SO-10</v>
      </c>
    </row>
    <row r="3569">
      <c r="A3569" t="str">
        <f>IFERROR(__xludf.DUMMYFUNCTION("""COMPUTED_VALUE"""),"2015-06-09-D07-SO-11")</f>
        <v>2015-06-09-D07-SO-11</v>
      </c>
    </row>
    <row r="3570">
      <c r="A3570" t="str">
        <f>IFERROR(__xludf.DUMMYFUNCTION("""COMPUTED_VALUE"""),"2015-06-09-D07-SO-12")</f>
        <v>2015-06-09-D07-SO-12</v>
      </c>
    </row>
    <row r="3571">
      <c r="A3571" t="str">
        <f>IFERROR(__xludf.DUMMYFUNCTION("""COMPUTED_VALUE"""),"2015-06-09-D07-SO-13")</f>
        <v>2015-06-09-D07-SO-13</v>
      </c>
    </row>
    <row r="3572">
      <c r="A3572" t="str">
        <f>IFERROR(__xludf.DUMMYFUNCTION("""COMPUTED_VALUE"""),"2015-06-09-D07-SO-14")</f>
        <v>2015-06-09-D07-SO-14</v>
      </c>
    </row>
    <row r="3573">
      <c r="A3573" t="str">
        <f>IFERROR(__xludf.DUMMYFUNCTION("""COMPUTED_VALUE"""),"2015-06-09-D07-SO-15")</f>
        <v>2015-06-09-D07-SO-15</v>
      </c>
    </row>
    <row r="3574">
      <c r="A3574" t="str">
        <f>IFERROR(__xludf.DUMMYFUNCTION("""COMPUTED_VALUE"""),"2015-06-09-D07-SO-16")</f>
        <v>2015-06-09-D07-SO-16</v>
      </c>
    </row>
    <row r="3575">
      <c r="A3575" t="str">
        <f>IFERROR(__xludf.DUMMYFUNCTION("""COMPUTED_VALUE"""),"2015-06-09-D07-SO-17")</f>
        <v>2015-06-09-D07-SO-17</v>
      </c>
    </row>
    <row r="3576">
      <c r="A3576" t="str">
        <f>IFERROR(__xludf.DUMMYFUNCTION("""COMPUTED_VALUE"""),"2015-06-09-D07-SO-18")</f>
        <v>2015-06-09-D07-SO-18</v>
      </c>
    </row>
    <row r="3577">
      <c r="A3577" t="str">
        <f>IFERROR(__xludf.DUMMYFUNCTION("""COMPUTED_VALUE"""),"2015-06-09-D07-SO-19")</f>
        <v>2015-06-09-D07-SO-19</v>
      </c>
    </row>
    <row r="3578">
      <c r="A3578" t="str">
        <f>IFERROR(__xludf.DUMMYFUNCTION("""COMPUTED_VALUE"""),"2015-06-09-D07-SO-20")</f>
        <v>2015-06-09-D07-SO-20</v>
      </c>
    </row>
    <row r="3579">
      <c r="A3579" t="str">
        <f>IFERROR(__xludf.DUMMYFUNCTION("""COMPUTED_VALUE"""),"2015-06-09-D07-SO-21")</f>
        <v>2015-06-09-D07-SO-21</v>
      </c>
    </row>
    <row r="3580">
      <c r="A3580" t="str">
        <f>IFERROR(__xludf.DUMMYFUNCTION("""COMPUTED_VALUE"""),"2015-06-09-D07-SO-22")</f>
        <v>2015-06-09-D07-SO-22</v>
      </c>
    </row>
    <row r="3581">
      <c r="A3581" t="str">
        <f>IFERROR(__xludf.DUMMYFUNCTION("""COMPUTED_VALUE"""),"2015-06-09-D07-SO-23")</f>
        <v>2015-06-09-D07-SO-23</v>
      </c>
    </row>
    <row r="3582">
      <c r="A3582" t="str">
        <f>IFERROR(__xludf.DUMMYFUNCTION("""COMPUTED_VALUE"""),"2015-06-09-D07-SO-24")</f>
        <v>2015-06-09-D07-SO-24</v>
      </c>
    </row>
    <row r="3583">
      <c r="A3583" t="str">
        <f>IFERROR(__xludf.DUMMYFUNCTION("""COMPUTED_VALUE"""),"2015-06-09-D07-SO-25")</f>
        <v>2015-06-09-D07-SO-25</v>
      </c>
    </row>
    <row r="3584">
      <c r="A3584" t="str">
        <f>IFERROR(__xludf.DUMMYFUNCTION("""COMPUTED_VALUE"""),"2015-06-09-D07-SO-26")</f>
        <v>2015-06-09-D07-SO-26</v>
      </c>
    </row>
    <row r="3585">
      <c r="A3585" t="str">
        <f>IFERROR(__xludf.DUMMYFUNCTION("""COMPUTED_VALUE"""),"2015-06-09-D07-SO-27")</f>
        <v>2015-06-09-D07-SO-27</v>
      </c>
    </row>
    <row r="3586">
      <c r="A3586" t="str">
        <f>IFERROR(__xludf.DUMMYFUNCTION("""COMPUTED_VALUE"""),"2015-06-09-D07-SO-28")</f>
        <v>2015-06-09-D07-SO-28</v>
      </c>
    </row>
    <row r="3587">
      <c r="A3587" t="str">
        <f>IFERROR(__xludf.DUMMYFUNCTION("""COMPUTED_VALUE"""),"2015-06-09-D07-SO-29")</f>
        <v>2015-06-09-D07-SO-29</v>
      </c>
    </row>
    <row r="3588">
      <c r="A3588" t="str">
        <f>IFERROR(__xludf.DUMMYFUNCTION("""COMPUTED_VALUE"""),"2015-06-09-D07-SO-30")</f>
        <v>2015-06-09-D07-SO-30</v>
      </c>
    </row>
    <row r="3589">
      <c r="A3589" t="str">
        <f>IFERROR(__xludf.DUMMYFUNCTION("""COMPUTED_VALUE"""),"2015-06-09-J02-SO-1")</f>
        <v>2015-06-09-J02-SO-1</v>
      </c>
    </row>
    <row r="3590">
      <c r="A3590" t="str">
        <f>IFERROR(__xludf.DUMMYFUNCTION("""COMPUTED_VALUE"""),"2015-06-09-J02-SO-2")</f>
        <v>2015-06-09-J02-SO-2</v>
      </c>
    </row>
    <row r="3591">
      <c r="A3591" t="str">
        <f>IFERROR(__xludf.DUMMYFUNCTION("""COMPUTED_VALUE"""),"2015-06-09-J02-SO-3")</f>
        <v>2015-06-09-J02-SO-3</v>
      </c>
    </row>
    <row r="3592">
      <c r="A3592" t="str">
        <f>IFERROR(__xludf.DUMMYFUNCTION("""COMPUTED_VALUE"""),"2015-06-09-J02-SO-4")</f>
        <v>2015-06-09-J02-SO-4</v>
      </c>
    </row>
    <row r="3593">
      <c r="A3593" t="str">
        <f>IFERROR(__xludf.DUMMYFUNCTION("""COMPUTED_VALUE"""),"2015-06-09-J02-SO-5")</f>
        <v>2015-06-09-J02-SO-5</v>
      </c>
    </row>
    <row r="3594">
      <c r="A3594" t="str">
        <f>IFERROR(__xludf.DUMMYFUNCTION("""COMPUTED_VALUE"""),"2015-06-09-J02-SO-6")</f>
        <v>2015-06-09-J02-SO-6</v>
      </c>
    </row>
    <row r="3595">
      <c r="A3595" t="str">
        <f>IFERROR(__xludf.DUMMYFUNCTION("""COMPUTED_VALUE"""),"2015-06-09-J02-SO-7")</f>
        <v>2015-06-09-J02-SO-7</v>
      </c>
    </row>
    <row r="3596">
      <c r="A3596" t="str">
        <f>IFERROR(__xludf.DUMMYFUNCTION("""COMPUTED_VALUE"""),"2015-06-09-J02-SO-8")</f>
        <v>2015-06-09-J02-SO-8</v>
      </c>
    </row>
    <row r="3597">
      <c r="A3597" t="str">
        <f>IFERROR(__xludf.DUMMYFUNCTION("""COMPUTED_VALUE"""),"2015-06-09-J02-SO-9")</f>
        <v>2015-06-09-J02-SO-9</v>
      </c>
    </row>
    <row r="3598">
      <c r="A3598" t="str">
        <f>IFERROR(__xludf.DUMMYFUNCTION("""COMPUTED_VALUE"""),"2015-06-09-J02-SO-10")</f>
        <v>2015-06-09-J02-SO-10</v>
      </c>
    </row>
    <row r="3599">
      <c r="A3599" t="str">
        <f>IFERROR(__xludf.DUMMYFUNCTION("""COMPUTED_VALUE"""),"2015-06-09-J02-SO-11")</f>
        <v>2015-06-09-J02-SO-11</v>
      </c>
    </row>
    <row r="3600">
      <c r="A3600" t="str">
        <f>IFERROR(__xludf.DUMMYFUNCTION("""COMPUTED_VALUE"""),"2015-06-09-J02-SO-12")</f>
        <v>2015-06-09-J02-SO-12</v>
      </c>
    </row>
    <row r="3601">
      <c r="A3601" t="str">
        <f>IFERROR(__xludf.DUMMYFUNCTION("""COMPUTED_VALUE"""),"2015-06-09-J02-SO-13")</f>
        <v>2015-06-09-J02-SO-13</v>
      </c>
    </row>
    <row r="3602">
      <c r="A3602" t="str">
        <f>IFERROR(__xludf.DUMMYFUNCTION("""COMPUTED_VALUE"""),"2015-06-09-J02-SO-14")</f>
        <v>2015-06-09-J02-SO-14</v>
      </c>
    </row>
    <row r="3603">
      <c r="A3603" t="str">
        <f>IFERROR(__xludf.DUMMYFUNCTION("""COMPUTED_VALUE"""),"2015-06-09-J02-SO-15")</f>
        <v>2015-06-09-J02-SO-15</v>
      </c>
    </row>
    <row r="3604">
      <c r="A3604" t="str">
        <f>IFERROR(__xludf.DUMMYFUNCTION("""COMPUTED_VALUE"""),"2015-06-09-J02-SO-16")</f>
        <v>2015-06-09-J02-SO-16</v>
      </c>
    </row>
    <row r="3605">
      <c r="A3605" t="str">
        <f>IFERROR(__xludf.DUMMYFUNCTION("""COMPUTED_VALUE"""),"2015-06-09-J02-SO-17")</f>
        <v>2015-06-09-J02-SO-17</v>
      </c>
    </row>
    <row r="3606">
      <c r="A3606" t="str">
        <f>IFERROR(__xludf.DUMMYFUNCTION("""COMPUTED_VALUE"""),"2015-06-09-J02-SO-18")</f>
        <v>2015-06-09-J02-SO-18</v>
      </c>
    </row>
    <row r="3607">
      <c r="A3607" t="str">
        <f>IFERROR(__xludf.DUMMYFUNCTION("""COMPUTED_VALUE"""),"2015-06-09-J02-SO-19")</f>
        <v>2015-06-09-J02-SO-19</v>
      </c>
    </row>
    <row r="3608">
      <c r="A3608" t="str">
        <f>IFERROR(__xludf.DUMMYFUNCTION("""COMPUTED_VALUE"""),"2015-06-09-J02-SO-20")</f>
        <v>2015-06-09-J02-SO-20</v>
      </c>
    </row>
    <row r="3609">
      <c r="A3609" t="str">
        <f>IFERROR(__xludf.DUMMYFUNCTION("""COMPUTED_VALUE"""),"2015-06-09-J02-SO-21")</f>
        <v>2015-06-09-J02-SO-21</v>
      </c>
    </row>
    <row r="3610">
      <c r="A3610" t="str">
        <f>IFERROR(__xludf.DUMMYFUNCTION("""COMPUTED_VALUE"""),"2015-06-09-J02-SO-22")</f>
        <v>2015-06-09-J02-SO-22</v>
      </c>
    </row>
    <row r="3611">
      <c r="A3611" t="str">
        <f>IFERROR(__xludf.DUMMYFUNCTION("""COMPUTED_VALUE"""),"2015-06-09-J02-SO-23")</f>
        <v>2015-06-09-J02-SO-23</v>
      </c>
    </row>
    <row r="3612">
      <c r="A3612" t="str">
        <f>IFERROR(__xludf.DUMMYFUNCTION("""COMPUTED_VALUE"""),"2015-06-09-J02-SO-24")</f>
        <v>2015-06-09-J02-SO-24</v>
      </c>
    </row>
    <row r="3613">
      <c r="A3613" t="str">
        <f>IFERROR(__xludf.DUMMYFUNCTION("""COMPUTED_VALUE"""),"2015-06-09-J02-SO-25")</f>
        <v>2015-06-09-J02-SO-25</v>
      </c>
    </row>
    <row r="3614">
      <c r="A3614" t="str">
        <f>IFERROR(__xludf.DUMMYFUNCTION("""COMPUTED_VALUE"""),"2015-06-09-J02-SO-26")</f>
        <v>2015-06-09-J02-SO-26</v>
      </c>
    </row>
    <row r="3615">
      <c r="A3615" t="str">
        <f>IFERROR(__xludf.DUMMYFUNCTION("""COMPUTED_VALUE"""),"2015-06-09-J02-SO-27")</f>
        <v>2015-06-09-J02-SO-27</v>
      </c>
    </row>
    <row r="3616">
      <c r="A3616" t="str">
        <f>IFERROR(__xludf.DUMMYFUNCTION("""COMPUTED_VALUE"""),"2015-06-09-J02-SO-28")</f>
        <v>2015-06-09-J02-SO-28</v>
      </c>
    </row>
    <row r="3617">
      <c r="A3617" t="str">
        <f>IFERROR(__xludf.DUMMYFUNCTION("""COMPUTED_VALUE"""),"2015-06-09-J02-SO-29")</f>
        <v>2015-06-09-J02-SO-29</v>
      </c>
    </row>
    <row r="3618">
      <c r="A3618" t="str">
        <f>IFERROR(__xludf.DUMMYFUNCTION("""COMPUTED_VALUE"""),"2015-06-09-J02-SO-30")</f>
        <v>2015-06-09-J02-SO-30</v>
      </c>
    </row>
    <row r="3619">
      <c r="A3619" t="str">
        <f>IFERROR(__xludf.DUMMYFUNCTION("""COMPUTED_VALUE"""),"2015-06-09-D09-PI-1")</f>
        <v>2015-06-09-D09-PI-1</v>
      </c>
    </row>
    <row r="3620">
      <c r="A3620" t="str">
        <f>IFERROR(__xludf.DUMMYFUNCTION("""COMPUTED_VALUE"""),"2015-06-09-D07-PI-1")</f>
        <v>2015-06-09-D07-PI-1</v>
      </c>
    </row>
    <row r="3621">
      <c r="A3621" t="str">
        <f>IFERROR(__xludf.DUMMYFUNCTION("""COMPUTED_VALUE"""),"2015-06-09-D07-PI-2")</f>
        <v>2015-06-09-D07-PI-2</v>
      </c>
    </row>
    <row r="3622">
      <c r="A3622" t="str">
        <f>IFERROR(__xludf.DUMMYFUNCTION("""COMPUTED_VALUE"""),"2015-06-09-D09-CU-1")</f>
        <v>2015-06-09-D09-CU-1</v>
      </c>
    </row>
    <row r="3623">
      <c r="A3623" t="str">
        <f>IFERROR(__xludf.DUMMYFUNCTION("""COMPUTED_VALUE"""),"2015-06-09-D09-CU-2")</f>
        <v>2015-06-09-D09-CU-2</v>
      </c>
    </row>
    <row r="3624">
      <c r="A3624" t="str">
        <f>IFERROR(__xludf.DUMMYFUNCTION("""COMPUTED_VALUE"""),"2015-06-09-D09-CU-3")</f>
        <v>2015-06-09-D09-CU-3</v>
      </c>
    </row>
    <row r="3625">
      <c r="A3625" t="str">
        <f>IFERROR(__xludf.DUMMYFUNCTION("""COMPUTED_VALUE"""),"2015-06-09-D09-CU-4")</f>
        <v>2015-06-09-D09-CU-4</v>
      </c>
    </row>
    <row r="3626">
      <c r="A3626" t="str">
        <f>IFERROR(__xludf.DUMMYFUNCTION("""COMPUTED_VALUE"""),"2015-06-09-D09-CU-5")</f>
        <v>2015-06-09-D09-CU-5</v>
      </c>
    </row>
    <row r="3627">
      <c r="A3627" t="str">
        <f>IFERROR(__xludf.DUMMYFUNCTION("""COMPUTED_VALUE"""),"2015-06-09-D09-CU-6")</f>
        <v>2015-06-09-D09-CU-6</v>
      </c>
    </row>
    <row r="3628">
      <c r="A3628" t="str">
        <f>IFERROR(__xludf.DUMMYFUNCTION("""COMPUTED_VALUE"""),"2015-06-09-D09-CU-7")</f>
        <v>2015-06-09-D09-CU-7</v>
      </c>
    </row>
    <row r="3629">
      <c r="A3629" t="str">
        <f>IFERROR(__xludf.DUMMYFUNCTION("""COMPUTED_VALUE"""),"2015-06-09-D09-CU-8")</f>
        <v>2015-06-09-D09-CU-8</v>
      </c>
    </row>
    <row r="3630">
      <c r="A3630" t="str">
        <f>IFERROR(__xludf.DUMMYFUNCTION("""COMPUTED_VALUE"""),"2015-06-09-D09-CU-9")</f>
        <v>2015-06-09-D09-CU-9</v>
      </c>
    </row>
    <row r="3631">
      <c r="A3631" t="str">
        <f>IFERROR(__xludf.DUMMYFUNCTION("""COMPUTED_VALUE"""),"2015-06-09-D09-CU-10")</f>
        <v>2015-06-09-D09-CU-10</v>
      </c>
    </row>
    <row r="3632">
      <c r="A3632" t="str">
        <f>IFERROR(__xludf.DUMMYFUNCTION("""COMPUTED_VALUE"""),"2015-06-09-D07-CU-1")</f>
        <v>2015-06-09-D07-CU-1</v>
      </c>
    </row>
    <row r="3633">
      <c r="A3633" t="str">
        <f>IFERROR(__xludf.DUMMYFUNCTION("""COMPUTED_VALUE"""),"2015-06-09-D07-CU-2")</f>
        <v>2015-06-09-D07-CU-2</v>
      </c>
    </row>
    <row r="3634">
      <c r="A3634" t="str">
        <f>IFERROR(__xludf.DUMMYFUNCTION("""COMPUTED_VALUE"""),"2015-06-09-D07-CU-3")</f>
        <v>2015-06-09-D07-CU-3</v>
      </c>
    </row>
    <row r="3635">
      <c r="A3635" t="str">
        <f>IFERROR(__xludf.DUMMYFUNCTION("""COMPUTED_VALUE"""),"2015-06-09-D07-CU-4")</f>
        <v>2015-06-09-D07-CU-4</v>
      </c>
    </row>
    <row r="3636">
      <c r="A3636" t="str">
        <f>IFERROR(__xludf.DUMMYFUNCTION("""COMPUTED_VALUE"""),"2015-06-09-D07-CU-5")</f>
        <v>2015-06-09-D07-CU-5</v>
      </c>
    </row>
    <row r="3637">
      <c r="A3637" t="str">
        <f>IFERROR(__xludf.DUMMYFUNCTION("""COMPUTED_VALUE"""),"2015-06-09-D07-CU-6")</f>
        <v>2015-06-09-D07-CU-6</v>
      </c>
    </row>
    <row r="3638">
      <c r="A3638" t="str">
        <f>IFERROR(__xludf.DUMMYFUNCTION("""COMPUTED_VALUE"""),"2015-06-09-D07-CU-7")</f>
        <v>2015-06-09-D07-CU-7</v>
      </c>
    </row>
    <row r="3639">
      <c r="A3639" t="str">
        <f>IFERROR(__xludf.DUMMYFUNCTION("""COMPUTED_VALUE"""),"2015-06-09-D07-CU-8")</f>
        <v>2015-06-09-D07-CU-8</v>
      </c>
    </row>
    <row r="3640">
      <c r="A3640" t="str">
        <f>IFERROR(__xludf.DUMMYFUNCTION("""COMPUTED_VALUE"""),"2015-06-09-D07-CU-9")</f>
        <v>2015-06-09-D07-CU-9</v>
      </c>
    </row>
    <row r="3641">
      <c r="A3641" t="str">
        <f>IFERROR(__xludf.DUMMYFUNCTION("""COMPUTED_VALUE"""),"2015-06-09-D07-CU-10")</f>
        <v>2015-06-09-D07-CU-10</v>
      </c>
    </row>
    <row r="3642">
      <c r="A3642" t="str">
        <f>IFERROR(__xludf.DUMMYFUNCTION("""COMPUTED_VALUE"""),"2015-06-09-J02-CU-1")</f>
        <v>2015-06-09-J02-CU-1</v>
      </c>
    </row>
    <row r="3643">
      <c r="A3643" t="str">
        <f>IFERROR(__xludf.DUMMYFUNCTION("""COMPUTED_VALUE"""),"2015-06-09-J02-CU-2")</f>
        <v>2015-06-09-J02-CU-2</v>
      </c>
    </row>
    <row r="3644">
      <c r="A3644" t="str">
        <f>IFERROR(__xludf.DUMMYFUNCTION("""COMPUTED_VALUE"""),"2015-06-09-J02-CU-3")</f>
        <v>2015-06-09-J02-CU-3</v>
      </c>
    </row>
    <row r="3645">
      <c r="A3645" t="str">
        <f>IFERROR(__xludf.DUMMYFUNCTION("""COMPUTED_VALUE"""),"2015-06-09-J02-CU-4")</f>
        <v>2015-06-09-J02-CU-4</v>
      </c>
    </row>
    <row r="3646">
      <c r="A3646" t="str">
        <f>IFERROR(__xludf.DUMMYFUNCTION("""COMPUTED_VALUE"""),"2015-06-09-J02-CU-5")</f>
        <v>2015-06-09-J02-CU-5</v>
      </c>
    </row>
    <row r="3647">
      <c r="A3647" t="str">
        <f>IFERROR(__xludf.DUMMYFUNCTION("""COMPUTED_VALUE"""),"2015-06-09-J02-CU-6")</f>
        <v>2015-06-09-J02-CU-6</v>
      </c>
    </row>
    <row r="3648">
      <c r="A3648" t="str">
        <f>IFERROR(__xludf.DUMMYFUNCTION("""COMPUTED_VALUE"""),"2015-06-09-J02-CU-7")</f>
        <v>2015-06-09-J02-CU-7</v>
      </c>
    </row>
    <row r="3649">
      <c r="A3649" t="str">
        <f>IFERROR(__xludf.DUMMYFUNCTION("""COMPUTED_VALUE"""),"2015-06-09-J02-CU-8")</f>
        <v>2015-06-09-J02-CU-8</v>
      </c>
    </row>
    <row r="3650">
      <c r="A3650" t="str">
        <f>IFERROR(__xludf.DUMMYFUNCTION("""COMPUTED_VALUE"""),"2015-06-09-J02-CU-9")</f>
        <v>2015-06-09-J02-CU-9</v>
      </c>
    </row>
    <row r="3651">
      <c r="A3651" t="str">
        <f>IFERROR(__xludf.DUMMYFUNCTION("""COMPUTED_VALUE"""),"2015-06-09-J02-CU-10")</f>
        <v>2015-06-09-J02-CU-10</v>
      </c>
    </row>
    <row r="3652">
      <c r="A3652" t="str">
        <f>IFERROR(__xludf.DUMMYFUNCTION("""COMPUTED_VALUE"""),"2015-06-09-D07-CO-1")</f>
        <v>2015-06-09-D07-CO-1</v>
      </c>
    </row>
    <row r="3653">
      <c r="A3653" t="str">
        <f>IFERROR(__xludf.DUMMYFUNCTION("""COMPUTED_VALUE"""),"2015-06-09-D07-CO-2")</f>
        <v>2015-06-09-D07-CO-2</v>
      </c>
    </row>
    <row r="3654">
      <c r="A3654" t="str">
        <f>IFERROR(__xludf.DUMMYFUNCTION("""COMPUTED_VALUE"""),"2015-06-09-D07-CO-3")</f>
        <v>2015-06-09-D07-CO-3</v>
      </c>
    </row>
    <row r="3655">
      <c r="A3655" t="str">
        <f>IFERROR(__xludf.DUMMYFUNCTION("""COMPUTED_VALUE"""),"2015-06-09-D07-CO-4")</f>
        <v>2015-06-09-D07-CO-4</v>
      </c>
    </row>
    <row r="3656">
      <c r="A3656" t="str">
        <f>IFERROR(__xludf.DUMMYFUNCTION("""COMPUTED_VALUE"""),"2015-06-09-D07-CO-5")</f>
        <v>2015-06-09-D07-CO-5</v>
      </c>
    </row>
    <row r="3657">
      <c r="A3657" t="str">
        <f>IFERROR(__xludf.DUMMYFUNCTION("""COMPUTED_VALUE"""),"2015-06-09-J02-CO-1")</f>
        <v>2015-06-09-J02-CO-1</v>
      </c>
    </row>
    <row r="3658">
      <c r="A3658" t="str">
        <f>IFERROR(__xludf.DUMMYFUNCTION("""COMPUTED_VALUE"""),"2015-06-09-J02-CO-2")</f>
        <v>2015-06-09-J02-CO-2</v>
      </c>
    </row>
    <row r="3659">
      <c r="A3659" t="str">
        <f>IFERROR(__xludf.DUMMYFUNCTION("""COMPUTED_VALUE"""),"2015-06-09-J02-CO-3")</f>
        <v>2015-06-09-J02-CO-3</v>
      </c>
    </row>
    <row r="3660">
      <c r="A3660" t="str">
        <f>IFERROR(__xludf.DUMMYFUNCTION("""COMPUTED_VALUE"""),"2015-06-09-J02-CO-4")</f>
        <v>2015-06-09-J02-CO-4</v>
      </c>
    </row>
    <row r="3661">
      <c r="A3661" t="str">
        <f>IFERROR(__xludf.DUMMYFUNCTION("""COMPUTED_VALUE"""),"2015-06-09-J02-CO-5")</f>
        <v>2015-06-09-J02-CO-5</v>
      </c>
    </row>
    <row r="3662">
      <c r="A3662" t="str">
        <f>IFERROR(__xludf.DUMMYFUNCTION("""COMPUTED_VALUE"""),"2015-06-09-J02-CO-6")</f>
        <v>2015-06-09-J02-CO-6</v>
      </c>
    </row>
    <row r="3663">
      <c r="A3663" t="str">
        <f>IFERROR(__xludf.DUMMYFUNCTION("""COMPUTED_VALUE"""),"2015-06-09-J02-CO-7")</f>
        <v>2015-06-09-J02-CO-7</v>
      </c>
    </row>
    <row r="3664">
      <c r="A3664" t="str">
        <f>IFERROR(__xludf.DUMMYFUNCTION("""COMPUTED_VALUE"""),"2015-06-09-D09-HE-1")</f>
        <v>2015-06-09-D09-HE-1</v>
      </c>
    </row>
    <row r="3665">
      <c r="A3665" t="str">
        <f>IFERROR(__xludf.DUMMYFUNCTION("""COMPUTED_VALUE"""),"2015-06-09-D09-HE-2")</f>
        <v>2015-06-09-D09-HE-2</v>
      </c>
    </row>
    <row r="3666">
      <c r="A3666" t="str">
        <f>IFERROR(__xludf.DUMMYFUNCTION("""COMPUTED_VALUE"""),"2015-06-09-D09-HE-3")</f>
        <v>2015-06-09-D09-HE-3</v>
      </c>
    </row>
    <row r="3667">
      <c r="A3667" t="str">
        <f>IFERROR(__xludf.DUMMYFUNCTION("""COMPUTED_VALUE"""),"2015-06-09-J02-HE-1")</f>
        <v>2015-06-09-J02-HE-1</v>
      </c>
    </row>
    <row r="3668">
      <c r="A3668" t="str">
        <f>IFERROR(__xludf.DUMMYFUNCTION("""COMPUTED_VALUE"""),"2015-06-09-J02-HE-2")</f>
        <v>2015-06-09-J02-HE-2</v>
      </c>
    </row>
    <row r="3669">
      <c r="A3669" t="str">
        <f>IFERROR(__xludf.DUMMYFUNCTION("""COMPUTED_VALUE"""),"2015-06-11-D09-SO-1")</f>
        <v>2015-06-11-D09-SO-1</v>
      </c>
    </row>
    <row r="3670">
      <c r="A3670" t="str">
        <f>IFERROR(__xludf.DUMMYFUNCTION("""COMPUTED_VALUE"""),"2015-06-11-D09-SO-2")</f>
        <v>2015-06-11-D09-SO-2</v>
      </c>
    </row>
    <row r="3671">
      <c r="A3671" t="str">
        <f>IFERROR(__xludf.DUMMYFUNCTION("""COMPUTED_VALUE"""),"2015-06-11-D09-SO-3")</f>
        <v>2015-06-11-D09-SO-3</v>
      </c>
    </row>
    <row r="3672">
      <c r="A3672" t="str">
        <f>IFERROR(__xludf.DUMMYFUNCTION("""COMPUTED_VALUE"""),"2015-06-11-D09-SO-4")</f>
        <v>2015-06-11-D09-SO-4</v>
      </c>
    </row>
    <row r="3673">
      <c r="A3673" t="str">
        <f>IFERROR(__xludf.DUMMYFUNCTION("""COMPUTED_VALUE"""),"2015-06-11-D09-SO-5")</f>
        <v>2015-06-11-D09-SO-5</v>
      </c>
    </row>
    <row r="3674">
      <c r="A3674" t="str">
        <f>IFERROR(__xludf.DUMMYFUNCTION("""COMPUTED_VALUE"""),"2015-06-11-D09-SO-6")</f>
        <v>2015-06-11-D09-SO-6</v>
      </c>
    </row>
    <row r="3675">
      <c r="A3675" t="str">
        <f>IFERROR(__xludf.DUMMYFUNCTION("""COMPUTED_VALUE"""),"2015-06-11-D09-SO-7")</f>
        <v>2015-06-11-D09-SO-7</v>
      </c>
    </row>
    <row r="3676">
      <c r="A3676" t="str">
        <f>IFERROR(__xludf.DUMMYFUNCTION("""COMPUTED_VALUE"""),"2015-06-11-D09-SO-8")</f>
        <v>2015-06-11-D09-SO-8</v>
      </c>
    </row>
    <row r="3677">
      <c r="A3677" t="str">
        <f>IFERROR(__xludf.DUMMYFUNCTION("""COMPUTED_VALUE"""),"2015-06-11-D09-SO-9")</f>
        <v>2015-06-11-D09-SO-9</v>
      </c>
    </row>
    <row r="3678">
      <c r="A3678" t="str">
        <f>IFERROR(__xludf.DUMMYFUNCTION("""COMPUTED_VALUE"""),"2015-06-11-D09-SO-10")</f>
        <v>2015-06-11-D09-SO-10</v>
      </c>
    </row>
    <row r="3679">
      <c r="A3679" t="str">
        <f>IFERROR(__xludf.DUMMYFUNCTION("""COMPUTED_VALUE"""),"2015-06-11-D09-SO-11")</f>
        <v>2015-06-11-D09-SO-11</v>
      </c>
    </row>
    <row r="3680">
      <c r="A3680" t="str">
        <f>IFERROR(__xludf.DUMMYFUNCTION("""COMPUTED_VALUE"""),"2015-06-11-D09-SO-12")</f>
        <v>2015-06-11-D09-SO-12</v>
      </c>
    </row>
    <row r="3681">
      <c r="A3681" t="str">
        <f>IFERROR(__xludf.DUMMYFUNCTION("""COMPUTED_VALUE"""),"2015-06-11-D09-SO-13")</f>
        <v>2015-06-11-D09-SO-13</v>
      </c>
    </row>
    <row r="3682">
      <c r="A3682" t="str">
        <f>IFERROR(__xludf.DUMMYFUNCTION("""COMPUTED_VALUE"""),"2015-06-11-D09-SO-14")</f>
        <v>2015-06-11-D09-SO-14</v>
      </c>
    </row>
    <row r="3683">
      <c r="A3683" t="str">
        <f>IFERROR(__xludf.DUMMYFUNCTION("""COMPUTED_VALUE"""),"2015-06-11-D09-SO-15")</f>
        <v>2015-06-11-D09-SO-15</v>
      </c>
    </row>
    <row r="3684">
      <c r="A3684" t="str">
        <f>IFERROR(__xludf.DUMMYFUNCTION("""COMPUTED_VALUE"""),"2015-06-11-D09-SO-16")</f>
        <v>2015-06-11-D09-SO-16</v>
      </c>
    </row>
    <row r="3685">
      <c r="A3685" t="str">
        <f>IFERROR(__xludf.DUMMYFUNCTION("""COMPUTED_VALUE"""),"2015-06-11-D09-SO-17")</f>
        <v>2015-06-11-D09-SO-17</v>
      </c>
    </row>
    <row r="3686">
      <c r="A3686" t="str">
        <f>IFERROR(__xludf.DUMMYFUNCTION("""COMPUTED_VALUE"""),"2015-06-11-D09-SO-18")</f>
        <v>2015-06-11-D09-SO-18</v>
      </c>
    </row>
    <row r="3687">
      <c r="A3687" t="str">
        <f>IFERROR(__xludf.DUMMYFUNCTION("""COMPUTED_VALUE"""),"2015-06-11-D09-SO-19")</f>
        <v>2015-06-11-D09-SO-19</v>
      </c>
    </row>
    <row r="3688">
      <c r="A3688" t="str">
        <f>IFERROR(__xludf.DUMMYFUNCTION("""COMPUTED_VALUE"""),"2015-06-11-D09-SO-20")</f>
        <v>2015-06-11-D09-SO-20</v>
      </c>
    </row>
    <row r="3689">
      <c r="A3689" t="str">
        <f>IFERROR(__xludf.DUMMYFUNCTION("""COMPUTED_VALUE"""),"2015-06-11-D09-SO-21")</f>
        <v>2015-06-11-D09-SO-21</v>
      </c>
    </row>
    <row r="3690">
      <c r="A3690" t="str">
        <f>IFERROR(__xludf.DUMMYFUNCTION("""COMPUTED_VALUE"""),"2015-06-11-D09-SO-22")</f>
        <v>2015-06-11-D09-SO-22</v>
      </c>
    </row>
    <row r="3691">
      <c r="A3691" t="str">
        <f>IFERROR(__xludf.DUMMYFUNCTION("""COMPUTED_VALUE"""),"2015-06-11-D09-SO-23")</f>
        <v>2015-06-11-D09-SO-23</v>
      </c>
    </row>
    <row r="3692">
      <c r="A3692" t="str">
        <f>IFERROR(__xludf.DUMMYFUNCTION("""COMPUTED_VALUE"""),"2015-06-11-D09-SO-24")</f>
        <v>2015-06-11-D09-SO-24</v>
      </c>
    </row>
    <row r="3693">
      <c r="A3693" t="str">
        <f>IFERROR(__xludf.DUMMYFUNCTION("""COMPUTED_VALUE"""),"2015-06-11-D09-SO-25")</f>
        <v>2015-06-11-D09-SO-25</v>
      </c>
    </row>
    <row r="3694">
      <c r="A3694" t="str">
        <f>IFERROR(__xludf.DUMMYFUNCTION("""COMPUTED_VALUE"""),"2015-06-11-D09-SO-26")</f>
        <v>2015-06-11-D09-SO-26</v>
      </c>
    </row>
    <row r="3695">
      <c r="A3695" t="str">
        <f>IFERROR(__xludf.DUMMYFUNCTION("""COMPUTED_VALUE"""),"2015-06-11-D09-SO-27")</f>
        <v>2015-06-11-D09-SO-27</v>
      </c>
    </row>
    <row r="3696">
      <c r="A3696" t="str">
        <f>IFERROR(__xludf.DUMMYFUNCTION("""COMPUTED_VALUE"""),"2015-06-11-D09-SO-28")</f>
        <v>2015-06-11-D09-SO-28</v>
      </c>
    </row>
    <row r="3697">
      <c r="A3697" t="str">
        <f>IFERROR(__xludf.DUMMYFUNCTION("""COMPUTED_VALUE"""),"2015-06-11-D09-SO-29")</f>
        <v>2015-06-11-D09-SO-29</v>
      </c>
    </row>
    <row r="3698">
      <c r="A3698" t="str">
        <f>IFERROR(__xludf.DUMMYFUNCTION("""COMPUTED_VALUE"""),"2015-06-11-D09-SO-30")</f>
        <v>2015-06-11-D09-SO-30</v>
      </c>
    </row>
    <row r="3699">
      <c r="A3699" t="str">
        <f>IFERROR(__xludf.DUMMYFUNCTION("""COMPUTED_VALUE"""),"2015-06-11-D07-SO-1")</f>
        <v>2015-06-11-D07-SO-1</v>
      </c>
    </row>
    <row r="3700">
      <c r="A3700" t="str">
        <f>IFERROR(__xludf.DUMMYFUNCTION("""COMPUTED_VALUE"""),"2015-06-11-J05-SO-1")</f>
        <v>2015-06-11-J05-SO-1</v>
      </c>
    </row>
    <row r="3701">
      <c r="A3701" t="str">
        <f>IFERROR(__xludf.DUMMYFUNCTION("""COMPUTED_VALUE"""),"2015-06-11-J05-SO-2")</f>
        <v>2015-06-11-J05-SO-2</v>
      </c>
    </row>
    <row r="3702">
      <c r="A3702" t="str">
        <f>IFERROR(__xludf.DUMMYFUNCTION("""COMPUTED_VALUE"""),"2015-06-11-J05-SO-3")</f>
        <v>2015-06-11-J05-SO-3</v>
      </c>
    </row>
    <row r="3703">
      <c r="A3703" t="str">
        <f>IFERROR(__xludf.DUMMYFUNCTION("""COMPUTED_VALUE"""),"2015-06-11-J05-SO-4")</f>
        <v>2015-06-11-J05-SO-4</v>
      </c>
    </row>
    <row r="3704">
      <c r="A3704" t="str">
        <f>IFERROR(__xludf.DUMMYFUNCTION("""COMPUTED_VALUE"""),"2015-06-11-J05-SO-5")</f>
        <v>2015-06-11-J05-SO-5</v>
      </c>
    </row>
    <row r="3705">
      <c r="A3705" t="str">
        <f>IFERROR(__xludf.DUMMYFUNCTION("""COMPUTED_VALUE"""),"2015-06-11-J05-SO-6")</f>
        <v>2015-06-11-J05-SO-6</v>
      </c>
    </row>
    <row r="3706">
      <c r="A3706" t="str">
        <f>IFERROR(__xludf.DUMMYFUNCTION("""COMPUTED_VALUE"""),"2015-06-11-J05-SO-7")</f>
        <v>2015-06-11-J05-SO-7</v>
      </c>
    </row>
    <row r="3707">
      <c r="A3707" t="str">
        <f>IFERROR(__xludf.DUMMYFUNCTION("""COMPUTED_VALUE"""),"2015-06-11-J05-SO-8")</f>
        <v>2015-06-11-J05-SO-8</v>
      </c>
    </row>
    <row r="3708">
      <c r="A3708" t="str">
        <f>IFERROR(__xludf.DUMMYFUNCTION("""COMPUTED_VALUE"""),"2015-06-11-J05-SO-9")</f>
        <v>2015-06-11-J05-SO-9</v>
      </c>
    </row>
    <row r="3709">
      <c r="A3709" t="str">
        <f>IFERROR(__xludf.DUMMYFUNCTION("""COMPUTED_VALUE"""),"2015-06-11-J05-SO-10")</f>
        <v>2015-06-11-J05-SO-10</v>
      </c>
    </row>
    <row r="3710">
      <c r="A3710" t="str">
        <f>IFERROR(__xludf.DUMMYFUNCTION("""COMPUTED_VALUE"""),"2015-06-11-J05-SO-11")</f>
        <v>2015-06-11-J05-SO-11</v>
      </c>
    </row>
    <row r="3711">
      <c r="A3711" t="str">
        <f>IFERROR(__xludf.DUMMYFUNCTION("""COMPUTED_VALUE"""),"2015-06-11-J05-SO-12")</f>
        <v>2015-06-11-J05-SO-12</v>
      </c>
    </row>
    <row r="3712">
      <c r="A3712" t="str">
        <f>IFERROR(__xludf.DUMMYFUNCTION("""COMPUTED_VALUE"""),"2015-06-11-J05-SO-13")</f>
        <v>2015-06-11-J05-SO-13</v>
      </c>
    </row>
    <row r="3713">
      <c r="A3713" t="str">
        <f>IFERROR(__xludf.DUMMYFUNCTION("""COMPUTED_VALUE"""),"2015-06-11-J05-SO-14")</f>
        <v>2015-06-11-J05-SO-14</v>
      </c>
    </row>
    <row r="3714">
      <c r="A3714" t="str">
        <f>IFERROR(__xludf.DUMMYFUNCTION("""COMPUTED_VALUE"""),"2015-06-11-J05-SO-15")</f>
        <v>2015-06-11-J05-SO-15</v>
      </c>
    </row>
    <row r="3715">
      <c r="A3715" t="str">
        <f>IFERROR(__xludf.DUMMYFUNCTION("""COMPUTED_VALUE"""),"2015-06-11-J05-SO-16")</f>
        <v>2015-06-11-J05-SO-16</v>
      </c>
    </row>
    <row r="3716">
      <c r="A3716" t="str">
        <f>IFERROR(__xludf.DUMMYFUNCTION("""COMPUTED_VALUE"""),"2015-06-11-J05-SO-17")</f>
        <v>2015-06-11-J05-SO-17</v>
      </c>
    </row>
    <row r="3717">
      <c r="A3717" t="str">
        <f>IFERROR(__xludf.DUMMYFUNCTION("""COMPUTED_VALUE"""),"2015-06-11-J05-SO-18")</f>
        <v>2015-06-11-J05-SO-18</v>
      </c>
    </row>
    <row r="3718">
      <c r="A3718" t="str">
        <f>IFERROR(__xludf.DUMMYFUNCTION("""COMPUTED_VALUE"""),"2015-06-11-J05-SO-19")</f>
        <v>2015-06-11-J05-SO-19</v>
      </c>
    </row>
    <row r="3719">
      <c r="A3719" t="str">
        <f>IFERROR(__xludf.DUMMYFUNCTION("""COMPUTED_VALUE"""),"2015-06-11-J05-SO-20")</f>
        <v>2015-06-11-J05-SO-20</v>
      </c>
    </row>
    <row r="3720">
      <c r="A3720" t="str">
        <f>IFERROR(__xludf.DUMMYFUNCTION("""COMPUTED_VALUE"""),"2015-06-11-J05-SO-21")</f>
        <v>2015-06-11-J05-SO-21</v>
      </c>
    </row>
    <row r="3721">
      <c r="A3721" t="str">
        <f>IFERROR(__xludf.DUMMYFUNCTION("""COMPUTED_VALUE"""),"2015-06-11-J05-SO-22")</f>
        <v>2015-06-11-J05-SO-22</v>
      </c>
    </row>
    <row r="3722">
      <c r="A3722" t="str">
        <f>IFERROR(__xludf.DUMMYFUNCTION("""COMPUTED_VALUE"""),"2015-06-11-J05-SO-23")</f>
        <v>2015-06-11-J05-SO-23</v>
      </c>
    </row>
    <row r="3723">
      <c r="A3723" t="str">
        <f>IFERROR(__xludf.DUMMYFUNCTION("""COMPUTED_VALUE"""),"2015-06-11-J05-SO-24")</f>
        <v>2015-06-11-J05-SO-24</v>
      </c>
    </row>
    <row r="3724">
      <c r="A3724" t="str">
        <f>IFERROR(__xludf.DUMMYFUNCTION("""COMPUTED_VALUE"""),"2015-06-11-J05-SO-25")</f>
        <v>2015-06-11-J05-SO-25</v>
      </c>
    </row>
    <row r="3725">
      <c r="A3725" t="str">
        <f>IFERROR(__xludf.DUMMYFUNCTION("""COMPUTED_VALUE"""),"2015-06-11-J05-SO-26")</f>
        <v>2015-06-11-J05-SO-26</v>
      </c>
    </row>
    <row r="3726">
      <c r="A3726" t="str">
        <f>IFERROR(__xludf.DUMMYFUNCTION("""COMPUTED_VALUE"""),"2015-06-11-J05-SO-27")</f>
        <v>2015-06-11-J05-SO-27</v>
      </c>
    </row>
    <row r="3727">
      <c r="A3727" t="str">
        <f>IFERROR(__xludf.DUMMYFUNCTION("""COMPUTED_VALUE"""),"2015-06-11-J05-SO-28")</f>
        <v>2015-06-11-J05-SO-28</v>
      </c>
    </row>
    <row r="3728">
      <c r="A3728" t="str">
        <f>IFERROR(__xludf.DUMMYFUNCTION("""COMPUTED_VALUE"""),"2015-06-11-J05-SO-29")</f>
        <v>2015-06-11-J05-SO-29</v>
      </c>
    </row>
    <row r="3729">
      <c r="A3729" t="str">
        <f>IFERROR(__xludf.DUMMYFUNCTION("""COMPUTED_VALUE"""),"2015-06-11-J05-SO-30")</f>
        <v>2015-06-11-J05-SO-30</v>
      </c>
    </row>
    <row r="3730">
      <c r="A3730" t="str">
        <f>IFERROR(__xludf.DUMMYFUNCTION("""COMPUTED_VALUE"""),"2015-06-11-J07-SO-1")</f>
        <v>2015-06-11-J07-SO-1</v>
      </c>
    </row>
    <row r="3731">
      <c r="A3731" t="str">
        <f>IFERROR(__xludf.DUMMYFUNCTION("""COMPUTED_VALUE"""),"2015-06-11-J07-SO-2")</f>
        <v>2015-06-11-J07-SO-2</v>
      </c>
    </row>
    <row r="3732">
      <c r="A3732" t="str">
        <f>IFERROR(__xludf.DUMMYFUNCTION("""COMPUTED_VALUE"""),"2015-06-11-J07-SO-3")</f>
        <v>2015-06-11-J07-SO-3</v>
      </c>
    </row>
    <row r="3733">
      <c r="A3733" t="str">
        <f>IFERROR(__xludf.DUMMYFUNCTION("""COMPUTED_VALUE"""),"2015-06-11-J07-SO-4")</f>
        <v>2015-06-11-J07-SO-4</v>
      </c>
    </row>
    <row r="3734">
      <c r="A3734" t="str">
        <f>IFERROR(__xludf.DUMMYFUNCTION("""COMPUTED_VALUE"""),"2015-06-11-J07-SO-5")</f>
        <v>2015-06-11-J07-SO-5</v>
      </c>
    </row>
    <row r="3735">
      <c r="A3735" t="str">
        <f>IFERROR(__xludf.DUMMYFUNCTION("""COMPUTED_VALUE"""),"2015-06-11-J07-SO-6")</f>
        <v>2015-06-11-J07-SO-6</v>
      </c>
    </row>
    <row r="3736">
      <c r="A3736" t="str">
        <f>IFERROR(__xludf.DUMMYFUNCTION("""COMPUTED_VALUE"""),"2015-06-11-J07-SO-7")</f>
        <v>2015-06-11-J07-SO-7</v>
      </c>
    </row>
    <row r="3737">
      <c r="A3737" t="str">
        <f>IFERROR(__xludf.DUMMYFUNCTION("""COMPUTED_VALUE"""),"2015-06-11-J07-SO-8")</f>
        <v>2015-06-11-J07-SO-8</v>
      </c>
    </row>
    <row r="3738">
      <c r="A3738" t="str">
        <f>IFERROR(__xludf.DUMMYFUNCTION("""COMPUTED_VALUE"""),"2015-06-11-J07-SO-9")</f>
        <v>2015-06-11-J07-SO-9</v>
      </c>
    </row>
    <row r="3739">
      <c r="A3739" t="str">
        <f>IFERROR(__xludf.DUMMYFUNCTION("""COMPUTED_VALUE"""),"2015-06-11-J07-SO-10")</f>
        <v>2015-06-11-J07-SO-10</v>
      </c>
    </row>
    <row r="3740">
      <c r="A3740" t="str">
        <f>IFERROR(__xludf.DUMMYFUNCTION("""COMPUTED_VALUE"""),"2015-06-11-J07-SO-11")</f>
        <v>2015-06-11-J07-SO-11</v>
      </c>
    </row>
    <row r="3741">
      <c r="A3741" t="str">
        <f>IFERROR(__xludf.DUMMYFUNCTION("""COMPUTED_VALUE"""),"2015-06-11-J07-SO-12")</f>
        <v>2015-06-11-J07-SO-12</v>
      </c>
    </row>
    <row r="3742">
      <c r="A3742" t="str">
        <f>IFERROR(__xludf.DUMMYFUNCTION("""COMPUTED_VALUE"""),"2015-06-11-J07-SO-13")</f>
        <v>2015-06-11-J07-SO-13</v>
      </c>
    </row>
    <row r="3743">
      <c r="A3743" t="str">
        <f>IFERROR(__xludf.DUMMYFUNCTION("""COMPUTED_VALUE"""),"2015-06-11-J07-SO-14")</f>
        <v>2015-06-11-J07-SO-14</v>
      </c>
    </row>
    <row r="3744">
      <c r="A3744" t="str">
        <f>IFERROR(__xludf.DUMMYFUNCTION("""COMPUTED_VALUE"""),"2015-06-11-J07-SO-15")</f>
        <v>2015-06-11-J07-SO-15</v>
      </c>
    </row>
    <row r="3745">
      <c r="A3745" t="str">
        <f>IFERROR(__xludf.DUMMYFUNCTION("""COMPUTED_VALUE"""),"2015-06-11-J07-SO-16")</f>
        <v>2015-06-11-J07-SO-16</v>
      </c>
    </row>
    <row r="3746">
      <c r="A3746" t="str">
        <f>IFERROR(__xludf.DUMMYFUNCTION("""COMPUTED_VALUE"""),"2015-06-11-J07-SO-17")</f>
        <v>2015-06-11-J07-SO-17</v>
      </c>
    </row>
    <row r="3747">
      <c r="A3747" t="str">
        <f>IFERROR(__xludf.DUMMYFUNCTION("""COMPUTED_VALUE"""),"2015-06-11-J07-SO-18")</f>
        <v>2015-06-11-J07-SO-18</v>
      </c>
    </row>
    <row r="3748">
      <c r="A3748" t="str">
        <f>IFERROR(__xludf.DUMMYFUNCTION("""COMPUTED_VALUE"""),"2015-06-11-J07-SO-19")</f>
        <v>2015-06-11-J07-SO-19</v>
      </c>
    </row>
    <row r="3749">
      <c r="A3749" t="str">
        <f>IFERROR(__xludf.DUMMYFUNCTION("""COMPUTED_VALUE"""),"2015-06-11-J07-SO-20")</f>
        <v>2015-06-11-J07-SO-20</v>
      </c>
    </row>
    <row r="3750">
      <c r="A3750" t="str">
        <f>IFERROR(__xludf.DUMMYFUNCTION("""COMPUTED_VALUE"""),"2015-06-11-J07-SO-21")</f>
        <v>2015-06-11-J07-SO-21</v>
      </c>
    </row>
    <row r="3751">
      <c r="A3751" t="str">
        <f>IFERROR(__xludf.DUMMYFUNCTION("""COMPUTED_VALUE"""),"2015-06-11-J07-SO-22")</f>
        <v>2015-06-11-J07-SO-22</v>
      </c>
    </row>
    <row r="3752">
      <c r="A3752" t="str">
        <f>IFERROR(__xludf.DUMMYFUNCTION("""COMPUTED_VALUE"""),"2015-06-11-J07-SO-23")</f>
        <v>2015-06-11-J07-SO-23</v>
      </c>
    </row>
    <row r="3753">
      <c r="A3753" t="str">
        <f>IFERROR(__xludf.DUMMYFUNCTION("""COMPUTED_VALUE"""),"2015-06-11-J07-SO-24")</f>
        <v>2015-06-11-J07-SO-24</v>
      </c>
    </row>
    <row r="3754">
      <c r="A3754" t="str">
        <f>IFERROR(__xludf.DUMMYFUNCTION("""COMPUTED_VALUE"""),"2015-06-11-J07-SO-25")</f>
        <v>2015-06-11-J07-SO-25</v>
      </c>
    </row>
    <row r="3755">
      <c r="A3755" t="str">
        <f>IFERROR(__xludf.DUMMYFUNCTION("""COMPUTED_VALUE"""),"2015-06-11-J07-SO-26")</f>
        <v>2015-06-11-J07-SO-26</v>
      </c>
    </row>
    <row r="3756">
      <c r="A3756" t="str">
        <f>IFERROR(__xludf.DUMMYFUNCTION("""COMPUTED_VALUE"""),"2015-06-11-J07-SO-27")</f>
        <v>2015-06-11-J07-SO-27</v>
      </c>
    </row>
    <row r="3757">
      <c r="A3757" t="str">
        <f>IFERROR(__xludf.DUMMYFUNCTION("""COMPUTED_VALUE"""),"2015-06-11-J07-SO-28")</f>
        <v>2015-06-11-J07-SO-28</v>
      </c>
    </row>
    <row r="3758">
      <c r="A3758" t="str">
        <f>IFERROR(__xludf.DUMMYFUNCTION("""COMPUTED_VALUE"""),"2015-06-11-J07-SO-29")</f>
        <v>2015-06-11-J07-SO-29</v>
      </c>
    </row>
    <row r="3759">
      <c r="A3759" t="str">
        <f>IFERROR(__xludf.DUMMYFUNCTION("""COMPUTED_VALUE"""),"2015-06-11-J07-SO-30")</f>
        <v>2015-06-11-J07-SO-30</v>
      </c>
    </row>
    <row r="3760">
      <c r="A3760" t="str">
        <f>IFERROR(__xludf.DUMMYFUNCTION("""COMPUTED_VALUE"""),"2015-06-11-D09-PI-1")</f>
        <v>2015-06-11-D09-PI-1</v>
      </c>
    </row>
    <row r="3761">
      <c r="A3761" t="str">
        <f>IFERROR(__xludf.DUMMYFUNCTION("""COMPUTED_VALUE"""),"2015-06-11-D07-PI-1")</f>
        <v>2015-06-11-D07-PI-1</v>
      </c>
    </row>
    <row r="3762">
      <c r="A3762" t="str">
        <f>IFERROR(__xludf.DUMMYFUNCTION("""COMPUTED_VALUE"""),"2015-06-11-D07-PI-2")</f>
        <v>2015-06-11-D07-PI-2</v>
      </c>
    </row>
    <row r="3763">
      <c r="A3763" t="str">
        <f>IFERROR(__xludf.DUMMYFUNCTION("""COMPUTED_VALUE"""),"2015-06-11-D07-PI-3")</f>
        <v>2015-06-11-D07-PI-3</v>
      </c>
    </row>
    <row r="3764">
      <c r="A3764" t="str">
        <f>IFERROR(__xludf.DUMMYFUNCTION("""COMPUTED_VALUE"""),"2015-06-11-J05-PI-1")</f>
        <v>2015-06-11-J05-PI-1</v>
      </c>
    </row>
    <row r="3765">
      <c r="A3765" t="str">
        <f>IFERROR(__xludf.DUMMYFUNCTION("""COMPUTED_VALUE"""),"2015-06-11-J05-PI-2")</f>
        <v>2015-06-11-J05-PI-2</v>
      </c>
    </row>
    <row r="3766">
      <c r="A3766" t="str">
        <f>IFERROR(__xludf.DUMMYFUNCTION("""COMPUTED_VALUE"""),"2015-06-11-J05-PI-3")</f>
        <v>2015-06-11-J05-PI-3</v>
      </c>
    </row>
    <row r="3767">
      <c r="A3767" t="str">
        <f>IFERROR(__xludf.DUMMYFUNCTION("""COMPUTED_VALUE"""),"2015-06-11-J05-PI-4")</f>
        <v>2015-06-11-J05-PI-4</v>
      </c>
    </row>
    <row r="3768">
      <c r="A3768" t="str">
        <f>IFERROR(__xludf.DUMMYFUNCTION("""COMPUTED_VALUE"""),"2015-06-11-J05-PI-5")</f>
        <v>2015-06-11-J05-PI-5</v>
      </c>
    </row>
    <row r="3769">
      <c r="A3769" t="str">
        <f>IFERROR(__xludf.DUMMYFUNCTION("""COMPUTED_VALUE"""),"2015-06-11-J05-PI-6")</f>
        <v>2015-06-11-J05-PI-6</v>
      </c>
    </row>
    <row r="3770">
      <c r="A3770" t="str">
        <f>IFERROR(__xludf.DUMMYFUNCTION("""COMPUTED_VALUE"""),"2015-06-11-J05-PI-7")</f>
        <v>2015-06-11-J05-PI-7</v>
      </c>
    </row>
    <row r="3771">
      <c r="A3771" t="str">
        <f>IFERROR(__xludf.DUMMYFUNCTION("""COMPUTED_VALUE"""),"2015-06-11-J05-PI-8")</f>
        <v>2015-06-11-J05-PI-8</v>
      </c>
    </row>
    <row r="3772">
      <c r="A3772" t="str">
        <f>IFERROR(__xludf.DUMMYFUNCTION("""COMPUTED_VALUE"""),"2015-06-11-J05-PI-9")</f>
        <v>2015-06-11-J05-PI-9</v>
      </c>
    </row>
    <row r="3773">
      <c r="A3773" t="str">
        <f>IFERROR(__xludf.DUMMYFUNCTION("""COMPUTED_VALUE"""),"2015-06-11-J05-PI-10")</f>
        <v>2015-06-11-J05-PI-10</v>
      </c>
    </row>
    <row r="3774">
      <c r="A3774" t="str">
        <f>IFERROR(__xludf.DUMMYFUNCTION("""COMPUTED_VALUE"""),"2015-06-11-J07-PI-1")</f>
        <v>2015-06-11-J07-PI-1</v>
      </c>
    </row>
    <row r="3775">
      <c r="A3775" t="str">
        <f>IFERROR(__xludf.DUMMYFUNCTION("""COMPUTED_VALUE"""),"2015-06-11-J07-PI-2")</f>
        <v>2015-06-11-J07-PI-2</v>
      </c>
    </row>
    <row r="3776">
      <c r="A3776" t="str">
        <f>IFERROR(__xludf.DUMMYFUNCTION("""COMPUTED_VALUE"""),"2015-06-11-J07-PI-3")</f>
        <v>2015-06-11-J07-PI-3</v>
      </c>
    </row>
    <row r="3777">
      <c r="A3777" t="str">
        <f>IFERROR(__xludf.DUMMYFUNCTION("""COMPUTED_VALUE"""),"2015-06-11-J07-PI-4")</f>
        <v>2015-06-11-J07-PI-4</v>
      </c>
    </row>
    <row r="3778">
      <c r="A3778" t="str">
        <f>IFERROR(__xludf.DUMMYFUNCTION("""COMPUTED_VALUE"""),"2015-06-11-D09-CU-1")</f>
        <v>2015-06-11-D09-CU-1</v>
      </c>
    </row>
    <row r="3779">
      <c r="A3779" t="str">
        <f>IFERROR(__xludf.DUMMYFUNCTION("""COMPUTED_VALUE"""),"2015-06-11-D09-CU-2")</f>
        <v>2015-06-11-D09-CU-2</v>
      </c>
    </row>
    <row r="3780">
      <c r="A3780" t="str">
        <f>IFERROR(__xludf.DUMMYFUNCTION("""COMPUTED_VALUE"""),"2015-06-11-D09-CU-3")</f>
        <v>2015-06-11-D09-CU-3</v>
      </c>
    </row>
    <row r="3781">
      <c r="A3781" t="str">
        <f>IFERROR(__xludf.DUMMYFUNCTION("""COMPUTED_VALUE"""),"2015-06-11-D09-CU-4")</f>
        <v>2015-06-11-D09-CU-4</v>
      </c>
    </row>
    <row r="3782">
      <c r="A3782" t="str">
        <f>IFERROR(__xludf.DUMMYFUNCTION("""COMPUTED_VALUE"""),"2015-06-11-D09-CU-5")</f>
        <v>2015-06-11-D09-CU-5</v>
      </c>
    </row>
    <row r="3783">
      <c r="A3783" t="str">
        <f>IFERROR(__xludf.DUMMYFUNCTION("""COMPUTED_VALUE"""),"2015-06-11-D09-CU-6")</f>
        <v>2015-06-11-D09-CU-6</v>
      </c>
    </row>
    <row r="3784">
      <c r="A3784" t="str">
        <f>IFERROR(__xludf.DUMMYFUNCTION("""COMPUTED_VALUE"""),"2015-06-11-D09-CU-7")</f>
        <v>2015-06-11-D09-CU-7</v>
      </c>
    </row>
    <row r="3785">
      <c r="A3785" t="str">
        <f>IFERROR(__xludf.DUMMYFUNCTION("""COMPUTED_VALUE"""),"2015-06-11-D09-CU-8")</f>
        <v>2015-06-11-D09-CU-8</v>
      </c>
    </row>
    <row r="3786">
      <c r="A3786" t="str">
        <f>IFERROR(__xludf.DUMMYFUNCTION("""COMPUTED_VALUE"""),"2015-06-11-D09-CU-9")</f>
        <v>2015-06-11-D09-CU-9</v>
      </c>
    </row>
    <row r="3787">
      <c r="A3787" t="str">
        <f>IFERROR(__xludf.DUMMYFUNCTION("""COMPUTED_VALUE"""),"2015-06-11-D09-CU-10")</f>
        <v>2015-06-11-D09-CU-10</v>
      </c>
    </row>
    <row r="3788">
      <c r="A3788" t="str">
        <f>IFERROR(__xludf.DUMMYFUNCTION("""COMPUTED_VALUE"""),"2015-06-11-D07-CU-1")</f>
        <v>2015-06-11-D07-CU-1</v>
      </c>
    </row>
    <row r="3789">
      <c r="A3789" t="str">
        <f>IFERROR(__xludf.DUMMYFUNCTION("""COMPUTED_VALUE"""),"2015-06-11-D07-CU-2")</f>
        <v>2015-06-11-D07-CU-2</v>
      </c>
    </row>
    <row r="3790">
      <c r="A3790" t="str">
        <f>IFERROR(__xludf.DUMMYFUNCTION("""COMPUTED_VALUE"""),"2015-06-11-D07-CU-3")</f>
        <v>2015-06-11-D07-CU-3</v>
      </c>
    </row>
    <row r="3791">
      <c r="A3791" t="str">
        <f>IFERROR(__xludf.DUMMYFUNCTION("""COMPUTED_VALUE"""),"2015-06-11-D07-CU-4")</f>
        <v>2015-06-11-D07-CU-4</v>
      </c>
    </row>
    <row r="3792">
      <c r="A3792" t="str">
        <f>IFERROR(__xludf.DUMMYFUNCTION("""COMPUTED_VALUE"""),"2015-06-11-D07-CU-5")</f>
        <v>2015-06-11-D07-CU-5</v>
      </c>
    </row>
    <row r="3793">
      <c r="A3793" t="str">
        <f>IFERROR(__xludf.DUMMYFUNCTION("""COMPUTED_VALUE"""),"2015-06-11-D07-CU-6")</f>
        <v>2015-06-11-D07-CU-6</v>
      </c>
    </row>
    <row r="3794">
      <c r="A3794" t="str">
        <f>IFERROR(__xludf.DUMMYFUNCTION("""COMPUTED_VALUE"""),"2015-06-11-D07-CU-7")</f>
        <v>2015-06-11-D07-CU-7</v>
      </c>
    </row>
    <row r="3795">
      <c r="A3795" t="str">
        <f>IFERROR(__xludf.DUMMYFUNCTION("""COMPUTED_VALUE"""),"2015-06-11-D07-CU-8")</f>
        <v>2015-06-11-D07-CU-8</v>
      </c>
    </row>
    <row r="3796">
      <c r="A3796" t="str">
        <f>IFERROR(__xludf.DUMMYFUNCTION("""COMPUTED_VALUE"""),"2015-06-11-D07-CU-9")</f>
        <v>2015-06-11-D07-CU-9</v>
      </c>
    </row>
    <row r="3797">
      <c r="A3797" t="str">
        <f>IFERROR(__xludf.DUMMYFUNCTION("""COMPUTED_VALUE"""),"2015-06-11-D07-CU-10")</f>
        <v>2015-06-11-D07-CU-10</v>
      </c>
    </row>
    <row r="3798">
      <c r="A3798" t="str">
        <f>IFERROR(__xludf.DUMMYFUNCTION("""COMPUTED_VALUE"""),"2015-06-11-J05-CU-1")</f>
        <v>2015-06-11-J05-CU-1</v>
      </c>
    </row>
    <row r="3799">
      <c r="A3799" t="str">
        <f>IFERROR(__xludf.DUMMYFUNCTION("""COMPUTED_VALUE"""),"2015-06-11-J05-CU-2")</f>
        <v>2015-06-11-J05-CU-2</v>
      </c>
    </row>
    <row r="3800">
      <c r="A3800" t="str">
        <f>IFERROR(__xludf.DUMMYFUNCTION("""COMPUTED_VALUE"""),"2015-06-11-J05-CU-3")</f>
        <v>2015-06-11-J05-CU-3</v>
      </c>
    </row>
    <row r="3801">
      <c r="A3801" t="str">
        <f>IFERROR(__xludf.DUMMYFUNCTION("""COMPUTED_VALUE"""),"2015-06-11-J05-CU-4")</f>
        <v>2015-06-11-J05-CU-4</v>
      </c>
    </row>
    <row r="3802">
      <c r="A3802" t="str">
        <f>IFERROR(__xludf.DUMMYFUNCTION("""COMPUTED_VALUE"""),"2015-06-11-J05-CU-5")</f>
        <v>2015-06-11-J05-CU-5</v>
      </c>
    </row>
    <row r="3803">
      <c r="A3803" t="str">
        <f>IFERROR(__xludf.DUMMYFUNCTION("""COMPUTED_VALUE"""),"2015-06-11-J05-CU-6")</f>
        <v>2015-06-11-J05-CU-6</v>
      </c>
    </row>
    <row r="3804">
      <c r="A3804" t="str">
        <f>IFERROR(__xludf.DUMMYFUNCTION("""COMPUTED_VALUE"""),"2015-06-11-J05-CU-7")</f>
        <v>2015-06-11-J05-CU-7</v>
      </c>
    </row>
    <row r="3805">
      <c r="A3805" t="str">
        <f>IFERROR(__xludf.DUMMYFUNCTION("""COMPUTED_VALUE"""),"2015-06-11-J05-CU-8")</f>
        <v>2015-06-11-J05-CU-8</v>
      </c>
    </row>
    <row r="3806">
      <c r="A3806" t="str">
        <f>IFERROR(__xludf.DUMMYFUNCTION("""COMPUTED_VALUE"""),"2015-06-11-J05-CU-9")</f>
        <v>2015-06-11-J05-CU-9</v>
      </c>
    </row>
    <row r="3807">
      <c r="A3807" t="str">
        <f>IFERROR(__xludf.DUMMYFUNCTION("""COMPUTED_VALUE"""),"2015-06-11-J05-CU-10")</f>
        <v>2015-06-11-J05-CU-10</v>
      </c>
    </row>
    <row r="3808">
      <c r="A3808" t="str">
        <f>IFERROR(__xludf.DUMMYFUNCTION("""COMPUTED_VALUE"""),"2015-06-11-J07-CU-1")</f>
        <v>2015-06-11-J07-CU-1</v>
      </c>
    </row>
    <row r="3809">
      <c r="A3809" t="str">
        <f>IFERROR(__xludf.DUMMYFUNCTION("""COMPUTED_VALUE"""),"2015-06-11-J07-CU-2")</f>
        <v>2015-06-11-J07-CU-2</v>
      </c>
    </row>
    <row r="3810">
      <c r="A3810" t="str">
        <f>IFERROR(__xludf.DUMMYFUNCTION("""COMPUTED_VALUE"""),"2015-06-11-J07-CU-3")</f>
        <v>2015-06-11-J07-CU-3</v>
      </c>
    </row>
    <row r="3811">
      <c r="A3811" t="str">
        <f>IFERROR(__xludf.DUMMYFUNCTION("""COMPUTED_VALUE"""),"2015-06-11-J07-CU-4")</f>
        <v>2015-06-11-J07-CU-4</v>
      </c>
    </row>
    <row r="3812">
      <c r="A3812" t="str">
        <f>IFERROR(__xludf.DUMMYFUNCTION("""COMPUTED_VALUE"""),"2015-06-11-J07-CU-5")</f>
        <v>2015-06-11-J07-CU-5</v>
      </c>
    </row>
    <row r="3813">
      <c r="A3813" t="str">
        <f>IFERROR(__xludf.DUMMYFUNCTION("""COMPUTED_VALUE"""),"2015-06-11-J07-CU-6")</f>
        <v>2015-06-11-J07-CU-6</v>
      </c>
    </row>
    <row r="3814">
      <c r="A3814" t="str">
        <f>IFERROR(__xludf.DUMMYFUNCTION("""COMPUTED_VALUE"""),"2015-06-11-J07-CU-7")</f>
        <v>2015-06-11-J07-CU-7</v>
      </c>
    </row>
    <row r="3815">
      <c r="A3815" t="str">
        <f>IFERROR(__xludf.DUMMYFUNCTION("""COMPUTED_VALUE"""),"2015-06-11-J07-CU-8")</f>
        <v>2015-06-11-J07-CU-8</v>
      </c>
    </row>
    <row r="3816">
      <c r="A3816" t="str">
        <f>IFERROR(__xludf.DUMMYFUNCTION("""COMPUTED_VALUE"""),"2015-06-11-J07-CU-9")</f>
        <v>2015-06-11-J07-CU-9</v>
      </c>
    </row>
    <row r="3817">
      <c r="A3817" t="str">
        <f>IFERROR(__xludf.DUMMYFUNCTION("""COMPUTED_VALUE"""),"2015-06-11-J07-CU-10")</f>
        <v>2015-06-11-J07-CU-10</v>
      </c>
    </row>
    <row r="3818">
      <c r="A3818" t="str">
        <f>IFERROR(__xludf.DUMMYFUNCTION("""COMPUTED_VALUE"""),"2015-06-11-D07-CO-1")</f>
        <v>2015-06-11-D07-CO-1</v>
      </c>
    </row>
    <row r="3819">
      <c r="A3819" t="str">
        <f>IFERROR(__xludf.DUMMYFUNCTION("""COMPUTED_VALUE"""),"2015-06-11-D07-CO-2")</f>
        <v>2015-06-11-D07-CO-2</v>
      </c>
    </row>
    <row r="3820">
      <c r="A3820" t="str">
        <f>IFERROR(__xludf.DUMMYFUNCTION("""COMPUTED_VALUE"""),"2015-06-11-D07-CO-3")</f>
        <v>2015-06-11-D07-CO-3</v>
      </c>
    </row>
    <row r="3821">
      <c r="A3821" t="str">
        <f>IFERROR(__xludf.DUMMYFUNCTION("""COMPUTED_VALUE"""),"2015-06-11-D07-CO-4")</f>
        <v>2015-06-11-D07-CO-4</v>
      </c>
    </row>
    <row r="3822">
      <c r="A3822" t="str">
        <f>IFERROR(__xludf.DUMMYFUNCTION("""COMPUTED_VALUE"""),"2015-06-11-D07-CO-5")</f>
        <v>2015-06-11-D07-CO-5</v>
      </c>
    </row>
    <row r="3823">
      <c r="A3823" t="str">
        <f>IFERROR(__xludf.DUMMYFUNCTION("""COMPUTED_VALUE"""),"2015-06-11-D07-CO-6")</f>
        <v>2015-06-11-D07-CO-6</v>
      </c>
    </row>
    <row r="3824">
      <c r="A3824" t="str">
        <f>IFERROR(__xludf.DUMMYFUNCTION("""COMPUTED_VALUE"""),"2015-06-11-D07-CO-7")</f>
        <v>2015-06-11-D07-CO-7</v>
      </c>
    </row>
    <row r="3825">
      <c r="A3825" t="str">
        <f>IFERROR(__xludf.DUMMYFUNCTION("""COMPUTED_VALUE"""),"2015-06-11-D07-CO-8")</f>
        <v>2015-06-11-D07-CO-8</v>
      </c>
    </row>
    <row r="3826">
      <c r="A3826" t="str">
        <f>IFERROR(__xludf.DUMMYFUNCTION("""COMPUTED_VALUE"""),"2015-06-11-D07-CO-9")</f>
        <v>2015-06-11-D07-CO-9</v>
      </c>
    </row>
    <row r="3827">
      <c r="A3827" t="str">
        <f>IFERROR(__xludf.DUMMYFUNCTION("""COMPUTED_VALUE"""),"2015-06-11-D07-CO-10")</f>
        <v>2015-06-11-D07-CO-10</v>
      </c>
    </row>
    <row r="3828">
      <c r="A3828" t="str">
        <f>IFERROR(__xludf.DUMMYFUNCTION("""COMPUTED_VALUE"""),"2015-06-11-D09-HE-1")</f>
        <v>2015-06-11-D09-HE-1</v>
      </c>
    </row>
    <row r="3829">
      <c r="A3829" t="str">
        <f>IFERROR(__xludf.DUMMYFUNCTION("""COMPUTED_VALUE"""),"2015-06-11-D09-HE-2")</f>
        <v>2015-06-11-D09-HE-2</v>
      </c>
    </row>
    <row r="3830">
      <c r="A3830" t="str">
        <f>IFERROR(__xludf.DUMMYFUNCTION("""COMPUTED_VALUE"""),"2015-06-11-D09-HE-3")</f>
        <v>2015-06-11-D09-HE-3</v>
      </c>
    </row>
    <row r="3831">
      <c r="A3831" t="str">
        <f>IFERROR(__xludf.DUMMYFUNCTION("""COMPUTED_VALUE"""),"2015-06-11-D09-HE-4")</f>
        <v>2015-06-11-D09-HE-4</v>
      </c>
    </row>
    <row r="3832">
      <c r="A3832" t="str">
        <f>IFERROR(__xludf.DUMMYFUNCTION("""COMPUTED_VALUE"""),"2015-06-11-D09-HE-5")</f>
        <v>2015-06-11-D09-HE-5</v>
      </c>
    </row>
    <row r="3833">
      <c r="A3833" t="str">
        <f>IFERROR(__xludf.DUMMYFUNCTION("""COMPUTED_VALUE"""),"2015-06-11-J05-HE-1")</f>
        <v>2015-06-11-J05-HE-1</v>
      </c>
    </row>
    <row r="3834">
      <c r="A3834" t="str">
        <f>IFERROR(__xludf.DUMMYFUNCTION("""COMPUTED_VALUE"""),"2015-06-11-J05-HE-2")</f>
        <v>2015-06-11-J05-HE-2</v>
      </c>
    </row>
    <row r="3835">
      <c r="A3835" t="str">
        <f>IFERROR(__xludf.DUMMYFUNCTION("""COMPUTED_VALUE"""),"2015-06-11-J05-HE-3")</f>
        <v>2015-06-11-J05-HE-3</v>
      </c>
    </row>
    <row r="3836">
      <c r="A3836" t="str">
        <f>IFERROR(__xludf.DUMMYFUNCTION("""COMPUTED_VALUE"""),"2015-06-11-J07-HE-1")</f>
        <v>2015-06-11-J07-HE-1</v>
      </c>
    </row>
    <row r="3837">
      <c r="A3837" t="str">
        <f>IFERROR(__xludf.DUMMYFUNCTION("""COMPUTED_VALUE"""),"2015-06-11-J07-HE-2")</f>
        <v>2015-06-11-J07-HE-2</v>
      </c>
    </row>
    <row r="3838">
      <c r="A3838" t="str">
        <f>IFERROR(__xludf.DUMMYFUNCTION("""COMPUTED_VALUE"""),"2015-06-11-J07-HE-3")</f>
        <v>2015-06-11-J07-HE-3</v>
      </c>
    </row>
    <row r="3839">
      <c r="A3839" t="str">
        <f>IFERROR(__xludf.DUMMYFUNCTION("""COMPUTED_VALUE"""),"2015-06-11-J07-HE-4")</f>
        <v>2015-06-11-J07-HE-4</v>
      </c>
    </row>
    <row r="3840">
      <c r="A3840" t="str">
        <f>IFERROR(__xludf.DUMMYFUNCTION("""COMPUTED_VALUE"""),"2015-06-11-J07-HE-5")</f>
        <v>2015-06-11-J07-HE-5</v>
      </c>
    </row>
    <row r="3841">
      <c r="A3841" t="str">
        <f>IFERROR(__xludf.DUMMYFUNCTION("""COMPUTED_VALUE"""),"2015-06-11-J07-HE-6")</f>
        <v>2015-06-11-J07-HE-6</v>
      </c>
    </row>
    <row r="3842">
      <c r="A3842" t="str">
        <f>IFERROR(__xludf.DUMMYFUNCTION("""COMPUTED_VALUE"""),"2015-06-11-J07-HE-7")</f>
        <v>2015-06-11-J07-HE-7</v>
      </c>
    </row>
    <row r="3843">
      <c r="A3843" t="str">
        <f>IFERROR(__xludf.DUMMYFUNCTION("""COMPUTED_VALUE"""),"2015-06-11-J07-HE-8")</f>
        <v>2015-06-11-J07-HE-8</v>
      </c>
    </row>
    <row r="3844">
      <c r="A3844" t="str">
        <f>IFERROR(__xludf.DUMMYFUNCTION("""COMPUTED_VALUE"""),"2015-06-11-J07-HE-9")</f>
        <v>2015-06-11-J07-HE-9</v>
      </c>
    </row>
    <row r="3845">
      <c r="A3845" t="str">
        <f>IFERROR(__xludf.DUMMYFUNCTION("""COMPUTED_VALUE"""),"2015-06-11-J07-HE-10")</f>
        <v>2015-06-11-J07-HE-10</v>
      </c>
    </row>
    <row r="3846">
      <c r="A3846" t="str">
        <f>IFERROR(__xludf.DUMMYFUNCTION("""COMPUTED_VALUE"""),"2015-06-12-J06-SO-1")</f>
        <v>2015-06-12-J06-SO-1</v>
      </c>
    </row>
    <row r="3847">
      <c r="A3847" t="str">
        <f>IFERROR(__xludf.DUMMYFUNCTION("""COMPUTED_VALUE"""),"2015-06-12-J06-SO-2")</f>
        <v>2015-06-12-J06-SO-2</v>
      </c>
    </row>
    <row r="3848">
      <c r="A3848" t="str">
        <f>IFERROR(__xludf.DUMMYFUNCTION("""COMPUTED_VALUE"""),"2015-06-12-J06-SO-3")</f>
        <v>2015-06-12-J06-SO-3</v>
      </c>
    </row>
    <row r="3849">
      <c r="A3849" t="str">
        <f>IFERROR(__xludf.DUMMYFUNCTION("""COMPUTED_VALUE"""),"2015-06-12-J06-SO-4")</f>
        <v>2015-06-12-J06-SO-4</v>
      </c>
    </row>
    <row r="3850">
      <c r="A3850" t="str">
        <f>IFERROR(__xludf.DUMMYFUNCTION("""COMPUTED_VALUE"""),"2015-06-12-J06-CU-1")</f>
        <v>2015-06-12-J06-CU-1</v>
      </c>
    </row>
    <row r="3851">
      <c r="A3851" t="str">
        <f>IFERROR(__xludf.DUMMYFUNCTION("""COMPUTED_VALUE"""),"2015-06-12-J06-CU-2")</f>
        <v>2015-06-12-J06-CU-2</v>
      </c>
    </row>
    <row r="3852">
      <c r="A3852" t="str">
        <f>IFERROR(__xludf.DUMMYFUNCTION("""COMPUTED_VALUE"""),"2015-06-12-J06-CU-3")</f>
        <v>2015-06-12-J06-CU-3</v>
      </c>
    </row>
    <row r="3853">
      <c r="A3853" t="str">
        <f>IFERROR(__xludf.DUMMYFUNCTION("""COMPUTED_VALUE"""),"2015-06-12-J06-CU-4")</f>
        <v>2015-06-12-J06-CU-4</v>
      </c>
    </row>
    <row r="3854">
      <c r="A3854" t="str">
        <f>IFERROR(__xludf.DUMMYFUNCTION("""COMPUTED_VALUE"""),"2015-06-12-J06-CU-5")</f>
        <v>2015-06-12-J06-CU-5</v>
      </c>
    </row>
    <row r="3855">
      <c r="A3855" t="str">
        <f>IFERROR(__xludf.DUMMYFUNCTION("""COMPUTED_VALUE"""),"2015-06-12-J06-CU-6")</f>
        <v>2015-06-12-J06-CU-6</v>
      </c>
    </row>
    <row r="3856">
      <c r="A3856" t="str">
        <f>IFERROR(__xludf.DUMMYFUNCTION("""COMPUTED_VALUE"""),"2015-06-12-J06-CU-7")</f>
        <v>2015-06-12-J06-CU-7</v>
      </c>
    </row>
    <row r="3857">
      <c r="A3857" t="str">
        <f>IFERROR(__xludf.DUMMYFUNCTION("""COMPUTED_VALUE"""),"2015-06-12-J06-CU-8")</f>
        <v>2015-06-12-J06-CU-8</v>
      </c>
    </row>
    <row r="3858">
      <c r="A3858" t="str">
        <f>IFERROR(__xludf.DUMMYFUNCTION("""COMPUTED_VALUE"""),"2015-06-12-J06-CU-9")</f>
        <v>2015-06-12-J06-CU-9</v>
      </c>
    </row>
    <row r="3859">
      <c r="A3859" t="str">
        <f>IFERROR(__xludf.DUMMYFUNCTION("""COMPUTED_VALUE"""),"2015-06-12-J06-CU-10")</f>
        <v>2015-06-12-J06-CU-10</v>
      </c>
    </row>
    <row r="3860">
      <c r="A3860" t="str">
        <f>IFERROR(__xludf.DUMMYFUNCTION("""COMPUTED_VALUE"""),"2015-06-12-J06-CO-1")</f>
        <v>2015-06-12-J06-CO-1</v>
      </c>
    </row>
    <row r="3861">
      <c r="A3861" t="str">
        <f>IFERROR(__xludf.DUMMYFUNCTION("""COMPUTED_VALUE"""),"2015-06-12-J06-HE-1")</f>
        <v>2015-06-12-J06-HE-1</v>
      </c>
    </row>
    <row r="3862">
      <c r="A3862" t="str">
        <f>IFERROR(__xludf.DUMMYFUNCTION("""COMPUTED_VALUE"""),"2015-06-12-J06-HE-2")</f>
        <v>2015-06-12-J06-HE-2</v>
      </c>
    </row>
    <row r="3863">
      <c r="A3863" t="str">
        <f>IFERROR(__xludf.DUMMYFUNCTION("""COMPUTED_VALUE"""),"2015-06-12-J06-HE-3")</f>
        <v>2015-06-12-J06-HE-3</v>
      </c>
    </row>
    <row r="3864">
      <c r="A3864" t="str">
        <f>IFERROR(__xludf.DUMMYFUNCTION("""COMPUTED_VALUE"""),"2015-06-12-J06-HE-4")</f>
        <v>2015-06-12-J06-HE-4</v>
      </c>
    </row>
    <row r="3865">
      <c r="A3865" t="str">
        <f>IFERROR(__xludf.DUMMYFUNCTION("""COMPUTED_VALUE"""),"2015-06-12-J06-HE-5")</f>
        <v>2015-06-12-J06-HE-5</v>
      </c>
    </row>
    <row r="3866">
      <c r="A3866" t="str">
        <f>IFERROR(__xludf.DUMMYFUNCTION("""COMPUTED_VALUE"""),"2015-06-12-J06-HE-6")</f>
        <v>2015-06-12-J06-HE-6</v>
      </c>
    </row>
    <row r="3867">
      <c r="A3867" t="str">
        <f>IFERROR(__xludf.DUMMYFUNCTION("""COMPUTED_VALUE"""),"2015-06-12-J06-HE-7")</f>
        <v>2015-06-12-J06-HE-7</v>
      </c>
    </row>
    <row r="3868">
      <c r="A3868" t="str">
        <f>IFERROR(__xludf.DUMMYFUNCTION("""COMPUTED_VALUE"""),"2015-06-12-J06-HE-8")</f>
        <v>2015-06-12-J06-HE-8</v>
      </c>
    </row>
    <row r="3869">
      <c r="A3869" t="str">
        <f>IFERROR(__xludf.DUMMYFUNCTION("""COMPUTED_VALUE"""),"2015-06-12-J06-HE-9")</f>
        <v>2015-06-12-J06-HE-9</v>
      </c>
    </row>
    <row r="3870">
      <c r="A3870" t="str">
        <f>IFERROR(__xludf.DUMMYFUNCTION("""COMPUTED_VALUE"""),"2015-06-12-J06-HE-10")</f>
        <v>2015-06-12-J06-HE-10</v>
      </c>
    </row>
    <row r="3871">
      <c r="A3871" t="str">
        <f>IFERROR(__xludf.DUMMYFUNCTION("""COMPUTED_VALUE"""),"2015-06-13-D07-SO-1")</f>
        <v>2015-06-13-D07-SO-1</v>
      </c>
    </row>
    <row r="3872">
      <c r="A3872" t="str">
        <f>IFERROR(__xludf.DUMMYFUNCTION("""COMPUTED_VALUE"""),"2015-06-13-D07-SO-2")</f>
        <v>2015-06-13-D07-SO-2</v>
      </c>
    </row>
    <row r="3873">
      <c r="A3873" t="str">
        <f>IFERROR(__xludf.DUMMYFUNCTION("""COMPUTED_VALUE"""),"2015-06-13-D07-SO-3")</f>
        <v>2015-06-13-D07-SO-3</v>
      </c>
    </row>
    <row r="3874">
      <c r="A3874" t="str">
        <f>IFERROR(__xludf.DUMMYFUNCTION("""COMPUTED_VALUE"""),"2015-06-13-D07-SO-4")</f>
        <v>2015-06-13-D07-SO-4</v>
      </c>
    </row>
    <row r="3875">
      <c r="A3875" t="str">
        <f>IFERROR(__xludf.DUMMYFUNCTION("""COMPUTED_VALUE"""),"2015-06-13-D07-SO-5")</f>
        <v>2015-06-13-D07-SO-5</v>
      </c>
    </row>
    <row r="3876">
      <c r="A3876" t="str">
        <f>IFERROR(__xludf.DUMMYFUNCTION("""COMPUTED_VALUE"""),"2015-06-13-D07-SO-6")</f>
        <v>2015-06-13-D07-SO-6</v>
      </c>
    </row>
    <row r="3877">
      <c r="A3877" t="str">
        <f>IFERROR(__xludf.DUMMYFUNCTION("""COMPUTED_VALUE"""),"2015-06-13-D07-SO-7")</f>
        <v>2015-06-13-D07-SO-7</v>
      </c>
    </row>
    <row r="3878">
      <c r="A3878" t="str">
        <f>IFERROR(__xludf.DUMMYFUNCTION("""COMPUTED_VALUE"""),"2015-06-13-D07-SO-8")</f>
        <v>2015-06-13-D07-SO-8</v>
      </c>
    </row>
    <row r="3879">
      <c r="A3879" t="str">
        <f>IFERROR(__xludf.DUMMYFUNCTION("""COMPUTED_VALUE"""),"2015-06-13-D07-SO-9")</f>
        <v>2015-06-13-D07-SO-9</v>
      </c>
    </row>
    <row r="3880">
      <c r="A3880" t="str">
        <f>IFERROR(__xludf.DUMMYFUNCTION("""COMPUTED_VALUE"""),"2015-06-13-D07-SO-10")</f>
        <v>2015-06-13-D07-SO-10</v>
      </c>
    </row>
    <row r="3881">
      <c r="A3881" t="str">
        <f>IFERROR(__xludf.DUMMYFUNCTION("""COMPUTED_VALUE"""),"2015-06-13-D07-SO-11")</f>
        <v>2015-06-13-D07-SO-11</v>
      </c>
    </row>
    <row r="3882">
      <c r="A3882" t="str">
        <f>IFERROR(__xludf.DUMMYFUNCTION("""COMPUTED_VALUE"""),"2015-06-13-D07-SO-12")</f>
        <v>2015-06-13-D07-SO-12</v>
      </c>
    </row>
    <row r="3883">
      <c r="A3883" t="str">
        <f>IFERROR(__xludf.DUMMYFUNCTION("""COMPUTED_VALUE"""),"2015-06-13-D07-SO-13")</f>
        <v>2015-06-13-D07-SO-13</v>
      </c>
    </row>
    <row r="3884">
      <c r="A3884" t="str">
        <f>IFERROR(__xludf.DUMMYFUNCTION("""COMPUTED_VALUE"""),"2015-06-13-D07-SO-14")</f>
        <v>2015-06-13-D07-SO-14</v>
      </c>
    </row>
    <row r="3885">
      <c r="A3885" t="str">
        <f>IFERROR(__xludf.DUMMYFUNCTION("""COMPUTED_VALUE"""),"2015-06-13-D07-SO-15")</f>
        <v>2015-06-13-D07-SO-15</v>
      </c>
    </row>
    <row r="3886">
      <c r="A3886" t="str">
        <f>IFERROR(__xludf.DUMMYFUNCTION("""COMPUTED_VALUE"""),"2015-06-13-D07-SO-16")</f>
        <v>2015-06-13-D07-SO-16</v>
      </c>
    </row>
    <row r="3887">
      <c r="A3887" t="str">
        <f>IFERROR(__xludf.DUMMYFUNCTION("""COMPUTED_VALUE"""),"2015-06-13-D07-SO-17")</f>
        <v>2015-06-13-D07-SO-17</v>
      </c>
    </row>
    <row r="3888">
      <c r="A3888" t="str">
        <f>IFERROR(__xludf.DUMMYFUNCTION("""COMPUTED_VALUE"""),"2015-06-13-D07-SO-18")</f>
        <v>2015-06-13-D07-SO-18</v>
      </c>
    </row>
    <row r="3889">
      <c r="A3889" t="str">
        <f>IFERROR(__xludf.DUMMYFUNCTION("""COMPUTED_VALUE"""),"2015-06-13-D07-SO-19")</f>
        <v>2015-06-13-D07-SO-19</v>
      </c>
    </row>
    <row r="3890">
      <c r="A3890" t="str">
        <f>IFERROR(__xludf.DUMMYFUNCTION("""COMPUTED_VALUE"""),"2015-06-13-D07-SO-20")</f>
        <v>2015-06-13-D07-SO-20</v>
      </c>
    </row>
    <row r="3891">
      <c r="A3891" t="str">
        <f>IFERROR(__xludf.DUMMYFUNCTION("""COMPUTED_VALUE"""),"2015-06-13-D07-SO-21")</f>
        <v>2015-06-13-D07-SO-21</v>
      </c>
    </row>
    <row r="3892">
      <c r="A3892" t="str">
        <f>IFERROR(__xludf.DUMMYFUNCTION("""COMPUTED_VALUE"""),"2015-06-13-D07-SO-22")</f>
        <v>2015-06-13-D07-SO-22</v>
      </c>
    </row>
    <row r="3893">
      <c r="A3893" t="str">
        <f>IFERROR(__xludf.DUMMYFUNCTION("""COMPUTED_VALUE"""),"2015-06-13-J09-SO-1")</f>
        <v>2015-06-13-J09-SO-1</v>
      </c>
    </row>
    <row r="3894">
      <c r="A3894" t="str">
        <f>IFERROR(__xludf.DUMMYFUNCTION("""COMPUTED_VALUE"""),"2015-06-13-J09-SO-2")</f>
        <v>2015-06-13-J09-SO-2</v>
      </c>
    </row>
    <row r="3895">
      <c r="A3895" t="str">
        <f>IFERROR(__xludf.DUMMYFUNCTION("""COMPUTED_VALUE"""),"2015-06-13-J09-SO-3")</f>
        <v>2015-06-13-J09-SO-3</v>
      </c>
    </row>
    <row r="3896">
      <c r="A3896" t="str">
        <f>IFERROR(__xludf.DUMMYFUNCTION("""COMPUTED_VALUE"""),"2015-06-13-J09-SO-4")</f>
        <v>2015-06-13-J09-SO-4</v>
      </c>
    </row>
    <row r="3897">
      <c r="A3897" t="str">
        <f>IFERROR(__xludf.DUMMYFUNCTION("""COMPUTED_VALUE"""),"2015-06-13-J09-SO-5")</f>
        <v>2015-06-13-J09-SO-5</v>
      </c>
    </row>
    <row r="3898">
      <c r="A3898" t="str">
        <f>IFERROR(__xludf.DUMMYFUNCTION("""COMPUTED_VALUE"""),"2015-06-13-J09-SO-6")</f>
        <v>2015-06-13-J09-SO-6</v>
      </c>
    </row>
    <row r="3899">
      <c r="A3899" t="str">
        <f>IFERROR(__xludf.DUMMYFUNCTION("""COMPUTED_VALUE"""),"2015-06-13-J09-SO-7")</f>
        <v>2015-06-13-J09-SO-7</v>
      </c>
    </row>
    <row r="3900">
      <c r="A3900" t="str">
        <f>IFERROR(__xludf.DUMMYFUNCTION("""COMPUTED_VALUE"""),"2015-06-13-J09-SO-8")</f>
        <v>2015-06-13-J09-SO-8</v>
      </c>
    </row>
    <row r="3901">
      <c r="A3901" t="str">
        <f>IFERROR(__xludf.DUMMYFUNCTION("""COMPUTED_VALUE"""),"2015-06-13-J09-SO-9")</f>
        <v>2015-06-13-J09-SO-9</v>
      </c>
    </row>
    <row r="3902">
      <c r="A3902" t="str">
        <f>IFERROR(__xludf.DUMMYFUNCTION("""COMPUTED_VALUE"""),"2015-06-13-J09-SO-10")</f>
        <v>2015-06-13-J09-SO-10</v>
      </c>
    </row>
    <row r="3903">
      <c r="A3903" t="str">
        <f>IFERROR(__xludf.DUMMYFUNCTION("""COMPUTED_VALUE"""),"2015-06-13-J09-SO-11")</f>
        <v>2015-06-13-J09-SO-11</v>
      </c>
    </row>
    <row r="3904">
      <c r="A3904" t="str">
        <f>IFERROR(__xludf.DUMMYFUNCTION("""COMPUTED_VALUE"""),"2015-06-13-J09-SO-12")</f>
        <v>2015-06-13-J09-SO-12</v>
      </c>
    </row>
    <row r="3905">
      <c r="A3905" t="str">
        <f>IFERROR(__xludf.DUMMYFUNCTION("""COMPUTED_VALUE"""),"2015-06-13-J09-SO-13")</f>
        <v>2015-06-13-J09-SO-13</v>
      </c>
    </row>
    <row r="3906">
      <c r="A3906" t="str">
        <f>IFERROR(__xludf.DUMMYFUNCTION("""COMPUTED_VALUE"""),"2015-06-13-J09-SO-14")</f>
        <v>2015-06-13-J09-SO-14</v>
      </c>
    </row>
    <row r="3907">
      <c r="A3907" t="str">
        <f>IFERROR(__xludf.DUMMYFUNCTION("""COMPUTED_VALUE"""),"2015-06-13-J09-SO-15")</f>
        <v>2015-06-13-J09-SO-15</v>
      </c>
    </row>
    <row r="3908">
      <c r="A3908" t="str">
        <f>IFERROR(__xludf.DUMMYFUNCTION("""COMPUTED_VALUE"""),"2015-06-13-J09-SO-16")</f>
        <v>2015-06-13-J09-SO-16</v>
      </c>
    </row>
    <row r="3909">
      <c r="A3909" t="str">
        <f>IFERROR(__xludf.DUMMYFUNCTION("""COMPUTED_VALUE"""),"2015-06-13-J09-SO-17")</f>
        <v>2015-06-13-J09-SO-17</v>
      </c>
    </row>
    <row r="3910">
      <c r="A3910" t="str">
        <f>IFERROR(__xludf.DUMMYFUNCTION("""COMPUTED_VALUE"""),"2015-06-13-J09-SO-18")</f>
        <v>2015-06-13-J09-SO-18</v>
      </c>
    </row>
    <row r="3911">
      <c r="A3911" t="str">
        <f>IFERROR(__xludf.DUMMYFUNCTION("""COMPUTED_VALUE"""),"2015-06-13-J09-SO-19")</f>
        <v>2015-06-13-J09-SO-19</v>
      </c>
    </row>
    <row r="3912">
      <c r="A3912" t="str">
        <f>IFERROR(__xludf.DUMMYFUNCTION("""COMPUTED_VALUE"""),"2015-06-13-J09-SO-20")</f>
        <v>2015-06-13-J09-SO-20</v>
      </c>
    </row>
    <row r="3913">
      <c r="A3913" t="str">
        <f>IFERROR(__xludf.DUMMYFUNCTION("""COMPUTED_VALUE"""),"2015-06-13-J09-SO-21")</f>
        <v>2015-06-13-J09-SO-21</v>
      </c>
    </row>
    <row r="3914">
      <c r="A3914" t="str">
        <f>IFERROR(__xludf.DUMMYFUNCTION("""COMPUTED_VALUE"""),"2015-06-13-J09-SO-22")</f>
        <v>2015-06-13-J09-SO-22</v>
      </c>
    </row>
    <row r="3915">
      <c r="A3915" t="str">
        <f>IFERROR(__xludf.DUMMYFUNCTION("""COMPUTED_VALUE"""),"2015-06-13-J09-SO-23")</f>
        <v>2015-06-13-J09-SO-23</v>
      </c>
    </row>
    <row r="3916">
      <c r="A3916" t="str">
        <f>IFERROR(__xludf.DUMMYFUNCTION("""COMPUTED_VALUE"""),"2015-06-13-J09-SO-24")</f>
        <v>2015-06-13-J09-SO-24</v>
      </c>
    </row>
    <row r="3917">
      <c r="A3917" t="str">
        <f>IFERROR(__xludf.DUMMYFUNCTION("""COMPUTED_VALUE"""),"2015-06-13-J09-SO-25")</f>
        <v>2015-06-13-J09-SO-25</v>
      </c>
    </row>
    <row r="3918">
      <c r="A3918" t="str">
        <f>IFERROR(__xludf.DUMMYFUNCTION("""COMPUTED_VALUE"""),"2015-06-13-J09-SO-26")</f>
        <v>2015-06-13-J09-SO-26</v>
      </c>
    </row>
    <row r="3919">
      <c r="A3919" t="str">
        <f>IFERROR(__xludf.DUMMYFUNCTION("""COMPUTED_VALUE"""),"2015-06-13-J09-SO-27")</f>
        <v>2015-06-13-J09-SO-27</v>
      </c>
    </row>
    <row r="3920">
      <c r="A3920" t="str">
        <f>IFERROR(__xludf.DUMMYFUNCTION("""COMPUTED_VALUE"""),"2015-06-13-J09-SO-28")</f>
        <v>2015-06-13-J09-SO-28</v>
      </c>
    </row>
    <row r="3921">
      <c r="A3921" t="str">
        <f>IFERROR(__xludf.DUMMYFUNCTION("""COMPUTED_VALUE"""),"2015-06-13-J09-SO-29")</f>
        <v>2015-06-13-J09-SO-29</v>
      </c>
    </row>
    <row r="3922">
      <c r="A3922" t="str">
        <f>IFERROR(__xludf.DUMMYFUNCTION("""COMPUTED_VALUE"""),"2015-06-13-J09-SO-30")</f>
        <v>2015-06-13-J09-SO-30</v>
      </c>
    </row>
    <row r="3923">
      <c r="A3923" t="str">
        <f>IFERROR(__xludf.DUMMYFUNCTION("""COMPUTED_VALUE"""),"2015-06-13-D07-PI-1")</f>
        <v>2015-06-13-D07-PI-1</v>
      </c>
    </row>
    <row r="3924">
      <c r="A3924" t="str">
        <f>IFERROR(__xludf.DUMMYFUNCTION("""COMPUTED_VALUE"""),"2015-06-13-D07-PI-2")</f>
        <v>2015-06-13-D07-PI-2</v>
      </c>
    </row>
    <row r="3925">
      <c r="A3925" t="str">
        <f>IFERROR(__xludf.DUMMYFUNCTION("""COMPUTED_VALUE"""),"2015-06-13-D07-PI-3")</f>
        <v>2015-06-13-D07-PI-3</v>
      </c>
    </row>
    <row r="3926">
      <c r="A3926" t="str">
        <f>IFERROR(__xludf.DUMMYFUNCTION("""COMPUTED_VALUE"""),"2015-06-13-D07-CU-1")</f>
        <v>2015-06-13-D07-CU-1</v>
      </c>
    </row>
    <row r="3927">
      <c r="A3927" t="str">
        <f>IFERROR(__xludf.DUMMYFUNCTION("""COMPUTED_VALUE"""),"2015-06-13-D07-CU-2")</f>
        <v>2015-06-13-D07-CU-2</v>
      </c>
    </row>
    <row r="3928">
      <c r="A3928" t="str">
        <f>IFERROR(__xludf.DUMMYFUNCTION("""COMPUTED_VALUE"""),"2015-06-13-D07-CU-3")</f>
        <v>2015-06-13-D07-CU-3</v>
      </c>
    </row>
    <row r="3929">
      <c r="A3929" t="str">
        <f>IFERROR(__xludf.DUMMYFUNCTION("""COMPUTED_VALUE"""),"2015-06-13-D07-CU-4")</f>
        <v>2015-06-13-D07-CU-4</v>
      </c>
    </row>
    <row r="3930">
      <c r="A3930" t="str">
        <f>IFERROR(__xludf.DUMMYFUNCTION("""COMPUTED_VALUE"""),"2015-06-13-D07-CU-5")</f>
        <v>2015-06-13-D07-CU-5</v>
      </c>
    </row>
    <row r="3931">
      <c r="A3931" t="str">
        <f>IFERROR(__xludf.DUMMYFUNCTION("""COMPUTED_VALUE"""),"2015-06-13-D07-CU-6")</f>
        <v>2015-06-13-D07-CU-6</v>
      </c>
    </row>
    <row r="3932">
      <c r="A3932" t="str">
        <f>IFERROR(__xludf.DUMMYFUNCTION("""COMPUTED_VALUE"""),"2015-06-13-D07-CU-7")</f>
        <v>2015-06-13-D07-CU-7</v>
      </c>
    </row>
    <row r="3933">
      <c r="A3933" t="str">
        <f>IFERROR(__xludf.DUMMYFUNCTION("""COMPUTED_VALUE"""),"2015-06-13-D07-CU-8")</f>
        <v>2015-06-13-D07-CU-8</v>
      </c>
    </row>
    <row r="3934">
      <c r="A3934" t="str">
        <f>IFERROR(__xludf.DUMMYFUNCTION("""COMPUTED_VALUE"""),"2015-06-13-D07-CU-9")</f>
        <v>2015-06-13-D07-CU-9</v>
      </c>
    </row>
    <row r="3935">
      <c r="A3935" t="str">
        <f>IFERROR(__xludf.DUMMYFUNCTION("""COMPUTED_VALUE"""),"2015-06-13-D07-CU-10")</f>
        <v>2015-06-13-D07-CU-10</v>
      </c>
    </row>
    <row r="3936">
      <c r="A3936" t="str">
        <f>IFERROR(__xludf.DUMMYFUNCTION("""COMPUTED_VALUE"""),"2015-06-13-J09-CU-1")</f>
        <v>2015-06-13-J09-CU-1</v>
      </c>
    </row>
    <row r="3937">
      <c r="A3937" t="str">
        <f>IFERROR(__xludf.DUMMYFUNCTION("""COMPUTED_VALUE"""),"2015-06-13-J09-CU-2")</f>
        <v>2015-06-13-J09-CU-2</v>
      </c>
    </row>
    <row r="3938">
      <c r="A3938" t="str">
        <f>IFERROR(__xludf.DUMMYFUNCTION("""COMPUTED_VALUE"""),"2015-06-13-J09-CU-3")</f>
        <v>2015-06-13-J09-CU-3</v>
      </c>
    </row>
    <row r="3939">
      <c r="A3939" t="str">
        <f>IFERROR(__xludf.DUMMYFUNCTION("""COMPUTED_VALUE"""),"2015-06-13-J09-CU-4")</f>
        <v>2015-06-13-J09-CU-4</v>
      </c>
    </row>
    <row r="3940">
      <c r="A3940" t="str">
        <f>IFERROR(__xludf.DUMMYFUNCTION("""COMPUTED_VALUE"""),"2015-06-13-J09-CU-5")</f>
        <v>2015-06-13-J09-CU-5</v>
      </c>
    </row>
    <row r="3941">
      <c r="A3941" t="str">
        <f>IFERROR(__xludf.DUMMYFUNCTION("""COMPUTED_VALUE"""),"2015-06-13-J09-CU-6")</f>
        <v>2015-06-13-J09-CU-6</v>
      </c>
    </row>
    <row r="3942">
      <c r="A3942" t="str">
        <f>IFERROR(__xludf.DUMMYFUNCTION("""COMPUTED_VALUE"""),"2015-06-13-J09-CU-7")</f>
        <v>2015-06-13-J09-CU-7</v>
      </c>
    </row>
    <row r="3943">
      <c r="A3943" t="str">
        <f>IFERROR(__xludf.DUMMYFUNCTION("""COMPUTED_VALUE"""),"2015-06-13-J09-CU-8")</f>
        <v>2015-06-13-J09-CU-8</v>
      </c>
    </row>
    <row r="3944">
      <c r="A3944" t="str">
        <f>IFERROR(__xludf.DUMMYFUNCTION("""COMPUTED_VALUE"""),"2015-06-13-J09-CU-9")</f>
        <v>2015-06-13-J09-CU-9</v>
      </c>
    </row>
    <row r="3945">
      <c r="A3945" t="str">
        <f>IFERROR(__xludf.DUMMYFUNCTION("""COMPUTED_VALUE"""),"2015-06-13-J09-CU-10")</f>
        <v>2015-06-13-J09-CU-10</v>
      </c>
    </row>
    <row r="3946">
      <c r="A3946" t="str">
        <f>IFERROR(__xludf.DUMMYFUNCTION("""COMPUTED_VALUE"""),"2015-06-13-D07-CO-1")</f>
        <v>2015-06-13-D07-CO-1</v>
      </c>
    </row>
    <row r="3947">
      <c r="A3947" t="str">
        <f>IFERROR(__xludf.DUMMYFUNCTION("""COMPUTED_VALUE"""),"2015-06-13-D07-CO-2")</f>
        <v>2015-06-13-D07-CO-2</v>
      </c>
    </row>
    <row r="3948">
      <c r="A3948" t="str">
        <f>IFERROR(__xludf.DUMMYFUNCTION("""COMPUTED_VALUE"""),"2015-06-13-D07-CO-3")</f>
        <v>2015-06-13-D07-CO-3</v>
      </c>
    </row>
    <row r="3949">
      <c r="A3949" t="str">
        <f>IFERROR(__xludf.DUMMYFUNCTION("""COMPUTED_VALUE"""),"2015-06-13-D07-CO-4")</f>
        <v>2015-06-13-D07-CO-4</v>
      </c>
    </row>
    <row r="3950">
      <c r="A3950" t="str">
        <f>IFERROR(__xludf.DUMMYFUNCTION("""COMPUTED_VALUE"""),"2015-06-13-D07-CO-5")</f>
        <v>2015-06-13-D07-CO-5</v>
      </c>
    </row>
    <row r="3951">
      <c r="A3951" t="str">
        <f>IFERROR(__xludf.DUMMYFUNCTION("""COMPUTED_VALUE"""),"2015-06-13-J09-CO-1")</f>
        <v>2015-06-13-J09-CO-1</v>
      </c>
    </row>
    <row r="3952">
      <c r="A3952" t="str">
        <f>IFERROR(__xludf.DUMMYFUNCTION("""COMPUTED_VALUE"""),"2015-06-13-J09-CO-2")</f>
        <v>2015-06-13-J09-CO-2</v>
      </c>
    </row>
    <row r="3953">
      <c r="A3953" t="str">
        <f>IFERROR(__xludf.DUMMYFUNCTION("""COMPUTED_VALUE"""),"2015-06-13-J09-CO-3")</f>
        <v>2015-06-13-J09-CO-3</v>
      </c>
    </row>
    <row r="3954">
      <c r="A3954" t="str">
        <f>IFERROR(__xludf.DUMMYFUNCTION("""COMPUTED_VALUE"""),"2015-06-13-J09-CO-4")</f>
        <v>2015-06-13-J09-CO-4</v>
      </c>
    </row>
    <row r="3955">
      <c r="A3955" t="str">
        <f>IFERROR(__xludf.DUMMYFUNCTION("""COMPUTED_VALUE"""),"2015-06-13-J09-CO-5")</f>
        <v>2015-06-13-J09-CO-5</v>
      </c>
    </row>
    <row r="3956">
      <c r="A3956" t="str">
        <f>IFERROR(__xludf.DUMMYFUNCTION("""COMPUTED_VALUE"""),"2015-06-13-J09-CO-6")</f>
        <v>2015-06-13-J09-CO-6</v>
      </c>
    </row>
    <row r="3957">
      <c r="A3957" t="str">
        <f>IFERROR(__xludf.DUMMYFUNCTION("""COMPUTED_VALUE"""),"2015-06-14-D09-SO-1")</f>
        <v>2015-06-14-D09-SO-1</v>
      </c>
    </row>
    <row r="3958">
      <c r="A3958" t="str">
        <f>IFERROR(__xludf.DUMMYFUNCTION("""COMPUTED_VALUE"""),"2015-06-14-D09-SO-2")</f>
        <v>2015-06-14-D09-SO-2</v>
      </c>
    </row>
    <row r="3959">
      <c r="A3959" t="str">
        <f>IFERROR(__xludf.DUMMYFUNCTION("""COMPUTED_VALUE"""),"2015-06-14-D09-SO-3")</f>
        <v>2015-06-14-D09-SO-3</v>
      </c>
    </row>
    <row r="3960">
      <c r="A3960" t="str">
        <f>IFERROR(__xludf.DUMMYFUNCTION("""COMPUTED_VALUE"""),"2015-06-14-D09-SO-4")</f>
        <v>2015-06-14-D09-SO-4</v>
      </c>
    </row>
    <row r="3961">
      <c r="A3961" t="str">
        <f>IFERROR(__xludf.DUMMYFUNCTION("""COMPUTED_VALUE"""),"2015-06-14-D09-SO-5")</f>
        <v>2015-06-14-D09-SO-5</v>
      </c>
    </row>
    <row r="3962">
      <c r="A3962" t="str">
        <f>IFERROR(__xludf.DUMMYFUNCTION("""COMPUTED_VALUE"""),"2015-06-14-D09-SO-6")</f>
        <v>2015-06-14-D09-SO-6</v>
      </c>
    </row>
    <row r="3963">
      <c r="A3963" t="str">
        <f>IFERROR(__xludf.DUMMYFUNCTION("""COMPUTED_VALUE"""),"2015-06-14-D09-SO-7")</f>
        <v>2015-06-14-D09-SO-7</v>
      </c>
    </row>
    <row r="3964">
      <c r="A3964" t="str">
        <f>IFERROR(__xludf.DUMMYFUNCTION("""COMPUTED_VALUE"""),"2015-06-14-D09-SO-8")</f>
        <v>2015-06-14-D09-SO-8</v>
      </c>
    </row>
    <row r="3965">
      <c r="A3965" t="str">
        <f>IFERROR(__xludf.DUMMYFUNCTION("""COMPUTED_VALUE"""),"2015-06-14-D09-SO-9")</f>
        <v>2015-06-14-D09-SO-9</v>
      </c>
    </row>
    <row r="3966">
      <c r="A3966" t="str">
        <f>IFERROR(__xludf.DUMMYFUNCTION("""COMPUTED_VALUE"""),"2015-06-14-D09-SO-10")</f>
        <v>2015-06-14-D09-SO-10</v>
      </c>
    </row>
    <row r="3967">
      <c r="A3967" t="str">
        <f>IFERROR(__xludf.DUMMYFUNCTION("""COMPUTED_VALUE"""),"2015-06-14-D09-SO-11")</f>
        <v>2015-06-14-D09-SO-11</v>
      </c>
    </row>
    <row r="3968">
      <c r="A3968" t="str">
        <f>IFERROR(__xludf.DUMMYFUNCTION("""COMPUTED_VALUE"""),"2015-06-14-D09-SO-12")</f>
        <v>2015-06-14-D09-SO-12</v>
      </c>
    </row>
    <row r="3969">
      <c r="A3969" t="str">
        <f>IFERROR(__xludf.DUMMYFUNCTION("""COMPUTED_VALUE"""),"2015-06-14-D09-SO-13")</f>
        <v>2015-06-14-D09-SO-13</v>
      </c>
    </row>
    <row r="3970">
      <c r="A3970" t="str">
        <f>IFERROR(__xludf.DUMMYFUNCTION("""COMPUTED_VALUE"""),"2015-06-14-D09-SO-14")</f>
        <v>2015-06-14-D09-SO-14</v>
      </c>
    </row>
    <row r="3971">
      <c r="A3971" t="str">
        <f>IFERROR(__xludf.DUMMYFUNCTION("""COMPUTED_VALUE"""),"2015-06-14-D09-SO-15")</f>
        <v>2015-06-14-D09-SO-15</v>
      </c>
    </row>
    <row r="3972">
      <c r="A3972" t="str">
        <f>IFERROR(__xludf.DUMMYFUNCTION("""COMPUTED_VALUE"""),"2015-06-14-D09-SO-16")</f>
        <v>2015-06-14-D09-SO-16</v>
      </c>
    </row>
    <row r="3973">
      <c r="A3973" t="str">
        <f>IFERROR(__xludf.DUMMYFUNCTION("""COMPUTED_VALUE"""),"2015-06-14-D09-SO-17")</f>
        <v>2015-06-14-D09-SO-17</v>
      </c>
    </row>
    <row r="3974">
      <c r="A3974" t="str">
        <f>IFERROR(__xludf.DUMMYFUNCTION("""COMPUTED_VALUE"""),"2015-06-14-D09-SO-18")</f>
        <v>2015-06-14-D09-SO-18</v>
      </c>
    </row>
    <row r="3975">
      <c r="A3975" t="str">
        <f>IFERROR(__xludf.DUMMYFUNCTION("""COMPUTED_VALUE"""),"2015-06-14-D09-SO-19")</f>
        <v>2015-06-14-D09-SO-19</v>
      </c>
    </row>
    <row r="3976">
      <c r="A3976" t="str">
        <f>IFERROR(__xludf.DUMMYFUNCTION("""COMPUTED_VALUE"""),"2015-06-14-D09-SO-20")</f>
        <v>2015-06-14-D09-SO-20</v>
      </c>
    </row>
    <row r="3977">
      <c r="A3977" t="str">
        <f>IFERROR(__xludf.DUMMYFUNCTION("""COMPUTED_VALUE"""),"2015-06-14-D09-SO-21")</f>
        <v>2015-06-14-D09-SO-21</v>
      </c>
    </row>
    <row r="3978">
      <c r="A3978" t="str">
        <f>IFERROR(__xludf.DUMMYFUNCTION("""COMPUTED_VALUE"""),"2015-06-14-D09-SO-22")</f>
        <v>2015-06-14-D09-SO-22</v>
      </c>
    </row>
    <row r="3979">
      <c r="A3979" t="str">
        <f>IFERROR(__xludf.DUMMYFUNCTION("""COMPUTED_VALUE"""),"2015-06-14-D09-SO-23")</f>
        <v>2015-06-14-D09-SO-23</v>
      </c>
    </row>
    <row r="3980">
      <c r="A3980" t="str">
        <f>IFERROR(__xludf.DUMMYFUNCTION("""COMPUTED_VALUE"""),"2015-06-14-D09-SO-24")</f>
        <v>2015-06-14-D09-SO-24</v>
      </c>
    </row>
    <row r="3981">
      <c r="A3981" t="str">
        <f>IFERROR(__xludf.DUMMYFUNCTION("""COMPUTED_VALUE"""),"2015-06-14-D09-SO-25")</f>
        <v>2015-06-14-D09-SO-25</v>
      </c>
    </row>
    <row r="3982">
      <c r="A3982" t="str">
        <f>IFERROR(__xludf.DUMMYFUNCTION("""COMPUTED_VALUE"""),"2015-06-14-D09-SO-26")</f>
        <v>2015-06-14-D09-SO-26</v>
      </c>
    </row>
    <row r="3983">
      <c r="A3983" t="str">
        <f>IFERROR(__xludf.DUMMYFUNCTION("""COMPUTED_VALUE"""),"2015-06-14-D11-SO-1")</f>
        <v>2015-06-14-D11-SO-1</v>
      </c>
    </row>
    <row r="3984">
      <c r="A3984" t="str">
        <f>IFERROR(__xludf.DUMMYFUNCTION("""COMPUTED_VALUE"""),"2015-06-14-D11-SO-2")</f>
        <v>2015-06-14-D11-SO-2</v>
      </c>
    </row>
    <row r="3985">
      <c r="A3985" t="str">
        <f>IFERROR(__xludf.DUMMYFUNCTION("""COMPUTED_VALUE"""),"2015-06-14-D11-SO-3")</f>
        <v>2015-06-14-D11-SO-3</v>
      </c>
    </row>
    <row r="3986">
      <c r="A3986" t="str">
        <f>IFERROR(__xludf.DUMMYFUNCTION("""COMPUTED_VALUE"""),"2015-06-14-D11-SO-4")</f>
        <v>2015-06-14-D11-SO-4</v>
      </c>
    </row>
    <row r="3987">
      <c r="A3987" t="str">
        <f>IFERROR(__xludf.DUMMYFUNCTION("""COMPUTED_VALUE"""),"2015-06-14-D11-SO-5")</f>
        <v>2015-06-14-D11-SO-5</v>
      </c>
    </row>
    <row r="3988">
      <c r="A3988" t="str">
        <f>IFERROR(__xludf.DUMMYFUNCTION("""COMPUTED_VALUE"""),"2015-06-14-D11-SO-6")</f>
        <v>2015-06-14-D11-SO-6</v>
      </c>
    </row>
    <row r="3989">
      <c r="A3989" t="str">
        <f>IFERROR(__xludf.DUMMYFUNCTION("""COMPUTED_VALUE"""),"2015-06-14-D11-SO-7")</f>
        <v>2015-06-14-D11-SO-7</v>
      </c>
    </row>
    <row r="3990">
      <c r="A3990" t="str">
        <f>IFERROR(__xludf.DUMMYFUNCTION("""COMPUTED_VALUE"""),"2015-06-14-D11-SO-8")</f>
        <v>2015-06-14-D11-SO-8</v>
      </c>
    </row>
    <row r="3991">
      <c r="A3991" t="str">
        <f>IFERROR(__xludf.DUMMYFUNCTION("""COMPUTED_VALUE"""),"2015-06-14-D11-SO-9")</f>
        <v>2015-06-14-D11-SO-9</v>
      </c>
    </row>
    <row r="3992">
      <c r="A3992" t="str">
        <f>IFERROR(__xludf.DUMMYFUNCTION("""COMPUTED_VALUE"""),"2015-06-14-D11-SO-10")</f>
        <v>2015-06-14-D11-SO-10</v>
      </c>
    </row>
    <row r="3993">
      <c r="A3993" t="str">
        <f>IFERROR(__xludf.DUMMYFUNCTION("""COMPUTED_VALUE"""),"2015-06-14-D11-SO-11")</f>
        <v>2015-06-14-D11-SO-11</v>
      </c>
    </row>
    <row r="3994">
      <c r="A3994" t="str">
        <f>IFERROR(__xludf.DUMMYFUNCTION("""COMPUTED_VALUE"""),"2015-06-14-D11-SO-12")</f>
        <v>2015-06-14-D11-SO-12</v>
      </c>
    </row>
    <row r="3995">
      <c r="A3995" t="str">
        <f>IFERROR(__xludf.DUMMYFUNCTION("""COMPUTED_VALUE"""),"2015-06-14-D11-SO-13")</f>
        <v>2015-06-14-D11-SO-13</v>
      </c>
    </row>
    <row r="3996">
      <c r="A3996" t="str">
        <f>IFERROR(__xludf.DUMMYFUNCTION("""COMPUTED_VALUE"""),"2015-06-14-D11-SO-14")</f>
        <v>2015-06-14-D11-SO-14</v>
      </c>
    </row>
    <row r="3997">
      <c r="A3997" t="str">
        <f>IFERROR(__xludf.DUMMYFUNCTION("""COMPUTED_VALUE"""),"2015-06-14-D11-SO-15")</f>
        <v>2015-06-14-D11-SO-15</v>
      </c>
    </row>
    <row r="3998">
      <c r="A3998" t="str">
        <f>IFERROR(__xludf.DUMMYFUNCTION("""COMPUTED_VALUE"""),"2015-06-14-D11-SO-16")</f>
        <v>2015-06-14-D11-SO-16</v>
      </c>
    </row>
    <row r="3999">
      <c r="A3999" t="str">
        <f>IFERROR(__xludf.DUMMYFUNCTION("""COMPUTED_VALUE"""),"2015-06-14-D11-SO-17")</f>
        <v>2015-06-14-D11-SO-17</v>
      </c>
    </row>
    <row r="4000">
      <c r="A4000" t="str">
        <f>IFERROR(__xludf.DUMMYFUNCTION("""COMPUTED_VALUE"""),"2015-06-14-D11-SO-18")</f>
        <v>2015-06-14-D11-SO-18</v>
      </c>
    </row>
    <row r="4001">
      <c r="A4001" t="str">
        <f>IFERROR(__xludf.DUMMYFUNCTION("""COMPUTED_VALUE"""),"2015-06-14-D11-SO-19")</f>
        <v>2015-06-14-D11-SO-19</v>
      </c>
    </row>
    <row r="4002">
      <c r="A4002" t="str">
        <f>IFERROR(__xludf.DUMMYFUNCTION("""COMPUTED_VALUE"""),"2015-06-14-D11-SO-20")</f>
        <v>2015-06-14-D11-SO-20</v>
      </c>
    </row>
    <row r="4003">
      <c r="A4003" t="str">
        <f>IFERROR(__xludf.DUMMYFUNCTION("""COMPUTED_VALUE"""),"2015-06-14-D11-SO-21")</f>
        <v>2015-06-14-D11-SO-21</v>
      </c>
    </row>
    <row r="4004">
      <c r="A4004" t="str">
        <f>IFERROR(__xludf.DUMMYFUNCTION("""COMPUTED_VALUE"""),"2015-06-14-D11-SO-22")</f>
        <v>2015-06-14-D11-SO-22</v>
      </c>
    </row>
    <row r="4005">
      <c r="A4005" t="str">
        <f>IFERROR(__xludf.DUMMYFUNCTION("""COMPUTED_VALUE"""),"2015-06-14-D11-SO-23")</f>
        <v>2015-06-14-D11-SO-23</v>
      </c>
    </row>
    <row r="4006">
      <c r="A4006" t="str">
        <f>IFERROR(__xludf.DUMMYFUNCTION("""COMPUTED_VALUE"""),"2015-06-14-D11-SO-24")</f>
        <v>2015-06-14-D11-SO-24</v>
      </c>
    </row>
    <row r="4007">
      <c r="A4007" t="str">
        <f>IFERROR(__xludf.DUMMYFUNCTION("""COMPUTED_VALUE"""),"2015-06-14-D11-SO-25")</f>
        <v>2015-06-14-D11-SO-25</v>
      </c>
    </row>
    <row r="4008">
      <c r="A4008" t="str">
        <f>IFERROR(__xludf.DUMMYFUNCTION("""COMPUTED_VALUE"""),"2015-06-14-D11-SO-26")</f>
        <v>2015-06-14-D11-SO-26</v>
      </c>
    </row>
    <row r="4009">
      <c r="A4009" t="str">
        <f>IFERROR(__xludf.DUMMYFUNCTION("""COMPUTED_VALUE"""),"2015-06-14-D11-SO-27")</f>
        <v>2015-06-14-D11-SO-27</v>
      </c>
    </row>
    <row r="4010">
      <c r="A4010" t="str">
        <f>IFERROR(__xludf.DUMMYFUNCTION("""COMPUTED_VALUE"""),"2015-06-14-D11-SO-28")</f>
        <v>2015-06-14-D11-SO-28</v>
      </c>
    </row>
    <row r="4011">
      <c r="A4011" t="str">
        <f>IFERROR(__xludf.DUMMYFUNCTION("""COMPUTED_VALUE"""),"2015-06-14-D11-SO-29")</f>
        <v>2015-06-14-D11-SO-29</v>
      </c>
    </row>
    <row r="4012">
      <c r="A4012" t="str">
        <f>IFERROR(__xludf.DUMMYFUNCTION("""COMPUTED_VALUE"""),"2015-06-14-D11-SO-30")</f>
        <v>2015-06-14-D11-SO-30</v>
      </c>
    </row>
    <row r="4013">
      <c r="A4013" t="str">
        <f>IFERROR(__xludf.DUMMYFUNCTION("""COMPUTED_VALUE"""),"2015-06-14-J06-SO-1")</f>
        <v>2015-06-14-J06-SO-1</v>
      </c>
    </row>
    <row r="4014">
      <c r="A4014" t="str">
        <f>IFERROR(__xludf.DUMMYFUNCTION("""COMPUTED_VALUE"""),"2015-06-14-J06-SO-2")</f>
        <v>2015-06-14-J06-SO-2</v>
      </c>
    </row>
    <row r="4015">
      <c r="A4015" t="str">
        <f>IFERROR(__xludf.DUMMYFUNCTION("""COMPUTED_VALUE"""),"2015-06-14-J06-SO-3")</f>
        <v>2015-06-14-J06-SO-3</v>
      </c>
    </row>
    <row r="4016">
      <c r="A4016" t="str">
        <f>IFERROR(__xludf.DUMMYFUNCTION("""COMPUTED_VALUE"""),"2015-06-14-J06-SO-4")</f>
        <v>2015-06-14-J06-SO-4</v>
      </c>
    </row>
    <row r="4017">
      <c r="A4017" t="str">
        <f>IFERROR(__xludf.DUMMYFUNCTION("""COMPUTED_VALUE"""),"2015-06-14-J06-SO-5")</f>
        <v>2015-06-14-J06-SO-5</v>
      </c>
    </row>
    <row r="4018">
      <c r="A4018" t="str">
        <f>IFERROR(__xludf.DUMMYFUNCTION("""COMPUTED_VALUE"""),"2015-06-14-J06-SO-6")</f>
        <v>2015-06-14-J06-SO-6</v>
      </c>
    </row>
    <row r="4019">
      <c r="A4019" t="str">
        <f>IFERROR(__xludf.DUMMYFUNCTION("""COMPUTED_VALUE"""),"2015-06-14-J06-SO-7")</f>
        <v>2015-06-14-J06-SO-7</v>
      </c>
    </row>
    <row r="4020">
      <c r="A4020" t="str">
        <f>IFERROR(__xludf.DUMMYFUNCTION("""COMPUTED_VALUE"""),"2015-06-14-J06-SO-8")</f>
        <v>2015-06-14-J06-SO-8</v>
      </c>
    </row>
    <row r="4021">
      <c r="A4021" t="str">
        <f>IFERROR(__xludf.DUMMYFUNCTION("""COMPUTED_VALUE"""),"2015-06-14-J06-SO-9")</f>
        <v>2015-06-14-J06-SO-9</v>
      </c>
    </row>
    <row r="4022">
      <c r="A4022" t="str">
        <f>IFERROR(__xludf.DUMMYFUNCTION("""COMPUTED_VALUE"""),"2015-06-14-J06-SO-10")</f>
        <v>2015-06-14-J06-SO-10</v>
      </c>
    </row>
    <row r="4023">
      <c r="A4023" t="str">
        <f>IFERROR(__xludf.DUMMYFUNCTION("""COMPUTED_VALUE"""),"2015-06-14-J06-SO-11")</f>
        <v>2015-06-14-J06-SO-11</v>
      </c>
    </row>
    <row r="4024">
      <c r="A4024" t="str">
        <f>IFERROR(__xludf.DUMMYFUNCTION("""COMPUTED_VALUE"""),"2015-06-14-J06-SO-12")</f>
        <v>2015-06-14-J06-SO-12</v>
      </c>
    </row>
    <row r="4025">
      <c r="A4025" t="str">
        <f>IFERROR(__xludf.DUMMYFUNCTION("""COMPUTED_VALUE"""),"2015-06-14-J06-SO-13")</f>
        <v>2015-06-14-J06-SO-13</v>
      </c>
    </row>
    <row r="4026">
      <c r="A4026" t="str">
        <f>IFERROR(__xludf.DUMMYFUNCTION("""COMPUTED_VALUE"""),"2015-06-14-J06-SO-14")</f>
        <v>2015-06-14-J06-SO-14</v>
      </c>
    </row>
    <row r="4027">
      <c r="A4027" t="str">
        <f>IFERROR(__xludf.DUMMYFUNCTION("""COMPUTED_VALUE"""),"2015-06-14-J06-SO-15")</f>
        <v>2015-06-14-J06-SO-15</v>
      </c>
    </row>
    <row r="4028">
      <c r="A4028" t="str">
        <f>IFERROR(__xludf.DUMMYFUNCTION("""COMPUTED_VALUE"""),"2015-06-14-J06-SO-16")</f>
        <v>2015-06-14-J06-SO-16</v>
      </c>
    </row>
    <row r="4029">
      <c r="A4029" t="str">
        <f>IFERROR(__xludf.DUMMYFUNCTION("""COMPUTED_VALUE"""),"2015-06-14-J06-SO-17")</f>
        <v>2015-06-14-J06-SO-17</v>
      </c>
    </row>
    <row r="4030">
      <c r="A4030" t="str">
        <f>IFERROR(__xludf.DUMMYFUNCTION("""COMPUTED_VALUE"""),"2015-06-14-J06-SO-18")</f>
        <v>2015-06-14-J06-SO-18</v>
      </c>
    </row>
    <row r="4031">
      <c r="A4031" t="str">
        <f>IFERROR(__xludf.DUMMYFUNCTION("""COMPUTED_VALUE"""),"2015-06-14-J06-SO-19")</f>
        <v>2015-06-14-J06-SO-19</v>
      </c>
    </row>
    <row r="4032">
      <c r="A4032" t="str">
        <f>IFERROR(__xludf.DUMMYFUNCTION("""COMPUTED_VALUE"""),"2015-06-14-J06-SO-20")</f>
        <v>2015-06-14-J06-SO-20</v>
      </c>
    </row>
    <row r="4033">
      <c r="A4033" t="str">
        <f>IFERROR(__xludf.DUMMYFUNCTION("""COMPUTED_VALUE"""),"2015-06-14-J06-SO-21")</f>
        <v>2015-06-14-J06-SO-21</v>
      </c>
    </row>
    <row r="4034">
      <c r="A4034" t="str">
        <f>IFERROR(__xludf.DUMMYFUNCTION("""COMPUTED_VALUE"""),"2015-06-14-J06-SO-22")</f>
        <v>2015-06-14-J06-SO-22</v>
      </c>
    </row>
    <row r="4035">
      <c r="A4035" t="str">
        <f>IFERROR(__xludf.DUMMYFUNCTION("""COMPUTED_VALUE"""),"2015-06-14-J06-SO-23")</f>
        <v>2015-06-14-J06-SO-23</v>
      </c>
    </row>
    <row r="4036">
      <c r="A4036" t="str">
        <f>IFERROR(__xludf.DUMMYFUNCTION("""COMPUTED_VALUE"""),"2015-06-14-J06-SO-24")</f>
        <v>2015-06-14-J06-SO-24</v>
      </c>
    </row>
    <row r="4037">
      <c r="A4037" t="str">
        <f>IFERROR(__xludf.DUMMYFUNCTION("""COMPUTED_VALUE"""),"2015-06-14-J06-SO-25")</f>
        <v>2015-06-14-J06-SO-25</v>
      </c>
    </row>
    <row r="4038">
      <c r="A4038" t="str">
        <f>IFERROR(__xludf.DUMMYFUNCTION("""COMPUTED_VALUE"""),"2015-06-14-J06-SO-26")</f>
        <v>2015-06-14-J06-SO-26</v>
      </c>
    </row>
    <row r="4039">
      <c r="A4039" t="str">
        <f>IFERROR(__xludf.DUMMYFUNCTION("""COMPUTED_VALUE"""),"2015-06-14-J06-SO-27")</f>
        <v>2015-06-14-J06-SO-27</v>
      </c>
    </row>
    <row r="4040">
      <c r="A4040" t="str">
        <f>IFERROR(__xludf.DUMMYFUNCTION("""COMPUTED_VALUE"""),"2015-06-14-J06-SO-28")</f>
        <v>2015-06-14-J06-SO-28</v>
      </c>
    </row>
    <row r="4041">
      <c r="A4041" t="str">
        <f>IFERROR(__xludf.DUMMYFUNCTION("""COMPUTED_VALUE"""),"2015-06-14-J06-SO-29")</f>
        <v>2015-06-14-J06-SO-29</v>
      </c>
    </row>
    <row r="4042">
      <c r="A4042" t="str">
        <f>IFERROR(__xludf.DUMMYFUNCTION("""COMPUTED_VALUE"""),"2015-06-14-J06-SO-30")</f>
        <v>2015-06-14-J06-SO-30</v>
      </c>
    </row>
    <row r="4043">
      <c r="A4043" t="str">
        <f>IFERROR(__xludf.DUMMYFUNCTION("""COMPUTED_VALUE"""),"2015-06-14-J07-SO-1")</f>
        <v>2015-06-14-J07-SO-1</v>
      </c>
    </row>
    <row r="4044">
      <c r="A4044" t="str">
        <f>IFERROR(__xludf.DUMMYFUNCTION("""COMPUTED_VALUE"""),"2015-06-14-J07-SO-2")</f>
        <v>2015-06-14-J07-SO-2</v>
      </c>
    </row>
    <row r="4045">
      <c r="A4045" t="str">
        <f>IFERROR(__xludf.DUMMYFUNCTION("""COMPUTED_VALUE"""),"2015-06-14-J07-SO-3")</f>
        <v>2015-06-14-J07-SO-3</v>
      </c>
    </row>
    <row r="4046">
      <c r="A4046" t="str">
        <f>IFERROR(__xludf.DUMMYFUNCTION("""COMPUTED_VALUE"""),"2015-06-14-J07-SO-4")</f>
        <v>2015-06-14-J07-SO-4</v>
      </c>
    </row>
    <row r="4047">
      <c r="A4047" t="str">
        <f>IFERROR(__xludf.DUMMYFUNCTION("""COMPUTED_VALUE"""),"2015-06-14-J07-SO-5")</f>
        <v>2015-06-14-J07-SO-5</v>
      </c>
    </row>
    <row r="4048">
      <c r="A4048" t="str">
        <f>IFERROR(__xludf.DUMMYFUNCTION("""COMPUTED_VALUE"""),"2015-06-14-J07-SO-6")</f>
        <v>2015-06-14-J07-SO-6</v>
      </c>
    </row>
    <row r="4049">
      <c r="A4049" t="str">
        <f>IFERROR(__xludf.DUMMYFUNCTION("""COMPUTED_VALUE"""),"2015-06-14-J07-SO-7")</f>
        <v>2015-06-14-J07-SO-7</v>
      </c>
    </row>
    <row r="4050">
      <c r="A4050" t="str">
        <f>IFERROR(__xludf.DUMMYFUNCTION("""COMPUTED_VALUE"""),"2015-06-14-J07-SO-8")</f>
        <v>2015-06-14-J07-SO-8</v>
      </c>
    </row>
    <row r="4051">
      <c r="A4051" t="str">
        <f>IFERROR(__xludf.DUMMYFUNCTION("""COMPUTED_VALUE"""),"2015-06-14-J07-SO-9")</f>
        <v>2015-06-14-J07-SO-9</v>
      </c>
    </row>
    <row r="4052">
      <c r="A4052" t="str">
        <f>IFERROR(__xludf.DUMMYFUNCTION("""COMPUTED_VALUE"""),"2015-06-14-J07-SO-10")</f>
        <v>2015-06-14-J07-SO-10</v>
      </c>
    </row>
    <row r="4053">
      <c r="A4053" t="str">
        <f>IFERROR(__xludf.DUMMYFUNCTION("""COMPUTED_VALUE"""),"2015-06-14-J07-SO-11")</f>
        <v>2015-06-14-J07-SO-11</v>
      </c>
    </row>
    <row r="4054">
      <c r="A4054" t="str">
        <f>IFERROR(__xludf.DUMMYFUNCTION("""COMPUTED_VALUE"""),"2015-06-14-J07-SO-12")</f>
        <v>2015-06-14-J07-SO-12</v>
      </c>
    </row>
    <row r="4055">
      <c r="A4055" t="str">
        <f>IFERROR(__xludf.DUMMYFUNCTION("""COMPUTED_VALUE"""),"2015-06-14-J07-SO-13")</f>
        <v>2015-06-14-J07-SO-13</v>
      </c>
    </row>
    <row r="4056">
      <c r="A4056" t="str">
        <f>IFERROR(__xludf.DUMMYFUNCTION("""COMPUTED_VALUE"""),"2015-06-14-J07-SO-14")</f>
        <v>2015-06-14-J07-SO-14</v>
      </c>
    </row>
    <row r="4057">
      <c r="A4057" t="str">
        <f>IFERROR(__xludf.DUMMYFUNCTION("""COMPUTED_VALUE"""),"2015-06-14-J07-SO-15")</f>
        <v>2015-06-14-J07-SO-15</v>
      </c>
    </row>
    <row r="4058">
      <c r="A4058" t="str">
        <f>IFERROR(__xludf.DUMMYFUNCTION("""COMPUTED_VALUE"""),"2015-06-14-J07-SO-16")</f>
        <v>2015-06-14-J07-SO-16</v>
      </c>
    </row>
    <row r="4059">
      <c r="A4059" t="str">
        <f>IFERROR(__xludf.DUMMYFUNCTION("""COMPUTED_VALUE"""),"2015-06-14-J07-SO-17")</f>
        <v>2015-06-14-J07-SO-17</v>
      </c>
    </row>
    <row r="4060">
      <c r="A4060" t="str">
        <f>IFERROR(__xludf.DUMMYFUNCTION("""COMPUTED_VALUE"""),"2015-06-14-J07-SO-18")</f>
        <v>2015-06-14-J07-SO-18</v>
      </c>
    </row>
    <row r="4061">
      <c r="A4061" t="str">
        <f>IFERROR(__xludf.DUMMYFUNCTION("""COMPUTED_VALUE"""),"2015-06-14-J07-SO-19")</f>
        <v>2015-06-14-J07-SO-19</v>
      </c>
    </row>
    <row r="4062">
      <c r="A4062" t="str">
        <f>IFERROR(__xludf.DUMMYFUNCTION("""COMPUTED_VALUE"""),"2015-06-14-J07-SO-20")</f>
        <v>2015-06-14-J07-SO-20</v>
      </c>
    </row>
    <row r="4063">
      <c r="A4063" t="str">
        <f>IFERROR(__xludf.DUMMYFUNCTION("""COMPUTED_VALUE"""),"2015-06-14-J07-SO-21")</f>
        <v>2015-06-14-J07-SO-21</v>
      </c>
    </row>
    <row r="4064">
      <c r="A4064" t="str">
        <f>IFERROR(__xludf.DUMMYFUNCTION("""COMPUTED_VALUE"""),"2015-06-14-J07-SO-22")</f>
        <v>2015-06-14-J07-SO-22</v>
      </c>
    </row>
    <row r="4065">
      <c r="A4065" t="str">
        <f>IFERROR(__xludf.DUMMYFUNCTION("""COMPUTED_VALUE"""),"2015-06-14-J07-SO-23")</f>
        <v>2015-06-14-J07-SO-23</v>
      </c>
    </row>
    <row r="4066">
      <c r="A4066" t="str">
        <f>IFERROR(__xludf.DUMMYFUNCTION("""COMPUTED_VALUE"""),"2015-06-14-J07-SO-24")</f>
        <v>2015-06-14-J07-SO-24</v>
      </c>
    </row>
    <row r="4067">
      <c r="A4067" t="str">
        <f>IFERROR(__xludf.DUMMYFUNCTION("""COMPUTED_VALUE"""),"2015-06-14-J07-SO-25")</f>
        <v>2015-06-14-J07-SO-25</v>
      </c>
    </row>
    <row r="4068">
      <c r="A4068" t="str">
        <f>IFERROR(__xludf.DUMMYFUNCTION("""COMPUTED_VALUE"""),"2015-06-14-J07-SO-26")</f>
        <v>2015-06-14-J07-SO-26</v>
      </c>
    </row>
    <row r="4069">
      <c r="A4069" t="str">
        <f>IFERROR(__xludf.DUMMYFUNCTION("""COMPUTED_VALUE"""),"2015-06-14-J07-SO-27")</f>
        <v>2015-06-14-J07-SO-27</v>
      </c>
    </row>
    <row r="4070">
      <c r="A4070" t="str">
        <f>IFERROR(__xludf.DUMMYFUNCTION("""COMPUTED_VALUE"""),"2015-06-14-J07-SO-28")</f>
        <v>2015-06-14-J07-SO-28</v>
      </c>
    </row>
    <row r="4071">
      <c r="A4071" t="str">
        <f>IFERROR(__xludf.DUMMYFUNCTION("""COMPUTED_VALUE"""),"2015-06-14-J07-SO-29")</f>
        <v>2015-06-14-J07-SO-29</v>
      </c>
    </row>
    <row r="4072">
      <c r="A4072" t="str">
        <f>IFERROR(__xludf.DUMMYFUNCTION("""COMPUTED_VALUE"""),"2015-06-14-J07-SO-30")</f>
        <v>2015-06-14-J07-SO-30</v>
      </c>
    </row>
    <row r="4073">
      <c r="A4073" t="str">
        <f>IFERROR(__xludf.DUMMYFUNCTION("""COMPUTED_VALUE"""),"2015-06-14-J05-SO-1")</f>
        <v>2015-06-14-J05-SO-1</v>
      </c>
    </row>
    <row r="4074">
      <c r="A4074" t="str">
        <f>IFERROR(__xludf.DUMMYFUNCTION("""COMPUTED_VALUE"""),"2015-06-14-J05-SO-2")</f>
        <v>2015-06-14-J05-SO-2</v>
      </c>
    </row>
    <row r="4075">
      <c r="A4075" t="str">
        <f>IFERROR(__xludf.DUMMYFUNCTION("""COMPUTED_VALUE"""),"2015-06-14-J05-SO-3")</f>
        <v>2015-06-14-J05-SO-3</v>
      </c>
    </row>
    <row r="4076">
      <c r="A4076" t="str">
        <f>IFERROR(__xludf.DUMMYFUNCTION("""COMPUTED_VALUE"""),"2015-06-14-J05-SO-4")</f>
        <v>2015-06-14-J05-SO-4</v>
      </c>
    </row>
    <row r="4077">
      <c r="A4077" t="str">
        <f>IFERROR(__xludf.DUMMYFUNCTION("""COMPUTED_VALUE"""),"2015-06-14-J05-SO-5")</f>
        <v>2015-06-14-J05-SO-5</v>
      </c>
    </row>
    <row r="4078">
      <c r="A4078" t="str">
        <f>IFERROR(__xludf.DUMMYFUNCTION("""COMPUTED_VALUE"""),"2015-06-14-J05-SO-6")</f>
        <v>2015-06-14-J05-SO-6</v>
      </c>
    </row>
    <row r="4079">
      <c r="A4079" t="str">
        <f>IFERROR(__xludf.DUMMYFUNCTION("""COMPUTED_VALUE"""),"2015-06-14-J05-SO-7")</f>
        <v>2015-06-14-J05-SO-7</v>
      </c>
    </row>
    <row r="4080">
      <c r="A4080" t="str">
        <f>IFERROR(__xludf.DUMMYFUNCTION("""COMPUTED_VALUE"""),"2015-06-14-J05-SO-8")</f>
        <v>2015-06-14-J05-SO-8</v>
      </c>
    </row>
    <row r="4081">
      <c r="A4081" t="str">
        <f>IFERROR(__xludf.DUMMYFUNCTION("""COMPUTED_VALUE"""),"2015-06-14-J05-SO-9")</f>
        <v>2015-06-14-J05-SO-9</v>
      </c>
    </row>
    <row r="4082">
      <c r="A4082" t="str">
        <f>IFERROR(__xludf.DUMMYFUNCTION("""COMPUTED_VALUE"""),"2015-06-14-J05-SO-10")</f>
        <v>2015-06-14-J05-SO-10</v>
      </c>
    </row>
    <row r="4083">
      <c r="A4083" t="str">
        <f>IFERROR(__xludf.DUMMYFUNCTION("""COMPUTED_VALUE"""),"2015-06-14-J05-SO-11")</f>
        <v>2015-06-14-J05-SO-11</v>
      </c>
    </row>
    <row r="4084">
      <c r="A4084" t="str">
        <f>IFERROR(__xludf.DUMMYFUNCTION("""COMPUTED_VALUE"""),"2015-06-14-J05-SO-12")</f>
        <v>2015-06-14-J05-SO-12</v>
      </c>
    </row>
    <row r="4085">
      <c r="A4085" t="str">
        <f>IFERROR(__xludf.DUMMYFUNCTION("""COMPUTED_VALUE"""),"2015-06-14-J05-SO-13")</f>
        <v>2015-06-14-J05-SO-13</v>
      </c>
    </row>
    <row r="4086">
      <c r="A4086" t="str">
        <f>IFERROR(__xludf.DUMMYFUNCTION("""COMPUTED_VALUE"""),"2015-06-14-J05-SO-14")</f>
        <v>2015-06-14-J05-SO-14</v>
      </c>
    </row>
    <row r="4087">
      <c r="A4087" t="str">
        <f>IFERROR(__xludf.DUMMYFUNCTION("""COMPUTED_VALUE"""),"2015-06-14-J05-SO-15")</f>
        <v>2015-06-14-J05-SO-15</v>
      </c>
    </row>
    <row r="4088">
      <c r="A4088" t="str">
        <f>IFERROR(__xludf.DUMMYFUNCTION("""COMPUTED_VALUE"""),"2015-06-14-J05-SO-16")</f>
        <v>2015-06-14-J05-SO-16</v>
      </c>
    </row>
    <row r="4089">
      <c r="A4089" t="str">
        <f>IFERROR(__xludf.DUMMYFUNCTION("""COMPUTED_VALUE"""),"2015-06-14-J05-SO-17")</f>
        <v>2015-06-14-J05-SO-17</v>
      </c>
    </row>
    <row r="4090">
      <c r="A4090" t="str">
        <f>IFERROR(__xludf.DUMMYFUNCTION("""COMPUTED_VALUE"""),"2015-06-14-J05-SO-18")</f>
        <v>2015-06-14-J05-SO-18</v>
      </c>
    </row>
    <row r="4091">
      <c r="A4091" t="str">
        <f>IFERROR(__xludf.DUMMYFUNCTION("""COMPUTED_VALUE"""),"2015-06-14-J05-SO-19")</f>
        <v>2015-06-14-J05-SO-19</v>
      </c>
    </row>
    <row r="4092">
      <c r="A4092" t="str">
        <f>IFERROR(__xludf.DUMMYFUNCTION("""COMPUTED_VALUE"""),"2015-06-14-J05-SO-20")</f>
        <v>2015-06-14-J05-SO-20</v>
      </c>
    </row>
    <row r="4093">
      <c r="A4093" t="str">
        <f>IFERROR(__xludf.DUMMYFUNCTION("""COMPUTED_VALUE"""),"2015-06-14-J05-SO-21")</f>
        <v>2015-06-14-J05-SO-21</v>
      </c>
    </row>
    <row r="4094">
      <c r="A4094" t="str">
        <f>IFERROR(__xludf.DUMMYFUNCTION("""COMPUTED_VALUE"""),"2015-06-14-J05-SO-22")</f>
        <v>2015-06-14-J05-SO-22</v>
      </c>
    </row>
    <row r="4095">
      <c r="A4095" t="str">
        <f>IFERROR(__xludf.DUMMYFUNCTION("""COMPUTED_VALUE"""),"2015-06-14-J05-SO-23")</f>
        <v>2015-06-14-J05-SO-23</v>
      </c>
    </row>
    <row r="4096">
      <c r="A4096" t="str">
        <f>IFERROR(__xludf.DUMMYFUNCTION("""COMPUTED_VALUE"""),"2015-06-14-J05-SO-24")</f>
        <v>2015-06-14-J05-SO-24</v>
      </c>
    </row>
    <row r="4097">
      <c r="A4097" t="str">
        <f>IFERROR(__xludf.DUMMYFUNCTION("""COMPUTED_VALUE"""),"2015-06-14-J05-SO-25")</f>
        <v>2015-06-14-J05-SO-25</v>
      </c>
    </row>
    <row r="4098">
      <c r="A4098" t="str">
        <f>IFERROR(__xludf.DUMMYFUNCTION("""COMPUTED_VALUE"""),"2015-06-14-J05-SO-26")</f>
        <v>2015-06-14-J05-SO-26</v>
      </c>
    </row>
    <row r="4099">
      <c r="A4099" t="str">
        <f>IFERROR(__xludf.DUMMYFUNCTION("""COMPUTED_VALUE"""),"2015-06-14-J05-SO-27")</f>
        <v>2015-06-14-J05-SO-27</v>
      </c>
    </row>
    <row r="4100">
      <c r="A4100" t="str">
        <f>IFERROR(__xludf.DUMMYFUNCTION("""COMPUTED_VALUE"""),"2015-06-14-J05-SO-28")</f>
        <v>2015-06-14-J05-SO-28</v>
      </c>
    </row>
    <row r="4101">
      <c r="A4101" t="str">
        <f>IFERROR(__xludf.DUMMYFUNCTION("""COMPUTED_VALUE"""),"2015-06-14-J05-SO-29")</f>
        <v>2015-06-14-J05-SO-29</v>
      </c>
    </row>
    <row r="4102">
      <c r="A4102" t="str">
        <f>IFERROR(__xludf.DUMMYFUNCTION("""COMPUTED_VALUE"""),"2015-06-14-J05-SO-30")</f>
        <v>2015-06-14-J05-SO-30</v>
      </c>
    </row>
    <row r="4103">
      <c r="A4103" t="str">
        <f>IFERROR(__xludf.DUMMYFUNCTION("""COMPUTED_VALUE"""),"2015-06-14-D09-PI-1")</f>
        <v>2015-06-14-D09-PI-1</v>
      </c>
    </row>
    <row r="4104">
      <c r="A4104" t="str">
        <f>IFERROR(__xludf.DUMMYFUNCTION("""COMPUTED_VALUE"""),"2015-06-14-D11-PI-1")</f>
        <v>2015-06-14-D11-PI-1</v>
      </c>
    </row>
    <row r="4105">
      <c r="A4105" t="str">
        <f>IFERROR(__xludf.DUMMYFUNCTION("""COMPUTED_VALUE"""),"2015-06-14-D11-PI-2")</f>
        <v>2015-06-14-D11-PI-2</v>
      </c>
    </row>
    <row r="4106">
      <c r="A4106" t="str">
        <f>IFERROR(__xludf.DUMMYFUNCTION("""COMPUTED_VALUE"""),"2015-06-14-J06-PI-1")</f>
        <v>2015-06-14-J06-PI-1</v>
      </c>
    </row>
    <row r="4107">
      <c r="A4107" t="str">
        <f>IFERROR(__xludf.DUMMYFUNCTION("""COMPUTED_VALUE"""),"2015-06-14-J06-PI-2")</f>
        <v>2015-06-14-J06-PI-2</v>
      </c>
    </row>
    <row r="4108">
      <c r="A4108" t="str">
        <f>IFERROR(__xludf.DUMMYFUNCTION("""COMPUTED_VALUE"""),"2015-06-14-J06-PI-3")</f>
        <v>2015-06-14-J06-PI-3</v>
      </c>
    </row>
    <row r="4109">
      <c r="A4109" t="str">
        <f>IFERROR(__xludf.DUMMYFUNCTION("""COMPUTED_VALUE"""),"2015-06-14-J06-PI-4")</f>
        <v>2015-06-14-J06-PI-4</v>
      </c>
    </row>
    <row r="4110">
      <c r="A4110" t="str">
        <f>IFERROR(__xludf.DUMMYFUNCTION("""COMPUTED_VALUE"""),"2015-06-14-J06-PI-5")</f>
        <v>2015-06-14-J06-PI-5</v>
      </c>
    </row>
    <row r="4111">
      <c r="A4111" t="str">
        <f>IFERROR(__xludf.DUMMYFUNCTION("""COMPUTED_VALUE"""),"2015-06-14-J06-PI-6")</f>
        <v>2015-06-14-J06-PI-6</v>
      </c>
    </row>
    <row r="4112">
      <c r="A4112" t="str">
        <f>IFERROR(__xludf.DUMMYFUNCTION("""COMPUTED_VALUE"""),"2015-06-14-J06-PI-7")</f>
        <v>2015-06-14-J06-PI-7</v>
      </c>
    </row>
    <row r="4113">
      <c r="A4113" t="str">
        <f>IFERROR(__xludf.DUMMYFUNCTION("""COMPUTED_VALUE"""),"2015-06-14-J06-PI-8")</f>
        <v>2015-06-14-J06-PI-8</v>
      </c>
    </row>
    <row r="4114">
      <c r="A4114" t="str">
        <f>IFERROR(__xludf.DUMMYFUNCTION("""COMPUTED_VALUE"""),"2015-06-14-J06-PI-9")</f>
        <v>2015-06-14-J06-PI-9</v>
      </c>
    </row>
    <row r="4115">
      <c r="A4115" t="str">
        <f>IFERROR(__xludf.DUMMYFUNCTION("""COMPUTED_VALUE"""),"2015-06-14-J06-PI-10")</f>
        <v>2015-06-14-J06-PI-10</v>
      </c>
    </row>
    <row r="4116">
      <c r="A4116" t="str">
        <f>IFERROR(__xludf.DUMMYFUNCTION("""COMPUTED_VALUE"""),"2015-06-14-J07-PI-1")</f>
        <v>2015-06-14-J07-PI-1</v>
      </c>
    </row>
    <row r="4117">
      <c r="A4117" t="str">
        <f>IFERROR(__xludf.DUMMYFUNCTION("""COMPUTED_VALUE"""),"2015-06-14-J07-PI-2")</f>
        <v>2015-06-14-J07-PI-2</v>
      </c>
    </row>
    <row r="4118">
      <c r="A4118" t="str">
        <f>IFERROR(__xludf.DUMMYFUNCTION("""COMPUTED_VALUE"""),"2015-06-14-J07-PI-3")</f>
        <v>2015-06-14-J07-PI-3</v>
      </c>
    </row>
    <row r="4119">
      <c r="A4119" t="str">
        <f>IFERROR(__xludf.DUMMYFUNCTION("""COMPUTED_VALUE"""),"2015-06-14-J07-PI-4")</f>
        <v>2015-06-14-J07-PI-4</v>
      </c>
    </row>
    <row r="4120">
      <c r="A4120" t="str">
        <f>IFERROR(__xludf.DUMMYFUNCTION("""COMPUTED_VALUE"""),"2015-06-14-J07-PI-5")</f>
        <v>2015-06-14-J07-PI-5</v>
      </c>
    </row>
    <row r="4121">
      <c r="A4121" t="str">
        <f>IFERROR(__xludf.DUMMYFUNCTION("""COMPUTED_VALUE"""),"2015-06-14-J07-PI-6")</f>
        <v>2015-06-14-J07-PI-6</v>
      </c>
    </row>
    <row r="4122">
      <c r="A4122" t="str">
        <f>IFERROR(__xludf.DUMMYFUNCTION("""COMPUTED_VALUE"""),"2015-06-14-J07-PI-7")</f>
        <v>2015-06-14-J07-PI-7</v>
      </c>
    </row>
    <row r="4123">
      <c r="A4123" t="str">
        <f>IFERROR(__xludf.DUMMYFUNCTION("""COMPUTED_VALUE"""),"2015-06-14-J05-PI-1")</f>
        <v>2015-06-14-J05-PI-1</v>
      </c>
    </row>
    <row r="4124">
      <c r="A4124" t="str">
        <f>IFERROR(__xludf.DUMMYFUNCTION("""COMPUTED_VALUE"""),"2015-06-14-J05-PI-2")</f>
        <v>2015-06-14-J05-PI-2</v>
      </c>
    </row>
    <row r="4125">
      <c r="A4125" t="str">
        <f>IFERROR(__xludf.DUMMYFUNCTION("""COMPUTED_VALUE"""),"2015-06-14-D09-CU-1")</f>
        <v>2015-06-14-D09-CU-1</v>
      </c>
    </row>
    <row r="4126">
      <c r="A4126" t="str">
        <f>IFERROR(__xludf.DUMMYFUNCTION("""COMPUTED_VALUE"""),"2015-06-14-D09-CU-2")</f>
        <v>2015-06-14-D09-CU-2</v>
      </c>
    </row>
    <row r="4127">
      <c r="A4127" t="str">
        <f>IFERROR(__xludf.DUMMYFUNCTION("""COMPUTED_VALUE"""),"2015-06-14-D09-CU-3")</f>
        <v>2015-06-14-D09-CU-3</v>
      </c>
    </row>
    <row r="4128">
      <c r="A4128" t="str">
        <f>IFERROR(__xludf.DUMMYFUNCTION("""COMPUTED_VALUE"""),"2015-06-14-D09-CU-4")</f>
        <v>2015-06-14-D09-CU-4</v>
      </c>
    </row>
    <row r="4129">
      <c r="A4129" t="str">
        <f>IFERROR(__xludf.DUMMYFUNCTION("""COMPUTED_VALUE"""),"2015-06-14-D09-CU-5")</f>
        <v>2015-06-14-D09-CU-5</v>
      </c>
    </row>
    <row r="4130">
      <c r="A4130" t="str">
        <f>IFERROR(__xludf.DUMMYFUNCTION("""COMPUTED_VALUE"""),"2015-06-14-D09-CU-6")</f>
        <v>2015-06-14-D09-CU-6</v>
      </c>
    </row>
    <row r="4131">
      <c r="A4131" t="str">
        <f>IFERROR(__xludf.DUMMYFUNCTION("""COMPUTED_VALUE"""),"2015-06-14-D09-CU-7")</f>
        <v>2015-06-14-D09-CU-7</v>
      </c>
    </row>
    <row r="4132">
      <c r="A4132" t="str">
        <f>IFERROR(__xludf.DUMMYFUNCTION("""COMPUTED_VALUE"""),"2015-06-14-D09-CU-8")</f>
        <v>2015-06-14-D09-CU-8</v>
      </c>
    </row>
    <row r="4133">
      <c r="A4133" t="str">
        <f>IFERROR(__xludf.DUMMYFUNCTION("""COMPUTED_VALUE"""),"2015-06-14-D09-CU-9")</f>
        <v>2015-06-14-D09-CU-9</v>
      </c>
    </row>
    <row r="4134">
      <c r="A4134" t="str">
        <f>IFERROR(__xludf.DUMMYFUNCTION("""COMPUTED_VALUE"""),"2015-06-14-D09-CU-10")</f>
        <v>2015-06-14-D09-CU-10</v>
      </c>
    </row>
    <row r="4135">
      <c r="A4135" t="str">
        <f>IFERROR(__xludf.DUMMYFUNCTION("""COMPUTED_VALUE"""),"2015-06-14-D11-CU-1")</f>
        <v>2015-06-14-D11-CU-1</v>
      </c>
    </row>
    <row r="4136">
      <c r="A4136" t="str">
        <f>IFERROR(__xludf.DUMMYFUNCTION("""COMPUTED_VALUE"""),"2015-06-14-D11-CU-2")</f>
        <v>2015-06-14-D11-CU-2</v>
      </c>
    </row>
    <row r="4137">
      <c r="A4137" t="str">
        <f>IFERROR(__xludf.DUMMYFUNCTION("""COMPUTED_VALUE"""),"2015-06-14-D11-CU-3")</f>
        <v>2015-06-14-D11-CU-3</v>
      </c>
    </row>
    <row r="4138">
      <c r="A4138" t="str">
        <f>IFERROR(__xludf.DUMMYFUNCTION("""COMPUTED_VALUE"""),"2015-06-14-D11-CU-4")</f>
        <v>2015-06-14-D11-CU-4</v>
      </c>
    </row>
    <row r="4139">
      <c r="A4139" t="str">
        <f>IFERROR(__xludf.DUMMYFUNCTION("""COMPUTED_VALUE"""),"2015-06-14-D11-CU-5")</f>
        <v>2015-06-14-D11-CU-5</v>
      </c>
    </row>
    <row r="4140">
      <c r="A4140" t="str">
        <f>IFERROR(__xludf.DUMMYFUNCTION("""COMPUTED_VALUE"""),"2015-06-14-D11-CU-6")</f>
        <v>2015-06-14-D11-CU-6</v>
      </c>
    </row>
    <row r="4141">
      <c r="A4141" t="str">
        <f>IFERROR(__xludf.DUMMYFUNCTION("""COMPUTED_VALUE"""),"2015-06-14-D11-CU-7")</f>
        <v>2015-06-14-D11-CU-7</v>
      </c>
    </row>
    <row r="4142">
      <c r="A4142" t="str">
        <f>IFERROR(__xludf.DUMMYFUNCTION("""COMPUTED_VALUE"""),"2015-06-14-D11-CU-8")</f>
        <v>2015-06-14-D11-CU-8</v>
      </c>
    </row>
    <row r="4143">
      <c r="A4143" t="str">
        <f>IFERROR(__xludf.DUMMYFUNCTION("""COMPUTED_VALUE"""),"2015-06-14-D11-CU-9")</f>
        <v>2015-06-14-D11-CU-9</v>
      </c>
    </row>
    <row r="4144">
      <c r="A4144" t="str">
        <f>IFERROR(__xludf.DUMMYFUNCTION("""COMPUTED_VALUE"""),"2015-06-14-D11-CU-10")</f>
        <v>2015-06-14-D11-CU-10</v>
      </c>
    </row>
    <row r="4145">
      <c r="A4145" t="str">
        <f>IFERROR(__xludf.DUMMYFUNCTION("""COMPUTED_VALUE"""),"2015-06-14-J06-CU-1")</f>
        <v>2015-06-14-J06-CU-1</v>
      </c>
    </row>
    <row r="4146">
      <c r="A4146" t="str">
        <f>IFERROR(__xludf.DUMMYFUNCTION("""COMPUTED_VALUE"""),"2015-06-14-J06-CU-2")</f>
        <v>2015-06-14-J06-CU-2</v>
      </c>
    </row>
    <row r="4147">
      <c r="A4147" t="str">
        <f>IFERROR(__xludf.DUMMYFUNCTION("""COMPUTED_VALUE"""),"2015-06-14-J06-CU-3")</f>
        <v>2015-06-14-J06-CU-3</v>
      </c>
    </row>
    <row r="4148">
      <c r="A4148" t="str">
        <f>IFERROR(__xludf.DUMMYFUNCTION("""COMPUTED_VALUE"""),"2015-06-14-J06-CU-4")</f>
        <v>2015-06-14-J06-CU-4</v>
      </c>
    </row>
    <row r="4149">
      <c r="A4149" t="str">
        <f>IFERROR(__xludf.DUMMYFUNCTION("""COMPUTED_VALUE"""),"2015-06-14-J06-CU-5")</f>
        <v>2015-06-14-J06-CU-5</v>
      </c>
    </row>
    <row r="4150">
      <c r="A4150" t="str">
        <f>IFERROR(__xludf.DUMMYFUNCTION("""COMPUTED_VALUE"""),"2015-06-14-J06-CU-6")</f>
        <v>2015-06-14-J06-CU-6</v>
      </c>
    </row>
    <row r="4151">
      <c r="A4151" t="str">
        <f>IFERROR(__xludf.DUMMYFUNCTION("""COMPUTED_VALUE"""),"2015-06-14-J06-CU-7")</f>
        <v>2015-06-14-J06-CU-7</v>
      </c>
    </row>
    <row r="4152">
      <c r="A4152" t="str">
        <f>IFERROR(__xludf.DUMMYFUNCTION("""COMPUTED_VALUE"""),"2015-06-14-J06-CU-8")</f>
        <v>2015-06-14-J06-CU-8</v>
      </c>
    </row>
    <row r="4153">
      <c r="A4153" t="str">
        <f>IFERROR(__xludf.DUMMYFUNCTION("""COMPUTED_VALUE"""),"2015-06-14-J06-CU-9")</f>
        <v>2015-06-14-J06-CU-9</v>
      </c>
    </row>
    <row r="4154">
      <c r="A4154" t="str">
        <f>IFERROR(__xludf.DUMMYFUNCTION("""COMPUTED_VALUE"""),"2015-06-14-J06-CU-10")</f>
        <v>2015-06-14-J06-CU-10</v>
      </c>
    </row>
    <row r="4155">
      <c r="A4155" t="str">
        <f>IFERROR(__xludf.DUMMYFUNCTION("""COMPUTED_VALUE"""),"2015-06-14-J07-CU-1")</f>
        <v>2015-06-14-J07-CU-1</v>
      </c>
    </row>
    <row r="4156">
      <c r="A4156" t="str">
        <f>IFERROR(__xludf.DUMMYFUNCTION("""COMPUTED_VALUE"""),"2015-06-14-J07-CU-2")</f>
        <v>2015-06-14-J07-CU-2</v>
      </c>
    </row>
    <row r="4157">
      <c r="A4157" t="str">
        <f>IFERROR(__xludf.DUMMYFUNCTION("""COMPUTED_VALUE"""),"2015-06-14-J07-CU-3")</f>
        <v>2015-06-14-J07-CU-3</v>
      </c>
    </row>
    <row r="4158">
      <c r="A4158" t="str">
        <f>IFERROR(__xludf.DUMMYFUNCTION("""COMPUTED_VALUE"""),"2015-06-14-J07-CU-4")</f>
        <v>2015-06-14-J07-CU-4</v>
      </c>
    </row>
    <row r="4159">
      <c r="A4159" t="str">
        <f>IFERROR(__xludf.DUMMYFUNCTION("""COMPUTED_VALUE"""),"2015-06-14-J07-CU-5")</f>
        <v>2015-06-14-J07-CU-5</v>
      </c>
    </row>
    <row r="4160">
      <c r="A4160" t="str">
        <f>IFERROR(__xludf.DUMMYFUNCTION("""COMPUTED_VALUE"""),"2015-06-14-J07-CU-6")</f>
        <v>2015-06-14-J07-CU-6</v>
      </c>
    </row>
    <row r="4161">
      <c r="A4161" t="str">
        <f>IFERROR(__xludf.DUMMYFUNCTION("""COMPUTED_VALUE"""),"2015-06-14-J07-CU-7")</f>
        <v>2015-06-14-J07-CU-7</v>
      </c>
    </row>
    <row r="4162">
      <c r="A4162" t="str">
        <f>IFERROR(__xludf.DUMMYFUNCTION("""COMPUTED_VALUE"""),"2015-06-14-J07-CU-8")</f>
        <v>2015-06-14-J07-CU-8</v>
      </c>
    </row>
    <row r="4163">
      <c r="A4163" t="str">
        <f>IFERROR(__xludf.DUMMYFUNCTION("""COMPUTED_VALUE"""),"2015-06-14-J07-CU-9")</f>
        <v>2015-06-14-J07-CU-9</v>
      </c>
    </row>
    <row r="4164">
      <c r="A4164" t="str">
        <f>IFERROR(__xludf.DUMMYFUNCTION("""COMPUTED_VALUE"""),"2015-06-14-J07-CU-10")</f>
        <v>2015-06-14-J07-CU-10</v>
      </c>
    </row>
    <row r="4165">
      <c r="A4165" t="str">
        <f>IFERROR(__xludf.DUMMYFUNCTION("""COMPUTED_VALUE"""),"2015-06-14-J05-CU-1")</f>
        <v>2015-06-14-J05-CU-1</v>
      </c>
    </row>
    <row r="4166">
      <c r="A4166" t="str">
        <f>IFERROR(__xludf.DUMMYFUNCTION("""COMPUTED_VALUE"""),"2015-06-14-J05-CU-2")</f>
        <v>2015-06-14-J05-CU-2</v>
      </c>
    </row>
    <row r="4167">
      <c r="A4167" t="str">
        <f>IFERROR(__xludf.DUMMYFUNCTION("""COMPUTED_VALUE"""),"2015-06-14-J05-CU-3")</f>
        <v>2015-06-14-J05-CU-3</v>
      </c>
    </row>
    <row r="4168">
      <c r="A4168" t="str">
        <f>IFERROR(__xludf.DUMMYFUNCTION("""COMPUTED_VALUE"""),"2015-06-14-J05-CU-4")</f>
        <v>2015-06-14-J05-CU-4</v>
      </c>
    </row>
    <row r="4169">
      <c r="A4169" t="str">
        <f>IFERROR(__xludf.DUMMYFUNCTION("""COMPUTED_VALUE"""),"2015-06-14-J05-CU-5")</f>
        <v>2015-06-14-J05-CU-5</v>
      </c>
    </row>
    <row r="4170">
      <c r="A4170" t="str">
        <f>IFERROR(__xludf.DUMMYFUNCTION("""COMPUTED_VALUE"""),"2015-06-14-J05-CU-6")</f>
        <v>2015-06-14-J05-CU-6</v>
      </c>
    </row>
    <row r="4171">
      <c r="A4171" t="str">
        <f>IFERROR(__xludf.DUMMYFUNCTION("""COMPUTED_VALUE"""),"2015-06-14-J05-CU-7")</f>
        <v>2015-06-14-J05-CU-7</v>
      </c>
    </row>
    <row r="4172">
      <c r="A4172" t="str">
        <f>IFERROR(__xludf.DUMMYFUNCTION("""COMPUTED_VALUE"""),"2015-06-14-J05-CU-8")</f>
        <v>2015-06-14-J05-CU-8</v>
      </c>
    </row>
    <row r="4173">
      <c r="A4173" t="str">
        <f>IFERROR(__xludf.DUMMYFUNCTION("""COMPUTED_VALUE"""),"2015-06-14-J05-CU-9")</f>
        <v>2015-06-14-J05-CU-9</v>
      </c>
    </row>
    <row r="4174">
      <c r="A4174" t="str">
        <f>IFERROR(__xludf.DUMMYFUNCTION("""COMPUTED_VALUE"""),"2015-06-14-J05-CU-10")</f>
        <v>2015-06-14-J05-CU-10</v>
      </c>
    </row>
    <row r="4175">
      <c r="A4175" t="str">
        <f>IFERROR(__xludf.DUMMYFUNCTION("""COMPUTED_VALUE"""),"2015-06-14-D11-CO-1")</f>
        <v>2015-06-14-D11-CO-1</v>
      </c>
    </row>
    <row r="4176">
      <c r="A4176" t="str">
        <f>IFERROR(__xludf.DUMMYFUNCTION("""COMPUTED_VALUE"""),"2015-06-14-D09-HE-1")</f>
        <v>2015-06-14-D09-HE-1</v>
      </c>
    </row>
    <row r="4177">
      <c r="A4177" t="str">
        <f>IFERROR(__xludf.DUMMYFUNCTION("""COMPUTED_VALUE"""),"2015-06-14-D09-HE-2")</f>
        <v>2015-06-14-D09-HE-2</v>
      </c>
    </row>
    <row r="4178">
      <c r="A4178" t="str">
        <f>IFERROR(__xludf.DUMMYFUNCTION("""COMPUTED_VALUE"""),"2015-06-14-J06-HE-1")</f>
        <v>2015-06-14-J06-HE-1</v>
      </c>
    </row>
    <row r="4179">
      <c r="A4179" t="str">
        <f>IFERROR(__xludf.DUMMYFUNCTION("""COMPUTED_VALUE"""),"2015-06-14-J07-HE-1")</f>
        <v>2015-06-14-J07-HE-1</v>
      </c>
    </row>
    <row r="4180">
      <c r="A4180" t="str">
        <f>IFERROR(__xludf.DUMMYFUNCTION("""COMPUTED_VALUE"""),"2015-06-14-J07-HE-2")</f>
        <v>2015-06-14-J07-HE-2</v>
      </c>
    </row>
    <row r="4181">
      <c r="A4181" t="str">
        <f>IFERROR(__xludf.DUMMYFUNCTION("""COMPUTED_VALUE"""),"2015-06-14-J07-HE-3")</f>
        <v>2015-06-14-J07-HE-3</v>
      </c>
    </row>
    <row r="4182">
      <c r="A4182" t="str">
        <f>IFERROR(__xludf.DUMMYFUNCTION("""COMPUTED_VALUE"""),"2015-06-14-J07-HE-4")</f>
        <v>2015-06-14-J07-HE-4</v>
      </c>
    </row>
    <row r="4183">
      <c r="A4183" t="str">
        <f>IFERROR(__xludf.DUMMYFUNCTION("""COMPUTED_VALUE"""),"2015-06-14-J07-HE-5")</f>
        <v>2015-06-14-J07-HE-5</v>
      </c>
    </row>
    <row r="4184">
      <c r="A4184" t="str">
        <f>IFERROR(__xludf.DUMMYFUNCTION("""COMPUTED_VALUE"""),"2015-06-14-J07-HE-6")</f>
        <v>2015-06-14-J07-HE-6</v>
      </c>
    </row>
    <row r="4185">
      <c r="A4185" t="str">
        <f>IFERROR(__xludf.DUMMYFUNCTION("""COMPUTED_VALUE"""),"2015-06-14-J07-HE-7")</f>
        <v>2015-06-14-J07-HE-7</v>
      </c>
    </row>
    <row r="4186">
      <c r="A4186" t="str">
        <f>IFERROR(__xludf.DUMMYFUNCTION("""COMPUTED_VALUE"""),"2015-06-14-J07-HE-8")</f>
        <v>2015-06-14-J07-HE-8</v>
      </c>
    </row>
    <row r="4187">
      <c r="A4187" t="str">
        <f>IFERROR(__xludf.DUMMYFUNCTION("""COMPUTED_VALUE"""),"2015-06-14-J07-HE-9")</f>
        <v>2015-06-14-J07-HE-9</v>
      </c>
    </row>
    <row r="4188">
      <c r="A4188" t="str">
        <f>IFERROR(__xludf.DUMMYFUNCTION("""COMPUTED_VALUE"""),"2015-06-14-J07-HE-10")</f>
        <v>2015-06-14-J07-HE-10</v>
      </c>
    </row>
    <row r="4189">
      <c r="A4189" t="str">
        <f>IFERROR(__xludf.DUMMYFUNCTION("""COMPUTED_VALUE"""),"2015-06-15-J04-SO-1")</f>
        <v>2015-06-15-J04-SO-1</v>
      </c>
    </row>
    <row r="4190">
      <c r="A4190" t="str">
        <f>IFERROR(__xludf.DUMMYFUNCTION("""COMPUTED_VALUE"""),"2015-06-15-J04-SO-2")</f>
        <v>2015-06-15-J04-SO-2</v>
      </c>
    </row>
    <row r="4191">
      <c r="A4191" t="str">
        <f>IFERROR(__xludf.DUMMYFUNCTION("""COMPUTED_VALUE"""),"2015-06-15-J04-SO-3")</f>
        <v>2015-06-15-J04-SO-3</v>
      </c>
    </row>
    <row r="4192">
      <c r="A4192" t="str">
        <f>IFERROR(__xludf.DUMMYFUNCTION("""COMPUTED_VALUE"""),"2015-06-15-J04-SO-4")</f>
        <v>2015-06-15-J04-SO-4</v>
      </c>
    </row>
    <row r="4193">
      <c r="A4193" t="str">
        <f>IFERROR(__xludf.DUMMYFUNCTION("""COMPUTED_VALUE"""),"2015-06-15-J04-SO-5")</f>
        <v>2015-06-15-J04-SO-5</v>
      </c>
    </row>
    <row r="4194">
      <c r="A4194" t="str">
        <f>IFERROR(__xludf.DUMMYFUNCTION("""COMPUTED_VALUE"""),"2015-06-15-J04-SO-6")</f>
        <v>2015-06-15-J04-SO-6</v>
      </c>
    </row>
    <row r="4195">
      <c r="A4195" t="str">
        <f>IFERROR(__xludf.DUMMYFUNCTION("""COMPUTED_VALUE"""),"2015-06-15-J04-SO-7")</f>
        <v>2015-06-15-J04-SO-7</v>
      </c>
    </row>
    <row r="4196">
      <c r="A4196" t="str">
        <f>IFERROR(__xludf.DUMMYFUNCTION("""COMPUTED_VALUE"""),"2015-06-15-J08-SO-1")</f>
        <v>2015-06-15-J08-SO-1</v>
      </c>
    </row>
    <row r="4197">
      <c r="A4197" t="str">
        <f>IFERROR(__xludf.DUMMYFUNCTION("""COMPUTED_VALUE"""),"2015-06-15-J08-SO-2")</f>
        <v>2015-06-15-J08-SO-2</v>
      </c>
    </row>
    <row r="4198">
      <c r="A4198" t="str">
        <f>IFERROR(__xludf.DUMMYFUNCTION("""COMPUTED_VALUE"""),"2015-06-15-J08-SO-3")</f>
        <v>2015-06-15-J08-SO-3</v>
      </c>
    </row>
    <row r="4199">
      <c r="A4199" t="str">
        <f>IFERROR(__xludf.DUMMYFUNCTION("""COMPUTED_VALUE"""),"2015-06-15-J08-SO-4")</f>
        <v>2015-06-15-J08-SO-4</v>
      </c>
    </row>
    <row r="4200">
      <c r="A4200" t="str">
        <f>IFERROR(__xludf.DUMMYFUNCTION("""COMPUTED_VALUE"""),"2015-06-15-J08-SO-5")</f>
        <v>2015-06-15-J08-SO-5</v>
      </c>
    </row>
    <row r="4201">
      <c r="A4201" t="str">
        <f>IFERROR(__xludf.DUMMYFUNCTION("""COMPUTED_VALUE"""),"2015-06-15-J08-SO-6")</f>
        <v>2015-06-15-J08-SO-6</v>
      </c>
    </row>
    <row r="4202">
      <c r="A4202" t="str">
        <f>IFERROR(__xludf.DUMMYFUNCTION("""COMPUTED_VALUE"""),"2015-06-15-J08-SO-7")</f>
        <v>2015-06-15-J08-SO-7</v>
      </c>
    </row>
    <row r="4203">
      <c r="A4203" t="str">
        <f>IFERROR(__xludf.DUMMYFUNCTION("""COMPUTED_VALUE"""),"2015-06-15-J08-SO-8")</f>
        <v>2015-06-15-J08-SO-8</v>
      </c>
    </row>
    <row r="4204">
      <c r="A4204" t="str">
        <f>IFERROR(__xludf.DUMMYFUNCTION("""COMPUTED_VALUE"""),"2015-06-15-J08-SO-9")</f>
        <v>2015-06-15-J08-SO-9</v>
      </c>
    </row>
    <row r="4205">
      <c r="A4205" t="str">
        <f>IFERROR(__xludf.DUMMYFUNCTION("""COMPUTED_VALUE"""),"2015-06-15-J08-SO-10")</f>
        <v>2015-06-15-J08-SO-10</v>
      </c>
    </row>
    <row r="4206">
      <c r="A4206" t="str">
        <f>IFERROR(__xludf.DUMMYFUNCTION("""COMPUTED_VALUE"""),"2015-06-15-J08-SO-11")</f>
        <v>2015-06-15-J08-SO-11</v>
      </c>
    </row>
    <row r="4207">
      <c r="A4207" t="str">
        <f>IFERROR(__xludf.DUMMYFUNCTION("""COMPUTED_VALUE"""),"2015-06-15-J08-SO-12")</f>
        <v>2015-06-15-J08-SO-12</v>
      </c>
    </row>
    <row r="4208">
      <c r="A4208" t="str">
        <f>IFERROR(__xludf.DUMMYFUNCTION("""COMPUTED_VALUE"""),"2015-06-15-J08-SO-13")</f>
        <v>2015-06-15-J08-SO-13</v>
      </c>
    </row>
    <row r="4209">
      <c r="A4209" t="str">
        <f>IFERROR(__xludf.DUMMYFUNCTION("""COMPUTED_VALUE"""),"2015-06-15-J08-SO-14")</f>
        <v>2015-06-15-J08-SO-14</v>
      </c>
    </row>
    <row r="4210">
      <c r="A4210" t="str">
        <f>IFERROR(__xludf.DUMMYFUNCTION("""COMPUTED_VALUE"""),"2015-06-15-J08-SO-15")</f>
        <v>2015-06-15-J08-SO-15</v>
      </c>
    </row>
    <row r="4211">
      <c r="A4211" t="str">
        <f>IFERROR(__xludf.DUMMYFUNCTION("""COMPUTED_VALUE"""),"2015-06-15-J08-SO-16")</f>
        <v>2015-06-15-J08-SO-16</v>
      </c>
    </row>
    <row r="4212">
      <c r="A4212" t="str">
        <f>IFERROR(__xludf.DUMMYFUNCTION("""COMPUTED_VALUE"""),"2015-06-15-J08-SO-17")</f>
        <v>2015-06-15-J08-SO-17</v>
      </c>
    </row>
    <row r="4213">
      <c r="A4213" t="str">
        <f>IFERROR(__xludf.DUMMYFUNCTION("""COMPUTED_VALUE"""),"2015-06-15-J08-SO-18")</f>
        <v>2015-06-15-J08-SO-18</v>
      </c>
    </row>
    <row r="4214">
      <c r="A4214" t="str">
        <f>IFERROR(__xludf.DUMMYFUNCTION("""COMPUTED_VALUE"""),"2015-06-15-J08-SO-19")</f>
        <v>2015-06-15-J08-SO-19</v>
      </c>
    </row>
    <row r="4215">
      <c r="A4215" t="str">
        <f>IFERROR(__xludf.DUMMYFUNCTION("""COMPUTED_VALUE"""),"2015-06-15-J08-SO-20")</f>
        <v>2015-06-15-J08-SO-20</v>
      </c>
    </row>
    <row r="4216">
      <c r="A4216" t="str">
        <f>IFERROR(__xludf.DUMMYFUNCTION("""COMPUTED_VALUE"""),"2015-06-15-J08-SO-21")</f>
        <v>2015-06-15-J08-SO-21</v>
      </c>
    </row>
    <row r="4217">
      <c r="A4217" t="str">
        <f>IFERROR(__xludf.DUMMYFUNCTION("""COMPUTED_VALUE"""),"2015-06-15-J08-SO-22")</f>
        <v>2015-06-15-J08-SO-22</v>
      </c>
    </row>
    <row r="4218">
      <c r="A4218" t="str">
        <f>IFERROR(__xludf.DUMMYFUNCTION("""COMPUTED_VALUE"""),"2015-06-15-J08-SO-23")</f>
        <v>2015-06-15-J08-SO-23</v>
      </c>
    </row>
    <row r="4219">
      <c r="A4219" t="str">
        <f>IFERROR(__xludf.DUMMYFUNCTION("""COMPUTED_VALUE"""),"2015-06-15-J08-SO-24")</f>
        <v>2015-06-15-J08-SO-24</v>
      </c>
    </row>
    <row r="4220">
      <c r="A4220" t="str">
        <f>IFERROR(__xludf.DUMMYFUNCTION("""COMPUTED_VALUE"""),"2015-06-15-J08-SO-25")</f>
        <v>2015-06-15-J08-SO-25</v>
      </c>
    </row>
    <row r="4221">
      <c r="A4221" t="str">
        <f>IFERROR(__xludf.DUMMYFUNCTION("""COMPUTED_VALUE"""),"2015-06-15-J08-SO-26")</f>
        <v>2015-06-15-J08-SO-26</v>
      </c>
    </row>
    <row r="4222">
      <c r="A4222" t="str">
        <f>IFERROR(__xludf.DUMMYFUNCTION("""COMPUTED_VALUE"""),"2015-06-15-J08-SO-27")</f>
        <v>2015-06-15-J08-SO-27</v>
      </c>
    </row>
    <row r="4223">
      <c r="A4223" t="str">
        <f>IFERROR(__xludf.DUMMYFUNCTION("""COMPUTED_VALUE"""),"2015-06-15-J08-SO-28")</f>
        <v>2015-06-15-J08-SO-28</v>
      </c>
    </row>
    <row r="4224">
      <c r="A4224" t="str">
        <f>IFERROR(__xludf.DUMMYFUNCTION("""COMPUTED_VALUE"""),"2015-06-15-J08-SO-29")</f>
        <v>2015-06-15-J08-SO-29</v>
      </c>
    </row>
    <row r="4225">
      <c r="A4225" t="str">
        <f>IFERROR(__xludf.DUMMYFUNCTION("""COMPUTED_VALUE"""),"2015-06-15-J08-SO-30")</f>
        <v>2015-06-15-J08-SO-30</v>
      </c>
    </row>
    <row r="4226">
      <c r="A4226" t="str">
        <f>IFERROR(__xludf.DUMMYFUNCTION("""COMPUTED_VALUE"""),"2015-06-15-J03-SO-1")</f>
        <v>2015-06-15-J03-SO-1</v>
      </c>
    </row>
    <row r="4227">
      <c r="A4227" t="str">
        <f>IFERROR(__xludf.DUMMYFUNCTION("""COMPUTED_VALUE"""),"2015-06-15-J03-SO-2")</f>
        <v>2015-06-15-J03-SO-2</v>
      </c>
    </row>
    <row r="4228">
      <c r="A4228" t="str">
        <f>IFERROR(__xludf.DUMMYFUNCTION("""COMPUTED_VALUE"""),"2015-06-15-J03-SO-3")</f>
        <v>2015-06-15-J03-SO-3</v>
      </c>
    </row>
    <row r="4229">
      <c r="A4229" t="str">
        <f>IFERROR(__xludf.DUMMYFUNCTION("""COMPUTED_VALUE"""),"2015-06-15-J03-SO-4")</f>
        <v>2015-06-15-J03-SO-4</v>
      </c>
    </row>
    <row r="4230">
      <c r="A4230" t="str">
        <f>IFERROR(__xludf.DUMMYFUNCTION("""COMPUTED_VALUE"""),"2015-06-15-J03-SO-5")</f>
        <v>2015-06-15-J03-SO-5</v>
      </c>
    </row>
    <row r="4231">
      <c r="A4231" t="str">
        <f>IFERROR(__xludf.DUMMYFUNCTION("""COMPUTED_VALUE"""),"2015-06-15-J03-SO-6")</f>
        <v>2015-06-15-J03-SO-6</v>
      </c>
    </row>
    <row r="4232">
      <c r="A4232" t="str">
        <f>IFERROR(__xludf.DUMMYFUNCTION("""COMPUTED_VALUE"""),"2015-06-15-J03-SO-7")</f>
        <v>2015-06-15-J03-SO-7</v>
      </c>
    </row>
    <row r="4233">
      <c r="A4233" t="str">
        <f>IFERROR(__xludf.DUMMYFUNCTION("""COMPUTED_VALUE"""),"2015-06-15-J03-SO-8")</f>
        <v>2015-06-15-J03-SO-8</v>
      </c>
    </row>
    <row r="4234">
      <c r="A4234" t="str">
        <f>IFERROR(__xludf.DUMMYFUNCTION("""COMPUTED_VALUE"""),"2015-06-15-J03-SO-9")</f>
        <v>2015-06-15-J03-SO-9</v>
      </c>
    </row>
    <row r="4235">
      <c r="A4235" t="str">
        <f>IFERROR(__xludf.DUMMYFUNCTION("""COMPUTED_VALUE"""),"2015-06-15-J03-SO-10")</f>
        <v>2015-06-15-J03-SO-10</v>
      </c>
    </row>
    <row r="4236">
      <c r="A4236" t="str">
        <f>IFERROR(__xludf.DUMMYFUNCTION("""COMPUTED_VALUE"""),"2015-06-15-J03-SO-11")</f>
        <v>2015-06-15-J03-SO-11</v>
      </c>
    </row>
    <row r="4237">
      <c r="A4237" t="str">
        <f>IFERROR(__xludf.DUMMYFUNCTION("""COMPUTED_VALUE"""),"2015-06-15-J03-SO-12")</f>
        <v>2015-06-15-J03-SO-12</v>
      </c>
    </row>
    <row r="4238">
      <c r="A4238" t="str">
        <f>IFERROR(__xludf.DUMMYFUNCTION("""COMPUTED_VALUE"""),"2015-06-15-J03-SO-13")</f>
        <v>2015-06-15-J03-SO-13</v>
      </c>
    </row>
    <row r="4239">
      <c r="A4239" t="str">
        <f>IFERROR(__xludf.DUMMYFUNCTION("""COMPUTED_VALUE"""),"2015-06-15-J03-SO-14")</f>
        <v>2015-06-15-J03-SO-14</v>
      </c>
    </row>
    <row r="4240">
      <c r="A4240" t="str">
        <f>IFERROR(__xludf.DUMMYFUNCTION("""COMPUTED_VALUE"""),"2015-06-15-J03-SO-15")</f>
        <v>2015-06-15-J03-SO-15</v>
      </c>
    </row>
    <row r="4241">
      <c r="A4241" t="str">
        <f>IFERROR(__xludf.DUMMYFUNCTION("""COMPUTED_VALUE"""),"2015-06-15-J03-SO-16")</f>
        <v>2015-06-15-J03-SO-16</v>
      </c>
    </row>
    <row r="4242">
      <c r="A4242" t="str">
        <f>IFERROR(__xludf.DUMMYFUNCTION("""COMPUTED_VALUE"""),"2015-06-15-J03-SO-17")</f>
        <v>2015-06-15-J03-SO-17</v>
      </c>
    </row>
    <row r="4243">
      <c r="A4243" t="str">
        <f>IFERROR(__xludf.DUMMYFUNCTION("""COMPUTED_VALUE"""),"2015-06-15-J03-SO-18")</f>
        <v>2015-06-15-J03-SO-18</v>
      </c>
    </row>
    <row r="4244">
      <c r="A4244" t="str">
        <f>IFERROR(__xludf.DUMMYFUNCTION("""COMPUTED_VALUE"""),"2015-06-15-J03-SO-19")</f>
        <v>2015-06-15-J03-SO-19</v>
      </c>
    </row>
    <row r="4245">
      <c r="A4245" t="str">
        <f>IFERROR(__xludf.DUMMYFUNCTION("""COMPUTED_VALUE"""),"2015-06-15-J03-SO-20")</f>
        <v>2015-06-15-J03-SO-20</v>
      </c>
    </row>
    <row r="4246">
      <c r="A4246" t="str">
        <f>IFERROR(__xludf.DUMMYFUNCTION("""COMPUTED_VALUE"""),"2015-06-15-J03-SO-21")</f>
        <v>2015-06-15-J03-SO-21</v>
      </c>
    </row>
    <row r="4247">
      <c r="A4247" t="str">
        <f>IFERROR(__xludf.DUMMYFUNCTION("""COMPUTED_VALUE"""),"2015-06-15-J03-SO-22")</f>
        <v>2015-06-15-J03-SO-22</v>
      </c>
    </row>
    <row r="4248">
      <c r="A4248" t="str">
        <f>IFERROR(__xludf.DUMMYFUNCTION("""COMPUTED_VALUE"""),"2015-06-15-J03-SO-23")</f>
        <v>2015-06-15-J03-SO-23</v>
      </c>
    </row>
    <row r="4249">
      <c r="A4249" t="str">
        <f>IFERROR(__xludf.DUMMYFUNCTION("""COMPUTED_VALUE"""),"2015-06-15-J03-SO-24")</f>
        <v>2015-06-15-J03-SO-24</v>
      </c>
    </row>
    <row r="4250">
      <c r="A4250" t="str">
        <f>IFERROR(__xludf.DUMMYFUNCTION("""COMPUTED_VALUE"""),"2015-06-15-J03-SO-25")</f>
        <v>2015-06-15-J03-SO-25</v>
      </c>
    </row>
    <row r="4251">
      <c r="A4251" t="str">
        <f>IFERROR(__xludf.DUMMYFUNCTION("""COMPUTED_VALUE"""),"2015-06-15-J03-SO-26")</f>
        <v>2015-06-15-J03-SO-26</v>
      </c>
    </row>
    <row r="4252">
      <c r="A4252" t="str">
        <f>IFERROR(__xludf.DUMMYFUNCTION("""COMPUTED_VALUE"""),"2015-06-15-J03-SO-27")</f>
        <v>2015-06-15-J03-SO-27</v>
      </c>
    </row>
    <row r="4253">
      <c r="A4253" t="str">
        <f>IFERROR(__xludf.DUMMYFUNCTION("""COMPUTED_VALUE"""),"2015-06-15-J03-SO-28")</f>
        <v>2015-06-15-J03-SO-28</v>
      </c>
    </row>
    <row r="4254">
      <c r="A4254" t="str">
        <f>IFERROR(__xludf.DUMMYFUNCTION("""COMPUTED_VALUE"""),"2015-06-15-J03-SO-29")</f>
        <v>2015-06-15-J03-SO-29</v>
      </c>
    </row>
    <row r="4255">
      <c r="A4255" t="str">
        <f>IFERROR(__xludf.DUMMYFUNCTION("""COMPUTED_VALUE"""),"2015-06-15-J03-SO-30")</f>
        <v>2015-06-15-J03-SO-30</v>
      </c>
    </row>
    <row r="4256">
      <c r="A4256" t="str">
        <f>IFERROR(__xludf.DUMMYFUNCTION("""COMPUTED_VALUE"""),"2015-06-15-J10-SO-1")</f>
        <v>2015-06-15-J10-SO-1</v>
      </c>
    </row>
    <row r="4257">
      <c r="A4257" t="str">
        <f>IFERROR(__xludf.DUMMYFUNCTION("""COMPUTED_VALUE"""),"2015-06-15-J10-SO-2")</f>
        <v>2015-06-15-J10-SO-2</v>
      </c>
    </row>
    <row r="4258">
      <c r="A4258" t="str">
        <f>IFERROR(__xludf.DUMMYFUNCTION("""COMPUTED_VALUE"""),"2015-06-15-J10-SO-3")</f>
        <v>2015-06-15-J10-SO-3</v>
      </c>
    </row>
    <row r="4259">
      <c r="A4259" t="str">
        <f>IFERROR(__xludf.DUMMYFUNCTION("""COMPUTED_VALUE"""),"2015-06-15-J10-SO-4")</f>
        <v>2015-06-15-J10-SO-4</v>
      </c>
    </row>
    <row r="4260">
      <c r="A4260" t="str">
        <f>IFERROR(__xludf.DUMMYFUNCTION("""COMPUTED_VALUE"""),"2015-06-15-J10-SO-5")</f>
        <v>2015-06-15-J10-SO-5</v>
      </c>
    </row>
    <row r="4261">
      <c r="A4261" t="str">
        <f>IFERROR(__xludf.DUMMYFUNCTION("""COMPUTED_VALUE"""),"2015-06-15-J10-SO-6")</f>
        <v>2015-06-15-J10-SO-6</v>
      </c>
    </row>
    <row r="4262">
      <c r="A4262" t="str">
        <f>IFERROR(__xludf.DUMMYFUNCTION("""COMPUTED_VALUE"""),"2015-06-15-J10-SO-7")</f>
        <v>2015-06-15-J10-SO-7</v>
      </c>
    </row>
    <row r="4263">
      <c r="A4263" t="str">
        <f>IFERROR(__xludf.DUMMYFUNCTION("""COMPUTED_VALUE"""),"2015-06-15-J10-SO-8")</f>
        <v>2015-06-15-J10-SO-8</v>
      </c>
    </row>
    <row r="4264">
      <c r="A4264" t="str">
        <f>IFERROR(__xludf.DUMMYFUNCTION("""COMPUTED_VALUE"""),"2015-06-15-J10-SO-9")</f>
        <v>2015-06-15-J10-SO-9</v>
      </c>
    </row>
    <row r="4265">
      <c r="A4265" t="str">
        <f>IFERROR(__xludf.DUMMYFUNCTION("""COMPUTED_VALUE"""),"2015-06-15-J10-SO-10")</f>
        <v>2015-06-15-J10-SO-10</v>
      </c>
    </row>
    <row r="4266">
      <c r="A4266" t="str">
        <f>IFERROR(__xludf.DUMMYFUNCTION("""COMPUTED_VALUE"""),"2015-06-15-J10-SO-11")</f>
        <v>2015-06-15-J10-SO-11</v>
      </c>
    </row>
    <row r="4267">
      <c r="A4267" t="str">
        <f>IFERROR(__xludf.DUMMYFUNCTION("""COMPUTED_VALUE"""),"2015-06-15-J10-SO-12")</f>
        <v>2015-06-15-J10-SO-12</v>
      </c>
    </row>
    <row r="4268">
      <c r="A4268" t="str">
        <f>IFERROR(__xludf.DUMMYFUNCTION("""COMPUTED_VALUE"""),"2015-06-15-J10-SO-13")</f>
        <v>2015-06-15-J10-SO-13</v>
      </c>
    </row>
    <row r="4269">
      <c r="A4269" t="str">
        <f>IFERROR(__xludf.DUMMYFUNCTION("""COMPUTED_VALUE"""),"2015-06-15-J10-SO-14")</f>
        <v>2015-06-15-J10-SO-14</v>
      </c>
    </row>
    <row r="4270">
      <c r="A4270" t="str">
        <f>IFERROR(__xludf.DUMMYFUNCTION("""COMPUTED_VALUE"""),"2015-06-15-J10-SO-15")</f>
        <v>2015-06-15-J10-SO-15</v>
      </c>
    </row>
    <row r="4271">
      <c r="A4271" t="str">
        <f>IFERROR(__xludf.DUMMYFUNCTION("""COMPUTED_VALUE"""),"2015-06-15-J10-SO-16")</f>
        <v>2015-06-15-J10-SO-16</v>
      </c>
    </row>
    <row r="4272">
      <c r="A4272" t="str">
        <f>IFERROR(__xludf.DUMMYFUNCTION("""COMPUTED_VALUE"""),"2015-06-15-J10-SO-17")</f>
        <v>2015-06-15-J10-SO-17</v>
      </c>
    </row>
    <row r="4273">
      <c r="A4273" t="str">
        <f>IFERROR(__xludf.DUMMYFUNCTION("""COMPUTED_VALUE"""),"2015-06-15-J10-SO-18")</f>
        <v>2015-06-15-J10-SO-18</v>
      </c>
    </row>
    <row r="4274">
      <c r="A4274" t="str">
        <f>IFERROR(__xludf.DUMMYFUNCTION("""COMPUTED_VALUE"""),"2015-06-15-J10-SO-19")</f>
        <v>2015-06-15-J10-SO-19</v>
      </c>
    </row>
    <row r="4275">
      <c r="A4275" t="str">
        <f>IFERROR(__xludf.DUMMYFUNCTION("""COMPUTED_VALUE"""),"2015-06-15-J10-SO-20")</f>
        <v>2015-06-15-J10-SO-20</v>
      </c>
    </row>
    <row r="4276">
      <c r="A4276" t="str">
        <f>IFERROR(__xludf.DUMMYFUNCTION("""COMPUTED_VALUE"""),"2015-06-15-J10-SO-21")</f>
        <v>2015-06-15-J10-SO-21</v>
      </c>
    </row>
    <row r="4277">
      <c r="A4277" t="str">
        <f>IFERROR(__xludf.DUMMYFUNCTION("""COMPUTED_VALUE"""),"2015-06-15-J10-SO-22")</f>
        <v>2015-06-15-J10-SO-22</v>
      </c>
    </row>
    <row r="4278">
      <c r="A4278" t="str">
        <f>IFERROR(__xludf.DUMMYFUNCTION("""COMPUTED_VALUE"""),"2015-06-15-J10-SO-23")</f>
        <v>2015-06-15-J10-SO-23</v>
      </c>
    </row>
    <row r="4279">
      <c r="A4279" t="str">
        <f>IFERROR(__xludf.DUMMYFUNCTION("""COMPUTED_VALUE"""),"2015-06-15-J10-SO-24")</f>
        <v>2015-06-15-J10-SO-24</v>
      </c>
    </row>
    <row r="4280">
      <c r="A4280" t="str">
        <f>IFERROR(__xludf.DUMMYFUNCTION("""COMPUTED_VALUE"""),"2015-06-15-J10-SO-25")</f>
        <v>2015-06-15-J10-SO-25</v>
      </c>
    </row>
    <row r="4281">
      <c r="A4281" t="str">
        <f>IFERROR(__xludf.DUMMYFUNCTION("""COMPUTED_VALUE"""),"2015-06-15-J10-SO-26")</f>
        <v>2015-06-15-J10-SO-26</v>
      </c>
    </row>
    <row r="4282">
      <c r="A4282" t="str">
        <f>IFERROR(__xludf.DUMMYFUNCTION("""COMPUTED_VALUE"""),"2015-06-15-J10-SO-27")</f>
        <v>2015-06-15-J10-SO-27</v>
      </c>
    </row>
    <row r="4283">
      <c r="A4283" t="str">
        <f>IFERROR(__xludf.DUMMYFUNCTION("""COMPUTED_VALUE"""),"2015-06-15-J10-SO-28")</f>
        <v>2015-06-15-J10-SO-28</v>
      </c>
    </row>
    <row r="4284">
      <c r="A4284" t="str">
        <f>IFERROR(__xludf.DUMMYFUNCTION("""COMPUTED_VALUE"""),"2015-06-15-J10-SO-29")</f>
        <v>2015-06-15-J10-SO-29</v>
      </c>
    </row>
    <row r="4285">
      <c r="A4285" t="str">
        <f>IFERROR(__xludf.DUMMYFUNCTION("""COMPUTED_VALUE"""),"2015-06-15-J10-SO-30")</f>
        <v>2015-06-15-J10-SO-30</v>
      </c>
    </row>
    <row r="4286">
      <c r="A4286" t="str">
        <f>IFERROR(__xludf.DUMMYFUNCTION("""COMPUTED_VALUE"""),"2015-06-15-J08-PI-1")</f>
        <v>2015-06-15-J08-PI-1</v>
      </c>
    </row>
    <row r="4287">
      <c r="A4287" t="str">
        <f>IFERROR(__xludf.DUMMYFUNCTION("""COMPUTED_VALUE"""),"2015-06-15-J08-PI-2")</f>
        <v>2015-06-15-J08-PI-2</v>
      </c>
    </row>
    <row r="4288">
      <c r="A4288" t="str">
        <f>IFERROR(__xludf.DUMMYFUNCTION("""COMPUTED_VALUE"""),"2015-06-15-J08-PI-3")</f>
        <v>2015-06-15-J08-PI-3</v>
      </c>
    </row>
    <row r="4289">
      <c r="A4289" t="str">
        <f>IFERROR(__xludf.DUMMYFUNCTION("""COMPUTED_VALUE"""),"2015-06-15-J08-PI-4")</f>
        <v>2015-06-15-J08-PI-4</v>
      </c>
    </row>
    <row r="4290">
      <c r="A4290" t="str">
        <f>IFERROR(__xludf.DUMMYFUNCTION("""COMPUTED_VALUE"""),"2015-06-15-J08-PI-5")</f>
        <v>2015-06-15-J08-PI-5</v>
      </c>
    </row>
    <row r="4291">
      <c r="A4291" t="str">
        <f>IFERROR(__xludf.DUMMYFUNCTION("""COMPUTED_VALUE"""),"2015-06-15-J08-PI-6")</f>
        <v>2015-06-15-J08-PI-6</v>
      </c>
    </row>
    <row r="4292">
      <c r="A4292" t="str">
        <f>IFERROR(__xludf.DUMMYFUNCTION("""COMPUTED_VALUE"""),"2015-06-15-J08-PI-7")</f>
        <v>2015-06-15-J08-PI-7</v>
      </c>
    </row>
    <row r="4293">
      <c r="A4293" t="str">
        <f>IFERROR(__xludf.DUMMYFUNCTION("""COMPUTED_VALUE"""),"2015-06-15-J08-PI-8")</f>
        <v>2015-06-15-J08-PI-8</v>
      </c>
    </row>
    <row r="4294">
      <c r="A4294" t="str">
        <f>IFERROR(__xludf.DUMMYFUNCTION("""COMPUTED_VALUE"""),"2015-06-15-J08-PI-9")</f>
        <v>2015-06-15-J08-PI-9</v>
      </c>
    </row>
    <row r="4295">
      <c r="A4295" t="str">
        <f>IFERROR(__xludf.DUMMYFUNCTION("""COMPUTED_VALUE"""),"2015-06-15-J08-PI-10")</f>
        <v>2015-06-15-J08-PI-10</v>
      </c>
    </row>
    <row r="4296">
      <c r="A4296" t="str">
        <f>IFERROR(__xludf.DUMMYFUNCTION("""COMPUTED_VALUE"""),"2015-06-15-J10-PI-1")</f>
        <v>2015-06-15-J10-PI-1</v>
      </c>
    </row>
    <row r="4297">
      <c r="A4297" t="str">
        <f>IFERROR(__xludf.DUMMYFUNCTION("""COMPUTED_VALUE"""),"2015-06-15-J10-PI-2")</f>
        <v>2015-06-15-J10-PI-2</v>
      </c>
    </row>
    <row r="4298">
      <c r="A4298" t="str">
        <f>IFERROR(__xludf.DUMMYFUNCTION("""COMPUTED_VALUE"""),"2015-06-15-J10-PI-3")</f>
        <v>2015-06-15-J10-PI-3</v>
      </c>
    </row>
    <row r="4299">
      <c r="A4299" t="str">
        <f>IFERROR(__xludf.DUMMYFUNCTION("""COMPUTED_VALUE"""),"2015-06-15-J10-PI-4")</f>
        <v>2015-06-15-J10-PI-4</v>
      </c>
    </row>
    <row r="4300">
      <c r="A4300" t="str">
        <f>IFERROR(__xludf.DUMMYFUNCTION("""COMPUTED_VALUE"""),"2015-06-15-J10-PI-5")</f>
        <v>2015-06-15-J10-PI-5</v>
      </c>
    </row>
    <row r="4301">
      <c r="A4301" t="str">
        <f>IFERROR(__xludf.DUMMYFUNCTION("""COMPUTED_VALUE"""),"2015-06-15-J10-PI-6")</f>
        <v>2015-06-15-J10-PI-6</v>
      </c>
    </row>
    <row r="4302">
      <c r="A4302" t="str">
        <f>IFERROR(__xludf.DUMMYFUNCTION("""COMPUTED_VALUE"""),"2015-06-15-J10-PI-7")</f>
        <v>2015-06-15-J10-PI-7</v>
      </c>
    </row>
    <row r="4303">
      <c r="A4303" t="str">
        <f>IFERROR(__xludf.DUMMYFUNCTION("""COMPUTED_VALUE"""),"2015-06-15-J10-PI-8")</f>
        <v>2015-06-15-J10-PI-8</v>
      </c>
    </row>
    <row r="4304">
      <c r="A4304" t="str">
        <f>IFERROR(__xludf.DUMMYFUNCTION("""COMPUTED_VALUE"""),"2015-06-15-J10-PI-9")</f>
        <v>2015-06-15-J10-PI-9</v>
      </c>
    </row>
    <row r="4305">
      <c r="A4305" t="str">
        <f>IFERROR(__xludf.DUMMYFUNCTION("""COMPUTED_VALUE"""),"2015-06-15-J10-PI-10")</f>
        <v>2015-06-15-J10-PI-10</v>
      </c>
    </row>
    <row r="4306">
      <c r="A4306" t="str">
        <f>IFERROR(__xludf.DUMMYFUNCTION("""COMPUTED_VALUE"""),"2015-06-15-J04-CU-1")</f>
        <v>2015-06-15-J04-CU-1</v>
      </c>
    </row>
    <row r="4307">
      <c r="A4307" t="str">
        <f>IFERROR(__xludf.DUMMYFUNCTION("""COMPUTED_VALUE"""),"2015-06-15-J04-CU-2")</f>
        <v>2015-06-15-J04-CU-2</v>
      </c>
    </row>
    <row r="4308">
      <c r="A4308" t="str">
        <f>IFERROR(__xludf.DUMMYFUNCTION("""COMPUTED_VALUE"""),"2015-06-15-J04-CU-3")</f>
        <v>2015-06-15-J04-CU-3</v>
      </c>
    </row>
    <row r="4309">
      <c r="A4309" t="str">
        <f>IFERROR(__xludf.DUMMYFUNCTION("""COMPUTED_VALUE"""),"2015-06-15-J04-CU-4")</f>
        <v>2015-06-15-J04-CU-4</v>
      </c>
    </row>
    <row r="4310">
      <c r="A4310" t="str">
        <f>IFERROR(__xludf.DUMMYFUNCTION("""COMPUTED_VALUE"""),"2015-06-15-J04-CU-5")</f>
        <v>2015-06-15-J04-CU-5</v>
      </c>
    </row>
    <row r="4311">
      <c r="A4311" t="str">
        <f>IFERROR(__xludf.DUMMYFUNCTION("""COMPUTED_VALUE"""),"2015-06-15-J04-CU-6")</f>
        <v>2015-06-15-J04-CU-6</v>
      </c>
    </row>
    <row r="4312">
      <c r="A4312" t="str">
        <f>IFERROR(__xludf.DUMMYFUNCTION("""COMPUTED_VALUE"""),"2015-06-15-J04-CU-7")</f>
        <v>2015-06-15-J04-CU-7</v>
      </c>
    </row>
    <row r="4313">
      <c r="A4313" t="str">
        <f>IFERROR(__xludf.DUMMYFUNCTION("""COMPUTED_VALUE"""),"2015-06-15-J04-CU-8")</f>
        <v>2015-06-15-J04-CU-8</v>
      </c>
    </row>
    <row r="4314">
      <c r="A4314" t="str">
        <f>IFERROR(__xludf.DUMMYFUNCTION("""COMPUTED_VALUE"""),"2015-06-15-J04-CU-9")</f>
        <v>2015-06-15-J04-CU-9</v>
      </c>
    </row>
    <row r="4315">
      <c r="A4315" t="str">
        <f>IFERROR(__xludf.DUMMYFUNCTION("""COMPUTED_VALUE"""),"2015-06-15-J04-CU-10")</f>
        <v>2015-06-15-J04-CU-10</v>
      </c>
    </row>
    <row r="4316">
      <c r="A4316" t="str">
        <f>IFERROR(__xludf.DUMMYFUNCTION("""COMPUTED_VALUE"""),"2015-06-15-J08-CU-1")</f>
        <v>2015-06-15-J08-CU-1</v>
      </c>
    </row>
    <row r="4317">
      <c r="A4317" t="str">
        <f>IFERROR(__xludf.DUMMYFUNCTION("""COMPUTED_VALUE"""),"2015-06-15-J08-CU-2")</f>
        <v>2015-06-15-J08-CU-2</v>
      </c>
    </row>
    <row r="4318">
      <c r="A4318" t="str">
        <f>IFERROR(__xludf.DUMMYFUNCTION("""COMPUTED_VALUE"""),"2015-06-15-J08-CU-3")</f>
        <v>2015-06-15-J08-CU-3</v>
      </c>
    </row>
    <row r="4319">
      <c r="A4319" t="str">
        <f>IFERROR(__xludf.DUMMYFUNCTION("""COMPUTED_VALUE"""),"2015-06-15-J08-CU-4")</f>
        <v>2015-06-15-J08-CU-4</v>
      </c>
    </row>
    <row r="4320">
      <c r="A4320" t="str">
        <f>IFERROR(__xludf.DUMMYFUNCTION("""COMPUTED_VALUE"""),"2015-06-15-J08-CU-5")</f>
        <v>2015-06-15-J08-CU-5</v>
      </c>
    </row>
    <row r="4321">
      <c r="A4321" t="str">
        <f>IFERROR(__xludf.DUMMYFUNCTION("""COMPUTED_VALUE"""),"2015-06-15-J08-CU-6")</f>
        <v>2015-06-15-J08-CU-6</v>
      </c>
    </row>
    <row r="4322">
      <c r="A4322" t="str">
        <f>IFERROR(__xludf.DUMMYFUNCTION("""COMPUTED_VALUE"""),"2015-06-15-J08-CU-7")</f>
        <v>2015-06-15-J08-CU-7</v>
      </c>
    </row>
    <row r="4323">
      <c r="A4323" t="str">
        <f>IFERROR(__xludf.DUMMYFUNCTION("""COMPUTED_VALUE"""),"2015-06-15-J08-CU-8")</f>
        <v>2015-06-15-J08-CU-8</v>
      </c>
    </row>
    <row r="4324">
      <c r="A4324" t="str">
        <f>IFERROR(__xludf.DUMMYFUNCTION("""COMPUTED_VALUE"""),"2015-06-15-J08-CU-9")</f>
        <v>2015-06-15-J08-CU-9</v>
      </c>
    </row>
    <row r="4325">
      <c r="A4325" t="str">
        <f>IFERROR(__xludf.DUMMYFUNCTION("""COMPUTED_VALUE"""),"2015-06-15-J08-CU-10")</f>
        <v>2015-06-15-J08-CU-10</v>
      </c>
    </row>
    <row r="4326">
      <c r="A4326" t="str">
        <f>IFERROR(__xludf.DUMMYFUNCTION("""COMPUTED_VALUE"""),"2015-06-15-J03-CU-1")</f>
        <v>2015-06-15-J03-CU-1</v>
      </c>
    </row>
    <row r="4327">
      <c r="A4327" t="str">
        <f>IFERROR(__xludf.DUMMYFUNCTION("""COMPUTED_VALUE"""),"2015-06-15-J03-CU-2")</f>
        <v>2015-06-15-J03-CU-2</v>
      </c>
    </row>
    <row r="4328">
      <c r="A4328" t="str">
        <f>IFERROR(__xludf.DUMMYFUNCTION("""COMPUTED_VALUE"""),"2015-06-15-J03-CU-3")</f>
        <v>2015-06-15-J03-CU-3</v>
      </c>
    </row>
    <row r="4329">
      <c r="A4329" t="str">
        <f>IFERROR(__xludf.DUMMYFUNCTION("""COMPUTED_VALUE"""),"2015-06-15-J03-CU-4")</f>
        <v>2015-06-15-J03-CU-4</v>
      </c>
    </row>
    <row r="4330">
      <c r="A4330" t="str">
        <f>IFERROR(__xludf.DUMMYFUNCTION("""COMPUTED_VALUE"""),"2015-06-15-J03-CU-5")</f>
        <v>2015-06-15-J03-CU-5</v>
      </c>
    </row>
    <row r="4331">
      <c r="A4331" t="str">
        <f>IFERROR(__xludf.DUMMYFUNCTION("""COMPUTED_VALUE"""),"2015-06-15-J03-CU-6")</f>
        <v>2015-06-15-J03-CU-6</v>
      </c>
    </row>
    <row r="4332">
      <c r="A4332" t="str">
        <f>IFERROR(__xludf.DUMMYFUNCTION("""COMPUTED_VALUE"""),"2015-06-15-J03-CU-7")</f>
        <v>2015-06-15-J03-CU-7</v>
      </c>
    </row>
    <row r="4333">
      <c r="A4333" t="str">
        <f>IFERROR(__xludf.DUMMYFUNCTION("""COMPUTED_VALUE"""),"2015-06-15-J03-CU-8")</f>
        <v>2015-06-15-J03-CU-8</v>
      </c>
    </row>
    <row r="4334">
      <c r="A4334" t="str">
        <f>IFERROR(__xludf.DUMMYFUNCTION("""COMPUTED_VALUE"""),"2015-06-15-J03-CU-9")</f>
        <v>2015-06-15-J03-CU-9</v>
      </c>
    </row>
    <row r="4335">
      <c r="A4335" t="str">
        <f>IFERROR(__xludf.DUMMYFUNCTION("""COMPUTED_VALUE"""),"2015-06-15-J03-CU-10")</f>
        <v>2015-06-15-J03-CU-10</v>
      </c>
    </row>
    <row r="4336">
      <c r="A4336" t="str">
        <f>IFERROR(__xludf.DUMMYFUNCTION("""COMPUTED_VALUE"""),"2015-06-15-J10-CU-1")</f>
        <v>2015-06-15-J10-CU-1</v>
      </c>
    </row>
    <row r="4337">
      <c r="A4337" t="str">
        <f>IFERROR(__xludf.DUMMYFUNCTION("""COMPUTED_VALUE"""),"2015-06-15-J10-CU-2")</f>
        <v>2015-06-15-J10-CU-2</v>
      </c>
    </row>
    <row r="4338">
      <c r="A4338" t="str">
        <f>IFERROR(__xludf.DUMMYFUNCTION("""COMPUTED_VALUE"""),"2015-06-15-J10-CU-3")</f>
        <v>2015-06-15-J10-CU-3</v>
      </c>
    </row>
    <row r="4339">
      <c r="A4339" t="str">
        <f>IFERROR(__xludf.DUMMYFUNCTION("""COMPUTED_VALUE"""),"2015-06-15-J10-CU-4")</f>
        <v>2015-06-15-J10-CU-4</v>
      </c>
    </row>
    <row r="4340">
      <c r="A4340" t="str">
        <f>IFERROR(__xludf.DUMMYFUNCTION("""COMPUTED_VALUE"""),"2015-06-15-J10-CU-5")</f>
        <v>2015-06-15-J10-CU-5</v>
      </c>
    </row>
    <row r="4341">
      <c r="A4341" t="str">
        <f>IFERROR(__xludf.DUMMYFUNCTION("""COMPUTED_VALUE"""),"2015-06-15-J10-CU-6")</f>
        <v>2015-06-15-J10-CU-6</v>
      </c>
    </row>
    <row r="4342">
      <c r="A4342" t="str">
        <f>IFERROR(__xludf.DUMMYFUNCTION("""COMPUTED_VALUE"""),"2015-06-15-J10-CU-7")</f>
        <v>2015-06-15-J10-CU-7</v>
      </c>
    </row>
    <row r="4343">
      <c r="A4343" t="str">
        <f>IFERROR(__xludf.DUMMYFUNCTION("""COMPUTED_VALUE"""),"2015-06-15-J10-CU-8")</f>
        <v>2015-06-15-J10-CU-8</v>
      </c>
    </row>
    <row r="4344">
      <c r="A4344" t="str">
        <f>IFERROR(__xludf.DUMMYFUNCTION("""COMPUTED_VALUE"""),"2015-06-15-J10-CU-9")</f>
        <v>2015-06-15-J10-CU-9</v>
      </c>
    </row>
    <row r="4345">
      <c r="A4345" t="str">
        <f>IFERROR(__xludf.DUMMYFUNCTION("""COMPUTED_VALUE"""),"2015-06-15-J10-CU-10")</f>
        <v>2015-06-15-J10-CU-10</v>
      </c>
    </row>
    <row r="4346">
      <c r="A4346" t="str">
        <f>IFERROR(__xludf.DUMMYFUNCTION("""COMPUTED_VALUE"""),"2015-06-15-J10-CO-1")</f>
        <v>2015-06-15-J10-CO-1</v>
      </c>
    </row>
    <row r="4347">
      <c r="A4347" t="str">
        <f>IFERROR(__xludf.DUMMYFUNCTION("""COMPUTED_VALUE"""),"2015-06-15-J10-HE-1")</f>
        <v>2015-06-15-J10-HE-1</v>
      </c>
    </row>
    <row r="4348">
      <c r="A4348" t="str">
        <f>IFERROR(__xludf.DUMMYFUNCTION("""COMPUTED_VALUE"""),"2015-06-15-J10-HE-2")</f>
        <v>2015-06-15-J10-HE-2</v>
      </c>
    </row>
    <row r="4349">
      <c r="A4349" t="str">
        <f>IFERROR(__xludf.DUMMYFUNCTION("""COMPUTED_VALUE"""),"2015-06-15-J10-HE-3")</f>
        <v>2015-06-15-J10-HE-3</v>
      </c>
    </row>
    <row r="4350">
      <c r="A4350" t="str">
        <f>IFERROR(__xludf.DUMMYFUNCTION("""COMPUTED_VALUE"""),"2015-06-15-J10-HE-4")</f>
        <v>2015-06-15-J10-HE-4</v>
      </c>
    </row>
    <row r="4351">
      <c r="A4351" t="str">
        <f>IFERROR(__xludf.DUMMYFUNCTION("""COMPUTED_VALUE"""),"2015-06-15-J10-HE-5")</f>
        <v>2015-06-15-J10-HE-5</v>
      </c>
    </row>
    <row r="4352">
      <c r="A4352" t="str">
        <f>IFERROR(__xludf.DUMMYFUNCTION("""COMPUTED_VALUE"""),"2015-06-15-J10-HE-6")</f>
        <v>2015-06-15-J10-HE-6</v>
      </c>
    </row>
    <row r="4353">
      <c r="A4353" t="str">
        <f>IFERROR(__xludf.DUMMYFUNCTION("""COMPUTED_VALUE"""),"2015-06-16-D11-SO-1")</f>
        <v>2015-06-16-D11-SO-1</v>
      </c>
    </row>
    <row r="4354">
      <c r="A4354" t="str">
        <f>IFERROR(__xludf.DUMMYFUNCTION("""COMPUTED_VALUE"""),"2015-06-16-D11-SO-2")</f>
        <v>2015-06-16-D11-SO-2</v>
      </c>
    </row>
    <row r="4355">
      <c r="A4355" t="str">
        <f>IFERROR(__xludf.DUMMYFUNCTION("""COMPUTED_VALUE"""),"2015-06-16-D11-SO-3")</f>
        <v>2015-06-16-D11-SO-3</v>
      </c>
    </row>
    <row r="4356">
      <c r="A4356" t="str">
        <f>IFERROR(__xludf.DUMMYFUNCTION("""COMPUTED_VALUE"""),"2015-06-16-D11-SO-4")</f>
        <v>2015-06-16-D11-SO-4</v>
      </c>
    </row>
    <row r="4357">
      <c r="A4357" t="str">
        <f>IFERROR(__xludf.DUMMYFUNCTION("""COMPUTED_VALUE"""),"2015-06-16-D11-SO-5")</f>
        <v>2015-06-16-D11-SO-5</v>
      </c>
    </row>
    <row r="4358">
      <c r="A4358" t="str">
        <f>IFERROR(__xludf.DUMMYFUNCTION("""COMPUTED_VALUE"""),"2015-06-16-D11-SO-6")</f>
        <v>2015-06-16-D11-SO-6</v>
      </c>
    </row>
    <row r="4359">
      <c r="A4359" t="str">
        <f>IFERROR(__xludf.DUMMYFUNCTION("""COMPUTED_VALUE"""),"2015-06-16-D11-SO-7")</f>
        <v>2015-06-16-D11-SO-7</v>
      </c>
    </row>
    <row r="4360">
      <c r="A4360" t="str">
        <f>IFERROR(__xludf.DUMMYFUNCTION("""COMPUTED_VALUE"""),"2015-06-16-D11-SO-8")</f>
        <v>2015-06-16-D11-SO-8</v>
      </c>
    </row>
    <row r="4361">
      <c r="A4361" t="str">
        <f>IFERROR(__xludf.DUMMYFUNCTION("""COMPUTED_VALUE"""),"2015-06-16-D11-SO-9")</f>
        <v>2015-06-16-D11-SO-9</v>
      </c>
    </row>
    <row r="4362">
      <c r="A4362" t="str">
        <f>IFERROR(__xludf.DUMMYFUNCTION("""COMPUTED_VALUE"""),"2015-06-16-D11-SO-10")</f>
        <v>2015-06-16-D11-SO-10</v>
      </c>
    </row>
    <row r="4363">
      <c r="A4363" t="str">
        <f>IFERROR(__xludf.DUMMYFUNCTION("""COMPUTED_VALUE"""),"2015-06-16-D11-SO-11")</f>
        <v>2015-06-16-D11-SO-11</v>
      </c>
    </row>
    <row r="4364">
      <c r="A4364" t="str">
        <f>IFERROR(__xludf.DUMMYFUNCTION("""COMPUTED_VALUE"""),"2015-06-16-D11-SO-12")</f>
        <v>2015-06-16-D11-SO-12</v>
      </c>
    </row>
    <row r="4365">
      <c r="A4365" t="str">
        <f>IFERROR(__xludf.DUMMYFUNCTION("""COMPUTED_VALUE"""),"2015-06-16-D11-SO-13")</f>
        <v>2015-06-16-D11-SO-13</v>
      </c>
    </row>
    <row r="4366">
      <c r="A4366" t="str">
        <f>IFERROR(__xludf.DUMMYFUNCTION("""COMPUTED_VALUE"""),"2015-06-16-D11-SO-14")</f>
        <v>2015-06-16-D11-SO-14</v>
      </c>
    </row>
    <row r="4367">
      <c r="A4367" t="str">
        <f>IFERROR(__xludf.DUMMYFUNCTION("""COMPUTED_VALUE"""),"2015-06-16-D11-SO-15")</f>
        <v>2015-06-16-D11-SO-15</v>
      </c>
    </row>
    <row r="4368">
      <c r="A4368" t="str">
        <f>IFERROR(__xludf.DUMMYFUNCTION("""COMPUTED_VALUE"""),"2015-06-16-D11-SO-16")</f>
        <v>2015-06-16-D11-SO-16</v>
      </c>
    </row>
    <row r="4369">
      <c r="A4369" t="str">
        <f>IFERROR(__xludf.DUMMYFUNCTION("""COMPUTED_VALUE"""),"2015-06-16-D11-SO-17")</f>
        <v>2015-06-16-D11-SO-17</v>
      </c>
    </row>
    <row r="4370">
      <c r="A4370" t="str">
        <f>IFERROR(__xludf.DUMMYFUNCTION("""COMPUTED_VALUE"""),"2015-06-16-D11-SO-18")</f>
        <v>2015-06-16-D11-SO-18</v>
      </c>
    </row>
    <row r="4371">
      <c r="A4371" t="str">
        <f>IFERROR(__xludf.DUMMYFUNCTION("""COMPUTED_VALUE"""),"2015-06-16-D11-SO-19")</f>
        <v>2015-06-16-D11-SO-19</v>
      </c>
    </row>
    <row r="4372">
      <c r="A4372" t="str">
        <f>IFERROR(__xludf.DUMMYFUNCTION("""COMPUTED_VALUE"""),"2015-06-16-D11-SO-20")</f>
        <v>2015-06-16-D11-SO-20</v>
      </c>
    </row>
    <row r="4373">
      <c r="A4373" t="str">
        <f>IFERROR(__xludf.DUMMYFUNCTION("""COMPUTED_VALUE"""),"2015-06-16-D11-SO-21")</f>
        <v>2015-06-16-D11-SO-21</v>
      </c>
    </row>
    <row r="4374">
      <c r="A4374" t="str">
        <f>IFERROR(__xludf.DUMMYFUNCTION("""COMPUTED_VALUE"""),"2015-06-16-D11-SO-22")</f>
        <v>2015-06-16-D11-SO-22</v>
      </c>
    </row>
    <row r="4375">
      <c r="A4375" t="str">
        <f>IFERROR(__xludf.DUMMYFUNCTION("""COMPUTED_VALUE"""),"2015-06-16-D11-SO-23")</f>
        <v>2015-06-16-D11-SO-23</v>
      </c>
    </row>
    <row r="4376">
      <c r="A4376" t="str">
        <f>IFERROR(__xludf.DUMMYFUNCTION("""COMPUTED_VALUE"""),"2015-06-16-D11-SO-24")</f>
        <v>2015-06-16-D11-SO-24</v>
      </c>
    </row>
    <row r="4377">
      <c r="A4377" t="str">
        <f>IFERROR(__xludf.DUMMYFUNCTION("""COMPUTED_VALUE"""),"2015-06-16-D11-SO-25")</f>
        <v>2015-06-16-D11-SO-25</v>
      </c>
    </row>
    <row r="4378">
      <c r="A4378" t="str">
        <f>IFERROR(__xludf.DUMMYFUNCTION("""COMPUTED_VALUE"""),"2015-06-16-D11-SO-26")</f>
        <v>2015-06-16-D11-SO-26</v>
      </c>
    </row>
    <row r="4379">
      <c r="A4379" t="str">
        <f>IFERROR(__xludf.DUMMYFUNCTION("""COMPUTED_VALUE"""),"2015-06-16-D11-SO-27")</f>
        <v>2015-06-16-D11-SO-27</v>
      </c>
    </row>
    <row r="4380">
      <c r="A4380" t="str">
        <f>IFERROR(__xludf.DUMMYFUNCTION("""COMPUTED_VALUE"""),"2015-06-16-D11-SO-28")</f>
        <v>2015-06-16-D11-SO-28</v>
      </c>
    </row>
    <row r="4381">
      <c r="A4381" t="str">
        <f>IFERROR(__xludf.DUMMYFUNCTION("""COMPUTED_VALUE"""),"2015-06-16-D11-SO-29")</f>
        <v>2015-06-16-D11-SO-29</v>
      </c>
    </row>
    <row r="4382">
      <c r="A4382" t="str">
        <f>IFERROR(__xludf.DUMMYFUNCTION("""COMPUTED_VALUE"""),"2015-06-16-D11-SO-30")</f>
        <v>2015-06-16-D11-SO-30</v>
      </c>
    </row>
    <row r="4383">
      <c r="A4383" t="str">
        <f>IFERROR(__xludf.DUMMYFUNCTION("""COMPUTED_VALUE"""),"2015-06-16-J01-SO-1")</f>
        <v>2015-06-16-J01-SO-1</v>
      </c>
    </row>
    <row r="4384">
      <c r="A4384" t="str">
        <f>IFERROR(__xludf.DUMMYFUNCTION("""COMPUTED_VALUE"""),"2015-06-16-J01-SO-2")</f>
        <v>2015-06-16-J01-SO-2</v>
      </c>
    </row>
    <row r="4385">
      <c r="A4385" t="str">
        <f>IFERROR(__xludf.DUMMYFUNCTION("""COMPUTED_VALUE"""),"2015-06-16-J01-SO-3")</f>
        <v>2015-06-16-J01-SO-3</v>
      </c>
    </row>
    <row r="4386">
      <c r="A4386" t="str">
        <f>IFERROR(__xludf.DUMMYFUNCTION("""COMPUTED_VALUE"""),"2015-06-16-J01-SO-4")</f>
        <v>2015-06-16-J01-SO-4</v>
      </c>
    </row>
    <row r="4387">
      <c r="A4387" t="str">
        <f>IFERROR(__xludf.DUMMYFUNCTION("""COMPUTED_VALUE"""),"2015-06-16-J01-SO-5")</f>
        <v>2015-06-16-J01-SO-5</v>
      </c>
    </row>
    <row r="4388">
      <c r="A4388" t="str">
        <f>IFERROR(__xludf.DUMMYFUNCTION("""COMPUTED_VALUE"""),"2015-06-16-J01-SO-6")</f>
        <v>2015-06-16-J01-SO-6</v>
      </c>
    </row>
    <row r="4389">
      <c r="A4389" t="str">
        <f>IFERROR(__xludf.DUMMYFUNCTION("""COMPUTED_VALUE"""),"2015-06-16-J01-SO-7")</f>
        <v>2015-06-16-J01-SO-7</v>
      </c>
    </row>
    <row r="4390">
      <c r="A4390" t="str">
        <f>IFERROR(__xludf.DUMMYFUNCTION("""COMPUTED_VALUE"""),"2015-06-16-J01-SO-8")</f>
        <v>2015-06-16-J01-SO-8</v>
      </c>
    </row>
    <row r="4391">
      <c r="A4391" t="str">
        <f>IFERROR(__xludf.DUMMYFUNCTION("""COMPUTED_VALUE"""),"2015-06-16-J01-SO-9")</f>
        <v>2015-06-16-J01-SO-9</v>
      </c>
    </row>
    <row r="4392">
      <c r="A4392" t="str">
        <f>IFERROR(__xludf.DUMMYFUNCTION("""COMPUTED_VALUE"""),"2015-06-16-J01-SO-10")</f>
        <v>2015-06-16-J01-SO-10</v>
      </c>
    </row>
    <row r="4393">
      <c r="A4393" t="str">
        <f>IFERROR(__xludf.DUMMYFUNCTION("""COMPUTED_VALUE"""),"2015-06-16-J01-SO-11")</f>
        <v>2015-06-16-J01-SO-11</v>
      </c>
    </row>
    <row r="4394">
      <c r="A4394" t="str">
        <f>IFERROR(__xludf.DUMMYFUNCTION("""COMPUTED_VALUE"""),"2015-06-16-J01-SO-12")</f>
        <v>2015-06-16-J01-SO-12</v>
      </c>
    </row>
    <row r="4395">
      <c r="A4395" t="str">
        <f>IFERROR(__xludf.DUMMYFUNCTION("""COMPUTED_VALUE"""),"2015-06-16-J01-SO-13")</f>
        <v>2015-06-16-J01-SO-13</v>
      </c>
    </row>
    <row r="4396">
      <c r="A4396" t="str">
        <f>IFERROR(__xludf.DUMMYFUNCTION("""COMPUTED_VALUE"""),"2015-06-16-J01-SO-14")</f>
        <v>2015-06-16-J01-SO-14</v>
      </c>
    </row>
    <row r="4397">
      <c r="A4397" t="str">
        <f>IFERROR(__xludf.DUMMYFUNCTION("""COMPUTED_VALUE"""),"2015-06-16-J01-SO-15")</f>
        <v>2015-06-16-J01-SO-15</v>
      </c>
    </row>
    <row r="4398">
      <c r="A4398" t="str">
        <f>IFERROR(__xludf.DUMMYFUNCTION("""COMPUTED_VALUE"""),"2015-06-16-J01-SO-16")</f>
        <v>2015-06-16-J01-SO-16</v>
      </c>
    </row>
    <row r="4399">
      <c r="A4399" t="str">
        <f>IFERROR(__xludf.DUMMYFUNCTION("""COMPUTED_VALUE"""),"2015-06-16-J01-SO-17")</f>
        <v>2015-06-16-J01-SO-17</v>
      </c>
    </row>
    <row r="4400">
      <c r="A4400" t="str">
        <f>IFERROR(__xludf.DUMMYFUNCTION("""COMPUTED_VALUE"""),"2015-06-16-J01-SO-18")</f>
        <v>2015-06-16-J01-SO-18</v>
      </c>
    </row>
    <row r="4401">
      <c r="A4401" t="str">
        <f>IFERROR(__xludf.DUMMYFUNCTION("""COMPUTED_VALUE"""),"2015-06-16-J01-SO-19")</f>
        <v>2015-06-16-J01-SO-19</v>
      </c>
    </row>
    <row r="4402">
      <c r="A4402" t="str">
        <f>IFERROR(__xludf.DUMMYFUNCTION("""COMPUTED_VALUE"""),"2015-06-16-J01-SO-20")</f>
        <v>2015-06-16-J01-SO-20</v>
      </c>
    </row>
    <row r="4403">
      <c r="A4403" t="str">
        <f>IFERROR(__xludf.DUMMYFUNCTION("""COMPUTED_VALUE"""),"2015-06-16-J01-SO-21")</f>
        <v>2015-06-16-J01-SO-21</v>
      </c>
    </row>
    <row r="4404">
      <c r="A4404" t="str">
        <f>IFERROR(__xludf.DUMMYFUNCTION("""COMPUTED_VALUE"""),"2015-06-16-J01-SO-22")</f>
        <v>2015-06-16-J01-SO-22</v>
      </c>
    </row>
    <row r="4405">
      <c r="A4405" t="str">
        <f>IFERROR(__xludf.DUMMYFUNCTION("""COMPUTED_VALUE"""),"2015-06-16-J01-SO-23")</f>
        <v>2015-06-16-J01-SO-23</v>
      </c>
    </row>
    <row r="4406">
      <c r="A4406" t="str">
        <f>IFERROR(__xludf.DUMMYFUNCTION("""COMPUTED_VALUE"""),"2015-06-16-J01-SO-24")</f>
        <v>2015-06-16-J01-SO-24</v>
      </c>
    </row>
    <row r="4407">
      <c r="A4407" t="str">
        <f>IFERROR(__xludf.DUMMYFUNCTION("""COMPUTED_VALUE"""),"2015-06-16-J01-SO-25")</f>
        <v>2015-06-16-J01-SO-25</v>
      </c>
    </row>
    <row r="4408">
      <c r="A4408" t="str">
        <f>IFERROR(__xludf.DUMMYFUNCTION("""COMPUTED_VALUE"""),"2015-06-16-J01-SO-26")</f>
        <v>2015-06-16-J01-SO-26</v>
      </c>
    </row>
    <row r="4409">
      <c r="A4409" t="str">
        <f>IFERROR(__xludf.DUMMYFUNCTION("""COMPUTED_VALUE"""),"2015-06-16-J01-SO-27")</f>
        <v>2015-06-16-J01-SO-27</v>
      </c>
    </row>
    <row r="4410">
      <c r="A4410" t="str">
        <f>IFERROR(__xludf.DUMMYFUNCTION("""COMPUTED_VALUE"""),"2015-06-16-J01-SO-28")</f>
        <v>2015-06-16-J01-SO-28</v>
      </c>
    </row>
    <row r="4411">
      <c r="A4411" t="str">
        <f>IFERROR(__xludf.DUMMYFUNCTION("""COMPUTED_VALUE"""),"2015-06-16-J01-SO-29")</f>
        <v>2015-06-16-J01-SO-29</v>
      </c>
    </row>
    <row r="4412">
      <c r="A4412" t="str">
        <f>IFERROR(__xludf.DUMMYFUNCTION("""COMPUTED_VALUE"""),"2015-06-16-J01-SO-30")</f>
        <v>2015-06-16-J01-SO-30</v>
      </c>
    </row>
    <row r="4413">
      <c r="A4413" t="str">
        <f>IFERROR(__xludf.DUMMYFUNCTION("""COMPUTED_VALUE"""),"2015-06-16-J02-SO-1")</f>
        <v>2015-06-16-J02-SO-1</v>
      </c>
    </row>
    <row r="4414">
      <c r="A4414" t="str">
        <f>IFERROR(__xludf.DUMMYFUNCTION("""COMPUTED_VALUE"""),"2015-06-16-J02-SO-2")</f>
        <v>2015-06-16-J02-SO-2</v>
      </c>
    </row>
    <row r="4415">
      <c r="A4415" t="str">
        <f>IFERROR(__xludf.DUMMYFUNCTION("""COMPUTED_VALUE"""),"2015-06-16-J02-SO-3")</f>
        <v>2015-06-16-J02-SO-3</v>
      </c>
    </row>
    <row r="4416">
      <c r="A4416" t="str">
        <f>IFERROR(__xludf.DUMMYFUNCTION("""COMPUTED_VALUE"""),"2015-06-16-J02-SO-4")</f>
        <v>2015-06-16-J02-SO-4</v>
      </c>
    </row>
    <row r="4417">
      <c r="A4417" t="str">
        <f>IFERROR(__xludf.DUMMYFUNCTION("""COMPUTED_VALUE"""),"2015-06-16-J02-SO-5")</f>
        <v>2015-06-16-J02-SO-5</v>
      </c>
    </row>
    <row r="4418">
      <c r="A4418" t="str">
        <f>IFERROR(__xludf.DUMMYFUNCTION("""COMPUTED_VALUE"""),"2015-06-16-J02-SO-6")</f>
        <v>2015-06-16-J02-SO-6</v>
      </c>
    </row>
    <row r="4419">
      <c r="A4419" t="str">
        <f>IFERROR(__xludf.DUMMYFUNCTION("""COMPUTED_VALUE"""),"2015-06-16-J09-SO-1")</f>
        <v>2015-06-16-J09-SO-1</v>
      </c>
    </row>
    <row r="4420">
      <c r="A4420" t="str">
        <f>IFERROR(__xludf.DUMMYFUNCTION("""COMPUTED_VALUE"""),"2015-06-16-J09-SO-2")</f>
        <v>2015-06-16-J09-SO-2</v>
      </c>
    </row>
    <row r="4421">
      <c r="A4421" t="str">
        <f>IFERROR(__xludf.DUMMYFUNCTION("""COMPUTED_VALUE"""),"2015-06-16-J09-SO-3")</f>
        <v>2015-06-16-J09-SO-3</v>
      </c>
    </row>
    <row r="4422">
      <c r="A4422" t="str">
        <f>IFERROR(__xludf.DUMMYFUNCTION("""COMPUTED_VALUE"""),"2015-06-16-J09-SO-4")</f>
        <v>2015-06-16-J09-SO-4</v>
      </c>
    </row>
    <row r="4423">
      <c r="A4423" t="str">
        <f>IFERROR(__xludf.DUMMYFUNCTION("""COMPUTED_VALUE"""),"2015-06-16-J09-SO-5")</f>
        <v>2015-06-16-J09-SO-5</v>
      </c>
    </row>
    <row r="4424">
      <c r="A4424" t="str">
        <f>IFERROR(__xludf.DUMMYFUNCTION("""COMPUTED_VALUE"""),"2015-06-16-J09-SO-6")</f>
        <v>2015-06-16-J09-SO-6</v>
      </c>
    </row>
    <row r="4425">
      <c r="A4425" t="str">
        <f>IFERROR(__xludf.DUMMYFUNCTION("""COMPUTED_VALUE"""),"2015-06-16-J09-SO-7")</f>
        <v>2015-06-16-J09-SO-7</v>
      </c>
    </row>
    <row r="4426">
      <c r="A4426" t="str">
        <f>IFERROR(__xludf.DUMMYFUNCTION("""COMPUTED_VALUE"""),"2015-06-16-J09-SO-8")</f>
        <v>2015-06-16-J09-SO-8</v>
      </c>
    </row>
    <row r="4427">
      <c r="A4427" t="str">
        <f>IFERROR(__xludf.DUMMYFUNCTION("""COMPUTED_VALUE"""),"2015-06-16-J09-SO-9")</f>
        <v>2015-06-16-J09-SO-9</v>
      </c>
    </row>
    <row r="4428">
      <c r="A4428" t="str">
        <f>IFERROR(__xludf.DUMMYFUNCTION("""COMPUTED_VALUE"""),"2015-06-16-J09-SO-10")</f>
        <v>2015-06-16-J09-SO-10</v>
      </c>
    </row>
    <row r="4429">
      <c r="A4429" t="str">
        <f>IFERROR(__xludf.DUMMYFUNCTION("""COMPUTED_VALUE"""),"2015-06-16-J09-SO-11")</f>
        <v>2015-06-16-J09-SO-11</v>
      </c>
    </row>
    <row r="4430">
      <c r="A4430" t="str">
        <f>IFERROR(__xludf.DUMMYFUNCTION("""COMPUTED_VALUE"""),"2015-06-16-J09-SO-12")</f>
        <v>2015-06-16-J09-SO-12</v>
      </c>
    </row>
    <row r="4431">
      <c r="A4431" t="str">
        <f>IFERROR(__xludf.DUMMYFUNCTION("""COMPUTED_VALUE"""),"2015-06-16-J09-SO-13")</f>
        <v>2015-06-16-J09-SO-13</v>
      </c>
    </row>
    <row r="4432">
      <c r="A4432" t="str">
        <f>IFERROR(__xludf.DUMMYFUNCTION("""COMPUTED_VALUE"""),"2015-06-16-J09-SO-14")</f>
        <v>2015-06-16-J09-SO-14</v>
      </c>
    </row>
    <row r="4433">
      <c r="A4433" t="str">
        <f>IFERROR(__xludf.DUMMYFUNCTION("""COMPUTED_VALUE"""),"2015-06-16-J09-SO-15")</f>
        <v>2015-06-16-J09-SO-15</v>
      </c>
    </row>
    <row r="4434">
      <c r="A4434" t="str">
        <f>IFERROR(__xludf.DUMMYFUNCTION("""COMPUTED_VALUE"""),"2015-06-16-J09-SO-16")</f>
        <v>2015-06-16-J09-SO-16</v>
      </c>
    </row>
    <row r="4435">
      <c r="A4435" t="str">
        <f>IFERROR(__xludf.DUMMYFUNCTION("""COMPUTED_VALUE"""),"2015-06-16-J09-SO-17")</f>
        <v>2015-06-16-J09-SO-17</v>
      </c>
    </row>
    <row r="4436">
      <c r="A4436" t="str">
        <f>IFERROR(__xludf.DUMMYFUNCTION("""COMPUTED_VALUE"""),"2015-06-16-J09-SO-18")</f>
        <v>2015-06-16-J09-SO-18</v>
      </c>
    </row>
    <row r="4437">
      <c r="A4437" t="str">
        <f>IFERROR(__xludf.DUMMYFUNCTION("""COMPUTED_VALUE"""),"2015-06-16-J09-SO-19")</f>
        <v>2015-06-16-J09-SO-19</v>
      </c>
    </row>
    <row r="4438">
      <c r="A4438" t="str">
        <f>IFERROR(__xludf.DUMMYFUNCTION("""COMPUTED_VALUE"""),"2015-06-16-J09-SO-20")</f>
        <v>2015-06-16-J09-SO-20</v>
      </c>
    </row>
    <row r="4439">
      <c r="A4439" t="str">
        <f>IFERROR(__xludf.DUMMYFUNCTION("""COMPUTED_VALUE"""),"2015-06-16-J09-SO-21")</f>
        <v>2015-06-16-J09-SO-21</v>
      </c>
    </row>
    <row r="4440">
      <c r="A4440" t="str">
        <f>IFERROR(__xludf.DUMMYFUNCTION("""COMPUTED_VALUE"""),"2015-06-16-J09-SO-22")</f>
        <v>2015-06-16-J09-SO-22</v>
      </c>
    </row>
    <row r="4441">
      <c r="A4441" t="str">
        <f>IFERROR(__xludf.DUMMYFUNCTION("""COMPUTED_VALUE"""),"2015-06-16-J09-SO-23")</f>
        <v>2015-06-16-J09-SO-23</v>
      </c>
    </row>
    <row r="4442">
      <c r="A4442" t="str">
        <f>IFERROR(__xludf.DUMMYFUNCTION("""COMPUTED_VALUE"""),"2015-06-16-J09-SO-24")</f>
        <v>2015-06-16-J09-SO-24</v>
      </c>
    </row>
    <row r="4443">
      <c r="A4443" t="str">
        <f>IFERROR(__xludf.DUMMYFUNCTION("""COMPUTED_VALUE"""),"2015-06-16-J09-SO-25")</f>
        <v>2015-06-16-J09-SO-25</v>
      </c>
    </row>
    <row r="4444">
      <c r="A4444" t="str">
        <f>IFERROR(__xludf.DUMMYFUNCTION("""COMPUTED_VALUE"""),"2015-06-16-J09-SO-26")</f>
        <v>2015-06-16-J09-SO-26</v>
      </c>
    </row>
    <row r="4445">
      <c r="A4445" t="str">
        <f>IFERROR(__xludf.DUMMYFUNCTION("""COMPUTED_VALUE"""),"2015-06-16-J09-SO-27")</f>
        <v>2015-06-16-J09-SO-27</v>
      </c>
    </row>
    <row r="4446">
      <c r="A4446" t="str">
        <f>IFERROR(__xludf.DUMMYFUNCTION("""COMPUTED_VALUE"""),"2015-06-16-J09-SO-28")</f>
        <v>2015-06-16-J09-SO-28</v>
      </c>
    </row>
    <row r="4447">
      <c r="A4447" t="str">
        <f>IFERROR(__xludf.DUMMYFUNCTION("""COMPUTED_VALUE"""),"2015-06-16-J09-SO-29")</f>
        <v>2015-06-16-J09-SO-29</v>
      </c>
    </row>
    <row r="4448">
      <c r="A4448" t="str">
        <f>IFERROR(__xludf.DUMMYFUNCTION("""COMPUTED_VALUE"""),"2015-06-16-J09-SO-30")</f>
        <v>2015-06-16-J09-SO-30</v>
      </c>
    </row>
    <row r="4449">
      <c r="A4449" t="str">
        <f>IFERROR(__xludf.DUMMYFUNCTION("""COMPUTED_VALUE"""),"2015-06-16-D11-PI-1")</f>
        <v>2015-06-16-D11-PI-1</v>
      </c>
    </row>
    <row r="4450">
      <c r="A4450" t="str">
        <f>IFERROR(__xludf.DUMMYFUNCTION("""COMPUTED_VALUE"""),"2015-06-16-J01-PI-1")</f>
        <v>2015-06-16-J01-PI-1</v>
      </c>
    </row>
    <row r="4451">
      <c r="A4451" t="str">
        <f>IFERROR(__xludf.DUMMYFUNCTION("""COMPUTED_VALUE"""),"2015-06-16-J01-PI-2")</f>
        <v>2015-06-16-J01-PI-2</v>
      </c>
    </row>
    <row r="4452">
      <c r="A4452" t="str">
        <f>IFERROR(__xludf.DUMMYFUNCTION("""COMPUTED_VALUE"""),"2015-06-16-J01-PI-3")</f>
        <v>2015-06-16-J01-PI-3</v>
      </c>
    </row>
    <row r="4453">
      <c r="A4453" t="str">
        <f>IFERROR(__xludf.DUMMYFUNCTION("""COMPUTED_VALUE"""),"2015-06-16-J01-PI-4")</f>
        <v>2015-06-16-J01-PI-4</v>
      </c>
    </row>
    <row r="4454">
      <c r="A4454" t="str">
        <f>IFERROR(__xludf.DUMMYFUNCTION("""COMPUTED_VALUE"""),"2015-06-16-J01-PI-5")</f>
        <v>2015-06-16-J01-PI-5</v>
      </c>
    </row>
    <row r="4455">
      <c r="A4455" t="str">
        <f>IFERROR(__xludf.DUMMYFUNCTION("""COMPUTED_VALUE"""),"2015-06-16-J01-PI-6")</f>
        <v>2015-06-16-J01-PI-6</v>
      </c>
    </row>
    <row r="4456">
      <c r="A4456" t="str">
        <f>IFERROR(__xludf.DUMMYFUNCTION("""COMPUTED_VALUE"""),"2015-06-16-J01-PI-7")</f>
        <v>2015-06-16-J01-PI-7</v>
      </c>
    </row>
    <row r="4457">
      <c r="A4457" t="str">
        <f>IFERROR(__xludf.DUMMYFUNCTION("""COMPUTED_VALUE"""),"2015-06-16-J01-PI-8")</f>
        <v>2015-06-16-J01-PI-8</v>
      </c>
    </row>
    <row r="4458">
      <c r="A4458" t="str">
        <f>IFERROR(__xludf.DUMMYFUNCTION("""COMPUTED_VALUE"""),"2015-06-16-J01-PI-9")</f>
        <v>2015-06-16-J01-PI-9</v>
      </c>
    </row>
    <row r="4459">
      <c r="A4459" t="str">
        <f>IFERROR(__xludf.DUMMYFUNCTION("""COMPUTED_VALUE"""),"2015-06-16-J01-PI-10")</f>
        <v>2015-06-16-J01-PI-10</v>
      </c>
    </row>
    <row r="4460">
      <c r="A4460" t="str">
        <f>IFERROR(__xludf.DUMMYFUNCTION("""COMPUTED_VALUE"""),"2015-06-16-J02-PI-1")</f>
        <v>2015-06-16-J02-PI-1</v>
      </c>
    </row>
    <row r="4461">
      <c r="A4461" t="str">
        <f>IFERROR(__xludf.DUMMYFUNCTION("""COMPUTED_VALUE"""),"2015-06-16-J02-PI-2")</f>
        <v>2015-06-16-J02-PI-2</v>
      </c>
    </row>
    <row r="4462">
      <c r="A4462" t="str">
        <f>IFERROR(__xludf.DUMMYFUNCTION("""COMPUTED_VALUE"""),"2015-06-16-J02-PI-3")</f>
        <v>2015-06-16-J02-PI-3</v>
      </c>
    </row>
    <row r="4463">
      <c r="A4463" t="str">
        <f>IFERROR(__xludf.DUMMYFUNCTION("""COMPUTED_VALUE"""),"2015-06-16-J02-PI-4")</f>
        <v>2015-06-16-J02-PI-4</v>
      </c>
    </row>
    <row r="4464">
      <c r="A4464" t="str">
        <f>IFERROR(__xludf.DUMMYFUNCTION("""COMPUTED_VALUE"""),"2015-06-16-J02-PI-5")</f>
        <v>2015-06-16-J02-PI-5</v>
      </c>
    </row>
    <row r="4465">
      <c r="A4465" t="str">
        <f>IFERROR(__xludf.DUMMYFUNCTION("""COMPUTED_VALUE"""),"2015-06-16-J02-PI-6")</f>
        <v>2015-06-16-J02-PI-6</v>
      </c>
    </row>
    <row r="4466">
      <c r="A4466" t="str">
        <f>IFERROR(__xludf.DUMMYFUNCTION("""COMPUTED_VALUE"""),"2015-06-16-J02-PI-7")</f>
        <v>2015-06-16-J02-PI-7</v>
      </c>
    </row>
    <row r="4467">
      <c r="A4467" t="str">
        <f>IFERROR(__xludf.DUMMYFUNCTION("""COMPUTED_VALUE"""),"2015-06-16-J02-PI-8")</f>
        <v>2015-06-16-J02-PI-8</v>
      </c>
    </row>
    <row r="4468">
      <c r="A4468" t="str">
        <f>IFERROR(__xludf.DUMMYFUNCTION("""COMPUTED_VALUE"""),"2015-06-16-J02-PI-9")</f>
        <v>2015-06-16-J02-PI-9</v>
      </c>
    </row>
    <row r="4469">
      <c r="A4469" t="str">
        <f>IFERROR(__xludf.DUMMYFUNCTION("""COMPUTED_VALUE"""),"2015-06-16-J02-PI-10")</f>
        <v>2015-06-16-J02-PI-10</v>
      </c>
    </row>
    <row r="4470">
      <c r="A4470" t="str">
        <f>IFERROR(__xludf.DUMMYFUNCTION("""COMPUTED_VALUE"""),"2015-06-16-J09-PI-1")</f>
        <v>2015-06-16-J09-PI-1</v>
      </c>
    </row>
    <row r="4471">
      <c r="A4471" t="str">
        <f>IFERROR(__xludf.DUMMYFUNCTION("""COMPUTED_VALUE"""),"2015-06-16-J09-PI-2")</f>
        <v>2015-06-16-J09-PI-2</v>
      </c>
    </row>
    <row r="4472">
      <c r="A4472" t="str">
        <f>IFERROR(__xludf.DUMMYFUNCTION("""COMPUTED_VALUE"""),"2015-06-16-J09-PI-3")</f>
        <v>2015-06-16-J09-PI-3</v>
      </c>
    </row>
    <row r="4473">
      <c r="A4473" t="str">
        <f>IFERROR(__xludf.DUMMYFUNCTION("""COMPUTED_VALUE"""),"2015-06-16-J09-PI-4")</f>
        <v>2015-06-16-J09-PI-4</v>
      </c>
    </row>
    <row r="4474">
      <c r="A4474" t="str">
        <f>IFERROR(__xludf.DUMMYFUNCTION("""COMPUTED_VALUE"""),"2015-06-16-J09-PI-5")</f>
        <v>2015-06-16-J09-PI-5</v>
      </c>
    </row>
    <row r="4475">
      <c r="A4475" t="str">
        <f>IFERROR(__xludf.DUMMYFUNCTION("""COMPUTED_VALUE"""),"2015-06-16-J09-PI-6")</f>
        <v>2015-06-16-J09-PI-6</v>
      </c>
    </row>
    <row r="4476">
      <c r="A4476" t="str">
        <f>IFERROR(__xludf.DUMMYFUNCTION("""COMPUTED_VALUE"""),"2015-06-16-J09-PI-7")</f>
        <v>2015-06-16-J09-PI-7</v>
      </c>
    </row>
    <row r="4477">
      <c r="A4477" t="str">
        <f>IFERROR(__xludf.DUMMYFUNCTION("""COMPUTED_VALUE"""),"2015-06-16-J09-PI-8")</f>
        <v>2015-06-16-J09-PI-8</v>
      </c>
    </row>
    <row r="4478">
      <c r="A4478" t="str">
        <f>IFERROR(__xludf.DUMMYFUNCTION("""COMPUTED_VALUE"""),"2015-06-16-J09-PI-9")</f>
        <v>2015-06-16-J09-PI-9</v>
      </c>
    </row>
    <row r="4479">
      <c r="A4479" t="str">
        <f>IFERROR(__xludf.DUMMYFUNCTION("""COMPUTED_VALUE"""),"2015-06-16-D11-CU-1")</f>
        <v>2015-06-16-D11-CU-1</v>
      </c>
    </row>
    <row r="4480">
      <c r="A4480" t="str">
        <f>IFERROR(__xludf.DUMMYFUNCTION("""COMPUTED_VALUE"""),"2015-06-16-D11-CU-2")</f>
        <v>2015-06-16-D11-CU-2</v>
      </c>
    </row>
    <row r="4481">
      <c r="A4481" t="str">
        <f>IFERROR(__xludf.DUMMYFUNCTION("""COMPUTED_VALUE"""),"2015-06-16-D11-CU-3")</f>
        <v>2015-06-16-D11-CU-3</v>
      </c>
    </row>
    <row r="4482">
      <c r="A4482" t="str">
        <f>IFERROR(__xludf.DUMMYFUNCTION("""COMPUTED_VALUE"""),"2015-06-16-D11-CU-4")</f>
        <v>2015-06-16-D11-CU-4</v>
      </c>
    </row>
    <row r="4483">
      <c r="A4483" t="str">
        <f>IFERROR(__xludf.DUMMYFUNCTION("""COMPUTED_VALUE"""),"2015-06-16-D11-CU-5")</f>
        <v>2015-06-16-D11-CU-5</v>
      </c>
    </row>
    <row r="4484">
      <c r="A4484" t="str">
        <f>IFERROR(__xludf.DUMMYFUNCTION("""COMPUTED_VALUE"""),"2015-06-16-D11-CU-6")</f>
        <v>2015-06-16-D11-CU-6</v>
      </c>
    </row>
    <row r="4485">
      <c r="A4485" t="str">
        <f>IFERROR(__xludf.DUMMYFUNCTION("""COMPUTED_VALUE"""),"2015-06-16-D11-CU-7")</f>
        <v>2015-06-16-D11-CU-7</v>
      </c>
    </row>
    <row r="4486">
      <c r="A4486" t="str">
        <f>IFERROR(__xludf.DUMMYFUNCTION("""COMPUTED_VALUE"""),"2015-06-16-D11-CU-8")</f>
        <v>2015-06-16-D11-CU-8</v>
      </c>
    </row>
    <row r="4487">
      <c r="A4487" t="str">
        <f>IFERROR(__xludf.DUMMYFUNCTION("""COMPUTED_VALUE"""),"2015-06-16-D11-CU-9")</f>
        <v>2015-06-16-D11-CU-9</v>
      </c>
    </row>
    <row r="4488">
      <c r="A4488" t="str">
        <f>IFERROR(__xludf.DUMMYFUNCTION("""COMPUTED_VALUE"""),"2015-06-16-D11-CU-10")</f>
        <v>2015-06-16-D11-CU-10</v>
      </c>
    </row>
    <row r="4489">
      <c r="A4489" t="str">
        <f>IFERROR(__xludf.DUMMYFUNCTION("""COMPUTED_VALUE"""),"2015-06-16-J01-CU-1")</f>
        <v>2015-06-16-J01-CU-1</v>
      </c>
    </row>
    <row r="4490">
      <c r="A4490" t="str">
        <f>IFERROR(__xludf.DUMMYFUNCTION("""COMPUTED_VALUE"""),"2015-06-16-J01-CU-2")</f>
        <v>2015-06-16-J01-CU-2</v>
      </c>
    </row>
    <row r="4491">
      <c r="A4491" t="str">
        <f>IFERROR(__xludf.DUMMYFUNCTION("""COMPUTED_VALUE"""),"2015-06-16-J01-CU-3")</f>
        <v>2015-06-16-J01-CU-3</v>
      </c>
    </row>
    <row r="4492">
      <c r="A4492" t="str">
        <f>IFERROR(__xludf.DUMMYFUNCTION("""COMPUTED_VALUE"""),"2015-06-16-J01-CU-4")</f>
        <v>2015-06-16-J01-CU-4</v>
      </c>
    </row>
    <row r="4493">
      <c r="A4493" t="str">
        <f>IFERROR(__xludf.DUMMYFUNCTION("""COMPUTED_VALUE"""),"2015-06-16-J01-CU-5")</f>
        <v>2015-06-16-J01-CU-5</v>
      </c>
    </row>
    <row r="4494">
      <c r="A4494" t="str">
        <f>IFERROR(__xludf.DUMMYFUNCTION("""COMPUTED_VALUE"""),"2015-06-16-J01-CU-6")</f>
        <v>2015-06-16-J01-CU-6</v>
      </c>
    </row>
    <row r="4495">
      <c r="A4495" t="str">
        <f>IFERROR(__xludf.DUMMYFUNCTION("""COMPUTED_VALUE"""),"2015-06-16-J01-CU-7")</f>
        <v>2015-06-16-J01-CU-7</v>
      </c>
    </row>
    <row r="4496">
      <c r="A4496" t="str">
        <f>IFERROR(__xludf.DUMMYFUNCTION("""COMPUTED_VALUE"""),"2015-06-16-J01-CU-8")</f>
        <v>2015-06-16-J01-CU-8</v>
      </c>
    </row>
    <row r="4497">
      <c r="A4497" t="str">
        <f>IFERROR(__xludf.DUMMYFUNCTION("""COMPUTED_VALUE"""),"2015-06-16-J01-CU-9")</f>
        <v>2015-06-16-J01-CU-9</v>
      </c>
    </row>
    <row r="4498">
      <c r="A4498" t="str">
        <f>IFERROR(__xludf.DUMMYFUNCTION("""COMPUTED_VALUE"""),"2015-06-16-J01-CU-10")</f>
        <v>2015-06-16-J01-CU-10</v>
      </c>
    </row>
    <row r="4499">
      <c r="A4499" t="str">
        <f>IFERROR(__xludf.DUMMYFUNCTION("""COMPUTED_VALUE"""),"2015-06-16-J02-CU-1")</f>
        <v>2015-06-16-J02-CU-1</v>
      </c>
    </row>
    <row r="4500">
      <c r="A4500" t="str">
        <f>IFERROR(__xludf.DUMMYFUNCTION("""COMPUTED_VALUE"""),"2015-06-16-J02-CU-2")</f>
        <v>2015-06-16-J02-CU-2</v>
      </c>
    </row>
    <row r="4501">
      <c r="A4501" t="str">
        <f>IFERROR(__xludf.DUMMYFUNCTION("""COMPUTED_VALUE"""),"2015-06-16-J02-CU-3")</f>
        <v>2015-06-16-J02-CU-3</v>
      </c>
    </row>
    <row r="4502">
      <c r="A4502" t="str">
        <f>IFERROR(__xludf.DUMMYFUNCTION("""COMPUTED_VALUE"""),"2015-06-16-J02-CU-4")</f>
        <v>2015-06-16-J02-CU-4</v>
      </c>
    </row>
    <row r="4503">
      <c r="A4503" t="str">
        <f>IFERROR(__xludf.DUMMYFUNCTION("""COMPUTED_VALUE"""),"2015-06-16-J02-CU-5")</f>
        <v>2015-06-16-J02-CU-5</v>
      </c>
    </row>
    <row r="4504">
      <c r="A4504" t="str">
        <f>IFERROR(__xludf.DUMMYFUNCTION("""COMPUTED_VALUE"""),"2015-06-16-J02-CU-6")</f>
        <v>2015-06-16-J02-CU-6</v>
      </c>
    </row>
    <row r="4505">
      <c r="A4505" t="str">
        <f>IFERROR(__xludf.DUMMYFUNCTION("""COMPUTED_VALUE"""),"2015-06-16-J02-CU-7")</f>
        <v>2015-06-16-J02-CU-7</v>
      </c>
    </row>
    <row r="4506">
      <c r="A4506" t="str">
        <f>IFERROR(__xludf.DUMMYFUNCTION("""COMPUTED_VALUE"""),"2015-06-16-J02-CU-8")</f>
        <v>2015-06-16-J02-CU-8</v>
      </c>
    </row>
    <row r="4507">
      <c r="A4507" t="str">
        <f>IFERROR(__xludf.DUMMYFUNCTION("""COMPUTED_VALUE"""),"2015-06-16-J02-CU-9")</f>
        <v>2015-06-16-J02-CU-9</v>
      </c>
    </row>
    <row r="4508">
      <c r="A4508" t="str">
        <f>IFERROR(__xludf.DUMMYFUNCTION("""COMPUTED_VALUE"""),"2015-06-16-J02-CU-10")</f>
        <v>2015-06-16-J02-CU-10</v>
      </c>
    </row>
    <row r="4509">
      <c r="A4509" t="str">
        <f>IFERROR(__xludf.DUMMYFUNCTION("""COMPUTED_VALUE"""),"2015-06-16-J09-CU-1")</f>
        <v>2015-06-16-J09-CU-1</v>
      </c>
    </row>
    <row r="4510">
      <c r="A4510" t="str">
        <f>IFERROR(__xludf.DUMMYFUNCTION("""COMPUTED_VALUE"""),"2015-06-16-J09-CU-2")</f>
        <v>2015-06-16-J09-CU-2</v>
      </c>
    </row>
    <row r="4511">
      <c r="A4511" t="str">
        <f>IFERROR(__xludf.DUMMYFUNCTION("""COMPUTED_VALUE"""),"2015-06-16-J09-CU-3")</f>
        <v>2015-06-16-J09-CU-3</v>
      </c>
    </row>
    <row r="4512">
      <c r="A4512" t="str">
        <f>IFERROR(__xludf.DUMMYFUNCTION("""COMPUTED_VALUE"""),"2015-06-16-J09-CU-4")</f>
        <v>2015-06-16-J09-CU-4</v>
      </c>
    </row>
    <row r="4513">
      <c r="A4513" t="str">
        <f>IFERROR(__xludf.DUMMYFUNCTION("""COMPUTED_VALUE"""),"2015-06-16-J09-CU-5")</f>
        <v>2015-06-16-J09-CU-5</v>
      </c>
    </row>
    <row r="4514">
      <c r="A4514" t="str">
        <f>IFERROR(__xludf.DUMMYFUNCTION("""COMPUTED_VALUE"""),"2015-06-16-J09-CU-6")</f>
        <v>2015-06-16-J09-CU-6</v>
      </c>
    </row>
    <row r="4515">
      <c r="A4515" t="str">
        <f>IFERROR(__xludf.DUMMYFUNCTION("""COMPUTED_VALUE"""),"2015-06-16-J09-CU-7")</f>
        <v>2015-06-16-J09-CU-7</v>
      </c>
    </row>
    <row r="4516">
      <c r="A4516" t="str">
        <f>IFERROR(__xludf.DUMMYFUNCTION("""COMPUTED_VALUE"""),"2015-06-16-J09-CU-8")</f>
        <v>2015-06-16-J09-CU-8</v>
      </c>
    </row>
    <row r="4517">
      <c r="A4517" t="str">
        <f>IFERROR(__xludf.DUMMYFUNCTION("""COMPUTED_VALUE"""),"2015-06-16-J09-CU-9")</f>
        <v>2015-06-16-J09-CU-9</v>
      </c>
    </row>
    <row r="4518">
      <c r="A4518" t="str">
        <f>IFERROR(__xludf.DUMMYFUNCTION("""COMPUTED_VALUE"""),"2015-06-16-J09-CU-10")</f>
        <v>2015-06-16-J09-CU-10</v>
      </c>
    </row>
    <row r="4519">
      <c r="A4519" t="str">
        <f>IFERROR(__xludf.DUMMYFUNCTION("""COMPUTED_VALUE"""),"2015-06-16-D11-CO-1")</f>
        <v>2015-06-16-D11-CO-1</v>
      </c>
    </row>
    <row r="4520">
      <c r="A4520" t="str">
        <f>IFERROR(__xludf.DUMMYFUNCTION("""COMPUTED_VALUE"""),"2015-06-16-J02-CO-1")</f>
        <v>2015-06-16-J02-CO-1</v>
      </c>
    </row>
    <row r="4521">
      <c r="A4521" t="str">
        <f>IFERROR(__xludf.DUMMYFUNCTION("""COMPUTED_VALUE"""),"2015-06-16-J02-CO-2")</f>
        <v>2015-06-16-J02-CO-2</v>
      </c>
    </row>
    <row r="4522">
      <c r="A4522" t="str">
        <f>IFERROR(__xludf.DUMMYFUNCTION("""COMPUTED_VALUE"""),"2015-06-16-J09-CO-1")</f>
        <v>2015-06-16-J09-CO-1</v>
      </c>
    </row>
    <row r="4523">
      <c r="A4523" t="str">
        <f>IFERROR(__xludf.DUMMYFUNCTION("""COMPUTED_VALUE"""),"2015-06-16-J09-CO-2")</f>
        <v>2015-06-16-J09-CO-2</v>
      </c>
    </row>
    <row r="4524">
      <c r="A4524" t="str">
        <f>IFERROR(__xludf.DUMMYFUNCTION("""COMPUTED_VALUE"""),"2015-06-16-J09-CO-3")</f>
        <v>2015-06-16-J09-CO-3</v>
      </c>
    </row>
    <row r="4525">
      <c r="A4525" t="str">
        <f>IFERROR(__xludf.DUMMYFUNCTION("""COMPUTED_VALUE"""),"2015-06-16-J09-CO-4")</f>
        <v>2015-06-16-J09-CO-4</v>
      </c>
    </row>
    <row r="4526">
      <c r="A4526" t="str">
        <f>IFERROR(__xludf.DUMMYFUNCTION("""COMPUTED_VALUE"""),"2015-06-16-J09-CO-5")</f>
        <v>2015-06-16-J09-CO-5</v>
      </c>
    </row>
    <row r="4527">
      <c r="A4527" t="str">
        <f>IFERROR(__xludf.DUMMYFUNCTION("""COMPUTED_VALUE"""),"2015-06-16-J09-CO-6")</f>
        <v>2015-06-16-J09-CO-6</v>
      </c>
    </row>
    <row r="4528">
      <c r="A4528" t="str">
        <f>IFERROR(__xludf.DUMMYFUNCTION("""COMPUTED_VALUE"""),"2015-06-16-J09-CO-7")</f>
        <v>2015-06-16-J09-CO-7</v>
      </c>
    </row>
    <row r="4529">
      <c r="A4529" t="str">
        <f>IFERROR(__xludf.DUMMYFUNCTION("""COMPUTED_VALUE"""),"2015-06-16-J09-CO-8")</f>
        <v>2015-06-16-J09-CO-8</v>
      </c>
    </row>
    <row r="4530">
      <c r="A4530" t="str">
        <f>IFERROR(__xludf.DUMMYFUNCTION("""COMPUTED_VALUE"""),"2015-06-16-J02-HE-1")</f>
        <v>2015-06-16-J02-HE-1</v>
      </c>
    </row>
    <row r="4531">
      <c r="A4531" t="str">
        <f>IFERROR(__xludf.DUMMYFUNCTION("""COMPUTED_VALUE"""),"2015-06-16-J09-HE-1")</f>
        <v>2015-06-16-J09-HE-1</v>
      </c>
    </row>
    <row r="4532">
      <c r="A4532" t="str">
        <f>IFERROR(__xludf.DUMMYFUNCTION("""COMPUTED_VALUE"""),"2015-06-16-J09-HE-2")</f>
        <v>2015-06-16-J09-HE-2</v>
      </c>
    </row>
    <row r="4533">
      <c r="A4533" t="str">
        <f>IFERROR(__xludf.DUMMYFUNCTION("""COMPUTED_VALUE"""),"2015-06-16-J09-HE-3")</f>
        <v>2015-06-16-J09-HE-3</v>
      </c>
    </row>
    <row r="4534">
      <c r="A4534" t="str">
        <f>IFERROR(__xludf.DUMMYFUNCTION("""COMPUTED_VALUE"""),"2015-06-16-J09-HE-4")</f>
        <v>2015-06-16-J09-HE-4</v>
      </c>
    </row>
    <row r="4535">
      <c r="A4535" t="str">
        <f>IFERROR(__xludf.DUMMYFUNCTION("""COMPUTED_VALUE"""),"2015-06-16-J09-HE-5")</f>
        <v>2015-06-16-J09-HE-5</v>
      </c>
    </row>
    <row r="4536">
      <c r="A4536" t="str">
        <f>IFERROR(__xludf.DUMMYFUNCTION("""COMPUTED_VALUE"""),"2015-06-16-J09-HE-6")</f>
        <v>2015-06-16-J09-HE-6</v>
      </c>
    </row>
    <row r="4537">
      <c r="A4537" t="str">
        <f>IFERROR(__xludf.DUMMYFUNCTION("""COMPUTED_VALUE"""),"2015-06-16-J09-HE-7")</f>
        <v>2015-06-16-J09-HE-7</v>
      </c>
    </row>
    <row r="4538">
      <c r="A4538" t="str">
        <f>IFERROR(__xludf.DUMMYFUNCTION("""COMPUTED_VALUE"""),"2015-06-16-J09-HE-8")</f>
        <v>2015-06-16-J09-HE-8</v>
      </c>
    </row>
    <row r="4539">
      <c r="A4539" t="str">
        <f>IFERROR(__xludf.DUMMYFUNCTION("""COMPUTED_VALUE"""),"2015-06-16-J09-HE-9")</f>
        <v>2015-06-16-J09-HE-9</v>
      </c>
    </row>
    <row r="4540">
      <c r="A4540" t="str">
        <f>IFERROR(__xludf.DUMMYFUNCTION("""COMPUTED_VALUE"""),"2015-06-16-J09-HE-10")</f>
        <v>2015-06-16-J09-HE-10</v>
      </c>
    </row>
    <row r="4541">
      <c r="A4541" t="str">
        <f>IFERROR(__xludf.DUMMYFUNCTION("""COMPUTED_VALUE"""),"2015-06-17-D08-SO-1")</f>
        <v>2015-06-17-D08-SO-1</v>
      </c>
    </row>
    <row r="4542">
      <c r="A4542" t="str">
        <f>IFERROR(__xludf.DUMMYFUNCTION("""COMPUTED_VALUE"""),"2015-06-17-D08-SO-2")</f>
        <v>2015-06-17-D08-SO-2</v>
      </c>
    </row>
    <row r="4543">
      <c r="A4543" t="str">
        <f>IFERROR(__xludf.DUMMYFUNCTION("""COMPUTED_VALUE"""),"2015-06-17-D08-SO-3")</f>
        <v>2015-06-17-D08-SO-3</v>
      </c>
    </row>
    <row r="4544">
      <c r="A4544" t="str">
        <f>IFERROR(__xludf.DUMMYFUNCTION("""COMPUTED_VALUE"""),"2015-06-17-D08-SO-4")</f>
        <v>2015-06-17-D08-SO-4</v>
      </c>
    </row>
    <row r="4545">
      <c r="A4545" t="str">
        <f>IFERROR(__xludf.DUMMYFUNCTION("""COMPUTED_VALUE"""),"2015-06-17-D08-SO-5")</f>
        <v>2015-06-17-D08-SO-5</v>
      </c>
    </row>
    <row r="4546">
      <c r="A4546" t="str">
        <f>IFERROR(__xludf.DUMMYFUNCTION("""COMPUTED_VALUE"""),"2015-06-17-D08-SO-6")</f>
        <v>2015-06-17-D08-SO-6</v>
      </c>
    </row>
    <row r="4547">
      <c r="A4547" t="str">
        <f>IFERROR(__xludf.DUMMYFUNCTION("""COMPUTED_VALUE"""),"2015-06-17-D08-SO-7")</f>
        <v>2015-06-17-D08-SO-7</v>
      </c>
    </row>
    <row r="4548">
      <c r="A4548" t="str">
        <f>IFERROR(__xludf.DUMMYFUNCTION("""COMPUTED_VALUE"""),"2015-06-17-D08-SO-8")</f>
        <v>2015-06-17-D08-SO-8</v>
      </c>
    </row>
    <row r="4549">
      <c r="A4549" t="str">
        <f>IFERROR(__xludf.DUMMYFUNCTION("""COMPUTED_VALUE"""),"2015-06-17-D08-SO-9")</f>
        <v>2015-06-17-D08-SO-9</v>
      </c>
    </row>
    <row r="4550">
      <c r="A4550" t="str">
        <f>IFERROR(__xludf.DUMMYFUNCTION("""COMPUTED_VALUE"""),"2015-06-17-D08-SO-10")</f>
        <v>2015-06-17-D08-SO-10</v>
      </c>
    </row>
    <row r="4551">
      <c r="A4551" t="str">
        <f>IFERROR(__xludf.DUMMYFUNCTION("""COMPUTED_VALUE"""),"2015-06-17-D08-SO-11")</f>
        <v>2015-06-17-D08-SO-11</v>
      </c>
    </row>
    <row r="4552">
      <c r="A4552" t="str">
        <f>IFERROR(__xludf.DUMMYFUNCTION("""COMPUTED_VALUE"""),"2015-06-17-D08-SO-12")</f>
        <v>2015-06-17-D08-SO-12</v>
      </c>
    </row>
    <row r="4553">
      <c r="A4553" t="str">
        <f>IFERROR(__xludf.DUMMYFUNCTION("""COMPUTED_VALUE"""),"2015-06-17-J04-SO-1")</f>
        <v>2015-06-17-J04-SO-1</v>
      </c>
    </row>
    <row r="4554">
      <c r="A4554" t="str">
        <f>IFERROR(__xludf.DUMMYFUNCTION("""COMPUTED_VALUE"""),"2015-06-17-J04-SO-2")</f>
        <v>2015-06-17-J04-SO-2</v>
      </c>
    </row>
    <row r="4555">
      <c r="A4555" t="str">
        <f>IFERROR(__xludf.DUMMYFUNCTION("""COMPUTED_VALUE"""),"2015-06-17-J04-SO-3")</f>
        <v>2015-06-17-J04-SO-3</v>
      </c>
    </row>
    <row r="4556">
      <c r="A4556" t="str">
        <f>IFERROR(__xludf.DUMMYFUNCTION("""COMPUTED_VALUE"""),"2015-06-17-J08-SO-1")</f>
        <v>2015-06-17-J08-SO-1</v>
      </c>
    </row>
    <row r="4557">
      <c r="A4557" t="str">
        <f>IFERROR(__xludf.DUMMYFUNCTION("""COMPUTED_VALUE"""),"2015-06-17-J08-SO-2")</f>
        <v>2015-06-17-J08-SO-2</v>
      </c>
    </row>
    <row r="4558">
      <c r="A4558" t="str">
        <f>IFERROR(__xludf.DUMMYFUNCTION("""COMPUTED_VALUE"""),"2015-06-17-J08-SO-3")</f>
        <v>2015-06-17-J08-SO-3</v>
      </c>
    </row>
    <row r="4559">
      <c r="A4559" t="str">
        <f>IFERROR(__xludf.DUMMYFUNCTION("""COMPUTED_VALUE"""),"2015-06-17-J08-SO-4")</f>
        <v>2015-06-17-J08-SO-4</v>
      </c>
    </row>
    <row r="4560">
      <c r="A4560" t="str">
        <f>IFERROR(__xludf.DUMMYFUNCTION("""COMPUTED_VALUE"""),"2015-06-17-J08-SO-5")</f>
        <v>2015-06-17-J08-SO-5</v>
      </c>
    </row>
    <row r="4561">
      <c r="A4561" t="str">
        <f>IFERROR(__xludf.DUMMYFUNCTION("""COMPUTED_VALUE"""),"2015-06-17-J08-SO-6")</f>
        <v>2015-06-17-J08-SO-6</v>
      </c>
    </row>
    <row r="4562">
      <c r="A4562" t="str">
        <f>IFERROR(__xludf.DUMMYFUNCTION("""COMPUTED_VALUE"""),"2015-06-17-J08-SO-7")</f>
        <v>2015-06-17-J08-SO-7</v>
      </c>
    </row>
    <row r="4563">
      <c r="A4563" t="str">
        <f>IFERROR(__xludf.DUMMYFUNCTION("""COMPUTED_VALUE"""),"2015-06-17-J08-SO-8")</f>
        <v>2015-06-17-J08-SO-8</v>
      </c>
    </row>
    <row r="4564">
      <c r="A4564" t="str">
        <f>IFERROR(__xludf.DUMMYFUNCTION("""COMPUTED_VALUE"""),"2015-06-17-J08-SO-9")</f>
        <v>2015-06-17-J08-SO-9</v>
      </c>
    </row>
    <row r="4565">
      <c r="A4565" t="str">
        <f>IFERROR(__xludf.DUMMYFUNCTION("""COMPUTED_VALUE"""),"2015-06-17-J08-SO-10")</f>
        <v>2015-06-17-J08-SO-10</v>
      </c>
    </row>
    <row r="4566">
      <c r="A4566" t="str">
        <f>IFERROR(__xludf.DUMMYFUNCTION("""COMPUTED_VALUE"""),"2015-06-17-J08-SO-11")</f>
        <v>2015-06-17-J08-SO-11</v>
      </c>
    </row>
    <row r="4567">
      <c r="A4567" t="str">
        <f>IFERROR(__xludf.DUMMYFUNCTION("""COMPUTED_VALUE"""),"2015-06-17-J08-SO-12")</f>
        <v>2015-06-17-J08-SO-12</v>
      </c>
    </row>
    <row r="4568">
      <c r="A4568" t="str">
        <f>IFERROR(__xludf.DUMMYFUNCTION("""COMPUTED_VALUE"""),"2015-06-17-J08-SO-13")</f>
        <v>2015-06-17-J08-SO-13</v>
      </c>
    </row>
    <row r="4569">
      <c r="A4569" t="str">
        <f>IFERROR(__xludf.DUMMYFUNCTION("""COMPUTED_VALUE"""),"2015-06-17-J08-SO-14")</f>
        <v>2015-06-17-J08-SO-14</v>
      </c>
    </row>
    <row r="4570">
      <c r="A4570" t="str">
        <f>IFERROR(__xludf.DUMMYFUNCTION("""COMPUTED_VALUE"""),"2015-06-17-J08-SO-15")</f>
        <v>2015-06-17-J08-SO-15</v>
      </c>
    </row>
    <row r="4571">
      <c r="A4571" t="str">
        <f>IFERROR(__xludf.DUMMYFUNCTION("""COMPUTED_VALUE"""),"2015-06-17-J08-SO-16")</f>
        <v>2015-06-17-J08-SO-16</v>
      </c>
    </row>
    <row r="4572">
      <c r="A4572" t="str">
        <f>IFERROR(__xludf.DUMMYFUNCTION("""COMPUTED_VALUE"""),"2015-06-17-J08-SO-17")</f>
        <v>2015-06-17-J08-SO-17</v>
      </c>
    </row>
    <row r="4573">
      <c r="A4573" t="str">
        <f>IFERROR(__xludf.DUMMYFUNCTION("""COMPUTED_VALUE"""),"2015-06-17-J08-SO-18")</f>
        <v>2015-06-17-J08-SO-18</v>
      </c>
    </row>
    <row r="4574">
      <c r="A4574" t="str">
        <f>IFERROR(__xludf.DUMMYFUNCTION("""COMPUTED_VALUE"""),"2015-06-17-J08-SO-19")</f>
        <v>2015-06-17-J08-SO-19</v>
      </c>
    </row>
    <row r="4575">
      <c r="A4575" t="str">
        <f>IFERROR(__xludf.DUMMYFUNCTION("""COMPUTED_VALUE"""),"2015-06-17-J08-SO-20")</f>
        <v>2015-06-17-J08-SO-20</v>
      </c>
    </row>
    <row r="4576">
      <c r="A4576" t="str">
        <f>IFERROR(__xludf.DUMMYFUNCTION("""COMPUTED_VALUE"""),"2015-06-17-J08-SO-21")</f>
        <v>2015-06-17-J08-SO-21</v>
      </c>
    </row>
    <row r="4577">
      <c r="A4577" t="str">
        <f>IFERROR(__xludf.DUMMYFUNCTION("""COMPUTED_VALUE"""),"2015-06-17-J08-SO-22")</f>
        <v>2015-06-17-J08-SO-22</v>
      </c>
    </row>
    <row r="4578">
      <c r="A4578" t="str">
        <f>IFERROR(__xludf.DUMMYFUNCTION("""COMPUTED_VALUE"""),"2015-06-17-J08-SO-23")</f>
        <v>2015-06-17-J08-SO-23</v>
      </c>
    </row>
    <row r="4579">
      <c r="A4579" t="str">
        <f>IFERROR(__xludf.DUMMYFUNCTION("""COMPUTED_VALUE"""),"2015-06-17-J08-SO-24")</f>
        <v>2015-06-17-J08-SO-24</v>
      </c>
    </row>
    <row r="4580">
      <c r="A4580" t="str">
        <f>IFERROR(__xludf.DUMMYFUNCTION("""COMPUTED_VALUE"""),"2015-06-17-J08-SO-25")</f>
        <v>2015-06-17-J08-SO-25</v>
      </c>
    </row>
    <row r="4581">
      <c r="A4581" t="str">
        <f>IFERROR(__xludf.DUMMYFUNCTION("""COMPUTED_VALUE"""),"2015-06-17-J08-SO-26")</f>
        <v>2015-06-17-J08-SO-26</v>
      </c>
    </row>
    <row r="4582">
      <c r="A4582" t="str">
        <f>IFERROR(__xludf.DUMMYFUNCTION("""COMPUTED_VALUE"""),"2015-06-17-J08-SO-27")</f>
        <v>2015-06-17-J08-SO-27</v>
      </c>
    </row>
    <row r="4583">
      <c r="A4583" t="str">
        <f>IFERROR(__xludf.DUMMYFUNCTION("""COMPUTED_VALUE"""),"2015-06-17-J08-SO-28")</f>
        <v>2015-06-17-J08-SO-28</v>
      </c>
    </row>
    <row r="4584">
      <c r="A4584" t="str">
        <f>IFERROR(__xludf.DUMMYFUNCTION("""COMPUTED_VALUE"""),"2015-06-17-J08-SO-29")</f>
        <v>2015-06-17-J08-SO-29</v>
      </c>
    </row>
    <row r="4585">
      <c r="A4585" t="str">
        <f>IFERROR(__xludf.DUMMYFUNCTION("""COMPUTED_VALUE"""),"2015-06-17-J08-SO-30")</f>
        <v>2015-06-17-J08-SO-30</v>
      </c>
    </row>
    <row r="4586">
      <c r="A4586" t="str">
        <f>IFERROR(__xludf.DUMMYFUNCTION("""COMPUTED_VALUE"""),"2015-06-17-J03-SO-1")</f>
        <v>2015-06-17-J03-SO-1</v>
      </c>
    </row>
    <row r="4587">
      <c r="A4587" t="str">
        <f>IFERROR(__xludf.DUMMYFUNCTION("""COMPUTED_VALUE"""),"2015-06-17-J03-SO-2")</f>
        <v>2015-06-17-J03-SO-2</v>
      </c>
    </row>
    <row r="4588">
      <c r="A4588" t="str">
        <f>IFERROR(__xludf.DUMMYFUNCTION("""COMPUTED_VALUE"""),"2015-06-17-J03-SO-3")</f>
        <v>2015-06-17-J03-SO-3</v>
      </c>
    </row>
    <row r="4589">
      <c r="A4589" t="str">
        <f>IFERROR(__xludf.DUMMYFUNCTION("""COMPUTED_VALUE"""),"2015-06-17-J04-PI-1")</f>
        <v>2015-06-17-J04-PI-1</v>
      </c>
    </row>
    <row r="4590">
      <c r="A4590" t="str">
        <f>IFERROR(__xludf.DUMMYFUNCTION("""COMPUTED_VALUE"""),"2015-06-17-J04-PI-2")</f>
        <v>2015-06-17-J04-PI-2</v>
      </c>
    </row>
    <row r="4591">
      <c r="A4591" t="str">
        <f>IFERROR(__xludf.DUMMYFUNCTION("""COMPUTED_VALUE"""),"2015-06-17-J04-PI-3")</f>
        <v>2015-06-17-J04-PI-3</v>
      </c>
    </row>
    <row r="4592">
      <c r="A4592" t="str">
        <f>IFERROR(__xludf.DUMMYFUNCTION("""COMPUTED_VALUE"""),"2015-06-17-J04-PI-4")</f>
        <v>2015-06-17-J04-PI-4</v>
      </c>
    </row>
    <row r="4593">
      <c r="A4593" t="str">
        <f>IFERROR(__xludf.DUMMYFUNCTION("""COMPUTED_VALUE"""),"2015-06-17-J04-PI-5")</f>
        <v>2015-06-17-J04-PI-5</v>
      </c>
    </row>
    <row r="4594">
      <c r="A4594" t="str">
        <f>IFERROR(__xludf.DUMMYFUNCTION("""COMPUTED_VALUE"""),"2015-06-17-J04-PI-6")</f>
        <v>2015-06-17-J04-PI-6</v>
      </c>
    </row>
    <row r="4595">
      <c r="A4595" t="str">
        <f>IFERROR(__xludf.DUMMYFUNCTION("""COMPUTED_VALUE"""),"2015-06-17-J04-PI-7")</f>
        <v>2015-06-17-J04-PI-7</v>
      </c>
    </row>
    <row r="4596">
      <c r="A4596" t="str">
        <f>IFERROR(__xludf.DUMMYFUNCTION("""COMPUTED_VALUE"""),"2015-06-17-J04-PI-8")</f>
        <v>2015-06-17-J04-PI-8</v>
      </c>
    </row>
    <row r="4597">
      <c r="A4597" t="str">
        <f>IFERROR(__xludf.DUMMYFUNCTION("""COMPUTED_VALUE"""),"2015-06-17-J04-PI-9")</f>
        <v>2015-06-17-J04-PI-9</v>
      </c>
    </row>
    <row r="4598">
      <c r="A4598" t="str">
        <f>IFERROR(__xludf.DUMMYFUNCTION("""COMPUTED_VALUE"""),"2015-06-17-J04-PI-10")</f>
        <v>2015-06-17-J04-PI-10</v>
      </c>
    </row>
    <row r="4599">
      <c r="A4599" t="str">
        <f>IFERROR(__xludf.DUMMYFUNCTION("""COMPUTED_VALUE"""),"2015-06-17-J08-PI-1")</f>
        <v>2015-06-17-J08-PI-1</v>
      </c>
    </row>
    <row r="4600">
      <c r="A4600" t="str">
        <f>IFERROR(__xludf.DUMMYFUNCTION("""COMPUTED_VALUE"""),"2015-06-17-J08-PI-2")</f>
        <v>2015-06-17-J08-PI-2</v>
      </c>
    </row>
    <row r="4601">
      <c r="A4601" t="str">
        <f>IFERROR(__xludf.DUMMYFUNCTION("""COMPUTED_VALUE"""),"2015-06-17-J08-PI-3")</f>
        <v>2015-06-17-J08-PI-3</v>
      </c>
    </row>
    <row r="4602">
      <c r="A4602" t="str">
        <f>IFERROR(__xludf.DUMMYFUNCTION("""COMPUTED_VALUE"""),"2015-06-17-J08-PI-4")</f>
        <v>2015-06-17-J08-PI-4</v>
      </c>
    </row>
    <row r="4603">
      <c r="A4603" t="str">
        <f>IFERROR(__xludf.DUMMYFUNCTION("""COMPUTED_VALUE"""),"2015-06-17-J03-PI-1")</f>
        <v>2015-06-17-J03-PI-1</v>
      </c>
    </row>
    <row r="4604">
      <c r="A4604" t="str">
        <f>IFERROR(__xludf.DUMMYFUNCTION("""COMPUTED_VALUE"""),"2015-06-17-J03-PI-2")</f>
        <v>2015-06-17-J03-PI-2</v>
      </c>
    </row>
    <row r="4605">
      <c r="A4605" t="str">
        <f>IFERROR(__xludf.DUMMYFUNCTION("""COMPUTED_VALUE"""),"2015-06-17-J03-PI-3")</f>
        <v>2015-06-17-J03-PI-3</v>
      </c>
    </row>
    <row r="4606">
      <c r="A4606" t="str">
        <f>IFERROR(__xludf.DUMMYFUNCTION("""COMPUTED_VALUE"""),"2015-06-17-J03-PI-4")</f>
        <v>2015-06-17-J03-PI-4</v>
      </c>
    </row>
    <row r="4607">
      <c r="A4607" t="str">
        <f>IFERROR(__xludf.DUMMYFUNCTION("""COMPUTED_VALUE"""),"2015-06-17-J03-PI-5")</f>
        <v>2015-06-17-J03-PI-5</v>
      </c>
    </row>
    <row r="4608">
      <c r="A4608" t="str">
        <f>IFERROR(__xludf.DUMMYFUNCTION("""COMPUTED_VALUE"""),"2015-06-17-J03-PI-6")</f>
        <v>2015-06-17-J03-PI-6</v>
      </c>
    </row>
    <row r="4609">
      <c r="A4609" t="str">
        <f>IFERROR(__xludf.DUMMYFUNCTION("""COMPUTED_VALUE"""),"2015-06-17-J03-PI-7")</f>
        <v>2015-06-17-J03-PI-7</v>
      </c>
    </row>
    <row r="4610">
      <c r="A4610" t="str">
        <f>IFERROR(__xludf.DUMMYFUNCTION("""COMPUTED_VALUE"""),"2015-06-17-J03-PI-8")</f>
        <v>2015-06-17-J03-PI-8</v>
      </c>
    </row>
    <row r="4611">
      <c r="A4611" t="str">
        <f>IFERROR(__xludf.DUMMYFUNCTION("""COMPUTED_VALUE"""),"2015-06-17-J03-PI-9")</f>
        <v>2015-06-17-J03-PI-9</v>
      </c>
    </row>
    <row r="4612">
      <c r="A4612" t="str">
        <f>IFERROR(__xludf.DUMMYFUNCTION("""COMPUTED_VALUE"""),"2015-06-17-J03-PI-10")</f>
        <v>2015-06-17-J03-PI-10</v>
      </c>
    </row>
    <row r="4613">
      <c r="A4613" t="str">
        <f>IFERROR(__xludf.DUMMYFUNCTION("""COMPUTED_VALUE"""),"2015-06-17-D08-CU-1")</f>
        <v>2015-06-17-D08-CU-1</v>
      </c>
    </row>
    <row r="4614">
      <c r="A4614" t="str">
        <f>IFERROR(__xludf.DUMMYFUNCTION("""COMPUTED_VALUE"""),"2015-06-17-D08-CU-2")</f>
        <v>2015-06-17-D08-CU-2</v>
      </c>
    </row>
    <row r="4615">
      <c r="A4615" t="str">
        <f>IFERROR(__xludf.DUMMYFUNCTION("""COMPUTED_VALUE"""),"2015-06-17-D08-CU-3")</f>
        <v>2015-06-17-D08-CU-3</v>
      </c>
    </row>
    <row r="4616">
      <c r="A4616" t="str">
        <f>IFERROR(__xludf.DUMMYFUNCTION("""COMPUTED_VALUE"""),"2015-06-17-D08-CU-4")</f>
        <v>2015-06-17-D08-CU-4</v>
      </c>
    </row>
    <row r="4617">
      <c r="A4617" t="str">
        <f>IFERROR(__xludf.DUMMYFUNCTION("""COMPUTED_VALUE"""),"2015-06-17-D08-CU-5")</f>
        <v>2015-06-17-D08-CU-5</v>
      </c>
    </row>
    <row r="4618">
      <c r="A4618" t="str">
        <f>IFERROR(__xludf.DUMMYFUNCTION("""COMPUTED_VALUE"""),"2015-06-17-D08-CU-6")</f>
        <v>2015-06-17-D08-CU-6</v>
      </c>
    </row>
    <row r="4619">
      <c r="A4619" t="str">
        <f>IFERROR(__xludf.DUMMYFUNCTION("""COMPUTED_VALUE"""),"2015-06-17-D08-CU-7")</f>
        <v>2015-06-17-D08-CU-7</v>
      </c>
    </row>
    <row r="4620">
      <c r="A4620" t="str">
        <f>IFERROR(__xludf.DUMMYFUNCTION("""COMPUTED_VALUE"""),"2015-06-17-D08-CU-8")</f>
        <v>2015-06-17-D08-CU-8</v>
      </c>
    </row>
    <row r="4621">
      <c r="A4621" t="str">
        <f>IFERROR(__xludf.DUMMYFUNCTION("""COMPUTED_VALUE"""),"2015-06-17-D08-CU-9")</f>
        <v>2015-06-17-D08-CU-9</v>
      </c>
    </row>
    <row r="4622">
      <c r="A4622" t="str">
        <f>IFERROR(__xludf.DUMMYFUNCTION("""COMPUTED_VALUE"""),"2015-06-17-D08-CU-10")</f>
        <v>2015-06-17-D08-CU-10</v>
      </c>
    </row>
    <row r="4623">
      <c r="A4623" t="str">
        <f>IFERROR(__xludf.DUMMYFUNCTION("""COMPUTED_VALUE"""),"2015-06-17-J04-CU-1")</f>
        <v>2015-06-17-J04-CU-1</v>
      </c>
    </row>
    <row r="4624">
      <c r="A4624" t="str">
        <f>IFERROR(__xludf.DUMMYFUNCTION("""COMPUTED_VALUE"""),"2015-06-17-J04-CU-2")</f>
        <v>2015-06-17-J04-CU-2</v>
      </c>
    </row>
    <row r="4625">
      <c r="A4625" t="str">
        <f>IFERROR(__xludf.DUMMYFUNCTION("""COMPUTED_VALUE"""),"2015-06-17-J04-CU-3")</f>
        <v>2015-06-17-J04-CU-3</v>
      </c>
    </row>
    <row r="4626">
      <c r="A4626" t="str">
        <f>IFERROR(__xludf.DUMMYFUNCTION("""COMPUTED_VALUE"""),"2015-06-17-J04-CU-4")</f>
        <v>2015-06-17-J04-CU-4</v>
      </c>
    </row>
    <row r="4627">
      <c r="A4627" t="str">
        <f>IFERROR(__xludf.DUMMYFUNCTION("""COMPUTED_VALUE"""),"2015-06-17-J04-CU-5")</f>
        <v>2015-06-17-J04-CU-5</v>
      </c>
    </row>
    <row r="4628">
      <c r="A4628" t="str">
        <f>IFERROR(__xludf.DUMMYFUNCTION("""COMPUTED_VALUE"""),"2015-06-17-J04-CU-6")</f>
        <v>2015-06-17-J04-CU-6</v>
      </c>
    </row>
    <row r="4629">
      <c r="A4629" t="str">
        <f>IFERROR(__xludf.DUMMYFUNCTION("""COMPUTED_VALUE"""),"2015-06-17-J04-CU-7")</f>
        <v>2015-06-17-J04-CU-7</v>
      </c>
    </row>
    <row r="4630">
      <c r="A4630" t="str">
        <f>IFERROR(__xludf.DUMMYFUNCTION("""COMPUTED_VALUE"""),"2015-06-17-J04-CU-8")</f>
        <v>2015-06-17-J04-CU-8</v>
      </c>
    </row>
    <row r="4631">
      <c r="A4631" t="str">
        <f>IFERROR(__xludf.DUMMYFUNCTION("""COMPUTED_VALUE"""),"2015-06-17-J04-CU-9")</f>
        <v>2015-06-17-J04-CU-9</v>
      </c>
    </row>
    <row r="4632">
      <c r="A4632" t="str">
        <f>IFERROR(__xludf.DUMMYFUNCTION("""COMPUTED_VALUE"""),"2015-06-17-J04-CU-10")</f>
        <v>2015-06-17-J04-CU-10</v>
      </c>
    </row>
    <row r="4633">
      <c r="A4633" t="str">
        <f>IFERROR(__xludf.DUMMYFUNCTION("""COMPUTED_VALUE"""),"2015-06-17-J08-CU-1")</f>
        <v>2015-06-17-J08-CU-1</v>
      </c>
    </row>
    <row r="4634">
      <c r="A4634" t="str">
        <f>IFERROR(__xludf.DUMMYFUNCTION("""COMPUTED_VALUE"""),"2015-06-17-J08-CU-2")</f>
        <v>2015-06-17-J08-CU-2</v>
      </c>
    </row>
    <row r="4635">
      <c r="A4635" t="str">
        <f>IFERROR(__xludf.DUMMYFUNCTION("""COMPUTED_VALUE"""),"2015-06-17-J08-CU-3")</f>
        <v>2015-06-17-J08-CU-3</v>
      </c>
    </row>
    <row r="4636">
      <c r="A4636" t="str">
        <f>IFERROR(__xludf.DUMMYFUNCTION("""COMPUTED_VALUE"""),"2015-06-17-J08-CU-4")</f>
        <v>2015-06-17-J08-CU-4</v>
      </c>
    </row>
    <row r="4637">
      <c r="A4637" t="str">
        <f>IFERROR(__xludf.DUMMYFUNCTION("""COMPUTED_VALUE"""),"2015-06-17-J08-CU-5")</f>
        <v>2015-06-17-J08-CU-5</v>
      </c>
    </row>
    <row r="4638">
      <c r="A4638" t="str">
        <f>IFERROR(__xludf.DUMMYFUNCTION("""COMPUTED_VALUE"""),"2015-06-17-J08-CU-6")</f>
        <v>2015-06-17-J08-CU-6</v>
      </c>
    </row>
    <row r="4639">
      <c r="A4639" t="str">
        <f>IFERROR(__xludf.DUMMYFUNCTION("""COMPUTED_VALUE"""),"2015-06-17-J08-CU-7")</f>
        <v>2015-06-17-J08-CU-7</v>
      </c>
    </row>
    <row r="4640">
      <c r="A4640" t="str">
        <f>IFERROR(__xludf.DUMMYFUNCTION("""COMPUTED_VALUE"""),"2015-06-17-J08-CU-8")</f>
        <v>2015-06-17-J08-CU-8</v>
      </c>
    </row>
    <row r="4641">
      <c r="A4641" t="str">
        <f>IFERROR(__xludf.DUMMYFUNCTION("""COMPUTED_VALUE"""),"2015-06-17-J08-CU-9")</f>
        <v>2015-06-17-J08-CU-9</v>
      </c>
    </row>
    <row r="4642">
      <c r="A4642" t="str">
        <f>IFERROR(__xludf.DUMMYFUNCTION("""COMPUTED_VALUE"""),"2015-06-17-J08-CU-10")</f>
        <v>2015-06-17-J08-CU-10</v>
      </c>
    </row>
    <row r="4643">
      <c r="A4643" t="str">
        <f>IFERROR(__xludf.DUMMYFUNCTION("""COMPUTED_VALUE"""),"2015-06-17-J03-CU-1")</f>
        <v>2015-06-17-J03-CU-1</v>
      </c>
    </row>
    <row r="4644">
      <c r="A4644" t="str">
        <f>IFERROR(__xludf.DUMMYFUNCTION("""COMPUTED_VALUE"""),"2015-06-17-J03-CU-2")</f>
        <v>2015-06-17-J03-CU-2</v>
      </c>
    </row>
    <row r="4645">
      <c r="A4645" t="str">
        <f>IFERROR(__xludf.DUMMYFUNCTION("""COMPUTED_VALUE"""),"2015-06-17-J03-CU-3")</f>
        <v>2015-06-17-J03-CU-3</v>
      </c>
    </row>
    <row r="4646">
      <c r="A4646" t="str">
        <f>IFERROR(__xludf.DUMMYFUNCTION("""COMPUTED_VALUE"""),"2015-06-17-J03-CU-4")</f>
        <v>2015-06-17-J03-CU-4</v>
      </c>
    </row>
    <row r="4647">
      <c r="A4647" t="str">
        <f>IFERROR(__xludf.DUMMYFUNCTION("""COMPUTED_VALUE"""),"2015-06-17-J03-CU-5")</f>
        <v>2015-06-17-J03-CU-5</v>
      </c>
    </row>
    <row r="4648">
      <c r="A4648" t="str">
        <f>IFERROR(__xludf.DUMMYFUNCTION("""COMPUTED_VALUE"""),"2015-06-17-J03-CU-6")</f>
        <v>2015-06-17-J03-CU-6</v>
      </c>
    </row>
    <row r="4649">
      <c r="A4649" t="str">
        <f>IFERROR(__xludf.DUMMYFUNCTION("""COMPUTED_VALUE"""),"2015-06-17-J03-CU-7")</f>
        <v>2015-06-17-J03-CU-7</v>
      </c>
    </row>
    <row r="4650">
      <c r="A4650" t="str">
        <f>IFERROR(__xludf.DUMMYFUNCTION("""COMPUTED_VALUE"""),"2015-06-17-J03-CU-8")</f>
        <v>2015-06-17-J03-CU-8</v>
      </c>
    </row>
    <row r="4651">
      <c r="A4651" t="str">
        <f>IFERROR(__xludf.DUMMYFUNCTION("""COMPUTED_VALUE"""),"2015-06-17-J03-CU-9")</f>
        <v>2015-06-17-J03-CU-9</v>
      </c>
    </row>
    <row r="4652">
      <c r="A4652" t="str">
        <f>IFERROR(__xludf.DUMMYFUNCTION("""COMPUTED_VALUE"""),"2015-06-17-J03-CU-10")</f>
        <v>2015-06-17-J03-CU-10</v>
      </c>
    </row>
    <row r="4653">
      <c r="A4653" t="str">
        <f>IFERROR(__xludf.DUMMYFUNCTION("""COMPUTED_VALUE"""),"2015-06-17-D08-CO-1")</f>
        <v>2015-06-17-D08-CO-1</v>
      </c>
    </row>
    <row r="4654">
      <c r="A4654" t="str">
        <f>IFERROR(__xludf.DUMMYFUNCTION("""COMPUTED_VALUE"""),"2015-06-17-D08-CO-2")</f>
        <v>2015-06-17-D08-CO-2</v>
      </c>
    </row>
    <row r="4655">
      <c r="A4655" t="str">
        <f>IFERROR(__xludf.DUMMYFUNCTION("""COMPUTED_VALUE"""),"2015-06-17-D08-HE-1")</f>
        <v>2015-06-17-D08-HE-1</v>
      </c>
    </row>
    <row r="4656">
      <c r="A4656" t="str">
        <f>IFERROR(__xludf.DUMMYFUNCTION("""COMPUTED_VALUE"""),"2015-06-17-J08-HE-1")</f>
        <v>2015-06-17-J08-HE-1</v>
      </c>
    </row>
    <row r="4657">
      <c r="A4657" t="str">
        <f>IFERROR(__xludf.DUMMYFUNCTION("""COMPUTED_VALUE"""),"2015-06-17-J08-HE-2")</f>
        <v>2015-06-17-J08-HE-2</v>
      </c>
    </row>
    <row r="4658">
      <c r="A4658" t="str">
        <f>IFERROR(__xludf.DUMMYFUNCTION("""COMPUTED_VALUE"""),"2015-06-17-J03-HE-1")</f>
        <v>2015-06-17-J03-HE-1</v>
      </c>
    </row>
    <row r="4659">
      <c r="A4659" t="str">
        <f>IFERROR(__xludf.DUMMYFUNCTION("""COMPUTED_VALUE"""),"2015-06-17-J03-HE-2")</f>
        <v>2015-06-17-J03-HE-2</v>
      </c>
    </row>
    <row r="4660">
      <c r="A4660" t="str">
        <f>IFERROR(__xludf.DUMMYFUNCTION("""COMPUTED_VALUE"""),"2015-06-17-J03-HE-3")</f>
        <v>2015-06-17-J03-HE-3</v>
      </c>
    </row>
    <row r="4661">
      <c r="A4661" t="str">
        <f>IFERROR(__xludf.DUMMYFUNCTION("""COMPUTED_VALUE"""),"2015-06-17-J03-HE-4")</f>
        <v>2015-06-17-J03-HE-4</v>
      </c>
    </row>
    <row r="4662">
      <c r="A4662" t="str">
        <f>IFERROR(__xludf.DUMMYFUNCTION("""COMPUTED_VALUE"""),"2015-06-17-J03-HE-5")</f>
        <v>2015-06-17-J03-HE-5</v>
      </c>
    </row>
    <row r="4663">
      <c r="A4663" t="str">
        <f>IFERROR(__xludf.DUMMYFUNCTION("""COMPUTED_VALUE"""),"2015-06-17-J03-HE-6")</f>
        <v>2015-06-17-J03-HE-6</v>
      </c>
    </row>
    <row r="4664">
      <c r="A4664" t="str">
        <f>IFERROR(__xludf.DUMMYFUNCTION("""COMPUTED_VALUE"""),"2015-06-17-J03-HE-7")</f>
        <v>2015-06-17-J03-HE-7</v>
      </c>
    </row>
    <row r="4665">
      <c r="A4665" t="str">
        <f>IFERROR(__xludf.DUMMYFUNCTION("""COMPUTED_VALUE"""),"2015-06-17-J03-HE-8")</f>
        <v>2015-06-17-J03-HE-8</v>
      </c>
    </row>
    <row r="4666">
      <c r="A4666" t="str">
        <f>IFERROR(__xludf.DUMMYFUNCTION("""COMPUTED_VALUE"""),"2015-06-17-J03-HE-9")</f>
        <v>2015-06-17-J03-HE-9</v>
      </c>
    </row>
    <row r="4667">
      <c r="A4667" t="str">
        <f>IFERROR(__xludf.DUMMYFUNCTION("""COMPUTED_VALUE"""),"2015-06-17-J03-HE-10")</f>
        <v>2015-06-17-J03-HE-10</v>
      </c>
    </row>
    <row r="4668">
      <c r="A4668" t="str">
        <f>IFERROR(__xludf.DUMMYFUNCTION("""COMPUTED_VALUE"""),"2015-06-18-D11-SO-1")</f>
        <v>2015-06-18-D11-SO-1</v>
      </c>
    </row>
    <row r="4669">
      <c r="A4669" t="str">
        <f>IFERROR(__xludf.DUMMYFUNCTION("""COMPUTED_VALUE"""),"2015-06-18-D11-SO-2")</f>
        <v>2015-06-18-D11-SO-2</v>
      </c>
    </row>
    <row r="4670">
      <c r="A4670" t="str">
        <f>IFERROR(__xludf.DUMMYFUNCTION("""COMPUTED_VALUE"""),"2015-06-18-D11-SO-3")</f>
        <v>2015-06-18-D11-SO-3</v>
      </c>
    </row>
    <row r="4671">
      <c r="A4671" t="str">
        <f>IFERROR(__xludf.DUMMYFUNCTION("""COMPUTED_VALUE"""),"2015-06-18-D11-SO-4")</f>
        <v>2015-06-18-D11-SO-4</v>
      </c>
    </row>
    <row r="4672">
      <c r="A4672" t="str">
        <f>IFERROR(__xludf.DUMMYFUNCTION("""COMPUTED_VALUE"""),"2015-06-18-D11-SO-5")</f>
        <v>2015-06-18-D11-SO-5</v>
      </c>
    </row>
    <row r="4673">
      <c r="A4673" t="str">
        <f>IFERROR(__xludf.DUMMYFUNCTION("""COMPUTED_VALUE"""),"2015-06-18-D11-SO-6")</f>
        <v>2015-06-18-D11-SO-6</v>
      </c>
    </row>
    <row r="4674">
      <c r="A4674" t="str">
        <f>IFERROR(__xludf.DUMMYFUNCTION("""COMPUTED_VALUE"""),"2015-06-18-D11-SO-7")</f>
        <v>2015-06-18-D11-SO-7</v>
      </c>
    </row>
    <row r="4675">
      <c r="A4675" t="str">
        <f>IFERROR(__xludf.DUMMYFUNCTION("""COMPUTED_VALUE"""),"2015-06-18-D11-SO-8")</f>
        <v>2015-06-18-D11-SO-8</v>
      </c>
    </row>
    <row r="4676">
      <c r="A4676" t="str">
        <f>IFERROR(__xludf.DUMMYFUNCTION("""COMPUTED_VALUE"""),"2015-06-18-D11-SO-9")</f>
        <v>2015-06-18-D11-SO-9</v>
      </c>
    </row>
    <row r="4677">
      <c r="A4677" t="str">
        <f>IFERROR(__xludf.DUMMYFUNCTION("""COMPUTED_VALUE"""),"2015-06-18-D11-SO-10")</f>
        <v>2015-06-18-D11-SO-10</v>
      </c>
    </row>
    <row r="4678">
      <c r="A4678" t="str">
        <f>IFERROR(__xludf.DUMMYFUNCTION("""COMPUTED_VALUE"""),"2015-06-18-D11-SO-11")</f>
        <v>2015-06-18-D11-SO-11</v>
      </c>
    </row>
    <row r="4679">
      <c r="A4679" t="str">
        <f>IFERROR(__xludf.DUMMYFUNCTION("""COMPUTED_VALUE"""),"2015-06-18-D11-SO-12")</f>
        <v>2015-06-18-D11-SO-12</v>
      </c>
    </row>
    <row r="4680">
      <c r="A4680" t="str">
        <f>IFERROR(__xludf.DUMMYFUNCTION("""COMPUTED_VALUE"""),"2015-06-18-D11-SO-13")</f>
        <v>2015-06-18-D11-SO-13</v>
      </c>
    </row>
    <row r="4681">
      <c r="A4681" t="str">
        <f>IFERROR(__xludf.DUMMYFUNCTION("""COMPUTED_VALUE"""),"2015-06-18-D11-SO-14")</f>
        <v>2015-06-18-D11-SO-14</v>
      </c>
    </row>
    <row r="4682">
      <c r="A4682" t="str">
        <f>IFERROR(__xludf.DUMMYFUNCTION("""COMPUTED_VALUE"""),"2015-06-18-D11-SO-15")</f>
        <v>2015-06-18-D11-SO-15</v>
      </c>
    </row>
    <row r="4683">
      <c r="A4683" t="str">
        <f>IFERROR(__xludf.DUMMYFUNCTION("""COMPUTED_VALUE"""),"2015-06-18-D11-SO-16")</f>
        <v>2015-06-18-D11-SO-16</v>
      </c>
    </row>
    <row r="4684">
      <c r="A4684" t="str">
        <f>IFERROR(__xludf.DUMMYFUNCTION("""COMPUTED_VALUE"""),"2015-06-18-D11-SO-17")</f>
        <v>2015-06-18-D11-SO-17</v>
      </c>
    </row>
    <row r="4685">
      <c r="A4685" t="str">
        <f>IFERROR(__xludf.DUMMYFUNCTION("""COMPUTED_VALUE"""),"2015-06-18-D11-SO-18")</f>
        <v>2015-06-18-D11-SO-18</v>
      </c>
    </row>
    <row r="4686">
      <c r="A4686" t="str">
        <f>IFERROR(__xludf.DUMMYFUNCTION("""COMPUTED_VALUE"""),"2015-06-18-D11-SO-19")</f>
        <v>2015-06-18-D11-SO-19</v>
      </c>
    </row>
    <row r="4687">
      <c r="A4687" t="str">
        <f>IFERROR(__xludf.DUMMYFUNCTION("""COMPUTED_VALUE"""),"2015-06-18-D11-SO-20")</f>
        <v>2015-06-18-D11-SO-20</v>
      </c>
    </row>
    <row r="4688">
      <c r="A4688" t="str">
        <f>IFERROR(__xludf.DUMMYFUNCTION("""COMPUTED_VALUE"""),"2015-06-18-D11-SO-21")</f>
        <v>2015-06-18-D11-SO-21</v>
      </c>
    </row>
    <row r="4689">
      <c r="A4689" t="str">
        <f>IFERROR(__xludf.DUMMYFUNCTION("""COMPUTED_VALUE"""),"2015-06-18-D11-SO-22")</f>
        <v>2015-06-18-D11-SO-22</v>
      </c>
    </row>
    <row r="4690">
      <c r="A4690" t="str">
        <f>IFERROR(__xludf.DUMMYFUNCTION("""COMPUTED_VALUE"""),"2015-06-18-D11-SO-23")</f>
        <v>2015-06-18-D11-SO-23</v>
      </c>
    </row>
    <row r="4691">
      <c r="A4691" t="str">
        <f>IFERROR(__xludf.DUMMYFUNCTION("""COMPUTED_VALUE"""),"2015-06-18-D11-SO-24")</f>
        <v>2015-06-18-D11-SO-24</v>
      </c>
    </row>
    <row r="4692">
      <c r="A4692" t="str">
        <f>IFERROR(__xludf.DUMMYFUNCTION("""COMPUTED_VALUE"""),"2015-06-18-D11-SO-25")</f>
        <v>2015-06-18-D11-SO-25</v>
      </c>
    </row>
    <row r="4693">
      <c r="A4693" t="str">
        <f>IFERROR(__xludf.DUMMYFUNCTION("""COMPUTED_VALUE"""),"2015-06-18-D11-SO-26")</f>
        <v>2015-06-18-D11-SO-26</v>
      </c>
    </row>
    <row r="4694">
      <c r="A4694" t="str">
        <f>IFERROR(__xludf.DUMMYFUNCTION("""COMPUTED_VALUE"""),"2015-06-18-D11-SO-27")</f>
        <v>2015-06-18-D11-SO-27</v>
      </c>
    </row>
    <row r="4695">
      <c r="A4695" t="str">
        <f>IFERROR(__xludf.DUMMYFUNCTION("""COMPUTED_VALUE"""),"2015-06-18-D11-SO-28")</f>
        <v>2015-06-18-D11-SO-28</v>
      </c>
    </row>
    <row r="4696">
      <c r="A4696" t="str">
        <f>IFERROR(__xludf.DUMMYFUNCTION("""COMPUTED_VALUE"""),"2015-06-18-D11-SO-29")</f>
        <v>2015-06-18-D11-SO-29</v>
      </c>
    </row>
    <row r="4697">
      <c r="A4697" t="str">
        <f>IFERROR(__xludf.DUMMYFUNCTION("""COMPUTED_VALUE"""),"2015-06-18-D11-SO-30")</f>
        <v>2015-06-18-D11-SO-30</v>
      </c>
    </row>
    <row r="4698">
      <c r="A4698" t="str">
        <f>IFERROR(__xludf.DUMMYFUNCTION("""COMPUTED_VALUE"""),"2015-06-18-D09-SO-1")</f>
        <v>2015-06-18-D09-SO-1</v>
      </c>
    </row>
    <row r="4699">
      <c r="A4699" t="str">
        <f>IFERROR(__xludf.DUMMYFUNCTION("""COMPUTED_VALUE"""),"2015-06-18-D09-SO-2")</f>
        <v>2015-06-18-D09-SO-2</v>
      </c>
    </row>
    <row r="4700">
      <c r="A4700" t="str">
        <f>IFERROR(__xludf.DUMMYFUNCTION("""COMPUTED_VALUE"""),"2015-06-18-D09-SO-3")</f>
        <v>2015-06-18-D09-SO-3</v>
      </c>
    </row>
    <row r="4701">
      <c r="A4701" t="str">
        <f>IFERROR(__xludf.DUMMYFUNCTION("""COMPUTED_VALUE"""),"2015-06-18-D09-SO-4")</f>
        <v>2015-06-18-D09-SO-4</v>
      </c>
    </row>
    <row r="4702">
      <c r="A4702" t="str">
        <f>IFERROR(__xludf.DUMMYFUNCTION("""COMPUTED_VALUE"""),"2015-06-18-D09-SO-5")</f>
        <v>2015-06-18-D09-SO-5</v>
      </c>
    </row>
    <row r="4703">
      <c r="A4703" t="str">
        <f>IFERROR(__xludf.DUMMYFUNCTION("""COMPUTED_VALUE"""),"2015-06-18-D09-SO-6")</f>
        <v>2015-06-18-D09-SO-6</v>
      </c>
    </row>
    <row r="4704">
      <c r="A4704" t="str">
        <f>IFERROR(__xludf.DUMMYFUNCTION("""COMPUTED_VALUE"""),"2015-06-18-D09-SO-7")</f>
        <v>2015-06-18-D09-SO-7</v>
      </c>
    </row>
    <row r="4705">
      <c r="A4705" t="str">
        <f>IFERROR(__xludf.DUMMYFUNCTION("""COMPUTED_VALUE"""),"2015-06-18-D09-SO-8")</f>
        <v>2015-06-18-D09-SO-8</v>
      </c>
    </row>
    <row r="4706">
      <c r="A4706" t="str">
        <f>IFERROR(__xludf.DUMMYFUNCTION("""COMPUTED_VALUE"""),"2015-06-18-D09-SO-9")</f>
        <v>2015-06-18-D09-SO-9</v>
      </c>
    </row>
    <row r="4707">
      <c r="A4707" t="str">
        <f>IFERROR(__xludf.DUMMYFUNCTION("""COMPUTED_VALUE"""),"2015-06-18-D09-SO-10")</f>
        <v>2015-06-18-D09-SO-10</v>
      </c>
    </row>
    <row r="4708">
      <c r="A4708" t="str">
        <f>IFERROR(__xludf.DUMMYFUNCTION("""COMPUTED_VALUE"""),"2015-06-18-D09-SO-11")</f>
        <v>2015-06-18-D09-SO-11</v>
      </c>
    </row>
    <row r="4709">
      <c r="A4709" t="str">
        <f>IFERROR(__xludf.DUMMYFUNCTION("""COMPUTED_VALUE"""),"2015-06-18-D09-SO-12")</f>
        <v>2015-06-18-D09-SO-12</v>
      </c>
    </row>
    <row r="4710">
      <c r="A4710" t="str">
        <f>IFERROR(__xludf.DUMMYFUNCTION("""COMPUTED_VALUE"""),"2015-06-18-D09-SO-13")</f>
        <v>2015-06-18-D09-SO-13</v>
      </c>
    </row>
    <row r="4711">
      <c r="A4711" t="str">
        <f>IFERROR(__xludf.DUMMYFUNCTION("""COMPUTED_VALUE"""),"2015-06-18-D09-SO-14")</f>
        <v>2015-06-18-D09-SO-14</v>
      </c>
    </row>
    <row r="4712">
      <c r="A4712" t="str">
        <f>IFERROR(__xludf.DUMMYFUNCTION("""COMPUTED_VALUE"""),"2015-06-18-D09-SO-15")</f>
        <v>2015-06-18-D09-SO-15</v>
      </c>
    </row>
    <row r="4713">
      <c r="A4713" t="str">
        <f>IFERROR(__xludf.DUMMYFUNCTION("""COMPUTED_VALUE"""),"2015-06-18-D09-SO-16")</f>
        <v>2015-06-18-D09-SO-16</v>
      </c>
    </row>
    <row r="4714">
      <c r="A4714" t="str">
        <f>IFERROR(__xludf.DUMMYFUNCTION("""COMPUTED_VALUE"""),"2015-06-18-D09-SO-17")</f>
        <v>2015-06-18-D09-SO-17</v>
      </c>
    </row>
    <row r="4715">
      <c r="A4715" t="str">
        <f>IFERROR(__xludf.DUMMYFUNCTION("""COMPUTED_VALUE"""),"2015-06-18-D09-SO-18")</f>
        <v>2015-06-18-D09-SO-18</v>
      </c>
    </row>
    <row r="4716">
      <c r="A4716" t="str">
        <f>IFERROR(__xludf.DUMMYFUNCTION("""COMPUTED_VALUE"""),"2015-06-18-D09-SO-19")</f>
        <v>2015-06-18-D09-SO-19</v>
      </c>
    </row>
    <row r="4717">
      <c r="A4717" t="str">
        <f>IFERROR(__xludf.DUMMYFUNCTION("""COMPUTED_VALUE"""),"2015-06-18-D09-SO-20")</f>
        <v>2015-06-18-D09-SO-20</v>
      </c>
    </row>
    <row r="4718">
      <c r="A4718" t="str">
        <f>IFERROR(__xludf.DUMMYFUNCTION("""COMPUTED_VALUE"""),"2015-06-18-D09-SO-21")</f>
        <v>2015-06-18-D09-SO-21</v>
      </c>
    </row>
    <row r="4719">
      <c r="A4719" t="str">
        <f>IFERROR(__xludf.DUMMYFUNCTION("""COMPUTED_VALUE"""),"2015-06-18-D09-SO-22")</f>
        <v>2015-06-18-D09-SO-22</v>
      </c>
    </row>
    <row r="4720">
      <c r="A4720" t="str">
        <f>IFERROR(__xludf.DUMMYFUNCTION("""COMPUTED_VALUE"""),"2015-06-18-D09-SO-23")</f>
        <v>2015-06-18-D09-SO-23</v>
      </c>
    </row>
    <row r="4721">
      <c r="A4721" t="str">
        <f>IFERROR(__xludf.DUMMYFUNCTION("""COMPUTED_VALUE"""),"2015-06-18-D09-SO-24")</f>
        <v>2015-06-18-D09-SO-24</v>
      </c>
    </row>
    <row r="4722">
      <c r="A4722" t="str">
        <f>IFERROR(__xludf.DUMMYFUNCTION("""COMPUTED_VALUE"""),"2015-06-18-D09-SO-25")</f>
        <v>2015-06-18-D09-SO-25</v>
      </c>
    </row>
    <row r="4723">
      <c r="A4723" t="str">
        <f>IFERROR(__xludf.DUMMYFUNCTION("""COMPUTED_VALUE"""),"2015-06-18-D09-SO-26")</f>
        <v>2015-06-18-D09-SO-26</v>
      </c>
    </row>
    <row r="4724">
      <c r="A4724" t="str">
        <f>IFERROR(__xludf.DUMMYFUNCTION("""COMPUTED_VALUE"""),"2015-06-18-D09-SO-27")</f>
        <v>2015-06-18-D09-SO-27</v>
      </c>
    </row>
    <row r="4725">
      <c r="A4725" t="str">
        <f>IFERROR(__xludf.DUMMYFUNCTION("""COMPUTED_VALUE"""),"2015-06-18-D09-SO-28")</f>
        <v>2015-06-18-D09-SO-28</v>
      </c>
    </row>
    <row r="4726">
      <c r="A4726" t="str">
        <f>IFERROR(__xludf.DUMMYFUNCTION("""COMPUTED_VALUE"""),"2015-06-18-D09-SO-29")</f>
        <v>2015-06-18-D09-SO-29</v>
      </c>
    </row>
    <row r="4727">
      <c r="A4727" t="str">
        <f>IFERROR(__xludf.DUMMYFUNCTION("""COMPUTED_VALUE"""),"2015-06-18-D09-SO-30")</f>
        <v>2015-06-18-D09-SO-30</v>
      </c>
    </row>
    <row r="4728">
      <c r="A4728" t="str">
        <f>IFERROR(__xludf.DUMMYFUNCTION("""COMPUTED_VALUE"""),"2015-06-18-J06-SO-1")</f>
        <v>2015-06-18-J06-SO-1</v>
      </c>
    </row>
    <row r="4729">
      <c r="A4729" t="str">
        <f>IFERROR(__xludf.DUMMYFUNCTION("""COMPUTED_VALUE"""),"2015-06-18-J06-SO-2")</f>
        <v>2015-06-18-J06-SO-2</v>
      </c>
    </row>
    <row r="4730">
      <c r="A4730" t="str">
        <f>IFERROR(__xludf.DUMMYFUNCTION("""COMPUTED_VALUE"""),"2015-06-18-J06-SO-3")</f>
        <v>2015-06-18-J06-SO-3</v>
      </c>
    </row>
    <row r="4731">
      <c r="A4731" t="str">
        <f>IFERROR(__xludf.DUMMYFUNCTION("""COMPUTED_VALUE"""),"2015-06-18-J06-SO-4")</f>
        <v>2015-06-18-J06-SO-4</v>
      </c>
    </row>
    <row r="4732">
      <c r="A4732" t="str">
        <f>IFERROR(__xludf.DUMMYFUNCTION("""COMPUTED_VALUE"""),"2015-06-18-J06-SO-5")</f>
        <v>2015-06-18-J06-SO-5</v>
      </c>
    </row>
    <row r="4733">
      <c r="A4733" t="str">
        <f>IFERROR(__xludf.DUMMYFUNCTION("""COMPUTED_VALUE"""),"2015-06-18-J06-SO-6")</f>
        <v>2015-06-18-J06-SO-6</v>
      </c>
    </row>
    <row r="4734">
      <c r="A4734" t="str">
        <f>IFERROR(__xludf.DUMMYFUNCTION("""COMPUTED_VALUE"""),"2015-06-18-J06-SO-7")</f>
        <v>2015-06-18-J06-SO-7</v>
      </c>
    </row>
    <row r="4735">
      <c r="A4735" t="str">
        <f>IFERROR(__xludf.DUMMYFUNCTION("""COMPUTED_VALUE"""),"2015-06-18-J06-SO-8")</f>
        <v>2015-06-18-J06-SO-8</v>
      </c>
    </row>
    <row r="4736">
      <c r="A4736" t="str">
        <f>IFERROR(__xludf.DUMMYFUNCTION("""COMPUTED_VALUE"""),"2015-06-18-J06-SO-9")</f>
        <v>2015-06-18-J06-SO-9</v>
      </c>
    </row>
    <row r="4737">
      <c r="A4737" t="str">
        <f>IFERROR(__xludf.DUMMYFUNCTION("""COMPUTED_VALUE"""),"2015-06-18-J06-SO-10")</f>
        <v>2015-06-18-J06-SO-10</v>
      </c>
    </row>
    <row r="4738">
      <c r="A4738" t="str">
        <f>IFERROR(__xludf.DUMMYFUNCTION("""COMPUTED_VALUE"""),"2015-06-18-J06-SO-11")</f>
        <v>2015-06-18-J06-SO-11</v>
      </c>
    </row>
    <row r="4739">
      <c r="A4739" t="str">
        <f>IFERROR(__xludf.DUMMYFUNCTION("""COMPUTED_VALUE"""),"2015-06-18-J06-SO-12")</f>
        <v>2015-06-18-J06-SO-12</v>
      </c>
    </row>
    <row r="4740">
      <c r="A4740" t="str">
        <f>IFERROR(__xludf.DUMMYFUNCTION("""COMPUTED_VALUE"""),"2015-06-18-J06-SO-13")</f>
        <v>2015-06-18-J06-SO-13</v>
      </c>
    </row>
    <row r="4741">
      <c r="A4741" t="str">
        <f>IFERROR(__xludf.DUMMYFUNCTION("""COMPUTED_VALUE"""),"2015-06-18-J06-SO-14")</f>
        <v>2015-06-18-J06-SO-14</v>
      </c>
    </row>
    <row r="4742">
      <c r="A4742" t="str">
        <f>IFERROR(__xludf.DUMMYFUNCTION("""COMPUTED_VALUE"""),"2015-06-18-J06-SO-15")</f>
        <v>2015-06-18-J06-SO-15</v>
      </c>
    </row>
    <row r="4743">
      <c r="A4743" t="str">
        <f>IFERROR(__xludf.DUMMYFUNCTION("""COMPUTED_VALUE"""),"2015-06-18-J06-SO-16")</f>
        <v>2015-06-18-J06-SO-16</v>
      </c>
    </row>
    <row r="4744">
      <c r="A4744" t="str">
        <f>IFERROR(__xludf.DUMMYFUNCTION("""COMPUTED_VALUE"""),"2015-06-18-J06-SO-17")</f>
        <v>2015-06-18-J06-SO-17</v>
      </c>
    </row>
    <row r="4745">
      <c r="A4745" t="str">
        <f>IFERROR(__xludf.DUMMYFUNCTION("""COMPUTED_VALUE"""),"2015-06-18-J06-SO-18")</f>
        <v>2015-06-18-J06-SO-18</v>
      </c>
    </row>
    <row r="4746">
      <c r="A4746" t="str">
        <f>IFERROR(__xludf.DUMMYFUNCTION("""COMPUTED_VALUE"""),"2015-06-18-J06-SO-19")</f>
        <v>2015-06-18-J06-SO-19</v>
      </c>
    </row>
    <row r="4747">
      <c r="A4747" t="str">
        <f>IFERROR(__xludf.DUMMYFUNCTION("""COMPUTED_VALUE"""),"2015-06-18-J06-SO-20")</f>
        <v>2015-06-18-J06-SO-20</v>
      </c>
    </row>
    <row r="4748">
      <c r="A4748" t="str">
        <f>IFERROR(__xludf.DUMMYFUNCTION("""COMPUTED_VALUE"""),"2015-06-18-J07-SO-1")</f>
        <v>2015-06-18-J07-SO-1</v>
      </c>
    </row>
    <row r="4749">
      <c r="A4749" t="str">
        <f>IFERROR(__xludf.DUMMYFUNCTION("""COMPUTED_VALUE"""),"2015-06-18-J07-SO-2")</f>
        <v>2015-06-18-J07-SO-2</v>
      </c>
    </row>
    <row r="4750">
      <c r="A4750" t="str">
        <f>IFERROR(__xludf.DUMMYFUNCTION("""COMPUTED_VALUE"""),"2015-06-18-J07-SO-3")</f>
        <v>2015-06-18-J07-SO-3</v>
      </c>
    </row>
    <row r="4751">
      <c r="A4751" t="str">
        <f>IFERROR(__xludf.DUMMYFUNCTION("""COMPUTED_VALUE"""),"2015-06-18-J07-SO-4")</f>
        <v>2015-06-18-J07-SO-4</v>
      </c>
    </row>
    <row r="4752">
      <c r="A4752" t="str">
        <f>IFERROR(__xludf.DUMMYFUNCTION("""COMPUTED_VALUE"""),"2015-06-18-J07-SO-5")</f>
        <v>2015-06-18-J07-SO-5</v>
      </c>
    </row>
    <row r="4753">
      <c r="A4753" t="str">
        <f>IFERROR(__xludf.DUMMYFUNCTION("""COMPUTED_VALUE"""),"2015-06-18-J07-SO-6")</f>
        <v>2015-06-18-J07-SO-6</v>
      </c>
    </row>
    <row r="4754">
      <c r="A4754" t="str">
        <f>IFERROR(__xludf.DUMMYFUNCTION("""COMPUTED_VALUE"""),"2015-06-18-J07-SO-7")</f>
        <v>2015-06-18-J07-SO-7</v>
      </c>
    </row>
    <row r="4755">
      <c r="A4755" t="str">
        <f>IFERROR(__xludf.DUMMYFUNCTION("""COMPUTED_VALUE"""),"2015-06-18-J07-SO-8")</f>
        <v>2015-06-18-J07-SO-8</v>
      </c>
    </row>
    <row r="4756">
      <c r="A4756" t="str">
        <f>IFERROR(__xludf.DUMMYFUNCTION("""COMPUTED_VALUE"""),"2015-06-18-J07-SO-9")</f>
        <v>2015-06-18-J07-SO-9</v>
      </c>
    </row>
    <row r="4757">
      <c r="A4757" t="str">
        <f>IFERROR(__xludf.DUMMYFUNCTION("""COMPUTED_VALUE"""),"2015-06-18-J07-SO-10")</f>
        <v>2015-06-18-J07-SO-10</v>
      </c>
    </row>
    <row r="4758">
      <c r="A4758" t="str">
        <f>IFERROR(__xludf.DUMMYFUNCTION("""COMPUTED_VALUE"""),"2015-06-18-J07-SO-11")</f>
        <v>2015-06-18-J07-SO-11</v>
      </c>
    </row>
    <row r="4759">
      <c r="A4759" t="str">
        <f>IFERROR(__xludf.DUMMYFUNCTION("""COMPUTED_VALUE"""),"2015-06-18-J07-SO-12")</f>
        <v>2015-06-18-J07-SO-12</v>
      </c>
    </row>
    <row r="4760">
      <c r="A4760" t="str">
        <f>IFERROR(__xludf.DUMMYFUNCTION("""COMPUTED_VALUE"""),"2015-06-18-J07-SO-13")</f>
        <v>2015-06-18-J07-SO-13</v>
      </c>
    </row>
    <row r="4761">
      <c r="A4761" t="str">
        <f>IFERROR(__xludf.DUMMYFUNCTION("""COMPUTED_VALUE"""),"2015-06-18-J07-SO-14")</f>
        <v>2015-06-18-J07-SO-14</v>
      </c>
    </row>
    <row r="4762">
      <c r="A4762" t="str">
        <f>IFERROR(__xludf.DUMMYFUNCTION("""COMPUTED_VALUE"""),"2015-06-18-J07-SO-15")</f>
        <v>2015-06-18-J07-SO-15</v>
      </c>
    </row>
    <row r="4763">
      <c r="A4763" t="str">
        <f>IFERROR(__xludf.DUMMYFUNCTION("""COMPUTED_VALUE"""),"2015-06-18-J07-SO-16")</f>
        <v>2015-06-18-J07-SO-16</v>
      </c>
    </row>
    <row r="4764">
      <c r="A4764" t="str">
        <f>IFERROR(__xludf.DUMMYFUNCTION("""COMPUTED_VALUE"""),"2015-06-18-J07-SO-17")</f>
        <v>2015-06-18-J07-SO-17</v>
      </c>
    </row>
    <row r="4765">
      <c r="A4765" t="str">
        <f>IFERROR(__xludf.DUMMYFUNCTION("""COMPUTED_VALUE"""),"2015-06-18-J07-SO-18")</f>
        <v>2015-06-18-J07-SO-18</v>
      </c>
    </row>
    <row r="4766">
      <c r="A4766" t="str">
        <f>IFERROR(__xludf.DUMMYFUNCTION("""COMPUTED_VALUE"""),"2015-06-18-J07-SO-19")</f>
        <v>2015-06-18-J07-SO-19</v>
      </c>
    </row>
    <row r="4767">
      <c r="A4767" t="str">
        <f>IFERROR(__xludf.DUMMYFUNCTION("""COMPUTED_VALUE"""),"2015-06-18-J07-SO-20")</f>
        <v>2015-06-18-J07-SO-20</v>
      </c>
    </row>
    <row r="4768">
      <c r="A4768" t="str">
        <f>IFERROR(__xludf.DUMMYFUNCTION("""COMPUTED_VALUE"""),"2015-06-18-J07-SO-21")</f>
        <v>2015-06-18-J07-SO-21</v>
      </c>
    </row>
    <row r="4769">
      <c r="A4769" t="str">
        <f>IFERROR(__xludf.DUMMYFUNCTION("""COMPUTED_VALUE"""),"2015-06-18-J07-SO-22")</f>
        <v>2015-06-18-J07-SO-22</v>
      </c>
    </row>
    <row r="4770">
      <c r="A4770" t="str">
        <f>IFERROR(__xludf.DUMMYFUNCTION("""COMPUTED_VALUE"""),"2015-06-18-J07-SO-23")</f>
        <v>2015-06-18-J07-SO-23</v>
      </c>
    </row>
    <row r="4771">
      <c r="A4771" t="str">
        <f>IFERROR(__xludf.DUMMYFUNCTION("""COMPUTED_VALUE"""),"2015-06-18-J07-SO-24")</f>
        <v>2015-06-18-J07-SO-24</v>
      </c>
    </row>
    <row r="4772">
      <c r="A4772" t="str">
        <f>IFERROR(__xludf.DUMMYFUNCTION("""COMPUTED_VALUE"""),"2015-06-18-J07-SO-25")</f>
        <v>2015-06-18-J07-SO-25</v>
      </c>
    </row>
    <row r="4773">
      <c r="A4773" t="str">
        <f>IFERROR(__xludf.DUMMYFUNCTION("""COMPUTED_VALUE"""),"2015-06-18-J07-SO-26")</f>
        <v>2015-06-18-J07-SO-26</v>
      </c>
    </row>
    <row r="4774">
      <c r="A4774" t="str">
        <f>IFERROR(__xludf.DUMMYFUNCTION("""COMPUTED_VALUE"""),"2015-06-18-J07-SO-27")</f>
        <v>2015-06-18-J07-SO-27</v>
      </c>
    </row>
    <row r="4775">
      <c r="A4775" t="str">
        <f>IFERROR(__xludf.DUMMYFUNCTION("""COMPUTED_VALUE"""),"2015-06-18-J07-SO-28")</f>
        <v>2015-06-18-J07-SO-28</v>
      </c>
    </row>
    <row r="4776">
      <c r="A4776" t="str">
        <f>IFERROR(__xludf.DUMMYFUNCTION("""COMPUTED_VALUE"""),"2015-06-18-J07-SO-29")</f>
        <v>2015-06-18-J07-SO-29</v>
      </c>
    </row>
    <row r="4777">
      <c r="A4777" t="str">
        <f>IFERROR(__xludf.DUMMYFUNCTION("""COMPUTED_VALUE"""),"2015-06-18-J07-SO-30")</f>
        <v>2015-06-18-J07-SO-30</v>
      </c>
    </row>
    <row r="4778">
      <c r="A4778" t="str">
        <f>IFERROR(__xludf.DUMMYFUNCTION("""COMPUTED_VALUE"""),"2015-06-18-J05-SO-1")</f>
        <v>2015-06-18-J05-SO-1</v>
      </c>
    </row>
    <row r="4779">
      <c r="A4779" t="str">
        <f>IFERROR(__xludf.DUMMYFUNCTION("""COMPUTED_VALUE"""),"2015-06-18-J05-SO-2")</f>
        <v>2015-06-18-J05-SO-2</v>
      </c>
    </row>
    <row r="4780">
      <c r="A4780" t="str">
        <f>IFERROR(__xludf.DUMMYFUNCTION("""COMPUTED_VALUE"""),"2015-06-18-J05-SO-3")</f>
        <v>2015-06-18-J05-SO-3</v>
      </c>
    </row>
    <row r="4781">
      <c r="A4781" t="str">
        <f>IFERROR(__xludf.DUMMYFUNCTION("""COMPUTED_VALUE"""),"2015-06-18-J05-SO-4")</f>
        <v>2015-06-18-J05-SO-4</v>
      </c>
    </row>
    <row r="4782">
      <c r="A4782" t="str">
        <f>IFERROR(__xludf.DUMMYFUNCTION("""COMPUTED_VALUE"""),"2015-06-18-J05-SO-5")</f>
        <v>2015-06-18-J05-SO-5</v>
      </c>
    </row>
    <row r="4783">
      <c r="A4783" t="str">
        <f>IFERROR(__xludf.DUMMYFUNCTION("""COMPUTED_VALUE"""),"2015-06-18-J05-SO-6")</f>
        <v>2015-06-18-J05-SO-6</v>
      </c>
    </row>
    <row r="4784">
      <c r="A4784" t="str">
        <f>IFERROR(__xludf.DUMMYFUNCTION("""COMPUTED_VALUE"""),"2015-06-18-J05-SO-7")</f>
        <v>2015-06-18-J05-SO-7</v>
      </c>
    </row>
    <row r="4785">
      <c r="A4785" t="str">
        <f>IFERROR(__xludf.DUMMYFUNCTION("""COMPUTED_VALUE"""),"2015-06-18-J05-SO-8")</f>
        <v>2015-06-18-J05-SO-8</v>
      </c>
    </row>
    <row r="4786">
      <c r="A4786" t="str">
        <f>IFERROR(__xludf.DUMMYFUNCTION("""COMPUTED_VALUE"""),"2015-06-18-J05-SO-9")</f>
        <v>2015-06-18-J05-SO-9</v>
      </c>
    </row>
    <row r="4787">
      <c r="A4787" t="str">
        <f>IFERROR(__xludf.DUMMYFUNCTION("""COMPUTED_VALUE"""),"2015-06-18-J05-SO-10")</f>
        <v>2015-06-18-J05-SO-10</v>
      </c>
    </row>
    <row r="4788">
      <c r="A4788" t="str">
        <f>IFERROR(__xludf.DUMMYFUNCTION("""COMPUTED_VALUE"""),"2015-06-18-J05-SO-11")</f>
        <v>2015-06-18-J05-SO-11</v>
      </c>
    </row>
    <row r="4789">
      <c r="A4789" t="str">
        <f>IFERROR(__xludf.DUMMYFUNCTION("""COMPUTED_VALUE"""),"2015-06-18-J05-SO-12")</f>
        <v>2015-06-18-J05-SO-12</v>
      </c>
    </row>
    <row r="4790">
      <c r="A4790" t="str">
        <f>IFERROR(__xludf.DUMMYFUNCTION("""COMPUTED_VALUE"""),"2015-06-18-J05-SO-13")</f>
        <v>2015-06-18-J05-SO-13</v>
      </c>
    </row>
    <row r="4791">
      <c r="A4791" t="str">
        <f>IFERROR(__xludf.DUMMYFUNCTION("""COMPUTED_VALUE"""),"2015-06-18-J05-SO-14")</f>
        <v>2015-06-18-J05-SO-14</v>
      </c>
    </row>
    <row r="4792">
      <c r="A4792" t="str">
        <f>IFERROR(__xludf.DUMMYFUNCTION("""COMPUTED_VALUE"""),"2015-06-18-J05-SO-15")</f>
        <v>2015-06-18-J05-SO-15</v>
      </c>
    </row>
    <row r="4793">
      <c r="A4793" t="str">
        <f>IFERROR(__xludf.DUMMYFUNCTION("""COMPUTED_VALUE"""),"2015-06-18-J05-SO-16")</f>
        <v>2015-06-18-J05-SO-16</v>
      </c>
    </row>
    <row r="4794">
      <c r="A4794" t="str">
        <f>IFERROR(__xludf.DUMMYFUNCTION("""COMPUTED_VALUE"""),"2015-06-18-J05-SO-17")</f>
        <v>2015-06-18-J05-SO-17</v>
      </c>
    </row>
    <row r="4795">
      <c r="A4795" t="str">
        <f>IFERROR(__xludf.DUMMYFUNCTION("""COMPUTED_VALUE"""),"2015-06-18-J01-SO-1")</f>
        <v>2015-06-18-J01-SO-1</v>
      </c>
    </row>
    <row r="4796">
      <c r="A4796" t="str">
        <f>IFERROR(__xludf.DUMMYFUNCTION("""COMPUTED_VALUE"""),"2015-06-18-J01-SO-2")</f>
        <v>2015-06-18-J01-SO-2</v>
      </c>
    </row>
    <row r="4797">
      <c r="A4797" t="str">
        <f>IFERROR(__xludf.DUMMYFUNCTION("""COMPUTED_VALUE"""),"2015-06-18-J01-SO-3")</f>
        <v>2015-06-18-J01-SO-3</v>
      </c>
    </row>
    <row r="4798">
      <c r="A4798" t="str">
        <f>IFERROR(__xludf.DUMMYFUNCTION("""COMPUTED_VALUE"""),"2015-06-18-J01-SO-4")</f>
        <v>2015-06-18-J01-SO-4</v>
      </c>
    </row>
    <row r="4799">
      <c r="A4799" t="str">
        <f>IFERROR(__xludf.DUMMYFUNCTION("""COMPUTED_VALUE"""),"2015-06-18-J06-PI-1")</f>
        <v>2015-06-18-J06-PI-1</v>
      </c>
    </row>
    <row r="4800">
      <c r="A4800" t="str">
        <f>IFERROR(__xludf.DUMMYFUNCTION("""COMPUTED_VALUE"""),"2015-06-18-J06-PI-2")</f>
        <v>2015-06-18-J06-PI-2</v>
      </c>
    </row>
    <row r="4801">
      <c r="A4801" t="str">
        <f>IFERROR(__xludf.DUMMYFUNCTION("""COMPUTED_VALUE"""),"2015-06-18-J07-PI-1")</f>
        <v>2015-06-18-J07-PI-1</v>
      </c>
    </row>
    <row r="4802">
      <c r="A4802" t="str">
        <f>IFERROR(__xludf.DUMMYFUNCTION("""COMPUTED_VALUE"""),"2015-06-18-J05-PI-1")</f>
        <v>2015-06-18-J05-PI-1</v>
      </c>
    </row>
    <row r="4803">
      <c r="A4803" t="str">
        <f>IFERROR(__xludf.DUMMYFUNCTION("""COMPUTED_VALUE"""),"2015-06-18-J05-PI-2")</f>
        <v>2015-06-18-J05-PI-2</v>
      </c>
    </row>
    <row r="4804">
      <c r="A4804" t="str">
        <f>IFERROR(__xludf.DUMMYFUNCTION("""COMPUTED_VALUE"""),"2015-06-18-J05-PI-3")</f>
        <v>2015-06-18-J05-PI-3</v>
      </c>
    </row>
    <row r="4805">
      <c r="A4805" t="str">
        <f>IFERROR(__xludf.DUMMYFUNCTION("""COMPUTED_VALUE"""),"2015-06-18-J05-PI-4")</f>
        <v>2015-06-18-J05-PI-4</v>
      </c>
    </row>
    <row r="4806">
      <c r="A4806" t="str">
        <f>IFERROR(__xludf.DUMMYFUNCTION("""COMPUTED_VALUE"""),"2015-06-18-J05-PI-5")</f>
        <v>2015-06-18-J05-PI-5</v>
      </c>
    </row>
    <row r="4807">
      <c r="A4807" t="str">
        <f>IFERROR(__xludf.DUMMYFUNCTION("""COMPUTED_VALUE"""),"2015-06-18-J05-PI-6")</f>
        <v>2015-06-18-J05-PI-6</v>
      </c>
    </row>
    <row r="4808">
      <c r="A4808" t="str">
        <f>IFERROR(__xludf.DUMMYFUNCTION("""COMPUTED_VALUE"""),"2015-06-18-J05-PI-7")</f>
        <v>2015-06-18-J05-PI-7</v>
      </c>
    </row>
    <row r="4809">
      <c r="A4809" t="str">
        <f>IFERROR(__xludf.DUMMYFUNCTION("""COMPUTED_VALUE"""),"2015-06-18-J05-PI-8")</f>
        <v>2015-06-18-J05-PI-8</v>
      </c>
    </row>
    <row r="4810">
      <c r="A4810" t="str">
        <f>IFERROR(__xludf.DUMMYFUNCTION("""COMPUTED_VALUE"""),"2015-06-18-J05-PI-9")</f>
        <v>2015-06-18-J05-PI-9</v>
      </c>
    </row>
    <row r="4811">
      <c r="A4811" t="str">
        <f>IFERROR(__xludf.DUMMYFUNCTION("""COMPUTED_VALUE"""),"2015-06-18-J05-PI-10")</f>
        <v>2015-06-18-J05-PI-10</v>
      </c>
    </row>
    <row r="4812">
      <c r="A4812" t="str">
        <f>IFERROR(__xludf.DUMMYFUNCTION("""COMPUTED_VALUE"""),"2015-06-18-J01-PI-1")</f>
        <v>2015-06-18-J01-PI-1</v>
      </c>
    </row>
    <row r="4813">
      <c r="A4813" t="str">
        <f>IFERROR(__xludf.DUMMYFUNCTION("""COMPUTED_VALUE"""),"2015-06-18-J01-PI-2")</f>
        <v>2015-06-18-J01-PI-2</v>
      </c>
    </row>
    <row r="4814">
      <c r="A4814" t="str">
        <f>IFERROR(__xludf.DUMMYFUNCTION("""COMPUTED_VALUE"""),"2015-06-18-J01-PI-3")</f>
        <v>2015-06-18-J01-PI-3</v>
      </c>
    </row>
    <row r="4815">
      <c r="A4815" t="str">
        <f>IFERROR(__xludf.DUMMYFUNCTION("""COMPUTED_VALUE"""),"2015-06-18-J01-PI-4")</f>
        <v>2015-06-18-J01-PI-4</v>
      </c>
    </row>
    <row r="4816">
      <c r="A4816" t="str">
        <f>IFERROR(__xludf.DUMMYFUNCTION("""COMPUTED_VALUE"""),"2015-06-18-J01-PI-5")</f>
        <v>2015-06-18-J01-PI-5</v>
      </c>
    </row>
    <row r="4817">
      <c r="A4817" t="str">
        <f>IFERROR(__xludf.DUMMYFUNCTION("""COMPUTED_VALUE"""),"2015-06-18-J01-PI-6")</f>
        <v>2015-06-18-J01-PI-6</v>
      </c>
    </row>
    <row r="4818">
      <c r="A4818" t="str">
        <f>IFERROR(__xludf.DUMMYFUNCTION("""COMPUTED_VALUE"""),"2015-06-18-J01-PI-7")</f>
        <v>2015-06-18-J01-PI-7</v>
      </c>
    </row>
    <row r="4819">
      <c r="A4819" t="str">
        <f>IFERROR(__xludf.DUMMYFUNCTION("""COMPUTED_VALUE"""),"2015-06-18-J01-PI-8")</f>
        <v>2015-06-18-J01-PI-8</v>
      </c>
    </row>
    <row r="4820">
      <c r="A4820" t="str">
        <f>IFERROR(__xludf.DUMMYFUNCTION("""COMPUTED_VALUE"""),"2015-06-18-J01-PI-9")</f>
        <v>2015-06-18-J01-PI-9</v>
      </c>
    </row>
    <row r="4821">
      <c r="A4821" t="str">
        <f>IFERROR(__xludf.DUMMYFUNCTION("""COMPUTED_VALUE"""),"2015-06-18-J01-PI-10")</f>
        <v>2015-06-18-J01-PI-10</v>
      </c>
    </row>
    <row r="4822">
      <c r="A4822" t="str">
        <f>IFERROR(__xludf.DUMMYFUNCTION("""COMPUTED_VALUE"""),"2015-06-18-D11-CU-1")</f>
        <v>2015-06-18-D11-CU-1</v>
      </c>
    </row>
    <row r="4823">
      <c r="A4823" t="str">
        <f>IFERROR(__xludf.DUMMYFUNCTION("""COMPUTED_VALUE"""),"2015-06-18-D11-CU-2")</f>
        <v>2015-06-18-D11-CU-2</v>
      </c>
    </row>
    <row r="4824">
      <c r="A4824" t="str">
        <f>IFERROR(__xludf.DUMMYFUNCTION("""COMPUTED_VALUE"""),"2015-06-18-D11-CU-3")</f>
        <v>2015-06-18-D11-CU-3</v>
      </c>
    </row>
    <row r="4825">
      <c r="A4825" t="str">
        <f>IFERROR(__xludf.DUMMYFUNCTION("""COMPUTED_VALUE"""),"2015-06-18-D11-CU-4")</f>
        <v>2015-06-18-D11-CU-4</v>
      </c>
    </row>
    <row r="4826">
      <c r="A4826" t="str">
        <f>IFERROR(__xludf.DUMMYFUNCTION("""COMPUTED_VALUE"""),"2015-06-18-D11-CU-5")</f>
        <v>2015-06-18-D11-CU-5</v>
      </c>
    </row>
    <row r="4827">
      <c r="A4827" t="str">
        <f>IFERROR(__xludf.DUMMYFUNCTION("""COMPUTED_VALUE"""),"2015-06-18-D11-CU-6")</f>
        <v>2015-06-18-D11-CU-6</v>
      </c>
    </row>
    <row r="4828">
      <c r="A4828" t="str">
        <f>IFERROR(__xludf.DUMMYFUNCTION("""COMPUTED_VALUE"""),"2015-06-18-D11-CU-7")</f>
        <v>2015-06-18-D11-CU-7</v>
      </c>
    </row>
    <row r="4829">
      <c r="A4829" t="str">
        <f>IFERROR(__xludf.DUMMYFUNCTION("""COMPUTED_VALUE"""),"2015-06-18-D11-CU-8")</f>
        <v>2015-06-18-D11-CU-8</v>
      </c>
    </row>
    <row r="4830">
      <c r="A4830" t="str">
        <f>IFERROR(__xludf.DUMMYFUNCTION("""COMPUTED_VALUE"""),"2015-06-18-D11-CU-9")</f>
        <v>2015-06-18-D11-CU-9</v>
      </c>
    </row>
    <row r="4831">
      <c r="A4831" t="str">
        <f>IFERROR(__xludf.DUMMYFUNCTION("""COMPUTED_VALUE"""),"2015-06-18-D11-CU-10")</f>
        <v>2015-06-18-D11-CU-10</v>
      </c>
    </row>
    <row r="4832">
      <c r="A4832" t="str">
        <f>IFERROR(__xludf.DUMMYFUNCTION("""COMPUTED_VALUE"""),"2015-06-18-D09-CU-1")</f>
        <v>2015-06-18-D09-CU-1</v>
      </c>
    </row>
    <row r="4833">
      <c r="A4833" t="str">
        <f>IFERROR(__xludf.DUMMYFUNCTION("""COMPUTED_VALUE"""),"2015-06-18-D09-CU-2")</f>
        <v>2015-06-18-D09-CU-2</v>
      </c>
    </row>
    <row r="4834">
      <c r="A4834" t="str">
        <f>IFERROR(__xludf.DUMMYFUNCTION("""COMPUTED_VALUE"""),"2015-06-18-D09-CU-3")</f>
        <v>2015-06-18-D09-CU-3</v>
      </c>
    </row>
    <row r="4835">
      <c r="A4835" t="str">
        <f>IFERROR(__xludf.DUMMYFUNCTION("""COMPUTED_VALUE"""),"2015-06-18-D09-CU-4")</f>
        <v>2015-06-18-D09-CU-4</v>
      </c>
    </row>
    <row r="4836">
      <c r="A4836" t="str">
        <f>IFERROR(__xludf.DUMMYFUNCTION("""COMPUTED_VALUE"""),"2015-06-18-D09-CU-5")</f>
        <v>2015-06-18-D09-CU-5</v>
      </c>
    </row>
    <row r="4837">
      <c r="A4837" t="str">
        <f>IFERROR(__xludf.DUMMYFUNCTION("""COMPUTED_VALUE"""),"2015-06-18-D09-CU-6")</f>
        <v>2015-06-18-D09-CU-6</v>
      </c>
    </row>
    <row r="4838">
      <c r="A4838" t="str">
        <f>IFERROR(__xludf.DUMMYFUNCTION("""COMPUTED_VALUE"""),"2015-06-18-D09-CU-7")</f>
        <v>2015-06-18-D09-CU-7</v>
      </c>
    </row>
    <row r="4839">
      <c r="A4839" t="str">
        <f>IFERROR(__xludf.DUMMYFUNCTION("""COMPUTED_VALUE"""),"2015-06-18-D09-CU-8")</f>
        <v>2015-06-18-D09-CU-8</v>
      </c>
    </row>
    <row r="4840">
      <c r="A4840" t="str">
        <f>IFERROR(__xludf.DUMMYFUNCTION("""COMPUTED_VALUE"""),"2015-06-18-D09-CU-9")</f>
        <v>2015-06-18-D09-CU-9</v>
      </c>
    </row>
    <row r="4841">
      <c r="A4841" t="str">
        <f>IFERROR(__xludf.DUMMYFUNCTION("""COMPUTED_VALUE"""),"2015-06-18-D09-CU-10")</f>
        <v>2015-06-18-D09-CU-10</v>
      </c>
    </row>
    <row r="4842">
      <c r="A4842" t="str">
        <f>IFERROR(__xludf.DUMMYFUNCTION("""COMPUTED_VALUE"""),"2015-06-18-J06-CU-1")</f>
        <v>2015-06-18-J06-CU-1</v>
      </c>
    </row>
    <row r="4843">
      <c r="A4843" t="str">
        <f>IFERROR(__xludf.DUMMYFUNCTION("""COMPUTED_VALUE"""),"2015-06-18-J06-CU-2")</f>
        <v>2015-06-18-J06-CU-2</v>
      </c>
    </row>
    <row r="4844">
      <c r="A4844" t="str">
        <f>IFERROR(__xludf.DUMMYFUNCTION("""COMPUTED_VALUE"""),"2015-06-18-J06-CU-3")</f>
        <v>2015-06-18-J06-CU-3</v>
      </c>
    </row>
    <row r="4845">
      <c r="A4845" t="str">
        <f>IFERROR(__xludf.DUMMYFUNCTION("""COMPUTED_VALUE"""),"2015-06-18-J06-CU-4")</f>
        <v>2015-06-18-J06-CU-4</v>
      </c>
    </row>
    <row r="4846">
      <c r="A4846" t="str">
        <f>IFERROR(__xludf.DUMMYFUNCTION("""COMPUTED_VALUE"""),"2015-06-18-J06-CU-5")</f>
        <v>2015-06-18-J06-CU-5</v>
      </c>
    </row>
    <row r="4847">
      <c r="A4847" t="str">
        <f>IFERROR(__xludf.DUMMYFUNCTION("""COMPUTED_VALUE"""),"2015-06-18-J06-CU-6")</f>
        <v>2015-06-18-J06-CU-6</v>
      </c>
    </row>
    <row r="4848">
      <c r="A4848" t="str">
        <f>IFERROR(__xludf.DUMMYFUNCTION("""COMPUTED_VALUE"""),"2015-06-18-J06-CU-7")</f>
        <v>2015-06-18-J06-CU-7</v>
      </c>
    </row>
    <row r="4849">
      <c r="A4849" t="str">
        <f>IFERROR(__xludf.DUMMYFUNCTION("""COMPUTED_VALUE"""),"2015-06-18-J06-CU-8")</f>
        <v>2015-06-18-J06-CU-8</v>
      </c>
    </row>
    <row r="4850">
      <c r="A4850" t="str">
        <f>IFERROR(__xludf.DUMMYFUNCTION("""COMPUTED_VALUE"""),"2015-06-18-J06-CU-9")</f>
        <v>2015-06-18-J06-CU-9</v>
      </c>
    </row>
    <row r="4851">
      <c r="A4851" t="str">
        <f>IFERROR(__xludf.DUMMYFUNCTION("""COMPUTED_VALUE"""),"2015-06-18-J06-CU-10")</f>
        <v>2015-06-18-J06-CU-10</v>
      </c>
    </row>
    <row r="4852">
      <c r="A4852" t="str">
        <f>IFERROR(__xludf.DUMMYFUNCTION("""COMPUTED_VALUE"""),"2015-06-18-J07-CU-1")</f>
        <v>2015-06-18-J07-CU-1</v>
      </c>
    </row>
    <row r="4853">
      <c r="A4853" t="str">
        <f>IFERROR(__xludf.DUMMYFUNCTION("""COMPUTED_VALUE"""),"2015-06-18-J07-CU-2")</f>
        <v>2015-06-18-J07-CU-2</v>
      </c>
    </row>
    <row r="4854">
      <c r="A4854" t="str">
        <f>IFERROR(__xludf.DUMMYFUNCTION("""COMPUTED_VALUE"""),"2015-06-18-J07-CU-3")</f>
        <v>2015-06-18-J07-CU-3</v>
      </c>
    </row>
    <row r="4855">
      <c r="A4855" t="str">
        <f>IFERROR(__xludf.DUMMYFUNCTION("""COMPUTED_VALUE"""),"2015-06-18-J07-CU-4")</f>
        <v>2015-06-18-J07-CU-4</v>
      </c>
    </row>
    <row r="4856">
      <c r="A4856" t="str">
        <f>IFERROR(__xludf.DUMMYFUNCTION("""COMPUTED_VALUE"""),"2015-06-18-J07-CU-5")</f>
        <v>2015-06-18-J07-CU-5</v>
      </c>
    </row>
    <row r="4857">
      <c r="A4857" t="str">
        <f>IFERROR(__xludf.DUMMYFUNCTION("""COMPUTED_VALUE"""),"2015-06-18-J07-CU-6")</f>
        <v>2015-06-18-J07-CU-6</v>
      </c>
    </row>
    <row r="4858">
      <c r="A4858" t="str">
        <f>IFERROR(__xludf.DUMMYFUNCTION("""COMPUTED_VALUE"""),"2015-06-18-J07-CU-7")</f>
        <v>2015-06-18-J07-CU-7</v>
      </c>
    </row>
    <row r="4859">
      <c r="A4859" t="str">
        <f>IFERROR(__xludf.DUMMYFUNCTION("""COMPUTED_VALUE"""),"2015-06-18-J07-CU-8")</f>
        <v>2015-06-18-J07-CU-8</v>
      </c>
    </row>
    <row r="4860">
      <c r="A4860" t="str">
        <f>IFERROR(__xludf.DUMMYFUNCTION("""COMPUTED_VALUE"""),"2015-06-18-J07-CU-9")</f>
        <v>2015-06-18-J07-CU-9</v>
      </c>
    </row>
    <row r="4861">
      <c r="A4861" t="str">
        <f>IFERROR(__xludf.DUMMYFUNCTION("""COMPUTED_VALUE"""),"2015-06-18-J07-CU-10")</f>
        <v>2015-06-18-J07-CU-10</v>
      </c>
    </row>
    <row r="4862">
      <c r="A4862" t="str">
        <f>IFERROR(__xludf.DUMMYFUNCTION("""COMPUTED_VALUE"""),"2015-06-18-J05-CU-1")</f>
        <v>2015-06-18-J05-CU-1</v>
      </c>
    </row>
    <row r="4863">
      <c r="A4863" t="str">
        <f>IFERROR(__xludf.DUMMYFUNCTION("""COMPUTED_VALUE"""),"2015-06-18-J05-CU-2")</f>
        <v>2015-06-18-J05-CU-2</v>
      </c>
    </row>
    <row r="4864">
      <c r="A4864" t="str">
        <f>IFERROR(__xludf.DUMMYFUNCTION("""COMPUTED_VALUE"""),"2015-06-18-J05-CU-3")</f>
        <v>2015-06-18-J05-CU-3</v>
      </c>
    </row>
    <row r="4865">
      <c r="A4865" t="str">
        <f>IFERROR(__xludf.DUMMYFUNCTION("""COMPUTED_VALUE"""),"2015-06-18-J05-CU-4")</f>
        <v>2015-06-18-J05-CU-4</v>
      </c>
    </row>
    <row r="4866">
      <c r="A4866" t="str">
        <f>IFERROR(__xludf.DUMMYFUNCTION("""COMPUTED_VALUE"""),"2015-06-18-J05-CU-5")</f>
        <v>2015-06-18-J05-CU-5</v>
      </c>
    </row>
    <row r="4867">
      <c r="A4867" t="str">
        <f>IFERROR(__xludf.DUMMYFUNCTION("""COMPUTED_VALUE"""),"2015-06-18-J05-CU-6")</f>
        <v>2015-06-18-J05-CU-6</v>
      </c>
    </row>
    <row r="4868">
      <c r="A4868" t="str">
        <f>IFERROR(__xludf.DUMMYFUNCTION("""COMPUTED_VALUE"""),"2015-06-18-J05-CU-7")</f>
        <v>2015-06-18-J05-CU-7</v>
      </c>
    </row>
    <row r="4869">
      <c r="A4869" t="str">
        <f>IFERROR(__xludf.DUMMYFUNCTION("""COMPUTED_VALUE"""),"2015-06-18-J05-CU-8")</f>
        <v>2015-06-18-J05-CU-8</v>
      </c>
    </row>
    <row r="4870">
      <c r="A4870" t="str">
        <f>IFERROR(__xludf.DUMMYFUNCTION("""COMPUTED_VALUE"""),"2015-06-18-J05-CU-9")</f>
        <v>2015-06-18-J05-CU-9</v>
      </c>
    </row>
    <row r="4871">
      <c r="A4871" t="str">
        <f>IFERROR(__xludf.DUMMYFUNCTION("""COMPUTED_VALUE"""),"2015-06-18-J05-CU-10")</f>
        <v>2015-06-18-J05-CU-10</v>
      </c>
    </row>
    <row r="4872">
      <c r="A4872" t="str">
        <f>IFERROR(__xludf.DUMMYFUNCTION("""COMPUTED_VALUE"""),"2015-06-18-J01-CU-1")</f>
        <v>2015-06-18-J01-CU-1</v>
      </c>
    </row>
    <row r="4873">
      <c r="A4873" t="str">
        <f>IFERROR(__xludf.DUMMYFUNCTION("""COMPUTED_VALUE"""),"2015-06-18-J01-CU-2")</f>
        <v>2015-06-18-J01-CU-2</v>
      </c>
    </row>
    <row r="4874">
      <c r="A4874" t="str">
        <f>IFERROR(__xludf.DUMMYFUNCTION("""COMPUTED_VALUE"""),"2015-06-18-J01-CU-3")</f>
        <v>2015-06-18-J01-CU-3</v>
      </c>
    </row>
    <row r="4875">
      <c r="A4875" t="str">
        <f>IFERROR(__xludf.DUMMYFUNCTION("""COMPUTED_VALUE"""),"2015-06-18-J01-CU-4")</f>
        <v>2015-06-18-J01-CU-4</v>
      </c>
    </row>
    <row r="4876">
      <c r="A4876" t="str">
        <f>IFERROR(__xludf.DUMMYFUNCTION("""COMPUTED_VALUE"""),"2015-06-18-J01-CU-5")</f>
        <v>2015-06-18-J01-CU-5</v>
      </c>
    </row>
    <row r="4877">
      <c r="A4877" t="str">
        <f>IFERROR(__xludf.DUMMYFUNCTION("""COMPUTED_VALUE"""),"2015-06-18-J01-CU-6")</f>
        <v>2015-06-18-J01-CU-6</v>
      </c>
    </row>
    <row r="4878">
      <c r="A4878" t="str">
        <f>IFERROR(__xludf.DUMMYFUNCTION("""COMPUTED_VALUE"""),"2015-06-18-J01-CU-7")</f>
        <v>2015-06-18-J01-CU-7</v>
      </c>
    </row>
    <row r="4879">
      <c r="A4879" t="str">
        <f>IFERROR(__xludf.DUMMYFUNCTION("""COMPUTED_VALUE"""),"2015-06-18-J01-CU-8")</f>
        <v>2015-06-18-J01-CU-8</v>
      </c>
    </row>
    <row r="4880">
      <c r="A4880" t="str">
        <f>IFERROR(__xludf.DUMMYFUNCTION("""COMPUTED_VALUE"""),"2015-06-18-J01-CU-9")</f>
        <v>2015-06-18-J01-CU-9</v>
      </c>
    </row>
    <row r="4881">
      <c r="A4881" t="str">
        <f>IFERROR(__xludf.DUMMYFUNCTION("""COMPUTED_VALUE"""),"2015-06-18-J01-CU-10")</f>
        <v>2015-06-18-J01-CU-10</v>
      </c>
    </row>
    <row r="4882">
      <c r="A4882" t="str">
        <f>IFERROR(__xludf.DUMMYFUNCTION("""COMPUTED_VALUE"""),"2015-06-18-D11-CO-1")</f>
        <v>2015-06-18-D11-CO-1</v>
      </c>
    </row>
    <row r="4883">
      <c r="A4883" t="str">
        <f>IFERROR(__xludf.DUMMYFUNCTION("""COMPUTED_VALUE"""),"2015-06-18-D11-HE-1")</f>
        <v>2015-06-18-D11-HE-1</v>
      </c>
    </row>
    <row r="4884">
      <c r="A4884" t="str">
        <f>IFERROR(__xludf.DUMMYFUNCTION("""COMPUTED_VALUE"""),"2015-06-18-D11-HE-2")</f>
        <v>2015-06-18-D11-HE-2</v>
      </c>
    </row>
    <row r="4885">
      <c r="A4885" t="str">
        <f>IFERROR(__xludf.DUMMYFUNCTION("""COMPUTED_VALUE"""),"2015-06-18-D11-HE-3")</f>
        <v>2015-06-18-D11-HE-3</v>
      </c>
    </row>
    <row r="4886">
      <c r="A4886" t="str">
        <f>IFERROR(__xludf.DUMMYFUNCTION("""COMPUTED_VALUE"""),"2015-06-18-D11-HE-4")</f>
        <v>2015-06-18-D11-HE-4</v>
      </c>
    </row>
    <row r="4887">
      <c r="A4887" t="str">
        <f>IFERROR(__xludf.DUMMYFUNCTION("""COMPUTED_VALUE"""),"2015-06-18-D11-HE-5")</f>
        <v>2015-06-18-D11-HE-5</v>
      </c>
    </row>
    <row r="4888">
      <c r="A4888" t="str">
        <f>IFERROR(__xludf.DUMMYFUNCTION("""COMPUTED_VALUE"""),"2015-06-18-D11-HE-6")</f>
        <v>2015-06-18-D11-HE-6</v>
      </c>
    </row>
    <row r="4889">
      <c r="A4889" t="str">
        <f>IFERROR(__xludf.DUMMYFUNCTION("""COMPUTED_VALUE"""),"2015-06-18-D09-HE-1")</f>
        <v>2015-06-18-D09-HE-1</v>
      </c>
    </row>
    <row r="4890">
      <c r="A4890" t="str">
        <f>IFERROR(__xludf.DUMMYFUNCTION("""COMPUTED_VALUE"""),"2015-06-18-D09-HE-2")</f>
        <v>2015-06-18-D09-HE-2</v>
      </c>
    </row>
    <row r="4891">
      <c r="A4891" t="str">
        <f>IFERROR(__xludf.DUMMYFUNCTION("""COMPUTED_VALUE"""),"2015-06-18-D09-HE-3")</f>
        <v>2015-06-18-D09-HE-3</v>
      </c>
    </row>
    <row r="4892">
      <c r="A4892" t="str">
        <f>IFERROR(__xludf.DUMMYFUNCTION("""COMPUTED_VALUE"""),"2015-06-18-D09-HE-4")</f>
        <v>2015-06-18-D09-HE-4</v>
      </c>
    </row>
    <row r="4893">
      <c r="A4893" t="str">
        <f>IFERROR(__xludf.DUMMYFUNCTION("""COMPUTED_VALUE"""),"2015-06-18-D09-HE-5")</f>
        <v>2015-06-18-D09-HE-5</v>
      </c>
    </row>
    <row r="4894">
      <c r="A4894" t="str">
        <f>IFERROR(__xludf.DUMMYFUNCTION("""COMPUTED_VALUE"""),"2015-06-18-D09-HE-6")</f>
        <v>2015-06-18-D09-HE-6</v>
      </c>
    </row>
    <row r="4895">
      <c r="A4895" t="str">
        <f>IFERROR(__xludf.DUMMYFUNCTION("""COMPUTED_VALUE"""),"2015-06-18-D09-HE-7")</f>
        <v>2015-06-18-D09-HE-7</v>
      </c>
    </row>
    <row r="4896">
      <c r="A4896" t="str">
        <f>IFERROR(__xludf.DUMMYFUNCTION("""COMPUTED_VALUE"""),"2015-06-18-D09-HE-8")</f>
        <v>2015-06-18-D09-HE-8</v>
      </c>
    </row>
    <row r="4897">
      <c r="A4897" t="str">
        <f>IFERROR(__xludf.DUMMYFUNCTION("""COMPUTED_VALUE"""),"2015-06-18-D09-HE-9")</f>
        <v>2015-06-18-D09-HE-9</v>
      </c>
    </row>
    <row r="4898">
      <c r="A4898" t="str">
        <f>IFERROR(__xludf.DUMMYFUNCTION("""COMPUTED_VALUE"""),"2015-06-18-D09-HE-10")</f>
        <v>2015-06-18-D09-HE-10</v>
      </c>
    </row>
    <row r="4899">
      <c r="A4899" t="str">
        <f>IFERROR(__xludf.DUMMYFUNCTION("""COMPUTED_VALUE"""),"2015-06-18-J01-HE-1")</f>
        <v>2015-06-18-J01-HE-1</v>
      </c>
    </row>
    <row r="4900">
      <c r="A4900" t="str">
        <f>IFERROR(__xludf.DUMMYFUNCTION("""COMPUTED_VALUE"""),"2015-06-18-J01-HE-2")</f>
        <v>2015-06-18-J01-HE-2</v>
      </c>
    </row>
    <row r="4901">
      <c r="A4901" t="str">
        <f>IFERROR(__xludf.DUMMYFUNCTION("""COMPUTED_VALUE"""),"2015-06-18-J01-HE-3")</f>
        <v>2015-06-18-J01-HE-3</v>
      </c>
    </row>
    <row r="4902">
      <c r="A4902" t="str">
        <f>IFERROR(__xludf.DUMMYFUNCTION("""COMPUTED_VALUE"""),"2015-06-18-J01-HE-4")</f>
        <v>2015-06-18-J01-HE-4</v>
      </c>
    </row>
    <row r="4903">
      <c r="A4903" t="str">
        <f>IFERROR(__xludf.DUMMYFUNCTION("""COMPUTED_VALUE"""),"2015-06-19-D06-SO-1")</f>
        <v>2015-06-19-D06-SO-1</v>
      </c>
    </row>
    <row r="4904">
      <c r="A4904" t="str">
        <f>IFERROR(__xludf.DUMMYFUNCTION("""COMPUTED_VALUE"""),"2015-06-19-D06-SO-2")</f>
        <v>2015-06-19-D06-SO-2</v>
      </c>
    </row>
    <row r="4905">
      <c r="A4905" t="str">
        <f>IFERROR(__xludf.DUMMYFUNCTION("""COMPUTED_VALUE"""),"2015-06-19-D06-SO-3")</f>
        <v>2015-06-19-D06-SO-3</v>
      </c>
    </row>
    <row r="4906">
      <c r="A4906" t="str">
        <f>IFERROR(__xludf.DUMMYFUNCTION("""COMPUTED_VALUE"""),"2015-06-19-D06-SO-4")</f>
        <v>2015-06-19-D06-SO-4</v>
      </c>
    </row>
    <row r="4907">
      <c r="A4907" t="str">
        <f>IFERROR(__xludf.DUMMYFUNCTION("""COMPUTED_VALUE"""),"2015-06-19-D06-SO-5")</f>
        <v>2015-06-19-D06-SO-5</v>
      </c>
    </row>
    <row r="4908">
      <c r="A4908" t="str">
        <f>IFERROR(__xludf.DUMMYFUNCTION("""COMPUTED_VALUE"""),"2015-06-19-J09-SO-1")</f>
        <v>2015-06-19-J09-SO-1</v>
      </c>
    </row>
    <row r="4909">
      <c r="A4909" t="str">
        <f>IFERROR(__xludf.DUMMYFUNCTION("""COMPUTED_VALUE"""),"2015-06-19-J09-SO-2")</f>
        <v>2015-06-19-J09-SO-2</v>
      </c>
    </row>
    <row r="4910">
      <c r="A4910" t="str">
        <f>IFERROR(__xludf.DUMMYFUNCTION("""COMPUTED_VALUE"""),"2015-06-19-J09-SO-3")</f>
        <v>2015-06-19-J09-SO-3</v>
      </c>
    </row>
    <row r="4911">
      <c r="A4911" t="str">
        <f>IFERROR(__xludf.DUMMYFUNCTION("""COMPUTED_VALUE"""),"2015-06-19-J09-SO-4")</f>
        <v>2015-06-19-J09-SO-4</v>
      </c>
    </row>
    <row r="4912">
      <c r="A4912" t="str">
        <f>IFERROR(__xludf.DUMMYFUNCTION("""COMPUTED_VALUE"""),"2015-06-19-J09-SO-5")</f>
        <v>2015-06-19-J09-SO-5</v>
      </c>
    </row>
    <row r="4913">
      <c r="A4913" t="str">
        <f>IFERROR(__xludf.DUMMYFUNCTION("""COMPUTED_VALUE"""),"2015-06-19-J09-SO-6")</f>
        <v>2015-06-19-J09-SO-6</v>
      </c>
    </row>
    <row r="4914">
      <c r="A4914" t="str">
        <f>IFERROR(__xludf.DUMMYFUNCTION("""COMPUTED_VALUE"""),"2015-06-19-J09-SO-7")</f>
        <v>2015-06-19-J09-SO-7</v>
      </c>
    </row>
    <row r="4915">
      <c r="A4915" t="str">
        <f>IFERROR(__xludf.DUMMYFUNCTION("""COMPUTED_VALUE"""),"2015-06-19-J09-SO-8")</f>
        <v>2015-06-19-J09-SO-8</v>
      </c>
    </row>
    <row r="4916">
      <c r="A4916" t="str">
        <f>IFERROR(__xludf.DUMMYFUNCTION("""COMPUTED_VALUE"""),"2015-06-19-J09-SO-9")</f>
        <v>2015-06-19-J09-SO-9</v>
      </c>
    </row>
    <row r="4917">
      <c r="A4917" t="str">
        <f>IFERROR(__xludf.DUMMYFUNCTION("""COMPUTED_VALUE"""),"2015-06-19-J09-SO-10")</f>
        <v>2015-06-19-J09-SO-10</v>
      </c>
    </row>
    <row r="4918">
      <c r="A4918" t="str">
        <f>IFERROR(__xludf.DUMMYFUNCTION("""COMPUTED_VALUE"""),"2015-06-19-J09-SO-11")</f>
        <v>2015-06-19-J09-SO-11</v>
      </c>
    </row>
    <row r="4919">
      <c r="A4919" t="str">
        <f>IFERROR(__xludf.DUMMYFUNCTION("""COMPUTED_VALUE"""),"2015-06-19-J09-SO-12")</f>
        <v>2015-06-19-J09-SO-12</v>
      </c>
    </row>
    <row r="4920">
      <c r="A4920" t="str">
        <f>IFERROR(__xludf.DUMMYFUNCTION("""COMPUTED_VALUE"""),"2015-06-19-J09-SO-13")</f>
        <v>2015-06-19-J09-SO-13</v>
      </c>
    </row>
    <row r="4921">
      <c r="A4921" t="str">
        <f>IFERROR(__xludf.DUMMYFUNCTION("""COMPUTED_VALUE"""),"2015-06-19-J09-SO-14")</f>
        <v>2015-06-19-J09-SO-14</v>
      </c>
    </row>
    <row r="4922">
      <c r="A4922" t="str">
        <f>IFERROR(__xludf.DUMMYFUNCTION("""COMPUTED_VALUE"""),"2015-06-19-J09-SO-15")</f>
        <v>2015-06-19-J09-SO-15</v>
      </c>
    </row>
    <row r="4923">
      <c r="A4923" t="str">
        <f>IFERROR(__xludf.DUMMYFUNCTION("""COMPUTED_VALUE"""),"2015-06-19-J09-SO-16")</f>
        <v>2015-06-19-J09-SO-16</v>
      </c>
    </row>
    <row r="4924">
      <c r="A4924" t="str">
        <f>IFERROR(__xludf.DUMMYFUNCTION("""COMPUTED_VALUE"""),"2015-06-19-J09-SO-17")</f>
        <v>2015-06-19-J09-SO-17</v>
      </c>
    </row>
    <row r="4925">
      <c r="A4925" t="str">
        <f>IFERROR(__xludf.DUMMYFUNCTION("""COMPUTED_VALUE"""),"2015-06-19-J09-SO-18")</f>
        <v>2015-06-19-J09-SO-18</v>
      </c>
    </row>
    <row r="4926">
      <c r="A4926" t="str">
        <f>IFERROR(__xludf.DUMMYFUNCTION("""COMPUTED_VALUE"""),"2015-06-19-J09-SO-19")</f>
        <v>2015-06-19-J09-SO-19</v>
      </c>
    </row>
    <row r="4927">
      <c r="A4927" t="str">
        <f>IFERROR(__xludf.DUMMYFUNCTION("""COMPUTED_VALUE"""),"2015-06-19-J09-SO-20")</f>
        <v>2015-06-19-J09-SO-20</v>
      </c>
    </row>
    <row r="4928">
      <c r="A4928" t="str">
        <f>IFERROR(__xludf.DUMMYFUNCTION("""COMPUTED_VALUE"""),"2015-06-19-J09-SO-21")</f>
        <v>2015-06-19-J09-SO-21</v>
      </c>
    </row>
    <row r="4929">
      <c r="A4929" t="str">
        <f>IFERROR(__xludf.DUMMYFUNCTION("""COMPUTED_VALUE"""),"2015-06-19-J09-SO-22")</f>
        <v>2015-06-19-J09-SO-22</v>
      </c>
    </row>
    <row r="4930">
      <c r="A4930" t="str">
        <f>IFERROR(__xludf.DUMMYFUNCTION("""COMPUTED_VALUE"""),"2015-06-19-J09-SO-23")</f>
        <v>2015-06-19-J09-SO-23</v>
      </c>
    </row>
    <row r="4931">
      <c r="A4931" t="str">
        <f>IFERROR(__xludf.DUMMYFUNCTION("""COMPUTED_VALUE"""),"2015-06-19-J09-SO-24")</f>
        <v>2015-06-19-J09-SO-24</v>
      </c>
    </row>
    <row r="4932">
      <c r="A4932" t="str">
        <f>IFERROR(__xludf.DUMMYFUNCTION("""COMPUTED_VALUE"""),"2015-06-19-J09-SO-25")</f>
        <v>2015-06-19-J09-SO-25</v>
      </c>
    </row>
    <row r="4933">
      <c r="A4933" t="str">
        <f>IFERROR(__xludf.DUMMYFUNCTION("""COMPUTED_VALUE"""),"2015-06-19-J09-SO-26")</f>
        <v>2015-06-19-J09-SO-26</v>
      </c>
    </row>
    <row r="4934">
      <c r="A4934" t="str">
        <f>IFERROR(__xludf.DUMMYFUNCTION("""COMPUTED_VALUE"""),"2015-06-19-J09-SO-27")</f>
        <v>2015-06-19-J09-SO-27</v>
      </c>
    </row>
    <row r="4935">
      <c r="A4935" t="str">
        <f>IFERROR(__xludf.DUMMYFUNCTION("""COMPUTED_VALUE"""),"2015-06-19-J09-SO-28")</f>
        <v>2015-06-19-J09-SO-28</v>
      </c>
    </row>
    <row r="4936">
      <c r="A4936" t="str">
        <f>IFERROR(__xludf.DUMMYFUNCTION("""COMPUTED_VALUE"""),"2015-06-19-J09-SO-29")</f>
        <v>2015-06-19-J09-SO-29</v>
      </c>
    </row>
    <row r="4937">
      <c r="A4937" t="str">
        <f>IFERROR(__xludf.DUMMYFUNCTION("""COMPUTED_VALUE"""),"2015-06-19-J09-SO-30")</f>
        <v>2015-06-19-J09-SO-30</v>
      </c>
    </row>
    <row r="4938">
      <c r="A4938" t="str">
        <f>IFERROR(__xludf.DUMMYFUNCTION("""COMPUTED_VALUE"""),"2015-06-19-J10-SO-1")</f>
        <v>2015-06-19-J10-SO-1</v>
      </c>
    </row>
    <row r="4939">
      <c r="A4939" t="str">
        <f>IFERROR(__xludf.DUMMYFUNCTION("""COMPUTED_VALUE"""),"2015-06-19-J10-SO-2")</f>
        <v>2015-06-19-J10-SO-2</v>
      </c>
    </row>
    <row r="4940">
      <c r="A4940" t="str">
        <f>IFERROR(__xludf.DUMMYFUNCTION("""COMPUTED_VALUE"""),"2015-06-19-J10-SO-3")</f>
        <v>2015-06-19-J10-SO-3</v>
      </c>
    </row>
    <row r="4941">
      <c r="A4941" t="str">
        <f>IFERROR(__xludf.DUMMYFUNCTION("""COMPUTED_VALUE"""),"2015-06-19-J10-SO-4")</f>
        <v>2015-06-19-J10-SO-4</v>
      </c>
    </row>
    <row r="4942">
      <c r="A4942" t="str">
        <f>IFERROR(__xludf.DUMMYFUNCTION("""COMPUTED_VALUE"""),"2015-06-19-J10-SO-5")</f>
        <v>2015-06-19-J10-SO-5</v>
      </c>
    </row>
    <row r="4943">
      <c r="A4943" t="str">
        <f>IFERROR(__xludf.DUMMYFUNCTION("""COMPUTED_VALUE"""),"2015-06-19-J10-SO-6")</f>
        <v>2015-06-19-J10-SO-6</v>
      </c>
    </row>
    <row r="4944">
      <c r="A4944" t="str">
        <f>IFERROR(__xludf.DUMMYFUNCTION("""COMPUTED_VALUE"""),"2015-06-19-J10-SO-7")</f>
        <v>2015-06-19-J10-SO-7</v>
      </c>
    </row>
    <row r="4945">
      <c r="A4945" t="str">
        <f>IFERROR(__xludf.DUMMYFUNCTION("""COMPUTED_VALUE"""),"2015-06-19-J10-SO-8")</f>
        <v>2015-06-19-J10-SO-8</v>
      </c>
    </row>
    <row r="4946">
      <c r="A4946" t="str">
        <f>IFERROR(__xludf.DUMMYFUNCTION("""COMPUTED_VALUE"""),"2015-06-19-J10-SO-9")</f>
        <v>2015-06-19-J10-SO-9</v>
      </c>
    </row>
    <row r="4947">
      <c r="A4947" t="str">
        <f>IFERROR(__xludf.DUMMYFUNCTION("""COMPUTED_VALUE"""),"2015-06-19-J10-SO-10")</f>
        <v>2015-06-19-J10-SO-10</v>
      </c>
    </row>
    <row r="4948">
      <c r="A4948" t="str">
        <f>IFERROR(__xludf.DUMMYFUNCTION("""COMPUTED_VALUE"""),"2015-06-19-J10-SO-11")</f>
        <v>2015-06-19-J10-SO-11</v>
      </c>
    </row>
    <row r="4949">
      <c r="A4949" t="str">
        <f>IFERROR(__xludf.DUMMYFUNCTION("""COMPUTED_VALUE"""),"2015-06-19-J10-SO-12")</f>
        <v>2015-06-19-J10-SO-12</v>
      </c>
    </row>
    <row r="4950">
      <c r="A4950" t="str">
        <f>IFERROR(__xludf.DUMMYFUNCTION("""COMPUTED_VALUE"""),"2015-06-19-J10-SO-13")</f>
        <v>2015-06-19-J10-SO-13</v>
      </c>
    </row>
    <row r="4951">
      <c r="A4951" t="str">
        <f>IFERROR(__xludf.DUMMYFUNCTION("""COMPUTED_VALUE"""),"2015-06-19-J10-SO-14")</f>
        <v>2015-06-19-J10-SO-14</v>
      </c>
    </row>
    <row r="4952">
      <c r="A4952" t="str">
        <f>IFERROR(__xludf.DUMMYFUNCTION("""COMPUTED_VALUE"""),"2015-06-19-J10-SO-15")</f>
        <v>2015-06-19-J10-SO-15</v>
      </c>
    </row>
    <row r="4953">
      <c r="A4953" t="str">
        <f>IFERROR(__xludf.DUMMYFUNCTION("""COMPUTED_VALUE"""),"2015-06-19-J10-SO-16")</f>
        <v>2015-06-19-J10-SO-16</v>
      </c>
    </row>
    <row r="4954">
      <c r="A4954" t="str">
        <f>IFERROR(__xludf.DUMMYFUNCTION("""COMPUTED_VALUE"""),"2015-06-19-J10-SO-17")</f>
        <v>2015-06-19-J10-SO-17</v>
      </c>
    </row>
    <row r="4955">
      <c r="A4955" t="str">
        <f>IFERROR(__xludf.DUMMYFUNCTION("""COMPUTED_VALUE"""),"2015-06-19-J10-SO-18")</f>
        <v>2015-06-19-J10-SO-18</v>
      </c>
    </row>
    <row r="4956">
      <c r="A4956" t="str">
        <f>IFERROR(__xludf.DUMMYFUNCTION("""COMPUTED_VALUE"""),"2015-06-19-J10-SO-19")</f>
        <v>2015-06-19-J10-SO-19</v>
      </c>
    </row>
    <row r="4957">
      <c r="A4957" t="str">
        <f>IFERROR(__xludf.DUMMYFUNCTION("""COMPUTED_VALUE"""),"2015-06-19-J10-SO-20")</f>
        <v>2015-06-19-J10-SO-20</v>
      </c>
    </row>
    <row r="4958">
      <c r="A4958" t="str">
        <f>IFERROR(__xludf.DUMMYFUNCTION("""COMPUTED_VALUE"""),"2015-06-19-J10-SO-21")</f>
        <v>2015-06-19-J10-SO-21</v>
      </c>
    </row>
    <row r="4959">
      <c r="A4959" t="str">
        <f>IFERROR(__xludf.DUMMYFUNCTION("""COMPUTED_VALUE"""),"2015-06-19-J10-SO-22")</f>
        <v>2015-06-19-J10-SO-22</v>
      </c>
    </row>
    <row r="4960">
      <c r="A4960" t="str">
        <f>IFERROR(__xludf.DUMMYFUNCTION("""COMPUTED_VALUE"""),"2015-06-19-J10-SO-23")</f>
        <v>2015-06-19-J10-SO-23</v>
      </c>
    </row>
    <row r="4961">
      <c r="A4961" t="str">
        <f>IFERROR(__xludf.DUMMYFUNCTION("""COMPUTED_VALUE"""),"2015-06-19-J10-SO-24")</f>
        <v>2015-06-19-J10-SO-24</v>
      </c>
    </row>
    <row r="4962">
      <c r="A4962" t="str">
        <f>IFERROR(__xludf.DUMMYFUNCTION("""COMPUTED_VALUE"""),"2015-06-19-J10-SO-25")</f>
        <v>2015-06-19-J10-SO-25</v>
      </c>
    </row>
    <row r="4963">
      <c r="A4963" t="str">
        <f>IFERROR(__xludf.DUMMYFUNCTION("""COMPUTED_VALUE"""),"2015-06-19-J10-SO-26")</f>
        <v>2015-06-19-J10-SO-26</v>
      </c>
    </row>
    <row r="4964">
      <c r="A4964" t="str">
        <f>IFERROR(__xludf.DUMMYFUNCTION("""COMPUTED_VALUE"""),"2015-06-19-J10-SO-27")</f>
        <v>2015-06-19-J10-SO-27</v>
      </c>
    </row>
    <row r="4965">
      <c r="A4965" t="str">
        <f>IFERROR(__xludf.DUMMYFUNCTION("""COMPUTED_VALUE"""),"2015-06-19-J10-SO-28")</f>
        <v>2015-06-19-J10-SO-28</v>
      </c>
    </row>
    <row r="4966">
      <c r="A4966" t="str">
        <f>IFERROR(__xludf.DUMMYFUNCTION("""COMPUTED_VALUE"""),"2015-06-19-J10-SO-29")</f>
        <v>2015-06-19-J10-SO-29</v>
      </c>
    </row>
    <row r="4967">
      <c r="A4967" t="str">
        <f>IFERROR(__xludf.DUMMYFUNCTION("""COMPUTED_VALUE"""),"2015-06-19-J10-SO-30")</f>
        <v>2015-06-19-J10-SO-30</v>
      </c>
    </row>
    <row r="4968">
      <c r="A4968" t="str">
        <f>IFERROR(__xludf.DUMMYFUNCTION("""COMPUTED_VALUE"""),"2015-06-19-J02-SO-1")</f>
        <v>2015-06-19-J02-SO-1</v>
      </c>
    </row>
    <row r="4969">
      <c r="A4969" t="str">
        <f>IFERROR(__xludf.DUMMYFUNCTION("""COMPUTED_VALUE"""),"2015-06-19-J02-SO-2")</f>
        <v>2015-06-19-J02-SO-2</v>
      </c>
    </row>
    <row r="4970">
      <c r="A4970" t="str">
        <f>IFERROR(__xludf.DUMMYFUNCTION("""COMPUTED_VALUE"""),"2015-06-19-J02-SO-3")</f>
        <v>2015-06-19-J02-SO-3</v>
      </c>
    </row>
    <row r="4971">
      <c r="A4971" t="str">
        <f>IFERROR(__xludf.DUMMYFUNCTION("""COMPUTED_VALUE"""),"2015-06-19-J02-SO-4")</f>
        <v>2015-06-19-J02-SO-4</v>
      </c>
    </row>
    <row r="4972">
      <c r="A4972" t="str">
        <f>IFERROR(__xludf.DUMMYFUNCTION("""COMPUTED_VALUE"""),"2015-06-19-J02-SO-5")</f>
        <v>2015-06-19-J02-SO-5</v>
      </c>
    </row>
    <row r="4973">
      <c r="A4973" t="str">
        <f>IFERROR(__xludf.DUMMYFUNCTION("""COMPUTED_VALUE"""),"2015-06-19-J02-SO-6")</f>
        <v>2015-06-19-J02-SO-6</v>
      </c>
    </row>
    <row r="4974">
      <c r="A4974" t="str">
        <f>IFERROR(__xludf.DUMMYFUNCTION("""COMPUTED_VALUE"""),"2015-06-19-J02-SO-7")</f>
        <v>2015-06-19-J02-SO-7</v>
      </c>
    </row>
    <row r="4975">
      <c r="A4975" t="str">
        <f>IFERROR(__xludf.DUMMYFUNCTION("""COMPUTED_VALUE"""),"2015-06-19-J02-SO-8")</f>
        <v>2015-06-19-J02-SO-8</v>
      </c>
    </row>
    <row r="4976">
      <c r="A4976" t="str">
        <f>IFERROR(__xludf.DUMMYFUNCTION("""COMPUTED_VALUE"""),"2015-06-19-J02-SO-9")</f>
        <v>2015-06-19-J02-SO-9</v>
      </c>
    </row>
    <row r="4977">
      <c r="A4977" t="str">
        <f>IFERROR(__xludf.DUMMYFUNCTION("""COMPUTED_VALUE"""),"2015-06-19-J02-SO-10")</f>
        <v>2015-06-19-J02-SO-10</v>
      </c>
    </row>
    <row r="4978">
      <c r="A4978" t="str">
        <f>IFERROR(__xludf.DUMMYFUNCTION("""COMPUTED_VALUE"""),"2015-06-19-J02-SO-11")</f>
        <v>2015-06-19-J02-SO-11</v>
      </c>
    </row>
    <row r="4979">
      <c r="A4979" t="str">
        <f>IFERROR(__xludf.DUMMYFUNCTION("""COMPUTED_VALUE"""),"2015-06-19-J02-SO-12")</f>
        <v>2015-06-19-J02-SO-12</v>
      </c>
    </row>
    <row r="4980">
      <c r="A4980" t="str">
        <f>IFERROR(__xludf.DUMMYFUNCTION("""COMPUTED_VALUE"""),"2015-06-19-J02-SO-13")</f>
        <v>2015-06-19-J02-SO-13</v>
      </c>
    </row>
    <row r="4981">
      <c r="A4981" t="str">
        <f>IFERROR(__xludf.DUMMYFUNCTION("""COMPUTED_VALUE"""),"2015-06-19-J02-SO-14")</f>
        <v>2015-06-19-J02-SO-14</v>
      </c>
    </row>
    <row r="4982">
      <c r="A4982" t="str">
        <f>IFERROR(__xludf.DUMMYFUNCTION("""COMPUTED_VALUE"""),"2015-06-19-J02-SO-15")</f>
        <v>2015-06-19-J02-SO-15</v>
      </c>
    </row>
    <row r="4983">
      <c r="A4983" t="str">
        <f>IFERROR(__xludf.DUMMYFUNCTION("""COMPUTED_VALUE"""),"2015-06-19-J02-SO-16")</f>
        <v>2015-06-19-J02-SO-16</v>
      </c>
    </row>
    <row r="4984">
      <c r="A4984" t="str">
        <f>IFERROR(__xludf.DUMMYFUNCTION("""COMPUTED_VALUE"""),"2015-06-19-J02-SO-17")</f>
        <v>2015-06-19-J02-SO-17</v>
      </c>
    </row>
    <row r="4985">
      <c r="A4985" t="str">
        <f>IFERROR(__xludf.DUMMYFUNCTION("""COMPUTED_VALUE"""),"2015-06-19-J02-SO-18")</f>
        <v>2015-06-19-J02-SO-18</v>
      </c>
    </row>
    <row r="4986">
      <c r="A4986" t="str">
        <f>IFERROR(__xludf.DUMMYFUNCTION("""COMPUTED_VALUE"""),"2015-06-19-J02-SO-19")</f>
        <v>2015-06-19-J02-SO-19</v>
      </c>
    </row>
    <row r="4987">
      <c r="A4987" t="str">
        <f>IFERROR(__xludf.DUMMYFUNCTION("""COMPUTED_VALUE"""),"2015-06-19-J02-SO-20")</f>
        <v>2015-06-19-J02-SO-20</v>
      </c>
    </row>
    <row r="4988">
      <c r="A4988" t="str">
        <f>IFERROR(__xludf.DUMMYFUNCTION("""COMPUTED_VALUE"""),"2015-06-19-J02-SO-21")</f>
        <v>2015-06-19-J02-SO-21</v>
      </c>
    </row>
    <row r="4989">
      <c r="A4989" t="str">
        <f>IFERROR(__xludf.DUMMYFUNCTION("""COMPUTED_VALUE"""),"2015-06-19-J02-SO-22")</f>
        <v>2015-06-19-J02-SO-22</v>
      </c>
    </row>
    <row r="4990">
      <c r="A4990" t="str">
        <f>IFERROR(__xludf.DUMMYFUNCTION("""COMPUTED_VALUE"""),"2015-06-19-J02-SO-23")</f>
        <v>2015-06-19-J02-SO-23</v>
      </c>
    </row>
    <row r="4991">
      <c r="A4991" t="str">
        <f>IFERROR(__xludf.DUMMYFUNCTION("""COMPUTED_VALUE"""),"2015-06-19-J02-SO-24")</f>
        <v>2015-06-19-J02-SO-24</v>
      </c>
    </row>
    <row r="4992">
      <c r="A4992" t="str">
        <f>IFERROR(__xludf.DUMMYFUNCTION("""COMPUTED_VALUE"""),"2015-06-19-J02-SO-25")</f>
        <v>2015-06-19-J02-SO-25</v>
      </c>
    </row>
    <row r="4993">
      <c r="A4993" t="str">
        <f>IFERROR(__xludf.DUMMYFUNCTION("""COMPUTED_VALUE"""),"2015-06-19-J02-SO-26")</f>
        <v>2015-06-19-J02-SO-26</v>
      </c>
    </row>
    <row r="4994">
      <c r="A4994" t="str">
        <f>IFERROR(__xludf.DUMMYFUNCTION("""COMPUTED_VALUE"""),"2015-06-19-J02-SO-27")</f>
        <v>2015-06-19-J02-SO-27</v>
      </c>
    </row>
    <row r="4995">
      <c r="A4995" t="str">
        <f>IFERROR(__xludf.DUMMYFUNCTION("""COMPUTED_VALUE"""),"2015-06-19-J02-SO-28")</f>
        <v>2015-06-19-J02-SO-28</v>
      </c>
    </row>
    <row r="4996">
      <c r="A4996" t="str">
        <f>IFERROR(__xludf.DUMMYFUNCTION("""COMPUTED_VALUE"""),"2015-06-19-J02-SO-29")</f>
        <v>2015-06-19-J02-SO-29</v>
      </c>
    </row>
    <row r="4997">
      <c r="A4997" t="str">
        <f>IFERROR(__xludf.DUMMYFUNCTION("""COMPUTED_VALUE"""),"2015-06-19-J02-SO-30")</f>
        <v>2015-06-19-J02-SO-30</v>
      </c>
    </row>
    <row r="4998">
      <c r="A4998" t="str">
        <f>IFERROR(__xludf.DUMMYFUNCTION("""COMPUTED_VALUE"""),"2015-06-19-J09-PI-1")</f>
        <v>2015-06-19-J09-PI-1</v>
      </c>
    </row>
    <row r="4999">
      <c r="A4999" t="str">
        <f>IFERROR(__xludf.DUMMYFUNCTION("""COMPUTED_VALUE"""),"2015-06-19-J09-PI-2")</f>
        <v>2015-06-19-J09-PI-2</v>
      </c>
    </row>
    <row r="5000">
      <c r="A5000" t="str">
        <f>IFERROR(__xludf.DUMMYFUNCTION("""COMPUTED_VALUE"""),"2015-06-19-J09-PI-3")</f>
        <v>2015-06-19-J09-PI-3</v>
      </c>
    </row>
    <row r="5001">
      <c r="A5001" t="str">
        <f>IFERROR(__xludf.DUMMYFUNCTION("""COMPUTED_VALUE"""),"2015-06-19-J09-PI-4")</f>
        <v>2015-06-19-J09-PI-4</v>
      </c>
    </row>
    <row r="5002">
      <c r="A5002" t="str">
        <f>IFERROR(__xludf.DUMMYFUNCTION("""COMPUTED_VALUE"""),"2015-06-19-J09-PI-5")</f>
        <v>2015-06-19-J09-PI-5</v>
      </c>
    </row>
    <row r="5003">
      <c r="A5003" t="str">
        <f>IFERROR(__xludf.DUMMYFUNCTION("""COMPUTED_VALUE"""),"2015-06-19-J09-PI-6")</f>
        <v>2015-06-19-J09-PI-6</v>
      </c>
    </row>
    <row r="5004">
      <c r="A5004" t="str">
        <f>IFERROR(__xludf.DUMMYFUNCTION("""COMPUTED_VALUE"""),"2015-06-19-J09-PI-7")</f>
        <v>2015-06-19-J09-PI-7</v>
      </c>
    </row>
    <row r="5005">
      <c r="A5005" t="str">
        <f>IFERROR(__xludf.DUMMYFUNCTION("""COMPUTED_VALUE"""),"2015-06-19-J09-PI-8")</f>
        <v>2015-06-19-J09-PI-8</v>
      </c>
    </row>
    <row r="5006">
      <c r="A5006" t="str">
        <f>IFERROR(__xludf.DUMMYFUNCTION("""COMPUTED_VALUE"""),"2015-06-19-J09-PI-9")</f>
        <v>2015-06-19-J09-PI-9</v>
      </c>
    </row>
    <row r="5007">
      <c r="A5007" t="str">
        <f>IFERROR(__xludf.DUMMYFUNCTION("""COMPUTED_VALUE"""),"2015-06-19-J09-PI-10")</f>
        <v>2015-06-19-J09-PI-10</v>
      </c>
    </row>
    <row r="5008">
      <c r="A5008" t="str">
        <f>IFERROR(__xludf.DUMMYFUNCTION("""COMPUTED_VALUE"""),"2015-06-19-J10-PI-1")</f>
        <v>2015-06-19-J10-PI-1</v>
      </c>
    </row>
    <row r="5009">
      <c r="A5009" t="str">
        <f>IFERROR(__xludf.DUMMYFUNCTION("""COMPUTED_VALUE"""),"2015-06-19-J10-PI-2")</f>
        <v>2015-06-19-J10-PI-2</v>
      </c>
    </row>
    <row r="5010">
      <c r="A5010" t="str">
        <f>IFERROR(__xludf.DUMMYFUNCTION("""COMPUTED_VALUE"""),"2015-06-19-J10-PI-3")</f>
        <v>2015-06-19-J10-PI-3</v>
      </c>
    </row>
    <row r="5011">
      <c r="A5011" t="str">
        <f>IFERROR(__xludf.DUMMYFUNCTION("""COMPUTED_VALUE"""),"2015-06-19-J10-PI-4")</f>
        <v>2015-06-19-J10-PI-4</v>
      </c>
    </row>
    <row r="5012">
      <c r="A5012" t="str">
        <f>IFERROR(__xludf.DUMMYFUNCTION("""COMPUTED_VALUE"""),"2015-06-19-J10-PI-5")</f>
        <v>2015-06-19-J10-PI-5</v>
      </c>
    </row>
    <row r="5013">
      <c r="A5013" t="str">
        <f>IFERROR(__xludf.DUMMYFUNCTION("""COMPUTED_VALUE"""),"2015-06-19-J10-PI-6")</f>
        <v>2015-06-19-J10-PI-6</v>
      </c>
    </row>
    <row r="5014">
      <c r="A5014" t="str">
        <f>IFERROR(__xludf.DUMMYFUNCTION("""COMPUTED_VALUE"""),"2015-06-19-J10-PI-7")</f>
        <v>2015-06-19-J10-PI-7</v>
      </c>
    </row>
    <row r="5015">
      <c r="A5015" t="str">
        <f>IFERROR(__xludf.DUMMYFUNCTION("""COMPUTED_VALUE"""),"2015-06-19-J10-PI-8")</f>
        <v>2015-06-19-J10-PI-8</v>
      </c>
    </row>
    <row r="5016">
      <c r="A5016" t="str">
        <f>IFERROR(__xludf.DUMMYFUNCTION("""COMPUTED_VALUE"""),"2015-06-19-J10-PI-9")</f>
        <v>2015-06-19-J10-PI-9</v>
      </c>
    </row>
    <row r="5017">
      <c r="A5017" t="str">
        <f>IFERROR(__xludf.DUMMYFUNCTION("""COMPUTED_VALUE"""),"2015-06-19-J10-PI-10")</f>
        <v>2015-06-19-J10-PI-10</v>
      </c>
    </row>
    <row r="5018">
      <c r="A5018" t="str">
        <f>IFERROR(__xludf.DUMMYFUNCTION("""COMPUTED_VALUE"""),"2015-06-19-J02-PI-1")</f>
        <v>2015-06-19-J02-PI-1</v>
      </c>
    </row>
    <row r="5019">
      <c r="A5019" t="str">
        <f>IFERROR(__xludf.DUMMYFUNCTION("""COMPUTED_VALUE"""),"2015-06-19-J02-PI-2")</f>
        <v>2015-06-19-J02-PI-2</v>
      </c>
    </row>
    <row r="5020">
      <c r="A5020" t="str">
        <f>IFERROR(__xludf.DUMMYFUNCTION("""COMPUTED_VALUE"""),"2015-06-19-J02-PI-3")</f>
        <v>2015-06-19-J02-PI-3</v>
      </c>
    </row>
    <row r="5021">
      <c r="A5021" t="str">
        <f>IFERROR(__xludf.DUMMYFUNCTION("""COMPUTED_VALUE"""),"2015-06-19-J02-PI-4")</f>
        <v>2015-06-19-J02-PI-4</v>
      </c>
    </row>
    <row r="5022">
      <c r="A5022" t="str">
        <f>IFERROR(__xludf.DUMMYFUNCTION("""COMPUTED_VALUE"""),"2015-06-19-J02-PI-5")</f>
        <v>2015-06-19-J02-PI-5</v>
      </c>
    </row>
    <row r="5023">
      <c r="A5023" t="str">
        <f>IFERROR(__xludf.DUMMYFUNCTION("""COMPUTED_VALUE"""),"2015-06-19-J02-PI-6")</f>
        <v>2015-06-19-J02-PI-6</v>
      </c>
    </row>
    <row r="5024">
      <c r="A5024" t="str">
        <f>IFERROR(__xludf.DUMMYFUNCTION("""COMPUTED_VALUE"""),"2015-06-19-J02-PI-7")</f>
        <v>2015-06-19-J02-PI-7</v>
      </c>
    </row>
    <row r="5025">
      <c r="A5025" t="str">
        <f>IFERROR(__xludf.DUMMYFUNCTION("""COMPUTED_VALUE"""),"2015-06-19-J02-PI-8")</f>
        <v>2015-06-19-J02-PI-8</v>
      </c>
    </row>
    <row r="5026">
      <c r="A5026" t="str">
        <f>IFERROR(__xludf.DUMMYFUNCTION("""COMPUTED_VALUE"""),"2015-06-19-J02-PI-9")</f>
        <v>2015-06-19-J02-PI-9</v>
      </c>
    </row>
    <row r="5027">
      <c r="A5027" t="str">
        <f>IFERROR(__xludf.DUMMYFUNCTION("""COMPUTED_VALUE"""),"2015-06-19-J02-PI-10")</f>
        <v>2015-06-19-J02-PI-10</v>
      </c>
    </row>
    <row r="5028">
      <c r="A5028" t="str">
        <f>IFERROR(__xludf.DUMMYFUNCTION("""COMPUTED_VALUE"""),"2015-06-19-D06-CU-1")</f>
        <v>2015-06-19-D06-CU-1</v>
      </c>
    </row>
    <row r="5029">
      <c r="A5029" t="str">
        <f>IFERROR(__xludf.DUMMYFUNCTION("""COMPUTED_VALUE"""),"2015-06-19-D06-CU-2")</f>
        <v>2015-06-19-D06-CU-2</v>
      </c>
    </row>
    <row r="5030">
      <c r="A5030" t="str">
        <f>IFERROR(__xludf.DUMMYFUNCTION("""COMPUTED_VALUE"""),"2015-06-19-D06-CU-3")</f>
        <v>2015-06-19-D06-CU-3</v>
      </c>
    </row>
    <row r="5031">
      <c r="A5031" t="str">
        <f>IFERROR(__xludf.DUMMYFUNCTION("""COMPUTED_VALUE"""),"2015-06-19-D06-CU-4")</f>
        <v>2015-06-19-D06-CU-4</v>
      </c>
    </row>
    <row r="5032">
      <c r="A5032" t="str">
        <f>IFERROR(__xludf.DUMMYFUNCTION("""COMPUTED_VALUE"""),"2015-06-19-D06-CU-5")</f>
        <v>2015-06-19-D06-CU-5</v>
      </c>
    </row>
    <row r="5033">
      <c r="A5033" t="str">
        <f>IFERROR(__xludf.DUMMYFUNCTION("""COMPUTED_VALUE"""),"2015-06-19-D06-CU-6")</f>
        <v>2015-06-19-D06-CU-6</v>
      </c>
    </row>
    <row r="5034">
      <c r="A5034" t="str">
        <f>IFERROR(__xludf.DUMMYFUNCTION("""COMPUTED_VALUE"""),"2015-06-19-D06-CU-7")</f>
        <v>2015-06-19-D06-CU-7</v>
      </c>
    </row>
    <row r="5035">
      <c r="A5035" t="str">
        <f>IFERROR(__xludf.DUMMYFUNCTION("""COMPUTED_VALUE"""),"2015-06-19-D06-CU-8")</f>
        <v>2015-06-19-D06-CU-8</v>
      </c>
    </row>
    <row r="5036">
      <c r="A5036" t="str">
        <f>IFERROR(__xludf.DUMMYFUNCTION("""COMPUTED_VALUE"""),"2015-06-19-D06-CU-9")</f>
        <v>2015-06-19-D06-CU-9</v>
      </c>
    </row>
    <row r="5037">
      <c r="A5037" t="str">
        <f>IFERROR(__xludf.DUMMYFUNCTION("""COMPUTED_VALUE"""),"2015-06-19-D06-CU-10")</f>
        <v>2015-06-19-D06-CU-10</v>
      </c>
    </row>
    <row r="5038">
      <c r="A5038" t="str">
        <f>IFERROR(__xludf.DUMMYFUNCTION("""COMPUTED_VALUE"""),"2015-06-19-J09-CU-1")</f>
        <v>2015-06-19-J09-CU-1</v>
      </c>
    </row>
    <row r="5039">
      <c r="A5039" t="str">
        <f>IFERROR(__xludf.DUMMYFUNCTION("""COMPUTED_VALUE"""),"2015-06-19-J09-CU-2")</f>
        <v>2015-06-19-J09-CU-2</v>
      </c>
    </row>
    <row r="5040">
      <c r="A5040" t="str">
        <f>IFERROR(__xludf.DUMMYFUNCTION("""COMPUTED_VALUE"""),"2015-06-19-J09-CU-3")</f>
        <v>2015-06-19-J09-CU-3</v>
      </c>
    </row>
    <row r="5041">
      <c r="A5041" t="str">
        <f>IFERROR(__xludf.DUMMYFUNCTION("""COMPUTED_VALUE"""),"2015-06-19-J09-CU-4")</f>
        <v>2015-06-19-J09-CU-4</v>
      </c>
    </row>
    <row r="5042">
      <c r="A5042" t="str">
        <f>IFERROR(__xludf.DUMMYFUNCTION("""COMPUTED_VALUE"""),"2015-06-19-J09-CU-5")</f>
        <v>2015-06-19-J09-CU-5</v>
      </c>
    </row>
    <row r="5043">
      <c r="A5043" t="str">
        <f>IFERROR(__xludf.DUMMYFUNCTION("""COMPUTED_VALUE"""),"2015-06-19-J09-CU-6")</f>
        <v>2015-06-19-J09-CU-6</v>
      </c>
    </row>
    <row r="5044">
      <c r="A5044" t="str">
        <f>IFERROR(__xludf.DUMMYFUNCTION("""COMPUTED_VALUE"""),"2015-06-19-J09-CU-7")</f>
        <v>2015-06-19-J09-CU-7</v>
      </c>
    </row>
    <row r="5045">
      <c r="A5045" t="str">
        <f>IFERROR(__xludf.DUMMYFUNCTION("""COMPUTED_VALUE"""),"2015-06-19-J09-CU-8")</f>
        <v>2015-06-19-J09-CU-8</v>
      </c>
    </row>
    <row r="5046">
      <c r="A5046" t="str">
        <f>IFERROR(__xludf.DUMMYFUNCTION("""COMPUTED_VALUE"""),"2015-06-19-J09-CU-9")</f>
        <v>2015-06-19-J09-CU-9</v>
      </c>
    </row>
    <row r="5047">
      <c r="A5047" t="str">
        <f>IFERROR(__xludf.DUMMYFUNCTION("""COMPUTED_VALUE"""),"2015-06-19-J09-CU-10")</f>
        <v>2015-06-19-J09-CU-10</v>
      </c>
    </row>
    <row r="5048">
      <c r="A5048" t="str">
        <f>IFERROR(__xludf.DUMMYFUNCTION("""COMPUTED_VALUE"""),"2015-06-19-J10-CU-1")</f>
        <v>2015-06-19-J10-CU-1</v>
      </c>
    </row>
    <row r="5049">
      <c r="A5049" t="str">
        <f>IFERROR(__xludf.DUMMYFUNCTION("""COMPUTED_VALUE"""),"2015-06-19-J10-CU-2")</f>
        <v>2015-06-19-J10-CU-2</v>
      </c>
    </row>
    <row r="5050">
      <c r="A5050" t="str">
        <f>IFERROR(__xludf.DUMMYFUNCTION("""COMPUTED_VALUE"""),"2015-06-19-J10-CU-3")</f>
        <v>2015-06-19-J10-CU-3</v>
      </c>
    </row>
    <row r="5051">
      <c r="A5051" t="str">
        <f>IFERROR(__xludf.DUMMYFUNCTION("""COMPUTED_VALUE"""),"2015-06-19-J10-CU-4")</f>
        <v>2015-06-19-J10-CU-4</v>
      </c>
    </row>
    <row r="5052">
      <c r="A5052" t="str">
        <f>IFERROR(__xludf.DUMMYFUNCTION("""COMPUTED_VALUE"""),"2015-06-19-J10-CU-5")</f>
        <v>2015-06-19-J10-CU-5</v>
      </c>
    </row>
    <row r="5053">
      <c r="A5053" t="str">
        <f>IFERROR(__xludf.DUMMYFUNCTION("""COMPUTED_VALUE"""),"2015-06-19-J10-CU-6")</f>
        <v>2015-06-19-J10-CU-6</v>
      </c>
    </row>
    <row r="5054">
      <c r="A5054" t="str">
        <f>IFERROR(__xludf.DUMMYFUNCTION("""COMPUTED_VALUE"""),"2015-06-19-J10-CU-7")</f>
        <v>2015-06-19-J10-CU-7</v>
      </c>
    </row>
    <row r="5055">
      <c r="A5055" t="str">
        <f>IFERROR(__xludf.DUMMYFUNCTION("""COMPUTED_VALUE"""),"2015-06-19-J10-CU-8")</f>
        <v>2015-06-19-J10-CU-8</v>
      </c>
    </row>
    <row r="5056">
      <c r="A5056" t="str">
        <f>IFERROR(__xludf.DUMMYFUNCTION("""COMPUTED_VALUE"""),"2015-06-19-J10-CU-9")</f>
        <v>2015-06-19-J10-CU-9</v>
      </c>
    </row>
    <row r="5057">
      <c r="A5057" t="str">
        <f>IFERROR(__xludf.DUMMYFUNCTION("""COMPUTED_VALUE"""),"2015-06-19-J10-CU-10")</f>
        <v>2015-06-19-J10-CU-10</v>
      </c>
    </row>
    <row r="5058">
      <c r="A5058" t="str">
        <f>IFERROR(__xludf.DUMMYFUNCTION("""COMPUTED_VALUE"""),"2015-06-19-J02-CU-1")</f>
        <v>2015-06-19-J02-CU-1</v>
      </c>
    </row>
    <row r="5059">
      <c r="A5059" t="str">
        <f>IFERROR(__xludf.DUMMYFUNCTION("""COMPUTED_VALUE"""),"2015-06-19-J02-CU-2")</f>
        <v>2015-06-19-J02-CU-2</v>
      </c>
    </row>
    <row r="5060">
      <c r="A5060" t="str">
        <f>IFERROR(__xludf.DUMMYFUNCTION("""COMPUTED_VALUE"""),"2015-06-19-J02-CU-3")</f>
        <v>2015-06-19-J02-CU-3</v>
      </c>
    </row>
    <row r="5061">
      <c r="A5061" t="str">
        <f>IFERROR(__xludf.DUMMYFUNCTION("""COMPUTED_VALUE"""),"2015-06-19-J02-CU-4")</f>
        <v>2015-06-19-J02-CU-4</v>
      </c>
    </row>
    <row r="5062">
      <c r="A5062" t="str">
        <f>IFERROR(__xludf.DUMMYFUNCTION("""COMPUTED_VALUE"""),"2015-06-19-J02-CU-5")</f>
        <v>2015-06-19-J02-CU-5</v>
      </c>
    </row>
    <row r="5063">
      <c r="A5063" t="str">
        <f>IFERROR(__xludf.DUMMYFUNCTION("""COMPUTED_VALUE"""),"2015-06-19-J02-CU-6")</f>
        <v>2015-06-19-J02-CU-6</v>
      </c>
    </row>
    <row r="5064">
      <c r="A5064" t="str">
        <f>IFERROR(__xludf.DUMMYFUNCTION("""COMPUTED_VALUE"""),"2015-06-19-J02-CU-7")</f>
        <v>2015-06-19-J02-CU-7</v>
      </c>
    </row>
    <row r="5065">
      <c r="A5065" t="str">
        <f>IFERROR(__xludf.DUMMYFUNCTION("""COMPUTED_VALUE"""),"2015-06-19-J02-CU-8")</f>
        <v>2015-06-19-J02-CU-8</v>
      </c>
    </row>
    <row r="5066">
      <c r="A5066" t="str">
        <f>IFERROR(__xludf.DUMMYFUNCTION("""COMPUTED_VALUE"""),"2015-06-19-J02-CU-9")</f>
        <v>2015-06-19-J02-CU-9</v>
      </c>
    </row>
    <row r="5067">
      <c r="A5067" t="str">
        <f>IFERROR(__xludf.DUMMYFUNCTION("""COMPUTED_VALUE"""),"2015-06-19-J02-CU-10")</f>
        <v>2015-06-19-J02-CU-10</v>
      </c>
    </row>
    <row r="5068">
      <c r="A5068" t="str">
        <f>IFERROR(__xludf.DUMMYFUNCTION("""COMPUTED_VALUE"""),"2015-06-19-J02-CO-1")</f>
        <v>2015-06-19-J02-CO-1</v>
      </c>
    </row>
    <row r="5069">
      <c r="A5069" t="str">
        <f>IFERROR(__xludf.DUMMYFUNCTION("""COMPUTED_VALUE"""),"2015-06-19-D06-HE-1")</f>
        <v>2015-06-19-D06-HE-1</v>
      </c>
    </row>
    <row r="5070">
      <c r="A5070" t="str">
        <f>IFERROR(__xludf.DUMMYFUNCTION("""COMPUTED_VALUE"""),"2015-06-19-J09-HE-1")</f>
        <v>2015-06-19-J09-HE-1</v>
      </c>
    </row>
    <row r="5071">
      <c r="A5071" t="str">
        <f>IFERROR(__xludf.DUMMYFUNCTION("""COMPUTED_VALUE"""),"2015-06-19-J10-HE-1")</f>
        <v>2015-06-19-J10-HE-1</v>
      </c>
    </row>
    <row r="5072">
      <c r="A5072" t="str">
        <f>IFERROR(__xludf.DUMMYFUNCTION("""COMPUTED_VALUE"""),"2015-06-19-J10-HE-2")</f>
        <v>2015-06-19-J10-HE-2</v>
      </c>
    </row>
    <row r="5073">
      <c r="A5073" t="str">
        <f>IFERROR(__xludf.DUMMYFUNCTION("""COMPUTED_VALUE"""),"2015-06-19-J10-HE-3")</f>
        <v>2015-06-19-J10-HE-3</v>
      </c>
    </row>
    <row r="5074">
      <c r="A5074" t="str">
        <f>IFERROR(__xludf.DUMMYFUNCTION("""COMPUTED_VALUE"""),"2015-06-19-J10-HE-4")</f>
        <v>2015-06-19-J10-HE-4</v>
      </c>
    </row>
    <row r="5075">
      <c r="A5075" t="str">
        <f>IFERROR(__xludf.DUMMYFUNCTION("""COMPUTED_VALUE"""),"2015-06-19-J10-HE-5")</f>
        <v>2015-06-19-J10-HE-5</v>
      </c>
    </row>
    <row r="5076">
      <c r="A5076" t="str">
        <f>IFERROR(__xludf.DUMMYFUNCTION("""COMPUTED_VALUE"""),"2015-06-19-J10-HE-6")</f>
        <v>2015-06-19-J10-HE-6</v>
      </c>
    </row>
    <row r="5077">
      <c r="A5077" t="str">
        <f>IFERROR(__xludf.DUMMYFUNCTION("""COMPUTED_VALUE"""),"2015-06-19-J10-HE-7")</f>
        <v>2015-06-19-J10-HE-7</v>
      </c>
    </row>
    <row r="5078">
      <c r="A5078" t="str">
        <f>IFERROR(__xludf.DUMMYFUNCTION("""COMPUTED_VALUE"""),"2015-06-19-J10-HE-8")</f>
        <v>2015-06-19-J10-HE-8</v>
      </c>
    </row>
    <row r="5079">
      <c r="A5079" t="str">
        <f>IFERROR(__xludf.DUMMYFUNCTION("""COMPUTED_VALUE"""),"2015-06-19-J02-HE-1")</f>
        <v>2015-06-19-J02-HE-1</v>
      </c>
    </row>
    <row r="5080">
      <c r="A5080" t="str">
        <f>IFERROR(__xludf.DUMMYFUNCTION("""COMPUTED_VALUE"""),"2015-06-19-J02-HE-2")</f>
        <v>2015-06-19-J02-HE-2</v>
      </c>
    </row>
    <row r="5081">
      <c r="A5081" t="str">
        <f>IFERROR(__xludf.DUMMYFUNCTION("""COMPUTED_VALUE"""),"2015-06-19-J02-HE-3")</f>
        <v>2015-06-19-J02-HE-3</v>
      </c>
    </row>
    <row r="5082">
      <c r="A5082" t="str">
        <f>IFERROR(__xludf.DUMMYFUNCTION("""COMPUTED_VALUE"""),"2015-06-19-J02-HE-4")</f>
        <v>2015-06-19-J02-HE-4</v>
      </c>
    </row>
    <row r="5083">
      <c r="A5083" t="str">
        <f>IFERROR(__xludf.DUMMYFUNCTION("""COMPUTED_VALUE"""),"2015-06-19-J02-HE-5")</f>
        <v>2015-06-19-J02-HE-5</v>
      </c>
    </row>
    <row r="5084">
      <c r="A5084" t="str">
        <f>IFERROR(__xludf.DUMMYFUNCTION("""COMPUTED_VALUE"""),"2015-06-19-J02-HE-6")</f>
        <v>2015-06-19-J02-HE-6</v>
      </c>
    </row>
    <row r="5085">
      <c r="A5085" t="str">
        <f>IFERROR(__xludf.DUMMYFUNCTION("""COMPUTED_VALUE"""),"2015-06-20-D11-SO-1")</f>
        <v>2015-06-20-D11-SO-1</v>
      </c>
    </row>
    <row r="5086">
      <c r="A5086" t="str">
        <f>IFERROR(__xludf.DUMMYFUNCTION("""COMPUTED_VALUE"""),"2015-06-20-D11-SO-2")</f>
        <v>2015-06-20-D11-SO-2</v>
      </c>
    </row>
    <row r="5087">
      <c r="A5087" t="str">
        <f>IFERROR(__xludf.DUMMYFUNCTION("""COMPUTED_VALUE"""),"2015-06-20-D11-SO-3")</f>
        <v>2015-06-20-D11-SO-3</v>
      </c>
    </row>
    <row r="5088">
      <c r="A5088" t="str">
        <f>IFERROR(__xludf.DUMMYFUNCTION("""COMPUTED_VALUE"""),"2015-06-20-D09-SO-1")</f>
        <v>2015-06-20-D09-SO-1</v>
      </c>
    </row>
    <row r="5089">
      <c r="A5089" t="str">
        <f>IFERROR(__xludf.DUMMYFUNCTION("""COMPUTED_VALUE"""),"2015-06-20-D09-SO-2")</f>
        <v>2015-06-20-D09-SO-2</v>
      </c>
    </row>
    <row r="5090">
      <c r="A5090" t="str">
        <f>IFERROR(__xludf.DUMMYFUNCTION("""COMPUTED_VALUE"""),"2015-06-20-D09-SO-3")</f>
        <v>2015-06-20-D09-SO-3</v>
      </c>
    </row>
    <row r="5091">
      <c r="A5091" t="str">
        <f>IFERROR(__xludf.DUMMYFUNCTION("""COMPUTED_VALUE"""),"2015-06-20-D09-SO-4")</f>
        <v>2015-06-20-D09-SO-4</v>
      </c>
    </row>
    <row r="5092">
      <c r="A5092" t="str">
        <f>IFERROR(__xludf.DUMMYFUNCTION("""COMPUTED_VALUE"""),"2015-06-20-D09-SO-5")</f>
        <v>2015-06-20-D09-SO-5</v>
      </c>
    </row>
    <row r="5093">
      <c r="A5093" t="str">
        <f>IFERROR(__xludf.DUMMYFUNCTION("""COMPUTED_VALUE"""),"2015-06-20-D09-SO-6")</f>
        <v>2015-06-20-D09-SO-6</v>
      </c>
    </row>
    <row r="5094">
      <c r="A5094" t="str">
        <f>IFERROR(__xludf.DUMMYFUNCTION("""COMPUTED_VALUE"""),"2015-06-20-D09-SO-7")</f>
        <v>2015-06-20-D09-SO-7</v>
      </c>
    </row>
    <row r="5095">
      <c r="A5095" t="str">
        <f>IFERROR(__xludf.DUMMYFUNCTION("""COMPUTED_VALUE"""),"2015-06-20-D09-SO-8")</f>
        <v>2015-06-20-D09-SO-8</v>
      </c>
    </row>
    <row r="5096">
      <c r="A5096" t="str">
        <f>IFERROR(__xludf.DUMMYFUNCTION("""COMPUTED_VALUE"""),"2015-06-20-D09-SO-9")</f>
        <v>2015-06-20-D09-SO-9</v>
      </c>
    </row>
    <row r="5097">
      <c r="A5097" t="str">
        <f>IFERROR(__xludf.DUMMYFUNCTION("""COMPUTED_VALUE"""),"2015-06-20-D09-SO-10")</f>
        <v>2015-06-20-D09-SO-10</v>
      </c>
    </row>
    <row r="5098">
      <c r="A5098" t="str">
        <f>IFERROR(__xludf.DUMMYFUNCTION("""COMPUTED_VALUE"""),"2015-06-20-D09-SO-11")</f>
        <v>2015-06-20-D09-SO-11</v>
      </c>
    </row>
    <row r="5099">
      <c r="A5099" t="str">
        <f>IFERROR(__xludf.DUMMYFUNCTION("""COMPUTED_VALUE"""),"2015-06-20-D09-SO-12")</f>
        <v>2015-06-20-D09-SO-12</v>
      </c>
    </row>
    <row r="5100">
      <c r="A5100" t="str">
        <f>IFERROR(__xludf.DUMMYFUNCTION("""COMPUTED_VALUE"""),"2015-06-20-D09-SO-13")</f>
        <v>2015-06-20-D09-SO-13</v>
      </c>
    </row>
    <row r="5101">
      <c r="A5101" t="str">
        <f>IFERROR(__xludf.DUMMYFUNCTION("""COMPUTED_VALUE"""),"2015-06-20-D09-SO-14")</f>
        <v>2015-06-20-D09-SO-14</v>
      </c>
    </row>
    <row r="5102">
      <c r="A5102" t="str">
        <f>IFERROR(__xludf.DUMMYFUNCTION("""COMPUTED_VALUE"""),"2015-06-20-D09-SO-15")</f>
        <v>2015-06-20-D09-SO-15</v>
      </c>
    </row>
    <row r="5103">
      <c r="A5103" t="str">
        <f>IFERROR(__xludf.DUMMYFUNCTION("""COMPUTED_VALUE"""),"2015-06-20-D09-SO-16")</f>
        <v>2015-06-20-D09-SO-16</v>
      </c>
    </row>
    <row r="5104">
      <c r="A5104" t="str">
        <f>IFERROR(__xludf.DUMMYFUNCTION("""COMPUTED_VALUE"""),"2015-06-20-D09-SO-17")</f>
        <v>2015-06-20-D09-SO-17</v>
      </c>
    </row>
    <row r="5105">
      <c r="A5105" t="str">
        <f>IFERROR(__xludf.DUMMYFUNCTION("""COMPUTED_VALUE"""),"2015-06-20-D09-SO-18")</f>
        <v>2015-06-20-D09-SO-18</v>
      </c>
    </row>
    <row r="5106">
      <c r="A5106" t="str">
        <f>IFERROR(__xludf.DUMMYFUNCTION("""COMPUTED_VALUE"""),"2015-06-20-D09-SO-19")</f>
        <v>2015-06-20-D09-SO-19</v>
      </c>
    </row>
    <row r="5107">
      <c r="A5107" t="str">
        <f>IFERROR(__xludf.DUMMYFUNCTION("""COMPUTED_VALUE"""),"2015-06-20-D09-SO-20")</f>
        <v>2015-06-20-D09-SO-20</v>
      </c>
    </row>
    <row r="5108">
      <c r="A5108" t="str">
        <f>IFERROR(__xludf.DUMMYFUNCTION("""COMPUTED_VALUE"""),"2015-06-20-D09-SO-21")</f>
        <v>2015-06-20-D09-SO-21</v>
      </c>
    </row>
    <row r="5109">
      <c r="A5109" t="str">
        <f>IFERROR(__xludf.DUMMYFUNCTION("""COMPUTED_VALUE"""),"2015-06-20-D09-SO-22")</f>
        <v>2015-06-20-D09-SO-22</v>
      </c>
    </row>
    <row r="5110">
      <c r="A5110" t="str">
        <f>IFERROR(__xludf.DUMMYFUNCTION("""COMPUTED_VALUE"""),"2015-06-20-D09-SO-23")</f>
        <v>2015-06-20-D09-SO-23</v>
      </c>
    </row>
    <row r="5111">
      <c r="A5111" t="str">
        <f>IFERROR(__xludf.DUMMYFUNCTION("""COMPUTED_VALUE"""),"2015-06-20-D09-SO-24")</f>
        <v>2015-06-20-D09-SO-24</v>
      </c>
    </row>
    <row r="5112">
      <c r="A5112" t="str">
        <f>IFERROR(__xludf.DUMMYFUNCTION("""COMPUTED_VALUE"""),"2015-06-20-D09-SO-25")</f>
        <v>2015-06-20-D09-SO-25</v>
      </c>
    </row>
    <row r="5113">
      <c r="A5113" t="str">
        <f>IFERROR(__xludf.DUMMYFUNCTION("""COMPUTED_VALUE"""),"2015-06-20-D09-SO-26")</f>
        <v>2015-06-20-D09-SO-26</v>
      </c>
    </row>
    <row r="5114">
      <c r="A5114" t="str">
        <f>IFERROR(__xludf.DUMMYFUNCTION("""COMPUTED_VALUE"""),"2015-06-20-D09-SO-27")</f>
        <v>2015-06-20-D09-SO-27</v>
      </c>
    </row>
    <row r="5115">
      <c r="A5115" t="str">
        <f>IFERROR(__xludf.DUMMYFUNCTION("""COMPUTED_VALUE"""),"2015-06-20-D09-SO-28")</f>
        <v>2015-06-20-D09-SO-28</v>
      </c>
    </row>
    <row r="5116">
      <c r="A5116" t="str">
        <f>IFERROR(__xludf.DUMMYFUNCTION("""COMPUTED_VALUE"""),"2015-06-20-D09-SO-29")</f>
        <v>2015-06-20-D09-SO-29</v>
      </c>
    </row>
    <row r="5117">
      <c r="A5117" t="str">
        <f>IFERROR(__xludf.DUMMYFUNCTION("""COMPUTED_VALUE"""),"2015-06-20-D09-SO-30")</f>
        <v>2015-06-20-D09-SO-30</v>
      </c>
    </row>
    <row r="5118">
      <c r="A5118" t="str">
        <f>IFERROR(__xludf.DUMMYFUNCTION("""COMPUTED_VALUE"""),"2015-06-20-J04-SO-1")</f>
        <v>2015-06-20-J04-SO-1</v>
      </c>
    </row>
    <row r="5119">
      <c r="A5119" t="str">
        <f>IFERROR(__xludf.DUMMYFUNCTION("""COMPUTED_VALUE"""),"2015-06-20-J04-SO-2")</f>
        <v>2015-06-20-J04-SO-2</v>
      </c>
    </row>
    <row r="5120">
      <c r="A5120" t="str">
        <f>IFERROR(__xludf.DUMMYFUNCTION("""COMPUTED_VALUE"""),"2015-06-20-J04-SO-3")</f>
        <v>2015-06-20-J04-SO-3</v>
      </c>
    </row>
    <row r="5121">
      <c r="A5121" t="str">
        <f>IFERROR(__xludf.DUMMYFUNCTION("""COMPUTED_VALUE"""),"2015-06-20-J04-SO-4")</f>
        <v>2015-06-20-J04-SO-4</v>
      </c>
    </row>
    <row r="5122">
      <c r="A5122" t="str">
        <f>IFERROR(__xludf.DUMMYFUNCTION("""COMPUTED_VALUE"""),"2015-06-20-J04-SO-5")</f>
        <v>2015-06-20-J04-SO-5</v>
      </c>
    </row>
    <row r="5123">
      <c r="A5123" t="str">
        <f>IFERROR(__xludf.DUMMYFUNCTION("""COMPUTED_VALUE"""),"2015-06-20-J04-SO-6")</f>
        <v>2015-06-20-J04-SO-6</v>
      </c>
    </row>
    <row r="5124">
      <c r="A5124" t="str">
        <f>IFERROR(__xludf.DUMMYFUNCTION("""COMPUTED_VALUE"""),"2015-06-20-J04-SO-7")</f>
        <v>2015-06-20-J04-SO-7</v>
      </c>
    </row>
    <row r="5125">
      <c r="A5125" t="str">
        <f>IFERROR(__xludf.DUMMYFUNCTION("""COMPUTED_VALUE"""),"2015-06-20-J04-SO-8")</f>
        <v>2015-06-20-J04-SO-8</v>
      </c>
    </row>
    <row r="5126">
      <c r="A5126" t="str">
        <f>IFERROR(__xludf.DUMMYFUNCTION("""COMPUTED_VALUE"""),"2015-06-20-J04-SO-9")</f>
        <v>2015-06-20-J04-SO-9</v>
      </c>
    </row>
    <row r="5127">
      <c r="A5127" t="str">
        <f>IFERROR(__xludf.DUMMYFUNCTION("""COMPUTED_VALUE"""),"2015-06-20-J04-SO-10")</f>
        <v>2015-06-20-J04-SO-10</v>
      </c>
    </row>
    <row r="5128">
      <c r="A5128" t="str">
        <f>IFERROR(__xludf.DUMMYFUNCTION("""COMPUTED_VALUE"""),"2015-06-20-J04-SO-11")</f>
        <v>2015-06-20-J04-SO-11</v>
      </c>
    </row>
    <row r="5129">
      <c r="A5129" t="str">
        <f>IFERROR(__xludf.DUMMYFUNCTION("""COMPUTED_VALUE"""),"2015-06-20-J04-SO-12")</f>
        <v>2015-06-20-J04-SO-12</v>
      </c>
    </row>
    <row r="5130">
      <c r="A5130" t="str">
        <f>IFERROR(__xludf.DUMMYFUNCTION("""COMPUTED_VALUE"""),"2015-06-20-J04-SO-13")</f>
        <v>2015-06-20-J04-SO-13</v>
      </c>
    </row>
    <row r="5131">
      <c r="A5131" t="str">
        <f>IFERROR(__xludf.DUMMYFUNCTION("""COMPUTED_VALUE"""),"2015-06-20-J04-SO-14")</f>
        <v>2015-06-20-J04-SO-14</v>
      </c>
    </row>
    <row r="5132">
      <c r="A5132" t="str">
        <f>IFERROR(__xludf.DUMMYFUNCTION("""COMPUTED_VALUE"""),"2015-06-20-J04-SO-15")</f>
        <v>2015-06-20-J04-SO-15</v>
      </c>
    </row>
    <row r="5133">
      <c r="A5133" t="str">
        <f>IFERROR(__xludf.DUMMYFUNCTION("""COMPUTED_VALUE"""),"2015-06-20-J04-SO-16")</f>
        <v>2015-06-20-J04-SO-16</v>
      </c>
    </row>
    <row r="5134">
      <c r="A5134" t="str">
        <f>IFERROR(__xludf.DUMMYFUNCTION("""COMPUTED_VALUE"""),"2015-06-20-J04-SO-17")</f>
        <v>2015-06-20-J04-SO-17</v>
      </c>
    </row>
    <row r="5135">
      <c r="A5135" t="str">
        <f>IFERROR(__xludf.DUMMYFUNCTION("""COMPUTED_VALUE"""),"2015-06-20-J04-SO-18")</f>
        <v>2015-06-20-J04-SO-18</v>
      </c>
    </row>
    <row r="5136">
      <c r="A5136" t="str">
        <f>IFERROR(__xludf.DUMMYFUNCTION("""COMPUTED_VALUE"""),"2015-06-20-J04-SO-19")</f>
        <v>2015-06-20-J04-SO-19</v>
      </c>
    </row>
    <row r="5137">
      <c r="A5137" t="str">
        <f>IFERROR(__xludf.DUMMYFUNCTION("""COMPUTED_VALUE"""),"2015-06-20-J04-SO-20")</f>
        <v>2015-06-20-J04-SO-20</v>
      </c>
    </row>
    <row r="5138">
      <c r="A5138" t="str">
        <f>IFERROR(__xludf.DUMMYFUNCTION("""COMPUTED_VALUE"""),"2015-06-20-J04-SO-21")</f>
        <v>2015-06-20-J04-SO-21</v>
      </c>
    </row>
    <row r="5139">
      <c r="A5139" t="str">
        <f>IFERROR(__xludf.DUMMYFUNCTION("""COMPUTED_VALUE"""),"2015-06-20-J04-SO-22")</f>
        <v>2015-06-20-J04-SO-22</v>
      </c>
    </row>
    <row r="5140">
      <c r="A5140" t="str">
        <f>IFERROR(__xludf.DUMMYFUNCTION("""COMPUTED_VALUE"""),"2015-06-20-J04-SO-23")</f>
        <v>2015-06-20-J04-SO-23</v>
      </c>
    </row>
    <row r="5141">
      <c r="A5141" t="str">
        <f>IFERROR(__xludf.DUMMYFUNCTION("""COMPUTED_VALUE"""),"2015-06-20-J04-SO-24")</f>
        <v>2015-06-20-J04-SO-24</v>
      </c>
    </row>
    <row r="5142">
      <c r="A5142" t="str">
        <f>IFERROR(__xludf.DUMMYFUNCTION("""COMPUTED_VALUE"""),"2015-06-20-J04-SO-25")</f>
        <v>2015-06-20-J04-SO-25</v>
      </c>
    </row>
    <row r="5143">
      <c r="A5143" t="str">
        <f>IFERROR(__xludf.DUMMYFUNCTION("""COMPUTED_VALUE"""),"2015-06-20-J04-SO-26")</f>
        <v>2015-06-20-J04-SO-26</v>
      </c>
    </row>
    <row r="5144">
      <c r="A5144" t="str">
        <f>IFERROR(__xludf.DUMMYFUNCTION("""COMPUTED_VALUE"""),"2015-06-20-J04-SO-27")</f>
        <v>2015-06-20-J04-SO-27</v>
      </c>
    </row>
    <row r="5145">
      <c r="A5145" t="str">
        <f>IFERROR(__xludf.DUMMYFUNCTION("""COMPUTED_VALUE"""),"2015-06-20-J04-SO-28")</f>
        <v>2015-06-20-J04-SO-28</v>
      </c>
    </row>
    <row r="5146">
      <c r="A5146" t="str">
        <f>IFERROR(__xludf.DUMMYFUNCTION("""COMPUTED_VALUE"""),"2015-06-20-J04-SO-29")</f>
        <v>2015-06-20-J04-SO-29</v>
      </c>
    </row>
    <row r="5147">
      <c r="A5147" t="str">
        <f>IFERROR(__xludf.DUMMYFUNCTION("""COMPUTED_VALUE"""),"2015-06-20-J04-SO-30")</f>
        <v>2015-06-20-J04-SO-30</v>
      </c>
    </row>
    <row r="5148">
      <c r="A5148" t="str">
        <f>IFERROR(__xludf.DUMMYFUNCTION("""COMPUTED_VALUE"""),"2015-06-20-J08-SO-1")</f>
        <v>2015-06-20-J08-SO-1</v>
      </c>
    </row>
    <row r="5149">
      <c r="A5149" t="str">
        <f>IFERROR(__xludf.DUMMYFUNCTION("""COMPUTED_VALUE"""),"2015-06-20-J08-SO-2")</f>
        <v>2015-06-20-J08-SO-2</v>
      </c>
    </row>
    <row r="5150">
      <c r="A5150" t="str">
        <f>IFERROR(__xludf.DUMMYFUNCTION("""COMPUTED_VALUE"""),"2015-06-20-J08-SO-3")</f>
        <v>2015-06-20-J08-SO-3</v>
      </c>
    </row>
    <row r="5151">
      <c r="A5151" t="str">
        <f>IFERROR(__xludf.DUMMYFUNCTION("""COMPUTED_VALUE"""),"2015-06-20-J08-SO-4")</f>
        <v>2015-06-20-J08-SO-4</v>
      </c>
    </row>
    <row r="5152">
      <c r="A5152" t="str">
        <f>IFERROR(__xludf.DUMMYFUNCTION("""COMPUTED_VALUE"""),"2015-06-20-J08-SO-5")</f>
        <v>2015-06-20-J08-SO-5</v>
      </c>
    </row>
    <row r="5153">
      <c r="A5153" t="str">
        <f>IFERROR(__xludf.DUMMYFUNCTION("""COMPUTED_VALUE"""),"2015-06-20-J07-SO-1")</f>
        <v>2015-06-20-J07-SO-1</v>
      </c>
    </row>
    <row r="5154">
      <c r="A5154" t="str">
        <f>IFERROR(__xludf.DUMMYFUNCTION("""COMPUTED_VALUE"""),"2015-06-20-J07-SO-2")</f>
        <v>2015-06-20-J07-SO-2</v>
      </c>
    </row>
    <row r="5155">
      <c r="A5155" t="str">
        <f>IFERROR(__xludf.DUMMYFUNCTION("""COMPUTED_VALUE"""),"2015-06-20-J07-SO-3")</f>
        <v>2015-06-20-J07-SO-3</v>
      </c>
    </row>
    <row r="5156">
      <c r="A5156" t="str">
        <f>IFERROR(__xludf.DUMMYFUNCTION("""COMPUTED_VALUE"""),"2015-06-20-J07-SO-4")</f>
        <v>2015-06-20-J07-SO-4</v>
      </c>
    </row>
    <row r="5157">
      <c r="A5157" t="str">
        <f>IFERROR(__xludf.DUMMYFUNCTION("""COMPUTED_VALUE"""),"2015-06-20-J07-SO-5")</f>
        <v>2015-06-20-J07-SO-5</v>
      </c>
    </row>
    <row r="5158">
      <c r="A5158" t="str">
        <f>IFERROR(__xludf.DUMMYFUNCTION("""COMPUTED_VALUE"""),"2015-06-20-J07-SO-6")</f>
        <v>2015-06-20-J07-SO-6</v>
      </c>
    </row>
    <row r="5159">
      <c r="A5159" t="str">
        <f>IFERROR(__xludf.DUMMYFUNCTION("""COMPUTED_VALUE"""),"2015-06-20-J07-SO-7")</f>
        <v>2015-06-20-J07-SO-7</v>
      </c>
    </row>
    <row r="5160">
      <c r="A5160" t="str">
        <f>IFERROR(__xludf.DUMMYFUNCTION("""COMPUTED_VALUE"""),"2015-06-20-J07-SO-8")</f>
        <v>2015-06-20-J07-SO-8</v>
      </c>
    </row>
    <row r="5161">
      <c r="A5161" t="str">
        <f>IFERROR(__xludf.DUMMYFUNCTION("""COMPUTED_VALUE"""),"2015-06-20-J07-SO-9")</f>
        <v>2015-06-20-J07-SO-9</v>
      </c>
    </row>
    <row r="5162">
      <c r="A5162" t="str">
        <f>IFERROR(__xludf.DUMMYFUNCTION("""COMPUTED_VALUE"""),"2015-06-20-J07-SO-10")</f>
        <v>2015-06-20-J07-SO-10</v>
      </c>
    </row>
    <row r="5163">
      <c r="A5163" t="str">
        <f>IFERROR(__xludf.DUMMYFUNCTION("""COMPUTED_VALUE"""),"2015-06-20-J07-SO-11")</f>
        <v>2015-06-20-J07-SO-11</v>
      </c>
    </row>
    <row r="5164">
      <c r="A5164" t="str">
        <f>IFERROR(__xludf.DUMMYFUNCTION("""COMPUTED_VALUE"""),"2015-06-20-J07-SO-12")</f>
        <v>2015-06-20-J07-SO-12</v>
      </c>
    </row>
    <row r="5165">
      <c r="A5165" t="str">
        <f>IFERROR(__xludf.DUMMYFUNCTION("""COMPUTED_VALUE"""),"2015-06-20-J07-SO-13")</f>
        <v>2015-06-20-J07-SO-13</v>
      </c>
    </row>
    <row r="5166">
      <c r="A5166" t="str">
        <f>IFERROR(__xludf.DUMMYFUNCTION("""COMPUTED_VALUE"""),"2015-06-20-J07-SO-14")</f>
        <v>2015-06-20-J07-SO-14</v>
      </c>
    </row>
    <row r="5167">
      <c r="A5167" t="str">
        <f>IFERROR(__xludf.DUMMYFUNCTION("""COMPUTED_VALUE"""),"2015-06-20-J07-SO-15")</f>
        <v>2015-06-20-J07-SO-15</v>
      </c>
    </row>
    <row r="5168">
      <c r="A5168" t="str">
        <f>IFERROR(__xludf.DUMMYFUNCTION("""COMPUTED_VALUE"""),"2015-06-20-J07-SO-16")</f>
        <v>2015-06-20-J07-SO-16</v>
      </c>
    </row>
    <row r="5169">
      <c r="A5169" t="str">
        <f>IFERROR(__xludf.DUMMYFUNCTION("""COMPUTED_VALUE"""),"2015-06-20-J07-SO-17")</f>
        <v>2015-06-20-J07-SO-17</v>
      </c>
    </row>
    <row r="5170">
      <c r="A5170" t="str">
        <f>IFERROR(__xludf.DUMMYFUNCTION("""COMPUTED_VALUE"""),"2015-06-20-J07-SO-18")</f>
        <v>2015-06-20-J07-SO-18</v>
      </c>
    </row>
    <row r="5171">
      <c r="A5171" t="str">
        <f>IFERROR(__xludf.DUMMYFUNCTION("""COMPUTED_VALUE"""),"2015-06-20-J07-SO-19")</f>
        <v>2015-06-20-J07-SO-19</v>
      </c>
    </row>
    <row r="5172">
      <c r="A5172" t="str">
        <f>IFERROR(__xludf.DUMMYFUNCTION("""COMPUTED_VALUE"""),"2015-06-20-J07-SO-20")</f>
        <v>2015-06-20-J07-SO-20</v>
      </c>
    </row>
    <row r="5173">
      <c r="A5173" t="str">
        <f>IFERROR(__xludf.DUMMYFUNCTION("""COMPUTED_VALUE"""),"2015-06-20-J07-SO-21")</f>
        <v>2015-06-20-J07-SO-21</v>
      </c>
    </row>
    <row r="5174">
      <c r="A5174" t="str">
        <f>IFERROR(__xludf.DUMMYFUNCTION("""COMPUTED_VALUE"""),"2015-06-20-J07-SO-22")</f>
        <v>2015-06-20-J07-SO-22</v>
      </c>
    </row>
    <row r="5175">
      <c r="A5175" t="str">
        <f>IFERROR(__xludf.DUMMYFUNCTION("""COMPUTED_VALUE"""),"2015-06-20-J07-SO-23")</f>
        <v>2015-06-20-J07-SO-23</v>
      </c>
    </row>
    <row r="5176">
      <c r="A5176" t="str">
        <f>IFERROR(__xludf.DUMMYFUNCTION("""COMPUTED_VALUE"""),"2015-06-20-J07-SO-24")</f>
        <v>2015-06-20-J07-SO-24</v>
      </c>
    </row>
    <row r="5177">
      <c r="A5177" t="str">
        <f>IFERROR(__xludf.DUMMYFUNCTION("""COMPUTED_VALUE"""),"2015-06-20-D11-PI-1")</f>
        <v>2015-06-20-D11-PI-1</v>
      </c>
    </row>
    <row r="5178">
      <c r="A5178" t="str">
        <f>IFERROR(__xludf.DUMMYFUNCTION("""COMPUTED_VALUE"""),"2015-06-20-D11-PI-2")</f>
        <v>2015-06-20-D11-PI-2</v>
      </c>
    </row>
    <row r="5179">
      <c r="A5179" t="str">
        <f>IFERROR(__xludf.DUMMYFUNCTION("""COMPUTED_VALUE"""),"2015-06-20-J04-PI-1")</f>
        <v>2015-06-20-J04-PI-1</v>
      </c>
    </row>
    <row r="5180">
      <c r="A5180" t="str">
        <f>IFERROR(__xludf.DUMMYFUNCTION("""COMPUTED_VALUE"""),"2015-06-20-J04-PI-2")</f>
        <v>2015-06-20-J04-PI-2</v>
      </c>
    </row>
    <row r="5181">
      <c r="A5181" t="str">
        <f>IFERROR(__xludf.DUMMYFUNCTION("""COMPUTED_VALUE"""),"2015-06-20-J04-PI-3")</f>
        <v>2015-06-20-J04-PI-3</v>
      </c>
    </row>
    <row r="5182">
      <c r="A5182" t="str">
        <f>IFERROR(__xludf.DUMMYFUNCTION("""COMPUTED_VALUE"""),"2015-06-20-J04-PI-4")</f>
        <v>2015-06-20-J04-PI-4</v>
      </c>
    </row>
    <row r="5183">
      <c r="A5183" t="str">
        <f>IFERROR(__xludf.DUMMYFUNCTION("""COMPUTED_VALUE"""),"2015-06-20-J04-PI-5")</f>
        <v>2015-06-20-J04-PI-5</v>
      </c>
    </row>
    <row r="5184">
      <c r="A5184" t="str">
        <f>IFERROR(__xludf.DUMMYFUNCTION("""COMPUTED_VALUE"""),"2015-06-20-J04-PI-6")</f>
        <v>2015-06-20-J04-PI-6</v>
      </c>
    </row>
    <row r="5185">
      <c r="A5185" t="str">
        <f>IFERROR(__xludf.DUMMYFUNCTION("""COMPUTED_VALUE"""),"2015-06-20-J04-PI-7")</f>
        <v>2015-06-20-J04-PI-7</v>
      </c>
    </row>
    <row r="5186">
      <c r="A5186" t="str">
        <f>IFERROR(__xludf.DUMMYFUNCTION("""COMPUTED_VALUE"""),"2015-06-20-J04-PI-8")</f>
        <v>2015-06-20-J04-PI-8</v>
      </c>
    </row>
    <row r="5187">
      <c r="A5187" t="str">
        <f>IFERROR(__xludf.DUMMYFUNCTION("""COMPUTED_VALUE"""),"2015-06-20-J04-PI-9")</f>
        <v>2015-06-20-J04-PI-9</v>
      </c>
    </row>
    <row r="5188">
      <c r="A5188" t="str">
        <f>IFERROR(__xludf.DUMMYFUNCTION("""COMPUTED_VALUE"""),"2015-06-20-J04-PI-10")</f>
        <v>2015-06-20-J04-PI-10</v>
      </c>
    </row>
    <row r="5189">
      <c r="A5189" t="str">
        <f>IFERROR(__xludf.DUMMYFUNCTION("""COMPUTED_VALUE"""),"2015-06-20-J08-PI-1")</f>
        <v>2015-06-20-J08-PI-1</v>
      </c>
    </row>
    <row r="5190">
      <c r="A5190" t="str">
        <f>IFERROR(__xludf.DUMMYFUNCTION("""COMPUTED_VALUE"""),"2015-06-20-J08-PI-2")</f>
        <v>2015-06-20-J08-PI-2</v>
      </c>
    </row>
    <row r="5191">
      <c r="A5191" t="str">
        <f>IFERROR(__xludf.DUMMYFUNCTION("""COMPUTED_VALUE"""),"2015-06-20-J08-PI-3")</f>
        <v>2015-06-20-J08-PI-3</v>
      </c>
    </row>
    <row r="5192">
      <c r="A5192" t="str">
        <f>IFERROR(__xludf.DUMMYFUNCTION("""COMPUTED_VALUE"""),"2015-06-20-J08-PI-4")</f>
        <v>2015-06-20-J08-PI-4</v>
      </c>
    </row>
    <row r="5193">
      <c r="A5193" t="str">
        <f>IFERROR(__xludf.DUMMYFUNCTION("""COMPUTED_VALUE"""),"2015-06-20-J08-PI-5")</f>
        <v>2015-06-20-J08-PI-5</v>
      </c>
    </row>
    <row r="5194">
      <c r="A5194" t="str">
        <f>IFERROR(__xludf.DUMMYFUNCTION("""COMPUTED_VALUE"""),"2015-06-20-J08-PI-6")</f>
        <v>2015-06-20-J08-PI-6</v>
      </c>
    </row>
    <row r="5195">
      <c r="A5195" t="str">
        <f>IFERROR(__xludf.DUMMYFUNCTION("""COMPUTED_VALUE"""),"2015-06-20-J08-PI-7")</f>
        <v>2015-06-20-J08-PI-7</v>
      </c>
    </row>
    <row r="5196">
      <c r="A5196" t="str">
        <f>IFERROR(__xludf.DUMMYFUNCTION("""COMPUTED_VALUE"""),"2015-06-20-J08-PI-8")</f>
        <v>2015-06-20-J08-PI-8</v>
      </c>
    </row>
    <row r="5197">
      <c r="A5197" t="str">
        <f>IFERROR(__xludf.DUMMYFUNCTION("""COMPUTED_VALUE"""),"2015-06-20-J08-PI-9")</f>
        <v>2015-06-20-J08-PI-9</v>
      </c>
    </row>
    <row r="5198">
      <c r="A5198" t="str">
        <f>IFERROR(__xludf.DUMMYFUNCTION("""COMPUTED_VALUE"""),"2015-06-20-J08-PI-10")</f>
        <v>2015-06-20-J08-PI-10</v>
      </c>
    </row>
    <row r="5199">
      <c r="A5199" t="str">
        <f>IFERROR(__xludf.DUMMYFUNCTION("""COMPUTED_VALUE"""),"2015-06-20-J07-PI-1")</f>
        <v>2015-06-20-J07-PI-1</v>
      </c>
    </row>
    <row r="5200">
      <c r="A5200" t="str">
        <f>IFERROR(__xludf.DUMMYFUNCTION("""COMPUTED_VALUE"""),"2015-06-20-J07-PI-2")</f>
        <v>2015-06-20-J07-PI-2</v>
      </c>
    </row>
    <row r="5201">
      <c r="A5201" t="str">
        <f>IFERROR(__xludf.DUMMYFUNCTION("""COMPUTED_VALUE"""),"2015-06-20-J07-PI-3")</f>
        <v>2015-06-20-J07-PI-3</v>
      </c>
    </row>
    <row r="5202">
      <c r="A5202" t="str">
        <f>IFERROR(__xludf.DUMMYFUNCTION("""COMPUTED_VALUE"""),"2015-06-20-J07-PI-4")</f>
        <v>2015-06-20-J07-PI-4</v>
      </c>
    </row>
    <row r="5203">
      <c r="A5203" t="str">
        <f>IFERROR(__xludf.DUMMYFUNCTION("""COMPUTED_VALUE"""),"2015-06-20-J07-PI-5")</f>
        <v>2015-06-20-J07-PI-5</v>
      </c>
    </row>
    <row r="5204">
      <c r="A5204" t="str">
        <f>IFERROR(__xludf.DUMMYFUNCTION("""COMPUTED_VALUE"""),"2015-06-20-J07-PI-6")</f>
        <v>2015-06-20-J07-PI-6</v>
      </c>
    </row>
    <row r="5205">
      <c r="A5205" t="str">
        <f>IFERROR(__xludf.DUMMYFUNCTION("""COMPUTED_VALUE"""),"2015-06-20-J07-PI-7")</f>
        <v>2015-06-20-J07-PI-7</v>
      </c>
    </row>
    <row r="5206">
      <c r="A5206" t="str">
        <f>IFERROR(__xludf.DUMMYFUNCTION("""COMPUTED_VALUE"""),"2015-06-20-J07-PI-8")</f>
        <v>2015-06-20-J07-PI-8</v>
      </c>
    </row>
    <row r="5207">
      <c r="A5207" t="str">
        <f>IFERROR(__xludf.DUMMYFUNCTION("""COMPUTED_VALUE"""),"2015-06-20-J07-PI-9")</f>
        <v>2015-06-20-J07-PI-9</v>
      </c>
    </row>
    <row r="5208">
      <c r="A5208" t="str">
        <f>IFERROR(__xludf.DUMMYFUNCTION("""COMPUTED_VALUE"""),"2015-06-20-J07-PI-10")</f>
        <v>2015-06-20-J07-PI-10</v>
      </c>
    </row>
    <row r="5209">
      <c r="A5209" t="str">
        <f>IFERROR(__xludf.DUMMYFUNCTION("""COMPUTED_VALUE"""),"2015-06-20-D11-CU-1")</f>
        <v>2015-06-20-D11-CU-1</v>
      </c>
    </row>
    <row r="5210">
      <c r="A5210" t="str">
        <f>IFERROR(__xludf.DUMMYFUNCTION("""COMPUTED_VALUE"""),"2015-06-20-D11-CU-2")</f>
        <v>2015-06-20-D11-CU-2</v>
      </c>
    </row>
    <row r="5211">
      <c r="A5211" t="str">
        <f>IFERROR(__xludf.DUMMYFUNCTION("""COMPUTED_VALUE"""),"2015-06-20-D11-CU-3")</f>
        <v>2015-06-20-D11-CU-3</v>
      </c>
    </row>
    <row r="5212">
      <c r="A5212" t="str">
        <f>IFERROR(__xludf.DUMMYFUNCTION("""COMPUTED_VALUE"""),"2015-06-20-D11-CU-4")</f>
        <v>2015-06-20-D11-CU-4</v>
      </c>
    </row>
    <row r="5213">
      <c r="A5213" t="str">
        <f>IFERROR(__xludf.DUMMYFUNCTION("""COMPUTED_VALUE"""),"2015-06-20-D11-CU-5")</f>
        <v>2015-06-20-D11-CU-5</v>
      </c>
    </row>
    <row r="5214">
      <c r="A5214" t="str">
        <f>IFERROR(__xludf.DUMMYFUNCTION("""COMPUTED_VALUE"""),"2015-06-20-D11-CU-6")</f>
        <v>2015-06-20-D11-CU-6</v>
      </c>
    </row>
    <row r="5215">
      <c r="A5215" t="str">
        <f>IFERROR(__xludf.DUMMYFUNCTION("""COMPUTED_VALUE"""),"2015-06-20-D11-CU-7")</f>
        <v>2015-06-20-D11-CU-7</v>
      </c>
    </row>
    <row r="5216">
      <c r="A5216" t="str">
        <f>IFERROR(__xludf.DUMMYFUNCTION("""COMPUTED_VALUE"""),"2015-06-20-D11-CU-8")</f>
        <v>2015-06-20-D11-CU-8</v>
      </c>
    </row>
    <row r="5217">
      <c r="A5217" t="str">
        <f>IFERROR(__xludf.DUMMYFUNCTION("""COMPUTED_VALUE"""),"2015-06-20-D11-CU-9")</f>
        <v>2015-06-20-D11-CU-9</v>
      </c>
    </row>
    <row r="5218">
      <c r="A5218" t="str">
        <f>IFERROR(__xludf.DUMMYFUNCTION("""COMPUTED_VALUE"""),"2015-06-20-D11-CU-10")</f>
        <v>2015-06-20-D11-CU-10</v>
      </c>
    </row>
    <row r="5219">
      <c r="A5219" t="str">
        <f>IFERROR(__xludf.DUMMYFUNCTION("""COMPUTED_VALUE"""),"2015-06-20-D09-CU-1")</f>
        <v>2015-06-20-D09-CU-1</v>
      </c>
    </row>
    <row r="5220">
      <c r="A5220" t="str">
        <f>IFERROR(__xludf.DUMMYFUNCTION("""COMPUTED_VALUE"""),"2015-06-20-D09-CU-2")</f>
        <v>2015-06-20-D09-CU-2</v>
      </c>
    </row>
    <row r="5221">
      <c r="A5221" t="str">
        <f>IFERROR(__xludf.DUMMYFUNCTION("""COMPUTED_VALUE"""),"2015-06-20-D09-CU-3")</f>
        <v>2015-06-20-D09-CU-3</v>
      </c>
    </row>
    <row r="5222">
      <c r="A5222" t="str">
        <f>IFERROR(__xludf.DUMMYFUNCTION("""COMPUTED_VALUE"""),"2015-06-20-D09-CU-4")</f>
        <v>2015-06-20-D09-CU-4</v>
      </c>
    </row>
    <row r="5223">
      <c r="A5223" t="str">
        <f>IFERROR(__xludf.DUMMYFUNCTION("""COMPUTED_VALUE"""),"2015-06-20-D09-CU-5")</f>
        <v>2015-06-20-D09-CU-5</v>
      </c>
    </row>
    <row r="5224">
      <c r="A5224" t="str">
        <f>IFERROR(__xludf.DUMMYFUNCTION("""COMPUTED_VALUE"""),"2015-06-20-D09-CU-6")</f>
        <v>2015-06-20-D09-CU-6</v>
      </c>
    </row>
    <row r="5225">
      <c r="A5225" t="str">
        <f>IFERROR(__xludf.DUMMYFUNCTION("""COMPUTED_VALUE"""),"2015-06-20-D09-CU-7")</f>
        <v>2015-06-20-D09-CU-7</v>
      </c>
    </row>
    <row r="5226">
      <c r="A5226" t="str">
        <f>IFERROR(__xludf.DUMMYFUNCTION("""COMPUTED_VALUE"""),"2015-06-20-D09-CU-8")</f>
        <v>2015-06-20-D09-CU-8</v>
      </c>
    </row>
    <row r="5227">
      <c r="A5227" t="str">
        <f>IFERROR(__xludf.DUMMYFUNCTION("""COMPUTED_VALUE"""),"2015-06-20-D09-CU-9")</f>
        <v>2015-06-20-D09-CU-9</v>
      </c>
    </row>
    <row r="5228">
      <c r="A5228" t="str">
        <f>IFERROR(__xludf.DUMMYFUNCTION("""COMPUTED_VALUE"""),"2015-06-20-D09-CU-10")</f>
        <v>2015-06-20-D09-CU-10</v>
      </c>
    </row>
    <row r="5229">
      <c r="A5229" t="str">
        <f>IFERROR(__xludf.DUMMYFUNCTION("""COMPUTED_VALUE"""),"2015-06-20-J04-CU-1")</f>
        <v>2015-06-20-J04-CU-1</v>
      </c>
    </row>
    <row r="5230">
      <c r="A5230" t="str">
        <f>IFERROR(__xludf.DUMMYFUNCTION("""COMPUTED_VALUE"""),"2015-06-20-J04-CU-2")</f>
        <v>2015-06-20-J04-CU-2</v>
      </c>
    </row>
    <row r="5231">
      <c r="A5231" t="str">
        <f>IFERROR(__xludf.DUMMYFUNCTION("""COMPUTED_VALUE"""),"2015-06-20-J04-CU-3")</f>
        <v>2015-06-20-J04-CU-3</v>
      </c>
    </row>
    <row r="5232">
      <c r="A5232" t="str">
        <f>IFERROR(__xludf.DUMMYFUNCTION("""COMPUTED_VALUE"""),"2015-06-20-J04-CU-4")</f>
        <v>2015-06-20-J04-CU-4</v>
      </c>
    </row>
    <row r="5233">
      <c r="A5233" t="str">
        <f>IFERROR(__xludf.DUMMYFUNCTION("""COMPUTED_VALUE"""),"2015-06-20-J04-CU-5")</f>
        <v>2015-06-20-J04-CU-5</v>
      </c>
    </row>
    <row r="5234">
      <c r="A5234" t="str">
        <f>IFERROR(__xludf.DUMMYFUNCTION("""COMPUTED_VALUE"""),"2015-06-20-J04-CU-6")</f>
        <v>2015-06-20-J04-CU-6</v>
      </c>
    </row>
    <row r="5235">
      <c r="A5235" t="str">
        <f>IFERROR(__xludf.DUMMYFUNCTION("""COMPUTED_VALUE"""),"2015-06-20-J04-CU-7")</f>
        <v>2015-06-20-J04-CU-7</v>
      </c>
    </row>
    <row r="5236">
      <c r="A5236" t="str">
        <f>IFERROR(__xludf.DUMMYFUNCTION("""COMPUTED_VALUE"""),"2015-06-20-J04-CU-8")</f>
        <v>2015-06-20-J04-CU-8</v>
      </c>
    </row>
    <row r="5237">
      <c r="A5237" t="str">
        <f>IFERROR(__xludf.DUMMYFUNCTION("""COMPUTED_VALUE"""),"2015-06-20-J04-CU-9")</f>
        <v>2015-06-20-J04-CU-9</v>
      </c>
    </row>
    <row r="5238">
      <c r="A5238" t="str">
        <f>IFERROR(__xludf.DUMMYFUNCTION("""COMPUTED_VALUE"""),"2015-06-20-J04-CU-10")</f>
        <v>2015-06-20-J04-CU-10</v>
      </c>
    </row>
    <row r="5239">
      <c r="A5239" t="str">
        <f>IFERROR(__xludf.DUMMYFUNCTION("""COMPUTED_VALUE"""),"2015-06-20-J08-CU-1")</f>
        <v>2015-06-20-J08-CU-1</v>
      </c>
    </row>
    <row r="5240">
      <c r="A5240" t="str">
        <f>IFERROR(__xludf.DUMMYFUNCTION("""COMPUTED_VALUE"""),"2015-06-20-J08-CU-2")</f>
        <v>2015-06-20-J08-CU-2</v>
      </c>
    </row>
    <row r="5241">
      <c r="A5241" t="str">
        <f>IFERROR(__xludf.DUMMYFUNCTION("""COMPUTED_VALUE"""),"2015-06-20-J08-CU-3")</f>
        <v>2015-06-20-J08-CU-3</v>
      </c>
    </row>
    <row r="5242">
      <c r="A5242" t="str">
        <f>IFERROR(__xludf.DUMMYFUNCTION("""COMPUTED_VALUE"""),"2015-06-20-J08-CU-4")</f>
        <v>2015-06-20-J08-CU-4</v>
      </c>
    </row>
    <row r="5243">
      <c r="A5243" t="str">
        <f>IFERROR(__xludf.DUMMYFUNCTION("""COMPUTED_VALUE"""),"2015-06-20-J08-CU-5")</f>
        <v>2015-06-20-J08-CU-5</v>
      </c>
    </row>
    <row r="5244">
      <c r="A5244" t="str">
        <f>IFERROR(__xludf.DUMMYFUNCTION("""COMPUTED_VALUE"""),"2015-06-20-J08-CU-6")</f>
        <v>2015-06-20-J08-CU-6</v>
      </c>
    </row>
    <row r="5245">
      <c r="A5245" t="str">
        <f>IFERROR(__xludf.DUMMYFUNCTION("""COMPUTED_VALUE"""),"2015-06-20-J08-CU-7")</f>
        <v>2015-06-20-J08-CU-7</v>
      </c>
    </row>
    <row r="5246">
      <c r="A5246" t="str">
        <f>IFERROR(__xludf.DUMMYFUNCTION("""COMPUTED_VALUE"""),"2015-06-20-J08-CU-8")</f>
        <v>2015-06-20-J08-CU-8</v>
      </c>
    </row>
    <row r="5247">
      <c r="A5247" t="str">
        <f>IFERROR(__xludf.DUMMYFUNCTION("""COMPUTED_VALUE"""),"2015-06-20-J08-CU-9")</f>
        <v>2015-06-20-J08-CU-9</v>
      </c>
    </row>
    <row r="5248">
      <c r="A5248" t="str">
        <f>IFERROR(__xludf.DUMMYFUNCTION("""COMPUTED_VALUE"""),"2015-06-20-J08-CU-10")</f>
        <v>2015-06-20-J08-CU-10</v>
      </c>
    </row>
    <row r="5249">
      <c r="A5249" t="str">
        <f>IFERROR(__xludf.DUMMYFUNCTION("""COMPUTED_VALUE"""),"2015-06-20-J07-CU-1")</f>
        <v>2015-06-20-J07-CU-1</v>
      </c>
    </row>
    <row r="5250">
      <c r="A5250" t="str">
        <f>IFERROR(__xludf.DUMMYFUNCTION("""COMPUTED_VALUE"""),"2015-06-20-J07-CU-2")</f>
        <v>2015-06-20-J07-CU-2</v>
      </c>
    </row>
    <row r="5251">
      <c r="A5251" t="str">
        <f>IFERROR(__xludf.DUMMYFUNCTION("""COMPUTED_VALUE"""),"2015-06-20-J07-CU-3")</f>
        <v>2015-06-20-J07-CU-3</v>
      </c>
    </row>
    <row r="5252">
      <c r="A5252" t="str">
        <f>IFERROR(__xludf.DUMMYFUNCTION("""COMPUTED_VALUE"""),"2015-06-20-J07-CU-4")</f>
        <v>2015-06-20-J07-CU-4</v>
      </c>
    </row>
    <row r="5253">
      <c r="A5253" t="str">
        <f>IFERROR(__xludf.DUMMYFUNCTION("""COMPUTED_VALUE"""),"2015-06-20-J07-CU-5")</f>
        <v>2015-06-20-J07-CU-5</v>
      </c>
    </row>
    <row r="5254">
      <c r="A5254" t="str">
        <f>IFERROR(__xludf.DUMMYFUNCTION("""COMPUTED_VALUE"""),"2015-06-20-J07-CU-6")</f>
        <v>2015-06-20-J07-CU-6</v>
      </c>
    </row>
    <row r="5255">
      <c r="A5255" t="str">
        <f>IFERROR(__xludf.DUMMYFUNCTION("""COMPUTED_VALUE"""),"2015-06-20-J07-CU-7")</f>
        <v>2015-06-20-J07-CU-7</v>
      </c>
    </row>
    <row r="5256">
      <c r="A5256" t="str">
        <f>IFERROR(__xludf.DUMMYFUNCTION("""COMPUTED_VALUE"""),"2015-06-20-J07-CU-8")</f>
        <v>2015-06-20-J07-CU-8</v>
      </c>
    </row>
    <row r="5257">
      <c r="A5257" t="str">
        <f>IFERROR(__xludf.DUMMYFUNCTION("""COMPUTED_VALUE"""),"2015-06-20-J07-CU-9")</f>
        <v>2015-06-20-J07-CU-9</v>
      </c>
    </row>
    <row r="5258">
      <c r="A5258" t="str">
        <f>IFERROR(__xludf.DUMMYFUNCTION("""COMPUTED_VALUE"""),"2015-06-20-J07-CU-10")</f>
        <v>2015-06-20-J07-CU-10</v>
      </c>
    </row>
    <row r="5259">
      <c r="A5259" t="str">
        <f>IFERROR(__xludf.DUMMYFUNCTION("""COMPUTED_VALUE"""),"2015-06-20-D09-CO-1")</f>
        <v>2015-06-20-D09-CO-1</v>
      </c>
    </row>
    <row r="5260">
      <c r="A5260" t="str">
        <f>IFERROR(__xludf.DUMMYFUNCTION("""COMPUTED_VALUE"""),"2015-06-20-D09-CO-2")</f>
        <v>2015-06-20-D09-CO-2</v>
      </c>
    </row>
    <row r="5261">
      <c r="A5261" t="str">
        <f>IFERROR(__xludf.DUMMYFUNCTION("""COMPUTED_VALUE"""),"2015-06-20-D09-HE-1")</f>
        <v>2015-06-20-D09-HE-1</v>
      </c>
    </row>
    <row r="5262">
      <c r="A5262" t="str">
        <f>IFERROR(__xludf.DUMMYFUNCTION("""COMPUTED_VALUE"""),"2015-06-20-D09-HE-2")</f>
        <v>2015-06-20-D09-HE-2</v>
      </c>
    </row>
    <row r="5263">
      <c r="A5263" t="str">
        <f>IFERROR(__xludf.DUMMYFUNCTION("""COMPUTED_VALUE"""),"2015-06-20-D09-HE-3")</f>
        <v>2015-06-20-D09-HE-3</v>
      </c>
    </row>
    <row r="5264">
      <c r="A5264" t="str">
        <f>IFERROR(__xludf.DUMMYFUNCTION("""COMPUTED_VALUE"""),"2015-06-20-D09-HE-4")</f>
        <v>2015-06-20-D09-HE-4</v>
      </c>
    </row>
    <row r="5265">
      <c r="A5265" t="str">
        <f>IFERROR(__xludf.DUMMYFUNCTION("""COMPUTED_VALUE"""),"2015-06-20-D09-HE-5")</f>
        <v>2015-06-20-D09-HE-5</v>
      </c>
    </row>
    <row r="5266">
      <c r="A5266" t="str">
        <f>IFERROR(__xludf.DUMMYFUNCTION("""COMPUTED_VALUE"""),"2015-06-20-D09-HE-6")</f>
        <v>2015-06-20-D09-HE-6</v>
      </c>
    </row>
    <row r="5267">
      <c r="A5267" t="str">
        <f>IFERROR(__xludf.DUMMYFUNCTION("""COMPUTED_VALUE"""),"2015-06-20-D09-HE-7")</f>
        <v>2015-06-20-D09-HE-7</v>
      </c>
    </row>
    <row r="5268">
      <c r="A5268" t="str">
        <f>IFERROR(__xludf.DUMMYFUNCTION("""COMPUTED_VALUE"""),"2015-06-20-D09-HE-8")</f>
        <v>2015-06-20-D09-HE-8</v>
      </c>
    </row>
    <row r="5269">
      <c r="A5269" t="str">
        <f>IFERROR(__xludf.DUMMYFUNCTION("""COMPUTED_VALUE"""),"2015-06-20-D09-HE-9")</f>
        <v>2015-06-20-D09-HE-9</v>
      </c>
    </row>
    <row r="5270">
      <c r="A5270" t="str">
        <f>IFERROR(__xludf.DUMMYFUNCTION("""COMPUTED_VALUE"""),"2015-06-20-D09-HE-10")</f>
        <v>2015-06-20-D09-HE-10</v>
      </c>
    </row>
    <row r="5271">
      <c r="A5271" t="str">
        <f>IFERROR(__xludf.DUMMYFUNCTION("""COMPUTED_VALUE"""),"2015-06-20-J04-HE-1")</f>
        <v>2015-06-20-J04-HE-1</v>
      </c>
    </row>
    <row r="5272">
      <c r="A5272" t="str">
        <f>IFERROR(__xludf.DUMMYFUNCTION("""COMPUTED_VALUE"""),"2015-06-20-J04-HE-2")</f>
        <v>2015-06-20-J04-HE-2</v>
      </c>
    </row>
    <row r="5273">
      <c r="A5273" t="str">
        <f>IFERROR(__xludf.DUMMYFUNCTION("""COMPUTED_VALUE"""),"2015-06-20-J04-HE-3")</f>
        <v>2015-06-20-J04-HE-3</v>
      </c>
    </row>
    <row r="5274">
      <c r="A5274" t="str">
        <f>IFERROR(__xludf.DUMMYFUNCTION("""COMPUTED_VALUE"""),"2015-06-20-J04-HE-4")</f>
        <v>2015-06-20-J04-HE-4</v>
      </c>
    </row>
    <row r="5275">
      <c r="A5275" t="str">
        <f>IFERROR(__xludf.DUMMYFUNCTION("""COMPUTED_VALUE"""),"2015-06-21-J06-SO-1")</f>
        <v>2015-06-21-J06-SO-1</v>
      </c>
    </row>
    <row r="5276">
      <c r="A5276" t="str">
        <f>IFERROR(__xludf.DUMMYFUNCTION("""COMPUTED_VALUE"""),"2015-06-21-J06-SO-2")</f>
        <v>2015-06-21-J06-SO-2</v>
      </c>
    </row>
    <row r="5277">
      <c r="A5277" t="str">
        <f>IFERROR(__xludf.DUMMYFUNCTION("""COMPUTED_VALUE"""),"2015-06-21-J06-SO-3")</f>
        <v>2015-06-21-J06-SO-3</v>
      </c>
    </row>
    <row r="5278">
      <c r="A5278" t="str">
        <f>IFERROR(__xludf.DUMMYFUNCTION("""COMPUTED_VALUE"""),"2015-06-21-J06-SO-4")</f>
        <v>2015-06-21-J06-SO-4</v>
      </c>
    </row>
    <row r="5279">
      <c r="A5279" t="str">
        <f>IFERROR(__xludf.DUMMYFUNCTION("""COMPUTED_VALUE"""),"2015-06-21-J06-SO-5")</f>
        <v>2015-06-21-J06-SO-5</v>
      </c>
    </row>
    <row r="5280">
      <c r="A5280" t="str">
        <f>IFERROR(__xludf.DUMMYFUNCTION("""COMPUTED_VALUE"""),"2015-06-21-J06-SO-6")</f>
        <v>2015-06-21-J06-SO-6</v>
      </c>
    </row>
    <row r="5281">
      <c r="A5281" t="str">
        <f>IFERROR(__xludf.DUMMYFUNCTION("""COMPUTED_VALUE"""),"2015-06-21-J06-SO-7")</f>
        <v>2015-06-21-J06-SO-7</v>
      </c>
    </row>
    <row r="5282">
      <c r="A5282" t="str">
        <f>IFERROR(__xludf.DUMMYFUNCTION("""COMPUTED_VALUE"""),"2015-06-21-J06-SO-8")</f>
        <v>2015-06-21-J06-SO-8</v>
      </c>
    </row>
    <row r="5283">
      <c r="A5283" t="str">
        <f>IFERROR(__xludf.DUMMYFUNCTION("""COMPUTED_VALUE"""),"2015-06-21-J06-SO-9")</f>
        <v>2015-06-21-J06-SO-9</v>
      </c>
    </row>
    <row r="5284">
      <c r="A5284" t="str">
        <f>IFERROR(__xludf.DUMMYFUNCTION("""COMPUTED_VALUE"""),"2015-06-21-J06-SO-10")</f>
        <v>2015-06-21-J06-SO-10</v>
      </c>
    </row>
    <row r="5285">
      <c r="A5285" t="str">
        <f>IFERROR(__xludf.DUMMYFUNCTION("""COMPUTED_VALUE"""),"2015-06-21-J06-SO-11")</f>
        <v>2015-06-21-J06-SO-11</v>
      </c>
    </row>
    <row r="5286">
      <c r="A5286" t="str">
        <f>IFERROR(__xludf.DUMMYFUNCTION("""COMPUTED_VALUE"""),"2015-06-21-J06-SO-12")</f>
        <v>2015-06-21-J06-SO-12</v>
      </c>
    </row>
    <row r="5287">
      <c r="A5287" t="str">
        <f>IFERROR(__xludf.DUMMYFUNCTION("""COMPUTED_VALUE"""),"2015-06-21-J06-SO-13")</f>
        <v>2015-06-21-J06-SO-13</v>
      </c>
    </row>
    <row r="5288">
      <c r="A5288" t="str">
        <f>IFERROR(__xludf.DUMMYFUNCTION("""COMPUTED_VALUE"""),"2015-06-21-J06-SO-14")</f>
        <v>2015-06-21-J06-SO-14</v>
      </c>
    </row>
    <row r="5289">
      <c r="A5289" t="str">
        <f>IFERROR(__xludf.DUMMYFUNCTION("""COMPUTED_VALUE"""),"2015-06-21-J06-SO-15")</f>
        <v>2015-06-21-J06-SO-15</v>
      </c>
    </row>
    <row r="5290">
      <c r="A5290" t="str">
        <f>IFERROR(__xludf.DUMMYFUNCTION("""COMPUTED_VALUE"""),"2015-06-21-J06-SO-16")</f>
        <v>2015-06-21-J06-SO-16</v>
      </c>
    </row>
    <row r="5291">
      <c r="A5291" t="str">
        <f>IFERROR(__xludf.DUMMYFUNCTION("""COMPUTED_VALUE"""),"2015-06-21-J06-SO-17")</f>
        <v>2015-06-21-J06-SO-17</v>
      </c>
    </row>
    <row r="5292">
      <c r="A5292" t="str">
        <f>IFERROR(__xludf.DUMMYFUNCTION("""COMPUTED_VALUE"""),"2015-06-21-J06-SO-18")</f>
        <v>2015-06-21-J06-SO-18</v>
      </c>
    </row>
    <row r="5293">
      <c r="A5293" t="str">
        <f>IFERROR(__xludf.DUMMYFUNCTION("""COMPUTED_VALUE"""),"2015-06-21-J06-SO-19")</f>
        <v>2015-06-21-J06-SO-19</v>
      </c>
    </row>
    <row r="5294">
      <c r="A5294" t="str">
        <f>IFERROR(__xludf.DUMMYFUNCTION("""COMPUTED_VALUE"""),"2015-06-21-J06-SO-20")</f>
        <v>2015-06-21-J06-SO-20</v>
      </c>
    </row>
    <row r="5295">
      <c r="A5295" t="str">
        <f>IFERROR(__xludf.DUMMYFUNCTION("""COMPUTED_VALUE"""),"2015-06-21-J06-SO-21")</f>
        <v>2015-06-21-J06-SO-21</v>
      </c>
    </row>
    <row r="5296">
      <c r="A5296" t="str">
        <f>IFERROR(__xludf.DUMMYFUNCTION("""COMPUTED_VALUE"""),"2015-06-21-J06-SO-22")</f>
        <v>2015-06-21-J06-SO-22</v>
      </c>
    </row>
    <row r="5297">
      <c r="A5297" t="str">
        <f>IFERROR(__xludf.DUMMYFUNCTION("""COMPUTED_VALUE"""),"2015-06-21-J06-SO-23")</f>
        <v>2015-06-21-J06-SO-23</v>
      </c>
    </row>
    <row r="5298">
      <c r="A5298" t="str">
        <f>IFERROR(__xludf.DUMMYFUNCTION("""COMPUTED_VALUE"""),"2015-06-21-J06-SO-24")</f>
        <v>2015-06-21-J06-SO-24</v>
      </c>
    </row>
    <row r="5299">
      <c r="A5299" t="str">
        <f>IFERROR(__xludf.DUMMYFUNCTION("""COMPUTED_VALUE"""),"2015-06-21-J06-SO-25")</f>
        <v>2015-06-21-J06-SO-25</v>
      </c>
    </row>
    <row r="5300">
      <c r="A5300" t="str">
        <f>IFERROR(__xludf.DUMMYFUNCTION("""COMPUTED_VALUE"""),"2015-06-21-J06-SO-26")</f>
        <v>2015-06-21-J06-SO-26</v>
      </c>
    </row>
    <row r="5301">
      <c r="A5301" t="str">
        <f>IFERROR(__xludf.DUMMYFUNCTION("""COMPUTED_VALUE"""),"2015-06-21-J06-SO-27")</f>
        <v>2015-06-21-J06-SO-27</v>
      </c>
    </row>
    <row r="5302">
      <c r="A5302" t="str">
        <f>IFERROR(__xludf.DUMMYFUNCTION("""COMPUTED_VALUE"""),"2015-06-21-J06-SO-28")</f>
        <v>2015-06-21-J06-SO-28</v>
      </c>
    </row>
    <row r="5303">
      <c r="A5303" t="str">
        <f>IFERROR(__xludf.DUMMYFUNCTION("""COMPUTED_VALUE"""),"2015-06-21-J06-SO-29")</f>
        <v>2015-06-21-J06-SO-29</v>
      </c>
    </row>
    <row r="5304">
      <c r="A5304" t="str">
        <f>IFERROR(__xludf.DUMMYFUNCTION("""COMPUTED_VALUE"""),"2015-06-21-J06-SO-30")</f>
        <v>2015-06-21-J06-SO-30</v>
      </c>
    </row>
    <row r="5305">
      <c r="A5305" t="str">
        <f>IFERROR(__xludf.DUMMYFUNCTION("""COMPUTED_VALUE"""),"2015-06-21-J05-SO-1")</f>
        <v>2015-06-21-J05-SO-1</v>
      </c>
    </row>
    <row r="5306">
      <c r="A5306" t="str">
        <f>IFERROR(__xludf.DUMMYFUNCTION("""COMPUTED_VALUE"""),"2015-06-21-J05-SO-2")</f>
        <v>2015-06-21-J05-SO-2</v>
      </c>
    </row>
    <row r="5307">
      <c r="A5307" t="str">
        <f>IFERROR(__xludf.DUMMYFUNCTION("""COMPUTED_VALUE"""),"2015-06-21-J05-SO-3")</f>
        <v>2015-06-21-J05-SO-3</v>
      </c>
    </row>
    <row r="5308">
      <c r="A5308" t="str">
        <f>IFERROR(__xludf.DUMMYFUNCTION("""COMPUTED_VALUE"""),"2015-06-21-J05-SO-4")</f>
        <v>2015-06-21-J05-SO-4</v>
      </c>
    </row>
    <row r="5309">
      <c r="A5309" t="str">
        <f>IFERROR(__xludf.DUMMYFUNCTION("""COMPUTED_VALUE"""),"2015-06-21-J05-SO-5")</f>
        <v>2015-06-21-J05-SO-5</v>
      </c>
    </row>
    <row r="5310">
      <c r="A5310" t="str">
        <f>IFERROR(__xludf.DUMMYFUNCTION("""COMPUTED_VALUE"""),"2015-06-21-J05-SO-6")</f>
        <v>2015-06-21-J05-SO-6</v>
      </c>
    </row>
    <row r="5311">
      <c r="A5311" t="str">
        <f>IFERROR(__xludf.DUMMYFUNCTION("""COMPUTED_VALUE"""),"2015-06-21-J05-SO-7")</f>
        <v>2015-06-21-J05-SO-7</v>
      </c>
    </row>
    <row r="5312">
      <c r="A5312" t="str">
        <f>IFERROR(__xludf.DUMMYFUNCTION("""COMPUTED_VALUE"""),"2015-06-21-J05-SO-8")</f>
        <v>2015-06-21-J05-SO-8</v>
      </c>
    </row>
    <row r="5313">
      <c r="A5313" t="str">
        <f>IFERROR(__xludf.DUMMYFUNCTION("""COMPUTED_VALUE"""),"2015-06-21-J05-SO-9")</f>
        <v>2015-06-21-J05-SO-9</v>
      </c>
    </row>
    <row r="5314">
      <c r="A5314" t="str">
        <f>IFERROR(__xludf.DUMMYFUNCTION("""COMPUTED_VALUE"""),"2015-06-21-J05-SO-10")</f>
        <v>2015-06-21-J05-SO-10</v>
      </c>
    </row>
    <row r="5315">
      <c r="A5315" t="str">
        <f>IFERROR(__xludf.DUMMYFUNCTION("""COMPUTED_VALUE"""),"2015-06-21-J05-SO-11")</f>
        <v>2015-06-21-J05-SO-11</v>
      </c>
    </row>
    <row r="5316">
      <c r="A5316" t="str">
        <f>IFERROR(__xludf.DUMMYFUNCTION("""COMPUTED_VALUE"""),"2015-06-21-J05-SO-12")</f>
        <v>2015-06-21-J05-SO-12</v>
      </c>
    </row>
    <row r="5317">
      <c r="A5317" t="str">
        <f>IFERROR(__xludf.DUMMYFUNCTION("""COMPUTED_VALUE"""),"2015-06-21-J05-SO-13")</f>
        <v>2015-06-21-J05-SO-13</v>
      </c>
    </row>
    <row r="5318">
      <c r="A5318" t="str">
        <f>IFERROR(__xludf.DUMMYFUNCTION("""COMPUTED_VALUE"""),"2015-06-21-J05-SO-14")</f>
        <v>2015-06-21-J05-SO-14</v>
      </c>
    </row>
    <row r="5319">
      <c r="A5319" t="str">
        <f>IFERROR(__xludf.DUMMYFUNCTION("""COMPUTED_VALUE"""),"2015-06-21-J05-SO-15")</f>
        <v>2015-06-21-J05-SO-15</v>
      </c>
    </row>
    <row r="5320">
      <c r="A5320" t="str">
        <f>IFERROR(__xludf.DUMMYFUNCTION("""COMPUTED_VALUE"""),"2015-06-21-J05-SO-16")</f>
        <v>2015-06-21-J05-SO-16</v>
      </c>
    </row>
    <row r="5321">
      <c r="A5321" t="str">
        <f>IFERROR(__xludf.DUMMYFUNCTION("""COMPUTED_VALUE"""),"2015-06-21-J05-SO-17")</f>
        <v>2015-06-21-J05-SO-17</v>
      </c>
    </row>
    <row r="5322">
      <c r="A5322" t="str">
        <f>IFERROR(__xludf.DUMMYFUNCTION("""COMPUTED_VALUE"""),"2015-06-21-J05-SO-18")</f>
        <v>2015-06-21-J05-SO-18</v>
      </c>
    </row>
    <row r="5323">
      <c r="A5323" t="str">
        <f>IFERROR(__xludf.DUMMYFUNCTION("""COMPUTED_VALUE"""),"2015-06-21-J05-SO-19")</f>
        <v>2015-06-21-J05-SO-19</v>
      </c>
    </row>
    <row r="5324">
      <c r="A5324" t="str">
        <f>IFERROR(__xludf.DUMMYFUNCTION("""COMPUTED_VALUE"""),"2015-06-21-J05-SO-20")</f>
        <v>2015-06-21-J05-SO-20</v>
      </c>
    </row>
    <row r="5325">
      <c r="A5325" t="str">
        <f>IFERROR(__xludf.DUMMYFUNCTION("""COMPUTED_VALUE"""),"2015-06-21-J05-SO-21")</f>
        <v>2015-06-21-J05-SO-21</v>
      </c>
    </row>
    <row r="5326">
      <c r="A5326" t="str">
        <f>IFERROR(__xludf.DUMMYFUNCTION("""COMPUTED_VALUE"""),"2015-06-21-J05-SO-22")</f>
        <v>2015-06-21-J05-SO-22</v>
      </c>
    </row>
    <row r="5327">
      <c r="A5327" t="str">
        <f>IFERROR(__xludf.DUMMYFUNCTION("""COMPUTED_VALUE"""),"2015-06-21-J05-SO-23")</f>
        <v>2015-06-21-J05-SO-23</v>
      </c>
    </row>
    <row r="5328">
      <c r="A5328" t="str">
        <f>IFERROR(__xludf.DUMMYFUNCTION("""COMPUTED_VALUE"""),"2015-06-21-J05-SO-24")</f>
        <v>2015-06-21-J05-SO-24</v>
      </c>
    </row>
    <row r="5329">
      <c r="A5329" t="str">
        <f>IFERROR(__xludf.DUMMYFUNCTION("""COMPUTED_VALUE"""),"2015-06-21-J05-SO-25")</f>
        <v>2015-06-21-J05-SO-25</v>
      </c>
    </row>
    <row r="5330">
      <c r="A5330" t="str">
        <f>IFERROR(__xludf.DUMMYFUNCTION("""COMPUTED_VALUE"""),"2015-06-21-J05-SO-26")</f>
        <v>2015-06-21-J05-SO-26</v>
      </c>
    </row>
    <row r="5331">
      <c r="A5331" t="str">
        <f>IFERROR(__xludf.DUMMYFUNCTION("""COMPUTED_VALUE"""),"2015-06-21-J05-SO-27")</f>
        <v>2015-06-21-J05-SO-27</v>
      </c>
    </row>
    <row r="5332">
      <c r="A5332" t="str">
        <f>IFERROR(__xludf.DUMMYFUNCTION("""COMPUTED_VALUE"""),"2015-06-21-J05-SO-28")</f>
        <v>2015-06-21-J05-SO-28</v>
      </c>
    </row>
    <row r="5333">
      <c r="A5333" t="str">
        <f>IFERROR(__xludf.DUMMYFUNCTION("""COMPUTED_VALUE"""),"2015-06-21-J05-SO-29")</f>
        <v>2015-06-21-J05-SO-29</v>
      </c>
    </row>
    <row r="5334">
      <c r="A5334" t="str">
        <f>IFERROR(__xludf.DUMMYFUNCTION("""COMPUTED_VALUE"""),"2015-06-21-J05-SO-30")</f>
        <v>2015-06-21-J05-SO-30</v>
      </c>
    </row>
    <row r="5335">
      <c r="A5335" t="str">
        <f>IFERROR(__xludf.DUMMYFUNCTION("""COMPUTED_VALUE"""),"2015-06-21-J10-SO-1")</f>
        <v>2015-06-21-J10-SO-1</v>
      </c>
    </row>
    <row r="5336">
      <c r="A5336" t="str">
        <f>IFERROR(__xludf.DUMMYFUNCTION("""COMPUTED_VALUE"""),"2015-06-21-J10-SO-2")</f>
        <v>2015-06-21-J10-SO-2</v>
      </c>
    </row>
    <row r="5337">
      <c r="A5337" t="str">
        <f>IFERROR(__xludf.DUMMYFUNCTION("""COMPUTED_VALUE"""),"2015-06-21-J10-SO-3")</f>
        <v>2015-06-21-J10-SO-3</v>
      </c>
    </row>
    <row r="5338">
      <c r="A5338" t="str">
        <f>IFERROR(__xludf.DUMMYFUNCTION("""COMPUTED_VALUE"""),"2015-06-21-J10-SO-4")</f>
        <v>2015-06-21-J10-SO-4</v>
      </c>
    </row>
    <row r="5339">
      <c r="A5339" t="str">
        <f>IFERROR(__xludf.DUMMYFUNCTION("""COMPUTED_VALUE"""),"2015-06-21-J10-SO-5")</f>
        <v>2015-06-21-J10-SO-5</v>
      </c>
    </row>
    <row r="5340">
      <c r="A5340" t="str">
        <f>IFERROR(__xludf.DUMMYFUNCTION("""COMPUTED_VALUE"""),"2015-06-21-J10-SO-6")</f>
        <v>2015-06-21-J10-SO-6</v>
      </c>
    </row>
    <row r="5341">
      <c r="A5341" t="str">
        <f>IFERROR(__xludf.DUMMYFUNCTION("""COMPUTED_VALUE"""),"2015-06-21-J10-SO-7")</f>
        <v>2015-06-21-J10-SO-7</v>
      </c>
    </row>
    <row r="5342">
      <c r="A5342" t="str">
        <f>IFERROR(__xludf.DUMMYFUNCTION("""COMPUTED_VALUE"""),"2015-06-21-J10-SO-8")</f>
        <v>2015-06-21-J10-SO-8</v>
      </c>
    </row>
    <row r="5343">
      <c r="A5343" t="str">
        <f>IFERROR(__xludf.DUMMYFUNCTION("""COMPUTED_VALUE"""),"2015-06-21-J10-SO-9")</f>
        <v>2015-06-21-J10-SO-9</v>
      </c>
    </row>
    <row r="5344">
      <c r="A5344" t="str">
        <f>IFERROR(__xludf.DUMMYFUNCTION("""COMPUTED_VALUE"""),"2015-06-21-J10-SO-10")</f>
        <v>2015-06-21-J10-SO-10</v>
      </c>
    </row>
    <row r="5345">
      <c r="A5345" t="str">
        <f>IFERROR(__xludf.DUMMYFUNCTION("""COMPUTED_VALUE"""),"2015-06-21-J10-SO-11")</f>
        <v>2015-06-21-J10-SO-11</v>
      </c>
    </row>
    <row r="5346">
      <c r="A5346" t="str">
        <f>IFERROR(__xludf.DUMMYFUNCTION("""COMPUTED_VALUE"""),"2015-06-21-J10-SO-12")</f>
        <v>2015-06-21-J10-SO-12</v>
      </c>
    </row>
    <row r="5347">
      <c r="A5347" t="str">
        <f>IFERROR(__xludf.DUMMYFUNCTION("""COMPUTED_VALUE"""),"2015-06-21-J10-SO-13")</f>
        <v>2015-06-21-J10-SO-13</v>
      </c>
    </row>
    <row r="5348">
      <c r="A5348" t="str">
        <f>IFERROR(__xludf.DUMMYFUNCTION("""COMPUTED_VALUE"""),"2015-06-21-J10-SO-14")</f>
        <v>2015-06-21-J10-SO-14</v>
      </c>
    </row>
    <row r="5349">
      <c r="A5349" t="str">
        <f>IFERROR(__xludf.DUMMYFUNCTION("""COMPUTED_VALUE"""),"2015-06-21-J10-SO-15")</f>
        <v>2015-06-21-J10-SO-15</v>
      </c>
    </row>
    <row r="5350">
      <c r="A5350" t="str">
        <f>IFERROR(__xludf.DUMMYFUNCTION("""COMPUTED_VALUE"""),"2015-06-21-J10-SO-16")</f>
        <v>2015-06-21-J10-SO-16</v>
      </c>
    </row>
    <row r="5351">
      <c r="A5351" t="str">
        <f>IFERROR(__xludf.DUMMYFUNCTION("""COMPUTED_VALUE"""),"2015-06-21-J10-SO-17")</f>
        <v>2015-06-21-J10-SO-17</v>
      </c>
    </row>
    <row r="5352">
      <c r="A5352" t="str">
        <f>IFERROR(__xludf.DUMMYFUNCTION("""COMPUTED_VALUE"""),"2015-06-21-J10-SO-18")</f>
        <v>2015-06-21-J10-SO-18</v>
      </c>
    </row>
    <row r="5353">
      <c r="A5353" t="str">
        <f>IFERROR(__xludf.DUMMYFUNCTION("""COMPUTED_VALUE"""),"2015-06-21-J10-SO-19")</f>
        <v>2015-06-21-J10-SO-19</v>
      </c>
    </row>
    <row r="5354">
      <c r="A5354" t="str">
        <f>IFERROR(__xludf.DUMMYFUNCTION("""COMPUTED_VALUE"""),"2015-06-21-J10-SO-20")</f>
        <v>2015-06-21-J10-SO-20</v>
      </c>
    </row>
    <row r="5355">
      <c r="A5355" t="str">
        <f>IFERROR(__xludf.DUMMYFUNCTION("""COMPUTED_VALUE"""),"2015-06-21-J10-SO-21")</f>
        <v>2015-06-21-J10-SO-21</v>
      </c>
    </row>
    <row r="5356">
      <c r="A5356" t="str">
        <f>IFERROR(__xludf.DUMMYFUNCTION("""COMPUTED_VALUE"""),"2015-06-21-J10-SO-22")</f>
        <v>2015-06-21-J10-SO-22</v>
      </c>
    </row>
    <row r="5357">
      <c r="A5357" t="str">
        <f>IFERROR(__xludf.DUMMYFUNCTION("""COMPUTED_VALUE"""),"2015-06-21-J10-SO-23")</f>
        <v>2015-06-21-J10-SO-23</v>
      </c>
    </row>
    <row r="5358">
      <c r="A5358" t="str">
        <f>IFERROR(__xludf.DUMMYFUNCTION("""COMPUTED_VALUE"""),"2015-06-21-J10-SO-24")</f>
        <v>2015-06-21-J10-SO-24</v>
      </c>
    </row>
    <row r="5359">
      <c r="A5359" t="str">
        <f>IFERROR(__xludf.DUMMYFUNCTION("""COMPUTED_VALUE"""),"2015-06-21-J10-SO-25")</f>
        <v>2015-06-21-J10-SO-25</v>
      </c>
    </row>
    <row r="5360">
      <c r="A5360" t="str">
        <f>IFERROR(__xludf.DUMMYFUNCTION("""COMPUTED_VALUE"""),"2015-06-21-J10-SO-26")</f>
        <v>2015-06-21-J10-SO-26</v>
      </c>
    </row>
    <row r="5361">
      <c r="A5361" t="str">
        <f>IFERROR(__xludf.DUMMYFUNCTION("""COMPUTED_VALUE"""),"2015-06-21-J10-SO-27")</f>
        <v>2015-06-21-J10-SO-27</v>
      </c>
    </row>
    <row r="5362">
      <c r="A5362" t="str">
        <f>IFERROR(__xludf.DUMMYFUNCTION("""COMPUTED_VALUE"""),"2015-06-21-J10-SO-28")</f>
        <v>2015-06-21-J10-SO-28</v>
      </c>
    </row>
    <row r="5363">
      <c r="A5363" t="str">
        <f>IFERROR(__xludf.DUMMYFUNCTION("""COMPUTED_VALUE"""),"2015-06-21-J10-SO-29")</f>
        <v>2015-06-21-J10-SO-29</v>
      </c>
    </row>
    <row r="5364">
      <c r="A5364" t="str">
        <f>IFERROR(__xludf.DUMMYFUNCTION("""COMPUTED_VALUE"""),"2015-06-21-J10-SO-30")</f>
        <v>2015-06-21-J10-SO-30</v>
      </c>
    </row>
    <row r="5365">
      <c r="A5365" t="str">
        <f>IFERROR(__xludf.DUMMYFUNCTION("""COMPUTED_VALUE"""),"2015-06-21-J06-PI-1")</f>
        <v>2015-06-21-J06-PI-1</v>
      </c>
    </row>
    <row r="5366">
      <c r="A5366" t="str">
        <f>IFERROR(__xludf.DUMMYFUNCTION("""COMPUTED_VALUE"""),"2015-06-21-J06-PI-2")</f>
        <v>2015-06-21-J06-PI-2</v>
      </c>
    </row>
    <row r="5367">
      <c r="A5367" t="str">
        <f>IFERROR(__xludf.DUMMYFUNCTION("""COMPUTED_VALUE"""),"2015-06-21-J06-PI-3")</f>
        <v>2015-06-21-J06-PI-3</v>
      </c>
    </row>
    <row r="5368">
      <c r="A5368" t="str">
        <f>IFERROR(__xludf.DUMMYFUNCTION("""COMPUTED_VALUE"""),"2015-06-21-J06-PI-4")</f>
        <v>2015-06-21-J06-PI-4</v>
      </c>
    </row>
    <row r="5369">
      <c r="A5369" t="str">
        <f>IFERROR(__xludf.DUMMYFUNCTION("""COMPUTED_VALUE"""),"2015-06-21-J06-PI-5")</f>
        <v>2015-06-21-J06-PI-5</v>
      </c>
    </row>
    <row r="5370">
      <c r="A5370" t="str">
        <f>IFERROR(__xludf.DUMMYFUNCTION("""COMPUTED_VALUE"""),"2015-06-21-J06-PI-6")</f>
        <v>2015-06-21-J06-PI-6</v>
      </c>
    </row>
    <row r="5371">
      <c r="A5371" t="str">
        <f>IFERROR(__xludf.DUMMYFUNCTION("""COMPUTED_VALUE"""),"2015-06-21-J06-PI-7")</f>
        <v>2015-06-21-J06-PI-7</v>
      </c>
    </row>
    <row r="5372">
      <c r="A5372" t="str">
        <f>IFERROR(__xludf.DUMMYFUNCTION("""COMPUTED_VALUE"""),"2015-06-21-J06-PI-8")</f>
        <v>2015-06-21-J06-PI-8</v>
      </c>
    </row>
    <row r="5373">
      <c r="A5373" t="str">
        <f>IFERROR(__xludf.DUMMYFUNCTION("""COMPUTED_VALUE"""),"2015-06-21-J06-PI-9")</f>
        <v>2015-06-21-J06-PI-9</v>
      </c>
    </row>
    <row r="5374">
      <c r="A5374" t="str">
        <f>IFERROR(__xludf.DUMMYFUNCTION("""COMPUTED_VALUE"""),"2015-06-21-J05-PI-1")</f>
        <v>2015-06-21-J05-PI-1</v>
      </c>
    </row>
    <row r="5375">
      <c r="A5375" t="str">
        <f>IFERROR(__xludf.DUMMYFUNCTION("""COMPUTED_VALUE"""),"2015-06-21-J10-PI-1")</f>
        <v>2015-06-21-J10-PI-1</v>
      </c>
    </row>
    <row r="5376">
      <c r="A5376" t="str">
        <f>IFERROR(__xludf.DUMMYFUNCTION("""COMPUTED_VALUE"""),"2015-06-21-J10-PI-2")</f>
        <v>2015-06-21-J10-PI-2</v>
      </c>
    </row>
    <row r="5377">
      <c r="A5377" t="str">
        <f>IFERROR(__xludf.DUMMYFUNCTION("""COMPUTED_VALUE"""),"2015-06-21-J10-PI-3")</f>
        <v>2015-06-21-J10-PI-3</v>
      </c>
    </row>
    <row r="5378">
      <c r="A5378" t="str">
        <f>IFERROR(__xludf.DUMMYFUNCTION("""COMPUTED_VALUE"""),"2015-06-21-J10-PI-4")</f>
        <v>2015-06-21-J10-PI-4</v>
      </c>
    </row>
    <row r="5379">
      <c r="A5379" t="str">
        <f>IFERROR(__xludf.DUMMYFUNCTION("""COMPUTED_VALUE"""),"2015-06-21-J10-PI-5")</f>
        <v>2015-06-21-J10-PI-5</v>
      </c>
    </row>
    <row r="5380">
      <c r="A5380" t="str">
        <f>IFERROR(__xludf.DUMMYFUNCTION("""COMPUTED_VALUE"""),"2015-06-21-J10-PI-6")</f>
        <v>2015-06-21-J10-PI-6</v>
      </c>
    </row>
    <row r="5381">
      <c r="A5381" t="str">
        <f>IFERROR(__xludf.DUMMYFUNCTION("""COMPUTED_VALUE"""),"2015-06-21-J10-PI-7")</f>
        <v>2015-06-21-J10-PI-7</v>
      </c>
    </row>
    <row r="5382">
      <c r="A5382" t="str">
        <f>IFERROR(__xludf.DUMMYFUNCTION("""COMPUTED_VALUE"""),"2015-06-21-J10-PI-8")</f>
        <v>2015-06-21-J10-PI-8</v>
      </c>
    </row>
    <row r="5383">
      <c r="A5383" t="str">
        <f>IFERROR(__xludf.DUMMYFUNCTION("""COMPUTED_VALUE"""),"2015-06-21-J06-CU-1")</f>
        <v>2015-06-21-J06-CU-1</v>
      </c>
    </row>
    <row r="5384">
      <c r="A5384" t="str">
        <f>IFERROR(__xludf.DUMMYFUNCTION("""COMPUTED_VALUE"""),"2015-06-21-J06-CU-2")</f>
        <v>2015-06-21-J06-CU-2</v>
      </c>
    </row>
    <row r="5385">
      <c r="A5385" t="str">
        <f>IFERROR(__xludf.DUMMYFUNCTION("""COMPUTED_VALUE"""),"2015-06-21-J06-CU-3")</f>
        <v>2015-06-21-J06-CU-3</v>
      </c>
    </row>
    <row r="5386">
      <c r="A5386" t="str">
        <f>IFERROR(__xludf.DUMMYFUNCTION("""COMPUTED_VALUE"""),"2015-06-21-J06-CU-4")</f>
        <v>2015-06-21-J06-CU-4</v>
      </c>
    </row>
    <row r="5387">
      <c r="A5387" t="str">
        <f>IFERROR(__xludf.DUMMYFUNCTION("""COMPUTED_VALUE"""),"2015-06-21-J06-CU-5")</f>
        <v>2015-06-21-J06-CU-5</v>
      </c>
    </row>
    <row r="5388">
      <c r="A5388" t="str">
        <f>IFERROR(__xludf.DUMMYFUNCTION("""COMPUTED_VALUE"""),"2015-06-21-J06-CU-6")</f>
        <v>2015-06-21-J06-CU-6</v>
      </c>
    </row>
    <row r="5389">
      <c r="A5389" t="str">
        <f>IFERROR(__xludf.DUMMYFUNCTION("""COMPUTED_VALUE"""),"2015-06-21-J06-CU-7")</f>
        <v>2015-06-21-J06-CU-7</v>
      </c>
    </row>
    <row r="5390">
      <c r="A5390" t="str">
        <f>IFERROR(__xludf.DUMMYFUNCTION("""COMPUTED_VALUE"""),"2015-06-21-J06-CU-8")</f>
        <v>2015-06-21-J06-CU-8</v>
      </c>
    </row>
    <row r="5391">
      <c r="A5391" t="str">
        <f>IFERROR(__xludf.DUMMYFUNCTION("""COMPUTED_VALUE"""),"2015-06-21-J06-CU-9")</f>
        <v>2015-06-21-J06-CU-9</v>
      </c>
    </row>
    <row r="5392">
      <c r="A5392" t="str">
        <f>IFERROR(__xludf.DUMMYFUNCTION("""COMPUTED_VALUE"""),"2015-06-21-J06-CU-10")</f>
        <v>2015-06-21-J06-CU-10</v>
      </c>
    </row>
    <row r="5393">
      <c r="A5393" t="str">
        <f>IFERROR(__xludf.DUMMYFUNCTION("""COMPUTED_VALUE"""),"2015-06-21-J05-CU-1")</f>
        <v>2015-06-21-J05-CU-1</v>
      </c>
    </row>
    <row r="5394">
      <c r="A5394" t="str">
        <f>IFERROR(__xludf.DUMMYFUNCTION("""COMPUTED_VALUE"""),"2015-06-21-J05-CU-2")</f>
        <v>2015-06-21-J05-CU-2</v>
      </c>
    </row>
    <row r="5395">
      <c r="A5395" t="str">
        <f>IFERROR(__xludf.DUMMYFUNCTION("""COMPUTED_VALUE"""),"2015-06-21-J05-CU-3")</f>
        <v>2015-06-21-J05-CU-3</v>
      </c>
    </row>
    <row r="5396">
      <c r="A5396" t="str">
        <f>IFERROR(__xludf.DUMMYFUNCTION("""COMPUTED_VALUE"""),"2015-06-21-J05-CU-4")</f>
        <v>2015-06-21-J05-CU-4</v>
      </c>
    </row>
    <row r="5397">
      <c r="A5397" t="str">
        <f>IFERROR(__xludf.DUMMYFUNCTION("""COMPUTED_VALUE"""),"2015-06-21-J05-CU-5")</f>
        <v>2015-06-21-J05-CU-5</v>
      </c>
    </row>
    <row r="5398">
      <c r="A5398" t="str">
        <f>IFERROR(__xludf.DUMMYFUNCTION("""COMPUTED_VALUE"""),"2015-06-21-J05-CU-6")</f>
        <v>2015-06-21-J05-CU-6</v>
      </c>
    </row>
    <row r="5399">
      <c r="A5399" t="str">
        <f>IFERROR(__xludf.DUMMYFUNCTION("""COMPUTED_VALUE"""),"2015-06-21-J05-CU-7")</f>
        <v>2015-06-21-J05-CU-7</v>
      </c>
    </row>
    <row r="5400">
      <c r="A5400" t="str">
        <f>IFERROR(__xludf.DUMMYFUNCTION("""COMPUTED_VALUE"""),"2015-06-21-J05-CU-8")</f>
        <v>2015-06-21-J05-CU-8</v>
      </c>
    </row>
    <row r="5401">
      <c r="A5401" t="str">
        <f>IFERROR(__xludf.DUMMYFUNCTION("""COMPUTED_VALUE"""),"2015-06-21-J05-CU-9")</f>
        <v>2015-06-21-J05-CU-9</v>
      </c>
    </row>
    <row r="5402">
      <c r="A5402" t="str">
        <f>IFERROR(__xludf.DUMMYFUNCTION("""COMPUTED_VALUE"""),"2015-06-21-J05-CU-10")</f>
        <v>2015-06-21-J05-CU-10</v>
      </c>
    </row>
    <row r="5403">
      <c r="A5403" t="str">
        <f>IFERROR(__xludf.DUMMYFUNCTION("""COMPUTED_VALUE"""),"2015-06-21-J10-CU-1")</f>
        <v>2015-06-21-J10-CU-1</v>
      </c>
    </row>
    <row r="5404">
      <c r="A5404" t="str">
        <f>IFERROR(__xludf.DUMMYFUNCTION("""COMPUTED_VALUE"""),"2015-06-21-J10-CU-2")</f>
        <v>2015-06-21-J10-CU-2</v>
      </c>
    </row>
    <row r="5405">
      <c r="A5405" t="str">
        <f>IFERROR(__xludf.DUMMYFUNCTION("""COMPUTED_VALUE"""),"2015-06-21-J10-CU-3")</f>
        <v>2015-06-21-J10-CU-3</v>
      </c>
    </row>
    <row r="5406">
      <c r="A5406" t="str">
        <f>IFERROR(__xludf.DUMMYFUNCTION("""COMPUTED_VALUE"""),"2015-06-21-J10-CU-4")</f>
        <v>2015-06-21-J10-CU-4</v>
      </c>
    </row>
    <row r="5407">
      <c r="A5407" t="str">
        <f>IFERROR(__xludf.DUMMYFUNCTION("""COMPUTED_VALUE"""),"2015-06-21-J10-CU-5")</f>
        <v>2015-06-21-J10-CU-5</v>
      </c>
    </row>
    <row r="5408">
      <c r="A5408" t="str">
        <f>IFERROR(__xludf.DUMMYFUNCTION("""COMPUTED_VALUE"""),"2015-06-21-J10-CU-6")</f>
        <v>2015-06-21-J10-CU-6</v>
      </c>
    </row>
    <row r="5409">
      <c r="A5409" t="str">
        <f>IFERROR(__xludf.DUMMYFUNCTION("""COMPUTED_VALUE"""),"2015-06-21-J10-CU-7")</f>
        <v>2015-06-21-J10-CU-7</v>
      </c>
    </row>
    <row r="5410">
      <c r="A5410" t="str">
        <f>IFERROR(__xludf.DUMMYFUNCTION("""COMPUTED_VALUE"""),"2015-06-21-J10-CU-8")</f>
        <v>2015-06-21-J10-CU-8</v>
      </c>
    </row>
    <row r="5411">
      <c r="A5411" t="str">
        <f>IFERROR(__xludf.DUMMYFUNCTION("""COMPUTED_VALUE"""),"2015-06-21-J10-CU-9")</f>
        <v>2015-06-21-J10-CU-9</v>
      </c>
    </row>
    <row r="5412">
      <c r="A5412" t="str">
        <f>IFERROR(__xludf.DUMMYFUNCTION("""COMPUTED_VALUE"""),"2015-06-21-J10-CU-10")</f>
        <v>2015-06-21-J10-CU-10</v>
      </c>
    </row>
    <row r="5413">
      <c r="A5413" t="str">
        <f>IFERROR(__xludf.DUMMYFUNCTION("""COMPUTED_VALUE"""),"2015-06-21-J06-CO-1")</f>
        <v>2015-06-21-J06-CO-1</v>
      </c>
    </row>
    <row r="5414">
      <c r="A5414" t="str">
        <f>IFERROR(__xludf.DUMMYFUNCTION("""COMPUTED_VALUE"""),"2015-06-21-J06-HE-1")</f>
        <v>2015-06-21-J06-HE-1</v>
      </c>
    </row>
    <row r="5415">
      <c r="A5415" t="str">
        <f>IFERROR(__xludf.DUMMYFUNCTION("""COMPUTED_VALUE"""),"2015-06-21-J06-HE-2")</f>
        <v>2015-06-21-J06-HE-2</v>
      </c>
    </row>
    <row r="5416">
      <c r="A5416" t="str">
        <f>IFERROR(__xludf.DUMMYFUNCTION("""COMPUTED_VALUE"""),"2015-06-21-J06-HE-3")</f>
        <v>2015-06-21-J06-HE-3</v>
      </c>
    </row>
    <row r="5417">
      <c r="A5417" t="str">
        <f>IFERROR(__xludf.DUMMYFUNCTION("""COMPUTED_VALUE"""),"2015-06-21-J06-HE-4")</f>
        <v>2015-06-21-J06-HE-4</v>
      </c>
    </row>
    <row r="5418">
      <c r="A5418" t="str">
        <f>IFERROR(__xludf.DUMMYFUNCTION("""COMPUTED_VALUE"""),"2015-06-21-J06-HE-5")</f>
        <v>2015-06-21-J06-HE-5</v>
      </c>
    </row>
    <row r="5419">
      <c r="A5419" t="str">
        <f>IFERROR(__xludf.DUMMYFUNCTION("""COMPUTED_VALUE"""),"2015-06-21-J06-HE-6")</f>
        <v>2015-06-21-J06-HE-6</v>
      </c>
    </row>
    <row r="5420">
      <c r="A5420" t="str">
        <f>IFERROR(__xludf.DUMMYFUNCTION("""COMPUTED_VALUE"""),"2015-06-21-J06-HE-7")</f>
        <v>2015-06-21-J06-HE-7</v>
      </c>
    </row>
    <row r="5421">
      <c r="A5421" t="str">
        <f>IFERROR(__xludf.DUMMYFUNCTION("""COMPUTED_VALUE"""),"2015-06-21-J06-HE-8")</f>
        <v>2015-06-21-J06-HE-8</v>
      </c>
    </row>
    <row r="5422">
      <c r="A5422" t="str">
        <f>IFERROR(__xludf.DUMMYFUNCTION("""COMPUTED_VALUE"""),"2015-06-21-J06-HE-9")</f>
        <v>2015-06-21-J06-HE-9</v>
      </c>
    </row>
    <row r="5423">
      <c r="A5423" t="str">
        <f>IFERROR(__xludf.DUMMYFUNCTION("""COMPUTED_VALUE"""),"2015-06-21-J06-HE-10")</f>
        <v>2015-06-21-J06-HE-10</v>
      </c>
    </row>
    <row r="5424">
      <c r="A5424" t="str">
        <f>IFERROR(__xludf.DUMMYFUNCTION("""COMPUTED_VALUE"""),"2015-06-21-J05-HE-1")</f>
        <v>2015-06-21-J05-HE-1</v>
      </c>
    </row>
    <row r="5425">
      <c r="A5425" t="str">
        <f>IFERROR(__xludf.DUMMYFUNCTION("""COMPUTED_VALUE"""),"2015-06-21-J05-HE-2")</f>
        <v>2015-06-21-J05-HE-2</v>
      </c>
    </row>
    <row r="5426">
      <c r="A5426" t="str">
        <f>IFERROR(__xludf.DUMMYFUNCTION("""COMPUTED_VALUE"""),"2015-06-21-J10-HE-1")</f>
        <v>2015-06-21-J10-HE-1</v>
      </c>
    </row>
    <row r="5427">
      <c r="A5427" t="str">
        <f>IFERROR(__xludf.DUMMYFUNCTION("""COMPUTED_VALUE"""),"2015-06-22-D10-SO-1")</f>
        <v>2015-06-22-D10-SO-1</v>
      </c>
    </row>
    <row r="5428">
      <c r="A5428" t="str">
        <f>IFERROR(__xludf.DUMMYFUNCTION("""COMPUTED_VALUE"""),"2015-06-22-D10-SO-2")</f>
        <v>2015-06-22-D10-SO-2</v>
      </c>
    </row>
    <row r="5429">
      <c r="A5429" t="str">
        <f>IFERROR(__xludf.DUMMYFUNCTION("""COMPUTED_VALUE"""),"2015-06-22-D10-SO-3")</f>
        <v>2015-06-22-D10-SO-3</v>
      </c>
    </row>
    <row r="5430">
      <c r="A5430" t="str">
        <f>IFERROR(__xludf.DUMMYFUNCTION("""COMPUTED_VALUE"""),"2015-06-22-D10-SO-4")</f>
        <v>2015-06-22-D10-SO-4</v>
      </c>
    </row>
    <row r="5431">
      <c r="A5431" t="str">
        <f>IFERROR(__xludf.DUMMYFUNCTION("""COMPUTED_VALUE"""),"2015-06-22-D10-SO-5")</f>
        <v>2015-06-22-D10-SO-5</v>
      </c>
    </row>
    <row r="5432">
      <c r="A5432" t="str">
        <f>IFERROR(__xludf.DUMMYFUNCTION("""COMPUTED_VALUE"""),"2015-06-22-D10-SO-6")</f>
        <v>2015-06-22-D10-SO-6</v>
      </c>
    </row>
    <row r="5433">
      <c r="A5433" t="str">
        <f>IFERROR(__xludf.DUMMYFUNCTION("""COMPUTED_VALUE"""),"2015-06-22-D10-SO-7")</f>
        <v>2015-06-22-D10-SO-7</v>
      </c>
    </row>
    <row r="5434">
      <c r="A5434" t="str">
        <f>IFERROR(__xludf.DUMMYFUNCTION("""COMPUTED_VALUE"""),"2015-06-22-D10-SO-8")</f>
        <v>2015-06-22-D10-SO-8</v>
      </c>
    </row>
    <row r="5435">
      <c r="A5435" t="str">
        <f>IFERROR(__xludf.DUMMYFUNCTION("""COMPUTED_VALUE"""),"2015-06-22-D10-SO-9")</f>
        <v>2015-06-22-D10-SO-9</v>
      </c>
    </row>
    <row r="5436">
      <c r="A5436" t="str">
        <f>IFERROR(__xludf.DUMMYFUNCTION("""COMPUTED_VALUE"""),"2015-06-22-D10-SO-10")</f>
        <v>2015-06-22-D10-SO-10</v>
      </c>
    </row>
    <row r="5437">
      <c r="A5437" t="str">
        <f>IFERROR(__xludf.DUMMYFUNCTION("""COMPUTED_VALUE"""),"2015-06-22-D10-SO-11")</f>
        <v>2015-06-22-D10-SO-11</v>
      </c>
    </row>
    <row r="5438">
      <c r="A5438" t="str">
        <f>IFERROR(__xludf.DUMMYFUNCTION("""COMPUTED_VALUE"""),"2015-06-22-D10-SO-12")</f>
        <v>2015-06-22-D10-SO-12</v>
      </c>
    </row>
    <row r="5439">
      <c r="A5439" t="str">
        <f>IFERROR(__xludf.DUMMYFUNCTION("""COMPUTED_VALUE"""),"2015-06-22-D10-SO-13")</f>
        <v>2015-06-22-D10-SO-13</v>
      </c>
    </row>
    <row r="5440">
      <c r="A5440" t="str">
        <f>IFERROR(__xludf.DUMMYFUNCTION("""COMPUTED_VALUE"""),"2015-06-22-D10-SO-14")</f>
        <v>2015-06-22-D10-SO-14</v>
      </c>
    </row>
    <row r="5441">
      <c r="A5441" t="str">
        <f>IFERROR(__xludf.DUMMYFUNCTION("""COMPUTED_VALUE"""),"2015-06-22-D10-SO-15")</f>
        <v>2015-06-22-D10-SO-15</v>
      </c>
    </row>
    <row r="5442">
      <c r="A5442" t="str">
        <f>IFERROR(__xludf.DUMMYFUNCTION("""COMPUTED_VALUE"""),"2015-06-22-D10-SO-16")</f>
        <v>2015-06-22-D10-SO-16</v>
      </c>
    </row>
    <row r="5443">
      <c r="A5443" t="str">
        <f>IFERROR(__xludf.DUMMYFUNCTION("""COMPUTED_VALUE"""),"2015-06-22-D10-SO-17")</f>
        <v>2015-06-22-D10-SO-17</v>
      </c>
    </row>
    <row r="5444">
      <c r="A5444" t="str">
        <f>IFERROR(__xludf.DUMMYFUNCTION("""COMPUTED_VALUE"""),"2015-06-22-D10-SO-18")</f>
        <v>2015-06-22-D10-SO-18</v>
      </c>
    </row>
    <row r="5445">
      <c r="A5445" t="str">
        <f>IFERROR(__xludf.DUMMYFUNCTION("""COMPUTED_VALUE"""),"2015-06-22-D10-SO-19")</f>
        <v>2015-06-22-D10-SO-19</v>
      </c>
    </row>
    <row r="5446">
      <c r="A5446" t="str">
        <f>IFERROR(__xludf.DUMMYFUNCTION("""COMPUTED_VALUE"""),"2015-06-22-D10-SO-20")</f>
        <v>2015-06-22-D10-SO-20</v>
      </c>
    </row>
    <row r="5447">
      <c r="A5447" t="str">
        <f>IFERROR(__xludf.DUMMYFUNCTION("""COMPUTED_VALUE"""),"2015-06-22-D10-SO-21")</f>
        <v>2015-06-22-D10-SO-21</v>
      </c>
    </row>
    <row r="5448">
      <c r="A5448" t="str">
        <f>IFERROR(__xludf.DUMMYFUNCTION("""COMPUTED_VALUE"""),"2015-06-22-D10-SO-22")</f>
        <v>2015-06-22-D10-SO-22</v>
      </c>
    </row>
    <row r="5449">
      <c r="A5449" t="str">
        <f>IFERROR(__xludf.DUMMYFUNCTION("""COMPUTED_VALUE"""),"2015-06-22-D10-SO-23")</f>
        <v>2015-06-22-D10-SO-23</v>
      </c>
    </row>
    <row r="5450">
      <c r="A5450" t="str">
        <f>IFERROR(__xludf.DUMMYFUNCTION("""COMPUTED_VALUE"""),"2015-06-22-D10-SO-24")</f>
        <v>2015-06-22-D10-SO-24</v>
      </c>
    </row>
    <row r="5451">
      <c r="A5451" t="str">
        <f>IFERROR(__xludf.DUMMYFUNCTION("""COMPUTED_VALUE"""),"2015-06-22-D10-SO-25")</f>
        <v>2015-06-22-D10-SO-25</v>
      </c>
    </row>
    <row r="5452">
      <c r="A5452" t="str">
        <f>IFERROR(__xludf.DUMMYFUNCTION("""COMPUTED_VALUE"""),"2015-06-22-D10-SO-26")</f>
        <v>2015-06-22-D10-SO-26</v>
      </c>
    </row>
    <row r="5453">
      <c r="A5453" t="str">
        <f>IFERROR(__xludf.DUMMYFUNCTION("""COMPUTED_VALUE"""),"2015-06-22-D10-SO-27")</f>
        <v>2015-06-22-D10-SO-27</v>
      </c>
    </row>
    <row r="5454">
      <c r="A5454" t="str">
        <f>IFERROR(__xludf.DUMMYFUNCTION("""COMPUTED_VALUE"""),"2015-06-22-D10-SO-28")</f>
        <v>2015-06-22-D10-SO-28</v>
      </c>
    </row>
    <row r="5455">
      <c r="A5455" t="str">
        <f>IFERROR(__xludf.DUMMYFUNCTION("""COMPUTED_VALUE"""),"2015-06-22-D10-SO-29")</f>
        <v>2015-06-22-D10-SO-29</v>
      </c>
    </row>
    <row r="5456">
      <c r="A5456" t="str">
        <f>IFERROR(__xludf.DUMMYFUNCTION("""COMPUTED_VALUE"""),"2015-06-22-D10-SO-30")</f>
        <v>2015-06-22-D10-SO-30</v>
      </c>
    </row>
    <row r="5457">
      <c r="A5457" t="str">
        <f>IFERROR(__xludf.DUMMYFUNCTION("""COMPUTED_VALUE"""),"2015-06-22-D09-SO-1")</f>
        <v>2015-06-22-D09-SO-1</v>
      </c>
    </row>
    <row r="5458">
      <c r="A5458" t="str">
        <f>IFERROR(__xludf.DUMMYFUNCTION("""COMPUTED_VALUE"""),"2015-06-22-D09-SO-2")</f>
        <v>2015-06-22-D09-SO-2</v>
      </c>
    </row>
    <row r="5459">
      <c r="A5459" t="str">
        <f>IFERROR(__xludf.DUMMYFUNCTION("""COMPUTED_VALUE"""),"2015-06-22-D09-SO-3")</f>
        <v>2015-06-22-D09-SO-3</v>
      </c>
    </row>
    <row r="5460">
      <c r="A5460" t="str">
        <f>IFERROR(__xludf.DUMMYFUNCTION("""COMPUTED_VALUE"""),"2015-06-22-D09-SO-4")</f>
        <v>2015-06-22-D09-SO-4</v>
      </c>
    </row>
    <row r="5461">
      <c r="A5461" t="str">
        <f>IFERROR(__xludf.DUMMYFUNCTION("""COMPUTED_VALUE"""),"2015-06-22-D09-SO-5")</f>
        <v>2015-06-22-D09-SO-5</v>
      </c>
    </row>
    <row r="5462">
      <c r="A5462" t="str">
        <f>IFERROR(__xludf.DUMMYFUNCTION("""COMPUTED_VALUE"""),"2015-06-22-D09-SO-6")</f>
        <v>2015-06-22-D09-SO-6</v>
      </c>
    </row>
    <row r="5463">
      <c r="A5463" t="str">
        <f>IFERROR(__xludf.DUMMYFUNCTION("""COMPUTED_VALUE"""),"2015-06-22-D09-SO-7")</f>
        <v>2015-06-22-D09-SO-7</v>
      </c>
    </row>
    <row r="5464">
      <c r="A5464" t="str">
        <f>IFERROR(__xludf.DUMMYFUNCTION("""COMPUTED_VALUE"""),"2015-06-22-D09-SO-8")</f>
        <v>2015-06-22-D09-SO-8</v>
      </c>
    </row>
    <row r="5465">
      <c r="A5465" t="str">
        <f>IFERROR(__xludf.DUMMYFUNCTION("""COMPUTED_VALUE"""),"2015-06-22-D09-SO-9")</f>
        <v>2015-06-22-D09-SO-9</v>
      </c>
    </row>
    <row r="5466">
      <c r="A5466" t="str">
        <f>IFERROR(__xludf.DUMMYFUNCTION("""COMPUTED_VALUE"""),"2015-06-22-D09-SO-10")</f>
        <v>2015-06-22-D09-SO-10</v>
      </c>
    </row>
    <row r="5467">
      <c r="A5467" t="str">
        <f>IFERROR(__xludf.DUMMYFUNCTION("""COMPUTED_VALUE"""),"2015-06-22-D09-SO-30")</f>
        <v>2015-06-22-D09-SO-30</v>
      </c>
    </row>
    <row r="5468">
      <c r="A5468" t="str">
        <f>IFERROR(__xludf.DUMMYFUNCTION("""COMPUTED_VALUE"""),"2015-06-22-D09-SO-12")</f>
        <v>2015-06-22-D09-SO-12</v>
      </c>
    </row>
    <row r="5469">
      <c r="A5469" t="str">
        <f>IFERROR(__xludf.DUMMYFUNCTION("""COMPUTED_VALUE"""),"2015-06-22-D09-SO-13")</f>
        <v>2015-06-22-D09-SO-13</v>
      </c>
    </row>
    <row r="5470">
      <c r="A5470" t="str">
        <f>IFERROR(__xludf.DUMMYFUNCTION("""COMPUTED_VALUE"""),"2015-06-22-D09-SO-14")</f>
        <v>2015-06-22-D09-SO-14</v>
      </c>
    </row>
    <row r="5471">
      <c r="A5471" t="str">
        <f>IFERROR(__xludf.DUMMYFUNCTION("""COMPUTED_VALUE"""),"2015-06-22-D09-SO-15")</f>
        <v>2015-06-22-D09-SO-15</v>
      </c>
    </row>
    <row r="5472">
      <c r="A5472" t="str">
        <f>IFERROR(__xludf.DUMMYFUNCTION("""COMPUTED_VALUE"""),"2015-06-22-D09-SO-16")</f>
        <v>2015-06-22-D09-SO-16</v>
      </c>
    </row>
    <row r="5473">
      <c r="A5473" t="str">
        <f>IFERROR(__xludf.DUMMYFUNCTION("""COMPUTED_VALUE"""),"2015-06-22-D09-SO-17")</f>
        <v>2015-06-22-D09-SO-17</v>
      </c>
    </row>
    <row r="5474">
      <c r="A5474" t="str">
        <f>IFERROR(__xludf.DUMMYFUNCTION("""COMPUTED_VALUE"""),"2015-06-22-D09-SO-18")</f>
        <v>2015-06-22-D09-SO-18</v>
      </c>
    </row>
    <row r="5475">
      <c r="A5475" t="str">
        <f>IFERROR(__xludf.DUMMYFUNCTION("""COMPUTED_VALUE"""),"2015-06-22-D09-SO-19")</f>
        <v>2015-06-22-D09-SO-19</v>
      </c>
    </row>
    <row r="5476">
      <c r="A5476" t="str">
        <f>IFERROR(__xludf.DUMMYFUNCTION("""COMPUTED_VALUE"""),"2015-06-22-D09-SO-20")</f>
        <v>2015-06-22-D09-SO-20</v>
      </c>
    </row>
    <row r="5477">
      <c r="A5477" t="str">
        <f>IFERROR(__xludf.DUMMYFUNCTION("""COMPUTED_VALUE"""),"2015-06-22-D09-SO-21")</f>
        <v>2015-06-22-D09-SO-21</v>
      </c>
    </row>
    <row r="5478">
      <c r="A5478" t="str">
        <f>IFERROR(__xludf.DUMMYFUNCTION("""COMPUTED_VALUE"""),"2015-06-22-D09-SO-22")</f>
        <v>2015-06-22-D09-SO-22</v>
      </c>
    </row>
    <row r="5479">
      <c r="A5479" t="str">
        <f>IFERROR(__xludf.DUMMYFUNCTION("""COMPUTED_VALUE"""),"2015-06-22-D09-SO-23")</f>
        <v>2015-06-22-D09-SO-23</v>
      </c>
    </row>
    <row r="5480">
      <c r="A5480" t="str">
        <f>IFERROR(__xludf.DUMMYFUNCTION("""COMPUTED_VALUE"""),"2015-06-22-D09-SO-24")</f>
        <v>2015-06-22-D09-SO-24</v>
      </c>
    </row>
    <row r="5481">
      <c r="A5481" t="str">
        <f>IFERROR(__xludf.DUMMYFUNCTION("""COMPUTED_VALUE"""),"2015-06-22-D09-SO-25")</f>
        <v>2015-06-22-D09-SO-25</v>
      </c>
    </row>
    <row r="5482">
      <c r="A5482" t="str">
        <f>IFERROR(__xludf.DUMMYFUNCTION("""COMPUTED_VALUE"""),"2015-06-22-D09-SO-26")</f>
        <v>2015-06-22-D09-SO-26</v>
      </c>
    </row>
    <row r="5483">
      <c r="A5483" t="str">
        <f>IFERROR(__xludf.DUMMYFUNCTION("""COMPUTED_VALUE"""),"2015-06-22-D09-SO-27")</f>
        <v>2015-06-22-D09-SO-27</v>
      </c>
    </row>
    <row r="5484">
      <c r="A5484" t="str">
        <f>IFERROR(__xludf.DUMMYFUNCTION("""COMPUTED_VALUE"""),"2015-06-22-D09-SO-28")</f>
        <v>2015-06-22-D09-SO-28</v>
      </c>
    </row>
    <row r="5485">
      <c r="A5485" t="str">
        <f>IFERROR(__xludf.DUMMYFUNCTION("""COMPUTED_VALUE"""),"2015-06-22-D09-SO-29")</f>
        <v>2015-06-22-D09-SO-29</v>
      </c>
    </row>
    <row r="5486">
      <c r="A5486" t="str">
        <f>IFERROR(__xludf.DUMMYFUNCTION("""COMPUTED_VALUE"""),"2015-06-22-D09-PI-1")</f>
        <v>2015-06-22-D09-PI-1</v>
      </c>
    </row>
    <row r="5487">
      <c r="A5487" t="str">
        <f>IFERROR(__xludf.DUMMYFUNCTION("""COMPUTED_VALUE"""),"2015-06-22-D09-PI-2")</f>
        <v>2015-06-22-D09-PI-2</v>
      </c>
    </row>
    <row r="5488">
      <c r="A5488" t="str">
        <f>IFERROR(__xludf.DUMMYFUNCTION("""COMPUTED_VALUE"""),"2015-06-22-D09-PI-3")</f>
        <v>2015-06-22-D09-PI-3</v>
      </c>
    </row>
    <row r="5489">
      <c r="A5489" t="str">
        <f>IFERROR(__xludf.DUMMYFUNCTION("""COMPUTED_VALUE"""),"2015-06-22-D09-PI-4")</f>
        <v>2015-06-22-D09-PI-4</v>
      </c>
    </row>
    <row r="5490">
      <c r="A5490" t="str">
        <f>IFERROR(__xludf.DUMMYFUNCTION("""COMPUTED_VALUE"""),"2015-06-22-D09-PI-5")</f>
        <v>2015-06-22-D09-PI-5</v>
      </c>
    </row>
    <row r="5491">
      <c r="A5491" t="str">
        <f>IFERROR(__xludf.DUMMYFUNCTION("""COMPUTED_VALUE"""),"2015-06-22-D09-PI-6")</f>
        <v>2015-06-22-D09-PI-6</v>
      </c>
    </row>
    <row r="5492">
      <c r="A5492" t="str">
        <f>IFERROR(__xludf.DUMMYFUNCTION("""COMPUTED_VALUE"""),"2015-06-22-D09-PI-7")</f>
        <v>2015-06-22-D09-PI-7</v>
      </c>
    </row>
    <row r="5493">
      <c r="A5493" t="str">
        <f>IFERROR(__xludf.DUMMYFUNCTION("""COMPUTED_VALUE"""),"2015-06-22-D10-CU-1")</f>
        <v>2015-06-22-D10-CU-1</v>
      </c>
    </row>
    <row r="5494">
      <c r="A5494" t="str">
        <f>IFERROR(__xludf.DUMMYFUNCTION("""COMPUTED_VALUE"""),"2015-06-22-D10-CU-2")</f>
        <v>2015-06-22-D10-CU-2</v>
      </c>
    </row>
    <row r="5495">
      <c r="A5495" t="str">
        <f>IFERROR(__xludf.DUMMYFUNCTION("""COMPUTED_VALUE"""),"2015-06-22-D10-CU-3")</f>
        <v>2015-06-22-D10-CU-3</v>
      </c>
    </row>
    <row r="5496">
      <c r="A5496" t="str">
        <f>IFERROR(__xludf.DUMMYFUNCTION("""COMPUTED_VALUE"""),"2015-06-22-D10-CU-4")</f>
        <v>2015-06-22-D10-CU-4</v>
      </c>
    </row>
    <row r="5497">
      <c r="A5497" t="str">
        <f>IFERROR(__xludf.DUMMYFUNCTION("""COMPUTED_VALUE"""),"2015-06-22-D10-CU-5")</f>
        <v>2015-06-22-D10-CU-5</v>
      </c>
    </row>
    <row r="5498">
      <c r="A5498" t="str">
        <f>IFERROR(__xludf.DUMMYFUNCTION("""COMPUTED_VALUE"""),"2015-06-22-D10-CU-6")</f>
        <v>2015-06-22-D10-CU-6</v>
      </c>
    </row>
    <row r="5499">
      <c r="A5499" t="str">
        <f>IFERROR(__xludf.DUMMYFUNCTION("""COMPUTED_VALUE"""),"2015-06-22-D10-CU-7")</f>
        <v>2015-06-22-D10-CU-7</v>
      </c>
    </row>
    <row r="5500">
      <c r="A5500" t="str">
        <f>IFERROR(__xludf.DUMMYFUNCTION("""COMPUTED_VALUE"""),"2015-06-22-D10-CU-8")</f>
        <v>2015-06-22-D10-CU-8</v>
      </c>
    </row>
    <row r="5501">
      <c r="A5501" t="str">
        <f>IFERROR(__xludf.DUMMYFUNCTION("""COMPUTED_VALUE"""),"2015-06-22-D10-CU-9")</f>
        <v>2015-06-22-D10-CU-9</v>
      </c>
    </row>
    <row r="5502">
      <c r="A5502" t="str">
        <f>IFERROR(__xludf.DUMMYFUNCTION("""COMPUTED_VALUE"""),"2015-06-22-D10-CU-10")</f>
        <v>2015-06-22-D10-CU-10</v>
      </c>
    </row>
    <row r="5503">
      <c r="A5503" t="str">
        <f>IFERROR(__xludf.DUMMYFUNCTION("""COMPUTED_VALUE"""),"2015-06-22-D09-CU-1")</f>
        <v>2015-06-22-D09-CU-1</v>
      </c>
    </row>
    <row r="5504">
      <c r="A5504" t="str">
        <f>IFERROR(__xludf.DUMMYFUNCTION("""COMPUTED_VALUE"""),"2015-06-22-D09-CU-2")</f>
        <v>2015-06-22-D09-CU-2</v>
      </c>
    </row>
    <row r="5505">
      <c r="A5505" t="str">
        <f>IFERROR(__xludf.DUMMYFUNCTION("""COMPUTED_VALUE"""),"2015-06-22-D09-CU-3")</f>
        <v>2015-06-22-D09-CU-3</v>
      </c>
    </row>
    <row r="5506">
      <c r="A5506" t="str">
        <f>IFERROR(__xludf.DUMMYFUNCTION("""COMPUTED_VALUE"""),"2015-06-22-D09-CU-4")</f>
        <v>2015-06-22-D09-CU-4</v>
      </c>
    </row>
    <row r="5507">
      <c r="A5507" t="str">
        <f>IFERROR(__xludf.DUMMYFUNCTION("""COMPUTED_VALUE"""),"2015-06-22-D09-CU-5")</f>
        <v>2015-06-22-D09-CU-5</v>
      </c>
    </row>
    <row r="5508">
      <c r="A5508" t="str">
        <f>IFERROR(__xludf.DUMMYFUNCTION("""COMPUTED_VALUE"""),"2015-06-22-D09-CU-6")</f>
        <v>2015-06-22-D09-CU-6</v>
      </c>
    </row>
    <row r="5509">
      <c r="A5509" t="str">
        <f>IFERROR(__xludf.DUMMYFUNCTION("""COMPUTED_VALUE"""),"2015-06-22-D09-CU-7")</f>
        <v>2015-06-22-D09-CU-7</v>
      </c>
    </row>
    <row r="5510">
      <c r="A5510" t="str">
        <f>IFERROR(__xludf.DUMMYFUNCTION("""COMPUTED_VALUE"""),"2015-06-22-D09-CU-8")</f>
        <v>2015-06-22-D09-CU-8</v>
      </c>
    </row>
    <row r="5511">
      <c r="A5511" t="str">
        <f>IFERROR(__xludf.DUMMYFUNCTION("""COMPUTED_VALUE"""),"2015-06-22-D09-CU-9")</f>
        <v>2015-06-22-D09-CU-9</v>
      </c>
    </row>
    <row r="5512">
      <c r="A5512" t="str">
        <f>IFERROR(__xludf.DUMMYFUNCTION("""COMPUTED_VALUE"""),"2015-06-22-D09-CU-10")</f>
        <v>2015-06-22-D09-CU-10</v>
      </c>
    </row>
    <row r="5513">
      <c r="A5513" t="str">
        <f>IFERROR(__xludf.DUMMYFUNCTION("""COMPUTED_VALUE"""),"2015-06-22-D09-HE-1")</f>
        <v>2015-06-22-D09-HE-1</v>
      </c>
    </row>
    <row r="5514">
      <c r="A5514" t="str">
        <f>IFERROR(__xludf.DUMMYFUNCTION("""COMPUTED_VALUE"""),"2015-06-22-D09-HE-2")</f>
        <v>2015-06-22-D09-HE-2</v>
      </c>
    </row>
    <row r="5515">
      <c r="A5515" t="str">
        <f>IFERROR(__xludf.DUMMYFUNCTION("""COMPUTED_VALUE"""),"2015-06-22-D09-HE-3")</f>
        <v>2015-06-22-D09-HE-3</v>
      </c>
    </row>
    <row r="5516">
      <c r="A5516" t="str">
        <f>IFERROR(__xludf.DUMMYFUNCTION("""COMPUTED_VALUE"""),"2015-06-22-D09-HE-4")</f>
        <v>2015-06-22-D09-HE-4</v>
      </c>
    </row>
    <row r="5517">
      <c r="A5517" t="str">
        <f>IFERROR(__xludf.DUMMYFUNCTION("""COMPUTED_VALUE"""),"2015-06-23-D06-SO-1")</f>
        <v>2015-06-23-D06-SO-1</v>
      </c>
    </row>
    <row r="5518">
      <c r="A5518" t="str">
        <f>IFERROR(__xludf.DUMMYFUNCTION("""COMPUTED_VALUE"""),"2015-06-23-D06-SO-2")</f>
        <v>2015-06-23-D06-SO-2</v>
      </c>
    </row>
    <row r="5519">
      <c r="A5519" t="str">
        <f>IFERROR(__xludf.DUMMYFUNCTION("""COMPUTED_VALUE"""),"2015-06-23-D06-SO-3")</f>
        <v>2015-06-23-D06-SO-3</v>
      </c>
    </row>
    <row r="5520">
      <c r="A5520" t="str">
        <f>IFERROR(__xludf.DUMMYFUNCTION("""COMPUTED_VALUE"""),"2015-06-23-D06-SO-4")</f>
        <v>2015-06-23-D06-SO-4</v>
      </c>
    </row>
    <row r="5521">
      <c r="A5521" t="str">
        <f>IFERROR(__xludf.DUMMYFUNCTION("""COMPUTED_VALUE"""),"2015-06-23-D06-SO-5")</f>
        <v>2015-06-23-D06-SO-5</v>
      </c>
    </row>
    <row r="5522">
      <c r="A5522" t="str">
        <f>IFERROR(__xludf.DUMMYFUNCTION("""COMPUTED_VALUE"""),"2015-06-23-D06-SO-6")</f>
        <v>2015-06-23-D06-SO-6</v>
      </c>
    </row>
    <row r="5523">
      <c r="A5523" t="str">
        <f>IFERROR(__xludf.DUMMYFUNCTION("""COMPUTED_VALUE"""),"2015-06-23-J03-SO-1")</f>
        <v>2015-06-23-J03-SO-1</v>
      </c>
    </row>
    <row r="5524">
      <c r="A5524" t="str">
        <f>IFERROR(__xludf.DUMMYFUNCTION("""COMPUTED_VALUE"""),"2015-06-23-J03-SO-2")</f>
        <v>2015-06-23-J03-SO-2</v>
      </c>
    </row>
    <row r="5525">
      <c r="A5525" t="str">
        <f>IFERROR(__xludf.DUMMYFUNCTION("""COMPUTED_VALUE"""),"2015-06-23-J03-SO-3")</f>
        <v>2015-06-23-J03-SO-3</v>
      </c>
    </row>
    <row r="5526">
      <c r="A5526" t="str">
        <f>IFERROR(__xludf.DUMMYFUNCTION("""COMPUTED_VALUE"""),"2015-06-23-J03-SO-4")</f>
        <v>2015-06-23-J03-SO-4</v>
      </c>
    </row>
    <row r="5527">
      <c r="A5527" t="str">
        <f>IFERROR(__xludf.DUMMYFUNCTION("""COMPUTED_VALUE"""),"2015-06-23-J03-SO-5")</f>
        <v>2015-06-23-J03-SO-5</v>
      </c>
    </row>
    <row r="5528">
      <c r="A5528" t="str">
        <f>IFERROR(__xludf.DUMMYFUNCTION("""COMPUTED_VALUE"""),"2015-06-23-J03-SO-6")</f>
        <v>2015-06-23-J03-SO-6</v>
      </c>
    </row>
    <row r="5529">
      <c r="A5529" t="str">
        <f>IFERROR(__xludf.DUMMYFUNCTION("""COMPUTED_VALUE"""),"2015-06-23-J03-SO-7")</f>
        <v>2015-06-23-J03-SO-7</v>
      </c>
    </row>
    <row r="5530">
      <c r="A5530" t="str">
        <f>IFERROR(__xludf.DUMMYFUNCTION("""COMPUTED_VALUE"""),"2015-06-23-J03-SO-8")</f>
        <v>2015-06-23-J03-SO-8</v>
      </c>
    </row>
    <row r="5531">
      <c r="A5531" t="str">
        <f>IFERROR(__xludf.DUMMYFUNCTION("""COMPUTED_VALUE"""),"2015-06-23-J03-SO-9")</f>
        <v>2015-06-23-J03-SO-9</v>
      </c>
    </row>
    <row r="5532">
      <c r="A5532" t="str">
        <f>IFERROR(__xludf.DUMMYFUNCTION("""COMPUTED_VALUE"""),"2015-06-23-J03-SO-10")</f>
        <v>2015-06-23-J03-SO-10</v>
      </c>
    </row>
    <row r="5533">
      <c r="A5533" t="str">
        <f>IFERROR(__xludf.DUMMYFUNCTION("""COMPUTED_VALUE"""),"2015-06-23-J03-SO-11")</f>
        <v>2015-06-23-J03-SO-11</v>
      </c>
    </row>
    <row r="5534">
      <c r="A5534" t="str">
        <f>IFERROR(__xludf.DUMMYFUNCTION("""COMPUTED_VALUE"""),"2015-06-23-J03-SO-12")</f>
        <v>2015-06-23-J03-SO-12</v>
      </c>
    </row>
    <row r="5535">
      <c r="A5535" t="str">
        <f>IFERROR(__xludf.DUMMYFUNCTION("""COMPUTED_VALUE"""),"2015-06-23-J03-SO-13")</f>
        <v>2015-06-23-J03-SO-13</v>
      </c>
    </row>
    <row r="5536">
      <c r="A5536" t="str">
        <f>IFERROR(__xludf.DUMMYFUNCTION("""COMPUTED_VALUE"""),"2015-06-23-J03-SO-14")</f>
        <v>2015-06-23-J03-SO-14</v>
      </c>
    </row>
    <row r="5537">
      <c r="A5537" t="str">
        <f>IFERROR(__xludf.DUMMYFUNCTION("""COMPUTED_VALUE"""),"2015-06-23-J03-SO-15")</f>
        <v>2015-06-23-J03-SO-15</v>
      </c>
    </row>
    <row r="5538">
      <c r="A5538" t="str">
        <f>IFERROR(__xludf.DUMMYFUNCTION("""COMPUTED_VALUE"""),"2015-06-23-J03-SO-16")</f>
        <v>2015-06-23-J03-SO-16</v>
      </c>
    </row>
    <row r="5539">
      <c r="A5539" t="str">
        <f>IFERROR(__xludf.DUMMYFUNCTION("""COMPUTED_VALUE"""),"2015-06-23-J03-SO-17")</f>
        <v>2015-06-23-J03-SO-17</v>
      </c>
    </row>
    <row r="5540">
      <c r="A5540" t="str">
        <f>IFERROR(__xludf.DUMMYFUNCTION("""COMPUTED_VALUE"""),"2015-06-23-J03-SO-18")</f>
        <v>2015-06-23-J03-SO-18</v>
      </c>
    </row>
    <row r="5541">
      <c r="A5541" t="str">
        <f>IFERROR(__xludf.DUMMYFUNCTION("""COMPUTED_VALUE"""),"2015-06-23-J03-SO-19")</f>
        <v>2015-06-23-J03-SO-19</v>
      </c>
    </row>
    <row r="5542">
      <c r="A5542" t="str">
        <f>IFERROR(__xludf.DUMMYFUNCTION("""COMPUTED_VALUE"""),"2015-06-23-J03-SO-20")</f>
        <v>2015-06-23-J03-SO-20</v>
      </c>
    </row>
    <row r="5543">
      <c r="A5543" t="str">
        <f>IFERROR(__xludf.DUMMYFUNCTION("""COMPUTED_VALUE"""),"2015-06-23-J03-SO-21")</f>
        <v>2015-06-23-J03-SO-21</v>
      </c>
    </row>
    <row r="5544">
      <c r="A5544" t="str">
        <f>IFERROR(__xludf.DUMMYFUNCTION("""COMPUTED_VALUE"""),"2015-06-23-J03-SO-22")</f>
        <v>2015-06-23-J03-SO-22</v>
      </c>
    </row>
    <row r="5545">
      <c r="A5545" t="str">
        <f>IFERROR(__xludf.DUMMYFUNCTION("""COMPUTED_VALUE"""),"2015-06-23-J03-SO-23")</f>
        <v>2015-06-23-J03-SO-23</v>
      </c>
    </row>
    <row r="5546">
      <c r="A5546" t="str">
        <f>IFERROR(__xludf.DUMMYFUNCTION("""COMPUTED_VALUE"""),"2015-06-23-J03-SO-24")</f>
        <v>2015-06-23-J03-SO-24</v>
      </c>
    </row>
    <row r="5547">
      <c r="A5547" t="str">
        <f>IFERROR(__xludf.DUMMYFUNCTION("""COMPUTED_VALUE"""),"2015-06-23-J03-SO-25")</f>
        <v>2015-06-23-J03-SO-25</v>
      </c>
    </row>
    <row r="5548">
      <c r="A5548" t="str">
        <f>IFERROR(__xludf.DUMMYFUNCTION("""COMPUTED_VALUE"""),"2015-06-23-J03-SO-26")</f>
        <v>2015-06-23-J03-SO-26</v>
      </c>
    </row>
    <row r="5549">
      <c r="A5549" t="str">
        <f>IFERROR(__xludf.DUMMYFUNCTION("""COMPUTED_VALUE"""),"2015-06-23-J03-SO-27")</f>
        <v>2015-06-23-J03-SO-27</v>
      </c>
    </row>
    <row r="5550">
      <c r="A5550" t="str">
        <f>IFERROR(__xludf.DUMMYFUNCTION("""COMPUTED_VALUE"""),"2015-06-23-J03-SO-28")</f>
        <v>2015-06-23-J03-SO-28</v>
      </c>
    </row>
    <row r="5551">
      <c r="A5551" t="str">
        <f>IFERROR(__xludf.DUMMYFUNCTION("""COMPUTED_VALUE"""),"2015-06-23-J03-SO-29")</f>
        <v>2015-06-23-J03-SO-29</v>
      </c>
    </row>
    <row r="5552">
      <c r="A5552" t="str">
        <f>IFERROR(__xludf.DUMMYFUNCTION("""COMPUTED_VALUE"""),"2015-06-23-J03-SO-30")</f>
        <v>2015-06-23-J03-SO-30</v>
      </c>
    </row>
    <row r="5553">
      <c r="A5553" t="str">
        <f>IFERROR(__xludf.DUMMYFUNCTION("""COMPUTED_VALUE"""),"2015-06-23-J01-SO-1")</f>
        <v>2015-06-23-J01-SO-1</v>
      </c>
    </row>
    <row r="5554">
      <c r="A5554" t="str">
        <f>IFERROR(__xludf.DUMMYFUNCTION("""COMPUTED_VALUE"""),"2015-06-23-J01-SO-2")</f>
        <v>2015-06-23-J01-SO-2</v>
      </c>
    </row>
    <row r="5555">
      <c r="A5555" t="str">
        <f>IFERROR(__xludf.DUMMYFUNCTION("""COMPUTED_VALUE"""),"2015-06-23-J01-SO-3")</f>
        <v>2015-06-23-J01-SO-3</v>
      </c>
    </row>
    <row r="5556">
      <c r="A5556" t="str">
        <f>IFERROR(__xludf.DUMMYFUNCTION("""COMPUTED_VALUE"""),"2015-06-23-J01-SO-4")</f>
        <v>2015-06-23-J01-SO-4</v>
      </c>
    </row>
    <row r="5557">
      <c r="A5557" t="str">
        <f>IFERROR(__xludf.DUMMYFUNCTION("""COMPUTED_VALUE"""),"2015-06-23-J01-SO-5")</f>
        <v>2015-06-23-J01-SO-5</v>
      </c>
    </row>
    <row r="5558">
      <c r="A5558" t="str">
        <f>IFERROR(__xludf.DUMMYFUNCTION("""COMPUTED_VALUE"""),"2015-06-23-J01-SO-6")</f>
        <v>2015-06-23-J01-SO-6</v>
      </c>
    </row>
    <row r="5559">
      <c r="A5559" t="str">
        <f>IFERROR(__xludf.DUMMYFUNCTION("""COMPUTED_VALUE"""),"2015-06-23-J01-SO-7")</f>
        <v>2015-06-23-J01-SO-7</v>
      </c>
    </row>
    <row r="5560">
      <c r="A5560" t="str">
        <f>IFERROR(__xludf.DUMMYFUNCTION("""COMPUTED_VALUE"""),"2015-06-23-J01-SO-8")</f>
        <v>2015-06-23-J01-SO-8</v>
      </c>
    </row>
    <row r="5561">
      <c r="A5561" t="str">
        <f>IFERROR(__xludf.DUMMYFUNCTION("""COMPUTED_VALUE"""),"2015-06-23-J01-SO-9")</f>
        <v>2015-06-23-J01-SO-9</v>
      </c>
    </row>
    <row r="5562">
      <c r="A5562" t="str">
        <f>IFERROR(__xludf.DUMMYFUNCTION("""COMPUTED_VALUE"""),"2015-06-23-J01-SO-10")</f>
        <v>2015-06-23-J01-SO-10</v>
      </c>
    </row>
    <row r="5563">
      <c r="A5563" t="str">
        <f>IFERROR(__xludf.DUMMYFUNCTION("""COMPUTED_VALUE"""),"2015-06-23-J01-SO-11")</f>
        <v>2015-06-23-J01-SO-11</v>
      </c>
    </row>
    <row r="5564">
      <c r="A5564" t="str">
        <f>IFERROR(__xludf.DUMMYFUNCTION("""COMPUTED_VALUE"""),"2015-06-23-J01-SO-12")</f>
        <v>2015-06-23-J01-SO-12</v>
      </c>
    </row>
    <row r="5565">
      <c r="A5565" t="str">
        <f>IFERROR(__xludf.DUMMYFUNCTION("""COMPUTED_VALUE"""),"2015-06-23-J01-SO-13")</f>
        <v>2015-06-23-J01-SO-13</v>
      </c>
    </row>
    <row r="5566">
      <c r="A5566" t="str">
        <f>IFERROR(__xludf.DUMMYFUNCTION("""COMPUTED_VALUE"""),"2015-06-23-J01-SO-14")</f>
        <v>2015-06-23-J01-SO-14</v>
      </c>
    </row>
    <row r="5567">
      <c r="A5567" t="str">
        <f>IFERROR(__xludf.DUMMYFUNCTION("""COMPUTED_VALUE"""),"2015-06-23-J01-SO-15")</f>
        <v>2015-06-23-J01-SO-15</v>
      </c>
    </row>
    <row r="5568">
      <c r="A5568" t="str">
        <f>IFERROR(__xludf.DUMMYFUNCTION("""COMPUTED_VALUE"""),"2015-06-23-J01-SO-16")</f>
        <v>2015-06-23-J01-SO-16</v>
      </c>
    </row>
    <row r="5569">
      <c r="A5569" t="str">
        <f>IFERROR(__xludf.DUMMYFUNCTION("""COMPUTED_VALUE"""),"2015-06-23-J01-SO-17")</f>
        <v>2015-06-23-J01-SO-17</v>
      </c>
    </row>
    <row r="5570">
      <c r="A5570" t="str">
        <f>IFERROR(__xludf.DUMMYFUNCTION("""COMPUTED_VALUE"""),"2015-06-23-J01-SO-18")</f>
        <v>2015-06-23-J01-SO-18</v>
      </c>
    </row>
    <row r="5571">
      <c r="A5571" t="str">
        <f>IFERROR(__xludf.DUMMYFUNCTION("""COMPUTED_VALUE"""),"2015-06-23-J02-SO-1")</f>
        <v>2015-06-23-J02-SO-1</v>
      </c>
    </row>
    <row r="5572">
      <c r="A5572" t="str">
        <f>IFERROR(__xludf.DUMMYFUNCTION("""COMPUTED_VALUE"""),"2015-06-23-J02-SO-2")</f>
        <v>2015-06-23-J02-SO-2</v>
      </c>
    </row>
    <row r="5573">
      <c r="A5573" t="str">
        <f>IFERROR(__xludf.DUMMYFUNCTION("""COMPUTED_VALUE"""),"2015-06-23-J02-SO-3")</f>
        <v>2015-06-23-J02-SO-3</v>
      </c>
    </row>
    <row r="5574">
      <c r="A5574" t="str">
        <f>IFERROR(__xludf.DUMMYFUNCTION("""COMPUTED_VALUE"""),"2015-06-23-J02-SO-4")</f>
        <v>2015-06-23-J02-SO-4</v>
      </c>
    </row>
    <row r="5575">
      <c r="A5575" t="str">
        <f>IFERROR(__xludf.DUMMYFUNCTION("""COMPUTED_VALUE"""),"2015-06-23-J02-SO-5")</f>
        <v>2015-06-23-J02-SO-5</v>
      </c>
    </row>
    <row r="5576">
      <c r="A5576" t="str">
        <f>IFERROR(__xludf.DUMMYFUNCTION("""COMPUTED_VALUE"""),"2015-06-23-J02-SO-6")</f>
        <v>2015-06-23-J02-SO-6</v>
      </c>
    </row>
    <row r="5577">
      <c r="A5577" t="str">
        <f>IFERROR(__xludf.DUMMYFUNCTION("""COMPUTED_VALUE"""),"2015-06-23-J02-SO-7")</f>
        <v>2015-06-23-J02-SO-7</v>
      </c>
    </row>
    <row r="5578">
      <c r="A5578" t="str">
        <f>IFERROR(__xludf.DUMMYFUNCTION("""COMPUTED_VALUE"""),"2015-06-23-J02-SO-8")</f>
        <v>2015-06-23-J02-SO-8</v>
      </c>
    </row>
    <row r="5579">
      <c r="A5579" t="str">
        <f>IFERROR(__xludf.DUMMYFUNCTION("""COMPUTED_VALUE"""),"2015-06-23-J02-SO-9")</f>
        <v>2015-06-23-J02-SO-9</v>
      </c>
    </row>
    <row r="5580">
      <c r="A5580" t="str">
        <f>IFERROR(__xludf.DUMMYFUNCTION("""COMPUTED_VALUE"""),"2015-06-23-J02-SO-10")</f>
        <v>2015-06-23-J02-SO-10</v>
      </c>
    </row>
    <row r="5581">
      <c r="A5581" t="str">
        <f>IFERROR(__xludf.DUMMYFUNCTION("""COMPUTED_VALUE"""),"2015-06-23-J02-SO-11")</f>
        <v>2015-06-23-J02-SO-11</v>
      </c>
    </row>
    <row r="5582">
      <c r="A5582" t="str">
        <f>IFERROR(__xludf.DUMMYFUNCTION("""COMPUTED_VALUE"""),"2015-06-23-J02-SO-12")</f>
        <v>2015-06-23-J02-SO-12</v>
      </c>
    </row>
    <row r="5583">
      <c r="A5583" t="str">
        <f>IFERROR(__xludf.DUMMYFUNCTION("""COMPUTED_VALUE"""),"2015-06-23-J02-SO-13")</f>
        <v>2015-06-23-J02-SO-13</v>
      </c>
    </row>
    <row r="5584">
      <c r="A5584" t="str">
        <f>IFERROR(__xludf.DUMMYFUNCTION("""COMPUTED_VALUE"""),"2015-06-23-J02-SO-14")</f>
        <v>2015-06-23-J02-SO-14</v>
      </c>
    </row>
    <row r="5585">
      <c r="A5585" t="str">
        <f>IFERROR(__xludf.DUMMYFUNCTION("""COMPUTED_VALUE"""),"2015-06-23-J02-SO-15")</f>
        <v>2015-06-23-J02-SO-15</v>
      </c>
    </row>
    <row r="5586">
      <c r="A5586" t="str">
        <f>IFERROR(__xludf.DUMMYFUNCTION("""COMPUTED_VALUE"""),"2015-06-23-J02-SO-16")</f>
        <v>2015-06-23-J02-SO-16</v>
      </c>
    </row>
    <row r="5587">
      <c r="A5587" t="str">
        <f>IFERROR(__xludf.DUMMYFUNCTION("""COMPUTED_VALUE"""),"2015-06-23-J02-SO-17")</f>
        <v>2015-06-23-J02-SO-17</v>
      </c>
    </row>
    <row r="5588">
      <c r="A5588" t="str">
        <f>IFERROR(__xludf.DUMMYFUNCTION("""COMPUTED_VALUE"""),"2015-06-23-J02-SO-18")</f>
        <v>2015-06-23-J02-SO-18</v>
      </c>
    </row>
    <row r="5589">
      <c r="A5589" t="str">
        <f>IFERROR(__xludf.DUMMYFUNCTION("""COMPUTED_VALUE"""),"2015-06-23-J09-SO-1")</f>
        <v>2015-06-23-J09-SO-1</v>
      </c>
    </row>
    <row r="5590">
      <c r="A5590" t="str">
        <f>IFERROR(__xludf.DUMMYFUNCTION("""COMPUTED_VALUE"""),"2015-06-23-J09-SO-2")</f>
        <v>2015-06-23-J09-SO-2</v>
      </c>
    </row>
    <row r="5591">
      <c r="A5591" t="str">
        <f>IFERROR(__xludf.DUMMYFUNCTION("""COMPUTED_VALUE"""),"2015-06-23-J09-SO-3")</f>
        <v>2015-06-23-J09-SO-3</v>
      </c>
    </row>
    <row r="5592">
      <c r="A5592" t="str">
        <f>IFERROR(__xludf.DUMMYFUNCTION("""COMPUTED_VALUE"""),"2015-06-23-J09-SO-4")</f>
        <v>2015-06-23-J09-SO-4</v>
      </c>
    </row>
    <row r="5593">
      <c r="A5593" t="str">
        <f>IFERROR(__xludf.DUMMYFUNCTION("""COMPUTED_VALUE"""),"2015-06-23-J09-SO-5")</f>
        <v>2015-06-23-J09-SO-5</v>
      </c>
    </row>
    <row r="5594">
      <c r="A5594" t="str">
        <f>IFERROR(__xludf.DUMMYFUNCTION("""COMPUTED_VALUE"""),"2015-06-23-J09-SO-6")</f>
        <v>2015-06-23-J09-SO-6</v>
      </c>
    </row>
    <row r="5595">
      <c r="A5595" t="str">
        <f>IFERROR(__xludf.DUMMYFUNCTION("""COMPUTED_VALUE"""),"2015-06-23-J09-SO-7")</f>
        <v>2015-06-23-J09-SO-7</v>
      </c>
    </row>
    <row r="5596">
      <c r="A5596" t="str">
        <f>IFERROR(__xludf.DUMMYFUNCTION("""COMPUTED_VALUE"""),"2015-06-23-J09-SO-8")</f>
        <v>2015-06-23-J09-SO-8</v>
      </c>
    </row>
    <row r="5597">
      <c r="A5597" t="str">
        <f>IFERROR(__xludf.DUMMYFUNCTION("""COMPUTED_VALUE"""),"2015-06-23-J09-SO-9")</f>
        <v>2015-06-23-J09-SO-9</v>
      </c>
    </row>
    <row r="5598">
      <c r="A5598" t="str">
        <f>IFERROR(__xludf.DUMMYFUNCTION("""COMPUTED_VALUE"""),"2015-06-23-J09-SO-10")</f>
        <v>2015-06-23-J09-SO-10</v>
      </c>
    </row>
    <row r="5599">
      <c r="A5599" t="str">
        <f>IFERROR(__xludf.DUMMYFUNCTION("""COMPUTED_VALUE"""),"2015-06-23-J09-SO-11")</f>
        <v>2015-06-23-J09-SO-11</v>
      </c>
    </row>
    <row r="5600">
      <c r="A5600" t="str">
        <f>IFERROR(__xludf.DUMMYFUNCTION("""COMPUTED_VALUE"""),"2015-06-23-J09-SO-12")</f>
        <v>2015-06-23-J09-SO-12</v>
      </c>
    </row>
    <row r="5601">
      <c r="A5601" t="str">
        <f>IFERROR(__xludf.DUMMYFUNCTION("""COMPUTED_VALUE"""),"2015-06-23-J09-SO-13")</f>
        <v>2015-06-23-J09-SO-13</v>
      </c>
    </row>
    <row r="5602">
      <c r="A5602" t="str">
        <f>IFERROR(__xludf.DUMMYFUNCTION("""COMPUTED_VALUE"""),"2015-06-23-J09-SO-14")</f>
        <v>2015-06-23-J09-SO-14</v>
      </c>
    </row>
    <row r="5603">
      <c r="A5603" t="str">
        <f>IFERROR(__xludf.DUMMYFUNCTION("""COMPUTED_VALUE"""),"2015-06-23-J09-SO-15")</f>
        <v>2015-06-23-J09-SO-15</v>
      </c>
    </row>
    <row r="5604">
      <c r="A5604" t="str">
        <f>IFERROR(__xludf.DUMMYFUNCTION("""COMPUTED_VALUE"""),"2015-06-23-J09-SO-16")</f>
        <v>2015-06-23-J09-SO-16</v>
      </c>
    </row>
    <row r="5605">
      <c r="A5605" t="str">
        <f>IFERROR(__xludf.DUMMYFUNCTION("""COMPUTED_VALUE"""),"2015-06-23-J09-SO-17")</f>
        <v>2015-06-23-J09-SO-17</v>
      </c>
    </row>
    <row r="5606">
      <c r="A5606" t="str">
        <f>IFERROR(__xludf.DUMMYFUNCTION("""COMPUTED_VALUE"""),"2015-06-23-J09-SO-18")</f>
        <v>2015-06-23-J09-SO-18</v>
      </c>
    </row>
    <row r="5607">
      <c r="A5607" t="str">
        <f>IFERROR(__xludf.DUMMYFUNCTION("""COMPUTED_VALUE"""),"2015-06-23-J09-SO-19")</f>
        <v>2015-06-23-J09-SO-19</v>
      </c>
    </row>
    <row r="5608">
      <c r="A5608" t="str">
        <f>IFERROR(__xludf.DUMMYFUNCTION("""COMPUTED_VALUE"""),"2015-06-23-J09-SO-20")</f>
        <v>2015-06-23-J09-SO-20</v>
      </c>
    </row>
    <row r="5609">
      <c r="A5609" t="str">
        <f>IFERROR(__xludf.DUMMYFUNCTION("""COMPUTED_VALUE"""),"2015-06-23-J09-SO-21")</f>
        <v>2015-06-23-J09-SO-21</v>
      </c>
    </row>
    <row r="5610">
      <c r="A5610" t="str">
        <f>IFERROR(__xludf.DUMMYFUNCTION("""COMPUTED_VALUE"""),"2015-06-23-J09-SO-22")</f>
        <v>2015-06-23-J09-SO-22</v>
      </c>
    </row>
    <row r="5611">
      <c r="A5611" t="str">
        <f>IFERROR(__xludf.DUMMYFUNCTION("""COMPUTED_VALUE"""),"2015-06-23-J09-SO-23")</f>
        <v>2015-06-23-J09-SO-23</v>
      </c>
    </row>
    <row r="5612">
      <c r="A5612" t="str">
        <f>IFERROR(__xludf.DUMMYFUNCTION("""COMPUTED_VALUE"""),"2015-06-23-J09-SO-24")</f>
        <v>2015-06-23-J09-SO-24</v>
      </c>
    </row>
    <row r="5613">
      <c r="A5613" t="str">
        <f>IFERROR(__xludf.DUMMYFUNCTION("""COMPUTED_VALUE"""),"2015-06-23-J09-SO-25")</f>
        <v>2015-06-23-J09-SO-25</v>
      </c>
    </row>
    <row r="5614">
      <c r="A5614" t="str">
        <f>IFERROR(__xludf.DUMMYFUNCTION("""COMPUTED_VALUE"""),"2015-06-23-J09-SO-26")</f>
        <v>2015-06-23-J09-SO-26</v>
      </c>
    </row>
    <row r="5615">
      <c r="A5615" t="str">
        <f>IFERROR(__xludf.DUMMYFUNCTION("""COMPUTED_VALUE"""),"2015-06-23-J09-SO-27")</f>
        <v>2015-06-23-J09-SO-27</v>
      </c>
    </row>
    <row r="5616">
      <c r="A5616" t="str">
        <f>IFERROR(__xludf.DUMMYFUNCTION("""COMPUTED_VALUE"""),"2015-06-23-J09-SO-28")</f>
        <v>2015-06-23-J09-SO-28</v>
      </c>
    </row>
    <row r="5617">
      <c r="A5617" t="str">
        <f>IFERROR(__xludf.DUMMYFUNCTION("""COMPUTED_VALUE"""),"2015-06-23-J09-SO-29")</f>
        <v>2015-06-23-J09-SO-29</v>
      </c>
    </row>
    <row r="5618">
      <c r="A5618" t="str">
        <f>IFERROR(__xludf.DUMMYFUNCTION("""COMPUTED_VALUE"""),"2015-06-23-J09-SO-30")</f>
        <v>2015-06-23-J09-SO-30</v>
      </c>
    </row>
    <row r="5619">
      <c r="A5619" t="str">
        <f>IFERROR(__xludf.DUMMYFUNCTION("""COMPUTED_VALUE"""),"2015-06-23-D06-PI-1")</f>
        <v>2015-06-23-D06-PI-1</v>
      </c>
    </row>
    <row r="5620">
      <c r="A5620" t="str">
        <f>IFERROR(__xludf.DUMMYFUNCTION("""COMPUTED_VALUE"""),"2015-06-23-D06-PI-2")</f>
        <v>2015-06-23-D06-PI-2</v>
      </c>
    </row>
    <row r="5621">
      <c r="A5621" t="str">
        <f>IFERROR(__xludf.DUMMYFUNCTION("""COMPUTED_VALUE"""),"2015-06-23-D06-PI-3")</f>
        <v>2015-06-23-D06-PI-3</v>
      </c>
    </row>
    <row r="5622">
      <c r="A5622" t="str">
        <f>IFERROR(__xludf.DUMMYFUNCTION("""COMPUTED_VALUE"""),"2015-06-23-D06-PI-4")</f>
        <v>2015-06-23-D06-PI-4</v>
      </c>
    </row>
    <row r="5623">
      <c r="A5623" t="str">
        <f>IFERROR(__xludf.DUMMYFUNCTION("""COMPUTED_VALUE"""),"2015-06-23-J03-PI-1")</f>
        <v>2015-06-23-J03-PI-1</v>
      </c>
    </row>
    <row r="5624">
      <c r="A5624" t="str">
        <f>IFERROR(__xludf.DUMMYFUNCTION("""COMPUTED_VALUE"""),"2015-06-23-J03-PI-2")</f>
        <v>2015-06-23-J03-PI-2</v>
      </c>
    </row>
    <row r="5625">
      <c r="A5625" t="str">
        <f>IFERROR(__xludf.DUMMYFUNCTION("""COMPUTED_VALUE"""),"2015-06-23-J03-PI-3")</f>
        <v>2015-06-23-J03-PI-3</v>
      </c>
    </row>
    <row r="5626">
      <c r="A5626" t="str">
        <f>IFERROR(__xludf.DUMMYFUNCTION("""COMPUTED_VALUE"""),"2015-06-23-J03-PI-4")</f>
        <v>2015-06-23-J03-PI-4</v>
      </c>
    </row>
    <row r="5627">
      <c r="A5627" t="str">
        <f>IFERROR(__xludf.DUMMYFUNCTION("""COMPUTED_VALUE"""),"2015-06-23-J03-PI-5")</f>
        <v>2015-06-23-J03-PI-5</v>
      </c>
    </row>
    <row r="5628">
      <c r="A5628" t="str">
        <f>IFERROR(__xludf.DUMMYFUNCTION("""COMPUTED_VALUE"""),"2015-06-23-J03-PI-6")</f>
        <v>2015-06-23-J03-PI-6</v>
      </c>
    </row>
    <row r="5629">
      <c r="A5629" t="str">
        <f>IFERROR(__xludf.DUMMYFUNCTION("""COMPUTED_VALUE"""),"2015-06-23-J03-PI-7")</f>
        <v>2015-06-23-J03-PI-7</v>
      </c>
    </row>
    <row r="5630">
      <c r="A5630" t="str">
        <f>IFERROR(__xludf.DUMMYFUNCTION("""COMPUTED_VALUE"""),"2015-06-23-J03-PI-8")</f>
        <v>2015-06-23-J03-PI-8</v>
      </c>
    </row>
    <row r="5631">
      <c r="A5631" t="str">
        <f>IFERROR(__xludf.DUMMYFUNCTION("""COMPUTED_VALUE"""),"2015-06-23-J03-PI-9")</f>
        <v>2015-06-23-J03-PI-9</v>
      </c>
    </row>
    <row r="5632">
      <c r="A5632" t="str">
        <f>IFERROR(__xludf.DUMMYFUNCTION("""COMPUTED_VALUE"""),"2015-06-23-J03-PI-10")</f>
        <v>2015-06-23-J03-PI-10</v>
      </c>
    </row>
    <row r="5633">
      <c r="A5633" t="str">
        <f>IFERROR(__xludf.DUMMYFUNCTION("""COMPUTED_VALUE"""),"2015-06-23-J01-PI-1")</f>
        <v>2015-06-23-J01-PI-1</v>
      </c>
    </row>
    <row r="5634">
      <c r="A5634" t="str">
        <f>IFERROR(__xludf.DUMMYFUNCTION("""COMPUTED_VALUE"""),"2015-06-23-J01-PI-2")</f>
        <v>2015-06-23-J01-PI-2</v>
      </c>
    </row>
    <row r="5635">
      <c r="A5635" t="str">
        <f>IFERROR(__xludf.DUMMYFUNCTION("""COMPUTED_VALUE"""),"2015-06-23-J02-PI-1")</f>
        <v>2015-06-23-J02-PI-1</v>
      </c>
    </row>
    <row r="5636">
      <c r="A5636" t="str">
        <f>IFERROR(__xludf.DUMMYFUNCTION("""COMPUTED_VALUE"""),"2015-06-23-J02-PI-2")</f>
        <v>2015-06-23-J02-PI-2</v>
      </c>
    </row>
    <row r="5637">
      <c r="A5637" t="str">
        <f>IFERROR(__xludf.DUMMYFUNCTION("""COMPUTED_VALUE"""),"2015-06-23-J02-PI-3")</f>
        <v>2015-06-23-J02-PI-3</v>
      </c>
    </row>
    <row r="5638">
      <c r="A5638" t="str">
        <f>IFERROR(__xludf.DUMMYFUNCTION("""COMPUTED_VALUE"""),"2015-06-23-J02-PI-4")</f>
        <v>2015-06-23-J02-PI-4</v>
      </c>
    </row>
    <row r="5639">
      <c r="A5639" t="str">
        <f>IFERROR(__xludf.DUMMYFUNCTION("""COMPUTED_VALUE"""),"2015-06-23-J02-PI-5")</f>
        <v>2015-06-23-J02-PI-5</v>
      </c>
    </row>
    <row r="5640">
      <c r="A5640" t="str">
        <f>IFERROR(__xludf.DUMMYFUNCTION("""COMPUTED_VALUE"""),"2015-06-23-J02-PI-6")</f>
        <v>2015-06-23-J02-PI-6</v>
      </c>
    </row>
    <row r="5641">
      <c r="A5641" t="str">
        <f>IFERROR(__xludf.DUMMYFUNCTION("""COMPUTED_VALUE"""),"2015-06-23-J02-PI-7")</f>
        <v>2015-06-23-J02-PI-7</v>
      </c>
    </row>
    <row r="5642">
      <c r="A5642" t="str">
        <f>IFERROR(__xludf.DUMMYFUNCTION("""COMPUTED_VALUE"""),"2015-06-23-J02-PI-8")</f>
        <v>2015-06-23-J02-PI-8</v>
      </c>
    </row>
    <row r="5643">
      <c r="A5643" t="str">
        <f>IFERROR(__xludf.DUMMYFUNCTION("""COMPUTED_VALUE"""),"2015-06-23-J02-PI-9")</f>
        <v>2015-06-23-J02-PI-9</v>
      </c>
    </row>
    <row r="5644">
      <c r="A5644" t="str">
        <f>IFERROR(__xludf.DUMMYFUNCTION("""COMPUTED_VALUE"""),"2015-06-23-J02-PI-10")</f>
        <v>2015-06-23-J02-PI-10</v>
      </c>
    </row>
    <row r="5645">
      <c r="A5645" t="str">
        <f>IFERROR(__xludf.DUMMYFUNCTION("""COMPUTED_VALUE"""),"2015-06-23-J09-PI-1")</f>
        <v>2015-06-23-J09-PI-1</v>
      </c>
    </row>
    <row r="5646">
      <c r="A5646" t="str">
        <f>IFERROR(__xludf.DUMMYFUNCTION("""COMPUTED_VALUE"""),"2015-06-23-J09-PI-2")</f>
        <v>2015-06-23-J09-PI-2</v>
      </c>
    </row>
    <row r="5647">
      <c r="A5647" t="str">
        <f>IFERROR(__xludf.DUMMYFUNCTION("""COMPUTED_VALUE"""),"2015-06-23-J09-PI-3")</f>
        <v>2015-06-23-J09-PI-3</v>
      </c>
    </row>
    <row r="5648">
      <c r="A5648" t="str">
        <f>IFERROR(__xludf.DUMMYFUNCTION("""COMPUTED_VALUE"""),"2015-06-23-J09-PI-4")</f>
        <v>2015-06-23-J09-PI-4</v>
      </c>
    </row>
    <row r="5649">
      <c r="A5649" t="str">
        <f>IFERROR(__xludf.DUMMYFUNCTION("""COMPUTED_VALUE"""),"2015-06-23-J09-PI-5")</f>
        <v>2015-06-23-J09-PI-5</v>
      </c>
    </row>
    <row r="5650">
      <c r="A5650" t="str">
        <f>IFERROR(__xludf.DUMMYFUNCTION("""COMPUTED_VALUE"""),"2015-06-23-J09-PI-6")</f>
        <v>2015-06-23-J09-PI-6</v>
      </c>
    </row>
    <row r="5651">
      <c r="A5651" t="str">
        <f>IFERROR(__xludf.DUMMYFUNCTION("""COMPUTED_VALUE"""),"2015-06-23-J09-PI-7")</f>
        <v>2015-06-23-J09-PI-7</v>
      </c>
    </row>
    <row r="5652">
      <c r="A5652" t="str">
        <f>IFERROR(__xludf.DUMMYFUNCTION("""COMPUTED_VALUE"""),"2015-06-23-J09-PI-8")</f>
        <v>2015-06-23-J09-PI-8</v>
      </c>
    </row>
    <row r="5653">
      <c r="A5653" t="str">
        <f>IFERROR(__xludf.DUMMYFUNCTION("""COMPUTED_VALUE"""),"2015-06-23-J09-PI-9")</f>
        <v>2015-06-23-J09-PI-9</v>
      </c>
    </row>
    <row r="5654">
      <c r="A5654" t="str">
        <f>IFERROR(__xludf.DUMMYFUNCTION("""COMPUTED_VALUE"""),"2015-06-23-J09-PI-10")</f>
        <v>2015-06-23-J09-PI-10</v>
      </c>
    </row>
    <row r="5655">
      <c r="A5655" t="str">
        <f>IFERROR(__xludf.DUMMYFUNCTION("""COMPUTED_VALUE"""),"2015-06-23-D06-CU-1")</f>
        <v>2015-06-23-D06-CU-1</v>
      </c>
    </row>
    <row r="5656">
      <c r="A5656" t="str">
        <f>IFERROR(__xludf.DUMMYFUNCTION("""COMPUTED_VALUE"""),"2015-06-23-D06-CU-2")</f>
        <v>2015-06-23-D06-CU-2</v>
      </c>
    </row>
    <row r="5657">
      <c r="A5657" t="str">
        <f>IFERROR(__xludf.DUMMYFUNCTION("""COMPUTED_VALUE"""),"2015-06-23-D06-CU-3")</f>
        <v>2015-06-23-D06-CU-3</v>
      </c>
    </row>
    <row r="5658">
      <c r="A5658" t="str">
        <f>IFERROR(__xludf.DUMMYFUNCTION("""COMPUTED_VALUE"""),"2015-06-23-D06-CU-4")</f>
        <v>2015-06-23-D06-CU-4</v>
      </c>
    </row>
    <row r="5659">
      <c r="A5659" t="str">
        <f>IFERROR(__xludf.DUMMYFUNCTION("""COMPUTED_VALUE"""),"2015-06-23-D06-CU-5")</f>
        <v>2015-06-23-D06-CU-5</v>
      </c>
    </row>
    <row r="5660">
      <c r="A5660" t="str">
        <f>IFERROR(__xludf.DUMMYFUNCTION("""COMPUTED_VALUE"""),"2015-06-23-D06-CU-6")</f>
        <v>2015-06-23-D06-CU-6</v>
      </c>
    </row>
    <row r="5661">
      <c r="A5661" t="str">
        <f>IFERROR(__xludf.DUMMYFUNCTION("""COMPUTED_VALUE"""),"2015-06-23-D06-CU-7")</f>
        <v>2015-06-23-D06-CU-7</v>
      </c>
    </row>
    <row r="5662">
      <c r="A5662" t="str">
        <f>IFERROR(__xludf.DUMMYFUNCTION("""COMPUTED_VALUE"""),"2015-06-23-D06-CU-8")</f>
        <v>2015-06-23-D06-CU-8</v>
      </c>
    </row>
    <row r="5663">
      <c r="A5663" t="str">
        <f>IFERROR(__xludf.DUMMYFUNCTION("""COMPUTED_VALUE"""),"2015-06-23-D06-CU-9")</f>
        <v>2015-06-23-D06-CU-9</v>
      </c>
    </row>
    <row r="5664">
      <c r="A5664" t="str">
        <f>IFERROR(__xludf.DUMMYFUNCTION("""COMPUTED_VALUE"""),"2015-06-23-D06-CU-10")</f>
        <v>2015-06-23-D06-CU-10</v>
      </c>
    </row>
    <row r="5665">
      <c r="A5665" t="str">
        <f>IFERROR(__xludf.DUMMYFUNCTION("""COMPUTED_VALUE"""),"2015-06-23-J03-CU-1")</f>
        <v>2015-06-23-J03-CU-1</v>
      </c>
    </row>
    <row r="5666">
      <c r="A5666" t="str">
        <f>IFERROR(__xludf.DUMMYFUNCTION("""COMPUTED_VALUE"""),"2015-06-23-J03-CU-2")</f>
        <v>2015-06-23-J03-CU-2</v>
      </c>
    </row>
    <row r="5667">
      <c r="A5667" t="str">
        <f>IFERROR(__xludf.DUMMYFUNCTION("""COMPUTED_VALUE"""),"2015-06-23-J03-CU-3")</f>
        <v>2015-06-23-J03-CU-3</v>
      </c>
    </row>
    <row r="5668">
      <c r="A5668" t="str">
        <f>IFERROR(__xludf.DUMMYFUNCTION("""COMPUTED_VALUE"""),"2015-06-23-J03-CU-4")</f>
        <v>2015-06-23-J03-CU-4</v>
      </c>
    </row>
    <row r="5669">
      <c r="A5669" t="str">
        <f>IFERROR(__xludf.DUMMYFUNCTION("""COMPUTED_VALUE"""),"2015-06-23-J03-CU-5")</f>
        <v>2015-06-23-J03-CU-5</v>
      </c>
    </row>
    <row r="5670">
      <c r="A5670" t="str">
        <f>IFERROR(__xludf.DUMMYFUNCTION("""COMPUTED_VALUE"""),"2015-06-23-J03-CU-6")</f>
        <v>2015-06-23-J03-CU-6</v>
      </c>
    </row>
    <row r="5671">
      <c r="A5671" t="str">
        <f>IFERROR(__xludf.DUMMYFUNCTION("""COMPUTED_VALUE"""),"2015-06-23-J03-CU-7")</f>
        <v>2015-06-23-J03-CU-7</v>
      </c>
    </row>
    <row r="5672">
      <c r="A5672" t="str">
        <f>IFERROR(__xludf.DUMMYFUNCTION("""COMPUTED_VALUE"""),"2015-06-23-J03-CU-8")</f>
        <v>2015-06-23-J03-CU-8</v>
      </c>
    </row>
    <row r="5673">
      <c r="A5673" t="str">
        <f>IFERROR(__xludf.DUMMYFUNCTION("""COMPUTED_VALUE"""),"2015-06-23-J03-CU-9")</f>
        <v>2015-06-23-J03-CU-9</v>
      </c>
    </row>
    <row r="5674">
      <c r="A5674" t="str">
        <f>IFERROR(__xludf.DUMMYFUNCTION("""COMPUTED_VALUE"""),"2015-06-23-J03-CU-10")</f>
        <v>2015-06-23-J03-CU-10</v>
      </c>
    </row>
    <row r="5675">
      <c r="A5675" t="str">
        <f>IFERROR(__xludf.DUMMYFUNCTION("""COMPUTED_VALUE"""),"2015-06-23-J01-CU-1")</f>
        <v>2015-06-23-J01-CU-1</v>
      </c>
    </row>
    <row r="5676">
      <c r="A5676" t="str">
        <f>IFERROR(__xludf.DUMMYFUNCTION("""COMPUTED_VALUE"""),"2015-06-23-J01-CU-2")</f>
        <v>2015-06-23-J01-CU-2</v>
      </c>
    </row>
    <row r="5677">
      <c r="A5677" t="str">
        <f>IFERROR(__xludf.DUMMYFUNCTION("""COMPUTED_VALUE"""),"2015-06-23-J01-CU-3")</f>
        <v>2015-06-23-J01-CU-3</v>
      </c>
    </row>
    <row r="5678">
      <c r="A5678" t="str">
        <f>IFERROR(__xludf.DUMMYFUNCTION("""COMPUTED_VALUE"""),"2015-06-23-J01-CU-4")</f>
        <v>2015-06-23-J01-CU-4</v>
      </c>
    </row>
    <row r="5679">
      <c r="A5679" t="str">
        <f>IFERROR(__xludf.DUMMYFUNCTION("""COMPUTED_VALUE"""),"2015-06-23-J01-CU-5")</f>
        <v>2015-06-23-J01-CU-5</v>
      </c>
    </row>
    <row r="5680">
      <c r="A5680" t="str">
        <f>IFERROR(__xludf.DUMMYFUNCTION("""COMPUTED_VALUE"""),"2015-06-23-J01-CU-6")</f>
        <v>2015-06-23-J01-CU-6</v>
      </c>
    </row>
    <row r="5681">
      <c r="A5681" t="str">
        <f>IFERROR(__xludf.DUMMYFUNCTION("""COMPUTED_VALUE"""),"2015-06-23-J01-CU-7")</f>
        <v>2015-06-23-J01-CU-7</v>
      </c>
    </row>
    <row r="5682">
      <c r="A5682" t="str">
        <f>IFERROR(__xludf.DUMMYFUNCTION("""COMPUTED_VALUE"""),"2015-06-23-J01-CU-8")</f>
        <v>2015-06-23-J01-CU-8</v>
      </c>
    </row>
    <row r="5683">
      <c r="A5683" t="str">
        <f>IFERROR(__xludf.DUMMYFUNCTION("""COMPUTED_VALUE"""),"2015-06-23-J01-CU-9")</f>
        <v>2015-06-23-J01-CU-9</v>
      </c>
    </row>
    <row r="5684">
      <c r="A5684" t="str">
        <f>IFERROR(__xludf.DUMMYFUNCTION("""COMPUTED_VALUE"""),"2015-06-23-J01-CU-10")</f>
        <v>2015-06-23-J01-CU-10</v>
      </c>
    </row>
    <row r="5685">
      <c r="A5685" t="str">
        <f>IFERROR(__xludf.DUMMYFUNCTION("""COMPUTED_VALUE"""),"2015-06-23-J02-CU-1")</f>
        <v>2015-06-23-J02-CU-1</v>
      </c>
    </row>
    <row r="5686">
      <c r="A5686" t="str">
        <f>IFERROR(__xludf.DUMMYFUNCTION("""COMPUTED_VALUE"""),"2015-06-23-J02-CU-2")</f>
        <v>2015-06-23-J02-CU-2</v>
      </c>
    </row>
    <row r="5687">
      <c r="A5687" t="str">
        <f>IFERROR(__xludf.DUMMYFUNCTION("""COMPUTED_VALUE"""),"2015-06-23-J02-CU-3")</f>
        <v>2015-06-23-J02-CU-3</v>
      </c>
    </row>
    <row r="5688">
      <c r="A5688" t="str">
        <f>IFERROR(__xludf.DUMMYFUNCTION("""COMPUTED_VALUE"""),"2015-06-23-J02-CU-4")</f>
        <v>2015-06-23-J02-CU-4</v>
      </c>
    </row>
    <row r="5689">
      <c r="A5689" t="str">
        <f>IFERROR(__xludf.DUMMYFUNCTION("""COMPUTED_VALUE"""),"2015-06-23-J02-CU-5")</f>
        <v>2015-06-23-J02-CU-5</v>
      </c>
    </row>
    <row r="5690">
      <c r="A5690" t="str">
        <f>IFERROR(__xludf.DUMMYFUNCTION("""COMPUTED_VALUE"""),"2015-06-23-J02-CU-6")</f>
        <v>2015-06-23-J02-CU-6</v>
      </c>
    </row>
    <row r="5691">
      <c r="A5691" t="str">
        <f>IFERROR(__xludf.DUMMYFUNCTION("""COMPUTED_VALUE"""),"2015-06-23-J02-CU-7")</f>
        <v>2015-06-23-J02-CU-7</v>
      </c>
    </row>
    <row r="5692">
      <c r="A5692" t="str">
        <f>IFERROR(__xludf.DUMMYFUNCTION("""COMPUTED_VALUE"""),"2015-06-23-J02-CU-8")</f>
        <v>2015-06-23-J02-CU-8</v>
      </c>
    </row>
    <row r="5693">
      <c r="A5693" t="str">
        <f>IFERROR(__xludf.DUMMYFUNCTION("""COMPUTED_VALUE"""),"2015-06-23-J02-CU-9")</f>
        <v>2015-06-23-J02-CU-9</v>
      </c>
    </row>
    <row r="5694">
      <c r="A5694" t="str">
        <f>IFERROR(__xludf.DUMMYFUNCTION("""COMPUTED_VALUE"""),"2015-06-23-J02-CU-10")</f>
        <v>2015-06-23-J02-CU-10</v>
      </c>
    </row>
    <row r="5695">
      <c r="A5695" t="str">
        <f>IFERROR(__xludf.DUMMYFUNCTION("""COMPUTED_VALUE"""),"2015-06-23-J09-CU-1")</f>
        <v>2015-06-23-J09-CU-1</v>
      </c>
    </row>
    <row r="5696">
      <c r="A5696" t="str">
        <f>IFERROR(__xludf.DUMMYFUNCTION("""COMPUTED_VALUE"""),"2015-06-23-J09-CU-2")</f>
        <v>2015-06-23-J09-CU-2</v>
      </c>
    </row>
    <row r="5697">
      <c r="A5697" t="str">
        <f>IFERROR(__xludf.DUMMYFUNCTION("""COMPUTED_VALUE"""),"2015-06-23-J09-CU-3")</f>
        <v>2015-06-23-J09-CU-3</v>
      </c>
    </row>
    <row r="5698">
      <c r="A5698" t="str">
        <f>IFERROR(__xludf.DUMMYFUNCTION("""COMPUTED_VALUE"""),"2015-06-23-J09-CU-4")</f>
        <v>2015-06-23-J09-CU-4</v>
      </c>
    </row>
    <row r="5699">
      <c r="A5699" t="str">
        <f>IFERROR(__xludf.DUMMYFUNCTION("""COMPUTED_VALUE"""),"2015-06-23-J09-CU-5")</f>
        <v>2015-06-23-J09-CU-5</v>
      </c>
    </row>
    <row r="5700">
      <c r="A5700" t="str">
        <f>IFERROR(__xludf.DUMMYFUNCTION("""COMPUTED_VALUE"""),"2015-06-23-J09-CU-6")</f>
        <v>2015-06-23-J09-CU-6</v>
      </c>
    </row>
    <row r="5701">
      <c r="A5701" t="str">
        <f>IFERROR(__xludf.DUMMYFUNCTION("""COMPUTED_VALUE"""),"2015-06-23-J09-CU-7")</f>
        <v>2015-06-23-J09-CU-7</v>
      </c>
    </row>
    <row r="5702">
      <c r="A5702" t="str">
        <f>IFERROR(__xludf.DUMMYFUNCTION("""COMPUTED_VALUE"""),"2015-06-23-J09-CU-8")</f>
        <v>2015-06-23-J09-CU-8</v>
      </c>
    </row>
    <row r="5703">
      <c r="A5703" t="str">
        <f>IFERROR(__xludf.DUMMYFUNCTION("""COMPUTED_VALUE"""),"2015-06-23-J09-CU-9")</f>
        <v>2015-06-23-J09-CU-9</v>
      </c>
    </row>
    <row r="5704">
      <c r="A5704" t="str">
        <f>IFERROR(__xludf.DUMMYFUNCTION("""COMPUTED_VALUE"""),"2015-06-23-J09-CU-10")</f>
        <v>2015-06-23-J09-CU-10</v>
      </c>
    </row>
    <row r="5705">
      <c r="A5705" t="str">
        <f>IFERROR(__xludf.DUMMYFUNCTION("""COMPUTED_VALUE"""),"2015-06-23-J03-CO-1")</f>
        <v>2015-06-23-J03-CO-1</v>
      </c>
    </row>
    <row r="5706">
      <c r="A5706" t="str">
        <f>IFERROR(__xludf.DUMMYFUNCTION("""COMPUTED_VALUE"""),"2015-06-23-J09-CO-1")</f>
        <v>2015-06-23-J09-CO-1</v>
      </c>
    </row>
    <row r="5707">
      <c r="A5707" t="str">
        <f>IFERROR(__xludf.DUMMYFUNCTION("""COMPUTED_VALUE"""),"2015-06-23-J09-CO-2")</f>
        <v>2015-06-23-J09-CO-2</v>
      </c>
    </row>
    <row r="5708">
      <c r="A5708" t="str">
        <f>IFERROR(__xludf.DUMMYFUNCTION("""COMPUTED_VALUE"""),"2015-06-23-D06-HE-1")</f>
        <v>2015-06-23-D06-HE-1</v>
      </c>
    </row>
    <row r="5709">
      <c r="A5709" t="str">
        <f>IFERROR(__xludf.DUMMYFUNCTION("""COMPUTED_VALUE"""),"2015-06-23-J03-HE-1")</f>
        <v>2015-06-23-J03-HE-1</v>
      </c>
    </row>
    <row r="5710">
      <c r="A5710" t="str">
        <f>IFERROR(__xludf.DUMMYFUNCTION("""COMPUTED_VALUE"""),"2015-06-23-J03-HE-2")</f>
        <v>2015-06-23-J03-HE-2</v>
      </c>
    </row>
    <row r="5711">
      <c r="A5711" t="str">
        <f>IFERROR(__xludf.DUMMYFUNCTION("""COMPUTED_VALUE"""),"2015-06-23-J03-HE-3")</f>
        <v>2015-06-23-J03-HE-3</v>
      </c>
    </row>
    <row r="5712">
      <c r="A5712" t="str">
        <f>IFERROR(__xludf.DUMMYFUNCTION("""COMPUTED_VALUE"""),"2015-06-23-J03-HE-4")</f>
        <v>2015-06-23-J03-HE-4</v>
      </c>
    </row>
    <row r="5713">
      <c r="A5713" t="str">
        <f>IFERROR(__xludf.DUMMYFUNCTION("""COMPUTED_VALUE"""),"2015-06-23-J03-HE-5")</f>
        <v>2015-06-23-J03-HE-5</v>
      </c>
    </row>
    <row r="5714">
      <c r="A5714" t="str">
        <f>IFERROR(__xludf.DUMMYFUNCTION("""COMPUTED_VALUE"""),"2015-06-23-J09-HE-1")</f>
        <v>2015-06-23-J09-HE-1</v>
      </c>
    </row>
    <row r="5715">
      <c r="A5715" t="str">
        <f>IFERROR(__xludf.DUMMYFUNCTION("""COMPUTED_VALUE"""),"2015-06-23-J09-HE-2")</f>
        <v>2015-06-23-J09-HE-2</v>
      </c>
    </row>
    <row r="5716">
      <c r="A5716" t="str">
        <f>IFERROR(__xludf.DUMMYFUNCTION("""COMPUTED_VALUE"""),"2015-06-23-J09-HE-3")</f>
        <v>2015-06-23-J09-HE-3</v>
      </c>
    </row>
    <row r="5717">
      <c r="A5717" t="str">
        <f>IFERROR(__xludf.DUMMYFUNCTION("""COMPUTED_VALUE"""),"2015-06-23-J09-HE-4")</f>
        <v>2015-06-23-J09-HE-4</v>
      </c>
    </row>
    <row r="5718">
      <c r="A5718" t="str">
        <f>IFERROR(__xludf.DUMMYFUNCTION("""COMPUTED_VALUE"""),"2015-06-23-J09-HE-5")</f>
        <v>2015-06-23-J09-HE-5</v>
      </c>
    </row>
    <row r="5719">
      <c r="A5719" t="str">
        <f>IFERROR(__xludf.DUMMYFUNCTION("""COMPUTED_VALUE"""),"2015-06-23-J09-HE-6")</f>
        <v>2015-06-23-J09-HE-6</v>
      </c>
    </row>
    <row r="5720">
      <c r="A5720" t="str">
        <f>IFERROR(__xludf.DUMMYFUNCTION("""COMPUTED_VALUE"""),"2015-06-23-J09-HE-7")</f>
        <v>2015-06-23-J09-HE-7</v>
      </c>
    </row>
    <row r="5721">
      <c r="A5721" t="str">
        <f>IFERROR(__xludf.DUMMYFUNCTION("""COMPUTED_VALUE"""),"2015-06-23-J09-HE-8")</f>
        <v>2015-06-23-J09-HE-8</v>
      </c>
    </row>
    <row r="5722">
      <c r="A5722" t="str">
        <f>IFERROR(__xludf.DUMMYFUNCTION("""COMPUTED_VALUE"""),"2015-06-23-J09-HE-9")</f>
        <v>2015-06-23-J09-HE-9</v>
      </c>
    </row>
    <row r="5723">
      <c r="A5723" t="str">
        <f>IFERROR(__xludf.DUMMYFUNCTION("""COMPUTED_VALUE"""),"2015-06-23-J09-HE-10")</f>
        <v>2015-06-23-J09-HE-10</v>
      </c>
    </row>
    <row r="5724">
      <c r="A5724" t="str">
        <f>IFERROR(__xludf.DUMMYFUNCTION("""COMPUTED_VALUE"""),"2015-06-24-D10-SO-1")</f>
        <v>2015-06-24-D10-SO-1</v>
      </c>
    </row>
    <row r="5725">
      <c r="A5725" t="str">
        <f>IFERROR(__xludf.DUMMYFUNCTION("""COMPUTED_VALUE"""),"2015-06-24-D10-SO-2")</f>
        <v>2015-06-24-D10-SO-2</v>
      </c>
    </row>
    <row r="5726">
      <c r="A5726" t="str">
        <f>IFERROR(__xludf.DUMMYFUNCTION("""COMPUTED_VALUE"""),"2015-06-24-D10-SO-3")</f>
        <v>2015-06-24-D10-SO-3</v>
      </c>
    </row>
    <row r="5727">
      <c r="A5727" t="str">
        <f>IFERROR(__xludf.DUMMYFUNCTION("""COMPUTED_VALUE"""),"2015-06-24-D10-SO-4")</f>
        <v>2015-06-24-D10-SO-4</v>
      </c>
    </row>
    <row r="5728">
      <c r="A5728" t="str">
        <f>IFERROR(__xludf.DUMMYFUNCTION("""COMPUTED_VALUE"""),"2015-06-24-D10-SO-5")</f>
        <v>2015-06-24-D10-SO-5</v>
      </c>
    </row>
    <row r="5729">
      <c r="A5729" t="str">
        <f>IFERROR(__xludf.DUMMYFUNCTION("""COMPUTED_VALUE"""),"2015-06-24-D10-SO-6")</f>
        <v>2015-06-24-D10-SO-6</v>
      </c>
    </row>
    <row r="5730">
      <c r="A5730" t="str">
        <f>IFERROR(__xludf.DUMMYFUNCTION("""COMPUTED_VALUE"""),"2015-06-24-D10-SO-7")</f>
        <v>2015-06-24-D10-SO-7</v>
      </c>
    </row>
    <row r="5731">
      <c r="A5731" t="str">
        <f>IFERROR(__xludf.DUMMYFUNCTION("""COMPUTED_VALUE"""),"2015-06-24-D11-SO-1")</f>
        <v>2015-06-24-D11-SO-1</v>
      </c>
    </row>
    <row r="5732">
      <c r="A5732" t="str">
        <f>IFERROR(__xludf.DUMMYFUNCTION("""COMPUTED_VALUE"""),"2015-06-24-D11-SO-2")</f>
        <v>2015-06-24-D11-SO-2</v>
      </c>
    </row>
    <row r="5733">
      <c r="A5733" t="str">
        <f>IFERROR(__xludf.DUMMYFUNCTION("""COMPUTED_VALUE"""),"2015-06-24-D11-SO-3")</f>
        <v>2015-06-24-D11-SO-3</v>
      </c>
    </row>
    <row r="5734">
      <c r="A5734" t="str">
        <f>IFERROR(__xludf.DUMMYFUNCTION("""COMPUTED_VALUE"""),"2015-06-24-D11-SO-4")</f>
        <v>2015-06-24-D11-SO-4</v>
      </c>
    </row>
    <row r="5735">
      <c r="A5735" t="str">
        <f>IFERROR(__xludf.DUMMYFUNCTION("""COMPUTED_VALUE"""),"2015-06-24-D11-SO-5")</f>
        <v>2015-06-24-D11-SO-5</v>
      </c>
    </row>
    <row r="5736">
      <c r="A5736" t="str">
        <f>IFERROR(__xludf.DUMMYFUNCTION("""COMPUTED_VALUE"""),"2015-06-24-D11-SO-6")</f>
        <v>2015-06-24-D11-SO-6</v>
      </c>
    </row>
    <row r="5737">
      <c r="A5737" t="str">
        <f>IFERROR(__xludf.DUMMYFUNCTION("""COMPUTED_VALUE"""),"2015-06-24-D11-SO-7")</f>
        <v>2015-06-24-D11-SO-7</v>
      </c>
    </row>
    <row r="5738">
      <c r="A5738" t="str">
        <f>IFERROR(__xludf.DUMMYFUNCTION("""COMPUTED_VALUE"""),"2015-06-24-D11-SO-8")</f>
        <v>2015-06-24-D11-SO-8</v>
      </c>
    </row>
    <row r="5739">
      <c r="A5739" t="str">
        <f>IFERROR(__xludf.DUMMYFUNCTION("""COMPUTED_VALUE"""),"2015-06-24-D11-SO-9")</f>
        <v>2015-06-24-D11-SO-9</v>
      </c>
    </row>
    <row r="5740">
      <c r="A5740" t="str">
        <f>IFERROR(__xludf.DUMMYFUNCTION("""COMPUTED_VALUE"""),"2015-06-24-D09-SO-1")</f>
        <v>2015-06-24-D09-SO-1</v>
      </c>
    </row>
    <row r="5741">
      <c r="A5741" t="str">
        <f>IFERROR(__xludf.DUMMYFUNCTION("""COMPUTED_VALUE"""),"2015-06-24-D09-SO-2")</f>
        <v>2015-06-24-D09-SO-2</v>
      </c>
    </row>
    <row r="5742">
      <c r="A5742" t="str">
        <f>IFERROR(__xludf.DUMMYFUNCTION("""COMPUTED_VALUE"""),"2015-06-24-D09-SO-3")</f>
        <v>2015-06-24-D09-SO-3</v>
      </c>
    </row>
    <row r="5743">
      <c r="A5743" t="str">
        <f>IFERROR(__xludf.DUMMYFUNCTION("""COMPUTED_VALUE"""),"2015-06-24-D09-SO-4")</f>
        <v>2015-06-24-D09-SO-4</v>
      </c>
    </row>
    <row r="5744">
      <c r="A5744" t="str">
        <f>IFERROR(__xludf.DUMMYFUNCTION("""COMPUTED_VALUE"""),"2015-06-24-D09-SO-5")</f>
        <v>2015-06-24-D09-SO-5</v>
      </c>
    </row>
    <row r="5745">
      <c r="A5745" t="str">
        <f>IFERROR(__xludf.DUMMYFUNCTION("""COMPUTED_VALUE"""),"2015-06-24-D09-SO-6")</f>
        <v>2015-06-24-D09-SO-6</v>
      </c>
    </row>
    <row r="5746">
      <c r="A5746" t="str">
        <f>IFERROR(__xludf.DUMMYFUNCTION("""COMPUTED_VALUE"""),"2015-06-24-D09-SO-7")</f>
        <v>2015-06-24-D09-SO-7</v>
      </c>
    </row>
    <row r="5747">
      <c r="A5747" t="str">
        <f>IFERROR(__xludf.DUMMYFUNCTION("""COMPUTED_VALUE"""),"2015-06-24-D09-SO-8")</f>
        <v>2015-06-24-D09-SO-8</v>
      </c>
    </row>
    <row r="5748">
      <c r="A5748" t="str">
        <f>IFERROR(__xludf.DUMMYFUNCTION("""COMPUTED_VALUE"""),"2015-06-24-D09-SO-9")</f>
        <v>2015-06-24-D09-SO-9</v>
      </c>
    </row>
    <row r="5749">
      <c r="A5749" t="str">
        <f>IFERROR(__xludf.DUMMYFUNCTION("""COMPUTED_VALUE"""),"2015-06-24-D09-SO-10")</f>
        <v>2015-06-24-D09-SO-10</v>
      </c>
    </row>
    <row r="5750">
      <c r="A5750" t="str">
        <f>IFERROR(__xludf.DUMMYFUNCTION("""COMPUTED_VALUE"""),"2015-06-24-D09-SO-11")</f>
        <v>2015-06-24-D09-SO-11</v>
      </c>
    </row>
    <row r="5751">
      <c r="A5751" t="str">
        <f>IFERROR(__xludf.DUMMYFUNCTION("""COMPUTED_VALUE"""),"2015-06-24-D09-SO-12")</f>
        <v>2015-06-24-D09-SO-12</v>
      </c>
    </row>
    <row r="5752">
      <c r="A5752" t="str">
        <f>IFERROR(__xludf.DUMMYFUNCTION("""COMPUTED_VALUE"""),"2015-06-24-D09-SO-13")</f>
        <v>2015-06-24-D09-SO-13</v>
      </c>
    </row>
    <row r="5753">
      <c r="A5753" t="str">
        <f>IFERROR(__xludf.DUMMYFUNCTION("""COMPUTED_VALUE"""),"2015-06-24-D09-SO-14")</f>
        <v>2015-06-24-D09-SO-14</v>
      </c>
    </row>
    <row r="5754">
      <c r="A5754" t="str">
        <f>IFERROR(__xludf.DUMMYFUNCTION("""COMPUTED_VALUE"""),"2015-06-24-D09-SO-15")</f>
        <v>2015-06-24-D09-SO-15</v>
      </c>
    </row>
    <row r="5755">
      <c r="A5755" t="str">
        <f>IFERROR(__xludf.DUMMYFUNCTION("""COMPUTED_VALUE"""),"2015-06-24-D09-SO-16")</f>
        <v>2015-06-24-D09-SO-16</v>
      </c>
    </row>
    <row r="5756">
      <c r="A5756" t="str">
        <f>IFERROR(__xludf.DUMMYFUNCTION("""COMPUTED_VALUE"""),"2015-06-24-D09-SO-17")</f>
        <v>2015-06-24-D09-SO-17</v>
      </c>
    </row>
    <row r="5757">
      <c r="A5757" t="str">
        <f>IFERROR(__xludf.DUMMYFUNCTION("""COMPUTED_VALUE"""),"2015-06-24-D09-SO-18")</f>
        <v>2015-06-24-D09-SO-18</v>
      </c>
    </row>
    <row r="5758">
      <c r="A5758" t="str">
        <f>IFERROR(__xludf.DUMMYFUNCTION("""COMPUTED_VALUE"""),"2015-06-24-D09-SO-19")</f>
        <v>2015-06-24-D09-SO-19</v>
      </c>
    </row>
    <row r="5759">
      <c r="A5759" t="str">
        <f>IFERROR(__xludf.DUMMYFUNCTION("""COMPUTED_VALUE"""),"2015-06-24-D09-SO-20")</f>
        <v>2015-06-24-D09-SO-20</v>
      </c>
    </row>
    <row r="5760">
      <c r="A5760" t="str">
        <f>IFERROR(__xludf.DUMMYFUNCTION("""COMPUTED_VALUE"""),"2015-06-24-D09-SO-21")</f>
        <v>2015-06-24-D09-SO-21</v>
      </c>
    </row>
    <row r="5761">
      <c r="A5761" t="str">
        <f>IFERROR(__xludf.DUMMYFUNCTION("""COMPUTED_VALUE"""),"2015-06-24-D09-SO-22")</f>
        <v>2015-06-24-D09-SO-22</v>
      </c>
    </row>
    <row r="5762">
      <c r="A5762" t="str">
        <f>IFERROR(__xludf.DUMMYFUNCTION("""COMPUTED_VALUE"""),"2015-06-24-D09-SO-23")</f>
        <v>2015-06-24-D09-SO-23</v>
      </c>
    </row>
    <row r="5763">
      <c r="A5763" t="str">
        <f>IFERROR(__xludf.DUMMYFUNCTION("""COMPUTED_VALUE"""),"2015-06-24-D09-SO-24")</f>
        <v>2015-06-24-D09-SO-24</v>
      </c>
    </row>
    <row r="5764">
      <c r="A5764" t="str">
        <f>IFERROR(__xludf.DUMMYFUNCTION("""COMPUTED_VALUE"""),"2015-06-24-D09-SO-25")</f>
        <v>2015-06-24-D09-SO-25</v>
      </c>
    </row>
    <row r="5765">
      <c r="A5765" t="str">
        <f>IFERROR(__xludf.DUMMYFUNCTION("""COMPUTED_VALUE"""),"2015-06-24-D09-SO-26")</f>
        <v>2015-06-24-D09-SO-26</v>
      </c>
    </row>
    <row r="5766">
      <c r="A5766" t="str">
        <f>IFERROR(__xludf.DUMMYFUNCTION("""COMPUTED_VALUE"""),"2015-06-24-D09-SO-27")</f>
        <v>2015-06-24-D09-SO-27</v>
      </c>
    </row>
    <row r="5767">
      <c r="A5767" t="str">
        <f>IFERROR(__xludf.DUMMYFUNCTION("""COMPUTED_VALUE"""),"2015-06-24-D09-SO-28")</f>
        <v>2015-06-24-D09-SO-28</v>
      </c>
    </row>
    <row r="5768">
      <c r="A5768" t="str">
        <f>IFERROR(__xludf.DUMMYFUNCTION("""COMPUTED_VALUE"""),"2015-06-24-D09-SO-29")</f>
        <v>2015-06-24-D09-SO-29</v>
      </c>
    </row>
    <row r="5769">
      <c r="A5769" t="str">
        <f>IFERROR(__xludf.DUMMYFUNCTION("""COMPUTED_VALUE"""),"2015-06-24-D09-SO-30")</f>
        <v>2015-06-24-D09-SO-30</v>
      </c>
    </row>
    <row r="5770">
      <c r="A5770" t="str">
        <f>IFERROR(__xludf.DUMMYFUNCTION("""COMPUTED_VALUE"""),"2015-06-24-J06-SO-1")</f>
        <v>2015-06-24-J06-SO-1</v>
      </c>
    </row>
    <row r="5771">
      <c r="A5771" t="str">
        <f>IFERROR(__xludf.DUMMYFUNCTION("""COMPUTED_VALUE"""),"2015-06-24-J06-SO-2")</f>
        <v>2015-06-24-J06-SO-2</v>
      </c>
    </row>
    <row r="5772">
      <c r="A5772" t="str">
        <f>IFERROR(__xludf.DUMMYFUNCTION("""COMPUTED_VALUE"""),"2015-06-24-J06-SO-3")</f>
        <v>2015-06-24-J06-SO-3</v>
      </c>
    </row>
    <row r="5773">
      <c r="A5773" t="str">
        <f>IFERROR(__xludf.DUMMYFUNCTION("""COMPUTED_VALUE"""),"2015-06-24-J06-SO-4")</f>
        <v>2015-06-24-J06-SO-4</v>
      </c>
    </row>
    <row r="5774">
      <c r="A5774" t="str">
        <f>IFERROR(__xludf.DUMMYFUNCTION("""COMPUTED_VALUE"""),"2015-06-24-J06-SO-5")</f>
        <v>2015-06-24-J06-SO-5</v>
      </c>
    </row>
    <row r="5775">
      <c r="A5775" t="str">
        <f>IFERROR(__xludf.DUMMYFUNCTION("""COMPUTED_VALUE"""),"2015-06-24-J06-SO-6")</f>
        <v>2015-06-24-J06-SO-6</v>
      </c>
    </row>
    <row r="5776">
      <c r="A5776" t="str">
        <f>IFERROR(__xludf.DUMMYFUNCTION("""COMPUTED_VALUE"""),"2015-06-24-J06-SO-7")</f>
        <v>2015-06-24-J06-SO-7</v>
      </c>
    </row>
    <row r="5777">
      <c r="A5777" t="str">
        <f>IFERROR(__xludf.DUMMYFUNCTION("""COMPUTED_VALUE"""),"2015-06-24-J06-SO-8")</f>
        <v>2015-06-24-J06-SO-8</v>
      </c>
    </row>
    <row r="5778">
      <c r="A5778" t="str">
        <f>IFERROR(__xludf.DUMMYFUNCTION("""COMPUTED_VALUE"""),"2015-06-24-J07-SO-1")</f>
        <v>2015-06-24-J07-SO-1</v>
      </c>
    </row>
    <row r="5779">
      <c r="A5779" t="str">
        <f>IFERROR(__xludf.DUMMYFUNCTION("""COMPUTED_VALUE"""),"2015-06-24-J07-SO-2")</f>
        <v>2015-06-24-J07-SO-2</v>
      </c>
    </row>
    <row r="5780">
      <c r="A5780" t="str">
        <f>IFERROR(__xludf.DUMMYFUNCTION("""COMPUTED_VALUE"""),"2015-06-24-J07-SO-3")</f>
        <v>2015-06-24-J07-SO-3</v>
      </c>
    </row>
    <row r="5781">
      <c r="A5781" t="str">
        <f>IFERROR(__xludf.DUMMYFUNCTION("""COMPUTED_VALUE"""),"2015-06-24-J07-SO-4")</f>
        <v>2015-06-24-J07-SO-4</v>
      </c>
    </row>
    <row r="5782">
      <c r="A5782" t="str">
        <f>IFERROR(__xludf.DUMMYFUNCTION("""COMPUTED_VALUE"""),"2015-06-24-J07-SO-5")</f>
        <v>2015-06-24-J07-SO-5</v>
      </c>
    </row>
    <row r="5783">
      <c r="A5783" t="str">
        <f>IFERROR(__xludf.DUMMYFUNCTION("""COMPUTED_VALUE"""),"2015-06-24-J07-SO-6")</f>
        <v>2015-06-24-J07-SO-6</v>
      </c>
    </row>
    <row r="5784">
      <c r="A5784" t="str">
        <f>IFERROR(__xludf.DUMMYFUNCTION("""COMPUTED_VALUE"""),"2015-06-24-J07-SO-7")</f>
        <v>2015-06-24-J07-SO-7</v>
      </c>
    </row>
    <row r="5785">
      <c r="A5785" t="str">
        <f>IFERROR(__xludf.DUMMYFUNCTION("""COMPUTED_VALUE"""),"2015-06-24-J07-SO-8")</f>
        <v>2015-06-24-J07-SO-8</v>
      </c>
    </row>
    <row r="5786">
      <c r="A5786" t="str">
        <f>IFERROR(__xludf.DUMMYFUNCTION("""COMPUTED_VALUE"""),"2015-06-24-J07-SO-9")</f>
        <v>2015-06-24-J07-SO-9</v>
      </c>
    </row>
    <row r="5787">
      <c r="A5787" t="str">
        <f>IFERROR(__xludf.DUMMYFUNCTION("""COMPUTED_VALUE"""),"2015-06-24-J07-SO-10")</f>
        <v>2015-06-24-J07-SO-10</v>
      </c>
    </row>
    <row r="5788">
      <c r="A5788" t="str">
        <f>IFERROR(__xludf.DUMMYFUNCTION("""COMPUTED_VALUE"""),"2015-06-24-J07-SO-11")</f>
        <v>2015-06-24-J07-SO-11</v>
      </c>
    </row>
    <row r="5789">
      <c r="A5789" t="str">
        <f>IFERROR(__xludf.DUMMYFUNCTION("""COMPUTED_VALUE"""),"2015-06-24-J07-SO-12")</f>
        <v>2015-06-24-J07-SO-12</v>
      </c>
    </row>
    <row r="5790">
      <c r="A5790" t="str">
        <f>IFERROR(__xludf.DUMMYFUNCTION("""COMPUTED_VALUE"""),"2015-06-24-J07-SO-13")</f>
        <v>2015-06-24-J07-SO-13</v>
      </c>
    </row>
    <row r="5791">
      <c r="A5791" t="str">
        <f>IFERROR(__xludf.DUMMYFUNCTION("""COMPUTED_VALUE"""),"2015-06-24-J07-SO-14")</f>
        <v>2015-06-24-J07-SO-14</v>
      </c>
    </row>
    <row r="5792">
      <c r="A5792" t="str">
        <f>IFERROR(__xludf.DUMMYFUNCTION("""COMPUTED_VALUE"""),"2015-06-24-J07-SO-15")</f>
        <v>2015-06-24-J07-SO-15</v>
      </c>
    </row>
    <row r="5793">
      <c r="A5793" t="str">
        <f>IFERROR(__xludf.DUMMYFUNCTION("""COMPUTED_VALUE"""),"2015-06-24-J07-SO-16")</f>
        <v>2015-06-24-J07-SO-16</v>
      </c>
    </row>
    <row r="5794">
      <c r="A5794" t="str">
        <f>IFERROR(__xludf.DUMMYFUNCTION("""COMPUTED_VALUE"""),"2015-06-24-J07-SO-17")</f>
        <v>2015-06-24-J07-SO-17</v>
      </c>
    </row>
    <row r="5795">
      <c r="A5795" t="str">
        <f>IFERROR(__xludf.DUMMYFUNCTION("""COMPUTED_VALUE"""),"2015-06-24-J07-SO-18")</f>
        <v>2015-06-24-J07-SO-18</v>
      </c>
    </row>
    <row r="5796">
      <c r="A5796" t="str">
        <f>IFERROR(__xludf.DUMMYFUNCTION("""COMPUTED_VALUE"""),"2015-06-24-J07-SO-19")</f>
        <v>2015-06-24-J07-SO-19</v>
      </c>
    </row>
    <row r="5797">
      <c r="A5797" t="str">
        <f>IFERROR(__xludf.DUMMYFUNCTION("""COMPUTED_VALUE"""),"2015-06-24-J07-SO-20")</f>
        <v>2015-06-24-J07-SO-20</v>
      </c>
    </row>
    <row r="5798">
      <c r="A5798" t="str">
        <f>IFERROR(__xludf.DUMMYFUNCTION("""COMPUTED_VALUE"""),"2015-06-24-J07-SO-21")</f>
        <v>2015-06-24-J07-SO-21</v>
      </c>
    </row>
    <row r="5799">
      <c r="A5799" t="str">
        <f>IFERROR(__xludf.DUMMYFUNCTION("""COMPUTED_VALUE"""),"2015-06-24-J07-SO-22")</f>
        <v>2015-06-24-J07-SO-22</v>
      </c>
    </row>
    <row r="5800">
      <c r="A5800" t="str">
        <f>IFERROR(__xludf.DUMMYFUNCTION("""COMPUTED_VALUE"""),"2015-06-24-J07-SO-23")</f>
        <v>2015-06-24-J07-SO-23</v>
      </c>
    </row>
    <row r="5801">
      <c r="A5801" t="str">
        <f>IFERROR(__xludf.DUMMYFUNCTION("""COMPUTED_VALUE"""),"2015-06-24-J07-SO-24")</f>
        <v>2015-06-24-J07-SO-24</v>
      </c>
    </row>
    <row r="5802">
      <c r="A5802" t="str">
        <f>IFERROR(__xludf.DUMMYFUNCTION("""COMPUTED_VALUE"""),"2015-06-24-J07-SO-25")</f>
        <v>2015-06-24-J07-SO-25</v>
      </c>
    </row>
    <row r="5803">
      <c r="A5803" t="str">
        <f>IFERROR(__xludf.DUMMYFUNCTION("""COMPUTED_VALUE"""),"2015-06-24-J07-SO-26")</f>
        <v>2015-06-24-J07-SO-26</v>
      </c>
    </row>
    <row r="5804">
      <c r="A5804" t="str">
        <f>IFERROR(__xludf.DUMMYFUNCTION("""COMPUTED_VALUE"""),"2015-06-24-J07-SO-27")</f>
        <v>2015-06-24-J07-SO-27</v>
      </c>
    </row>
    <row r="5805">
      <c r="A5805" t="str">
        <f>IFERROR(__xludf.DUMMYFUNCTION("""COMPUTED_VALUE"""),"2015-06-24-J07-SO-28")</f>
        <v>2015-06-24-J07-SO-28</v>
      </c>
    </row>
    <row r="5806">
      <c r="A5806" t="str">
        <f>IFERROR(__xludf.DUMMYFUNCTION("""COMPUTED_VALUE"""),"2015-06-24-J07-SO-29")</f>
        <v>2015-06-24-J07-SO-29</v>
      </c>
    </row>
    <row r="5807">
      <c r="A5807" t="str">
        <f>IFERROR(__xludf.DUMMYFUNCTION("""COMPUTED_VALUE"""),"2015-06-24-J05-SO-1")</f>
        <v>2015-06-24-J05-SO-1</v>
      </c>
    </row>
    <row r="5808">
      <c r="A5808" t="str">
        <f>IFERROR(__xludf.DUMMYFUNCTION("""COMPUTED_VALUE"""),"2015-06-24-J05-SO-2")</f>
        <v>2015-06-24-J05-SO-2</v>
      </c>
    </row>
    <row r="5809">
      <c r="A5809" t="str">
        <f>IFERROR(__xludf.DUMMYFUNCTION("""COMPUTED_VALUE"""),"2015-06-24-J05-SO-3")</f>
        <v>2015-06-24-J05-SO-3</v>
      </c>
    </row>
    <row r="5810">
      <c r="A5810" t="str">
        <f>IFERROR(__xludf.DUMMYFUNCTION("""COMPUTED_VALUE"""),"2015-06-24-J05-SO-4")</f>
        <v>2015-06-24-J05-SO-4</v>
      </c>
    </row>
    <row r="5811">
      <c r="A5811" t="str">
        <f>IFERROR(__xludf.DUMMYFUNCTION("""COMPUTED_VALUE"""),"2015-06-24-J05-SO-5")</f>
        <v>2015-06-24-J05-SO-5</v>
      </c>
    </row>
    <row r="5812">
      <c r="A5812" t="str">
        <f>IFERROR(__xludf.DUMMYFUNCTION("""COMPUTED_VALUE"""),"2015-06-24-J05-SO-6")</f>
        <v>2015-06-24-J05-SO-6</v>
      </c>
    </row>
    <row r="5813">
      <c r="A5813" t="str">
        <f>IFERROR(__xludf.DUMMYFUNCTION("""COMPUTED_VALUE"""),"2015-06-24-J05-SO-7")</f>
        <v>2015-06-24-J05-SO-7</v>
      </c>
    </row>
    <row r="5814">
      <c r="A5814" t="str">
        <f>IFERROR(__xludf.DUMMYFUNCTION("""COMPUTED_VALUE"""),"2015-06-24-J05-SO-8")</f>
        <v>2015-06-24-J05-SO-8</v>
      </c>
    </row>
    <row r="5815">
      <c r="A5815" t="str">
        <f>IFERROR(__xludf.DUMMYFUNCTION("""COMPUTED_VALUE"""),"2015-06-24-J05-SO-9")</f>
        <v>2015-06-24-J05-SO-9</v>
      </c>
    </row>
    <row r="5816">
      <c r="A5816" t="str">
        <f>IFERROR(__xludf.DUMMYFUNCTION("""COMPUTED_VALUE"""),"2015-06-24-J05-SO-10")</f>
        <v>2015-06-24-J05-SO-10</v>
      </c>
    </row>
    <row r="5817">
      <c r="A5817" t="str">
        <f>IFERROR(__xludf.DUMMYFUNCTION("""COMPUTED_VALUE"""),"2015-06-24-J05-SO-11")</f>
        <v>2015-06-24-J05-SO-11</v>
      </c>
    </row>
    <row r="5818">
      <c r="A5818" t="str">
        <f>IFERROR(__xludf.DUMMYFUNCTION("""COMPUTED_VALUE"""),"2015-06-24-J05-SO-12")</f>
        <v>2015-06-24-J05-SO-12</v>
      </c>
    </row>
    <row r="5819">
      <c r="A5819" t="str">
        <f>IFERROR(__xludf.DUMMYFUNCTION("""COMPUTED_VALUE"""),"2015-06-24-J05-SO-13")</f>
        <v>2015-06-24-J05-SO-13</v>
      </c>
    </row>
    <row r="5820">
      <c r="A5820" t="str">
        <f>IFERROR(__xludf.DUMMYFUNCTION("""COMPUTED_VALUE"""),"2015-06-24-J05-SO-14")</f>
        <v>2015-06-24-J05-SO-14</v>
      </c>
    </row>
    <row r="5821">
      <c r="A5821" t="str">
        <f>IFERROR(__xludf.DUMMYFUNCTION("""COMPUTED_VALUE"""),"2015-06-24-J05-SO-15")</f>
        <v>2015-06-24-J05-SO-15</v>
      </c>
    </row>
    <row r="5822">
      <c r="A5822" t="str">
        <f>IFERROR(__xludf.DUMMYFUNCTION("""COMPUTED_VALUE"""),"2015-06-24-J05-SO-16")</f>
        <v>2015-06-24-J05-SO-16</v>
      </c>
    </row>
    <row r="5823">
      <c r="A5823" t="str">
        <f>IFERROR(__xludf.DUMMYFUNCTION("""COMPUTED_VALUE"""),"2015-06-24-J05-SO-17")</f>
        <v>2015-06-24-J05-SO-17</v>
      </c>
    </row>
    <row r="5824">
      <c r="A5824" t="str">
        <f>IFERROR(__xludf.DUMMYFUNCTION("""COMPUTED_VALUE"""),"2015-06-24-J05-SO-18")</f>
        <v>2015-06-24-J05-SO-18</v>
      </c>
    </row>
    <row r="5825">
      <c r="A5825" t="str">
        <f>IFERROR(__xludf.DUMMYFUNCTION("""COMPUTED_VALUE"""),"2015-06-24-J05-SO-19")</f>
        <v>2015-06-24-J05-SO-19</v>
      </c>
    </row>
    <row r="5826">
      <c r="A5826" t="str">
        <f>IFERROR(__xludf.DUMMYFUNCTION("""COMPUTED_VALUE"""),"2015-06-24-J05-SO-20")</f>
        <v>2015-06-24-J05-SO-20</v>
      </c>
    </row>
    <row r="5827">
      <c r="A5827" t="str">
        <f>IFERROR(__xludf.DUMMYFUNCTION("""COMPUTED_VALUE"""),"2015-06-24-J05-SO-21")</f>
        <v>2015-06-24-J05-SO-21</v>
      </c>
    </row>
    <row r="5828">
      <c r="A5828" t="str">
        <f>IFERROR(__xludf.DUMMYFUNCTION("""COMPUTED_VALUE"""),"2015-06-24-J05-SO-22")</f>
        <v>2015-06-24-J05-SO-22</v>
      </c>
    </row>
    <row r="5829">
      <c r="A5829" t="str">
        <f>IFERROR(__xludf.DUMMYFUNCTION("""COMPUTED_VALUE"""),"2015-06-24-J05-SO-23")</f>
        <v>2015-06-24-J05-SO-23</v>
      </c>
    </row>
    <row r="5830">
      <c r="A5830" t="str">
        <f>IFERROR(__xludf.DUMMYFUNCTION("""COMPUTED_VALUE"""),"2015-06-24-J05-SO-24")</f>
        <v>2015-06-24-J05-SO-24</v>
      </c>
    </row>
    <row r="5831">
      <c r="A5831" t="str">
        <f>IFERROR(__xludf.DUMMYFUNCTION("""COMPUTED_VALUE"""),"2015-06-24-J05-SO-25")</f>
        <v>2015-06-24-J05-SO-25</v>
      </c>
    </row>
    <row r="5832">
      <c r="A5832" t="str">
        <f>IFERROR(__xludf.DUMMYFUNCTION("""COMPUTED_VALUE"""),"2015-06-24-J05-SO-26")</f>
        <v>2015-06-24-J05-SO-26</v>
      </c>
    </row>
    <row r="5833">
      <c r="A5833" t="str">
        <f>IFERROR(__xludf.DUMMYFUNCTION("""COMPUTED_VALUE"""),"2015-06-24-J05-SO-27")</f>
        <v>2015-06-24-J05-SO-27</v>
      </c>
    </row>
    <row r="5834">
      <c r="A5834" t="str">
        <f>IFERROR(__xludf.DUMMYFUNCTION("""COMPUTED_VALUE"""),"2015-06-24-J05-SO-28")</f>
        <v>2015-06-24-J05-SO-28</v>
      </c>
    </row>
    <row r="5835">
      <c r="A5835" t="str">
        <f>IFERROR(__xludf.DUMMYFUNCTION("""COMPUTED_VALUE"""),"2015-06-24-J05-SO-29")</f>
        <v>2015-06-24-J05-SO-29</v>
      </c>
    </row>
    <row r="5836">
      <c r="A5836" t="str">
        <f>IFERROR(__xludf.DUMMYFUNCTION("""COMPUTED_VALUE"""),"2015-06-24-J05-SO-30")</f>
        <v>2015-06-24-J05-SO-30</v>
      </c>
    </row>
    <row r="5837">
      <c r="A5837" t="str">
        <f>IFERROR(__xludf.DUMMYFUNCTION("""COMPUTED_VALUE"""),"2015-06-24-J08-SO-1")</f>
        <v>2015-06-24-J08-SO-1</v>
      </c>
    </row>
    <row r="5838">
      <c r="A5838" t="str">
        <f>IFERROR(__xludf.DUMMYFUNCTION("""COMPUTED_VALUE"""),"2015-06-24-J08-SO-2")</f>
        <v>2015-06-24-J08-SO-2</v>
      </c>
    </row>
    <row r="5839">
      <c r="A5839" t="str">
        <f>IFERROR(__xludf.DUMMYFUNCTION("""COMPUTED_VALUE"""),"2015-06-24-J08-SO-3")</f>
        <v>2015-06-24-J08-SO-3</v>
      </c>
    </row>
    <row r="5840">
      <c r="A5840" t="str">
        <f>IFERROR(__xludf.DUMMYFUNCTION("""COMPUTED_VALUE"""),"2015-06-24-J08-SO-4")</f>
        <v>2015-06-24-J08-SO-4</v>
      </c>
    </row>
    <row r="5841">
      <c r="A5841" t="str">
        <f>IFERROR(__xludf.DUMMYFUNCTION("""COMPUTED_VALUE"""),"2015-06-24-J08-SO-5")</f>
        <v>2015-06-24-J08-SO-5</v>
      </c>
    </row>
    <row r="5842">
      <c r="A5842" t="str">
        <f>IFERROR(__xludf.DUMMYFUNCTION("""COMPUTED_VALUE"""),"2015-06-24-J08-SO-6")</f>
        <v>2015-06-24-J08-SO-6</v>
      </c>
    </row>
    <row r="5843">
      <c r="A5843" t="str">
        <f>IFERROR(__xludf.DUMMYFUNCTION("""COMPUTED_VALUE"""),"2015-06-24-J08-SO-7")</f>
        <v>2015-06-24-J08-SO-7</v>
      </c>
    </row>
    <row r="5844">
      <c r="A5844" t="str">
        <f>IFERROR(__xludf.DUMMYFUNCTION("""COMPUTED_VALUE"""),"2015-06-24-J08-SO-8")</f>
        <v>2015-06-24-J08-SO-8</v>
      </c>
    </row>
    <row r="5845">
      <c r="A5845" t="str">
        <f>IFERROR(__xludf.DUMMYFUNCTION("""COMPUTED_VALUE"""),"2015-06-24-J08-SO-9")</f>
        <v>2015-06-24-J08-SO-9</v>
      </c>
    </row>
    <row r="5846">
      <c r="A5846" t="str">
        <f>IFERROR(__xludf.DUMMYFUNCTION("""COMPUTED_VALUE"""),"2015-06-24-J08-SO-10")</f>
        <v>2015-06-24-J08-SO-10</v>
      </c>
    </row>
    <row r="5847">
      <c r="A5847" t="str">
        <f>IFERROR(__xludf.DUMMYFUNCTION("""COMPUTED_VALUE"""),"2015-06-24-J08-SO-11")</f>
        <v>2015-06-24-J08-SO-11</v>
      </c>
    </row>
    <row r="5848">
      <c r="A5848" t="str">
        <f>IFERROR(__xludf.DUMMYFUNCTION("""COMPUTED_VALUE"""),"2015-06-24-J08-SO-12")</f>
        <v>2015-06-24-J08-SO-12</v>
      </c>
    </row>
    <row r="5849">
      <c r="A5849" t="str">
        <f>IFERROR(__xludf.DUMMYFUNCTION("""COMPUTED_VALUE"""),"2015-06-24-J08-SO-13")</f>
        <v>2015-06-24-J08-SO-13</v>
      </c>
    </row>
    <row r="5850">
      <c r="A5850" t="str">
        <f>IFERROR(__xludf.DUMMYFUNCTION("""COMPUTED_VALUE"""),"2015-06-24-J08-SO-14")</f>
        <v>2015-06-24-J08-SO-14</v>
      </c>
    </row>
    <row r="5851">
      <c r="A5851" t="str">
        <f>IFERROR(__xludf.DUMMYFUNCTION("""COMPUTED_VALUE"""),"2015-06-24-J08-SO-15")</f>
        <v>2015-06-24-J08-SO-15</v>
      </c>
    </row>
    <row r="5852">
      <c r="A5852" t="str">
        <f>IFERROR(__xludf.DUMMYFUNCTION("""COMPUTED_VALUE"""),"2015-06-24-J08-SO-16")</f>
        <v>2015-06-24-J08-SO-16</v>
      </c>
    </row>
    <row r="5853">
      <c r="A5853" t="str">
        <f>IFERROR(__xludf.DUMMYFUNCTION("""COMPUTED_VALUE"""),"2015-06-24-J08-SO-17")</f>
        <v>2015-06-24-J08-SO-17</v>
      </c>
    </row>
    <row r="5854">
      <c r="A5854" t="str">
        <f>IFERROR(__xludf.DUMMYFUNCTION("""COMPUTED_VALUE"""),"2015-06-24-J08-SO-18")</f>
        <v>2015-06-24-J08-SO-18</v>
      </c>
    </row>
    <row r="5855">
      <c r="A5855" t="str">
        <f>IFERROR(__xludf.DUMMYFUNCTION("""COMPUTED_VALUE"""),"2015-06-24-J08-SO-19")</f>
        <v>2015-06-24-J08-SO-19</v>
      </c>
    </row>
    <row r="5856">
      <c r="A5856" t="str">
        <f>IFERROR(__xludf.DUMMYFUNCTION("""COMPUTED_VALUE"""),"2015-06-24-D11-PI-1")</f>
        <v>2015-06-24-D11-PI-1</v>
      </c>
    </row>
    <row r="5857">
      <c r="A5857" t="str">
        <f>IFERROR(__xludf.DUMMYFUNCTION("""COMPUTED_VALUE"""),"2015-06-24-D11-PI-2")</f>
        <v>2015-06-24-D11-PI-2</v>
      </c>
    </row>
    <row r="5858">
      <c r="A5858" t="str">
        <f>IFERROR(__xludf.DUMMYFUNCTION("""COMPUTED_VALUE"""),"2015-06-24-D11-PI-3")</f>
        <v>2015-06-24-D11-PI-3</v>
      </c>
    </row>
    <row r="5859">
      <c r="A5859" t="str">
        <f>IFERROR(__xludf.DUMMYFUNCTION("""COMPUTED_VALUE"""),"2015-06-24-D11-PI-4")</f>
        <v>2015-06-24-D11-PI-4</v>
      </c>
    </row>
    <row r="5860">
      <c r="A5860" t="str">
        <f>IFERROR(__xludf.DUMMYFUNCTION("""COMPUTED_VALUE"""),"2015-06-24-D11-PI-5")</f>
        <v>2015-06-24-D11-PI-5</v>
      </c>
    </row>
    <row r="5861">
      <c r="A5861" t="str">
        <f>IFERROR(__xludf.DUMMYFUNCTION("""COMPUTED_VALUE"""),"2015-06-24-D11-PI-6")</f>
        <v>2015-06-24-D11-PI-6</v>
      </c>
    </row>
    <row r="5862">
      <c r="A5862" t="str">
        <f>IFERROR(__xludf.DUMMYFUNCTION("""COMPUTED_VALUE"""),"2015-06-24-D11-PI-7")</f>
        <v>2015-06-24-D11-PI-7</v>
      </c>
    </row>
    <row r="5863">
      <c r="A5863" t="str">
        <f>IFERROR(__xludf.DUMMYFUNCTION("""COMPUTED_VALUE"""),"2015-06-24-D11-PI-8")</f>
        <v>2015-06-24-D11-PI-8</v>
      </c>
    </row>
    <row r="5864">
      <c r="A5864" t="str">
        <f>IFERROR(__xludf.DUMMYFUNCTION("""COMPUTED_VALUE"""),"2015-06-24-D11-PI-9")</f>
        <v>2015-06-24-D11-PI-9</v>
      </c>
    </row>
    <row r="5865">
      <c r="A5865" t="str">
        <f>IFERROR(__xludf.DUMMYFUNCTION("""COMPUTED_VALUE"""),"2015-06-24-D11-PI-10")</f>
        <v>2015-06-24-D11-PI-10</v>
      </c>
    </row>
    <row r="5866">
      <c r="A5866" t="str">
        <f>IFERROR(__xludf.DUMMYFUNCTION("""COMPUTED_VALUE"""),"2015-06-24-J06-PI-1")</f>
        <v>2015-06-24-J06-PI-1</v>
      </c>
    </row>
    <row r="5867">
      <c r="A5867" t="str">
        <f>IFERROR(__xludf.DUMMYFUNCTION("""COMPUTED_VALUE"""),"2015-06-24-J06-PI-2")</f>
        <v>2015-06-24-J06-PI-2</v>
      </c>
    </row>
    <row r="5868">
      <c r="A5868" t="str">
        <f>IFERROR(__xludf.DUMMYFUNCTION("""COMPUTED_VALUE"""),"2015-06-24-J06-PI-3")</f>
        <v>2015-06-24-J06-PI-3</v>
      </c>
    </row>
    <row r="5869">
      <c r="A5869" t="str">
        <f>IFERROR(__xludf.DUMMYFUNCTION("""COMPUTED_VALUE"""),"2015-06-24-J06-PI-4")</f>
        <v>2015-06-24-J06-PI-4</v>
      </c>
    </row>
    <row r="5870">
      <c r="A5870" t="str">
        <f>IFERROR(__xludf.DUMMYFUNCTION("""COMPUTED_VALUE"""),"2015-06-24-J06-PI-5")</f>
        <v>2015-06-24-J06-PI-5</v>
      </c>
    </row>
    <row r="5871">
      <c r="A5871" t="str">
        <f>IFERROR(__xludf.DUMMYFUNCTION("""COMPUTED_VALUE"""),"2015-06-24-J06-PI-6")</f>
        <v>2015-06-24-J06-PI-6</v>
      </c>
    </row>
    <row r="5872">
      <c r="A5872" t="str">
        <f>IFERROR(__xludf.DUMMYFUNCTION("""COMPUTED_VALUE"""),"2015-06-24-J06-PI-7")</f>
        <v>2015-06-24-J06-PI-7</v>
      </c>
    </row>
    <row r="5873">
      <c r="A5873" t="str">
        <f>IFERROR(__xludf.DUMMYFUNCTION("""COMPUTED_VALUE"""),"2015-06-24-J06-PI-8")</f>
        <v>2015-06-24-J06-PI-8</v>
      </c>
    </row>
    <row r="5874">
      <c r="A5874" t="str">
        <f>IFERROR(__xludf.DUMMYFUNCTION("""COMPUTED_VALUE"""),"2015-06-24-J06-PI-9")</f>
        <v>2015-06-24-J06-PI-9</v>
      </c>
    </row>
    <row r="5875">
      <c r="A5875" t="str">
        <f>IFERROR(__xludf.DUMMYFUNCTION("""COMPUTED_VALUE"""),"2015-06-24-J06-PI-10")</f>
        <v>2015-06-24-J06-PI-10</v>
      </c>
    </row>
    <row r="5876">
      <c r="A5876" t="str">
        <f>IFERROR(__xludf.DUMMYFUNCTION("""COMPUTED_VALUE"""),"2015-06-24-J07-PI-1")</f>
        <v>2015-06-24-J07-PI-1</v>
      </c>
    </row>
    <row r="5877">
      <c r="A5877" t="str">
        <f>IFERROR(__xludf.DUMMYFUNCTION("""COMPUTED_VALUE"""),"2015-06-24-J07-PI-2")</f>
        <v>2015-06-24-J07-PI-2</v>
      </c>
    </row>
    <row r="5878">
      <c r="A5878" t="str">
        <f>IFERROR(__xludf.DUMMYFUNCTION("""COMPUTED_VALUE"""),"2015-06-24-J07-PI-3")</f>
        <v>2015-06-24-J07-PI-3</v>
      </c>
    </row>
    <row r="5879">
      <c r="A5879" t="str">
        <f>IFERROR(__xludf.DUMMYFUNCTION("""COMPUTED_VALUE"""),"2015-06-24-J07-PI-4")</f>
        <v>2015-06-24-J07-PI-4</v>
      </c>
    </row>
    <row r="5880">
      <c r="A5880" t="str">
        <f>IFERROR(__xludf.DUMMYFUNCTION("""COMPUTED_VALUE"""),"2015-06-24-J05-PI-1")</f>
        <v>2015-06-24-J05-PI-1</v>
      </c>
    </row>
    <row r="5881">
      <c r="A5881" t="str">
        <f>IFERROR(__xludf.DUMMYFUNCTION("""COMPUTED_VALUE"""),"2015-06-24-J05-PI-2")</f>
        <v>2015-06-24-J05-PI-2</v>
      </c>
    </row>
    <row r="5882">
      <c r="A5882" t="str">
        <f>IFERROR(__xludf.DUMMYFUNCTION("""COMPUTED_VALUE"""),"2015-06-24-J05-PI-3")</f>
        <v>2015-06-24-J05-PI-3</v>
      </c>
    </row>
    <row r="5883">
      <c r="A5883" t="str">
        <f>IFERROR(__xludf.DUMMYFUNCTION("""COMPUTED_VALUE"""),"2015-06-24-J05-PI-4")</f>
        <v>2015-06-24-J05-PI-4</v>
      </c>
    </row>
    <row r="5884">
      <c r="A5884" t="str">
        <f>IFERROR(__xludf.DUMMYFUNCTION("""COMPUTED_VALUE"""),"2015-06-24-J05-PI-5")</f>
        <v>2015-06-24-J05-PI-5</v>
      </c>
    </row>
    <row r="5885">
      <c r="A5885" t="str">
        <f>IFERROR(__xludf.DUMMYFUNCTION("""COMPUTED_VALUE"""),"2015-06-24-J05-PI-6")</f>
        <v>2015-06-24-J05-PI-6</v>
      </c>
    </row>
    <row r="5886">
      <c r="A5886" t="str">
        <f>IFERROR(__xludf.DUMMYFUNCTION("""COMPUTED_VALUE"""),"2015-06-24-J05-PI-7")</f>
        <v>2015-06-24-J05-PI-7</v>
      </c>
    </row>
    <row r="5887">
      <c r="A5887" t="str">
        <f>IFERROR(__xludf.DUMMYFUNCTION("""COMPUTED_VALUE"""),"2015-06-24-J05-PI-8")</f>
        <v>2015-06-24-J05-PI-8</v>
      </c>
    </row>
    <row r="5888">
      <c r="A5888" t="str">
        <f>IFERROR(__xludf.DUMMYFUNCTION("""COMPUTED_VALUE"""),"2015-06-24-J05-PI-9")</f>
        <v>2015-06-24-J05-PI-9</v>
      </c>
    </row>
    <row r="5889">
      <c r="A5889" t="str">
        <f>IFERROR(__xludf.DUMMYFUNCTION("""COMPUTED_VALUE"""),"2015-06-24-J05-PI-10")</f>
        <v>2015-06-24-J05-PI-10</v>
      </c>
    </row>
    <row r="5890">
      <c r="A5890" t="str">
        <f>IFERROR(__xludf.DUMMYFUNCTION("""COMPUTED_VALUE"""),"2015-06-24-J08-PI-1")</f>
        <v>2015-06-24-J08-PI-1</v>
      </c>
    </row>
    <row r="5891">
      <c r="A5891" t="str">
        <f>IFERROR(__xludf.DUMMYFUNCTION("""COMPUTED_VALUE"""),"2015-06-24-J08-PI-2")</f>
        <v>2015-06-24-J08-PI-2</v>
      </c>
    </row>
    <row r="5892">
      <c r="A5892" t="str">
        <f>IFERROR(__xludf.DUMMYFUNCTION("""COMPUTED_VALUE"""),"2015-06-24-J08-PI-3")</f>
        <v>2015-06-24-J08-PI-3</v>
      </c>
    </row>
    <row r="5893">
      <c r="A5893" t="str">
        <f>IFERROR(__xludf.DUMMYFUNCTION("""COMPUTED_VALUE"""),"2015-06-24-J08-PI-4")</f>
        <v>2015-06-24-J08-PI-4</v>
      </c>
    </row>
    <row r="5894">
      <c r="A5894" t="str">
        <f>IFERROR(__xludf.DUMMYFUNCTION("""COMPUTED_VALUE"""),"2015-06-24-J08-PI-5")</f>
        <v>2015-06-24-J08-PI-5</v>
      </c>
    </row>
    <row r="5895">
      <c r="A5895" t="str">
        <f>IFERROR(__xludf.DUMMYFUNCTION("""COMPUTED_VALUE"""),"2015-06-24-J08-PI-6")</f>
        <v>2015-06-24-J08-PI-6</v>
      </c>
    </row>
    <row r="5896">
      <c r="A5896" t="str">
        <f>IFERROR(__xludf.DUMMYFUNCTION("""COMPUTED_VALUE"""),"2015-06-24-J08-PI-7")</f>
        <v>2015-06-24-J08-PI-7</v>
      </c>
    </row>
    <row r="5897">
      <c r="A5897" t="str">
        <f>IFERROR(__xludf.DUMMYFUNCTION("""COMPUTED_VALUE"""),"2015-06-24-J08-PI-8")</f>
        <v>2015-06-24-J08-PI-8</v>
      </c>
    </row>
    <row r="5898">
      <c r="A5898" t="str">
        <f>IFERROR(__xludf.DUMMYFUNCTION("""COMPUTED_VALUE"""),"2015-06-24-J08-PI-9")</f>
        <v>2015-06-24-J08-PI-9</v>
      </c>
    </row>
    <row r="5899">
      <c r="A5899" t="str">
        <f>IFERROR(__xludf.DUMMYFUNCTION("""COMPUTED_VALUE"""),"2015-06-24-J08-PI-10")</f>
        <v>2015-06-24-J08-PI-10</v>
      </c>
    </row>
    <row r="5900">
      <c r="A5900" t="str">
        <f>IFERROR(__xludf.DUMMYFUNCTION("""COMPUTED_VALUE"""),"2015-06-24-D10-CU-1")</f>
        <v>2015-06-24-D10-CU-1</v>
      </c>
    </row>
    <row r="5901">
      <c r="A5901" t="str">
        <f>IFERROR(__xludf.DUMMYFUNCTION("""COMPUTED_VALUE"""),"2015-06-24-D10-CU-2")</f>
        <v>2015-06-24-D10-CU-2</v>
      </c>
    </row>
    <row r="5902">
      <c r="A5902" t="str">
        <f>IFERROR(__xludf.DUMMYFUNCTION("""COMPUTED_VALUE"""),"2015-06-24-D10-CU-3")</f>
        <v>2015-06-24-D10-CU-3</v>
      </c>
    </row>
    <row r="5903">
      <c r="A5903" t="str">
        <f>IFERROR(__xludf.DUMMYFUNCTION("""COMPUTED_VALUE"""),"2015-06-24-D10-CU-4")</f>
        <v>2015-06-24-D10-CU-4</v>
      </c>
    </row>
    <row r="5904">
      <c r="A5904" t="str">
        <f>IFERROR(__xludf.DUMMYFUNCTION("""COMPUTED_VALUE"""),"2015-06-24-D10-CU-5")</f>
        <v>2015-06-24-D10-CU-5</v>
      </c>
    </row>
    <row r="5905">
      <c r="A5905" t="str">
        <f>IFERROR(__xludf.DUMMYFUNCTION("""COMPUTED_VALUE"""),"2015-06-24-D10-CU-6")</f>
        <v>2015-06-24-D10-CU-6</v>
      </c>
    </row>
    <row r="5906">
      <c r="A5906" t="str">
        <f>IFERROR(__xludf.DUMMYFUNCTION("""COMPUTED_VALUE"""),"2015-06-24-D10-CU-7")</f>
        <v>2015-06-24-D10-CU-7</v>
      </c>
    </row>
    <row r="5907">
      <c r="A5907" t="str">
        <f>IFERROR(__xludf.DUMMYFUNCTION("""COMPUTED_VALUE"""),"2015-06-24-D10-CU-8")</f>
        <v>2015-06-24-D10-CU-8</v>
      </c>
    </row>
    <row r="5908">
      <c r="A5908" t="str">
        <f>IFERROR(__xludf.DUMMYFUNCTION("""COMPUTED_VALUE"""),"2015-06-24-D10-CU-9")</f>
        <v>2015-06-24-D10-CU-9</v>
      </c>
    </row>
    <row r="5909">
      <c r="A5909" t="str">
        <f>IFERROR(__xludf.DUMMYFUNCTION("""COMPUTED_VALUE"""),"2015-06-24-D10-CU-10")</f>
        <v>2015-06-24-D10-CU-10</v>
      </c>
    </row>
    <row r="5910">
      <c r="A5910" t="str">
        <f>IFERROR(__xludf.DUMMYFUNCTION("""COMPUTED_VALUE"""),"2015-06-24-D11-CU-1")</f>
        <v>2015-06-24-D11-CU-1</v>
      </c>
    </row>
    <row r="5911">
      <c r="A5911" t="str">
        <f>IFERROR(__xludf.DUMMYFUNCTION("""COMPUTED_VALUE"""),"2015-06-24-D11-CU-2")</f>
        <v>2015-06-24-D11-CU-2</v>
      </c>
    </row>
    <row r="5912">
      <c r="A5912" t="str">
        <f>IFERROR(__xludf.DUMMYFUNCTION("""COMPUTED_VALUE"""),"2015-06-24-D11-CU-3")</f>
        <v>2015-06-24-D11-CU-3</v>
      </c>
    </row>
    <row r="5913">
      <c r="A5913" t="str">
        <f>IFERROR(__xludf.DUMMYFUNCTION("""COMPUTED_VALUE"""),"2015-06-24-D11-CU-4")</f>
        <v>2015-06-24-D11-CU-4</v>
      </c>
    </row>
    <row r="5914">
      <c r="A5914" t="str">
        <f>IFERROR(__xludf.DUMMYFUNCTION("""COMPUTED_VALUE"""),"2015-06-24-D11-CU-5")</f>
        <v>2015-06-24-D11-CU-5</v>
      </c>
    </row>
    <row r="5915">
      <c r="A5915" t="str">
        <f>IFERROR(__xludf.DUMMYFUNCTION("""COMPUTED_VALUE"""),"2015-06-24-D11-CU-6")</f>
        <v>2015-06-24-D11-CU-6</v>
      </c>
    </row>
    <row r="5916">
      <c r="A5916" t="str">
        <f>IFERROR(__xludf.DUMMYFUNCTION("""COMPUTED_VALUE"""),"2015-06-24-D11-CU-7")</f>
        <v>2015-06-24-D11-CU-7</v>
      </c>
    </row>
    <row r="5917">
      <c r="A5917" t="str">
        <f>IFERROR(__xludf.DUMMYFUNCTION("""COMPUTED_VALUE"""),"2015-06-24-D11-CU-8")</f>
        <v>2015-06-24-D11-CU-8</v>
      </c>
    </row>
    <row r="5918">
      <c r="A5918" t="str">
        <f>IFERROR(__xludf.DUMMYFUNCTION("""COMPUTED_VALUE"""),"2015-06-24-D11-CU-9")</f>
        <v>2015-06-24-D11-CU-9</v>
      </c>
    </row>
    <row r="5919">
      <c r="A5919" t="str">
        <f>IFERROR(__xludf.DUMMYFUNCTION("""COMPUTED_VALUE"""),"2015-06-24-D11-CU-10")</f>
        <v>2015-06-24-D11-CU-10</v>
      </c>
    </row>
    <row r="5920">
      <c r="A5920" t="str">
        <f>IFERROR(__xludf.DUMMYFUNCTION("""COMPUTED_VALUE"""),"2015-06-24-D09-CU-1")</f>
        <v>2015-06-24-D09-CU-1</v>
      </c>
    </row>
    <row r="5921">
      <c r="A5921" t="str">
        <f>IFERROR(__xludf.DUMMYFUNCTION("""COMPUTED_VALUE"""),"2015-06-24-D09-CU-2")</f>
        <v>2015-06-24-D09-CU-2</v>
      </c>
    </row>
    <row r="5922">
      <c r="A5922" t="str">
        <f>IFERROR(__xludf.DUMMYFUNCTION("""COMPUTED_VALUE"""),"2015-06-24-D09-CU-3")</f>
        <v>2015-06-24-D09-CU-3</v>
      </c>
    </row>
    <row r="5923">
      <c r="A5923" t="str">
        <f>IFERROR(__xludf.DUMMYFUNCTION("""COMPUTED_VALUE"""),"2015-06-24-D09-CU-4")</f>
        <v>2015-06-24-D09-CU-4</v>
      </c>
    </row>
    <row r="5924">
      <c r="A5924" t="str">
        <f>IFERROR(__xludf.DUMMYFUNCTION("""COMPUTED_VALUE"""),"2015-06-24-D09-CU-5")</f>
        <v>2015-06-24-D09-CU-5</v>
      </c>
    </row>
    <row r="5925">
      <c r="A5925" t="str">
        <f>IFERROR(__xludf.DUMMYFUNCTION("""COMPUTED_VALUE"""),"2015-06-24-J06-CU-1")</f>
        <v>2015-06-24-J06-CU-1</v>
      </c>
    </row>
    <row r="5926">
      <c r="A5926" t="str">
        <f>IFERROR(__xludf.DUMMYFUNCTION("""COMPUTED_VALUE"""),"2015-06-24-J06-CU-2")</f>
        <v>2015-06-24-J06-CU-2</v>
      </c>
    </row>
    <row r="5927">
      <c r="A5927" t="str">
        <f>IFERROR(__xludf.DUMMYFUNCTION("""COMPUTED_VALUE"""),"2015-06-24-J06-CU-3")</f>
        <v>2015-06-24-J06-CU-3</v>
      </c>
    </row>
    <row r="5928">
      <c r="A5928" t="str">
        <f>IFERROR(__xludf.DUMMYFUNCTION("""COMPUTED_VALUE"""),"2015-06-24-J06-CU-4")</f>
        <v>2015-06-24-J06-CU-4</v>
      </c>
    </row>
    <row r="5929">
      <c r="A5929" t="str">
        <f>IFERROR(__xludf.DUMMYFUNCTION("""COMPUTED_VALUE"""),"2015-06-24-J06-CU-5")</f>
        <v>2015-06-24-J06-CU-5</v>
      </c>
    </row>
    <row r="5930">
      <c r="A5930" t="str">
        <f>IFERROR(__xludf.DUMMYFUNCTION("""COMPUTED_VALUE"""),"2015-06-24-J06-CU-6")</f>
        <v>2015-06-24-J06-CU-6</v>
      </c>
    </row>
    <row r="5931">
      <c r="A5931" t="str">
        <f>IFERROR(__xludf.DUMMYFUNCTION("""COMPUTED_VALUE"""),"2015-06-24-J06-CU-7")</f>
        <v>2015-06-24-J06-CU-7</v>
      </c>
    </row>
    <row r="5932">
      <c r="A5932" t="str">
        <f>IFERROR(__xludf.DUMMYFUNCTION("""COMPUTED_VALUE"""),"2015-06-24-J06-CU-8")</f>
        <v>2015-06-24-J06-CU-8</v>
      </c>
    </row>
    <row r="5933">
      <c r="A5933" t="str">
        <f>IFERROR(__xludf.DUMMYFUNCTION("""COMPUTED_VALUE"""),"2015-06-24-J06-CU-9")</f>
        <v>2015-06-24-J06-CU-9</v>
      </c>
    </row>
    <row r="5934">
      <c r="A5934" t="str">
        <f>IFERROR(__xludf.DUMMYFUNCTION("""COMPUTED_VALUE"""),"2015-06-24-J06-CU-10")</f>
        <v>2015-06-24-J06-CU-10</v>
      </c>
    </row>
    <row r="5935">
      <c r="A5935" t="str">
        <f>IFERROR(__xludf.DUMMYFUNCTION("""COMPUTED_VALUE"""),"2015-06-24-J07-CU-1")</f>
        <v>2015-06-24-J07-CU-1</v>
      </c>
    </row>
    <row r="5936">
      <c r="A5936" t="str">
        <f>IFERROR(__xludf.DUMMYFUNCTION("""COMPUTED_VALUE"""),"2015-06-24-J07-CU-2")</f>
        <v>2015-06-24-J07-CU-2</v>
      </c>
    </row>
    <row r="5937">
      <c r="A5937" t="str">
        <f>IFERROR(__xludf.DUMMYFUNCTION("""COMPUTED_VALUE"""),"2015-06-24-J07-CU-3")</f>
        <v>2015-06-24-J07-CU-3</v>
      </c>
    </row>
    <row r="5938">
      <c r="A5938" t="str">
        <f>IFERROR(__xludf.DUMMYFUNCTION("""COMPUTED_VALUE"""),"2015-06-24-J07-CU-4")</f>
        <v>2015-06-24-J07-CU-4</v>
      </c>
    </row>
    <row r="5939">
      <c r="A5939" t="str">
        <f>IFERROR(__xludf.DUMMYFUNCTION("""COMPUTED_VALUE"""),"2015-06-24-J07-CU-5")</f>
        <v>2015-06-24-J07-CU-5</v>
      </c>
    </row>
    <row r="5940">
      <c r="A5940" t="str">
        <f>IFERROR(__xludf.DUMMYFUNCTION("""COMPUTED_VALUE"""),"2015-06-24-J07-CU-6")</f>
        <v>2015-06-24-J07-CU-6</v>
      </c>
    </row>
    <row r="5941">
      <c r="A5941" t="str">
        <f>IFERROR(__xludf.DUMMYFUNCTION("""COMPUTED_VALUE"""),"2015-06-24-J07-CU-7")</f>
        <v>2015-06-24-J07-CU-7</v>
      </c>
    </row>
    <row r="5942">
      <c r="A5942" t="str">
        <f>IFERROR(__xludf.DUMMYFUNCTION("""COMPUTED_VALUE"""),"2015-06-24-J07-CU-8")</f>
        <v>2015-06-24-J07-CU-8</v>
      </c>
    </row>
    <row r="5943">
      <c r="A5943" t="str">
        <f>IFERROR(__xludf.DUMMYFUNCTION("""COMPUTED_VALUE"""),"2015-06-24-J07-CU-9")</f>
        <v>2015-06-24-J07-CU-9</v>
      </c>
    </row>
    <row r="5944">
      <c r="A5944" t="str">
        <f>IFERROR(__xludf.DUMMYFUNCTION("""COMPUTED_VALUE"""),"2015-06-24-J07-CU-10")</f>
        <v>2015-06-24-J07-CU-10</v>
      </c>
    </row>
    <row r="5945">
      <c r="A5945" t="str">
        <f>IFERROR(__xludf.DUMMYFUNCTION("""COMPUTED_VALUE"""),"2015-06-24-J05-CU-1")</f>
        <v>2015-06-24-J05-CU-1</v>
      </c>
    </row>
    <row r="5946">
      <c r="A5946" t="str">
        <f>IFERROR(__xludf.DUMMYFUNCTION("""COMPUTED_VALUE"""),"2015-06-24-J05-CU-2")</f>
        <v>2015-06-24-J05-CU-2</v>
      </c>
    </row>
    <row r="5947">
      <c r="A5947" t="str">
        <f>IFERROR(__xludf.DUMMYFUNCTION("""COMPUTED_VALUE"""),"2015-06-24-J05-CU-3")</f>
        <v>2015-06-24-J05-CU-3</v>
      </c>
    </row>
    <row r="5948">
      <c r="A5948" t="str">
        <f>IFERROR(__xludf.DUMMYFUNCTION("""COMPUTED_VALUE"""),"2015-06-24-J05-CU-4")</f>
        <v>2015-06-24-J05-CU-4</v>
      </c>
    </row>
    <row r="5949">
      <c r="A5949" t="str">
        <f>IFERROR(__xludf.DUMMYFUNCTION("""COMPUTED_VALUE"""),"2015-06-24-J05-CU-5")</f>
        <v>2015-06-24-J05-CU-5</v>
      </c>
    </row>
    <row r="5950">
      <c r="A5950" t="str">
        <f>IFERROR(__xludf.DUMMYFUNCTION("""COMPUTED_VALUE"""),"2015-06-24-J05-CU-6")</f>
        <v>2015-06-24-J05-CU-6</v>
      </c>
    </row>
    <row r="5951">
      <c r="A5951" t="str">
        <f>IFERROR(__xludf.DUMMYFUNCTION("""COMPUTED_VALUE"""),"2015-06-24-J05-CU-7")</f>
        <v>2015-06-24-J05-CU-7</v>
      </c>
    </row>
    <row r="5952">
      <c r="A5952" t="str">
        <f>IFERROR(__xludf.DUMMYFUNCTION("""COMPUTED_VALUE"""),"2015-06-24-J05-CU-8")</f>
        <v>2015-06-24-J05-CU-8</v>
      </c>
    </row>
    <row r="5953">
      <c r="A5953" t="str">
        <f>IFERROR(__xludf.DUMMYFUNCTION("""COMPUTED_VALUE"""),"2015-06-24-J05-CU-9")</f>
        <v>2015-06-24-J05-CU-9</v>
      </c>
    </row>
    <row r="5954">
      <c r="A5954" t="str">
        <f>IFERROR(__xludf.DUMMYFUNCTION("""COMPUTED_VALUE"""),"2015-06-24-J05-CU-10")</f>
        <v>2015-06-24-J05-CU-10</v>
      </c>
    </row>
    <row r="5955">
      <c r="A5955" t="str">
        <f>IFERROR(__xludf.DUMMYFUNCTION("""COMPUTED_VALUE"""),"2015-06-24-J08-CU-1")</f>
        <v>2015-06-24-J08-CU-1</v>
      </c>
    </row>
    <row r="5956">
      <c r="A5956" t="str">
        <f>IFERROR(__xludf.DUMMYFUNCTION("""COMPUTED_VALUE"""),"2015-06-24-J08-CU-2")</f>
        <v>2015-06-24-J08-CU-2</v>
      </c>
    </row>
    <row r="5957">
      <c r="A5957" t="str">
        <f>IFERROR(__xludf.DUMMYFUNCTION("""COMPUTED_VALUE"""),"2015-06-24-J08-CU-3")</f>
        <v>2015-06-24-J08-CU-3</v>
      </c>
    </row>
    <row r="5958">
      <c r="A5958" t="str">
        <f>IFERROR(__xludf.DUMMYFUNCTION("""COMPUTED_VALUE"""),"2015-06-24-J08-CU-4")</f>
        <v>2015-06-24-J08-CU-4</v>
      </c>
    </row>
    <row r="5959">
      <c r="A5959" t="str">
        <f>IFERROR(__xludf.DUMMYFUNCTION("""COMPUTED_VALUE"""),"2015-06-24-J08-CU-5")</f>
        <v>2015-06-24-J08-CU-5</v>
      </c>
    </row>
    <row r="5960">
      <c r="A5960" t="str">
        <f>IFERROR(__xludf.DUMMYFUNCTION("""COMPUTED_VALUE"""),"2015-06-24-J08-CU-6")</f>
        <v>2015-06-24-J08-CU-6</v>
      </c>
    </row>
    <row r="5961">
      <c r="A5961" t="str">
        <f>IFERROR(__xludf.DUMMYFUNCTION("""COMPUTED_VALUE"""),"2015-06-24-J08-CU-7")</f>
        <v>2015-06-24-J08-CU-7</v>
      </c>
    </row>
    <row r="5962">
      <c r="A5962" t="str">
        <f>IFERROR(__xludf.DUMMYFUNCTION("""COMPUTED_VALUE"""),"2015-06-24-J08-CU-8")</f>
        <v>2015-06-24-J08-CU-8</v>
      </c>
    </row>
    <row r="5963">
      <c r="A5963" t="str">
        <f>IFERROR(__xludf.DUMMYFUNCTION("""COMPUTED_VALUE"""),"2015-06-24-J08-CU-9")</f>
        <v>2015-06-24-J08-CU-9</v>
      </c>
    </row>
    <row r="5964">
      <c r="A5964" t="str">
        <f>IFERROR(__xludf.DUMMYFUNCTION("""COMPUTED_VALUE"""),"2015-06-24-J08-CU-10")</f>
        <v>2015-06-24-J08-CU-10</v>
      </c>
    </row>
    <row r="5965">
      <c r="A5965" t="str">
        <f>IFERROR(__xludf.DUMMYFUNCTION("""COMPUTED_VALUE"""),"2015-06-24-D10-CO-1")</f>
        <v>2015-06-24-D10-CO-1</v>
      </c>
    </row>
    <row r="5966">
      <c r="A5966" t="str">
        <f>IFERROR(__xludf.DUMMYFUNCTION("""COMPUTED_VALUE"""),"2015-06-24-D09-CO-1")</f>
        <v>2015-06-24-D09-CO-1</v>
      </c>
    </row>
    <row r="5967">
      <c r="A5967" t="str">
        <f>IFERROR(__xludf.DUMMYFUNCTION("""COMPUTED_VALUE"""),"2015-06-24-J06-CO-1")</f>
        <v>2015-06-24-J06-CO-1</v>
      </c>
    </row>
    <row r="5968">
      <c r="A5968" t="str">
        <f>IFERROR(__xludf.DUMMYFUNCTION("""COMPUTED_VALUE"""),"2015-06-24-D10-HE-1")</f>
        <v>2015-06-24-D10-HE-1</v>
      </c>
    </row>
    <row r="5969">
      <c r="A5969" t="str">
        <f>IFERROR(__xludf.DUMMYFUNCTION("""COMPUTED_VALUE"""),"2015-06-24-J06-HE-1")</f>
        <v>2015-06-24-J06-HE-1</v>
      </c>
    </row>
    <row r="5970">
      <c r="A5970" t="str">
        <f>IFERROR(__xludf.DUMMYFUNCTION("""COMPUTED_VALUE"""),"2015-06-24-J06-HE-2")</f>
        <v>2015-06-24-J06-HE-2</v>
      </c>
    </row>
    <row r="5971">
      <c r="A5971" t="str">
        <f>IFERROR(__xludf.DUMMYFUNCTION("""COMPUTED_VALUE"""),"2015-06-24-J06-HE-3")</f>
        <v>2015-06-24-J06-HE-3</v>
      </c>
    </row>
    <row r="5972">
      <c r="A5972" t="str">
        <f>IFERROR(__xludf.DUMMYFUNCTION("""COMPUTED_VALUE"""),"2015-06-24-J06-HE-4")</f>
        <v>2015-06-24-J06-HE-4</v>
      </c>
    </row>
    <row r="5973">
      <c r="A5973" t="str">
        <f>IFERROR(__xludf.DUMMYFUNCTION("""COMPUTED_VALUE"""),"2015-06-24-J06-HE-5")</f>
        <v>2015-06-24-J06-HE-5</v>
      </c>
    </row>
    <row r="5974">
      <c r="A5974" t="str">
        <f>IFERROR(__xludf.DUMMYFUNCTION("""COMPUTED_VALUE"""),"2015-06-24-J06-HE-6")</f>
        <v>2015-06-24-J06-HE-6</v>
      </c>
    </row>
    <row r="5975">
      <c r="A5975" t="str">
        <f>IFERROR(__xludf.DUMMYFUNCTION("""COMPUTED_VALUE"""),"2015-06-24-J06-HE-7")</f>
        <v>2015-06-24-J06-HE-7</v>
      </c>
    </row>
    <row r="5976">
      <c r="A5976" t="str">
        <f>IFERROR(__xludf.DUMMYFUNCTION("""COMPUTED_VALUE"""),"2015-06-24-J06-HE-8")</f>
        <v>2015-06-24-J06-HE-8</v>
      </c>
    </row>
    <row r="5977">
      <c r="A5977" t="str">
        <f>IFERROR(__xludf.DUMMYFUNCTION("""COMPUTED_VALUE"""),"2015-06-24-J06-HE-9")</f>
        <v>2015-06-24-J06-HE-9</v>
      </c>
    </row>
    <row r="5978">
      <c r="A5978" t="str">
        <f>IFERROR(__xludf.DUMMYFUNCTION("""COMPUTED_VALUE"""),"2015-06-24-J06-HE-10")</f>
        <v>2015-06-24-J06-HE-10</v>
      </c>
    </row>
    <row r="5979">
      <c r="A5979" t="str">
        <f>IFERROR(__xludf.DUMMYFUNCTION("""COMPUTED_VALUE"""),"2015-06-24-J05-HE-1")</f>
        <v>2015-06-24-J05-HE-1</v>
      </c>
    </row>
    <row r="5980">
      <c r="A5980" t="str">
        <f>IFERROR(__xludf.DUMMYFUNCTION("""COMPUTED_VALUE"""),"2015-06-24-J08-HE-1")</f>
        <v>2015-06-24-J08-HE-1</v>
      </c>
    </row>
    <row r="5981">
      <c r="A5981" t="str">
        <f>IFERROR(__xludf.DUMMYFUNCTION("""COMPUTED_VALUE"""),"2015-06-24-J08-HE-2")</f>
        <v>2015-06-24-J08-HE-2</v>
      </c>
    </row>
    <row r="5982">
      <c r="A5982" t="str">
        <f>IFERROR(__xludf.DUMMYFUNCTION("""COMPUTED_VALUE"""),"2015-06-24-J08-HE-3")</f>
        <v>2015-06-24-J08-HE-3</v>
      </c>
    </row>
    <row r="5983">
      <c r="A5983" t="str">
        <f>IFERROR(__xludf.DUMMYFUNCTION("""COMPUTED_VALUE"""),"2015-06-24-J08-HE-4")</f>
        <v>2015-06-24-J08-HE-4</v>
      </c>
    </row>
    <row r="5984">
      <c r="A5984" t="str">
        <f>IFERROR(__xludf.DUMMYFUNCTION("""COMPUTED_VALUE"""),"2015-06-24-J08-HE-5")</f>
        <v>2015-06-24-J08-HE-5</v>
      </c>
    </row>
    <row r="5985">
      <c r="A5985" t="str">
        <f>IFERROR(__xludf.DUMMYFUNCTION("""COMPUTED_VALUE"""),"2015-06-24-J08-HE-6")</f>
        <v>2015-06-24-J08-HE-6</v>
      </c>
    </row>
    <row r="5986">
      <c r="A5986" t="str">
        <f>IFERROR(__xludf.DUMMYFUNCTION("""COMPUTED_VALUE"""),"2015-06-24-J08-HE-7")</f>
        <v>2015-06-24-J08-HE-7</v>
      </c>
    </row>
    <row r="5987">
      <c r="A5987" t="str">
        <f>IFERROR(__xludf.DUMMYFUNCTION("""COMPUTED_VALUE"""),"2015-06-24-J08-HE-8")</f>
        <v>2015-06-24-J08-HE-8</v>
      </c>
    </row>
    <row r="5988">
      <c r="A5988" t="str">
        <f>IFERROR(__xludf.DUMMYFUNCTION("""COMPUTED_VALUE"""),"2015-06-24-J08-HE-9")</f>
        <v>2015-06-24-J08-HE-9</v>
      </c>
    </row>
    <row r="5989">
      <c r="A5989" t="str">
        <f>IFERROR(__xludf.DUMMYFUNCTION("""COMPUTED_VALUE"""),"2015-06-24-J08-HE-10")</f>
        <v>2015-06-24-J08-HE-10</v>
      </c>
    </row>
    <row r="5990">
      <c r="A5990" t="str">
        <f>IFERROR(__xludf.DUMMYFUNCTION("""COMPUTED_VALUE"""),"2015-06-27-D09-SO-1")</f>
        <v>2015-06-27-D09-SO-1</v>
      </c>
    </row>
    <row r="5991">
      <c r="A5991" t="str">
        <f>IFERROR(__xludf.DUMMYFUNCTION("""COMPUTED_VALUE"""),"2015-06-27-D09-SO-2")</f>
        <v>2015-06-27-D09-SO-2</v>
      </c>
    </row>
    <row r="5992">
      <c r="A5992" t="str">
        <f>IFERROR(__xludf.DUMMYFUNCTION("""COMPUTED_VALUE"""),"2015-06-27-D09-SO-3")</f>
        <v>2015-06-27-D09-SO-3</v>
      </c>
    </row>
    <row r="5993">
      <c r="A5993" t="str">
        <f>IFERROR(__xludf.DUMMYFUNCTION("""COMPUTED_VALUE"""),"2015-06-27-D09-SO-4")</f>
        <v>2015-06-27-D09-SO-4</v>
      </c>
    </row>
    <row r="5994">
      <c r="A5994" t="str">
        <f>IFERROR(__xludf.DUMMYFUNCTION("""COMPUTED_VALUE"""),"2015-06-27-D09-SO-5")</f>
        <v>2015-06-27-D09-SO-5</v>
      </c>
    </row>
    <row r="5995">
      <c r="A5995" t="str">
        <f>IFERROR(__xludf.DUMMYFUNCTION("""COMPUTED_VALUE"""),"2015-06-27-D09-SO-6")</f>
        <v>2015-06-27-D09-SO-6</v>
      </c>
    </row>
    <row r="5996">
      <c r="A5996" t="str">
        <f>IFERROR(__xludf.DUMMYFUNCTION("""COMPUTED_VALUE"""),"2015-06-27-D09-SO-7")</f>
        <v>2015-06-27-D09-SO-7</v>
      </c>
    </row>
    <row r="5997">
      <c r="A5997" t="str">
        <f>IFERROR(__xludf.DUMMYFUNCTION("""COMPUTED_VALUE"""),"2015-06-27-D09-SO-8")</f>
        <v>2015-06-27-D09-SO-8</v>
      </c>
    </row>
    <row r="5998">
      <c r="A5998" t="str">
        <f>IFERROR(__xludf.DUMMYFUNCTION("""COMPUTED_VALUE"""),"2015-06-27-D09-SO-9")</f>
        <v>2015-06-27-D09-SO-9</v>
      </c>
    </row>
    <row r="5999">
      <c r="A5999" t="str">
        <f>IFERROR(__xludf.DUMMYFUNCTION("""COMPUTED_VALUE"""),"2015-06-27-D09-SO-10")</f>
        <v>2015-06-27-D09-SO-10</v>
      </c>
    </row>
    <row r="6000">
      <c r="A6000" t="str">
        <f>IFERROR(__xludf.DUMMYFUNCTION("""COMPUTED_VALUE"""),"2015-06-27-D09-SO-11")</f>
        <v>2015-06-27-D09-SO-11</v>
      </c>
    </row>
    <row r="6001">
      <c r="A6001" t="str">
        <f>IFERROR(__xludf.DUMMYFUNCTION("""COMPUTED_VALUE"""),"2015-06-27-D09-SO-12")</f>
        <v>2015-06-27-D09-SO-12</v>
      </c>
    </row>
    <row r="6002">
      <c r="A6002" t="str">
        <f>IFERROR(__xludf.DUMMYFUNCTION("""COMPUTED_VALUE"""),"2015-06-27-D09-SO-13")</f>
        <v>2015-06-27-D09-SO-13</v>
      </c>
    </row>
    <row r="6003">
      <c r="A6003" t="str">
        <f>IFERROR(__xludf.DUMMYFUNCTION("""COMPUTED_VALUE"""),"2015-06-27-D09-SO-14")</f>
        <v>2015-06-27-D09-SO-14</v>
      </c>
    </row>
    <row r="6004">
      <c r="A6004" t="str">
        <f>IFERROR(__xludf.DUMMYFUNCTION("""COMPUTED_VALUE"""),"2015-06-27-D09-SO-15")</f>
        <v>2015-06-27-D09-SO-15</v>
      </c>
    </row>
    <row r="6005">
      <c r="A6005" t="str">
        <f>IFERROR(__xludf.DUMMYFUNCTION("""COMPUTED_VALUE"""),"2015-06-27-D09-SO-16")</f>
        <v>2015-06-27-D09-SO-16</v>
      </c>
    </row>
    <row r="6006">
      <c r="A6006" t="str">
        <f>IFERROR(__xludf.DUMMYFUNCTION("""COMPUTED_VALUE"""),"2015-06-27-D09-SO-17")</f>
        <v>2015-06-27-D09-SO-17</v>
      </c>
    </row>
    <row r="6007">
      <c r="A6007" t="str">
        <f>IFERROR(__xludf.DUMMYFUNCTION("""COMPUTED_VALUE"""),"2015-06-27-D09-SO-18")</f>
        <v>2015-06-27-D09-SO-18</v>
      </c>
    </row>
    <row r="6008">
      <c r="A6008" t="str">
        <f>IFERROR(__xludf.DUMMYFUNCTION("""COMPUTED_VALUE"""),"2015-06-27-D09-SO-19")</f>
        <v>2015-06-27-D09-SO-19</v>
      </c>
    </row>
    <row r="6009">
      <c r="A6009" t="str">
        <f>IFERROR(__xludf.DUMMYFUNCTION("""COMPUTED_VALUE"""),"2015-06-27-J10-SO-1")</f>
        <v>2015-06-27-J10-SO-1</v>
      </c>
    </row>
    <row r="6010">
      <c r="A6010" t="str">
        <f>IFERROR(__xludf.DUMMYFUNCTION("""COMPUTED_VALUE"""),"2015-06-27-J10-SO-2")</f>
        <v>2015-06-27-J10-SO-2</v>
      </c>
    </row>
    <row r="6011">
      <c r="A6011" t="str">
        <f>IFERROR(__xludf.DUMMYFUNCTION("""COMPUTED_VALUE"""),"2015-06-27-J10-SO-3")</f>
        <v>2015-06-27-J10-SO-3</v>
      </c>
    </row>
    <row r="6012">
      <c r="A6012" t="str">
        <f>IFERROR(__xludf.DUMMYFUNCTION("""COMPUTED_VALUE"""),"2015-06-27-J10-SO-4")</f>
        <v>2015-06-27-J10-SO-4</v>
      </c>
    </row>
    <row r="6013">
      <c r="A6013" t="str">
        <f>IFERROR(__xludf.DUMMYFUNCTION("""COMPUTED_VALUE"""),"2015-06-27-J10-SO-5")</f>
        <v>2015-06-27-J10-SO-5</v>
      </c>
    </row>
    <row r="6014">
      <c r="A6014" t="str">
        <f>IFERROR(__xludf.DUMMYFUNCTION("""COMPUTED_VALUE"""),"2015-06-27-J10-SO-6")</f>
        <v>2015-06-27-J10-SO-6</v>
      </c>
    </row>
    <row r="6015">
      <c r="A6015" t="str">
        <f>IFERROR(__xludf.DUMMYFUNCTION("""COMPUTED_VALUE"""),"2015-06-27-J10-SO-7")</f>
        <v>2015-06-27-J10-SO-7</v>
      </c>
    </row>
    <row r="6016">
      <c r="A6016" t="str">
        <f>IFERROR(__xludf.DUMMYFUNCTION("""COMPUTED_VALUE"""),"2015-06-27-J10-SO-8")</f>
        <v>2015-06-27-J10-SO-8</v>
      </c>
    </row>
    <row r="6017">
      <c r="A6017" t="str">
        <f>IFERROR(__xludf.DUMMYFUNCTION("""COMPUTED_VALUE"""),"2015-06-27-J10-SO-9")</f>
        <v>2015-06-27-J10-SO-9</v>
      </c>
    </row>
    <row r="6018">
      <c r="A6018" t="str">
        <f>IFERROR(__xludf.DUMMYFUNCTION("""COMPUTED_VALUE"""),"2015-06-27-J10-SO-10")</f>
        <v>2015-06-27-J10-SO-10</v>
      </c>
    </row>
    <row r="6019">
      <c r="A6019" t="str">
        <f>IFERROR(__xludf.DUMMYFUNCTION("""COMPUTED_VALUE"""),"2015-06-27-J01-SO-1")</f>
        <v>2015-06-27-J01-SO-1</v>
      </c>
    </row>
    <row r="6020">
      <c r="A6020" t="str">
        <f>IFERROR(__xludf.DUMMYFUNCTION("""COMPUTED_VALUE"""),"2015-06-27-J01-SO-2")</f>
        <v>2015-06-27-J01-SO-2</v>
      </c>
    </row>
    <row r="6021">
      <c r="A6021" t="str">
        <f>IFERROR(__xludf.DUMMYFUNCTION("""COMPUTED_VALUE"""),"2015-06-27-J01-SO-3")</f>
        <v>2015-06-27-J01-SO-3</v>
      </c>
    </row>
    <row r="6022">
      <c r="A6022" t="str">
        <f>IFERROR(__xludf.DUMMYFUNCTION("""COMPUTED_VALUE"""),"2015-06-27-J01-SO-4")</f>
        <v>2015-06-27-J01-SO-4</v>
      </c>
    </row>
    <row r="6023">
      <c r="A6023" t="str">
        <f>IFERROR(__xludf.DUMMYFUNCTION("""COMPUTED_VALUE"""),"2015-06-27-J01-SO-5")</f>
        <v>2015-06-27-J01-SO-5</v>
      </c>
    </row>
    <row r="6024">
      <c r="A6024" t="str">
        <f>IFERROR(__xludf.DUMMYFUNCTION("""COMPUTED_VALUE"""),"2015-06-27-J01-SO-6")</f>
        <v>2015-06-27-J01-SO-6</v>
      </c>
    </row>
    <row r="6025">
      <c r="A6025" t="str">
        <f>IFERROR(__xludf.DUMMYFUNCTION("""COMPUTED_VALUE"""),"2015-06-27-J01-SO-7")</f>
        <v>2015-06-27-J01-SO-7</v>
      </c>
    </row>
    <row r="6026">
      <c r="A6026" t="str">
        <f>IFERROR(__xludf.DUMMYFUNCTION("""COMPUTED_VALUE"""),"2015-06-27-J01-SO-8")</f>
        <v>2015-06-27-J01-SO-8</v>
      </c>
    </row>
    <row r="6027">
      <c r="A6027" t="str">
        <f>IFERROR(__xludf.DUMMYFUNCTION("""COMPUTED_VALUE"""),"2015-06-27-J01-SO-9")</f>
        <v>2015-06-27-J01-SO-9</v>
      </c>
    </row>
    <row r="6028">
      <c r="A6028" t="str">
        <f>IFERROR(__xludf.DUMMYFUNCTION("""COMPUTED_VALUE"""),"2015-06-27-J01-SO-10")</f>
        <v>2015-06-27-J01-SO-10</v>
      </c>
    </row>
    <row r="6029">
      <c r="A6029" t="str">
        <f>IFERROR(__xludf.DUMMYFUNCTION("""COMPUTED_VALUE"""),"2015-06-27-J09-SO-1")</f>
        <v>2015-06-27-J09-SO-1</v>
      </c>
    </row>
    <row r="6030">
      <c r="A6030" t="str">
        <f>IFERROR(__xludf.DUMMYFUNCTION("""COMPUTED_VALUE"""),"2015-06-27-J09-SO-2")</f>
        <v>2015-06-27-J09-SO-2</v>
      </c>
    </row>
    <row r="6031">
      <c r="A6031" t="str">
        <f>IFERROR(__xludf.DUMMYFUNCTION("""COMPUTED_VALUE"""),"2015-06-27-J09-SO-3")</f>
        <v>2015-06-27-J09-SO-3</v>
      </c>
    </row>
    <row r="6032">
      <c r="A6032" t="str">
        <f>IFERROR(__xludf.DUMMYFUNCTION("""COMPUTED_VALUE"""),"2015-06-27-J09-SO-4")</f>
        <v>2015-06-27-J09-SO-4</v>
      </c>
    </row>
    <row r="6033">
      <c r="A6033" t="str">
        <f>IFERROR(__xludf.DUMMYFUNCTION("""COMPUTED_VALUE"""),"2015-06-27-J09-SO-5")</f>
        <v>2015-06-27-J09-SO-5</v>
      </c>
    </row>
    <row r="6034">
      <c r="A6034" t="str">
        <f>IFERROR(__xludf.DUMMYFUNCTION("""COMPUTED_VALUE"""),"2015-06-27-J09-SO-6")</f>
        <v>2015-06-27-J09-SO-6</v>
      </c>
    </row>
    <row r="6035">
      <c r="A6035" t="str">
        <f>IFERROR(__xludf.DUMMYFUNCTION("""COMPUTED_VALUE"""),"2015-06-27-J09-SO-7")</f>
        <v>2015-06-27-J09-SO-7</v>
      </c>
    </row>
    <row r="6036">
      <c r="A6036" t="str">
        <f>IFERROR(__xludf.DUMMYFUNCTION("""COMPUTED_VALUE"""),"2015-06-27-J09-SO-8")</f>
        <v>2015-06-27-J09-SO-8</v>
      </c>
    </row>
    <row r="6037">
      <c r="A6037" t="str">
        <f>IFERROR(__xludf.DUMMYFUNCTION("""COMPUTED_VALUE"""),"2015-06-27-J09-SO-9")</f>
        <v>2015-06-27-J09-SO-9</v>
      </c>
    </row>
    <row r="6038">
      <c r="A6038" t="str">
        <f>IFERROR(__xludf.DUMMYFUNCTION("""COMPUTED_VALUE"""),"2015-06-27-J09-SO-10")</f>
        <v>2015-06-27-J09-SO-10</v>
      </c>
    </row>
    <row r="6039">
      <c r="A6039" t="str">
        <f>IFERROR(__xludf.DUMMYFUNCTION("""COMPUTED_VALUE"""),"2015-06-27-J09-SO-11")</f>
        <v>2015-06-27-J09-SO-11</v>
      </c>
    </row>
    <row r="6040">
      <c r="A6040" t="str">
        <f>IFERROR(__xludf.DUMMYFUNCTION("""COMPUTED_VALUE"""),"2015-06-27-J09-SO-12")</f>
        <v>2015-06-27-J09-SO-12</v>
      </c>
    </row>
    <row r="6041">
      <c r="A6041" t="str">
        <f>IFERROR(__xludf.DUMMYFUNCTION("""COMPUTED_VALUE"""),"2015-06-27-J09-SO-13")</f>
        <v>2015-06-27-J09-SO-13</v>
      </c>
    </row>
    <row r="6042">
      <c r="A6042" t="str">
        <f>IFERROR(__xludf.DUMMYFUNCTION("""COMPUTED_VALUE"""),"2015-06-27-J09-SO-14")</f>
        <v>2015-06-27-J09-SO-14</v>
      </c>
    </row>
    <row r="6043">
      <c r="A6043" t="str">
        <f>IFERROR(__xludf.DUMMYFUNCTION("""COMPUTED_VALUE"""),"2015-06-27-J09-SO-15")</f>
        <v>2015-06-27-J09-SO-15</v>
      </c>
    </row>
    <row r="6044">
      <c r="A6044" t="str">
        <f>IFERROR(__xludf.DUMMYFUNCTION("""COMPUTED_VALUE"""),"2015-06-27-J09-SO-16")</f>
        <v>2015-06-27-J09-SO-16</v>
      </c>
    </row>
    <row r="6045">
      <c r="A6045" t="str">
        <f>IFERROR(__xludf.DUMMYFUNCTION("""COMPUTED_VALUE"""),"2015-06-27-J09-SO-17")</f>
        <v>2015-06-27-J09-SO-17</v>
      </c>
    </row>
    <row r="6046">
      <c r="A6046" t="str">
        <f>IFERROR(__xludf.DUMMYFUNCTION("""COMPUTED_VALUE"""),"2015-06-27-J09-SO-18")</f>
        <v>2015-06-27-J09-SO-18</v>
      </c>
    </row>
    <row r="6047">
      <c r="A6047" t="str">
        <f>IFERROR(__xludf.DUMMYFUNCTION("""COMPUTED_VALUE"""),"2015-06-27-J09-SO-19")</f>
        <v>2015-06-27-J09-SO-19</v>
      </c>
    </row>
    <row r="6048">
      <c r="A6048" t="str">
        <f>IFERROR(__xludf.DUMMYFUNCTION("""COMPUTED_VALUE"""),"2015-06-27-J09-SO-20")</f>
        <v>2015-06-27-J09-SO-20</v>
      </c>
    </row>
    <row r="6049">
      <c r="A6049" t="str">
        <f>IFERROR(__xludf.DUMMYFUNCTION("""COMPUTED_VALUE"""),"2015-06-27-J09-SO-21")</f>
        <v>2015-06-27-J09-SO-21</v>
      </c>
    </row>
    <row r="6050">
      <c r="A6050" t="str">
        <f>IFERROR(__xludf.DUMMYFUNCTION("""COMPUTED_VALUE"""),"2015-06-27-J09-SO-22")</f>
        <v>2015-06-27-J09-SO-22</v>
      </c>
    </row>
    <row r="6051">
      <c r="A6051" t="str">
        <f>IFERROR(__xludf.DUMMYFUNCTION("""COMPUTED_VALUE"""),"2015-06-27-J09-SO-23")</f>
        <v>2015-06-27-J09-SO-23</v>
      </c>
    </row>
    <row r="6052">
      <c r="A6052" t="str">
        <f>IFERROR(__xludf.DUMMYFUNCTION("""COMPUTED_VALUE"""),"2015-06-27-J09-SO-24")</f>
        <v>2015-06-27-J09-SO-24</v>
      </c>
    </row>
    <row r="6053">
      <c r="A6053" t="str">
        <f>IFERROR(__xludf.DUMMYFUNCTION("""COMPUTED_VALUE"""),"2015-06-27-J09-SO-25")</f>
        <v>2015-06-27-J09-SO-25</v>
      </c>
    </row>
    <row r="6054">
      <c r="A6054" t="str">
        <f>IFERROR(__xludf.DUMMYFUNCTION("""COMPUTED_VALUE"""),"2015-06-27-J09-SO-26")</f>
        <v>2015-06-27-J09-SO-26</v>
      </c>
    </row>
    <row r="6055">
      <c r="A6055" t="str">
        <f>IFERROR(__xludf.DUMMYFUNCTION("""COMPUTED_VALUE"""),"2015-06-27-J09-SO-27")</f>
        <v>2015-06-27-J09-SO-27</v>
      </c>
    </row>
    <row r="6056">
      <c r="A6056" t="str">
        <f>IFERROR(__xludf.DUMMYFUNCTION("""COMPUTED_VALUE"""),"2015-06-27-J09-SO-28")</f>
        <v>2015-06-27-J09-SO-28</v>
      </c>
    </row>
    <row r="6057">
      <c r="A6057" t="str">
        <f>IFERROR(__xludf.DUMMYFUNCTION("""COMPUTED_VALUE"""),"2015-06-27-J09-SO-29")</f>
        <v>2015-06-27-J09-SO-29</v>
      </c>
    </row>
    <row r="6058">
      <c r="A6058" t="str">
        <f>IFERROR(__xludf.DUMMYFUNCTION("""COMPUTED_VALUE"""),"2015-06-27-J09-SO-30")</f>
        <v>2015-06-27-J09-SO-30</v>
      </c>
    </row>
    <row r="6059">
      <c r="A6059" t="str">
        <f>IFERROR(__xludf.DUMMYFUNCTION("""COMPUTED_VALUE"""),"2015-06-27-D09-PI-1")</f>
        <v>2015-06-27-D09-PI-1</v>
      </c>
    </row>
    <row r="6060">
      <c r="A6060" t="str">
        <f>IFERROR(__xludf.DUMMYFUNCTION("""COMPUTED_VALUE"""),"2015-06-27-D09-PI-2")</f>
        <v>2015-06-27-D09-PI-2</v>
      </c>
    </row>
    <row r="6061">
      <c r="A6061" t="str">
        <f>IFERROR(__xludf.DUMMYFUNCTION("""COMPUTED_VALUE"""),"2015-06-27-D09-PI-3")</f>
        <v>2015-06-27-D09-PI-3</v>
      </c>
    </row>
    <row r="6062">
      <c r="A6062" t="str">
        <f>IFERROR(__xludf.DUMMYFUNCTION("""COMPUTED_VALUE"""),"2015-06-27-D09-PI-4")</f>
        <v>2015-06-27-D09-PI-4</v>
      </c>
    </row>
    <row r="6063">
      <c r="A6063" t="str">
        <f>IFERROR(__xludf.DUMMYFUNCTION("""COMPUTED_VALUE"""),"2015-06-27-D09-PI-5")</f>
        <v>2015-06-27-D09-PI-5</v>
      </c>
    </row>
    <row r="6064">
      <c r="A6064" t="str">
        <f>IFERROR(__xludf.DUMMYFUNCTION("""COMPUTED_VALUE"""),"2015-06-27-D09-PI-6")</f>
        <v>2015-06-27-D09-PI-6</v>
      </c>
    </row>
    <row r="6065">
      <c r="A6065" t="str">
        <f>IFERROR(__xludf.DUMMYFUNCTION("""COMPUTED_VALUE"""),"2015-06-27-D09-PI-7")</f>
        <v>2015-06-27-D09-PI-7</v>
      </c>
    </row>
    <row r="6066">
      <c r="A6066" t="str">
        <f>IFERROR(__xludf.DUMMYFUNCTION("""COMPUTED_VALUE"""),"2015-06-27-D09-PI-8")</f>
        <v>2015-06-27-D09-PI-8</v>
      </c>
    </row>
    <row r="6067">
      <c r="A6067" t="str">
        <f>IFERROR(__xludf.DUMMYFUNCTION("""COMPUTED_VALUE"""),"2015-06-27-D09-PI-9")</f>
        <v>2015-06-27-D09-PI-9</v>
      </c>
    </row>
    <row r="6068">
      <c r="A6068" t="str">
        <f>IFERROR(__xludf.DUMMYFUNCTION("""COMPUTED_VALUE"""),"2015-06-27-D09-PI-10")</f>
        <v>2015-06-27-D09-PI-10</v>
      </c>
    </row>
    <row r="6069">
      <c r="A6069" t="str">
        <f>IFERROR(__xludf.DUMMYFUNCTION("""COMPUTED_VALUE"""),"2015-06-27-J10-PI-1")</f>
        <v>2015-06-27-J10-PI-1</v>
      </c>
    </row>
    <row r="6070">
      <c r="A6070" t="str">
        <f>IFERROR(__xludf.DUMMYFUNCTION("""COMPUTED_VALUE"""),"2015-06-27-J10-PI-2")</f>
        <v>2015-06-27-J10-PI-2</v>
      </c>
    </row>
    <row r="6071">
      <c r="A6071" t="str">
        <f>IFERROR(__xludf.DUMMYFUNCTION("""COMPUTED_VALUE"""),"2015-06-27-J10-PI-3")</f>
        <v>2015-06-27-J10-PI-3</v>
      </c>
    </row>
    <row r="6072">
      <c r="A6072" t="str">
        <f>IFERROR(__xludf.DUMMYFUNCTION("""COMPUTED_VALUE"""),"2015-06-27-J10-PI-4")</f>
        <v>2015-06-27-J10-PI-4</v>
      </c>
    </row>
    <row r="6073">
      <c r="A6073" t="str">
        <f>IFERROR(__xludf.DUMMYFUNCTION("""COMPUTED_VALUE"""),"2015-06-27-J10-PI-5")</f>
        <v>2015-06-27-J10-PI-5</v>
      </c>
    </row>
    <row r="6074">
      <c r="A6074" t="str">
        <f>IFERROR(__xludf.DUMMYFUNCTION("""COMPUTED_VALUE"""),"2015-06-27-J10-PI-6")</f>
        <v>2015-06-27-J10-PI-6</v>
      </c>
    </row>
    <row r="6075">
      <c r="A6075" t="str">
        <f>IFERROR(__xludf.DUMMYFUNCTION("""COMPUTED_VALUE"""),"2015-06-27-J10-PI-7")</f>
        <v>2015-06-27-J10-PI-7</v>
      </c>
    </row>
    <row r="6076">
      <c r="A6076" t="str">
        <f>IFERROR(__xludf.DUMMYFUNCTION("""COMPUTED_VALUE"""),"2015-06-27-J10-PI-8")</f>
        <v>2015-06-27-J10-PI-8</v>
      </c>
    </row>
    <row r="6077">
      <c r="A6077" t="str">
        <f>IFERROR(__xludf.DUMMYFUNCTION("""COMPUTED_VALUE"""),"2015-06-27-J10-PI-9")</f>
        <v>2015-06-27-J10-PI-9</v>
      </c>
    </row>
    <row r="6078">
      <c r="A6078" t="str">
        <f>IFERROR(__xludf.DUMMYFUNCTION("""COMPUTED_VALUE"""),"2015-06-27-J10-PI-10")</f>
        <v>2015-06-27-J10-PI-10</v>
      </c>
    </row>
    <row r="6079">
      <c r="A6079" t="str">
        <f>IFERROR(__xludf.DUMMYFUNCTION("""COMPUTED_VALUE"""),"2015-06-27-J01-PI-1")</f>
        <v>2015-06-27-J01-PI-1</v>
      </c>
    </row>
    <row r="6080">
      <c r="A6080" t="str">
        <f>IFERROR(__xludf.DUMMYFUNCTION("""COMPUTED_VALUE"""),"2015-06-27-J01-PI-2")</f>
        <v>2015-06-27-J01-PI-2</v>
      </c>
    </row>
    <row r="6081">
      <c r="A6081" t="str">
        <f>IFERROR(__xludf.DUMMYFUNCTION("""COMPUTED_VALUE"""),"2015-06-27-J01-PI-3")</f>
        <v>2015-06-27-J01-PI-3</v>
      </c>
    </row>
    <row r="6082">
      <c r="A6082" t="str">
        <f>IFERROR(__xludf.DUMMYFUNCTION("""COMPUTED_VALUE"""),"2015-06-27-J01-PI-4")</f>
        <v>2015-06-27-J01-PI-4</v>
      </c>
    </row>
    <row r="6083">
      <c r="A6083" t="str">
        <f>IFERROR(__xludf.DUMMYFUNCTION("""COMPUTED_VALUE"""),"2015-06-27-J01-PI-5")</f>
        <v>2015-06-27-J01-PI-5</v>
      </c>
    </row>
    <row r="6084">
      <c r="A6084" t="str">
        <f>IFERROR(__xludf.DUMMYFUNCTION("""COMPUTED_VALUE"""),"2015-06-27-J01-PI-6")</f>
        <v>2015-06-27-J01-PI-6</v>
      </c>
    </row>
    <row r="6085">
      <c r="A6085" t="str">
        <f>IFERROR(__xludf.DUMMYFUNCTION("""COMPUTED_VALUE"""),"2015-06-27-J01-PI-7")</f>
        <v>2015-06-27-J01-PI-7</v>
      </c>
    </row>
    <row r="6086">
      <c r="A6086" t="str">
        <f>IFERROR(__xludf.DUMMYFUNCTION("""COMPUTED_VALUE"""),"2015-06-27-J01-PI-8")</f>
        <v>2015-06-27-J01-PI-8</v>
      </c>
    </row>
    <row r="6087">
      <c r="A6087" t="str">
        <f>IFERROR(__xludf.DUMMYFUNCTION("""COMPUTED_VALUE"""),"2015-06-27-J01-PI-9")</f>
        <v>2015-06-27-J01-PI-9</v>
      </c>
    </row>
    <row r="6088">
      <c r="A6088" t="str">
        <f>IFERROR(__xludf.DUMMYFUNCTION("""COMPUTED_VALUE"""),"2015-06-27-J01-PI-10")</f>
        <v>2015-06-27-J01-PI-10</v>
      </c>
    </row>
    <row r="6089">
      <c r="A6089" t="str">
        <f>IFERROR(__xludf.DUMMYFUNCTION("""COMPUTED_VALUE"""),"2015-06-27-J09-PI-1")</f>
        <v>2015-06-27-J09-PI-1</v>
      </c>
    </row>
    <row r="6090">
      <c r="A6090" t="str">
        <f>IFERROR(__xludf.DUMMYFUNCTION("""COMPUTED_VALUE"""),"2015-06-27-J09-PI-2")</f>
        <v>2015-06-27-J09-PI-2</v>
      </c>
    </row>
    <row r="6091">
      <c r="A6091" t="str">
        <f>IFERROR(__xludf.DUMMYFUNCTION("""COMPUTED_VALUE"""),"2015-06-27-J09-PI-3")</f>
        <v>2015-06-27-J09-PI-3</v>
      </c>
    </row>
    <row r="6092">
      <c r="A6092" t="str">
        <f>IFERROR(__xludf.DUMMYFUNCTION("""COMPUTED_VALUE"""),"2015-06-27-J09-PI-4")</f>
        <v>2015-06-27-J09-PI-4</v>
      </c>
    </row>
    <row r="6093">
      <c r="A6093" t="str">
        <f>IFERROR(__xludf.DUMMYFUNCTION("""COMPUTED_VALUE"""),"2015-06-27-J09-PI-5")</f>
        <v>2015-06-27-J09-PI-5</v>
      </c>
    </row>
    <row r="6094">
      <c r="A6094" t="str">
        <f>IFERROR(__xludf.DUMMYFUNCTION("""COMPUTED_VALUE"""),"2015-06-27-J09-PI-6")</f>
        <v>2015-06-27-J09-PI-6</v>
      </c>
    </row>
    <row r="6095">
      <c r="A6095" t="str">
        <f>IFERROR(__xludf.DUMMYFUNCTION("""COMPUTED_VALUE"""),"2015-06-27-J09-PI-7")</f>
        <v>2015-06-27-J09-PI-7</v>
      </c>
    </row>
    <row r="6096">
      <c r="A6096" t="str">
        <f>IFERROR(__xludf.DUMMYFUNCTION("""COMPUTED_VALUE"""),"2015-06-27-J09-PI-8")</f>
        <v>2015-06-27-J09-PI-8</v>
      </c>
    </row>
    <row r="6097">
      <c r="A6097" t="str">
        <f>IFERROR(__xludf.DUMMYFUNCTION("""COMPUTED_VALUE"""),"2015-06-27-J09-PI-9")</f>
        <v>2015-06-27-J09-PI-9</v>
      </c>
    </row>
    <row r="6098">
      <c r="A6098" t="str">
        <f>IFERROR(__xludf.DUMMYFUNCTION("""COMPUTED_VALUE"""),"2015-06-27-J09-PI-10")</f>
        <v>2015-06-27-J09-PI-10</v>
      </c>
    </row>
    <row r="6099">
      <c r="A6099" t="str">
        <f>IFERROR(__xludf.DUMMYFUNCTION("""COMPUTED_VALUE"""),"2015-06-27-D09-CU-1")</f>
        <v>2015-06-27-D09-CU-1</v>
      </c>
    </row>
    <row r="6100">
      <c r="A6100" t="str">
        <f>IFERROR(__xludf.DUMMYFUNCTION("""COMPUTED_VALUE"""),"2015-06-27-D09-CU-2")</f>
        <v>2015-06-27-D09-CU-2</v>
      </c>
    </row>
    <row r="6101">
      <c r="A6101" t="str">
        <f>IFERROR(__xludf.DUMMYFUNCTION("""COMPUTED_VALUE"""),"2015-06-27-D09-CU-3")</f>
        <v>2015-06-27-D09-CU-3</v>
      </c>
    </row>
    <row r="6102">
      <c r="A6102" t="str">
        <f>IFERROR(__xludf.DUMMYFUNCTION("""COMPUTED_VALUE"""),"2015-06-27-D09-CU-4")</f>
        <v>2015-06-27-D09-CU-4</v>
      </c>
    </row>
    <row r="6103">
      <c r="A6103" t="str">
        <f>IFERROR(__xludf.DUMMYFUNCTION("""COMPUTED_VALUE"""),"2015-06-27-D09-CU-5")</f>
        <v>2015-06-27-D09-CU-5</v>
      </c>
    </row>
    <row r="6104">
      <c r="A6104" t="str">
        <f>IFERROR(__xludf.DUMMYFUNCTION("""COMPUTED_VALUE"""),"2015-06-27-D09-CU-6")</f>
        <v>2015-06-27-D09-CU-6</v>
      </c>
    </row>
    <row r="6105">
      <c r="A6105" t="str">
        <f>IFERROR(__xludf.DUMMYFUNCTION("""COMPUTED_VALUE"""),"2015-06-27-D09-CU-7")</f>
        <v>2015-06-27-D09-CU-7</v>
      </c>
    </row>
    <row r="6106">
      <c r="A6106" t="str">
        <f>IFERROR(__xludf.DUMMYFUNCTION("""COMPUTED_VALUE"""),"2015-06-27-D09-CU-8")</f>
        <v>2015-06-27-D09-CU-8</v>
      </c>
    </row>
    <row r="6107">
      <c r="A6107" t="str">
        <f>IFERROR(__xludf.DUMMYFUNCTION("""COMPUTED_VALUE"""),"2015-06-27-D09-CU-9")</f>
        <v>2015-06-27-D09-CU-9</v>
      </c>
    </row>
    <row r="6108">
      <c r="A6108" t="str">
        <f>IFERROR(__xludf.DUMMYFUNCTION("""COMPUTED_VALUE"""),"2015-06-27-D09-CU-10")</f>
        <v>2015-06-27-D09-CU-10</v>
      </c>
    </row>
    <row r="6109">
      <c r="A6109" t="str">
        <f>IFERROR(__xludf.DUMMYFUNCTION("""COMPUTED_VALUE"""),"2015-06-27-J10-CU-1")</f>
        <v>2015-06-27-J10-CU-1</v>
      </c>
    </row>
    <row r="6110">
      <c r="A6110" t="str">
        <f>IFERROR(__xludf.DUMMYFUNCTION("""COMPUTED_VALUE"""),"2015-06-27-J10-CU-2")</f>
        <v>2015-06-27-J10-CU-2</v>
      </c>
    </row>
    <row r="6111">
      <c r="A6111" t="str">
        <f>IFERROR(__xludf.DUMMYFUNCTION("""COMPUTED_VALUE"""),"2015-06-27-J10-CU-3")</f>
        <v>2015-06-27-J10-CU-3</v>
      </c>
    </row>
    <row r="6112">
      <c r="A6112" t="str">
        <f>IFERROR(__xludf.DUMMYFUNCTION("""COMPUTED_VALUE"""),"2015-06-27-J10-CU-4")</f>
        <v>2015-06-27-J10-CU-4</v>
      </c>
    </row>
    <row r="6113">
      <c r="A6113" t="str">
        <f>IFERROR(__xludf.DUMMYFUNCTION("""COMPUTED_VALUE"""),"2015-06-27-J10-CU-5")</f>
        <v>2015-06-27-J10-CU-5</v>
      </c>
    </row>
    <row r="6114">
      <c r="A6114" t="str">
        <f>IFERROR(__xludf.DUMMYFUNCTION("""COMPUTED_VALUE"""),"2015-06-27-J10-CU-6")</f>
        <v>2015-06-27-J10-CU-6</v>
      </c>
    </row>
    <row r="6115">
      <c r="A6115" t="str">
        <f>IFERROR(__xludf.DUMMYFUNCTION("""COMPUTED_VALUE"""),"2015-06-27-J10-CU-7")</f>
        <v>2015-06-27-J10-CU-7</v>
      </c>
    </row>
    <row r="6116">
      <c r="A6116" t="str">
        <f>IFERROR(__xludf.DUMMYFUNCTION("""COMPUTED_VALUE"""),"2015-06-27-J10-CU-8")</f>
        <v>2015-06-27-J10-CU-8</v>
      </c>
    </row>
    <row r="6117">
      <c r="A6117" t="str">
        <f>IFERROR(__xludf.DUMMYFUNCTION("""COMPUTED_VALUE"""),"2015-06-27-J10-CU-9")</f>
        <v>2015-06-27-J10-CU-9</v>
      </c>
    </row>
    <row r="6118">
      <c r="A6118" t="str">
        <f>IFERROR(__xludf.DUMMYFUNCTION("""COMPUTED_VALUE"""),"2015-06-27-J10-CU-10")</f>
        <v>2015-06-27-J10-CU-10</v>
      </c>
    </row>
    <row r="6119">
      <c r="A6119" t="str">
        <f>IFERROR(__xludf.DUMMYFUNCTION("""COMPUTED_VALUE"""),"2015-06-27-J01-CU-1")</f>
        <v>2015-06-27-J01-CU-1</v>
      </c>
    </row>
    <row r="6120">
      <c r="A6120" t="str">
        <f>IFERROR(__xludf.DUMMYFUNCTION("""COMPUTED_VALUE"""),"2015-06-27-J01-CU-2")</f>
        <v>2015-06-27-J01-CU-2</v>
      </c>
    </row>
    <row r="6121">
      <c r="A6121" t="str">
        <f>IFERROR(__xludf.DUMMYFUNCTION("""COMPUTED_VALUE"""),"2015-06-27-J01-CU-3")</f>
        <v>2015-06-27-J01-CU-3</v>
      </c>
    </row>
    <row r="6122">
      <c r="A6122" t="str">
        <f>IFERROR(__xludf.DUMMYFUNCTION("""COMPUTED_VALUE"""),"2015-06-27-J01-CU-4")</f>
        <v>2015-06-27-J01-CU-4</v>
      </c>
    </row>
    <row r="6123">
      <c r="A6123" t="str">
        <f>IFERROR(__xludf.DUMMYFUNCTION("""COMPUTED_VALUE"""),"2015-06-27-J01-CU-5")</f>
        <v>2015-06-27-J01-CU-5</v>
      </c>
    </row>
    <row r="6124">
      <c r="A6124" t="str">
        <f>IFERROR(__xludf.DUMMYFUNCTION("""COMPUTED_VALUE"""),"2015-06-27-J01-CU-6")</f>
        <v>2015-06-27-J01-CU-6</v>
      </c>
    </row>
    <row r="6125">
      <c r="A6125" t="str">
        <f>IFERROR(__xludf.DUMMYFUNCTION("""COMPUTED_VALUE"""),"2015-06-27-J01-CU-7")</f>
        <v>2015-06-27-J01-CU-7</v>
      </c>
    </row>
    <row r="6126">
      <c r="A6126" t="str">
        <f>IFERROR(__xludf.DUMMYFUNCTION("""COMPUTED_VALUE"""),"2015-06-27-J01-CU-8")</f>
        <v>2015-06-27-J01-CU-8</v>
      </c>
    </row>
    <row r="6127">
      <c r="A6127" t="str">
        <f>IFERROR(__xludf.DUMMYFUNCTION("""COMPUTED_VALUE"""),"2015-06-27-J01-CU-9")</f>
        <v>2015-06-27-J01-CU-9</v>
      </c>
    </row>
    <row r="6128">
      <c r="A6128" t="str">
        <f>IFERROR(__xludf.DUMMYFUNCTION("""COMPUTED_VALUE"""),"2015-06-27-J01-CU-10")</f>
        <v>2015-06-27-J01-CU-10</v>
      </c>
    </row>
    <row r="6129">
      <c r="A6129" t="str">
        <f>IFERROR(__xludf.DUMMYFUNCTION("""COMPUTED_VALUE"""),"2015-06-27-J09-CU-1")</f>
        <v>2015-06-27-J09-CU-1</v>
      </c>
    </row>
    <row r="6130">
      <c r="A6130" t="str">
        <f>IFERROR(__xludf.DUMMYFUNCTION("""COMPUTED_VALUE"""),"2015-06-27-J09-CU-2")</f>
        <v>2015-06-27-J09-CU-2</v>
      </c>
    </row>
    <row r="6131">
      <c r="A6131" t="str">
        <f>IFERROR(__xludf.DUMMYFUNCTION("""COMPUTED_VALUE"""),"2015-06-27-J09-CU-3")</f>
        <v>2015-06-27-J09-CU-3</v>
      </c>
    </row>
    <row r="6132">
      <c r="A6132" t="str">
        <f>IFERROR(__xludf.DUMMYFUNCTION("""COMPUTED_VALUE"""),"2015-06-27-J09-CU-4")</f>
        <v>2015-06-27-J09-CU-4</v>
      </c>
    </row>
    <row r="6133">
      <c r="A6133" t="str">
        <f>IFERROR(__xludf.DUMMYFUNCTION("""COMPUTED_VALUE"""),"2015-06-27-J09-CU-5")</f>
        <v>2015-06-27-J09-CU-5</v>
      </c>
    </row>
    <row r="6134">
      <c r="A6134" t="str">
        <f>IFERROR(__xludf.DUMMYFUNCTION("""COMPUTED_VALUE"""),"2015-06-27-J09-CU-6")</f>
        <v>2015-06-27-J09-CU-6</v>
      </c>
    </row>
    <row r="6135">
      <c r="A6135" t="str">
        <f>IFERROR(__xludf.DUMMYFUNCTION("""COMPUTED_VALUE"""),"2015-06-27-J09-CU-7")</f>
        <v>2015-06-27-J09-CU-7</v>
      </c>
    </row>
    <row r="6136">
      <c r="A6136" t="str">
        <f>IFERROR(__xludf.DUMMYFUNCTION("""COMPUTED_VALUE"""),"2015-06-27-J09-CU-8")</f>
        <v>2015-06-27-J09-CU-8</v>
      </c>
    </row>
    <row r="6137">
      <c r="A6137" t="str">
        <f>IFERROR(__xludf.DUMMYFUNCTION("""COMPUTED_VALUE"""),"2015-06-27-J09-CU-9")</f>
        <v>2015-06-27-J09-CU-9</v>
      </c>
    </row>
    <row r="6138">
      <c r="A6138" t="str">
        <f>IFERROR(__xludf.DUMMYFUNCTION("""COMPUTED_VALUE"""),"2015-06-27-J09-CU-10")</f>
        <v>2015-06-27-J09-CU-10</v>
      </c>
    </row>
    <row r="6139">
      <c r="A6139" t="str">
        <f>IFERROR(__xludf.DUMMYFUNCTION("""COMPUTED_VALUE"""),"2015-06-27-J10-CO-1")</f>
        <v>2015-06-27-J10-CO-1</v>
      </c>
    </row>
    <row r="6140">
      <c r="A6140" t="str">
        <f>IFERROR(__xludf.DUMMYFUNCTION("""COMPUTED_VALUE"""),"2015-06-27-J10-CO-2")</f>
        <v>2015-06-27-J10-CO-2</v>
      </c>
    </row>
    <row r="6141">
      <c r="A6141" t="str">
        <f>IFERROR(__xludf.DUMMYFUNCTION("""COMPUTED_VALUE"""),"2015-06-27-J10-CO-3")</f>
        <v>2015-06-27-J10-CO-3</v>
      </c>
    </row>
    <row r="6142">
      <c r="A6142" t="str">
        <f>IFERROR(__xludf.DUMMYFUNCTION("""COMPUTED_VALUE"""),"2015-06-27-J10-CO-4")</f>
        <v>2015-06-27-J10-CO-4</v>
      </c>
    </row>
    <row r="6143">
      <c r="A6143" t="str">
        <f>IFERROR(__xludf.DUMMYFUNCTION("""COMPUTED_VALUE"""),"2015-06-27-J01-HE-1")</f>
        <v>2015-06-27-J01-HE-1</v>
      </c>
    </row>
    <row r="6144">
      <c r="A6144" t="str">
        <f>IFERROR(__xludf.DUMMYFUNCTION("""COMPUTED_VALUE"""),"2015-06-27-J01-HE-2")</f>
        <v>2015-06-27-J01-HE-2</v>
      </c>
    </row>
    <row r="6145">
      <c r="A6145" t="str">
        <f>IFERROR(__xludf.DUMMYFUNCTION("""COMPUTED_VALUE"""),"2015-06-27-J09-HE-1")</f>
        <v>2015-06-27-J09-HE-1</v>
      </c>
    </row>
    <row r="6146">
      <c r="A6146" t="str">
        <f>IFERROR(__xludf.DUMMYFUNCTION("""COMPUTED_VALUE"""),"2015-06-27-J09-HE-2")</f>
        <v>2015-06-27-J09-HE-2</v>
      </c>
    </row>
    <row r="6147">
      <c r="A6147" t="str">
        <f>IFERROR(__xludf.DUMMYFUNCTION("""COMPUTED_VALUE"""),"2015-06-27-J09-HE-3")</f>
        <v>2015-06-27-J09-HE-3</v>
      </c>
    </row>
    <row r="6148">
      <c r="A6148" t="str">
        <f>IFERROR(__xludf.DUMMYFUNCTION("""COMPUTED_VALUE"""),"2015-06-27-J09-HE-4")</f>
        <v>2015-06-27-J09-HE-4</v>
      </c>
    </row>
    <row r="6149">
      <c r="A6149" t="str">
        <f>IFERROR(__xludf.DUMMYFUNCTION("""COMPUTED_VALUE"""),"2015-06-27-J09-HE-5")</f>
        <v>2015-06-27-J09-HE-5</v>
      </c>
    </row>
    <row r="6150">
      <c r="A6150" t="str">
        <f>IFERROR(__xludf.DUMMYFUNCTION("""COMPUTED_VALUE"""),"2015-06-27-J09-HE-6")</f>
        <v>2015-06-27-J09-HE-6</v>
      </c>
    </row>
    <row r="6151">
      <c r="A6151" t="str">
        <f>IFERROR(__xludf.DUMMYFUNCTION("""COMPUTED_VALUE"""),"2015-06-27-J09-HE-7")</f>
        <v>2015-06-27-J09-HE-7</v>
      </c>
    </row>
    <row r="6152">
      <c r="A6152" t="str">
        <f>IFERROR(__xludf.DUMMYFUNCTION("""COMPUTED_VALUE"""),"2015-06-27-J09-HE-8")</f>
        <v>2015-06-27-J09-HE-8</v>
      </c>
    </row>
    <row r="6153">
      <c r="A6153" t="str">
        <f>IFERROR(__xludf.DUMMYFUNCTION("""COMPUTED_VALUE"""),"2015-06-27-J09-HE-9")</f>
        <v>2015-06-27-J09-HE-9</v>
      </c>
    </row>
    <row r="6154">
      <c r="A6154" t="str">
        <f>IFERROR(__xludf.DUMMYFUNCTION("""COMPUTED_VALUE"""),"2015-06-27-J09-HE-10")</f>
        <v>2015-06-27-J09-HE-10</v>
      </c>
    </row>
    <row r="6155">
      <c r="A6155" t="str">
        <f>IFERROR(__xludf.DUMMYFUNCTION("""COMPUTED_VALUE"""),"2015-06-28-J02-PI-1")</f>
        <v>2015-06-28-J02-PI-1</v>
      </c>
    </row>
    <row r="6156">
      <c r="A6156" t="str">
        <f>IFERROR(__xludf.DUMMYFUNCTION("""COMPUTED_VALUE"""),"2015-06-28-J02-PI-2")</f>
        <v>2015-06-28-J02-PI-2</v>
      </c>
    </row>
    <row r="6157">
      <c r="A6157" t="str">
        <f>IFERROR(__xludf.DUMMYFUNCTION("""COMPUTED_VALUE"""),"2015-06-28-J02-PI-3")</f>
        <v>2015-06-28-J02-PI-3</v>
      </c>
    </row>
    <row r="6158">
      <c r="A6158" t="str">
        <f>IFERROR(__xludf.DUMMYFUNCTION("""COMPUTED_VALUE"""),"2015-06-28-J02-PI-4")</f>
        <v>2015-06-28-J02-PI-4</v>
      </c>
    </row>
    <row r="6159">
      <c r="A6159" t="str">
        <f>IFERROR(__xludf.DUMMYFUNCTION("""COMPUTED_VALUE"""),"2015-06-28-J02-PI-5")</f>
        <v>2015-06-28-J02-PI-5</v>
      </c>
    </row>
    <row r="6160">
      <c r="A6160" t="str">
        <f>IFERROR(__xludf.DUMMYFUNCTION("""COMPUTED_VALUE"""),"2015-06-28-J02-PI-6")</f>
        <v>2015-06-28-J02-PI-6</v>
      </c>
    </row>
    <row r="6161">
      <c r="A6161" t="str">
        <f>IFERROR(__xludf.DUMMYFUNCTION("""COMPUTED_VALUE"""),"2015-06-28-J02-PI-7")</f>
        <v>2015-06-28-J02-PI-7</v>
      </c>
    </row>
    <row r="6162">
      <c r="A6162" t="str">
        <f>IFERROR(__xludf.DUMMYFUNCTION("""COMPUTED_VALUE"""),"2015-06-28-J02-PI-8")</f>
        <v>2015-06-28-J02-PI-8</v>
      </c>
    </row>
    <row r="6163">
      <c r="A6163" t="str">
        <f>IFERROR(__xludf.DUMMYFUNCTION("""COMPUTED_VALUE"""),"2015-06-28-J02-PI-9")</f>
        <v>2015-06-28-J02-PI-9</v>
      </c>
    </row>
    <row r="6164">
      <c r="A6164" t="str">
        <f>IFERROR(__xludf.DUMMYFUNCTION("""COMPUTED_VALUE"""),"2015-06-28-J02-PI-10")</f>
        <v>2015-06-28-J02-PI-10</v>
      </c>
    </row>
    <row r="6165">
      <c r="A6165" t="str">
        <f>IFERROR(__xludf.DUMMYFUNCTION("""COMPUTED_VALUE"""),"2015-06-28-J03-PI-1")</f>
        <v>2015-06-28-J03-PI-1</v>
      </c>
    </row>
    <row r="6166">
      <c r="A6166" t="str">
        <f>IFERROR(__xludf.DUMMYFUNCTION("""COMPUTED_VALUE"""),"2015-06-28-J03-PI-2")</f>
        <v>2015-06-28-J03-PI-2</v>
      </c>
    </row>
    <row r="6167">
      <c r="A6167" t="str">
        <f>IFERROR(__xludf.DUMMYFUNCTION("""COMPUTED_VALUE"""),"2015-06-28-J03-PI-3")</f>
        <v>2015-06-28-J03-PI-3</v>
      </c>
    </row>
    <row r="6168">
      <c r="A6168" t="str">
        <f>IFERROR(__xludf.DUMMYFUNCTION("""COMPUTED_VALUE"""),"2015-06-28-J03-PI-4")</f>
        <v>2015-06-28-J03-PI-4</v>
      </c>
    </row>
    <row r="6169">
      <c r="A6169" t="str">
        <f>IFERROR(__xludf.DUMMYFUNCTION("""COMPUTED_VALUE"""),"2015-06-28-J03-PI-5")</f>
        <v>2015-06-28-J03-PI-5</v>
      </c>
    </row>
    <row r="6170">
      <c r="A6170" t="str">
        <f>IFERROR(__xludf.DUMMYFUNCTION("""COMPUTED_VALUE"""),"2015-06-28-J03-PI-6")</f>
        <v>2015-06-28-J03-PI-6</v>
      </c>
    </row>
    <row r="6171">
      <c r="A6171" t="str">
        <f>IFERROR(__xludf.DUMMYFUNCTION("""COMPUTED_VALUE"""),"2015-06-28-J03-PI-7")</f>
        <v>2015-06-28-J03-PI-7</v>
      </c>
    </row>
    <row r="6172">
      <c r="A6172" t="str">
        <f>IFERROR(__xludf.DUMMYFUNCTION("""COMPUTED_VALUE"""),"2015-06-28-J03-PI-8")</f>
        <v>2015-06-28-J03-PI-8</v>
      </c>
    </row>
    <row r="6173">
      <c r="A6173" t="str">
        <f>IFERROR(__xludf.DUMMYFUNCTION("""COMPUTED_VALUE"""),"2015-06-28-J03-PI-9")</f>
        <v>2015-06-28-J03-PI-9</v>
      </c>
    </row>
    <row r="6174">
      <c r="A6174" t="str">
        <f>IFERROR(__xludf.DUMMYFUNCTION("""COMPUTED_VALUE"""),"2015-06-28-J03-PI-10")</f>
        <v>2015-06-28-J03-PI-10</v>
      </c>
    </row>
    <row r="6175">
      <c r="A6175" t="str">
        <f>IFERROR(__xludf.DUMMYFUNCTION("""COMPUTED_VALUE"""),"2015-06-28-J02-CU-1")</f>
        <v>2015-06-28-J02-CU-1</v>
      </c>
    </row>
    <row r="6176">
      <c r="A6176" t="str">
        <f>IFERROR(__xludf.DUMMYFUNCTION("""COMPUTED_VALUE"""),"2015-06-28-J02-CU-2")</f>
        <v>2015-06-28-J02-CU-2</v>
      </c>
    </row>
    <row r="6177">
      <c r="A6177" t="str">
        <f>IFERROR(__xludf.DUMMYFUNCTION("""COMPUTED_VALUE"""),"2015-06-28-J02-CU-3")</f>
        <v>2015-06-28-J02-CU-3</v>
      </c>
    </row>
    <row r="6178">
      <c r="A6178" t="str">
        <f>IFERROR(__xludf.DUMMYFUNCTION("""COMPUTED_VALUE"""),"2015-06-28-J02-CU-4")</f>
        <v>2015-06-28-J02-CU-4</v>
      </c>
    </row>
    <row r="6179">
      <c r="A6179" t="str">
        <f>IFERROR(__xludf.DUMMYFUNCTION("""COMPUTED_VALUE"""),"2015-06-28-J02-CU-5")</f>
        <v>2015-06-28-J02-CU-5</v>
      </c>
    </row>
    <row r="6180">
      <c r="A6180" t="str">
        <f>IFERROR(__xludf.DUMMYFUNCTION("""COMPUTED_VALUE"""),"2015-06-28-J02-CU-6")</f>
        <v>2015-06-28-J02-CU-6</v>
      </c>
    </row>
    <row r="6181">
      <c r="A6181" t="str">
        <f>IFERROR(__xludf.DUMMYFUNCTION("""COMPUTED_VALUE"""),"2015-06-28-J02-CU-7")</f>
        <v>2015-06-28-J02-CU-7</v>
      </c>
    </row>
    <row r="6182">
      <c r="A6182" t="str">
        <f>IFERROR(__xludf.DUMMYFUNCTION("""COMPUTED_VALUE"""),"2015-06-28-J02-CU-8")</f>
        <v>2015-06-28-J02-CU-8</v>
      </c>
    </row>
    <row r="6183">
      <c r="A6183" t="str">
        <f>IFERROR(__xludf.DUMMYFUNCTION("""COMPUTED_VALUE"""),"2015-06-28-J02-CU-9")</f>
        <v>2015-06-28-J02-CU-9</v>
      </c>
    </row>
    <row r="6184">
      <c r="A6184" t="str">
        <f>IFERROR(__xludf.DUMMYFUNCTION("""COMPUTED_VALUE"""),"2015-06-28-J02-CU-10")</f>
        <v>2015-06-28-J02-CU-10</v>
      </c>
    </row>
    <row r="6185">
      <c r="A6185" t="str">
        <f>IFERROR(__xludf.DUMMYFUNCTION("""COMPUTED_VALUE"""),"2015-06-28-J03-CU-1")</f>
        <v>2015-06-28-J03-CU-1</v>
      </c>
    </row>
    <row r="6186">
      <c r="A6186" t="str">
        <f>IFERROR(__xludf.DUMMYFUNCTION("""COMPUTED_VALUE"""),"2015-06-28-J03-CU-2")</f>
        <v>2015-06-28-J03-CU-2</v>
      </c>
    </row>
    <row r="6187">
      <c r="A6187" t="str">
        <f>IFERROR(__xludf.DUMMYFUNCTION("""COMPUTED_VALUE"""),"2015-06-28-J03-CU-3")</f>
        <v>2015-06-28-J03-CU-3</v>
      </c>
    </row>
    <row r="6188">
      <c r="A6188" t="str">
        <f>IFERROR(__xludf.DUMMYFUNCTION("""COMPUTED_VALUE"""),"2015-06-28-J03-CU-4")</f>
        <v>2015-06-28-J03-CU-4</v>
      </c>
    </row>
    <row r="6189">
      <c r="A6189" t="str">
        <f>IFERROR(__xludf.DUMMYFUNCTION("""COMPUTED_VALUE"""),"2015-06-28-J03-CU-5")</f>
        <v>2015-06-28-J03-CU-5</v>
      </c>
    </row>
    <row r="6190">
      <c r="A6190" t="str">
        <f>IFERROR(__xludf.DUMMYFUNCTION("""COMPUTED_VALUE"""),"2015-06-28-J03-CU-6")</f>
        <v>2015-06-28-J03-CU-6</v>
      </c>
    </row>
    <row r="6191">
      <c r="A6191" t="str">
        <f>IFERROR(__xludf.DUMMYFUNCTION("""COMPUTED_VALUE"""),"2015-06-28-J03-CU-7")</f>
        <v>2015-06-28-J03-CU-7</v>
      </c>
    </row>
    <row r="6192">
      <c r="A6192" t="str">
        <f>IFERROR(__xludf.DUMMYFUNCTION("""COMPUTED_VALUE"""),"2015-06-28-J03-CU-8")</f>
        <v>2015-06-28-J03-CU-8</v>
      </c>
    </row>
    <row r="6193">
      <c r="A6193" t="str">
        <f>IFERROR(__xludf.DUMMYFUNCTION("""COMPUTED_VALUE"""),"2015-06-28-J03-CU-9")</f>
        <v>2015-06-28-J03-CU-9</v>
      </c>
    </row>
    <row r="6194">
      <c r="A6194" t="str">
        <f>IFERROR(__xludf.DUMMYFUNCTION("""COMPUTED_VALUE"""),"2015-06-28-J03-CU-10")</f>
        <v>2015-06-28-J03-CU-10</v>
      </c>
    </row>
    <row r="6195">
      <c r="A6195" t="str">
        <f>IFERROR(__xludf.DUMMYFUNCTION("""COMPUTED_VALUE"""),"2015-06-28-J02-CO-1")</f>
        <v>2015-06-28-J02-CO-1</v>
      </c>
    </row>
    <row r="6196">
      <c r="A6196" t="str">
        <f>IFERROR(__xludf.DUMMYFUNCTION("""COMPUTED_VALUE"""),"2015-06-28-J02-CO-2")</f>
        <v>2015-06-28-J02-CO-2</v>
      </c>
    </row>
    <row r="6197">
      <c r="A6197" t="str">
        <f>IFERROR(__xludf.DUMMYFUNCTION("""COMPUTED_VALUE"""),"2015-06-28-J02-CO-3")</f>
        <v>2015-06-28-J02-CO-3</v>
      </c>
    </row>
    <row r="6198">
      <c r="A6198" t="str">
        <f>IFERROR(__xludf.DUMMYFUNCTION("""COMPUTED_VALUE"""),"2015-06-28-J02-CO-4")</f>
        <v>2015-06-28-J02-CO-4</v>
      </c>
    </row>
    <row r="6199">
      <c r="A6199" t="str">
        <f>IFERROR(__xludf.DUMMYFUNCTION("""COMPUTED_VALUE"""),"2015-06-28-J02-CO-5")</f>
        <v>2015-06-28-J02-CO-5</v>
      </c>
    </row>
    <row r="6200">
      <c r="A6200" t="str">
        <f>IFERROR(__xludf.DUMMYFUNCTION("""COMPUTED_VALUE"""),"2015-06-28-J02-CO-6")</f>
        <v>2015-06-28-J02-CO-6</v>
      </c>
    </row>
    <row r="6201">
      <c r="A6201" t="str">
        <f>IFERROR(__xludf.DUMMYFUNCTION("""COMPUTED_VALUE"""),"2015-06-28-J02-CO-7")</f>
        <v>2015-06-28-J02-CO-7</v>
      </c>
    </row>
    <row r="6202">
      <c r="A6202" t="str">
        <f>IFERROR(__xludf.DUMMYFUNCTION("""COMPUTED_VALUE"""),"2015-06-28-J02-CO-8")</f>
        <v>2015-06-28-J02-CO-8</v>
      </c>
    </row>
    <row r="6203">
      <c r="A6203" t="str">
        <f>IFERROR(__xludf.DUMMYFUNCTION("""COMPUTED_VALUE"""),"2015-06-28-J02-CO-9")</f>
        <v>2015-06-28-J02-CO-9</v>
      </c>
    </row>
    <row r="6204">
      <c r="A6204" t="str">
        <f>IFERROR(__xludf.DUMMYFUNCTION("""COMPUTED_VALUE"""),"2015-06-28-J02-CO-10")</f>
        <v>2015-06-28-J02-CO-10</v>
      </c>
    </row>
    <row r="6205">
      <c r="A6205" t="str">
        <f>IFERROR(__xludf.DUMMYFUNCTION("""COMPUTED_VALUE"""),"2015-06-28-J03-CO-1")</f>
        <v>2015-06-28-J03-CO-1</v>
      </c>
    </row>
    <row r="6206">
      <c r="A6206" t="str">
        <f>IFERROR(__xludf.DUMMYFUNCTION("""COMPUTED_VALUE"""),"2015-06-28-J02-HE-1")</f>
        <v>2015-06-28-J02-HE-1</v>
      </c>
    </row>
    <row r="6207">
      <c r="A6207" t="str">
        <f>IFERROR(__xludf.DUMMYFUNCTION("""COMPUTED_VALUE"""),"2015-06-28-J02-HE-2")</f>
        <v>2015-06-28-J02-HE-2</v>
      </c>
    </row>
    <row r="6208">
      <c r="A6208" t="str">
        <f>IFERROR(__xludf.DUMMYFUNCTION("""COMPUTED_VALUE"""),"2015-06-28-J02-HE-3")</f>
        <v>2015-06-28-J02-HE-3</v>
      </c>
    </row>
    <row r="6209">
      <c r="A6209" t="str">
        <f>IFERROR(__xludf.DUMMYFUNCTION("""COMPUTED_VALUE"""),"2015-06-28-J02-HE-4")</f>
        <v>2015-06-28-J02-HE-4</v>
      </c>
    </row>
    <row r="6210">
      <c r="A6210" t="str">
        <f>IFERROR(__xludf.DUMMYFUNCTION("""COMPUTED_VALUE"""),"2015-06-28-J02-HE-5")</f>
        <v>2015-06-28-J02-HE-5</v>
      </c>
    </row>
    <row r="6211">
      <c r="A6211" t="str">
        <f>IFERROR(__xludf.DUMMYFUNCTION("""COMPUTED_VALUE"""),"2015-06-28-J03-HE-1")</f>
        <v>2015-06-28-J03-HE-1</v>
      </c>
    </row>
    <row r="6212">
      <c r="A6212" t="str">
        <f>IFERROR(__xludf.DUMMYFUNCTION("""COMPUTED_VALUE"""),"2015-06-28-J03-HE-2")</f>
        <v>2015-06-28-J03-HE-2</v>
      </c>
    </row>
    <row r="6213">
      <c r="A6213" t="str">
        <f>IFERROR(__xludf.DUMMYFUNCTION("""COMPUTED_VALUE"""),"2015-06-28-J03-HE-3")</f>
        <v>2015-06-28-J03-HE-3</v>
      </c>
    </row>
    <row r="6214">
      <c r="A6214" t="str">
        <f>IFERROR(__xludf.DUMMYFUNCTION("""COMPUTED_VALUE"""),"2015-06-28-J03-HE-4")</f>
        <v>2015-06-28-J03-HE-4</v>
      </c>
    </row>
    <row r="6215">
      <c r="A6215" t="str">
        <f>IFERROR(__xludf.DUMMYFUNCTION("""COMPUTED_VALUE"""),"2015-06-28-J03-HE-5")</f>
        <v>2015-06-28-J03-HE-5</v>
      </c>
    </row>
    <row r="6216">
      <c r="A6216" t="str">
        <f>IFERROR(__xludf.DUMMYFUNCTION("""COMPUTED_VALUE"""),"2015-06-28-J03-HE-6")</f>
        <v>2015-06-28-J03-HE-6</v>
      </c>
    </row>
    <row r="6217">
      <c r="A6217" t="str">
        <f>IFERROR(__xludf.DUMMYFUNCTION("""COMPUTED_VALUE"""),"2015-06-28-J03-HE-7")</f>
        <v>2015-06-28-J03-HE-7</v>
      </c>
    </row>
    <row r="6218">
      <c r="A6218" t="str">
        <f>IFERROR(__xludf.DUMMYFUNCTION("""COMPUTED_VALUE"""),"2015-06-28-J03-HE-8")</f>
        <v>2015-06-28-J03-HE-8</v>
      </c>
    </row>
    <row r="6219">
      <c r="A6219" t="str">
        <f>IFERROR(__xludf.DUMMYFUNCTION("""COMPUTED_VALUE"""),"2015-06-28-J03-HE-9")</f>
        <v>2015-06-28-J03-HE-9</v>
      </c>
    </row>
    <row r="6220">
      <c r="A6220" t="str">
        <f>IFERROR(__xludf.DUMMYFUNCTION("""COMPUTED_VALUE"""),"2015-06-28-J03-HE-10")</f>
        <v>2015-06-28-J03-HE-10</v>
      </c>
    </row>
    <row r="6221">
      <c r="A6221" t="str">
        <f>IFERROR(__xludf.DUMMYFUNCTION("""COMPUTED_VALUE"""),"2015-06-29-D11-SO-1")</f>
        <v>2015-06-29-D11-SO-1</v>
      </c>
    </row>
    <row r="6222">
      <c r="A6222" t="str">
        <f>IFERROR(__xludf.DUMMYFUNCTION("""COMPUTED_VALUE"""),"2015-06-29-D11-SO-2")</f>
        <v>2015-06-29-D11-SO-2</v>
      </c>
    </row>
    <row r="6223">
      <c r="A6223" t="str">
        <f>IFERROR(__xludf.DUMMYFUNCTION("""COMPUTED_VALUE"""),"2015-06-29-D11-SO-3")</f>
        <v>2015-06-29-D11-SO-3</v>
      </c>
    </row>
    <row r="6224">
      <c r="A6224" t="str">
        <f>IFERROR(__xludf.DUMMYFUNCTION("""COMPUTED_VALUE"""),"2015-06-29-D11-SO-4")</f>
        <v>2015-06-29-D11-SO-4</v>
      </c>
    </row>
    <row r="6225">
      <c r="A6225" t="str">
        <f>IFERROR(__xludf.DUMMYFUNCTION("""COMPUTED_VALUE"""),"2015-06-29-D11-SO-5")</f>
        <v>2015-06-29-D11-SO-5</v>
      </c>
    </row>
    <row r="6226">
      <c r="A6226" t="str">
        <f>IFERROR(__xludf.DUMMYFUNCTION("""COMPUTED_VALUE"""),"2015-06-29-D11-SO-6")</f>
        <v>2015-06-29-D11-SO-6</v>
      </c>
    </row>
    <row r="6227">
      <c r="A6227" t="str">
        <f>IFERROR(__xludf.DUMMYFUNCTION("""COMPUTED_VALUE"""),"2015-06-29-D11-SO-7")</f>
        <v>2015-06-29-D11-SO-7</v>
      </c>
    </row>
    <row r="6228">
      <c r="A6228" t="str">
        <f>IFERROR(__xludf.DUMMYFUNCTION("""COMPUTED_VALUE"""),"2015-06-29-D11-SO-8")</f>
        <v>2015-06-29-D11-SO-8</v>
      </c>
    </row>
    <row r="6229">
      <c r="A6229" t="str">
        <f>IFERROR(__xludf.DUMMYFUNCTION("""COMPUTED_VALUE"""),"2015-06-29-D11-SO-9")</f>
        <v>2015-06-29-D11-SO-9</v>
      </c>
    </row>
    <row r="6230">
      <c r="A6230" t="str">
        <f>IFERROR(__xludf.DUMMYFUNCTION("""COMPUTED_VALUE"""),"2015-06-29-D11-SO-10")</f>
        <v>2015-06-29-D11-SO-10</v>
      </c>
    </row>
    <row r="6231">
      <c r="A6231" t="str">
        <f>IFERROR(__xludf.DUMMYFUNCTION("""COMPUTED_VALUE"""),"2015-06-29-D11-SO-11")</f>
        <v>2015-06-29-D11-SO-11</v>
      </c>
    </row>
    <row r="6232">
      <c r="A6232" t="str">
        <f>IFERROR(__xludf.DUMMYFUNCTION("""COMPUTED_VALUE"""),"2015-06-29-D11-SO-12")</f>
        <v>2015-06-29-D11-SO-12</v>
      </c>
    </row>
    <row r="6233">
      <c r="A6233" t="str">
        <f>IFERROR(__xludf.DUMMYFUNCTION("""COMPUTED_VALUE"""),"2015-06-29-D11-SO-13")</f>
        <v>2015-06-29-D11-SO-13</v>
      </c>
    </row>
    <row r="6234">
      <c r="A6234" t="str">
        <f>IFERROR(__xludf.DUMMYFUNCTION("""COMPUTED_VALUE"""),"2015-06-29-D11-SO-14")</f>
        <v>2015-06-29-D11-SO-14</v>
      </c>
    </row>
    <row r="6235">
      <c r="A6235" t="str">
        <f>IFERROR(__xludf.DUMMYFUNCTION("""COMPUTED_VALUE"""),"2015-06-29-D11-SO-15")</f>
        <v>2015-06-29-D11-SO-15</v>
      </c>
    </row>
    <row r="6236">
      <c r="A6236" t="str">
        <f>IFERROR(__xludf.DUMMYFUNCTION("""COMPUTED_VALUE"""),"2015-06-29-D11-SO-16")</f>
        <v>2015-06-29-D11-SO-16</v>
      </c>
    </row>
    <row r="6237">
      <c r="A6237" t="str">
        <f>IFERROR(__xludf.DUMMYFUNCTION("""COMPUTED_VALUE"""),"2015-06-29-D11-SO-17")</f>
        <v>2015-06-29-D11-SO-17</v>
      </c>
    </row>
    <row r="6238">
      <c r="A6238" t="str">
        <f>IFERROR(__xludf.DUMMYFUNCTION("""COMPUTED_VALUE"""),"2015-06-29-D11-SO-18")</f>
        <v>2015-06-29-D11-SO-18</v>
      </c>
    </row>
    <row r="6239">
      <c r="A6239" t="str">
        <f>IFERROR(__xludf.DUMMYFUNCTION("""COMPUTED_VALUE"""),"2015-06-29-D11-SO-19")</f>
        <v>2015-06-29-D11-SO-19</v>
      </c>
    </row>
    <row r="6240">
      <c r="A6240" t="str">
        <f>IFERROR(__xludf.DUMMYFUNCTION("""COMPUTED_VALUE"""),"2015-06-29-D11-SO-20")</f>
        <v>2015-06-29-D11-SO-20</v>
      </c>
    </row>
    <row r="6241">
      <c r="A6241" t="str">
        <f>IFERROR(__xludf.DUMMYFUNCTION("""COMPUTED_VALUE"""),"2015-06-29-D11-SO-21")</f>
        <v>2015-06-29-D11-SO-21</v>
      </c>
    </row>
    <row r="6242">
      <c r="A6242" t="str">
        <f>IFERROR(__xludf.DUMMYFUNCTION("""COMPUTED_VALUE"""),"2015-06-29-D11-SO-22")</f>
        <v>2015-06-29-D11-SO-22</v>
      </c>
    </row>
    <row r="6243">
      <c r="A6243" t="str">
        <f>IFERROR(__xludf.DUMMYFUNCTION("""COMPUTED_VALUE"""),"2015-06-29-D11-SO-23")</f>
        <v>2015-06-29-D11-SO-23</v>
      </c>
    </row>
    <row r="6244">
      <c r="A6244" t="str">
        <f>IFERROR(__xludf.DUMMYFUNCTION("""COMPUTED_VALUE"""),"2015-06-29-D11-SO-24")</f>
        <v>2015-06-29-D11-SO-24</v>
      </c>
    </row>
    <row r="6245">
      <c r="A6245" t="str">
        <f>IFERROR(__xludf.DUMMYFUNCTION("""COMPUTED_VALUE"""),"2015-06-29-D11-SO-25")</f>
        <v>2015-06-29-D11-SO-25</v>
      </c>
    </row>
    <row r="6246">
      <c r="A6246" t="str">
        <f>IFERROR(__xludf.DUMMYFUNCTION("""COMPUTED_VALUE"""),"2015-06-29-D11-SO-26")</f>
        <v>2015-06-29-D11-SO-26</v>
      </c>
    </row>
    <row r="6247">
      <c r="A6247" t="str">
        <f>IFERROR(__xludf.DUMMYFUNCTION("""COMPUTED_VALUE"""),"2015-06-29-D11-SO-27")</f>
        <v>2015-06-29-D11-SO-27</v>
      </c>
    </row>
    <row r="6248">
      <c r="A6248" t="str">
        <f>IFERROR(__xludf.DUMMYFUNCTION("""COMPUTED_VALUE"""),"2015-06-29-D11-SO-28")</f>
        <v>2015-06-29-D11-SO-28</v>
      </c>
    </row>
    <row r="6249">
      <c r="A6249" t="str">
        <f>IFERROR(__xludf.DUMMYFUNCTION("""COMPUTED_VALUE"""),"2015-06-29-D11-SO-29")</f>
        <v>2015-06-29-D11-SO-29</v>
      </c>
    </row>
    <row r="6250">
      <c r="A6250" t="str">
        <f>IFERROR(__xludf.DUMMYFUNCTION("""COMPUTED_VALUE"""),"2015-06-29-D11-SO-30")</f>
        <v>2015-06-29-D11-SO-30</v>
      </c>
    </row>
    <row r="6251">
      <c r="A6251" t="str">
        <f>IFERROR(__xludf.DUMMYFUNCTION("""COMPUTED_VALUE"""),"2015-06-29-D09-SO-1")</f>
        <v>2015-06-29-D09-SO-1</v>
      </c>
    </row>
    <row r="6252">
      <c r="A6252" t="str">
        <f>IFERROR(__xludf.DUMMYFUNCTION("""COMPUTED_VALUE"""),"2015-06-29-D09-SO-2")</f>
        <v>2015-06-29-D09-SO-2</v>
      </c>
    </row>
    <row r="6253">
      <c r="A6253" t="str">
        <f>IFERROR(__xludf.DUMMYFUNCTION("""COMPUTED_VALUE"""),"2015-06-29-D09-SO-3")</f>
        <v>2015-06-29-D09-SO-3</v>
      </c>
    </row>
    <row r="6254">
      <c r="A6254" t="str">
        <f>IFERROR(__xludf.DUMMYFUNCTION("""COMPUTED_VALUE"""),"2015-06-29-D09-SO-4")</f>
        <v>2015-06-29-D09-SO-4</v>
      </c>
    </row>
    <row r="6255">
      <c r="A6255" t="str">
        <f>IFERROR(__xludf.DUMMYFUNCTION("""COMPUTED_VALUE"""),"2015-06-29-D09-SO-5")</f>
        <v>2015-06-29-D09-SO-5</v>
      </c>
    </row>
    <row r="6256">
      <c r="A6256" t="str">
        <f>IFERROR(__xludf.DUMMYFUNCTION("""COMPUTED_VALUE"""),"2015-06-29-D09-SO-6")</f>
        <v>2015-06-29-D09-SO-6</v>
      </c>
    </row>
    <row r="6257">
      <c r="A6257" t="str">
        <f>IFERROR(__xludf.DUMMYFUNCTION("""COMPUTED_VALUE"""),"2015-06-29-D09-SO-7")</f>
        <v>2015-06-29-D09-SO-7</v>
      </c>
    </row>
    <row r="6258">
      <c r="A6258" t="str">
        <f>IFERROR(__xludf.DUMMYFUNCTION("""COMPUTED_VALUE"""),"2015-06-29-D09-SO-8")</f>
        <v>2015-06-29-D09-SO-8</v>
      </c>
    </row>
    <row r="6259">
      <c r="A6259" t="str">
        <f>IFERROR(__xludf.DUMMYFUNCTION("""COMPUTED_VALUE"""),"2015-06-29-J07-SO-1")</f>
        <v>2015-06-29-J07-SO-1</v>
      </c>
    </row>
    <row r="6260">
      <c r="A6260" t="str">
        <f>IFERROR(__xludf.DUMMYFUNCTION("""COMPUTED_VALUE"""),"2015-06-29-J07-SO-2")</f>
        <v>2015-06-29-J07-SO-2</v>
      </c>
    </row>
    <row r="6261">
      <c r="A6261" t="str">
        <f>IFERROR(__xludf.DUMMYFUNCTION("""COMPUTED_VALUE"""),"2015-06-29-J07-SO-3")</f>
        <v>2015-06-29-J07-SO-3</v>
      </c>
    </row>
    <row r="6262">
      <c r="A6262" t="str">
        <f>IFERROR(__xludf.DUMMYFUNCTION("""COMPUTED_VALUE"""),"2015-06-29-J07-SO-4")</f>
        <v>2015-06-29-J07-SO-4</v>
      </c>
    </row>
    <row r="6263">
      <c r="A6263" t="str">
        <f>IFERROR(__xludf.DUMMYFUNCTION("""COMPUTED_VALUE"""),"2015-06-29-J07-SO-5")</f>
        <v>2015-06-29-J07-SO-5</v>
      </c>
    </row>
    <row r="6264">
      <c r="A6264" t="str">
        <f>IFERROR(__xludf.DUMMYFUNCTION("""COMPUTED_VALUE"""),"2015-06-29-J07-SO-6")</f>
        <v>2015-06-29-J07-SO-6</v>
      </c>
    </row>
    <row r="6265">
      <c r="A6265" t="str">
        <f>IFERROR(__xludf.DUMMYFUNCTION("""COMPUTED_VALUE"""),"2015-06-29-J07-SO-7")</f>
        <v>2015-06-29-J07-SO-7</v>
      </c>
    </row>
    <row r="6266">
      <c r="A6266" t="str">
        <f>IFERROR(__xludf.DUMMYFUNCTION("""COMPUTED_VALUE"""),"2015-06-29-J07-SO-8")</f>
        <v>2015-06-29-J07-SO-8</v>
      </c>
    </row>
    <row r="6267">
      <c r="A6267" t="str">
        <f>IFERROR(__xludf.DUMMYFUNCTION("""COMPUTED_VALUE"""),"2015-06-29-J07-SO-9")</f>
        <v>2015-06-29-J07-SO-9</v>
      </c>
    </row>
    <row r="6268">
      <c r="A6268" t="str">
        <f>IFERROR(__xludf.DUMMYFUNCTION("""COMPUTED_VALUE"""),"2015-06-29-J07-SO-10")</f>
        <v>2015-06-29-J07-SO-10</v>
      </c>
    </row>
    <row r="6269">
      <c r="A6269" t="str">
        <f>IFERROR(__xludf.DUMMYFUNCTION("""COMPUTED_VALUE"""),"2015-06-29-J07-SO-11")</f>
        <v>2015-06-29-J07-SO-11</v>
      </c>
    </row>
    <row r="6270">
      <c r="A6270" t="str">
        <f>IFERROR(__xludf.DUMMYFUNCTION("""COMPUTED_VALUE"""),"2015-06-29-J07-SO-12")</f>
        <v>2015-06-29-J07-SO-12</v>
      </c>
    </row>
    <row r="6271">
      <c r="A6271" t="str">
        <f>IFERROR(__xludf.DUMMYFUNCTION("""COMPUTED_VALUE"""),"2015-06-29-J07-SO-13")</f>
        <v>2015-06-29-J07-SO-13</v>
      </c>
    </row>
    <row r="6272">
      <c r="A6272" t="str">
        <f>IFERROR(__xludf.DUMMYFUNCTION("""COMPUTED_VALUE"""),"2015-06-29-J07-SO-14")</f>
        <v>2015-06-29-J07-SO-14</v>
      </c>
    </row>
    <row r="6273">
      <c r="A6273" t="str">
        <f>IFERROR(__xludf.DUMMYFUNCTION("""COMPUTED_VALUE"""),"2015-06-29-J07-SO-15")</f>
        <v>2015-06-29-J07-SO-15</v>
      </c>
    </row>
    <row r="6274">
      <c r="A6274" t="str">
        <f>IFERROR(__xludf.DUMMYFUNCTION("""COMPUTED_VALUE"""),"2015-06-29-J07-SO-16")</f>
        <v>2015-06-29-J07-SO-16</v>
      </c>
    </row>
    <row r="6275">
      <c r="A6275" t="str">
        <f>IFERROR(__xludf.DUMMYFUNCTION("""COMPUTED_VALUE"""),"2015-06-29-J07-SO-17")</f>
        <v>2015-06-29-J07-SO-17</v>
      </c>
    </row>
    <row r="6276">
      <c r="A6276" t="str">
        <f>IFERROR(__xludf.DUMMYFUNCTION("""COMPUTED_VALUE"""),"2015-06-29-J07-SO-18")</f>
        <v>2015-06-29-J07-SO-18</v>
      </c>
    </row>
    <row r="6277">
      <c r="A6277" t="str">
        <f>IFERROR(__xludf.DUMMYFUNCTION("""COMPUTED_VALUE"""),"2015-06-29-J07-SO-19")</f>
        <v>2015-06-29-J07-SO-19</v>
      </c>
    </row>
    <row r="6278">
      <c r="A6278" t="str">
        <f>IFERROR(__xludf.DUMMYFUNCTION("""COMPUTED_VALUE"""),"2015-06-29-J07-SO-20")</f>
        <v>2015-06-29-J07-SO-20</v>
      </c>
    </row>
    <row r="6279">
      <c r="A6279" t="str">
        <f>IFERROR(__xludf.DUMMYFUNCTION("""COMPUTED_VALUE"""),"2015-06-29-J07-SO-21")</f>
        <v>2015-06-29-J07-SO-21</v>
      </c>
    </row>
    <row r="6280">
      <c r="A6280" t="str">
        <f>IFERROR(__xludf.DUMMYFUNCTION("""COMPUTED_VALUE"""),"2015-06-29-J07-SO-22")</f>
        <v>2015-06-29-J07-SO-22</v>
      </c>
    </row>
    <row r="6281">
      <c r="A6281" t="str">
        <f>IFERROR(__xludf.DUMMYFUNCTION("""COMPUTED_VALUE"""),"2015-06-29-J07-SO-23")</f>
        <v>2015-06-29-J07-SO-23</v>
      </c>
    </row>
    <row r="6282">
      <c r="A6282" t="str">
        <f>IFERROR(__xludf.DUMMYFUNCTION("""COMPUTED_VALUE"""),"2015-06-29-J07-SO-24")</f>
        <v>2015-06-29-J07-SO-24</v>
      </c>
    </row>
    <row r="6283">
      <c r="A6283" t="str">
        <f>IFERROR(__xludf.DUMMYFUNCTION("""COMPUTED_VALUE"""),"2015-06-29-J07-SO-25")</f>
        <v>2015-06-29-J07-SO-25</v>
      </c>
    </row>
    <row r="6284">
      <c r="A6284" t="str">
        <f>IFERROR(__xludf.DUMMYFUNCTION("""COMPUTED_VALUE"""),"2015-06-29-J07-SO-26")</f>
        <v>2015-06-29-J07-SO-26</v>
      </c>
    </row>
    <row r="6285">
      <c r="A6285" t="str">
        <f>IFERROR(__xludf.DUMMYFUNCTION("""COMPUTED_VALUE"""),"2015-06-29-J07-SO-27")</f>
        <v>2015-06-29-J07-SO-27</v>
      </c>
    </row>
    <row r="6286">
      <c r="A6286" t="str">
        <f>IFERROR(__xludf.DUMMYFUNCTION("""COMPUTED_VALUE"""),"2015-06-29-J07-SO-28")</f>
        <v>2015-06-29-J07-SO-28</v>
      </c>
    </row>
    <row r="6287">
      <c r="A6287" t="str">
        <f>IFERROR(__xludf.DUMMYFUNCTION("""COMPUTED_VALUE"""),"2015-06-29-J07-SO-29")</f>
        <v>2015-06-29-J07-SO-29</v>
      </c>
    </row>
    <row r="6288">
      <c r="A6288" t="str">
        <f>IFERROR(__xludf.DUMMYFUNCTION("""COMPUTED_VALUE"""),"2015-06-29-J07-SO-30")</f>
        <v>2015-06-29-J07-SO-30</v>
      </c>
    </row>
    <row r="6289">
      <c r="A6289" t="str">
        <f>IFERROR(__xludf.DUMMYFUNCTION("""COMPUTED_VALUE"""),"2015-06-29-D09-PI-1")</f>
        <v>2015-06-29-D09-PI-1</v>
      </c>
    </row>
    <row r="6290">
      <c r="A6290" t="str">
        <f>IFERROR(__xludf.DUMMYFUNCTION("""COMPUTED_VALUE"""),"2015-06-29-D09-PI-2")</f>
        <v>2015-06-29-D09-PI-2</v>
      </c>
    </row>
    <row r="6291">
      <c r="A6291" t="str">
        <f>IFERROR(__xludf.DUMMYFUNCTION("""COMPUTED_VALUE"""),"2015-06-29-J08-PI-1")</f>
        <v>2015-06-29-J08-PI-1</v>
      </c>
    </row>
    <row r="6292">
      <c r="A6292" t="str">
        <f>IFERROR(__xludf.DUMMYFUNCTION("""COMPUTED_VALUE"""),"2015-06-29-J08-PI-2")</f>
        <v>2015-06-29-J08-PI-2</v>
      </c>
    </row>
    <row r="6293">
      <c r="A6293" t="str">
        <f>IFERROR(__xludf.DUMMYFUNCTION("""COMPUTED_VALUE"""),"2015-06-29-J08-PI-3")</f>
        <v>2015-06-29-J08-PI-3</v>
      </c>
    </row>
    <row r="6294">
      <c r="A6294" t="str">
        <f>IFERROR(__xludf.DUMMYFUNCTION("""COMPUTED_VALUE"""),"2015-06-29-J08-PI-4")</f>
        <v>2015-06-29-J08-PI-4</v>
      </c>
    </row>
    <row r="6295">
      <c r="A6295" t="str">
        <f>IFERROR(__xludf.DUMMYFUNCTION("""COMPUTED_VALUE"""),"2015-06-29-J08-PI-5")</f>
        <v>2015-06-29-J08-PI-5</v>
      </c>
    </row>
    <row r="6296">
      <c r="A6296" t="str">
        <f>IFERROR(__xludf.DUMMYFUNCTION("""COMPUTED_VALUE"""),"2015-06-29-J08-PI-6")</f>
        <v>2015-06-29-J08-PI-6</v>
      </c>
    </row>
    <row r="6297">
      <c r="A6297" t="str">
        <f>IFERROR(__xludf.DUMMYFUNCTION("""COMPUTED_VALUE"""),"2015-06-29-J08-PI-7")</f>
        <v>2015-06-29-J08-PI-7</v>
      </c>
    </row>
    <row r="6298">
      <c r="A6298" t="str">
        <f>IFERROR(__xludf.DUMMYFUNCTION("""COMPUTED_VALUE"""),"2015-06-29-J08-PI-8")</f>
        <v>2015-06-29-J08-PI-8</v>
      </c>
    </row>
    <row r="6299">
      <c r="A6299" t="str">
        <f>IFERROR(__xludf.DUMMYFUNCTION("""COMPUTED_VALUE"""),"2015-06-29-J08-PI-9")</f>
        <v>2015-06-29-J08-PI-9</v>
      </c>
    </row>
    <row r="6300">
      <c r="A6300" t="str">
        <f>IFERROR(__xludf.DUMMYFUNCTION("""COMPUTED_VALUE"""),"2015-06-29-J08-PI-10")</f>
        <v>2015-06-29-J08-PI-10</v>
      </c>
    </row>
    <row r="6301">
      <c r="A6301" t="str">
        <f>IFERROR(__xludf.DUMMYFUNCTION("""COMPUTED_VALUE"""),"2015-06-29-J07-PI-1")</f>
        <v>2015-06-29-J07-PI-1</v>
      </c>
    </row>
    <row r="6302">
      <c r="A6302" t="str">
        <f>IFERROR(__xludf.DUMMYFUNCTION("""COMPUTED_VALUE"""),"2015-06-29-J07-PI-2")</f>
        <v>2015-06-29-J07-PI-2</v>
      </c>
    </row>
    <row r="6303">
      <c r="A6303" t="str">
        <f>IFERROR(__xludf.DUMMYFUNCTION("""COMPUTED_VALUE"""),"2015-06-29-J07-PI-3")</f>
        <v>2015-06-29-J07-PI-3</v>
      </c>
    </row>
    <row r="6304">
      <c r="A6304" t="str">
        <f>IFERROR(__xludf.DUMMYFUNCTION("""COMPUTED_VALUE"""),"2015-06-29-J07-PI-4")</f>
        <v>2015-06-29-J07-PI-4</v>
      </c>
    </row>
    <row r="6305">
      <c r="A6305" t="str">
        <f>IFERROR(__xludf.DUMMYFUNCTION("""COMPUTED_VALUE"""),"2015-06-29-J07-PI-5")</f>
        <v>2015-06-29-J07-PI-5</v>
      </c>
    </row>
    <row r="6306">
      <c r="A6306" t="str">
        <f>IFERROR(__xludf.DUMMYFUNCTION("""COMPUTED_VALUE"""),"2015-06-29-J07-PI-6")</f>
        <v>2015-06-29-J07-PI-6</v>
      </c>
    </row>
    <row r="6307">
      <c r="A6307" t="str">
        <f>IFERROR(__xludf.DUMMYFUNCTION("""COMPUTED_VALUE"""),"2015-06-29-J07-PI-7")</f>
        <v>2015-06-29-J07-PI-7</v>
      </c>
    </row>
    <row r="6308">
      <c r="A6308" t="str">
        <f>IFERROR(__xludf.DUMMYFUNCTION("""COMPUTED_VALUE"""),"2015-06-29-J07-PI-8")</f>
        <v>2015-06-29-J07-PI-8</v>
      </c>
    </row>
    <row r="6309">
      <c r="A6309" t="str">
        <f>IFERROR(__xludf.DUMMYFUNCTION("""COMPUTED_VALUE"""),"2015-06-29-J07-PI-9")</f>
        <v>2015-06-29-J07-PI-9</v>
      </c>
    </row>
    <row r="6310">
      <c r="A6310" t="str">
        <f>IFERROR(__xludf.DUMMYFUNCTION("""COMPUTED_VALUE"""),"2015-06-29-J07-PI-10")</f>
        <v>2015-06-29-J07-PI-10</v>
      </c>
    </row>
    <row r="6311">
      <c r="A6311" t="str">
        <f>IFERROR(__xludf.DUMMYFUNCTION("""COMPUTED_VALUE"""),"2015-06-29-D11-CU-1")</f>
        <v>2015-06-29-D11-CU-1</v>
      </c>
    </row>
    <row r="6312">
      <c r="A6312" t="str">
        <f>IFERROR(__xludf.DUMMYFUNCTION("""COMPUTED_VALUE"""),"2015-06-29-D11-CU-2")</f>
        <v>2015-06-29-D11-CU-2</v>
      </c>
    </row>
    <row r="6313">
      <c r="A6313" t="str">
        <f>IFERROR(__xludf.DUMMYFUNCTION("""COMPUTED_VALUE"""),"2015-06-29-D11-CU-3")</f>
        <v>2015-06-29-D11-CU-3</v>
      </c>
    </row>
    <row r="6314">
      <c r="A6314" t="str">
        <f>IFERROR(__xludf.DUMMYFUNCTION("""COMPUTED_VALUE"""),"2015-06-29-D11-CU-4")</f>
        <v>2015-06-29-D11-CU-4</v>
      </c>
    </row>
    <row r="6315">
      <c r="A6315" t="str">
        <f>IFERROR(__xludf.DUMMYFUNCTION("""COMPUTED_VALUE"""),"2015-06-29-D11-CU-5")</f>
        <v>2015-06-29-D11-CU-5</v>
      </c>
    </row>
    <row r="6316">
      <c r="A6316" t="str">
        <f>IFERROR(__xludf.DUMMYFUNCTION("""COMPUTED_VALUE"""),"2015-06-29-D11-CU-6")</f>
        <v>2015-06-29-D11-CU-6</v>
      </c>
    </row>
    <row r="6317">
      <c r="A6317" t="str">
        <f>IFERROR(__xludf.DUMMYFUNCTION("""COMPUTED_VALUE"""),"2015-06-29-D11-CU-7")</f>
        <v>2015-06-29-D11-CU-7</v>
      </c>
    </row>
    <row r="6318">
      <c r="A6318" t="str">
        <f>IFERROR(__xludf.DUMMYFUNCTION("""COMPUTED_VALUE"""),"2015-06-29-D11-CU-8")</f>
        <v>2015-06-29-D11-CU-8</v>
      </c>
    </row>
    <row r="6319">
      <c r="A6319" t="str">
        <f>IFERROR(__xludf.DUMMYFUNCTION("""COMPUTED_VALUE"""),"2015-06-29-D11-CU-9")</f>
        <v>2015-06-29-D11-CU-9</v>
      </c>
    </row>
    <row r="6320">
      <c r="A6320" t="str">
        <f>IFERROR(__xludf.DUMMYFUNCTION("""COMPUTED_VALUE"""),"2015-06-29-D11-CU-10")</f>
        <v>2015-06-29-D11-CU-10</v>
      </c>
    </row>
    <row r="6321">
      <c r="A6321" t="str">
        <f>IFERROR(__xludf.DUMMYFUNCTION("""COMPUTED_VALUE"""),"2015-06-29-D09-CU-1")</f>
        <v>2015-06-29-D09-CU-1</v>
      </c>
    </row>
    <row r="6322">
      <c r="A6322" t="str">
        <f>IFERROR(__xludf.DUMMYFUNCTION("""COMPUTED_VALUE"""),"2015-06-29-D09-CU-2")</f>
        <v>2015-06-29-D09-CU-2</v>
      </c>
    </row>
    <row r="6323">
      <c r="A6323" t="str">
        <f>IFERROR(__xludf.DUMMYFUNCTION("""COMPUTED_VALUE"""),"2015-06-29-D09-CU-3")</f>
        <v>2015-06-29-D09-CU-3</v>
      </c>
    </row>
    <row r="6324">
      <c r="A6324" t="str">
        <f>IFERROR(__xludf.DUMMYFUNCTION("""COMPUTED_VALUE"""),"2015-06-29-D09-CU-4")</f>
        <v>2015-06-29-D09-CU-4</v>
      </c>
    </row>
    <row r="6325">
      <c r="A6325" t="str">
        <f>IFERROR(__xludf.DUMMYFUNCTION("""COMPUTED_VALUE"""),"2015-06-29-D09-CU-5")</f>
        <v>2015-06-29-D09-CU-5</v>
      </c>
    </row>
    <row r="6326">
      <c r="A6326" t="str">
        <f>IFERROR(__xludf.DUMMYFUNCTION("""COMPUTED_VALUE"""),"2015-06-29-D09-CU-6")</f>
        <v>2015-06-29-D09-CU-6</v>
      </c>
    </row>
    <row r="6327">
      <c r="A6327" t="str">
        <f>IFERROR(__xludf.DUMMYFUNCTION("""COMPUTED_VALUE"""),"2015-06-29-D09-CU-7")</f>
        <v>2015-06-29-D09-CU-7</v>
      </c>
    </row>
    <row r="6328">
      <c r="A6328" t="str">
        <f>IFERROR(__xludf.DUMMYFUNCTION("""COMPUTED_VALUE"""),"2015-06-29-D09-CU-8")</f>
        <v>2015-06-29-D09-CU-8</v>
      </c>
    </row>
    <row r="6329">
      <c r="A6329" t="str">
        <f>IFERROR(__xludf.DUMMYFUNCTION("""COMPUTED_VALUE"""),"2015-06-29-D09-CU-9")</f>
        <v>2015-06-29-D09-CU-9</v>
      </c>
    </row>
    <row r="6330">
      <c r="A6330" t="str">
        <f>IFERROR(__xludf.DUMMYFUNCTION("""COMPUTED_VALUE"""),"2015-06-29-D09-CU-10")</f>
        <v>2015-06-29-D09-CU-10</v>
      </c>
    </row>
    <row r="6331">
      <c r="A6331" t="str">
        <f>IFERROR(__xludf.DUMMYFUNCTION("""COMPUTED_VALUE"""),"2015-06-29-J08-CU-1")</f>
        <v>2015-06-29-J08-CU-1</v>
      </c>
    </row>
    <row r="6332">
      <c r="A6332" t="str">
        <f>IFERROR(__xludf.DUMMYFUNCTION("""COMPUTED_VALUE"""),"2015-06-29-J08-CU-2")</f>
        <v>2015-06-29-J08-CU-2</v>
      </c>
    </row>
    <row r="6333">
      <c r="A6333" t="str">
        <f>IFERROR(__xludf.DUMMYFUNCTION("""COMPUTED_VALUE"""),"2015-06-29-J08-CU-3")</f>
        <v>2015-06-29-J08-CU-3</v>
      </c>
    </row>
    <row r="6334">
      <c r="A6334" t="str">
        <f>IFERROR(__xludf.DUMMYFUNCTION("""COMPUTED_VALUE"""),"2015-06-29-J08-CU-4")</f>
        <v>2015-06-29-J08-CU-4</v>
      </c>
    </row>
    <row r="6335">
      <c r="A6335" t="str">
        <f>IFERROR(__xludf.DUMMYFUNCTION("""COMPUTED_VALUE"""),"2015-06-29-J08-CU-5")</f>
        <v>2015-06-29-J08-CU-5</v>
      </c>
    </row>
    <row r="6336">
      <c r="A6336" t="str">
        <f>IFERROR(__xludf.DUMMYFUNCTION("""COMPUTED_VALUE"""),"2015-06-29-J08-CU-6")</f>
        <v>2015-06-29-J08-CU-6</v>
      </c>
    </row>
    <row r="6337">
      <c r="A6337" t="str">
        <f>IFERROR(__xludf.DUMMYFUNCTION("""COMPUTED_VALUE"""),"2015-06-29-J08-CU-7")</f>
        <v>2015-06-29-J08-CU-7</v>
      </c>
    </row>
    <row r="6338">
      <c r="A6338" t="str">
        <f>IFERROR(__xludf.DUMMYFUNCTION("""COMPUTED_VALUE"""),"2015-06-29-J08-CU-8")</f>
        <v>2015-06-29-J08-CU-8</v>
      </c>
    </row>
    <row r="6339">
      <c r="A6339" t="str">
        <f>IFERROR(__xludf.DUMMYFUNCTION("""COMPUTED_VALUE"""),"2015-06-29-J08-CU-9")</f>
        <v>2015-06-29-J08-CU-9</v>
      </c>
    </row>
    <row r="6340">
      <c r="A6340" t="str">
        <f>IFERROR(__xludf.DUMMYFUNCTION("""COMPUTED_VALUE"""),"2015-06-29-J08-CU-10")</f>
        <v>2015-06-29-J08-CU-10</v>
      </c>
    </row>
    <row r="6341">
      <c r="A6341" t="str">
        <f>IFERROR(__xludf.DUMMYFUNCTION("""COMPUTED_VALUE"""),"2015-06-29-J07-CU-1")</f>
        <v>2015-06-29-J07-CU-1</v>
      </c>
    </row>
    <row r="6342">
      <c r="A6342" t="str">
        <f>IFERROR(__xludf.DUMMYFUNCTION("""COMPUTED_VALUE"""),"2015-06-29-J07-CU-2")</f>
        <v>2015-06-29-J07-CU-2</v>
      </c>
    </row>
    <row r="6343">
      <c r="A6343" t="str">
        <f>IFERROR(__xludf.DUMMYFUNCTION("""COMPUTED_VALUE"""),"2015-06-29-J07-CU-3")</f>
        <v>2015-06-29-J07-CU-3</v>
      </c>
    </row>
    <row r="6344">
      <c r="A6344" t="str">
        <f>IFERROR(__xludf.DUMMYFUNCTION("""COMPUTED_VALUE"""),"2015-06-29-J07-CU-4")</f>
        <v>2015-06-29-J07-CU-4</v>
      </c>
    </row>
    <row r="6345">
      <c r="A6345" t="str">
        <f>IFERROR(__xludf.DUMMYFUNCTION("""COMPUTED_VALUE"""),"2015-06-29-J07-CU-5")</f>
        <v>2015-06-29-J07-CU-5</v>
      </c>
    </row>
    <row r="6346">
      <c r="A6346" t="str">
        <f>IFERROR(__xludf.DUMMYFUNCTION("""COMPUTED_VALUE"""),"2015-06-29-J07-CU-6")</f>
        <v>2015-06-29-J07-CU-6</v>
      </c>
    </row>
    <row r="6347">
      <c r="A6347" t="str">
        <f>IFERROR(__xludf.DUMMYFUNCTION("""COMPUTED_VALUE"""),"2015-06-29-J07-CU-7")</f>
        <v>2015-06-29-J07-CU-7</v>
      </c>
    </row>
    <row r="6348">
      <c r="A6348" t="str">
        <f>IFERROR(__xludf.DUMMYFUNCTION("""COMPUTED_VALUE"""),"2015-06-29-J07-CU-8")</f>
        <v>2015-06-29-J07-CU-8</v>
      </c>
    </row>
    <row r="6349">
      <c r="A6349" t="str">
        <f>IFERROR(__xludf.DUMMYFUNCTION("""COMPUTED_VALUE"""),"2015-06-29-J07-CU-9")</f>
        <v>2015-06-29-J07-CU-9</v>
      </c>
    </row>
    <row r="6350">
      <c r="A6350" t="str">
        <f>IFERROR(__xludf.DUMMYFUNCTION("""COMPUTED_VALUE"""),"2015-06-29-J07-CU-10")</f>
        <v>2015-06-29-J07-CU-10</v>
      </c>
    </row>
    <row r="6351">
      <c r="A6351" t="str">
        <f>IFERROR(__xludf.DUMMYFUNCTION("""COMPUTED_VALUE"""),"2015-06-29-J08-HE-1")</f>
        <v>2015-06-29-J08-HE-1</v>
      </c>
    </row>
    <row r="6352">
      <c r="A6352" t="str">
        <f>IFERROR(__xludf.DUMMYFUNCTION("""COMPUTED_VALUE"""),"2015-06-29-J08-HE-2")</f>
        <v>2015-06-29-J08-HE-2</v>
      </c>
    </row>
    <row r="6353">
      <c r="A6353" t="str">
        <f>IFERROR(__xludf.DUMMYFUNCTION("""COMPUTED_VALUE"""),"2015-06-29-J07-HE-1")</f>
        <v>2015-06-29-J07-HE-1</v>
      </c>
    </row>
    <row r="6354">
      <c r="A6354" t="str">
        <f>IFERROR(__xludf.DUMMYFUNCTION("""COMPUTED_VALUE"""),"2015-06-29-J07-HE-2")</f>
        <v>2015-06-29-J07-HE-2</v>
      </c>
    </row>
    <row r="6355">
      <c r="A6355" t="str">
        <f>IFERROR(__xludf.DUMMYFUNCTION("""COMPUTED_VALUE"""),"2015-06-29-J07-HE-3")</f>
        <v>2015-06-29-J07-HE-3</v>
      </c>
    </row>
    <row r="6356">
      <c r="A6356" t="str">
        <f>IFERROR(__xludf.DUMMYFUNCTION("""COMPUTED_VALUE"""),"2015-06-29-J07-HE-4")</f>
        <v>2015-06-29-J07-HE-4</v>
      </c>
    </row>
    <row r="6357">
      <c r="A6357" t="str">
        <f>IFERROR(__xludf.DUMMYFUNCTION("""COMPUTED_VALUE"""),"2015-06-29-J07-HE-5")</f>
        <v>2015-06-29-J07-HE-5</v>
      </c>
    </row>
    <row r="6358">
      <c r="A6358" t="str">
        <f>IFERROR(__xludf.DUMMYFUNCTION("""COMPUTED_VALUE"""),"2015-07-01-J10-SO-1")</f>
        <v>2015-07-01-J10-SO-1</v>
      </c>
    </row>
    <row r="6359">
      <c r="A6359" t="str">
        <f>IFERROR(__xludf.DUMMYFUNCTION("""COMPUTED_VALUE"""),"2015-07-01-J10-SO-2")</f>
        <v>2015-07-01-J10-SO-2</v>
      </c>
    </row>
    <row r="6360">
      <c r="A6360" t="str">
        <f>IFERROR(__xludf.DUMMYFUNCTION("""COMPUTED_VALUE"""),"2015-07-01-J10-SO-3")</f>
        <v>2015-07-01-J10-SO-3</v>
      </c>
    </row>
    <row r="6361">
      <c r="A6361" t="str">
        <f>IFERROR(__xludf.DUMMYFUNCTION("""COMPUTED_VALUE"""),"2015-07-01-J10-SO-4")</f>
        <v>2015-07-01-J10-SO-4</v>
      </c>
    </row>
    <row r="6362">
      <c r="A6362" t="str">
        <f>IFERROR(__xludf.DUMMYFUNCTION("""COMPUTED_VALUE"""),"2015-07-01-J03-SO-1")</f>
        <v>2015-07-01-J03-SO-1</v>
      </c>
    </row>
    <row r="6363">
      <c r="A6363" t="str">
        <f>IFERROR(__xludf.DUMMYFUNCTION("""COMPUTED_VALUE"""),"2015-07-01-J03-SO-2")</f>
        <v>2015-07-01-J03-SO-2</v>
      </c>
    </row>
    <row r="6364">
      <c r="A6364" t="str">
        <f>IFERROR(__xludf.DUMMYFUNCTION("""COMPUTED_VALUE"""),"2015-07-01-J03-SO-3")</f>
        <v>2015-07-01-J03-SO-3</v>
      </c>
    </row>
    <row r="6365">
      <c r="A6365" t="str">
        <f>IFERROR(__xludf.DUMMYFUNCTION("""COMPUTED_VALUE"""),"2015-07-01-J09-SO-1")</f>
        <v>2015-07-01-J09-SO-1</v>
      </c>
    </row>
    <row r="6366">
      <c r="A6366" t="str">
        <f>IFERROR(__xludf.DUMMYFUNCTION("""COMPUTED_VALUE"""),"2015-07-01-J09-SO-2")</f>
        <v>2015-07-01-J09-SO-2</v>
      </c>
    </row>
    <row r="6367">
      <c r="A6367" t="str">
        <f>IFERROR(__xludf.DUMMYFUNCTION("""COMPUTED_VALUE"""),"2015-07-01-J09-SO-3")</f>
        <v>2015-07-01-J09-SO-3</v>
      </c>
    </row>
    <row r="6368">
      <c r="A6368" t="str">
        <f>IFERROR(__xludf.DUMMYFUNCTION("""COMPUTED_VALUE"""),"2015-07-01-J09-SO-4")</f>
        <v>2015-07-01-J09-SO-4</v>
      </c>
    </row>
    <row r="6369">
      <c r="A6369" t="str">
        <f>IFERROR(__xludf.DUMMYFUNCTION("""COMPUTED_VALUE"""),"2015-07-01-J09-SO-5")</f>
        <v>2015-07-01-J09-SO-5</v>
      </c>
    </row>
    <row r="6370">
      <c r="A6370" t="str">
        <f>IFERROR(__xludf.DUMMYFUNCTION("""COMPUTED_VALUE"""),"2015-07-01-J09-SO-6")</f>
        <v>2015-07-01-J09-SO-6</v>
      </c>
    </row>
    <row r="6371">
      <c r="A6371" t="str">
        <f>IFERROR(__xludf.DUMMYFUNCTION("""COMPUTED_VALUE"""),"2015-07-01-J09-SO-7")</f>
        <v>2015-07-01-J09-SO-7</v>
      </c>
    </row>
    <row r="6372">
      <c r="A6372" t="str">
        <f>IFERROR(__xludf.DUMMYFUNCTION("""COMPUTED_VALUE"""),"2015-07-01-J09-SO-8")</f>
        <v>2015-07-01-J09-SO-8</v>
      </c>
    </row>
    <row r="6373">
      <c r="A6373" t="str">
        <f>IFERROR(__xludf.DUMMYFUNCTION("""COMPUTED_VALUE"""),"2015-07-01-J09-SO-9")</f>
        <v>2015-07-01-J09-SO-9</v>
      </c>
    </row>
    <row r="6374">
      <c r="A6374" t="str">
        <f>IFERROR(__xludf.DUMMYFUNCTION("""COMPUTED_VALUE"""),"2015-07-01-J09-SO-10")</f>
        <v>2015-07-01-J09-SO-10</v>
      </c>
    </row>
    <row r="6375">
      <c r="A6375" t="str">
        <f>IFERROR(__xludf.DUMMYFUNCTION("""COMPUTED_VALUE"""),"2015-07-01-J09-SO-11")</f>
        <v>2015-07-01-J09-SO-11</v>
      </c>
    </row>
    <row r="6376">
      <c r="A6376" t="str">
        <f>IFERROR(__xludf.DUMMYFUNCTION("""COMPUTED_VALUE"""),"2015-07-01-J09-SO-12")</f>
        <v>2015-07-01-J09-SO-12</v>
      </c>
    </row>
    <row r="6377">
      <c r="A6377" t="str">
        <f>IFERROR(__xludf.DUMMYFUNCTION("""COMPUTED_VALUE"""),"2015-07-01-J09-SO-13")</f>
        <v>2015-07-01-J09-SO-13</v>
      </c>
    </row>
    <row r="6378">
      <c r="A6378" t="str">
        <f>IFERROR(__xludf.DUMMYFUNCTION("""COMPUTED_VALUE"""),"2015-07-01-J09-SO-14")</f>
        <v>2015-07-01-J09-SO-14</v>
      </c>
    </row>
    <row r="6379">
      <c r="A6379" t="str">
        <f>IFERROR(__xludf.DUMMYFUNCTION("""COMPUTED_VALUE"""),"2015-07-01-J09-SO-15")</f>
        <v>2015-07-01-J09-SO-15</v>
      </c>
    </row>
    <row r="6380">
      <c r="A6380" t="str">
        <f>IFERROR(__xludf.DUMMYFUNCTION("""COMPUTED_VALUE"""),"2015-07-01-J09-SO-16")</f>
        <v>2015-07-01-J09-SO-16</v>
      </c>
    </row>
    <row r="6381">
      <c r="A6381" t="str">
        <f>IFERROR(__xludf.DUMMYFUNCTION("""COMPUTED_VALUE"""),"2015-07-01-J09-SO-17")</f>
        <v>2015-07-01-J09-SO-17</v>
      </c>
    </row>
    <row r="6382">
      <c r="A6382" t="str">
        <f>IFERROR(__xludf.DUMMYFUNCTION("""COMPUTED_VALUE"""),"2015-07-01-J09-SO-18")</f>
        <v>2015-07-01-J09-SO-18</v>
      </c>
    </row>
    <row r="6383">
      <c r="A6383" t="str">
        <f>IFERROR(__xludf.DUMMYFUNCTION("""COMPUTED_VALUE"""),"2015-07-01-J09-SO-19")</f>
        <v>2015-07-01-J09-SO-19</v>
      </c>
    </row>
    <row r="6384">
      <c r="A6384" t="str">
        <f>IFERROR(__xludf.DUMMYFUNCTION("""COMPUTED_VALUE"""),"2015-07-01-J09-SO-20")</f>
        <v>2015-07-01-J09-SO-20</v>
      </c>
    </row>
    <row r="6385">
      <c r="A6385" t="str">
        <f>IFERROR(__xludf.DUMMYFUNCTION("""COMPUTED_VALUE"""),"2015-07-01-J09-SO-21")</f>
        <v>2015-07-01-J09-SO-21</v>
      </c>
    </row>
    <row r="6386">
      <c r="A6386" t="str">
        <f>IFERROR(__xludf.DUMMYFUNCTION("""COMPUTED_VALUE"""),"2015-07-01-J09-SO-22")</f>
        <v>2015-07-01-J09-SO-22</v>
      </c>
    </row>
    <row r="6387">
      <c r="A6387" t="str">
        <f>IFERROR(__xludf.DUMMYFUNCTION("""COMPUTED_VALUE"""),"2015-07-01-J09-SO-23")</f>
        <v>2015-07-01-J09-SO-23</v>
      </c>
    </row>
    <row r="6388">
      <c r="A6388" t="str">
        <f>IFERROR(__xludf.DUMMYFUNCTION("""COMPUTED_VALUE"""),"2015-07-01-J09-SO-24")</f>
        <v>2015-07-01-J09-SO-24</v>
      </c>
    </row>
    <row r="6389">
      <c r="A6389" t="str">
        <f>IFERROR(__xludf.DUMMYFUNCTION("""COMPUTED_VALUE"""),"2015-07-01-J09-SO-25")</f>
        <v>2015-07-01-J09-SO-25</v>
      </c>
    </row>
    <row r="6390">
      <c r="A6390" t="str">
        <f>IFERROR(__xludf.DUMMYFUNCTION("""COMPUTED_VALUE"""),"2015-07-01-J09-SO-26")</f>
        <v>2015-07-01-J09-SO-26</v>
      </c>
    </row>
    <row r="6391">
      <c r="A6391" t="str">
        <f>IFERROR(__xludf.DUMMYFUNCTION("""COMPUTED_VALUE"""),"2015-07-01-J09-SO-27")</f>
        <v>2015-07-01-J09-SO-27</v>
      </c>
    </row>
    <row r="6392">
      <c r="A6392" t="str">
        <f>IFERROR(__xludf.DUMMYFUNCTION("""COMPUTED_VALUE"""),"2015-07-01-J09-SO-28")</f>
        <v>2015-07-01-J09-SO-28</v>
      </c>
    </row>
    <row r="6393">
      <c r="A6393" t="str">
        <f>IFERROR(__xludf.DUMMYFUNCTION("""COMPUTED_VALUE"""),"2015-07-01-J09-SO-29")</f>
        <v>2015-07-01-J09-SO-29</v>
      </c>
    </row>
    <row r="6394">
      <c r="A6394" t="str">
        <f>IFERROR(__xludf.DUMMYFUNCTION("""COMPUTED_VALUE"""),"2015-07-01-J09-SO-30")</f>
        <v>2015-07-01-J09-SO-30</v>
      </c>
    </row>
    <row r="6395">
      <c r="A6395" t="str">
        <f>IFERROR(__xludf.DUMMYFUNCTION("""COMPUTED_VALUE"""),"2015-07-01-J10-PI-1")</f>
        <v>2015-07-01-J10-PI-1</v>
      </c>
    </row>
    <row r="6396">
      <c r="A6396" t="str">
        <f>IFERROR(__xludf.DUMMYFUNCTION("""COMPUTED_VALUE"""),"2015-07-01-J10-PI-2")</f>
        <v>2015-07-01-J10-PI-2</v>
      </c>
    </row>
    <row r="6397">
      <c r="A6397" t="str">
        <f>IFERROR(__xludf.DUMMYFUNCTION("""COMPUTED_VALUE"""),"2015-07-01-J10-PI-3")</f>
        <v>2015-07-01-J10-PI-3</v>
      </c>
    </row>
    <row r="6398">
      <c r="A6398" t="str">
        <f>IFERROR(__xludf.DUMMYFUNCTION("""COMPUTED_VALUE"""),"2015-07-01-J10-PI-4")</f>
        <v>2015-07-01-J10-PI-4</v>
      </c>
    </row>
    <row r="6399">
      <c r="A6399" t="str">
        <f>IFERROR(__xludf.DUMMYFUNCTION("""COMPUTED_VALUE"""),"2015-07-01-J10-PI-5")</f>
        <v>2015-07-01-J10-PI-5</v>
      </c>
    </row>
    <row r="6400">
      <c r="A6400" t="str">
        <f>IFERROR(__xludf.DUMMYFUNCTION("""COMPUTED_VALUE"""),"2015-07-01-J10-PI-6")</f>
        <v>2015-07-01-J10-PI-6</v>
      </c>
    </row>
    <row r="6401">
      <c r="A6401" t="str">
        <f>IFERROR(__xludf.DUMMYFUNCTION("""COMPUTED_VALUE"""),"2015-07-01-J10-PI-7")</f>
        <v>2015-07-01-J10-PI-7</v>
      </c>
    </row>
    <row r="6402">
      <c r="A6402" t="str">
        <f>IFERROR(__xludf.DUMMYFUNCTION("""COMPUTED_VALUE"""),"2015-07-01-J10-PI-8")</f>
        <v>2015-07-01-J10-PI-8</v>
      </c>
    </row>
    <row r="6403">
      <c r="A6403" t="str">
        <f>IFERROR(__xludf.DUMMYFUNCTION("""COMPUTED_VALUE"""),"2015-07-01-J10-PI-9")</f>
        <v>2015-07-01-J10-PI-9</v>
      </c>
    </row>
    <row r="6404">
      <c r="A6404" t="str">
        <f>IFERROR(__xludf.DUMMYFUNCTION("""COMPUTED_VALUE"""),"2015-07-01-J10-PI-10")</f>
        <v>2015-07-01-J10-PI-10</v>
      </c>
    </row>
    <row r="6405">
      <c r="A6405" t="str">
        <f>IFERROR(__xludf.DUMMYFUNCTION("""COMPUTED_VALUE"""),"2015-07-01-J03-PI-1")</f>
        <v>2015-07-01-J03-PI-1</v>
      </c>
    </row>
    <row r="6406">
      <c r="A6406" t="str">
        <f>IFERROR(__xludf.DUMMYFUNCTION("""COMPUTED_VALUE"""),"2015-07-01-J03-PI-2")</f>
        <v>2015-07-01-J03-PI-2</v>
      </c>
    </row>
    <row r="6407">
      <c r="A6407" t="str">
        <f>IFERROR(__xludf.DUMMYFUNCTION("""COMPUTED_VALUE"""),"2015-07-01-J03-PI-3")</f>
        <v>2015-07-01-J03-PI-3</v>
      </c>
    </row>
    <row r="6408">
      <c r="A6408" t="str">
        <f>IFERROR(__xludf.DUMMYFUNCTION("""COMPUTED_VALUE"""),"2015-07-01-J03-PI-4")</f>
        <v>2015-07-01-J03-PI-4</v>
      </c>
    </row>
    <row r="6409">
      <c r="A6409" t="str">
        <f>IFERROR(__xludf.DUMMYFUNCTION("""COMPUTED_VALUE"""),"2015-07-01-J03-PI-5")</f>
        <v>2015-07-01-J03-PI-5</v>
      </c>
    </row>
    <row r="6410">
      <c r="A6410" t="str">
        <f>IFERROR(__xludf.DUMMYFUNCTION("""COMPUTED_VALUE"""),"2015-07-01-J03-PI-6")</f>
        <v>2015-07-01-J03-PI-6</v>
      </c>
    </row>
    <row r="6411">
      <c r="A6411" t="str">
        <f>IFERROR(__xludf.DUMMYFUNCTION("""COMPUTED_VALUE"""),"2015-07-01-J03-PI-7")</f>
        <v>2015-07-01-J03-PI-7</v>
      </c>
    </row>
    <row r="6412">
      <c r="A6412" t="str">
        <f>IFERROR(__xludf.DUMMYFUNCTION("""COMPUTED_VALUE"""),"2015-07-01-J03-PI-8")</f>
        <v>2015-07-01-J03-PI-8</v>
      </c>
    </row>
    <row r="6413">
      <c r="A6413" t="str">
        <f>IFERROR(__xludf.DUMMYFUNCTION("""COMPUTED_VALUE"""),"2015-07-01-J03-PI-9")</f>
        <v>2015-07-01-J03-PI-9</v>
      </c>
    </row>
    <row r="6414">
      <c r="A6414" t="str">
        <f>IFERROR(__xludf.DUMMYFUNCTION("""COMPUTED_VALUE"""),"2015-07-01-J03-PI-10")</f>
        <v>2015-07-01-J03-PI-10</v>
      </c>
    </row>
    <row r="6415">
      <c r="A6415" t="str">
        <f>IFERROR(__xludf.DUMMYFUNCTION("""COMPUTED_VALUE"""),"2015-07-01-J09-PI-1")</f>
        <v>2015-07-01-J09-PI-1</v>
      </c>
    </row>
    <row r="6416">
      <c r="A6416" t="str">
        <f>IFERROR(__xludf.DUMMYFUNCTION("""COMPUTED_VALUE"""),"2015-07-01-J09-PI-2")</f>
        <v>2015-07-01-J09-PI-2</v>
      </c>
    </row>
    <row r="6417">
      <c r="A6417" t="str">
        <f>IFERROR(__xludf.DUMMYFUNCTION("""COMPUTED_VALUE"""),"2015-07-01-J09-PI-3")</f>
        <v>2015-07-01-J09-PI-3</v>
      </c>
    </row>
    <row r="6418">
      <c r="A6418" t="str">
        <f>IFERROR(__xludf.DUMMYFUNCTION("""COMPUTED_VALUE"""),"2015-07-01-J09-PI-4")</f>
        <v>2015-07-01-J09-PI-4</v>
      </c>
    </row>
    <row r="6419">
      <c r="A6419" t="str">
        <f>IFERROR(__xludf.DUMMYFUNCTION("""COMPUTED_VALUE"""),"2015-07-01-J09-PI-5")</f>
        <v>2015-07-01-J09-PI-5</v>
      </c>
    </row>
    <row r="6420">
      <c r="A6420" t="str">
        <f>IFERROR(__xludf.DUMMYFUNCTION("""COMPUTED_VALUE"""),"2015-07-01-J09-PI-6")</f>
        <v>2015-07-01-J09-PI-6</v>
      </c>
    </row>
    <row r="6421">
      <c r="A6421" t="str">
        <f>IFERROR(__xludf.DUMMYFUNCTION("""COMPUTED_VALUE"""),"2015-07-01-J09-PI-7")</f>
        <v>2015-07-01-J09-PI-7</v>
      </c>
    </row>
    <row r="6422">
      <c r="A6422" t="str">
        <f>IFERROR(__xludf.DUMMYFUNCTION("""COMPUTED_VALUE"""),"2015-07-01-J09-PI-8")</f>
        <v>2015-07-01-J09-PI-8</v>
      </c>
    </row>
    <row r="6423">
      <c r="A6423" t="str">
        <f>IFERROR(__xludf.DUMMYFUNCTION("""COMPUTED_VALUE"""),"2015-07-01-J09-PI-9")</f>
        <v>2015-07-01-J09-PI-9</v>
      </c>
    </row>
    <row r="6424">
      <c r="A6424" t="str">
        <f>IFERROR(__xludf.DUMMYFUNCTION("""COMPUTED_VALUE"""),"2015-07-01-J09-PI-10")</f>
        <v>2015-07-01-J09-PI-10</v>
      </c>
    </row>
    <row r="6425">
      <c r="A6425" t="str">
        <f>IFERROR(__xludf.DUMMYFUNCTION("""COMPUTED_VALUE"""),"2015-07-01-J10-CU-1")</f>
        <v>2015-07-01-J10-CU-1</v>
      </c>
    </row>
    <row r="6426">
      <c r="A6426" t="str">
        <f>IFERROR(__xludf.DUMMYFUNCTION("""COMPUTED_VALUE"""),"2015-07-01-J10-CU-2")</f>
        <v>2015-07-01-J10-CU-2</v>
      </c>
    </row>
    <row r="6427">
      <c r="A6427" t="str">
        <f>IFERROR(__xludf.DUMMYFUNCTION("""COMPUTED_VALUE"""),"2015-07-01-J10-CU-3")</f>
        <v>2015-07-01-J10-CU-3</v>
      </c>
    </row>
    <row r="6428">
      <c r="A6428" t="str">
        <f>IFERROR(__xludf.DUMMYFUNCTION("""COMPUTED_VALUE"""),"2015-07-01-J10-CU-4")</f>
        <v>2015-07-01-J10-CU-4</v>
      </c>
    </row>
    <row r="6429">
      <c r="A6429" t="str">
        <f>IFERROR(__xludf.DUMMYFUNCTION("""COMPUTED_VALUE"""),"2015-07-01-J10-CU-5")</f>
        <v>2015-07-01-J10-CU-5</v>
      </c>
    </row>
    <row r="6430">
      <c r="A6430" t="str">
        <f>IFERROR(__xludf.DUMMYFUNCTION("""COMPUTED_VALUE"""),"2015-07-01-J10-CU-6")</f>
        <v>2015-07-01-J10-CU-6</v>
      </c>
    </row>
    <row r="6431">
      <c r="A6431" t="str">
        <f>IFERROR(__xludf.DUMMYFUNCTION("""COMPUTED_VALUE"""),"2015-07-01-J10-CU-7")</f>
        <v>2015-07-01-J10-CU-7</v>
      </c>
    </row>
    <row r="6432">
      <c r="A6432" t="str">
        <f>IFERROR(__xludf.DUMMYFUNCTION("""COMPUTED_VALUE"""),"2015-07-01-J10-CU-8")</f>
        <v>2015-07-01-J10-CU-8</v>
      </c>
    </row>
    <row r="6433">
      <c r="A6433" t="str">
        <f>IFERROR(__xludf.DUMMYFUNCTION("""COMPUTED_VALUE"""),"2015-07-01-J10-CU-9")</f>
        <v>2015-07-01-J10-CU-9</v>
      </c>
    </row>
    <row r="6434">
      <c r="A6434" t="str">
        <f>IFERROR(__xludf.DUMMYFUNCTION("""COMPUTED_VALUE"""),"2015-07-01-J10-CU-10")</f>
        <v>2015-07-01-J10-CU-10</v>
      </c>
    </row>
    <row r="6435">
      <c r="A6435" t="str">
        <f>IFERROR(__xludf.DUMMYFUNCTION("""COMPUTED_VALUE"""),"2015-07-01-J03-CU-1")</f>
        <v>2015-07-01-J03-CU-1</v>
      </c>
    </row>
    <row r="6436">
      <c r="A6436" t="str">
        <f>IFERROR(__xludf.DUMMYFUNCTION("""COMPUTED_VALUE"""),"2015-07-01-J03-CU-2")</f>
        <v>2015-07-01-J03-CU-2</v>
      </c>
    </row>
    <row r="6437">
      <c r="A6437" t="str">
        <f>IFERROR(__xludf.DUMMYFUNCTION("""COMPUTED_VALUE"""),"2015-07-01-J03-CU-3")</f>
        <v>2015-07-01-J03-CU-3</v>
      </c>
    </row>
    <row r="6438">
      <c r="A6438" t="str">
        <f>IFERROR(__xludf.DUMMYFUNCTION("""COMPUTED_VALUE"""),"2015-07-01-J03-CU-4")</f>
        <v>2015-07-01-J03-CU-4</v>
      </c>
    </row>
    <row r="6439">
      <c r="A6439" t="str">
        <f>IFERROR(__xludf.DUMMYFUNCTION("""COMPUTED_VALUE"""),"2015-07-01-J03-CU-5")</f>
        <v>2015-07-01-J03-CU-5</v>
      </c>
    </row>
    <row r="6440">
      <c r="A6440" t="str">
        <f>IFERROR(__xludf.DUMMYFUNCTION("""COMPUTED_VALUE"""),"2015-07-01-J03-CU-6")</f>
        <v>2015-07-01-J03-CU-6</v>
      </c>
    </row>
    <row r="6441">
      <c r="A6441" t="str">
        <f>IFERROR(__xludf.DUMMYFUNCTION("""COMPUTED_VALUE"""),"2015-07-01-J03-CU-7")</f>
        <v>2015-07-01-J03-CU-7</v>
      </c>
    </row>
    <row r="6442">
      <c r="A6442" t="str">
        <f>IFERROR(__xludf.DUMMYFUNCTION("""COMPUTED_VALUE"""),"2015-07-01-J03-CU-8")</f>
        <v>2015-07-01-J03-CU-8</v>
      </c>
    </row>
    <row r="6443">
      <c r="A6443" t="str">
        <f>IFERROR(__xludf.DUMMYFUNCTION("""COMPUTED_VALUE"""),"2015-07-01-J09-CU-1")</f>
        <v>2015-07-01-J09-CU-1</v>
      </c>
    </row>
    <row r="6444">
      <c r="A6444" t="str">
        <f>IFERROR(__xludf.DUMMYFUNCTION("""COMPUTED_VALUE"""),"2015-07-01-J09-CU-2")</f>
        <v>2015-07-01-J09-CU-2</v>
      </c>
    </row>
    <row r="6445">
      <c r="A6445" t="str">
        <f>IFERROR(__xludf.DUMMYFUNCTION("""COMPUTED_VALUE"""),"2015-07-01-J09-CU-3")</f>
        <v>2015-07-01-J09-CU-3</v>
      </c>
    </row>
    <row r="6446">
      <c r="A6446" t="str">
        <f>IFERROR(__xludf.DUMMYFUNCTION("""COMPUTED_VALUE"""),"2015-07-01-J09-CU-4")</f>
        <v>2015-07-01-J09-CU-4</v>
      </c>
    </row>
    <row r="6447">
      <c r="A6447" t="str">
        <f>IFERROR(__xludf.DUMMYFUNCTION("""COMPUTED_VALUE"""),"2015-07-01-J09-CU-5")</f>
        <v>2015-07-01-J09-CU-5</v>
      </c>
    </row>
    <row r="6448">
      <c r="A6448" t="str">
        <f>IFERROR(__xludf.DUMMYFUNCTION("""COMPUTED_VALUE"""),"2015-07-01-J09-CU-6")</f>
        <v>2015-07-01-J09-CU-6</v>
      </c>
    </row>
    <row r="6449">
      <c r="A6449" t="str">
        <f>IFERROR(__xludf.DUMMYFUNCTION("""COMPUTED_VALUE"""),"2015-07-01-J09-CU-7")</f>
        <v>2015-07-01-J09-CU-7</v>
      </c>
    </row>
    <row r="6450">
      <c r="A6450" t="str">
        <f>IFERROR(__xludf.DUMMYFUNCTION("""COMPUTED_VALUE"""),"2015-07-01-J09-CU-8")</f>
        <v>2015-07-01-J09-CU-8</v>
      </c>
    </row>
    <row r="6451">
      <c r="A6451" t="str">
        <f>IFERROR(__xludf.DUMMYFUNCTION("""COMPUTED_VALUE"""),"2015-07-01-J09-CU-9")</f>
        <v>2015-07-01-J09-CU-9</v>
      </c>
    </row>
    <row r="6452">
      <c r="A6452" t="str">
        <f>IFERROR(__xludf.DUMMYFUNCTION("""COMPUTED_VALUE"""),"2015-07-01-J09-CU-10")</f>
        <v>2015-07-01-J09-CU-10</v>
      </c>
    </row>
    <row r="6453">
      <c r="A6453" t="str">
        <f>IFERROR(__xludf.DUMMYFUNCTION("""COMPUTED_VALUE"""),"2015-07-01-J09-CO-1")</f>
        <v>2015-07-01-J09-CO-1</v>
      </c>
    </row>
    <row r="6454">
      <c r="A6454" t="str">
        <f>IFERROR(__xludf.DUMMYFUNCTION("""COMPUTED_VALUE"""),"2015-07-01-J09-CO-2")</f>
        <v>2015-07-01-J09-CO-2</v>
      </c>
    </row>
    <row r="6455">
      <c r="A6455" t="str">
        <f>IFERROR(__xludf.DUMMYFUNCTION("""COMPUTED_VALUE"""),"2015-07-01-J09-CO-3")</f>
        <v>2015-07-01-J09-CO-3</v>
      </c>
    </row>
    <row r="6456">
      <c r="A6456" t="str">
        <f>IFERROR(__xludf.DUMMYFUNCTION("""COMPUTED_VALUE"""),"2015-07-01-J10-HE-1")</f>
        <v>2015-07-01-J10-HE-1</v>
      </c>
    </row>
    <row r="6457">
      <c r="A6457" t="str">
        <f>IFERROR(__xludf.DUMMYFUNCTION("""COMPUTED_VALUE"""),"2015-07-01-J10-HE-2")</f>
        <v>2015-07-01-J10-HE-2</v>
      </c>
    </row>
    <row r="6458">
      <c r="A6458" t="str">
        <f>IFERROR(__xludf.DUMMYFUNCTION("""COMPUTED_VALUE"""),"2015-07-01-J03-HE-1")</f>
        <v>2015-07-01-J03-HE-1</v>
      </c>
    </row>
    <row r="6459">
      <c r="A6459" t="str">
        <f>IFERROR(__xludf.DUMMYFUNCTION("""COMPUTED_VALUE"""),"2015-07-01-J03-HE-2")</f>
        <v>2015-07-01-J03-HE-2</v>
      </c>
    </row>
    <row r="6460">
      <c r="A6460" t="str">
        <f>IFERROR(__xludf.DUMMYFUNCTION("""COMPUTED_VALUE"""),"2015-07-01-J03-HE-3")</f>
        <v>2015-07-01-J03-HE-3</v>
      </c>
    </row>
    <row r="6461">
      <c r="A6461" t="str">
        <f>IFERROR(__xludf.DUMMYFUNCTION("""COMPUTED_VALUE"""),"2015-07-01-J03-HE-4")</f>
        <v>2015-07-01-J03-HE-4</v>
      </c>
    </row>
    <row r="6462">
      <c r="A6462" t="str">
        <f>IFERROR(__xludf.DUMMYFUNCTION("""COMPUTED_VALUE"""),"2015-07-01-J03-HE-5")</f>
        <v>2015-07-01-J03-HE-5</v>
      </c>
    </row>
    <row r="6463">
      <c r="A6463" t="str">
        <f>IFERROR(__xludf.DUMMYFUNCTION("""COMPUTED_VALUE"""),"2015-07-01-J09-HE-1")</f>
        <v>2015-07-01-J09-HE-1</v>
      </c>
    </row>
    <row r="6464">
      <c r="A6464" t="str">
        <f>IFERROR(__xludf.DUMMYFUNCTION("""COMPUTED_VALUE"""),"2015-07-01-J09-HE-2")</f>
        <v>2015-07-01-J09-HE-2</v>
      </c>
    </row>
    <row r="6465">
      <c r="A6465" t="str">
        <f>IFERROR(__xludf.DUMMYFUNCTION("""COMPUTED_VALUE"""),"2015-07-01-J09-HE-3")</f>
        <v>2015-07-01-J09-HE-3</v>
      </c>
    </row>
    <row r="6466">
      <c r="A6466" t="str">
        <f>IFERROR(__xludf.DUMMYFUNCTION("""COMPUTED_VALUE"""),"2015-07-01-J09-HE-4")</f>
        <v>2015-07-01-J09-HE-4</v>
      </c>
    </row>
    <row r="6467">
      <c r="A6467" t="str">
        <f>IFERROR(__xludf.DUMMYFUNCTION("""COMPUTED_VALUE"""),"2015-07-01-J09-HE-5")</f>
        <v>2015-07-01-J09-HE-5</v>
      </c>
    </row>
    <row r="6468">
      <c r="A6468" t="str">
        <f>IFERROR(__xludf.DUMMYFUNCTION("""COMPUTED_VALUE"""),"2015-07-01-J09-HE-6")</f>
        <v>2015-07-01-J09-HE-6</v>
      </c>
    </row>
    <row r="6469">
      <c r="A6469" t="str">
        <f>IFERROR(__xludf.DUMMYFUNCTION("""COMPUTED_VALUE"""),"2015-07-01-J09-HE-7")</f>
        <v>2015-07-01-J09-HE-7</v>
      </c>
    </row>
    <row r="6470">
      <c r="A6470" t="str">
        <f>IFERROR(__xludf.DUMMYFUNCTION("""COMPUTED_VALUE"""),"2015-07-01-J09-HE-8")</f>
        <v>2015-07-01-J09-HE-8</v>
      </c>
    </row>
    <row r="6471">
      <c r="A6471" t="str">
        <f>IFERROR(__xludf.DUMMYFUNCTION("""COMPUTED_VALUE"""),"2015-07-01-J09-HE-9")</f>
        <v>2015-07-01-J09-HE-9</v>
      </c>
    </row>
    <row r="6472">
      <c r="A6472" t="str">
        <f>IFERROR(__xludf.DUMMYFUNCTION("""COMPUTED_VALUE"""),"2015-07-01-J09-HE-10")</f>
        <v>2015-07-01-J09-HE-10</v>
      </c>
    </row>
    <row r="6473">
      <c r="A6473" t="str">
        <f>IFERROR(__xludf.DUMMYFUNCTION("""COMPUTED_VALUE"""),"2015-07-02-D09-SO-1")</f>
        <v>2015-07-02-D09-SO-1</v>
      </c>
    </row>
    <row r="6474">
      <c r="A6474" t="str">
        <f>IFERROR(__xludf.DUMMYFUNCTION("""COMPUTED_VALUE"""),"2015-07-02-D09-SO-2")</f>
        <v>2015-07-02-D09-SO-2</v>
      </c>
    </row>
    <row r="6475">
      <c r="A6475" t="str">
        <f>IFERROR(__xludf.DUMMYFUNCTION("""COMPUTED_VALUE"""),"2015-07-02-D09-SO-3")</f>
        <v>2015-07-02-D09-SO-3</v>
      </c>
    </row>
    <row r="6476">
      <c r="A6476" t="str">
        <f>IFERROR(__xludf.DUMMYFUNCTION("""COMPUTED_VALUE"""),"2015-07-02-D09-SO-4")</f>
        <v>2015-07-02-D09-SO-4</v>
      </c>
    </row>
    <row r="6477">
      <c r="A6477" t="str">
        <f>IFERROR(__xludf.DUMMYFUNCTION("""COMPUTED_VALUE"""),"2015-07-02-D09-SO-5")</f>
        <v>2015-07-02-D09-SO-5</v>
      </c>
    </row>
    <row r="6478">
      <c r="A6478" t="str">
        <f>IFERROR(__xludf.DUMMYFUNCTION("""COMPUTED_VALUE"""),"2015-07-02-D09-SO-6")</f>
        <v>2015-07-02-D09-SO-6</v>
      </c>
    </row>
    <row r="6479">
      <c r="A6479" t="str">
        <f>IFERROR(__xludf.DUMMYFUNCTION("""COMPUTED_VALUE"""),"2015-07-02-D09-SO-7")</f>
        <v>2015-07-02-D09-SO-7</v>
      </c>
    </row>
    <row r="6480">
      <c r="A6480" t="str">
        <f>IFERROR(__xludf.DUMMYFUNCTION("""COMPUTED_VALUE"""),"2015-07-02-D09-SO-8")</f>
        <v>2015-07-02-D09-SO-8</v>
      </c>
    </row>
    <row r="6481">
      <c r="A6481" t="str">
        <f>IFERROR(__xludf.DUMMYFUNCTION("""COMPUTED_VALUE"""),"2015-07-02-D09-SO-9")</f>
        <v>2015-07-02-D09-SO-9</v>
      </c>
    </row>
    <row r="6482">
      <c r="A6482" t="str">
        <f>IFERROR(__xludf.DUMMYFUNCTION("""COMPUTED_VALUE"""),"2015-07-02-D09-SO-10")</f>
        <v>2015-07-02-D09-SO-10</v>
      </c>
    </row>
    <row r="6483">
      <c r="A6483" t="str">
        <f>IFERROR(__xludf.DUMMYFUNCTION("""COMPUTED_VALUE"""),"2015-07-02-D09-SO-11")</f>
        <v>2015-07-02-D09-SO-11</v>
      </c>
    </row>
    <row r="6484">
      <c r="A6484" t="str">
        <f>IFERROR(__xludf.DUMMYFUNCTION("""COMPUTED_VALUE"""),"2015-07-02-D09-SO-12")</f>
        <v>2015-07-02-D09-SO-12</v>
      </c>
    </row>
    <row r="6485">
      <c r="A6485" t="str">
        <f>IFERROR(__xludf.DUMMYFUNCTION("""COMPUTED_VALUE"""),"2015-07-02-D09-SO-13")</f>
        <v>2015-07-02-D09-SO-13</v>
      </c>
    </row>
    <row r="6486">
      <c r="A6486" t="str">
        <f>IFERROR(__xludf.DUMMYFUNCTION("""COMPUTED_VALUE"""),"2015-07-02-D09-SO-14")</f>
        <v>2015-07-02-D09-SO-14</v>
      </c>
    </row>
    <row r="6487">
      <c r="A6487" t="str">
        <f>IFERROR(__xludf.DUMMYFUNCTION("""COMPUTED_VALUE"""),"2015-07-02-D09-SO-15")</f>
        <v>2015-07-02-D09-SO-15</v>
      </c>
    </row>
    <row r="6488">
      <c r="A6488" t="str">
        <f>IFERROR(__xludf.DUMMYFUNCTION("""COMPUTED_VALUE"""),"2015-07-02-D09-SO-16")</f>
        <v>2015-07-02-D09-SO-16</v>
      </c>
    </row>
    <row r="6489">
      <c r="A6489" t="str">
        <f>IFERROR(__xludf.DUMMYFUNCTION("""COMPUTED_VALUE"""),"2015-07-02-D09-SO-17")</f>
        <v>2015-07-02-D09-SO-17</v>
      </c>
    </row>
    <row r="6490">
      <c r="A6490" t="str">
        <f>IFERROR(__xludf.DUMMYFUNCTION("""COMPUTED_VALUE"""),"2015-07-02-D09-SO-18")</f>
        <v>2015-07-02-D09-SO-18</v>
      </c>
    </row>
    <row r="6491">
      <c r="A6491" t="str">
        <f>IFERROR(__xludf.DUMMYFUNCTION("""COMPUTED_VALUE"""),"2015-07-02-D09-SO-19")</f>
        <v>2015-07-02-D09-SO-19</v>
      </c>
    </row>
    <row r="6492">
      <c r="A6492" t="str">
        <f>IFERROR(__xludf.DUMMYFUNCTION("""COMPUTED_VALUE"""),"2015-07-02-D09-SO-20")</f>
        <v>2015-07-02-D09-SO-20</v>
      </c>
    </row>
    <row r="6493">
      <c r="A6493" t="str">
        <f>IFERROR(__xludf.DUMMYFUNCTION("""COMPUTED_VALUE"""),"2015-07-02-D09-SO-21")</f>
        <v>2015-07-02-D09-SO-21</v>
      </c>
    </row>
    <row r="6494">
      <c r="A6494" t="str">
        <f>IFERROR(__xludf.DUMMYFUNCTION("""COMPUTED_VALUE"""),"2015-07-02-D09-SO-22")</f>
        <v>2015-07-02-D09-SO-22</v>
      </c>
    </row>
    <row r="6495">
      <c r="A6495" t="str">
        <f>IFERROR(__xludf.DUMMYFUNCTION("""COMPUTED_VALUE"""),"2015-07-02-D09-SO-23")</f>
        <v>2015-07-02-D09-SO-23</v>
      </c>
    </row>
    <row r="6496">
      <c r="A6496" t="str">
        <f>IFERROR(__xludf.DUMMYFUNCTION("""COMPUTED_VALUE"""),"2015-07-02-D09-SO-24")</f>
        <v>2015-07-02-D09-SO-24</v>
      </c>
    </row>
    <row r="6497">
      <c r="A6497" t="str">
        <f>IFERROR(__xludf.DUMMYFUNCTION("""COMPUTED_VALUE"""),"2015-07-02-D09-SO-25")</f>
        <v>2015-07-02-D09-SO-25</v>
      </c>
    </row>
    <row r="6498">
      <c r="A6498" t="str">
        <f>IFERROR(__xludf.DUMMYFUNCTION("""COMPUTED_VALUE"""),"2015-07-02-D09-SO-26")</f>
        <v>2015-07-02-D09-SO-26</v>
      </c>
    </row>
    <row r="6499">
      <c r="A6499" t="str">
        <f>IFERROR(__xludf.DUMMYFUNCTION("""COMPUTED_VALUE"""),"2015-07-02-D09-SO-27")</f>
        <v>2015-07-02-D09-SO-27</v>
      </c>
    </row>
    <row r="6500">
      <c r="A6500" t="str">
        <f>IFERROR(__xludf.DUMMYFUNCTION("""COMPUTED_VALUE"""),"2015-07-02-D09-SO-28")</f>
        <v>2015-07-02-D09-SO-28</v>
      </c>
    </row>
    <row r="6501">
      <c r="A6501" t="str">
        <f>IFERROR(__xludf.DUMMYFUNCTION("""COMPUTED_VALUE"""),"2015-07-02-D09-SO-29")</f>
        <v>2015-07-02-D09-SO-29</v>
      </c>
    </row>
    <row r="6502">
      <c r="A6502" t="str">
        <f>IFERROR(__xludf.DUMMYFUNCTION("""COMPUTED_VALUE"""),"2015-07-02-D09-SO-30")</f>
        <v>2015-07-02-D09-SO-30</v>
      </c>
    </row>
    <row r="6503">
      <c r="A6503" t="str">
        <f>IFERROR(__xludf.DUMMYFUNCTION("""COMPUTED_VALUE"""),"2015-07-02-D09-PI-1")</f>
        <v>2015-07-02-D09-PI-1</v>
      </c>
    </row>
    <row r="6504">
      <c r="A6504" t="str">
        <f>IFERROR(__xludf.DUMMYFUNCTION("""COMPUTED_VALUE"""),"2015-07-02-D09-PI-2")</f>
        <v>2015-07-02-D09-PI-2</v>
      </c>
    </row>
    <row r="6505">
      <c r="A6505" t="str">
        <f>IFERROR(__xludf.DUMMYFUNCTION("""COMPUTED_VALUE"""),"2015-07-02-D09-PI-3")</f>
        <v>2015-07-02-D09-PI-3</v>
      </c>
    </row>
    <row r="6506">
      <c r="A6506" t="str">
        <f>IFERROR(__xludf.DUMMYFUNCTION("""COMPUTED_VALUE"""),"2015-07-02-D09-PI-4")</f>
        <v>2015-07-02-D09-PI-4</v>
      </c>
    </row>
    <row r="6507">
      <c r="A6507" t="str">
        <f>IFERROR(__xludf.DUMMYFUNCTION("""COMPUTED_VALUE"""),"2015-07-02-D09-PI-5")</f>
        <v>2015-07-02-D09-PI-5</v>
      </c>
    </row>
    <row r="6508">
      <c r="A6508" t="str">
        <f>IFERROR(__xludf.DUMMYFUNCTION("""COMPUTED_VALUE"""),"2015-07-02-D09-PI-6")</f>
        <v>2015-07-02-D09-PI-6</v>
      </c>
    </row>
    <row r="6509">
      <c r="A6509" t="str">
        <f>IFERROR(__xludf.DUMMYFUNCTION("""COMPUTED_VALUE"""),"2015-07-02-D09-PI-7")</f>
        <v>2015-07-02-D09-PI-7</v>
      </c>
    </row>
    <row r="6510">
      <c r="A6510" t="str">
        <f>IFERROR(__xludf.DUMMYFUNCTION("""COMPUTED_VALUE"""),"2015-07-02-D09-CU-1")</f>
        <v>2015-07-02-D09-CU-1</v>
      </c>
    </row>
    <row r="6511">
      <c r="A6511" t="str">
        <f>IFERROR(__xludf.DUMMYFUNCTION("""COMPUTED_VALUE"""),"2015-07-02-D09-CU-2")</f>
        <v>2015-07-02-D09-CU-2</v>
      </c>
    </row>
    <row r="6512">
      <c r="A6512" t="str">
        <f>IFERROR(__xludf.DUMMYFUNCTION("""COMPUTED_VALUE"""),"2015-07-02-D09-CU-3")</f>
        <v>2015-07-02-D09-CU-3</v>
      </c>
    </row>
    <row r="6513">
      <c r="A6513" t="str">
        <f>IFERROR(__xludf.DUMMYFUNCTION("""COMPUTED_VALUE"""),"2015-07-02-D09-CU-4")</f>
        <v>2015-07-02-D09-CU-4</v>
      </c>
    </row>
    <row r="6514">
      <c r="A6514" t="str">
        <f>IFERROR(__xludf.DUMMYFUNCTION("""COMPUTED_VALUE"""),"2015-07-02-D09-CU-5")</f>
        <v>2015-07-02-D09-CU-5</v>
      </c>
    </row>
    <row r="6515">
      <c r="A6515" t="str">
        <f>IFERROR(__xludf.DUMMYFUNCTION("""COMPUTED_VALUE"""),"2015-07-02-D09-CU-6")</f>
        <v>2015-07-02-D09-CU-6</v>
      </c>
    </row>
    <row r="6516">
      <c r="A6516" t="str">
        <f>IFERROR(__xludf.DUMMYFUNCTION("""COMPUTED_VALUE"""),"2015-07-02-D09-CU-7")</f>
        <v>2015-07-02-D09-CU-7</v>
      </c>
    </row>
    <row r="6517">
      <c r="A6517" t="str">
        <f>IFERROR(__xludf.DUMMYFUNCTION("""COMPUTED_VALUE"""),"2015-07-02-D09-CU-8")</f>
        <v>2015-07-02-D09-CU-8</v>
      </c>
    </row>
    <row r="6518">
      <c r="A6518" t="str">
        <f>IFERROR(__xludf.DUMMYFUNCTION("""COMPUTED_VALUE"""),"2015-07-02-D09-CU-9")</f>
        <v>2015-07-02-D09-CU-9</v>
      </c>
    </row>
    <row r="6519">
      <c r="A6519" t="str">
        <f>IFERROR(__xludf.DUMMYFUNCTION("""COMPUTED_VALUE"""),"2015-07-02-D09-CU-10")</f>
        <v>2015-07-02-D09-CU-10</v>
      </c>
    </row>
    <row r="6520">
      <c r="A6520" t="str">
        <f>IFERROR(__xludf.DUMMYFUNCTION("""COMPUTED_VALUE"""),"2015-07-02-D09-HE-1")</f>
        <v>2015-07-02-D09-HE-1</v>
      </c>
    </row>
    <row r="6521">
      <c r="A6521" t="str">
        <f>IFERROR(__xludf.DUMMYFUNCTION("""COMPUTED_VALUE"""),"2015-07-02-D09-HE-2")</f>
        <v>2015-07-02-D09-HE-2</v>
      </c>
    </row>
    <row r="6522">
      <c r="A6522" t="str">
        <f>IFERROR(__xludf.DUMMYFUNCTION("""COMPUTED_VALUE"""),"2015-07-02-D09-HE-3")</f>
        <v>2015-07-02-D09-HE-3</v>
      </c>
    </row>
    <row r="6523">
      <c r="A6523" t="str">
        <f>IFERROR(__xludf.DUMMYFUNCTION("""COMPUTED_VALUE"""),"2015-07-02-D09-HE-4")</f>
        <v>2015-07-02-D09-HE-4</v>
      </c>
    </row>
    <row r="6524">
      <c r="A6524" t="str">
        <f>IFERROR(__xludf.DUMMYFUNCTION("""COMPUTED_VALUE"""),"2015-07-02-D09-HE-5")</f>
        <v>2015-07-02-D09-HE-5</v>
      </c>
    </row>
    <row r="6525">
      <c r="A6525" t="str">
        <f>IFERROR(__xludf.DUMMYFUNCTION("""COMPUTED_VALUE"""),"2015-07-02-D09-HE-6")</f>
        <v>2015-07-02-D09-HE-6</v>
      </c>
    </row>
    <row r="6526">
      <c r="A6526" t="str">
        <f>IFERROR(__xludf.DUMMYFUNCTION("""COMPUTED_VALUE"""),"2015-07-02-D09-HE-7")</f>
        <v>2015-07-02-D09-HE-7</v>
      </c>
    </row>
    <row r="6527">
      <c r="A6527" t="str">
        <f>IFERROR(__xludf.DUMMYFUNCTION("""COMPUTED_VALUE"""),"2015-07-02-D09-HE-8")</f>
        <v>2015-07-02-D09-HE-8</v>
      </c>
    </row>
    <row r="6528">
      <c r="A6528" t="str">
        <f>IFERROR(__xludf.DUMMYFUNCTION("""COMPUTED_VALUE"""),"2015-07-02-D09-HE-9")</f>
        <v>2015-07-02-D09-HE-9</v>
      </c>
    </row>
    <row r="6529">
      <c r="A6529" t="str">
        <f>IFERROR(__xludf.DUMMYFUNCTION("""COMPUTED_VALUE"""),"2015-07-02-D09-HE-10")</f>
        <v>2015-07-02-D09-HE-10</v>
      </c>
    </row>
    <row r="6530">
      <c r="A6530" t="str">
        <f>IFERROR(__xludf.DUMMYFUNCTION("""COMPUTED_VALUE"""),"2015-07-05-D11-SO-1")</f>
        <v>2015-07-05-D11-SO-1</v>
      </c>
    </row>
    <row r="6531">
      <c r="A6531" t="str">
        <f>IFERROR(__xludf.DUMMYFUNCTION("""COMPUTED_VALUE"""),"2015-07-05-D11-PI-1")</f>
        <v>2015-07-05-D11-PI-1</v>
      </c>
    </row>
    <row r="6532">
      <c r="A6532" t="str">
        <f>IFERROR(__xludf.DUMMYFUNCTION("""COMPUTED_VALUE"""),"2015-07-05-D11-PI-2")</f>
        <v>2015-07-05-D11-PI-2</v>
      </c>
    </row>
    <row r="6533">
      <c r="A6533" t="str">
        <f>IFERROR(__xludf.DUMMYFUNCTION("""COMPUTED_VALUE"""),"2015-07-05-D11-PI-3")</f>
        <v>2015-07-05-D11-PI-3</v>
      </c>
    </row>
    <row r="6534">
      <c r="A6534" t="str">
        <f>IFERROR(__xludf.DUMMYFUNCTION("""COMPUTED_VALUE"""),"2015-07-05-D11-PI-4")</f>
        <v>2015-07-05-D11-PI-4</v>
      </c>
    </row>
    <row r="6535">
      <c r="A6535" t="str">
        <f>IFERROR(__xludf.DUMMYFUNCTION("""COMPUTED_VALUE"""),"2015-07-05-D11-PI-5")</f>
        <v>2015-07-05-D11-PI-5</v>
      </c>
    </row>
    <row r="6536">
      <c r="A6536" t="str">
        <f>IFERROR(__xludf.DUMMYFUNCTION("""COMPUTED_VALUE"""),"2015-07-05-D11-PI-6")</f>
        <v>2015-07-05-D11-PI-6</v>
      </c>
    </row>
    <row r="6537">
      <c r="A6537" t="str">
        <f>IFERROR(__xludf.DUMMYFUNCTION("""COMPUTED_VALUE"""),"2015-07-05-D11-PI-7")</f>
        <v>2015-07-05-D11-PI-7</v>
      </c>
    </row>
    <row r="6538">
      <c r="A6538" t="str">
        <f>IFERROR(__xludf.DUMMYFUNCTION("""COMPUTED_VALUE"""),"2015-07-05-D11-PI-8")</f>
        <v>2015-07-05-D11-PI-8</v>
      </c>
    </row>
    <row r="6539">
      <c r="A6539" t="str">
        <f>IFERROR(__xludf.DUMMYFUNCTION("""COMPUTED_VALUE"""),"2015-07-05-D11-PI-9")</f>
        <v>2015-07-05-D11-PI-9</v>
      </c>
    </row>
    <row r="6540">
      <c r="A6540" t="str">
        <f>IFERROR(__xludf.DUMMYFUNCTION("""COMPUTED_VALUE"""),"2015-07-05-D11-PI-10")</f>
        <v>2015-07-05-D11-PI-10</v>
      </c>
    </row>
    <row r="6541">
      <c r="A6541" t="str">
        <f>IFERROR(__xludf.DUMMYFUNCTION("""COMPUTED_VALUE"""),"2015-07-05-D11-CU-1")</f>
        <v>2015-07-05-D11-CU-1</v>
      </c>
    </row>
    <row r="6542">
      <c r="A6542" t="str">
        <f>IFERROR(__xludf.DUMMYFUNCTION("""COMPUTED_VALUE"""),"2015-07-05-D11-CU-2")</f>
        <v>2015-07-05-D11-CU-2</v>
      </c>
    </row>
    <row r="6543">
      <c r="A6543" t="str">
        <f>IFERROR(__xludf.DUMMYFUNCTION("""COMPUTED_VALUE"""),"2015-07-05-D11-CU-3")</f>
        <v>2015-07-05-D11-CU-3</v>
      </c>
    </row>
    <row r="6544">
      <c r="A6544" t="str">
        <f>IFERROR(__xludf.DUMMYFUNCTION("""COMPUTED_VALUE"""),"2015-07-05-D11-CU-4")</f>
        <v>2015-07-05-D11-CU-4</v>
      </c>
    </row>
    <row r="6545">
      <c r="A6545" t="str">
        <f>IFERROR(__xludf.DUMMYFUNCTION("""COMPUTED_VALUE"""),"2015-07-05-D11-CU-5")</f>
        <v>2015-07-05-D11-CU-5</v>
      </c>
    </row>
    <row r="6546">
      <c r="A6546" t="str">
        <f>IFERROR(__xludf.DUMMYFUNCTION("""COMPUTED_VALUE"""),"2015-07-05-D11-CU-6")</f>
        <v>2015-07-05-D11-CU-6</v>
      </c>
    </row>
    <row r="6547">
      <c r="A6547" t="str">
        <f>IFERROR(__xludf.DUMMYFUNCTION("""COMPUTED_VALUE"""),"2015-07-05-D11-CU-7")</f>
        <v>2015-07-05-D11-CU-7</v>
      </c>
    </row>
    <row r="6548">
      <c r="A6548" t="str">
        <f>IFERROR(__xludf.DUMMYFUNCTION("""COMPUTED_VALUE"""),"2015-07-05-D11-CU-8")</f>
        <v>2015-07-05-D11-CU-8</v>
      </c>
    </row>
    <row r="6549">
      <c r="A6549" t="str">
        <f>IFERROR(__xludf.DUMMYFUNCTION("""COMPUTED_VALUE"""),"2015-07-05-D11-CU-9")</f>
        <v>2015-07-05-D11-CU-9</v>
      </c>
    </row>
    <row r="6550">
      <c r="A6550" t="str">
        <f>IFERROR(__xludf.DUMMYFUNCTION("""COMPUTED_VALUE"""),"2015-07-05-D11-CU-10")</f>
        <v>2015-07-05-D11-CU-10</v>
      </c>
    </row>
    <row r="6551">
      <c r="A6551" t="str">
        <f>IFERROR(__xludf.DUMMYFUNCTION("""COMPUTED_VALUE"""),"2015-07-06-D09-SO-1")</f>
        <v>2015-07-06-D09-SO-1</v>
      </c>
    </row>
    <row r="6552">
      <c r="A6552" t="str">
        <f>IFERROR(__xludf.DUMMYFUNCTION("""COMPUTED_VALUE"""),"2015-07-06-D09-SO-2")</f>
        <v>2015-07-06-D09-SO-2</v>
      </c>
    </row>
    <row r="6553">
      <c r="A6553" t="str">
        <f>IFERROR(__xludf.DUMMYFUNCTION("""COMPUTED_VALUE"""),"2015-07-06-D09-SO-3")</f>
        <v>2015-07-06-D09-SO-3</v>
      </c>
    </row>
    <row r="6554">
      <c r="A6554" t="str">
        <f>IFERROR(__xludf.DUMMYFUNCTION("""COMPUTED_VALUE"""),"2015-07-06-D09-SO-4")</f>
        <v>2015-07-06-D09-SO-4</v>
      </c>
    </row>
    <row r="6555">
      <c r="A6555" t="str">
        <f>IFERROR(__xludf.DUMMYFUNCTION("""COMPUTED_VALUE"""),"2015-07-06-D11-SO-1")</f>
        <v>2015-07-06-D11-SO-1</v>
      </c>
    </row>
    <row r="6556">
      <c r="A6556" t="str">
        <f>IFERROR(__xludf.DUMMYFUNCTION("""COMPUTED_VALUE"""),"2015-07-06-D11-SO-2")</f>
        <v>2015-07-06-D11-SO-2</v>
      </c>
    </row>
    <row r="6557">
      <c r="A6557" t="str">
        <f>IFERROR(__xludf.DUMMYFUNCTION("""COMPUTED_VALUE"""),"2015-07-06-D11-SO-3")</f>
        <v>2015-07-06-D11-SO-3</v>
      </c>
    </row>
    <row r="6558">
      <c r="A6558" t="str">
        <f>IFERROR(__xludf.DUMMYFUNCTION("""COMPUTED_VALUE"""),"2015-07-06-D11-SO-4")</f>
        <v>2015-07-06-D11-SO-4</v>
      </c>
    </row>
    <row r="6559">
      <c r="A6559" t="str">
        <f>IFERROR(__xludf.DUMMYFUNCTION("""COMPUTED_VALUE"""),"2015-07-06-D11-SO-5")</f>
        <v>2015-07-06-D11-SO-5</v>
      </c>
    </row>
    <row r="6560">
      <c r="A6560" t="str">
        <f>IFERROR(__xludf.DUMMYFUNCTION("""COMPUTED_VALUE"""),"2015-07-06-D11-SO-6")</f>
        <v>2015-07-06-D11-SO-6</v>
      </c>
    </row>
    <row r="6561">
      <c r="A6561" t="str">
        <f>IFERROR(__xludf.DUMMYFUNCTION("""COMPUTED_VALUE"""),"2015-07-06-D11-SO-7")</f>
        <v>2015-07-06-D11-SO-7</v>
      </c>
    </row>
    <row r="6562">
      <c r="A6562" t="str">
        <f>IFERROR(__xludf.DUMMYFUNCTION("""COMPUTED_VALUE"""),"2015-07-06-D11-SO-8")</f>
        <v>2015-07-06-D11-SO-8</v>
      </c>
    </row>
    <row r="6563">
      <c r="A6563" t="str">
        <f>IFERROR(__xludf.DUMMYFUNCTION("""COMPUTED_VALUE"""),"2015-07-06-D11-SO-9")</f>
        <v>2015-07-06-D11-SO-9</v>
      </c>
    </row>
    <row r="6564">
      <c r="A6564" t="str">
        <f>IFERROR(__xludf.DUMMYFUNCTION("""COMPUTED_VALUE"""),"2015-07-06-D11-SO-10")</f>
        <v>2015-07-06-D11-SO-10</v>
      </c>
    </row>
    <row r="6565">
      <c r="A6565" t="str">
        <f>IFERROR(__xludf.DUMMYFUNCTION("""COMPUTED_VALUE"""),"2015-07-06-D11-SO-11")</f>
        <v>2015-07-06-D11-SO-11</v>
      </c>
    </row>
    <row r="6566">
      <c r="A6566" t="str">
        <f>IFERROR(__xludf.DUMMYFUNCTION("""COMPUTED_VALUE"""),"2015-07-06-D11-SO-12")</f>
        <v>2015-07-06-D11-SO-12</v>
      </c>
    </row>
    <row r="6567">
      <c r="A6567" t="str">
        <f>IFERROR(__xludf.DUMMYFUNCTION("""COMPUTED_VALUE"""),"2015-07-06-D11-SO-13")</f>
        <v>2015-07-06-D11-SO-13</v>
      </c>
    </row>
    <row r="6568">
      <c r="A6568" t="str">
        <f>IFERROR(__xludf.DUMMYFUNCTION("""COMPUTED_VALUE"""),"2015-07-06-D11-SO-14")</f>
        <v>2015-07-06-D11-SO-14</v>
      </c>
    </row>
    <row r="6569">
      <c r="A6569" t="str">
        <f>IFERROR(__xludf.DUMMYFUNCTION("""COMPUTED_VALUE"""),"2015-07-06-D11-SO-15")</f>
        <v>2015-07-06-D11-SO-15</v>
      </c>
    </row>
    <row r="6570">
      <c r="A6570" t="str">
        <f>IFERROR(__xludf.DUMMYFUNCTION("""COMPUTED_VALUE"""),"2015-07-06-D11-SO-16")</f>
        <v>2015-07-06-D11-SO-16</v>
      </c>
    </row>
    <row r="6571">
      <c r="A6571" t="str">
        <f>IFERROR(__xludf.DUMMYFUNCTION("""COMPUTED_VALUE"""),"2015-07-06-D11-SO-17")</f>
        <v>2015-07-06-D11-SO-17</v>
      </c>
    </row>
    <row r="6572">
      <c r="A6572" t="str">
        <f>IFERROR(__xludf.DUMMYFUNCTION("""COMPUTED_VALUE"""),"2015-07-06-D11-SO-18")</f>
        <v>2015-07-06-D11-SO-18</v>
      </c>
    </row>
    <row r="6573">
      <c r="A6573" t="str">
        <f>IFERROR(__xludf.DUMMYFUNCTION("""COMPUTED_VALUE"""),"2015-07-06-D11-SO-19")</f>
        <v>2015-07-06-D11-SO-19</v>
      </c>
    </row>
    <row r="6574">
      <c r="A6574" t="str">
        <f>IFERROR(__xludf.DUMMYFUNCTION("""COMPUTED_VALUE"""),"2015-07-06-D11-SO-20")</f>
        <v>2015-07-06-D11-SO-20</v>
      </c>
    </row>
    <row r="6575">
      <c r="A6575" t="str">
        <f>IFERROR(__xludf.DUMMYFUNCTION("""COMPUTED_VALUE"""),"2015-07-06-D11-SO-21")</f>
        <v>2015-07-06-D11-SO-21</v>
      </c>
    </row>
    <row r="6576">
      <c r="A6576" t="str">
        <f>IFERROR(__xludf.DUMMYFUNCTION("""COMPUTED_VALUE"""),"2015-07-06-D11-SO-22")</f>
        <v>2015-07-06-D11-SO-22</v>
      </c>
    </row>
    <row r="6577">
      <c r="A6577" t="str">
        <f>IFERROR(__xludf.DUMMYFUNCTION("""COMPUTED_VALUE"""),"2015-07-06-D11-SO-23")</f>
        <v>2015-07-06-D11-SO-23</v>
      </c>
    </row>
    <row r="6578">
      <c r="A6578" t="str">
        <f>IFERROR(__xludf.DUMMYFUNCTION("""COMPUTED_VALUE"""),"2015-07-06-D11-PI-1")</f>
        <v>2015-07-06-D11-PI-1</v>
      </c>
    </row>
    <row r="6579">
      <c r="A6579" t="str">
        <f>IFERROR(__xludf.DUMMYFUNCTION("""COMPUTED_VALUE"""),"2015-07-06-D11-PI-2")</f>
        <v>2015-07-06-D11-PI-2</v>
      </c>
    </row>
    <row r="6580">
      <c r="A6580" t="str">
        <f>IFERROR(__xludf.DUMMYFUNCTION("""COMPUTED_VALUE"""),"2015-07-06-D11-PI-3")</f>
        <v>2015-07-06-D11-PI-3</v>
      </c>
    </row>
    <row r="6581">
      <c r="A6581" t="str">
        <f>IFERROR(__xludf.DUMMYFUNCTION("""COMPUTED_VALUE"""),"2015-07-06-D11-PI-4")</f>
        <v>2015-07-06-D11-PI-4</v>
      </c>
    </row>
    <row r="6582">
      <c r="A6582" t="str">
        <f>IFERROR(__xludf.DUMMYFUNCTION("""COMPUTED_VALUE"""),"2015-07-06-D11-PI-5")</f>
        <v>2015-07-06-D11-PI-5</v>
      </c>
    </row>
    <row r="6583">
      <c r="A6583" t="str">
        <f>IFERROR(__xludf.DUMMYFUNCTION("""COMPUTED_VALUE"""),"2015-07-06-D11-PI-6")</f>
        <v>2015-07-06-D11-PI-6</v>
      </c>
    </row>
    <row r="6584">
      <c r="A6584" t="str">
        <f>IFERROR(__xludf.DUMMYFUNCTION("""COMPUTED_VALUE"""),"2015-07-06-D11-PI-7")</f>
        <v>2015-07-06-D11-PI-7</v>
      </c>
    </row>
    <row r="6585">
      <c r="A6585" t="str">
        <f>IFERROR(__xludf.DUMMYFUNCTION("""COMPUTED_VALUE"""),"2015-07-06-D11-PI-8")</f>
        <v>2015-07-06-D11-PI-8</v>
      </c>
    </row>
    <row r="6586">
      <c r="A6586" t="str">
        <f>IFERROR(__xludf.DUMMYFUNCTION("""COMPUTED_VALUE"""),"2015-07-06-D11-PI-9")</f>
        <v>2015-07-06-D11-PI-9</v>
      </c>
    </row>
    <row r="6587">
      <c r="A6587" t="str">
        <f>IFERROR(__xludf.DUMMYFUNCTION("""COMPUTED_VALUE"""),"2015-07-06-D11-PI-10")</f>
        <v>2015-07-06-D11-PI-10</v>
      </c>
    </row>
    <row r="6588">
      <c r="A6588" t="str">
        <f>IFERROR(__xludf.DUMMYFUNCTION("""COMPUTED_VALUE"""),"2015-07-06-D09-CU-1")</f>
        <v>2015-07-06-D09-CU-1</v>
      </c>
    </row>
    <row r="6589">
      <c r="A6589" t="str">
        <f>IFERROR(__xludf.DUMMYFUNCTION("""COMPUTED_VALUE"""),"2015-07-06-D09-CU-2")</f>
        <v>2015-07-06-D09-CU-2</v>
      </c>
    </row>
    <row r="6590">
      <c r="A6590" t="str">
        <f>IFERROR(__xludf.DUMMYFUNCTION("""COMPUTED_VALUE"""),"2015-07-06-D09-CU-3")</f>
        <v>2015-07-06-D09-CU-3</v>
      </c>
    </row>
    <row r="6591">
      <c r="A6591" t="str">
        <f>IFERROR(__xludf.DUMMYFUNCTION("""COMPUTED_VALUE"""),"2015-07-06-D09-CU-4")</f>
        <v>2015-07-06-D09-CU-4</v>
      </c>
    </row>
    <row r="6592">
      <c r="A6592" t="str">
        <f>IFERROR(__xludf.DUMMYFUNCTION("""COMPUTED_VALUE"""),"2015-07-06-D09-CU-5")</f>
        <v>2015-07-06-D09-CU-5</v>
      </c>
    </row>
    <row r="6593">
      <c r="A6593" t="str">
        <f>IFERROR(__xludf.DUMMYFUNCTION("""COMPUTED_VALUE"""),"2015-07-06-D09-CU-6")</f>
        <v>2015-07-06-D09-CU-6</v>
      </c>
    </row>
    <row r="6594">
      <c r="A6594" t="str">
        <f>IFERROR(__xludf.DUMMYFUNCTION("""COMPUTED_VALUE"""),"2015-07-06-D09-CU-7")</f>
        <v>2015-07-06-D09-CU-7</v>
      </c>
    </row>
    <row r="6595">
      <c r="A6595" t="str">
        <f>IFERROR(__xludf.DUMMYFUNCTION("""COMPUTED_VALUE"""),"2015-07-06-D09-CU-8")</f>
        <v>2015-07-06-D09-CU-8</v>
      </c>
    </row>
    <row r="6596">
      <c r="A6596" t="str">
        <f>IFERROR(__xludf.DUMMYFUNCTION("""COMPUTED_VALUE"""),"2015-07-06-D09-CU-9")</f>
        <v>2015-07-06-D09-CU-9</v>
      </c>
    </row>
    <row r="6597">
      <c r="A6597" t="str">
        <f>IFERROR(__xludf.DUMMYFUNCTION("""COMPUTED_VALUE"""),"2015-07-06-D09-CU-10")</f>
        <v>2015-07-06-D09-CU-10</v>
      </c>
    </row>
    <row r="6598">
      <c r="A6598" t="str">
        <f>IFERROR(__xludf.DUMMYFUNCTION("""COMPUTED_VALUE"""),"2015-07-06-D11-CU-1")</f>
        <v>2015-07-06-D11-CU-1</v>
      </c>
    </row>
    <row r="6599">
      <c r="A6599" t="str">
        <f>IFERROR(__xludf.DUMMYFUNCTION("""COMPUTED_VALUE"""),"2015-07-06-D11-CU-2")</f>
        <v>2015-07-06-D11-CU-2</v>
      </c>
    </row>
    <row r="6600">
      <c r="A6600" t="str">
        <f>IFERROR(__xludf.DUMMYFUNCTION("""COMPUTED_VALUE"""),"2015-07-06-D11-CU-3")</f>
        <v>2015-07-06-D11-CU-3</v>
      </c>
    </row>
    <row r="6601">
      <c r="A6601" t="str">
        <f>IFERROR(__xludf.DUMMYFUNCTION("""COMPUTED_VALUE"""),"2015-07-06-D11-CU-4")</f>
        <v>2015-07-06-D11-CU-4</v>
      </c>
    </row>
    <row r="6602">
      <c r="A6602" t="str">
        <f>IFERROR(__xludf.DUMMYFUNCTION("""COMPUTED_VALUE"""),"2015-07-06-D11-CU-5")</f>
        <v>2015-07-06-D11-CU-5</v>
      </c>
    </row>
    <row r="6603">
      <c r="A6603" t="str">
        <f>IFERROR(__xludf.DUMMYFUNCTION("""COMPUTED_VALUE"""),"2015-07-06-D11-CU-6")</f>
        <v>2015-07-06-D11-CU-6</v>
      </c>
    </row>
    <row r="6604">
      <c r="A6604" t="str">
        <f>IFERROR(__xludf.DUMMYFUNCTION("""COMPUTED_VALUE"""),"2015-07-06-D11-CU-7")</f>
        <v>2015-07-06-D11-CU-7</v>
      </c>
    </row>
    <row r="6605">
      <c r="A6605" t="str">
        <f>IFERROR(__xludf.DUMMYFUNCTION("""COMPUTED_VALUE"""),"2015-07-06-D11-CU-8")</f>
        <v>2015-07-06-D11-CU-8</v>
      </c>
    </row>
    <row r="6606">
      <c r="A6606" t="str">
        <f>IFERROR(__xludf.DUMMYFUNCTION("""COMPUTED_VALUE"""),"2015-07-06-D11-CU-9")</f>
        <v>2015-07-06-D11-CU-9</v>
      </c>
    </row>
    <row r="6607">
      <c r="A6607" t="str">
        <f>IFERROR(__xludf.DUMMYFUNCTION("""COMPUTED_VALUE"""),"2015-07-06-D11-CU-10")</f>
        <v>2015-07-06-D11-CU-10</v>
      </c>
    </row>
    <row r="6608">
      <c r="A6608" t="str">
        <f>IFERROR(__xludf.DUMMYFUNCTION("""COMPUTED_VALUE"""),"2015-07-06-D09-HE-1")</f>
        <v>2015-07-06-D09-HE-1</v>
      </c>
    </row>
    <row r="6609">
      <c r="A6609" t="str">
        <f>IFERROR(__xludf.DUMMYFUNCTION("""COMPUTED_VALUE"""),"2015-07-06-D09-HE-2")</f>
        <v>2015-07-06-D09-HE-2</v>
      </c>
    </row>
    <row r="6610">
      <c r="A6610" t="str">
        <f>IFERROR(__xludf.DUMMYFUNCTION("""COMPUTED_VALUE"""),"2015-07-06-D09-HE-3")</f>
        <v>2015-07-06-D09-HE-3</v>
      </c>
    </row>
    <row r="6611">
      <c r="A6611" t="str">
        <f>IFERROR(__xludf.DUMMYFUNCTION("""COMPUTED_VALUE"""),"2015-07-06-D09-HE-4")</f>
        <v>2015-07-06-D09-HE-4</v>
      </c>
    </row>
    <row r="6612">
      <c r="A6612" t="str">
        <f>IFERROR(__xludf.DUMMYFUNCTION("""COMPUTED_VALUE"""),"2015-07-06-D09-HE-5")</f>
        <v>2015-07-06-D09-HE-5</v>
      </c>
    </row>
    <row r="6613">
      <c r="A6613" t="str">
        <f>IFERROR(__xludf.DUMMYFUNCTION("""COMPUTED_VALUE"""),"2015-07-06-D09-HE-6")</f>
        <v>2015-07-06-D09-HE-6</v>
      </c>
    </row>
    <row r="6614">
      <c r="A6614" t="str">
        <f>IFERROR(__xludf.DUMMYFUNCTION("""COMPUTED_VALUE"""),"2015-07-06-D09-HE-7")</f>
        <v>2015-07-06-D09-HE-7</v>
      </c>
    </row>
    <row r="6615">
      <c r="A6615" t="str">
        <f>IFERROR(__xludf.DUMMYFUNCTION("""COMPUTED_VALUE"""),"2015-07-07-D11-SO-1")</f>
        <v>2015-07-07-D11-SO-1</v>
      </c>
    </row>
    <row r="6616">
      <c r="A6616" t="str">
        <f>IFERROR(__xludf.DUMMYFUNCTION("""COMPUTED_VALUE"""),"2015-07-07-D11-SO-2")</f>
        <v>2015-07-07-D11-SO-2</v>
      </c>
    </row>
    <row r="6617">
      <c r="A6617" t="str">
        <f>IFERROR(__xludf.DUMMYFUNCTION("""COMPUTED_VALUE"""),"2015-07-07-D11-SO-3")</f>
        <v>2015-07-07-D11-SO-3</v>
      </c>
    </row>
    <row r="6618">
      <c r="A6618" t="str">
        <f>IFERROR(__xludf.DUMMYFUNCTION("""COMPUTED_VALUE"""),"2015-07-07-D11-SO-4")</f>
        <v>2015-07-07-D11-SO-4</v>
      </c>
    </row>
    <row r="6619">
      <c r="A6619" t="str">
        <f>IFERROR(__xludf.DUMMYFUNCTION("""COMPUTED_VALUE"""),"2015-07-07-D11-SO-5")</f>
        <v>2015-07-07-D11-SO-5</v>
      </c>
    </row>
    <row r="6620">
      <c r="A6620" t="str">
        <f>IFERROR(__xludf.DUMMYFUNCTION("""COMPUTED_VALUE"""),"2015-07-07-D11-SO-6")</f>
        <v>2015-07-07-D11-SO-6</v>
      </c>
    </row>
    <row r="6621">
      <c r="A6621" t="str">
        <f>IFERROR(__xludf.DUMMYFUNCTION("""COMPUTED_VALUE"""),"2015-07-07-D11-SO-7")</f>
        <v>2015-07-07-D11-SO-7</v>
      </c>
    </row>
    <row r="6622">
      <c r="A6622" t="str">
        <f>IFERROR(__xludf.DUMMYFUNCTION("""COMPUTED_VALUE"""),"2015-07-07-D11-SO-8")</f>
        <v>2015-07-07-D11-SO-8</v>
      </c>
    </row>
    <row r="6623">
      <c r="A6623" t="str">
        <f>IFERROR(__xludf.DUMMYFUNCTION("""COMPUTED_VALUE"""),"2015-07-07-D11-SO-9")</f>
        <v>2015-07-07-D11-SO-9</v>
      </c>
    </row>
    <row r="6624">
      <c r="A6624" t="str">
        <f>IFERROR(__xludf.DUMMYFUNCTION("""COMPUTED_VALUE"""),"2015-07-07-D11-SO-10")</f>
        <v>2015-07-07-D11-SO-10</v>
      </c>
    </row>
    <row r="6625">
      <c r="A6625" t="str">
        <f>IFERROR(__xludf.DUMMYFUNCTION("""COMPUTED_VALUE"""),"2015-07-07-D11-SO-11")</f>
        <v>2015-07-07-D11-SO-11</v>
      </c>
    </row>
    <row r="6626">
      <c r="A6626" t="str">
        <f>IFERROR(__xludf.DUMMYFUNCTION("""COMPUTED_VALUE"""),"2015-07-07-D11-SO-12")</f>
        <v>2015-07-07-D11-SO-12</v>
      </c>
    </row>
    <row r="6627">
      <c r="A6627" t="str">
        <f>IFERROR(__xludf.DUMMYFUNCTION("""COMPUTED_VALUE"""),"2015-07-07-D11-SO-13")</f>
        <v>2015-07-07-D11-SO-13</v>
      </c>
    </row>
    <row r="6628">
      <c r="A6628" t="str">
        <f>IFERROR(__xludf.DUMMYFUNCTION("""COMPUTED_VALUE"""),"2015-07-07-D11-SO-14")</f>
        <v>2015-07-07-D11-SO-14</v>
      </c>
    </row>
    <row r="6629">
      <c r="A6629" t="str">
        <f>IFERROR(__xludf.DUMMYFUNCTION("""COMPUTED_VALUE"""),"2015-07-07-D11-SO-15")</f>
        <v>2015-07-07-D11-SO-15</v>
      </c>
    </row>
    <row r="6630">
      <c r="A6630" t="str">
        <f>IFERROR(__xludf.DUMMYFUNCTION("""COMPUTED_VALUE"""),"2015-07-07-D11-SO-16")</f>
        <v>2015-07-07-D11-SO-16</v>
      </c>
    </row>
    <row r="6631">
      <c r="A6631" t="str">
        <f>IFERROR(__xludf.DUMMYFUNCTION("""COMPUTED_VALUE"""),"2015-07-07-D11-SO-17")</f>
        <v>2015-07-07-D11-SO-17</v>
      </c>
    </row>
    <row r="6632">
      <c r="A6632" t="str">
        <f>IFERROR(__xludf.DUMMYFUNCTION("""COMPUTED_VALUE"""),"2015-07-07-D09-SO-1")</f>
        <v>2015-07-07-D09-SO-1</v>
      </c>
    </row>
    <row r="6633">
      <c r="A6633" t="str">
        <f>IFERROR(__xludf.DUMMYFUNCTION("""COMPUTED_VALUE"""),"2015-07-07-D09-SO-2")</f>
        <v>2015-07-07-D09-SO-2</v>
      </c>
    </row>
    <row r="6634">
      <c r="A6634" t="str">
        <f>IFERROR(__xludf.DUMMYFUNCTION("""COMPUTED_VALUE"""),"2015-07-07-D09-SO-3")</f>
        <v>2015-07-07-D09-SO-3</v>
      </c>
    </row>
    <row r="6635">
      <c r="A6635" t="str">
        <f>IFERROR(__xludf.DUMMYFUNCTION("""COMPUTED_VALUE"""),"2015-07-07-D09-SO-4")</f>
        <v>2015-07-07-D09-SO-4</v>
      </c>
    </row>
    <row r="6636">
      <c r="A6636" t="str">
        <f>IFERROR(__xludf.DUMMYFUNCTION("""COMPUTED_VALUE"""),"2015-07-07-D09-SO-5")</f>
        <v>2015-07-07-D09-SO-5</v>
      </c>
    </row>
    <row r="6637">
      <c r="A6637" t="str">
        <f>IFERROR(__xludf.DUMMYFUNCTION("""COMPUTED_VALUE"""),"2015-07-07-J09-SO-1")</f>
        <v>2015-07-07-J09-SO-1</v>
      </c>
    </row>
    <row r="6638">
      <c r="A6638" t="str">
        <f>IFERROR(__xludf.DUMMYFUNCTION("""COMPUTED_VALUE"""),"2015-07-07-J09-SO-2")</f>
        <v>2015-07-07-J09-SO-2</v>
      </c>
    </row>
    <row r="6639">
      <c r="A6639" t="str">
        <f>IFERROR(__xludf.DUMMYFUNCTION("""COMPUTED_VALUE"""),"2015-07-07-J09-SO-3")</f>
        <v>2015-07-07-J09-SO-3</v>
      </c>
    </row>
    <row r="6640">
      <c r="A6640" t="str">
        <f>IFERROR(__xludf.DUMMYFUNCTION("""COMPUTED_VALUE"""),"2015-07-07-J09-SO-4")</f>
        <v>2015-07-07-J09-SO-4</v>
      </c>
    </row>
    <row r="6641">
      <c r="A6641" t="str">
        <f>IFERROR(__xludf.DUMMYFUNCTION("""COMPUTED_VALUE"""),"2015-07-07-J09-SO-5")</f>
        <v>2015-07-07-J09-SO-5</v>
      </c>
    </row>
    <row r="6642">
      <c r="A6642" t="str">
        <f>IFERROR(__xludf.DUMMYFUNCTION("""COMPUTED_VALUE"""),"2015-07-07-J09-SO-6")</f>
        <v>2015-07-07-J09-SO-6</v>
      </c>
    </row>
    <row r="6643">
      <c r="A6643" t="str">
        <f>IFERROR(__xludf.DUMMYFUNCTION("""COMPUTED_VALUE"""),"2015-07-07-J09-SO-7")</f>
        <v>2015-07-07-J09-SO-7</v>
      </c>
    </row>
    <row r="6644">
      <c r="A6644" t="str">
        <f>IFERROR(__xludf.DUMMYFUNCTION("""COMPUTED_VALUE"""),"2015-07-07-J09-SO-8")</f>
        <v>2015-07-07-J09-SO-8</v>
      </c>
    </row>
    <row r="6645">
      <c r="A6645" t="str">
        <f>IFERROR(__xludf.DUMMYFUNCTION("""COMPUTED_VALUE"""),"2015-07-07-J09-SO-9")</f>
        <v>2015-07-07-J09-SO-9</v>
      </c>
    </row>
    <row r="6646">
      <c r="A6646" t="str">
        <f>IFERROR(__xludf.DUMMYFUNCTION("""COMPUTED_VALUE"""),"2015-07-07-J09-SO-10")</f>
        <v>2015-07-07-J09-SO-10</v>
      </c>
    </row>
    <row r="6647">
      <c r="A6647" t="str">
        <f>IFERROR(__xludf.DUMMYFUNCTION("""COMPUTED_VALUE"""),"2015-07-07-J09-SO-11")</f>
        <v>2015-07-07-J09-SO-11</v>
      </c>
    </row>
    <row r="6648">
      <c r="A6648" t="str">
        <f>IFERROR(__xludf.DUMMYFUNCTION("""COMPUTED_VALUE"""),"2015-07-07-J09-SO-12")</f>
        <v>2015-07-07-J09-SO-12</v>
      </c>
    </row>
    <row r="6649">
      <c r="A6649" t="str">
        <f>IFERROR(__xludf.DUMMYFUNCTION("""COMPUTED_VALUE"""),"2015-07-07-J09-SO-13")</f>
        <v>2015-07-07-J09-SO-13</v>
      </c>
    </row>
    <row r="6650">
      <c r="A6650" t="str">
        <f>IFERROR(__xludf.DUMMYFUNCTION("""COMPUTED_VALUE"""),"2015-07-07-J09-SO-14")</f>
        <v>2015-07-07-J09-SO-14</v>
      </c>
    </row>
    <row r="6651">
      <c r="A6651" t="str">
        <f>IFERROR(__xludf.DUMMYFUNCTION("""COMPUTED_VALUE"""),"2015-07-07-J09-SO-15")</f>
        <v>2015-07-07-J09-SO-15</v>
      </c>
    </row>
    <row r="6652">
      <c r="A6652" t="str">
        <f>IFERROR(__xludf.DUMMYFUNCTION("""COMPUTED_VALUE"""),"2015-07-07-J09-SO-16")</f>
        <v>2015-07-07-J09-SO-16</v>
      </c>
    </row>
    <row r="6653">
      <c r="A6653" t="str">
        <f>IFERROR(__xludf.DUMMYFUNCTION("""COMPUTED_VALUE"""),"2015-07-07-J09-SO-17")</f>
        <v>2015-07-07-J09-SO-17</v>
      </c>
    </row>
    <row r="6654">
      <c r="A6654" t="str">
        <f>IFERROR(__xludf.DUMMYFUNCTION("""COMPUTED_VALUE"""),"2015-07-07-J09-SO-18")</f>
        <v>2015-07-07-J09-SO-18</v>
      </c>
    </row>
    <row r="6655">
      <c r="A6655" t="str">
        <f>IFERROR(__xludf.DUMMYFUNCTION("""COMPUTED_VALUE"""),"2015-07-07-J09-SO-19")</f>
        <v>2015-07-07-J09-SO-19</v>
      </c>
    </row>
    <row r="6656">
      <c r="A6656" t="str">
        <f>IFERROR(__xludf.DUMMYFUNCTION("""COMPUTED_VALUE"""),"2015-07-07-J09-SO-20")</f>
        <v>2015-07-07-J09-SO-20</v>
      </c>
    </row>
    <row r="6657">
      <c r="A6657" t="str">
        <f>IFERROR(__xludf.DUMMYFUNCTION("""COMPUTED_VALUE"""),"2015-07-07-J09-SO-21")</f>
        <v>2015-07-07-J09-SO-21</v>
      </c>
    </row>
    <row r="6658">
      <c r="A6658" t="str">
        <f>IFERROR(__xludf.DUMMYFUNCTION("""COMPUTED_VALUE"""),"2015-07-07-J09-SO-22")</f>
        <v>2015-07-07-J09-SO-22</v>
      </c>
    </row>
    <row r="6659">
      <c r="A6659" t="str">
        <f>IFERROR(__xludf.DUMMYFUNCTION("""COMPUTED_VALUE"""),"2015-07-07-J09-SO-23")</f>
        <v>2015-07-07-J09-SO-23</v>
      </c>
    </row>
    <row r="6660">
      <c r="A6660" t="str">
        <f>IFERROR(__xludf.DUMMYFUNCTION("""COMPUTED_VALUE"""),"2015-07-07-J09-SO-24")</f>
        <v>2015-07-07-J09-SO-24</v>
      </c>
    </row>
    <row r="6661">
      <c r="A6661" t="str">
        <f>IFERROR(__xludf.DUMMYFUNCTION("""COMPUTED_VALUE"""),"2015-07-07-J09-SO-25")</f>
        <v>2015-07-07-J09-SO-25</v>
      </c>
    </row>
    <row r="6662">
      <c r="A6662" t="str">
        <f>IFERROR(__xludf.DUMMYFUNCTION("""COMPUTED_VALUE"""),"2015-07-07-J09-SO-26")</f>
        <v>2015-07-07-J09-SO-26</v>
      </c>
    </row>
    <row r="6663">
      <c r="A6663" t="str">
        <f>IFERROR(__xludf.DUMMYFUNCTION("""COMPUTED_VALUE"""),"2015-07-07-J09-SO-27")</f>
        <v>2015-07-07-J09-SO-27</v>
      </c>
    </row>
    <row r="6664">
      <c r="A6664" t="str">
        <f>IFERROR(__xludf.DUMMYFUNCTION("""COMPUTED_VALUE"""),"2015-07-07-J09-SO-28")</f>
        <v>2015-07-07-J09-SO-28</v>
      </c>
    </row>
    <row r="6665">
      <c r="A6665" t="str">
        <f>IFERROR(__xludf.DUMMYFUNCTION("""COMPUTED_VALUE"""),"2015-07-07-J09-SO-29")</f>
        <v>2015-07-07-J09-SO-29</v>
      </c>
    </row>
    <row r="6666">
      <c r="A6666" t="str">
        <f>IFERROR(__xludf.DUMMYFUNCTION("""COMPUTED_VALUE"""),"2015-07-07-J09-SO-30")</f>
        <v>2015-07-07-J09-SO-30</v>
      </c>
    </row>
    <row r="6667">
      <c r="A6667" t="str">
        <f>IFERROR(__xludf.DUMMYFUNCTION("""COMPUTED_VALUE"""),"2015-07-07-D11-PI-1")</f>
        <v>2015-07-07-D11-PI-1</v>
      </c>
    </row>
    <row r="6668">
      <c r="A6668" t="str">
        <f>IFERROR(__xludf.DUMMYFUNCTION("""COMPUTED_VALUE"""),"2015-07-07-D11-PI-2")</f>
        <v>2015-07-07-D11-PI-2</v>
      </c>
    </row>
    <row r="6669">
      <c r="A6669" t="str">
        <f>IFERROR(__xludf.DUMMYFUNCTION("""COMPUTED_VALUE"""),"2015-07-07-D11-PI-3")</f>
        <v>2015-07-07-D11-PI-3</v>
      </c>
    </row>
    <row r="6670">
      <c r="A6670" t="str">
        <f>IFERROR(__xludf.DUMMYFUNCTION("""COMPUTED_VALUE"""),"2015-07-07-D11-PI-4")</f>
        <v>2015-07-07-D11-PI-4</v>
      </c>
    </row>
    <row r="6671">
      <c r="A6671" t="str">
        <f>IFERROR(__xludf.DUMMYFUNCTION("""COMPUTED_VALUE"""),"2015-07-07-D11-PI-5")</f>
        <v>2015-07-07-D11-PI-5</v>
      </c>
    </row>
    <row r="6672">
      <c r="A6672" t="str">
        <f>IFERROR(__xludf.DUMMYFUNCTION("""COMPUTED_VALUE"""),"2015-07-07-D11-PI-6")</f>
        <v>2015-07-07-D11-PI-6</v>
      </c>
    </row>
    <row r="6673">
      <c r="A6673" t="str">
        <f>IFERROR(__xludf.DUMMYFUNCTION("""COMPUTED_VALUE"""),"2015-07-07-D11-PI-7")</f>
        <v>2015-07-07-D11-PI-7</v>
      </c>
    </row>
    <row r="6674">
      <c r="A6674" t="str">
        <f>IFERROR(__xludf.DUMMYFUNCTION("""COMPUTED_VALUE"""),"2015-07-07-D11-PI-8")</f>
        <v>2015-07-07-D11-PI-8</v>
      </c>
    </row>
    <row r="6675">
      <c r="A6675" t="str">
        <f>IFERROR(__xludf.DUMMYFUNCTION("""COMPUTED_VALUE"""),"2015-07-07-D11-PI-9")</f>
        <v>2015-07-07-D11-PI-9</v>
      </c>
    </row>
    <row r="6676">
      <c r="A6676" t="str">
        <f>IFERROR(__xludf.DUMMYFUNCTION("""COMPUTED_VALUE"""),"2015-07-07-D11-PI-10")</f>
        <v>2015-07-07-D11-PI-10</v>
      </c>
    </row>
    <row r="6677">
      <c r="A6677" t="str">
        <f>IFERROR(__xludf.DUMMYFUNCTION("""COMPUTED_VALUE"""),"2015-07-07-D09-PI-1")</f>
        <v>2015-07-07-D09-PI-1</v>
      </c>
    </row>
    <row r="6678">
      <c r="A6678" t="str">
        <f>IFERROR(__xludf.DUMMYFUNCTION("""COMPUTED_VALUE"""),"2015-07-07-D09-PI-2")</f>
        <v>2015-07-07-D09-PI-2</v>
      </c>
    </row>
    <row r="6679">
      <c r="A6679" t="str">
        <f>IFERROR(__xludf.DUMMYFUNCTION("""COMPUTED_VALUE"""),"2015-07-07-D09-PI-3")</f>
        <v>2015-07-07-D09-PI-3</v>
      </c>
    </row>
    <row r="6680">
      <c r="A6680" t="str">
        <f>IFERROR(__xludf.DUMMYFUNCTION("""COMPUTED_VALUE"""),"2015-07-07-D09-PI-4")</f>
        <v>2015-07-07-D09-PI-4</v>
      </c>
    </row>
    <row r="6681">
      <c r="A6681" t="str">
        <f>IFERROR(__xludf.DUMMYFUNCTION("""COMPUTED_VALUE"""),"2015-07-07-D09-PI-5")</f>
        <v>2015-07-07-D09-PI-5</v>
      </c>
    </row>
    <row r="6682">
      <c r="A6682" t="str">
        <f>IFERROR(__xludf.DUMMYFUNCTION("""COMPUTED_VALUE"""),"2015-07-07-D09-PI-6")</f>
        <v>2015-07-07-D09-PI-6</v>
      </c>
    </row>
    <row r="6683">
      <c r="A6683" t="str">
        <f>IFERROR(__xludf.DUMMYFUNCTION("""COMPUTED_VALUE"""),"2015-07-07-D09-PI-7")</f>
        <v>2015-07-07-D09-PI-7</v>
      </c>
    </row>
    <row r="6684">
      <c r="A6684" t="str">
        <f>IFERROR(__xludf.DUMMYFUNCTION("""COMPUTED_VALUE"""),"2015-07-07-D09-PI-8")</f>
        <v>2015-07-07-D09-PI-8</v>
      </c>
    </row>
    <row r="6685">
      <c r="A6685" t="str">
        <f>IFERROR(__xludf.DUMMYFUNCTION("""COMPUTED_VALUE"""),"2015-07-07-D09-PI-9")</f>
        <v>2015-07-07-D09-PI-9</v>
      </c>
    </row>
    <row r="6686">
      <c r="A6686" t="str">
        <f>IFERROR(__xludf.DUMMYFUNCTION("""COMPUTED_VALUE"""),"2015-07-07-D09-PI-10")</f>
        <v>2015-07-07-D09-PI-10</v>
      </c>
    </row>
    <row r="6687">
      <c r="A6687" t="str">
        <f>IFERROR(__xludf.DUMMYFUNCTION("""COMPUTED_VALUE"""),"2015-07-07-J09-PI-1")</f>
        <v>2015-07-07-J09-PI-1</v>
      </c>
    </row>
    <row r="6688">
      <c r="A6688" t="str">
        <f>IFERROR(__xludf.DUMMYFUNCTION("""COMPUTED_VALUE"""),"2015-07-07-J09-PI-2")</f>
        <v>2015-07-07-J09-PI-2</v>
      </c>
    </row>
    <row r="6689">
      <c r="A6689" t="str">
        <f>IFERROR(__xludf.DUMMYFUNCTION("""COMPUTED_VALUE"""),"2015-07-07-J09-PI-3")</f>
        <v>2015-07-07-J09-PI-3</v>
      </c>
    </row>
    <row r="6690">
      <c r="A6690" t="str">
        <f>IFERROR(__xludf.DUMMYFUNCTION("""COMPUTED_VALUE"""),"2015-07-07-J09-PI-4")</f>
        <v>2015-07-07-J09-PI-4</v>
      </c>
    </row>
    <row r="6691">
      <c r="A6691" t="str">
        <f>IFERROR(__xludf.DUMMYFUNCTION("""COMPUTED_VALUE"""),"2015-07-07-J09-PI-5")</f>
        <v>2015-07-07-J09-PI-5</v>
      </c>
    </row>
    <row r="6692">
      <c r="A6692" t="str">
        <f>IFERROR(__xludf.DUMMYFUNCTION("""COMPUTED_VALUE"""),"2015-07-07-J09-PI-6")</f>
        <v>2015-07-07-J09-PI-6</v>
      </c>
    </row>
    <row r="6693">
      <c r="A6693" t="str">
        <f>IFERROR(__xludf.DUMMYFUNCTION("""COMPUTED_VALUE"""),"2015-07-07-J09-PI-7")</f>
        <v>2015-07-07-J09-PI-7</v>
      </c>
    </row>
    <row r="6694">
      <c r="A6694" t="str">
        <f>IFERROR(__xludf.DUMMYFUNCTION("""COMPUTED_VALUE"""),"2015-07-07-J09-PI-8")</f>
        <v>2015-07-07-J09-PI-8</v>
      </c>
    </row>
    <row r="6695">
      <c r="A6695" t="str">
        <f>IFERROR(__xludf.DUMMYFUNCTION("""COMPUTED_VALUE"""),"2015-07-07-J09-PI-9")</f>
        <v>2015-07-07-J09-PI-9</v>
      </c>
    </row>
    <row r="6696">
      <c r="A6696" t="str">
        <f>IFERROR(__xludf.DUMMYFUNCTION("""COMPUTED_VALUE"""),"2015-07-07-J09-PI-10")</f>
        <v>2015-07-07-J09-PI-10</v>
      </c>
    </row>
    <row r="6697">
      <c r="A6697" t="str">
        <f>IFERROR(__xludf.DUMMYFUNCTION("""COMPUTED_VALUE"""),"2015-07-07-D11-CU-1")</f>
        <v>2015-07-07-D11-CU-1</v>
      </c>
    </row>
    <row r="6698">
      <c r="A6698" t="str">
        <f>IFERROR(__xludf.DUMMYFUNCTION("""COMPUTED_VALUE"""),"2015-07-07-D11-CU-2")</f>
        <v>2015-07-07-D11-CU-2</v>
      </c>
    </row>
    <row r="6699">
      <c r="A6699" t="str">
        <f>IFERROR(__xludf.DUMMYFUNCTION("""COMPUTED_VALUE"""),"2015-07-07-D11-CU-3")</f>
        <v>2015-07-07-D11-CU-3</v>
      </c>
    </row>
    <row r="6700">
      <c r="A6700" t="str">
        <f>IFERROR(__xludf.DUMMYFUNCTION("""COMPUTED_VALUE"""),"2015-07-07-D11-CU-4")</f>
        <v>2015-07-07-D11-CU-4</v>
      </c>
    </row>
    <row r="6701">
      <c r="A6701" t="str">
        <f>IFERROR(__xludf.DUMMYFUNCTION("""COMPUTED_VALUE"""),"2015-07-07-D11-CU-5")</f>
        <v>2015-07-07-D11-CU-5</v>
      </c>
    </row>
    <row r="6702">
      <c r="A6702" t="str">
        <f>IFERROR(__xludf.DUMMYFUNCTION("""COMPUTED_VALUE"""),"2015-07-07-D11-CU-6")</f>
        <v>2015-07-07-D11-CU-6</v>
      </c>
    </row>
    <row r="6703">
      <c r="A6703" t="str">
        <f>IFERROR(__xludf.DUMMYFUNCTION("""COMPUTED_VALUE"""),"2015-07-07-D11-CU-7")</f>
        <v>2015-07-07-D11-CU-7</v>
      </c>
    </row>
    <row r="6704">
      <c r="A6704" t="str">
        <f>IFERROR(__xludf.DUMMYFUNCTION("""COMPUTED_VALUE"""),"2015-07-07-D11-CU-8")</f>
        <v>2015-07-07-D11-CU-8</v>
      </c>
    </row>
    <row r="6705">
      <c r="A6705" t="str">
        <f>IFERROR(__xludf.DUMMYFUNCTION("""COMPUTED_VALUE"""),"2015-07-07-D11-CU-9")</f>
        <v>2015-07-07-D11-CU-9</v>
      </c>
    </row>
    <row r="6706">
      <c r="A6706" t="str">
        <f>IFERROR(__xludf.DUMMYFUNCTION("""COMPUTED_VALUE"""),"2015-07-07-D11-CU-10")</f>
        <v>2015-07-07-D11-CU-10</v>
      </c>
    </row>
    <row r="6707">
      <c r="A6707" t="str">
        <f>IFERROR(__xludf.DUMMYFUNCTION("""COMPUTED_VALUE"""),"2015-07-07-D09-CU-1")</f>
        <v>2015-07-07-D09-CU-1</v>
      </c>
    </row>
    <row r="6708">
      <c r="A6708" t="str">
        <f>IFERROR(__xludf.DUMMYFUNCTION("""COMPUTED_VALUE"""),"2015-07-07-D09-CU-2")</f>
        <v>2015-07-07-D09-CU-2</v>
      </c>
    </row>
    <row r="6709">
      <c r="A6709" t="str">
        <f>IFERROR(__xludf.DUMMYFUNCTION("""COMPUTED_VALUE"""),"2015-07-07-D09-CU-3")</f>
        <v>2015-07-07-D09-CU-3</v>
      </c>
    </row>
    <row r="6710">
      <c r="A6710" t="str">
        <f>IFERROR(__xludf.DUMMYFUNCTION("""COMPUTED_VALUE"""),"2015-07-07-D09-CU-4")</f>
        <v>2015-07-07-D09-CU-4</v>
      </c>
    </row>
    <row r="6711">
      <c r="A6711" t="str">
        <f>IFERROR(__xludf.DUMMYFUNCTION("""COMPUTED_VALUE"""),"2015-07-07-D09-CU-5")</f>
        <v>2015-07-07-D09-CU-5</v>
      </c>
    </row>
    <row r="6712">
      <c r="A6712" t="str">
        <f>IFERROR(__xludf.DUMMYFUNCTION("""COMPUTED_VALUE"""),"2015-07-07-D09-CU-6")</f>
        <v>2015-07-07-D09-CU-6</v>
      </c>
    </row>
    <row r="6713">
      <c r="A6713" t="str">
        <f>IFERROR(__xludf.DUMMYFUNCTION("""COMPUTED_VALUE"""),"2015-07-07-D09-CU-7")</f>
        <v>2015-07-07-D09-CU-7</v>
      </c>
    </row>
    <row r="6714">
      <c r="A6714" t="str">
        <f>IFERROR(__xludf.DUMMYFUNCTION("""COMPUTED_VALUE"""),"2015-07-07-D09-CU-8")</f>
        <v>2015-07-07-D09-CU-8</v>
      </c>
    </row>
    <row r="6715">
      <c r="A6715" t="str">
        <f>IFERROR(__xludf.DUMMYFUNCTION("""COMPUTED_VALUE"""),"2015-07-07-D09-CU-9")</f>
        <v>2015-07-07-D09-CU-9</v>
      </c>
    </row>
    <row r="6716">
      <c r="A6716" t="str">
        <f>IFERROR(__xludf.DUMMYFUNCTION("""COMPUTED_VALUE"""),"2015-07-07-D09-CU-10")</f>
        <v>2015-07-07-D09-CU-10</v>
      </c>
    </row>
    <row r="6717">
      <c r="A6717" t="str">
        <f>IFERROR(__xludf.DUMMYFUNCTION("""COMPUTED_VALUE"""),"2015-07-07-J09-CU-1")</f>
        <v>2015-07-07-J09-CU-1</v>
      </c>
    </row>
    <row r="6718">
      <c r="A6718" t="str">
        <f>IFERROR(__xludf.DUMMYFUNCTION("""COMPUTED_VALUE"""),"2015-07-07-J09-CU-2")</f>
        <v>2015-07-07-J09-CU-2</v>
      </c>
    </row>
    <row r="6719">
      <c r="A6719" t="str">
        <f>IFERROR(__xludf.DUMMYFUNCTION("""COMPUTED_VALUE"""),"2015-07-07-J09-CU-3")</f>
        <v>2015-07-07-J09-CU-3</v>
      </c>
    </row>
    <row r="6720">
      <c r="A6720" t="str">
        <f>IFERROR(__xludf.DUMMYFUNCTION("""COMPUTED_VALUE"""),"2015-07-07-J09-CU-4")</f>
        <v>2015-07-07-J09-CU-4</v>
      </c>
    </row>
    <row r="6721">
      <c r="A6721" t="str">
        <f>IFERROR(__xludf.DUMMYFUNCTION("""COMPUTED_VALUE"""),"2015-07-07-J09-CU-5")</f>
        <v>2015-07-07-J09-CU-5</v>
      </c>
    </row>
    <row r="6722">
      <c r="A6722" t="str">
        <f>IFERROR(__xludf.DUMMYFUNCTION("""COMPUTED_VALUE"""),"2015-07-07-J09-CU-6")</f>
        <v>2015-07-07-J09-CU-6</v>
      </c>
    </row>
    <row r="6723">
      <c r="A6723" t="str">
        <f>IFERROR(__xludf.DUMMYFUNCTION("""COMPUTED_VALUE"""),"2015-07-07-J09-CU-7")</f>
        <v>2015-07-07-J09-CU-7</v>
      </c>
    </row>
    <row r="6724">
      <c r="A6724" t="str">
        <f>IFERROR(__xludf.DUMMYFUNCTION("""COMPUTED_VALUE"""),"2015-07-07-J09-CU-8")</f>
        <v>2015-07-07-J09-CU-8</v>
      </c>
    </row>
    <row r="6725">
      <c r="A6725" t="str">
        <f>IFERROR(__xludf.DUMMYFUNCTION("""COMPUTED_VALUE"""),"2015-07-07-J09-CU-9")</f>
        <v>2015-07-07-J09-CU-9</v>
      </c>
    </row>
    <row r="6726">
      <c r="A6726" t="str">
        <f>IFERROR(__xludf.DUMMYFUNCTION("""COMPUTED_VALUE"""),"2015-07-07-J09-CU-10")</f>
        <v>2015-07-07-J09-CU-10</v>
      </c>
    </row>
    <row r="6727">
      <c r="A6727" t="str">
        <f>IFERROR(__xludf.DUMMYFUNCTION("""COMPUTED_VALUE"""),"2015-07-07-J09-CO-1")</f>
        <v>2015-07-07-J09-CO-1</v>
      </c>
    </row>
    <row r="6728">
      <c r="A6728" t="str">
        <f>IFERROR(__xludf.DUMMYFUNCTION("""COMPUTED_VALUE"""),"2015-07-07-D09-HE-1")</f>
        <v>2015-07-07-D09-HE-1</v>
      </c>
    </row>
    <row r="6729">
      <c r="A6729" t="str">
        <f>IFERROR(__xludf.DUMMYFUNCTION("""COMPUTED_VALUE"""),"2015-07-07-D09-HE-2")</f>
        <v>2015-07-07-D09-HE-2</v>
      </c>
    </row>
    <row r="6730">
      <c r="A6730" t="str">
        <f>IFERROR(__xludf.DUMMYFUNCTION("""COMPUTED_VALUE"""),"2015-07-07-D09-HE-3")</f>
        <v>2015-07-07-D09-HE-3</v>
      </c>
    </row>
    <row r="6731">
      <c r="A6731" t="str">
        <f>IFERROR(__xludf.DUMMYFUNCTION("""COMPUTED_VALUE"""),"2015-07-14-D09-SO-1")</f>
        <v>2015-07-14-D09-SO-1</v>
      </c>
    </row>
    <row r="6732">
      <c r="A6732" t="str">
        <f>IFERROR(__xludf.DUMMYFUNCTION("""COMPUTED_VALUE"""),"2015-07-14-D09-SO-2")</f>
        <v>2015-07-14-D09-SO-2</v>
      </c>
    </row>
    <row r="6733">
      <c r="A6733" t="str">
        <f>IFERROR(__xludf.DUMMYFUNCTION("""COMPUTED_VALUE"""),"2015-07-14-D09-SO-3")</f>
        <v>2015-07-14-D09-SO-3</v>
      </c>
    </row>
    <row r="6734">
      <c r="A6734" t="str">
        <f>IFERROR(__xludf.DUMMYFUNCTION("""COMPUTED_VALUE"""),"2015-07-14-D09-SO-4")</f>
        <v>2015-07-14-D09-SO-4</v>
      </c>
    </row>
    <row r="6735">
      <c r="A6735" t="str">
        <f>IFERROR(__xludf.DUMMYFUNCTION("""COMPUTED_VALUE"""),"2015-07-14-D09-SO-5")</f>
        <v>2015-07-14-D09-SO-5</v>
      </c>
    </row>
    <row r="6736">
      <c r="A6736" t="str">
        <f>IFERROR(__xludf.DUMMYFUNCTION("""COMPUTED_VALUE"""),"2015-07-14-D09-SO-6")</f>
        <v>2015-07-14-D09-SO-6</v>
      </c>
    </row>
    <row r="6737">
      <c r="A6737" t="str">
        <f>IFERROR(__xludf.DUMMYFUNCTION("""COMPUTED_VALUE"""),"2015-07-14-D09-SO-7")</f>
        <v>2015-07-14-D09-SO-7</v>
      </c>
    </row>
    <row r="6738">
      <c r="A6738" t="str">
        <f>IFERROR(__xludf.DUMMYFUNCTION("""COMPUTED_VALUE"""),"2015-07-14-D09-SO-8")</f>
        <v>2015-07-14-D09-SO-8</v>
      </c>
    </row>
    <row r="6739">
      <c r="A6739" t="str">
        <f>IFERROR(__xludf.DUMMYFUNCTION("""COMPUTED_VALUE"""),"2015-07-14-D09-SO-9")</f>
        <v>2015-07-14-D09-SO-9</v>
      </c>
    </row>
    <row r="6740">
      <c r="A6740" t="str">
        <f>IFERROR(__xludf.DUMMYFUNCTION("""COMPUTED_VALUE"""),"2015-07-14-D09-SO-10")</f>
        <v>2015-07-14-D09-SO-10</v>
      </c>
    </row>
    <row r="6741">
      <c r="A6741" t="str">
        <f>IFERROR(__xludf.DUMMYFUNCTION("""COMPUTED_VALUE"""),"2015-07-14-D09-SO-11")</f>
        <v>2015-07-14-D09-SO-11</v>
      </c>
    </row>
    <row r="6742">
      <c r="A6742" t="str">
        <f>IFERROR(__xludf.DUMMYFUNCTION("""COMPUTED_VALUE"""),"2015-07-14-D09-SO-12")</f>
        <v>2015-07-14-D09-SO-12</v>
      </c>
    </row>
    <row r="6743">
      <c r="A6743" t="str">
        <f>IFERROR(__xludf.DUMMYFUNCTION("""COMPUTED_VALUE"""),"2015-07-14-D09-SO-13")</f>
        <v>2015-07-14-D09-SO-13</v>
      </c>
    </row>
    <row r="6744">
      <c r="A6744" t="str">
        <f>IFERROR(__xludf.DUMMYFUNCTION("""COMPUTED_VALUE"""),"2015-07-14-D09-SO-14")</f>
        <v>2015-07-14-D09-SO-14</v>
      </c>
    </row>
    <row r="6745">
      <c r="A6745" t="str">
        <f>IFERROR(__xludf.DUMMYFUNCTION("""COMPUTED_VALUE"""),"2015-07-14-D09-SO-15")</f>
        <v>2015-07-14-D09-SO-15</v>
      </c>
    </row>
    <row r="6746">
      <c r="A6746" t="str">
        <f>IFERROR(__xludf.DUMMYFUNCTION("""COMPUTED_VALUE"""),"2015-07-14-D09-SO-16")</f>
        <v>2015-07-14-D09-SO-16</v>
      </c>
    </row>
    <row r="6747">
      <c r="A6747" t="str">
        <f>IFERROR(__xludf.DUMMYFUNCTION("""COMPUTED_VALUE"""),"2015-07-14-D09-SO-17")</f>
        <v>2015-07-14-D09-SO-17</v>
      </c>
    </row>
    <row r="6748">
      <c r="A6748" t="str">
        <f>IFERROR(__xludf.DUMMYFUNCTION("""COMPUTED_VALUE"""),"2015-07-14-D09-SO-18")</f>
        <v>2015-07-14-D09-SO-18</v>
      </c>
    </row>
    <row r="6749">
      <c r="A6749" t="str">
        <f>IFERROR(__xludf.DUMMYFUNCTION("""COMPUTED_VALUE"""),"2015-07-14-D09-SO-19")</f>
        <v>2015-07-14-D09-SO-19</v>
      </c>
    </row>
    <row r="6750">
      <c r="A6750" t="str">
        <f>IFERROR(__xludf.DUMMYFUNCTION("""COMPUTED_VALUE"""),"2015-07-14-D09-SO-20")</f>
        <v>2015-07-14-D09-SO-20</v>
      </c>
    </row>
    <row r="6751">
      <c r="A6751" t="str">
        <f>IFERROR(__xludf.DUMMYFUNCTION("""COMPUTED_VALUE"""),"2015-07-14-D09-SO-21")</f>
        <v>2015-07-14-D09-SO-21</v>
      </c>
    </row>
    <row r="6752">
      <c r="A6752" t="str">
        <f>IFERROR(__xludf.DUMMYFUNCTION("""COMPUTED_VALUE"""),"2015-07-14-D09-SO-22")</f>
        <v>2015-07-14-D09-SO-22</v>
      </c>
    </row>
    <row r="6753">
      <c r="A6753" t="str">
        <f>IFERROR(__xludf.DUMMYFUNCTION("""COMPUTED_VALUE"""),"2015-07-14-D09-SO-23")</f>
        <v>2015-07-14-D09-SO-23</v>
      </c>
    </row>
    <row r="6754">
      <c r="A6754" t="str">
        <f>IFERROR(__xludf.DUMMYFUNCTION("""COMPUTED_VALUE"""),"2015-07-14-D09-SO-24")</f>
        <v>2015-07-14-D09-SO-24</v>
      </c>
    </row>
    <row r="6755">
      <c r="A6755" t="str">
        <f>IFERROR(__xludf.DUMMYFUNCTION("""COMPUTED_VALUE"""),"2015-07-14-D09-SO-25")</f>
        <v>2015-07-14-D09-SO-25</v>
      </c>
    </row>
    <row r="6756">
      <c r="A6756" t="str">
        <f>IFERROR(__xludf.DUMMYFUNCTION("""COMPUTED_VALUE"""),"2015-07-14-D09-SO-26")</f>
        <v>2015-07-14-D09-SO-26</v>
      </c>
    </row>
    <row r="6757">
      <c r="A6757" t="str">
        <f>IFERROR(__xludf.DUMMYFUNCTION("""COMPUTED_VALUE"""),"2015-07-14-D09-SO-27")</f>
        <v>2015-07-14-D09-SO-27</v>
      </c>
    </row>
    <row r="6758">
      <c r="A6758" t="str">
        <f>IFERROR(__xludf.DUMMYFUNCTION("""COMPUTED_VALUE"""),"2015-07-14-D09-SO-28")</f>
        <v>2015-07-14-D09-SO-28</v>
      </c>
    </row>
    <row r="6759">
      <c r="A6759" t="str">
        <f>IFERROR(__xludf.DUMMYFUNCTION("""COMPUTED_VALUE"""),"2015-07-14-D09-SO-29")</f>
        <v>2015-07-14-D09-SO-29</v>
      </c>
    </row>
    <row r="6760">
      <c r="A6760" t="str">
        <f>IFERROR(__xludf.DUMMYFUNCTION("""COMPUTED_VALUE"""),"2015-07-14-D09-SO-30")</f>
        <v>2015-07-14-D09-SO-30</v>
      </c>
    </row>
    <row r="6761">
      <c r="A6761" t="str">
        <f>IFERROR(__xludf.DUMMYFUNCTION("""COMPUTED_VALUE"""),"2015-07-14-D11-SO-1")</f>
        <v>2015-07-14-D11-SO-1</v>
      </c>
    </row>
    <row r="6762">
      <c r="A6762" t="str">
        <f>IFERROR(__xludf.DUMMYFUNCTION("""COMPUTED_VALUE"""),"2015-07-14-D11-SO-2")</f>
        <v>2015-07-14-D11-SO-2</v>
      </c>
    </row>
    <row r="6763">
      <c r="A6763" t="str">
        <f>IFERROR(__xludf.DUMMYFUNCTION("""COMPUTED_VALUE"""),"2015-07-14-D11-SO-3")</f>
        <v>2015-07-14-D11-SO-3</v>
      </c>
    </row>
    <row r="6764">
      <c r="A6764" t="str">
        <f>IFERROR(__xludf.DUMMYFUNCTION("""COMPUTED_VALUE"""),"2015-07-14-D11-SO-4")</f>
        <v>2015-07-14-D11-SO-4</v>
      </c>
    </row>
    <row r="6765">
      <c r="A6765" t="str">
        <f>IFERROR(__xludf.DUMMYFUNCTION("""COMPUTED_VALUE"""),"2015-07-14-D11-SO-5")</f>
        <v>2015-07-14-D11-SO-5</v>
      </c>
    </row>
    <row r="6766">
      <c r="A6766" t="str">
        <f>IFERROR(__xludf.DUMMYFUNCTION("""COMPUTED_VALUE"""),"2015-07-14-D09-PI-1")</f>
        <v>2015-07-14-D09-PI-1</v>
      </c>
    </row>
    <row r="6767">
      <c r="A6767" t="str">
        <f>IFERROR(__xludf.DUMMYFUNCTION("""COMPUTED_VALUE"""),"2015-07-14-D11-PI-1")</f>
        <v>2015-07-14-D11-PI-1</v>
      </c>
    </row>
    <row r="6768">
      <c r="A6768" t="str">
        <f>IFERROR(__xludf.DUMMYFUNCTION("""COMPUTED_VALUE"""),"2015-07-14-D11-PI-2")</f>
        <v>2015-07-14-D11-PI-2</v>
      </c>
    </row>
    <row r="6769">
      <c r="A6769" t="str">
        <f>IFERROR(__xludf.DUMMYFUNCTION("""COMPUTED_VALUE"""),"2015-07-14-D11-PI-3")</f>
        <v>2015-07-14-D11-PI-3</v>
      </c>
    </row>
    <row r="6770">
      <c r="A6770" t="str">
        <f>IFERROR(__xludf.DUMMYFUNCTION("""COMPUTED_VALUE"""),"2015-07-14-D11-PI-4")</f>
        <v>2015-07-14-D11-PI-4</v>
      </c>
    </row>
    <row r="6771">
      <c r="A6771" t="str">
        <f>IFERROR(__xludf.DUMMYFUNCTION("""COMPUTED_VALUE"""),"2015-07-14-D11-PI-5")</f>
        <v>2015-07-14-D11-PI-5</v>
      </c>
    </row>
    <row r="6772">
      <c r="A6772" t="str">
        <f>IFERROR(__xludf.DUMMYFUNCTION("""COMPUTED_VALUE"""),"2015-07-14-D11-PI-6")</f>
        <v>2015-07-14-D11-PI-6</v>
      </c>
    </row>
    <row r="6773">
      <c r="A6773" t="str">
        <f>IFERROR(__xludf.DUMMYFUNCTION("""COMPUTED_VALUE"""),"2015-07-14-D11-PI-7")</f>
        <v>2015-07-14-D11-PI-7</v>
      </c>
    </row>
    <row r="6774">
      <c r="A6774" t="str">
        <f>IFERROR(__xludf.DUMMYFUNCTION("""COMPUTED_VALUE"""),"2015-07-14-D11-PI-8")</f>
        <v>2015-07-14-D11-PI-8</v>
      </c>
    </row>
    <row r="6775">
      <c r="A6775" t="str">
        <f>IFERROR(__xludf.DUMMYFUNCTION("""COMPUTED_VALUE"""),"2015-07-14-D11-PI-9")</f>
        <v>2015-07-14-D11-PI-9</v>
      </c>
    </row>
    <row r="6776">
      <c r="A6776" t="str">
        <f>IFERROR(__xludf.DUMMYFUNCTION("""COMPUTED_VALUE"""),"2015-07-14-D11-PI-10")</f>
        <v>2015-07-14-D11-PI-10</v>
      </c>
    </row>
    <row r="6777">
      <c r="A6777" t="str">
        <f>IFERROR(__xludf.DUMMYFUNCTION("""COMPUTED_VALUE"""),"2015-07-14-D09-CU-1")</f>
        <v>2015-07-14-D09-CU-1</v>
      </c>
    </row>
    <row r="6778">
      <c r="A6778" t="str">
        <f>IFERROR(__xludf.DUMMYFUNCTION("""COMPUTED_VALUE"""),"2015-07-14-D09-CU-2")</f>
        <v>2015-07-14-D09-CU-2</v>
      </c>
    </row>
    <row r="6779">
      <c r="A6779" t="str">
        <f>IFERROR(__xludf.DUMMYFUNCTION("""COMPUTED_VALUE"""),"2015-07-14-D09-CU-3")</f>
        <v>2015-07-14-D09-CU-3</v>
      </c>
    </row>
    <row r="6780">
      <c r="A6780" t="str">
        <f>IFERROR(__xludf.DUMMYFUNCTION("""COMPUTED_VALUE"""),"2015-07-14-D09-CU-4")</f>
        <v>2015-07-14-D09-CU-4</v>
      </c>
    </row>
    <row r="6781">
      <c r="A6781" t="str">
        <f>IFERROR(__xludf.DUMMYFUNCTION("""COMPUTED_VALUE"""),"2015-07-14-D09-CU-5")</f>
        <v>2015-07-14-D09-CU-5</v>
      </c>
    </row>
    <row r="6782">
      <c r="A6782" t="str">
        <f>IFERROR(__xludf.DUMMYFUNCTION("""COMPUTED_VALUE"""),"2015-07-14-D09-CU-6")</f>
        <v>2015-07-14-D09-CU-6</v>
      </c>
    </row>
    <row r="6783">
      <c r="A6783" t="str">
        <f>IFERROR(__xludf.DUMMYFUNCTION("""COMPUTED_VALUE"""),"2015-07-14-D09-CU-7")</f>
        <v>2015-07-14-D09-CU-7</v>
      </c>
    </row>
    <row r="6784">
      <c r="A6784" t="str">
        <f>IFERROR(__xludf.DUMMYFUNCTION("""COMPUTED_VALUE"""),"2015-07-14-D09-CU-8")</f>
        <v>2015-07-14-D09-CU-8</v>
      </c>
    </row>
    <row r="6785">
      <c r="A6785" t="str">
        <f>IFERROR(__xludf.DUMMYFUNCTION("""COMPUTED_VALUE"""),"2015-07-14-D11-CU-1")</f>
        <v>2015-07-14-D11-CU-1</v>
      </c>
    </row>
    <row r="6786">
      <c r="A6786" t="str">
        <f>IFERROR(__xludf.DUMMYFUNCTION("""COMPUTED_VALUE"""),"2015-07-14-D11-CU-2")</f>
        <v>2015-07-14-D11-CU-2</v>
      </c>
    </row>
    <row r="6787">
      <c r="A6787" t="str">
        <f>IFERROR(__xludf.DUMMYFUNCTION("""COMPUTED_VALUE"""),"2015-07-14-D11-CU-3")</f>
        <v>2015-07-14-D11-CU-3</v>
      </c>
    </row>
    <row r="6788">
      <c r="A6788" t="str">
        <f>IFERROR(__xludf.DUMMYFUNCTION("""COMPUTED_VALUE"""),"2015-07-14-D11-CU-4")</f>
        <v>2015-07-14-D11-CU-4</v>
      </c>
    </row>
    <row r="6789">
      <c r="A6789" t="str">
        <f>IFERROR(__xludf.DUMMYFUNCTION("""COMPUTED_VALUE"""),"2015-07-14-D11-CU-5")</f>
        <v>2015-07-14-D11-CU-5</v>
      </c>
    </row>
    <row r="6790">
      <c r="A6790" t="str">
        <f>IFERROR(__xludf.DUMMYFUNCTION("""COMPUTED_VALUE"""),"2015-07-14-D11-CU-6")</f>
        <v>2015-07-14-D11-CU-6</v>
      </c>
    </row>
    <row r="6791">
      <c r="A6791" t="str">
        <f>IFERROR(__xludf.DUMMYFUNCTION("""COMPUTED_VALUE"""),"2015-07-14-D11-CU-7")</f>
        <v>2015-07-14-D11-CU-7</v>
      </c>
    </row>
    <row r="6792">
      <c r="A6792" t="str">
        <f>IFERROR(__xludf.DUMMYFUNCTION("""COMPUTED_VALUE"""),"2015-07-14-D11-CU-8")</f>
        <v>2015-07-14-D11-CU-8</v>
      </c>
    </row>
    <row r="6793">
      <c r="A6793" t="str">
        <f>IFERROR(__xludf.DUMMYFUNCTION("""COMPUTED_VALUE"""),"2015-07-14-D11-CU-9")</f>
        <v>2015-07-14-D11-CU-9</v>
      </c>
    </row>
    <row r="6794">
      <c r="A6794" t="str">
        <f>IFERROR(__xludf.DUMMYFUNCTION("""COMPUTED_VALUE"""),"2015-07-14-D11-CU-10")</f>
        <v>2015-07-14-D11-CU-10</v>
      </c>
    </row>
    <row r="6795">
      <c r="A6795" t="str">
        <f>IFERROR(__xludf.DUMMYFUNCTION("""COMPUTED_VALUE"""),"2015-07-14-D11-HE-1")</f>
        <v>2015-07-14-D11-HE-1</v>
      </c>
    </row>
    <row r="6796">
      <c r="A6796" t="str">
        <f>IFERROR(__xludf.DUMMYFUNCTION("""COMPUTED_VALUE"""),"2016-05-13-D25-SO-1")</f>
        <v>2016-05-13-D25-SO-1</v>
      </c>
    </row>
    <row r="6797">
      <c r="A6797" t="str">
        <f>IFERROR(__xludf.DUMMYFUNCTION("""COMPUTED_VALUE"""),"2016-05-13-D25-SO-2")</f>
        <v>2016-05-13-D25-SO-2</v>
      </c>
    </row>
    <row r="6798">
      <c r="A6798" t="str">
        <f>IFERROR(__xludf.DUMMYFUNCTION("""COMPUTED_VALUE"""),"2016-05-13-D25-SO-3")</f>
        <v>2016-05-13-D25-SO-3</v>
      </c>
    </row>
    <row r="6799">
      <c r="A6799" t="str">
        <f>IFERROR(__xludf.DUMMYFUNCTION("""COMPUTED_VALUE"""),"2016-05-13-D25-SO-4")</f>
        <v>2016-05-13-D25-SO-4</v>
      </c>
    </row>
    <row r="6800">
      <c r="A6800" t="str">
        <f>IFERROR(__xludf.DUMMYFUNCTION("""COMPUTED_VALUE"""),"2016-05-13-D25-SO-5")</f>
        <v>2016-05-13-D25-SO-5</v>
      </c>
    </row>
    <row r="6801">
      <c r="A6801" t="str">
        <f>IFERROR(__xludf.DUMMYFUNCTION("""COMPUTED_VALUE"""),"2016-05-13-D25-SO-6")</f>
        <v>2016-05-13-D25-SO-6</v>
      </c>
    </row>
    <row r="6802">
      <c r="A6802" t="str">
        <f>IFERROR(__xludf.DUMMYFUNCTION("""COMPUTED_VALUE"""),"2016-05-13-D25-SO-7")</f>
        <v>2016-05-13-D25-SO-7</v>
      </c>
    </row>
    <row r="6803">
      <c r="A6803" t="str">
        <f>IFERROR(__xludf.DUMMYFUNCTION("""COMPUTED_VALUE"""),"2016-05-13-D25-SO-8")</f>
        <v>2016-05-13-D25-SO-8</v>
      </c>
    </row>
    <row r="6804">
      <c r="A6804" t="str">
        <f>IFERROR(__xludf.DUMMYFUNCTION("""COMPUTED_VALUE"""),"2016-05-13-D25-SO-9")</f>
        <v>2016-05-13-D25-SO-9</v>
      </c>
    </row>
    <row r="6805">
      <c r="A6805" t="str">
        <f>IFERROR(__xludf.DUMMYFUNCTION("""COMPUTED_VALUE"""),"2016-05-13-D25-SO-10")</f>
        <v>2016-05-13-D25-SO-10</v>
      </c>
    </row>
    <row r="6806">
      <c r="A6806" t="str">
        <f>IFERROR(__xludf.DUMMYFUNCTION("""COMPUTED_VALUE"""),"2016-05-13-D25-SO-11")</f>
        <v>2016-05-13-D25-SO-11</v>
      </c>
    </row>
    <row r="6807">
      <c r="A6807" t="str">
        <f>IFERROR(__xludf.DUMMYFUNCTION("""COMPUTED_VALUE"""),"2016-05-13-D25-SO-12")</f>
        <v>2016-05-13-D25-SO-12</v>
      </c>
    </row>
    <row r="6808">
      <c r="A6808" t="str">
        <f>IFERROR(__xludf.DUMMYFUNCTION("""COMPUTED_VALUE"""),"2016-05-13-D25-SO-13")</f>
        <v>2016-05-13-D25-SO-13</v>
      </c>
    </row>
    <row r="6809">
      <c r="A6809" t="str">
        <f>IFERROR(__xludf.DUMMYFUNCTION("""COMPUTED_VALUE"""),"2016-05-13-D25-SO-14")</f>
        <v>2016-05-13-D25-SO-14</v>
      </c>
    </row>
    <row r="6810">
      <c r="A6810" t="str">
        <f>IFERROR(__xludf.DUMMYFUNCTION("""COMPUTED_VALUE"""),"2016-05-13-D25-SO-15")</f>
        <v>2016-05-13-D25-SO-15</v>
      </c>
    </row>
    <row r="6811">
      <c r="A6811" t="str">
        <f>IFERROR(__xludf.DUMMYFUNCTION("""COMPUTED_VALUE"""),"2016-05-13-D25-SO-16")</f>
        <v>2016-05-13-D25-SO-16</v>
      </c>
    </row>
    <row r="6812">
      <c r="A6812" t="str">
        <f>IFERROR(__xludf.DUMMYFUNCTION("""COMPUTED_VALUE"""),"2016-05-13-D25-SO-17")</f>
        <v>2016-05-13-D25-SO-17</v>
      </c>
    </row>
    <row r="6813">
      <c r="A6813" t="str">
        <f>IFERROR(__xludf.DUMMYFUNCTION("""COMPUTED_VALUE"""),"2016-05-13-D25-SO-18")</f>
        <v>2016-05-13-D25-SO-18</v>
      </c>
    </row>
    <row r="6814">
      <c r="A6814" t="str">
        <f>IFERROR(__xludf.DUMMYFUNCTION("""COMPUTED_VALUE"""),"2016-05-13-D25-SO-19")</f>
        <v>2016-05-13-D25-SO-19</v>
      </c>
    </row>
    <row r="6815">
      <c r="A6815" t="str">
        <f>IFERROR(__xludf.DUMMYFUNCTION("""COMPUTED_VALUE"""),"2016-05-13-D25-SO-20")</f>
        <v>2016-05-13-D25-SO-20</v>
      </c>
    </row>
    <row r="6816">
      <c r="A6816" t="str">
        <f>IFERROR(__xludf.DUMMYFUNCTION("""COMPUTED_VALUE"""),"2016-05-13-D25-SO-21")</f>
        <v>2016-05-13-D25-SO-21</v>
      </c>
    </row>
    <row r="6817">
      <c r="A6817" t="str">
        <f>IFERROR(__xludf.DUMMYFUNCTION("""COMPUTED_VALUE"""),"2016-05-13-D25-SO-22")</f>
        <v>2016-05-13-D25-SO-22</v>
      </c>
    </row>
    <row r="6818">
      <c r="A6818" t="str">
        <f>IFERROR(__xludf.DUMMYFUNCTION("""COMPUTED_VALUE"""),"2016-05-13-D25-SO-23")</f>
        <v>2016-05-13-D25-SO-23</v>
      </c>
    </row>
    <row r="6819">
      <c r="A6819" t="str">
        <f>IFERROR(__xludf.DUMMYFUNCTION("""COMPUTED_VALUE"""),"2016-05-13-D25-SO-24")</f>
        <v>2016-05-13-D25-SO-24</v>
      </c>
    </row>
    <row r="6820">
      <c r="A6820" t="str">
        <f>IFERROR(__xludf.DUMMYFUNCTION("""COMPUTED_VALUE"""),"2016-05-13-D25-SO-25")</f>
        <v>2016-05-13-D25-SO-25</v>
      </c>
    </row>
    <row r="6821">
      <c r="A6821" t="str">
        <f>IFERROR(__xludf.DUMMYFUNCTION("""COMPUTED_VALUE"""),"2016-05-13-D25-SO-26")</f>
        <v>2016-05-13-D25-SO-26</v>
      </c>
    </row>
    <row r="6822">
      <c r="A6822" t="str">
        <f>IFERROR(__xludf.DUMMYFUNCTION("""COMPUTED_VALUE"""),"2016-05-13-D25-SO-27")</f>
        <v>2016-05-13-D25-SO-27</v>
      </c>
    </row>
    <row r="6823">
      <c r="A6823" t="str">
        <f>IFERROR(__xludf.DUMMYFUNCTION("""COMPUTED_VALUE"""),"2016-05-13-D25-SO-28")</f>
        <v>2016-05-13-D25-SO-28</v>
      </c>
    </row>
    <row r="6824">
      <c r="A6824" t="str">
        <f>IFERROR(__xludf.DUMMYFUNCTION("""COMPUTED_VALUE"""),"2016-05-13-D25-SO-29")</f>
        <v>2016-05-13-D25-SO-29</v>
      </c>
    </row>
    <row r="6825">
      <c r="A6825" t="str">
        <f>IFERROR(__xludf.DUMMYFUNCTION("""COMPUTED_VALUE"""),"2016-05-13-D25-SO-30")</f>
        <v>2016-05-13-D25-SO-30</v>
      </c>
    </row>
    <row r="6826">
      <c r="A6826" t="str">
        <f>IFERROR(__xludf.DUMMYFUNCTION("""COMPUTED_VALUE"""),"2016-05-13-D25-SO-31")</f>
        <v>2016-05-13-D25-SO-31</v>
      </c>
    </row>
    <row r="6827">
      <c r="A6827" t="str">
        <f>IFERROR(__xludf.DUMMYFUNCTION("""COMPUTED_VALUE"""),"2016-05-13-D04-SO-1")</f>
        <v>2016-05-13-D04-SO-1</v>
      </c>
    </row>
    <row r="6828">
      <c r="A6828" t="str">
        <f>IFERROR(__xludf.DUMMYFUNCTION("""COMPUTED_VALUE"""),"2016-05-13-D04-SO-2")</f>
        <v>2016-05-13-D04-SO-2</v>
      </c>
    </row>
    <row r="6829">
      <c r="A6829" t="str">
        <f>IFERROR(__xludf.DUMMYFUNCTION("""COMPUTED_VALUE"""),"2016-05-13-D04-SO-3")</f>
        <v>2016-05-13-D04-SO-3</v>
      </c>
    </row>
    <row r="6830">
      <c r="A6830" t="str">
        <f>IFERROR(__xludf.DUMMYFUNCTION("""COMPUTED_VALUE"""),"2016-05-13-D04-SO-4")</f>
        <v>2016-05-13-D04-SO-4</v>
      </c>
    </row>
    <row r="6831">
      <c r="A6831" t="str">
        <f>IFERROR(__xludf.DUMMYFUNCTION("""COMPUTED_VALUE"""),"2016-05-13-D04-SO-5")</f>
        <v>2016-05-13-D04-SO-5</v>
      </c>
    </row>
    <row r="6832">
      <c r="A6832" t="str">
        <f>IFERROR(__xludf.DUMMYFUNCTION("""COMPUTED_VALUE"""),"2016-05-13-D04-SO-6")</f>
        <v>2016-05-13-D04-SO-6</v>
      </c>
    </row>
    <row r="6833">
      <c r="A6833" t="str">
        <f>IFERROR(__xludf.DUMMYFUNCTION("""COMPUTED_VALUE"""),"2016-05-13-D04-SO-7")</f>
        <v>2016-05-13-D04-SO-7</v>
      </c>
    </row>
    <row r="6834">
      <c r="A6834" t="str">
        <f>IFERROR(__xludf.DUMMYFUNCTION("""COMPUTED_VALUE"""),"2016-05-13-D04-SO-8")</f>
        <v>2016-05-13-D04-SO-8</v>
      </c>
    </row>
    <row r="6835">
      <c r="A6835" t="str">
        <f>IFERROR(__xludf.DUMMYFUNCTION("""COMPUTED_VALUE"""),"2016-05-13-D04-SO-9")</f>
        <v>2016-05-13-D04-SO-9</v>
      </c>
    </row>
    <row r="6836">
      <c r="A6836" t="str">
        <f>IFERROR(__xludf.DUMMYFUNCTION("""COMPUTED_VALUE"""),"2016-05-13-D04-SO-10")</f>
        <v>2016-05-13-D04-SO-10</v>
      </c>
    </row>
    <row r="6837">
      <c r="A6837" t="str">
        <f>IFERROR(__xludf.DUMMYFUNCTION("""COMPUTED_VALUE"""),"2016-05-13-D04-SO-11")</f>
        <v>2016-05-13-D04-SO-11</v>
      </c>
    </row>
    <row r="6838">
      <c r="A6838" t="str">
        <f>IFERROR(__xludf.DUMMYFUNCTION("""COMPUTED_VALUE"""),"2016-05-13-D04-SO-12")</f>
        <v>2016-05-13-D04-SO-12</v>
      </c>
    </row>
    <row r="6839">
      <c r="A6839" t="str">
        <f>IFERROR(__xludf.DUMMYFUNCTION("""COMPUTED_VALUE"""),"2016-05-13-D04-SO-13")</f>
        <v>2016-05-13-D04-SO-13</v>
      </c>
    </row>
    <row r="6840">
      <c r="A6840" t="str">
        <f>IFERROR(__xludf.DUMMYFUNCTION("""COMPUTED_VALUE"""),"2016-05-13-D04-SO-14")</f>
        <v>2016-05-13-D04-SO-14</v>
      </c>
    </row>
    <row r="6841">
      <c r="A6841" t="str">
        <f>IFERROR(__xludf.DUMMYFUNCTION("""COMPUTED_VALUE"""),"2016-05-13-D04-SO-15")</f>
        <v>2016-05-13-D04-SO-15</v>
      </c>
    </row>
    <row r="6842">
      <c r="A6842" t="str">
        <f>IFERROR(__xludf.DUMMYFUNCTION("""COMPUTED_VALUE"""),"2016-05-13-D04-SO-16")</f>
        <v>2016-05-13-D04-SO-16</v>
      </c>
    </row>
    <row r="6843">
      <c r="A6843" t="str">
        <f>IFERROR(__xludf.DUMMYFUNCTION("""COMPUTED_VALUE"""),"2016-05-13-D04-SO-17")</f>
        <v>2016-05-13-D04-SO-17</v>
      </c>
    </row>
    <row r="6844">
      <c r="A6844" t="str">
        <f>IFERROR(__xludf.DUMMYFUNCTION("""COMPUTED_VALUE"""),"2016-05-13-D04-SO-18")</f>
        <v>2016-05-13-D04-SO-18</v>
      </c>
    </row>
    <row r="6845">
      <c r="A6845" t="str">
        <f>IFERROR(__xludf.DUMMYFUNCTION("""COMPUTED_VALUE"""),"2016-05-13-D04-SO-19")</f>
        <v>2016-05-13-D04-SO-19</v>
      </c>
    </row>
    <row r="6846">
      <c r="A6846" t="str">
        <f>IFERROR(__xludf.DUMMYFUNCTION("""COMPUTED_VALUE"""),"2016-05-13-D04-SO-20")</f>
        <v>2016-05-13-D04-SO-20</v>
      </c>
    </row>
    <row r="6847">
      <c r="A6847" t="str">
        <f>IFERROR(__xludf.DUMMYFUNCTION("""COMPUTED_VALUE"""),"2016-05-13-D04-SO-21")</f>
        <v>2016-05-13-D04-SO-21</v>
      </c>
    </row>
    <row r="6848">
      <c r="A6848" t="str">
        <f>IFERROR(__xludf.DUMMYFUNCTION("""COMPUTED_VALUE"""),"2016-05-13-D04-SO-22")</f>
        <v>2016-05-13-D04-SO-22</v>
      </c>
    </row>
    <row r="6849">
      <c r="A6849" t="str">
        <f>IFERROR(__xludf.DUMMYFUNCTION("""COMPUTED_VALUE"""),"2016-05-13-D04-SO-23")</f>
        <v>2016-05-13-D04-SO-23</v>
      </c>
    </row>
    <row r="6850">
      <c r="A6850" t="str">
        <f>IFERROR(__xludf.DUMMYFUNCTION("""COMPUTED_VALUE"""),"2016-05-13-D04-SO-24")</f>
        <v>2016-05-13-D04-SO-24</v>
      </c>
    </row>
    <row r="6851">
      <c r="A6851" t="str">
        <f>IFERROR(__xludf.DUMMYFUNCTION("""COMPUTED_VALUE"""),"2016-05-13-D04-SO-25")</f>
        <v>2016-05-13-D04-SO-25</v>
      </c>
    </row>
    <row r="6852">
      <c r="A6852" t="str">
        <f>IFERROR(__xludf.DUMMYFUNCTION("""COMPUTED_VALUE"""),"2016-05-13-D04-SO-26")</f>
        <v>2016-05-13-D04-SO-26</v>
      </c>
    </row>
    <row r="6853">
      <c r="A6853" t="str">
        <f>IFERROR(__xludf.DUMMYFUNCTION("""COMPUTED_VALUE"""),"2016-05-13-D04-SO-27")</f>
        <v>2016-05-13-D04-SO-27</v>
      </c>
    </row>
    <row r="6854">
      <c r="A6854" t="str">
        <f>IFERROR(__xludf.DUMMYFUNCTION("""COMPUTED_VALUE"""),"2016-05-13-D04-SO-28")</f>
        <v>2016-05-13-D04-SO-28</v>
      </c>
    </row>
    <row r="6855">
      <c r="A6855" t="str">
        <f>IFERROR(__xludf.DUMMYFUNCTION("""COMPUTED_VALUE"""),"2016-05-13-D04-SO-29")</f>
        <v>2016-05-13-D04-SO-29</v>
      </c>
    </row>
    <row r="6856">
      <c r="A6856" t="str">
        <f>IFERROR(__xludf.DUMMYFUNCTION("""COMPUTED_VALUE"""),"2016-05-13-D04-SO-30")</f>
        <v>2016-05-13-D04-SO-30</v>
      </c>
    </row>
    <row r="6857">
      <c r="A6857" t="str">
        <f>IFERROR(__xludf.DUMMYFUNCTION("""COMPUTED_VALUE"""),"2016-05-13-D25-PI-1")</f>
        <v>2016-05-13-D25-PI-1</v>
      </c>
    </row>
    <row r="6858">
      <c r="A6858" t="str">
        <f>IFERROR(__xludf.DUMMYFUNCTION("""COMPUTED_VALUE"""),"2016-05-13-D25-PI-2")</f>
        <v>2016-05-13-D25-PI-2</v>
      </c>
    </row>
    <row r="6859">
      <c r="A6859" t="str">
        <f>IFERROR(__xludf.DUMMYFUNCTION("""COMPUTED_VALUE"""),"2016-05-13-D25-PI-3")</f>
        <v>2016-05-13-D25-PI-3</v>
      </c>
    </row>
    <row r="6860">
      <c r="A6860" t="str">
        <f>IFERROR(__xludf.DUMMYFUNCTION("""COMPUTED_VALUE"""),"2016-05-13-D25-PI-4")</f>
        <v>2016-05-13-D25-PI-4</v>
      </c>
    </row>
    <row r="6861">
      <c r="A6861" t="str">
        <f>IFERROR(__xludf.DUMMYFUNCTION("""COMPUTED_VALUE"""),"2016-05-13-D25-PI-5")</f>
        <v>2016-05-13-D25-PI-5</v>
      </c>
    </row>
    <row r="6862">
      <c r="A6862" t="str">
        <f>IFERROR(__xludf.DUMMYFUNCTION("""COMPUTED_VALUE"""),"2016-05-13-D25-PI-6")</f>
        <v>2016-05-13-D25-PI-6</v>
      </c>
    </row>
    <row r="6863">
      <c r="A6863" t="str">
        <f>IFERROR(__xludf.DUMMYFUNCTION("""COMPUTED_VALUE"""),"2016-05-13-D25-PI-7")</f>
        <v>2016-05-13-D25-PI-7</v>
      </c>
    </row>
    <row r="6864">
      <c r="A6864" t="str">
        <f>IFERROR(__xludf.DUMMYFUNCTION("""COMPUTED_VALUE"""),"2016-05-13-D25-PI-8")</f>
        <v>2016-05-13-D25-PI-8</v>
      </c>
    </row>
    <row r="6865">
      <c r="A6865" t="str">
        <f>IFERROR(__xludf.DUMMYFUNCTION("""COMPUTED_VALUE"""),"2016-05-13-D25-PI-9")</f>
        <v>2016-05-13-D25-PI-9</v>
      </c>
    </row>
    <row r="6866">
      <c r="A6866" t="str">
        <f>IFERROR(__xludf.DUMMYFUNCTION("""COMPUTED_VALUE"""),"2016-05-13-D25-PI-10")</f>
        <v>2016-05-13-D25-PI-10</v>
      </c>
    </row>
    <row r="6867">
      <c r="A6867" t="str">
        <f>IFERROR(__xludf.DUMMYFUNCTION("""COMPUTED_VALUE"""),"2016-05-13-D04-PI-1")</f>
        <v>2016-05-13-D04-PI-1</v>
      </c>
    </row>
    <row r="6868">
      <c r="A6868" t="str">
        <f>IFERROR(__xludf.DUMMYFUNCTION("""COMPUTED_VALUE"""),"2016-05-13-D04-PI-2")</f>
        <v>2016-05-13-D04-PI-2</v>
      </c>
    </row>
    <row r="6869">
      <c r="A6869" t="str">
        <f>IFERROR(__xludf.DUMMYFUNCTION("""COMPUTED_VALUE"""),"2016-05-13-D04-PI-3")</f>
        <v>2016-05-13-D04-PI-3</v>
      </c>
    </row>
    <row r="6870">
      <c r="A6870" t="str">
        <f>IFERROR(__xludf.DUMMYFUNCTION("""COMPUTED_VALUE"""),"2016-05-13-D25-CU-1")</f>
        <v>2016-05-13-D25-CU-1</v>
      </c>
    </row>
    <row r="6871">
      <c r="A6871" t="str">
        <f>IFERROR(__xludf.DUMMYFUNCTION("""COMPUTED_VALUE"""),"2016-05-13-D25-CU-2")</f>
        <v>2016-05-13-D25-CU-2</v>
      </c>
    </row>
    <row r="6872">
      <c r="A6872" t="str">
        <f>IFERROR(__xludf.DUMMYFUNCTION("""COMPUTED_VALUE"""),"2016-05-13-D25-CU-3")</f>
        <v>2016-05-13-D25-CU-3</v>
      </c>
    </row>
    <row r="6873">
      <c r="A6873" t="str">
        <f>IFERROR(__xludf.DUMMYFUNCTION("""COMPUTED_VALUE"""),"2016-05-13-D25-CU-4")</f>
        <v>2016-05-13-D25-CU-4</v>
      </c>
    </row>
    <row r="6874">
      <c r="A6874" t="str">
        <f>IFERROR(__xludf.DUMMYFUNCTION("""COMPUTED_VALUE"""),"2016-05-13-D25-CU-5")</f>
        <v>2016-05-13-D25-CU-5</v>
      </c>
    </row>
    <row r="6875">
      <c r="A6875" t="str">
        <f>IFERROR(__xludf.DUMMYFUNCTION("""COMPUTED_VALUE"""),"2016-05-13-D25-CU-6")</f>
        <v>2016-05-13-D25-CU-6</v>
      </c>
    </row>
    <row r="6876">
      <c r="A6876" t="str">
        <f>IFERROR(__xludf.DUMMYFUNCTION("""COMPUTED_VALUE"""),"2016-05-13-D25-CU-7")</f>
        <v>2016-05-13-D25-CU-7</v>
      </c>
    </row>
    <row r="6877">
      <c r="A6877" t="str">
        <f>IFERROR(__xludf.DUMMYFUNCTION("""COMPUTED_VALUE"""),"2016-05-13-D25-CU-8")</f>
        <v>2016-05-13-D25-CU-8</v>
      </c>
    </row>
    <row r="6878">
      <c r="A6878" t="str">
        <f>IFERROR(__xludf.DUMMYFUNCTION("""COMPUTED_VALUE"""),"2016-05-13-D25-CU-9")</f>
        <v>2016-05-13-D25-CU-9</v>
      </c>
    </row>
    <row r="6879">
      <c r="A6879" t="str">
        <f>IFERROR(__xludf.DUMMYFUNCTION("""COMPUTED_VALUE"""),"2016-05-13-D25-CU-10")</f>
        <v>2016-05-13-D25-CU-10</v>
      </c>
    </row>
    <row r="6880">
      <c r="A6880" t="str">
        <f>IFERROR(__xludf.DUMMYFUNCTION("""COMPUTED_VALUE"""),"2016-05-13-D04-CU-1")</f>
        <v>2016-05-13-D04-CU-1</v>
      </c>
    </row>
    <row r="6881">
      <c r="A6881" t="str">
        <f>IFERROR(__xludf.DUMMYFUNCTION("""COMPUTED_VALUE"""),"2016-05-13-D04-CO-1")</f>
        <v>2016-05-13-D04-CO-1</v>
      </c>
    </row>
    <row r="6882">
      <c r="A6882" t="str">
        <f>IFERROR(__xludf.DUMMYFUNCTION("""COMPUTED_VALUE"""),"2016-05-13-D04-CO-2")</f>
        <v>2016-05-13-D04-CO-2</v>
      </c>
    </row>
    <row r="6883">
      <c r="A6883" t="str">
        <f>IFERROR(__xludf.DUMMYFUNCTION("""COMPUTED_VALUE"""),"2016-05-13-D25-HE-1")</f>
        <v>2016-05-13-D25-HE-1</v>
      </c>
    </row>
    <row r="6884">
      <c r="A6884" t="str">
        <f>IFERROR(__xludf.DUMMYFUNCTION("""COMPUTED_VALUE"""),"2016-05-13-D25-HE-2")</f>
        <v>2016-05-13-D25-HE-2</v>
      </c>
    </row>
    <row r="6885">
      <c r="A6885" t="str">
        <f>IFERROR(__xludf.DUMMYFUNCTION("""COMPUTED_VALUE"""),"2016-05-13-D25-HE-3")</f>
        <v>2016-05-13-D25-HE-3</v>
      </c>
    </row>
    <row r="6886">
      <c r="A6886" t="str">
        <f>IFERROR(__xludf.DUMMYFUNCTION("""COMPUTED_VALUE"""),"2016-05-13-D25-HE-4")</f>
        <v>2016-05-13-D25-HE-4</v>
      </c>
    </row>
    <row r="6887">
      <c r="A6887" t="str">
        <f>IFERROR(__xludf.DUMMYFUNCTION("""COMPUTED_VALUE"""),"2016-05-13-D25-HE-5")</f>
        <v>2016-05-13-D25-HE-5</v>
      </c>
    </row>
    <row r="6888">
      <c r="A6888" t="str">
        <f>IFERROR(__xludf.DUMMYFUNCTION("""COMPUTED_VALUE"""),"2016-05-13-D25-HE-6")</f>
        <v>2016-05-13-D25-HE-6</v>
      </c>
    </row>
    <row r="6889">
      <c r="A6889" t="str">
        <f>IFERROR(__xludf.DUMMYFUNCTION("""COMPUTED_VALUE"""),"2016-05-13-D25-HE-7")</f>
        <v>2016-05-13-D25-HE-7</v>
      </c>
    </row>
    <row r="6890">
      <c r="A6890" t="str">
        <f>IFERROR(__xludf.DUMMYFUNCTION("""COMPUTED_VALUE"""),"2016-05-13-D25-HE-8")</f>
        <v>2016-05-13-D25-HE-8</v>
      </c>
    </row>
    <row r="6891">
      <c r="A6891" t="str">
        <f>IFERROR(__xludf.DUMMYFUNCTION("""COMPUTED_VALUE"""),"2016-05-13-D25-HE-9")</f>
        <v>2016-05-13-D25-HE-9</v>
      </c>
    </row>
    <row r="6892">
      <c r="A6892" t="str">
        <f>IFERROR(__xludf.DUMMYFUNCTION("""COMPUTED_VALUE"""),"2016-05-14-D24-SO-1")</f>
        <v>2016-05-14-D24-SO-1</v>
      </c>
    </row>
    <row r="6893">
      <c r="A6893" t="str">
        <f>IFERROR(__xludf.DUMMYFUNCTION("""COMPUTED_VALUE"""),"2016-05-14-D24-SO-2")</f>
        <v>2016-05-14-D24-SO-2</v>
      </c>
    </row>
    <row r="6894">
      <c r="A6894" t="str">
        <f>IFERROR(__xludf.DUMMYFUNCTION("""COMPUTED_VALUE"""),"2016-05-14-D24-SO-3")</f>
        <v>2016-05-14-D24-SO-3</v>
      </c>
    </row>
    <row r="6895">
      <c r="A6895" t="str">
        <f>IFERROR(__xludf.DUMMYFUNCTION("""COMPUTED_VALUE"""),"2016-05-14-D24-SO-4")</f>
        <v>2016-05-14-D24-SO-4</v>
      </c>
    </row>
    <row r="6896">
      <c r="A6896" t="str">
        <f>IFERROR(__xludf.DUMMYFUNCTION("""COMPUTED_VALUE"""),"2016-05-14-D24-SO-5")</f>
        <v>2016-05-14-D24-SO-5</v>
      </c>
    </row>
    <row r="6897">
      <c r="A6897" t="str">
        <f>IFERROR(__xludf.DUMMYFUNCTION("""COMPUTED_VALUE"""),"2016-05-14-D24-SO-6")</f>
        <v>2016-05-14-D24-SO-6</v>
      </c>
    </row>
    <row r="6898">
      <c r="A6898" t="str">
        <f>IFERROR(__xludf.DUMMYFUNCTION("""COMPUTED_VALUE"""),"2016-05-14-D24-SO-7")</f>
        <v>2016-05-14-D24-SO-7</v>
      </c>
    </row>
    <row r="6899">
      <c r="A6899" t="str">
        <f>IFERROR(__xludf.DUMMYFUNCTION("""COMPUTED_VALUE"""),"2016-05-14-D24-SO-8")</f>
        <v>2016-05-14-D24-SO-8</v>
      </c>
    </row>
    <row r="6900">
      <c r="A6900" t="str">
        <f>IFERROR(__xludf.DUMMYFUNCTION("""COMPUTED_VALUE"""),"2016-05-14-D24-SO-9")</f>
        <v>2016-05-14-D24-SO-9</v>
      </c>
    </row>
    <row r="6901">
      <c r="A6901" t="str">
        <f>IFERROR(__xludf.DUMMYFUNCTION("""COMPUTED_VALUE"""),"2016-05-14-D24-SO-10")</f>
        <v>2016-05-14-D24-SO-10</v>
      </c>
    </row>
    <row r="6902">
      <c r="A6902" t="str">
        <f>IFERROR(__xludf.DUMMYFUNCTION("""COMPUTED_VALUE"""),"2016-05-14-D24-SO-11")</f>
        <v>2016-05-14-D24-SO-11</v>
      </c>
    </row>
    <row r="6903">
      <c r="A6903" t="str">
        <f>IFERROR(__xludf.DUMMYFUNCTION("""COMPUTED_VALUE"""),"2016-05-14-D24-SO-12")</f>
        <v>2016-05-14-D24-SO-12</v>
      </c>
    </row>
    <row r="6904">
      <c r="A6904" t="str">
        <f>IFERROR(__xludf.DUMMYFUNCTION("""COMPUTED_VALUE"""),"2016-05-14-D24-SO-13")</f>
        <v>2016-05-14-D24-SO-13</v>
      </c>
    </row>
    <row r="6905">
      <c r="A6905" t="str">
        <f>IFERROR(__xludf.DUMMYFUNCTION("""COMPUTED_VALUE"""),"2016-05-14-D24-SO-14")</f>
        <v>2016-05-14-D24-SO-14</v>
      </c>
    </row>
    <row r="6906">
      <c r="A6906" t="str">
        <f>IFERROR(__xludf.DUMMYFUNCTION("""COMPUTED_VALUE"""),"2016-05-14-D24-SO-15")</f>
        <v>2016-05-14-D24-SO-15</v>
      </c>
    </row>
    <row r="6907">
      <c r="A6907" t="str">
        <f>IFERROR(__xludf.DUMMYFUNCTION("""COMPUTED_VALUE"""),"2016-05-14-D24-SO-16")</f>
        <v>2016-05-14-D24-SO-16</v>
      </c>
    </row>
    <row r="6908">
      <c r="A6908" t="str">
        <f>IFERROR(__xludf.DUMMYFUNCTION("""COMPUTED_VALUE"""),"2016-05-14-D24-SO-17")</f>
        <v>2016-05-14-D24-SO-17</v>
      </c>
    </row>
    <row r="6909">
      <c r="A6909" t="str">
        <f>IFERROR(__xludf.DUMMYFUNCTION("""COMPUTED_VALUE"""),"2016-05-14-D24-SO-18")</f>
        <v>2016-05-14-D24-SO-18</v>
      </c>
    </row>
    <row r="6910">
      <c r="A6910" t="str">
        <f>IFERROR(__xludf.DUMMYFUNCTION("""COMPUTED_VALUE"""),"2016-05-14-D24-SO-19")</f>
        <v>2016-05-14-D24-SO-19</v>
      </c>
    </row>
    <row r="6911">
      <c r="A6911" t="str">
        <f>IFERROR(__xludf.DUMMYFUNCTION("""COMPUTED_VALUE"""),"2016-05-14-D24-SO-20")</f>
        <v>2016-05-14-D24-SO-20</v>
      </c>
    </row>
    <row r="6912">
      <c r="A6912" t="str">
        <f>IFERROR(__xludf.DUMMYFUNCTION("""COMPUTED_VALUE"""),"2016-05-14-D24-SO-21")</f>
        <v>2016-05-14-D24-SO-21</v>
      </c>
    </row>
    <row r="6913">
      <c r="A6913" t="str">
        <f>IFERROR(__xludf.DUMMYFUNCTION("""COMPUTED_VALUE"""),"2016-05-14-D24-SO-22")</f>
        <v>2016-05-14-D24-SO-22</v>
      </c>
    </row>
    <row r="6914">
      <c r="A6914" t="str">
        <f>IFERROR(__xludf.DUMMYFUNCTION("""COMPUTED_VALUE"""),"2016-05-14-D24-SO-23")</f>
        <v>2016-05-14-D24-SO-23</v>
      </c>
    </row>
    <row r="6915">
      <c r="A6915" t="str">
        <f>IFERROR(__xludf.DUMMYFUNCTION("""COMPUTED_VALUE"""),"2016-05-14-D24-SO-24")</f>
        <v>2016-05-14-D24-SO-24</v>
      </c>
    </row>
    <row r="6916">
      <c r="A6916" t="str">
        <f>IFERROR(__xludf.DUMMYFUNCTION("""COMPUTED_VALUE"""),"2016-05-14-D24-SO-25")</f>
        <v>2016-05-14-D24-SO-25</v>
      </c>
    </row>
    <row r="6917">
      <c r="A6917" t="str">
        <f>IFERROR(__xludf.DUMMYFUNCTION("""COMPUTED_VALUE"""),"2016-05-14-D24-SO-26")</f>
        <v>2016-05-14-D24-SO-26</v>
      </c>
    </row>
    <row r="6918">
      <c r="A6918" t="str">
        <f>IFERROR(__xludf.DUMMYFUNCTION("""COMPUTED_VALUE"""),"2016-05-14-D24-SO-27")</f>
        <v>2016-05-14-D24-SO-27</v>
      </c>
    </row>
    <row r="6919">
      <c r="A6919" t="str">
        <f>IFERROR(__xludf.DUMMYFUNCTION("""COMPUTED_VALUE"""),"2016-05-14-D24-SO-28")</f>
        <v>2016-05-14-D24-SO-28</v>
      </c>
    </row>
    <row r="6920">
      <c r="A6920" t="str">
        <f>IFERROR(__xludf.DUMMYFUNCTION("""COMPUTED_VALUE"""),"2016-05-14-D24-SO-29")</f>
        <v>2016-05-14-D24-SO-29</v>
      </c>
    </row>
    <row r="6921">
      <c r="A6921" t="str">
        <f>IFERROR(__xludf.DUMMYFUNCTION("""COMPUTED_VALUE"""),"2016-05-14-D24-SO-30")</f>
        <v>2016-05-14-D24-SO-30</v>
      </c>
    </row>
    <row r="6922">
      <c r="A6922" t="str">
        <f>IFERROR(__xludf.DUMMYFUNCTION("""COMPUTED_VALUE"""),"2016-05-14-D08-SO-1")</f>
        <v>2016-05-14-D08-SO-1</v>
      </c>
    </row>
    <row r="6923">
      <c r="A6923" t="str">
        <f>IFERROR(__xludf.DUMMYFUNCTION("""COMPUTED_VALUE"""),"2016-05-14-D08-SO-2")</f>
        <v>2016-05-14-D08-SO-2</v>
      </c>
    </row>
    <row r="6924">
      <c r="A6924" t="str">
        <f>IFERROR(__xludf.DUMMYFUNCTION("""COMPUTED_VALUE"""),"2016-05-14-D07-SO-1")</f>
        <v>2016-05-14-D07-SO-1</v>
      </c>
    </row>
    <row r="6925">
      <c r="A6925" t="str">
        <f>IFERROR(__xludf.DUMMYFUNCTION("""COMPUTED_VALUE"""),"2016-05-14-D07-SO-2")</f>
        <v>2016-05-14-D07-SO-2</v>
      </c>
    </row>
    <row r="6926">
      <c r="A6926" t="str">
        <f>IFERROR(__xludf.DUMMYFUNCTION("""COMPUTED_VALUE"""),"2016-05-14-D07-SO-3")</f>
        <v>2016-05-14-D07-SO-3</v>
      </c>
    </row>
    <row r="6927">
      <c r="A6927" t="str">
        <f>IFERROR(__xludf.DUMMYFUNCTION("""COMPUTED_VALUE"""),"2016-05-14-D07-SO-4")</f>
        <v>2016-05-14-D07-SO-4</v>
      </c>
    </row>
    <row r="6928">
      <c r="A6928" t="str">
        <f>IFERROR(__xludf.DUMMYFUNCTION("""COMPUTED_VALUE"""),"2016-05-14-D07-SO-5")</f>
        <v>2016-05-14-D07-SO-5</v>
      </c>
    </row>
    <row r="6929">
      <c r="A6929" t="str">
        <f>IFERROR(__xludf.DUMMYFUNCTION("""COMPUTED_VALUE"""),"2016-05-14-D07-SO-6")</f>
        <v>2016-05-14-D07-SO-6</v>
      </c>
    </row>
    <row r="6930">
      <c r="A6930" t="str">
        <f>IFERROR(__xludf.DUMMYFUNCTION("""COMPUTED_VALUE"""),"2016-05-14-D07-SO-7")</f>
        <v>2016-05-14-D07-SO-7</v>
      </c>
    </row>
    <row r="6931">
      <c r="A6931" t="str">
        <f>IFERROR(__xludf.DUMMYFUNCTION("""COMPUTED_VALUE"""),"2016-05-14-D07-SO-8")</f>
        <v>2016-05-14-D07-SO-8</v>
      </c>
    </row>
    <row r="6932">
      <c r="A6932" t="str">
        <f>IFERROR(__xludf.DUMMYFUNCTION("""COMPUTED_VALUE"""),"2016-05-14-D07-SO-9")</f>
        <v>2016-05-14-D07-SO-9</v>
      </c>
    </row>
    <row r="6933">
      <c r="A6933" t="str">
        <f>IFERROR(__xludf.DUMMYFUNCTION("""COMPUTED_VALUE"""),"2016-05-14-D07-SO-10")</f>
        <v>2016-05-14-D07-SO-10</v>
      </c>
    </row>
    <row r="6934">
      <c r="A6934" t="str">
        <f>IFERROR(__xludf.DUMMYFUNCTION("""COMPUTED_VALUE"""),"2016-05-14-D07-SO-11")</f>
        <v>2016-05-14-D07-SO-11</v>
      </c>
    </row>
    <row r="6935">
      <c r="A6935" t="str">
        <f>IFERROR(__xludf.DUMMYFUNCTION("""COMPUTED_VALUE"""),"2016-05-14-D07-SO-12")</f>
        <v>2016-05-14-D07-SO-12</v>
      </c>
    </row>
    <row r="6936">
      <c r="A6936" t="str">
        <f>IFERROR(__xludf.DUMMYFUNCTION("""COMPUTED_VALUE"""),"2016-05-14-D07-SO-13")</f>
        <v>2016-05-14-D07-SO-13</v>
      </c>
    </row>
    <row r="6937">
      <c r="A6937" t="str">
        <f>IFERROR(__xludf.DUMMYFUNCTION("""COMPUTED_VALUE"""),"2016-05-14-D07-SO-14")</f>
        <v>2016-05-14-D07-SO-14</v>
      </c>
    </row>
    <row r="6938">
      <c r="A6938" t="str">
        <f>IFERROR(__xludf.DUMMYFUNCTION("""COMPUTED_VALUE"""),"2016-05-14-D07-SO-15")</f>
        <v>2016-05-14-D07-SO-15</v>
      </c>
    </row>
    <row r="6939">
      <c r="A6939" t="str">
        <f>IFERROR(__xludf.DUMMYFUNCTION("""COMPUTED_VALUE"""),"2016-05-14-D07-SO-16")</f>
        <v>2016-05-14-D07-SO-16</v>
      </c>
    </row>
    <row r="6940">
      <c r="A6940" t="str">
        <f>IFERROR(__xludf.DUMMYFUNCTION("""COMPUTED_VALUE"""),"2016-05-14-D07-SO-17")</f>
        <v>2016-05-14-D07-SO-17</v>
      </c>
    </row>
    <row r="6941">
      <c r="A6941" t="str">
        <f>IFERROR(__xludf.DUMMYFUNCTION("""COMPUTED_VALUE"""),"2016-05-14-D07-SO-18")</f>
        <v>2016-05-14-D07-SO-18</v>
      </c>
    </row>
    <row r="6942">
      <c r="A6942" t="str">
        <f>IFERROR(__xludf.DUMMYFUNCTION("""COMPUTED_VALUE"""),"2016-05-14-D07-SO-19")</f>
        <v>2016-05-14-D07-SO-19</v>
      </c>
    </row>
    <row r="6943">
      <c r="A6943" t="str">
        <f>IFERROR(__xludf.DUMMYFUNCTION("""COMPUTED_VALUE"""),"2016-05-14-D07-SO-20")</f>
        <v>2016-05-14-D07-SO-20</v>
      </c>
    </row>
    <row r="6944">
      <c r="A6944" t="str">
        <f>IFERROR(__xludf.DUMMYFUNCTION("""COMPUTED_VALUE"""),"2016-05-14-D07-SO-21")</f>
        <v>2016-05-14-D07-SO-21</v>
      </c>
    </row>
    <row r="6945">
      <c r="A6945" t="str">
        <f>IFERROR(__xludf.DUMMYFUNCTION("""COMPUTED_VALUE"""),"2016-05-14-D07-SO-22")</f>
        <v>2016-05-14-D07-SO-22</v>
      </c>
    </row>
    <row r="6946">
      <c r="A6946" t="str">
        <f>IFERROR(__xludf.DUMMYFUNCTION("""COMPUTED_VALUE"""),"2016-05-14-D07-SO-23")</f>
        <v>2016-05-14-D07-SO-23</v>
      </c>
    </row>
    <row r="6947">
      <c r="A6947" t="str">
        <f>IFERROR(__xludf.DUMMYFUNCTION("""COMPUTED_VALUE"""),"2016-05-14-D07-SO-24")</f>
        <v>2016-05-14-D07-SO-24</v>
      </c>
    </row>
    <row r="6948">
      <c r="A6948" t="str">
        <f>IFERROR(__xludf.DUMMYFUNCTION("""COMPUTED_VALUE"""),"2016-05-14-D07-SO-25")</f>
        <v>2016-05-14-D07-SO-25</v>
      </c>
    </row>
    <row r="6949">
      <c r="A6949" t="str">
        <f>IFERROR(__xludf.DUMMYFUNCTION("""COMPUTED_VALUE"""),"2016-05-14-D07-SO-26")</f>
        <v>2016-05-14-D07-SO-26</v>
      </c>
    </row>
    <row r="6950">
      <c r="A6950" t="str">
        <f>IFERROR(__xludf.DUMMYFUNCTION("""COMPUTED_VALUE"""),"2016-05-14-D07-SO-27")</f>
        <v>2016-05-14-D07-SO-27</v>
      </c>
    </row>
    <row r="6951">
      <c r="A6951" t="str">
        <f>IFERROR(__xludf.DUMMYFUNCTION("""COMPUTED_VALUE"""),"2016-05-14-D07-SO-28")</f>
        <v>2016-05-14-D07-SO-28</v>
      </c>
    </row>
    <row r="6952">
      <c r="A6952" t="str">
        <f>IFERROR(__xludf.DUMMYFUNCTION("""COMPUTED_VALUE"""),"2016-05-14-D07-SO-29")</f>
        <v>2016-05-14-D07-SO-29</v>
      </c>
    </row>
    <row r="6953">
      <c r="A6953" t="str">
        <f>IFERROR(__xludf.DUMMYFUNCTION("""COMPUTED_VALUE"""),"2016-05-14-D07-SO-30")</f>
        <v>2016-05-14-D07-SO-30</v>
      </c>
    </row>
    <row r="6954">
      <c r="A6954" t="str">
        <f>IFERROR(__xludf.DUMMYFUNCTION("""COMPUTED_VALUE"""),"2016-05-14-D24-PI-1")</f>
        <v>2016-05-14-D24-PI-1</v>
      </c>
    </row>
    <row r="6955">
      <c r="A6955" t="str">
        <f>IFERROR(__xludf.DUMMYFUNCTION("""COMPUTED_VALUE"""),"2016-05-14-D08-PI-1")</f>
        <v>2016-05-14-D08-PI-1</v>
      </c>
    </row>
    <row r="6956">
      <c r="A6956" t="str">
        <f>IFERROR(__xludf.DUMMYFUNCTION("""COMPUTED_VALUE"""),"2016-05-14-D08-PI-2")</f>
        <v>2016-05-14-D08-PI-2</v>
      </c>
    </row>
    <row r="6957">
      <c r="A6957" t="str">
        <f>IFERROR(__xludf.DUMMYFUNCTION("""COMPUTED_VALUE"""),"2016-05-14-D08-PI-3")</f>
        <v>2016-05-14-D08-PI-3</v>
      </c>
    </row>
    <row r="6958">
      <c r="A6958" t="str">
        <f>IFERROR(__xludf.DUMMYFUNCTION("""COMPUTED_VALUE"""),"2016-05-14-D07-PI-1")</f>
        <v>2016-05-14-D07-PI-1</v>
      </c>
    </row>
    <row r="6959">
      <c r="A6959" t="str">
        <f>IFERROR(__xludf.DUMMYFUNCTION("""COMPUTED_VALUE"""),"2016-05-14-D07-PI-2")</f>
        <v>2016-05-14-D07-PI-2</v>
      </c>
    </row>
    <row r="6960">
      <c r="A6960" t="str">
        <f>IFERROR(__xludf.DUMMYFUNCTION("""COMPUTED_VALUE"""),"2016-05-14-D24-CU-1")</f>
        <v>2016-05-14-D24-CU-1</v>
      </c>
    </row>
    <row r="6961">
      <c r="A6961" t="str">
        <f>IFERROR(__xludf.DUMMYFUNCTION("""COMPUTED_VALUE"""),"2016-05-14-D07-CU-1")</f>
        <v>2016-05-14-D07-CU-1</v>
      </c>
    </row>
    <row r="6962">
      <c r="A6962" t="str">
        <f>IFERROR(__xludf.DUMMYFUNCTION("""COMPUTED_VALUE"""),"2016-05-14-D07-CU-2")</f>
        <v>2016-05-14-D07-CU-2</v>
      </c>
    </row>
    <row r="6963">
      <c r="A6963" t="str">
        <f>IFERROR(__xludf.DUMMYFUNCTION("""COMPUTED_VALUE"""),"2016-05-14-D07-CU-3")</f>
        <v>2016-05-14-D07-CU-3</v>
      </c>
    </row>
    <row r="6964">
      <c r="A6964" t="str">
        <f>IFERROR(__xludf.DUMMYFUNCTION("""COMPUTED_VALUE"""),"2016-05-14-D08-CO-1")</f>
        <v>2016-05-14-D08-CO-1</v>
      </c>
    </row>
    <row r="6965">
      <c r="A6965" t="str">
        <f>IFERROR(__xludf.DUMMYFUNCTION("""COMPUTED_VALUE"""),"2016-05-14-D07-CO-1")</f>
        <v>2016-05-14-D07-CO-1</v>
      </c>
    </row>
    <row r="6966">
      <c r="A6966" t="str">
        <f>IFERROR(__xludf.DUMMYFUNCTION("""COMPUTED_VALUE"""),"2016-05-14-D24-HE-1")</f>
        <v>2016-05-14-D24-HE-1</v>
      </c>
    </row>
    <row r="6967">
      <c r="A6967" t="str">
        <f>IFERROR(__xludf.DUMMYFUNCTION("""COMPUTED_VALUE"""),"2016-05-14-D24-HE-2")</f>
        <v>2016-05-14-D24-HE-2</v>
      </c>
    </row>
    <row r="6968">
      <c r="A6968" t="str">
        <f>IFERROR(__xludf.DUMMYFUNCTION("""COMPUTED_VALUE"""),"2016-05-14-D24-HE-3")</f>
        <v>2016-05-14-D24-HE-3</v>
      </c>
    </row>
    <row r="6969">
      <c r="A6969" t="str">
        <f>IFERROR(__xludf.DUMMYFUNCTION("""COMPUTED_VALUE"""),"2016-05-14-D24-HE-4")</f>
        <v>2016-05-14-D24-HE-4</v>
      </c>
    </row>
    <row r="6970">
      <c r="A6970" t="str">
        <f>IFERROR(__xludf.DUMMYFUNCTION("""COMPUTED_VALUE"""),"2016-05-14-D24-HE-5")</f>
        <v>2016-05-14-D24-HE-5</v>
      </c>
    </row>
    <row r="6971">
      <c r="A6971" t="str">
        <f>IFERROR(__xludf.DUMMYFUNCTION("""COMPUTED_VALUE"""),"2016-05-14-D24-HE-6")</f>
        <v>2016-05-14-D24-HE-6</v>
      </c>
    </row>
    <row r="6972">
      <c r="A6972" t="str">
        <f>IFERROR(__xludf.DUMMYFUNCTION("""COMPUTED_VALUE"""),"2016-05-14-D24-HE-7")</f>
        <v>2016-05-14-D24-HE-7</v>
      </c>
    </row>
    <row r="6973">
      <c r="A6973" t="str">
        <f>IFERROR(__xludf.DUMMYFUNCTION("""COMPUTED_VALUE"""),"2016-05-14-D24-HE-8")</f>
        <v>2016-05-14-D24-HE-8</v>
      </c>
    </row>
    <row r="6974">
      <c r="A6974" t="str">
        <f>IFERROR(__xludf.DUMMYFUNCTION("""COMPUTED_VALUE"""),"2016-05-14-D24-HE-9")</f>
        <v>2016-05-14-D24-HE-9</v>
      </c>
    </row>
    <row r="6975">
      <c r="A6975" t="str">
        <f>IFERROR(__xludf.DUMMYFUNCTION("""COMPUTED_VALUE"""),"2016-05-14-D24-HE-10")</f>
        <v>2016-05-14-D24-HE-10</v>
      </c>
    </row>
    <row r="6976">
      <c r="A6976" t="str">
        <f>IFERROR(__xludf.DUMMYFUNCTION("""COMPUTED_VALUE"""),"2016-05-14-D08-HE-1")</f>
        <v>2016-05-14-D08-HE-1</v>
      </c>
    </row>
    <row r="6977">
      <c r="A6977" t="str">
        <f>IFERROR(__xludf.DUMMYFUNCTION("""COMPUTED_VALUE"""),"2016-05-14-D08-HE-2")</f>
        <v>2016-05-14-D08-HE-2</v>
      </c>
    </row>
    <row r="6978">
      <c r="A6978" t="str">
        <f>IFERROR(__xludf.DUMMYFUNCTION("""COMPUTED_VALUE"""),"2016-05-14-D08-HE-3")</f>
        <v>2016-05-14-D08-HE-3</v>
      </c>
    </row>
    <row r="6979">
      <c r="A6979" t="str">
        <f>IFERROR(__xludf.DUMMYFUNCTION("""COMPUTED_VALUE"""),"2016-05-14-D08-HE-4")</f>
        <v>2016-05-14-D08-HE-4</v>
      </c>
    </row>
    <row r="6980">
      <c r="A6980" t="str">
        <f>IFERROR(__xludf.DUMMYFUNCTION("""COMPUTED_VALUE"""),"2016-05-14-D08-HE-5")</f>
        <v>2016-05-14-D08-HE-5</v>
      </c>
    </row>
    <row r="6981">
      <c r="A6981" t="str">
        <f>IFERROR(__xludf.DUMMYFUNCTION("""COMPUTED_VALUE"""),"2016-05-14-D08-HE-6")</f>
        <v>2016-05-14-D08-HE-6</v>
      </c>
    </row>
    <row r="6982">
      <c r="A6982" t="str">
        <f>IFERROR(__xludf.DUMMYFUNCTION("""COMPUTED_VALUE"""),"2016-05-14-D08-HE-7")</f>
        <v>2016-05-14-D08-HE-7</v>
      </c>
    </row>
    <row r="6983">
      <c r="A6983" t="str">
        <f>IFERROR(__xludf.DUMMYFUNCTION("""COMPUTED_VALUE"""),"2016-05-14-D08-HE-8")</f>
        <v>2016-05-14-D08-HE-8</v>
      </c>
    </row>
    <row r="6984">
      <c r="A6984" t="str">
        <f>IFERROR(__xludf.DUMMYFUNCTION("""COMPUTED_VALUE"""),"2016-05-14-D08-HE-9")</f>
        <v>2016-05-14-D08-HE-9</v>
      </c>
    </row>
    <row r="6985">
      <c r="A6985" t="str">
        <f>IFERROR(__xludf.DUMMYFUNCTION("""COMPUTED_VALUE"""),"2016-05-14-D07-HE-1")</f>
        <v>2016-05-14-D07-HE-1</v>
      </c>
    </row>
    <row r="6986">
      <c r="A6986" t="str">
        <f>IFERROR(__xludf.DUMMYFUNCTION("""COMPUTED_VALUE"""),"2016-05-14-D07-HE-2")</f>
        <v>2016-05-14-D07-HE-2</v>
      </c>
    </row>
    <row r="6987">
      <c r="A6987" t="str">
        <f>IFERROR(__xludf.DUMMYFUNCTION("""COMPUTED_VALUE"""),"2016-05-14-D07-HE-3")</f>
        <v>2016-05-14-D07-HE-3</v>
      </c>
    </row>
    <row r="6988">
      <c r="A6988" t="str">
        <f>IFERROR(__xludf.DUMMYFUNCTION("""COMPUTED_VALUE"""),"2016-05-14-D07-HE-4")</f>
        <v>2016-05-14-D07-HE-4</v>
      </c>
    </row>
    <row r="6989">
      <c r="A6989" t="str">
        <f>IFERROR(__xludf.DUMMYFUNCTION("""COMPUTED_VALUE"""),"2016-05-14-D07-HE-5")</f>
        <v>2016-05-14-D07-HE-5</v>
      </c>
    </row>
    <row r="6990">
      <c r="A6990" t="str">
        <f>IFERROR(__xludf.DUMMYFUNCTION("""COMPUTED_VALUE"""),"2016-05-14-D07-HE-6")</f>
        <v>2016-05-14-D07-HE-6</v>
      </c>
    </row>
    <row r="6991">
      <c r="A6991" t="str">
        <f>IFERROR(__xludf.DUMMYFUNCTION("""COMPUTED_VALUE"""),"2016-05-14-D07-HE-7")</f>
        <v>2016-05-14-D07-HE-7</v>
      </c>
    </row>
    <row r="6992">
      <c r="A6992" t="str">
        <f>IFERROR(__xludf.DUMMYFUNCTION("""COMPUTED_VALUE"""),"2016-05-14-D07-HE-8")</f>
        <v>2016-05-14-D07-HE-8</v>
      </c>
    </row>
    <row r="6993">
      <c r="A6993" t="str">
        <f>IFERROR(__xludf.DUMMYFUNCTION("""COMPUTED_VALUE"""),"2016-05-14-D07-HE-9")</f>
        <v>2016-05-14-D07-HE-9</v>
      </c>
    </row>
    <row r="6994">
      <c r="A6994" t="str">
        <f>IFERROR(__xludf.DUMMYFUNCTION("""COMPUTED_VALUE"""),"2016-05-14-D07-HE-10")</f>
        <v>2016-05-14-D07-HE-10</v>
      </c>
    </row>
    <row r="6995">
      <c r="A6995" t="str">
        <f>IFERROR(__xludf.DUMMYFUNCTION("""COMPUTED_VALUE"""),"2016-05-15-D22-SO-1")</f>
        <v>2016-05-15-D22-SO-1</v>
      </c>
    </row>
    <row r="6996">
      <c r="A6996" t="str">
        <f>IFERROR(__xludf.DUMMYFUNCTION("""COMPUTED_VALUE"""),"2016-05-15-D22-SO-2")</f>
        <v>2016-05-15-D22-SO-2</v>
      </c>
    </row>
    <row r="6997">
      <c r="A6997" t="str">
        <f>IFERROR(__xludf.DUMMYFUNCTION("""COMPUTED_VALUE"""),"2016-05-15-D22-SO-3")</f>
        <v>2016-05-15-D22-SO-3</v>
      </c>
    </row>
    <row r="6998">
      <c r="A6998" t="str">
        <f>IFERROR(__xludf.DUMMYFUNCTION("""COMPUTED_VALUE"""),"2016-05-15-D22-SO-4")</f>
        <v>2016-05-15-D22-SO-4</v>
      </c>
    </row>
    <row r="6999">
      <c r="A6999" t="str">
        <f>IFERROR(__xludf.DUMMYFUNCTION("""COMPUTED_VALUE"""),"2016-05-15-D22-SO-5")</f>
        <v>2016-05-15-D22-SO-5</v>
      </c>
    </row>
    <row r="7000">
      <c r="A7000" t="str">
        <f>IFERROR(__xludf.DUMMYFUNCTION("""COMPUTED_VALUE"""),"2016-05-15-D22-SO-6")</f>
        <v>2016-05-15-D22-SO-6</v>
      </c>
    </row>
    <row r="7001">
      <c r="A7001" t="str">
        <f>IFERROR(__xludf.DUMMYFUNCTION("""COMPUTED_VALUE"""),"2016-05-15-D22-SO-7")</f>
        <v>2016-05-15-D22-SO-7</v>
      </c>
    </row>
    <row r="7002">
      <c r="A7002" t="str">
        <f>IFERROR(__xludf.DUMMYFUNCTION("""COMPUTED_VALUE"""),"2016-05-15-D22-SO-8")</f>
        <v>2016-05-15-D22-SO-8</v>
      </c>
    </row>
    <row r="7003">
      <c r="A7003" t="str">
        <f>IFERROR(__xludf.DUMMYFUNCTION("""COMPUTED_VALUE"""),"2016-05-15-D22-SO-9")</f>
        <v>2016-05-15-D22-SO-9</v>
      </c>
    </row>
    <row r="7004">
      <c r="A7004" t="str">
        <f>IFERROR(__xludf.DUMMYFUNCTION("""COMPUTED_VALUE"""),"2016-05-15-D22-SO-10")</f>
        <v>2016-05-15-D22-SO-10</v>
      </c>
    </row>
    <row r="7005">
      <c r="A7005" t="str">
        <f>IFERROR(__xludf.DUMMYFUNCTION("""COMPUTED_VALUE"""),"2016-05-15-D22-SO-11")</f>
        <v>2016-05-15-D22-SO-11</v>
      </c>
    </row>
    <row r="7006">
      <c r="A7006" t="str">
        <f>IFERROR(__xludf.DUMMYFUNCTION("""COMPUTED_VALUE"""),"2016-05-15-D22-SO-12")</f>
        <v>2016-05-15-D22-SO-12</v>
      </c>
    </row>
    <row r="7007">
      <c r="A7007" t="str">
        <f>IFERROR(__xludf.DUMMYFUNCTION("""COMPUTED_VALUE"""),"2016-05-15-D22-SO-13")</f>
        <v>2016-05-15-D22-SO-13</v>
      </c>
    </row>
    <row r="7008">
      <c r="A7008" t="str">
        <f>IFERROR(__xludf.DUMMYFUNCTION("""COMPUTED_VALUE"""),"2016-05-15-D22-SO-14")</f>
        <v>2016-05-15-D22-SO-14</v>
      </c>
    </row>
    <row r="7009">
      <c r="A7009" t="str">
        <f>IFERROR(__xludf.DUMMYFUNCTION("""COMPUTED_VALUE"""),"2016-05-15-D22-SO-15")</f>
        <v>2016-05-15-D22-SO-15</v>
      </c>
    </row>
    <row r="7010">
      <c r="A7010" t="str">
        <f>IFERROR(__xludf.DUMMYFUNCTION("""COMPUTED_VALUE"""),"2016-05-15-D22-SO-16")</f>
        <v>2016-05-15-D22-SO-16</v>
      </c>
    </row>
    <row r="7011">
      <c r="A7011" t="str">
        <f>IFERROR(__xludf.DUMMYFUNCTION("""COMPUTED_VALUE"""),"2016-05-15-D22-SO-17")</f>
        <v>2016-05-15-D22-SO-17</v>
      </c>
    </row>
    <row r="7012">
      <c r="A7012" t="str">
        <f>IFERROR(__xludf.DUMMYFUNCTION("""COMPUTED_VALUE"""),"2016-05-15-D22-SO-18")</f>
        <v>2016-05-15-D22-SO-18</v>
      </c>
    </row>
    <row r="7013">
      <c r="A7013" t="str">
        <f>IFERROR(__xludf.DUMMYFUNCTION("""COMPUTED_VALUE"""),"2016-05-15-D22-SO-19")</f>
        <v>2016-05-15-D22-SO-19</v>
      </c>
    </row>
    <row r="7014">
      <c r="A7014" t="str">
        <f>IFERROR(__xludf.DUMMYFUNCTION("""COMPUTED_VALUE"""),"2016-05-15-D22-SO-20")</f>
        <v>2016-05-15-D22-SO-20</v>
      </c>
    </row>
    <row r="7015">
      <c r="A7015" t="str">
        <f>IFERROR(__xludf.DUMMYFUNCTION("""COMPUTED_VALUE"""),"2016-05-15-D22-SO-21")</f>
        <v>2016-05-15-D22-SO-21</v>
      </c>
    </row>
    <row r="7016">
      <c r="A7016" t="str">
        <f>IFERROR(__xludf.DUMMYFUNCTION("""COMPUTED_VALUE"""),"2016-05-15-D22-SO-22")</f>
        <v>2016-05-15-D22-SO-22</v>
      </c>
    </row>
    <row r="7017">
      <c r="A7017" t="str">
        <f>IFERROR(__xludf.DUMMYFUNCTION("""COMPUTED_VALUE"""),"2016-05-15-D22-SO-23")</f>
        <v>2016-05-15-D22-SO-23</v>
      </c>
    </row>
    <row r="7018">
      <c r="A7018" t="str">
        <f>IFERROR(__xludf.DUMMYFUNCTION("""COMPUTED_VALUE"""),"2016-05-15-D22-SO-24")</f>
        <v>2016-05-15-D22-SO-24</v>
      </c>
    </row>
    <row r="7019">
      <c r="A7019" t="str">
        <f>IFERROR(__xludf.DUMMYFUNCTION("""COMPUTED_VALUE"""),"2016-05-15-D22-SO-25")</f>
        <v>2016-05-15-D22-SO-25</v>
      </c>
    </row>
    <row r="7020">
      <c r="A7020" t="str">
        <f>IFERROR(__xludf.DUMMYFUNCTION("""COMPUTED_VALUE"""),"2016-05-15-D22-SO-26")</f>
        <v>2016-05-15-D22-SO-26</v>
      </c>
    </row>
    <row r="7021">
      <c r="A7021" t="str">
        <f>IFERROR(__xludf.DUMMYFUNCTION("""COMPUTED_VALUE"""),"2016-05-15-D22-SO-27")</f>
        <v>2016-05-15-D22-SO-27</v>
      </c>
    </row>
    <row r="7022">
      <c r="A7022" t="str">
        <f>IFERROR(__xludf.DUMMYFUNCTION("""COMPUTED_VALUE"""),"2016-05-15-D22-SO-28")</f>
        <v>2016-05-15-D22-SO-28</v>
      </c>
    </row>
    <row r="7023">
      <c r="A7023" t="str">
        <f>IFERROR(__xludf.DUMMYFUNCTION("""COMPUTED_VALUE"""),"2016-05-15-D22-SO-29")</f>
        <v>2016-05-15-D22-SO-29</v>
      </c>
    </row>
    <row r="7024">
      <c r="A7024" t="str">
        <f>IFERROR(__xludf.DUMMYFUNCTION("""COMPUTED_VALUE"""),"2016-05-15-D22-SO-30")</f>
        <v>2016-05-15-D22-SO-30</v>
      </c>
    </row>
    <row r="7025">
      <c r="A7025" t="str">
        <f>IFERROR(__xludf.DUMMYFUNCTION("""COMPUTED_VALUE"""),"2016-05-15-D22-PI-1")</f>
        <v>2016-05-15-D22-PI-1</v>
      </c>
    </row>
    <row r="7026">
      <c r="A7026" t="str">
        <f>IFERROR(__xludf.DUMMYFUNCTION("""COMPUTED_VALUE"""),"2016-05-15-D22-PI-2")</f>
        <v>2016-05-15-D22-PI-2</v>
      </c>
    </row>
    <row r="7027">
      <c r="A7027" t="str">
        <f>IFERROR(__xludf.DUMMYFUNCTION("""COMPUTED_VALUE"""),"2016-05-15-D22-PI-3")</f>
        <v>2016-05-15-D22-PI-3</v>
      </c>
    </row>
    <row r="7028">
      <c r="A7028" t="str">
        <f>IFERROR(__xludf.DUMMYFUNCTION("""COMPUTED_VALUE"""),"2016-05-15-D22-PI-4")</f>
        <v>2016-05-15-D22-PI-4</v>
      </c>
    </row>
    <row r="7029">
      <c r="A7029" t="str">
        <f>IFERROR(__xludf.DUMMYFUNCTION("""COMPUTED_VALUE"""),"2016-05-15-D22-PI-5")</f>
        <v>2016-05-15-D22-PI-5</v>
      </c>
    </row>
    <row r="7030">
      <c r="A7030" t="str">
        <f>IFERROR(__xludf.DUMMYFUNCTION("""COMPUTED_VALUE"""),"2016-05-15-D22-PI-6")</f>
        <v>2016-05-15-D22-PI-6</v>
      </c>
    </row>
    <row r="7031">
      <c r="A7031" t="str">
        <f>IFERROR(__xludf.DUMMYFUNCTION("""COMPUTED_VALUE"""),"2016-05-15-D22-PI-7")</f>
        <v>2016-05-15-D22-PI-7</v>
      </c>
    </row>
    <row r="7032">
      <c r="A7032" t="str">
        <f>IFERROR(__xludf.DUMMYFUNCTION("""COMPUTED_VALUE"""),"2016-05-15-D22-PI-8")</f>
        <v>2016-05-15-D22-PI-8</v>
      </c>
    </row>
    <row r="7033">
      <c r="A7033" t="str">
        <f>IFERROR(__xludf.DUMMYFUNCTION("""COMPUTED_VALUE"""),"2016-05-15-D22-PI-9")</f>
        <v>2016-05-15-D22-PI-9</v>
      </c>
    </row>
    <row r="7034">
      <c r="A7034" t="str">
        <f>IFERROR(__xludf.DUMMYFUNCTION("""COMPUTED_VALUE"""),"2016-05-15-D22-PI-10")</f>
        <v>2016-05-15-D22-PI-10</v>
      </c>
    </row>
    <row r="7035">
      <c r="A7035" t="str">
        <f>IFERROR(__xludf.DUMMYFUNCTION("""COMPUTED_VALUE"""),"2016-05-15-D22-CU-1")</f>
        <v>2016-05-15-D22-CU-1</v>
      </c>
    </row>
    <row r="7036">
      <c r="A7036" t="str">
        <f>IFERROR(__xludf.DUMMYFUNCTION("""COMPUTED_VALUE"""),"2016-05-15-D22-CU-2")</f>
        <v>2016-05-15-D22-CU-2</v>
      </c>
    </row>
    <row r="7037">
      <c r="A7037" t="str">
        <f>IFERROR(__xludf.DUMMYFUNCTION("""COMPUTED_VALUE"""),"2016-05-15-D22-CU-3")</f>
        <v>2016-05-15-D22-CU-3</v>
      </c>
    </row>
    <row r="7038">
      <c r="A7038" t="str">
        <f>IFERROR(__xludf.DUMMYFUNCTION("""COMPUTED_VALUE"""),"2016-05-15-D22-CU-4")</f>
        <v>2016-05-15-D22-CU-4</v>
      </c>
    </row>
    <row r="7039">
      <c r="A7039" t="str">
        <f>IFERROR(__xludf.DUMMYFUNCTION("""COMPUTED_VALUE"""),"2016-05-15-D22-CU-5")</f>
        <v>2016-05-15-D22-CU-5</v>
      </c>
    </row>
    <row r="7040">
      <c r="A7040" t="str">
        <f>IFERROR(__xludf.DUMMYFUNCTION("""COMPUTED_VALUE"""),"2016-05-15-D22-CU-6")</f>
        <v>2016-05-15-D22-CU-6</v>
      </c>
    </row>
    <row r="7041">
      <c r="A7041" t="str">
        <f>IFERROR(__xludf.DUMMYFUNCTION("""COMPUTED_VALUE"""),"2016-05-15-D22-CU-7")</f>
        <v>2016-05-15-D22-CU-7</v>
      </c>
    </row>
    <row r="7042">
      <c r="A7042" t="str">
        <f>IFERROR(__xludf.DUMMYFUNCTION("""COMPUTED_VALUE"""),"2016-05-15-D22-CU-8")</f>
        <v>2016-05-15-D22-CU-8</v>
      </c>
    </row>
    <row r="7043">
      <c r="A7043" t="str">
        <f>IFERROR(__xludf.DUMMYFUNCTION("""COMPUTED_VALUE"""),"2016-05-15-D22-CU-9")</f>
        <v>2016-05-15-D22-CU-9</v>
      </c>
    </row>
    <row r="7044">
      <c r="A7044" t="str">
        <f>IFERROR(__xludf.DUMMYFUNCTION("""COMPUTED_VALUE"""),"2016-05-15-D22-CU-10")</f>
        <v>2016-05-15-D22-CU-10</v>
      </c>
    </row>
    <row r="7045">
      <c r="A7045" t="str">
        <f>IFERROR(__xludf.DUMMYFUNCTION("""COMPUTED_VALUE"""),"2016-05-15-D22-CO-1")</f>
        <v>2016-05-15-D22-CO-1</v>
      </c>
    </row>
    <row r="7046">
      <c r="A7046" t="str">
        <f>IFERROR(__xludf.DUMMYFUNCTION("""COMPUTED_VALUE"""),"2016-05-15-D22-CO-2")</f>
        <v>2016-05-15-D22-CO-2</v>
      </c>
    </row>
    <row r="7047">
      <c r="A7047" t="str">
        <f>IFERROR(__xludf.DUMMYFUNCTION("""COMPUTED_VALUE"""),"2016-05-15-D22-HE-1")</f>
        <v>2016-05-15-D22-HE-1</v>
      </c>
    </row>
    <row r="7048">
      <c r="A7048" t="str">
        <f>IFERROR(__xludf.DUMMYFUNCTION("""COMPUTED_VALUE"""),"2016-05-15-D22-HE-2")</f>
        <v>2016-05-15-D22-HE-2</v>
      </c>
    </row>
    <row r="7049">
      <c r="A7049" t="str">
        <f>IFERROR(__xludf.DUMMYFUNCTION("""COMPUTED_VALUE"""),"2016-05-15-D22-HE-3")</f>
        <v>2016-05-15-D22-HE-3</v>
      </c>
    </row>
    <row r="7050">
      <c r="A7050" t="str">
        <f>IFERROR(__xludf.DUMMYFUNCTION("""COMPUTED_VALUE"""),"2016-05-15-D22-HE-4")</f>
        <v>2016-05-15-D22-HE-4</v>
      </c>
    </row>
    <row r="7051">
      <c r="A7051" t="str">
        <f>IFERROR(__xludf.DUMMYFUNCTION("""COMPUTED_VALUE"""),"2016-05-15-D22-HE-5")</f>
        <v>2016-05-15-D22-HE-5</v>
      </c>
    </row>
    <row r="7052">
      <c r="A7052" t="str">
        <f>IFERROR(__xludf.DUMMYFUNCTION("""COMPUTED_VALUE"""),"2016-05-15-D22-HE-6")</f>
        <v>2016-05-15-D22-HE-6</v>
      </c>
    </row>
    <row r="7053">
      <c r="A7053" t="str">
        <f>IFERROR(__xludf.DUMMYFUNCTION("""COMPUTED_VALUE"""),"2016-05-15-D22-HE-7")</f>
        <v>2016-05-15-D22-HE-7</v>
      </c>
    </row>
    <row r="7054">
      <c r="A7054" t="str">
        <f>IFERROR(__xludf.DUMMYFUNCTION("""COMPUTED_VALUE"""),"2016-05-15-D22-HE-8")</f>
        <v>2016-05-15-D22-HE-8</v>
      </c>
    </row>
    <row r="7055">
      <c r="A7055" t="str">
        <f>IFERROR(__xludf.DUMMYFUNCTION("""COMPUTED_VALUE"""),"2016-05-15-D22-HE-9")</f>
        <v>2016-05-15-D22-HE-9</v>
      </c>
    </row>
    <row r="7056">
      <c r="A7056" t="str">
        <f>IFERROR(__xludf.DUMMYFUNCTION("""COMPUTED_VALUE"""),"2016-05-15-D22-HE-10")</f>
        <v>2016-05-15-D22-HE-10</v>
      </c>
    </row>
    <row r="7057">
      <c r="A7057" t="str">
        <f>IFERROR(__xludf.DUMMYFUNCTION("""COMPUTED_VALUE"""),"2016-05-16-D21-SO-1")</f>
        <v>2016-05-16-D21-SO-1</v>
      </c>
    </row>
    <row r="7058">
      <c r="A7058" t="str">
        <f>IFERROR(__xludf.DUMMYFUNCTION("""COMPUTED_VALUE"""),"2016-05-16-D21-SO-2")</f>
        <v>2016-05-16-D21-SO-2</v>
      </c>
    </row>
    <row r="7059">
      <c r="A7059" t="str">
        <f>IFERROR(__xludf.DUMMYFUNCTION("""COMPUTED_VALUE"""),"2016-05-16-D21-SO-3")</f>
        <v>2016-05-16-D21-SO-3</v>
      </c>
    </row>
    <row r="7060">
      <c r="A7060" t="str">
        <f>IFERROR(__xludf.DUMMYFUNCTION("""COMPUTED_VALUE"""),"2016-05-16-D21-SO-4")</f>
        <v>2016-05-16-D21-SO-4</v>
      </c>
    </row>
    <row r="7061">
      <c r="A7061" t="str">
        <f>IFERROR(__xludf.DUMMYFUNCTION("""COMPUTED_VALUE"""),"2016-05-16-D21-SO-5")</f>
        <v>2016-05-16-D21-SO-5</v>
      </c>
    </row>
    <row r="7062">
      <c r="A7062" t="str">
        <f>IFERROR(__xludf.DUMMYFUNCTION("""COMPUTED_VALUE"""),"2016-05-16-D21-SO-6")</f>
        <v>2016-05-16-D21-SO-6</v>
      </c>
    </row>
    <row r="7063">
      <c r="A7063" t="str">
        <f>IFERROR(__xludf.DUMMYFUNCTION("""COMPUTED_VALUE"""),"2016-05-16-D21-SO-7")</f>
        <v>2016-05-16-D21-SO-7</v>
      </c>
    </row>
    <row r="7064">
      <c r="A7064" t="str">
        <f>IFERROR(__xludf.DUMMYFUNCTION("""COMPUTED_VALUE"""),"2016-05-16-D21-SO-8")</f>
        <v>2016-05-16-D21-SO-8</v>
      </c>
    </row>
    <row r="7065">
      <c r="A7065" t="str">
        <f>IFERROR(__xludf.DUMMYFUNCTION("""COMPUTED_VALUE"""),"2016-05-16-D21-SO-9")</f>
        <v>2016-05-16-D21-SO-9</v>
      </c>
    </row>
    <row r="7066">
      <c r="A7066" t="str">
        <f>IFERROR(__xludf.DUMMYFUNCTION("""COMPUTED_VALUE"""),"2016-05-16-D21-SO-10")</f>
        <v>2016-05-16-D21-SO-10</v>
      </c>
    </row>
    <row r="7067">
      <c r="A7067" t="str">
        <f>IFERROR(__xludf.DUMMYFUNCTION("""COMPUTED_VALUE"""),"2016-05-16-D21-SO-11")</f>
        <v>2016-05-16-D21-SO-11</v>
      </c>
    </row>
    <row r="7068">
      <c r="A7068" t="str">
        <f>IFERROR(__xludf.DUMMYFUNCTION("""COMPUTED_VALUE"""),"2016-05-16-D21-SO-12")</f>
        <v>2016-05-16-D21-SO-12</v>
      </c>
    </row>
    <row r="7069">
      <c r="A7069" t="str">
        <f>IFERROR(__xludf.DUMMYFUNCTION("""COMPUTED_VALUE"""),"2016-05-16-D21-SO-13")</f>
        <v>2016-05-16-D21-SO-13</v>
      </c>
    </row>
    <row r="7070">
      <c r="A7070" t="str">
        <f>IFERROR(__xludf.DUMMYFUNCTION("""COMPUTED_VALUE"""),"2016-05-16-D21-SO-14")</f>
        <v>2016-05-16-D21-SO-14</v>
      </c>
    </row>
    <row r="7071">
      <c r="A7071" t="str">
        <f>IFERROR(__xludf.DUMMYFUNCTION("""COMPUTED_VALUE"""),"2016-05-16-D21-SO-15")</f>
        <v>2016-05-16-D21-SO-15</v>
      </c>
    </row>
    <row r="7072">
      <c r="A7072" t="str">
        <f>IFERROR(__xludf.DUMMYFUNCTION("""COMPUTED_VALUE"""),"2016-05-16-D21-SO-16")</f>
        <v>2016-05-16-D21-SO-16</v>
      </c>
    </row>
    <row r="7073">
      <c r="A7073" t="str">
        <f>IFERROR(__xludf.DUMMYFUNCTION("""COMPUTED_VALUE"""),"2016-05-16-D21-SO-17")</f>
        <v>2016-05-16-D21-SO-17</v>
      </c>
    </row>
    <row r="7074">
      <c r="A7074" t="str">
        <f>IFERROR(__xludf.DUMMYFUNCTION("""COMPUTED_VALUE"""),"2016-05-16-D21-SO-18")</f>
        <v>2016-05-16-D21-SO-18</v>
      </c>
    </row>
    <row r="7075">
      <c r="A7075" t="str">
        <f>IFERROR(__xludf.DUMMYFUNCTION("""COMPUTED_VALUE"""),"2016-05-16-D21-SO-19")</f>
        <v>2016-05-16-D21-SO-19</v>
      </c>
    </row>
    <row r="7076">
      <c r="A7076" t="str">
        <f>IFERROR(__xludf.DUMMYFUNCTION("""COMPUTED_VALUE"""),"2016-05-16-D21-SO-20")</f>
        <v>2016-05-16-D21-SO-20</v>
      </c>
    </row>
    <row r="7077">
      <c r="A7077" t="str">
        <f>IFERROR(__xludf.DUMMYFUNCTION("""COMPUTED_VALUE"""),"2016-05-16-D21-SO-21")</f>
        <v>2016-05-16-D21-SO-21</v>
      </c>
    </row>
    <row r="7078">
      <c r="A7078" t="str">
        <f>IFERROR(__xludf.DUMMYFUNCTION("""COMPUTED_VALUE"""),"2016-05-16-D21-SO-22")</f>
        <v>2016-05-16-D21-SO-22</v>
      </c>
    </row>
    <row r="7079">
      <c r="A7079" t="str">
        <f>IFERROR(__xludf.DUMMYFUNCTION("""COMPUTED_VALUE"""),"2016-05-16-D21-SO-23")</f>
        <v>2016-05-16-D21-SO-23</v>
      </c>
    </row>
    <row r="7080">
      <c r="A7080" t="str">
        <f>IFERROR(__xludf.DUMMYFUNCTION("""COMPUTED_VALUE"""),"2016-05-16-D21-SO-24")</f>
        <v>2016-05-16-D21-SO-24</v>
      </c>
    </row>
    <row r="7081">
      <c r="A7081" t="str">
        <f>IFERROR(__xludf.DUMMYFUNCTION("""COMPUTED_VALUE"""),"2016-05-16-D21-SO-25")</f>
        <v>2016-05-16-D21-SO-25</v>
      </c>
    </row>
    <row r="7082">
      <c r="A7082" t="str">
        <f>IFERROR(__xludf.DUMMYFUNCTION("""COMPUTED_VALUE"""),"2016-05-16-D21-SO-26")</f>
        <v>2016-05-16-D21-SO-26</v>
      </c>
    </row>
    <row r="7083">
      <c r="A7083" t="str">
        <f>IFERROR(__xludf.DUMMYFUNCTION("""COMPUTED_VALUE"""),"2016-05-16-D21-SO-27")</f>
        <v>2016-05-16-D21-SO-27</v>
      </c>
    </row>
    <row r="7084">
      <c r="A7084" t="str">
        <f>IFERROR(__xludf.DUMMYFUNCTION("""COMPUTED_VALUE"""),"2016-05-16-D21-SO-28")</f>
        <v>2016-05-16-D21-SO-28</v>
      </c>
    </row>
    <row r="7085">
      <c r="A7085" t="str">
        <f>IFERROR(__xludf.DUMMYFUNCTION("""COMPUTED_VALUE"""),"2016-05-16-D21-SO-29")</f>
        <v>2016-05-16-D21-SO-29</v>
      </c>
    </row>
    <row r="7086">
      <c r="A7086" t="str">
        <f>IFERROR(__xludf.DUMMYFUNCTION("""COMPUTED_VALUE"""),"2016-05-16-D21-SO-30")</f>
        <v>2016-05-16-D21-SO-30</v>
      </c>
    </row>
    <row r="7087">
      <c r="A7087" t="str">
        <f>IFERROR(__xludf.DUMMYFUNCTION("""COMPUTED_VALUE"""),"2016-05-16-D21-CU-1")</f>
        <v>2016-05-16-D21-CU-1</v>
      </c>
    </row>
    <row r="7088">
      <c r="A7088" t="str">
        <f>IFERROR(__xludf.DUMMYFUNCTION("""COMPUTED_VALUE"""),"2016-05-16-D21-CU-2")</f>
        <v>2016-05-16-D21-CU-2</v>
      </c>
    </row>
    <row r="7089">
      <c r="A7089" t="str">
        <f>IFERROR(__xludf.DUMMYFUNCTION("""COMPUTED_VALUE"""),"2016-05-16-D21-CU-3")</f>
        <v>2016-05-16-D21-CU-3</v>
      </c>
    </row>
    <row r="7090">
      <c r="A7090" t="str">
        <f>IFERROR(__xludf.DUMMYFUNCTION("""COMPUTED_VALUE"""),"2016-05-16-D21-HE-1")</f>
        <v>2016-05-16-D21-HE-1</v>
      </c>
    </row>
    <row r="7091">
      <c r="A7091" t="str">
        <f>IFERROR(__xludf.DUMMYFUNCTION("""COMPUTED_VALUE"""),"2016-05-16-D21-HE-2")</f>
        <v>2016-05-16-D21-HE-2</v>
      </c>
    </row>
    <row r="7092">
      <c r="A7092" t="str">
        <f>IFERROR(__xludf.DUMMYFUNCTION("""COMPUTED_VALUE"""),"2016-05-16-D21-HE-3")</f>
        <v>2016-05-16-D21-HE-3</v>
      </c>
    </row>
    <row r="7093">
      <c r="A7093" t="str">
        <f>IFERROR(__xludf.DUMMYFUNCTION("""COMPUTED_VALUE"""),"2016-05-16-D21-HE-4")</f>
        <v>2016-05-16-D21-HE-4</v>
      </c>
    </row>
    <row r="7094">
      <c r="A7094" t="str">
        <f>IFERROR(__xludf.DUMMYFUNCTION("""COMPUTED_VALUE"""),"2016-05-16-D21-HE-5")</f>
        <v>2016-05-16-D21-HE-5</v>
      </c>
    </row>
    <row r="7095">
      <c r="A7095" t="str">
        <f>IFERROR(__xludf.DUMMYFUNCTION("""COMPUTED_VALUE"""),"2016-05-16-D21-HE-6")</f>
        <v>2016-05-16-D21-HE-6</v>
      </c>
    </row>
    <row r="7096">
      <c r="A7096" t="str">
        <f>IFERROR(__xludf.DUMMYFUNCTION("""COMPUTED_VALUE"""),"2016-05-18-D25-SO-1")</f>
        <v>2016-05-18-D25-SO-1</v>
      </c>
    </row>
    <row r="7097">
      <c r="A7097" t="str">
        <f>IFERROR(__xludf.DUMMYFUNCTION("""COMPUTED_VALUE"""),"2016-05-18-D25-SO-2")</f>
        <v>2016-05-18-D25-SO-2</v>
      </c>
    </row>
    <row r="7098">
      <c r="A7098" t="str">
        <f>IFERROR(__xludf.DUMMYFUNCTION("""COMPUTED_VALUE"""),"2016-05-18-D25-SO-3")</f>
        <v>2016-05-18-D25-SO-3</v>
      </c>
    </row>
    <row r="7099">
      <c r="A7099" t="str">
        <f>IFERROR(__xludf.DUMMYFUNCTION("""COMPUTED_VALUE"""),"2016-05-18-D25-SO-4")</f>
        <v>2016-05-18-D25-SO-4</v>
      </c>
    </row>
    <row r="7100">
      <c r="A7100" t="str">
        <f>IFERROR(__xludf.DUMMYFUNCTION("""COMPUTED_VALUE"""),"2016-05-18-D25-SO-5")</f>
        <v>2016-05-18-D25-SO-5</v>
      </c>
    </row>
    <row r="7101">
      <c r="A7101" t="str">
        <f>IFERROR(__xludf.DUMMYFUNCTION("""COMPUTED_VALUE"""),"2016-05-18-D25-SO-6")</f>
        <v>2016-05-18-D25-SO-6</v>
      </c>
    </row>
    <row r="7102">
      <c r="A7102" t="str">
        <f>IFERROR(__xludf.DUMMYFUNCTION("""COMPUTED_VALUE"""),"2016-05-18-D25-SO-7")</f>
        <v>2016-05-18-D25-SO-7</v>
      </c>
    </row>
    <row r="7103">
      <c r="A7103" t="str">
        <f>IFERROR(__xludf.DUMMYFUNCTION("""COMPUTED_VALUE"""),"2016-05-18-D25-SO-8")</f>
        <v>2016-05-18-D25-SO-8</v>
      </c>
    </row>
    <row r="7104">
      <c r="A7104" t="str">
        <f>IFERROR(__xludf.DUMMYFUNCTION("""COMPUTED_VALUE"""),"2016-05-18-D25-SO-9")</f>
        <v>2016-05-18-D25-SO-9</v>
      </c>
    </row>
    <row r="7105">
      <c r="A7105" t="str">
        <f>IFERROR(__xludf.DUMMYFUNCTION("""COMPUTED_VALUE"""),"2016-05-18-D25-SO-10")</f>
        <v>2016-05-18-D25-SO-10</v>
      </c>
    </row>
    <row r="7106">
      <c r="A7106" t="str">
        <f>IFERROR(__xludf.DUMMYFUNCTION("""COMPUTED_VALUE"""),"2016-05-18-D25-SO-11")</f>
        <v>2016-05-18-D25-SO-11</v>
      </c>
    </row>
    <row r="7107">
      <c r="A7107" t="str">
        <f>IFERROR(__xludf.DUMMYFUNCTION("""COMPUTED_VALUE"""),"2016-05-18-D25-SO-12")</f>
        <v>2016-05-18-D25-SO-12</v>
      </c>
    </row>
    <row r="7108">
      <c r="A7108" t="str">
        <f>IFERROR(__xludf.DUMMYFUNCTION("""COMPUTED_VALUE"""),"2016-05-18-D25-SO-13")</f>
        <v>2016-05-18-D25-SO-13</v>
      </c>
    </row>
    <row r="7109">
      <c r="A7109" t="str">
        <f>IFERROR(__xludf.DUMMYFUNCTION("""COMPUTED_VALUE"""),"2016-05-18-D25-SO-14")</f>
        <v>2016-05-18-D25-SO-14</v>
      </c>
    </row>
    <row r="7110">
      <c r="A7110" t="str">
        <f>IFERROR(__xludf.DUMMYFUNCTION("""COMPUTED_VALUE"""),"2016-05-18-D25-SO-15")</f>
        <v>2016-05-18-D25-SO-15</v>
      </c>
    </row>
    <row r="7111">
      <c r="A7111" t="str">
        <f>IFERROR(__xludf.DUMMYFUNCTION("""COMPUTED_VALUE"""),"2016-05-18-D25-SO-16")</f>
        <v>2016-05-18-D25-SO-16</v>
      </c>
    </row>
    <row r="7112">
      <c r="A7112" t="str">
        <f>IFERROR(__xludf.DUMMYFUNCTION("""COMPUTED_VALUE"""),"2016-05-18-D25-SO-17")</f>
        <v>2016-05-18-D25-SO-17</v>
      </c>
    </row>
    <row r="7113">
      <c r="A7113" t="str">
        <f>IFERROR(__xludf.DUMMYFUNCTION("""COMPUTED_VALUE"""),"2016-05-18-D25-SO-18")</f>
        <v>2016-05-18-D25-SO-18</v>
      </c>
    </row>
    <row r="7114">
      <c r="A7114" t="str">
        <f>IFERROR(__xludf.DUMMYFUNCTION("""COMPUTED_VALUE"""),"2016-05-18-D25-SO-19")</f>
        <v>2016-05-18-D25-SO-19</v>
      </c>
    </row>
    <row r="7115">
      <c r="A7115" t="str">
        <f>IFERROR(__xludf.DUMMYFUNCTION("""COMPUTED_VALUE"""),"2016-05-18-D25-SO-20")</f>
        <v>2016-05-18-D25-SO-20</v>
      </c>
    </row>
    <row r="7116">
      <c r="A7116" t="str">
        <f>IFERROR(__xludf.DUMMYFUNCTION("""COMPUTED_VALUE"""),"2016-05-18-D25-SO-21")</f>
        <v>2016-05-18-D25-SO-21</v>
      </c>
    </row>
    <row r="7117">
      <c r="A7117" t="str">
        <f>IFERROR(__xludf.DUMMYFUNCTION("""COMPUTED_VALUE"""),"2016-05-18-D25-SO-22")</f>
        <v>2016-05-18-D25-SO-22</v>
      </c>
    </row>
    <row r="7118">
      <c r="A7118" t="str">
        <f>IFERROR(__xludf.DUMMYFUNCTION("""COMPUTED_VALUE"""),"2016-05-18-D25-SO-23")</f>
        <v>2016-05-18-D25-SO-23</v>
      </c>
    </row>
    <row r="7119">
      <c r="A7119" t="str">
        <f>IFERROR(__xludf.DUMMYFUNCTION("""COMPUTED_VALUE"""),"2016-05-18-D25-SO-24")</f>
        <v>2016-05-18-D25-SO-24</v>
      </c>
    </row>
    <row r="7120">
      <c r="A7120" t="str">
        <f>IFERROR(__xludf.DUMMYFUNCTION("""COMPUTED_VALUE"""),"2016-05-18-D25-SO-25")</f>
        <v>2016-05-18-D25-SO-25</v>
      </c>
    </row>
    <row r="7121">
      <c r="A7121" t="str">
        <f>IFERROR(__xludf.DUMMYFUNCTION("""COMPUTED_VALUE"""),"2016-05-18-D25-SO-26")</f>
        <v>2016-05-18-D25-SO-26</v>
      </c>
    </row>
    <row r="7122">
      <c r="A7122" t="str">
        <f>IFERROR(__xludf.DUMMYFUNCTION("""COMPUTED_VALUE"""),"2016-05-18-D25-SO-27")</f>
        <v>2016-05-18-D25-SO-27</v>
      </c>
    </row>
    <row r="7123">
      <c r="A7123" t="str">
        <f>IFERROR(__xludf.DUMMYFUNCTION("""COMPUTED_VALUE"""),"2016-05-18-D25-SO-28")</f>
        <v>2016-05-18-D25-SO-28</v>
      </c>
    </row>
    <row r="7124">
      <c r="A7124" t="str">
        <f>IFERROR(__xludf.DUMMYFUNCTION("""COMPUTED_VALUE"""),"2016-05-18-D25-SO-29")</f>
        <v>2016-05-18-D25-SO-29</v>
      </c>
    </row>
    <row r="7125">
      <c r="A7125" t="str">
        <f>IFERROR(__xludf.DUMMYFUNCTION("""COMPUTED_VALUE"""),"2016-05-18-D25-SO-30")</f>
        <v>2016-05-18-D25-SO-30</v>
      </c>
    </row>
    <row r="7126">
      <c r="A7126" t="str">
        <f>IFERROR(__xludf.DUMMYFUNCTION("""COMPUTED_VALUE"""),"2016-05-18-D25-PI-1")</f>
        <v>2016-05-18-D25-PI-1</v>
      </c>
    </row>
    <row r="7127">
      <c r="A7127" t="str">
        <f>IFERROR(__xludf.DUMMYFUNCTION("""COMPUTED_VALUE"""),"2016-05-18-D25-PI-2")</f>
        <v>2016-05-18-D25-PI-2</v>
      </c>
    </row>
    <row r="7128">
      <c r="A7128" t="str">
        <f>IFERROR(__xludf.DUMMYFUNCTION("""COMPUTED_VALUE"""),"2016-05-18-D25-PI-3")</f>
        <v>2016-05-18-D25-PI-3</v>
      </c>
    </row>
    <row r="7129">
      <c r="A7129" t="str">
        <f>IFERROR(__xludf.DUMMYFUNCTION("""COMPUTED_VALUE"""),"2016-05-18-D25-CU-1")</f>
        <v>2016-05-18-D25-CU-1</v>
      </c>
    </row>
    <row r="7130">
      <c r="A7130" t="str">
        <f>IFERROR(__xludf.DUMMYFUNCTION("""COMPUTED_VALUE"""),"2016-05-18-D25-CU-2")</f>
        <v>2016-05-18-D25-CU-2</v>
      </c>
    </row>
    <row r="7131">
      <c r="A7131" t="str">
        <f>IFERROR(__xludf.DUMMYFUNCTION("""COMPUTED_VALUE"""),"2016-05-18-D25-CU-3")</f>
        <v>2016-05-18-D25-CU-3</v>
      </c>
    </row>
    <row r="7132">
      <c r="A7132" t="str">
        <f>IFERROR(__xludf.DUMMYFUNCTION("""COMPUTED_VALUE"""),"2016-05-18-D25-CU-4")</f>
        <v>2016-05-18-D25-CU-4</v>
      </c>
    </row>
    <row r="7133">
      <c r="A7133" t="str">
        <f>IFERROR(__xludf.DUMMYFUNCTION("""COMPUTED_VALUE"""),"2016-05-18-D25-CU-5")</f>
        <v>2016-05-18-D25-CU-5</v>
      </c>
    </row>
    <row r="7134">
      <c r="A7134" t="str">
        <f>IFERROR(__xludf.DUMMYFUNCTION("""COMPUTED_VALUE"""),"2016-05-19-D08-SO-1")</f>
        <v>2016-05-19-D08-SO-1</v>
      </c>
    </row>
    <row r="7135">
      <c r="A7135" t="str">
        <f>IFERROR(__xludf.DUMMYFUNCTION("""COMPUTED_VALUE"""),"2016-05-19-D08-SO-2")</f>
        <v>2016-05-19-D08-SO-2</v>
      </c>
    </row>
    <row r="7136">
      <c r="A7136" t="str">
        <f>IFERROR(__xludf.DUMMYFUNCTION("""COMPUTED_VALUE"""),"2016-05-19-D08-SO-3")</f>
        <v>2016-05-19-D08-SO-3</v>
      </c>
    </row>
    <row r="7137">
      <c r="A7137" t="str">
        <f>IFERROR(__xludf.DUMMYFUNCTION("""COMPUTED_VALUE"""),"2016-05-19-D08-SO-4")</f>
        <v>2016-05-19-D08-SO-4</v>
      </c>
    </row>
    <row r="7138">
      <c r="A7138" t="str">
        <f>IFERROR(__xludf.DUMMYFUNCTION("""COMPUTED_VALUE"""),"2016-05-19-D08-SO-5")</f>
        <v>2016-05-19-D08-SO-5</v>
      </c>
    </row>
    <row r="7139">
      <c r="A7139" t="str">
        <f>IFERROR(__xludf.DUMMYFUNCTION("""COMPUTED_VALUE"""),"2016-05-19-D08-SO-6")</f>
        <v>2016-05-19-D08-SO-6</v>
      </c>
    </row>
    <row r="7140">
      <c r="A7140" t="str">
        <f>IFERROR(__xludf.DUMMYFUNCTION("""COMPUTED_VALUE"""),"2016-05-19-D08-SO-7")</f>
        <v>2016-05-19-D08-SO-7</v>
      </c>
    </row>
    <row r="7141">
      <c r="A7141" t="str">
        <f>IFERROR(__xludf.DUMMYFUNCTION("""COMPUTED_VALUE"""),"2016-05-19-D08-SO-8")</f>
        <v>2016-05-19-D08-SO-8</v>
      </c>
    </row>
    <row r="7142">
      <c r="A7142" t="str">
        <f>IFERROR(__xludf.DUMMYFUNCTION("""COMPUTED_VALUE"""),"2016-05-19-D08-SO-9")</f>
        <v>2016-05-19-D08-SO-9</v>
      </c>
    </row>
    <row r="7143">
      <c r="A7143" t="str">
        <f>IFERROR(__xludf.DUMMYFUNCTION("""COMPUTED_VALUE"""),"2016-05-19-D08-SO-10")</f>
        <v>2016-05-19-D08-SO-10</v>
      </c>
    </row>
    <row r="7144">
      <c r="A7144" t="str">
        <f>IFERROR(__xludf.DUMMYFUNCTION("""COMPUTED_VALUE"""),"2016-05-19-D08-SO-11")</f>
        <v>2016-05-19-D08-SO-11</v>
      </c>
    </row>
    <row r="7145">
      <c r="A7145" t="str">
        <f>IFERROR(__xludf.DUMMYFUNCTION("""COMPUTED_VALUE"""),"2016-05-19-D08-SO-12")</f>
        <v>2016-05-19-D08-SO-12</v>
      </c>
    </row>
    <row r="7146">
      <c r="A7146" t="str">
        <f>IFERROR(__xludf.DUMMYFUNCTION("""COMPUTED_VALUE"""),"2016-05-19-D08-SO-13")</f>
        <v>2016-05-19-D08-SO-13</v>
      </c>
    </row>
    <row r="7147">
      <c r="A7147" t="str">
        <f>IFERROR(__xludf.DUMMYFUNCTION("""COMPUTED_VALUE"""),"2016-05-19-D08-SO-14")</f>
        <v>2016-05-19-D08-SO-14</v>
      </c>
    </row>
    <row r="7148">
      <c r="A7148" t="str">
        <f>IFERROR(__xludf.DUMMYFUNCTION("""COMPUTED_VALUE"""),"2016-05-19-D08-SO-15")</f>
        <v>2016-05-19-D08-SO-15</v>
      </c>
    </row>
    <row r="7149">
      <c r="A7149" t="str">
        <f>IFERROR(__xludf.DUMMYFUNCTION("""COMPUTED_VALUE"""),"2016-05-19-D08-SO-16")</f>
        <v>2016-05-19-D08-SO-16</v>
      </c>
    </row>
    <row r="7150">
      <c r="A7150" t="str">
        <f>IFERROR(__xludf.DUMMYFUNCTION("""COMPUTED_VALUE"""),"2016-05-19-D08-SO-17")</f>
        <v>2016-05-19-D08-SO-17</v>
      </c>
    </row>
    <row r="7151">
      <c r="A7151" t="str">
        <f>IFERROR(__xludf.DUMMYFUNCTION("""COMPUTED_VALUE"""),"2016-05-19-D08-SO-18")</f>
        <v>2016-05-19-D08-SO-18</v>
      </c>
    </row>
    <row r="7152">
      <c r="A7152" t="str">
        <f>IFERROR(__xludf.DUMMYFUNCTION("""COMPUTED_VALUE"""),"2016-05-19-D08-SO-19")</f>
        <v>2016-05-19-D08-SO-19</v>
      </c>
    </row>
    <row r="7153">
      <c r="A7153" t="str">
        <f>IFERROR(__xludf.DUMMYFUNCTION("""COMPUTED_VALUE"""),"2016-05-19-D08-SO-20")</f>
        <v>2016-05-19-D08-SO-20</v>
      </c>
    </row>
    <row r="7154">
      <c r="A7154" t="str">
        <f>IFERROR(__xludf.DUMMYFUNCTION("""COMPUTED_VALUE"""),"2016-05-19-D08-SO-21")</f>
        <v>2016-05-19-D08-SO-21</v>
      </c>
    </row>
    <row r="7155">
      <c r="A7155" t="str">
        <f>IFERROR(__xludf.DUMMYFUNCTION("""COMPUTED_VALUE"""),"2016-05-19-D08-SO-22")</f>
        <v>2016-05-19-D08-SO-22</v>
      </c>
    </row>
    <row r="7156">
      <c r="A7156" t="str">
        <f>IFERROR(__xludf.DUMMYFUNCTION("""COMPUTED_VALUE"""),"2016-05-19-D08-SO-23")</f>
        <v>2016-05-19-D08-SO-23</v>
      </c>
    </row>
    <row r="7157">
      <c r="A7157" t="str">
        <f>IFERROR(__xludf.DUMMYFUNCTION("""COMPUTED_VALUE"""),"2016-05-19-D08-SO-24")</f>
        <v>2016-05-19-D08-SO-24</v>
      </c>
    </row>
    <row r="7158">
      <c r="A7158" t="str">
        <f>IFERROR(__xludf.DUMMYFUNCTION("""COMPUTED_VALUE"""),"2016-05-19-D08-SO-25")</f>
        <v>2016-05-19-D08-SO-25</v>
      </c>
    </row>
    <row r="7159">
      <c r="A7159" t="str">
        <f>IFERROR(__xludf.DUMMYFUNCTION("""COMPUTED_VALUE"""),"2016-05-19-D08-SO-26")</f>
        <v>2016-05-19-D08-SO-26</v>
      </c>
    </row>
    <row r="7160">
      <c r="A7160" t="str">
        <f>IFERROR(__xludf.DUMMYFUNCTION("""COMPUTED_VALUE"""),"2016-05-19-D08-SO-27")</f>
        <v>2016-05-19-D08-SO-27</v>
      </c>
    </row>
    <row r="7161">
      <c r="A7161" t="str">
        <f>IFERROR(__xludf.DUMMYFUNCTION("""COMPUTED_VALUE"""),"2016-05-19-D08-SO-28")</f>
        <v>2016-05-19-D08-SO-28</v>
      </c>
    </row>
    <row r="7162">
      <c r="A7162" t="str">
        <f>IFERROR(__xludf.DUMMYFUNCTION("""COMPUTED_VALUE"""),"2016-05-19-D08-SO-29")</f>
        <v>2016-05-19-D08-SO-29</v>
      </c>
    </row>
    <row r="7163">
      <c r="A7163" t="str">
        <f>IFERROR(__xludf.DUMMYFUNCTION("""COMPUTED_VALUE"""),"2016-05-19-D08-SO-30")</f>
        <v>2016-05-19-D08-SO-30</v>
      </c>
    </row>
    <row r="7164">
      <c r="A7164" t="str">
        <f>IFERROR(__xludf.DUMMYFUNCTION("""COMPUTED_VALUE"""),"2016-05-19-D24-SO-1")</f>
        <v>2016-05-19-D24-SO-1</v>
      </c>
    </row>
    <row r="7165">
      <c r="A7165" t="str">
        <f>IFERROR(__xludf.DUMMYFUNCTION("""COMPUTED_VALUE"""),"2016-05-19-D24-SO-2")</f>
        <v>2016-05-19-D24-SO-2</v>
      </c>
    </row>
    <row r="7166">
      <c r="A7166" t="str">
        <f>IFERROR(__xludf.DUMMYFUNCTION("""COMPUTED_VALUE"""),"2016-05-19-D24-SO-3")</f>
        <v>2016-05-19-D24-SO-3</v>
      </c>
    </row>
    <row r="7167">
      <c r="A7167" t="str">
        <f>IFERROR(__xludf.DUMMYFUNCTION("""COMPUTED_VALUE"""),"2016-05-19-D24-SO-4")</f>
        <v>2016-05-19-D24-SO-4</v>
      </c>
    </row>
    <row r="7168">
      <c r="A7168" t="str">
        <f>IFERROR(__xludf.DUMMYFUNCTION("""COMPUTED_VALUE"""),"2016-05-19-D24-SO-5")</f>
        <v>2016-05-19-D24-SO-5</v>
      </c>
    </row>
    <row r="7169">
      <c r="A7169" t="str">
        <f>IFERROR(__xludf.DUMMYFUNCTION("""COMPUTED_VALUE"""),"2016-05-19-D24-SO-6")</f>
        <v>2016-05-19-D24-SO-6</v>
      </c>
    </row>
    <row r="7170">
      <c r="A7170" t="str">
        <f>IFERROR(__xludf.DUMMYFUNCTION("""COMPUTED_VALUE"""),"2016-05-19-D24-SO-7")</f>
        <v>2016-05-19-D24-SO-7</v>
      </c>
    </row>
    <row r="7171">
      <c r="A7171" t="str">
        <f>IFERROR(__xludf.DUMMYFUNCTION("""COMPUTED_VALUE"""),"2016-05-19-D24-SO-8")</f>
        <v>2016-05-19-D24-SO-8</v>
      </c>
    </row>
    <row r="7172">
      <c r="A7172" t="str">
        <f>IFERROR(__xludf.DUMMYFUNCTION("""COMPUTED_VALUE"""),"2016-05-19-D24-SO-9")</f>
        <v>2016-05-19-D24-SO-9</v>
      </c>
    </row>
    <row r="7173">
      <c r="A7173" t="str">
        <f>IFERROR(__xludf.DUMMYFUNCTION("""COMPUTED_VALUE"""),"2016-05-19-D24-SO-10")</f>
        <v>2016-05-19-D24-SO-10</v>
      </c>
    </row>
    <row r="7174">
      <c r="A7174" t="str">
        <f>IFERROR(__xludf.DUMMYFUNCTION("""COMPUTED_VALUE"""),"2016-05-19-D24-SO-11")</f>
        <v>2016-05-19-D24-SO-11</v>
      </c>
    </row>
    <row r="7175">
      <c r="A7175" t="str">
        <f>IFERROR(__xludf.DUMMYFUNCTION("""COMPUTED_VALUE"""),"2016-05-19-D24-SO-12")</f>
        <v>2016-05-19-D24-SO-12</v>
      </c>
    </row>
    <row r="7176">
      <c r="A7176" t="str">
        <f>IFERROR(__xludf.DUMMYFUNCTION("""COMPUTED_VALUE"""),"2016-05-19-D24-SO-13")</f>
        <v>2016-05-19-D24-SO-13</v>
      </c>
    </row>
    <row r="7177">
      <c r="A7177" t="str">
        <f>IFERROR(__xludf.DUMMYFUNCTION("""COMPUTED_VALUE"""),"2016-05-19-D24-SO-14")</f>
        <v>2016-05-19-D24-SO-14</v>
      </c>
    </row>
    <row r="7178">
      <c r="A7178" t="str">
        <f>IFERROR(__xludf.DUMMYFUNCTION("""COMPUTED_VALUE"""),"2016-05-19-D24-SO-15")</f>
        <v>2016-05-19-D24-SO-15</v>
      </c>
    </row>
    <row r="7179">
      <c r="A7179" t="str">
        <f>IFERROR(__xludf.DUMMYFUNCTION("""COMPUTED_VALUE"""),"2016-05-19-D24-SO-16")</f>
        <v>2016-05-19-D24-SO-16</v>
      </c>
    </row>
    <row r="7180">
      <c r="A7180" t="str">
        <f>IFERROR(__xludf.DUMMYFUNCTION("""COMPUTED_VALUE"""),"2016-05-19-D24-SO-17")</f>
        <v>2016-05-19-D24-SO-17</v>
      </c>
    </row>
    <row r="7181">
      <c r="A7181" t="str">
        <f>IFERROR(__xludf.DUMMYFUNCTION("""COMPUTED_VALUE"""),"2016-05-19-D24-SO-18")</f>
        <v>2016-05-19-D24-SO-18</v>
      </c>
    </row>
    <row r="7182">
      <c r="A7182" t="str">
        <f>IFERROR(__xludf.DUMMYFUNCTION("""COMPUTED_VALUE"""),"2016-05-19-D24-SO-19")</f>
        <v>2016-05-19-D24-SO-19</v>
      </c>
    </row>
    <row r="7183">
      <c r="A7183" t="str">
        <f>IFERROR(__xludf.DUMMYFUNCTION("""COMPUTED_VALUE"""),"2016-05-19-D24-SO-20")</f>
        <v>2016-05-19-D24-SO-20</v>
      </c>
    </row>
    <row r="7184">
      <c r="A7184" t="str">
        <f>IFERROR(__xludf.DUMMYFUNCTION("""COMPUTED_VALUE"""),"2016-05-19-D24-SO-21")</f>
        <v>2016-05-19-D24-SO-21</v>
      </c>
    </row>
    <row r="7185">
      <c r="A7185" t="str">
        <f>IFERROR(__xludf.DUMMYFUNCTION("""COMPUTED_VALUE"""),"2016-05-19-D24-SO-22")</f>
        <v>2016-05-19-D24-SO-22</v>
      </c>
    </row>
    <row r="7186">
      <c r="A7186" t="str">
        <f>IFERROR(__xludf.DUMMYFUNCTION("""COMPUTED_VALUE"""),"2016-05-19-D24-SO-23")</f>
        <v>2016-05-19-D24-SO-23</v>
      </c>
    </row>
    <row r="7187">
      <c r="A7187" t="str">
        <f>IFERROR(__xludf.DUMMYFUNCTION("""COMPUTED_VALUE"""),"2016-05-19-D24-SO-24")</f>
        <v>2016-05-19-D24-SO-24</v>
      </c>
    </row>
    <row r="7188">
      <c r="A7188" t="str">
        <f>IFERROR(__xludf.DUMMYFUNCTION("""COMPUTED_VALUE"""),"2016-05-19-D24-SO-25")</f>
        <v>2016-05-19-D24-SO-25</v>
      </c>
    </row>
    <row r="7189">
      <c r="A7189" t="str">
        <f>IFERROR(__xludf.DUMMYFUNCTION("""COMPUTED_VALUE"""),"2016-05-19-D24-SO-26")</f>
        <v>2016-05-19-D24-SO-26</v>
      </c>
    </row>
    <row r="7190">
      <c r="A7190" t="str">
        <f>IFERROR(__xludf.DUMMYFUNCTION("""COMPUTED_VALUE"""),"2016-05-19-D24-SO-27")</f>
        <v>2016-05-19-D24-SO-27</v>
      </c>
    </row>
    <row r="7191">
      <c r="A7191" t="str">
        <f>IFERROR(__xludf.DUMMYFUNCTION("""COMPUTED_VALUE"""),"2016-05-19-D24-SO-28")</f>
        <v>2016-05-19-D24-SO-28</v>
      </c>
    </row>
    <row r="7192">
      <c r="A7192" t="str">
        <f>IFERROR(__xludf.DUMMYFUNCTION("""COMPUTED_VALUE"""),"2016-05-19-D24-SO-29")</f>
        <v>2016-05-19-D24-SO-29</v>
      </c>
    </row>
    <row r="7193">
      <c r="A7193" t="str">
        <f>IFERROR(__xludf.DUMMYFUNCTION("""COMPUTED_VALUE"""),"2016-05-19-D24-SO-30")</f>
        <v>2016-05-19-D24-SO-30</v>
      </c>
    </row>
    <row r="7194">
      <c r="A7194" t="str">
        <f>IFERROR(__xludf.DUMMYFUNCTION("""COMPUTED_VALUE"""),"2016-05-19-D07-SO-1")</f>
        <v>2016-05-19-D07-SO-1</v>
      </c>
    </row>
    <row r="7195">
      <c r="A7195" t="str">
        <f>IFERROR(__xludf.DUMMYFUNCTION("""COMPUTED_VALUE"""),"2016-05-19-D07-SO-2")</f>
        <v>2016-05-19-D07-SO-2</v>
      </c>
    </row>
    <row r="7196">
      <c r="A7196" t="str">
        <f>IFERROR(__xludf.DUMMYFUNCTION("""COMPUTED_VALUE"""),"2016-05-19-D07-SO-3")</f>
        <v>2016-05-19-D07-SO-3</v>
      </c>
    </row>
    <row r="7197">
      <c r="A7197" t="str">
        <f>IFERROR(__xludf.DUMMYFUNCTION("""COMPUTED_VALUE"""),"2016-05-19-D07-SO-4")</f>
        <v>2016-05-19-D07-SO-4</v>
      </c>
    </row>
    <row r="7198">
      <c r="A7198" t="str">
        <f>IFERROR(__xludf.DUMMYFUNCTION("""COMPUTED_VALUE"""),"2016-05-19-D07-SO-5")</f>
        <v>2016-05-19-D07-SO-5</v>
      </c>
    </row>
    <row r="7199">
      <c r="A7199" t="str">
        <f>IFERROR(__xludf.DUMMYFUNCTION("""COMPUTED_VALUE"""),"2016-05-19-D07-SO-6")</f>
        <v>2016-05-19-D07-SO-6</v>
      </c>
    </row>
    <row r="7200">
      <c r="A7200" t="str">
        <f>IFERROR(__xludf.DUMMYFUNCTION("""COMPUTED_VALUE"""),"2016-05-19-D07-SO-7")</f>
        <v>2016-05-19-D07-SO-7</v>
      </c>
    </row>
    <row r="7201">
      <c r="A7201" t="str">
        <f>IFERROR(__xludf.DUMMYFUNCTION("""COMPUTED_VALUE"""),"2016-05-19-D07-SO-8")</f>
        <v>2016-05-19-D07-SO-8</v>
      </c>
    </row>
    <row r="7202">
      <c r="A7202" t="str">
        <f>IFERROR(__xludf.DUMMYFUNCTION("""COMPUTED_VALUE"""),"2016-05-19-D07-SO-9")</f>
        <v>2016-05-19-D07-SO-9</v>
      </c>
    </row>
    <row r="7203">
      <c r="A7203" t="str">
        <f>IFERROR(__xludf.DUMMYFUNCTION("""COMPUTED_VALUE"""),"2016-05-19-D07-SO-10")</f>
        <v>2016-05-19-D07-SO-10</v>
      </c>
    </row>
    <row r="7204">
      <c r="A7204" t="str">
        <f>IFERROR(__xludf.DUMMYFUNCTION("""COMPUTED_VALUE"""),"2016-05-19-D07-SO-11")</f>
        <v>2016-05-19-D07-SO-11</v>
      </c>
    </row>
    <row r="7205">
      <c r="A7205" t="str">
        <f>IFERROR(__xludf.DUMMYFUNCTION("""COMPUTED_VALUE"""),"2016-05-19-D07-SO-12")</f>
        <v>2016-05-19-D07-SO-12</v>
      </c>
    </row>
    <row r="7206">
      <c r="A7206" t="str">
        <f>IFERROR(__xludf.DUMMYFUNCTION("""COMPUTED_VALUE"""),"2016-05-19-D07-SO-13")</f>
        <v>2016-05-19-D07-SO-13</v>
      </c>
    </row>
    <row r="7207">
      <c r="A7207" t="str">
        <f>IFERROR(__xludf.DUMMYFUNCTION("""COMPUTED_VALUE"""),"2016-05-19-D07-SO-14")</f>
        <v>2016-05-19-D07-SO-14</v>
      </c>
    </row>
    <row r="7208">
      <c r="A7208" t="str">
        <f>IFERROR(__xludf.DUMMYFUNCTION("""COMPUTED_VALUE"""),"2016-05-19-D07-SO-15")</f>
        <v>2016-05-19-D07-SO-15</v>
      </c>
    </row>
    <row r="7209">
      <c r="A7209" t="str">
        <f>IFERROR(__xludf.DUMMYFUNCTION("""COMPUTED_VALUE"""),"2016-05-19-D07-SO-16")</f>
        <v>2016-05-19-D07-SO-16</v>
      </c>
    </row>
    <row r="7210">
      <c r="A7210" t="str">
        <f>IFERROR(__xludf.DUMMYFUNCTION("""COMPUTED_VALUE"""),"2016-05-19-D07-SO-17")</f>
        <v>2016-05-19-D07-SO-17</v>
      </c>
    </row>
    <row r="7211">
      <c r="A7211" t="str">
        <f>IFERROR(__xludf.DUMMYFUNCTION("""COMPUTED_VALUE"""),"2016-05-19-D07-SO-18")</f>
        <v>2016-05-19-D07-SO-18</v>
      </c>
    </row>
    <row r="7212">
      <c r="A7212" t="str">
        <f>IFERROR(__xludf.DUMMYFUNCTION("""COMPUTED_VALUE"""),"2016-05-19-D07-SO-19")</f>
        <v>2016-05-19-D07-SO-19</v>
      </c>
    </row>
    <row r="7213">
      <c r="A7213" t="str">
        <f>IFERROR(__xludf.DUMMYFUNCTION("""COMPUTED_VALUE"""),"2016-05-19-D07-SO-20")</f>
        <v>2016-05-19-D07-SO-20</v>
      </c>
    </row>
    <row r="7214">
      <c r="A7214" t="str">
        <f>IFERROR(__xludf.DUMMYFUNCTION("""COMPUTED_VALUE"""),"2016-05-19-D07-SO-21")</f>
        <v>2016-05-19-D07-SO-21</v>
      </c>
    </row>
    <row r="7215">
      <c r="A7215" t="str">
        <f>IFERROR(__xludf.DUMMYFUNCTION("""COMPUTED_VALUE"""),"2016-05-19-D07-SO-22")</f>
        <v>2016-05-19-D07-SO-22</v>
      </c>
    </row>
    <row r="7216">
      <c r="A7216" t="str">
        <f>IFERROR(__xludf.DUMMYFUNCTION("""COMPUTED_VALUE"""),"2016-05-19-D07-SO-23")</f>
        <v>2016-05-19-D07-SO-23</v>
      </c>
    </row>
    <row r="7217">
      <c r="A7217" t="str">
        <f>IFERROR(__xludf.DUMMYFUNCTION("""COMPUTED_VALUE"""),"2016-05-19-D07-SO-24")</f>
        <v>2016-05-19-D07-SO-24</v>
      </c>
    </row>
    <row r="7218">
      <c r="A7218" t="str">
        <f>IFERROR(__xludf.DUMMYFUNCTION("""COMPUTED_VALUE"""),"2016-05-19-D07-SO-25")</f>
        <v>2016-05-19-D07-SO-25</v>
      </c>
    </row>
    <row r="7219">
      <c r="A7219" t="str">
        <f>IFERROR(__xludf.DUMMYFUNCTION("""COMPUTED_VALUE"""),"2016-05-19-D07-SO-26")</f>
        <v>2016-05-19-D07-SO-26</v>
      </c>
    </row>
    <row r="7220">
      <c r="A7220" t="str">
        <f>IFERROR(__xludf.DUMMYFUNCTION("""COMPUTED_VALUE"""),"2016-05-19-D07-SO-27")</f>
        <v>2016-05-19-D07-SO-27</v>
      </c>
    </row>
    <row r="7221">
      <c r="A7221" t="str">
        <f>IFERROR(__xludf.DUMMYFUNCTION("""COMPUTED_VALUE"""),"2016-05-19-D07-SO-28")</f>
        <v>2016-05-19-D07-SO-28</v>
      </c>
    </row>
    <row r="7222">
      <c r="A7222" t="str">
        <f>IFERROR(__xludf.DUMMYFUNCTION("""COMPUTED_VALUE"""),"2016-05-19-D07-SO-29")</f>
        <v>2016-05-19-D07-SO-29</v>
      </c>
    </row>
    <row r="7223">
      <c r="A7223" t="str">
        <f>IFERROR(__xludf.DUMMYFUNCTION("""COMPUTED_VALUE"""),"2016-05-19-D07-SO-30")</f>
        <v>2016-05-19-D07-SO-30</v>
      </c>
    </row>
    <row r="7224">
      <c r="A7224" t="str">
        <f>IFERROR(__xludf.DUMMYFUNCTION("""COMPUTED_VALUE"""),"2016-05-19-D08-PI-1")</f>
        <v>2016-05-19-D08-PI-1</v>
      </c>
    </row>
    <row r="7225">
      <c r="A7225" t="str">
        <f>IFERROR(__xludf.DUMMYFUNCTION("""COMPUTED_VALUE"""),"2016-05-19-D08-PI-2")</f>
        <v>2016-05-19-D08-PI-2</v>
      </c>
    </row>
    <row r="7226">
      <c r="A7226" t="str">
        <f>IFERROR(__xludf.DUMMYFUNCTION("""COMPUTED_VALUE"""),"2016-05-19-D08-PI-3")</f>
        <v>2016-05-19-D08-PI-3</v>
      </c>
    </row>
    <row r="7227">
      <c r="A7227" t="str">
        <f>IFERROR(__xludf.DUMMYFUNCTION("""COMPUTED_VALUE"""),"2016-05-19-D24-PI-1")</f>
        <v>2016-05-19-D24-PI-1</v>
      </c>
    </row>
    <row r="7228">
      <c r="A7228" t="str">
        <f>IFERROR(__xludf.DUMMYFUNCTION("""COMPUTED_VALUE"""),"2016-05-19-D24-PI-2")</f>
        <v>2016-05-19-D24-PI-2</v>
      </c>
    </row>
    <row r="7229">
      <c r="A7229" t="str">
        <f>IFERROR(__xludf.DUMMYFUNCTION("""COMPUTED_VALUE"""),"2016-05-19-D24-PI-3")</f>
        <v>2016-05-19-D24-PI-3</v>
      </c>
    </row>
    <row r="7230">
      <c r="A7230" t="str">
        <f>IFERROR(__xludf.DUMMYFUNCTION("""COMPUTED_VALUE"""),"2016-05-19-D24-PI-4")</f>
        <v>2016-05-19-D24-PI-4</v>
      </c>
    </row>
    <row r="7231">
      <c r="A7231" t="str">
        <f>IFERROR(__xludf.DUMMYFUNCTION("""COMPUTED_VALUE"""),"2016-05-19-D24-PI-5")</f>
        <v>2016-05-19-D24-PI-5</v>
      </c>
    </row>
    <row r="7232">
      <c r="A7232" t="str">
        <f>IFERROR(__xludf.DUMMYFUNCTION("""COMPUTED_VALUE"""),"2016-05-19-D24-PI-6")</f>
        <v>2016-05-19-D24-PI-6</v>
      </c>
    </row>
    <row r="7233">
      <c r="A7233" t="str">
        <f>IFERROR(__xludf.DUMMYFUNCTION("""COMPUTED_VALUE"""),"2016-05-19-D24-PI-7")</f>
        <v>2016-05-19-D24-PI-7</v>
      </c>
    </row>
    <row r="7234">
      <c r="A7234" t="str">
        <f>IFERROR(__xludf.DUMMYFUNCTION("""COMPUTED_VALUE"""),"2016-05-19-D24-PI-8")</f>
        <v>2016-05-19-D24-PI-8</v>
      </c>
    </row>
    <row r="7235">
      <c r="A7235" t="str">
        <f>IFERROR(__xludf.DUMMYFUNCTION("""COMPUTED_VALUE"""),"2016-05-19-D24-PI-9")</f>
        <v>2016-05-19-D24-PI-9</v>
      </c>
    </row>
    <row r="7236">
      <c r="A7236" t="str">
        <f>IFERROR(__xludf.DUMMYFUNCTION("""COMPUTED_VALUE"""),"2016-05-19-D24-PI-10")</f>
        <v>2016-05-19-D24-PI-10</v>
      </c>
    </row>
    <row r="7237">
      <c r="A7237" t="str">
        <f>IFERROR(__xludf.DUMMYFUNCTION("""COMPUTED_VALUE"""),"2016-05-19-D07-PI-1")</f>
        <v>2016-05-19-D07-PI-1</v>
      </c>
    </row>
    <row r="7238">
      <c r="A7238" t="str">
        <f>IFERROR(__xludf.DUMMYFUNCTION("""COMPUTED_VALUE"""),"2016-05-19-D07-PI-2")</f>
        <v>2016-05-19-D07-PI-2</v>
      </c>
    </row>
    <row r="7239">
      <c r="A7239" t="str">
        <f>IFERROR(__xludf.DUMMYFUNCTION("""COMPUTED_VALUE"""),"2016-05-19-D07-PI-3")</f>
        <v>2016-05-19-D07-PI-3</v>
      </c>
    </row>
    <row r="7240">
      <c r="A7240" t="str">
        <f>IFERROR(__xludf.DUMMYFUNCTION("""COMPUTED_VALUE"""),"2016-05-19-D07-PI-4")</f>
        <v>2016-05-19-D07-PI-4</v>
      </c>
    </row>
    <row r="7241">
      <c r="A7241" t="str">
        <f>IFERROR(__xludf.DUMMYFUNCTION("""COMPUTED_VALUE"""),"2016-05-19-D07-PI-5")</f>
        <v>2016-05-19-D07-PI-5</v>
      </c>
    </row>
    <row r="7242">
      <c r="A7242" t="str">
        <f>IFERROR(__xludf.DUMMYFUNCTION("""COMPUTED_VALUE"""),"2016-05-19-D07-PI-6")</f>
        <v>2016-05-19-D07-PI-6</v>
      </c>
    </row>
    <row r="7243">
      <c r="A7243" t="str">
        <f>IFERROR(__xludf.DUMMYFUNCTION("""COMPUTED_VALUE"""),"2016-05-19-D07-PI-7")</f>
        <v>2016-05-19-D07-PI-7</v>
      </c>
    </row>
    <row r="7244">
      <c r="A7244" t="str">
        <f>IFERROR(__xludf.DUMMYFUNCTION("""COMPUTED_VALUE"""),"2016-05-19-D07-PI-8")</f>
        <v>2016-05-19-D07-PI-8</v>
      </c>
    </row>
    <row r="7245">
      <c r="A7245" t="str">
        <f>IFERROR(__xludf.DUMMYFUNCTION("""COMPUTED_VALUE"""),"2016-05-19-D07-PI-9")</f>
        <v>2016-05-19-D07-PI-9</v>
      </c>
    </row>
    <row r="7246">
      <c r="A7246" t="str">
        <f>IFERROR(__xludf.DUMMYFUNCTION("""COMPUTED_VALUE"""),"2016-05-19-D07-PI-10")</f>
        <v>2016-05-19-D07-PI-10</v>
      </c>
    </row>
    <row r="7247">
      <c r="A7247" t="str">
        <f>IFERROR(__xludf.DUMMYFUNCTION("""COMPUTED_VALUE"""),"2016-05-19-D08-CU-1")</f>
        <v>2016-05-19-D08-CU-1</v>
      </c>
    </row>
    <row r="7248">
      <c r="A7248" t="str">
        <f>IFERROR(__xludf.DUMMYFUNCTION("""COMPUTED_VALUE"""),"2016-05-19-D08-CU-2")</f>
        <v>2016-05-19-D08-CU-2</v>
      </c>
    </row>
    <row r="7249">
      <c r="A7249" t="str">
        <f>IFERROR(__xludf.DUMMYFUNCTION("""COMPUTED_VALUE"""),"2016-05-19-D08-CU-3")</f>
        <v>2016-05-19-D08-CU-3</v>
      </c>
    </row>
    <row r="7250">
      <c r="A7250" t="str">
        <f>IFERROR(__xludf.DUMMYFUNCTION("""COMPUTED_VALUE"""),"2016-05-19-D08-CU-4")</f>
        <v>2016-05-19-D08-CU-4</v>
      </c>
    </row>
    <row r="7251">
      <c r="A7251" t="str">
        <f>IFERROR(__xludf.DUMMYFUNCTION("""COMPUTED_VALUE"""),"2016-05-19-D08-CU-5")</f>
        <v>2016-05-19-D08-CU-5</v>
      </c>
    </row>
    <row r="7252">
      <c r="A7252" t="str">
        <f>IFERROR(__xludf.DUMMYFUNCTION("""COMPUTED_VALUE"""),"2016-05-19-D08-CU-6")</f>
        <v>2016-05-19-D08-CU-6</v>
      </c>
    </row>
    <row r="7253">
      <c r="A7253" t="str">
        <f>IFERROR(__xludf.DUMMYFUNCTION("""COMPUTED_VALUE"""),"2016-05-19-D08-CU-7")</f>
        <v>2016-05-19-D08-CU-7</v>
      </c>
    </row>
    <row r="7254">
      <c r="A7254" t="str">
        <f>IFERROR(__xludf.DUMMYFUNCTION("""COMPUTED_VALUE"""),"2016-05-19-D08-CU-8")</f>
        <v>2016-05-19-D08-CU-8</v>
      </c>
    </row>
    <row r="7255">
      <c r="A7255" t="str">
        <f>IFERROR(__xludf.DUMMYFUNCTION("""COMPUTED_VALUE"""),"2016-05-19-D24-CU-1")</f>
        <v>2016-05-19-D24-CU-1</v>
      </c>
    </row>
    <row r="7256">
      <c r="A7256" t="str">
        <f>IFERROR(__xludf.DUMMYFUNCTION("""COMPUTED_VALUE"""),"2016-05-19-D24-CU-2")</f>
        <v>2016-05-19-D24-CU-2</v>
      </c>
    </row>
    <row r="7257">
      <c r="A7257" t="str">
        <f>IFERROR(__xludf.DUMMYFUNCTION("""COMPUTED_VALUE"""),"2016-05-19-D24-CU-3")</f>
        <v>2016-05-19-D24-CU-3</v>
      </c>
    </row>
    <row r="7258">
      <c r="A7258" t="str">
        <f>IFERROR(__xludf.DUMMYFUNCTION("""COMPUTED_VALUE"""),"2016-05-19-D24-CU-4")</f>
        <v>2016-05-19-D24-CU-4</v>
      </c>
    </row>
    <row r="7259">
      <c r="A7259" t="str">
        <f>IFERROR(__xludf.DUMMYFUNCTION("""COMPUTED_VALUE"""),"2016-05-19-D24-CU-5")</f>
        <v>2016-05-19-D24-CU-5</v>
      </c>
    </row>
    <row r="7260">
      <c r="A7260" t="str">
        <f>IFERROR(__xludf.DUMMYFUNCTION("""COMPUTED_VALUE"""),"2016-05-19-D24-CU-6")</f>
        <v>2016-05-19-D24-CU-6</v>
      </c>
    </row>
    <row r="7261">
      <c r="A7261" t="str">
        <f>IFERROR(__xludf.DUMMYFUNCTION("""COMPUTED_VALUE"""),"2016-05-19-D24-CU-7")</f>
        <v>2016-05-19-D24-CU-7</v>
      </c>
    </row>
    <row r="7262">
      <c r="A7262" t="str">
        <f>IFERROR(__xludf.DUMMYFUNCTION("""COMPUTED_VALUE"""),"2016-05-19-D24-CU-8")</f>
        <v>2016-05-19-D24-CU-8</v>
      </c>
    </row>
    <row r="7263">
      <c r="A7263" t="str">
        <f>IFERROR(__xludf.DUMMYFUNCTION("""COMPUTED_VALUE"""),"2016-05-19-D24-CU-9")</f>
        <v>2016-05-19-D24-CU-9</v>
      </c>
    </row>
    <row r="7264">
      <c r="A7264" t="str">
        <f>IFERROR(__xludf.DUMMYFUNCTION("""COMPUTED_VALUE"""),"2016-05-19-D24-CU-10")</f>
        <v>2016-05-19-D24-CU-10</v>
      </c>
    </row>
    <row r="7265">
      <c r="A7265" t="str">
        <f>IFERROR(__xludf.DUMMYFUNCTION("""COMPUTED_VALUE"""),"2016-05-19-D07-CU-1")</f>
        <v>2016-05-19-D07-CU-1</v>
      </c>
    </row>
    <row r="7266">
      <c r="A7266" t="str">
        <f>IFERROR(__xludf.DUMMYFUNCTION("""COMPUTED_VALUE"""),"2016-05-19-D07-CU-2")</f>
        <v>2016-05-19-D07-CU-2</v>
      </c>
    </row>
    <row r="7267">
      <c r="A7267" t="str">
        <f>IFERROR(__xludf.DUMMYFUNCTION("""COMPUTED_VALUE"""),"2016-05-19-D07-CU-3")</f>
        <v>2016-05-19-D07-CU-3</v>
      </c>
    </row>
    <row r="7268">
      <c r="A7268" t="str">
        <f>IFERROR(__xludf.DUMMYFUNCTION("""COMPUTED_VALUE"""),"2016-05-19-D07-CU-4")</f>
        <v>2016-05-19-D07-CU-4</v>
      </c>
    </row>
    <row r="7269">
      <c r="A7269" t="str">
        <f>IFERROR(__xludf.DUMMYFUNCTION("""COMPUTED_VALUE"""),"2016-05-19-D07-CU-5")</f>
        <v>2016-05-19-D07-CU-5</v>
      </c>
    </row>
    <row r="7270">
      <c r="A7270" t="str">
        <f>IFERROR(__xludf.DUMMYFUNCTION("""COMPUTED_VALUE"""),"2016-05-19-D07-CU-6")</f>
        <v>2016-05-19-D07-CU-6</v>
      </c>
    </row>
    <row r="7271">
      <c r="A7271" t="str">
        <f>IFERROR(__xludf.DUMMYFUNCTION("""COMPUTED_VALUE"""),"2016-05-19-D07-CU-7")</f>
        <v>2016-05-19-D07-CU-7</v>
      </c>
    </row>
    <row r="7272">
      <c r="A7272" t="str">
        <f>IFERROR(__xludf.DUMMYFUNCTION("""COMPUTED_VALUE"""),"2016-05-19-D07-CU-8")</f>
        <v>2016-05-19-D07-CU-8</v>
      </c>
    </row>
    <row r="7273">
      <c r="A7273" t="str">
        <f>IFERROR(__xludf.DUMMYFUNCTION("""COMPUTED_VALUE"""),"2016-05-19-D07-CU-9")</f>
        <v>2016-05-19-D07-CU-9</v>
      </c>
    </row>
    <row r="7274">
      <c r="A7274" t="str">
        <f>IFERROR(__xludf.DUMMYFUNCTION("""COMPUTED_VALUE"""),"2016-05-19-D07-CU-10")</f>
        <v>2016-05-19-D07-CU-10</v>
      </c>
    </row>
    <row r="7275">
      <c r="A7275" t="str">
        <f>IFERROR(__xludf.DUMMYFUNCTION("""COMPUTED_VALUE"""),"2016-05-19-D08-CO-1")</f>
        <v>2016-05-19-D08-CO-1</v>
      </c>
    </row>
    <row r="7276">
      <c r="A7276" t="str">
        <f>IFERROR(__xludf.DUMMYFUNCTION("""COMPUTED_VALUE"""),"2016-05-19-D24-CO-1")</f>
        <v>2016-05-19-D24-CO-1</v>
      </c>
    </row>
    <row r="7277">
      <c r="A7277" t="str">
        <f>IFERROR(__xludf.DUMMYFUNCTION("""COMPUTED_VALUE"""),"2016-05-20-J05-SO-1")</f>
        <v>2016-05-20-J05-SO-1</v>
      </c>
    </row>
    <row r="7278">
      <c r="A7278" t="str">
        <f>IFERROR(__xludf.DUMMYFUNCTION("""COMPUTED_VALUE"""),"2016-05-20-J05-SO-2")</f>
        <v>2016-05-20-J05-SO-2</v>
      </c>
    </row>
    <row r="7279">
      <c r="A7279" t="str">
        <f>IFERROR(__xludf.DUMMYFUNCTION("""COMPUTED_VALUE"""),"2016-05-20-J05-SO-3")</f>
        <v>2016-05-20-J05-SO-3</v>
      </c>
    </row>
    <row r="7280">
      <c r="A7280" t="str">
        <f>IFERROR(__xludf.DUMMYFUNCTION("""COMPUTED_VALUE"""),"2016-05-20-J05-SO-4")</f>
        <v>2016-05-20-J05-SO-4</v>
      </c>
    </row>
    <row r="7281">
      <c r="A7281" t="str">
        <f>IFERROR(__xludf.DUMMYFUNCTION("""COMPUTED_VALUE"""),"2016-05-20-J05-SO-5")</f>
        <v>2016-05-20-J05-SO-5</v>
      </c>
    </row>
    <row r="7282">
      <c r="A7282" t="str">
        <f>IFERROR(__xludf.DUMMYFUNCTION("""COMPUTED_VALUE"""),"2016-05-20-J05-SO-6")</f>
        <v>2016-05-20-J05-SO-6</v>
      </c>
    </row>
    <row r="7283">
      <c r="A7283" t="str">
        <f>IFERROR(__xludf.DUMMYFUNCTION("""COMPUTED_VALUE"""),"2016-05-20-J05-SO-7")</f>
        <v>2016-05-20-J05-SO-7</v>
      </c>
    </row>
    <row r="7284">
      <c r="A7284" t="str">
        <f>IFERROR(__xludf.DUMMYFUNCTION("""COMPUTED_VALUE"""),"2016-05-20-J05-SO-8")</f>
        <v>2016-05-20-J05-SO-8</v>
      </c>
    </row>
    <row r="7285">
      <c r="A7285" t="str">
        <f>IFERROR(__xludf.DUMMYFUNCTION("""COMPUTED_VALUE"""),"2016-05-20-J05-SO-9")</f>
        <v>2016-05-20-J05-SO-9</v>
      </c>
    </row>
    <row r="7286">
      <c r="A7286" t="str">
        <f>IFERROR(__xludf.DUMMYFUNCTION("""COMPUTED_VALUE"""),"2016-05-20-J05-SO-10")</f>
        <v>2016-05-20-J05-SO-10</v>
      </c>
    </row>
    <row r="7287">
      <c r="A7287" t="str">
        <f>IFERROR(__xludf.DUMMYFUNCTION("""COMPUTED_VALUE"""),"2016-05-20-J05-SO-11")</f>
        <v>2016-05-20-J05-SO-11</v>
      </c>
    </row>
    <row r="7288">
      <c r="A7288" t="str">
        <f>IFERROR(__xludf.DUMMYFUNCTION("""COMPUTED_VALUE"""),"2016-05-20-J05-SO-12")</f>
        <v>2016-05-20-J05-SO-12</v>
      </c>
    </row>
    <row r="7289">
      <c r="A7289" t="str">
        <f>IFERROR(__xludf.DUMMYFUNCTION("""COMPUTED_VALUE"""),"2016-05-20-J05-SO-13")</f>
        <v>2016-05-20-J05-SO-13</v>
      </c>
    </row>
    <row r="7290">
      <c r="A7290" t="str">
        <f>IFERROR(__xludf.DUMMYFUNCTION("""COMPUTED_VALUE"""),"2016-05-20-J05-SO-14")</f>
        <v>2016-05-20-J05-SO-14</v>
      </c>
    </row>
    <row r="7291">
      <c r="A7291" t="str">
        <f>IFERROR(__xludf.DUMMYFUNCTION("""COMPUTED_VALUE"""),"2016-05-20-J05-SO-15")</f>
        <v>2016-05-20-J05-SO-15</v>
      </c>
    </row>
    <row r="7292">
      <c r="A7292" t="str">
        <f>IFERROR(__xludf.DUMMYFUNCTION("""COMPUTED_VALUE"""),"2016-05-20-J05-SO-16")</f>
        <v>2016-05-20-J05-SO-16</v>
      </c>
    </row>
    <row r="7293">
      <c r="A7293" t="str">
        <f>IFERROR(__xludf.DUMMYFUNCTION("""COMPUTED_VALUE"""),"2016-05-20-J05-SO-17")</f>
        <v>2016-05-20-J05-SO-17</v>
      </c>
    </row>
    <row r="7294">
      <c r="A7294" t="str">
        <f>IFERROR(__xludf.DUMMYFUNCTION("""COMPUTED_VALUE"""),"2016-05-20-J05-SO-18")</f>
        <v>2016-05-20-J05-SO-18</v>
      </c>
    </row>
    <row r="7295">
      <c r="A7295" t="str">
        <f>IFERROR(__xludf.DUMMYFUNCTION("""COMPUTED_VALUE"""),"2016-05-20-J05-SO-19")</f>
        <v>2016-05-20-J05-SO-19</v>
      </c>
    </row>
    <row r="7296">
      <c r="A7296" t="str">
        <f>IFERROR(__xludf.DUMMYFUNCTION("""COMPUTED_VALUE"""),"2016-05-20-J05-SO-20")</f>
        <v>2016-05-20-J05-SO-20</v>
      </c>
    </row>
    <row r="7297">
      <c r="A7297" t="str">
        <f>IFERROR(__xludf.DUMMYFUNCTION("""COMPUTED_VALUE"""),"2016-05-20-J05-SO-21")</f>
        <v>2016-05-20-J05-SO-21</v>
      </c>
    </row>
    <row r="7298">
      <c r="A7298" t="str">
        <f>IFERROR(__xludf.DUMMYFUNCTION("""COMPUTED_VALUE"""),"2016-05-20-J05-SO-22")</f>
        <v>2016-05-20-J05-SO-22</v>
      </c>
    </row>
    <row r="7299">
      <c r="A7299" t="str">
        <f>IFERROR(__xludf.DUMMYFUNCTION("""COMPUTED_VALUE"""),"2016-05-20-J05-SO-23")</f>
        <v>2016-05-20-J05-SO-23</v>
      </c>
    </row>
    <row r="7300">
      <c r="A7300" t="str">
        <f>IFERROR(__xludf.DUMMYFUNCTION("""COMPUTED_VALUE"""),"2016-05-20-J05-SO-24")</f>
        <v>2016-05-20-J05-SO-24</v>
      </c>
    </row>
    <row r="7301">
      <c r="A7301" t="str">
        <f>IFERROR(__xludf.DUMMYFUNCTION("""COMPUTED_VALUE"""),"2016-05-20-J05-SO-25")</f>
        <v>2016-05-20-J05-SO-25</v>
      </c>
    </row>
    <row r="7302">
      <c r="A7302" t="str">
        <f>IFERROR(__xludf.DUMMYFUNCTION("""COMPUTED_VALUE"""),"2016-05-20-J05-SO-26")</f>
        <v>2016-05-20-J05-SO-26</v>
      </c>
    </row>
    <row r="7303">
      <c r="A7303" t="str">
        <f>IFERROR(__xludf.DUMMYFUNCTION("""COMPUTED_VALUE"""),"2016-05-20-J05-SO-27")</f>
        <v>2016-05-20-J05-SO-27</v>
      </c>
    </row>
    <row r="7304">
      <c r="A7304" t="str">
        <f>IFERROR(__xludf.DUMMYFUNCTION("""COMPUTED_VALUE"""),"2016-05-20-J05-SO-28")</f>
        <v>2016-05-20-J05-SO-28</v>
      </c>
    </row>
    <row r="7305">
      <c r="A7305" t="str">
        <f>IFERROR(__xludf.DUMMYFUNCTION("""COMPUTED_VALUE"""),"2016-05-20-J05-SO-29")</f>
        <v>2016-05-20-J05-SO-29</v>
      </c>
    </row>
    <row r="7306">
      <c r="A7306" t="str">
        <f>IFERROR(__xludf.DUMMYFUNCTION("""COMPUTED_VALUE"""),"2016-05-20-J05-SO-30")</f>
        <v>2016-05-20-J05-SO-30</v>
      </c>
    </row>
    <row r="7307">
      <c r="A7307" t="str">
        <f>IFERROR(__xludf.DUMMYFUNCTION("""COMPUTED_VALUE"""),"2016-05-20-J05-PI-1")</f>
        <v>2016-05-20-J05-PI-1</v>
      </c>
    </row>
    <row r="7308">
      <c r="A7308" t="str">
        <f>IFERROR(__xludf.DUMMYFUNCTION("""COMPUTED_VALUE"""),"2016-05-20-J05-CU-1")</f>
        <v>2016-05-20-J05-CU-1</v>
      </c>
    </row>
    <row r="7309">
      <c r="A7309" t="str">
        <f>IFERROR(__xludf.DUMMYFUNCTION("""COMPUTED_VALUE"""),"2016-05-20-J05-CU-2")</f>
        <v>2016-05-20-J05-CU-2</v>
      </c>
    </row>
    <row r="7310">
      <c r="A7310" t="str">
        <f>IFERROR(__xludf.DUMMYFUNCTION("""COMPUTED_VALUE"""),"2016-05-21-J06-SO-1")</f>
        <v>2016-05-21-J06-SO-1</v>
      </c>
    </row>
    <row r="7311">
      <c r="A7311" t="str">
        <f>IFERROR(__xludf.DUMMYFUNCTION("""COMPUTED_VALUE"""),"2016-05-21-J06-SO-2")</f>
        <v>2016-05-21-J06-SO-2</v>
      </c>
    </row>
    <row r="7312">
      <c r="A7312" t="str">
        <f>IFERROR(__xludf.DUMMYFUNCTION("""COMPUTED_VALUE"""),"2016-05-21-J06-SO-3")</f>
        <v>2016-05-21-J06-SO-3</v>
      </c>
    </row>
    <row r="7313">
      <c r="A7313" t="str">
        <f>IFERROR(__xludf.DUMMYFUNCTION("""COMPUTED_VALUE"""),"2016-05-21-J06-SO-4")</f>
        <v>2016-05-21-J06-SO-4</v>
      </c>
    </row>
    <row r="7314">
      <c r="A7314" t="str">
        <f>IFERROR(__xludf.DUMMYFUNCTION("""COMPUTED_VALUE"""),"2016-05-21-J06-SO-5")</f>
        <v>2016-05-21-J06-SO-5</v>
      </c>
    </row>
    <row r="7315">
      <c r="A7315" t="str">
        <f>IFERROR(__xludf.DUMMYFUNCTION("""COMPUTED_VALUE"""),"2016-05-21-J06-SO-6")</f>
        <v>2016-05-21-J06-SO-6</v>
      </c>
    </row>
    <row r="7316">
      <c r="A7316" t="str">
        <f>IFERROR(__xludf.DUMMYFUNCTION("""COMPUTED_VALUE"""),"2016-05-21-J06-SO-7")</f>
        <v>2016-05-21-J06-SO-7</v>
      </c>
    </row>
    <row r="7317">
      <c r="A7317" t="str">
        <f>IFERROR(__xludf.DUMMYFUNCTION("""COMPUTED_VALUE"""),"2016-05-21-J06-SO-8")</f>
        <v>2016-05-21-J06-SO-8</v>
      </c>
    </row>
    <row r="7318">
      <c r="A7318" t="str">
        <f>IFERROR(__xludf.DUMMYFUNCTION("""COMPUTED_VALUE"""),"2016-05-21-J06-SO-9")</f>
        <v>2016-05-21-J06-SO-9</v>
      </c>
    </row>
    <row r="7319">
      <c r="A7319" t="str">
        <f>IFERROR(__xludf.DUMMYFUNCTION("""COMPUTED_VALUE"""),"2016-05-21-J06-SO-10")</f>
        <v>2016-05-21-J06-SO-10</v>
      </c>
    </row>
    <row r="7320">
      <c r="A7320" t="str">
        <f>IFERROR(__xludf.DUMMYFUNCTION("""COMPUTED_VALUE"""),"2016-05-21-J06-SO-11")</f>
        <v>2016-05-21-J06-SO-11</v>
      </c>
    </row>
    <row r="7321">
      <c r="A7321" t="str">
        <f>IFERROR(__xludf.DUMMYFUNCTION("""COMPUTED_VALUE"""),"2016-05-21-J06-SO-12")</f>
        <v>2016-05-21-J06-SO-12</v>
      </c>
    </row>
    <row r="7322">
      <c r="A7322" t="str">
        <f>IFERROR(__xludf.DUMMYFUNCTION("""COMPUTED_VALUE"""),"2016-05-21-J06-SO-13")</f>
        <v>2016-05-21-J06-SO-13</v>
      </c>
    </row>
    <row r="7323">
      <c r="A7323" t="str">
        <f>IFERROR(__xludf.DUMMYFUNCTION("""COMPUTED_VALUE"""),"2016-05-21-J06-SO-14")</f>
        <v>2016-05-21-J06-SO-14</v>
      </c>
    </row>
    <row r="7324">
      <c r="A7324" t="str">
        <f>IFERROR(__xludf.DUMMYFUNCTION("""COMPUTED_VALUE"""),"2016-05-21-J06-SO-15")</f>
        <v>2016-05-21-J06-SO-15</v>
      </c>
    </row>
    <row r="7325">
      <c r="A7325" t="str">
        <f>IFERROR(__xludf.DUMMYFUNCTION("""COMPUTED_VALUE"""),"2016-05-21-J06-SO-16")</f>
        <v>2016-05-21-J06-SO-16</v>
      </c>
    </row>
    <row r="7326">
      <c r="A7326" t="str">
        <f>IFERROR(__xludf.DUMMYFUNCTION("""COMPUTED_VALUE"""),"2016-05-21-J06-SO-17")</f>
        <v>2016-05-21-J06-SO-17</v>
      </c>
    </row>
    <row r="7327">
      <c r="A7327" t="str">
        <f>IFERROR(__xludf.DUMMYFUNCTION("""COMPUTED_VALUE"""),"2016-05-21-J06-SO-18")</f>
        <v>2016-05-21-J06-SO-18</v>
      </c>
    </row>
    <row r="7328">
      <c r="A7328" t="str">
        <f>IFERROR(__xludf.DUMMYFUNCTION("""COMPUTED_VALUE"""),"2016-05-21-J06-SO-19")</f>
        <v>2016-05-21-J06-SO-19</v>
      </c>
    </row>
    <row r="7329">
      <c r="A7329" t="str">
        <f>IFERROR(__xludf.DUMMYFUNCTION("""COMPUTED_VALUE"""),"2016-05-21-J06-SO-20")</f>
        <v>2016-05-21-J06-SO-20</v>
      </c>
    </row>
    <row r="7330">
      <c r="A7330" t="str">
        <f>IFERROR(__xludf.DUMMYFUNCTION("""COMPUTED_VALUE"""),"2016-05-21-J06-SO-21")</f>
        <v>2016-05-21-J06-SO-21</v>
      </c>
    </row>
    <row r="7331">
      <c r="A7331" t="str">
        <f>IFERROR(__xludf.DUMMYFUNCTION("""COMPUTED_VALUE"""),"2016-05-21-J06-SO-22")</f>
        <v>2016-05-21-J06-SO-22</v>
      </c>
    </row>
    <row r="7332">
      <c r="A7332" t="str">
        <f>IFERROR(__xludf.DUMMYFUNCTION("""COMPUTED_VALUE"""),"2016-05-21-J06-SO-23")</f>
        <v>2016-05-21-J06-SO-23</v>
      </c>
    </row>
    <row r="7333">
      <c r="A7333" t="str">
        <f>IFERROR(__xludf.DUMMYFUNCTION("""COMPUTED_VALUE"""),"2016-05-21-J06-SO-24")</f>
        <v>2016-05-21-J06-SO-24</v>
      </c>
    </row>
    <row r="7334">
      <c r="A7334" t="str">
        <f>IFERROR(__xludf.DUMMYFUNCTION("""COMPUTED_VALUE"""),"2016-05-21-J06-SO-25")</f>
        <v>2016-05-21-J06-SO-25</v>
      </c>
    </row>
    <row r="7335">
      <c r="A7335" t="str">
        <f>IFERROR(__xludf.DUMMYFUNCTION("""COMPUTED_VALUE"""),"2016-05-21-J06-SO-26")</f>
        <v>2016-05-21-J06-SO-26</v>
      </c>
    </row>
    <row r="7336">
      <c r="A7336" t="str">
        <f>IFERROR(__xludf.DUMMYFUNCTION("""COMPUTED_VALUE"""),"2016-05-21-J06-SO-27")</f>
        <v>2016-05-21-J06-SO-27</v>
      </c>
    </row>
    <row r="7337">
      <c r="A7337" t="str">
        <f>IFERROR(__xludf.DUMMYFUNCTION("""COMPUTED_VALUE"""),"2016-05-21-J06-SO-28")</f>
        <v>2016-05-21-J06-SO-28</v>
      </c>
    </row>
    <row r="7338">
      <c r="A7338" t="str">
        <f>IFERROR(__xludf.DUMMYFUNCTION("""COMPUTED_VALUE"""),"2016-05-21-J06-SO-29")</f>
        <v>2016-05-21-J06-SO-29</v>
      </c>
    </row>
    <row r="7339">
      <c r="A7339" t="str">
        <f>IFERROR(__xludf.DUMMYFUNCTION("""COMPUTED_VALUE"""),"2016-05-21-J06-SO-30")</f>
        <v>2016-05-21-J06-SO-30</v>
      </c>
    </row>
    <row r="7340">
      <c r="A7340" t="str">
        <f>IFERROR(__xludf.DUMMYFUNCTION("""COMPUTED_VALUE"""),"2016-05-21-J07-SO-1")</f>
        <v>2016-05-21-J07-SO-1</v>
      </c>
    </row>
    <row r="7341">
      <c r="A7341" t="str">
        <f>IFERROR(__xludf.DUMMYFUNCTION("""COMPUTED_VALUE"""),"2016-05-21-J07-SO-2")</f>
        <v>2016-05-21-J07-SO-2</v>
      </c>
    </row>
    <row r="7342">
      <c r="A7342" t="str">
        <f>IFERROR(__xludf.DUMMYFUNCTION("""COMPUTED_VALUE"""),"2016-05-21-J07-SO-3")</f>
        <v>2016-05-21-J07-SO-3</v>
      </c>
    </row>
    <row r="7343">
      <c r="A7343" t="str">
        <f>IFERROR(__xludf.DUMMYFUNCTION("""COMPUTED_VALUE"""),"2016-05-21-J07-SO-4")</f>
        <v>2016-05-21-J07-SO-4</v>
      </c>
    </row>
    <row r="7344">
      <c r="A7344" t="str">
        <f>IFERROR(__xludf.DUMMYFUNCTION("""COMPUTED_VALUE"""),"2016-05-21-J07-SO-5")</f>
        <v>2016-05-21-J07-SO-5</v>
      </c>
    </row>
    <row r="7345">
      <c r="A7345" t="str">
        <f>IFERROR(__xludf.DUMMYFUNCTION("""COMPUTED_VALUE"""),"2016-05-21-J07-SO-6")</f>
        <v>2016-05-21-J07-SO-6</v>
      </c>
    </row>
    <row r="7346">
      <c r="A7346" t="str">
        <f>IFERROR(__xludf.DUMMYFUNCTION("""COMPUTED_VALUE"""),"2016-05-21-J07-SO-7")</f>
        <v>2016-05-21-J07-SO-7</v>
      </c>
    </row>
    <row r="7347">
      <c r="A7347" t="str">
        <f>IFERROR(__xludf.DUMMYFUNCTION("""COMPUTED_VALUE"""),"2016-05-21-J07-SO-8")</f>
        <v>2016-05-21-J07-SO-8</v>
      </c>
    </row>
    <row r="7348">
      <c r="A7348" t="str">
        <f>IFERROR(__xludf.DUMMYFUNCTION("""COMPUTED_VALUE"""),"2016-05-21-J07-SO-9")</f>
        <v>2016-05-21-J07-SO-9</v>
      </c>
    </row>
    <row r="7349">
      <c r="A7349" t="str">
        <f>IFERROR(__xludf.DUMMYFUNCTION("""COMPUTED_VALUE"""),"2016-05-21-J07-SO-10")</f>
        <v>2016-05-21-J07-SO-10</v>
      </c>
    </row>
    <row r="7350">
      <c r="A7350" t="str">
        <f>IFERROR(__xludf.DUMMYFUNCTION("""COMPUTED_VALUE"""),"2016-05-21-J07-SO-11")</f>
        <v>2016-05-21-J07-SO-11</v>
      </c>
    </row>
    <row r="7351">
      <c r="A7351" t="str">
        <f>IFERROR(__xludf.DUMMYFUNCTION("""COMPUTED_VALUE"""),"2016-05-21-J07-SO-12")</f>
        <v>2016-05-21-J07-SO-12</v>
      </c>
    </row>
    <row r="7352">
      <c r="A7352" t="str">
        <f>IFERROR(__xludf.DUMMYFUNCTION("""COMPUTED_VALUE"""),"2016-05-21-J07-SO-13")</f>
        <v>2016-05-21-J07-SO-13</v>
      </c>
    </row>
    <row r="7353">
      <c r="A7353" t="str">
        <f>IFERROR(__xludf.DUMMYFUNCTION("""COMPUTED_VALUE"""),"2016-05-21-J07-SO-14")</f>
        <v>2016-05-21-J07-SO-14</v>
      </c>
    </row>
    <row r="7354">
      <c r="A7354" t="str">
        <f>IFERROR(__xludf.DUMMYFUNCTION("""COMPUTED_VALUE"""),"2016-05-21-J07-SO-15")</f>
        <v>2016-05-21-J07-SO-15</v>
      </c>
    </row>
    <row r="7355">
      <c r="A7355" t="str">
        <f>IFERROR(__xludf.DUMMYFUNCTION("""COMPUTED_VALUE"""),"2016-05-21-J07-SO-16")</f>
        <v>2016-05-21-J07-SO-16</v>
      </c>
    </row>
    <row r="7356">
      <c r="A7356" t="str">
        <f>IFERROR(__xludf.DUMMYFUNCTION("""COMPUTED_VALUE"""),"2016-05-21-J07-SO-17")</f>
        <v>2016-05-21-J07-SO-17</v>
      </c>
    </row>
    <row r="7357">
      <c r="A7357" t="str">
        <f>IFERROR(__xludf.DUMMYFUNCTION("""COMPUTED_VALUE"""),"2016-05-21-J07-SO-18")</f>
        <v>2016-05-21-J07-SO-18</v>
      </c>
    </row>
    <row r="7358">
      <c r="A7358" t="str">
        <f>IFERROR(__xludf.DUMMYFUNCTION("""COMPUTED_VALUE"""),"2016-05-21-J07-SO-19")</f>
        <v>2016-05-21-J07-SO-19</v>
      </c>
    </row>
    <row r="7359">
      <c r="A7359" t="str">
        <f>IFERROR(__xludf.DUMMYFUNCTION("""COMPUTED_VALUE"""),"2016-05-21-J07-SO-20")</f>
        <v>2016-05-21-J07-SO-20</v>
      </c>
    </row>
    <row r="7360">
      <c r="A7360" t="str">
        <f>IFERROR(__xludf.DUMMYFUNCTION("""COMPUTED_VALUE"""),"2016-05-21-J07-SO-21")</f>
        <v>2016-05-21-J07-SO-21</v>
      </c>
    </row>
    <row r="7361">
      <c r="A7361" t="str">
        <f>IFERROR(__xludf.DUMMYFUNCTION("""COMPUTED_VALUE"""),"2016-05-21-J07-SO-22")</f>
        <v>2016-05-21-J07-SO-22</v>
      </c>
    </row>
    <row r="7362">
      <c r="A7362" t="str">
        <f>IFERROR(__xludf.DUMMYFUNCTION("""COMPUTED_VALUE"""),"2016-05-21-J07-SO-23")</f>
        <v>2016-05-21-J07-SO-23</v>
      </c>
    </row>
    <row r="7363">
      <c r="A7363" t="str">
        <f>IFERROR(__xludf.DUMMYFUNCTION("""COMPUTED_VALUE"""),"2016-05-21-J07-SO-24")</f>
        <v>2016-05-21-J07-SO-24</v>
      </c>
    </row>
    <row r="7364">
      <c r="A7364" t="str">
        <f>IFERROR(__xludf.DUMMYFUNCTION("""COMPUTED_VALUE"""),"2016-05-21-J07-SO-25")</f>
        <v>2016-05-21-J07-SO-25</v>
      </c>
    </row>
    <row r="7365">
      <c r="A7365" t="str">
        <f>IFERROR(__xludf.DUMMYFUNCTION("""COMPUTED_VALUE"""),"2016-05-21-J07-SO-26")</f>
        <v>2016-05-21-J07-SO-26</v>
      </c>
    </row>
    <row r="7366">
      <c r="A7366" t="str">
        <f>IFERROR(__xludf.DUMMYFUNCTION("""COMPUTED_VALUE"""),"2016-05-21-J07-SO-27")</f>
        <v>2016-05-21-J07-SO-27</v>
      </c>
    </row>
    <row r="7367">
      <c r="A7367" t="str">
        <f>IFERROR(__xludf.DUMMYFUNCTION("""COMPUTED_VALUE"""),"2016-05-21-J07-SO-28")</f>
        <v>2016-05-21-J07-SO-28</v>
      </c>
    </row>
    <row r="7368">
      <c r="A7368" t="str">
        <f>IFERROR(__xludf.DUMMYFUNCTION("""COMPUTED_VALUE"""),"2016-05-21-J07-SO-29")</f>
        <v>2016-05-21-J07-SO-29</v>
      </c>
    </row>
    <row r="7369">
      <c r="A7369" t="str">
        <f>IFERROR(__xludf.DUMMYFUNCTION("""COMPUTED_VALUE"""),"2016-05-21-J07-SO-30")</f>
        <v>2016-05-21-J07-SO-30</v>
      </c>
    </row>
    <row r="7370">
      <c r="A7370" t="str">
        <f>IFERROR(__xludf.DUMMYFUNCTION("""COMPUTED_VALUE"""),"2016-05-21-J08-SO-1")</f>
        <v>2016-05-21-J08-SO-1</v>
      </c>
    </row>
    <row r="7371">
      <c r="A7371" t="str">
        <f>IFERROR(__xludf.DUMMYFUNCTION("""COMPUTED_VALUE"""),"2016-05-21-J08-SO-2")</f>
        <v>2016-05-21-J08-SO-2</v>
      </c>
    </row>
    <row r="7372">
      <c r="A7372" t="str">
        <f>IFERROR(__xludf.DUMMYFUNCTION("""COMPUTED_VALUE"""),"2016-05-21-J08-SO-3")</f>
        <v>2016-05-21-J08-SO-3</v>
      </c>
    </row>
    <row r="7373">
      <c r="A7373" t="str">
        <f>IFERROR(__xludf.DUMMYFUNCTION("""COMPUTED_VALUE"""),"2016-05-21-J08-SO-4")</f>
        <v>2016-05-21-J08-SO-4</v>
      </c>
    </row>
    <row r="7374">
      <c r="A7374" t="str">
        <f>IFERROR(__xludf.DUMMYFUNCTION("""COMPUTED_VALUE"""),"2016-05-21-J08-SO-5")</f>
        <v>2016-05-21-J08-SO-5</v>
      </c>
    </row>
    <row r="7375">
      <c r="A7375" t="str">
        <f>IFERROR(__xludf.DUMMYFUNCTION("""COMPUTED_VALUE"""),"2016-05-21-J08-SO-6")</f>
        <v>2016-05-21-J08-SO-6</v>
      </c>
    </row>
    <row r="7376">
      <c r="A7376" t="str">
        <f>IFERROR(__xludf.DUMMYFUNCTION("""COMPUTED_VALUE"""),"2016-05-21-J08-SO-7")</f>
        <v>2016-05-21-J08-SO-7</v>
      </c>
    </row>
    <row r="7377">
      <c r="A7377" t="str">
        <f>IFERROR(__xludf.DUMMYFUNCTION("""COMPUTED_VALUE"""),"2016-05-21-J08-SO-8")</f>
        <v>2016-05-21-J08-SO-8</v>
      </c>
    </row>
    <row r="7378">
      <c r="A7378" t="str">
        <f>IFERROR(__xludf.DUMMYFUNCTION("""COMPUTED_VALUE"""),"2016-05-21-J08-SO-9")</f>
        <v>2016-05-21-J08-SO-9</v>
      </c>
    </row>
    <row r="7379">
      <c r="A7379" t="str">
        <f>IFERROR(__xludf.DUMMYFUNCTION("""COMPUTED_VALUE"""),"2016-05-21-J08-SO-10")</f>
        <v>2016-05-21-J08-SO-10</v>
      </c>
    </row>
    <row r="7380">
      <c r="A7380" t="str">
        <f>IFERROR(__xludf.DUMMYFUNCTION("""COMPUTED_VALUE"""),"2016-05-21-J08-SO-11")</f>
        <v>2016-05-21-J08-SO-11</v>
      </c>
    </row>
    <row r="7381">
      <c r="A7381" t="str">
        <f>IFERROR(__xludf.DUMMYFUNCTION("""COMPUTED_VALUE"""),"2016-05-21-J08-SO-12")</f>
        <v>2016-05-21-J08-SO-12</v>
      </c>
    </row>
    <row r="7382">
      <c r="A7382" t="str">
        <f>IFERROR(__xludf.DUMMYFUNCTION("""COMPUTED_VALUE"""),"2016-05-21-J08-SO-13")</f>
        <v>2016-05-21-J08-SO-13</v>
      </c>
    </row>
    <row r="7383">
      <c r="A7383" t="str">
        <f>IFERROR(__xludf.DUMMYFUNCTION("""COMPUTED_VALUE"""),"2016-05-21-J08-SO-14")</f>
        <v>2016-05-21-J08-SO-14</v>
      </c>
    </row>
    <row r="7384">
      <c r="A7384" t="str">
        <f>IFERROR(__xludf.DUMMYFUNCTION("""COMPUTED_VALUE"""),"2016-05-21-J08-SO-15")</f>
        <v>2016-05-21-J08-SO-15</v>
      </c>
    </row>
    <row r="7385">
      <c r="A7385" t="str">
        <f>IFERROR(__xludf.DUMMYFUNCTION("""COMPUTED_VALUE"""),"2016-05-21-J08-SO-16")</f>
        <v>2016-05-21-J08-SO-16</v>
      </c>
    </row>
    <row r="7386">
      <c r="A7386" t="str">
        <f>IFERROR(__xludf.DUMMYFUNCTION("""COMPUTED_VALUE"""),"2016-05-21-J08-SO-17")</f>
        <v>2016-05-21-J08-SO-17</v>
      </c>
    </row>
    <row r="7387">
      <c r="A7387" t="str">
        <f>IFERROR(__xludf.DUMMYFUNCTION("""COMPUTED_VALUE"""),"2016-05-21-J08-SO-18")</f>
        <v>2016-05-21-J08-SO-18</v>
      </c>
    </row>
    <row r="7388">
      <c r="A7388" t="str">
        <f>IFERROR(__xludf.DUMMYFUNCTION("""COMPUTED_VALUE"""),"2016-05-21-J08-SO-19")</f>
        <v>2016-05-21-J08-SO-19</v>
      </c>
    </row>
    <row r="7389">
      <c r="A7389" t="str">
        <f>IFERROR(__xludf.DUMMYFUNCTION("""COMPUTED_VALUE"""),"2016-05-21-J08-SO-20")</f>
        <v>2016-05-21-J08-SO-20</v>
      </c>
    </row>
    <row r="7390">
      <c r="A7390" t="str">
        <f>IFERROR(__xludf.DUMMYFUNCTION("""COMPUTED_VALUE"""),"2016-05-21-J08-SO-21")</f>
        <v>2016-05-21-J08-SO-21</v>
      </c>
    </row>
    <row r="7391">
      <c r="A7391" t="str">
        <f>IFERROR(__xludf.DUMMYFUNCTION("""COMPUTED_VALUE"""),"2016-05-21-J08-SO-22")</f>
        <v>2016-05-21-J08-SO-22</v>
      </c>
    </row>
    <row r="7392">
      <c r="A7392" t="str">
        <f>IFERROR(__xludf.DUMMYFUNCTION("""COMPUTED_VALUE"""),"2016-05-21-J08-SO-23")</f>
        <v>2016-05-21-J08-SO-23</v>
      </c>
    </row>
    <row r="7393">
      <c r="A7393" t="str">
        <f>IFERROR(__xludf.DUMMYFUNCTION("""COMPUTED_VALUE"""),"2016-05-21-J08-SO-24")</f>
        <v>2016-05-21-J08-SO-24</v>
      </c>
    </row>
    <row r="7394">
      <c r="A7394" t="str">
        <f>IFERROR(__xludf.DUMMYFUNCTION("""COMPUTED_VALUE"""),"2016-05-21-J08-SO-25")</f>
        <v>2016-05-21-J08-SO-25</v>
      </c>
    </row>
    <row r="7395">
      <c r="A7395" t="str">
        <f>IFERROR(__xludf.DUMMYFUNCTION("""COMPUTED_VALUE"""),"2016-05-21-J07-PI-1")</f>
        <v>2016-05-21-J07-PI-1</v>
      </c>
    </row>
    <row r="7396">
      <c r="A7396" t="str">
        <f>IFERROR(__xludf.DUMMYFUNCTION("""COMPUTED_VALUE"""),"2016-05-21-J07-PI-2")</f>
        <v>2016-05-21-J07-PI-2</v>
      </c>
    </row>
    <row r="7397">
      <c r="A7397" t="str">
        <f>IFERROR(__xludf.DUMMYFUNCTION("""COMPUTED_VALUE"""),"2016-05-21-J07-PI-3")</f>
        <v>2016-05-21-J07-PI-3</v>
      </c>
    </row>
    <row r="7398">
      <c r="A7398" t="str">
        <f>IFERROR(__xludf.DUMMYFUNCTION("""COMPUTED_VALUE"""),"2016-05-21-J07-PI-4")</f>
        <v>2016-05-21-J07-PI-4</v>
      </c>
    </row>
    <row r="7399">
      <c r="A7399" t="str">
        <f>IFERROR(__xludf.DUMMYFUNCTION("""COMPUTED_VALUE"""),"2016-05-21-J07-PI-5")</f>
        <v>2016-05-21-J07-PI-5</v>
      </c>
    </row>
    <row r="7400">
      <c r="A7400" t="str">
        <f>IFERROR(__xludf.DUMMYFUNCTION("""COMPUTED_VALUE"""),"2016-05-21-J07-PI-6")</f>
        <v>2016-05-21-J07-PI-6</v>
      </c>
    </row>
    <row r="7401">
      <c r="A7401" t="str">
        <f>IFERROR(__xludf.DUMMYFUNCTION("""COMPUTED_VALUE"""),"2016-05-21-J07-PI-7")</f>
        <v>2016-05-21-J07-PI-7</v>
      </c>
    </row>
    <row r="7402">
      <c r="A7402" t="str">
        <f>IFERROR(__xludf.DUMMYFUNCTION("""COMPUTED_VALUE"""),"2016-05-21-J07-PI-8")</f>
        <v>2016-05-21-J07-PI-8</v>
      </c>
    </row>
    <row r="7403">
      <c r="A7403" t="str">
        <f>IFERROR(__xludf.DUMMYFUNCTION("""COMPUTED_VALUE"""),"2016-05-21-J07-PI-9")</f>
        <v>2016-05-21-J07-PI-9</v>
      </c>
    </row>
    <row r="7404">
      <c r="A7404" t="str">
        <f>IFERROR(__xludf.DUMMYFUNCTION("""COMPUTED_VALUE"""),"2016-05-21-J07-PI-10")</f>
        <v>2016-05-21-J07-PI-10</v>
      </c>
    </row>
    <row r="7405">
      <c r="A7405" t="str">
        <f>IFERROR(__xludf.DUMMYFUNCTION("""COMPUTED_VALUE"""),"2016-05-21-J08-PI-1")</f>
        <v>2016-05-21-J08-PI-1</v>
      </c>
    </row>
    <row r="7406">
      <c r="A7406" t="str">
        <f>IFERROR(__xludf.DUMMYFUNCTION("""COMPUTED_VALUE"""),"2016-05-21-J08-PI-2")</f>
        <v>2016-05-21-J08-PI-2</v>
      </c>
    </row>
    <row r="7407">
      <c r="A7407" t="str">
        <f>IFERROR(__xludf.DUMMYFUNCTION("""COMPUTED_VALUE"""),"2016-05-21-J07-CO-1")</f>
        <v>2016-05-21-J07-CO-1</v>
      </c>
    </row>
    <row r="7408">
      <c r="A7408" t="str">
        <f>IFERROR(__xludf.DUMMYFUNCTION("""COMPUTED_VALUE"""),"2016-05-21-J08-CO-1")</f>
        <v>2016-05-21-J08-CO-1</v>
      </c>
    </row>
    <row r="7409">
      <c r="A7409" t="str">
        <f>IFERROR(__xludf.DUMMYFUNCTION("""COMPUTED_VALUE"""),"2016-05-21-J08-CO-2")</f>
        <v>2016-05-21-J08-CO-2</v>
      </c>
    </row>
    <row r="7410">
      <c r="A7410" t="str">
        <f>IFERROR(__xludf.DUMMYFUNCTION("""COMPUTED_VALUE"""),"2016-05-21-J08-CO-3")</f>
        <v>2016-05-21-J08-CO-3</v>
      </c>
    </row>
    <row r="7411">
      <c r="A7411" t="str">
        <f>IFERROR(__xludf.DUMMYFUNCTION("""COMPUTED_VALUE"""),"2016-05-21-J06-HE-1")</f>
        <v>2016-05-21-J06-HE-1</v>
      </c>
    </row>
    <row r="7412">
      <c r="A7412" t="str">
        <f>IFERROR(__xludf.DUMMYFUNCTION("""COMPUTED_VALUE"""),"2016-05-21-J08-HE-1")</f>
        <v>2016-05-21-J08-HE-1</v>
      </c>
    </row>
    <row r="7413">
      <c r="A7413" t="str">
        <f>IFERROR(__xludf.DUMMYFUNCTION("""COMPUTED_VALUE"""),"2016-05-22-J09-SO-1")</f>
        <v>2016-05-22-J09-SO-1</v>
      </c>
    </row>
    <row r="7414">
      <c r="A7414" t="str">
        <f>IFERROR(__xludf.DUMMYFUNCTION("""COMPUTED_VALUE"""),"2016-05-22-J09-SO-2")</f>
        <v>2016-05-22-J09-SO-2</v>
      </c>
    </row>
    <row r="7415">
      <c r="A7415" t="str">
        <f>IFERROR(__xludf.DUMMYFUNCTION("""COMPUTED_VALUE"""),"2016-05-22-J09-SO-3")</f>
        <v>2016-05-22-J09-SO-3</v>
      </c>
    </row>
    <row r="7416">
      <c r="A7416" t="str">
        <f>IFERROR(__xludf.DUMMYFUNCTION("""COMPUTED_VALUE"""),"2016-05-22-J09-SO-4")</f>
        <v>2016-05-22-J09-SO-4</v>
      </c>
    </row>
    <row r="7417">
      <c r="A7417" t="str">
        <f>IFERROR(__xludf.DUMMYFUNCTION("""COMPUTED_VALUE"""),"2016-05-22-J09-SO-5")</f>
        <v>2016-05-22-J09-SO-5</v>
      </c>
    </row>
    <row r="7418">
      <c r="A7418" t="str">
        <f>IFERROR(__xludf.DUMMYFUNCTION("""COMPUTED_VALUE"""),"2016-05-22-J09-SO-6")</f>
        <v>2016-05-22-J09-SO-6</v>
      </c>
    </row>
    <row r="7419">
      <c r="A7419" t="str">
        <f>IFERROR(__xludf.DUMMYFUNCTION("""COMPUTED_VALUE"""),"2016-05-22-J09-SO-7")</f>
        <v>2016-05-22-J09-SO-7</v>
      </c>
    </row>
    <row r="7420">
      <c r="A7420" t="str">
        <f>IFERROR(__xludf.DUMMYFUNCTION("""COMPUTED_VALUE"""),"2016-05-22-J09-SO-8")</f>
        <v>2016-05-22-J09-SO-8</v>
      </c>
    </row>
    <row r="7421">
      <c r="A7421" t="str">
        <f>IFERROR(__xludf.DUMMYFUNCTION("""COMPUTED_VALUE"""),"2016-05-22-J09-SO-9")</f>
        <v>2016-05-22-J09-SO-9</v>
      </c>
    </row>
    <row r="7422">
      <c r="A7422" t="str">
        <f>IFERROR(__xludf.DUMMYFUNCTION("""COMPUTED_VALUE"""),"2016-05-22-J09-SO-10")</f>
        <v>2016-05-22-J09-SO-10</v>
      </c>
    </row>
    <row r="7423">
      <c r="A7423" t="str">
        <f>IFERROR(__xludf.DUMMYFUNCTION("""COMPUTED_VALUE"""),"2016-05-22-J09-SO-11")</f>
        <v>2016-05-22-J09-SO-11</v>
      </c>
    </row>
    <row r="7424">
      <c r="A7424" t="str">
        <f>IFERROR(__xludf.DUMMYFUNCTION("""COMPUTED_VALUE"""),"2016-05-22-J09-SO-12")</f>
        <v>2016-05-22-J09-SO-12</v>
      </c>
    </row>
    <row r="7425">
      <c r="A7425" t="str">
        <f>IFERROR(__xludf.DUMMYFUNCTION("""COMPUTED_VALUE"""),"2016-05-22-J09-SO-13")</f>
        <v>2016-05-22-J09-SO-13</v>
      </c>
    </row>
    <row r="7426">
      <c r="A7426" t="str">
        <f>IFERROR(__xludf.DUMMYFUNCTION("""COMPUTED_VALUE"""),"2016-05-22-J09-SO-14")</f>
        <v>2016-05-22-J09-SO-14</v>
      </c>
    </row>
    <row r="7427">
      <c r="A7427" t="str">
        <f>IFERROR(__xludf.DUMMYFUNCTION("""COMPUTED_VALUE"""),"2016-05-22-J09-SO-15")</f>
        <v>2016-05-22-J09-SO-15</v>
      </c>
    </row>
    <row r="7428">
      <c r="A7428" t="str">
        <f>IFERROR(__xludf.DUMMYFUNCTION("""COMPUTED_VALUE"""),"2016-05-22-J09-SO-16")</f>
        <v>2016-05-22-J09-SO-16</v>
      </c>
    </row>
    <row r="7429">
      <c r="A7429" t="str">
        <f>IFERROR(__xludf.DUMMYFUNCTION("""COMPUTED_VALUE"""),"2016-05-22-J09-SO-17")</f>
        <v>2016-05-22-J09-SO-17</v>
      </c>
    </row>
    <row r="7430">
      <c r="A7430" t="str">
        <f>IFERROR(__xludf.DUMMYFUNCTION("""COMPUTED_VALUE"""),"2016-05-22-J09-SO-18")</f>
        <v>2016-05-22-J09-SO-18</v>
      </c>
    </row>
    <row r="7431">
      <c r="A7431" t="str">
        <f>IFERROR(__xludf.DUMMYFUNCTION("""COMPUTED_VALUE"""),"2016-05-22-J09-SO-19")</f>
        <v>2016-05-22-J09-SO-19</v>
      </c>
    </row>
    <row r="7432">
      <c r="A7432" t="str">
        <f>IFERROR(__xludf.DUMMYFUNCTION("""COMPUTED_VALUE"""),"2016-05-22-J09-SO-20")</f>
        <v>2016-05-22-J09-SO-20</v>
      </c>
    </row>
    <row r="7433">
      <c r="A7433" t="str">
        <f>IFERROR(__xludf.DUMMYFUNCTION("""COMPUTED_VALUE"""),"2016-05-22-J09-SO-21")</f>
        <v>2016-05-22-J09-SO-21</v>
      </c>
    </row>
    <row r="7434">
      <c r="A7434" t="str">
        <f>IFERROR(__xludf.DUMMYFUNCTION("""COMPUTED_VALUE"""),"2016-05-22-J09-SO-22")</f>
        <v>2016-05-22-J09-SO-22</v>
      </c>
    </row>
    <row r="7435">
      <c r="A7435" t="str">
        <f>IFERROR(__xludf.DUMMYFUNCTION("""COMPUTED_VALUE"""),"2016-05-22-J09-SO-23")</f>
        <v>2016-05-22-J09-SO-23</v>
      </c>
    </row>
    <row r="7436">
      <c r="A7436" t="str">
        <f>IFERROR(__xludf.DUMMYFUNCTION("""COMPUTED_VALUE"""),"2016-05-22-J09-SO-24")</f>
        <v>2016-05-22-J09-SO-24</v>
      </c>
    </row>
    <row r="7437">
      <c r="A7437" t="str">
        <f>IFERROR(__xludf.DUMMYFUNCTION("""COMPUTED_VALUE"""),"2016-05-22-J09-SO-25")</f>
        <v>2016-05-22-J09-SO-25</v>
      </c>
    </row>
    <row r="7438">
      <c r="A7438" t="str">
        <f>IFERROR(__xludf.DUMMYFUNCTION("""COMPUTED_VALUE"""),"2016-05-22-J09-SO-26")</f>
        <v>2016-05-22-J09-SO-26</v>
      </c>
    </row>
    <row r="7439">
      <c r="A7439" t="str">
        <f>IFERROR(__xludf.DUMMYFUNCTION("""COMPUTED_VALUE"""),"2016-05-22-J09-SO-27")</f>
        <v>2016-05-22-J09-SO-27</v>
      </c>
    </row>
    <row r="7440">
      <c r="A7440" t="str">
        <f>IFERROR(__xludf.DUMMYFUNCTION("""COMPUTED_VALUE"""),"2016-05-22-J09-SO-28")</f>
        <v>2016-05-22-J09-SO-28</v>
      </c>
    </row>
    <row r="7441">
      <c r="A7441" t="str">
        <f>IFERROR(__xludf.DUMMYFUNCTION("""COMPUTED_VALUE"""),"2016-05-22-J09-SO-29")</f>
        <v>2016-05-22-J09-SO-29</v>
      </c>
    </row>
    <row r="7442">
      <c r="A7442" t="str">
        <f>IFERROR(__xludf.DUMMYFUNCTION("""COMPUTED_VALUE"""),"2016-05-22-J09-SO-30")</f>
        <v>2016-05-22-J09-SO-30</v>
      </c>
    </row>
    <row r="7443">
      <c r="A7443" t="str">
        <f>IFERROR(__xludf.DUMMYFUNCTION("""COMPUTED_VALUE"""),"2016-05-22-J10-SO-1")</f>
        <v>2016-05-22-J10-SO-1</v>
      </c>
    </row>
    <row r="7444">
      <c r="A7444" t="str">
        <f>IFERROR(__xludf.DUMMYFUNCTION("""COMPUTED_VALUE"""),"2016-05-22-J10-SO-2")</f>
        <v>2016-05-22-J10-SO-2</v>
      </c>
    </row>
    <row r="7445">
      <c r="A7445" t="str">
        <f>IFERROR(__xludf.DUMMYFUNCTION("""COMPUTED_VALUE"""),"2016-05-22-J10-SO-3")</f>
        <v>2016-05-22-J10-SO-3</v>
      </c>
    </row>
    <row r="7446">
      <c r="A7446" t="str">
        <f>IFERROR(__xludf.DUMMYFUNCTION("""COMPUTED_VALUE"""),"2016-05-22-J10-SO-4")</f>
        <v>2016-05-22-J10-SO-4</v>
      </c>
    </row>
    <row r="7447">
      <c r="A7447" t="str">
        <f>IFERROR(__xludf.DUMMYFUNCTION("""COMPUTED_VALUE"""),"2016-05-22-J10-SO-5")</f>
        <v>2016-05-22-J10-SO-5</v>
      </c>
    </row>
    <row r="7448">
      <c r="A7448" t="str">
        <f>IFERROR(__xludf.DUMMYFUNCTION("""COMPUTED_VALUE"""),"2016-05-22-J10-SO-6")</f>
        <v>2016-05-22-J10-SO-6</v>
      </c>
    </row>
    <row r="7449">
      <c r="A7449" t="str">
        <f>IFERROR(__xludf.DUMMYFUNCTION("""COMPUTED_VALUE"""),"2016-05-22-J10-SO-7")</f>
        <v>2016-05-22-J10-SO-7</v>
      </c>
    </row>
    <row r="7450">
      <c r="A7450" t="str">
        <f>IFERROR(__xludf.DUMMYFUNCTION("""COMPUTED_VALUE"""),"2016-05-22-J10-SO-8")</f>
        <v>2016-05-22-J10-SO-8</v>
      </c>
    </row>
    <row r="7451">
      <c r="A7451" t="str">
        <f>IFERROR(__xludf.DUMMYFUNCTION("""COMPUTED_VALUE"""),"2016-05-22-J10-SO-9")</f>
        <v>2016-05-22-J10-SO-9</v>
      </c>
    </row>
    <row r="7452">
      <c r="A7452" t="str">
        <f>IFERROR(__xludf.DUMMYFUNCTION("""COMPUTED_VALUE"""),"2016-05-22-J10-SO-10")</f>
        <v>2016-05-22-J10-SO-10</v>
      </c>
    </row>
    <row r="7453">
      <c r="A7453" t="str">
        <f>IFERROR(__xludf.DUMMYFUNCTION("""COMPUTED_VALUE"""),"2016-05-22-J10-SO-11")</f>
        <v>2016-05-22-J10-SO-11</v>
      </c>
    </row>
    <row r="7454">
      <c r="A7454" t="str">
        <f>IFERROR(__xludf.DUMMYFUNCTION("""COMPUTED_VALUE"""),"2016-05-22-J10-SO-12")</f>
        <v>2016-05-22-J10-SO-12</v>
      </c>
    </row>
    <row r="7455">
      <c r="A7455" t="str">
        <f>IFERROR(__xludf.DUMMYFUNCTION("""COMPUTED_VALUE"""),"2016-05-22-J10-SO-13")</f>
        <v>2016-05-22-J10-SO-13</v>
      </c>
    </row>
    <row r="7456">
      <c r="A7456" t="str">
        <f>IFERROR(__xludf.DUMMYFUNCTION("""COMPUTED_VALUE"""),"2016-05-22-J10-SO-14")</f>
        <v>2016-05-22-J10-SO-14</v>
      </c>
    </row>
    <row r="7457">
      <c r="A7457" t="str">
        <f>IFERROR(__xludf.DUMMYFUNCTION("""COMPUTED_VALUE"""),"2016-05-22-J10-SO-15")</f>
        <v>2016-05-22-J10-SO-15</v>
      </c>
    </row>
    <row r="7458">
      <c r="A7458" t="str">
        <f>IFERROR(__xludf.DUMMYFUNCTION("""COMPUTED_VALUE"""),"2016-05-22-J10-SO-16")</f>
        <v>2016-05-22-J10-SO-16</v>
      </c>
    </row>
    <row r="7459">
      <c r="A7459" t="str">
        <f>IFERROR(__xludf.DUMMYFUNCTION("""COMPUTED_VALUE"""),"2016-05-22-J10-SO-17")</f>
        <v>2016-05-22-J10-SO-17</v>
      </c>
    </row>
    <row r="7460">
      <c r="A7460" t="str">
        <f>IFERROR(__xludf.DUMMYFUNCTION("""COMPUTED_VALUE"""),"2016-05-22-J10-SO-18")</f>
        <v>2016-05-22-J10-SO-18</v>
      </c>
    </row>
    <row r="7461">
      <c r="A7461" t="str">
        <f>IFERROR(__xludf.DUMMYFUNCTION("""COMPUTED_VALUE"""),"2016-05-22-J10-SO-19")</f>
        <v>2016-05-22-J10-SO-19</v>
      </c>
    </row>
    <row r="7462">
      <c r="A7462" t="str">
        <f>IFERROR(__xludf.DUMMYFUNCTION("""COMPUTED_VALUE"""),"2016-05-22-J10-SO-20")</f>
        <v>2016-05-22-J10-SO-20</v>
      </c>
    </row>
    <row r="7463">
      <c r="A7463" t="str">
        <f>IFERROR(__xludf.DUMMYFUNCTION("""COMPUTED_VALUE"""),"2016-05-22-J10-SO-21")</f>
        <v>2016-05-22-J10-SO-21</v>
      </c>
    </row>
    <row r="7464">
      <c r="A7464" t="str">
        <f>IFERROR(__xludf.DUMMYFUNCTION("""COMPUTED_VALUE"""),"2016-05-22-J10-SO-22")</f>
        <v>2016-05-22-J10-SO-22</v>
      </c>
    </row>
    <row r="7465">
      <c r="A7465" t="str">
        <f>IFERROR(__xludf.DUMMYFUNCTION("""COMPUTED_VALUE"""),"2016-05-22-J10-SO-23")</f>
        <v>2016-05-22-J10-SO-23</v>
      </c>
    </row>
    <row r="7466">
      <c r="A7466" t="str">
        <f>IFERROR(__xludf.DUMMYFUNCTION("""COMPUTED_VALUE"""),"2016-05-22-J10-SO-24")</f>
        <v>2016-05-22-J10-SO-24</v>
      </c>
    </row>
    <row r="7467">
      <c r="A7467" t="str">
        <f>IFERROR(__xludf.DUMMYFUNCTION("""COMPUTED_VALUE"""),"2016-05-22-J10-SO-25")</f>
        <v>2016-05-22-J10-SO-25</v>
      </c>
    </row>
    <row r="7468">
      <c r="A7468" t="str">
        <f>IFERROR(__xludf.DUMMYFUNCTION("""COMPUTED_VALUE"""),"2016-05-22-J10-SO-26")</f>
        <v>2016-05-22-J10-SO-26</v>
      </c>
    </row>
    <row r="7469">
      <c r="A7469" t="str">
        <f>IFERROR(__xludf.DUMMYFUNCTION("""COMPUTED_VALUE"""),"2016-05-22-J10-SO-27")</f>
        <v>2016-05-22-J10-SO-27</v>
      </c>
    </row>
    <row r="7470">
      <c r="A7470" t="str">
        <f>IFERROR(__xludf.DUMMYFUNCTION("""COMPUTED_VALUE"""),"2016-05-22-J10-SO-28")</f>
        <v>2016-05-22-J10-SO-28</v>
      </c>
    </row>
    <row r="7471">
      <c r="A7471" t="str">
        <f>IFERROR(__xludf.DUMMYFUNCTION("""COMPUTED_VALUE"""),"2016-05-22-J10-SO-29")</f>
        <v>2016-05-22-J10-SO-29</v>
      </c>
    </row>
    <row r="7472">
      <c r="A7472" t="str">
        <f>IFERROR(__xludf.DUMMYFUNCTION("""COMPUTED_VALUE"""),"2016-05-22-J10-SO-30")</f>
        <v>2016-05-22-J10-SO-30</v>
      </c>
    </row>
    <row r="7473">
      <c r="A7473" t="str">
        <f>IFERROR(__xludf.DUMMYFUNCTION("""COMPUTED_VALUE"""),"2016-05-22-J02-SO-1")</f>
        <v>2016-05-22-J02-SO-1</v>
      </c>
    </row>
    <row r="7474">
      <c r="A7474" t="str">
        <f>IFERROR(__xludf.DUMMYFUNCTION("""COMPUTED_VALUE"""),"2016-05-22-J02-SO-2")</f>
        <v>2016-05-22-J02-SO-2</v>
      </c>
    </row>
    <row r="7475">
      <c r="A7475" t="str">
        <f>IFERROR(__xludf.DUMMYFUNCTION("""COMPUTED_VALUE"""),"2016-05-22-J02-SO-3")</f>
        <v>2016-05-22-J02-SO-3</v>
      </c>
    </row>
    <row r="7476">
      <c r="A7476" t="str">
        <f>IFERROR(__xludf.DUMMYFUNCTION("""COMPUTED_VALUE"""),"2016-05-22-J02-SO-4")</f>
        <v>2016-05-22-J02-SO-4</v>
      </c>
    </row>
    <row r="7477">
      <c r="A7477" t="str">
        <f>IFERROR(__xludf.DUMMYFUNCTION("""COMPUTED_VALUE"""),"2016-05-22-J02-SO-5")</f>
        <v>2016-05-22-J02-SO-5</v>
      </c>
    </row>
    <row r="7478">
      <c r="A7478" t="str">
        <f>IFERROR(__xludf.DUMMYFUNCTION("""COMPUTED_VALUE"""),"2016-05-22-J02-SO-6")</f>
        <v>2016-05-22-J02-SO-6</v>
      </c>
    </row>
    <row r="7479">
      <c r="A7479" t="str">
        <f>IFERROR(__xludf.DUMMYFUNCTION("""COMPUTED_VALUE"""),"2016-05-22-J02-SO-7")</f>
        <v>2016-05-22-J02-SO-7</v>
      </c>
    </row>
    <row r="7480">
      <c r="A7480" t="str">
        <f>IFERROR(__xludf.DUMMYFUNCTION("""COMPUTED_VALUE"""),"2016-05-22-J02-SO-8")</f>
        <v>2016-05-22-J02-SO-8</v>
      </c>
    </row>
    <row r="7481">
      <c r="A7481" t="str">
        <f>IFERROR(__xludf.DUMMYFUNCTION("""COMPUTED_VALUE"""),"2016-05-22-J02-SO-9")</f>
        <v>2016-05-22-J02-SO-9</v>
      </c>
    </row>
    <row r="7482">
      <c r="A7482" t="str">
        <f>IFERROR(__xludf.DUMMYFUNCTION("""COMPUTED_VALUE"""),"2016-05-22-J02-SO-10")</f>
        <v>2016-05-22-J02-SO-10</v>
      </c>
    </row>
    <row r="7483">
      <c r="A7483" t="str">
        <f>IFERROR(__xludf.DUMMYFUNCTION("""COMPUTED_VALUE"""),"2016-05-22-J02-SO-11")</f>
        <v>2016-05-22-J02-SO-11</v>
      </c>
    </row>
    <row r="7484">
      <c r="A7484" t="str">
        <f>IFERROR(__xludf.DUMMYFUNCTION("""COMPUTED_VALUE"""),"2016-05-22-J02-SO-12")</f>
        <v>2016-05-22-J02-SO-12</v>
      </c>
    </row>
    <row r="7485">
      <c r="A7485" t="str">
        <f>IFERROR(__xludf.DUMMYFUNCTION("""COMPUTED_VALUE"""),"2016-05-22-J02-SO-13")</f>
        <v>2016-05-22-J02-SO-13</v>
      </c>
    </row>
    <row r="7486">
      <c r="A7486" t="str">
        <f>IFERROR(__xludf.DUMMYFUNCTION("""COMPUTED_VALUE"""),"2016-05-22-J02-SO-14")</f>
        <v>2016-05-22-J02-SO-14</v>
      </c>
    </row>
    <row r="7487">
      <c r="A7487" t="str">
        <f>IFERROR(__xludf.DUMMYFUNCTION("""COMPUTED_VALUE"""),"2016-05-22-J02-SO-15")</f>
        <v>2016-05-22-J02-SO-15</v>
      </c>
    </row>
    <row r="7488">
      <c r="A7488" t="str">
        <f>IFERROR(__xludf.DUMMYFUNCTION("""COMPUTED_VALUE"""),"2016-05-22-J02-SO-16")</f>
        <v>2016-05-22-J02-SO-16</v>
      </c>
    </row>
    <row r="7489">
      <c r="A7489" t="str">
        <f>IFERROR(__xludf.DUMMYFUNCTION("""COMPUTED_VALUE"""),"2016-05-22-J02-SO-17")</f>
        <v>2016-05-22-J02-SO-17</v>
      </c>
    </row>
    <row r="7490">
      <c r="A7490" t="str">
        <f>IFERROR(__xludf.DUMMYFUNCTION("""COMPUTED_VALUE"""),"2016-05-22-J02-SO-18")</f>
        <v>2016-05-22-J02-SO-18</v>
      </c>
    </row>
    <row r="7491">
      <c r="A7491" t="str">
        <f>IFERROR(__xludf.DUMMYFUNCTION("""COMPUTED_VALUE"""),"2016-05-22-J02-SO-19")</f>
        <v>2016-05-22-J02-SO-19</v>
      </c>
    </row>
    <row r="7492">
      <c r="A7492" t="str">
        <f>IFERROR(__xludf.DUMMYFUNCTION("""COMPUTED_VALUE"""),"2016-05-22-J02-SO-20")</f>
        <v>2016-05-22-J02-SO-20</v>
      </c>
    </row>
    <row r="7493">
      <c r="A7493" t="str">
        <f>IFERROR(__xludf.DUMMYFUNCTION("""COMPUTED_VALUE"""),"2016-05-22-J02-SO-21")</f>
        <v>2016-05-22-J02-SO-21</v>
      </c>
    </row>
    <row r="7494">
      <c r="A7494" t="str">
        <f>IFERROR(__xludf.DUMMYFUNCTION("""COMPUTED_VALUE"""),"2016-05-22-J02-SO-22")</f>
        <v>2016-05-22-J02-SO-22</v>
      </c>
    </row>
    <row r="7495">
      <c r="A7495" t="str">
        <f>IFERROR(__xludf.DUMMYFUNCTION("""COMPUTED_VALUE"""),"2016-05-22-J02-SO-23")</f>
        <v>2016-05-22-J02-SO-23</v>
      </c>
    </row>
    <row r="7496">
      <c r="A7496" t="str">
        <f>IFERROR(__xludf.DUMMYFUNCTION("""COMPUTED_VALUE"""),"2016-05-22-J02-SO-24")</f>
        <v>2016-05-22-J02-SO-24</v>
      </c>
    </row>
    <row r="7497">
      <c r="A7497" t="str">
        <f>IFERROR(__xludf.DUMMYFUNCTION("""COMPUTED_VALUE"""),"2016-05-22-J02-SO-25")</f>
        <v>2016-05-22-J02-SO-25</v>
      </c>
    </row>
    <row r="7498">
      <c r="A7498" t="str">
        <f>IFERROR(__xludf.DUMMYFUNCTION("""COMPUTED_VALUE"""),"2016-05-22-J02-SO-26")</f>
        <v>2016-05-22-J02-SO-26</v>
      </c>
    </row>
    <row r="7499">
      <c r="A7499" t="str">
        <f>IFERROR(__xludf.DUMMYFUNCTION("""COMPUTED_VALUE"""),"2016-05-22-J02-SO-27")</f>
        <v>2016-05-22-J02-SO-27</v>
      </c>
    </row>
    <row r="7500">
      <c r="A7500" t="str">
        <f>IFERROR(__xludf.DUMMYFUNCTION("""COMPUTED_VALUE"""),"2016-05-22-J02-SO-28")</f>
        <v>2016-05-22-J02-SO-28</v>
      </c>
    </row>
    <row r="7501">
      <c r="A7501" t="str">
        <f>IFERROR(__xludf.DUMMYFUNCTION("""COMPUTED_VALUE"""),"2016-05-22-J02-SO-29")</f>
        <v>2016-05-22-J02-SO-29</v>
      </c>
    </row>
    <row r="7502">
      <c r="A7502" t="str">
        <f>IFERROR(__xludf.DUMMYFUNCTION("""COMPUTED_VALUE"""),"2016-05-22-J02-SO-30")</f>
        <v>2016-05-22-J02-SO-30</v>
      </c>
    </row>
    <row r="7503">
      <c r="A7503" t="str">
        <f>IFERROR(__xludf.DUMMYFUNCTION("""COMPUTED_VALUE"""),"2016-05-22-J09-PI-1")</f>
        <v>2016-05-22-J09-PI-1</v>
      </c>
    </row>
    <row r="7504">
      <c r="A7504" t="str">
        <f>IFERROR(__xludf.DUMMYFUNCTION("""COMPUTED_VALUE"""),"2016-05-22-J09-PI-2")</f>
        <v>2016-05-22-J09-PI-2</v>
      </c>
    </row>
    <row r="7505">
      <c r="A7505" t="str">
        <f>IFERROR(__xludf.DUMMYFUNCTION("""COMPUTED_VALUE"""),"2016-05-22-J09-PI-3")</f>
        <v>2016-05-22-J09-PI-3</v>
      </c>
    </row>
    <row r="7506">
      <c r="A7506" t="str">
        <f>IFERROR(__xludf.DUMMYFUNCTION("""COMPUTED_VALUE"""),"2016-05-22-J09-PI-4")</f>
        <v>2016-05-22-J09-PI-4</v>
      </c>
    </row>
    <row r="7507">
      <c r="A7507" t="str">
        <f>IFERROR(__xludf.DUMMYFUNCTION("""COMPUTED_VALUE"""),"2016-05-22-J09-PI-5")</f>
        <v>2016-05-22-J09-PI-5</v>
      </c>
    </row>
    <row r="7508">
      <c r="A7508" t="str">
        <f>IFERROR(__xludf.DUMMYFUNCTION("""COMPUTED_VALUE"""),"2016-05-22-J09-PI-6")</f>
        <v>2016-05-22-J09-PI-6</v>
      </c>
    </row>
    <row r="7509">
      <c r="A7509" t="str">
        <f>IFERROR(__xludf.DUMMYFUNCTION("""COMPUTED_VALUE"""),"2016-05-22-J09-PI-7")</f>
        <v>2016-05-22-J09-PI-7</v>
      </c>
    </row>
    <row r="7510">
      <c r="A7510" t="str">
        <f>IFERROR(__xludf.DUMMYFUNCTION("""COMPUTED_VALUE"""),"2016-05-22-J09-PI-8")</f>
        <v>2016-05-22-J09-PI-8</v>
      </c>
    </row>
    <row r="7511">
      <c r="A7511" t="str">
        <f>IFERROR(__xludf.DUMMYFUNCTION("""COMPUTED_VALUE"""),"2016-05-22-J09-PI-9")</f>
        <v>2016-05-22-J09-PI-9</v>
      </c>
    </row>
    <row r="7512">
      <c r="A7512" t="str">
        <f>IFERROR(__xludf.DUMMYFUNCTION("""COMPUTED_VALUE"""),"2016-05-22-J09-PI-10")</f>
        <v>2016-05-22-J09-PI-10</v>
      </c>
    </row>
    <row r="7513">
      <c r="A7513" t="str">
        <f>IFERROR(__xludf.DUMMYFUNCTION("""COMPUTED_VALUE"""),"2016-05-22-J10-PI-1")</f>
        <v>2016-05-22-J10-PI-1</v>
      </c>
    </row>
    <row r="7514">
      <c r="A7514" t="str">
        <f>IFERROR(__xludf.DUMMYFUNCTION("""COMPUTED_VALUE"""),"2016-05-22-J10-PI-2")</f>
        <v>2016-05-22-J10-PI-2</v>
      </c>
    </row>
    <row r="7515">
      <c r="A7515" t="str">
        <f>IFERROR(__xludf.DUMMYFUNCTION("""COMPUTED_VALUE"""),"2016-05-22-J10-PI-3")</f>
        <v>2016-05-22-J10-PI-3</v>
      </c>
    </row>
    <row r="7516">
      <c r="A7516" t="str">
        <f>IFERROR(__xludf.DUMMYFUNCTION("""COMPUTED_VALUE"""),"2016-05-22-J10-PI-4")</f>
        <v>2016-05-22-J10-PI-4</v>
      </c>
    </row>
    <row r="7517">
      <c r="A7517" t="str">
        <f>IFERROR(__xludf.DUMMYFUNCTION("""COMPUTED_VALUE"""),"2016-05-22-J10-PI-5")</f>
        <v>2016-05-22-J10-PI-5</v>
      </c>
    </row>
    <row r="7518">
      <c r="A7518" t="str">
        <f>IFERROR(__xludf.DUMMYFUNCTION("""COMPUTED_VALUE"""),"2016-05-22-J10-PI-6")</f>
        <v>2016-05-22-J10-PI-6</v>
      </c>
    </row>
    <row r="7519">
      <c r="A7519" t="str">
        <f>IFERROR(__xludf.DUMMYFUNCTION("""COMPUTED_VALUE"""),"2016-05-22-J02-PI-1")</f>
        <v>2016-05-22-J02-PI-1</v>
      </c>
    </row>
    <row r="7520">
      <c r="A7520" t="str">
        <f>IFERROR(__xludf.DUMMYFUNCTION("""COMPUTED_VALUE"""),"2016-05-22-J02-PI-2")</f>
        <v>2016-05-22-J02-PI-2</v>
      </c>
    </row>
    <row r="7521">
      <c r="A7521" t="str">
        <f>IFERROR(__xludf.DUMMYFUNCTION("""COMPUTED_VALUE"""),"2016-05-22-J02-PI-3")</f>
        <v>2016-05-22-J02-PI-3</v>
      </c>
    </row>
    <row r="7522">
      <c r="A7522" t="str">
        <f>IFERROR(__xludf.DUMMYFUNCTION("""COMPUTED_VALUE"""),"2016-05-22-J02-PI-4")</f>
        <v>2016-05-22-J02-PI-4</v>
      </c>
    </row>
    <row r="7523">
      <c r="A7523" t="str">
        <f>IFERROR(__xludf.DUMMYFUNCTION("""COMPUTED_VALUE"""),"2016-05-22-J02-PI-5")</f>
        <v>2016-05-22-J02-PI-5</v>
      </c>
    </row>
    <row r="7524">
      <c r="A7524" t="str">
        <f>IFERROR(__xludf.DUMMYFUNCTION("""COMPUTED_VALUE"""),"2016-05-22-J02-PI-6")</f>
        <v>2016-05-22-J02-PI-6</v>
      </c>
    </row>
    <row r="7525">
      <c r="A7525" t="str">
        <f>IFERROR(__xludf.DUMMYFUNCTION("""COMPUTED_VALUE"""),"2016-05-22-J02-PI-7")</f>
        <v>2016-05-22-J02-PI-7</v>
      </c>
    </row>
    <row r="7526">
      <c r="A7526" t="str">
        <f>IFERROR(__xludf.DUMMYFUNCTION("""COMPUTED_VALUE"""),"2016-05-22-J02-PI-8")</f>
        <v>2016-05-22-J02-PI-8</v>
      </c>
    </row>
    <row r="7527">
      <c r="A7527" t="str">
        <f>IFERROR(__xludf.DUMMYFUNCTION("""COMPUTED_VALUE"""),"2016-05-22-J02-PI-9")</f>
        <v>2016-05-22-J02-PI-9</v>
      </c>
    </row>
    <row r="7528">
      <c r="A7528" t="str">
        <f>IFERROR(__xludf.DUMMYFUNCTION("""COMPUTED_VALUE"""),"2016-05-22-J02-PI-10")</f>
        <v>2016-05-22-J02-PI-10</v>
      </c>
    </row>
    <row r="7529">
      <c r="A7529" t="str">
        <f>IFERROR(__xludf.DUMMYFUNCTION("""COMPUTED_VALUE"""),"2016-05-22-J09-CU-1")</f>
        <v>2016-05-22-J09-CU-1</v>
      </c>
    </row>
    <row r="7530">
      <c r="A7530" t="str">
        <f>IFERROR(__xludf.DUMMYFUNCTION("""COMPUTED_VALUE"""),"2016-05-22-J09-CU-2")</f>
        <v>2016-05-22-J09-CU-2</v>
      </c>
    </row>
    <row r="7531">
      <c r="A7531" t="str">
        <f>IFERROR(__xludf.DUMMYFUNCTION("""COMPUTED_VALUE"""),"2016-05-22-J09-CU-3")</f>
        <v>2016-05-22-J09-CU-3</v>
      </c>
    </row>
    <row r="7532">
      <c r="A7532" t="str">
        <f>IFERROR(__xludf.DUMMYFUNCTION("""COMPUTED_VALUE"""),"2016-05-22-J09-CU-4")</f>
        <v>2016-05-22-J09-CU-4</v>
      </c>
    </row>
    <row r="7533">
      <c r="A7533" t="str">
        <f>IFERROR(__xludf.DUMMYFUNCTION("""COMPUTED_VALUE"""),"2016-05-22-J09-CU-5")</f>
        <v>2016-05-22-J09-CU-5</v>
      </c>
    </row>
    <row r="7534">
      <c r="A7534" t="str">
        <f>IFERROR(__xludf.DUMMYFUNCTION("""COMPUTED_VALUE"""),"2016-05-22-J09-CU-6")</f>
        <v>2016-05-22-J09-CU-6</v>
      </c>
    </row>
    <row r="7535">
      <c r="A7535" t="str">
        <f>IFERROR(__xludf.DUMMYFUNCTION("""COMPUTED_VALUE"""),"2016-05-22-J09-CU-7")</f>
        <v>2016-05-22-J09-CU-7</v>
      </c>
    </row>
    <row r="7536">
      <c r="A7536" t="str">
        <f>IFERROR(__xludf.DUMMYFUNCTION("""COMPUTED_VALUE"""),"2016-05-22-J09-CU-8")</f>
        <v>2016-05-22-J09-CU-8</v>
      </c>
    </row>
    <row r="7537">
      <c r="A7537" t="str">
        <f>IFERROR(__xludf.DUMMYFUNCTION("""COMPUTED_VALUE"""),"2016-05-22-J09-CU-9")</f>
        <v>2016-05-22-J09-CU-9</v>
      </c>
    </row>
    <row r="7538">
      <c r="A7538" t="str">
        <f>IFERROR(__xludf.DUMMYFUNCTION("""COMPUTED_VALUE"""),"2016-05-22-J10-CU-1")</f>
        <v>2016-05-22-J10-CU-1</v>
      </c>
    </row>
    <row r="7539">
      <c r="A7539" t="str">
        <f>IFERROR(__xludf.DUMMYFUNCTION("""COMPUTED_VALUE"""),"2016-05-22-J10-CU-2")</f>
        <v>2016-05-22-J10-CU-2</v>
      </c>
    </row>
    <row r="7540">
      <c r="A7540" t="str">
        <f>IFERROR(__xludf.DUMMYFUNCTION("""COMPUTED_VALUE"""),"2016-05-22-J10-CU-3")</f>
        <v>2016-05-22-J10-CU-3</v>
      </c>
    </row>
    <row r="7541">
      <c r="A7541" t="str">
        <f>IFERROR(__xludf.DUMMYFUNCTION("""COMPUTED_VALUE"""),"2016-05-22-J10-CU-4")</f>
        <v>2016-05-22-J10-CU-4</v>
      </c>
    </row>
    <row r="7542">
      <c r="A7542" t="str">
        <f>IFERROR(__xludf.DUMMYFUNCTION("""COMPUTED_VALUE"""),"2016-05-22-J10-CU-5")</f>
        <v>2016-05-22-J10-CU-5</v>
      </c>
    </row>
    <row r="7543">
      <c r="A7543" t="str">
        <f>IFERROR(__xludf.DUMMYFUNCTION("""COMPUTED_VALUE"""),"2016-05-22-J10-CU-6")</f>
        <v>2016-05-22-J10-CU-6</v>
      </c>
    </row>
    <row r="7544">
      <c r="A7544" t="str">
        <f>IFERROR(__xludf.DUMMYFUNCTION("""COMPUTED_VALUE"""),"2016-05-22-J10-CU-7")</f>
        <v>2016-05-22-J10-CU-7</v>
      </c>
    </row>
    <row r="7545">
      <c r="A7545" t="str">
        <f>IFERROR(__xludf.DUMMYFUNCTION("""COMPUTED_VALUE"""),"2016-05-22-J02-CU-1")</f>
        <v>2016-05-22-J02-CU-1</v>
      </c>
    </row>
    <row r="7546">
      <c r="A7546" t="str">
        <f>IFERROR(__xludf.DUMMYFUNCTION("""COMPUTED_VALUE"""),"2016-05-22-J02-CU-2")</f>
        <v>2016-05-22-J02-CU-2</v>
      </c>
    </row>
    <row r="7547">
      <c r="A7547" t="str">
        <f>IFERROR(__xludf.DUMMYFUNCTION("""COMPUTED_VALUE"""),"2016-05-22-J02-CU-3")</f>
        <v>2016-05-22-J02-CU-3</v>
      </c>
    </row>
    <row r="7548">
      <c r="A7548" t="str">
        <f>IFERROR(__xludf.DUMMYFUNCTION("""COMPUTED_VALUE"""),"2016-05-22-J02-CU-4")</f>
        <v>2016-05-22-J02-CU-4</v>
      </c>
    </row>
    <row r="7549">
      <c r="A7549" t="str">
        <f>IFERROR(__xludf.DUMMYFUNCTION("""COMPUTED_VALUE"""),"2016-05-22-J02-CU-5")</f>
        <v>2016-05-22-J02-CU-5</v>
      </c>
    </row>
    <row r="7550">
      <c r="A7550" t="str">
        <f>IFERROR(__xludf.DUMMYFUNCTION("""COMPUTED_VALUE"""),"2016-05-22-J02-CU-6")</f>
        <v>2016-05-22-J02-CU-6</v>
      </c>
    </row>
    <row r="7551">
      <c r="A7551" t="str">
        <f>IFERROR(__xludf.DUMMYFUNCTION("""COMPUTED_VALUE"""),"2016-05-22-J02-CU-7")</f>
        <v>2016-05-22-J02-CU-7</v>
      </c>
    </row>
    <row r="7552">
      <c r="A7552" t="str">
        <f>IFERROR(__xludf.DUMMYFUNCTION("""COMPUTED_VALUE"""),"2016-05-22-J02-CU-8")</f>
        <v>2016-05-22-J02-CU-8</v>
      </c>
    </row>
    <row r="7553">
      <c r="A7553" t="str">
        <f>IFERROR(__xludf.DUMMYFUNCTION("""COMPUTED_VALUE"""),"2016-05-22-J09-CO-1")</f>
        <v>2016-05-22-J09-CO-1</v>
      </c>
    </row>
    <row r="7554">
      <c r="A7554" t="str">
        <f>IFERROR(__xludf.DUMMYFUNCTION("""COMPUTED_VALUE"""),"2016-05-22-J09-CO-2")</f>
        <v>2016-05-22-J09-CO-2</v>
      </c>
    </row>
    <row r="7555">
      <c r="A7555" t="str">
        <f>IFERROR(__xludf.DUMMYFUNCTION("""COMPUTED_VALUE"""),"2016-05-22-J09-CO-3")</f>
        <v>2016-05-22-J09-CO-3</v>
      </c>
    </row>
    <row r="7556">
      <c r="A7556" t="str">
        <f>IFERROR(__xludf.DUMMYFUNCTION("""COMPUTED_VALUE"""),"2016-05-22-J09-CO-4")</f>
        <v>2016-05-22-J09-CO-4</v>
      </c>
    </row>
    <row r="7557">
      <c r="A7557" t="str">
        <f>IFERROR(__xludf.DUMMYFUNCTION("""COMPUTED_VALUE"""),"2016-05-22-J09-CO-5")</f>
        <v>2016-05-22-J09-CO-5</v>
      </c>
    </row>
    <row r="7558">
      <c r="A7558" t="str">
        <f>IFERROR(__xludf.DUMMYFUNCTION("""COMPUTED_VALUE"""),"2016-05-22-J02-CO-1")</f>
        <v>2016-05-22-J02-CO-1</v>
      </c>
    </row>
    <row r="7559">
      <c r="A7559" t="str">
        <f>IFERROR(__xludf.DUMMYFUNCTION("""COMPUTED_VALUE"""),"2016-05-22-J09-HE-1")</f>
        <v>2016-05-22-J09-HE-1</v>
      </c>
    </row>
    <row r="7560">
      <c r="A7560" t="str">
        <f>IFERROR(__xludf.DUMMYFUNCTION("""COMPUTED_VALUE"""),"2016-05-23-D09-SO-1")</f>
        <v>2016-05-23-D09-SO-1</v>
      </c>
    </row>
    <row r="7561">
      <c r="A7561" t="str">
        <f>IFERROR(__xludf.DUMMYFUNCTION("""COMPUTED_VALUE"""),"2016-05-23-D09-SO-2")</f>
        <v>2016-05-23-D09-SO-2</v>
      </c>
    </row>
    <row r="7562">
      <c r="A7562" t="str">
        <f>IFERROR(__xludf.DUMMYFUNCTION("""COMPUTED_VALUE"""),"2016-05-23-D09-SO-3")</f>
        <v>2016-05-23-D09-SO-3</v>
      </c>
    </row>
    <row r="7563">
      <c r="A7563" t="str">
        <f>IFERROR(__xludf.DUMMYFUNCTION("""COMPUTED_VALUE"""),"2016-05-23-D09-SO-4")</f>
        <v>2016-05-23-D09-SO-4</v>
      </c>
    </row>
    <row r="7564">
      <c r="A7564" t="str">
        <f>IFERROR(__xludf.DUMMYFUNCTION("""COMPUTED_VALUE"""),"2016-05-23-D09-SO-5")</f>
        <v>2016-05-23-D09-SO-5</v>
      </c>
    </row>
    <row r="7565">
      <c r="A7565" t="str">
        <f>IFERROR(__xludf.DUMMYFUNCTION("""COMPUTED_VALUE"""),"2016-05-23-D09-SO-6")</f>
        <v>2016-05-23-D09-SO-6</v>
      </c>
    </row>
    <row r="7566">
      <c r="A7566" t="str">
        <f>IFERROR(__xludf.DUMMYFUNCTION("""COMPUTED_VALUE"""),"2016-05-23-D09-SO-7")</f>
        <v>2016-05-23-D09-SO-7</v>
      </c>
    </row>
    <row r="7567">
      <c r="A7567" t="str">
        <f>IFERROR(__xludf.DUMMYFUNCTION("""COMPUTED_VALUE"""),"2016-05-23-D09-SO-8")</f>
        <v>2016-05-23-D09-SO-8</v>
      </c>
    </row>
    <row r="7568">
      <c r="A7568" t="str">
        <f>IFERROR(__xludf.DUMMYFUNCTION("""COMPUTED_VALUE"""),"2016-05-23-D09-SO-9")</f>
        <v>2016-05-23-D09-SO-9</v>
      </c>
    </row>
    <row r="7569">
      <c r="A7569" t="str">
        <f>IFERROR(__xludf.DUMMYFUNCTION("""COMPUTED_VALUE"""),"2016-05-23-D09-SO-10")</f>
        <v>2016-05-23-D09-SO-10</v>
      </c>
    </row>
    <row r="7570">
      <c r="A7570" t="str">
        <f>IFERROR(__xludf.DUMMYFUNCTION("""COMPUTED_VALUE"""),"2016-05-23-D09-SO-11")</f>
        <v>2016-05-23-D09-SO-11</v>
      </c>
    </row>
    <row r="7571">
      <c r="A7571" t="str">
        <f>IFERROR(__xludf.DUMMYFUNCTION("""COMPUTED_VALUE"""),"2016-05-23-D09-SO-12")</f>
        <v>2016-05-23-D09-SO-12</v>
      </c>
    </row>
    <row r="7572">
      <c r="A7572" t="str">
        <f>IFERROR(__xludf.DUMMYFUNCTION("""COMPUTED_VALUE"""),"2016-05-23-D09-SO-13")</f>
        <v>2016-05-23-D09-SO-13</v>
      </c>
    </row>
    <row r="7573">
      <c r="A7573" t="str">
        <f>IFERROR(__xludf.DUMMYFUNCTION("""COMPUTED_VALUE"""),"2016-05-23-D09-SO-14")</f>
        <v>2016-05-23-D09-SO-14</v>
      </c>
    </row>
    <row r="7574">
      <c r="A7574" t="str">
        <f>IFERROR(__xludf.DUMMYFUNCTION("""COMPUTED_VALUE"""),"2016-05-23-D09-SO-15")</f>
        <v>2016-05-23-D09-SO-15</v>
      </c>
    </row>
    <row r="7575">
      <c r="A7575" t="str">
        <f>IFERROR(__xludf.DUMMYFUNCTION("""COMPUTED_VALUE"""),"2016-05-23-D09-SO-16")</f>
        <v>2016-05-23-D09-SO-16</v>
      </c>
    </row>
    <row r="7576">
      <c r="A7576" t="str">
        <f>IFERROR(__xludf.DUMMYFUNCTION("""COMPUTED_VALUE"""),"2016-05-23-D09-SO-17")</f>
        <v>2016-05-23-D09-SO-17</v>
      </c>
    </row>
    <row r="7577">
      <c r="A7577" t="str">
        <f>IFERROR(__xludf.DUMMYFUNCTION("""COMPUTED_VALUE"""),"2016-05-23-D09-SO-18")</f>
        <v>2016-05-23-D09-SO-18</v>
      </c>
    </row>
    <row r="7578">
      <c r="A7578" t="str">
        <f>IFERROR(__xludf.DUMMYFUNCTION("""COMPUTED_VALUE"""),"2016-05-23-D09-SO-19")</f>
        <v>2016-05-23-D09-SO-19</v>
      </c>
    </row>
    <row r="7579">
      <c r="A7579" t="str">
        <f>IFERROR(__xludf.DUMMYFUNCTION("""COMPUTED_VALUE"""),"2016-05-23-D09-SO-20")</f>
        <v>2016-05-23-D09-SO-20</v>
      </c>
    </row>
    <row r="7580">
      <c r="A7580" t="str">
        <f>IFERROR(__xludf.DUMMYFUNCTION("""COMPUTED_VALUE"""),"2016-05-23-D09-SO-21")</f>
        <v>2016-05-23-D09-SO-21</v>
      </c>
    </row>
    <row r="7581">
      <c r="A7581" t="str">
        <f>IFERROR(__xludf.DUMMYFUNCTION("""COMPUTED_VALUE"""),"2016-05-23-D09-SO-22")</f>
        <v>2016-05-23-D09-SO-22</v>
      </c>
    </row>
    <row r="7582">
      <c r="A7582" t="str">
        <f>IFERROR(__xludf.DUMMYFUNCTION("""COMPUTED_VALUE"""),"2016-05-23-D09-SO-23")</f>
        <v>2016-05-23-D09-SO-23</v>
      </c>
    </row>
    <row r="7583">
      <c r="A7583" t="str">
        <f>IFERROR(__xludf.DUMMYFUNCTION("""COMPUTED_VALUE"""),"2016-05-23-D09-SO-24")</f>
        <v>2016-05-23-D09-SO-24</v>
      </c>
    </row>
    <row r="7584">
      <c r="A7584" t="str">
        <f>IFERROR(__xludf.DUMMYFUNCTION("""COMPUTED_VALUE"""),"2016-05-23-D09-SO-25")</f>
        <v>2016-05-23-D09-SO-25</v>
      </c>
    </row>
    <row r="7585">
      <c r="A7585" t="str">
        <f>IFERROR(__xludf.DUMMYFUNCTION("""COMPUTED_VALUE"""),"2016-05-23-D09-SO-26")</f>
        <v>2016-05-23-D09-SO-26</v>
      </c>
    </row>
    <row r="7586">
      <c r="A7586" t="str">
        <f>IFERROR(__xludf.DUMMYFUNCTION("""COMPUTED_VALUE"""),"2016-05-23-D09-SO-27")</f>
        <v>2016-05-23-D09-SO-27</v>
      </c>
    </row>
    <row r="7587">
      <c r="A7587" t="str">
        <f>IFERROR(__xludf.DUMMYFUNCTION("""COMPUTED_VALUE"""),"2016-05-23-D09-SO-28")</f>
        <v>2016-05-23-D09-SO-28</v>
      </c>
    </row>
    <row r="7588">
      <c r="A7588" t="str">
        <f>IFERROR(__xludf.DUMMYFUNCTION("""COMPUTED_VALUE"""),"2016-05-23-D09-SO-29")</f>
        <v>2016-05-23-D09-SO-29</v>
      </c>
    </row>
    <row r="7589">
      <c r="A7589" t="str">
        <f>IFERROR(__xludf.DUMMYFUNCTION("""COMPUTED_VALUE"""),"2016-05-23-D09-SO-30")</f>
        <v>2016-05-23-D09-SO-30</v>
      </c>
    </row>
    <row r="7590">
      <c r="A7590" t="str">
        <f>IFERROR(__xludf.DUMMYFUNCTION("""COMPUTED_VALUE"""),"2016-05-23-D27-SO-1")</f>
        <v>2016-05-23-D27-SO-1</v>
      </c>
    </row>
    <row r="7591">
      <c r="A7591" t="str">
        <f>IFERROR(__xludf.DUMMYFUNCTION("""COMPUTED_VALUE"""),"2016-05-23-D27-SO-2")</f>
        <v>2016-05-23-D27-SO-2</v>
      </c>
    </row>
    <row r="7592">
      <c r="A7592" t="str">
        <f>IFERROR(__xludf.DUMMYFUNCTION("""COMPUTED_VALUE"""),"2016-05-23-D27-SO-3")</f>
        <v>2016-05-23-D27-SO-3</v>
      </c>
    </row>
    <row r="7593">
      <c r="A7593" t="str">
        <f>IFERROR(__xludf.DUMMYFUNCTION("""COMPUTED_VALUE"""),"2016-05-23-D27-SO-4")</f>
        <v>2016-05-23-D27-SO-4</v>
      </c>
    </row>
    <row r="7594">
      <c r="A7594" t="str">
        <f>IFERROR(__xludf.DUMMYFUNCTION("""COMPUTED_VALUE"""),"2016-05-23-D27-SO-5")</f>
        <v>2016-05-23-D27-SO-5</v>
      </c>
    </row>
    <row r="7595">
      <c r="A7595" t="str">
        <f>IFERROR(__xludf.DUMMYFUNCTION("""COMPUTED_VALUE"""),"2016-05-23-D27-SO-6")</f>
        <v>2016-05-23-D27-SO-6</v>
      </c>
    </row>
    <row r="7596">
      <c r="A7596" t="str">
        <f>IFERROR(__xludf.DUMMYFUNCTION("""COMPUTED_VALUE"""),"2016-05-23-D27-SO-7")</f>
        <v>2016-05-23-D27-SO-7</v>
      </c>
    </row>
    <row r="7597">
      <c r="A7597" t="str">
        <f>IFERROR(__xludf.DUMMYFUNCTION("""COMPUTED_VALUE"""),"2016-05-23-D27-SO-8")</f>
        <v>2016-05-23-D27-SO-8</v>
      </c>
    </row>
    <row r="7598">
      <c r="A7598" t="str">
        <f>IFERROR(__xludf.DUMMYFUNCTION("""COMPUTED_VALUE"""),"2016-05-23-D27-SO-9")</f>
        <v>2016-05-23-D27-SO-9</v>
      </c>
    </row>
    <row r="7599">
      <c r="A7599" t="str">
        <f>IFERROR(__xludf.DUMMYFUNCTION("""COMPUTED_VALUE"""),"2016-05-23-D27-SO-10")</f>
        <v>2016-05-23-D27-SO-10</v>
      </c>
    </row>
    <row r="7600">
      <c r="A7600" t="str">
        <f>IFERROR(__xludf.DUMMYFUNCTION("""COMPUTED_VALUE"""),"2016-05-23-D27-SO-11")</f>
        <v>2016-05-23-D27-SO-11</v>
      </c>
    </row>
    <row r="7601">
      <c r="A7601" t="str">
        <f>IFERROR(__xludf.DUMMYFUNCTION("""COMPUTED_VALUE"""),"2016-05-23-D27-SO-12")</f>
        <v>2016-05-23-D27-SO-12</v>
      </c>
    </row>
    <row r="7602">
      <c r="A7602" t="str">
        <f>IFERROR(__xludf.DUMMYFUNCTION("""COMPUTED_VALUE"""),"2016-05-23-D27-SO-13")</f>
        <v>2016-05-23-D27-SO-13</v>
      </c>
    </row>
    <row r="7603">
      <c r="A7603" t="str">
        <f>IFERROR(__xludf.DUMMYFUNCTION("""COMPUTED_VALUE"""),"2016-05-23-D27-SO-14")</f>
        <v>2016-05-23-D27-SO-14</v>
      </c>
    </row>
    <row r="7604">
      <c r="A7604" t="str">
        <f>IFERROR(__xludf.DUMMYFUNCTION("""COMPUTED_VALUE"""),"2016-05-23-D27-SO-15")</f>
        <v>2016-05-23-D27-SO-15</v>
      </c>
    </row>
    <row r="7605">
      <c r="A7605" t="str">
        <f>IFERROR(__xludf.DUMMYFUNCTION("""COMPUTED_VALUE"""),"2016-05-23-D27-SO-16")</f>
        <v>2016-05-23-D27-SO-16</v>
      </c>
    </row>
    <row r="7606">
      <c r="A7606" t="str">
        <f>IFERROR(__xludf.DUMMYFUNCTION("""COMPUTED_VALUE"""),"2016-05-23-D27-SO-17")</f>
        <v>2016-05-23-D27-SO-17</v>
      </c>
    </row>
    <row r="7607">
      <c r="A7607" t="str">
        <f>IFERROR(__xludf.DUMMYFUNCTION("""COMPUTED_VALUE"""),"2016-05-23-D27-SO-18")</f>
        <v>2016-05-23-D27-SO-18</v>
      </c>
    </row>
    <row r="7608">
      <c r="A7608" t="str">
        <f>IFERROR(__xludf.DUMMYFUNCTION("""COMPUTED_VALUE"""),"2016-05-23-D27-SO-19")</f>
        <v>2016-05-23-D27-SO-19</v>
      </c>
    </row>
    <row r="7609">
      <c r="A7609" t="str">
        <f>IFERROR(__xludf.DUMMYFUNCTION("""COMPUTED_VALUE"""),"2016-05-23-D27-SO-20")</f>
        <v>2016-05-23-D27-SO-20</v>
      </c>
    </row>
    <row r="7610">
      <c r="A7610" t="str">
        <f>IFERROR(__xludf.DUMMYFUNCTION("""COMPUTED_VALUE"""),"2016-05-23-D27-SO-21")</f>
        <v>2016-05-23-D27-SO-21</v>
      </c>
    </row>
    <row r="7611">
      <c r="A7611" t="str">
        <f>IFERROR(__xludf.DUMMYFUNCTION("""COMPUTED_VALUE"""),"2016-05-23-D27-SO-22")</f>
        <v>2016-05-23-D27-SO-22</v>
      </c>
    </row>
    <row r="7612">
      <c r="A7612" t="str">
        <f>IFERROR(__xludf.DUMMYFUNCTION("""COMPUTED_VALUE"""),"2016-05-23-D27-SO-23")</f>
        <v>2016-05-23-D27-SO-23</v>
      </c>
    </row>
    <row r="7613">
      <c r="A7613" t="str">
        <f>IFERROR(__xludf.DUMMYFUNCTION("""COMPUTED_VALUE"""),"2016-05-23-D27-SO-24")</f>
        <v>2016-05-23-D27-SO-24</v>
      </c>
    </row>
    <row r="7614">
      <c r="A7614" t="str">
        <f>IFERROR(__xludf.DUMMYFUNCTION("""COMPUTED_VALUE"""),"2016-05-23-D27-SO-25")</f>
        <v>2016-05-23-D27-SO-25</v>
      </c>
    </row>
    <row r="7615">
      <c r="A7615" t="str">
        <f>IFERROR(__xludf.DUMMYFUNCTION("""COMPUTED_VALUE"""),"2016-05-23-D27-SO-26")</f>
        <v>2016-05-23-D27-SO-26</v>
      </c>
    </row>
    <row r="7616">
      <c r="A7616" t="str">
        <f>IFERROR(__xludf.DUMMYFUNCTION("""COMPUTED_VALUE"""),"2016-05-23-D27-SO-27")</f>
        <v>2016-05-23-D27-SO-27</v>
      </c>
    </row>
    <row r="7617">
      <c r="A7617" t="str">
        <f>IFERROR(__xludf.DUMMYFUNCTION("""COMPUTED_VALUE"""),"2016-05-23-D27-SO-28")</f>
        <v>2016-05-23-D27-SO-28</v>
      </c>
    </row>
    <row r="7618">
      <c r="A7618" t="str">
        <f>IFERROR(__xludf.DUMMYFUNCTION("""COMPUTED_VALUE"""),"2016-05-23-D27-SO-29")</f>
        <v>2016-05-23-D27-SO-29</v>
      </c>
    </row>
    <row r="7619">
      <c r="A7619" t="str">
        <f>IFERROR(__xludf.DUMMYFUNCTION("""COMPUTED_VALUE"""),"2016-05-23-D27-SO-30")</f>
        <v>2016-05-23-D27-SO-30</v>
      </c>
    </row>
    <row r="7620">
      <c r="A7620" t="str">
        <f>IFERROR(__xludf.DUMMYFUNCTION("""COMPUTED_VALUE"""),"2016-05-23-D22-SO-1")</f>
        <v>2016-05-23-D22-SO-1</v>
      </c>
    </row>
    <row r="7621">
      <c r="A7621" t="str">
        <f>IFERROR(__xludf.DUMMYFUNCTION("""COMPUTED_VALUE"""),"2016-05-23-D22-SO-2")</f>
        <v>2016-05-23-D22-SO-2</v>
      </c>
    </row>
    <row r="7622">
      <c r="A7622" t="str">
        <f>IFERROR(__xludf.DUMMYFUNCTION("""COMPUTED_VALUE"""),"2016-05-23-D22-SO-3")</f>
        <v>2016-05-23-D22-SO-3</v>
      </c>
    </row>
    <row r="7623">
      <c r="A7623" t="str">
        <f>IFERROR(__xludf.DUMMYFUNCTION("""COMPUTED_VALUE"""),"2016-05-23-D22-SO-4")</f>
        <v>2016-05-23-D22-SO-4</v>
      </c>
    </row>
    <row r="7624">
      <c r="A7624" t="str">
        <f>IFERROR(__xludf.DUMMYFUNCTION("""COMPUTED_VALUE"""),"2016-05-23-D22-SO-5")</f>
        <v>2016-05-23-D22-SO-5</v>
      </c>
    </row>
    <row r="7625">
      <c r="A7625" t="str">
        <f>IFERROR(__xludf.DUMMYFUNCTION("""COMPUTED_VALUE"""),"2016-05-23-D22-SO-6")</f>
        <v>2016-05-23-D22-SO-6</v>
      </c>
    </row>
    <row r="7626">
      <c r="A7626" t="str">
        <f>IFERROR(__xludf.DUMMYFUNCTION("""COMPUTED_VALUE"""),"2016-05-23-D22-SO-7")</f>
        <v>2016-05-23-D22-SO-7</v>
      </c>
    </row>
    <row r="7627">
      <c r="A7627" t="str">
        <f>IFERROR(__xludf.DUMMYFUNCTION("""COMPUTED_VALUE"""),"2016-05-23-D22-SO-8")</f>
        <v>2016-05-23-D22-SO-8</v>
      </c>
    </row>
    <row r="7628">
      <c r="A7628" t="str">
        <f>IFERROR(__xludf.DUMMYFUNCTION("""COMPUTED_VALUE"""),"2016-05-23-D22-SO-9")</f>
        <v>2016-05-23-D22-SO-9</v>
      </c>
    </row>
    <row r="7629">
      <c r="A7629" t="str">
        <f>IFERROR(__xludf.DUMMYFUNCTION("""COMPUTED_VALUE"""),"2016-05-23-D22-SO-10")</f>
        <v>2016-05-23-D22-SO-10</v>
      </c>
    </row>
    <row r="7630">
      <c r="A7630" t="str">
        <f>IFERROR(__xludf.DUMMYFUNCTION("""COMPUTED_VALUE"""),"2016-05-23-D22-SO-11")</f>
        <v>2016-05-23-D22-SO-11</v>
      </c>
    </row>
    <row r="7631">
      <c r="A7631" t="str">
        <f>IFERROR(__xludf.DUMMYFUNCTION("""COMPUTED_VALUE"""),"2016-05-23-D22-SO-12")</f>
        <v>2016-05-23-D22-SO-12</v>
      </c>
    </row>
    <row r="7632">
      <c r="A7632" t="str">
        <f>IFERROR(__xludf.DUMMYFUNCTION("""COMPUTED_VALUE"""),"2016-05-23-D22-SO-13")</f>
        <v>2016-05-23-D22-SO-13</v>
      </c>
    </row>
    <row r="7633">
      <c r="A7633" t="str">
        <f>IFERROR(__xludf.DUMMYFUNCTION("""COMPUTED_VALUE"""),"2016-05-23-D22-SO-14")</f>
        <v>2016-05-23-D22-SO-14</v>
      </c>
    </row>
    <row r="7634">
      <c r="A7634" t="str">
        <f>IFERROR(__xludf.DUMMYFUNCTION("""COMPUTED_VALUE"""),"2016-05-23-D22-SO-15")</f>
        <v>2016-05-23-D22-SO-15</v>
      </c>
    </row>
    <row r="7635">
      <c r="A7635" t="str">
        <f>IFERROR(__xludf.DUMMYFUNCTION("""COMPUTED_VALUE"""),"2016-05-23-D22-SO-16")</f>
        <v>2016-05-23-D22-SO-16</v>
      </c>
    </row>
    <row r="7636">
      <c r="A7636" t="str">
        <f>IFERROR(__xludf.DUMMYFUNCTION("""COMPUTED_VALUE"""),"2016-05-23-D22-SO-17")</f>
        <v>2016-05-23-D22-SO-17</v>
      </c>
    </row>
    <row r="7637">
      <c r="A7637" t="str">
        <f>IFERROR(__xludf.DUMMYFUNCTION("""COMPUTED_VALUE"""),"2016-05-23-D22-SO-18")</f>
        <v>2016-05-23-D22-SO-18</v>
      </c>
    </row>
    <row r="7638">
      <c r="A7638" t="str">
        <f>IFERROR(__xludf.DUMMYFUNCTION("""COMPUTED_VALUE"""),"2016-05-23-D22-SO-19")</f>
        <v>2016-05-23-D22-SO-19</v>
      </c>
    </row>
    <row r="7639">
      <c r="A7639" t="str">
        <f>IFERROR(__xludf.DUMMYFUNCTION("""COMPUTED_VALUE"""),"2016-05-23-D22-SO-20")</f>
        <v>2016-05-23-D22-SO-20</v>
      </c>
    </row>
    <row r="7640">
      <c r="A7640" t="str">
        <f>IFERROR(__xludf.DUMMYFUNCTION("""COMPUTED_VALUE"""),"2016-05-23-D22-SO-21")</f>
        <v>2016-05-23-D22-SO-21</v>
      </c>
    </row>
    <row r="7641">
      <c r="A7641" t="str">
        <f>IFERROR(__xludf.DUMMYFUNCTION("""COMPUTED_VALUE"""),"2016-05-23-D22-SO-22")</f>
        <v>2016-05-23-D22-SO-22</v>
      </c>
    </row>
    <row r="7642">
      <c r="A7642" t="str">
        <f>IFERROR(__xludf.DUMMYFUNCTION("""COMPUTED_VALUE"""),"2016-05-23-D22-SO-23")</f>
        <v>2016-05-23-D22-SO-23</v>
      </c>
    </row>
    <row r="7643">
      <c r="A7643" t="str">
        <f>IFERROR(__xludf.DUMMYFUNCTION("""COMPUTED_VALUE"""),"2016-05-23-D22-SO-24")</f>
        <v>2016-05-23-D22-SO-24</v>
      </c>
    </row>
    <row r="7644">
      <c r="A7644" t="str">
        <f>IFERROR(__xludf.DUMMYFUNCTION("""COMPUTED_VALUE"""),"2016-05-23-D22-SO-25")</f>
        <v>2016-05-23-D22-SO-25</v>
      </c>
    </row>
    <row r="7645">
      <c r="A7645" t="str">
        <f>IFERROR(__xludf.DUMMYFUNCTION("""COMPUTED_VALUE"""),"2016-05-23-D22-SO-26")</f>
        <v>2016-05-23-D22-SO-26</v>
      </c>
    </row>
    <row r="7646">
      <c r="A7646" t="str">
        <f>IFERROR(__xludf.DUMMYFUNCTION("""COMPUTED_VALUE"""),"2016-05-23-D22-SO-27")</f>
        <v>2016-05-23-D22-SO-27</v>
      </c>
    </row>
    <row r="7647">
      <c r="A7647" t="str">
        <f>IFERROR(__xludf.DUMMYFUNCTION("""COMPUTED_VALUE"""),"2016-05-23-D22-SO-28")</f>
        <v>2016-05-23-D22-SO-28</v>
      </c>
    </row>
    <row r="7648">
      <c r="A7648" t="str">
        <f>IFERROR(__xludf.DUMMYFUNCTION("""COMPUTED_VALUE"""),"2016-05-23-D22-SO-29")</f>
        <v>2016-05-23-D22-SO-29</v>
      </c>
    </row>
    <row r="7649">
      <c r="A7649" t="str">
        <f>IFERROR(__xludf.DUMMYFUNCTION("""COMPUTED_VALUE"""),"2016-05-23-D22-SO-30")</f>
        <v>2016-05-23-D22-SO-30</v>
      </c>
    </row>
    <row r="7650">
      <c r="A7650" t="str">
        <f>IFERROR(__xludf.DUMMYFUNCTION("""COMPUTED_VALUE"""),"2016-05-23-D09-PI-1")</f>
        <v>2016-05-23-D09-PI-1</v>
      </c>
    </row>
    <row r="7651">
      <c r="A7651" t="str">
        <f>IFERROR(__xludf.DUMMYFUNCTION("""COMPUTED_VALUE"""),"2016-05-23-D09-PI-2")</f>
        <v>2016-05-23-D09-PI-2</v>
      </c>
    </row>
    <row r="7652">
      <c r="A7652" t="str">
        <f>IFERROR(__xludf.DUMMYFUNCTION("""COMPUTED_VALUE"""),"2016-05-23-D09-PI-3")</f>
        <v>2016-05-23-D09-PI-3</v>
      </c>
    </row>
    <row r="7653">
      <c r="A7653" t="str">
        <f>IFERROR(__xludf.DUMMYFUNCTION("""COMPUTED_VALUE"""),"2016-05-23-D09-PI-4")</f>
        <v>2016-05-23-D09-PI-4</v>
      </c>
    </row>
    <row r="7654">
      <c r="A7654" t="str">
        <f>IFERROR(__xludf.DUMMYFUNCTION("""COMPUTED_VALUE"""),"2016-05-23-D09-PI-5")</f>
        <v>2016-05-23-D09-PI-5</v>
      </c>
    </row>
    <row r="7655">
      <c r="A7655" t="str">
        <f>IFERROR(__xludf.DUMMYFUNCTION("""COMPUTED_VALUE"""),"2016-05-23-D09-PI-6")</f>
        <v>2016-05-23-D09-PI-6</v>
      </c>
    </row>
    <row r="7656">
      <c r="A7656" t="str">
        <f>IFERROR(__xludf.DUMMYFUNCTION("""COMPUTED_VALUE"""),"2016-05-23-D09-PI-7")</f>
        <v>2016-05-23-D09-PI-7</v>
      </c>
    </row>
    <row r="7657">
      <c r="A7657" t="str">
        <f>IFERROR(__xludf.DUMMYFUNCTION("""COMPUTED_VALUE"""),"2016-05-23-D09-PI-8")</f>
        <v>2016-05-23-D09-PI-8</v>
      </c>
    </row>
    <row r="7658">
      <c r="A7658" t="str">
        <f>IFERROR(__xludf.DUMMYFUNCTION("""COMPUTED_VALUE"""),"2016-05-23-D09-PI-9")</f>
        <v>2016-05-23-D09-PI-9</v>
      </c>
    </row>
    <row r="7659">
      <c r="A7659" t="str">
        <f>IFERROR(__xludf.DUMMYFUNCTION("""COMPUTED_VALUE"""),"2016-05-23-D09-PI-10")</f>
        <v>2016-05-23-D09-PI-10</v>
      </c>
    </row>
    <row r="7660">
      <c r="A7660" t="str">
        <f>IFERROR(__xludf.DUMMYFUNCTION("""COMPUTED_VALUE"""),"2016-05-23-D27-PI-1")</f>
        <v>2016-05-23-D27-PI-1</v>
      </c>
    </row>
    <row r="7661">
      <c r="A7661" t="str">
        <f>IFERROR(__xludf.DUMMYFUNCTION("""COMPUTED_VALUE"""),"2016-05-23-D27-PI-2")</f>
        <v>2016-05-23-D27-PI-2</v>
      </c>
    </row>
    <row r="7662">
      <c r="A7662" t="str">
        <f>IFERROR(__xludf.DUMMYFUNCTION("""COMPUTED_VALUE"""),"2016-05-23-D27-PI-3")</f>
        <v>2016-05-23-D27-PI-3</v>
      </c>
    </row>
    <row r="7663">
      <c r="A7663" t="str">
        <f>IFERROR(__xludf.DUMMYFUNCTION("""COMPUTED_VALUE"""),"2016-05-23-D27-PI-4")</f>
        <v>2016-05-23-D27-PI-4</v>
      </c>
    </row>
    <row r="7664">
      <c r="A7664" t="str">
        <f>IFERROR(__xludf.DUMMYFUNCTION("""COMPUTED_VALUE"""),"2016-05-23-D27-PI-5")</f>
        <v>2016-05-23-D27-PI-5</v>
      </c>
    </row>
    <row r="7665">
      <c r="A7665" t="str">
        <f>IFERROR(__xludf.DUMMYFUNCTION("""COMPUTED_VALUE"""),"2016-05-23-D27-PI-6")</f>
        <v>2016-05-23-D27-PI-6</v>
      </c>
    </row>
    <row r="7666">
      <c r="A7666" t="str">
        <f>IFERROR(__xludf.DUMMYFUNCTION("""COMPUTED_VALUE"""),"2016-05-23-D27-PI-7")</f>
        <v>2016-05-23-D27-PI-7</v>
      </c>
    </row>
    <row r="7667">
      <c r="A7667" t="str">
        <f>IFERROR(__xludf.DUMMYFUNCTION("""COMPUTED_VALUE"""),"2016-05-23-D27-PI-8")</f>
        <v>2016-05-23-D27-PI-8</v>
      </c>
    </row>
    <row r="7668">
      <c r="A7668" t="str">
        <f>IFERROR(__xludf.DUMMYFUNCTION("""COMPUTED_VALUE"""),"2016-05-23-D27-PI-9")</f>
        <v>2016-05-23-D27-PI-9</v>
      </c>
    </row>
    <row r="7669">
      <c r="A7669" t="str">
        <f>IFERROR(__xludf.DUMMYFUNCTION("""COMPUTED_VALUE"""),"2016-05-23-D27-PI-10")</f>
        <v>2016-05-23-D27-PI-10</v>
      </c>
    </row>
    <row r="7670">
      <c r="A7670" t="str">
        <f>IFERROR(__xludf.DUMMYFUNCTION("""COMPUTED_VALUE"""),"2016-05-23-D22-PI-1")</f>
        <v>2016-05-23-D22-PI-1</v>
      </c>
    </row>
    <row r="7671">
      <c r="A7671" t="str">
        <f>IFERROR(__xludf.DUMMYFUNCTION("""COMPUTED_VALUE"""),"2016-05-23-D22-PI-2")</f>
        <v>2016-05-23-D22-PI-2</v>
      </c>
    </row>
    <row r="7672">
      <c r="A7672" t="str">
        <f>IFERROR(__xludf.DUMMYFUNCTION("""COMPUTED_VALUE"""),"2016-05-23-D22-PI-3")</f>
        <v>2016-05-23-D22-PI-3</v>
      </c>
    </row>
    <row r="7673">
      <c r="A7673" t="str">
        <f>IFERROR(__xludf.DUMMYFUNCTION("""COMPUTED_VALUE"""),"2016-05-23-D22-PI-4")</f>
        <v>2016-05-23-D22-PI-4</v>
      </c>
    </row>
    <row r="7674">
      <c r="A7674" t="str">
        <f>IFERROR(__xludf.DUMMYFUNCTION("""COMPUTED_VALUE"""),"2016-05-23-D22-PI-5")</f>
        <v>2016-05-23-D22-PI-5</v>
      </c>
    </row>
    <row r="7675">
      <c r="A7675" t="str">
        <f>IFERROR(__xludf.DUMMYFUNCTION("""COMPUTED_VALUE"""),"2016-05-23-D22-PI-6")</f>
        <v>2016-05-23-D22-PI-6</v>
      </c>
    </row>
    <row r="7676">
      <c r="A7676" t="str">
        <f>IFERROR(__xludf.DUMMYFUNCTION("""COMPUTED_VALUE"""),"2016-05-23-D22-PI-7")</f>
        <v>2016-05-23-D22-PI-7</v>
      </c>
    </row>
    <row r="7677">
      <c r="A7677" t="str">
        <f>IFERROR(__xludf.DUMMYFUNCTION("""COMPUTED_VALUE"""),"2016-05-23-D22-PI-8")</f>
        <v>2016-05-23-D22-PI-8</v>
      </c>
    </row>
    <row r="7678">
      <c r="A7678" t="str">
        <f>IFERROR(__xludf.DUMMYFUNCTION("""COMPUTED_VALUE"""),"2016-05-23-D22-PI-9")</f>
        <v>2016-05-23-D22-PI-9</v>
      </c>
    </row>
    <row r="7679">
      <c r="A7679" t="str">
        <f>IFERROR(__xludf.DUMMYFUNCTION("""COMPUTED_VALUE"""),"2016-05-23-D22-PI-10")</f>
        <v>2016-05-23-D22-PI-10</v>
      </c>
    </row>
    <row r="7680">
      <c r="A7680" t="str">
        <f>IFERROR(__xludf.DUMMYFUNCTION("""COMPUTED_VALUE"""),"2016-05-23-D09-CU-1")</f>
        <v>2016-05-23-D09-CU-1</v>
      </c>
    </row>
    <row r="7681">
      <c r="A7681" t="str">
        <f>IFERROR(__xludf.DUMMYFUNCTION("""COMPUTED_VALUE"""),"2016-05-23-D09-CU-2")</f>
        <v>2016-05-23-D09-CU-2</v>
      </c>
    </row>
    <row r="7682">
      <c r="A7682" t="str">
        <f>IFERROR(__xludf.DUMMYFUNCTION("""COMPUTED_VALUE"""),"2016-05-23-D09-CU-3")</f>
        <v>2016-05-23-D09-CU-3</v>
      </c>
    </row>
    <row r="7683">
      <c r="A7683" t="str">
        <f>IFERROR(__xludf.DUMMYFUNCTION("""COMPUTED_VALUE"""),"2016-05-23-D09-CU-4")</f>
        <v>2016-05-23-D09-CU-4</v>
      </c>
    </row>
    <row r="7684">
      <c r="A7684" t="str">
        <f>IFERROR(__xludf.DUMMYFUNCTION("""COMPUTED_VALUE"""),"2016-05-23-D09-CU-5")</f>
        <v>2016-05-23-D09-CU-5</v>
      </c>
    </row>
    <row r="7685">
      <c r="A7685" t="str">
        <f>IFERROR(__xludf.DUMMYFUNCTION("""COMPUTED_VALUE"""),"2016-05-23-D09-CU-6")</f>
        <v>2016-05-23-D09-CU-6</v>
      </c>
    </row>
    <row r="7686">
      <c r="A7686" t="str">
        <f>IFERROR(__xludf.DUMMYFUNCTION("""COMPUTED_VALUE"""),"2016-05-23-D09-CU-7")</f>
        <v>2016-05-23-D09-CU-7</v>
      </c>
    </row>
    <row r="7687">
      <c r="A7687" t="str">
        <f>IFERROR(__xludf.DUMMYFUNCTION("""COMPUTED_VALUE"""),"2016-05-23-D09-CU-8")</f>
        <v>2016-05-23-D09-CU-8</v>
      </c>
    </row>
    <row r="7688">
      <c r="A7688" t="str">
        <f>IFERROR(__xludf.DUMMYFUNCTION("""COMPUTED_VALUE"""),"2016-05-23-D09-CU-9")</f>
        <v>2016-05-23-D09-CU-9</v>
      </c>
    </row>
    <row r="7689">
      <c r="A7689" t="str">
        <f>IFERROR(__xludf.DUMMYFUNCTION("""COMPUTED_VALUE"""),"2016-05-23-D09-CU-10")</f>
        <v>2016-05-23-D09-CU-10</v>
      </c>
    </row>
    <row r="7690">
      <c r="A7690" t="str">
        <f>IFERROR(__xludf.DUMMYFUNCTION("""COMPUTED_VALUE"""),"2016-05-23-D27-CU-1")</f>
        <v>2016-05-23-D27-CU-1</v>
      </c>
    </row>
    <row r="7691">
      <c r="A7691" t="str">
        <f>IFERROR(__xludf.DUMMYFUNCTION("""COMPUTED_VALUE"""),"2016-05-23-D27-CU-2")</f>
        <v>2016-05-23-D27-CU-2</v>
      </c>
    </row>
    <row r="7692">
      <c r="A7692" t="str">
        <f>IFERROR(__xludf.DUMMYFUNCTION("""COMPUTED_VALUE"""),"2016-05-23-D27-CU-3")</f>
        <v>2016-05-23-D27-CU-3</v>
      </c>
    </row>
    <row r="7693">
      <c r="A7693" t="str">
        <f>IFERROR(__xludf.DUMMYFUNCTION("""COMPUTED_VALUE"""),"2016-05-23-D27-CU-4")</f>
        <v>2016-05-23-D27-CU-4</v>
      </c>
    </row>
    <row r="7694">
      <c r="A7694" t="str">
        <f>IFERROR(__xludf.DUMMYFUNCTION("""COMPUTED_VALUE"""),"2016-05-23-D27-CU-5")</f>
        <v>2016-05-23-D27-CU-5</v>
      </c>
    </row>
    <row r="7695">
      <c r="A7695" t="str">
        <f>IFERROR(__xludf.DUMMYFUNCTION("""COMPUTED_VALUE"""),"2016-05-23-D27-CU-6")</f>
        <v>2016-05-23-D27-CU-6</v>
      </c>
    </row>
    <row r="7696">
      <c r="A7696" t="str">
        <f>IFERROR(__xludf.DUMMYFUNCTION("""COMPUTED_VALUE"""),"2016-05-23-D27-CU-7")</f>
        <v>2016-05-23-D27-CU-7</v>
      </c>
    </row>
    <row r="7697">
      <c r="A7697" t="str">
        <f>IFERROR(__xludf.DUMMYFUNCTION("""COMPUTED_VALUE"""),"2016-05-23-D27-CU-8")</f>
        <v>2016-05-23-D27-CU-8</v>
      </c>
    </row>
    <row r="7698">
      <c r="A7698" t="str">
        <f>IFERROR(__xludf.DUMMYFUNCTION("""COMPUTED_VALUE"""),"2016-05-23-D27-CU-9")</f>
        <v>2016-05-23-D27-CU-9</v>
      </c>
    </row>
    <row r="7699">
      <c r="A7699" t="str">
        <f>IFERROR(__xludf.DUMMYFUNCTION("""COMPUTED_VALUE"""),"2016-05-23-D27-CU-10")</f>
        <v>2016-05-23-D27-CU-10</v>
      </c>
    </row>
    <row r="7700">
      <c r="A7700" t="str">
        <f>IFERROR(__xludf.DUMMYFUNCTION("""COMPUTED_VALUE"""),"2016-05-23-D22-CU-1")</f>
        <v>2016-05-23-D22-CU-1</v>
      </c>
    </row>
    <row r="7701">
      <c r="A7701" t="str">
        <f>IFERROR(__xludf.DUMMYFUNCTION("""COMPUTED_VALUE"""),"2016-05-23-D22-CU-2")</f>
        <v>2016-05-23-D22-CU-2</v>
      </c>
    </row>
    <row r="7702">
      <c r="A7702" t="str">
        <f>IFERROR(__xludf.DUMMYFUNCTION("""COMPUTED_VALUE"""),"2016-05-23-D22-CU-3")</f>
        <v>2016-05-23-D22-CU-3</v>
      </c>
    </row>
    <row r="7703">
      <c r="A7703" t="str">
        <f>IFERROR(__xludf.DUMMYFUNCTION("""COMPUTED_VALUE"""),"2016-05-23-D22-CU-4")</f>
        <v>2016-05-23-D22-CU-4</v>
      </c>
    </row>
    <row r="7704">
      <c r="A7704" t="str">
        <f>IFERROR(__xludf.DUMMYFUNCTION("""COMPUTED_VALUE"""),"2016-05-23-D22-CU-5")</f>
        <v>2016-05-23-D22-CU-5</v>
      </c>
    </row>
    <row r="7705">
      <c r="A7705" t="str">
        <f>IFERROR(__xludf.DUMMYFUNCTION("""COMPUTED_VALUE"""),"2016-05-23-D22-CU-6")</f>
        <v>2016-05-23-D22-CU-6</v>
      </c>
    </row>
    <row r="7706">
      <c r="A7706" t="str">
        <f>IFERROR(__xludf.DUMMYFUNCTION("""COMPUTED_VALUE"""),"2016-05-23-D22-CU-7")</f>
        <v>2016-05-23-D22-CU-7</v>
      </c>
    </row>
    <row r="7707">
      <c r="A7707" t="str">
        <f>IFERROR(__xludf.DUMMYFUNCTION("""COMPUTED_VALUE"""),"2016-05-23-D22-CU-8")</f>
        <v>2016-05-23-D22-CU-8</v>
      </c>
    </row>
    <row r="7708">
      <c r="A7708" t="str">
        <f>IFERROR(__xludf.DUMMYFUNCTION("""COMPUTED_VALUE"""),"2016-05-23-D22-CU-9")</f>
        <v>2016-05-23-D22-CU-9</v>
      </c>
    </row>
    <row r="7709">
      <c r="A7709" t="str">
        <f>IFERROR(__xludf.DUMMYFUNCTION("""COMPUTED_VALUE"""),"2016-05-23-D22-CU-10")</f>
        <v>2016-05-23-D22-CU-10</v>
      </c>
    </row>
    <row r="7710">
      <c r="A7710" t="str">
        <f>IFERROR(__xludf.DUMMYFUNCTION("""COMPUTED_VALUE"""),"2016-05-23-D09-CO-1")</f>
        <v>2016-05-23-D09-CO-1</v>
      </c>
    </row>
    <row r="7711">
      <c r="A7711" t="str">
        <f>IFERROR(__xludf.DUMMYFUNCTION("""COMPUTED_VALUE"""),"2016-05-23-D22-CO-1")</f>
        <v>2016-05-23-D22-CO-1</v>
      </c>
    </row>
    <row r="7712">
      <c r="A7712" t="str">
        <f>IFERROR(__xludf.DUMMYFUNCTION("""COMPUTED_VALUE"""),"2016-05-23-D22-CO-2")</f>
        <v>2016-05-23-D22-CO-2</v>
      </c>
    </row>
    <row r="7713">
      <c r="A7713" t="str">
        <f>IFERROR(__xludf.DUMMYFUNCTION("""COMPUTED_VALUE"""),"2016-05-23-D22-CO-3")</f>
        <v>2016-05-23-D22-CO-3</v>
      </c>
    </row>
    <row r="7714">
      <c r="A7714" t="str">
        <f>IFERROR(__xludf.DUMMYFUNCTION("""COMPUTED_VALUE"""),"2016-05-23-D22-CO-4")</f>
        <v>2016-05-23-D22-CO-4</v>
      </c>
    </row>
    <row r="7715">
      <c r="A7715" t="str">
        <f>IFERROR(__xludf.DUMMYFUNCTION("""COMPUTED_VALUE"""),"2016-05-23-D22-CO-5")</f>
        <v>2016-05-23-D22-CO-5</v>
      </c>
    </row>
    <row r="7716">
      <c r="A7716" t="str">
        <f>IFERROR(__xludf.DUMMYFUNCTION("""COMPUTED_VALUE"""),"2016-05-23-D22-CO-6")</f>
        <v>2016-05-23-D22-CO-6</v>
      </c>
    </row>
    <row r="7717">
      <c r="A7717" t="str">
        <f>IFERROR(__xludf.DUMMYFUNCTION("""COMPUTED_VALUE"""),"2016-05-23-D22-CO-7")</f>
        <v>2016-05-23-D22-CO-7</v>
      </c>
    </row>
    <row r="7718">
      <c r="A7718" t="str">
        <f>IFERROR(__xludf.DUMMYFUNCTION("""COMPUTED_VALUE"""),"2016-05-23-D27-HE-1")</f>
        <v>2016-05-23-D27-HE-1</v>
      </c>
    </row>
    <row r="7719">
      <c r="A7719" t="str">
        <f>IFERROR(__xludf.DUMMYFUNCTION("""COMPUTED_VALUE"""),"2016-05-23-D27-HE-2")</f>
        <v>2016-05-23-D27-HE-2</v>
      </c>
    </row>
    <row r="7720">
      <c r="A7720" t="str">
        <f>IFERROR(__xludf.DUMMYFUNCTION("""COMPUTED_VALUE"""),"2016-05-23-D27-HE-3")</f>
        <v>2016-05-23-D27-HE-3</v>
      </c>
    </row>
    <row r="7721">
      <c r="A7721" t="str">
        <f>IFERROR(__xludf.DUMMYFUNCTION("""COMPUTED_VALUE"""),"2016-05-23-D27-HE-4")</f>
        <v>2016-05-23-D27-HE-4</v>
      </c>
    </row>
    <row r="7722">
      <c r="A7722" t="str">
        <f>IFERROR(__xludf.DUMMYFUNCTION("""COMPUTED_VALUE"""),"2016-05-23-D22-HE-1")</f>
        <v>2016-05-23-D22-HE-1</v>
      </c>
    </row>
    <row r="7723">
      <c r="A7723" t="str">
        <f>IFERROR(__xludf.DUMMYFUNCTION("""COMPUTED_VALUE"""),"2016-05-23-D22-HE-2")</f>
        <v>2016-05-23-D22-HE-2</v>
      </c>
    </row>
    <row r="7724">
      <c r="A7724" t="str">
        <f>IFERROR(__xludf.DUMMYFUNCTION("""COMPUTED_VALUE"""),"2016-05-23-D22-HE-3")</f>
        <v>2016-05-23-D22-HE-3</v>
      </c>
    </row>
    <row r="7725">
      <c r="A7725" t="str">
        <f>IFERROR(__xludf.DUMMYFUNCTION("""COMPUTED_VALUE"""),"2016-05-24-D21-SO-1")</f>
        <v>2016-05-24-D21-SO-1</v>
      </c>
    </row>
    <row r="7726">
      <c r="A7726" t="str">
        <f>IFERROR(__xludf.DUMMYFUNCTION("""COMPUTED_VALUE"""),"2016-05-24-D21-SO-2")</f>
        <v>2016-05-24-D21-SO-2</v>
      </c>
    </row>
    <row r="7727">
      <c r="A7727" t="str">
        <f>IFERROR(__xludf.DUMMYFUNCTION("""COMPUTED_VALUE"""),"2016-05-24-D21-SO-3")</f>
        <v>2016-05-24-D21-SO-3</v>
      </c>
    </row>
    <row r="7728">
      <c r="A7728" t="str">
        <f>IFERROR(__xludf.DUMMYFUNCTION("""COMPUTED_VALUE"""),"2016-05-24-D21-SO-4")</f>
        <v>2016-05-24-D21-SO-4</v>
      </c>
    </row>
    <row r="7729">
      <c r="A7729" t="str">
        <f>IFERROR(__xludf.DUMMYFUNCTION("""COMPUTED_VALUE"""),"2016-05-24-D21-SO-5")</f>
        <v>2016-05-24-D21-SO-5</v>
      </c>
    </row>
    <row r="7730">
      <c r="A7730" t="str">
        <f>IFERROR(__xludf.DUMMYFUNCTION("""COMPUTED_VALUE"""),"2016-05-24-D21-SO-6")</f>
        <v>2016-05-24-D21-SO-6</v>
      </c>
    </row>
    <row r="7731">
      <c r="A7731" t="str">
        <f>IFERROR(__xludf.DUMMYFUNCTION("""COMPUTED_VALUE"""),"2016-05-24-D21-SO-7")</f>
        <v>2016-05-24-D21-SO-7</v>
      </c>
    </row>
    <row r="7732">
      <c r="A7732" t="str">
        <f>IFERROR(__xludf.DUMMYFUNCTION("""COMPUTED_VALUE"""),"2016-05-24-D21-SO-8")</f>
        <v>2016-05-24-D21-SO-8</v>
      </c>
    </row>
    <row r="7733">
      <c r="A7733" t="str">
        <f>IFERROR(__xludf.DUMMYFUNCTION("""COMPUTED_VALUE"""),"2016-05-24-D21-SO-9")</f>
        <v>2016-05-24-D21-SO-9</v>
      </c>
    </row>
    <row r="7734">
      <c r="A7734" t="str">
        <f>IFERROR(__xludf.DUMMYFUNCTION("""COMPUTED_VALUE"""),"2016-05-24-D21-SO-10")</f>
        <v>2016-05-24-D21-SO-10</v>
      </c>
    </row>
    <row r="7735">
      <c r="A7735" t="str">
        <f>IFERROR(__xludf.DUMMYFUNCTION("""COMPUTED_VALUE"""),"2016-05-24-D21-SO-11")</f>
        <v>2016-05-24-D21-SO-11</v>
      </c>
    </row>
    <row r="7736">
      <c r="A7736" t="str">
        <f>IFERROR(__xludf.DUMMYFUNCTION("""COMPUTED_VALUE"""),"2016-05-24-D21-SO-12")</f>
        <v>2016-05-24-D21-SO-12</v>
      </c>
    </row>
    <row r="7737">
      <c r="A7737" t="str">
        <f>IFERROR(__xludf.DUMMYFUNCTION("""COMPUTED_VALUE"""),"2016-05-24-D21-SO-13")</f>
        <v>2016-05-24-D21-SO-13</v>
      </c>
    </row>
    <row r="7738">
      <c r="A7738" t="str">
        <f>IFERROR(__xludf.DUMMYFUNCTION("""COMPUTED_VALUE"""),"2016-05-24-D21-SO-14")</f>
        <v>2016-05-24-D21-SO-14</v>
      </c>
    </row>
    <row r="7739">
      <c r="A7739" t="str">
        <f>IFERROR(__xludf.DUMMYFUNCTION("""COMPUTED_VALUE"""),"2016-05-24-D21-SO-15")</f>
        <v>2016-05-24-D21-SO-15</v>
      </c>
    </row>
    <row r="7740">
      <c r="A7740" t="str">
        <f>IFERROR(__xludf.DUMMYFUNCTION("""COMPUTED_VALUE"""),"2016-05-24-D21-SO-16")</f>
        <v>2016-05-24-D21-SO-16</v>
      </c>
    </row>
    <row r="7741">
      <c r="A7741" t="str">
        <f>IFERROR(__xludf.DUMMYFUNCTION("""COMPUTED_VALUE"""),"2016-05-24-D21-SO-17")</f>
        <v>2016-05-24-D21-SO-17</v>
      </c>
    </row>
    <row r="7742">
      <c r="A7742" t="str">
        <f>IFERROR(__xludf.DUMMYFUNCTION("""COMPUTED_VALUE"""),"2016-05-24-D21-SO-18")</f>
        <v>2016-05-24-D21-SO-18</v>
      </c>
    </row>
    <row r="7743">
      <c r="A7743" t="str">
        <f>IFERROR(__xludf.DUMMYFUNCTION("""COMPUTED_VALUE"""),"2016-05-24-D21-SO-19")</f>
        <v>2016-05-24-D21-SO-19</v>
      </c>
    </row>
    <row r="7744">
      <c r="A7744" t="str">
        <f>IFERROR(__xludf.DUMMYFUNCTION("""COMPUTED_VALUE"""),"2016-05-24-D21-SO-20")</f>
        <v>2016-05-24-D21-SO-20</v>
      </c>
    </row>
    <row r="7745">
      <c r="A7745" t="str">
        <f>IFERROR(__xludf.DUMMYFUNCTION("""COMPUTED_VALUE"""),"2016-05-24-D21-SO-21")</f>
        <v>2016-05-24-D21-SO-21</v>
      </c>
    </row>
    <row r="7746">
      <c r="A7746" t="str">
        <f>IFERROR(__xludf.DUMMYFUNCTION("""COMPUTED_VALUE"""),"2016-05-24-D21-SO-22")</f>
        <v>2016-05-24-D21-SO-22</v>
      </c>
    </row>
    <row r="7747">
      <c r="A7747" t="str">
        <f>IFERROR(__xludf.DUMMYFUNCTION("""COMPUTED_VALUE"""),"2016-05-24-D21-SO-23")</f>
        <v>2016-05-24-D21-SO-23</v>
      </c>
    </row>
    <row r="7748">
      <c r="A7748" t="str">
        <f>IFERROR(__xludf.DUMMYFUNCTION("""COMPUTED_VALUE"""),"2016-05-24-D21-SO-24")</f>
        <v>2016-05-24-D21-SO-24</v>
      </c>
    </row>
    <row r="7749">
      <c r="A7749" t="str">
        <f>IFERROR(__xludf.DUMMYFUNCTION("""COMPUTED_VALUE"""),"2016-05-24-D21-SO-25")</f>
        <v>2016-05-24-D21-SO-25</v>
      </c>
    </row>
    <row r="7750">
      <c r="A7750" t="str">
        <f>IFERROR(__xludf.DUMMYFUNCTION("""COMPUTED_VALUE"""),"2016-05-24-D21-SO-26")</f>
        <v>2016-05-24-D21-SO-26</v>
      </c>
    </row>
    <row r="7751">
      <c r="A7751" t="str">
        <f>IFERROR(__xludf.DUMMYFUNCTION("""COMPUTED_VALUE"""),"2016-05-24-D21-SO-27")</f>
        <v>2016-05-24-D21-SO-27</v>
      </c>
    </row>
    <row r="7752">
      <c r="A7752" t="str">
        <f>IFERROR(__xludf.DUMMYFUNCTION("""COMPUTED_VALUE"""),"2016-05-24-D21-SO-28")</f>
        <v>2016-05-24-D21-SO-28</v>
      </c>
    </row>
    <row r="7753">
      <c r="A7753" t="str">
        <f>IFERROR(__xludf.DUMMYFUNCTION("""COMPUTED_VALUE"""),"2016-05-24-D21-SO-29")</f>
        <v>2016-05-24-D21-SO-29</v>
      </c>
    </row>
    <row r="7754">
      <c r="A7754" t="str">
        <f>IFERROR(__xludf.DUMMYFUNCTION("""COMPUTED_VALUE"""),"2016-05-24-D21-SO-30")</f>
        <v>2016-05-24-D21-SO-30</v>
      </c>
    </row>
    <row r="7755">
      <c r="A7755" t="str">
        <f>IFERROR(__xludf.DUMMYFUNCTION("""COMPUTED_VALUE"""),"2016-05-24-D21-PI-1")</f>
        <v>2016-05-24-D21-PI-1</v>
      </c>
    </row>
    <row r="7756">
      <c r="A7756" t="str">
        <f>IFERROR(__xludf.DUMMYFUNCTION("""COMPUTED_VALUE"""),"2016-05-24-D21-PI-2")</f>
        <v>2016-05-24-D21-PI-2</v>
      </c>
    </row>
    <row r="7757">
      <c r="A7757" t="str">
        <f>IFERROR(__xludf.DUMMYFUNCTION("""COMPUTED_VALUE"""),"2016-05-24-D21-PI-3")</f>
        <v>2016-05-24-D21-PI-3</v>
      </c>
    </row>
    <row r="7758">
      <c r="A7758" t="str">
        <f>IFERROR(__xludf.DUMMYFUNCTION("""COMPUTED_VALUE"""),"2016-05-24-D21-PI-4")</f>
        <v>2016-05-24-D21-PI-4</v>
      </c>
    </row>
    <row r="7759">
      <c r="A7759" t="str">
        <f>IFERROR(__xludf.DUMMYFUNCTION("""COMPUTED_VALUE"""),"2016-05-24-D21-CU-1")</f>
        <v>2016-05-24-D21-CU-1</v>
      </c>
    </row>
    <row r="7760">
      <c r="A7760" t="str">
        <f>IFERROR(__xludf.DUMMYFUNCTION("""COMPUTED_VALUE"""),"2016-05-24-D21-CU-2")</f>
        <v>2016-05-24-D21-CU-2</v>
      </c>
    </row>
    <row r="7761">
      <c r="A7761" t="str">
        <f>IFERROR(__xludf.DUMMYFUNCTION("""COMPUTED_VALUE"""),"2016-05-24-D21-CU-3")</f>
        <v>2016-05-24-D21-CU-3</v>
      </c>
    </row>
    <row r="7762">
      <c r="A7762" t="str">
        <f>IFERROR(__xludf.DUMMYFUNCTION("""COMPUTED_VALUE"""),"2016-05-24-D21-CU-4")</f>
        <v>2016-05-24-D21-CU-4</v>
      </c>
    </row>
    <row r="7763">
      <c r="A7763" t="str">
        <f>IFERROR(__xludf.DUMMYFUNCTION("""COMPUTED_VALUE"""),"2016-05-24-D21-CO-1")</f>
        <v>2016-05-24-D21-CO-1</v>
      </c>
    </row>
    <row r="7764">
      <c r="A7764" t="str">
        <f>IFERROR(__xludf.DUMMYFUNCTION("""COMPUTED_VALUE"""),"2016-05-24-D21-CO-2")</f>
        <v>2016-05-24-D21-CO-2</v>
      </c>
    </row>
    <row r="7765">
      <c r="A7765" t="str">
        <f>IFERROR(__xludf.DUMMYFUNCTION("""COMPUTED_VALUE"""),"2016-05-26-D07-SO-1")</f>
        <v>2016-05-26-D07-SO-1</v>
      </c>
    </row>
    <row r="7766">
      <c r="A7766" t="str">
        <f>IFERROR(__xludf.DUMMYFUNCTION("""COMPUTED_VALUE"""),"2016-05-26-D07-SO-2")</f>
        <v>2016-05-26-D07-SO-2</v>
      </c>
    </row>
    <row r="7767">
      <c r="A7767" t="str">
        <f>IFERROR(__xludf.DUMMYFUNCTION("""COMPUTED_VALUE"""),"2016-05-26-D07-SO-3")</f>
        <v>2016-05-26-D07-SO-3</v>
      </c>
    </row>
    <row r="7768">
      <c r="A7768" t="str">
        <f>IFERROR(__xludf.DUMMYFUNCTION("""COMPUTED_VALUE"""),"2016-05-26-D07-SO-4")</f>
        <v>2016-05-26-D07-SO-4</v>
      </c>
    </row>
    <row r="7769">
      <c r="A7769" t="str">
        <f>IFERROR(__xludf.DUMMYFUNCTION("""COMPUTED_VALUE"""),"2016-05-26-D07-SO-5")</f>
        <v>2016-05-26-D07-SO-5</v>
      </c>
    </row>
    <row r="7770">
      <c r="A7770" t="str">
        <f>IFERROR(__xludf.DUMMYFUNCTION("""COMPUTED_VALUE"""),"2016-05-26-D07-SO-6")</f>
        <v>2016-05-26-D07-SO-6</v>
      </c>
    </row>
    <row r="7771">
      <c r="A7771" t="str">
        <f>IFERROR(__xludf.DUMMYFUNCTION("""COMPUTED_VALUE"""),"2016-05-26-D07-SO-7")</f>
        <v>2016-05-26-D07-SO-7</v>
      </c>
    </row>
    <row r="7772">
      <c r="A7772" t="str">
        <f>IFERROR(__xludf.DUMMYFUNCTION("""COMPUTED_VALUE"""),"2016-05-26-D07-SO-8")</f>
        <v>2016-05-26-D07-SO-8</v>
      </c>
    </row>
    <row r="7773">
      <c r="A7773" t="str">
        <f>IFERROR(__xludf.DUMMYFUNCTION("""COMPUTED_VALUE"""),"2016-05-26-D07-SO-9")</f>
        <v>2016-05-26-D07-SO-9</v>
      </c>
    </row>
    <row r="7774">
      <c r="A7774" t="str">
        <f>IFERROR(__xludf.DUMMYFUNCTION("""COMPUTED_VALUE"""),"2016-05-26-D07-SO-10")</f>
        <v>2016-05-26-D07-SO-10</v>
      </c>
    </row>
    <row r="7775">
      <c r="A7775" t="str">
        <f>IFERROR(__xludf.DUMMYFUNCTION("""COMPUTED_VALUE"""),"2016-05-26-D07-SO-11")</f>
        <v>2016-05-26-D07-SO-11</v>
      </c>
    </row>
    <row r="7776">
      <c r="A7776" t="str">
        <f>IFERROR(__xludf.DUMMYFUNCTION("""COMPUTED_VALUE"""),"2016-05-26-D07-SO-12")</f>
        <v>2016-05-26-D07-SO-12</v>
      </c>
    </row>
    <row r="7777">
      <c r="A7777" t="str">
        <f>IFERROR(__xludf.DUMMYFUNCTION("""COMPUTED_VALUE"""),"2016-05-26-D07-SO-13")</f>
        <v>2016-05-26-D07-SO-13</v>
      </c>
    </row>
    <row r="7778">
      <c r="A7778" t="str">
        <f>IFERROR(__xludf.DUMMYFUNCTION("""COMPUTED_VALUE"""),"2016-05-26-D07-SO-14")</f>
        <v>2016-05-26-D07-SO-14</v>
      </c>
    </row>
    <row r="7779">
      <c r="A7779" t="str">
        <f>IFERROR(__xludf.DUMMYFUNCTION("""COMPUTED_VALUE"""),"2016-05-26-D07-SO-15")</f>
        <v>2016-05-26-D07-SO-15</v>
      </c>
    </row>
    <row r="7780">
      <c r="A7780" t="str">
        <f>IFERROR(__xludf.DUMMYFUNCTION("""COMPUTED_VALUE"""),"2016-05-26-D07-SO-16")</f>
        <v>2016-05-26-D07-SO-16</v>
      </c>
    </row>
    <row r="7781">
      <c r="A7781" t="str">
        <f>IFERROR(__xludf.DUMMYFUNCTION("""COMPUTED_VALUE"""),"2016-05-26-D07-SO-17")</f>
        <v>2016-05-26-D07-SO-17</v>
      </c>
    </row>
    <row r="7782">
      <c r="A7782" t="str">
        <f>IFERROR(__xludf.DUMMYFUNCTION("""COMPUTED_VALUE"""),"2016-05-26-D07-SO-18")</f>
        <v>2016-05-26-D07-SO-18</v>
      </c>
    </row>
    <row r="7783">
      <c r="A7783" t="str">
        <f>IFERROR(__xludf.DUMMYFUNCTION("""COMPUTED_VALUE"""),"2016-05-26-D07-SO-19")</f>
        <v>2016-05-26-D07-SO-19</v>
      </c>
    </row>
    <row r="7784">
      <c r="A7784" t="str">
        <f>IFERROR(__xludf.DUMMYFUNCTION("""COMPUTED_VALUE"""),"2016-05-26-D07-SO-20")</f>
        <v>2016-05-26-D07-SO-20</v>
      </c>
    </row>
    <row r="7785">
      <c r="A7785" t="str">
        <f>IFERROR(__xludf.DUMMYFUNCTION("""COMPUTED_VALUE"""),"2016-05-26-D07-SO-21")</f>
        <v>2016-05-26-D07-SO-21</v>
      </c>
    </row>
    <row r="7786">
      <c r="A7786" t="str">
        <f>IFERROR(__xludf.DUMMYFUNCTION("""COMPUTED_VALUE"""),"2016-05-26-D07-SO-22")</f>
        <v>2016-05-26-D07-SO-22</v>
      </c>
    </row>
    <row r="7787">
      <c r="A7787" t="str">
        <f>IFERROR(__xludf.DUMMYFUNCTION("""COMPUTED_VALUE"""),"2016-05-26-D07-SO-23")</f>
        <v>2016-05-26-D07-SO-23</v>
      </c>
    </row>
    <row r="7788">
      <c r="A7788" t="str">
        <f>IFERROR(__xludf.DUMMYFUNCTION("""COMPUTED_VALUE"""),"2016-05-26-D07-SO-24")</f>
        <v>2016-05-26-D07-SO-24</v>
      </c>
    </row>
    <row r="7789">
      <c r="A7789" t="str">
        <f>IFERROR(__xludf.DUMMYFUNCTION("""COMPUTED_VALUE"""),"2016-05-26-D07-SO-25")</f>
        <v>2016-05-26-D07-SO-25</v>
      </c>
    </row>
    <row r="7790">
      <c r="A7790" t="str">
        <f>IFERROR(__xludf.DUMMYFUNCTION("""COMPUTED_VALUE"""),"2016-05-26-D07-SO-26")</f>
        <v>2016-05-26-D07-SO-26</v>
      </c>
    </row>
    <row r="7791">
      <c r="A7791" t="str">
        <f>IFERROR(__xludf.DUMMYFUNCTION("""COMPUTED_VALUE"""),"2016-05-26-D07-SO-27")</f>
        <v>2016-05-26-D07-SO-27</v>
      </c>
    </row>
    <row r="7792">
      <c r="A7792" t="str">
        <f>IFERROR(__xludf.DUMMYFUNCTION("""COMPUTED_VALUE"""),"2016-05-26-D07-SO-28")</f>
        <v>2016-05-26-D07-SO-28</v>
      </c>
    </row>
    <row r="7793">
      <c r="A7793" t="str">
        <f>IFERROR(__xludf.DUMMYFUNCTION("""COMPUTED_VALUE"""),"2016-05-26-D07-SO-29")</f>
        <v>2016-05-26-D07-SO-29</v>
      </c>
    </row>
    <row r="7794">
      <c r="A7794" t="str">
        <f>IFERROR(__xludf.DUMMYFUNCTION("""COMPUTED_VALUE"""),"2016-05-26-D07-SO-30")</f>
        <v>2016-05-26-D07-SO-30</v>
      </c>
    </row>
    <row r="7795">
      <c r="A7795" t="str">
        <f>IFERROR(__xludf.DUMMYFUNCTION("""COMPUTED_VALUE"""),"2016-05-26-J04-SO-1")</f>
        <v>2016-05-26-J04-SO-1</v>
      </c>
    </row>
    <row r="7796">
      <c r="A7796" t="str">
        <f>IFERROR(__xludf.DUMMYFUNCTION("""COMPUTED_VALUE"""),"2016-05-26-J04-SO-2")</f>
        <v>2016-05-26-J04-SO-2</v>
      </c>
    </row>
    <row r="7797">
      <c r="A7797" t="str">
        <f>IFERROR(__xludf.DUMMYFUNCTION("""COMPUTED_VALUE"""),"2016-05-26-J04-SO-3")</f>
        <v>2016-05-26-J04-SO-3</v>
      </c>
    </row>
    <row r="7798">
      <c r="A7798" t="str">
        <f>IFERROR(__xludf.DUMMYFUNCTION("""COMPUTED_VALUE"""),"2016-05-26-J04-SO-4")</f>
        <v>2016-05-26-J04-SO-4</v>
      </c>
    </row>
    <row r="7799">
      <c r="A7799" t="str">
        <f>IFERROR(__xludf.DUMMYFUNCTION("""COMPUTED_VALUE"""),"2016-05-26-J04-SO-5")</f>
        <v>2016-05-26-J04-SO-5</v>
      </c>
    </row>
    <row r="7800">
      <c r="A7800" t="str">
        <f>IFERROR(__xludf.DUMMYFUNCTION("""COMPUTED_VALUE"""),"2016-05-26-J04-SO-6")</f>
        <v>2016-05-26-J04-SO-6</v>
      </c>
    </row>
    <row r="7801">
      <c r="A7801" t="str">
        <f>IFERROR(__xludf.DUMMYFUNCTION("""COMPUTED_VALUE"""),"2016-05-26-J04-SO-7")</f>
        <v>2016-05-26-J04-SO-7</v>
      </c>
    </row>
    <row r="7802">
      <c r="A7802" t="str">
        <f>IFERROR(__xludf.DUMMYFUNCTION("""COMPUTED_VALUE"""),"2016-05-26-J04-SO-8")</f>
        <v>2016-05-26-J04-SO-8</v>
      </c>
    </row>
    <row r="7803">
      <c r="A7803" t="str">
        <f>IFERROR(__xludf.DUMMYFUNCTION("""COMPUTED_VALUE"""),"2016-05-26-J04-SO-9")</f>
        <v>2016-05-26-J04-SO-9</v>
      </c>
    </row>
    <row r="7804">
      <c r="A7804" t="str">
        <f>IFERROR(__xludf.DUMMYFUNCTION("""COMPUTED_VALUE"""),"2016-05-26-J04-SO-10")</f>
        <v>2016-05-26-J04-SO-10</v>
      </c>
    </row>
    <row r="7805">
      <c r="A7805" t="str">
        <f>IFERROR(__xludf.DUMMYFUNCTION("""COMPUTED_VALUE"""),"2016-05-26-J04-SO-11")</f>
        <v>2016-05-26-J04-SO-11</v>
      </c>
    </row>
    <row r="7806">
      <c r="A7806" t="str">
        <f>IFERROR(__xludf.DUMMYFUNCTION("""COMPUTED_VALUE"""),"2016-05-26-J04-SO-12")</f>
        <v>2016-05-26-J04-SO-12</v>
      </c>
    </row>
    <row r="7807">
      <c r="A7807" t="str">
        <f>IFERROR(__xludf.DUMMYFUNCTION("""COMPUTED_VALUE"""),"2016-05-26-J04-SO-13")</f>
        <v>2016-05-26-J04-SO-13</v>
      </c>
    </row>
    <row r="7808">
      <c r="A7808" t="str">
        <f>IFERROR(__xludf.DUMMYFUNCTION("""COMPUTED_VALUE"""),"2016-05-26-J04-SO-14")</f>
        <v>2016-05-26-J04-SO-14</v>
      </c>
    </row>
    <row r="7809">
      <c r="A7809" t="str">
        <f>IFERROR(__xludf.DUMMYFUNCTION("""COMPUTED_VALUE"""),"2016-05-26-J04-SO-15")</f>
        <v>2016-05-26-J04-SO-15</v>
      </c>
    </row>
    <row r="7810">
      <c r="A7810" t="str">
        <f>IFERROR(__xludf.DUMMYFUNCTION("""COMPUTED_VALUE"""),"2016-05-26-J04-SO-16")</f>
        <v>2016-05-26-J04-SO-16</v>
      </c>
    </row>
    <row r="7811">
      <c r="A7811" t="str">
        <f>IFERROR(__xludf.DUMMYFUNCTION("""COMPUTED_VALUE"""),"2016-05-26-J04-SO-17")</f>
        <v>2016-05-26-J04-SO-17</v>
      </c>
    </row>
    <row r="7812">
      <c r="A7812" t="str">
        <f>IFERROR(__xludf.DUMMYFUNCTION("""COMPUTED_VALUE"""),"2016-05-26-J04-SO-18")</f>
        <v>2016-05-26-J04-SO-18</v>
      </c>
    </row>
    <row r="7813">
      <c r="A7813" t="str">
        <f>IFERROR(__xludf.DUMMYFUNCTION("""COMPUTED_VALUE"""),"2016-05-26-J04-SO-19")</f>
        <v>2016-05-26-J04-SO-19</v>
      </c>
    </row>
    <row r="7814">
      <c r="A7814" t="str">
        <f>IFERROR(__xludf.DUMMYFUNCTION("""COMPUTED_VALUE"""),"2016-05-26-J04-SO-20")</f>
        <v>2016-05-26-J04-SO-20</v>
      </c>
    </row>
    <row r="7815">
      <c r="A7815" t="str">
        <f>IFERROR(__xludf.DUMMYFUNCTION("""COMPUTED_VALUE"""),"2016-05-26-J04-SO-21")</f>
        <v>2016-05-26-J04-SO-21</v>
      </c>
    </row>
    <row r="7816">
      <c r="A7816" t="str">
        <f>IFERROR(__xludf.DUMMYFUNCTION("""COMPUTED_VALUE"""),"2016-05-26-J04-SO-22")</f>
        <v>2016-05-26-J04-SO-22</v>
      </c>
    </row>
    <row r="7817">
      <c r="A7817" t="str">
        <f>IFERROR(__xludf.DUMMYFUNCTION("""COMPUTED_VALUE"""),"2016-05-26-J04-SO-23")</f>
        <v>2016-05-26-J04-SO-23</v>
      </c>
    </row>
    <row r="7818">
      <c r="A7818" t="str">
        <f>IFERROR(__xludf.DUMMYFUNCTION("""COMPUTED_VALUE"""),"2016-05-26-J04-SO-24")</f>
        <v>2016-05-26-J04-SO-24</v>
      </c>
    </row>
    <row r="7819">
      <c r="A7819" t="str">
        <f>IFERROR(__xludf.DUMMYFUNCTION("""COMPUTED_VALUE"""),"2016-05-26-J04-SO-25")</f>
        <v>2016-05-26-J04-SO-25</v>
      </c>
    </row>
    <row r="7820">
      <c r="A7820" t="str">
        <f>IFERROR(__xludf.DUMMYFUNCTION("""COMPUTED_VALUE"""),"2016-05-26-J04-SO-26")</f>
        <v>2016-05-26-J04-SO-26</v>
      </c>
    </row>
    <row r="7821">
      <c r="A7821" t="str">
        <f>IFERROR(__xludf.DUMMYFUNCTION("""COMPUTED_VALUE"""),"2016-05-26-J04-SO-27")</f>
        <v>2016-05-26-J04-SO-27</v>
      </c>
    </row>
    <row r="7822">
      <c r="A7822" t="str">
        <f>IFERROR(__xludf.DUMMYFUNCTION("""COMPUTED_VALUE"""),"2016-05-26-J04-SO-28")</f>
        <v>2016-05-26-J04-SO-28</v>
      </c>
    </row>
    <row r="7823">
      <c r="A7823" t="str">
        <f>IFERROR(__xludf.DUMMYFUNCTION("""COMPUTED_VALUE"""),"2016-05-26-J04-SO-29")</f>
        <v>2016-05-26-J04-SO-29</v>
      </c>
    </row>
    <row r="7824">
      <c r="A7824" t="str">
        <f>IFERROR(__xludf.DUMMYFUNCTION("""COMPUTED_VALUE"""),"2016-05-26-J04-SO-30")</f>
        <v>2016-05-26-J04-SO-30</v>
      </c>
    </row>
    <row r="7825">
      <c r="A7825" t="str">
        <f>IFERROR(__xludf.DUMMYFUNCTION("""COMPUTED_VALUE"""),"2016-05-26-J05-SO-1")</f>
        <v>2016-05-26-J05-SO-1</v>
      </c>
    </row>
    <row r="7826">
      <c r="A7826" t="str">
        <f>IFERROR(__xludf.DUMMYFUNCTION("""COMPUTED_VALUE"""),"2016-05-26-J05-SO-2")</f>
        <v>2016-05-26-J05-SO-2</v>
      </c>
    </row>
    <row r="7827">
      <c r="A7827" t="str">
        <f>IFERROR(__xludf.DUMMYFUNCTION("""COMPUTED_VALUE"""),"2016-05-26-J05-SO-3")</f>
        <v>2016-05-26-J05-SO-3</v>
      </c>
    </row>
    <row r="7828">
      <c r="A7828" t="str">
        <f>IFERROR(__xludf.DUMMYFUNCTION("""COMPUTED_VALUE"""),"2016-05-26-J05-SO-4")</f>
        <v>2016-05-26-J05-SO-4</v>
      </c>
    </row>
    <row r="7829">
      <c r="A7829" t="str">
        <f>IFERROR(__xludf.DUMMYFUNCTION("""COMPUTED_VALUE"""),"2016-05-26-J05-SO-5")</f>
        <v>2016-05-26-J05-SO-5</v>
      </c>
    </row>
    <row r="7830">
      <c r="A7830" t="str">
        <f>IFERROR(__xludf.DUMMYFUNCTION("""COMPUTED_VALUE"""),"2016-05-26-J05-SO-6")</f>
        <v>2016-05-26-J05-SO-6</v>
      </c>
    </row>
    <row r="7831">
      <c r="A7831" t="str">
        <f>IFERROR(__xludf.DUMMYFUNCTION("""COMPUTED_VALUE"""),"2016-05-26-J05-SO-7")</f>
        <v>2016-05-26-J05-SO-7</v>
      </c>
    </row>
    <row r="7832">
      <c r="A7832" t="str">
        <f>IFERROR(__xludf.DUMMYFUNCTION("""COMPUTED_VALUE"""),"2016-05-26-J05-SO-8")</f>
        <v>2016-05-26-J05-SO-8</v>
      </c>
    </row>
    <row r="7833">
      <c r="A7833" t="str">
        <f>IFERROR(__xludf.DUMMYFUNCTION("""COMPUTED_VALUE"""),"2016-05-26-J05-SO-9")</f>
        <v>2016-05-26-J05-SO-9</v>
      </c>
    </row>
    <row r="7834">
      <c r="A7834" t="str">
        <f>IFERROR(__xludf.DUMMYFUNCTION("""COMPUTED_VALUE"""),"2016-05-26-J05-SO-10")</f>
        <v>2016-05-26-J05-SO-10</v>
      </c>
    </row>
    <row r="7835">
      <c r="A7835" t="str">
        <f>IFERROR(__xludf.DUMMYFUNCTION("""COMPUTED_VALUE"""),"2016-05-26-J05-SO-11")</f>
        <v>2016-05-26-J05-SO-11</v>
      </c>
    </row>
    <row r="7836">
      <c r="A7836" t="str">
        <f>IFERROR(__xludf.DUMMYFUNCTION("""COMPUTED_VALUE"""),"2016-05-26-J05-SO-12")</f>
        <v>2016-05-26-J05-SO-12</v>
      </c>
    </row>
    <row r="7837">
      <c r="A7837" t="str">
        <f>IFERROR(__xludf.DUMMYFUNCTION("""COMPUTED_VALUE"""),"2016-05-26-J05-SO-13")</f>
        <v>2016-05-26-J05-SO-13</v>
      </c>
    </row>
    <row r="7838">
      <c r="A7838" t="str">
        <f>IFERROR(__xludf.DUMMYFUNCTION("""COMPUTED_VALUE"""),"2016-05-26-J05-SO-14")</f>
        <v>2016-05-26-J05-SO-14</v>
      </c>
    </row>
    <row r="7839">
      <c r="A7839" t="str">
        <f>IFERROR(__xludf.DUMMYFUNCTION("""COMPUTED_VALUE"""),"2016-05-26-J05-SO-15")</f>
        <v>2016-05-26-J05-SO-15</v>
      </c>
    </row>
    <row r="7840">
      <c r="A7840" t="str">
        <f>IFERROR(__xludf.DUMMYFUNCTION("""COMPUTED_VALUE"""),"2016-05-26-J05-SO-16")</f>
        <v>2016-05-26-J05-SO-16</v>
      </c>
    </row>
    <row r="7841">
      <c r="A7841" t="str">
        <f>IFERROR(__xludf.DUMMYFUNCTION("""COMPUTED_VALUE"""),"2016-05-26-J05-SO-17")</f>
        <v>2016-05-26-J05-SO-17</v>
      </c>
    </row>
    <row r="7842">
      <c r="A7842" t="str">
        <f>IFERROR(__xludf.DUMMYFUNCTION("""COMPUTED_VALUE"""),"2016-05-26-J05-SO-18")</f>
        <v>2016-05-26-J05-SO-18</v>
      </c>
    </row>
    <row r="7843">
      <c r="A7843" t="str">
        <f>IFERROR(__xludf.DUMMYFUNCTION("""COMPUTED_VALUE"""),"2016-05-26-J05-SO-19")</f>
        <v>2016-05-26-J05-SO-19</v>
      </c>
    </row>
    <row r="7844">
      <c r="A7844" t="str">
        <f>IFERROR(__xludf.DUMMYFUNCTION("""COMPUTED_VALUE"""),"2016-05-26-J05-SO-20")</f>
        <v>2016-05-26-J05-SO-20</v>
      </c>
    </row>
    <row r="7845">
      <c r="A7845" t="str">
        <f>IFERROR(__xludf.DUMMYFUNCTION("""COMPUTED_VALUE"""),"2016-05-26-J05-SO-21")</f>
        <v>2016-05-26-J05-SO-21</v>
      </c>
    </row>
    <row r="7846">
      <c r="A7846" t="str">
        <f>IFERROR(__xludf.DUMMYFUNCTION("""COMPUTED_VALUE"""),"2016-05-26-J05-SO-22")</f>
        <v>2016-05-26-J05-SO-22</v>
      </c>
    </row>
    <row r="7847">
      <c r="A7847" t="str">
        <f>IFERROR(__xludf.DUMMYFUNCTION("""COMPUTED_VALUE"""),"2016-05-26-J05-SO-23")</f>
        <v>2016-05-26-J05-SO-23</v>
      </c>
    </row>
    <row r="7848">
      <c r="A7848" t="str">
        <f>IFERROR(__xludf.DUMMYFUNCTION("""COMPUTED_VALUE"""),"2016-05-26-J05-SO-24")</f>
        <v>2016-05-26-J05-SO-24</v>
      </c>
    </row>
    <row r="7849">
      <c r="A7849" t="str">
        <f>IFERROR(__xludf.DUMMYFUNCTION("""COMPUTED_VALUE"""),"2016-05-26-J05-SO-25")</f>
        <v>2016-05-26-J05-SO-25</v>
      </c>
    </row>
    <row r="7850">
      <c r="A7850" t="str">
        <f>IFERROR(__xludf.DUMMYFUNCTION("""COMPUTED_VALUE"""),"2016-05-26-J05-SO-26")</f>
        <v>2016-05-26-J05-SO-26</v>
      </c>
    </row>
    <row r="7851">
      <c r="A7851" t="str">
        <f>IFERROR(__xludf.DUMMYFUNCTION("""COMPUTED_VALUE"""),"2016-05-26-J05-SO-27")</f>
        <v>2016-05-26-J05-SO-27</v>
      </c>
    </row>
    <row r="7852">
      <c r="A7852" t="str">
        <f>IFERROR(__xludf.DUMMYFUNCTION("""COMPUTED_VALUE"""),"2016-05-26-J05-SO-28")</f>
        <v>2016-05-26-J05-SO-28</v>
      </c>
    </row>
    <row r="7853">
      <c r="A7853" t="str">
        <f>IFERROR(__xludf.DUMMYFUNCTION("""COMPUTED_VALUE"""),"2016-05-26-J05-SO-29")</f>
        <v>2016-05-26-J05-SO-29</v>
      </c>
    </row>
    <row r="7854">
      <c r="A7854" t="str">
        <f>IFERROR(__xludf.DUMMYFUNCTION("""COMPUTED_VALUE"""),"2016-05-26-J05-SO-30")</f>
        <v>2016-05-26-J05-SO-30</v>
      </c>
    </row>
    <row r="7855">
      <c r="A7855" t="str">
        <f>IFERROR(__xludf.DUMMYFUNCTION("""COMPUTED_VALUE"""),"2016-05-26-D07-PI-1")</f>
        <v>2016-05-26-D07-PI-1</v>
      </c>
    </row>
    <row r="7856">
      <c r="A7856" t="str">
        <f>IFERROR(__xludf.DUMMYFUNCTION("""COMPUTED_VALUE"""),"2016-05-26-D07-PI-2")</f>
        <v>2016-05-26-D07-PI-2</v>
      </c>
    </row>
    <row r="7857">
      <c r="A7857" t="str">
        <f>IFERROR(__xludf.DUMMYFUNCTION("""COMPUTED_VALUE"""),"2016-05-26-D07-PI-3")</f>
        <v>2016-05-26-D07-PI-3</v>
      </c>
    </row>
    <row r="7858">
      <c r="A7858" t="str">
        <f>IFERROR(__xludf.DUMMYFUNCTION("""COMPUTED_VALUE"""),"2016-05-26-D07-PI-4")</f>
        <v>2016-05-26-D07-PI-4</v>
      </c>
    </row>
    <row r="7859">
      <c r="A7859" t="str">
        <f>IFERROR(__xludf.DUMMYFUNCTION("""COMPUTED_VALUE"""),"2016-05-26-D07-PI-5")</f>
        <v>2016-05-26-D07-PI-5</v>
      </c>
    </row>
    <row r="7860">
      <c r="A7860" t="str">
        <f>IFERROR(__xludf.DUMMYFUNCTION("""COMPUTED_VALUE"""),"2016-05-26-D07-PI-6")</f>
        <v>2016-05-26-D07-PI-6</v>
      </c>
    </row>
    <row r="7861">
      <c r="A7861" t="str">
        <f>IFERROR(__xludf.DUMMYFUNCTION("""COMPUTED_VALUE"""),"2016-05-26-D07-PI-7")</f>
        <v>2016-05-26-D07-PI-7</v>
      </c>
    </row>
    <row r="7862">
      <c r="A7862" t="str">
        <f>IFERROR(__xludf.DUMMYFUNCTION("""COMPUTED_VALUE"""),"2016-05-26-D07-PI-8")</f>
        <v>2016-05-26-D07-PI-8</v>
      </c>
    </row>
    <row r="7863">
      <c r="A7863" t="str">
        <f>IFERROR(__xludf.DUMMYFUNCTION("""COMPUTED_VALUE"""),"2016-05-26-D07-PI-9")</f>
        <v>2016-05-26-D07-PI-9</v>
      </c>
    </row>
    <row r="7864">
      <c r="A7864" t="str">
        <f>IFERROR(__xludf.DUMMYFUNCTION("""COMPUTED_VALUE"""),"2016-05-26-D07-PI-10")</f>
        <v>2016-05-26-D07-PI-10</v>
      </c>
    </row>
    <row r="7865">
      <c r="A7865" t="str">
        <f>IFERROR(__xludf.DUMMYFUNCTION("""COMPUTED_VALUE"""),"2016-05-26-J04-PI-1")</f>
        <v>2016-05-26-J04-PI-1</v>
      </c>
    </row>
    <row r="7866">
      <c r="A7866" t="str">
        <f>IFERROR(__xludf.DUMMYFUNCTION("""COMPUTED_VALUE"""),"2016-05-26-J04-PI-2")</f>
        <v>2016-05-26-J04-PI-2</v>
      </c>
    </row>
    <row r="7867">
      <c r="A7867" t="str">
        <f>IFERROR(__xludf.DUMMYFUNCTION("""COMPUTED_VALUE"""),"2016-05-26-J04-PI-3")</f>
        <v>2016-05-26-J04-PI-3</v>
      </c>
    </row>
    <row r="7868">
      <c r="A7868" t="str">
        <f>IFERROR(__xludf.DUMMYFUNCTION("""COMPUTED_VALUE"""),"2016-05-26-J04-PI-4")</f>
        <v>2016-05-26-J04-PI-4</v>
      </c>
    </row>
    <row r="7869">
      <c r="A7869" t="str">
        <f>IFERROR(__xludf.DUMMYFUNCTION("""COMPUTED_VALUE"""),"2016-05-26-J04-PI-5")</f>
        <v>2016-05-26-J04-PI-5</v>
      </c>
    </row>
    <row r="7870">
      <c r="A7870" t="str">
        <f>IFERROR(__xludf.DUMMYFUNCTION("""COMPUTED_VALUE"""),"2016-05-26-J05-PI-1")</f>
        <v>2016-05-26-J05-PI-1</v>
      </c>
    </row>
    <row r="7871">
      <c r="A7871" t="str">
        <f>IFERROR(__xludf.DUMMYFUNCTION("""COMPUTED_VALUE"""),"2016-05-26-J05-PI-2")</f>
        <v>2016-05-26-J05-PI-2</v>
      </c>
    </row>
    <row r="7872">
      <c r="A7872" t="str">
        <f>IFERROR(__xludf.DUMMYFUNCTION("""COMPUTED_VALUE"""),"2016-05-26-J05-PI-3")</f>
        <v>2016-05-26-J05-PI-3</v>
      </c>
    </row>
    <row r="7873">
      <c r="A7873" t="str">
        <f>IFERROR(__xludf.DUMMYFUNCTION("""COMPUTED_VALUE"""),"2016-05-26-J05-PI-4")</f>
        <v>2016-05-26-J05-PI-4</v>
      </c>
    </row>
    <row r="7874">
      <c r="A7874" t="str">
        <f>IFERROR(__xludf.DUMMYFUNCTION("""COMPUTED_VALUE"""),"2016-05-26-J05-PI-5")</f>
        <v>2016-05-26-J05-PI-5</v>
      </c>
    </row>
    <row r="7875">
      <c r="A7875" t="str">
        <f>IFERROR(__xludf.DUMMYFUNCTION("""COMPUTED_VALUE"""),"2016-05-26-J05-PI-6")</f>
        <v>2016-05-26-J05-PI-6</v>
      </c>
    </row>
    <row r="7876">
      <c r="A7876" t="str">
        <f>IFERROR(__xludf.DUMMYFUNCTION("""COMPUTED_VALUE"""),"2016-05-26-J05-PI-7")</f>
        <v>2016-05-26-J05-PI-7</v>
      </c>
    </row>
    <row r="7877">
      <c r="A7877" t="str">
        <f>IFERROR(__xludf.DUMMYFUNCTION("""COMPUTED_VALUE"""),"2016-05-26-J05-PI-8")</f>
        <v>2016-05-26-J05-PI-8</v>
      </c>
    </row>
    <row r="7878">
      <c r="A7878" t="str">
        <f>IFERROR(__xludf.DUMMYFUNCTION("""COMPUTED_VALUE"""),"2016-05-26-J05-PI-9")</f>
        <v>2016-05-26-J05-PI-9</v>
      </c>
    </row>
    <row r="7879">
      <c r="A7879" t="str">
        <f>IFERROR(__xludf.DUMMYFUNCTION("""COMPUTED_VALUE"""),"2016-05-26-J05-PI-10")</f>
        <v>2016-05-26-J05-PI-10</v>
      </c>
    </row>
    <row r="7880">
      <c r="A7880" t="str">
        <f>IFERROR(__xludf.DUMMYFUNCTION("""COMPUTED_VALUE"""),"2016-05-26-D07-CU-1")</f>
        <v>2016-05-26-D07-CU-1</v>
      </c>
    </row>
    <row r="7881">
      <c r="A7881" t="str">
        <f>IFERROR(__xludf.DUMMYFUNCTION("""COMPUTED_VALUE"""),"2016-05-26-D07-CU-2")</f>
        <v>2016-05-26-D07-CU-2</v>
      </c>
    </row>
    <row r="7882">
      <c r="A7882" t="str">
        <f>IFERROR(__xludf.DUMMYFUNCTION("""COMPUTED_VALUE"""),"2016-05-26-D07-CU-3")</f>
        <v>2016-05-26-D07-CU-3</v>
      </c>
    </row>
    <row r="7883">
      <c r="A7883" t="str">
        <f>IFERROR(__xludf.DUMMYFUNCTION("""COMPUTED_VALUE"""),"2016-05-26-D07-CU-4")</f>
        <v>2016-05-26-D07-CU-4</v>
      </c>
    </row>
    <row r="7884">
      <c r="A7884" t="str">
        <f>IFERROR(__xludf.DUMMYFUNCTION("""COMPUTED_VALUE"""),"2016-05-26-D07-CU-5")</f>
        <v>2016-05-26-D07-CU-5</v>
      </c>
    </row>
    <row r="7885">
      <c r="A7885" t="str">
        <f>IFERROR(__xludf.DUMMYFUNCTION("""COMPUTED_VALUE"""),"2016-05-26-D07-CU-6")</f>
        <v>2016-05-26-D07-CU-6</v>
      </c>
    </row>
    <row r="7886">
      <c r="A7886" t="str">
        <f>IFERROR(__xludf.DUMMYFUNCTION("""COMPUTED_VALUE"""),"2016-05-26-D07-CU-7")</f>
        <v>2016-05-26-D07-CU-7</v>
      </c>
    </row>
    <row r="7887">
      <c r="A7887" t="str">
        <f>IFERROR(__xludf.DUMMYFUNCTION("""COMPUTED_VALUE"""),"2016-05-26-D07-CU-8")</f>
        <v>2016-05-26-D07-CU-8</v>
      </c>
    </row>
    <row r="7888">
      <c r="A7888" t="str">
        <f>IFERROR(__xludf.DUMMYFUNCTION("""COMPUTED_VALUE"""),"2016-05-26-D07-CU-9")</f>
        <v>2016-05-26-D07-CU-9</v>
      </c>
    </row>
    <row r="7889">
      <c r="A7889" t="str">
        <f>IFERROR(__xludf.DUMMYFUNCTION("""COMPUTED_VALUE"""),"2016-05-26-D07-CU-10")</f>
        <v>2016-05-26-D07-CU-10</v>
      </c>
    </row>
    <row r="7890">
      <c r="A7890" t="str">
        <f>IFERROR(__xludf.DUMMYFUNCTION("""COMPUTED_VALUE"""),"2016-05-26-J04-CU-1")</f>
        <v>2016-05-26-J04-CU-1</v>
      </c>
    </row>
    <row r="7891">
      <c r="A7891" t="str">
        <f>IFERROR(__xludf.DUMMYFUNCTION("""COMPUTED_VALUE"""),"2016-05-26-J04-CU-2")</f>
        <v>2016-05-26-J04-CU-2</v>
      </c>
    </row>
    <row r="7892">
      <c r="A7892" t="str">
        <f>IFERROR(__xludf.DUMMYFUNCTION("""COMPUTED_VALUE"""),"2016-05-26-J04-CU-3")</f>
        <v>2016-05-26-J04-CU-3</v>
      </c>
    </row>
    <row r="7893">
      <c r="A7893" t="str">
        <f>IFERROR(__xludf.DUMMYFUNCTION("""COMPUTED_VALUE"""),"2016-05-26-J04-CU-4")</f>
        <v>2016-05-26-J04-CU-4</v>
      </c>
    </row>
    <row r="7894">
      <c r="A7894" t="str">
        <f>IFERROR(__xludf.DUMMYFUNCTION("""COMPUTED_VALUE"""),"2016-05-26-J04-CU-5")</f>
        <v>2016-05-26-J04-CU-5</v>
      </c>
    </row>
    <row r="7895">
      <c r="A7895" t="str">
        <f>IFERROR(__xludf.DUMMYFUNCTION("""COMPUTED_VALUE"""),"2016-05-26-J04-CU-6")</f>
        <v>2016-05-26-J04-CU-6</v>
      </c>
    </row>
    <row r="7896">
      <c r="A7896" t="str">
        <f>IFERROR(__xludf.DUMMYFUNCTION("""COMPUTED_VALUE"""),"2016-05-26-J04-CU-7")</f>
        <v>2016-05-26-J04-CU-7</v>
      </c>
    </row>
    <row r="7897">
      <c r="A7897" t="str">
        <f>IFERROR(__xludf.DUMMYFUNCTION("""COMPUTED_VALUE"""),"2016-05-26-J05-CU-1")</f>
        <v>2016-05-26-J05-CU-1</v>
      </c>
    </row>
    <row r="7898">
      <c r="A7898" t="str">
        <f>IFERROR(__xludf.DUMMYFUNCTION("""COMPUTED_VALUE"""),"2016-05-26-J05-CU-2")</f>
        <v>2016-05-26-J05-CU-2</v>
      </c>
    </row>
    <row r="7899">
      <c r="A7899" t="str">
        <f>IFERROR(__xludf.DUMMYFUNCTION("""COMPUTED_VALUE"""),"2016-05-26-J05-CU-3")</f>
        <v>2016-05-26-J05-CU-3</v>
      </c>
    </row>
    <row r="7900">
      <c r="A7900" t="str">
        <f>IFERROR(__xludf.DUMMYFUNCTION("""COMPUTED_VALUE"""),"2016-05-26-J05-CU-4")</f>
        <v>2016-05-26-J05-CU-4</v>
      </c>
    </row>
    <row r="7901">
      <c r="A7901" t="str">
        <f>IFERROR(__xludf.DUMMYFUNCTION("""COMPUTED_VALUE"""),"2016-05-26-J05-CU-5")</f>
        <v>2016-05-26-J05-CU-5</v>
      </c>
    </row>
    <row r="7902">
      <c r="A7902" t="str">
        <f>IFERROR(__xludf.DUMMYFUNCTION("""COMPUTED_VALUE"""),"2016-05-26-J05-CU-6")</f>
        <v>2016-05-26-J05-CU-6</v>
      </c>
    </row>
    <row r="7903">
      <c r="A7903" t="str">
        <f>IFERROR(__xludf.DUMMYFUNCTION("""COMPUTED_VALUE"""),"2016-05-26-J05-CU-7")</f>
        <v>2016-05-26-J05-CU-7</v>
      </c>
    </row>
    <row r="7904">
      <c r="A7904" t="str">
        <f>IFERROR(__xludf.DUMMYFUNCTION("""COMPUTED_VALUE"""),"2016-05-26-J05-CU-8")</f>
        <v>2016-05-26-J05-CU-8</v>
      </c>
    </row>
    <row r="7905">
      <c r="A7905" t="str">
        <f>IFERROR(__xludf.DUMMYFUNCTION("""COMPUTED_VALUE"""),"2016-05-26-J05-CU-9")</f>
        <v>2016-05-26-J05-CU-9</v>
      </c>
    </row>
    <row r="7906">
      <c r="A7906" t="str">
        <f>IFERROR(__xludf.DUMMYFUNCTION("""COMPUTED_VALUE"""),"2016-05-26-J05-CU-10")</f>
        <v>2016-05-26-J05-CU-10</v>
      </c>
    </row>
    <row r="7907">
      <c r="A7907" t="str">
        <f>IFERROR(__xludf.DUMMYFUNCTION("""COMPUTED_VALUE"""),"2016-05-26-J04-CO-1")</f>
        <v>2016-05-26-J04-CO-1</v>
      </c>
    </row>
    <row r="7908">
      <c r="A7908" t="str">
        <f>IFERROR(__xludf.DUMMYFUNCTION("""COMPUTED_VALUE"""),"2016-05-26-J04-CO-2")</f>
        <v>2016-05-26-J04-CO-2</v>
      </c>
    </row>
    <row r="7909">
      <c r="A7909" t="str">
        <f>IFERROR(__xludf.DUMMYFUNCTION("""COMPUTED_VALUE"""),"2016-05-26-J04-CO-3")</f>
        <v>2016-05-26-J04-CO-3</v>
      </c>
    </row>
    <row r="7910">
      <c r="A7910" t="str">
        <f>IFERROR(__xludf.DUMMYFUNCTION("""COMPUTED_VALUE"""),"2016-05-26-J04-CO-4")</f>
        <v>2016-05-26-J04-CO-4</v>
      </c>
    </row>
    <row r="7911">
      <c r="A7911" t="str">
        <f>IFERROR(__xludf.DUMMYFUNCTION("""COMPUTED_VALUE"""),"2016-05-26-J04-CO-5")</f>
        <v>2016-05-26-J04-CO-5</v>
      </c>
    </row>
    <row r="7912">
      <c r="A7912" t="str">
        <f>IFERROR(__xludf.DUMMYFUNCTION("""COMPUTED_VALUE"""),"2016-05-26-J04-CO-6")</f>
        <v>2016-05-26-J04-CO-6</v>
      </c>
    </row>
    <row r="7913">
      <c r="A7913" t="str">
        <f>IFERROR(__xludf.DUMMYFUNCTION("""COMPUTED_VALUE"""),"2016-05-27-D22-SO-1")</f>
        <v>2016-05-27-D22-SO-1</v>
      </c>
    </row>
    <row r="7914">
      <c r="A7914" t="str">
        <f>IFERROR(__xludf.DUMMYFUNCTION("""COMPUTED_VALUE"""),"2016-05-27-D22-SO-2")</f>
        <v>2016-05-27-D22-SO-2</v>
      </c>
    </row>
    <row r="7915">
      <c r="A7915" t="str">
        <f>IFERROR(__xludf.DUMMYFUNCTION("""COMPUTED_VALUE"""),"2016-05-27-D22-SO-3")</f>
        <v>2016-05-27-D22-SO-3</v>
      </c>
    </row>
    <row r="7916">
      <c r="A7916" t="str">
        <f>IFERROR(__xludf.DUMMYFUNCTION("""COMPUTED_VALUE"""),"2016-05-27-D22-SO-4")</f>
        <v>2016-05-27-D22-SO-4</v>
      </c>
    </row>
    <row r="7917">
      <c r="A7917" t="str">
        <f>IFERROR(__xludf.DUMMYFUNCTION("""COMPUTED_VALUE"""),"2016-05-27-D22-SO-5")</f>
        <v>2016-05-27-D22-SO-5</v>
      </c>
    </row>
    <row r="7918">
      <c r="A7918" t="str">
        <f>IFERROR(__xludf.DUMMYFUNCTION("""COMPUTED_VALUE"""),"2016-05-27-D22-SO-6")</f>
        <v>2016-05-27-D22-SO-6</v>
      </c>
    </row>
    <row r="7919">
      <c r="A7919" t="str">
        <f>IFERROR(__xludf.DUMMYFUNCTION("""COMPUTED_VALUE"""),"2016-05-27-D22-SO-7")</f>
        <v>2016-05-27-D22-SO-7</v>
      </c>
    </row>
    <row r="7920">
      <c r="A7920" t="str">
        <f>IFERROR(__xludf.DUMMYFUNCTION("""COMPUTED_VALUE"""),"2016-05-27-D22-SO-8")</f>
        <v>2016-05-27-D22-SO-8</v>
      </c>
    </row>
    <row r="7921">
      <c r="A7921" t="str">
        <f>IFERROR(__xludf.DUMMYFUNCTION("""COMPUTED_VALUE"""),"2016-05-27-D22-SO-9")</f>
        <v>2016-05-27-D22-SO-9</v>
      </c>
    </row>
    <row r="7922">
      <c r="A7922" t="str">
        <f>IFERROR(__xludf.DUMMYFUNCTION("""COMPUTED_VALUE"""),"2016-05-27-D22-SO-10")</f>
        <v>2016-05-27-D22-SO-10</v>
      </c>
    </row>
    <row r="7923">
      <c r="A7923" t="str">
        <f>IFERROR(__xludf.DUMMYFUNCTION("""COMPUTED_VALUE"""),"2016-05-27-D22-SO-11")</f>
        <v>2016-05-27-D22-SO-11</v>
      </c>
    </row>
    <row r="7924">
      <c r="A7924" t="str">
        <f>IFERROR(__xludf.DUMMYFUNCTION("""COMPUTED_VALUE"""),"2016-05-27-D22-SO-12")</f>
        <v>2016-05-27-D22-SO-12</v>
      </c>
    </row>
    <row r="7925">
      <c r="A7925" t="str">
        <f>IFERROR(__xludf.DUMMYFUNCTION("""COMPUTED_VALUE"""),"2016-05-27-D22-SO-13")</f>
        <v>2016-05-27-D22-SO-13</v>
      </c>
    </row>
    <row r="7926">
      <c r="A7926" t="str">
        <f>IFERROR(__xludf.DUMMYFUNCTION("""COMPUTED_VALUE"""),"2016-05-27-D22-SO-14")</f>
        <v>2016-05-27-D22-SO-14</v>
      </c>
    </row>
    <row r="7927">
      <c r="A7927" t="str">
        <f>IFERROR(__xludf.DUMMYFUNCTION("""COMPUTED_VALUE"""),"2016-05-27-D22-SO-15")</f>
        <v>2016-05-27-D22-SO-15</v>
      </c>
    </row>
    <row r="7928">
      <c r="A7928" t="str">
        <f>IFERROR(__xludf.DUMMYFUNCTION("""COMPUTED_VALUE"""),"2016-05-27-D22-SO-16")</f>
        <v>2016-05-27-D22-SO-16</v>
      </c>
    </row>
    <row r="7929">
      <c r="A7929" t="str">
        <f>IFERROR(__xludf.DUMMYFUNCTION("""COMPUTED_VALUE"""),"2016-05-27-D22-SO-17")</f>
        <v>2016-05-27-D22-SO-17</v>
      </c>
    </row>
    <row r="7930">
      <c r="A7930" t="str">
        <f>IFERROR(__xludf.DUMMYFUNCTION("""COMPUTED_VALUE"""),"2016-05-27-D22-SO-18")</f>
        <v>2016-05-27-D22-SO-18</v>
      </c>
    </row>
    <row r="7931">
      <c r="A7931" t="str">
        <f>IFERROR(__xludf.DUMMYFUNCTION("""COMPUTED_VALUE"""),"2016-05-27-D22-SO-19")</f>
        <v>2016-05-27-D22-SO-19</v>
      </c>
    </row>
    <row r="7932">
      <c r="A7932" t="str">
        <f>IFERROR(__xludf.DUMMYFUNCTION("""COMPUTED_VALUE"""),"2016-05-27-D22-SO-20")</f>
        <v>2016-05-27-D22-SO-20</v>
      </c>
    </row>
    <row r="7933">
      <c r="A7933" t="str">
        <f>IFERROR(__xludf.DUMMYFUNCTION("""COMPUTED_VALUE"""),"2016-05-27-D22-SO-21")</f>
        <v>2016-05-27-D22-SO-21</v>
      </c>
    </row>
    <row r="7934">
      <c r="A7934" t="str">
        <f>IFERROR(__xludf.DUMMYFUNCTION("""COMPUTED_VALUE"""),"2016-05-27-D22-SO-22")</f>
        <v>2016-05-27-D22-SO-22</v>
      </c>
    </row>
    <row r="7935">
      <c r="A7935" t="str">
        <f>IFERROR(__xludf.DUMMYFUNCTION("""COMPUTED_VALUE"""),"2016-05-27-D22-SO-23")</f>
        <v>2016-05-27-D22-SO-23</v>
      </c>
    </row>
    <row r="7936">
      <c r="A7936" t="str">
        <f>IFERROR(__xludf.DUMMYFUNCTION("""COMPUTED_VALUE"""),"2016-05-27-D22-SO-24")</f>
        <v>2016-05-27-D22-SO-24</v>
      </c>
    </row>
    <row r="7937">
      <c r="A7937" t="str">
        <f>IFERROR(__xludf.DUMMYFUNCTION("""COMPUTED_VALUE"""),"2016-05-27-D22-SO-25")</f>
        <v>2016-05-27-D22-SO-25</v>
      </c>
    </row>
    <row r="7938">
      <c r="A7938" t="str">
        <f>IFERROR(__xludf.DUMMYFUNCTION("""COMPUTED_VALUE"""),"2016-05-27-D22-SO-26")</f>
        <v>2016-05-27-D22-SO-26</v>
      </c>
    </row>
    <row r="7939">
      <c r="A7939" t="str">
        <f>IFERROR(__xludf.DUMMYFUNCTION("""COMPUTED_VALUE"""),"2016-05-27-D22-SO-27")</f>
        <v>2016-05-27-D22-SO-27</v>
      </c>
    </row>
    <row r="7940">
      <c r="A7940" t="str">
        <f>IFERROR(__xludf.DUMMYFUNCTION("""COMPUTED_VALUE"""),"2016-05-27-D22-SO-28")</f>
        <v>2016-05-27-D22-SO-28</v>
      </c>
    </row>
    <row r="7941">
      <c r="A7941" t="str">
        <f>IFERROR(__xludf.DUMMYFUNCTION("""COMPUTED_VALUE"""),"2016-05-27-D22-SO-29")</f>
        <v>2016-05-27-D22-SO-29</v>
      </c>
    </row>
    <row r="7942">
      <c r="A7942" t="str">
        <f>IFERROR(__xludf.DUMMYFUNCTION("""COMPUTED_VALUE"""),"2016-05-27-D22-SO-30")</f>
        <v>2016-05-27-D22-SO-30</v>
      </c>
    </row>
    <row r="7943">
      <c r="A7943" t="str">
        <f>IFERROR(__xludf.DUMMYFUNCTION("""COMPUTED_VALUE"""),"2016-05-27-D09-SO-1")</f>
        <v>2016-05-27-D09-SO-1</v>
      </c>
    </row>
    <row r="7944">
      <c r="A7944" t="str">
        <f>IFERROR(__xludf.DUMMYFUNCTION("""COMPUTED_VALUE"""),"2016-05-27-D09-SO-2")</f>
        <v>2016-05-27-D09-SO-2</v>
      </c>
    </row>
    <row r="7945">
      <c r="A7945" t="str">
        <f>IFERROR(__xludf.DUMMYFUNCTION("""COMPUTED_VALUE"""),"2016-05-27-D09-SO-3")</f>
        <v>2016-05-27-D09-SO-3</v>
      </c>
    </row>
    <row r="7946">
      <c r="A7946" t="str">
        <f>IFERROR(__xludf.DUMMYFUNCTION("""COMPUTED_VALUE"""),"2016-05-27-D09-SO-4")</f>
        <v>2016-05-27-D09-SO-4</v>
      </c>
    </row>
    <row r="7947">
      <c r="A7947" t="str">
        <f>IFERROR(__xludf.DUMMYFUNCTION("""COMPUTED_VALUE"""),"2016-05-27-D09-SO-5")</f>
        <v>2016-05-27-D09-SO-5</v>
      </c>
    </row>
    <row r="7948">
      <c r="A7948" t="str">
        <f>IFERROR(__xludf.DUMMYFUNCTION("""COMPUTED_VALUE"""),"2016-05-27-D09-SO-6")</f>
        <v>2016-05-27-D09-SO-6</v>
      </c>
    </row>
    <row r="7949">
      <c r="A7949" t="str">
        <f>IFERROR(__xludf.DUMMYFUNCTION("""COMPUTED_VALUE"""),"2016-05-27-D09-SO-7")</f>
        <v>2016-05-27-D09-SO-7</v>
      </c>
    </row>
    <row r="7950">
      <c r="A7950" t="str">
        <f>IFERROR(__xludf.DUMMYFUNCTION("""COMPUTED_VALUE"""),"2016-05-27-D09-SO-8")</f>
        <v>2016-05-27-D09-SO-8</v>
      </c>
    </row>
    <row r="7951">
      <c r="A7951" t="str">
        <f>IFERROR(__xludf.DUMMYFUNCTION("""COMPUTED_VALUE"""),"2016-05-27-D09-SO-9")</f>
        <v>2016-05-27-D09-SO-9</v>
      </c>
    </row>
    <row r="7952">
      <c r="A7952" t="str">
        <f>IFERROR(__xludf.DUMMYFUNCTION("""COMPUTED_VALUE"""),"2016-05-27-D09-SO-10")</f>
        <v>2016-05-27-D09-SO-10</v>
      </c>
    </row>
    <row r="7953">
      <c r="A7953" t="str">
        <f>IFERROR(__xludf.DUMMYFUNCTION("""COMPUTED_VALUE"""),"2016-05-27-D09-SO-11")</f>
        <v>2016-05-27-D09-SO-11</v>
      </c>
    </row>
    <row r="7954">
      <c r="A7954" t="str">
        <f>IFERROR(__xludf.DUMMYFUNCTION("""COMPUTED_VALUE"""),"2016-05-27-D09-SO-12")</f>
        <v>2016-05-27-D09-SO-12</v>
      </c>
    </row>
    <row r="7955">
      <c r="A7955" t="str">
        <f>IFERROR(__xludf.DUMMYFUNCTION("""COMPUTED_VALUE"""),"2016-05-27-D09-SO-13")</f>
        <v>2016-05-27-D09-SO-13</v>
      </c>
    </row>
    <row r="7956">
      <c r="A7956" t="str">
        <f>IFERROR(__xludf.DUMMYFUNCTION("""COMPUTED_VALUE"""),"2016-05-27-D09-SO-14")</f>
        <v>2016-05-27-D09-SO-14</v>
      </c>
    </row>
    <row r="7957">
      <c r="A7957" t="str">
        <f>IFERROR(__xludf.DUMMYFUNCTION("""COMPUTED_VALUE"""),"2016-05-27-D09-SO-15")</f>
        <v>2016-05-27-D09-SO-15</v>
      </c>
    </row>
    <row r="7958">
      <c r="A7958" t="str">
        <f>IFERROR(__xludf.DUMMYFUNCTION("""COMPUTED_VALUE"""),"2016-05-27-D09-SO-16")</f>
        <v>2016-05-27-D09-SO-16</v>
      </c>
    </row>
    <row r="7959">
      <c r="A7959" t="str">
        <f>IFERROR(__xludf.DUMMYFUNCTION("""COMPUTED_VALUE"""),"2016-05-27-D09-SO-17")</f>
        <v>2016-05-27-D09-SO-17</v>
      </c>
    </row>
    <row r="7960">
      <c r="A7960" t="str">
        <f>IFERROR(__xludf.DUMMYFUNCTION("""COMPUTED_VALUE"""),"2016-05-27-D09-SO-18")</f>
        <v>2016-05-27-D09-SO-18</v>
      </c>
    </row>
    <row r="7961">
      <c r="A7961" t="str">
        <f>IFERROR(__xludf.DUMMYFUNCTION("""COMPUTED_VALUE"""),"2016-05-27-D09-SO-19")</f>
        <v>2016-05-27-D09-SO-19</v>
      </c>
    </row>
    <row r="7962">
      <c r="A7962" t="str">
        <f>IFERROR(__xludf.DUMMYFUNCTION("""COMPUTED_VALUE"""),"2016-05-27-D09-SO-20")</f>
        <v>2016-05-27-D09-SO-20</v>
      </c>
    </row>
    <row r="7963">
      <c r="A7963" t="str">
        <f>IFERROR(__xludf.DUMMYFUNCTION("""COMPUTED_VALUE"""),"2016-05-27-D09-SO-21")</f>
        <v>2016-05-27-D09-SO-21</v>
      </c>
    </row>
    <row r="7964">
      <c r="A7964" t="str">
        <f>IFERROR(__xludf.DUMMYFUNCTION("""COMPUTED_VALUE"""),"2016-05-27-D09-SO-22")</f>
        <v>2016-05-27-D09-SO-22</v>
      </c>
    </row>
    <row r="7965">
      <c r="A7965" t="str">
        <f>IFERROR(__xludf.DUMMYFUNCTION("""COMPUTED_VALUE"""),"2016-05-27-D09-SO-23")</f>
        <v>2016-05-27-D09-SO-23</v>
      </c>
    </row>
    <row r="7966">
      <c r="A7966" t="str">
        <f>IFERROR(__xludf.DUMMYFUNCTION("""COMPUTED_VALUE"""),"2016-05-27-D09-SO-24")</f>
        <v>2016-05-27-D09-SO-24</v>
      </c>
    </row>
    <row r="7967">
      <c r="A7967" t="str">
        <f>IFERROR(__xludf.DUMMYFUNCTION("""COMPUTED_VALUE"""),"2016-05-27-D09-SO-25")</f>
        <v>2016-05-27-D09-SO-25</v>
      </c>
    </row>
    <row r="7968">
      <c r="A7968" t="str">
        <f>IFERROR(__xludf.DUMMYFUNCTION("""COMPUTED_VALUE"""),"2016-05-27-D09-SO-26")</f>
        <v>2016-05-27-D09-SO-26</v>
      </c>
    </row>
    <row r="7969">
      <c r="A7969" t="str">
        <f>IFERROR(__xludf.DUMMYFUNCTION("""COMPUTED_VALUE"""),"2016-05-27-D09-SO-27")</f>
        <v>2016-05-27-D09-SO-27</v>
      </c>
    </row>
    <row r="7970">
      <c r="A7970" t="str">
        <f>IFERROR(__xludf.DUMMYFUNCTION("""COMPUTED_VALUE"""),"2016-05-27-D09-SO-28")</f>
        <v>2016-05-27-D09-SO-28</v>
      </c>
    </row>
    <row r="7971">
      <c r="A7971" t="str">
        <f>IFERROR(__xludf.DUMMYFUNCTION("""COMPUTED_VALUE"""),"2016-05-27-D09-SO-29")</f>
        <v>2016-05-27-D09-SO-29</v>
      </c>
    </row>
    <row r="7972">
      <c r="A7972" t="str">
        <f>IFERROR(__xludf.DUMMYFUNCTION("""COMPUTED_VALUE"""),"2016-05-27-D09-SO-30")</f>
        <v>2016-05-27-D09-SO-30</v>
      </c>
    </row>
    <row r="7973">
      <c r="A7973" t="str">
        <f>IFERROR(__xludf.DUMMYFUNCTION("""COMPUTED_VALUE"""),"2016-05-27-J06-SO-1")</f>
        <v>2016-05-27-J06-SO-1</v>
      </c>
    </row>
    <row r="7974">
      <c r="A7974" t="str">
        <f>IFERROR(__xludf.DUMMYFUNCTION("""COMPUTED_VALUE"""),"2016-05-27-J06-SO-2")</f>
        <v>2016-05-27-J06-SO-2</v>
      </c>
    </row>
    <row r="7975">
      <c r="A7975" t="str">
        <f>IFERROR(__xludf.DUMMYFUNCTION("""COMPUTED_VALUE"""),"2016-05-27-J06-SO-3")</f>
        <v>2016-05-27-J06-SO-3</v>
      </c>
    </row>
    <row r="7976">
      <c r="A7976" t="str">
        <f>IFERROR(__xludf.DUMMYFUNCTION("""COMPUTED_VALUE"""),"2016-05-27-J06-SO-4")</f>
        <v>2016-05-27-J06-SO-4</v>
      </c>
    </row>
    <row r="7977">
      <c r="A7977" t="str">
        <f>IFERROR(__xludf.DUMMYFUNCTION("""COMPUTED_VALUE"""),"2016-05-27-J06-SO-5")</f>
        <v>2016-05-27-J06-SO-5</v>
      </c>
    </row>
    <row r="7978">
      <c r="A7978" t="str">
        <f>IFERROR(__xludf.DUMMYFUNCTION("""COMPUTED_VALUE"""),"2016-05-27-J06-SO-6")</f>
        <v>2016-05-27-J06-SO-6</v>
      </c>
    </row>
    <row r="7979">
      <c r="A7979" t="str">
        <f>IFERROR(__xludf.DUMMYFUNCTION("""COMPUTED_VALUE"""),"2016-05-27-J06-SO-7")</f>
        <v>2016-05-27-J06-SO-7</v>
      </c>
    </row>
    <row r="7980">
      <c r="A7980" t="str">
        <f>IFERROR(__xludf.DUMMYFUNCTION("""COMPUTED_VALUE"""),"2016-05-27-J06-SO-8")</f>
        <v>2016-05-27-J06-SO-8</v>
      </c>
    </row>
    <row r="7981">
      <c r="A7981" t="str">
        <f>IFERROR(__xludf.DUMMYFUNCTION("""COMPUTED_VALUE"""),"2016-05-27-J06-SO-9")</f>
        <v>2016-05-27-J06-SO-9</v>
      </c>
    </row>
    <row r="7982">
      <c r="A7982" t="str">
        <f>IFERROR(__xludf.DUMMYFUNCTION("""COMPUTED_VALUE"""),"2016-05-27-J06-SO-10")</f>
        <v>2016-05-27-J06-SO-10</v>
      </c>
    </row>
    <row r="7983">
      <c r="A7983" t="str">
        <f>IFERROR(__xludf.DUMMYFUNCTION("""COMPUTED_VALUE"""),"2016-05-27-J06-SO-11")</f>
        <v>2016-05-27-J06-SO-11</v>
      </c>
    </row>
    <row r="7984">
      <c r="A7984" t="str">
        <f>IFERROR(__xludf.DUMMYFUNCTION("""COMPUTED_VALUE"""),"2016-05-27-J06-SO-12")</f>
        <v>2016-05-27-J06-SO-12</v>
      </c>
    </row>
    <row r="7985">
      <c r="A7985" t="str">
        <f>IFERROR(__xludf.DUMMYFUNCTION("""COMPUTED_VALUE"""),"2016-05-27-J06-SO-13")</f>
        <v>2016-05-27-J06-SO-13</v>
      </c>
    </row>
    <row r="7986">
      <c r="A7986" t="str">
        <f>IFERROR(__xludf.DUMMYFUNCTION("""COMPUTED_VALUE"""),"2016-05-27-J06-SO-14")</f>
        <v>2016-05-27-J06-SO-14</v>
      </c>
    </row>
    <row r="7987">
      <c r="A7987" t="str">
        <f>IFERROR(__xludf.DUMMYFUNCTION("""COMPUTED_VALUE"""),"2016-05-27-J06-SO-15")</f>
        <v>2016-05-27-J06-SO-15</v>
      </c>
    </row>
    <row r="7988">
      <c r="A7988" t="str">
        <f>IFERROR(__xludf.DUMMYFUNCTION("""COMPUTED_VALUE"""),"2016-05-27-J06-SO-16")</f>
        <v>2016-05-27-J06-SO-16</v>
      </c>
    </row>
    <row r="7989">
      <c r="A7989" t="str">
        <f>IFERROR(__xludf.DUMMYFUNCTION("""COMPUTED_VALUE"""),"2016-05-27-J06-SO-17")</f>
        <v>2016-05-27-J06-SO-17</v>
      </c>
    </row>
    <row r="7990">
      <c r="A7990" t="str">
        <f>IFERROR(__xludf.DUMMYFUNCTION("""COMPUTED_VALUE"""),"2016-05-27-J06-SO-18")</f>
        <v>2016-05-27-J06-SO-18</v>
      </c>
    </row>
    <row r="7991">
      <c r="A7991" t="str">
        <f>IFERROR(__xludf.DUMMYFUNCTION("""COMPUTED_VALUE"""),"2016-05-27-J06-SO-19")</f>
        <v>2016-05-27-J06-SO-19</v>
      </c>
    </row>
    <row r="7992">
      <c r="A7992" t="str">
        <f>IFERROR(__xludf.DUMMYFUNCTION("""COMPUTED_VALUE"""),"2016-05-27-J06-SO-20")</f>
        <v>2016-05-27-J06-SO-20</v>
      </c>
    </row>
    <row r="7993">
      <c r="A7993" t="str">
        <f>IFERROR(__xludf.DUMMYFUNCTION("""COMPUTED_VALUE"""),"2016-05-27-J06-SO-21")</f>
        <v>2016-05-27-J06-SO-21</v>
      </c>
    </row>
    <row r="7994">
      <c r="A7994" t="str">
        <f>IFERROR(__xludf.DUMMYFUNCTION("""COMPUTED_VALUE"""),"2016-05-27-J06-SO-22")</f>
        <v>2016-05-27-J06-SO-22</v>
      </c>
    </row>
    <row r="7995">
      <c r="A7995" t="str">
        <f>IFERROR(__xludf.DUMMYFUNCTION("""COMPUTED_VALUE"""),"2016-05-27-J06-SO-23")</f>
        <v>2016-05-27-J06-SO-23</v>
      </c>
    </row>
    <row r="7996">
      <c r="A7996" t="str">
        <f>IFERROR(__xludf.DUMMYFUNCTION("""COMPUTED_VALUE"""),"2016-05-27-J06-SO-24")</f>
        <v>2016-05-27-J06-SO-24</v>
      </c>
    </row>
    <row r="7997">
      <c r="A7997" t="str">
        <f>IFERROR(__xludf.DUMMYFUNCTION("""COMPUTED_VALUE"""),"2016-05-27-J06-SO-25")</f>
        <v>2016-05-27-J06-SO-25</v>
      </c>
    </row>
    <row r="7998">
      <c r="A7998" t="str">
        <f>IFERROR(__xludf.DUMMYFUNCTION("""COMPUTED_VALUE"""),"2016-05-27-J06-SO-26")</f>
        <v>2016-05-27-J06-SO-26</v>
      </c>
    </row>
    <row r="7999">
      <c r="A7999" t="str">
        <f>IFERROR(__xludf.DUMMYFUNCTION("""COMPUTED_VALUE"""),"2016-05-27-J06-SO-27")</f>
        <v>2016-05-27-J06-SO-27</v>
      </c>
    </row>
    <row r="8000">
      <c r="A8000" t="str">
        <f>IFERROR(__xludf.DUMMYFUNCTION("""COMPUTED_VALUE"""),"2016-05-27-J06-SO-28")</f>
        <v>2016-05-27-J06-SO-28</v>
      </c>
    </row>
    <row r="8001">
      <c r="A8001" t="str">
        <f>IFERROR(__xludf.DUMMYFUNCTION("""COMPUTED_VALUE"""),"2016-05-27-J06-SO-29")</f>
        <v>2016-05-27-J06-SO-29</v>
      </c>
    </row>
    <row r="8002">
      <c r="A8002" t="str">
        <f>IFERROR(__xludf.DUMMYFUNCTION("""COMPUTED_VALUE"""),"2016-05-27-J06-SO-30")</f>
        <v>2016-05-27-J06-SO-30</v>
      </c>
    </row>
    <row r="8003">
      <c r="A8003" t="str">
        <f>IFERROR(__xludf.DUMMYFUNCTION("""COMPUTED_VALUE"""),"2016-05-27-J07-SO-1")</f>
        <v>2016-05-27-J07-SO-1</v>
      </c>
    </row>
    <row r="8004">
      <c r="A8004" t="str">
        <f>IFERROR(__xludf.DUMMYFUNCTION("""COMPUTED_VALUE"""),"2016-05-27-J07-SO-2")</f>
        <v>2016-05-27-J07-SO-2</v>
      </c>
    </row>
    <row r="8005">
      <c r="A8005" t="str">
        <f>IFERROR(__xludf.DUMMYFUNCTION("""COMPUTED_VALUE"""),"2016-05-27-J07-SO-3")</f>
        <v>2016-05-27-J07-SO-3</v>
      </c>
    </row>
    <row r="8006">
      <c r="A8006" t="str">
        <f>IFERROR(__xludf.DUMMYFUNCTION("""COMPUTED_VALUE"""),"2016-05-27-J07-SO-4")</f>
        <v>2016-05-27-J07-SO-4</v>
      </c>
    </row>
    <row r="8007">
      <c r="A8007" t="str">
        <f>IFERROR(__xludf.DUMMYFUNCTION("""COMPUTED_VALUE"""),"2016-05-27-J07-SO-5")</f>
        <v>2016-05-27-J07-SO-5</v>
      </c>
    </row>
    <row r="8008">
      <c r="A8008" t="str">
        <f>IFERROR(__xludf.DUMMYFUNCTION("""COMPUTED_VALUE"""),"2016-05-27-J07-SO-6")</f>
        <v>2016-05-27-J07-SO-6</v>
      </c>
    </row>
    <row r="8009">
      <c r="A8009" t="str">
        <f>IFERROR(__xludf.DUMMYFUNCTION("""COMPUTED_VALUE"""),"2016-05-27-J07-SO-7")</f>
        <v>2016-05-27-J07-SO-7</v>
      </c>
    </row>
    <row r="8010">
      <c r="A8010" t="str">
        <f>IFERROR(__xludf.DUMMYFUNCTION("""COMPUTED_VALUE"""),"2016-05-27-J07-SO-8")</f>
        <v>2016-05-27-J07-SO-8</v>
      </c>
    </row>
    <row r="8011">
      <c r="A8011" t="str">
        <f>IFERROR(__xludf.DUMMYFUNCTION("""COMPUTED_VALUE"""),"2016-05-27-J07-SO-9")</f>
        <v>2016-05-27-J07-SO-9</v>
      </c>
    </row>
    <row r="8012">
      <c r="A8012" t="str">
        <f>IFERROR(__xludf.DUMMYFUNCTION("""COMPUTED_VALUE"""),"2016-05-27-J07-SO-10")</f>
        <v>2016-05-27-J07-SO-10</v>
      </c>
    </row>
    <row r="8013">
      <c r="A8013" t="str">
        <f>IFERROR(__xludf.DUMMYFUNCTION("""COMPUTED_VALUE"""),"2016-05-27-J07-SO-11")</f>
        <v>2016-05-27-J07-SO-11</v>
      </c>
    </row>
    <row r="8014">
      <c r="A8014" t="str">
        <f>IFERROR(__xludf.DUMMYFUNCTION("""COMPUTED_VALUE"""),"2016-05-27-J07-SO-12")</f>
        <v>2016-05-27-J07-SO-12</v>
      </c>
    </row>
    <row r="8015">
      <c r="A8015" t="str">
        <f>IFERROR(__xludf.DUMMYFUNCTION("""COMPUTED_VALUE"""),"2016-05-27-J07-SO-13")</f>
        <v>2016-05-27-J07-SO-13</v>
      </c>
    </row>
    <row r="8016">
      <c r="A8016" t="str">
        <f>IFERROR(__xludf.DUMMYFUNCTION("""COMPUTED_VALUE"""),"2016-05-27-J07-SO-14")</f>
        <v>2016-05-27-J07-SO-14</v>
      </c>
    </row>
    <row r="8017">
      <c r="A8017" t="str">
        <f>IFERROR(__xludf.DUMMYFUNCTION("""COMPUTED_VALUE"""),"2016-05-27-J07-SO-15")</f>
        <v>2016-05-27-J07-SO-15</v>
      </c>
    </row>
    <row r="8018">
      <c r="A8018" t="str">
        <f>IFERROR(__xludf.DUMMYFUNCTION("""COMPUTED_VALUE"""),"2016-05-27-J07-SO-16")</f>
        <v>2016-05-27-J07-SO-16</v>
      </c>
    </row>
    <row r="8019">
      <c r="A8019" t="str">
        <f>IFERROR(__xludf.DUMMYFUNCTION("""COMPUTED_VALUE"""),"2016-05-27-J07-SO-17")</f>
        <v>2016-05-27-J07-SO-17</v>
      </c>
    </row>
    <row r="8020">
      <c r="A8020" t="str">
        <f>IFERROR(__xludf.DUMMYFUNCTION("""COMPUTED_VALUE"""),"2016-05-27-J07-SO-18")</f>
        <v>2016-05-27-J07-SO-18</v>
      </c>
    </row>
    <row r="8021">
      <c r="A8021" t="str">
        <f>IFERROR(__xludf.DUMMYFUNCTION("""COMPUTED_VALUE"""),"2016-05-27-J07-SO-19")</f>
        <v>2016-05-27-J07-SO-19</v>
      </c>
    </row>
    <row r="8022">
      <c r="A8022" t="str">
        <f>IFERROR(__xludf.DUMMYFUNCTION("""COMPUTED_VALUE"""),"2016-05-27-J07-SO-20")</f>
        <v>2016-05-27-J07-SO-20</v>
      </c>
    </row>
    <row r="8023">
      <c r="A8023" t="str">
        <f>IFERROR(__xludf.DUMMYFUNCTION("""COMPUTED_VALUE"""),"2016-05-27-J07-SO-21")</f>
        <v>2016-05-27-J07-SO-21</v>
      </c>
    </row>
    <row r="8024">
      <c r="A8024" t="str">
        <f>IFERROR(__xludf.DUMMYFUNCTION("""COMPUTED_VALUE"""),"2016-05-27-J07-SO-22")</f>
        <v>2016-05-27-J07-SO-22</v>
      </c>
    </row>
    <row r="8025">
      <c r="A8025" t="str">
        <f>IFERROR(__xludf.DUMMYFUNCTION("""COMPUTED_VALUE"""),"2016-05-27-J07-SO-23")</f>
        <v>2016-05-27-J07-SO-23</v>
      </c>
    </row>
    <row r="8026">
      <c r="A8026" t="str">
        <f>IFERROR(__xludf.DUMMYFUNCTION("""COMPUTED_VALUE"""),"2016-05-27-J07-SO-24")</f>
        <v>2016-05-27-J07-SO-24</v>
      </c>
    </row>
    <row r="8027">
      <c r="A8027" t="str">
        <f>IFERROR(__xludf.DUMMYFUNCTION("""COMPUTED_VALUE"""),"2016-05-27-J07-SO-25")</f>
        <v>2016-05-27-J07-SO-25</v>
      </c>
    </row>
    <row r="8028">
      <c r="A8028" t="str">
        <f>IFERROR(__xludf.DUMMYFUNCTION("""COMPUTED_VALUE"""),"2016-05-27-J07-SO-26")</f>
        <v>2016-05-27-J07-SO-26</v>
      </c>
    </row>
    <row r="8029">
      <c r="A8029" t="str">
        <f>IFERROR(__xludf.DUMMYFUNCTION("""COMPUTED_VALUE"""),"2016-05-27-J07-SO-27")</f>
        <v>2016-05-27-J07-SO-27</v>
      </c>
    </row>
    <row r="8030">
      <c r="A8030" t="str">
        <f>IFERROR(__xludf.DUMMYFUNCTION("""COMPUTED_VALUE"""),"2016-05-27-J07-SO-28")</f>
        <v>2016-05-27-J07-SO-28</v>
      </c>
    </row>
    <row r="8031">
      <c r="A8031" t="str">
        <f>IFERROR(__xludf.DUMMYFUNCTION("""COMPUTED_VALUE"""),"2016-05-27-J07-SO-29")</f>
        <v>2016-05-27-J07-SO-29</v>
      </c>
    </row>
    <row r="8032">
      <c r="A8032" t="str">
        <f>IFERROR(__xludf.DUMMYFUNCTION("""COMPUTED_VALUE"""),"2016-05-27-J07-SO-30")</f>
        <v>2016-05-27-J07-SO-30</v>
      </c>
    </row>
    <row r="8033">
      <c r="A8033" t="str">
        <f>IFERROR(__xludf.DUMMYFUNCTION("""COMPUTED_VALUE"""),"2016-05-27-J09-SO-1")</f>
        <v>2016-05-27-J09-SO-1</v>
      </c>
    </row>
    <row r="8034">
      <c r="A8034" t="str">
        <f>IFERROR(__xludf.DUMMYFUNCTION("""COMPUTED_VALUE"""),"2016-05-27-J09-SO-2")</f>
        <v>2016-05-27-J09-SO-2</v>
      </c>
    </row>
    <row r="8035">
      <c r="A8035" t="str">
        <f>IFERROR(__xludf.DUMMYFUNCTION("""COMPUTED_VALUE"""),"2016-05-27-J09-SO-3")</f>
        <v>2016-05-27-J09-SO-3</v>
      </c>
    </row>
    <row r="8036">
      <c r="A8036" t="str">
        <f>IFERROR(__xludf.DUMMYFUNCTION("""COMPUTED_VALUE"""),"2016-05-27-J09-SO-4")</f>
        <v>2016-05-27-J09-SO-4</v>
      </c>
    </row>
    <row r="8037">
      <c r="A8037" t="str">
        <f>IFERROR(__xludf.DUMMYFUNCTION("""COMPUTED_VALUE"""),"2016-05-27-J09-SO-5")</f>
        <v>2016-05-27-J09-SO-5</v>
      </c>
    </row>
    <row r="8038">
      <c r="A8038" t="str">
        <f>IFERROR(__xludf.DUMMYFUNCTION("""COMPUTED_VALUE"""),"2016-05-27-J09-SO-6")</f>
        <v>2016-05-27-J09-SO-6</v>
      </c>
    </row>
    <row r="8039">
      <c r="A8039" t="str">
        <f>IFERROR(__xludf.DUMMYFUNCTION("""COMPUTED_VALUE"""),"2016-05-27-J09-SO-7")</f>
        <v>2016-05-27-J09-SO-7</v>
      </c>
    </row>
    <row r="8040">
      <c r="A8040" t="str">
        <f>IFERROR(__xludf.DUMMYFUNCTION("""COMPUTED_VALUE"""),"2016-05-27-J09-SO-8")</f>
        <v>2016-05-27-J09-SO-8</v>
      </c>
    </row>
    <row r="8041">
      <c r="A8041" t="str">
        <f>IFERROR(__xludf.DUMMYFUNCTION("""COMPUTED_VALUE"""),"2016-05-27-J09-SO-9")</f>
        <v>2016-05-27-J09-SO-9</v>
      </c>
    </row>
    <row r="8042">
      <c r="A8042" t="str">
        <f>IFERROR(__xludf.DUMMYFUNCTION("""COMPUTED_VALUE"""),"2016-05-27-J09-SO-10")</f>
        <v>2016-05-27-J09-SO-10</v>
      </c>
    </row>
    <row r="8043">
      <c r="A8043" t="str">
        <f>IFERROR(__xludf.DUMMYFUNCTION("""COMPUTED_VALUE"""),"2016-05-27-J09-SO-11")</f>
        <v>2016-05-27-J09-SO-11</v>
      </c>
    </row>
    <row r="8044">
      <c r="A8044" t="str">
        <f>IFERROR(__xludf.DUMMYFUNCTION("""COMPUTED_VALUE"""),"2016-05-27-J09-SO-12")</f>
        <v>2016-05-27-J09-SO-12</v>
      </c>
    </row>
    <row r="8045">
      <c r="A8045" t="str">
        <f>IFERROR(__xludf.DUMMYFUNCTION("""COMPUTED_VALUE"""),"2016-05-27-J09-SO-13")</f>
        <v>2016-05-27-J09-SO-13</v>
      </c>
    </row>
    <row r="8046">
      <c r="A8046" t="str">
        <f>IFERROR(__xludf.DUMMYFUNCTION("""COMPUTED_VALUE"""),"2016-05-27-J09-SO-14")</f>
        <v>2016-05-27-J09-SO-14</v>
      </c>
    </row>
    <row r="8047">
      <c r="A8047" t="str">
        <f>IFERROR(__xludf.DUMMYFUNCTION("""COMPUTED_VALUE"""),"2016-05-27-J09-SO-15")</f>
        <v>2016-05-27-J09-SO-15</v>
      </c>
    </row>
    <row r="8048">
      <c r="A8048" t="str">
        <f>IFERROR(__xludf.DUMMYFUNCTION("""COMPUTED_VALUE"""),"2016-05-27-J09-SO-16")</f>
        <v>2016-05-27-J09-SO-16</v>
      </c>
    </row>
    <row r="8049">
      <c r="A8049" t="str">
        <f>IFERROR(__xludf.DUMMYFUNCTION("""COMPUTED_VALUE"""),"2016-05-27-J09-SO-17")</f>
        <v>2016-05-27-J09-SO-17</v>
      </c>
    </row>
    <row r="8050">
      <c r="A8050" t="str">
        <f>IFERROR(__xludf.DUMMYFUNCTION("""COMPUTED_VALUE"""),"2016-05-27-J09-SO-18")</f>
        <v>2016-05-27-J09-SO-18</v>
      </c>
    </row>
    <row r="8051">
      <c r="A8051" t="str">
        <f>IFERROR(__xludf.DUMMYFUNCTION("""COMPUTED_VALUE"""),"2016-05-27-J09-SO-19")</f>
        <v>2016-05-27-J09-SO-19</v>
      </c>
    </row>
    <row r="8052">
      <c r="A8052" t="str">
        <f>IFERROR(__xludf.DUMMYFUNCTION("""COMPUTED_VALUE"""),"2016-05-27-J09-SO-20")</f>
        <v>2016-05-27-J09-SO-20</v>
      </c>
    </row>
    <row r="8053">
      <c r="A8053" t="str">
        <f>IFERROR(__xludf.DUMMYFUNCTION("""COMPUTED_VALUE"""),"2016-05-27-J09-SO-21")</f>
        <v>2016-05-27-J09-SO-21</v>
      </c>
    </row>
    <row r="8054">
      <c r="A8054" t="str">
        <f>IFERROR(__xludf.DUMMYFUNCTION("""COMPUTED_VALUE"""),"2016-05-27-J09-SO-22")</f>
        <v>2016-05-27-J09-SO-22</v>
      </c>
    </row>
    <row r="8055">
      <c r="A8055" t="str">
        <f>IFERROR(__xludf.DUMMYFUNCTION("""COMPUTED_VALUE"""),"2016-05-27-J09-SO-23")</f>
        <v>2016-05-27-J09-SO-23</v>
      </c>
    </row>
    <row r="8056">
      <c r="A8056" t="str">
        <f>IFERROR(__xludf.DUMMYFUNCTION("""COMPUTED_VALUE"""),"2016-05-27-J09-SO-24")</f>
        <v>2016-05-27-J09-SO-24</v>
      </c>
    </row>
    <row r="8057">
      <c r="A8057" t="str">
        <f>IFERROR(__xludf.DUMMYFUNCTION("""COMPUTED_VALUE"""),"2016-05-27-J09-SO-25")</f>
        <v>2016-05-27-J09-SO-25</v>
      </c>
    </row>
    <row r="8058">
      <c r="A8058" t="str">
        <f>IFERROR(__xludf.DUMMYFUNCTION("""COMPUTED_VALUE"""),"2016-05-27-J09-SO-26")</f>
        <v>2016-05-27-J09-SO-26</v>
      </c>
    </row>
    <row r="8059">
      <c r="A8059" t="str">
        <f>IFERROR(__xludf.DUMMYFUNCTION("""COMPUTED_VALUE"""),"2016-05-27-J09-SO-27")</f>
        <v>2016-05-27-J09-SO-27</v>
      </c>
    </row>
    <row r="8060">
      <c r="A8060" t="str">
        <f>IFERROR(__xludf.DUMMYFUNCTION("""COMPUTED_VALUE"""),"2016-05-27-J09-SO-28")</f>
        <v>2016-05-27-J09-SO-28</v>
      </c>
    </row>
    <row r="8061">
      <c r="A8061" t="str">
        <f>IFERROR(__xludf.DUMMYFUNCTION("""COMPUTED_VALUE"""),"2016-05-27-J09-SO-29")</f>
        <v>2016-05-27-J09-SO-29</v>
      </c>
    </row>
    <row r="8062">
      <c r="A8062" t="str">
        <f>IFERROR(__xludf.DUMMYFUNCTION("""COMPUTED_VALUE"""),"2016-05-27-J09-SO-30")</f>
        <v>2016-05-27-J09-SO-30</v>
      </c>
    </row>
    <row r="8063">
      <c r="A8063" t="str">
        <f>IFERROR(__xludf.DUMMYFUNCTION("""COMPUTED_VALUE"""),"2016-05-27-J01-SO-1")</f>
        <v>2016-05-27-J01-SO-1</v>
      </c>
    </row>
    <row r="8064">
      <c r="A8064" t="str">
        <f>IFERROR(__xludf.DUMMYFUNCTION("""COMPUTED_VALUE"""),"2016-05-27-J01-SO-2")</f>
        <v>2016-05-27-J01-SO-2</v>
      </c>
    </row>
    <row r="8065">
      <c r="A8065" t="str">
        <f>IFERROR(__xludf.DUMMYFUNCTION("""COMPUTED_VALUE"""),"2016-05-27-J01-SO-3")</f>
        <v>2016-05-27-J01-SO-3</v>
      </c>
    </row>
    <row r="8066">
      <c r="A8066" t="str">
        <f>IFERROR(__xludf.DUMMYFUNCTION("""COMPUTED_VALUE"""),"2016-05-27-J01-SO-4")</f>
        <v>2016-05-27-J01-SO-4</v>
      </c>
    </row>
    <row r="8067">
      <c r="A8067" t="str">
        <f>IFERROR(__xludf.DUMMYFUNCTION("""COMPUTED_VALUE"""),"2016-05-27-J01-SO-5")</f>
        <v>2016-05-27-J01-SO-5</v>
      </c>
    </row>
    <row r="8068">
      <c r="A8068" t="str">
        <f>IFERROR(__xludf.DUMMYFUNCTION("""COMPUTED_VALUE"""),"2016-05-27-J01-SO-6")</f>
        <v>2016-05-27-J01-SO-6</v>
      </c>
    </row>
    <row r="8069">
      <c r="A8069" t="str">
        <f>IFERROR(__xludf.DUMMYFUNCTION("""COMPUTED_VALUE"""),"2016-05-27-J01-SO-7")</f>
        <v>2016-05-27-J01-SO-7</v>
      </c>
    </row>
    <row r="8070">
      <c r="A8070" t="str">
        <f>IFERROR(__xludf.DUMMYFUNCTION("""COMPUTED_VALUE"""),"2016-05-27-J01-SO-8")</f>
        <v>2016-05-27-J01-SO-8</v>
      </c>
    </row>
    <row r="8071">
      <c r="A8071" t="str">
        <f>IFERROR(__xludf.DUMMYFUNCTION("""COMPUTED_VALUE"""),"2016-05-27-J01-SO-9")</f>
        <v>2016-05-27-J01-SO-9</v>
      </c>
    </row>
    <row r="8072">
      <c r="A8072" t="str">
        <f>IFERROR(__xludf.DUMMYFUNCTION("""COMPUTED_VALUE"""),"2016-05-27-J01-SO-10")</f>
        <v>2016-05-27-J01-SO-10</v>
      </c>
    </row>
    <row r="8073">
      <c r="A8073" t="str">
        <f>IFERROR(__xludf.DUMMYFUNCTION("""COMPUTED_VALUE"""),"2016-05-27-J01-SO-11")</f>
        <v>2016-05-27-J01-SO-11</v>
      </c>
    </row>
    <row r="8074">
      <c r="A8074" t="str">
        <f>IFERROR(__xludf.DUMMYFUNCTION("""COMPUTED_VALUE"""),"2016-05-27-J01-SO-12")</f>
        <v>2016-05-27-J01-SO-12</v>
      </c>
    </row>
    <row r="8075">
      <c r="A8075" t="str">
        <f>IFERROR(__xludf.DUMMYFUNCTION("""COMPUTED_VALUE"""),"2016-05-27-J01-SO-13")</f>
        <v>2016-05-27-J01-SO-13</v>
      </c>
    </row>
    <row r="8076">
      <c r="A8076" t="str">
        <f>IFERROR(__xludf.DUMMYFUNCTION("""COMPUTED_VALUE"""),"2016-05-27-J01-SO-14")</f>
        <v>2016-05-27-J01-SO-14</v>
      </c>
    </row>
    <row r="8077">
      <c r="A8077" t="str">
        <f>IFERROR(__xludf.DUMMYFUNCTION("""COMPUTED_VALUE"""),"2016-05-27-J01-SO-15")</f>
        <v>2016-05-27-J01-SO-15</v>
      </c>
    </row>
    <row r="8078">
      <c r="A8078" t="str">
        <f>IFERROR(__xludf.DUMMYFUNCTION("""COMPUTED_VALUE"""),"2016-05-27-J01-SO-16")</f>
        <v>2016-05-27-J01-SO-16</v>
      </c>
    </row>
    <row r="8079">
      <c r="A8079" t="str">
        <f>IFERROR(__xludf.DUMMYFUNCTION("""COMPUTED_VALUE"""),"2016-05-27-J01-SO-17")</f>
        <v>2016-05-27-J01-SO-17</v>
      </c>
    </row>
    <row r="8080">
      <c r="A8080" t="str">
        <f>IFERROR(__xludf.DUMMYFUNCTION("""COMPUTED_VALUE"""),"2016-05-27-J01-SO-18")</f>
        <v>2016-05-27-J01-SO-18</v>
      </c>
    </row>
    <row r="8081">
      <c r="A8081" t="str">
        <f>IFERROR(__xludf.DUMMYFUNCTION("""COMPUTED_VALUE"""),"2016-05-27-J01-SO-19")</f>
        <v>2016-05-27-J01-SO-19</v>
      </c>
    </row>
    <row r="8082">
      <c r="A8082" t="str">
        <f>IFERROR(__xludf.DUMMYFUNCTION("""COMPUTED_VALUE"""),"2016-05-27-J01-SO-20")</f>
        <v>2016-05-27-J01-SO-20</v>
      </c>
    </row>
    <row r="8083">
      <c r="A8083" t="str">
        <f>IFERROR(__xludf.DUMMYFUNCTION("""COMPUTED_VALUE"""),"2016-05-27-J01-SO-21")</f>
        <v>2016-05-27-J01-SO-21</v>
      </c>
    </row>
    <row r="8084">
      <c r="A8084" t="str">
        <f>IFERROR(__xludf.DUMMYFUNCTION("""COMPUTED_VALUE"""),"2016-05-27-J01-SO-22")</f>
        <v>2016-05-27-J01-SO-22</v>
      </c>
    </row>
    <row r="8085">
      <c r="A8085" t="str">
        <f>IFERROR(__xludf.DUMMYFUNCTION("""COMPUTED_VALUE"""),"2016-05-27-J01-SO-23")</f>
        <v>2016-05-27-J01-SO-23</v>
      </c>
    </row>
    <row r="8086">
      <c r="A8086" t="str">
        <f>IFERROR(__xludf.DUMMYFUNCTION("""COMPUTED_VALUE"""),"2016-05-27-J01-SO-24")</f>
        <v>2016-05-27-J01-SO-24</v>
      </c>
    </row>
    <row r="8087">
      <c r="A8087" t="str">
        <f>IFERROR(__xludf.DUMMYFUNCTION("""COMPUTED_VALUE"""),"2016-05-27-J01-SO-25")</f>
        <v>2016-05-27-J01-SO-25</v>
      </c>
    </row>
    <row r="8088">
      <c r="A8088" t="str">
        <f>IFERROR(__xludf.DUMMYFUNCTION("""COMPUTED_VALUE"""),"2016-05-27-J01-SO-26")</f>
        <v>2016-05-27-J01-SO-26</v>
      </c>
    </row>
    <row r="8089">
      <c r="A8089" t="str">
        <f>IFERROR(__xludf.DUMMYFUNCTION("""COMPUTED_VALUE"""),"2016-05-27-J01-SO-27")</f>
        <v>2016-05-27-J01-SO-27</v>
      </c>
    </row>
    <row r="8090">
      <c r="A8090" t="str">
        <f>IFERROR(__xludf.DUMMYFUNCTION("""COMPUTED_VALUE"""),"2016-05-27-J01-SO-28")</f>
        <v>2016-05-27-J01-SO-28</v>
      </c>
    </row>
    <row r="8091">
      <c r="A8091" t="str">
        <f>IFERROR(__xludf.DUMMYFUNCTION("""COMPUTED_VALUE"""),"2016-05-27-J01-SO-29")</f>
        <v>2016-05-27-J01-SO-29</v>
      </c>
    </row>
    <row r="8092">
      <c r="A8092" t="str">
        <f>IFERROR(__xludf.DUMMYFUNCTION("""COMPUTED_VALUE"""),"2016-05-27-J01-SO-30")</f>
        <v>2016-05-27-J01-SO-30</v>
      </c>
    </row>
    <row r="8093">
      <c r="A8093" t="str">
        <f>IFERROR(__xludf.DUMMYFUNCTION("""COMPUTED_VALUE"""),"2016-05-27-D22-PI-1")</f>
        <v>2016-05-27-D22-PI-1</v>
      </c>
    </row>
    <row r="8094">
      <c r="A8094" t="str">
        <f>IFERROR(__xludf.DUMMYFUNCTION("""COMPUTED_VALUE"""),"2016-05-27-D22-PI-2")</f>
        <v>2016-05-27-D22-PI-2</v>
      </c>
    </row>
    <row r="8095">
      <c r="A8095" t="str">
        <f>IFERROR(__xludf.DUMMYFUNCTION("""COMPUTED_VALUE"""),"2016-05-27-D22-PI-3")</f>
        <v>2016-05-27-D22-PI-3</v>
      </c>
    </row>
    <row r="8096">
      <c r="A8096" t="str">
        <f>IFERROR(__xludf.DUMMYFUNCTION("""COMPUTED_VALUE"""),"2016-05-27-D22-PI-4")</f>
        <v>2016-05-27-D22-PI-4</v>
      </c>
    </row>
    <row r="8097">
      <c r="A8097" t="str">
        <f>IFERROR(__xludf.DUMMYFUNCTION("""COMPUTED_VALUE"""),"2016-05-27-D22-PI-5")</f>
        <v>2016-05-27-D22-PI-5</v>
      </c>
    </row>
    <row r="8098">
      <c r="A8098" t="str">
        <f>IFERROR(__xludf.DUMMYFUNCTION("""COMPUTED_VALUE"""),"2016-05-27-D22-PI-6")</f>
        <v>2016-05-27-D22-PI-6</v>
      </c>
    </row>
    <row r="8099">
      <c r="A8099" t="str">
        <f>IFERROR(__xludf.DUMMYFUNCTION("""COMPUTED_VALUE"""),"2016-05-27-D22-PI-7")</f>
        <v>2016-05-27-D22-PI-7</v>
      </c>
    </row>
    <row r="8100">
      <c r="A8100" t="str">
        <f>IFERROR(__xludf.DUMMYFUNCTION("""COMPUTED_VALUE"""),"2016-05-27-D22-PI-8")</f>
        <v>2016-05-27-D22-PI-8</v>
      </c>
    </row>
    <row r="8101">
      <c r="A8101" t="str">
        <f>IFERROR(__xludf.DUMMYFUNCTION("""COMPUTED_VALUE"""),"2016-05-27-D22-PI-9")</f>
        <v>2016-05-27-D22-PI-9</v>
      </c>
    </row>
    <row r="8102">
      <c r="A8102" t="str">
        <f>IFERROR(__xludf.DUMMYFUNCTION("""COMPUTED_VALUE"""),"2016-05-27-D22-PI-10")</f>
        <v>2016-05-27-D22-PI-10</v>
      </c>
    </row>
    <row r="8103">
      <c r="A8103" t="str">
        <f>IFERROR(__xludf.DUMMYFUNCTION("""COMPUTED_VALUE"""),"2016-05-27-D09-PI-1")</f>
        <v>2016-05-27-D09-PI-1</v>
      </c>
    </row>
    <row r="8104">
      <c r="A8104" t="str">
        <f>IFERROR(__xludf.DUMMYFUNCTION("""COMPUTED_VALUE"""),"2016-05-27-D09-PI-2")</f>
        <v>2016-05-27-D09-PI-2</v>
      </c>
    </row>
    <row r="8105">
      <c r="A8105" t="str">
        <f>IFERROR(__xludf.DUMMYFUNCTION("""COMPUTED_VALUE"""),"2016-05-27-D09-PI-3")</f>
        <v>2016-05-27-D09-PI-3</v>
      </c>
    </row>
    <row r="8106">
      <c r="A8106" t="str">
        <f>IFERROR(__xludf.DUMMYFUNCTION("""COMPUTED_VALUE"""),"2016-05-27-D09-PI-4")</f>
        <v>2016-05-27-D09-PI-4</v>
      </c>
    </row>
    <row r="8107">
      <c r="A8107" t="str">
        <f>IFERROR(__xludf.DUMMYFUNCTION("""COMPUTED_VALUE"""),"2016-05-27-D09-PI-5")</f>
        <v>2016-05-27-D09-PI-5</v>
      </c>
    </row>
    <row r="8108">
      <c r="A8108" t="str">
        <f>IFERROR(__xludf.DUMMYFUNCTION("""COMPUTED_VALUE"""),"2016-05-27-D09-PI-6")</f>
        <v>2016-05-27-D09-PI-6</v>
      </c>
    </row>
    <row r="8109">
      <c r="A8109" t="str">
        <f>IFERROR(__xludf.DUMMYFUNCTION("""COMPUTED_VALUE"""),"2016-05-27-D09-PI-7")</f>
        <v>2016-05-27-D09-PI-7</v>
      </c>
    </row>
    <row r="8110">
      <c r="A8110" t="str">
        <f>IFERROR(__xludf.DUMMYFUNCTION("""COMPUTED_VALUE"""),"2016-05-27-D09-PI-8")</f>
        <v>2016-05-27-D09-PI-8</v>
      </c>
    </row>
    <row r="8111">
      <c r="A8111" t="str">
        <f>IFERROR(__xludf.DUMMYFUNCTION("""COMPUTED_VALUE"""),"2016-05-27-D09-PI-9")</f>
        <v>2016-05-27-D09-PI-9</v>
      </c>
    </row>
    <row r="8112">
      <c r="A8112" t="str">
        <f>IFERROR(__xludf.DUMMYFUNCTION("""COMPUTED_VALUE"""),"2016-05-27-J06-PI-1")</f>
        <v>2016-05-27-J06-PI-1</v>
      </c>
    </row>
    <row r="8113">
      <c r="A8113" t="str">
        <f>IFERROR(__xludf.DUMMYFUNCTION("""COMPUTED_VALUE"""),"2016-05-27-J06-PI-2")</f>
        <v>2016-05-27-J06-PI-2</v>
      </c>
    </row>
    <row r="8114">
      <c r="A8114" t="str">
        <f>IFERROR(__xludf.DUMMYFUNCTION("""COMPUTED_VALUE"""),"2016-05-27-J06-PI-3")</f>
        <v>2016-05-27-J06-PI-3</v>
      </c>
    </row>
    <row r="8115">
      <c r="A8115" t="str">
        <f>IFERROR(__xludf.DUMMYFUNCTION("""COMPUTED_VALUE"""),"2016-05-27-J06-PI-4")</f>
        <v>2016-05-27-J06-PI-4</v>
      </c>
    </row>
    <row r="8116">
      <c r="A8116" t="str">
        <f>IFERROR(__xludf.DUMMYFUNCTION("""COMPUTED_VALUE"""),"2016-05-27-J06-PI-5")</f>
        <v>2016-05-27-J06-PI-5</v>
      </c>
    </row>
    <row r="8117">
      <c r="A8117" t="str">
        <f>IFERROR(__xludf.DUMMYFUNCTION("""COMPUTED_VALUE"""),"2016-05-27-J06-PI-6")</f>
        <v>2016-05-27-J06-PI-6</v>
      </c>
    </row>
    <row r="8118">
      <c r="A8118" t="str">
        <f>IFERROR(__xludf.DUMMYFUNCTION("""COMPUTED_VALUE"""),"2016-05-27-J06-PI-7")</f>
        <v>2016-05-27-J06-PI-7</v>
      </c>
    </row>
    <row r="8119">
      <c r="A8119" t="str">
        <f>IFERROR(__xludf.DUMMYFUNCTION("""COMPUTED_VALUE"""),"2016-05-27-J06-PI-8")</f>
        <v>2016-05-27-J06-PI-8</v>
      </c>
    </row>
    <row r="8120">
      <c r="A8120" t="str">
        <f>IFERROR(__xludf.DUMMYFUNCTION("""COMPUTED_VALUE"""),"2016-05-27-J06-PI-9")</f>
        <v>2016-05-27-J06-PI-9</v>
      </c>
    </row>
    <row r="8121">
      <c r="A8121" t="str">
        <f>IFERROR(__xludf.DUMMYFUNCTION("""COMPUTED_VALUE"""),"2016-05-27-J09-PI-1")</f>
        <v>2016-05-27-J09-PI-1</v>
      </c>
    </row>
    <row r="8122">
      <c r="A8122" t="str">
        <f>IFERROR(__xludf.DUMMYFUNCTION("""COMPUTED_VALUE"""),"2016-05-27-J09-PI-2")</f>
        <v>2016-05-27-J09-PI-2</v>
      </c>
    </row>
    <row r="8123">
      <c r="A8123" t="str">
        <f>IFERROR(__xludf.DUMMYFUNCTION("""COMPUTED_VALUE"""),"2016-05-27-J01-PI-1")</f>
        <v>2016-05-27-J01-PI-1</v>
      </c>
    </row>
    <row r="8124">
      <c r="A8124" t="str">
        <f>IFERROR(__xludf.DUMMYFUNCTION("""COMPUTED_VALUE"""),"2016-05-27-J01-PI-2")</f>
        <v>2016-05-27-J01-PI-2</v>
      </c>
    </row>
    <row r="8125">
      <c r="A8125" t="str">
        <f>IFERROR(__xludf.DUMMYFUNCTION("""COMPUTED_VALUE"""),"2016-05-27-J01-PI-3")</f>
        <v>2016-05-27-J01-PI-3</v>
      </c>
    </row>
    <row r="8126">
      <c r="A8126" t="str">
        <f>IFERROR(__xludf.DUMMYFUNCTION("""COMPUTED_VALUE"""),"2016-05-27-J01-PI-4")</f>
        <v>2016-05-27-J01-PI-4</v>
      </c>
    </row>
    <row r="8127">
      <c r="A8127" t="str">
        <f>IFERROR(__xludf.DUMMYFUNCTION("""COMPUTED_VALUE"""),"2016-05-27-J01-PI-5")</f>
        <v>2016-05-27-J01-PI-5</v>
      </c>
    </row>
    <row r="8128">
      <c r="A8128" t="str">
        <f>IFERROR(__xludf.DUMMYFUNCTION("""COMPUTED_VALUE"""),"2016-05-27-J01-PI-6")</f>
        <v>2016-05-27-J01-PI-6</v>
      </c>
    </row>
    <row r="8129">
      <c r="A8129" t="str">
        <f>IFERROR(__xludf.DUMMYFUNCTION("""COMPUTED_VALUE"""),"2016-05-27-J01-PI-7")</f>
        <v>2016-05-27-J01-PI-7</v>
      </c>
    </row>
    <row r="8130">
      <c r="A8130" t="str">
        <f>IFERROR(__xludf.DUMMYFUNCTION("""COMPUTED_VALUE"""),"2016-05-27-J01-PI-8")</f>
        <v>2016-05-27-J01-PI-8</v>
      </c>
    </row>
    <row r="8131">
      <c r="A8131" t="str">
        <f>IFERROR(__xludf.DUMMYFUNCTION("""COMPUTED_VALUE"""),"2016-05-27-J01-PI-9")</f>
        <v>2016-05-27-J01-PI-9</v>
      </c>
    </row>
    <row r="8132">
      <c r="A8132" t="str">
        <f>IFERROR(__xludf.DUMMYFUNCTION("""COMPUTED_VALUE"""),"2016-05-27-J01-PI-10")</f>
        <v>2016-05-27-J01-PI-10</v>
      </c>
    </row>
    <row r="8133">
      <c r="A8133" t="str">
        <f>IFERROR(__xludf.DUMMYFUNCTION("""COMPUTED_VALUE"""),"2016-05-27-D22-CU-1")</f>
        <v>2016-05-27-D22-CU-1</v>
      </c>
    </row>
    <row r="8134">
      <c r="A8134" t="str">
        <f>IFERROR(__xludf.DUMMYFUNCTION("""COMPUTED_VALUE"""),"2016-05-27-D22-CU-2")</f>
        <v>2016-05-27-D22-CU-2</v>
      </c>
    </row>
    <row r="8135">
      <c r="A8135" t="str">
        <f>IFERROR(__xludf.DUMMYFUNCTION("""COMPUTED_VALUE"""),"2016-05-27-D22-CU-3")</f>
        <v>2016-05-27-D22-CU-3</v>
      </c>
    </row>
    <row r="8136">
      <c r="A8136" t="str">
        <f>IFERROR(__xludf.DUMMYFUNCTION("""COMPUTED_VALUE"""),"2016-05-27-D22-CU-4")</f>
        <v>2016-05-27-D22-CU-4</v>
      </c>
    </row>
    <row r="8137">
      <c r="A8137" t="str">
        <f>IFERROR(__xludf.DUMMYFUNCTION("""COMPUTED_VALUE"""),"2016-05-27-D22-CU-5")</f>
        <v>2016-05-27-D22-CU-5</v>
      </c>
    </row>
    <row r="8138">
      <c r="A8138" t="str">
        <f>IFERROR(__xludf.DUMMYFUNCTION("""COMPUTED_VALUE"""),"2016-05-27-D22-CU-6")</f>
        <v>2016-05-27-D22-CU-6</v>
      </c>
    </row>
    <row r="8139">
      <c r="A8139" t="str">
        <f>IFERROR(__xludf.DUMMYFUNCTION("""COMPUTED_VALUE"""),"2016-05-27-D22-CU-7")</f>
        <v>2016-05-27-D22-CU-7</v>
      </c>
    </row>
    <row r="8140">
      <c r="A8140" t="str">
        <f>IFERROR(__xludf.DUMMYFUNCTION("""COMPUTED_VALUE"""),"2016-05-27-D22-CU-8")</f>
        <v>2016-05-27-D22-CU-8</v>
      </c>
    </row>
    <row r="8141">
      <c r="A8141" t="str">
        <f>IFERROR(__xludf.DUMMYFUNCTION("""COMPUTED_VALUE"""),"2016-05-27-D09-CU-1")</f>
        <v>2016-05-27-D09-CU-1</v>
      </c>
    </row>
    <row r="8142">
      <c r="A8142" t="str">
        <f>IFERROR(__xludf.DUMMYFUNCTION("""COMPUTED_VALUE"""),"2016-05-27-D09-CU-2")</f>
        <v>2016-05-27-D09-CU-2</v>
      </c>
    </row>
    <row r="8143">
      <c r="A8143" t="str">
        <f>IFERROR(__xludf.DUMMYFUNCTION("""COMPUTED_VALUE"""),"2016-05-27-D09-CU-3")</f>
        <v>2016-05-27-D09-CU-3</v>
      </c>
    </row>
    <row r="8144">
      <c r="A8144" t="str">
        <f>IFERROR(__xludf.DUMMYFUNCTION("""COMPUTED_VALUE"""),"2016-05-27-D09-CU-4")</f>
        <v>2016-05-27-D09-CU-4</v>
      </c>
    </row>
    <row r="8145">
      <c r="A8145" t="str">
        <f>IFERROR(__xludf.DUMMYFUNCTION("""COMPUTED_VALUE"""),"2016-05-27-D09-CU-5")</f>
        <v>2016-05-27-D09-CU-5</v>
      </c>
    </row>
    <row r="8146">
      <c r="A8146" t="str">
        <f>IFERROR(__xludf.DUMMYFUNCTION("""COMPUTED_VALUE"""),"2016-05-27-D09-CU-6")</f>
        <v>2016-05-27-D09-CU-6</v>
      </c>
    </row>
    <row r="8147">
      <c r="A8147" t="str">
        <f>IFERROR(__xludf.DUMMYFUNCTION("""COMPUTED_VALUE"""),"2016-05-27-D09-CU-7")</f>
        <v>2016-05-27-D09-CU-7</v>
      </c>
    </row>
    <row r="8148">
      <c r="A8148" t="str">
        <f>IFERROR(__xludf.DUMMYFUNCTION("""COMPUTED_VALUE"""),"2016-05-27-D09-CU-8")</f>
        <v>2016-05-27-D09-CU-8</v>
      </c>
    </row>
    <row r="8149">
      <c r="A8149" t="str">
        <f>IFERROR(__xludf.DUMMYFUNCTION("""COMPUTED_VALUE"""),"2016-05-27-D09-CU-9")</f>
        <v>2016-05-27-D09-CU-9</v>
      </c>
    </row>
    <row r="8150">
      <c r="A8150" t="str">
        <f>IFERROR(__xludf.DUMMYFUNCTION("""COMPUTED_VALUE"""),"2016-05-27-D09-CU-10")</f>
        <v>2016-05-27-D09-CU-10</v>
      </c>
    </row>
    <row r="8151">
      <c r="A8151" t="str">
        <f>IFERROR(__xludf.DUMMYFUNCTION("""COMPUTED_VALUE"""),"2016-05-27-J06-CU-1")</f>
        <v>2016-05-27-J06-CU-1</v>
      </c>
    </row>
    <row r="8152">
      <c r="A8152" t="str">
        <f>IFERROR(__xludf.DUMMYFUNCTION("""COMPUTED_VALUE"""),"2016-05-27-J06-CU-2")</f>
        <v>2016-05-27-J06-CU-2</v>
      </c>
    </row>
    <row r="8153">
      <c r="A8153" t="str">
        <f>IFERROR(__xludf.DUMMYFUNCTION("""COMPUTED_VALUE"""),"2016-05-27-J06-CU-3")</f>
        <v>2016-05-27-J06-CU-3</v>
      </c>
    </row>
    <row r="8154">
      <c r="A8154" t="str">
        <f>IFERROR(__xludf.DUMMYFUNCTION("""COMPUTED_VALUE"""),"2016-05-27-J06-CU-4")</f>
        <v>2016-05-27-J06-CU-4</v>
      </c>
    </row>
    <row r="8155">
      <c r="A8155" t="str">
        <f>IFERROR(__xludf.DUMMYFUNCTION("""COMPUTED_VALUE"""),"2016-05-27-J06-CU-5")</f>
        <v>2016-05-27-J06-CU-5</v>
      </c>
    </row>
    <row r="8156">
      <c r="A8156" t="str">
        <f>IFERROR(__xludf.DUMMYFUNCTION("""COMPUTED_VALUE"""),"2016-05-27-J06-CU-6")</f>
        <v>2016-05-27-J06-CU-6</v>
      </c>
    </row>
    <row r="8157">
      <c r="A8157" t="str">
        <f>IFERROR(__xludf.DUMMYFUNCTION("""COMPUTED_VALUE"""),"2016-05-27-J06-CU-7")</f>
        <v>2016-05-27-J06-CU-7</v>
      </c>
    </row>
    <row r="8158">
      <c r="A8158" t="str">
        <f>IFERROR(__xludf.DUMMYFUNCTION("""COMPUTED_VALUE"""),"2016-05-27-J06-CU-8")</f>
        <v>2016-05-27-J06-CU-8</v>
      </c>
    </row>
    <row r="8159">
      <c r="A8159" t="str">
        <f>IFERROR(__xludf.DUMMYFUNCTION("""COMPUTED_VALUE"""),"2016-05-27-J06-CU-9")</f>
        <v>2016-05-27-J06-CU-9</v>
      </c>
    </row>
    <row r="8160">
      <c r="A8160" t="str">
        <f>IFERROR(__xludf.DUMMYFUNCTION("""COMPUTED_VALUE"""),"2016-05-27-J06-CU-10")</f>
        <v>2016-05-27-J06-CU-10</v>
      </c>
    </row>
    <row r="8161">
      <c r="A8161" t="str">
        <f>IFERROR(__xludf.DUMMYFUNCTION("""COMPUTED_VALUE"""),"2016-05-27-J09-CU-1")</f>
        <v>2016-05-27-J09-CU-1</v>
      </c>
    </row>
    <row r="8162">
      <c r="A8162" t="str">
        <f>IFERROR(__xludf.DUMMYFUNCTION("""COMPUTED_VALUE"""),"2016-05-27-J01-CU-1")</f>
        <v>2016-05-27-J01-CU-1</v>
      </c>
    </row>
    <row r="8163">
      <c r="A8163" t="str">
        <f>IFERROR(__xludf.DUMMYFUNCTION("""COMPUTED_VALUE"""),"2016-05-27-J01-CU-2")</f>
        <v>2016-05-27-J01-CU-2</v>
      </c>
    </row>
    <row r="8164">
      <c r="A8164" t="str">
        <f>IFERROR(__xludf.DUMMYFUNCTION("""COMPUTED_VALUE"""),"2016-05-27-J01-CU-3")</f>
        <v>2016-05-27-J01-CU-3</v>
      </c>
    </row>
    <row r="8165">
      <c r="A8165" t="str">
        <f>IFERROR(__xludf.DUMMYFUNCTION("""COMPUTED_VALUE"""),"2016-05-27-J01-CU-4")</f>
        <v>2016-05-27-J01-CU-4</v>
      </c>
    </row>
    <row r="8166">
      <c r="A8166" t="str">
        <f>IFERROR(__xludf.DUMMYFUNCTION("""COMPUTED_VALUE"""),"2016-05-27-J01-CU-5")</f>
        <v>2016-05-27-J01-CU-5</v>
      </c>
    </row>
    <row r="8167">
      <c r="A8167" t="str">
        <f>IFERROR(__xludf.DUMMYFUNCTION("""COMPUTED_VALUE"""),"2016-05-27-J01-CU-6")</f>
        <v>2016-05-27-J01-CU-6</v>
      </c>
    </row>
    <row r="8168">
      <c r="A8168" t="str">
        <f>IFERROR(__xludf.DUMMYFUNCTION("""COMPUTED_VALUE"""),"2016-05-27-J01-CU-7")</f>
        <v>2016-05-27-J01-CU-7</v>
      </c>
    </row>
    <row r="8169">
      <c r="A8169" t="str">
        <f>IFERROR(__xludf.DUMMYFUNCTION("""COMPUTED_VALUE"""),"2016-05-27-J01-CU-8")</f>
        <v>2016-05-27-J01-CU-8</v>
      </c>
    </row>
    <row r="8170">
      <c r="A8170" t="str">
        <f>IFERROR(__xludf.DUMMYFUNCTION("""COMPUTED_VALUE"""),"2016-05-27-J01-CU-9")</f>
        <v>2016-05-27-J01-CU-9</v>
      </c>
    </row>
    <row r="8171">
      <c r="A8171" t="str">
        <f>IFERROR(__xludf.DUMMYFUNCTION("""COMPUTED_VALUE"""),"2016-05-27-J01-CU-10")</f>
        <v>2016-05-27-J01-CU-10</v>
      </c>
    </row>
    <row r="8172">
      <c r="A8172" t="str">
        <f>IFERROR(__xludf.DUMMYFUNCTION("""COMPUTED_VALUE"""),"2016-05-27-J06-CO-1")</f>
        <v>2016-05-27-J06-CO-1</v>
      </c>
    </row>
    <row r="8173">
      <c r="A8173" t="str">
        <f>IFERROR(__xludf.DUMMYFUNCTION("""COMPUTED_VALUE"""),"2016-05-27-J06-CO-2")</f>
        <v>2016-05-27-J06-CO-2</v>
      </c>
    </row>
    <row r="8174">
      <c r="A8174" t="str">
        <f>IFERROR(__xludf.DUMMYFUNCTION("""COMPUTED_VALUE"""),"2016-05-27-J06-CO-3")</f>
        <v>2016-05-27-J06-CO-3</v>
      </c>
    </row>
    <row r="8175">
      <c r="A8175" t="str">
        <f>IFERROR(__xludf.DUMMYFUNCTION("""COMPUTED_VALUE"""),"2016-05-27-J06-CO-4")</f>
        <v>2016-05-27-J06-CO-4</v>
      </c>
    </row>
    <row r="8176">
      <c r="A8176" t="str">
        <f>IFERROR(__xludf.DUMMYFUNCTION("""COMPUTED_VALUE"""),"2016-05-27-J06-CO-5")</f>
        <v>2016-05-27-J06-CO-5</v>
      </c>
    </row>
    <row r="8177">
      <c r="A8177" t="str">
        <f>IFERROR(__xludf.DUMMYFUNCTION("""COMPUTED_VALUE"""),"2016-05-27-J06-CO-6")</f>
        <v>2016-05-27-J06-CO-6</v>
      </c>
    </row>
    <row r="8178">
      <c r="A8178" t="str">
        <f>IFERROR(__xludf.DUMMYFUNCTION("""COMPUTED_VALUE"""),"2016-05-27-J06-CO-7")</f>
        <v>2016-05-27-J06-CO-7</v>
      </c>
    </row>
    <row r="8179">
      <c r="A8179" t="str">
        <f>IFERROR(__xludf.DUMMYFUNCTION("""COMPUTED_VALUE"""),"2016-05-27-J07-CO-1")</f>
        <v>2016-05-27-J07-CO-1</v>
      </c>
    </row>
    <row r="8180">
      <c r="A8180" t="str">
        <f>IFERROR(__xludf.DUMMYFUNCTION("""COMPUTED_VALUE"""),"2016-05-27-J07-CO-2")</f>
        <v>2016-05-27-J07-CO-2</v>
      </c>
    </row>
    <row r="8181">
      <c r="A8181" t="str">
        <f>IFERROR(__xludf.DUMMYFUNCTION("""COMPUTED_VALUE"""),"2016-05-27-J07-CO-3")</f>
        <v>2016-05-27-J07-CO-3</v>
      </c>
    </row>
    <row r="8182">
      <c r="A8182" t="str">
        <f>IFERROR(__xludf.DUMMYFUNCTION("""COMPUTED_VALUE"""),"2016-05-27-J07-CO-4")</f>
        <v>2016-05-27-J07-CO-4</v>
      </c>
    </row>
    <row r="8183">
      <c r="A8183" t="str">
        <f>IFERROR(__xludf.DUMMYFUNCTION("""COMPUTED_VALUE"""),"2016-05-27-J07-CO-5")</f>
        <v>2016-05-27-J07-CO-5</v>
      </c>
    </row>
    <row r="8184">
      <c r="A8184" t="str">
        <f>IFERROR(__xludf.DUMMYFUNCTION("""COMPUTED_VALUE"""),"2016-05-27-J07-CO-6")</f>
        <v>2016-05-27-J07-CO-6</v>
      </c>
    </row>
    <row r="8185">
      <c r="A8185" t="str">
        <f>IFERROR(__xludf.DUMMYFUNCTION("""COMPUTED_VALUE"""),"2016-05-27-J07-CO-7")</f>
        <v>2016-05-27-J07-CO-7</v>
      </c>
    </row>
    <row r="8186">
      <c r="A8186" t="str">
        <f>IFERROR(__xludf.DUMMYFUNCTION("""COMPUTED_VALUE"""),"2016-05-27-J07-CO-8")</f>
        <v>2016-05-27-J07-CO-8</v>
      </c>
    </row>
    <row r="8187">
      <c r="A8187" t="str">
        <f>IFERROR(__xludf.DUMMYFUNCTION("""COMPUTED_VALUE"""),"2016-05-27-J07-CO-9")</f>
        <v>2016-05-27-J07-CO-9</v>
      </c>
    </row>
    <row r="8188">
      <c r="A8188" t="str">
        <f>IFERROR(__xludf.DUMMYFUNCTION("""COMPUTED_VALUE"""),"2016-05-27-J07-CO-10")</f>
        <v>2016-05-27-J07-CO-10</v>
      </c>
    </row>
    <row r="8189">
      <c r="A8189" t="str">
        <f>IFERROR(__xludf.DUMMYFUNCTION("""COMPUTED_VALUE"""),"2016-05-27-J09-CO-1")</f>
        <v>2016-05-27-J09-CO-1</v>
      </c>
    </row>
    <row r="8190">
      <c r="A8190" t="str">
        <f>IFERROR(__xludf.DUMMYFUNCTION("""COMPUTED_VALUE"""),"2016-05-27-J01-CO-1")</f>
        <v>2016-05-27-J01-CO-1</v>
      </c>
    </row>
    <row r="8191">
      <c r="A8191" t="str">
        <f>IFERROR(__xludf.DUMMYFUNCTION("""COMPUTED_VALUE"""),"2016-05-27-D09-HE-1")</f>
        <v>2016-05-27-D09-HE-1</v>
      </c>
    </row>
    <row r="8192">
      <c r="A8192" t="str">
        <f>IFERROR(__xludf.DUMMYFUNCTION("""COMPUTED_VALUE"""),"2016-05-27-D09-HE-2")</f>
        <v>2016-05-27-D09-HE-2</v>
      </c>
    </row>
    <row r="8193">
      <c r="A8193" t="str">
        <f>IFERROR(__xludf.DUMMYFUNCTION("""COMPUTED_VALUE"""),"2016-05-27-D09-HE-3")</f>
        <v>2016-05-27-D09-HE-3</v>
      </c>
    </row>
    <row r="8194">
      <c r="A8194" t="str">
        <f>IFERROR(__xludf.DUMMYFUNCTION("""COMPUTED_VALUE"""),"2016-05-27-D09-HE-4")</f>
        <v>2016-05-27-D09-HE-4</v>
      </c>
    </row>
    <row r="8195">
      <c r="A8195" t="str">
        <f>IFERROR(__xludf.DUMMYFUNCTION("""COMPUTED_VALUE"""),"2016-05-28-J02-SO-1")</f>
        <v>2016-05-28-J02-SO-1</v>
      </c>
    </row>
    <row r="8196">
      <c r="A8196" t="str">
        <f>IFERROR(__xludf.DUMMYFUNCTION("""COMPUTED_VALUE"""),"2016-05-28-J02-SO-2")</f>
        <v>2016-05-28-J02-SO-2</v>
      </c>
    </row>
    <row r="8197">
      <c r="A8197" t="str">
        <f>IFERROR(__xludf.DUMMYFUNCTION("""COMPUTED_VALUE"""),"2016-05-28-J02-SO-3")</f>
        <v>2016-05-28-J02-SO-3</v>
      </c>
    </row>
    <row r="8198">
      <c r="A8198" t="str">
        <f>IFERROR(__xludf.DUMMYFUNCTION("""COMPUTED_VALUE"""),"2016-05-28-J02-SO-4")</f>
        <v>2016-05-28-J02-SO-4</v>
      </c>
    </row>
    <row r="8199">
      <c r="A8199" t="str">
        <f>IFERROR(__xludf.DUMMYFUNCTION("""COMPUTED_VALUE"""),"2016-05-28-J02-SO-5")</f>
        <v>2016-05-28-J02-SO-5</v>
      </c>
    </row>
    <row r="8200">
      <c r="A8200" t="str">
        <f>IFERROR(__xludf.DUMMYFUNCTION("""COMPUTED_VALUE"""),"2016-05-28-J02-SO-6")</f>
        <v>2016-05-28-J02-SO-6</v>
      </c>
    </row>
    <row r="8201">
      <c r="A8201" t="str">
        <f>IFERROR(__xludf.DUMMYFUNCTION("""COMPUTED_VALUE"""),"2016-05-28-J02-SO-7")</f>
        <v>2016-05-28-J02-SO-7</v>
      </c>
    </row>
    <row r="8202">
      <c r="A8202" t="str">
        <f>IFERROR(__xludf.DUMMYFUNCTION("""COMPUTED_VALUE"""),"2016-05-28-J02-SO-8")</f>
        <v>2016-05-28-J02-SO-8</v>
      </c>
    </row>
    <row r="8203">
      <c r="A8203" t="str">
        <f>IFERROR(__xludf.DUMMYFUNCTION("""COMPUTED_VALUE"""),"2016-05-28-J02-SO-9")</f>
        <v>2016-05-28-J02-SO-9</v>
      </c>
    </row>
    <row r="8204">
      <c r="A8204" t="str">
        <f>IFERROR(__xludf.DUMMYFUNCTION("""COMPUTED_VALUE"""),"2016-05-28-J02-SO-10")</f>
        <v>2016-05-28-J02-SO-10</v>
      </c>
    </row>
    <row r="8205">
      <c r="A8205" t="str">
        <f>IFERROR(__xludf.DUMMYFUNCTION("""COMPUTED_VALUE"""),"2016-05-28-J02-SO-11")</f>
        <v>2016-05-28-J02-SO-11</v>
      </c>
    </row>
    <row r="8206">
      <c r="A8206" t="str">
        <f>IFERROR(__xludf.DUMMYFUNCTION("""COMPUTED_VALUE"""),"2016-05-28-J02-SO-12")</f>
        <v>2016-05-28-J02-SO-12</v>
      </c>
    </row>
    <row r="8207">
      <c r="A8207" t="str">
        <f>IFERROR(__xludf.DUMMYFUNCTION("""COMPUTED_VALUE"""),"2016-05-28-J02-SO-13")</f>
        <v>2016-05-28-J02-SO-13</v>
      </c>
    </row>
    <row r="8208">
      <c r="A8208" t="str">
        <f>IFERROR(__xludf.DUMMYFUNCTION("""COMPUTED_VALUE"""),"2016-05-28-J02-SO-14")</f>
        <v>2016-05-28-J02-SO-14</v>
      </c>
    </row>
    <row r="8209">
      <c r="A8209" t="str">
        <f>IFERROR(__xludf.DUMMYFUNCTION("""COMPUTED_VALUE"""),"2016-05-28-J02-SO-15")</f>
        <v>2016-05-28-J02-SO-15</v>
      </c>
    </row>
    <row r="8210">
      <c r="A8210" t="str">
        <f>IFERROR(__xludf.DUMMYFUNCTION("""COMPUTED_VALUE"""),"2016-05-28-J02-SO-16")</f>
        <v>2016-05-28-J02-SO-16</v>
      </c>
    </row>
    <row r="8211">
      <c r="A8211" t="str">
        <f>IFERROR(__xludf.DUMMYFUNCTION("""COMPUTED_VALUE"""),"2016-05-28-J02-SO-17")</f>
        <v>2016-05-28-J02-SO-17</v>
      </c>
    </row>
    <row r="8212">
      <c r="A8212" t="str">
        <f>IFERROR(__xludf.DUMMYFUNCTION("""COMPUTED_VALUE"""),"2016-05-28-J02-SO-18")</f>
        <v>2016-05-28-J02-SO-18</v>
      </c>
    </row>
    <row r="8213">
      <c r="A8213" t="str">
        <f>IFERROR(__xludf.DUMMYFUNCTION("""COMPUTED_VALUE"""),"2016-05-28-J02-SO-19")</f>
        <v>2016-05-28-J02-SO-19</v>
      </c>
    </row>
    <row r="8214">
      <c r="A8214" t="str">
        <f>IFERROR(__xludf.DUMMYFUNCTION("""COMPUTED_VALUE"""),"2016-05-28-J02-SO-20")</f>
        <v>2016-05-28-J02-SO-20</v>
      </c>
    </row>
    <row r="8215">
      <c r="A8215" t="str">
        <f>IFERROR(__xludf.DUMMYFUNCTION("""COMPUTED_VALUE"""),"2016-05-28-J02-SO-21")</f>
        <v>2016-05-28-J02-SO-21</v>
      </c>
    </row>
    <row r="8216">
      <c r="A8216" t="str">
        <f>IFERROR(__xludf.DUMMYFUNCTION("""COMPUTED_VALUE"""),"2016-05-28-J02-SO-22")</f>
        <v>2016-05-28-J02-SO-22</v>
      </c>
    </row>
    <row r="8217">
      <c r="A8217" t="str">
        <f>IFERROR(__xludf.DUMMYFUNCTION("""COMPUTED_VALUE"""),"2016-05-28-J02-SO-23")</f>
        <v>2016-05-28-J02-SO-23</v>
      </c>
    </row>
    <row r="8218">
      <c r="A8218" t="str">
        <f>IFERROR(__xludf.DUMMYFUNCTION("""COMPUTED_VALUE"""),"2016-05-28-J02-SO-24")</f>
        <v>2016-05-28-J02-SO-24</v>
      </c>
    </row>
    <row r="8219">
      <c r="A8219" t="str">
        <f>IFERROR(__xludf.DUMMYFUNCTION("""COMPUTED_VALUE"""),"2016-05-28-J02-SO-25")</f>
        <v>2016-05-28-J02-SO-25</v>
      </c>
    </row>
    <row r="8220">
      <c r="A8220" t="str">
        <f>IFERROR(__xludf.DUMMYFUNCTION("""COMPUTED_VALUE"""),"2016-05-28-J02-SO-26")</f>
        <v>2016-05-28-J02-SO-26</v>
      </c>
    </row>
    <row r="8221">
      <c r="A8221" t="str">
        <f>IFERROR(__xludf.DUMMYFUNCTION("""COMPUTED_VALUE"""),"2016-05-28-J02-SO-27")</f>
        <v>2016-05-28-J02-SO-27</v>
      </c>
    </row>
    <row r="8222">
      <c r="A8222" t="str">
        <f>IFERROR(__xludf.DUMMYFUNCTION("""COMPUTED_VALUE"""),"2016-05-28-J02-SO-28")</f>
        <v>2016-05-28-J02-SO-28</v>
      </c>
    </row>
    <row r="8223">
      <c r="A8223" t="str">
        <f>IFERROR(__xludf.DUMMYFUNCTION("""COMPUTED_VALUE"""),"2016-05-28-J02-SO-29")</f>
        <v>2016-05-28-J02-SO-29</v>
      </c>
    </row>
    <row r="8224">
      <c r="A8224" t="str">
        <f>IFERROR(__xludf.DUMMYFUNCTION("""COMPUTED_VALUE"""),"2016-05-28-J02-SO-30")</f>
        <v>2016-05-28-J02-SO-30</v>
      </c>
    </row>
    <row r="8225">
      <c r="A8225" t="str">
        <f>IFERROR(__xludf.DUMMYFUNCTION("""COMPUTED_VALUE"""),"2016-05-28-J03-SO-1")</f>
        <v>2016-05-28-J03-SO-1</v>
      </c>
    </row>
    <row r="8226">
      <c r="A8226" t="str">
        <f>IFERROR(__xludf.DUMMYFUNCTION("""COMPUTED_VALUE"""),"2016-05-28-J03-SO-2")</f>
        <v>2016-05-28-J03-SO-2</v>
      </c>
    </row>
    <row r="8227">
      <c r="A8227" t="str">
        <f>IFERROR(__xludf.DUMMYFUNCTION("""COMPUTED_VALUE"""),"2016-05-28-J03-SO-3")</f>
        <v>2016-05-28-J03-SO-3</v>
      </c>
    </row>
    <row r="8228">
      <c r="A8228" t="str">
        <f>IFERROR(__xludf.DUMMYFUNCTION("""COMPUTED_VALUE"""),"2016-05-28-J03-SO-4")</f>
        <v>2016-05-28-J03-SO-4</v>
      </c>
    </row>
    <row r="8229">
      <c r="A8229" t="str">
        <f>IFERROR(__xludf.DUMMYFUNCTION("""COMPUTED_VALUE"""),"2016-05-28-J03-SO-5")</f>
        <v>2016-05-28-J03-SO-5</v>
      </c>
    </row>
    <row r="8230">
      <c r="A8230" t="str">
        <f>IFERROR(__xludf.DUMMYFUNCTION("""COMPUTED_VALUE"""),"2016-05-28-J03-SO-6")</f>
        <v>2016-05-28-J03-SO-6</v>
      </c>
    </row>
    <row r="8231">
      <c r="A8231" t="str">
        <f>IFERROR(__xludf.DUMMYFUNCTION("""COMPUTED_VALUE"""),"2016-05-28-J03-SO-7")</f>
        <v>2016-05-28-J03-SO-7</v>
      </c>
    </row>
    <row r="8232">
      <c r="A8232" t="str">
        <f>IFERROR(__xludf.DUMMYFUNCTION("""COMPUTED_VALUE"""),"2016-05-28-J03-SO-8")</f>
        <v>2016-05-28-J03-SO-8</v>
      </c>
    </row>
    <row r="8233">
      <c r="A8233" t="str">
        <f>IFERROR(__xludf.DUMMYFUNCTION("""COMPUTED_VALUE"""),"2016-05-28-J03-SO-9")</f>
        <v>2016-05-28-J03-SO-9</v>
      </c>
    </row>
    <row r="8234">
      <c r="A8234" t="str">
        <f>IFERROR(__xludf.DUMMYFUNCTION("""COMPUTED_VALUE"""),"2016-05-28-J03-SO-10")</f>
        <v>2016-05-28-J03-SO-10</v>
      </c>
    </row>
    <row r="8235">
      <c r="A8235" t="str">
        <f>IFERROR(__xludf.DUMMYFUNCTION("""COMPUTED_VALUE"""),"2016-05-28-J03-SO-11")</f>
        <v>2016-05-28-J03-SO-11</v>
      </c>
    </row>
    <row r="8236">
      <c r="A8236" t="str">
        <f>IFERROR(__xludf.DUMMYFUNCTION("""COMPUTED_VALUE"""),"2016-05-28-J03-SO-12")</f>
        <v>2016-05-28-J03-SO-12</v>
      </c>
    </row>
    <row r="8237">
      <c r="A8237" t="str">
        <f>IFERROR(__xludf.DUMMYFUNCTION("""COMPUTED_VALUE"""),"2016-05-28-J03-SO-13")</f>
        <v>2016-05-28-J03-SO-13</v>
      </c>
    </row>
    <row r="8238">
      <c r="A8238" t="str">
        <f>IFERROR(__xludf.DUMMYFUNCTION("""COMPUTED_VALUE"""),"2016-05-28-J03-SO-14")</f>
        <v>2016-05-28-J03-SO-14</v>
      </c>
    </row>
    <row r="8239">
      <c r="A8239" t="str">
        <f>IFERROR(__xludf.DUMMYFUNCTION("""COMPUTED_VALUE"""),"2016-05-28-J03-SO-15")</f>
        <v>2016-05-28-J03-SO-15</v>
      </c>
    </row>
    <row r="8240">
      <c r="A8240" t="str">
        <f>IFERROR(__xludf.DUMMYFUNCTION("""COMPUTED_VALUE"""),"2016-05-28-J03-SO-16")</f>
        <v>2016-05-28-J03-SO-16</v>
      </c>
    </row>
    <row r="8241">
      <c r="A8241" t="str">
        <f>IFERROR(__xludf.DUMMYFUNCTION("""COMPUTED_VALUE"""),"2016-05-28-J03-SO-17")</f>
        <v>2016-05-28-J03-SO-17</v>
      </c>
    </row>
    <row r="8242">
      <c r="A8242" t="str">
        <f>IFERROR(__xludf.DUMMYFUNCTION("""COMPUTED_VALUE"""),"2016-05-28-J03-SO-18")</f>
        <v>2016-05-28-J03-SO-18</v>
      </c>
    </row>
    <row r="8243">
      <c r="A8243" t="str">
        <f>IFERROR(__xludf.DUMMYFUNCTION("""COMPUTED_VALUE"""),"2016-05-28-J03-SO-19")</f>
        <v>2016-05-28-J03-SO-19</v>
      </c>
    </row>
    <row r="8244">
      <c r="A8244" t="str">
        <f>IFERROR(__xludf.DUMMYFUNCTION("""COMPUTED_VALUE"""),"2016-05-28-J03-SO-20")</f>
        <v>2016-05-28-J03-SO-20</v>
      </c>
    </row>
    <row r="8245">
      <c r="A8245" t="str">
        <f>IFERROR(__xludf.DUMMYFUNCTION("""COMPUTED_VALUE"""),"2016-05-28-J03-SO-21")</f>
        <v>2016-05-28-J03-SO-21</v>
      </c>
    </row>
    <row r="8246">
      <c r="A8246" t="str">
        <f>IFERROR(__xludf.DUMMYFUNCTION("""COMPUTED_VALUE"""),"2016-05-28-J03-SO-22")</f>
        <v>2016-05-28-J03-SO-22</v>
      </c>
    </row>
    <row r="8247">
      <c r="A8247" t="str">
        <f>IFERROR(__xludf.DUMMYFUNCTION("""COMPUTED_VALUE"""),"2016-05-28-J03-SO-23")</f>
        <v>2016-05-28-J03-SO-23</v>
      </c>
    </row>
    <row r="8248">
      <c r="A8248" t="str">
        <f>IFERROR(__xludf.DUMMYFUNCTION("""COMPUTED_VALUE"""),"2016-05-28-J03-SO-24")</f>
        <v>2016-05-28-J03-SO-24</v>
      </c>
    </row>
    <row r="8249">
      <c r="A8249" t="str">
        <f>IFERROR(__xludf.DUMMYFUNCTION("""COMPUTED_VALUE"""),"2016-05-28-J03-SO-25")</f>
        <v>2016-05-28-J03-SO-25</v>
      </c>
    </row>
    <row r="8250">
      <c r="A8250" t="str">
        <f>IFERROR(__xludf.DUMMYFUNCTION("""COMPUTED_VALUE"""),"2016-05-28-J03-SO-26")</f>
        <v>2016-05-28-J03-SO-26</v>
      </c>
    </row>
    <row r="8251">
      <c r="A8251" t="str">
        <f>IFERROR(__xludf.DUMMYFUNCTION("""COMPUTED_VALUE"""),"2016-05-28-J03-SO-27")</f>
        <v>2016-05-28-J03-SO-27</v>
      </c>
    </row>
    <row r="8252">
      <c r="A8252" t="str">
        <f>IFERROR(__xludf.DUMMYFUNCTION("""COMPUTED_VALUE"""),"2016-05-28-J03-SO-28")</f>
        <v>2016-05-28-J03-SO-28</v>
      </c>
    </row>
    <row r="8253">
      <c r="A8253" t="str">
        <f>IFERROR(__xludf.DUMMYFUNCTION("""COMPUTED_VALUE"""),"2016-05-28-J03-SO-29")</f>
        <v>2016-05-28-J03-SO-29</v>
      </c>
    </row>
    <row r="8254">
      <c r="A8254" t="str">
        <f>IFERROR(__xludf.DUMMYFUNCTION("""COMPUTED_VALUE"""),"2016-05-28-J03-SO-30")</f>
        <v>2016-05-28-J03-SO-30</v>
      </c>
    </row>
    <row r="8255">
      <c r="A8255" t="str">
        <f>IFERROR(__xludf.DUMMYFUNCTION("""COMPUTED_VALUE"""),"2016-05-28-J02-PI-1")</f>
        <v>2016-05-28-J02-PI-1</v>
      </c>
    </row>
    <row r="8256">
      <c r="A8256" t="str">
        <f>IFERROR(__xludf.DUMMYFUNCTION("""COMPUTED_VALUE"""),"2016-05-28-J02-PI-2")</f>
        <v>2016-05-28-J02-PI-2</v>
      </c>
    </row>
    <row r="8257">
      <c r="A8257" t="str">
        <f>IFERROR(__xludf.DUMMYFUNCTION("""COMPUTED_VALUE"""),"2016-05-28-J02-PI-3")</f>
        <v>2016-05-28-J02-PI-3</v>
      </c>
    </row>
    <row r="8258">
      <c r="A8258" t="str">
        <f>IFERROR(__xludf.DUMMYFUNCTION("""COMPUTED_VALUE"""),"2016-05-28-J02-PI-4")</f>
        <v>2016-05-28-J02-PI-4</v>
      </c>
    </row>
    <row r="8259">
      <c r="A8259" t="str">
        <f>IFERROR(__xludf.DUMMYFUNCTION("""COMPUTED_VALUE"""),"2016-05-28-J02-PI-5")</f>
        <v>2016-05-28-J02-PI-5</v>
      </c>
    </row>
    <row r="8260">
      <c r="A8260" t="str">
        <f>IFERROR(__xludf.DUMMYFUNCTION("""COMPUTED_VALUE"""),"2016-05-28-J02-PI-6")</f>
        <v>2016-05-28-J02-PI-6</v>
      </c>
    </row>
    <row r="8261">
      <c r="A8261" t="str">
        <f>IFERROR(__xludf.DUMMYFUNCTION("""COMPUTED_VALUE"""),"2016-05-28-J02-CU-1")</f>
        <v>2016-05-28-J02-CU-1</v>
      </c>
    </row>
    <row r="8262">
      <c r="A8262" t="str">
        <f>IFERROR(__xludf.DUMMYFUNCTION("""COMPUTED_VALUE"""),"2016-05-28-J02-CU-2")</f>
        <v>2016-05-28-J02-CU-2</v>
      </c>
    </row>
    <row r="8263">
      <c r="A8263" t="str">
        <f>IFERROR(__xludf.DUMMYFUNCTION("""COMPUTED_VALUE"""),"2016-05-28-J02-CU-3")</f>
        <v>2016-05-28-J02-CU-3</v>
      </c>
    </row>
    <row r="8264">
      <c r="A8264" t="str">
        <f>IFERROR(__xludf.DUMMYFUNCTION("""COMPUTED_VALUE"""),"2016-05-28-J02-CU-4")</f>
        <v>2016-05-28-J02-CU-4</v>
      </c>
    </row>
    <row r="8265">
      <c r="A8265" t="str">
        <f>IFERROR(__xludf.DUMMYFUNCTION("""COMPUTED_VALUE"""),"2016-05-28-J02-CU-5")</f>
        <v>2016-05-28-J02-CU-5</v>
      </c>
    </row>
    <row r="8266">
      <c r="A8266" t="str">
        <f>IFERROR(__xludf.DUMMYFUNCTION("""COMPUTED_VALUE"""),"2016-05-28-J02-CU-6")</f>
        <v>2016-05-28-J02-CU-6</v>
      </c>
    </row>
    <row r="8267">
      <c r="A8267" t="str">
        <f>IFERROR(__xludf.DUMMYFUNCTION("""COMPUTED_VALUE"""),"2016-05-28-J02-CU-7")</f>
        <v>2016-05-28-J02-CU-7</v>
      </c>
    </row>
    <row r="8268">
      <c r="A8268" t="str">
        <f>IFERROR(__xludf.DUMMYFUNCTION("""COMPUTED_VALUE"""),"2016-05-28-J02-CU-8")</f>
        <v>2016-05-28-J02-CU-8</v>
      </c>
    </row>
    <row r="8269">
      <c r="A8269" t="str">
        <f>IFERROR(__xludf.DUMMYFUNCTION("""COMPUTED_VALUE"""),"2016-05-28-J02-CU-9")</f>
        <v>2016-05-28-J02-CU-9</v>
      </c>
    </row>
    <row r="8270">
      <c r="A8270" t="str">
        <f>IFERROR(__xludf.DUMMYFUNCTION("""COMPUTED_VALUE"""),"2016-05-28-J02-CU-10")</f>
        <v>2016-05-28-J02-CU-10</v>
      </c>
    </row>
    <row r="8271">
      <c r="A8271" t="str">
        <f>IFERROR(__xludf.DUMMYFUNCTION("""COMPUTED_VALUE"""),"2016-05-28-J03-CU-1")</f>
        <v>2016-05-28-J03-CU-1</v>
      </c>
    </row>
    <row r="8272">
      <c r="A8272" t="str">
        <f>IFERROR(__xludf.DUMMYFUNCTION("""COMPUTED_VALUE"""),"2016-05-28-J03-CO-1")</f>
        <v>2016-05-28-J03-CO-1</v>
      </c>
    </row>
    <row r="8273">
      <c r="A8273" t="str">
        <f>IFERROR(__xludf.DUMMYFUNCTION("""COMPUTED_VALUE"""),"2016-05-28-J03-CO-2")</f>
        <v>2016-05-28-J03-CO-2</v>
      </c>
    </row>
    <row r="8274">
      <c r="A8274" t="str">
        <f>IFERROR(__xludf.DUMMYFUNCTION("""COMPUTED_VALUE"""),"2016-05-28-J03-CO-3")</f>
        <v>2016-05-28-J03-CO-3</v>
      </c>
    </row>
    <row r="8275">
      <c r="A8275" t="str">
        <f>IFERROR(__xludf.DUMMYFUNCTION("""COMPUTED_VALUE"""),"2016-05-28-J03-CO-4")</f>
        <v>2016-05-28-J03-CO-4</v>
      </c>
    </row>
    <row r="8276">
      <c r="A8276" t="str">
        <f>IFERROR(__xludf.DUMMYFUNCTION("""COMPUTED_VALUE"""),"2016-05-28-J03-CO-5")</f>
        <v>2016-05-28-J03-CO-5</v>
      </c>
    </row>
    <row r="8277">
      <c r="A8277" t="str">
        <f>IFERROR(__xludf.DUMMYFUNCTION("""COMPUTED_VALUE"""),"2016-05-28-J03-CO-6")</f>
        <v>2016-05-28-J03-CO-6</v>
      </c>
    </row>
    <row r="8278">
      <c r="A8278" t="str">
        <f>IFERROR(__xludf.DUMMYFUNCTION("""COMPUTED_VALUE"""),"2016-05-28-J03-CO-7")</f>
        <v>2016-05-28-J03-CO-7</v>
      </c>
    </row>
    <row r="8279">
      <c r="A8279" t="str">
        <f>IFERROR(__xludf.DUMMYFUNCTION("""COMPUTED_VALUE"""),"2016-05-28-J03-CO-8")</f>
        <v>2016-05-28-J03-CO-8</v>
      </c>
    </row>
    <row r="8280">
      <c r="A8280" t="str">
        <f>IFERROR(__xludf.DUMMYFUNCTION("""COMPUTED_VALUE"""),"2016-05-28-J03-CO-9")</f>
        <v>2016-05-28-J03-CO-9</v>
      </c>
    </row>
    <row r="8281">
      <c r="A8281" t="str">
        <f>IFERROR(__xludf.DUMMYFUNCTION("""COMPUTED_VALUE"""),"2016-05-28-J03-CO-10")</f>
        <v>2016-05-28-J03-CO-10</v>
      </c>
    </row>
    <row r="8282">
      <c r="A8282" t="str">
        <f>IFERROR(__xludf.DUMMYFUNCTION("""COMPUTED_VALUE"""),"2016-06-01-D09-SO-1")</f>
        <v>2016-06-01-D09-SO-1</v>
      </c>
    </row>
    <row r="8283">
      <c r="A8283" t="str">
        <f>IFERROR(__xludf.DUMMYFUNCTION("""COMPUTED_VALUE"""),"2016-06-01-D09-SO-2")</f>
        <v>2016-06-01-D09-SO-2</v>
      </c>
    </row>
    <row r="8284">
      <c r="A8284" t="str">
        <f>IFERROR(__xludf.DUMMYFUNCTION("""COMPUTED_VALUE"""),"2016-06-01-D09-SO-3")</f>
        <v>2016-06-01-D09-SO-3</v>
      </c>
    </row>
    <row r="8285">
      <c r="A8285" t="str">
        <f>IFERROR(__xludf.DUMMYFUNCTION("""COMPUTED_VALUE"""),"2016-06-01-D09-SO-4")</f>
        <v>2016-06-01-D09-SO-4</v>
      </c>
    </row>
    <row r="8286">
      <c r="A8286" t="str">
        <f>IFERROR(__xludf.DUMMYFUNCTION("""COMPUTED_VALUE"""),"2016-06-01-D09-SO-5")</f>
        <v>2016-06-01-D09-SO-5</v>
      </c>
    </row>
    <row r="8287">
      <c r="A8287" t="str">
        <f>IFERROR(__xludf.DUMMYFUNCTION("""COMPUTED_VALUE"""),"2016-06-01-D09-SO-6")</f>
        <v>2016-06-01-D09-SO-6</v>
      </c>
    </row>
    <row r="8288">
      <c r="A8288" t="str">
        <f>IFERROR(__xludf.DUMMYFUNCTION("""COMPUTED_VALUE"""),"2016-06-01-D09-SO-7")</f>
        <v>2016-06-01-D09-SO-7</v>
      </c>
    </row>
    <row r="8289">
      <c r="A8289" t="str">
        <f>IFERROR(__xludf.DUMMYFUNCTION("""COMPUTED_VALUE"""),"2016-06-01-D09-SO-8")</f>
        <v>2016-06-01-D09-SO-8</v>
      </c>
    </row>
    <row r="8290">
      <c r="A8290" t="str">
        <f>IFERROR(__xludf.DUMMYFUNCTION("""COMPUTED_VALUE"""),"2016-06-01-D09-SO-9")</f>
        <v>2016-06-01-D09-SO-9</v>
      </c>
    </row>
    <row r="8291">
      <c r="A8291" t="str">
        <f>IFERROR(__xludf.DUMMYFUNCTION("""COMPUTED_VALUE"""),"2016-06-01-D09-SO-10")</f>
        <v>2016-06-01-D09-SO-10</v>
      </c>
    </row>
    <row r="8292">
      <c r="A8292" t="str">
        <f>IFERROR(__xludf.DUMMYFUNCTION("""COMPUTED_VALUE"""),"2016-06-01-D09-SO-11")</f>
        <v>2016-06-01-D09-SO-11</v>
      </c>
    </row>
    <row r="8293">
      <c r="A8293" t="str">
        <f>IFERROR(__xludf.DUMMYFUNCTION("""COMPUTED_VALUE"""),"2016-06-01-D09-SO-12")</f>
        <v>2016-06-01-D09-SO-12</v>
      </c>
    </row>
    <row r="8294">
      <c r="A8294" t="str">
        <f>IFERROR(__xludf.DUMMYFUNCTION("""COMPUTED_VALUE"""),"2016-06-01-D09-SO-13")</f>
        <v>2016-06-01-D09-SO-13</v>
      </c>
    </row>
    <row r="8295">
      <c r="A8295" t="str">
        <f>IFERROR(__xludf.DUMMYFUNCTION("""COMPUTED_VALUE"""),"2016-06-01-D09-SO-14")</f>
        <v>2016-06-01-D09-SO-14</v>
      </c>
    </row>
    <row r="8296">
      <c r="A8296" t="str">
        <f>IFERROR(__xludf.DUMMYFUNCTION("""COMPUTED_VALUE"""),"2016-06-01-D09-SO-15")</f>
        <v>2016-06-01-D09-SO-15</v>
      </c>
    </row>
    <row r="8297">
      <c r="A8297" t="str">
        <f>IFERROR(__xludf.DUMMYFUNCTION("""COMPUTED_VALUE"""),"2016-06-01-D09-SO-16")</f>
        <v>2016-06-01-D09-SO-16</v>
      </c>
    </row>
    <row r="8298">
      <c r="A8298" t="str">
        <f>IFERROR(__xludf.DUMMYFUNCTION("""COMPUTED_VALUE"""),"2016-06-01-D09-SO-17")</f>
        <v>2016-06-01-D09-SO-17</v>
      </c>
    </row>
    <row r="8299">
      <c r="A8299" t="str">
        <f>IFERROR(__xludf.DUMMYFUNCTION("""COMPUTED_VALUE"""),"2016-06-01-D09-SO-18")</f>
        <v>2016-06-01-D09-SO-18</v>
      </c>
    </row>
    <row r="8300">
      <c r="A8300" t="str">
        <f>IFERROR(__xludf.DUMMYFUNCTION("""COMPUTED_VALUE"""),"2016-06-01-D09-SO-19")</f>
        <v>2016-06-01-D09-SO-19</v>
      </c>
    </row>
    <row r="8301">
      <c r="A8301" t="str">
        <f>IFERROR(__xludf.DUMMYFUNCTION("""COMPUTED_VALUE"""),"2016-06-01-D09-SO-20")</f>
        <v>2016-06-01-D09-SO-20</v>
      </c>
    </row>
    <row r="8302">
      <c r="A8302" t="str">
        <f>IFERROR(__xludf.DUMMYFUNCTION("""COMPUTED_VALUE"""),"2016-06-01-D09-SO-21")</f>
        <v>2016-06-01-D09-SO-21</v>
      </c>
    </row>
    <row r="8303">
      <c r="A8303" t="str">
        <f>IFERROR(__xludf.DUMMYFUNCTION("""COMPUTED_VALUE"""),"2016-06-01-D09-SO-22")</f>
        <v>2016-06-01-D09-SO-22</v>
      </c>
    </row>
    <row r="8304">
      <c r="A8304" t="str">
        <f>IFERROR(__xludf.DUMMYFUNCTION("""COMPUTED_VALUE"""),"2016-06-01-D09-SO-23")</f>
        <v>2016-06-01-D09-SO-23</v>
      </c>
    </row>
    <row r="8305">
      <c r="A8305" t="str">
        <f>IFERROR(__xludf.DUMMYFUNCTION("""COMPUTED_VALUE"""),"2016-06-01-D09-SO-24")</f>
        <v>2016-06-01-D09-SO-24</v>
      </c>
    </row>
    <row r="8306">
      <c r="A8306" t="str">
        <f>IFERROR(__xludf.DUMMYFUNCTION("""COMPUTED_VALUE"""),"2016-06-01-D09-SO-25")</f>
        <v>2016-06-01-D09-SO-25</v>
      </c>
    </row>
    <row r="8307">
      <c r="A8307" t="str">
        <f>IFERROR(__xludf.DUMMYFUNCTION("""COMPUTED_VALUE"""),"2016-06-01-D09-SO-26")</f>
        <v>2016-06-01-D09-SO-26</v>
      </c>
    </row>
    <row r="8308">
      <c r="A8308" t="str">
        <f>IFERROR(__xludf.DUMMYFUNCTION("""COMPUTED_VALUE"""),"2016-06-01-D09-SO-27")</f>
        <v>2016-06-01-D09-SO-27</v>
      </c>
    </row>
    <row r="8309">
      <c r="A8309" t="str">
        <f>IFERROR(__xludf.DUMMYFUNCTION("""COMPUTED_VALUE"""),"2016-06-01-D09-SO-28")</f>
        <v>2016-06-01-D09-SO-28</v>
      </c>
    </row>
    <row r="8310">
      <c r="A8310" t="str">
        <f>IFERROR(__xludf.DUMMYFUNCTION("""COMPUTED_VALUE"""),"2016-06-01-D09-SO-29")</f>
        <v>2016-06-01-D09-SO-29</v>
      </c>
    </row>
    <row r="8311">
      <c r="A8311" t="str">
        <f>IFERROR(__xludf.DUMMYFUNCTION("""COMPUTED_VALUE"""),"2016-06-01-D09-SO-30")</f>
        <v>2016-06-01-D09-SO-30</v>
      </c>
    </row>
    <row r="8312">
      <c r="A8312" t="str">
        <f>IFERROR(__xludf.DUMMYFUNCTION("""COMPUTED_VALUE"""),"2016-06-01-D27-SO-1")</f>
        <v>2016-06-01-D27-SO-1</v>
      </c>
    </row>
    <row r="8313">
      <c r="A8313" t="str">
        <f>IFERROR(__xludf.DUMMYFUNCTION("""COMPUTED_VALUE"""),"2016-06-01-D27-SO-2")</f>
        <v>2016-06-01-D27-SO-2</v>
      </c>
    </row>
    <row r="8314">
      <c r="A8314" t="str">
        <f>IFERROR(__xludf.DUMMYFUNCTION("""COMPUTED_VALUE"""),"2016-06-01-D27-SO-3")</f>
        <v>2016-06-01-D27-SO-3</v>
      </c>
    </row>
    <row r="8315">
      <c r="A8315" t="str">
        <f>IFERROR(__xludf.DUMMYFUNCTION("""COMPUTED_VALUE"""),"2016-06-01-D27-SO-4")</f>
        <v>2016-06-01-D27-SO-4</v>
      </c>
    </row>
    <row r="8316">
      <c r="A8316" t="str">
        <f>IFERROR(__xludf.DUMMYFUNCTION("""COMPUTED_VALUE"""),"2016-06-01-D27-SO-5")</f>
        <v>2016-06-01-D27-SO-5</v>
      </c>
    </row>
    <row r="8317">
      <c r="A8317" t="str">
        <f>IFERROR(__xludf.DUMMYFUNCTION("""COMPUTED_VALUE"""),"2016-06-01-D27-SO-6")</f>
        <v>2016-06-01-D27-SO-6</v>
      </c>
    </row>
    <row r="8318">
      <c r="A8318" t="str">
        <f>IFERROR(__xludf.DUMMYFUNCTION("""COMPUTED_VALUE"""),"2016-06-01-D27-SO-7")</f>
        <v>2016-06-01-D27-SO-7</v>
      </c>
    </row>
    <row r="8319">
      <c r="A8319" t="str">
        <f>IFERROR(__xludf.DUMMYFUNCTION("""COMPUTED_VALUE"""),"2016-06-01-D27-SO-8")</f>
        <v>2016-06-01-D27-SO-8</v>
      </c>
    </row>
    <row r="8320">
      <c r="A8320" t="str">
        <f>IFERROR(__xludf.DUMMYFUNCTION("""COMPUTED_VALUE"""),"2016-06-01-D27-SO-9")</f>
        <v>2016-06-01-D27-SO-9</v>
      </c>
    </row>
    <row r="8321">
      <c r="A8321" t="str">
        <f>IFERROR(__xludf.DUMMYFUNCTION("""COMPUTED_VALUE"""),"2016-06-01-D27-SO-10")</f>
        <v>2016-06-01-D27-SO-10</v>
      </c>
    </row>
    <row r="8322">
      <c r="A8322" t="str">
        <f>IFERROR(__xludf.DUMMYFUNCTION("""COMPUTED_VALUE"""),"2016-06-01-D27-SO-11")</f>
        <v>2016-06-01-D27-SO-11</v>
      </c>
    </row>
    <row r="8323">
      <c r="A8323" t="str">
        <f>IFERROR(__xludf.DUMMYFUNCTION("""COMPUTED_VALUE"""),"2016-06-01-D27-SO-12")</f>
        <v>2016-06-01-D27-SO-12</v>
      </c>
    </row>
    <row r="8324">
      <c r="A8324" t="str">
        <f>IFERROR(__xludf.DUMMYFUNCTION("""COMPUTED_VALUE"""),"2016-06-01-D27-SO-13")</f>
        <v>2016-06-01-D27-SO-13</v>
      </c>
    </row>
    <row r="8325">
      <c r="A8325" t="str">
        <f>IFERROR(__xludf.DUMMYFUNCTION("""COMPUTED_VALUE"""),"2016-06-01-D27-SO-14")</f>
        <v>2016-06-01-D27-SO-14</v>
      </c>
    </row>
    <row r="8326">
      <c r="A8326" t="str">
        <f>IFERROR(__xludf.DUMMYFUNCTION("""COMPUTED_VALUE"""),"2016-06-01-D27-SO-15")</f>
        <v>2016-06-01-D27-SO-15</v>
      </c>
    </row>
    <row r="8327">
      <c r="A8327" t="str">
        <f>IFERROR(__xludf.DUMMYFUNCTION("""COMPUTED_VALUE"""),"2016-06-01-D27-SO-16")</f>
        <v>2016-06-01-D27-SO-16</v>
      </c>
    </row>
    <row r="8328">
      <c r="A8328" t="str">
        <f>IFERROR(__xludf.DUMMYFUNCTION("""COMPUTED_VALUE"""),"2016-06-01-D27-SO-17")</f>
        <v>2016-06-01-D27-SO-17</v>
      </c>
    </row>
    <row r="8329">
      <c r="A8329" t="str">
        <f>IFERROR(__xludf.DUMMYFUNCTION("""COMPUTED_VALUE"""),"2016-06-01-D27-SO-18")</f>
        <v>2016-06-01-D27-SO-18</v>
      </c>
    </row>
    <row r="8330">
      <c r="A8330" t="str">
        <f>IFERROR(__xludf.DUMMYFUNCTION("""COMPUTED_VALUE"""),"2016-06-01-D27-SO-19")</f>
        <v>2016-06-01-D27-SO-19</v>
      </c>
    </row>
    <row r="8331">
      <c r="A8331" t="str">
        <f>IFERROR(__xludf.DUMMYFUNCTION("""COMPUTED_VALUE"""),"2016-06-01-D27-SO-20")</f>
        <v>2016-06-01-D27-SO-20</v>
      </c>
    </row>
    <row r="8332">
      <c r="A8332" t="str">
        <f>IFERROR(__xludf.DUMMYFUNCTION("""COMPUTED_VALUE"""),"2016-06-01-D27-SO-21")</f>
        <v>2016-06-01-D27-SO-21</v>
      </c>
    </row>
    <row r="8333">
      <c r="A8333" t="str">
        <f>IFERROR(__xludf.DUMMYFUNCTION("""COMPUTED_VALUE"""),"2016-06-01-D27-SO-22")</f>
        <v>2016-06-01-D27-SO-22</v>
      </c>
    </row>
    <row r="8334">
      <c r="A8334" t="str">
        <f>IFERROR(__xludf.DUMMYFUNCTION("""COMPUTED_VALUE"""),"2016-06-01-D27-SO-23")</f>
        <v>2016-06-01-D27-SO-23</v>
      </c>
    </row>
    <row r="8335">
      <c r="A8335" t="str">
        <f>IFERROR(__xludf.DUMMYFUNCTION("""COMPUTED_VALUE"""),"2016-06-01-D27-SO-24")</f>
        <v>2016-06-01-D27-SO-24</v>
      </c>
    </row>
    <row r="8336">
      <c r="A8336" t="str">
        <f>IFERROR(__xludf.DUMMYFUNCTION("""COMPUTED_VALUE"""),"2016-06-01-D27-SO-25")</f>
        <v>2016-06-01-D27-SO-25</v>
      </c>
    </row>
    <row r="8337">
      <c r="A8337" t="str">
        <f>IFERROR(__xludf.DUMMYFUNCTION("""COMPUTED_VALUE"""),"2016-06-01-D27-SO-26")</f>
        <v>2016-06-01-D27-SO-26</v>
      </c>
    </row>
    <row r="8338">
      <c r="A8338" t="str">
        <f>IFERROR(__xludf.DUMMYFUNCTION("""COMPUTED_VALUE"""),"2016-06-01-D27-SO-27")</f>
        <v>2016-06-01-D27-SO-27</v>
      </c>
    </row>
    <row r="8339">
      <c r="A8339" t="str">
        <f>IFERROR(__xludf.DUMMYFUNCTION("""COMPUTED_VALUE"""),"2016-06-01-D27-SO-28")</f>
        <v>2016-06-01-D27-SO-28</v>
      </c>
    </row>
    <row r="8340">
      <c r="A8340" t="str">
        <f>IFERROR(__xludf.DUMMYFUNCTION("""COMPUTED_VALUE"""),"2016-06-01-D27-SO-29")</f>
        <v>2016-06-01-D27-SO-29</v>
      </c>
    </row>
    <row r="8341">
      <c r="A8341" t="str">
        <f>IFERROR(__xludf.DUMMYFUNCTION("""COMPUTED_VALUE"""),"2016-06-01-D27-SO-30")</f>
        <v>2016-06-01-D27-SO-30</v>
      </c>
    </row>
    <row r="8342">
      <c r="A8342" t="str">
        <f>IFERROR(__xludf.DUMMYFUNCTION("""COMPUTED_VALUE"""),"2016-06-01-D22-SO-1")</f>
        <v>2016-06-01-D22-SO-1</v>
      </c>
    </row>
    <row r="8343">
      <c r="A8343" t="str">
        <f>IFERROR(__xludf.DUMMYFUNCTION("""COMPUTED_VALUE"""),"2016-06-01-D22-SO-2")</f>
        <v>2016-06-01-D22-SO-2</v>
      </c>
    </row>
    <row r="8344">
      <c r="A8344" t="str">
        <f>IFERROR(__xludf.DUMMYFUNCTION("""COMPUTED_VALUE"""),"2016-06-01-D22-SO-3")</f>
        <v>2016-06-01-D22-SO-3</v>
      </c>
    </row>
    <row r="8345">
      <c r="A8345" t="str">
        <f>IFERROR(__xludf.DUMMYFUNCTION("""COMPUTED_VALUE"""),"2016-06-01-D22-SO-4")</f>
        <v>2016-06-01-D22-SO-4</v>
      </c>
    </row>
    <row r="8346">
      <c r="A8346" t="str">
        <f>IFERROR(__xludf.DUMMYFUNCTION("""COMPUTED_VALUE"""),"2016-06-01-D22-SO-5")</f>
        <v>2016-06-01-D22-SO-5</v>
      </c>
    </row>
    <row r="8347">
      <c r="A8347" t="str">
        <f>IFERROR(__xludf.DUMMYFUNCTION("""COMPUTED_VALUE"""),"2016-06-01-D22-SO-6")</f>
        <v>2016-06-01-D22-SO-6</v>
      </c>
    </row>
    <row r="8348">
      <c r="A8348" t="str">
        <f>IFERROR(__xludf.DUMMYFUNCTION("""COMPUTED_VALUE"""),"2016-06-01-D22-SO-7")</f>
        <v>2016-06-01-D22-SO-7</v>
      </c>
    </row>
    <row r="8349">
      <c r="A8349" t="str">
        <f>IFERROR(__xludf.DUMMYFUNCTION("""COMPUTED_VALUE"""),"2016-06-01-D22-SO-8")</f>
        <v>2016-06-01-D22-SO-8</v>
      </c>
    </row>
    <row r="8350">
      <c r="A8350" t="str">
        <f>IFERROR(__xludf.DUMMYFUNCTION("""COMPUTED_VALUE"""),"2016-06-01-D22-SO-9")</f>
        <v>2016-06-01-D22-SO-9</v>
      </c>
    </row>
    <row r="8351">
      <c r="A8351" t="str">
        <f>IFERROR(__xludf.DUMMYFUNCTION("""COMPUTED_VALUE"""),"2016-06-01-D22-SO-10")</f>
        <v>2016-06-01-D22-SO-10</v>
      </c>
    </row>
    <row r="8352">
      <c r="A8352" t="str">
        <f>IFERROR(__xludf.DUMMYFUNCTION("""COMPUTED_VALUE"""),"2016-06-01-D22-SO-11")</f>
        <v>2016-06-01-D22-SO-11</v>
      </c>
    </row>
    <row r="8353">
      <c r="A8353" t="str">
        <f>IFERROR(__xludf.DUMMYFUNCTION("""COMPUTED_VALUE"""),"2016-06-01-D22-SO-12")</f>
        <v>2016-06-01-D22-SO-12</v>
      </c>
    </row>
    <row r="8354">
      <c r="A8354" t="str">
        <f>IFERROR(__xludf.DUMMYFUNCTION("""COMPUTED_VALUE"""),"2016-06-01-D22-SO-13")</f>
        <v>2016-06-01-D22-SO-13</v>
      </c>
    </row>
    <row r="8355">
      <c r="A8355" t="str">
        <f>IFERROR(__xludf.DUMMYFUNCTION("""COMPUTED_VALUE"""),"2016-06-01-D22-SO-14")</f>
        <v>2016-06-01-D22-SO-14</v>
      </c>
    </row>
    <row r="8356">
      <c r="A8356" t="str">
        <f>IFERROR(__xludf.DUMMYFUNCTION("""COMPUTED_VALUE"""),"2016-06-01-D22-SO-15")</f>
        <v>2016-06-01-D22-SO-15</v>
      </c>
    </row>
    <row r="8357">
      <c r="A8357" t="str">
        <f>IFERROR(__xludf.DUMMYFUNCTION("""COMPUTED_VALUE"""),"2016-06-01-D22-SO-16")</f>
        <v>2016-06-01-D22-SO-16</v>
      </c>
    </row>
    <row r="8358">
      <c r="A8358" t="str">
        <f>IFERROR(__xludf.DUMMYFUNCTION("""COMPUTED_VALUE"""),"2016-06-01-D22-SO-17")</f>
        <v>2016-06-01-D22-SO-17</v>
      </c>
    </row>
    <row r="8359">
      <c r="A8359" t="str">
        <f>IFERROR(__xludf.DUMMYFUNCTION("""COMPUTED_VALUE"""),"2016-06-01-D22-SO-18")</f>
        <v>2016-06-01-D22-SO-18</v>
      </c>
    </row>
    <row r="8360">
      <c r="A8360" t="str">
        <f>IFERROR(__xludf.DUMMYFUNCTION("""COMPUTED_VALUE"""),"2016-06-01-D22-SO-19")</f>
        <v>2016-06-01-D22-SO-19</v>
      </c>
    </row>
    <row r="8361">
      <c r="A8361" t="str">
        <f>IFERROR(__xludf.DUMMYFUNCTION("""COMPUTED_VALUE"""),"2016-06-01-D22-SO-20")</f>
        <v>2016-06-01-D22-SO-20</v>
      </c>
    </row>
    <row r="8362">
      <c r="A8362" t="str">
        <f>IFERROR(__xludf.DUMMYFUNCTION("""COMPUTED_VALUE"""),"2016-06-01-D22-SO-21")</f>
        <v>2016-06-01-D22-SO-21</v>
      </c>
    </row>
    <row r="8363">
      <c r="A8363" t="str">
        <f>IFERROR(__xludf.DUMMYFUNCTION("""COMPUTED_VALUE"""),"2016-06-01-D22-SO-22")</f>
        <v>2016-06-01-D22-SO-22</v>
      </c>
    </row>
    <row r="8364">
      <c r="A8364" t="str">
        <f>IFERROR(__xludf.DUMMYFUNCTION("""COMPUTED_VALUE"""),"2016-06-01-D22-SO-23")</f>
        <v>2016-06-01-D22-SO-23</v>
      </c>
    </row>
    <row r="8365">
      <c r="A8365" t="str">
        <f>IFERROR(__xludf.DUMMYFUNCTION("""COMPUTED_VALUE"""),"2016-06-01-D22-SO-24")</f>
        <v>2016-06-01-D22-SO-24</v>
      </c>
    </row>
    <row r="8366">
      <c r="A8366" t="str">
        <f>IFERROR(__xludf.DUMMYFUNCTION("""COMPUTED_VALUE"""),"2016-06-01-D22-SO-25")</f>
        <v>2016-06-01-D22-SO-25</v>
      </c>
    </row>
    <row r="8367">
      <c r="A8367" t="str">
        <f>IFERROR(__xludf.DUMMYFUNCTION("""COMPUTED_VALUE"""),"2016-06-01-D22-SO-26")</f>
        <v>2016-06-01-D22-SO-26</v>
      </c>
    </row>
    <row r="8368">
      <c r="A8368" t="str">
        <f>IFERROR(__xludf.DUMMYFUNCTION("""COMPUTED_VALUE"""),"2016-06-01-D22-SO-27")</f>
        <v>2016-06-01-D22-SO-27</v>
      </c>
    </row>
    <row r="8369">
      <c r="A8369" t="str">
        <f>IFERROR(__xludf.DUMMYFUNCTION("""COMPUTED_VALUE"""),"2016-06-01-D22-SO-28")</f>
        <v>2016-06-01-D22-SO-28</v>
      </c>
    </row>
    <row r="8370">
      <c r="A8370" t="str">
        <f>IFERROR(__xludf.DUMMYFUNCTION("""COMPUTED_VALUE"""),"2016-06-01-D22-SO-29")</f>
        <v>2016-06-01-D22-SO-29</v>
      </c>
    </row>
    <row r="8371">
      <c r="A8371" t="str">
        <f>IFERROR(__xludf.DUMMYFUNCTION("""COMPUTED_VALUE"""),"2016-06-01-D22-SO-30")</f>
        <v>2016-06-01-D22-SO-30</v>
      </c>
    </row>
    <row r="8372">
      <c r="A8372" t="str">
        <f>IFERROR(__xludf.DUMMYFUNCTION("""COMPUTED_VALUE"""),"2016-06-01-J02-SO-1")</f>
        <v>2016-06-01-J02-SO-1</v>
      </c>
    </row>
    <row r="8373">
      <c r="A8373" t="str">
        <f>IFERROR(__xludf.DUMMYFUNCTION("""COMPUTED_VALUE"""),"2016-06-01-J02-SO-2")</f>
        <v>2016-06-01-J02-SO-2</v>
      </c>
    </row>
    <row r="8374">
      <c r="A8374" t="str">
        <f>IFERROR(__xludf.DUMMYFUNCTION("""COMPUTED_VALUE"""),"2016-06-01-J02-SO-3")</f>
        <v>2016-06-01-J02-SO-3</v>
      </c>
    </row>
    <row r="8375">
      <c r="A8375" t="str">
        <f>IFERROR(__xludf.DUMMYFUNCTION("""COMPUTED_VALUE"""),"2016-06-01-J02-SO-4")</f>
        <v>2016-06-01-J02-SO-4</v>
      </c>
    </row>
    <row r="8376">
      <c r="A8376" t="str">
        <f>IFERROR(__xludf.DUMMYFUNCTION("""COMPUTED_VALUE"""),"2016-06-01-J02-SO-5")</f>
        <v>2016-06-01-J02-SO-5</v>
      </c>
    </row>
    <row r="8377">
      <c r="A8377" t="str">
        <f>IFERROR(__xludf.DUMMYFUNCTION("""COMPUTED_VALUE"""),"2016-06-01-J02-SO-6")</f>
        <v>2016-06-01-J02-SO-6</v>
      </c>
    </row>
    <row r="8378">
      <c r="A8378" t="str">
        <f>IFERROR(__xludf.DUMMYFUNCTION("""COMPUTED_VALUE"""),"2016-06-01-J02-SO-7")</f>
        <v>2016-06-01-J02-SO-7</v>
      </c>
    </row>
    <row r="8379">
      <c r="A8379" t="str">
        <f>IFERROR(__xludf.DUMMYFUNCTION("""COMPUTED_VALUE"""),"2016-06-01-J02-SO-8")</f>
        <v>2016-06-01-J02-SO-8</v>
      </c>
    </row>
    <row r="8380">
      <c r="A8380" t="str">
        <f>IFERROR(__xludf.DUMMYFUNCTION("""COMPUTED_VALUE"""),"2016-06-01-J02-SO-9")</f>
        <v>2016-06-01-J02-SO-9</v>
      </c>
    </row>
    <row r="8381">
      <c r="A8381" t="str">
        <f>IFERROR(__xludf.DUMMYFUNCTION("""COMPUTED_VALUE"""),"2016-06-01-J02-SO-10")</f>
        <v>2016-06-01-J02-SO-10</v>
      </c>
    </row>
    <row r="8382">
      <c r="A8382" t="str">
        <f>IFERROR(__xludf.DUMMYFUNCTION("""COMPUTED_VALUE"""),"2016-06-01-J02-SO-11")</f>
        <v>2016-06-01-J02-SO-11</v>
      </c>
    </row>
    <row r="8383">
      <c r="A8383" t="str">
        <f>IFERROR(__xludf.DUMMYFUNCTION("""COMPUTED_VALUE"""),"2016-06-01-J02-SO-12")</f>
        <v>2016-06-01-J02-SO-12</v>
      </c>
    </row>
    <row r="8384">
      <c r="A8384" t="str">
        <f>IFERROR(__xludf.DUMMYFUNCTION("""COMPUTED_VALUE"""),"2016-06-01-J02-SO-13")</f>
        <v>2016-06-01-J02-SO-13</v>
      </c>
    </row>
    <row r="8385">
      <c r="A8385" t="str">
        <f>IFERROR(__xludf.DUMMYFUNCTION("""COMPUTED_VALUE"""),"2016-06-01-J02-SO-14")</f>
        <v>2016-06-01-J02-SO-14</v>
      </c>
    </row>
    <row r="8386">
      <c r="A8386" t="str">
        <f>IFERROR(__xludf.DUMMYFUNCTION("""COMPUTED_VALUE"""),"2016-06-01-J02-SO-15")</f>
        <v>2016-06-01-J02-SO-15</v>
      </c>
    </row>
    <row r="8387">
      <c r="A8387" t="str">
        <f>IFERROR(__xludf.DUMMYFUNCTION("""COMPUTED_VALUE"""),"2016-06-01-J02-SO-16")</f>
        <v>2016-06-01-J02-SO-16</v>
      </c>
    </row>
    <row r="8388">
      <c r="A8388" t="str">
        <f>IFERROR(__xludf.DUMMYFUNCTION("""COMPUTED_VALUE"""),"2016-06-01-J02-SO-17")</f>
        <v>2016-06-01-J02-SO-17</v>
      </c>
    </row>
    <row r="8389">
      <c r="A8389" t="str">
        <f>IFERROR(__xludf.DUMMYFUNCTION("""COMPUTED_VALUE"""),"2016-06-01-J02-SO-18")</f>
        <v>2016-06-01-J02-SO-18</v>
      </c>
    </row>
    <row r="8390">
      <c r="A8390" t="str">
        <f>IFERROR(__xludf.DUMMYFUNCTION("""COMPUTED_VALUE"""),"2016-06-01-J02-SO-19")</f>
        <v>2016-06-01-J02-SO-19</v>
      </c>
    </row>
    <row r="8391">
      <c r="A8391" t="str">
        <f>IFERROR(__xludf.DUMMYFUNCTION("""COMPUTED_VALUE"""),"2016-06-01-J02-SO-20")</f>
        <v>2016-06-01-J02-SO-20</v>
      </c>
    </row>
    <row r="8392">
      <c r="A8392" t="str">
        <f>IFERROR(__xludf.DUMMYFUNCTION("""COMPUTED_VALUE"""),"2016-06-01-J02-SO-21")</f>
        <v>2016-06-01-J02-SO-21</v>
      </c>
    </row>
    <row r="8393">
      <c r="A8393" t="str">
        <f>IFERROR(__xludf.DUMMYFUNCTION("""COMPUTED_VALUE"""),"2016-06-01-J02-SO-22")</f>
        <v>2016-06-01-J02-SO-22</v>
      </c>
    </row>
    <row r="8394">
      <c r="A8394" t="str">
        <f>IFERROR(__xludf.DUMMYFUNCTION("""COMPUTED_VALUE"""),"2016-06-01-J02-SO-23")</f>
        <v>2016-06-01-J02-SO-23</v>
      </c>
    </row>
    <row r="8395">
      <c r="A8395" t="str">
        <f>IFERROR(__xludf.DUMMYFUNCTION("""COMPUTED_VALUE"""),"2016-06-01-J02-SO-24")</f>
        <v>2016-06-01-J02-SO-24</v>
      </c>
    </row>
    <row r="8396">
      <c r="A8396" t="str">
        <f>IFERROR(__xludf.DUMMYFUNCTION("""COMPUTED_VALUE"""),"2016-06-01-J02-SO-25")</f>
        <v>2016-06-01-J02-SO-25</v>
      </c>
    </row>
    <row r="8397">
      <c r="A8397" t="str">
        <f>IFERROR(__xludf.DUMMYFUNCTION("""COMPUTED_VALUE"""),"2016-06-01-J02-SO-26")</f>
        <v>2016-06-01-J02-SO-26</v>
      </c>
    </row>
    <row r="8398">
      <c r="A8398" t="str">
        <f>IFERROR(__xludf.DUMMYFUNCTION("""COMPUTED_VALUE"""),"2016-06-01-J02-SO-27")</f>
        <v>2016-06-01-J02-SO-27</v>
      </c>
    </row>
    <row r="8399">
      <c r="A8399" t="str">
        <f>IFERROR(__xludf.DUMMYFUNCTION("""COMPUTED_VALUE"""),"2016-06-01-J02-SO-28")</f>
        <v>2016-06-01-J02-SO-28</v>
      </c>
    </row>
    <row r="8400">
      <c r="A8400" t="str">
        <f>IFERROR(__xludf.DUMMYFUNCTION("""COMPUTED_VALUE"""),"2016-06-01-J02-SO-29")</f>
        <v>2016-06-01-J02-SO-29</v>
      </c>
    </row>
    <row r="8401">
      <c r="A8401" t="str">
        <f>IFERROR(__xludf.DUMMYFUNCTION("""COMPUTED_VALUE"""),"2016-06-01-J02-SO-30")</f>
        <v>2016-06-01-J02-SO-30</v>
      </c>
    </row>
    <row r="8402">
      <c r="A8402" t="str">
        <f>IFERROR(__xludf.DUMMYFUNCTION("""COMPUTED_VALUE"""),"2016-06-01-J01-SO-1")</f>
        <v>2016-06-01-J01-SO-1</v>
      </c>
    </row>
    <row r="8403">
      <c r="A8403" t="str">
        <f>IFERROR(__xludf.DUMMYFUNCTION("""COMPUTED_VALUE"""),"2016-06-01-J01-SO-2")</f>
        <v>2016-06-01-J01-SO-2</v>
      </c>
    </row>
    <row r="8404">
      <c r="A8404" t="str">
        <f>IFERROR(__xludf.DUMMYFUNCTION("""COMPUTED_VALUE"""),"2016-06-01-J01-SO-3")</f>
        <v>2016-06-01-J01-SO-3</v>
      </c>
    </row>
    <row r="8405">
      <c r="A8405" t="str">
        <f>IFERROR(__xludf.DUMMYFUNCTION("""COMPUTED_VALUE"""),"2016-06-01-J01-SO-4")</f>
        <v>2016-06-01-J01-SO-4</v>
      </c>
    </row>
    <row r="8406">
      <c r="A8406" t="str">
        <f>IFERROR(__xludf.DUMMYFUNCTION("""COMPUTED_VALUE"""),"2016-06-01-J01-SO-5")</f>
        <v>2016-06-01-J01-SO-5</v>
      </c>
    </row>
    <row r="8407">
      <c r="A8407" t="str">
        <f>IFERROR(__xludf.DUMMYFUNCTION("""COMPUTED_VALUE"""),"2016-06-01-J01-SO-6")</f>
        <v>2016-06-01-J01-SO-6</v>
      </c>
    </row>
    <row r="8408">
      <c r="A8408" t="str">
        <f>IFERROR(__xludf.DUMMYFUNCTION("""COMPUTED_VALUE"""),"2016-06-01-J01-SO-7")</f>
        <v>2016-06-01-J01-SO-7</v>
      </c>
    </row>
    <row r="8409">
      <c r="A8409" t="str">
        <f>IFERROR(__xludf.DUMMYFUNCTION("""COMPUTED_VALUE"""),"2016-06-01-J01-SO-8")</f>
        <v>2016-06-01-J01-SO-8</v>
      </c>
    </row>
    <row r="8410">
      <c r="A8410" t="str">
        <f>IFERROR(__xludf.DUMMYFUNCTION("""COMPUTED_VALUE"""),"2016-06-01-J01-SO-9")</f>
        <v>2016-06-01-J01-SO-9</v>
      </c>
    </row>
    <row r="8411">
      <c r="A8411" t="str">
        <f>IFERROR(__xludf.DUMMYFUNCTION("""COMPUTED_VALUE"""),"2016-06-01-J01-SO-10")</f>
        <v>2016-06-01-J01-SO-10</v>
      </c>
    </row>
    <row r="8412">
      <c r="A8412" t="str">
        <f>IFERROR(__xludf.DUMMYFUNCTION("""COMPUTED_VALUE"""),"2016-06-01-J01-SO-11")</f>
        <v>2016-06-01-J01-SO-11</v>
      </c>
    </row>
    <row r="8413">
      <c r="A8413" t="str">
        <f>IFERROR(__xludf.DUMMYFUNCTION("""COMPUTED_VALUE"""),"2016-06-01-J01-SO-12")</f>
        <v>2016-06-01-J01-SO-12</v>
      </c>
    </row>
    <row r="8414">
      <c r="A8414" t="str">
        <f>IFERROR(__xludf.DUMMYFUNCTION("""COMPUTED_VALUE"""),"2016-06-01-J01-SO-13")</f>
        <v>2016-06-01-J01-SO-13</v>
      </c>
    </row>
    <row r="8415">
      <c r="A8415" t="str">
        <f>IFERROR(__xludf.DUMMYFUNCTION("""COMPUTED_VALUE"""),"2016-06-01-J01-SO-14")</f>
        <v>2016-06-01-J01-SO-14</v>
      </c>
    </row>
    <row r="8416">
      <c r="A8416" t="str">
        <f>IFERROR(__xludf.DUMMYFUNCTION("""COMPUTED_VALUE"""),"2016-06-01-J01-SO-15")</f>
        <v>2016-06-01-J01-SO-15</v>
      </c>
    </row>
    <row r="8417">
      <c r="A8417" t="str">
        <f>IFERROR(__xludf.DUMMYFUNCTION("""COMPUTED_VALUE"""),"2016-06-01-J01-SO-16")</f>
        <v>2016-06-01-J01-SO-16</v>
      </c>
    </row>
    <row r="8418">
      <c r="A8418" t="str">
        <f>IFERROR(__xludf.DUMMYFUNCTION("""COMPUTED_VALUE"""),"2016-06-01-J01-SO-17")</f>
        <v>2016-06-01-J01-SO-17</v>
      </c>
    </row>
    <row r="8419">
      <c r="A8419" t="str">
        <f>IFERROR(__xludf.DUMMYFUNCTION("""COMPUTED_VALUE"""),"2016-06-01-J01-SO-18")</f>
        <v>2016-06-01-J01-SO-18</v>
      </c>
    </row>
    <row r="8420">
      <c r="A8420" t="str">
        <f>IFERROR(__xludf.DUMMYFUNCTION("""COMPUTED_VALUE"""),"2016-06-01-D09-PI-1")</f>
        <v>2016-06-01-D09-PI-1</v>
      </c>
    </row>
    <row r="8421">
      <c r="A8421" t="str">
        <f>IFERROR(__xludf.DUMMYFUNCTION("""COMPUTED_VALUE"""),"2016-06-01-D09-PI-2")</f>
        <v>2016-06-01-D09-PI-2</v>
      </c>
    </row>
    <row r="8422">
      <c r="A8422" t="str">
        <f>IFERROR(__xludf.DUMMYFUNCTION("""COMPUTED_VALUE"""),"2016-06-01-D09-PI-3")</f>
        <v>2016-06-01-D09-PI-3</v>
      </c>
    </row>
    <row r="8423">
      <c r="A8423" t="str">
        <f>IFERROR(__xludf.DUMMYFUNCTION("""COMPUTED_VALUE"""),"2016-06-01-D27-PI-1")</f>
        <v>2016-06-01-D27-PI-1</v>
      </c>
    </row>
    <row r="8424">
      <c r="A8424" t="str">
        <f>IFERROR(__xludf.DUMMYFUNCTION("""COMPUTED_VALUE"""),"2016-06-01-D27-PI-2")</f>
        <v>2016-06-01-D27-PI-2</v>
      </c>
    </row>
    <row r="8425">
      <c r="A8425" t="str">
        <f>IFERROR(__xludf.DUMMYFUNCTION("""COMPUTED_VALUE"""),"2016-06-01-D27-PI-3")</f>
        <v>2016-06-01-D27-PI-3</v>
      </c>
    </row>
    <row r="8426">
      <c r="A8426" t="str">
        <f>IFERROR(__xludf.DUMMYFUNCTION("""COMPUTED_VALUE"""),"2016-06-01-D27-PI-4")</f>
        <v>2016-06-01-D27-PI-4</v>
      </c>
    </row>
    <row r="8427">
      <c r="A8427" t="str">
        <f>IFERROR(__xludf.DUMMYFUNCTION("""COMPUTED_VALUE"""),"2016-06-01-D27-PI-5")</f>
        <v>2016-06-01-D27-PI-5</v>
      </c>
    </row>
    <row r="8428">
      <c r="A8428" t="str">
        <f>IFERROR(__xludf.DUMMYFUNCTION("""COMPUTED_VALUE"""),"2016-06-01-D27-PI-6")</f>
        <v>2016-06-01-D27-PI-6</v>
      </c>
    </row>
    <row r="8429">
      <c r="A8429" t="str">
        <f>IFERROR(__xludf.DUMMYFUNCTION("""COMPUTED_VALUE"""),"2016-06-01-D27-PI-7")</f>
        <v>2016-06-01-D27-PI-7</v>
      </c>
    </row>
    <row r="8430">
      <c r="A8430" t="str">
        <f>IFERROR(__xludf.DUMMYFUNCTION("""COMPUTED_VALUE"""),"2016-06-01-D27-PI-8")</f>
        <v>2016-06-01-D27-PI-8</v>
      </c>
    </row>
    <row r="8431">
      <c r="A8431" t="str">
        <f>IFERROR(__xludf.DUMMYFUNCTION("""COMPUTED_VALUE"""),"2016-06-01-D27-PI-9")</f>
        <v>2016-06-01-D27-PI-9</v>
      </c>
    </row>
    <row r="8432">
      <c r="A8432" t="str">
        <f>IFERROR(__xludf.DUMMYFUNCTION("""COMPUTED_VALUE"""),"2016-06-01-D27-PI-10")</f>
        <v>2016-06-01-D27-PI-10</v>
      </c>
    </row>
    <row r="8433">
      <c r="A8433" t="str">
        <f>IFERROR(__xludf.DUMMYFUNCTION("""COMPUTED_VALUE"""),"2016-06-01-D22-PI-1")</f>
        <v>2016-06-01-D22-PI-1</v>
      </c>
    </row>
    <row r="8434">
      <c r="A8434" t="str">
        <f>IFERROR(__xludf.DUMMYFUNCTION("""COMPUTED_VALUE"""),"2016-06-01-D22-PI-2")</f>
        <v>2016-06-01-D22-PI-2</v>
      </c>
    </row>
    <row r="8435">
      <c r="A8435" t="str">
        <f>IFERROR(__xludf.DUMMYFUNCTION("""COMPUTED_VALUE"""),"2016-06-01-D22-PI-3")</f>
        <v>2016-06-01-D22-PI-3</v>
      </c>
    </row>
    <row r="8436">
      <c r="A8436" t="str">
        <f>IFERROR(__xludf.DUMMYFUNCTION("""COMPUTED_VALUE"""),"2016-06-01-D22-PI-4")</f>
        <v>2016-06-01-D22-PI-4</v>
      </c>
    </row>
    <row r="8437">
      <c r="A8437" t="str">
        <f>IFERROR(__xludf.DUMMYFUNCTION("""COMPUTED_VALUE"""),"2016-06-01-D22-PI-5")</f>
        <v>2016-06-01-D22-PI-5</v>
      </c>
    </row>
    <row r="8438">
      <c r="A8438" t="str">
        <f>IFERROR(__xludf.DUMMYFUNCTION("""COMPUTED_VALUE"""),"2016-06-01-D22-PI-6")</f>
        <v>2016-06-01-D22-PI-6</v>
      </c>
    </row>
    <row r="8439">
      <c r="A8439" t="str">
        <f>IFERROR(__xludf.DUMMYFUNCTION("""COMPUTED_VALUE"""),"2016-06-01-D22-PI-7")</f>
        <v>2016-06-01-D22-PI-7</v>
      </c>
    </row>
    <row r="8440">
      <c r="A8440" t="str">
        <f>IFERROR(__xludf.DUMMYFUNCTION("""COMPUTED_VALUE"""),"2016-06-01-D22-PI-8")</f>
        <v>2016-06-01-D22-PI-8</v>
      </c>
    </row>
    <row r="8441">
      <c r="A8441" t="str">
        <f>IFERROR(__xludf.DUMMYFUNCTION("""COMPUTED_VALUE"""),"2016-06-01-D22-PI-9")</f>
        <v>2016-06-01-D22-PI-9</v>
      </c>
    </row>
    <row r="8442">
      <c r="A8442" t="str">
        <f>IFERROR(__xludf.DUMMYFUNCTION("""COMPUTED_VALUE"""),"2016-06-01-D22-PI-10")</f>
        <v>2016-06-01-D22-PI-10</v>
      </c>
    </row>
    <row r="8443">
      <c r="A8443" t="str">
        <f>IFERROR(__xludf.DUMMYFUNCTION("""COMPUTED_VALUE"""),"2016-06-01-J02-PI-1")</f>
        <v>2016-06-01-J02-PI-1</v>
      </c>
    </row>
    <row r="8444">
      <c r="A8444" t="str">
        <f>IFERROR(__xludf.DUMMYFUNCTION("""COMPUTED_VALUE"""),"2016-06-01-J02-PI-2")</f>
        <v>2016-06-01-J02-PI-2</v>
      </c>
    </row>
    <row r="8445">
      <c r="A8445" t="str">
        <f>IFERROR(__xludf.DUMMYFUNCTION("""COMPUTED_VALUE"""),"2016-06-01-J02-PI-3")</f>
        <v>2016-06-01-J02-PI-3</v>
      </c>
    </row>
    <row r="8446">
      <c r="A8446" t="str">
        <f>IFERROR(__xludf.DUMMYFUNCTION("""COMPUTED_VALUE"""),"2016-06-01-J02-PI-4")</f>
        <v>2016-06-01-J02-PI-4</v>
      </c>
    </row>
    <row r="8447">
      <c r="A8447" t="str">
        <f>IFERROR(__xludf.DUMMYFUNCTION("""COMPUTED_VALUE"""),"2016-06-01-J02-PI-5")</f>
        <v>2016-06-01-J02-PI-5</v>
      </c>
    </row>
    <row r="8448">
      <c r="A8448" t="str">
        <f>IFERROR(__xludf.DUMMYFUNCTION("""COMPUTED_VALUE"""),"2016-06-01-J02-PI-6")</f>
        <v>2016-06-01-J02-PI-6</v>
      </c>
    </row>
    <row r="8449">
      <c r="A8449" t="str">
        <f>IFERROR(__xludf.DUMMYFUNCTION("""COMPUTED_VALUE"""),"2016-06-01-J02-PI-7")</f>
        <v>2016-06-01-J02-PI-7</v>
      </c>
    </row>
    <row r="8450">
      <c r="A8450" t="str">
        <f>IFERROR(__xludf.DUMMYFUNCTION("""COMPUTED_VALUE"""),"2016-06-01-J02-PI-8")</f>
        <v>2016-06-01-J02-PI-8</v>
      </c>
    </row>
    <row r="8451">
      <c r="A8451" t="str">
        <f>IFERROR(__xludf.DUMMYFUNCTION("""COMPUTED_VALUE"""),"2016-06-01-J02-PI-9")</f>
        <v>2016-06-01-J02-PI-9</v>
      </c>
    </row>
    <row r="8452">
      <c r="A8452" t="str">
        <f>IFERROR(__xludf.DUMMYFUNCTION("""COMPUTED_VALUE"""),"2016-06-01-J02-PI-10")</f>
        <v>2016-06-01-J02-PI-10</v>
      </c>
    </row>
    <row r="8453">
      <c r="A8453" t="str">
        <f>IFERROR(__xludf.DUMMYFUNCTION("""COMPUTED_VALUE"""),"2016-06-01-J01-PI-1")</f>
        <v>2016-06-01-J01-PI-1</v>
      </c>
    </row>
    <row r="8454">
      <c r="A8454" t="str">
        <f>IFERROR(__xludf.DUMMYFUNCTION("""COMPUTED_VALUE"""),"2016-06-01-J01-PI-2")</f>
        <v>2016-06-01-J01-PI-2</v>
      </c>
    </row>
    <row r="8455">
      <c r="A8455" t="str">
        <f>IFERROR(__xludf.DUMMYFUNCTION("""COMPUTED_VALUE"""),"2016-06-01-J01-PI-3")</f>
        <v>2016-06-01-J01-PI-3</v>
      </c>
    </row>
    <row r="8456">
      <c r="A8456" t="str">
        <f>IFERROR(__xludf.DUMMYFUNCTION("""COMPUTED_VALUE"""),"2016-06-01-J01-PI-4")</f>
        <v>2016-06-01-J01-PI-4</v>
      </c>
    </row>
    <row r="8457">
      <c r="A8457" t="str">
        <f>IFERROR(__xludf.DUMMYFUNCTION("""COMPUTED_VALUE"""),"2016-06-01-J01-PI-5")</f>
        <v>2016-06-01-J01-PI-5</v>
      </c>
    </row>
    <row r="8458">
      <c r="A8458" t="str">
        <f>IFERROR(__xludf.DUMMYFUNCTION("""COMPUTED_VALUE"""),"2016-06-01-J01-PI-6")</f>
        <v>2016-06-01-J01-PI-6</v>
      </c>
    </row>
    <row r="8459">
      <c r="A8459" t="str">
        <f>IFERROR(__xludf.DUMMYFUNCTION("""COMPUTED_VALUE"""),"2016-06-01-J01-PI-7")</f>
        <v>2016-06-01-J01-PI-7</v>
      </c>
    </row>
    <row r="8460">
      <c r="A8460" t="str">
        <f>IFERROR(__xludf.DUMMYFUNCTION("""COMPUTED_VALUE"""),"2016-06-01-J01-PI-8")</f>
        <v>2016-06-01-J01-PI-8</v>
      </c>
    </row>
    <row r="8461">
      <c r="A8461" t="str">
        <f>IFERROR(__xludf.DUMMYFUNCTION("""COMPUTED_VALUE"""),"2016-06-01-J01-PI-9")</f>
        <v>2016-06-01-J01-PI-9</v>
      </c>
    </row>
    <row r="8462">
      <c r="A8462" t="str">
        <f>IFERROR(__xludf.DUMMYFUNCTION("""COMPUTED_VALUE"""),"2016-06-01-J01-PI-10")</f>
        <v>2016-06-01-J01-PI-10</v>
      </c>
    </row>
    <row r="8463">
      <c r="A8463" t="str">
        <f>IFERROR(__xludf.DUMMYFUNCTION("""COMPUTED_VALUE"""),"2016-06-01-D09-CU-1")</f>
        <v>2016-06-01-D09-CU-1</v>
      </c>
    </row>
    <row r="8464">
      <c r="A8464" t="str">
        <f>IFERROR(__xludf.DUMMYFUNCTION("""COMPUTED_VALUE"""),"2016-06-01-D09-CU-2")</f>
        <v>2016-06-01-D09-CU-2</v>
      </c>
    </row>
    <row r="8465">
      <c r="A8465" t="str">
        <f>IFERROR(__xludf.DUMMYFUNCTION("""COMPUTED_VALUE"""),"2016-06-01-D09-CU-3")</f>
        <v>2016-06-01-D09-CU-3</v>
      </c>
    </row>
    <row r="8466">
      <c r="A8466" t="str">
        <f>IFERROR(__xludf.DUMMYFUNCTION("""COMPUTED_VALUE"""),"2016-06-01-D09-CU-4")</f>
        <v>2016-06-01-D09-CU-4</v>
      </c>
    </row>
    <row r="8467">
      <c r="A8467" t="str">
        <f>IFERROR(__xludf.DUMMYFUNCTION("""COMPUTED_VALUE"""),"2016-06-01-D09-CU-5")</f>
        <v>2016-06-01-D09-CU-5</v>
      </c>
    </row>
    <row r="8468">
      <c r="A8468" t="str">
        <f>IFERROR(__xludf.DUMMYFUNCTION("""COMPUTED_VALUE"""),"2016-06-01-D09-CU-6")</f>
        <v>2016-06-01-D09-CU-6</v>
      </c>
    </row>
    <row r="8469">
      <c r="A8469" t="str">
        <f>IFERROR(__xludf.DUMMYFUNCTION("""COMPUTED_VALUE"""),"2016-06-01-D09-CU-7")</f>
        <v>2016-06-01-D09-CU-7</v>
      </c>
    </row>
    <row r="8470">
      <c r="A8470" t="str">
        <f>IFERROR(__xludf.DUMMYFUNCTION("""COMPUTED_VALUE"""),"2016-06-01-D09-CU-8")</f>
        <v>2016-06-01-D09-CU-8</v>
      </c>
    </row>
    <row r="8471">
      <c r="A8471" t="str">
        <f>IFERROR(__xludf.DUMMYFUNCTION("""COMPUTED_VALUE"""),"2016-06-01-D09-CU-9")</f>
        <v>2016-06-01-D09-CU-9</v>
      </c>
    </row>
    <row r="8472">
      <c r="A8472" t="str">
        <f>IFERROR(__xludf.DUMMYFUNCTION("""COMPUTED_VALUE"""),"2016-06-01-D09-CU-10")</f>
        <v>2016-06-01-D09-CU-10</v>
      </c>
    </row>
    <row r="8473">
      <c r="A8473" t="str">
        <f>IFERROR(__xludf.DUMMYFUNCTION("""COMPUTED_VALUE"""),"2016-06-01-D27-CU-1")</f>
        <v>2016-06-01-D27-CU-1</v>
      </c>
    </row>
    <row r="8474">
      <c r="A8474" t="str">
        <f>IFERROR(__xludf.DUMMYFUNCTION("""COMPUTED_VALUE"""),"2016-06-01-D27-CU-2")</f>
        <v>2016-06-01-D27-CU-2</v>
      </c>
    </row>
    <row r="8475">
      <c r="A8475" t="str">
        <f>IFERROR(__xludf.DUMMYFUNCTION("""COMPUTED_VALUE"""),"2016-06-01-D27-CU-3")</f>
        <v>2016-06-01-D27-CU-3</v>
      </c>
    </row>
    <row r="8476">
      <c r="A8476" t="str">
        <f>IFERROR(__xludf.DUMMYFUNCTION("""COMPUTED_VALUE"""),"2016-06-01-D27-CU-4")</f>
        <v>2016-06-01-D27-CU-4</v>
      </c>
    </row>
    <row r="8477">
      <c r="A8477" t="str">
        <f>IFERROR(__xludf.DUMMYFUNCTION("""COMPUTED_VALUE"""),"2016-06-01-D27-CU-5")</f>
        <v>2016-06-01-D27-CU-5</v>
      </c>
    </row>
    <row r="8478">
      <c r="A8478" t="str">
        <f>IFERROR(__xludf.DUMMYFUNCTION("""COMPUTED_VALUE"""),"2016-06-01-D27-CU-6")</f>
        <v>2016-06-01-D27-CU-6</v>
      </c>
    </row>
    <row r="8479">
      <c r="A8479" t="str">
        <f>IFERROR(__xludf.DUMMYFUNCTION("""COMPUTED_VALUE"""),"2016-06-01-D27-CU-7")</f>
        <v>2016-06-01-D27-CU-7</v>
      </c>
    </row>
    <row r="8480">
      <c r="A8480" t="str">
        <f>IFERROR(__xludf.DUMMYFUNCTION("""COMPUTED_VALUE"""),"2016-06-01-D27-CU-8")</f>
        <v>2016-06-01-D27-CU-8</v>
      </c>
    </row>
    <row r="8481">
      <c r="A8481" t="str">
        <f>IFERROR(__xludf.DUMMYFUNCTION("""COMPUTED_VALUE"""),"2016-06-01-D27-CU-9")</f>
        <v>2016-06-01-D27-CU-9</v>
      </c>
    </row>
    <row r="8482">
      <c r="A8482" t="str">
        <f>IFERROR(__xludf.DUMMYFUNCTION("""COMPUTED_VALUE"""),"2016-06-01-D27-CU-10")</f>
        <v>2016-06-01-D27-CU-10</v>
      </c>
    </row>
    <row r="8483">
      <c r="A8483" t="str">
        <f>IFERROR(__xludf.DUMMYFUNCTION("""COMPUTED_VALUE"""),"2016-06-01-D22-CU-1")</f>
        <v>2016-06-01-D22-CU-1</v>
      </c>
    </row>
    <row r="8484">
      <c r="A8484" t="str">
        <f>IFERROR(__xludf.DUMMYFUNCTION("""COMPUTED_VALUE"""),"2016-06-01-D22-CU-2")</f>
        <v>2016-06-01-D22-CU-2</v>
      </c>
    </row>
    <row r="8485">
      <c r="A8485" t="str">
        <f>IFERROR(__xludf.DUMMYFUNCTION("""COMPUTED_VALUE"""),"2016-06-01-D22-CU-3")</f>
        <v>2016-06-01-D22-CU-3</v>
      </c>
    </row>
    <row r="8486">
      <c r="A8486" t="str">
        <f>IFERROR(__xludf.DUMMYFUNCTION("""COMPUTED_VALUE"""),"2016-06-01-D22-CU-4")</f>
        <v>2016-06-01-D22-CU-4</v>
      </c>
    </row>
    <row r="8487">
      <c r="A8487" t="str">
        <f>IFERROR(__xludf.DUMMYFUNCTION("""COMPUTED_VALUE"""),"2016-06-01-D22-CU-5")</f>
        <v>2016-06-01-D22-CU-5</v>
      </c>
    </row>
    <row r="8488">
      <c r="A8488" t="str">
        <f>IFERROR(__xludf.DUMMYFUNCTION("""COMPUTED_VALUE"""),"2016-06-01-D22-CU-6")</f>
        <v>2016-06-01-D22-CU-6</v>
      </c>
    </row>
    <row r="8489">
      <c r="A8489" t="str">
        <f>IFERROR(__xludf.DUMMYFUNCTION("""COMPUTED_VALUE"""),"2016-06-01-D22-CU-7")</f>
        <v>2016-06-01-D22-CU-7</v>
      </c>
    </row>
    <row r="8490">
      <c r="A8490" t="str">
        <f>IFERROR(__xludf.DUMMYFUNCTION("""COMPUTED_VALUE"""),"2016-06-01-D22-CU-8")</f>
        <v>2016-06-01-D22-CU-8</v>
      </c>
    </row>
    <row r="8491">
      <c r="A8491" t="str">
        <f>IFERROR(__xludf.DUMMYFUNCTION("""COMPUTED_VALUE"""),"2016-06-01-D22-CU-9")</f>
        <v>2016-06-01-D22-CU-9</v>
      </c>
    </row>
    <row r="8492">
      <c r="A8492" t="str">
        <f>IFERROR(__xludf.DUMMYFUNCTION("""COMPUTED_VALUE"""),"2016-06-01-D22-CU-10")</f>
        <v>2016-06-01-D22-CU-10</v>
      </c>
    </row>
    <row r="8493">
      <c r="A8493" t="str">
        <f>IFERROR(__xludf.DUMMYFUNCTION("""COMPUTED_VALUE"""),"2016-06-01-J02-CU-1")</f>
        <v>2016-06-01-J02-CU-1</v>
      </c>
    </row>
    <row r="8494">
      <c r="A8494" t="str">
        <f>IFERROR(__xludf.DUMMYFUNCTION("""COMPUTED_VALUE"""),"2016-06-01-J02-CU-2")</f>
        <v>2016-06-01-J02-CU-2</v>
      </c>
    </row>
    <row r="8495">
      <c r="A8495" t="str">
        <f>IFERROR(__xludf.DUMMYFUNCTION("""COMPUTED_VALUE"""),"2016-06-01-J02-CU-3")</f>
        <v>2016-06-01-J02-CU-3</v>
      </c>
    </row>
    <row r="8496">
      <c r="A8496" t="str">
        <f>IFERROR(__xludf.DUMMYFUNCTION("""COMPUTED_VALUE"""),"2016-06-01-J02-CU-4")</f>
        <v>2016-06-01-J02-CU-4</v>
      </c>
    </row>
    <row r="8497">
      <c r="A8497" t="str">
        <f>IFERROR(__xludf.DUMMYFUNCTION("""COMPUTED_VALUE"""),"2016-06-01-J02-CU-5")</f>
        <v>2016-06-01-J02-CU-5</v>
      </c>
    </row>
    <row r="8498">
      <c r="A8498" t="str">
        <f>IFERROR(__xludf.DUMMYFUNCTION("""COMPUTED_VALUE"""),"2016-06-01-J02-CU-6")</f>
        <v>2016-06-01-J02-CU-6</v>
      </c>
    </row>
    <row r="8499">
      <c r="A8499" t="str">
        <f>IFERROR(__xludf.DUMMYFUNCTION("""COMPUTED_VALUE"""),"2016-06-01-J02-CU-7")</f>
        <v>2016-06-01-J02-CU-7</v>
      </c>
    </row>
    <row r="8500">
      <c r="A8500" t="str">
        <f>IFERROR(__xludf.DUMMYFUNCTION("""COMPUTED_VALUE"""),"2016-06-01-J02-CU-8")</f>
        <v>2016-06-01-J02-CU-8</v>
      </c>
    </row>
    <row r="8501">
      <c r="A8501" t="str">
        <f>IFERROR(__xludf.DUMMYFUNCTION("""COMPUTED_VALUE"""),"2016-06-01-J02-CU-9")</f>
        <v>2016-06-01-J02-CU-9</v>
      </c>
    </row>
    <row r="8502">
      <c r="A8502" t="str">
        <f>IFERROR(__xludf.DUMMYFUNCTION("""COMPUTED_VALUE"""),"2016-06-01-J02-CU-10")</f>
        <v>2016-06-01-J02-CU-10</v>
      </c>
    </row>
    <row r="8503">
      <c r="A8503" t="str">
        <f>IFERROR(__xludf.DUMMYFUNCTION("""COMPUTED_VALUE"""),"2016-06-01-J01-CU-1")</f>
        <v>2016-06-01-J01-CU-1</v>
      </c>
    </row>
    <row r="8504">
      <c r="A8504" t="str">
        <f>IFERROR(__xludf.DUMMYFUNCTION("""COMPUTED_VALUE"""),"2016-06-01-J01-CU-2")</f>
        <v>2016-06-01-J01-CU-2</v>
      </c>
    </row>
    <row r="8505">
      <c r="A8505" t="str">
        <f>IFERROR(__xludf.DUMMYFUNCTION("""COMPUTED_VALUE"""),"2016-06-01-J01-CU-3")</f>
        <v>2016-06-01-J01-CU-3</v>
      </c>
    </row>
    <row r="8506">
      <c r="A8506" t="str">
        <f>IFERROR(__xludf.DUMMYFUNCTION("""COMPUTED_VALUE"""),"2016-06-01-J01-CU-4")</f>
        <v>2016-06-01-J01-CU-4</v>
      </c>
    </row>
    <row r="8507">
      <c r="A8507" t="str">
        <f>IFERROR(__xludf.DUMMYFUNCTION("""COMPUTED_VALUE"""),"2016-06-01-J01-CU-5")</f>
        <v>2016-06-01-J01-CU-5</v>
      </c>
    </row>
    <row r="8508">
      <c r="A8508" t="str">
        <f>IFERROR(__xludf.DUMMYFUNCTION("""COMPUTED_VALUE"""),"2016-06-01-J01-CU-6")</f>
        <v>2016-06-01-J01-CU-6</v>
      </c>
    </row>
    <row r="8509">
      <c r="A8509" t="str">
        <f>IFERROR(__xludf.DUMMYFUNCTION("""COMPUTED_VALUE"""),"2016-06-01-J01-CU-7")</f>
        <v>2016-06-01-J01-CU-7</v>
      </c>
    </row>
    <row r="8510">
      <c r="A8510" t="str">
        <f>IFERROR(__xludf.DUMMYFUNCTION("""COMPUTED_VALUE"""),"2016-06-01-J01-CU-8")</f>
        <v>2016-06-01-J01-CU-8</v>
      </c>
    </row>
    <row r="8511">
      <c r="A8511" t="str">
        <f>IFERROR(__xludf.DUMMYFUNCTION("""COMPUTED_VALUE"""),"2016-06-01-J01-CU-9")</f>
        <v>2016-06-01-J01-CU-9</v>
      </c>
    </row>
    <row r="8512">
      <c r="A8512" t="str">
        <f>IFERROR(__xludf.DUMMYFUNCTION("""COMPUTED_VALUE"""),"2016-06-01-J01-CU-10")</f>
        <v>2016-06-01-J01-CU-10</v>
      </c>
    </row>
    <row r="8513">
      <c r="A8513" t="str">
        <f>IFERROR(__xludf.DUMMYFUNCTION("""COMPUTED_VALUE"""),"2016-06-01-D27-CO-1")</f>
        <v>2016-06-01-D27-CO-1</v>
      </c>
    </row>
    <row r="8514">
      <c r="A8514" t="str">
        <f>IFERROR(__xludf.DUMMYFUNCTION("""COMPUTED_VALUE"""),"2016-06-01-J02-CO-1")</f>
        <v>2016-06-01-J02-CO-1</v>
      </c>
    </row>
    <row r="8515">
      <c r="A8515" t="str">
        <f>IFERROR(__xludf.DUMMYFUNCTION("""COMPUTED_VALUE"""),"2016-06-01-J02-CO-2")</f>
        <v>2016-06-01-J02-CO-2</v>
      </c>
    </row>
    <row r="8516">
      <c r="A8516" t="str">
        <f>IFERROR(__xludf.DUMMYFUNCTION("""COMPUTED_VALUE"""),"2016-06-01-J02-CO-3")</f>
        <v>2016-06-01-J02-CO-3</v>
      </c>
    </row>
    <row r="8517">
      <c r="A8517" t="str">
        <f>IFERROR(__xludf.DUMMYFUNCTION("""COMPUTED_VALUE"""),"2016-06-01-J02-CO-4")</f>
        <v>2016-06-01-J02-CO-4</v>
      </c>
    </row>
    <row r="8518">
      <c r="A8518" t="str">
        <f>IFERROR(__xludf.DUMMYFUNCTION("""COMPUTED_VALUE"""),"2016-06-01-D27-HE-1")</f>
        <v>2016-06-01-D27-HE-1</v>
      </c>
    </row>
    <row r="8519">
      <c r="A8519" t="str">
        <f>IFERROR(__xludf.DUMMYFUNCTION("""COMPUTED_VALUE"""),"2016-06-01-D27-HE-2")</f>
        <v>2016-06-01-D27-HE-2</v>
      </c>
    </row>
    <row r="8520">
      <c r="A8520" t="str">
        <f>IFERROR(__xludf.DUMMYFUNCTION("""COMPUTED_VALUE"""),"2016-06-01-D27-HE-3")</f>
        <v>2016-06-01-D27-HE-3</v>
      </c>
    </row>
    <row r="8521">
      <c r="A8521" t="str">
        <f>IFERROR(__xludf.DUMMYFUNCTION("""COMPUTED_VALUE"""),"2016-06-01-D27-HE-4")</f>
        <v>2016-06-01-D27-HE-4</v>
      </c>
    </row>
    <row r="8522">
      <c r="A8522" t="str">
        <f>IFERROR(__xludf.DUMMYFUNCTION("""COMPUTED_VALUE"""),"2016-06-01-D27-HE-5")</f>
        <v>2016-06-01-D27-HE-5</v>
      </c>
    </row>
    <row r="8523">
      <c r="A8523" t="str">
        <f>IFERROR(__xludf.DUMMYFUNCTION("""COMPUTED_VALUE"""),"2016-06-01-D27-HE-6")</f>
        <v>2016-06-01-D27-HE-6</v>
      </c>
    </row>
    <row r="8524">
      <c r="A8524" t="str">
        <f>IFERROR(__xludf.DUMMYFUNCTION("""COMPUTED_VALUE"""),"2016-06-01-D27-HE-7")</f>
        <v>2016-06-01-D27-HE-7</v>
      </c>
    </row>
    <row r="8525">
      <c r="A8525" t="str">
        <f>IFERROR(__xludf.DUMMYFUNCTION("""COMPUTED_VALUE"""),"2016-06-01-D27-HE-8")</f>
        <v>2016-06-01-D27-HE-8</v>
      </c>
    </row>
    <row r="8526">
      <c r="A8526" t="str">
        <f>IFERROR(__xludf.DUMMYFUNCTION("""COMPUTED_VALUE"""),"2016-06-01-D27-HE-9")</f>
        <v>2016-06-01-D27-HE-9</v>
      </c>
    </row>
    <row r="8527">
      <c r="A8527" t="str">
        <f>IFERROR(__xludf.DUMMYFUNCTION("""COMPUTED_VALUE"""),"2016-06-01-D27-HE-10")</f>
        <v>2016-06-01-D27-HE-10</v>
      </c>
    </row>
    <row r="8528">
      <c r="A8528" t="str">
        <f>IFERROR(__xludf.DUMMYFUNCTION("""COMPUTED_VALUE"""),"2016-06-01-J02-HE-1")</f>
        <v>2016-06-01-J02-HE-1</v>
      </c>
    </row>
    <row r="8529">
      <c r="A8529" t="str">
        <f>IFERROR(__xludf.DUMMYFUNCTION("""COMPUTED_VALUE"""),"2016-06-01-J02-HE-2")</f>
        <v>2016-06-01-J02-HE-2</v>
      </c>
    </row>
    <row r="8530">
      <c r="A8530" t="str">
        <f>IFERROR(__xludf.DUMMYFUNCTION("""COMPUTED_VALUE"""),"2016-06-01-J02-HE-3")</f>
        <v>2016-06-01-J02-HE-3</v>
      </c>
    </row>
    <row r="8531">
      <c r="A8531" t="str">
        <f>IFERROR(__xludf.DUMMYFUNCTION("""COMPUTED_VALUE"""),"2016-06-01-J02-HE-4")</f>
        <v>2016-06-01-J02-HE-4</v>
      </c>
    </row>
    <row r="8532">
      <c r="A8532" t="str">
        <f>IFERROR(__xludf.DUMMYFUNCTION("""COMPUTED_VALUE"""),"2016-06-01-J02-HE-5")</f>
        <v>2016-06-01-J02-HE-5</v>
      </c>
    </row>
    <row r="8533">
      <c r="A8533" t="str">
        <f>IFERROR(__xludf.DUMMYFUNCTION("""COMPUTED_VALUE"""),"2016-06-01-J02-HE-6")</f>
        <v>2016-06-01-J02-HE-6</v>
      </c>
    </row>
    <row r="8534">
      <c r="A8534" t="str">
        <f>IFERROR(__xludf.DUMMYFUNCTION("""COMPUTED_VALUE"""),"2016-06-01-J02-HE-7")</f>
        <v>2016-06-01-J02-HE-7</v>
      </c>
    </row>
    <row r="8535">
      <c r="A8535" t="str">
        <f>IFERROR(__xludf.DUMMYFUNCTION("""COMPUTED_VALUE"""),"2016-06-02-D11-SO-1")</f>
        <v>2016-06-02-D11-SO-1</v>
      </c>
    </row>
    <row r="8536">
      <c r="A8536" t="str">
        <f>IFERROR(__xludf.DUMMYFUNCTION("""COMPUTED_VALUE"""),"2016-06-02-D11-SO-2")</f>
        <v>2016-06-02-D11-SO-2</v>
      </c>
    </row>
    <row r="8537">
      <c r="A8537" t="str">
        <f>IFERROR(__xludf.DUMMYFUNCTION("""COMPUTED_VALUE"""),"2016-06-02-D11-SO-3")</f>
        <v>2016-06-02-D11-SO-3</v>
      </c>
    </row>
    <row r="8538">
      <c r="A8538" t="str">
        <f>IFERROR(__xludf.DUMMYFUNCTION("""COMPUTED_VALUE"""),"2016-06-02-D11-SO-4")</f>
        <v>2016-06-02-D11-SO-4</v>
      </c>
    </row>
    <row r="8539">
      <c r="A8539" t="str">
        <f>IFERROR(__xludf.DUMMYFUNCTION("""COMPUTED_VALUE"""),"2016-06-02-D11-SO-5")</f>
        <v>2016-06-02-D11-SO-5</v>
      </c>
    </row>
    <row r="8540">
      <c r="A8540" t="str">
        <f>IFERROR(__xludf.DUMMYFUNCTION("""COMPUTED_VALUE"""),"2016-06-02-D11-SO-6")</f>
        <v>2016-06-02-D11-SO-6</v>
      </c>
    </row>
    <row r="8541">
      <c r="A8541" t="str">
        <f>IFERROR(__xludf.DUMMYFUNCTION("""COMPUTED_VALUE"""),"2016-06-02-D11-SO-7")</f>
        <v>2016-06-02-D11-SO-7</v>
      </c>
    </row>
    <row r="8542">
      <c r="A8542" t="str">
        <f>IFERROR(__xludf.DUMMYFUNCTION("""COMPUTED_VALUE"""),"2016-06-02-D11-SO-8")</f>
        <v>2016-06-02-D11-SO-8</v>
      </c>
    </row>
    <row r="8543">
      <c r="A8543" t="str">
        <f>IFERROR(__xludf.DUMMYFUNCTION("""COMPUTED_VALUE"""),"2016-06-02-D11-SO-9")</f>
        <v>2016-06-02-D11-SO-9</v>
      </c>
    </row>
    <row r="8544">
      <c r="A8544" t="str">
        <f>IFERROR(__xludf.DUMMYFUNCTION("""COMPUTED_VALUE"""),"2016-06-02-D11-SO-10")</f>
        <v>2016-06-02-D11-SO-10</v>
      </c>
    </row>
    <row r="8545">
      <c r="A8545" t="str">
        <f>IFERROR(__xludf.DUMMYFUNCTION("""COMPUTED_VALUE"""),"2016-06-02-D11-SO-11")</f>
        <v>2016-06-02-D11-SO-11</v>
      </c>
    </row>
    <row r="8546">
      <c r="A8546" t="str">
        <f>IFERROR(__xludf.DUMMYFUNCTION("""COMPUTED_VALUE"""),"2016-06-02-D11-SO-12")</f>
        <v>2016-06-02-D11-SO-12</v>
      </c>
    </row>
    <row r="8547">
      <c r="A8547" t="str">
        <f>IFERROR(__xludf.DUMMYFUNCTION("""COMPUTED_VALUE"""),"2016-06-02-D11-SO-13")</f>
        <v>2016-06-02-D11-SO-13</v>
      </c>
    </row>
    <row r="8548">
      <c r="A8548" t="str">
        <f>IFERROR(__xludf.DUMMYFUNCTION("""COMPUTED_VALUE"""),"2016-06-02-D11-SO-14")</f>
        <v>2016-06-02-D11-SO-14</v>
      </c>
    </row>
    <row r="8549">
      <c r="A8549" t="str">
        <f>IFERROR(__xludf.DUMMYFUNCTION("""COMPUTED_VALUE"""),"2016-06-02-D11-SO-15")</f>
        <v>2016-06-02-D11-SO-15</v>
      </c>
    </row>
    <row r="8550">
      <c r="A8550" t="str">
        <f>IFERROR(__xludf.DUMMYFUNCTION("""COMPUTED_VALUE"""),"2016-06-02-D11-SO-16")</f>
        <v>2016-06-02-D11-SO-16</v>
      </c>
    </row>
    <row r="8551">
      <c r="A8551" t="str">
        <f>IFERROR(__xludf.DUMMYFUNCTION("""COMPUTED_VALUE"""),"2016-06-02-D11-SO-17")</f>
        <v>2016-06-02-D11-SO-17</v>
      </c>
    </row>
    <row r="8552">
      <c r="A8552" t="str">
        <f>IFERROR(__xludf.DUMMYFUNCTION("""COMPUTED_VALUE"""),"2016-06-02-D11-SO-18")</f>
        <v>2016-06-02-D11-SO-18</v>
      </c>
    </row>
    <row r="8553">
      <c r="A8553" t="str">
        <f>IFERROR(__xludf.DUMMYFUNCTION("""COMPUTED_VALUE"""),"2016-06-02-D11-SO-19")</f>
        <v>2016-06-02-D11-SO-19</v>
      </c>
    </row>
    <row r="8554">
      <c r="A8554" t="str">
        <f>IFERROR(__xludf.DUMMYFUNCTION("""COMPUTED_VALUE"""),"2016-06-02-D11-SO-20")</f>
        <v>2016-06-02-D11-SO-20</v>
      </c>
    </row>
    <row r="8555">
      <c r="A8555" t="str">
        <f>IFERROR(__xludf.DUMMYFUNCTION("""COMPUTED_VALUE"""),"2016-06-02-D11-SO-21")</f>
        <v>2016-06-02-D11-SO-21</v>
      </c>
    </row>
    <row r="8556">
      <c r="A8556" t="str">
        <f>IFERROR(__xludf.DUMMYFUNCTION("""COMPUTED_VALUE"""),"2016-06-02-D11-SO-22")</f>
        <v>2016-06-02-D11-SO-22</v>
      </c>
    </row>
    <row r="8557">
      <c r="A8557" t="str">
        <f>IFERROR(__xludf.DUMMYFUNCTION("""COMPUTED_VALUE"""),"2016-06-02-D11-SO-23")</f>
        <v>2016-06-02-D11-SO-23</v>
      </c>
    </row>
    <row r="8558">
      <c r="A8558" t="str">
        <f>IFERROR(__xludf.DUMMYFUNCTION("""COMPUTED_VALUE"""),"2016-06-02-D11-SO-24")</f>
        <v>2016-06-02-D11-SO-24</v>
      </c>
    </row>
    <row r="8559">
      <c r="A8559" t="str">
        <f>IFERROR(__xludf.DUMMYFUNCTION("""COMPUTED_VALUE"""),"2016-06-02-D11-SO-25")</f>
        <v>2016-06-02-D11-SO-25</v>
      </c>
    </row>
    <row r="8560">
      <c r="A8560" t="str">
        <f>IFERROR(__xludf.DUMMYFUNCTION("""COMPUTED_VALUE"""),"2016-06-02-D11-SO-26")</f>
        <v>2016-06-02-D11-SO-26</v>
      </c>
    </row>
    <row r="8561">
      <c r="A8561" t="str">
        <f>IFERROR(__xludf.DUMMYFUNCTION("""COMPUTED_VALUE"""),"2016-06-02-D11-SO-27")</f>
        <v>2016-06-02-D11-SO-27</v>
      </c>
    </row>
    <row r="8562">
      <c r="A8562" t="str">
        <f>IFERROR(__xludf.DUMMYFUNCTION("""COMPUTED_VALUE"""),"2016-06-02-D11-SO-28")</f>
        <v>2016-06-02-D11-SO-28</v>
      </c>
    </row>
    <row r="8563">
      <c r="A8563" t="str">
        <f>IFERROR(__xludf.DUMMYFUNCTION("""COMPUTED_VALUE"""),"2016-06-02-D11-SO-29")</f>
        <v>2016-06-02-D11-SO-29</v>
      </c>
    </row>
    <row r="8564">
      <c r="A8564" t="str">
        <f>IFERROR(__xludf.DUMMYFUNCTION("""COMPUTED_VALUE"""),"2016-06-02-D11-SO-30")</f>
        <v>2016-06-02-D11-SO-30</v>
      </c>
    </row>
    <row r="8565">
      <c r="A8565" t="str">
        <f>IFERROR(__xludf.DUMMYFUNCTION("""COMPUTED_VALUE"""),"2016-06-02-D21-SO-1")</f>
        <v>2016-06-02-D21-SO-1</v>
      </c>
    </row>
    <row r="8566">
      <c r="A8566" t="str">
        <f>IFERROR(__xludf.DUMMYFUNCTION("""COMPUTED_VALUE"""),"2016-06-02-D21-SO-2")</f>
        <v>2016-06-02-D21-SO-2</v>
      </c>
    </row>
    <row r="8567">
      <c r="A8567" t="str">
        <f>IFERROR(__xludf.DUMMYFUNCTION("""COMPUTED_VALUE"""),"2016-06-02-D21-SO-3")</f>
        <v>2016-06-02-D21-SO-3</v>
      </c>
    </row>
    <row r="8568">
      <c r="A8568" t="str">
        <f>IFERROR(__xludf.DUMMYFUNCTION("""COMPUTED_VALUE"""),"2016-06-02-D21-SO-4")</f>
        <v>2016-06-02-D21-SO-4</v>
      </c>
    </row>
    <row r="8569">
      <c r="A8569" t="str">
        <f>IFERROR(__xludf.DUMMYFUNCTION("""COMPUTED_VALUE"""),"2016-06-02-D21-SO-5")</f>
        <v>2016-06-02-D21-SO-5</v>
      </c>
    </row>
    <row r="8570">
      <c r="A8570" t="str">
        <f>IFERROR(__xludf.DUMMYFUNCTION("""COMPUTED_VALUE"""),"2016-06-02-D21-SO-6")</f>
        <v>2016-06-02-D21-SO-6</v>
      </c>
    </row>
    <row r="8571">
      <c r="A8571" t="str">
        <f>IFERROR(__xludf.DUMMYFUNCTION("""COMPUTED_VALUE"""),"2016-06-02-D21-SO-7")</f>
        <v>2016-06-02-D21-SO-7</v>
      </c>
    </row>
    <row r="8572">
      <c r="A8572" t="str">
        <f>IFERROR(__xludf.DUMMYFUNCTION("""COMPUTED_VALUE"""),"2016-06-02-D21-SO-8")</f>
        <v>2016-06-02-D21-SO-8</v>
      </c>
    </row>
    <row r="8573">
      <c r="A8573" t="str">
        <f>IFERROR(__xludf.DUMMYFUNCTION("""COMPUTED_VALUE"""),"2016-06-02-D21-SO-9")</f>
        <v>2016-06-02-D21-SO-9</v>
      </c>
    </row>
    <row r="8574">
      <c r="A8574" t="str">
        <f>IFERROR(__xludf.DUMMYFUNCTION("""COMPUTED_VALUE"""),"2016-06-02-D21-SO-10")</f>
        <v>2016-06-02-D21-SO-10</v>
      </c>
    </row>
    <row r="8575">
      <c r="A8575" t="str">
        <f>IFERROR(__xludf.DUMMYFUNCTION("""COMPUTED_VALUE"""),"2016-06-02-D21-SO-11")</f>
        <v>2016-06-02-D21-SO-11</v>
      </c>
    </row>
    <row r="8576">
      <c r="A8576" t="str">
        <f>IFERROR(__xludf.DUMMYFUNCTION("""COMPUTED_VALUE"""),"2016-06-02-D21-SO-12")</f>
        <v>2016-06-02-D21-SO-12</v>
      </c>
    </row>
    <row r="8577">
      <c r="A8577" t="str">
        <f>IFERROR(__xludf.DUMMYFUNCTION("""COMPUTED_VALUE"""),"2016-06-02-D21-SO-13")</f>
        <v>2016-06-02-D21-SO-13</v>
      </c>
    </row>
    <row r="8578">
      <c r="A8578" t="str">
        <f>IFERROR(__xludf.DUMMYFUNCTION("""COMPUTED_VALUE"""),"2016-06-02-D21-SO-14")</f>
        <v>2016-06-02-D21-SO-14</v>
      </c>
    </row>
    <row r="8579">
      <c r="A8579" t="str">
        <f>IFERROR(__xludf.DUMMYFUNCTION("""COMPUTED_VALUE"""),"2016-06-02-D21-SO-15")</f>
        <v>2016-06-02-D21-SO-15</v>
      </c>
    </row>
    <row r="8580">
      <c r="A8580" t="str">
        <f>IFERROR(__xludf.DUMMYFUNCTION("""COMPUTED_VALUE"""),"2016-06-02-D21-SO-16")</f>
        <v>2016-06-02-D21-SO-16</v>
      </c>
    </row>
    <row r="8581">
      <c r="A8581" t="str">
        <f>IFERROR(__xludf.DUMMYFUNCTION("""COMPUTED_VALUE"""),"2016-06-02-D21-SO-17")</f>
        <v>2016-06-02-D21-SO-17</v>
      </c>
    </row>
    <row r="8582">
      <c r="A8582" t="str">
        <f>IFERROR(__xludf.DUMMYFUNCTION("""COMPUTED_VALUE"""),"2016-06-02-D21-SO-18")</f>
        <v>2016-06-02-D21-SO-18</v>
      </c>
    </row>
    <row r="8583">
      <c r="A8583" t="str">
        <f>IFERROR(__xludf.DUMMYFUNCTION("""COMPUTED_VALUE"""),"2016-06-02-D21-SO-19")</f>
        <v>2016-06-02-D21-SO-19</v>
      </c>
    </row>
    <row r="8584">
      <c r="A8584" t="str">
        <f>IFERROR(__xludf.DUMMYFUNCTION("""COMPUTED_VALUE"""),"2016-06-02-D21-SO-20")</f>
        <v>2016-06-02-D21-SO-20</v>
      </c>
    </row>
    <row r="8585">
      <c r="A8585" t="str">
        <f>IFERROR(__xludf.DUMMYFUNCTION("""COMPUTED_VALUE"""),"2016-06-02-D21-SO-21")</f>
        <v>2016-06-02-D21-SO-21</v>
      </c>
    </row>
    <row r="8586">
      <c r="A8586" t="str">
        <f>IFERROR(__xludf.DUMMYFUNCTION("""COMPUTED_VALUE"""),"2016-06-02-D21-SO-22")</f>
        <v>2016-06-02-D21-SO-22</v>
      </c>
    </row>
    <row r="8587">
      <c r="A8587" t="str">
        <f>IFERROR(__xludf.DUMMYFUNCTION("""COMPUTED_VALUE"""),"2016-06-02-D21-SO-23")</f>
        <v>2016-06-02-D21-SO-23</v>
      </c>
    </row>
    <row r="8588">
      <c r="A8588" t="str">
        <f>IFERROR(__xludf.DUMMYFUNCTION("""COMPUTED_VALUE"""),"2016-06-02-D21-SO-24")</f>
        <v>2016-06-02-D21-SO-24</v>
      </c>
    </row>
    <row r="8589">
      <c r="A8589" t="str">
        <f>IFERROR(__xludf.DUMMYFUNCTION("""COMPUTED_VALUE"""),"2016-06-02-D21-SO-25")</f>
        <v>2016-06-02-D21-SO-25</v>
      </c>
    </row>
    <row r="8590">
      <c r="A8590" t="str">
        <f>IFERROR(__xludf.DUMMYFUNCTION("""COMPUTED_VALUE"""),"2016-06-02-D21-SO-26")</f>
        <v>2016-06-02-D21-SO-26</v>
      </c>
    </row>
    <row r="8591">
      <c r="A8591" t="str">
        <f>IFERROR(__xludf.DUMMYFUNCTION("""COMPUTED_VALUE"""),"2016-06-02-D21-SO-27")</f>
        <v>2016-06-02-D21-SO-27</v>
      </c>
    </row>
    <row r="8592">
      <c r="A8592" t="str">
        <f>IFERROR(__xludf.DUMMYFUNCTION("""COMPUTED_VALUE"""),"2016-06-02-D21-SO-28")</f>
        <v>2016-06-02-D21-SO-28</v>
      </c>
    </row>
    <row r="8593">
      <c r="A8593" t="str">
        <f>IFERROR(__xludf.DUMMYFUNCTION("""COMPUTED_VALUE"""),"2016-06-02-D21-SO-29")</f>
        <v>2016-06-02-D21-SO-29</v>
      </c>
    </row>
    <row r="8594">
      <c r="A8594" t="str">
        <f>IFERROR(__xludf.DUMMYFUNCTION("""COMPUTED_VALUE"""),"2016-06-02-D21-SO-30")</f>
        <v>2016-06-02-D21-SO-30</v>
      </c>
    </row>
    <row r="8595">
      <c r="A8595" t="str">
        <f>IFERROR(__xludf.DUMMYFUNCTION("""COMPUTED_VALUE"""),"2016-06-02-D20-SO-1")</f>
        <v>2016-06-02-D20-SO-1</v>
      </c>
    </row>
    <row r="8596">
      <c r="A8596" t="str">
        <f>IFERROR(__xludf.DUMMYFUNCTION("""COMPUTED_VALUE"""),"2016-06-02-D20-SO-2")</f>
        <v>2016-06-02-D20-SO-2</v>
      </c>
    </row>
    <row r="8597">
      <c r="A8597" t="str">
        <f>IFERROR(__xludf.DUMMYFUNCTION("""COMPUTED_VALUE"""),"2016-06-02-D20-SO-3")</f>
        <v>2016-06-02-D20-SO-3</v>
      </c>
    </row>
    <row r="8598">
      <c r="A8598" t="str">
        <f>IFERROR(__xludf.DUMMYFUNCTION("""COMPUTED_VALUE"""),"2016-06-02-D20-SO-4")</f>
        <v>2016-06-02-D20-SO-4</v>
      </c>
    </row>
    <row r="8599">
      <c r="A8599" t="str">
        <f>IFERROR(__xludf.DUMMYFUNCTION("""COMPUTED_VALUE"""),"2016-06-02-D20-SO-5")</f>
        <v>2016-06-02-D20-SO-5</v>
      </c>
    </row>
    <row r="8600">
      <c r="A8600" t="str">
        <f>IFERROR(__xludf.DUMMYFUNCTION("""COMPUTED_VALUE"""),"2016-06-02-D20-SO-6")</f>
        <v>2016-06-02-D20-SO-6</v>
      </c>
    </row>
    <row r="8601">
      <c r="A8601" t="str">
        <f>IFERROR(__xludf.DUMMYFUNCTION("""COMPUTED_VALUE"""),"2016-06-02-D20-SO-7")</f>
        <v>2016-06-02-D20-SO-7</v>
      </c>
    </row>
    <row r="8602">
      <c r="A8602" t="str">
        <f>IFERROR(__xludf.DUMMYFUNCTION("""COMPUTED_VALUE"""),"2016-06-02-D20-SO-8")</f>
        <v>2016-06-02-D20-SO-8</v>
      </c>
    </row>
    <row r="8603">
      <c r="A8603" t="str">
        <f>IFERROR(__xludf.DUMMYFUNCTION("""COMPUTED_VALUE"""),"2016-06-02-D20-SO-9")</f>
        <v>2016-06-02-D20-SO-9</v>
      </c>
    </row>
    <row r="8604">
      <c r="A8604" t="str">
        <f>IFERROR(__xludf.DUMMYFUNCTION("""COMPUTED_VALUE"""),"2016-06-02-D20-SO-10")</f>
        <v>2016-06-02-D20-SO-10</v>
      </c>
    </row>
    <row r="8605">
      <c r="A8605" t="str">
        <f>IFERROR(__xludf.DUMMYFUNCTION("""COMPUTED_VALUE"""),"2016-06-02-D20-SO-11")</f>
        <v>2016-06-02-D20-SO-11</v>
      </c>
    </row>
    <row r="8606">
      <c r="A8606" t="str">
        <f>IFERROR(__xludf.DUMMYFUNCTION("""COMPUTED_VALUE"""),"2016-06-02-D20-SO-12")</f>
        <v>2016-06-02-D20-SO-12</v>
      </c>
    </row>
    <row r="8607">
      <c r="A8607" t="str">
        <f>IFERROR(__xludf.DUMMYFUNCTION("""COMPUTED_VALUE"""),"2016-06-02-D20-SO-13")</f>
        <v>2016-06-02-D20-SO-13</v>
      </c>
    </row>
    <row r="8608">
      <c r="A8608" t="str">
        <f>IFERROR(__xludf.DUMMYFUNCTION("""COMPUTED_VALUE"""),"2016-06-02-D20-SO-14")</f>
        <v>2016-06-02-D20-SO-14</v>
      </c>
    </row>
    <row r="8609">
      <c r="A8609" t="str">
        <f>IFERROR(__xludf.DUMMYFUNCTION("""COMPUTED_VALUE"""),"2016-06-02-D20-SO-15")</f>
        <v>2016-06-02-D20-SO-15</v>
      </c>
    </row>
    <row r="8610">
      <c r="A8610" t="str">
        <f>IFERROR(__xludf.DUMMYFUNCTION("""COMPUTED_VALUE"""),"2016-06-02-D20-SO-16")</f>
        <v>2016-06-02-D20-SO-16</v>
      </c>
    </row>
    <row r="8611">
      <c r="A8611" t="str">
        <f>IFERROR(__xludf.DUMMYFUNCTION("""COMPUTED_VALUE"""),"2016-06-02-D20-SO-17")</f>
        <v>2016-06-02-D20-SO-17</v>
      </c>
    </row>
    <row r="8612">
      <c r="A8612" t="str">
        <f>IFERROR(__xludf.DUMMYFUNCTION("""COMPUTED_VALUE"""),"2016-06-02-D20-SO-18")</f>
        <v>2016-06-02-D20-SO-18</v>
      </c>
    </row>
    <row r="8613">
      <c r="A8613" t="str">
        <f>IFERROR(__xludf.DUMMYFUNCTION("""COMPUTED_VALUE"""),"2016-06-02-D20-SO-19")</f>
        <v>2016-06-02-D20-SO-19</v>
      </c>
    </row>
    <row r="8614">
      <c r="A8614" t="str">
        <f>IFERROR(__xludf.DUMMYFUNCTION("""COMPUTED_VALUE"""),"2016-06-02-D20-SO-20")</f>
        <v>2016-06-02-D20-SO-20</v>
      </c>
    </row>
    <row r="8615">
      <c r="A8615" t="str">
        <f>IFERROR(__xludf.DUMMYFUNCTION("""COMPUTED_VALUE"""),"2016-06-02-D20-SO-21")</f>
        <v>2016-06-02-D20-SO-21</v>
      </c>
    </row>
    <row r="8616">
      <c r="A8616" t="str">
        <f>IFERROR(__xludf.DUMMYFUNCTION("""COMPUTED_VALUE"""),"2016-06-02-D20-SO-22")</f>
        <v>2016-06-02-D20-SO-22</v>
      </c>
    </row>
    <row r="8617">
      <c r="A8617" t="str">
        <f>IFERROR(__xludf.DUMMYFUNCTION("""COMPUTED_VALUE"""),"2016-06-02-D20-SO-23")</f>
        <v>2016-06-02-D20-SO-23</v>
      </c>
    </row>
    <row r="8618">
      <c r="A8618" t="str">
        <f>IFERROR(__xludf.DUMMYFUNCTION("""COMPUTED_VALUE"""),"2016-06-02-D20-SO-24")</f>
        <v>2016-06-02-D20-SO-24</v>
      </c>
    </row>
    <row r="8619">
      <c r="A8619" t="str">
        <f>IFERROR(__xludf.DUMMYFUNCTION("""COMPUTED_VALUE"""),"2016-06-02-D20-SO-25")</f>
        <v>2016-06-02-D20-SO-25</v>
      </c>
    </row>
    <row r="8620">
      <c r="A8620" t="str">
        <f>IFERROR(__xludf.DUMMYFUNCTION("""COMPUTED_VALUE"""),"2016-06-02-D20-SO-26")</f>
        <v>2016-06-02-D20-SO-26</v>
      </c>
    </row>
    <row r="8621">
      <c r="A8621" t="str">
        <f>IFERROR(__xludf.DUMMYFUNCTION("""COMPUTED_VALUE"""),"2016-06-02-D20-SO-27")</f>
        <v>2016-06-02-D20-SO-27</v>
      </c>
    </row>
    <row r="8622">
      <c r="A8622" t="str">
        <f>IFERROR(__xludf.DUMMYFUNCTION("""COMPUTED_VALUE"""),"2016-06-02-D20-SO-28")</f>
        <v>2016-06-02-D20-SO-28</v>
      </c>
    </row>
    <row r="8623">
      <c r="A8623" t="str">
        <f>IFERROR(__xludf.DUMMYFUNCTION("""COMPUTED_VALUE"""),"2016-06-02-D20-SO-29")</f>
        <v>2016-06-02-D20-SO-29</v>
      </c>
    </row>
    <row r="8624">
      <c r="A8624" t="str">
        <f>IFERROR(__xludf.DUMMYFUNCTION("""COMPUTED_VALUE"""),"2016-06-02-D20-SO-30")</f>
        <v>2016-06-02-D20-SO-30</v>
      </c>
    </row>
    <row r="8625">
      <c r="A8625" t="str">
        <f>IFERROR(__xludf.DUMMYFUNCTION("""COMPUTED_VALUE"""),"2016-06-02-J10-SO-1")</f>
        <v>2016-06-02-J10-SO-1</v>
      </c>
    </row>
    <row r="8626">
      <c r="A8626" t="str">
        <f>IFERROR(__xludf.DUMMYFUNCTION("""COMPUTED_VALUE"""),"2016-06-02-J10-SO-2")</f>
        <v>2016-06-02-J10-SO-2</v>
      </c>
    </row>
    <row r="8627">
      <c r="A8627" t="str">
        <f>IFERROR(__xludf.DUMMYFUNCTION("""COMPUTED_VALUE"""),"2016-06-02-J10-SO-3")</f>
        <v>2016-06-02-J10-SO-3</v>
      </c>
    </row>
    <row r="8628">
      <c r="A8628" t="str">
        <f>IFERROR(__xludf.DUMMYFUNCTION("""COMPUTED_VALUE"""),"2016-06-02-J10-SO-4")</f>
        <v>2016-06-02-J10-SO-4</v>
      </c>
    </row>
    <row r="8629">
      <c r="A8629" t="str">
        <f>IFERROR(__xludf.DUMMYFUNCTION("""COMPUTED_VALUE"""),"2016-06-02-J10-SO-5")</f>
        <v>2016-06-02-J10-SO-5</v>
      </c>
    </row>
    <row r="8630">
      <c r="A8630" t="str">
        <f>IFERROR(__xludf.DUMMYFUNCTION("""COMPUTED_VALUE"""),"2016-06-02-J10-SO-6")</f>
        <v>2016-06-02-J10-SO-6</v>
      </c>
    </row>
    <row r="8631">
      <c r="A8631" t="str">
        <f>IFERROR(__xludf.DUMMYFUNCTION("""COMPUTED_VALUE"""),"2016-06-02-J10-SO-7")</f>
        <v>2016-06-02-J10-SO-7</v>
      </c>
    </row>
    <row r="8632">
      <c r="A8632" t="str">
        <f>IFERROR(__xludf.DUMMYFUNCTION("""COMPUTED_VALUE"""),"2016-06-02-J10-SO-8")</f>
        <v>2016-06-02-J10-SO-8</v>
      </c>
    </row>
    <row r="8633">
      <c r="A8633" t="str">
        <f>IFERROR(__xludf.DUMMYFUNCTION("""COMPUTED_VALUE"""),"2016-06-02-J10-SO-9")</f>
        <v>2016-06-02-J10-SO-9</v>
      </c>
    </row>
    <row r="8634">
      <c r="A8634" t="str">
        <f>IFERROR(__xludf.DUMMYFUNCTION("""COMPUTED_VALUE"""),"2016-06-02-J10-SO-10")</f>
        <v>2016-06-02-J10-SO-10</v>
      </c>
    </row>
    <row r="8635">
      <c r="A8635" t="str">
        <f>IFERROR(__xludf.DUMMYFUNCTION("""COMPUTED_VALUE"""),"2016-06-02-J10-SO-11")</f>
        <v>2016-06-02-J10-SO-11</v>
      </c>
    </row>
    <row r="8636">
      <c r="A8636" t="str">
        <f>IFERROR(__xludf.DUMMYFUNCTION("""COMPUTED_VALUE"""),"2016-06-02-J10-SO-12")</f>
        <v>2016-06-02-J10-SO-12</v>
      </c>
    </row>
    <row r="8637">
      <c r="A8637" t="str">
        <f>IFERROR(__xludf.DUMMYFUNCTION("""COMPUTED_VALUE"""),"2016-06-02-J10-SO-13")</f>
        <v>2016-06-02-J10-SO-13</v>
      </c>
    </row>
    <row r="8638">
      <c r="A8638" t="str">
        <f>IFERROR(__xludf.DUMMYFUNCTION("""COMPUTED_VALUE"""),"2016-06-02-J10-SO-14")</f>
        <v>2016-06-02-J10-SO-14</v>
      </c>
    </row>
    <row r="8639">
      <c r="A8639" t="str">
        <f>IFERROR(__xludf.DUMMYFUNCTION("""COMPUTED_VALUE"""),"2016-06-02-J10-SO-15")</f>
        <v>2016-06-02-J10-SO-15</v>
      </c>
    </row>
    <row r="8640">
      <c r="A8640" t="str">
        <f>IFERROR(__xludf.DUMMYFUNCTION("""COMPUTED_VALUE"""),"2016-06-02-J10-SO-16")</f>
        <v>2016-06-02-J10-SO-16</v>
      </c>
    </row>
    <row r="8641">
      <c r="A8641" t="str">
        <f>IFERROR(__xludf.DUMMYFUNCTION("""COMPUTED_VALUE"""),"2016-06-02-J10-SO-17")</f>
        <v>2016-06-02-J10-SO-17</v>
      </c>
    </row>
    <row r="8642">
      <c r="A8642" t="str">
        <f>IFERROR(__xludf.DUMMYFUNCTION("""COMPUTED_VALUE"""),"2016-06-02-J10-SO-18")</f>
        <v>2016-06-02-J10-SO-18</v>
      </c>
    </row>
    <row r="8643">
      <c r="A8643" t="str">
        <f>IFERROR(__xludf.DUMMYFUNCTION("""COMPUTED_VALUE"""),"2016-06-02-J10-SO-19")</f>
        <v>2016-06-02-J10-SO-19</v>
      </c>
    </row>
    <row r="8644">
      <c r="A8644" t="str">
        <f>IFERROR(__xludf.DUMMYFUNCTION("""COMPUTED_VALUE"""),"2016-06-02-J10-SO-20")</f>
        <v>2016-06-02-J10-SO-20</v>
      </c>
    </row>
    <row r="8645">
      <c r="A8645" t="str">
        <f>IFERROR(__xludf.DUMMYFUNCTION("""COMPUTED_VALUE"""),"2016-06-02-J10-SO-21")</f>
        <v>2016-06-02-J10-SO-21</v>
      </c>
    </row>
    <row r="8646">
      <c r="A8646" t="str">
        <f>IFERROR(__xludf.DUMMYFUNCTION("""COMPUTED_VALUE"""),"2016-06-02-J10-SO-22")</f>
        <v>2016-06-02-J10-SO-22</v>
      </c>
    </row>
    <row r="8647">
      <c r="A8647" t="str">
        <f>IFERROR(__xludf.DUMMYFUNCTION("""COMPUTED_VALUE"""),"2016-06-02-J10-SO-23")</f>
        <v>2016-06-02-J10-SO-23</v>
      </c>
    </row>
    <row r="8648">
      <c r="A8648" t="str">
        <f>IFERROR(__xludf.DUMMYFUNCTION("""COMPUTED_VALUE"""),"2016-06-02-J10-SO-24")</f>
        <v>2016-06-02-J10-SO-24</v>
      </c>
    </row>
    <row r="8649">
      <c r="A8649" t="str">
        <f>IFERROR(__xludf.DUMMYFUNCTION("""COMPUTED_VALUE"""),"2016-06-02-J10-SO-25")</f>
        <v>2016-06-02-J10-SO-25</v>
      </c>
    </row>
    <row r="8650">
      <c r="A8650" t="str">
        <f>IFERROR(__xludf.DUMMYFUNCTION("""COMPUTED_VALUE"""),"2016-06-02-J10-SO-26")</f>
        <v>2016-06-02-J10-SO-26</v>
      </c>
    </row>
    <row r="8651">
      <c r="A8651" t="str">
        <f>IFERROR(__xludf.DUMMYFUNCTION("""COMPUTED_VALUE"""),"2016-06-02-J10-SO-27")</f>
        <v>2016-06-02-J10-SO-27</v>
      </c>
    </row>
    <row r="8652">
      <c r="A8652" t="str">
        <f>IFERROR(__xludf.DUMMYFUNCTION("""COMPUTED_VALUE"""),"2016-06-02-J10-SO-28")</f>
        <v>2016-06-02-J10-SO-28</v>
      </c>
    </row>
    <row r="8653">
      <c r="A8653" t="str">
        <f>IFERROR(__xludf.DUMMYFUNCTION("""COMPUTED_VALUE"""),"2016-06-02-J10-SO-29")</f>
        <v>2016-06-02-J10-SO-29</v>
      </c>
    </row>
    <row r="8654">
      <c r="A8654" t="str">
        <f>IFERROR(__xludf.DUMMYFUNCTION("""COMPUTED_VALUE"""),"2016-06-02-J10-SO-30")</f>
        <v>2016-06-02-J10-SO-30</v>
      </c>
    </row>
    <row r="8655">
      <c r="A8655" t="str">
        <f>IFERROR(__xludf.DUMMYFUNCTION("""COMPUTED_VALUE"""),"2016-06-02-J09-SO-1")</f>
        <v>2016-06-02-J09-SO-1</v>
      </c>
    </row>
    <row r="8656">
      <c r="A8656" t="str">
        <f>IFERROR(__xludf.DUMMYFUNCTION("""COMPUTED_VALUE"""),"2016-06-02-J09-SO-2")</f>
        <v>2016-06-02-J09-SO-2</v>
      </c>
    </row>
    <row r="8657">
      <c r="A8657" t="str">
        <f>IFERROR(__xludf.DUMMYFUNCTION("""COMPUTED_VALUE"""),"2016-06-02-J09-SO-3")</f>
        <v>2016-06-02-J09-SO-3</v>
      </c>
    </row>
    <row r="8658">
      <c r="A8658" t="str">
        <f>IFERROR(__xludf.DUMMYFUNCTION("""COMPUTED_VALUE"""),"2016-06-02-J09-SO-4")</f>
        <v>2016-06-02-J09-SO-4</v>
      </c>
    </row>
    <row r="8659">
      <c r="A8659" t="str">
        <f>IFERROR(__xludf.DUMMYFUNCTION("""COMPUTED_VALUE"""),"2016-06-02-J09-SO-5")</f>
        <v>2016-06-02-J09-SO-5</v>
      </c>
    </row>
    <row r="8660">
      <c r="A8660" t="str">
        <f>IFERROR(__xludf.DUMMYFUNCTION("""COMPUTED_VALUE"""),"2016-06-02-J09-SO-6")</f>
        <v>2016-06-02-J09-SO-6</v>
      </c>
    </row>
    <row r="8661">
      <c r="A8661" t="str">
        <f>IFERROR(__xludf.DUMMYFUNCTION("""COMPUTED_VALUE"""),"2016-06-02-J09-SO-7")</f>
        <v>2016-06-02-J09-SO-7</v>
      </c>
    </row>
    <row r="8662">
      <c r="A8662" t="str">
        <f>IFERROR(__xludf.DUMMYFUNCTION("""COMPUTED_VALUE"""),"2016-06-02-J09-SO-8")</f>
        <v>2016-06-02-J09-SO-8</v>
      </c>
    </row>
    <row r="8663">
      <c r="A8663" t="str">
        <f>IFERROR(__xludf.DUMMYFUNCTION("""COMPUTED_VALUE"""),"2016-06-02-J09-SO-9")</f>
        <v>2016-06-02-J09-SO-9</v>
      </c>
    </row>
    <row r="8664">
      <c r="A8664" t="str">
        <f>IFERROR(__xludf.DUMMYFUNCTION("""COMPUTED_VALUE"""),"2016-06-02-J09-SO-10")</f>
        <v>2016-06-02-J09-SO-10</v>
      </c>
    </row>
    <row r="8665">
      <c r="A8665" t="str">
        <f>IFERROR(__xludf.DUMMYFUNCTION("""COMPUTED_VALUE"""),"2016-06-02-J09-SO-11")</f>
        <v>2016-06-02-J09-SO-11</v>
      </c>
    </row>
    <row r="8666">
      <c r="A8666" t="str">
        <f>IFERROR(__xludf.DUMMYFUNCTION("""COMPUTED_VALUE"""),"2016-06-02-J09-SO-12")</f>
        <v>2016-06-02-J09-SO-12</v>
      </c>
    </row>
    <row r="8667">
      <c r="A8667" t="str">
        <f>IFERROR(__xludf.DUMMYFUNCTION("""COMPUTED_VALUE"""),"2016-06-02-J09-SO-13")</f>
        <v>2016-06-02-J09-SO-13</v>
      </c>
    </row>
    <row r="8668">
      <c r="A8668" t="str">
        <f>IFERROR(__xludf.DUMMYFUNCTION("""COMPUTED_VALUE"""),"2016-06-02-J09-SO-14")</f>
        <v>2016-06-02-J09-SO-14</v>
      </c>
    </row>
    <row r="8669">
      <c r="A8669" t="str">
        <f>IFERROR(__xludf.DUMMYFUNCTION("""COMPUTED_VALUE"""),"2016-06-02-J09-SO-15")</f>
        <v>2016-06-02-J09-SO-15</v>
      </c>
    </row>
    <row r="8670">
      <c r="A8670" t="str">
        <f>IFERROR(__xludf.DUMMYFUNCTION("""COMPUTED_VALUE"""),"2016-06-02-J09-SO-16")</f>
        <v>2016-06-02-J09-SO-16</v>
      </c>
    </row>
    <row r="8671">
      <c r="A8671" t="str">
        <f>IFERROR(__xludf.DUMMYFUNCTION("""COMPUTED_VALUE"""),"2016-06-02-J09-SO-17")</f>
        <v>2016-06-02-J09-SO-17</v>
      </c>
    </row>
    <row r="8672">
      <c r="A8672" t="str">
        <f>IFERROR(__xludf.DUMMYFUNCTION("""COMPUTED_VALUE"""),"2016-06-02-J09-SO-18")</f>
        <v>2016-06-02-J09-SO-18</v>
      </c>
    </row>
    <row r="8673">
      <c r="A8673" t="str">
        <f>IFERROR(__xludf.DUMMYFUNCTION("""COMPUTED_VALUE"""),"2016-06-02-J09-SO-19")</f>
        <v>2016-06-02-J09-SO-19</v>
      </c>
    </row>
    <row r="8674">
      <c r="A8674" t="str">
        <f>IFERROR(__xludf.DUMMYFUNCTION("""COMPUTED_VALUE"""),"2016-06-02-J09-SO-20")</f>
        <v>2016-06-02-J09-SO-20</v>
      </c>
    </row>
    <row r="8675">
      <c r="A8675" t="str">
        <f>IFERROR(__xludf.DUMMYFUNCTION("""COMPUTED_VALUE"""),"2016-06-02-J09-SO-21")</f>
        <v>2016-06-02-J09-SO-21</v>
      </c>
    </row>
    <row r="8676">
      <c r="A8676" t="str">
        <f>IFERROR(__xludf.DUMMYFUNCTION("""COMPUTED_VALUE"""),"2016-06-02-J09-SO-22")</f>
        <v>2016-06-02-J09-SO-22</v>
      </c>
    </row>
    <row r="8677">
      <c r="A8677" t="str">
        <f>IFERROR(__xludf.DUMMYFUNCTION("""COMPUTED_VALUE"""),"2016-06-02-J09-SO-23")</f>
        <v>2016-06-02-J09-SO-23</v>
      </c>
    </row>
    <row r="8678">
      <c r="A8678" t="str">
        <f>IFERROR(__xludf.DUMMYFUNCTION("""COMPUTED_VALUE"""),"2016-06-02-J09-SO-24")</f>
        <v>2016-06-02-J09-SO-24</v>
      </c>
    </row>
    <row r="8679">
      <c r="A8679" t="str">
        <f>IFERROR(__xludf.DUMMYFUNCTION("""COMPUTED_VALUE"""),"2016-06-02-J09-SO-25")</f>
        <v>2016-06-02-J09-SO-25</v>
      </c>
    </row>
    <row r="8680">
      <c r="A8680" t="str">
        <f>IFERROR(__xludf.DUMMYFUNCTION("""COMPUTED_VALUE"""),"2016-06-02-J09-SO-26")</f>
        <v>2016-06-02-J09-SO-26</v>
      </c>
    </row>
    <row r="8681">
      <c r="A8681" t="str">
        <f>IFERROR(__xludf.DUMMYFUNCTION("""COMPUTED_VALUE"""),"2016-06-02-J09-SO-27")</f>
        <v>2016-06-02-J09-SO-27</v>
      </c>
    </row>
    <row r="8682">
      <c r="A8682" t="str">
        <f>IFERROR(__xludf.DUMMYFUNCTION("""COMPUTED_VALUE"""),"2016-06-02-J09-SO-28")</f>
        <v>2016-06-02-J09-SO-28</v>
      </c>
    </row>
    <row r="8683">
      <c r="A8683" t="str">
        <f>IFERROR(__xludf.DUMMYFUNCTION("""COMPUTED_VALUE"""),"2016-06-02-J09-SO-29")</f>
        <v>2016-06-02-J09-SO-29</v>
      </c>
    </row>
    <row r="8684">
      <c r="A8684" t="str">
        <f>IFERROR(__xludf.DUMMYFUNCTION("""COMPUTED_VALUE"""),"2016-06-02-J09-SO-30")</f>
        <v>2016-06-02-J09-SO-30</v>
      </c>
    </row>
    <row r="8685">
      <c r="A8685" t="str">
        <f>IFERROR(__xludf.DUMMYFUNCTION("""COMPUTED_VALUE"""),"2016-06-02-J08-SO-1")</f>
        <v>2016-06-02-J08-SO-1</v>
      </c>
    </row>
    <row r="8686">
      <c r="A8686" t="str">
        <f>IFERROR(__xludf.DUMMYFUNCTION("""COMPUTED_VALUE"""),"2016-06-02-J08-SO-2")</f>
        <v>2016-06-02-J08-SO-2</v>
      </c>
    </row>
    <row r="8687">
      <c r="A8687" t="str">
        <f>IFERROR(__xludf.DUMMYFUNCTION("""COMPUTED_VALUE"""),"2016-06-02-J08-SO-3")</f>
        <v>2016-06-02-J08-SO-3</v>
      </c>
    </row>
    <row r="8688">
      <c r="A8688" t="str">
        <f>IFERROR(__xludf.DUMMYFUNCTION("""COMPUTED_VALUE"""),"2016-06-02-J08-SO-4")</f>
        <v>2016-06-02-J08-SO-4</v>
      </c>
    </row>
    <row r="8689">
      <c r="A8689" t="str">
        <f>IFERROR(__xludf.DUMMYFUNCTION("""COMPUTED_VALUE"""),"2016-06-02-J08-SO-5")</f>
        <v>2016-06-02-J08-SO-5</v>
      </c>
    </row>
    <row r="8690">
      <c r="A8690" t="str">
        <f>IFERROR(__xludf.DUMMYFUNCTION("""COMPUTED_VALUE"""),"2016-06-02-J08-SO-6")</f>
        <v>2016-06-02-J08-SO-6</v>
      </c>
    </row>
    <row r="8691">
      <c r="A8691" t="str">
        <f>IFERROR(__xludf.DUMMYFUNCTION("""COMPUTED_VALUE"""),"2016-06-02-J08-SO-7")</f>
        <v>2016-06-02-J08-SO-7</v>
      </c>
    </row>
    <row r="8692">
      <c r="A8692" t="str">
        <f>IFERROR(__xludf.DUMMYFUNCTION("""COMPUTED_VALUE"""),"2016-06-02-J08-SO-8")</f>
        <v>2016-06-02-J08-SO-8</v>
      </c>
    </row>
    <row r="8693">
      <c r="A8693" t="str">
        <f>IFERROR(__xludf.DUMMYFUNCTION("""COMPUTED_VALUE"""),"2016-06-02-J08-SO-9")</f>
        <v>2016-06-02-J08-SO-9</v>
      </c>
    </row>
    <row r="8694">
      <c r="A8694" t="str">
        <f>IFERROR(__xludf.DUMMYFUNCTION("""COMPUTED_VALUE"""),"2016-06-02-J08-SO-10")</f>
        <v>2016-06-02-J08-SO-10</v>
      </c>
    </row>
    <row r="8695">
      <c r="A8695" t="str">
        <f>IFERROR(__xludf.DUMMYFUNCTION("""COMPUTED_VALUE"""),"2016-06-02-J08-SO-11")</f>
        <v>2016-06-02-J08-SO-11</v>
      </c>
    </row>
    <row r="8696">
      <c r="A8696" t="str">
        <f>IFERROR(__xludf.DUMMYFUNCTION("""COMPUTED_VALUE"""),"2016-06-02-J08-SO-12")</f>
        <v>2016-06-02-J08-SO-12</v>
      </c>
    </row>
    <row r="8697">
      <c r="A8697" t="str">
        <f>IFERROR(__xludf.DUMMYFUNCTION("""COMPUTED_VALUE"""),"2016-06-02-J08-SO-13")</f>
        <v>2016-06-02-J08-SO-13</v>
      </c>
    </row>
    <row r="8698">
      <c r="A8698" t="str">
        <f>IFERROR(__xludf.DUMMYFUNCTION("""COMPUTED_VALUE"""),"2016-06-02-J08-SO-14")</f>
        <v>2016-06-02-J08-SO-14</v>
      </c>
    </row>
    <row r="8699">
      <c r="A8699" t="str">
        <f>IFERROR(__xludf.DUMMYFUNCTION("""COMPUTED_VALUE"""),"2016-06-02-J08-SO-15")</f>
        <v>2016-06-02-J08-SO-15</v>
      </c>
    </row>
    <row r="8700">
      <c r="A8700" t="str">
        <f>IFERROR(__xludf.DUMMYFUNCTION("""COMPUTED_VALUE"""),"2016-06-02-J08-SO-16")</f>
        <v>2016-06-02-J08-SO-16</v>
      </c>
    </row>
    <row r="8701">
      <c r="A8701" t="str">
        <f>IFERROR(__xludf.DUMMYFUNCTION("""COMPUTED_VALUE"""),"2016-06-02-J08-SO-17")</f>
        <v>2016-06-02-J08-SO-17</v>
      </c>
    </row>
    <row r="8702">
      <c r="A8702" t="str">
        <f>IFERROR(__xludf.DUMMYFUNCTION("""COMPUTED_VALUE"""),"2016-06-02-J08-SO-18")</f>
        <v>2016-06-02-J08-SO-18</v>
      </c>
    </row>
    <row r="8703">
      <c r="A8703" t="str">
        <f>IFERROR(__xludf.DUMMYFUNCTION("""COMPUTED_VALUE"""),"2016-06-02-J08-SO-19")</f>
        <v>2016-06-02-J08-SO-19</v>
      </c>
    </row>
    <row r="8704">
      <c r="A8704" t="str">
        <f>IFERROR(__xludf.DUMMYFUNCTION("""COMPUTED_VALUE"""),"2016-06-02-J08-SO-20")</f>
        <v>2016-06-02-J08-SO-20</v>
      </c>
    </row>
    <row r="8705">
      <c r="A8705" t="str">
        <f>IFERROR(__xludf.DUMMYFUNCTION("""COMPUTED_VALUE"""),"2016-06-02-J08-SO-21")</f>
        <v>2016-06-02-J08-SO-21</v>
      </c>
    </row>
    <row r="8706">
      <c r="A8706" t="str">
        <f>IFERROR(__xludf.DUMMYFUNCTION("""COMPUTED_VALUE"""),"2016-06-02-J08-SO-22")</f>
        <v>2016-06-02-J08-SO-22</v>
      </c>
    </row>
    <row r="8707">
      <c r="A8707" t="str">
        <f>IFERROR(__xludf.DUMMYFUNCTION("""COMPUTED_VALUE"""),"2016-06-02-J08-SO-23")</f>
        <v>2016-06-02-J08-SO-23</v>
      </c>
    </row>
    <row r="8708">
      <c r="A8708" t="str">
        <f>IFERROR(__xludf.DUMMYFUNCTION("""COMPUTED_VALUE"""),"2016-06-02-J08-SO-24")</f>
        <v>2016-06-02-J08-SO-24</v>
      </c>
    </row>
    <row r="8709">
      <c r="A8709" t="str">
        <f>IFERROR(__xludf.DUMMYFUNCTION("""COMPUTED_VALUE"""),"2016-06-02-J08-SO-25")</f>
        <v>2016-06-02-J08-SO-25</v>
      </c>
    </row>
    <row r="8710">
      <c r="A8710" t="str">
        <f>IFERROR(__xludf.DUMMYFUNCTION("""COMPUTED_VALUE"""),"2016-06-02-J08-SO-26")</f>
        <v>2016-06-02-J08-SO-26</v>
      </c>
    </row>
    <row r="8711">
      <c r="A8711" t="str">
        <f>IFERROR(__xludf.DUMMYFUNCTION("""COMPUTED_VALUE"""),"2016-06-02-J08-SO-27")</f>
        <v>2016-06-02-J08-SO-27</v>
      </c>
    </row>
    <row r="8712">
      <c r="A8712" t="str">
        <f>IFERROR(__xludf.DUMMYFUNCTION("""COMPUTED_VALUE"""),"2016-06-02-J08-SO-28")</f>
        <v>2016-06-02-J08-SO-28</v>
      </c>
    </row>
    <row r="8713">
      <c r="A8713" t="str">
        <f>IFERROR(__xludf.DUMMYFUNCTION("""COMPUTED_VALUE"""),"2016-06-02-J08-SO-29")</f>
        <v>2016-06-02-J08-SO-29</v>
      </c>
    </row>
    <row r="8714">
      <c r="A8714" t="str">
        <f>IFERROR(__xludf.DUMMYFUNCTION("""COMPUTED_VALUE"""),"2016-06-02-J08-SO-30")</f>
        <v>2016-06-02-J08-SO-30</v>
      </c>
    </row>
    <row r="8715">
      <c r="A8715" t="str">
        <f>IFERROR(__xludf.DUMMYFUNCTION("""COMPUTED_VALUE"""),"2016-06-02-D11-PI-1")</f>
        <v>2016-06-02-D11-PI-1</v>
      </c>
    </row>
    <row r="8716">
      <c r="A8716" t="str">
        <f>IFERROR(__xludf.DUMMYFUNCTION("""COMPUTED_VALUE"""),"2016-06-02-D11-PI-2")</f>
        <v>2016-06-02-D11-PI-2</v>
      </c>
    </row>
    <row r="8717">
      <c r="A8717" t="str">
        <f>IFERROR(__xludf.DUMMYFUNCTION("""COMPUTED_VALUE"""),"2016-06-02-D11-PI-3")</f>
        <v>2016-06-02-D11-PI-3</v>
      </c>
    </row>
    <row r="8718">
      <c r="A8718" t="str">
        <f>IFERROR(__xludf.DUMMYFUNCTION("""COMPUTED_VALUE"""),"2016-06-02-D11-PI-4")</f>
        <v>2016-06-02-D11-PI-4</v>
      </c>
    </row>
    <row r="8719">
      <c r="A8719" t="str">
        <f>IFERROR(__xludf.DUMMYFUNCTION("""COMPUTED_VALUE"""),"2016-06-02-D21-PI-1")</f>
        <v>2016-06-02-D21-PI-1</v>
      </c>
    </row>
    <row r="8720">
      <c r="A8720" t="str">
        <f>IFERROR(__xludf.DUMMYFUNCTION("""COMPUTED_VALUE"""),"2016-06-02-D21-PI-2")</f>
        <v>2016-06-02-D21-PI-2</v>
      </c>
    </row>
    <row r="8721">
      <c r="A8721" t="str">
        <f>IFERROR(__xludf.DUMMYFUNCTION("""COMPUTED_VALUE"""),"2016-06-02-D21-PI-3")</f>
        <v>2016-06-02-D21-PI-3</v>
      </c>
    </row>
    <row r="8722">
      <c r="A8722" t="str">
        <f>IFERROR(__xludf.DUMMYFUNCTION("""COMPUTED_VALUE"""),"2016-06-02-D21-PI-4")</f>
        <v>2016-06-02-D21-PI-4</v>
      </c>
    </row>
    <row r="8723">
      <c r="A8723" t="str">
        <f>IFERROR(__xludf.DUMMYFUNCTION("""COMPUTED_VALUE"""),"2016-06-02-D21-PI-5")</f>
        <v>2016-06-02-D21-PI-5</v>
      </c>
    </row>
    <row r="8724">
      <c r="A8724" t="str">
        <f>IFERROR(__xludf.DUMMYFUNCTION("""COMPUTED_VALUE"""),"2016-06-02-D21-PI-6")</f>
        <v>2016-06-02-D21-PI-6</v>
      </c>
    </row>
    <row r="8725">
      <c r="A8725" t="str">
        <f>IFERROR(__xludf.DUMMYFUNCTION("""COMPUTED_VALUE"""),"2016-06-02-D20-PI-1")</f>
        <v>2016-06-02-D20-PI-1</v>
      </c>
    </row>
    <row r="8726">
      <c r="A8726" t="str">
        <f>IFERROR(__xludf.DUMMYFUNCTION("""COMPUTED_VALUE"""),"2016-06-02-D20-PI-2")</f>
        <v>2016-06-02-D20-PI-2</v>
      </c>
    </row>
    <row r="8727">
      <c r="A8727" t="str">
        <f>IFERROR(__xludf.DUMMYFUNCTION("""COMPUTED_VALUE"""),"2016-06-02-D20-PI-3")</f>
        <v>2016-06-02-D20-PI-3</v>
      </c>
    </row>
    <row r="8728">
      <c r="A8728" t="str">
        <f>IFERROR(__xludf.DUMMYFUNCTION("""COMPUTED_VALUE"""),"2016-06-02-D20-PI-4")</f>
        <v>2016-06-02-D20-PI-4</v>
      </c>
    </row>
    <row r="8729">
      <c r="A8729" t="str">
        <f>IFERROR(__xludf.DUMMYFUNCTION("""COMPUTED_VALUE"""),"2016-06-02-J10-PI-1")</f>
        <v>2016-06-02-J10-PI-1</v>
      </c>
    </row>
    <row r="8730">
      <c r="A8730" t="str">
        <f>IFERROR(__xludf.DUMMYFUNCTION("""COMPUTED_VALUE"""),"2016-06-02-J09-PI-1")</f>
        <v>2016-06-02-J09-PI-1</v>
      </c>
    </row>
    <row r="8731">
      <c r="A8731" t="str">
        <f>IFERROR(__xludf.DUMMYFUNCTION("""COMPUTED_VALUE"""),"2016-06-02-J09-PI-2")</f>
        <v>2016-06-02-J09-PI-2</v>
      </c>
    </row>
    <row r="8732">
      <c r="A8732" t="str">
        <f>IFERROR(__xludf.DUMMYFUNCTION("""COMPUTED_VALUE"""),"2016-06-02-J09-PI-3")</f>
        <v>2016-06-02-J09-PI-3</v>
      </c>
    </row>
    <row r="8733">
      <c r="A8733" t="str">
        <f>IFERROR(__xludf.DUMMYFUNCTION("""COMPUTED_VALUE"""),"2016-06-02-J09-PI-4")</f>
        <v>2016-06-02-J09-PI-4</v>
      </c>
    </row>
    <row r="8734">
      <c r="A8734" t="str">
        <f>IFERROR(__xludf.DUMMYFUNCTION("""COMPUTED_VALUE"""),"2016-06-02-J09-PI-5")</f>
        <v>2016-06-02-J09-PI-5</v>
      </c>
    </row>
    <row r="8735">
      <c r="A8735" t="str">
        <f>IFERROR(__xludf.DUMMYFUNCTION("""COMPUTED_VALUE"""),"2016-06-02-J08-PI-1")</f>
        <v>2016-06-02-J08-PI-1</v>
      </c>
    </row>
    <row r="8736">
      <c r="A8736" t="str">
        <f>IFERROR(__xludf.DUMMYFUNCTION("""COMPUTED_VALUE"""),"2016-06-02-J08-PI-2")</f>
        <v>2016-06-02-J08-PI-2</v>
      </c>
    </row>
    <row r="8737">
      <c r="A8737" t="str">
        <f>IFERROR(__xludf.DUMMYFUNCTION("""COMPUTED_VALUE"""),"2016-06-02-J08-PI-3")</f>
        <v>2016-06-02-J08-PI-3</v>
      </c>
    </row>
    <row r="8738">
      <c r="A8738" t="str">
        <f>IFERROR(__xludf.DUMMYFUNCTION("""COMPUTED_VALUE"""),"2016-06-02-J08-PI-4")</f>
        <v>2016-06-02-J08-PI-4</v>
      </c>
    </row>
    <row r="8739">
      <c r="A8739" t="str">
        <f>IFERROR(__xludf.DUMMYFUNCTION("""COMPUTED_VALUE"""),"2016-06-02-J08-PI-5")</f>
        <v>2016-06-02-J08-PI-5</v>
      </c>
    </row>
    <row r="8740">
      <c r="A8740" t="str">
        <f>IFERROR(__xludf.DUMMYFUNCTION("""COMPUTED_VALUE"""),"2016-06-02-J08-PI-6")</f>
        <v>2016-06-02-J08-PI-6</v>
      </c>
    </row>
    <row r="8741">
      <c r="A8741" t="str">
        <f>IFERROR(__xludf.DUMMYFUNCTION("""COMPUTED_VALUE"""),"2016-06-02-J08-PI-7")</f>
        <v>2016-06-02-J08-PI-7</v>
      </c>
    </row>
    <row r="8742">
      <c r="A8742" t="str">
        <f>IFERROR(__xludf.DUMMYFUNCTION("""COMPUTED_VALUE"""),"2016-06-02-J08-PI-8")</f>
        <v>2016-06-02-J08-PI-8</v>
      </c>
    </row>
    <row r="8743">
      <c r="A8743" t="str">
        <f>IFERROR(__xludf.DUMMYFUNCTION("""COMPUTED_VALUE"""),"2016-06-02-J08-PI-9")</f>
        <v>2016-06-02-J08-PI-9</v>
      </c>
    </row>
    <row r="8744">
      <c r="A8744" t="str">
        <f>IFERROR(__xludf.DUMMYFUNCTION("""COMPUTED_VALUE"""),"2016-06-02-J08-PI-10")</f>
        <v>2016-06-02-J08-PI-10</v>
      </c>
    </row>
    <row r="8745">
      <c r="A8745" t="str">
        <f>IFERROR(__xludf.DUMMYFUNCTION("""COMPUTED_VALUE"""),"2016-06-02-D11-CU-1")</f>
        <v>2016-06-02-D11-CU-1</v>
      </c>
    </row>
    <row r="8746">
      <c r="A8746" t="str">
        <f>IFERROR(__xludf.DUMMYFUNCTION("""COMPUTED_VALUE"""),"2016-06-02-D11-CU-2")</f>
        <v>2016-06-02-D11-CU-2</v>
      </c>
    </row>
    <row r="8747">
      <c r="A8747" t="str">
        <f>IFERROR(__xludf.DUMMYFUNCTION("""COMPUTED_VALUE"""),"2016-06-02-D11-CU-3")</f>
        <v>2016-06-02-D11-CU-3</v>
      </c>
    </row>
    <row r="8748">
      <c r="A8748" t="str">
        <f>IFERROR(__xludf.DUMMYFUNCTION("""COMPUTED_VALUE"""),"2016-06-02-D11-CU-4")</f>
        <v>2016-06-02-D11-CU-4</v>
      </c>
    </row>
    <row r="8749">
      <c r="A8749" t="str">
        <f>IFERROR(__xludf.DUMMYFUNCTION("""COMPUTED_VALUE"""),"2016-06-02-D11-CU-5")</f>
        <v>2016-06-02-D11-CU-5</v>
      </c>
    </row>
    <row r="8750">
      <c r="A8750" t="str">
        <f>IFERROR(__xludf.DUMMYFUNCTION("""COMPUTED_VALUE"""),"2016-06-02-D11-CU-6")</f>
        <v>2016-06-02-D11-CU-6</v>
      </c>
    </row>
    <row r="8751">
      <c r="A8751" t="str">
        <f>IFERROR(__xludf.DUMMYFUNCTION("""COMPUTED_VALUE"""),"2016-06-02-D11-CU-7")</f>
        <v>2016-06-02-D11-CU-7</v>
      </c>
    </row>
    <row r="8752">
      <c r="A8752" t="str">
        <f>IFERROR(__xludf.DUMMYFUNCTION("""COMPUTED_VALUE"""),"2016-06-02-D11-CU-8")</f>
        <v>2016-06-02-D11-CU-8</v>
      </c>
    </row>
    <row r="8753">
      <c r="A8753" t="str">
        <f>IFERROR(__xludf.DUMMYFUNCTION("""COMPUTED_VALUE"""),"2016-06-02-D11-CU-9")</f>
        <v>2016-06-02-D11-CU-9</v>
      </c>
    </row>
    <row r="8754">
      <c r="A8754" t="str">
        <f>IFERROR(__xludf.DUMMYFUNCTION("""COMPUTED_VALUE"""),"2016-06-02-D11-CU-10")</f>
        <v>2016-06-02-D11-CU-10</v>
      </c>
    </row>
    <row r="8755">
      <c r="A8755" t="str">
        <f>IFERROR(__xludf.DUMMYFUNCTION("""COMPUTED_VALUE"""),"2016-06-02-D21-CU-1")</f>
        <v>2016-06-02-D21-CU-1</v>
      </c>
    </row>
    <row r="8756">
      <c r="A8756" t="str">
        <f>IFERROR(__xludf.DUMMYFUNCTION("""COMPUTED_VALUE"""),"2016-06-02-D21-CU-2")</f>
        <v>2016-06-02-D21-CU-2</v>
      </c>
    </row>
    <row r="8757">
      <c r="A8757" t="str">
        <f>IFERROR(__xludf.DUMMYFUNCTION("""COMPUTED_VALUE"""),"2016-06-02-D21-CU-3")</f>
        <v>2016-06-02-D21-CU-3</v>
      </c>
    </row>
    <row r="8758">
      <c r="A8758" t="str">
        <f>IFERROR(__xludf.DUMMYFUNCTION("""COMPUTED_VALUE"""),"2016-06-02-D21-CU-4")</f>
        <v>2016-06-02-D21-CU-4</v>
      </c>
    </row>
    <row r="8759">
      <c r="A8759" t="str">
        <f>IFERROR(__xludf.DUMMYFUNCTION("""COMPUTED_VALUE"""),"2016-06-02-D21-CU-5")</f>
        <v>2016-06-02-D21-CU-5</v>
      </c>
    </row>
    <row r="8760">
      <c r="A8760" t="str">
        <f>IFERROR(__xludf.DUMMYFUNCTION("""COMPUTED_VALUE"""),"2016-06-02-D21-CU-6")</f>
        <v>2016-06-02-D21-CU-6</v>
      </c>
    </row>
    <row r="8761">
      <c r="A8761" t="str">
        <f>IFERROR(__xludf.DUMMYFUNCTION("""COMPUTED_VALUE"""),"2016-06-02-D21-CU-7")</f>
        <v>2016-06-02-D21-CU-7</v>
      </c>
    </row>
    <row r="8762">
      <c r="A8762" t="str">
        <f>IFERROR(__xludf.DUMMYFUNCTION("""COMPUTED_VALUE"""),"2016-06-02-D21-CU-8")</f>
        <v>2016-06-02-D21-CU-8</v>
      </c>
    </row>
    <row r="8763">
      <c r="A8763" t="str">
        <f>IFERROR(__xludf.DUMMYFUNCTION("""COMPUTED_VALUE"""),"2016-06-02-D21-CU-9")</f>
        <v>2016-06-02-D21-CU-9</v>
      </c>
    </row>
    <row r="8764">
      <c r="A8764" t="str">
        <f>IFERROR(__xludf.DUMMYFUNCTION("""COMPUTED_VALUE"""),"2016-06-02-D21-CU-10")</f>
        <v>2016-06-02-D21-CU-10</v>
      </c>
    </row>
    <row r="8765">
      <c r="A8765" t="str">
        <f>IFERROR(__xludf.DUMMYFUNCTION("""COMPUTED_VALUE"""),"2016-06-02-D20-CU-1")</f>
        <v>2016-06-02-D20-CU-1</v>
      </c>
    </row>
    <row r="8766">
      <c r="A8766" t="str">
        <f>IFERROR(__xludf.DUMMYFUNCTION("""COMPUTED_VALUE"""),"2016-06-02-D20-CU-2")</f>
        <v>2016-06-02-D20-CU-2</v>
      </c>
    </row>
    <row r="8767">
      <c r="A8767" t="str">
        <f>IFERROR(__xludf.DUMMYFUNCTION("""COMPUTED_VALUE"""),"2016-06-02-D20-CU-3")</f>
        <v>2016-06-02-D20-CU-3</v>
      </c>
    </row>
    <row r="8768">
      <c r="A8768" t="str">
        <f>IFERROR(__xludf.DUMMYFUNCTION("""COMPUTED_VALUE"""),"2016-06-02-J10-CU-1")</f>
        <v>2016-06-02-J10-CU-1</v>
      </c>
    </row>
    <row r="8769">
      <c r="A8769" t="str">
        <f>IFERROR(__xludf.DUMMYFUNCTION("""COMPUTED_VALUE"""),"2016-06-02-J10-CU-2")</f>
        <v>2016-06-02-J10-CU-2</v>
      </c>
    </row>
    <row r="8770">
      <c r="A8770" t="str">
        <f>IFERROR(__xludf.DUMMYFUNCTION("""COMPUTED_VALUE"""),"2016-06-02-J10-CU-3")</f>
        <v>2016-06-02-J10-CU-3</v>
      </c>
    </row>
    <row r="8771">
      <c r="A8771" t="str">
        <f>IFERROR(__xludf.DUMMYFUNCTION("""COMPUTED_VALUE"""),"2016-06-02-J10-CU-4")</f>
        <v>2016-06-02-J10-CU-4</v>
      </c>
    </row>
    <row r="8772">
      <c r="A8772" t="str">
        <f>IFERROR(__xludf.DUMMYFUNCTION("""COMPUTED_VALUE"""),"2016-06-02-J10-CU-5")</f>
        <v>2016-06-02-J10-CU-5</v>
      </c>
    </row>
    <row r="8773">
      <c r="A8773" t="str">
        <f>IFERROR(__xludf.DUMMYFUNCTION("""COMPUTED_VALUE"""),"2016-06-02-J09-CU-1")</f>
        <v>2016-06-02-J09-CU-1</v>
      </c>
    </row>
    <row r="8774">
      <c r="A8774" t="str">
        <f>IFERROR(__xludf.DUMMYFUNCTION("""COMPUTED_VALUE"""),"2016-06-02-J09-CU-2")</f>
        <v>2016-06-02-J09-CU-2</v>
      </c>
    </row>
    <row r="8775">
      <c r="A8775" t="str">
        <f>IFERROR(__xludf.DUMMYFUNCTION("""COMPUTED_VALUE"""),"2016-06-02-J09-CU-3")</f>
        <v>2016-06-02-J09-CU-3</v>
      </c>
    </row>
    <row r="8776">
      <c r="A8776" t="str">
        <f>IFERROR(__xludf.DUMMYFUNCTION("""COMPUTED_VALUE"""),"2016-06-02-J09-CU-4")</f>
        <v>2016-06-02-J09-CU-4</v>
      </c>
    </row>
    <row r="8777">
      <c r="A8777" t="str">
        <f>IFERROR(__xludf.DUMMYFUNCTION("""COMPUTED_VALUE"""),"2016-06-02-J09-CU-5")</f>
        <v>2016-06-02-J09-CU-5</v>
      </c>
    </row>
    <row r="8778">
      <c r="A8778" t="str">
        <f>IFERROR(__xludf.DUMMYFUNCTION("""COMPUTED_VALUE"""),"2016-06-02-J09-CU-6")</f>
        <v>2016-06-02-J09-CU-6</v>
      </c>
    </row>
    <row r="8779">
      <c r="A8779" t="str">
        <f>IFERROR(__xludf.DUMMYFUNCTION("""COMPUTED_VALUE"""),"2016-06-02-J09-CU-7")</f>
        <v>2016-06-02-J09-CU-7</v>
      </c>
    </row>
    <row r="8780">
      <c r="A8780" t="str">
        <f>IFERROR(__xludf.DUMMYFUNCTION("""COMPUTED_VALUE"""),"2016-06-02-J09-CU-8")</f>
        <v>2016-06-02-J09-CU-8</v>
      </c>
    </row>
    <row r="8781">
      <c r="A8781" t="str">
        <f>IFERROR(__xludf.DUMMYFUNCTION("""COMPUTED_VALUE"""),"2016-06-02-J09-CU-9")</f>
        <v>2016-06-02-J09-CU-9</v>
      </c>
    </row>
    <row r="8782">
      <c r="A8782" t="str">
        <f>IFERROR(__xludf.DUMMYFUNCTION("""COMPUTED_VALUE"""),"2016-06-02-J09-CU-10")</f>
        <v>2016-06-02-J09-CU-10</v>
      </c>
    </row>
    <row r="8783">
      <c r="A8783" t="str">
        <f>IFERROR(__xludf.DUMMYFUNCTION("""COMPUTED_VALUE"""),"2016-06-02-J08-CU-1")</f>
        <v>2016-06-02-J08-CU-1</v>
      </c>
    </row>
    <row r="8784">
      <c r="A8784" t="str">
        <f>IFERROR(__xludf.DUMMYFUNCTION("""COMPUTED_VALUE"""),"2016-06-02-J08-CU-2")</f>
        <v>2016-06-02-J08-CU-2</v>
      </c>
    </row>
    <row r="8785">
      <c r="A8785" t="str">
        <f>IFERROR(__xludf.DUMMYFUNCTION("""COMPUTED_VALUE"""),"2016-06-02-J08-CU-3")</f>
        <v>2016-06-02-J08-CU-3</v>
      </c>
    </row>
    <row r="8786">
      <c r="A8786" t="str">
        <f>IFERROR(__xludf.DUMMYFUNCTION("""COMPUTED_VALUE"""),"2016-06-02-J08-CU-4")</f>
        <v>2016-06-02-J08-CU-4</v>
      </c>
    </row>
    <row r="8787">
      <c r="A8787" t="str">
        <f>IFERROR(__xludf.DUMMYFUNCTION("""COMPUTED_VALUE"""),"2016-06-02-J08-CU-5")</f>
        <v>2016-06-02-J08-CU-5</v>
      </c>
    </row>
    <row r="8788">
      <c r="A8788" t="str">
        <f>IFERROR(__xludf.DUMMYFUNCTION("""COMPUTED_VALUE"""),"2016-06-02-J08-CU-6")</f>
        <v>2016-06-02-J08-CU-6</v>
      </c>
    </row>
    <row r="8789">
      <c r="A8789" t="str">
        <f>IFERROR(__xludf.DUMMYFUNCTION("""COMPUTED_VALUE"""),"2016-06-02-J08-CU-7")</f>
        <v>2016-06-02-J08-CU-7</v>
      </c>
    </row>
    <row r="8790">
      <c r="A8790" t="str">
        <f>IFERROR(__xludf.DUMMYFUNCTION("""COMPUTED_VALUE"""),"2016-06-02-J08-CU-8")</f>
        <v>2016-06-02-J08-CU-8</v>
      </c>
    </row>
    <row r="8791">
      <c r="A8791" t="str">
        <f>IFERROR(__xludf.DUMMYFUNCTION("""COMPUTED_VALUE"""),"2016-06-02-J08-CU-9")</f>
        <v>2016-06-02-J08-CU-9</v>
      </c>
    </row>
    <row r="8792">
      <c r="A8792" t="str">
        <f>IFERROR(__xludf.DUMMYFUNCTION("""COMPUTED_VALUE"""),"2016-06-02-J08-CU-10")</f>
        <v>2016-06-02-J08-CU-10</v>
      </c>
    </row>
    <row r="8793">
      <c r="A8793" t="str">
        <f>IFERROR(__xludf.DUMMYFUNCTION("""COMPUTED_VALUE"""),"2016-06-02-J10-CO-1")</f>
        <v>2016-06-02-J10-CO-1</v>
      </c>
    </row>
    <row r="8794">
      <c r="A8794" t="str">
        <f>IFERROR(__xludf.DUMMYFUNCTION("""COMPUTED_VALUE"""),"2016-06-02-J09-CO-1")</f>
        <v>2016-06-02-J09-CO-1</v>
      </c>
    </row>
    <row r="8795">
      <c r="A8795" t="str">
        <f>IFERROR(__xludf.DUMMYFUNCTION("""COMPUTED_VALUE"""),"2016-06-02-J09-CO-2")</f>
        <v>2016-06-02-J09-CO-2</v>
      </c>
    </row>
    <row r="8796">
      <c r="A8796" t="str">
        <f>IFERROR(__xludf.DUMMYFUNCTION("""COMPUTED_VALUE"""),"2016-06-02-J09-CO-3")</f>
        <v>2016-06-02-J09-CO-3</v>
      </c>
    </row>
    <row r="8797">
      <c r="A8797" t="str">
        <f>IFERROR(__xludf.DUMMYFUNCTION("""COMPUTED_VALUE"""),"2016-06-02-J09-CO-4")</f>
        <v>2016-06-02-J09-CO-4</v>
      </c>
    </row>
    <row r="8798">
      <c r="A8798" t="str">
        <f>IFERROR(__xludf.DUMMYFUNCTION("""COMPUTED_VALUE"""),"2016-06-02-J09-CO-5")</f>
        <v>2016-06-02-J09-CO-5</v>
      </c>
    </row>
    <row r="8799">
      <c r="A8799" t="str">
        <f>IFERROR(__xludf.DUMMYFUNCTION("""COMPUTED_VALUE"""),"2016-06-02-J09-CO-6")</f>
        <v>2016-06-02-J09-CO-6</v>
      </c>
    </row>
    <row r="8800">
      <c r="A8800" t="str">
        <f>IFERROR(__xludf.DUMMYFUNCTION("""COMPUTED_VALUE"""),"2016-06-02-D11-HE-1")</f>
        <v>2016-06-02-D11-HE-1</v>
      </c>
    </row>
    <row r="8801">
      <c r="A8801" t="str">
        <f>IFERROR(__xludf.DUMMYFUNCTION("""COMPUTED_VALUE"""),"2016-06-02-D11-HE-2")</f>
        <v>2016-06-02-D11-HE-2</v>
      </c>
    </row>
    <row r="8802">
      <c r="A8802" t="str">
        <f>IFERROR(__xludf.DUMMYFUNCTION("""COMPUTED_VALUE"""),"2016-06-02-D11-HE-3")</f>
        <v>2016-06-02-D11-HE-3</v>
      </c>
    </row>
    <row r="8803">
      <c r="A8803" t="str">
        <f>IFERROR(__xludf.DUMMYFUNCTION("""COMPUTED_VALUE"""),"2016-06-02-J09-HE-1")</f>
        <v>2016-06-02-J09-HE-1</v>
      </c>
    </row>
    <row r="8804">
      <c r="A8804" t="str">
        <f>IFERROR(__xludf.DUMMYFUNCTION("""COMPUTED_VALUE"""),"2016-06-02-J08-HE-1")</f>
        <v>2016-06-02-J08-HE-1</v>
      </c>
    </row>
    <row r="8805">
      <c r="A8805" t="str">
        <f>IFERROR(__xludf.DUMMYFUNCTION("""COMPUTED_VALUE"""),"2016-06-02-J08-HE-2")</f>
        <v>2016-06-02-J08-HE-2</v>
      </c>
    </row>
    <row r="8806">
      <c r="A8806" t="str">
        <f>IFERROR(__xludf.DUMMYFUNCTION("""COMPUTED_VALUE"""),"2016-06-03-D24-SO-1")</f>
        <v>2016-06-03-D24-SO-1</v>
      </c>
    </row>
    <row r="8807">
      <c r="A8807" t="str">
        <f>IFERROR(__xludf.DUMMYFUNCTION("""COMPUTED_VALUE"""),"2016-06-03-D24-SO-2")</f>
        <v>2016-06-03-D24-SO-2</v>
      </c>
    </row>
    <row r="8808">
      <c r="A8808" t="str">
        <f>IFERROR(__xludf.DUMMYFUNCTION("""COMPUTED_VALUE"""),"2016-06-03-D24-SO-3")</f>
        <v>2016-06-03-D24-SO-3</v>
      </c>
    </row>
    <row r="8809">
      <c r="A8809" t="str">
        <f>IFERROR(__xludf.DUMMYFUNCTION("""COMPUTED_VALUE"""),"2016-06-03-D24-SO-4")</f>
        <v>2016-06-03-D24-SO-4</v>
      </c>
    </row>
    <row r="8810">
      <c r="A8810" t="str">
        <f>IFERROR(__xludf.DUMMYFUNCTION("""COMPUTED_VALUE"""),"2016-06-03-D24-SO-5")</f>
        <v>2016-06-03-D24-SO-5</v>
      </c>
    </row>
    <row r="8811">
      <c r="A8811" t="str">
        <f>IFERROR(__xludf.DUMMYFUNCTION("""COMPUTED_VALUE"""),"2016-06-03-D24-SO-6")</f>
        <v>2016-06-03-D24-SO-6</v>
      </c>
    </row>
    <row r="8812">
      <c r="A8812" t="str">
        <f>IFERROR(__xludf.DUMMYFUNCTION("""COMPUTED_VALUE"""),"2016-06-03-D24-SO-7")</f>
        <v>2016-06-03-D24-SO-7</v>
      </c>
    </row>
    <row r="8813">
      <c r="A8813" t="str">
        <f>IFERROR(__xludf.DUMMYFUNCTION("""COMPUTED_VALUE"""),"2016-06-03-D24-SO-8")</f>
        <v>2016-06-03-D24-SO-8</v>
      </c>
    </row>
    <row r="8814">
      <c r="A8814" t="str">
        <f>IFERROR(__xludf.DUMMYFUNCTION("""COMPUTED_VALUE"""),"2016-06-03-D24-SO-9")</f>
        <v>2016-06-03-D24-SO-9</v>
      </c>
    </row>
    <row r="8815">
      <c r="A8815" t="str">
        <f>IFERROR(__xludf.DUMMYFUNCTION("""COMPUTED_VALUE"""),"2016-06-03-D24-SO-10")</f>
        <v>2016-06-03-D24-SO-10</v>
      </c>
    </row>
    <row r="8816">
      <c r="A8816" t="str">
        <f>IFERROR(__xludf.DUMMYFUNCTION("""COMPUTED_VALUE"""),"2016-06-03-D24-SO-11")</f>
        <v>2016-06-03-D24-SO-11</v>
      </c>
    </row>
    <row r="8817">
      <c r="A8817" t="str">
        <f>IFERROR(__xludf.DUMMYFUNCTION("""COMPUTED_VALUE"""),"2016-06-03-D24-SO-12")</f>
        <v>2016-06-03-D24-SO-12</v>
      </c>
    </row>
    <row r="8818">
      <c r="A8818" t="str">
        <f>IFERROR(__xludf.DUMMYFUNCTION("""COMPUTED_VALUE"""),"2016-06-03-D24-SO-13")</f>
        <v>2016-06-03-D24-SO-13</v>
      </c>
    </row>
    <row r="8819">
      <c r="A8819" t="str">
        <f>IFERROR(__xludf.DUMMYFUNCTION("""COMPUTED_VALUE"""),"2016-06-03-D24-SO-14")</f>
        <v>2016-06-03-D24-SO-14</v>
      </c>
    </row>
    <row r="8820">
      <c r="A8820" t="str">
        <f>IFERROR(__xludf.DUMMYFUNCTION("""COMPUTED_VALUE"""),"2016-06-03-D24-SO-15")</f>
        <v>2016-06-03-D24-SO-15</v>
      </c>
    </row>
    <row r="8821">
      <c r="A8821" t="str">
        <f>IFERROR(__xludf.DUMMYFUNCTION("""COMPUTED_VALUE"""),"2016-06-03-D24-SO-16")</f>
        <v>2016-06-03-D24-SO-16</v>
      </c>
    </row>
    <row r="8822">
      <c r="A8822" t="str">
        <f>IFERROR(__xludf.DUMMYFUNCTION("""COMPUTED_VALUE"""),"2016-06-03-D24-SO-17")</f>
        <v>2016-06-03-D24-SO-17</v>
      </c>
    </row>
    <row r="8823">
      <c r="A8823" t="str">
        <f>IFERROR(__xludf.DUMMYFUNCTION("""COMPUTED_VALUE"""),"2016-06-03-D24-SO-18")</f>
        <v>2016-06-03-D24-SO-18</v>
      </c>
    </row>
    <row r="8824">
      <c r="A8824" t="str">
        <f>IFERROR(__xludf.DUMMYFUNCTION("""COMPUTED_VALUE"""),"2016-06-03-D24-SO-19")</f>
        <v>2016-06-03-D24-SO-19</v>
      </c>
    </row>
    <row r="8825">
      <c r="A8825" t="str">
        <f>IFERROR(__xludf.DUMMYFUNCTION("""COMPUTED_VALUE"""),"2016-06-03-D24-SO-20")</f>
        <v>2016-06-03-D24-SO-20</v>
      </c>
    </row>
    <row r="8826">
      <c r="A8826" t="str">
        <f>IFERROR(__xludf.DUMMYFUNCTION("""COMPUTED_VALUE"""),"2016-06-03-D24-SO-21")</f>
        <v>2016-06-03-D24-SO-21</v>
      </c>
    </row>
    <row r="8827">
      <c r="A8827" t="str">
        <f>IFERROR(__xludf.DUMMYFUNCTION("""COMPUTED_VALUE"""),"2016-06-03-D24-SO-22")</f>
        <v>2016-06-03-D24-SO-22</v>
      </c>
    </row>
    <row r="8828">
      <c r="A8828" t="str">
        <f>IFERROR(__xludf.DUMMYFUNCTION("""COMPUTED_VALUE"""),"2016-06-03-D24-SO-23")</f>
        <v>2016-06-03-D24-SO-23</v>
      </c>
    </row>
    <row r="8829">
      <c r="A8829" t="str">
        <f>IFERROR(__xludf.DUMMYFUNCTION("""COMPUTED_VALUE"""),"2016-06-03-D24-SO-24")</f>
        <v>2016-06-03-D24-SO-24</v>
      </c>
    </row>
    <row r="8830">
      <c r="A8830" t="str">
        <f>IFERROR(__xludf.DUMMYFUNCTION("""COMPUTED_VALUE"""),"2016-06-03-D24-SO-25")</f>
        <v>2016-06-03-D24-SO-25</v>
      </c>
    </row>
    <row r="8831">
      <c r="A8831" t="str">
        <f>IFERROR(__xludf.DUMMYFUNCTION("""COMPUTED_VALUE"""),"2016-06-03-D24-SO-26")</f>
        <v>2016-06-03-D24-SO-26</v>
      </c>
    </row>
    <row r="8832">
      <c r="A8832" t="str">
        <f>IFERROR(__xludf.DUMMYFUNCTION("""COMPUTED_VALUE"""),"2016-06-03-D24-SO-27")</f>
        <v>2016-06-03-D24-SO-27</v>
      </c>
    </row>
    <row r="8833">
      <c r="A8833" t="str">
        <f>IFERROR(__xludf.DUMMYFUNCTION("""COMPUTED_VALUE"""),"2016-06-03-D24-SO-28")</f>
        <v>2016-06-03-D24-SO-28</v>
      </c>
    </row>
    <row r="8834">
      <c r="A8834" t="str">
        <f>IFERROR(__xludf.DUMMYFUNCTION("""COMPUTED_VALUE"""),"2016-06-03-D24-SO-29")</f>
        <v>2016-06-03-D24-SO-29</v>
      </c>
    </row>
    <row r="8835">
      <c r="A8835" t="str">
        <f>IFERROR(__xludf.DUMMYFUNCTION("""COMPUTED_VALUE"""),"2016-06-03-D24-SO-30")</f>
        <v>2016-06-03-D24-SO-30</v>
      </c>
    </row>
    <row r="8836">
      <c r="A8836" t="str">
        <f>IFERROR(__xludf.DUMMYFUNCTION("""COMPUTED_VALUE"""),"2016-06-03-D07-SO-10")</f>
        <v>2016-06-03-D07-SO-10</v>
      </c>
    </row>
    <row r="8837">
      <c r="A8837" t="str">
        <f>IFERROR(__xludf.DUMMYFUNCTION("""COMPUTED_VALUE"""),"2016-06-03-D07-SO-2")</f>
        <v>2016-06-03-D07-SO-2</v>
      </c>
    </row>
    <row r="8838">
      <c r="A8838" t="str">
        <f>IFERROR(__xludf.DUMMYFUNCTION("""COMPUTED_VALUE"""),"2016-06-03-D07-SO-3")</f>
        <v>2016-06-03-D07-SO-3</v>
      </c>
    </row>
    <row r="8839">
      <c r="A8839" t="str">
        <f>IFERROR(__xludf.DUMMYFUNCTION("""COMPUTED_VALUE"""),"2016-06-03-D07-SO-4")</f>
        <v>2016-06-03-D07-SO-4</v>
      </c>
    </row>
    <row r="8840">
      <c r="A8840" t="str">
        <f>IFERROR(__xludf.DUMMYFUNCTION("""COMPUTED_VALUE"""),"2016-06-03-D07-SO-5")</f>
        <v>2016-06-03-D07-SO-5</v>
      </c>
    </row>
    <row r="8841">
      <c r="A8841" t="str">
        <f>IFERROR(__xludf.DUMMYFUNCTION("""COMPUTED_VALUE"""),"2016-06-03-D07-SO-6")</f>
        <v>2016-06-03-D07-SO-6</v>
      </c>
    </row>
    <row r="8842">
      <c r="A8842" t="str">
        <f>IFERROR(__xludf.DUMMYFUNCTION("""COMPUTED_VALUE"""),"2016-06-03-D07-SO-7")</f>
        <v>2016-06-03-D07-SO-7</v>
      </c>
    </row>
    <row r="8843">
      <c r="A8843" t="str">
        <f>IFERROR(__xludf.DUMMYFUNCTION("""COMPUTED_VALUE"""),"2016-06-03-D07-SO-8")</f>
        <v>2016-06-03-D07-SO-8</v>
      </c>
    </row>
    <row r="8844">
      <c r="A8844" t="str">
        <f>IFERROR(__xludf.DUMMYFUNCTION("""COMPUTED_VALUE"""),"2016-06-03-D07-SO-9")</f>
        <v>2016-06-03-D07-SO-9</v>
      </c>
    </row>
    <row r="8845">
      <c r="A8845" t="str">
        <f>IFERROR(__xludf.DUMMYFUNCTION("""COMPUTED_VALUE"""),"2016-06-03-D07-SO-1")</f>
        <v>2016-06-03-D07-SO-1</v>
      </c>
    </row>
    <row r="8846">
      <c r="A8846" t="str">
        <f>IFERROR(__xludf.DUMMYFUNCTION("""COMPUTED_VALUE"""),"2016-06-03-D07-SO-11")</f>
        <v>2016-06-03-D07-SO-11</v>
      </c>
    </row>
    <row r="8847">
      <c r="A8847" t="str">
        <f>IFERROR(__xludf.DUMMYFUNCTION("""COMPUTED_VALUE"""),"2016-06-03-D07-SO-12")</f>
        <v>2016-06-03-D07-SO-12</v>
      </c>
    </row>
    <row r="8848">
      <c r="A8848" t="str">
        <f>IFERROR(__xludf.DUMMYFUNCTION("""COMPUTED_VALUE"""),"2016-06-03-D07-SO-13")</f>
        <v>2016-06-03-D07-SO-13</v>
      </c>
    </row>
    <row r="8849">
      <c r="A8849" t="str">
        <f>IFERROR(__xludf.DUMMYFUNCTION("""COMPUTED_VALUE"""),"2016-06-03-D07-SO-14")</f>
        <v>2016-06-03-D07-SO-14</v>
      </c>
    </row>
    <row r="8850">
      <c r="A8850" t="str">
        <f>IFERROR(__xludf.DUMMYFUNCTION("""COMPUTED_VALUE"""),"2016-06-03-D07-SO-15")</f>
        <v>2016-06-03-D07-SO-15</v>
      </c>
    </row>
    <row r="8851">
      <c r="A8851" t="str">
        <f>IFERROR(__xludf.DUMMYFUNCTION("""COMPUTED_VALUE"""),"2016-06-03-D07-SO-16")</f>
        <v>2016-06-03-D07-SO-16</v>
      </c>
    </row>
    <row r="8852">
      <c r="A8852" t="str">
        <f>IFERROR(__xludf.DUMMYFUNCTION("""COMPUTED_VALUE"""),"2016-06-03-D07-SO-17")</f>
        <v>2016-06-03-D07-SO-17</v>
      </c>
    </row>
    <row r="8853">
      <c r="A8853" t="str">
        <f>IFERROR(__xludf.DUMMYFUNCTION("""COMPUTED_VALUE"""),"2016-06-03-D07-SO-18")</f>
        <v>2016-06-03-D07-SO-18</v>
      </c>
    </row>
    <row r="8854">
      <c r="A8854" t="str">
        <f>IFERROR(__xludf.DUMMYFUNCTION("""COMPUTED_VALUE"""),"2016-06-03-D07-SO-19")</f>
        <v>2016-06-03-D07-SO-19</v>
      </c>
    </row>
    <row r="8855">
      <c r="A8855" t="str">
        <f>IFERROR(__xludf.DUMMYFUNCTION("""COMPUTED_VALUE"""),"2016-06-03-D07-SO-20")</f>
        <v>2016-06-03-D07-SO-20</v>
      </c>
    </row>
    <row r="8856">
      <c r="A8856" t="str">
        <f>IFERROR(__xludf.DUMMYFUNCTION("""COMPUTED_VALUE"""),"2016-06-03-D07-SO-21")</f>
        <v>2016-06-03-D07-SO-21</v>
      </c>
    </row>
    <row r="8857">
      <c r="A8857" t="str">
        <f>IFERROR(__xludf.DUMMYFUNCTION("""COMPUTED_VALUE"""),"2016-06-03-D07-SO-22")</f>
        <v>2016-06-03-D07-SO-22</v>
      </c>
    </row>
    <row r="8858">
      <c r="A8858" t="str">
        <f>IFERROR(__xludf.DUMMYFUNCTION("""COMPUTED_VALUE"""),"2016-06-03-D07-SO-23")</f>
        <v>2016-06-03-D07-SO-23</v>
      </c>
    </row>
    <row r="8859">
      <c r="A8859" t="str">
        <f>IFERROR(__xludf.DUMMYFUNCTION("""COMPUTED_VALUE"""),"2016-06-03-D07-SO-24")</f>
        <v>2016-06-03-D07-SO-24</v>
      </c>
    </row>
    <row r="8860">
      <c r="A8860" t="str">
        <f>IFERROR(__xludf.DUMMYFUNCTION("""COMPUTED_VALUE"""),"2016-06-03-D07-SO-25")</f>
        <v>2016-06-03-D07-SO-25</v>
      </c>
    </row>
    <row r="8861">
      <c r="A8861" t="str">
        <f>IFERROR(__xludf.DUMMYFUNCTION("""COMPUTED_VALUE"""),"2016-06-03-D07-SO-26")</f>
        <v>2016-06-03-D07-SO-26</v>
      </c>
    </row>
    <row r="8862">
      <c r="A8862" t="str">
        <f>IFERROR(__xludf.DUMMYFUNCTION("""COMPUTED_VALUE"""),"2016-06-03-D07-SO-27")</f>
        <v>2016-06-03-D07-SO-27</v>
      </c>
    </row>
    <row r="8863">
      <c r="A8863" t="str">
        <f>IFERROR(__xludf.DUMMYFUNCTION("""COMPUTED_VALUE"""),"2016-06-03-D07-SO-28")</f>
        <v>2016-06-03-D07-SO-28</v>
      </c>
    </row>
    <row r="8864">
      <c r="A8864" t="str">
        <f>IFERROR(__xludf.DUMMYFUNCTION("""COMPUTED_VALUE"""),"2016-06-03-D07-SO-29")</f>
        <v>2016-06-03-D07-SO-29</v>
      </c>
    </row>
    <row r="8865">
      <c r="A8865" t="str">
        <f>IFERROR(__xludf.DUMMYFUNCTION("""COMPUTED_VALUE"""),"2016-06-03-D07-SO-30")</f>
        <v>2016-06-03-D07-SO-30</v>
      </c>
    </row>
    <row r="8866">
      <c r="A8866" t="str">
        <f>IFERROR(__xludf.DUMMYFUNCTION("""COMPUTED_VALUE"""),"2016-06-03-J05-SO-1")</f>
        <v>2016-06-03-J05-SO-1</v>
      </c>
    </row>
    <row r="8867">
      <c r="A8867" t="str">
        <f>IFERROR(__xludf.DUMMYFUNCTION("""COMPUTED_VALUE"""),"2016-06-03-J05-SO-2")</f>
        <v>2016-06-03-J05-SO-2</v>
      </c>
    </row>
    <row r="8868">
      <c r="A8868" t="str">
        <f>IFERROR(__xludf.DUMMYFUNCTION("""COMPUTED_VALUE"""),"2016-06-03-J05-SO-3")</f>
        <v>2016-06-03-J05-SO-3</v>
      </c>
    </row>
    <row r="8869">
      <c r="A8869" t="str">
        <f>IFERROR(__xludf.DUMMYFUNCTION("""COMPUTED_VALUE"""),"2016-06-03-J05-SO-4")</f>
        <v>2016-06-03-J05-SO-4</v>
      </c>
    </row>
    <row r="8870">
      <c r="A8870" t="str">
        <f>IFERROR(__xludf.DUMMYFUNCTION("""COMPUTED_VALUE"""),"2016-06-03-J05-SO-5")</f>
        <v>2016-06-03-J05-SO-5</v>
      </c>
    </row>
    <row r="8871">
      <c r="A8871" t="str">
        <f>IFERROR(__xludf.DUMMYFUNCTION("""COMPUTED_VALUE"""),"2016-06-03-J05-SO-6")</f>
        <v>2016-06-03-J05-SO-6</v>
      </c>
    </row>
    <row r="8872">
      <c r="A8872" t="str">
        <f>IFERROR(__xludf.DUMMYFUNCTION("""COMPUTED_VALUE"""),"2016-06-03-J05-SO-7")</f>
        <v>2016-06-03-J05-SO-7</v>
      </c>
    </row>
    <row r="8873">
      <c r="A8873" t="str">
        <f>IFERROR(__xludf.DUMMYFUNCTION("""COMPUTED_VALUE"""),"2016-06-03-J05-SO-8")</f>
        <v>2016-06-03-J05-SO-8</v>
      </c>
    </row>
    <row r="8874">
      <c r="A8874" t="str">
        <f>IFERROR(__xludf.DUMMYFUNCTION("""COMPUTED_VALUE"""),"2016-06-03-J05-SO-9")</f>
        <v>2016-06-03-J05-SO-9</v>
      </c>
    </row>
    <row r="8875">
      <c r="A8875" t="str">
        <f>IFERROR(__xludf.DUMMYFUNCTION("""COMPUTED_VALUE"""),"2016-06-03-J05-SO-10")</f>
        <v>2016-06-03-J05-SO-10</v>
      </c>
    </row>
    <row r="8876">
      <c r="A8876" t="str">
        <f>IFERROR(__xludf.DUMMYFUNCTION("""COMPUTED_VALUE"""),"2016-06-03-J05-SO-11")</f>
        <v>2016-06-03-J05-SO-11</v>
      </c>
    </row>
    <row r="8877">
      <c r="A8877" t="str">
        <f>IFERROR(__xludf.DUMMYFUNCTION("""COMPUTED_VALUE"""),"2016-06-03-J05-SO-12")</f>
        <v>2016-06-03-J05-SO-12</v>
      </c>
    </row>
    <row r="8878">
      <c r="A8878" t="str">
        <f>IFERROR(__xludf.DUMMYFUNCTION("""COMPUTED_VALUE"""),"2016-06-03-J05-SO-13")</f>
        <v>2016-06-03-J05-SO-13</v>
      </c>
    </row>
    <row r="8879">
      <c r="A8879" t="str">
        <f>IFERROR(__xludf.DUMMYFUNCTION("""COMPUTED_VALUE"""),"2016-06-03-J05-SO-14")</f>
        <v>2016-06-03-J05-SO-14</v>
      </c>
    </row>
    <row r="8880">
      <c r="A8880" t="str">
        <f>IFERROR(__xludf.DUMMYFUNCTION("""COMPUTED_VALUE"""),"2016-06-03-J05-SO-15")</f>
        <v>2016-06-03-J05-SO-15</v>
      </c>
    </row>
    <row r="8881">
      <c r="A8881" t="str">
        <f>IFERROR(__xludf.DUMMYFUNCTION("""COMPUTED_VALUE"""),"2016-06-03-J05-SO-16")</f>
        <v>2016-06-03-J05-SO-16</v>
      </c>
    </row>
    <row r="8882">
      <c r="A8882" t="str">
        <f>IFERROR(__xludf.DUMMYFUNCTION("""COMPUTED_VALUE"""),"2016-06-03-J05-SO-17")</f>
        <v>2016-06-03-J05-SO-17</v>
      </c>
    </row>
    <row r="8883">
      <c r="A8883" t="str">
        <f>IFERROR(__xludf.DUMMYFUNCTION("""COMPUTED_VALUE"""),"2016-06-03-J05-SO-18")</f>
        <v>2016-06-03-J05-SO-18</v>
      </c>
    </row>
    <row r="8884">
      <c r="A8884" t="str">
        <f>IFERROR(__xludf.DUMMYFUNCTION("""COMPUTED_VALUE"""),"2016-06-03-J05-SO-19")</f>
        <v>2016-06-03-J05-SO-19</v>
      </c>
    </row>
    <row r="8885">
      <c r="A8885" t="str">
        <f>IFERROR(__xludf.DUMMYFUNCTION("""COMPUTED_VALUE"""),"2016-06-03-J05-SO-20")</f>
        <v>2016-06-03-J05-SO-20</v>
      </c>
    </row>
    <row r="8886">
      <c r="A8886" t="str">
        <f>IFERROR(__xludf.DUMMYFUNCTION("""COMPUTED_VALUE"""),"2016-06-03-J05-SO-21")</f>
        <v>2016-06-03-J05-SO-21</v>
      </c>
    </row>
    <row r="8887">
      <c r="A8887" t="str">
        <f>IFERROR(__xludf.DUMMYFUNCTION("""COMPUTED_VALUE"""),"2016-06-03-J05-SO-22")</f>
        <v>2016-06-03-J05-SO-22</v>
      </c>
    </row>
    <row r="8888">
      <c r="A8888" t="str">
        <f>IFERROR(__xludf.DUMMYFUNCTION("""COMPUTED_VALUE"""),"2016-06-03-J05-SO-23")</f>
        <v>2016-06-03-J05-SO-23</v>
      </c>
    </row>
    <row r="8889">
      <c r="A8889" t="str">
        <f>IFERROR(__xludf.DUMMYFUNCTION("""COMPUTED_VALUE"""),"2016-06-03-J05-SO-24")</f>
        <v>2016-06-03-J05-SO-24</v>
      </c>
    </row>
    <row r="8890">
      <c r="A8890" t="str">
        <f>IFERROR(__xludf.DUMMYFUNCTION("""COMPUTED_VALUE"""),"2016-06-03-J05-SO-25")</f>
        <v>2016-06-03-J05-SO-25</v>
      </c>
    </row>
    <row r="8891">
      <c r="A8891" t="str">
        <f>IFERROR(__xludf.DUMMYFUNCTION("""COMPUTED_VALUE"""),"2016-06-03-J05-SO-26")</f>
        <v>2016-06-03-J05-SO-26</v>
      </c>
    </row>
    <row r="8892">
      <c r="A8892" t="str">
        <f>IFERROR(__xludf.DUMMYFUNCTION("""COMPUTED_VALUE"""),"2016-06-03-J05-SO-27")</f>
        <v>2016-06-03-J05-SO-27</v>
      </c>
    </row>
    <row r="8893">
      <c r="A8893" t="str">
        <f>IFERROR(__xludf.DUMMYFUNCTION("""COMPUTED_VALUE"""),"2016-06-03-J05-SO-28")</f>
        <v>2016-06-03-J05-SO-28</v>
      </c>
    </row>
    <row r="8894">
      <c r="A8894" t="str">
        <f>IFERROR(__xludf.DUMMYFUNCTION("""COMPUTED_VALUE"""),"2016-06-03-J05-SO-29")</f>
        <v>2016-06-03-J05-SO-29</v>
      </c>
    </row>
    <row r="8895">
      <c r="A8895" t="str">
        <f>IFERROR(__xludf.DUMMYFUNCTION("""COMPUTED_VALUE"""),"2016-06-03-J05-SO-30")</f>
        <v>2016-06-03-J05-SO-30</v>
      </c>
    </row>
    <row r="8896">
      <c r="A8896" t="str">
        <f>IFERROR(__xludf.DUMMYFUNCTION("""COMPUTED_VALUE"""),"2016-06-03-J07-SO-1")</f>
        <v>2016-06-03-J07-SO-1</v>
      </c>
    </row>
    <row r="8897">
      <c r="A8897" t="str">
        <f>IFERROR(__xludf.DUMMYFUNCTION("""COMPUTED_VALUE"""),"2016-06-03-J07-SO-2")</f>
        <v>2016-06-03-J07-SO-2</v>
      </c>
    </row>
    <row r="8898">
      <c r="A8898" t="str">
        <f>IFERROR(__xludf.DUMMYFUNCTION("""COMPUTED_VALUE"""),"2016-06-03-J07-SO-3")</f>
        <v>2016-06-03-J07-SO-3</v>
      </c>
    </row>
    <row r="8899">
      <c r="A8899" t="str">
        <f>IFERROR(__xludf.DUMMYFUNCTION("""COMPUTED_VALUE"""),"2016-06-03-J07-SO-4")</f>
        <v>2016-06-03-J07-SO-4</v>
      </c>
    </row>
    <row r="8900">
      <c r="A8900" t="str">
        <f>IFERROR(__xludf.DUMMYFUNCTION("""COMPUTED_VALUE"""),"2016-06-03-J07-SO-5")</f>
        <v>2016-06-03-J07-SO-5</v>
      </c>
    </row>
    <row r="8901">
      <c r="A8901" t="str">
        <f>IFERROR(__xludf.DUMMYFUNCTION("""COMPUTED_VALUE"""),"2016-06-03-J07-SO-6")</f>
        <v>2016-06-03-J07-SO-6</v>
      </c>
    </row>
    <row r="8902">
      <c r="A8902" t="str">
        <f>IFERROR(__xludf.DUMMYFUNCTION("""COMPUTED_VALUE"""),"2016-06-03-J07-SO-7")</f>
        <v>2016-06-03-J07-SO-7</v>
      </c>
    </row>
    <row r="8903">
      <c r="A8903" t="str">
        <f>IFERROR(__xludf.DUMMYFUNCTION("""COMPUTED_VALUE"""),"2016-06-03-J07-SO-8")</f>
        <v>2016-06-03-J07-SO-8</v>
      </c>
    </row>
    <row r="8904">
      <c r="A8904" t="str">
        <f>IFERROR(__xludf.DUMMYFUNCTION("""COMPUTED_VALUE"""),"2016-06-03-J07-SO-9")</f>
        <v>2016-06-03-J07-SO-9</v>
      </c>
    </row>
    <row r="8905">
      <c r="A8905" t="str">
        <f>IFERROR(__xludf.DUMMYFUNCTION("""COMPUTED_VALUE"""),"2016-06-03-J07-SO-10")</f>
        <v>2016-06-03-J07-SO-10</v>
      </c>
    </row>
    <row r="8906">
      <c r="A8906" t="str">
        <f>IFERROR(__xludf.DUMMYFUNCTION("""COMPUTED_VALUE"""),"2016-06-03-J07-SO-11")</f>
        <v>2016-06-03-J07-SO-11</v>
      </c>
    </row>
    <row r="8907">
      <c r="A8907" t="str">
        <f>IFERROR(__xludf.DUMMYFUNCTION("""COMPUTED_VALUE"""),"2016-06-03-J07-SO-12")</f>
        <v>2016-06-03-J07-SO-12</v>
      </c>
    </row>
    <row r="8908">
      <c r="A8908" t="str">
        <f>IFERROR(__xludf.DUMMYFUNCTION("""COMPUTED_VALUE"""),"2016-06-03-J07-SO-13")</f>
        <v>2016-06-03-J07-SO-13</v>
      </c>
    </row>
    <row r="8909">
      <c r="A8909" t="str">
        <f>IFERROR(__xludf.DUMMYFUNCTION("""COMPUTED_VALUE"""),"2016-06-03-J07-SO-14")</f>
        <v>2016-06-03-J07-SO-14</v>
      </c>
    </row>
    <row r="8910">
      <c r="A8910" t="str">
        <f>IFERROR(__xludf.DUMMYFUNCTION("""COMPUTED_VALUE"""),"2016-06-03-J07-SO-15")</f>
        <v>2016-06-03-J07-SO-15</v>
      </c>
    </row>
    <row r="8911">
      <c r="A8911" t="str">
        <f>IFERROR(__xludf.DUMMYFUNCTION("""COMPUTED_VALUE"""),"2016-06-03-J07-SO-16")</f>
        <v>2016-06-03-J07-SO-16</v>
      </c>
    </row>
    <row r="8912">
      <c r="A8912" t="str">
        <f>IFERROR(__xludf.DUMMYFUNCTION("""COMPUTED_VALUE"""),"2016-06-03-J07-SO-17")</f>
        <v>2016-06-03-J07-SO-17</v>
      </c>
    </row>
    <row r="8913">
      <c r="A8913" t="str">
        <f>IFERROR(__xludf.DUMMYFUNCTION("""COMPUTED_VALUE"""),"2016-06-03-J07-SO-18")</f>
        <v>2016-06-03-J07-SO-18</v>
      </c>
    </row>
    <row r="8914">
      <c r="A8914" t="str">
        <f>IFERROR(__xludf.DUMMYFUNCTION("""COMPUTED_VALUE"""),"2016-06-03-J07-SO-19")</f>
        <v>2016-06-03-J07-SO-19</v>
      </c>
    </row>
    <row r="8915">
      <c r="A8915" t="str">
        <f>IFERROR(__xludf.DUMMYFUNCTION("""COMPUTED_VALUE"""),"2016-06-03-J07-SO-20")</f>
        <v>2016-06-03-J07-SO-20</v>
      </c>
    </row>
    <row r="8916">
      <c r="A8916" t="str">
        <f>IFERROR(__xludf.DUMMYFUNCTION("""COMPUTED_VALUE"""),"2016-06-03-J07-SO-21")</f>
        <v>2016-06-03-J07-SO-21</v>
      </c>
    </row>
    <row r="8917">
      <c r="A8917" t="str">
        <f>IFERROR(__xludf.DUMMYFUNCTION("""COMPUTED_VALUE"""),"2016-06-03-J07-SO-22")</f>
        <v>2016-06-03-J07-SO-22</v>
      </c>
    </row>
    <row r="8918">
      <c r="A8918" t="str">
        <f>IFERROR(__xludf.DUMMYFUNCTION("""COMPUTED_VALUE"""),"2016-06-03-J07-SO-23")</f>
        <v>2016-06-03-J07-SO-23</v>
      </c>
    </row>
    <row r="8919">
      <c r="A8919" t="str">
        <f>IFERROR(__xludf.DUMMYFUNCTION("""COMPUTED_VALUE"""),"2016-06-03-J07-SO-24")</f>
        <v>2016-06-03-J07-SO-24</v>
      </c>
    </row>
    <row r="8920">
      <c r="A8920" t="str">
        <f>IFERROR(__xludf.DUMMYFUNCTION("""COMPUTED_VALUE"""),"2016-06-03-J07-SO-25")</f>
        <v>2016-06-03-J07-SO-25</v>
      </c>
    </row>
    <row r="8921">
      <c r="A8921" t="str">
        <f>IFERROR(__xludf.DUMMYFUNCTION("""COMPUTED_VALUE"""),"2016-06-03-J07-SO-26")</f>
        <v>2016-06-03-J07-SO-26</v>
      </c>
    </row>
    <row r="8922">
      <c r="A8922" t="str">
        <f>IFERROR(__xludf.DUMMYFUNCTION("""COMPUTED_VALUE"""),"2016-06-03-J07-SO-27")</f>
        <v>2016-06-03-J07-SO-27</v>
      </c>
    </row>
    <row r="8923">
      <c r="A8923" t="str">
        <f>IFERROR(__xludf.DUMMYFUNCTION("""COMPUTED_VALUE"""),"2016-06-03-J07-SO-28")</f>
        <v>2016-06-03-J07-SO-28</v>
      </c>
    </row>
    <row r="8924">
      <c r="A8924" t="str">
        <f>IFERROR(__xludf.DUMMYFUNCTION("""COMPUTED_VALUE"""),"2016-06-03-J07-SO-29")</f>
        <v>2016-06-03-J07-SO-29</v>
      </c>
    </row>
    <row r="8925">
      <c r="A8925" t="str">
        <f>IFERROR(__xludf.DUMMYFUNCTION("""COMPUTED_VALUE"""),"2016-06-03-J07-SO-30")</f>
        <v>2016-06-03-J07-SO-30</v>
      </c>
    </row>
    <row r="8926">
      <c r="A8926" t="str">
        <f>IFERROR(__xludf.DUMMYFUNCTION("""COMPUTED_VALUE"""),"2016-06-03-D24-PI-1")</f>
        <v>2016-06-03-D24-PI-1</v>
      </c>
    </row>
    <row r="8927">
      <c r="A8927" t="str">
        <f>IFERROR(__xludf.DUMMYFUNCTION("""COMPUTED_VALUE"""),"2016-06-03-D24-PI-2")</f>
        <v>2016-06-03-D24-PI-2</v>
      </c>
    </row>
    <row r="8928">
      <c r="A8928" t="str">
        <f>IFERROR(__xludf.DUMMYFUNCTION("""COMPUTED_VALUE"""),"2016-06-03-D24-PI-3")</f>
        <v>2016-06-03-D24-PI-3</v>
      </c>
    </row>
    <row r="8929">
      <c r="A8929" t="str">
        <f>IFERROR(__xludf.DUMMYFUNCTION("""COMPUTED_VALUE"""),"2016-06-03-D24-PI-4")</f>
        <v>2016-06-03-D24-PI-4</v>
      </c>
    </row>
    <row r="8930">
      <c r="A8930" t="str">
        <f>IFERROR(__xludf.DUMMYFUNCTION("""COMPUTED_VALUE"""),"2016-06-03-D24-PI-5")</f>
        <v>2016-06-03-D24-PI-5</v>
      </c>
    </row>
    <row r="8931">
      <c r="A8931" t="str">
        <f>IFERROR(__xludf.DUMMYFUNCTION("""COMPUTED_VALUE"""),"2016-06-03-D24-PI-6")</f>
        <v>2016-06-03-D24-PI-6</v>
      </c>
    </row>
    <row r="8932">
      <c r="A8932" t="str">
        <f>IFERROR(__xludf.DUMMYFUNCTION("""COMPUTED_VALUE"""),"2016-06-03-D24-PI-7")</f>
        <v>2016-06-03-D24-PI-7</v>
      </c>
    </row>
    <row r="8933">
      <c r="A8933" t="str">
        <f>IFERROR(__xludf.DUMMYFUNCTION("""COMPUTED_VALUE"""),"2016-06-03-D24-PI-8")</f>
        <v>2016-06-03-D24-PI-8</v>
      </c>
    </row>
    <row r="8934">
      <c r="A8934" t="str">
        <f>IFERROR(__xludf.DUMMYFUNCTION("""COMPUTED_VALUE"""),"2016-06-03-D24-PI-9")</f>
        <v>2016-06-03-D24-PI-9</v>
      </c>
    </row>
    <row r="8935">
      <c r="A8935" t="str">
        <f>IFERROR(__xludf.DUMMYFUNCTION("""COMPUTED_VALUE"""),"2016-06-03-D24-PI-10")</f>
        <v>2016-06-03-D24-PI-10</v>
      </c>
    </row>
    <row r="8936">
      <c r="A8936" t="str">
        <f>IFERROR(__xludf.DUMMYFUNCTION("""COMPUTED_VALUE"""),"2016-06-03-D07-PI-1")</f>
        <v>2016-06-03-D07-PI-1</v>
      </c>
    </row>
    <row r="8937">
      <c r="A8937" t="str">
        <f>IFERROR(__xludf.DUMMYFUNCTION("""COMPUTED_VALUE"""),"2016-06-03-D07-PI-2")</f>
        <v>2016-06-03-D07-PI-2</v>
      </c>
    </row>
    <row r="8938">
      <c r="A8938" t="str">
        <f>IFERROR(__xludf.DUMMYFUNCTION("""COMPUTED_VALUE"""),"2016-06-03-D07-PI-3")</f>
        <v>2016-06-03-D07-PI-3</v>
      </c>
    </row>
    <row r="8939">
      <c r="A8939" t="str">
        <f>IFERROR(__xludf.DUMMYFUNCTION("""COMPUTED_VALUE"""),"2016-06-03-D07-PI-4")</f>
        <v>2016-06-03-D07-PI-4</v>
      </c>
    </row>
    <row r="8940">
      <c r="A8940" t="str">
        <f>IFERROR(__xludf.DUMMYFUNCTION("""COMPUTED_VALUE"""),"2016-06-03-D07-PI-5")</f>
        <v>2016-06-03-D07-PI-5</v>
      </c>
    </row>
    <row r="8941">
      <c r="A8941" t="str">
        <f>IFERROR(__xludf.DUMMYFUNCTION("""COMPUTED_VALUE"""),"2016-06-03-D07-PI-6")</f>
        <v>2016-06-03-D07-PI-6</v>
      </c>
    </row>
    <row r="8942">
      <c r="A8942" t="str">
        <f>IFERROR(__xludf.DUMMYFUNCTION("""COMPUTED_VALUE"""),"2016-06-03-D07-PI-7")</f>
        <v>2016-06-03-D07-PI-7</v>
      </c>
    </row>
    <row r="8943">
      <c r="A8943" t="str">
        <f>IFERROR(__xludf.DUMMYFUNCTION("""COMPUTED_VALUE"""),"2016-06-03-D07-PI-8")</f>
        <v>2016-06-03-D07-PI-8</v>
      </c>
    </row>
    <row r="8944">
      <c r="A8944" t="str">
        <f>IFERROR(__xludf.DUMMYFUNCTION("""COMPUTED_VALUE"""),"2016-06-03-D07-PI-9")</f>
        <v>2016-06-03-D07-PI-9</v>
      </c>
    </row>
    <row r="8945">
      <c r="A8945" t="str">
        <f>IFERROR(__xludf.DUMMYFUNCTION("""COMPUTED_VALUE"""),"2016-06-03-D07-PI-10")</f>
        <v>2016-06-03-D07-PI-10</v>
      </c>
    </row>
    <row r="8946">
      <c r="A8946" t="str">
        <f>IFERROR(__xludf.DUMMYFUNCTION("""COMPUTED_VALUE"""),"2016-06-03-J05-PI-1")</f>
        <v>2016-06-03-J05-PI-1</v>
      </c>
    </row>
    <row r="8947">
      <c r="A8947" t="str">
        <f>IFERROR(__xludf.DUMMYFUNCTION("""COMPUTED_VALUE"""),"2016-06-03-J07-PI-1")</f>
        <v>2016-06-03-J07-PI-1</v>
      </c>
    </row>
    <row r="8948">
      <c r="A8948" t="str">
        <f>IFERROR(__xludf.DUMMYFUNCTION("""COMPUTED_VALUE"""),"2016-06-03-J07-PI-2")</f>
        <v>2016-06-03-J07-PI-2</v>
      </c>
    </row>
    <row r="8949">
      <c r="A8949" t="str">
        <f>IFERROR(__xludf.DUMMYFUNCTION("""COMPUTED_VALUE"""),"2016-06-03-J07-PI-3")</f>
        <v>2016-06-03-J07-PI-3</v>
      </c>
    </row>
    <row r="8950">
      <c r="A8950" t="str">
        <f>IFERROR(__xludf.DUMMYFUNCTION("""COMPUTED_VALUE"""),"2016-06-03-J07-PI-4")</f>
        <v>2016-06-03-J07-PI-4</v>
      </c>
    </row>
    <row r="8951">
      <c r="A8951" t="str">
        <f>IFERROR(__xludf.DUMMYFUNCTION("""COMPUTED_VALUE"""),"2016-06-03-J07-PI-5")</f>
        <v>2016-06-03-J07-PI-5</v>
      </c>
    </row>
    <row r="8952">
      <c r="A8952" t="str">
        <f>IFERROR(__xludf.DUMMYFUNCTION("""COMPUTED_VALUE"""),"2016-06-03-J07-PI-6")</f>
        <v>2016-06-03-J07-PI-6</v>
      </c>
    </row>
    <row r="8953">
      <c r="A8953" t="str">
        <f>IFERROR(__xludf.DUMMYFUNCTION("""COMPUTED_VALUE"""),"2016-06-03-J07-PI-7")</f>
        <v>2016-06-03-J07-PI-7</v>
      </c>
    </row>
    <row r="8954">
      <c r="A8954" t="str">
        <f>IFERROR(__xludf.DUMMYFUNCTION("""COMPUTED_VALUE"""),"2016-06-03-J07-PI-8")</f>
        <v>2016-06-03-J07-PI-8</v>
      </c>
    </row>
    <row r="8955">
      <c r="A8955" t="str">
        <f>IFERROR(__xludf.DUMMYFUNCTION("""COMPUTED_VALUE"""),"2016-06-03-J07-PI-9")</f>
        <v>2016-06-03-J07-PI-9</v>
      </c>
    </row>
    <row r="8956">
      <c r="A8956" t="str">
        <f>IFERROR(__xludf.DUMMYFUNCTION("""COMPUTED_VALUE"""),"2016-06-03-J07-PI-10")</f>
        <v>2016-06-03-J07-PI-10</v>
      </c>
    </row>
    <row r="8957">
      <c r="A8957" t="str">
        <f>IFERROR(__xludf.DUMMYFUNCTION("""COMPUTED_VALUE"""),"2016-06-03-D24-CU-1")</f>
        <v>2016-06-03-D24-CU-1</v>
      </c>
    </row>
    <row r="8958">
      <c r="A8958" t="str">
        <f>IFERROR(__xludf.DUMMYFUNCTION("""COMPUTED_VALUE"""),"2016-06-03-D24-CU-2")</f>
        <v>2016-06-03-D24-CU-2</v>
      </c>
    </row>
    <row r="8959">
      <c r="A8959" t="str">
        <f>IFERROR(__xludf.DUMMYFUNCTION("""COMPUTED_VALUE"""),"2016-06-03-D24-CU-3")</f>
        <v>2016-06-03-D24-CU-3</v>
      </c>
    </row>
    <row r="8960">
      <c r="A8960" t="str">
        <f>IFERROR(__xludf.DUMMYFUNCTION("""COMPUTED_VALUE"""),"2016-06-03-D24-CU-4")</f>
        <v>2016-06-03-D24-CU-4</v>
      </c>
    </row>
    <row r="8961">
      <c r="A8961" t="str">
        <f>IFERROR(__xludf.DUMMYFUNCTION("""COMPUTED_VALUE"""),"2016-06-03-D24-CU-5")</f>
        <v>2016-06-03-D24-CU-5</v>
      </c>
    </row>
    <row r="8962">
      <c r="A8962" t="str">
        <f>IFERROR(__xludf.DUMMYFUNCTION("""COMPUTED_VALUE"""),"2016-06-03-D24-CU-6")</f>
        <v>2016-06-03-D24-CU-6</v>
      </c>
    </row>
    <row r="8963">
      <c r="A8963" t="str">
        <f>IFERROR(__xludf.DUMMYFUNCTION("""COMPUTED_VALUE"""),"2016-06-03-D24-CU-7")</f>
        <v>2016-06-03-D24-CU-7</v>
      </c>
    </row>
    <row r="8964">
      <c r="A8964" t="str">
        <f>IFERROR(__xludf.DUMMYFUNCTION("""COMPUTED_VALUE"""),"2016-06-03-D24-CU-8")</f>
        <v>2016-06-03-D24-CU-8</v>
      </c>
    </row>
    <row r="8965">
      <c r="A8965" t="str">
        <f>IFERROR(__xludf.DUMMYFUNCTION("""COMPUTED_VALUE"""),"2016-06-03-D24-CU-9")</f>
        <v>2016-06-03-D24-CU-9</v>
      </c>
    </row>
    <row r="8966">
      <c r="A8966" t="str">
        <f>IFERROR(__xludf.DUMMYFUNCTION("""COMPUTED_VALUE"""),"2016-06-03-D24-CU-10")</f>
        <v>2016-06-03-D24-CU-10</v>
      </c>
    </row>
    <row r="8967">
      <c r="A8967" t="str">
        <f>IFERROR(__xludf.DUMMYFUNCTION("""COMPUTED_VALUE"""),"2016-06-03-D07-CU-1")</f>
        <v>2016-06-03-D07-CU-1</v>
      </c>
    </row>
    <row r="8968">
      <c r="A8968" t="str">
        <f>IFERROR(__xludf.DUMMYFUNCTION("""COMPUTED_VALUE"""),"2016-06-03-D07-CU-2")</f>
        <v>2016-06-03-D07-CU-2</v>
      </c>
    </row>
    <row r="8969">
      <c r="A8969" t="str">
        <f>IFERROR(__xludf.DUMMYFUNCTION("""COMPUTED_VALUE"""),"2016-06-03-D07-CU-3")</f>
        <v>2016-06-03-D07-CU-3</v>
      </c>
    </row>
    <row r="8970">
      <c r="A8970" t="str">
        <f>IFERROR(__xludf.DUMMYFUNCTION("""COMPUTED_VALUE"""),"2016-06-03-D07-CU-4")</f>
        <v>2016-06-03-D07-CU-4</v>
      </c>
    </row>
    <row r="8971">
      <c r="A8971" t="str">
        <f>IFERROR(__xludf.DUMMYFUNCTION("""COMPUTED_VALUE"""),"2016-06-03-D07-CU-5")</f>
        <v>2016-06-03-D07-CU-5</v>
      </c>
    </row>
    <row r="8972">
      <c r="A8972" t="str">
        <f>IFERROR(__xludf.DUMMYFUNCTION("""COMPUTED_VALUE"""),"2016-06-03-D07-CU-6")</f>
        <v>2016-06-03-D07-CU-6</v>
      </c>
    </row>
    <row r="8973">
      <c r="A8973" t="str">
        <f>IFERROR(__xludf.DUMMYFUNCTION("""COMPUTED_VALUE"""),"2016-06-03-D07-CU-7")</f>
        <v>2016-06-03-D07-CU-7</v>
      </c>
    </row>
    <row r="8974">
      <c r="A8974" t="str">
        <f>IFERROR(__xludf.DUMMYFUNCTION("""COMPUTED_VALUE"""),"2016-06-03-D07-CU-8")</f>
        <v>2016-06-03-D07-CU-8</v>
      </c>
    </row>
    <row r="8975">
      <c r="A8975" t="str">
        <f>IFERROR(__xludf.DUMMYFUNCTION("""COMPUTED_VALUE"""),"2016-06-03-D07-CU-9")</f>
        <v>2016-06-03-D07-CU-9</v>
      </c>
    </row>
    <row r="8976">
      <c r="A8976" t="str">
        <f>IFERROR(__xludf.DUMMYFUNCTION("""COMPUTED_VALUE"""),"2016-06-03-D07-CU-10")</f>
        <v>2016-06-03-D07-CU-10</v>
      </c>
    </row>
    <row r="8977">
      <c r="A8977" t="str">
        <f>IFERROR(__xludf.DUMMYFUNCTION("""COMPUTED_VALUE"""),"2016-06-03-J05-CU-1")</f>
        <v>2016-06-03-J05-CU-1</v>
      </c>
    </row>
    <row r="8978">
      <c r="A8978" t="str">
        <f>IFERROR(__xludf.DUMMYFUNCTION("""COMPUTED_VALUE"""),"2016-06-03-J05-CU-2")</f>
        <v>2016-06-03-J05-CU-2</v>
      </c>
    </row>
    <row r="8979">
      <c r="A8979" t="str">
        <f>IFERROR(__xludf.DUMMYFUNCTION("""COMPUTED_VALUE"""),"2016-06-03-J05-CU-3")</f>
        <v>2016-06-03-J05-CU-3</v>
      </c>
    </row>
    <row r="8980">
      <c r="A8980" t="str">
        <f>IFERROR(__xludf.DUMMYFUNCTION("""COMPUTED_VALUE"""),"2016-06-03-J05-CU-4")</f>
        <v>2016-06-03-J05-CU-4</v>
      </c>
    </row>
    <row r="8981">
      <c r="A8981" t="str">
        <f>IFERROR(__xludf.DUMMYFUNCTION("""COMPUTED_VALUE"""),"2016-06-03-J05-CU-5")</f>
        <v>2016-06-03-J05-CU-5</v>
      </c>
    </row>
    <row r="8982">
      <c r="A8982" t="str">
        <f>IFERROR(__xludf.DUMMYFUNCTION("""COMPUTED_VALUE"""),"2016-06-03-J05-CU-6")</f>
        <v>2016-06-03-J05-CU-6</v>
      </c>
    </row>
    <row r="8983">
      <c r="A8983" t="str">
        <f>IFERROR(__xludf.DUMMYFUNCTION("""COMPUTED_VALUE"""),"2016-06-03-J05-CU-7")</f>
        <v>2016-06-03-J05-CU-7</v>
      </c>
    </row>
    <row r="8984">
      <c r="A8984" t="str">
        <f>IFERROR(__xludf.DUMMYFUNCTION("""COMPUTED_VALUE"""),"2016-06-03-J05-CU-8")</f>
        <v>2016-06-03-J05-CU-8</v>
      </c>
    </row>
    <row r="8985">
      <c r="A8985" t="str">
        <f>IFERROR(__xludf.DUMMYFUNCTION("""COMPUTED_VALUE"""),"2016-06-03-J05-CU-9")</f>
        <v>2016-06-03-J05-CU-9</v>
      </c>
    </row>
    <row r="8986">
      <c r="A8986" t="str">
        <f>IFERROR(__xludf.DUMMYFUNCTION("""COMPUTED_VALUE"""),"2016-06-03-J05-CU-10")</f>
        <v>2016-06-03-J05-CU-10</v>
      </c>
    </row>
    <row r="8987">
      <c r="A8987" t="str">
        <f>IFERROR(__xludf.DUMMYFUNCTION("""COMPUTED_VALUE"""),"2016-06-03-J07-CU-1")</f>
        <v>2016-06-03-J07-CU-1</v>
      </c>
    </row>
    <row r="8988">
      <c r="A8988" t="str">
        <f>IFERROR(__xludf.DUMMYFUNCTION("""COMPUTED_VALUE"""),"2016-06-03-J07-CU-2")</f>
        <v>2016-06-03-J07-CU-2</v>
      </c>
    </row>
    <row r="8989">
      <c r="A8989" t="str">
        <f>IFERROR(__xludf.DUMMYFUNCTION("""COMPUTED_VALUE"""),"2016-06-03-J07-CU-3")</f>
        <v>2016-06-03-J07-CU-3</v>
      </c>
    </row>
    <row r="8990">
      <c r="A8990" t="str">
        <f>IFERROR(__xludf.DUMMYFUNCTION("""COMPUTED_VALUE"""),"2016-06-03-J07-CU-4")</f>
        <v>2016-06-03-J07-CU-4</v>
      </c>
    </row>
    <row r="8991">
      <c r="A8991" t="str">
        <f>IFERROR(__xludf.DUMMYFUNCTION("""COMPUTED_VALUE"""),"2016-06-03-J07-CU-5")</f>
        <v>2016-06-03-J07-CU-5</v>
      </c>
    </row>
    <row r="8992">
      <c r="A8992" t="str">
        <f>IFERROR(__xludf.DUMMYFUNCTION("""COMPUTED_VALUE"""),"2016-06-03-J07-CU-6")</f>
        <v>2016-06-03-J07-CU-6</v>
      </c>
    </row>
    <row r="8993">
      <c r="A8993" t="str">
        <f>IFERROR(__xludf.DUMMYFUNCTION("""COMPUTED_VALUE"""),"2016-06-03-J07-CU-7")</f>
        <v>2016-06-03-J07-CU-7</v>
      </c>
    </row>
    <row r="8994">
      <c r="A8994" t="str">
        <f>IFERROR(__xludf.DUMMYFUNCTION("""COMPUTED_VALUE"""),"2016-06-03-J07-CU-8")</f>
        <v>2016-06-03-J07-CU-8</v>
      </c>
    </row>
    <row r="8995">
      <c r="A8995" t="str">
        <f>IFERROR(__xludf.DUMMYFUNCTION("""COMPUTED_VALUE"""),"2016-06-03-J07-CU-9")</f>
        <v>2016-06-03-J07-CU-9</v>
      </c>
    </row>
    <row r="8996">
      <c r="A8996" t="str">
        <f>IFERROR(__xludf.DUMMYFUNCTION("""COMPUTED_VALUE"""),"2016-06-03-J07-CU-10")</f>
        <v>2016-06-03-J07-CU-10</v>
      </c>
    </row>
    <row r="8997">
      <c r="A8997" t="str">
        <f>IFERROR(__xludf.DUMMYFUNCTION("""COMPUTED_VALUE"""),"2016-06-03-D24-CO-1")</f>
        <v>2016-06-03-D24-CO-1</v>
      </c>
    </row>
    <row r="8998">
      <c r="A8998" t="str">
        <f>IFERROR(__xludf.DUMMYFUNCTION("""COMPUTED_VALUE"""),"2016-06-03-D07-CO-1")</f>
        <v>2016-06-03-D07-CO-1</v>
      </c>
    </row>
    <row r="8999">
      <c r="A8999" t="str">
        <f>IFERROR(__xludf.DUMMYFUNCTION("""COMPUTED_VALUE"""),"2016-06-04-J06-SO-1")</f>
        <v>2016-06-04-J06-SO-1</v>
      </c>
    </row>
    <row r="9000">
      <c r="A9000" t="str">
        <f>IFERROR(__xludf.DUMMYFUNCTION("""COMPUTED_VALUE"""),"2016-06-04-J06-SO-2")</f>
        <v>2016-06-04-J06-SO-2</v>
      </c>
    </row>
    <row r="9001">
      <c r="A9001" t="str">
        <f>IFERROR(__xludf.DUMMYFUNCTION("""COMPUTED_VALUE"""),"2016-06-04-J06-SO-3")</f>
        <v>2016-06-04-J06-SO-3</v>
      </c>
    </row>
    <row r="9002">
      <c r="A9002" t="str">
        <f>IFERROR(__xludf.DUMMYFUNCTION("""COMPUTED_VALUE"""),"2016-06-04-J06-SO-4")</f>
        <v>2016-06-04-J06-SO-4</v>
      </c>
    </row>
    <row r="9003">
      <c r="A9003" t="str">
        <f>IFERROR(__xludf.DUMMYFUNCTION("""COMPUTED_VALUE"""),"2016-06-04-J06-SO-5")</f>
        <v>2016-06-04-J06-SO-5</v>
      </c>
    </row>
    <row r="9004">
      <c r="A9004" t="str">
        <f>IFERROR(__xludf.DUMMYFUNCTION("""COMPUTED_VALUE"""),"2016-06-04-J06-SO-6")</f>
        <v>2016-06-04-J06-SO-6</v>
      </c>
    </row>
    <row r="9005">
      <c r="A9005" t="str">
        <f>IFERROR(__xludf.DUMMYFUNCTION("""COMPUTED_VALUE"""),"2016-06-04-J06-SO-7")</f>
        <v>2016-06-04-J06-SO-7</v>
      </c>
    </row>
    <row r="9006">
      <c r="A9006" t="str">
        <f>IFERROR(__xludf.DUMMYFUNCTION("""COMPUTED_VALUE"""),"2016-06-04-J06-SO-8")</f>
        <v>2016-06-04-J06-SO-8</v>
      </c>
    </row>
    <row r="9007">
      <c r="A9007" t="str">
        <f>IFERROR(__xludf.DUMMYFUNCTION("""COMPUTED_VALUE"""),"2016-06-04-J06-SO-9")</f>
        <v>2016-06-04-J06-SO-9</v>
      </c>
    </row>
    <row r="9008">
      <c r="A9008" t="str">
        <f>IFERROR(__xludf.DUMMYFUNCTION("""COMPUTED_VALUE"""),"2016-06-04-J06-SO-10")</f>
        <v>2016-06-04-J06-SO-10</v>
      </c>
    </row>
    <row r="9009">
      <c r="A9009" t="str">
        <f>IFERROR(__xludf.DUMMYFUNCTION("""COMPUTED_VALUE"""),"2016-06-04-J06-SO-11")</f>
        <v>2016-06-04-J06-SO-11</v>
      </c>
    </row>
    <row r="9010">
      <c r="A9010" t="str">
        <f>IFERROR(__xludf.DUMMYFUNCTION("""COMPUTED_VALUE"""),"2016-06-04-J06-SO-12")</f>
        <v>2016-06-04-J06-SO-12</v>
      </c>
    </row>
    <row r="9011">
      <c r="A9011" t="str">
        <f>IFERROR(__xludf.DUMMYFUNCTION("""COMPUTED_VALUE"""),"2016-06-04-J06-SO-13")</f>
        <v>2016-06-04-J06-SO-13</v>
      </c>
    </row>
    <row r="9012">
      <c r="A9012" t="str">
        <f>IFERROR(__xludf.DUMMYFUNCTION("""COMPUTED_VALUE"""),"2016-06-04-J06-SO-14")</f>
        <v>2016-06-04-J06-SO-14</v>
      </c>
    </row>
    <row r="9013">
      <c r="A9013" t="str">
        <f>IFERROR(__xludf.DUMMYFUNCTION("""COMPUTED_VALUE"""),"2016-06-04-J06-SO-15")</f>
        <v>2016-06-04-J06-SO-15</v>
      </c>
    </row>
    <row r="9014">
      <c r="A9014" t="str">
        <f>IFERROR(__xludf.DUMMYFUNCTION("""COMPUTED_VALUE"""),"2016-06-04-J06-SO-16")</f>
        <v>2016-06-04-J06-SO-16</v>
      </c>
    </row>
    <row r="9015">
      <c r="A9015" t="str">
        <f>IFERROR(__xludf.DUMMYFUNCTION("""COMPUTED_VALUE"""),"2016-06-04-J06-SO-17")</f>
        <v>2016-06-04-J06-SO-17</v>
      </c>
    </row>
    <row r="9016">
      <c r="A9016" t="str">
        <f>IFERROR(__xludf.DUMMYFUNCTION("""COMPUTED_VALUE"""),"2016-06-04-J06-SO-18")</f>
        <v>2016-06-04-J06-SO-18</v>
      </c>
    </row>
    <row r="9017">
      <c r="A9017" t="str">
        <f>IFERROR(__xludf.DUMMYFUNCTION("""COMPUTED_VALUE"""),"2016-06-04-J06-SO-19")</f>
        <v>2016-06-04-J06-SO-19</v>
      </c>
    </row>
    <row r="9018">
      <c r="A9018" t="str">
        <f>IFERROR(__xludf.DUMMYFUNCTION("""COMPUTED_VALUE"""),"2016-06-04-J06-SO-20")</f>
        <v>2016-06-04-J06-SO-20</v>
      </c>
    </row>
    <row r="9019">
      <c r="A9019" t="str">
        <f>IFERROR(__xludf.DUMMYFUNCTION("""COMPUTED_VALUE"""),"2016-06-04-J06-SO-21")</f>
        <v>2016-06-04-J06-SO-21</v>
      </c>
    </row>
    <row r="9020">
      <c r="A9020" t="str">
        <f>IFERROR(__xludf.DUMMYFUNCTION("""COMPUTED_VALUE"""),"2016-06-04-J06-SO-22")</f>
        <v>2016-06-04-J06-SO-22</v>
      </c>
    </row>
    <row r="9021">
      <c r="A9021" t="str">
        <f>IFERROR(__xludf.DUMMYFUNCTION("""COMPUTED_VALUE"""),"2016-06-04-J06-SO-23")</f>
        <v>2016-06-04-J06-SO-23</v>
      </c>
    </row>
    <row r="9022">
      <c r="A9022" t="str">
        <f>IFERROR(__xludf.DUMMYFUNCTION("""COMPUTED_VALUE"""),"2016-06-04-J06-SO-24")</f>
        <v>2016-06-04-J06-SO-24</v>
      </c>
    </row>
    <row r="9023">
      <c r="A9023" t="str">
        <f>IFERROR(__xludf.DUMMYFUNCTION("""COMPUTED_VALUE"""),"2016-06-04-J06-SO-25")</f>
        <v>2016-06-04-J06-SO-25</v>
      </c>
    </row>
    <row r="9024">
      <c r="A9024" t="str">
        <f>IFERROR(__xludf.DUMMYFUNCTION("""COMPUTED_VALUE"""),"2016-06-04-J06-SO-26")</f>
        <v>2016-06-04-J06-SO-26</v>
      </c>
    </row>
    <row r="9025">
      <c r="A9025" t="str">
        <f>IFERROR(__xludf.DUMMYFUNCTION("""COMPUTED_VALUE"""),"2016-06-04-J06-SO-27")</f>
        <v>2016-06-04-J06-SO-27</v>
      </c>
    </row>
    <row r="9026">
      <c r="A9026" t="str">
        <f>IFERROR(__xludf.DUMMYFUNCTION("""COMPUTED_VALUE"""),"2016-06-04-J06-SO-28")</f>
        <v>2016-06-04-J06-SO-28</v>
      </c>
    </row>
    <row r="9027">
      <c r="A9027" t="str">
        <f>IFERROR(__xludf.DUMMYFUNCTION("""COMPUTED_VALUE"""),"2016-06-04-J06-SO-29")</f>
        <v>2016-06-04-J06-SO-29</v>
      </c>
    </row>
    <row r="9028">
      <c r="A9028" t="str">
        <f>IFERROR(__xludf.DUMMYFUNCTION("""COMPUTED_VALUE"""),"2016-06-04-J06-SO-30")</f>
        <v>2016-06-04-J06-SO-30</v>
      </c>
    </row>
    <row r="9029">
      <c r="A9029" t="str">
        <f>IFERROR(__xludf.DUMMYFUNCTION("""COMPUTED_VALUE"""),"2016-06-04-J03-SO-1")</f>
        <v>2016-06-04-J03-SO-1</v>
      </c>
    </row>
    <row r="9030">
      <c r="A9030" t="str">
        <f>IFERROR(__xludf.DUMMYFUNCTION("""COMPUTED_VALUE"""),"2016-06-04-J03-SO-2")</f>
        <v>2016-06-04-J03-SO-2</v>
      </c>
    </row>
    <row r="9031">
      <c r="A9031" t="str">
        <f>IFERROR(__xludf.DUMMYFUNCTION("""COMPUTED_VALUE"""),"2016-06-04-J03-SO-3")</f>
        <v>2016-06-04-J03-SO-3</v>
      </c>
    </row>
    <row r="9032">
      <c r="A9032" t="str">
        <f>IFERROR(__xludf.DUMMYFUNCTION("""COMPUTED_VALUE"""),"2016-06-04-J03-SO-4")</f>
        <v>2016-06-04-J03-SO-4</v>
      </c>
    </row>
    <row r="9033">
      <c r="A9033" t="str">
        <f>IFERROR(__xludf.DUMMYFUNCTION("""COMPUTED_VALUE"""),"2016-06-04-J03-SO-5")</f>
        <v>2016-06-04-J03-SO-5</v>
      </c>
    </row>
    <row r="9034">
      <c r="A9034" t="str">
        <f>IFERROR(__xludf.DUMMYFUNCTION("""COMPUTED_VALUE"""),"2016-06-04-J03-SO-6")</f>
        <v>2016-06-04-J03-SO-6</v>
      </c>
    </row>
    <row r="9035">
      <c r="A9035" t="str">
        <f>IFERROR(__xludf.DUMMYFUNCTION("""COMPUTED_VALUE"""),"2016-06-04-J03-SO-7")</f>
        <v>2016-06-04-J03-SO-7</v>
      </c>
    </row>
    <row r="9036">
      <c r="A9036" t="str">
        <f>IFERROR(__xludf.DUMMYFUNCTION("""COMPUTED_VALUE"""),"2016-06-04-J03-SO-8")</f>
        <v>2016-06-04-J03-SO-8</v>
      </c>
    </row>
    <row r="9037">
      <c r="A9037" t="str">
        <f>IFERROR(__xludf.DUMMYFUNCTION("""COMPUTED_VALUE"""),"2016-06-04-J03-SO-9")</f>
        <v>2016-06-04-J03-SO-9</v>
      </c>
    </row>
    <row r="9038">
      <c r="A9038" t="str">
        <f>IFERROR(__xludf.DUMMYFUNCTION("""COMPUTED_VALUE"""),"2016-06-04-J03-SO-10")</f>
        <v>2016-06-04-J03-SO-10</v>
      </c>
    </row>
    <row r="9039">
      <c r="A9039" t="str">
        <f>IFERROR(__xludf.DUMMYFUNCTION("""COMPUTED_VALUE"""),"2016-06-04-J03-SO-11")</f>
        <v>2016-06-04-J03-SO-11</v>
      </c>
    </row>
    <row r="9040">
      <c r="A9040" t="str">
        <f>IFERROR(__xludf.DUMMYFUNCTION("""COMPUTED_VALUE"""),"2016-06-04-J03-SO-12")</f>
        <v>2016-06-04-J03-SO-12</v>
      </c>
    </row>
    <row r="9041">
      <c r="A9041" t="str">
        <f>IFERROR(__xludf.DUMMYFUNCTION("""COMPUTED_VALUE"""),"2016-06-04-J03-SO-13")</f>
        <v>2016-06-04-J03-SO-13</v>
      </c>
    </row>
    <row r="9042">
      <c r="A9042" t="str">
        <f>IFERROR(__xludf.DUMMYFUNCTION("""COMPUTED_VALUE"""),"2016-06-04-J03-SO-14")</f>
        <v>2016-06-04-J03-SO-14</v>
      </c>
    </row>
    <row r="9043">
      <c r="A9043" t="str">
        <f>IFERROR(__xludf.DUMMYFUNCTION("""COMPUTED_VALUE"""),"2016-06-04-J03-SO-15")</f>
        <v>2016-06-04-J03-SO-15</v>
      </c>
    </row>
    <row r="9044">
      <c r="A9044" t="str">
        <f>IFERROR(__xludf.DUMMYFUNCTION("""COMPUTED_VALUE"""),"2016-06-04-J03-SO-16")</f>
        <v>2016-06-04-J03-SO-16</v>
      </c>
    </row>
    <row r="9045">
      <c r="A9045" t="str">
        <f>IFERROR(__xludf.DUMMYFUNCTION("""COMPUTED_VALUE"""),"2016-06-04-J03-SO-17")</f>
        <v>2016-06-04-J03-SO-17</v>
      </c>
    </row>
    <row r="9046">
      <c r="A9046" t="str">
        <f>IFERROR(__xludf.DUMMYFUNCTION("""COMPUTED_VALUE"""),"2016-06-04-J03-SO-18")</f>
        <v>2016-06-04-J03-SO-18</v>
      </c>
    </row>
    <row r="9047">
      <c r="A9047" t="str">
        <f>IFERROR(__xludf.DUMMYFUNCTION("""COMPUTED_VALUE"""),"2016-06-04-J03-SO-19")</f>
        <v>2016-06-04-J03-SO-19</v>
      </c>
    </row>
    <row r="9048">
      <c r="A9048" t="str">
        <f>IFERROR(__xludf.DUMMYFUNCTION("""COMPUTED_VALUE"""),"2016-06-04-J03-SO-20")</f>
        <v>2016-06-04-J03-SO-20</v>
      </c>
    </row>
    <row r="9049">
      <c r="A9049" t="str">
        <f>IFERROR(__xludf.DUMMYFUNCTION("""COMPUTED_VALUE"""),"2016-06-04-J03-SO-21")</f>
        <v>2016-06-04-J03-SO-21</v>
      </c>
    </row>
    <row r="9050">
      <c r="A9050" t="str">
        <f>IFERROR(__xludf.DUMMYFUNCTION("""COMPUTED_VALUE"""),"2016-06-04-J03-SO-22")</f>
        <v>2016-06-04-J03-SO-22</v>
      </c>
    </row>
    <row r="9051">
      <c r="A9051" t="str">
        <f>IFERROR(__xludf.DUMMYFUNCTION("""COMPUTED_VALUE"""),"2016-06-04-J03-SO-23")</f>
        <v>2016-06-04-J03-SO-23</v>
      </c>
    </row>
    <row r="9052">
      <c r="A9052" t="str">
        <f>IFERROR(__xludf.DUMMYFUNCTION("""COMPUTED_VALUE"""),"2016-06-04-J03-SO-24")</f>
        <v>2016-06-04-J03-SO-24</v>
      </c>
    </row>
    <row r="9053">
      <c r="A9053" t="str">
        <f>IFERROR(__xludf.DUMMYFUNCTION("""COMPUTED_VALUE"""),"2016-06-04-J03-SO-25")</f>
        <v>2016-06-04-J03-SO-25</v>
      </c>
    </row>
    <row r="9054">
      <c r="A9054" t="str">
        <f>IFERROR(__xludf.DUMMYFUNCTION("""COMPUTED_VALUE"""),"2016-06-04-J03-SO-26")</f>
        <v>2016-06-04-J03-SO-26</v>
      </c>
    </row>
    <row r="9055">
      <c r="A9055" t="str">
        <f>IFERROR(__xludf.DUMMYFUNCTION("""COMPUTED_VALUE"""),"2016-06-04-J03-SO-27")</f>
        <v>2016-06-04-J03-SO-27</v>
      </c>
    </row>
    <row r="9056">
      <c r="A9056" t="str">
        <f>IFERROR(__xludf.DUMMYFUNCTION("""COMPUTED_VALUE"""),"2016-06-04-J03-SO-28")</f>
        <v>2016-06-04-J03-SO-28</v>
      </c>
    </row>
    <row r="9057">
      <c r="A9057" t="str">
        <f>IFERROR(__xludf.DUMMYFUNCTION("""COMPUTED_VALUE"""),"2016-06-04-J03-SO-29")</f>
        <v>2016-06-04-J03-SO-29</v>
      </c>
    </row>
    <row r="9058">
      <c r="A9058" t="str">
        <f>IFERROR(__xludf.DUMMYFUNCTION("""COMPUTED_VALUE"""),"2016-06-04-J03-SO-30")</f>
        <v>2016-06-04-J03-SO-30</v>
      </c>
    </row>
    <row r="9059">
      <c r="A9059" t="str">
        <f>IFERROR(__xludf.DUMMYFUNCTION("""COMPUTED_VALUE"""),"2016-06-04-J03-PI-1")</f>
        <v>2016-06-04-J03-PI-1</v>
      </c>
    </row>
    <row r="9060">
      <c r="A9060" t="str">
        <f>IFERROR(__xludf.DUMMYFUNCTION("""COMPUTED_VALUE"""),"2016-06-04-J03-PI-2")</f>
        <v>2016-06-04-J03-PI-2</v>
      </c>
    </row>
    <row r="9061">
      <c r="A9061" t="str">
        <f>IFERROR(__xludf.DUMMYFUNCTION("""COMPUTED_VALUE"""),"2016-06-04-J03-PI-3")</f>
        <v>2016-06-04-J03-PI-3</v>
      </c>
    </row>
    <row r="9062">
      <c r="A9062" t="str">
        <f>IFERROR(__xludf.DUMMYFUNCTION("""COMPUTED_VALUE"""),"2016-06-04-J03-PI-4")</f>
        <v>2016-06-04-J03-PI-4</v>
      </c>
    </row>
    <row r="9063">
      <c r="A9063" t="str">
        <f>IFERROR(__xludf.DUMMYFUNCTION("""COMPUTED_VALUE"""),"2016-06-04-J03-PI-5")</f>
        <v>2016-06-04-J03-PI-5</v>
      </c>
    </row>
    <row r="9064">
      <c r="A9064" t="str">
        <f>IFERROR(__xludf.DUMMYFUNCTION("""COMPUTED_VALUE"""),"2016-06-04-J03-PI-6")</f>
        <v>2016-06-04-J03-PI-6</v>
      </c>
    </row>
    <row r="9065">
      <c r="A9065" t="str">
        <f>IFERROR(__xludf.DUMMYFUNCTION("""COMPUTED_VALUE"""),"2016-06-04-J03-PI-7")</f>
        <v>2016-06-04-J03-PI-7</v>
      </c>
    </row>
    <row r="9066">
      <c r="A9066" t="str">
        <f>IFERROR(__xludf.DUMMYFUNCTION("""COMPUTED_VALUE"""),"2016-06-04-J03-PI-8")</f>
        <v>2016-06-04-J03-PI-8</v>
      </c>
    </row>
    <row r="9067">
      <c r="A9067" t="str">
        <f>IFERROR(__xludf.DUMMYFUNCTION("""COMPUTED_VALUE"""),"2016-06-04-J03-PI-9")</f>
        <v>2016-06-04-J03-PI-9</v>
      </c>
    </row>
    <row r="9068">
      <c r="A9068" t="str">
        <f>IFERROR(__xludf.DUMMYFUNCTION("""COMPUTED_VALUE"""),"2016-06-04-J03-PI-10")</f>
        <v>2016-06-04-J03-PI-10</v>
      </c>
    </row>
    <row r="9069">
      <c r="A9069" t="str">
        <f>IFERROR(__xludf.DUMMYFUNCTION("""COMPUTED_VALUE"""),"2016-06-04-J06-CU-1")</f>
        <v>2016-06-04-J06-CU-1</v>
      </c>
    </row>
    <row r="9070">
      <c r="A9070" t="str">
        <f>IFERROR(__xludf.DUMMYFUNCTION("""COMPUTED_VALUE"""),"2016-06-04-J06-CU-2")</f>
        <v>2016-06-04-J06-CU-2</v>
      </c>
    </row>
    <row r="9071">
      <c r="A9071" t="str">
        <f>IFERROR(__xludf.DUMMYFUNCTION("""COMPUTED_VALUE"""),"2016-06-04-J06-CU-3")</f>
        <v>2016-06-04-J06-CU-3</v>
      </c>
    </row>
    <row r="9072">
      <c r="A9072" t="str">
        <f>IFERROR(__xludf.DUMMYFUNCTION("""COMPUTED_VALUE"""),"2016-06-04-J06-CU-4")</f>
        <v>2016-06-04-J06-CU-4</v>
      </c>
    </row>
    <row r="9073">
      <c r="A9073" t="str">
        <f>IFERROR(__xludf.DUMMYFUNCTION("""COMPUTED_VALUE"""),"2016-06-04-J06-CU-5")</f>
        <v>2016-06-04-J06-CU-5</v>
      </c>
    </row>
    <row r="9074">
      <c r="A9074" t="str">
        <f>IFERROR(__xludf.DUMMYFUNCTION("""COMPUTED_VALUE"""),"2016-06-04-J06-CU-6")</f>
        <v>2016-06-04-J06-CU-6</v>
      </c>
    </row>
    <row r="9075">
      <c r="A9075" t="str">
        <f>IFERROR(__xludf.DUMMYFUNCTION("""COMPUTED_VALUE"""),"2016-06-04-J06-CU-7")</f>
        <v>2016-06-04-J06-CU-7</v>
      </c>
    </row>
    <row r="9076">
      <c r="A9076" t="str">
        <f>IFERROR(__xludf.DUMMYFUNCTION("""COMPUTED_VALUE"""),"2016-06-04-J06-CU-8")</f>
        <v>2016-06-04-J06-CU-8</v>
      </c>
    </row>
    <row r="9077">
      <c r="A9077" t="str">
        <f>IFERROR(__xludf.DUMMYFUNCTION("""COMPUTED_VALUE"""),"2016-06-04-J06-CU-9")</f>
        <v>2016-06-04-J06-CU-9</v>
      </c>
    </row>
    <row r="9078">
      <c r="A9078" t="str">
        <f>IFERROR(__xludf.DUMMYFUNCTION("""COMPUTED_VALUE"""),"2016-06-04-J06-CU-10")</f>
        <v>2016-06-04-J06-CU-10</v>
      </c>
    </row>
    <row r="9079">
      <c r="A9079" t="str">
        <f>IFERROR(__xludf.DUMMYFUNCTION("""COMPUTED_VALUE"""),"2016-06-04-J03-CU-1")</f>
        <v>2016-06-04-J03-CU-1</v>
      </c>
    </row>
    <row r="9080">
      <c r="A9080" t="str">
        <f>IFERROR(__xludf.DUMMYFUNCTION("""COMPUTED_VALUE"""),"2016-06-04-J03-CU-2")</f>
        <v>2016-06-04-J03-CU-2</v>
      </c>
    </row>
    <row r="9081">
      <c r="A9081" t="str">
        <f>IFERROR(__xludf.DUMMYFUNCTION("""COMPUTED_VALUE"""),"2016-06-04-J03-CU-3")</f>
        <v>2016-06-04-J03-CU-3</v>
      </c>
    </row>
    <row r="9082">
      <c r="A9082" t="str">
        <f>IFERROR(__xludf.DUMMYFUNCTION("""COMPUTED_VALUE"""),"2016-06-04-J03-CU-4")</f>
        <v>2016-06-04-J03-CU-4</v>
      </c>
    </row>
    <row r="9083">
      <c r="A9083" t="str">
        <f>IFERROR(__xludf.DUMMYFUNCTION("""COMPUTED_VALUE"""),"2016-06-04-J03-CU-5")</f>
        <v>2016-06-04-J03-CU-5</v>
      </c>
    </row>
    <row r="9084">
      <c r="A9084" t="str">
        <f>IFERROR(__xludf.DUMMYFUNCTION("""COMPUTED_VALUE"""),"2016-06-04-J03-CU-6")</f>
        <v>2016-06-04-J03-CU-6</v>
      </c>
    </row>
    <row r="9085">
      <c r="A9085" t="str">
        <f>IFERROR(__xludf.DUMMYFUNCTION("""COMPUTED_VALUE"""),"2016-06-04-J03-CO-1")</f>
        <v>2016-06-04-J03-CO-1</v>
      </c>
    </row>
    <row r="9086">
      <c r="A9086" t="str">
        <f>IFERROR(__xludf.DUMMYFUNCTION("""COMPUTED_VALUE"""),"2016-06-04-J03-CO-2")</f>
        <v>2016-06-04-J03-CO-2</v>
      </c>
    </row>
    <row r="9087">
      <c r="A9087" t="str">
        <f>IFERROR(__xludf.DUMMYFUNCTION("""COMPUTED_VALUE"""),"2016-06-07-D09-SO-1")</f>
        <v>2016-06-07-D09-SO-1</v>
      </c>
    </row>
    <row r="9088">
      <c r="A9088" t="str">
        <f>IFERROR(__xludf.DUMMYFUNCTION("""COMPUTED_VALUE"""),"2016-06-07-D09-SO-2")</f>
        <v>2016-06-07-D09-SO-2</v>
      </c>
    </row>
    <row r="9089">
      <c r="A9089" t="str">
        <f>IFERROR(__xludf.DUMMYFUNCTION("""COMPUTED_VALUE"""),"2016-06-07-D09-SO-3")</f>
        <v>2016-06-07-D09-SO-3</v>
      </c>
    </row>
    <row r="9090">
      <c r="A9090" t="str">
        <f>IFERROR(__xludf.DUMMYFUNCTION("""COMPUTED_VALUE"""),"2016-06-07-D09-SO-4")</f>
        <v>2016-06-07-D09-SO-4</v>
      </c>
    </row>
    <row r="9091">
      <c r="A9091" t="str">
        <f>IFERROR(__xludf.DUMMYFUNCTION("""COMPUTED_VALUE"""),"2016-06-07-D09-SO-5")</f>
        <v>2016-06-07-D09-SO-5</v>
      </c>
    </row>
    <row r="9092">
      <c r="A9092" t="str">
        <f>IFERROR(__xludf.DUMMYFUNCTION("""COMPUTED_VALUE"""),"2016-06-07-D09-SO-6")</f>
        <v>2016-06-07-D09-SO-6</v>
      </c>
    </row>
    <row r="9093">
      <c r="A9093" t="str">
        <f>IFERROR(__xludf.DUMMYFUNCTION("""COMPUTED_VALUE"""),"2016-06-07-D09-SO-7")</f>
        <v>2016-06-07-D09-SO-7</v>
      </c>
    </row>
    <row r="9094">
      <c r="A9094" t="str">
        <f>IFERROR(__xludf.DUMMYFUNCTION("""COMPUTED_VALUE"""),"2016-06-07-D09-SO-8")</f>
        <v>2016-06-07-D09-SO-8</v>
      </c>
    </row>
    <row r="9095">
      <c r="A9095" t="str">
        <f>IFERROR(__xludf.DUMMYFUNCTION("""COMPUTED_VALUE"""),"2016-06-07-D09-SO-9")</f>
        <v>2016-06-07-D09-SO-9</v>
      </c>
    </row>
    <row r="9096">
      <c r="A9096" t="str">
        <f>IFERROR(__xludf.DUMMYFUNCTION("""COMPUTED_VALUE"""),"2016-06-07-D09-SO-10")</f>
        <v>2016-06-07-D09-SO-10</v>
      </c>
    </row>
    <row r="9097">
      <c r="A9097" t="str">
        <f>IFERROR(__xludf.DUMMYFUNCTION("""COMPUTED_VALUE"""),"2016-06-07-D09-SO-11")</f>
        <v>2016-06-07-D09-SO-11</v>
      </c>
    </row>
    <row r="9098">
      <c r="A9098" t="str">
        <f>IFERROR(__xludf.DUMMYFUNCTION("""COMPUTED_VALUE"""),"2016-06-07-D09-SO-12")</f>
        <v>2016-06-07-D09-SO-12</v>
      </c>
    </row>
    <row r="9099">
      <c r="A9099" t="str">
        <f>IFERROR(__xludf.DUMMYFUNCTION("""COMPUTED_VALUE"""),"2016-06-07-D09-SO-13")</f>
        <v>2016-06-07-D09-SO-13</v>
      </c>
    </row>
    <row r="9100">
      <c r="A9100" t="str">
        <f>IFERROR(__xludf.DUMMYFUNCTION("""COMPUTED_VALUE"""),"2016-06-07-D09-SO-14")</f>
        <v>2016-06-07-D09-SO-14</v>
      </c>
    </row>
    <row r="9101">
      <c r="A9101" t="str">
        <f>IFERROR(__xludf.DUMMYFUNCTION("""COMPUTED_VALUE"""),"2016-06-07-D09-SO-15")</f>
        <v>2016-06-07-D09-SO-15</v>
      </c>
    </row>
    <row r="9102">
      <c r="A9102" t="str">
        <f>IFERROR(__xludf.DUMMYFUNCTION("""COMPUTED_VALUE"""),"2016-06-07-D09-SO-16")</f>
        <v>2016-06-07-D09-SO-16</v>
      </c>
    </row>
    <row r="9103">
      <c r="A9103" t="str">
        <f>IFERROR(__xludf.DUMMYFUNCTION("""COMPUTED_VALUE"""),"2016-06-07-D09-SO-17")</f>
        <v>2016-06-07-D09-SO-17</v>
      </c>
    </row>
    <row r="9104">
      <c r="A9104" t="str">
        <f>IFERROR(__xludf.DUMMYFUNCTION("""COMPUTED_VALUE"""),"2016-06-07-D09-SO-18")</f>
        <v>2016-06-07-D09-SO-18</v>
      </c>
    </row>
    <row r="9105">
      <c r="A9105" t="str">
        <f>IFERROR(__xludf.DUMMYFUNCTION("""COMPUTED_VALUE"""),"2016-06-07-D09-SO-19")</f>
        <v>2016-06-07-D09-SO-19</v>
      </c>
    </row>
    <row r="9106">
      <c r="A9106" t="str">
        <f>IFERROR(__xludf.DUMMYFUNCTION("""COMPUTED_VALUE"""),"2016-06-07-D09-SO-20")</f>
        <v>2016-06-07-D09-SO-20</v>
      </c>
    </row>
    <row r="9107">
      <c r="A9107" t="str">
        <f>IFERROR(__xludf.DUMMYFUNCTION("""COMPUTED_VALUE"""),"2016-06-07-D09-SO-21")</f>
        <v>2016-06-07-D09-SO-21</v>
      </c>
    </row>
    <row r="9108">
      <c r="A9108" t="str">
        <f>IFERROR(__xludf.DUMMYFUNCTION("""COMPUTED_VALUE"""),"2016-06-07-D09-SO-22")</f>
        <v>2016-06-07-D09-SO-22</v>
      </c>
    </row>
    <row r="9109">
      <c r="A9109" t="str">
        <f>IFERROR(__xludf.DUMMYFUNCTION("""COMPUTED_VALUE"""),"2016-06-07-D09-SO-23")</f>
        <v>2016-06-07-D09-SO-23</v>
      </c>
    </row>
    <row r="9110">
      <c r="A9110" t="str">
        <f>IFERROR(__xludf.DUMMYFUNCTION("""COMPUTED_VALUE"""),"2016-06-07-D09-SO-24")</f>
        <v>2016-06-07-D09-SO-24</v>
      </c>
    </row>
    <row r="9111">
      <c r="A9111" t="str">
        <f>IFERROR(__xludf.DUMMYFUNCTION("""COMPUTED_VALUE"""),"2016-06-07-D09-SO-25")</f>
        <v>2016-06-07-D09-SO-25</v>
      </c>
    </row>
    <row r="9112">
      <c r="A9112" t="str">
        <f>IFERROR(__xludf.DUMMYFUNCTION("""COMPUTED_VALUE"""),"2016-06-07-D09-SO-26")</f>
        <v>2016-06-07-D09-SO-26</v>
      </c>
    </row>
    <row r="9113">
      <c r="A9113" t="str">
        <f>IFERROR(__xludf.DUMMYFUNCTION("""COMPUTED_VALUE"""),"2016-06-07-D09-SO-27")</f>
        <v>2016-06-07-D09-SO-27</v>
      </c>
    </row>
    <row r="9114">
      <c r="A9114" t="str">
        <f>IFERROR(__xludf.DUMMYFUNCTION("""COMPUTED_VALUE"""),"2016-06-07-D09-SO-28")</f>
        <v>2016-06-07-D09-SO-28</v>
      </c>
    </row>
    <row r="9115">
      <c r="A9115" t="str">
        <f>IFERROR(__xludf.DUMMYFUNCTION("""COMPUTED_VALUE"""),"2016-06-07-D09-SO-29")</f>
        <v>2016-06-07-D09-SO-29</v>
      </c>
    </row>
    <row r="9116">
      <c r="A9116" t="str">
        <f>IFERROR(__xludf.DUMMYFUNCTION("""COMPUTED_VALUE"""),"2016-06-07-D09-SO-30")</f>
        <v>2016-06-07-D09-SO-30</v>
      </c>
    </row>
    <row r="9117">
      <c r="A9117" t="str">
        <f>IFERROR(__xludf.DUMMYFUNCTION("""COMPUTED_VALUE"""),"2016-06-07-D22-SO-1")</f>
        <v>2016-06-07-D22-SO-1</v>
      </c>
    </row>
    <row r="9118">
      <c r="A9118" t="str">
        <f>IFERROR(__xludf.DUMMYFUNCTION("""COMPUTED_VALUE"""),"2016-06-07-D22-SO-2")</f>
        <v>2016-06-07-D22-SO-2</v>
      </c>
    </row>
    <row r="9119">
      <c r="A9119" t="str">
        <f>IFERROR(__xludf.DUMMYFUNCTION("""COMPUTED_VALUE"""),"2016-06-07-D22-SO-3")</f>
        <v>2016-06-07-D22-SO-3</v>
      </c>
    </row>
    <row r="9120">
      <c r="A9120" t="str">
        <f>IFERROR(__xludf.DUMMYFUNCTION("""COMPUTED_VALUE"""),"2016-06-07-D22-SO-4")</f>
        <v>2016-06-07-D22-SO-4</v>
      </c>
    </row>
    <row r="9121">
      <c r="A9121" t="str">
        <f>IFERROR(__xludf.DUMMYFUNCTION("""COMPUTED_VALUE"""),"2016-06-07-D22-SO-5")</f>
        <v>2016-06-07-D22-SO-5</v>
      </c>
    </row>
    <row r="9122">
      <c r="A9122" t="str">
        <f>IFERROR(__xludf.DUMMYFUNCTION("""COMPUTED_VALUE"""),"2016-06-07-D22-SO-6")</f>
        <v>2016-06-07-D22-SO-6</v>
      </c>
    </row>
    <row r="9123">
      <c r="A9123" t="str">
        <f>IFERROR(__xludf.DUMMYFUNCTION("""COMPUTED_VALUE"""),"2016-06-07-D22-SO-7")</f>
        <v>2016-06-07-D22-SO-7</v>
      </c>
    </row>
    <row r="9124">
      <c r="A9124" t="str">
        <f>IFERROR(__xludf.DUMMYFUNCTION("""COMPUTED_VALUE"""),"2016-06-07-D22-SO-8")</f>
        <v>2016-06-07-D22-SO-8</v>
      </c>
    </row>
    <row r="9125">
      <c r="A9125" t="str">
        <f>IFERROR(__xludf.DUMMYFUNCTION("""COMPUTED_VALUE"""),"2016-06-07-D22-SO-9")</f>
        <v>2016-06-07-D22-SO-9</v>
      </c>
    </row>
    <row r="9126">
      <c r="A9126" t="str">
        <f>IFERROR(__xludf.DUMMYFUNCTION("""COMPUTED_VALUE"""),"2016-06-07-D22-SO-10")</f>
        <v>2016-06-07-D22-SO-10</v>
      </c>
    </row>
    <row r="9127">
      <c r="A9127" t="str">
        <f>IFERROR(__xludf.DUMMYFUNCTION("""COMPUTED_VALUE"""),"2016-06-07-D22-SO-11")</f>
        <v>2016-06-07-D22-SO-11</v>
      </c>
    </row>
    <row r="9128">
      <c r="A9128" t="str">
        <f>IFERROR(__xludf.DUMMYFUNCTION("""COMPUTED_VALUE"""),"2016-06-07-D22-SO-12")</f>
        <v>2016-06-07-D22-SO-12</v>
      </c>
    </row>
    <row r="9129">
      <c r="A9129" t="str">
        <f>IFERROR(__xludf.DUMMYFUNCTION("""COMPUTED_VALUE"""),"2016-06-07-D22-SO-13")</f>
        <v>2016-06-07-D22-SO-13</v>
      </c>
    </row>
    <row r="9130">
      <c r="A9130" t="str">
        <f>IFERROR(__xludf.DUMMYFUNCTION("""COMPUTED_VALUE"""),"2016-06-07-D22-SO-14")</f>
        <v>2016-06-07-D22-SO-14</v>
      </c>
    </row>
    <row r="9131">
      <c r="A9131" t="str">
        <f>IFERROR(__xludf.DUMMYFUNCTION("""COMPUTED_VALUE"""),"2016-06-07-D22-SO-15")</f>
        <v>2016-06-07-D22-SO-15</v>
      </c>
    </row>
    <row r="9132">
      <c r="A9132" t="str">
        <f>IFERROR(__xludf.DUMMYFUNCTION("""COMPUTED_VALUE"""),"2016-06-07-D22-SO-16")</f>
        <v>2016-06-07-D22-SO-16</v>
      </c>
    </row>
    <row r="9133">
      <c r="A9133" t="str">
        <f>IFERROR(__xludf.DUMMYFUNCTION("""COMPUTED_VALUE"""),"2016-06-07-D22-SO-17")</f>
        <v>2016-06-07-D22-SO-17</v>
      </c>
    </row>
    <row r="9134">
      <c r="A9134" t="str">
        <f>IFERROR(__xludf.DUMMYFUNCTION("""COMPUTED_VALUE"""),"2016-06-07-D22-SO-18")</f>
        <v>2016-06-07-D22-SO-18</v>
      </c>
    </row>
    <row r="9135">
      <c r="A9135" t="str">
        <f>IFERROR(__xludf.DUMMYFUNCTION("""COMPUTED_VALUE"""),"2016-06-07-D22-SO-19")</f>
        <v>2016-06-07-D22-SO-19</v>
      </c>
    </row>
    <row r="9136">
      <c r="A9136" t="str">
        <f>IFERROR(__xludf.DUMMYFUNCTION("""COMPUTED_VALUE"""),"2016-06-07-D22-SO-20")</f>
        <v>2016-06-07-D22-SO-20</v>
      </c>
    </row>
    <row r="9137">
      <c r="A9137" t="str">
        <f>IFERROR(__xludf.DUMMYFUNCTION("""COMPUTED_VALUE"""),"2016-06-07-D22-SO-21")</f>
        <v>2016-06-07-D22-SO-21</v>
      </c>
    </row>
    <row r="9138">
      <c r="A9138" t="str">
        <f>IFERROR(__xludf.DUMMYFUNCTION("""COMPUTED_VALUE"""),"2016-06-07-D22-SO-22")</f>
        <v>2016-06-07-D22-SO-22</v>
      </c>
    </row>
    <row r="9139">
      <c r="A9139" t="str">
        <f>IFERROR(__xludf.DUMMYFUNCTION("""COMPUTED_VALUE"""),"2016-06-07-D22-SO-23")</f>
        <v>2016-06-07-D22-SO-23</v>
      </c>
    </row>
    <row r="9140">
      <c r="A9140" t="str">
        <f>IFERROR(__xludf.DUMMYFUNCTION("""COMPUTED_VALUE"""),"2016-06-07-D22-SO-24")</f>
        <v>2016-06-07-D22-SO-24</v>
      </c>
    </row>
    <row r="9141">
      <c r="A9141" t="str">
        <f>IFERROR(__xludf.DUMMYFUNCTION("""COMPUTED_VALUE"""),"2016-06-07-D22-SO-25")</f>
        <v>2016-06-07-D22-SO-25</v>
      </c>
    </row>
    <row r="9142">
      <c r="A9142" t="str">
        <f>IFERROR(__xludf.DUMMYFUNCTION("""COMPUTED_VALUE"""),"2016-06-07-D22-SO-26")</f>
        <v>2016-06-07-D22-SO-26</v>
      </c>
    </row>
    <row r="9143">
      <c r="A9143" t="str">
        <f>IFERROR(__xludf.DUMMYFUNCTION("""COMPUTED_VALUE"""),"2016-06-07-D22-SO-27")</f>
        <v>2016-06-07-D22-SO-27</v>
      </c>
    </row>
    <row r="9144">
      <c r="A9144" t="str">
        <f>IFERROR(__xludf.DUMMYFUNCTION("""COMPUTED_VALUE"""),"2016-06-07-D22-SO-28")</f>
        <v>2016-06-07-D22-SO-28</v>
      </c>
    </row>
    <row r="9145">
      <c r="A9145" t="str">
        <f>IFERROR(__xludf.DUMMYFUNCTION("""COMPUTED_VALUE"""),"2016-06-07-D22-SO-29")</f>
        <v>2016-06-07-D22-SO-29</v>
      </c>
    </row>
    <row r="9146">
      <c r="A9146" t="str">
        <f>IFERROR(__xludf.DUMMYFUNCTION("""COMPUTED_VALUE"""),"2016-06-07-D22-SO-30")</f>
        <v>2016-06-07-D22-SO-30</v>
      </c>
    </row>
    <row r="9147">
      <c r="A9147" t="str">
        <f>IFERROR(__xludf.DUMMYFUNCTION("""COMPUTED_VALUE"""),"2016-06-07-D22-PI-1")</f>
        <v>2016-06-07-D22-PI-1</v>
      </c>
    </row>
    <row r="9148">
      <c r="A9148" t="str">
        <f>IFERROR(__xludf.DUMMYFUNCTION("""COMPUTED_VALUE"""),"2016-06-07-D22-PI-2")</f>
        <v>2016-06-07-D22-PI-2</v>
      </c>
    </row>
    <row r="9149">
      <c r="A9149" t="str">
        <f>IFERROR(__xludf.DUMMYFUNCTION("""COMPUTED_VALUE"""),"2016-06-07-D22-PI-3")</f>
        <v>2016-06-07-D22-PI-3</v>
      </c>
    </row>
    <row r="9150">
      <c r="A9150" t="str">
        <f>IFERROR(__xludf.DUMMYFUNCTION("""COMPUTED_VALUE"""),"2016-06-07-D22-PI-4")</f>
        <v>2016-06-07-D22-PI-4</v>
      </c>
    </row>
    <row r="9151">
      <c r="A9151" t="str">
        <f>IFERROR(__xludf.DUMMYFUNCTION("""COMPUTED_VALUE"""),"2016-06-07-D22-PI-5")</f>
        <v>2016-06-07-D22-PI-5</v>
      </c>
    </row>
    <row r="9152">
      <c r="A9152" t="str">
        <f>IFERROR(__xludf.DUMMYFUNCTION("""COMPUTED_VALUE"""),"2016-06-07-D22-PI-6")</f>
        <v>2016-06-07-D22-PI-6</v>
      </c>
    </row>
    <row r="9153">
      <c r="A9153" t="str">
        <f>IFERROR(__xludf.DUMMYFUNCTION("""COMPUTED_VALUE"""),"2016-06-07-D22-PI-7")</f>
        <v>2016-06-07-D22-PI-7</v>
      </c>
    </row>
    <row r="9154">
      <c r="A9154" t="str">
        <f>IFERROR(__xludf.DUMMYFUNCTION("""COMPUTED_VALUE"""),"2016-06-07-D22-PI-8")</f>
        <v>2016-06-07-D22-PI-8</v>
      </c>
    </row>
    <row r="9155">
      <c r="A9155" t="str">
        <f>IFERROR(__xludf.DUMMYFUNCTION("""COMPUTED_VALUE"""),"2016-06-07-D22-PI-9")</f>
        <v>2016-06-07-D22-PI-9</v>
      </c>
    </row>
    <row r="9156">
      <c r="A9156" t="str">
        <f>IFERROR(__xludf.DUMMYFUNCTION("""COMPUTED_VALUE"""),"2016-06-07-D22-PI-10")</f>
        <v>2016-06-07-D22-PI-10</v>
      </c>
    </row>
    <row r="9157">
      <c r="A9157" t="str">
        <f>IFERROR(__xludf.DUMMYFUNCTION("""COMPUTED_VALUE"""),"2016-06-07-D09-CU-1")</f>
        <v>2016-06-07-D09-CU-1</v>
      </c>
    </row>
    <row r="9158">
      <c r="A9158" t="str">
        <f>IFERROR(__xludf.DUMMYFUNCTION("""COMPUTED_VALUE"""),"2016-06-07-D09-CU-2")</f>
        <v>2016-06-07-D09-CU-2</v>
      </c>
    </row>
    <row r="9159">
      <c r="A9159" t="str">
        <f>IFERROR(__xludf.DUMMYFUNCTION("""COMPUTED_VALUE"""),"2016-06-07-D09-CU-3")</f>
        <v>2016-06-07-D09-CU-3</v>
      </c>
    </row>
    <row r="9160">
      <c r="A9160" t="str">
        <f>IFERROR(__xludf.DUMMYFUNCTION("""COMPUTED_VALUE"""),"2016-06-07-D09-CU-4")</f>
        <v>2016-06-07-D09-CU-4</v>
      </c>
    </row>
    <row r="9161">
      <c r="A9161" t="str">
        <f>IFERROR(__xludf.DUMMYFUNCTION("""COMPUTED_VALUE"""),"2016-06-07-D09-CU-5")</f>
        <v>2016-06-07-D09-CU-5</v>
      </c>
    </row>
    <row r="9162">
      <c r="A9162" t="str">
        <f>IFERROR(__xludf.DUMMYFUNCTION("""COMPUTED_VALUE"""),"2016-06-07-D09-CU-6")</f>
        <v>2016-06-07-D09-CU-6</v>
      </c>
    </row>
    <row r="9163">
      <c r="A9163" t="str">
        <f>IFERROR(__xludf.DUMMYFUNCTION("""COMPUTED_VALUE"""),"2016-06-07-D09-CU-7")</f>
        <v>2016-06-07-D09-CU-7</v>
      </c>
    </row>
    <row r="9164">
      <c r="A9164" t="str">
        <f>IFERROR(__xludf.DUMMYFUNCTION("""COMPUTED_VALUE"""),"2016-06-07-D09-CU-8")</f>
        <v>2016-06-07-D09-CU-8</v>
      </c>
    </row>
    <row r="9165">
      <c r="A9165" t="str">
        <f>IFERROR(__xludf.DUMMYFUNCTION("""COMPUTED_VALUE"""),"2016-06-07-D09-CU-9")</f>
        <v>2016-06-07-D09-CU-9</v>
      </c>
    </row>
    <row r="9166">
      <c r="A9166" t="str">
        <f>IFERROR(__xludf.DUMMYFUNCTION("""COMPUTED_VALUE"""),"2016-06-07-D09-CU-10")</f>
        <v>2016-06-07-D09-CU-10</v>
      </c>
    </row>
    <row r="9167">
      <c r="A9167" t="str">
        <f>IFERROR(__xludf.DUMMYFUNCTION("""COMPUTED_VALUE"""),"2016-06-07-D22-CU-1")</f>
        <v>2016-06-07-D22-CU-1</v>
      </c>
    </row>
    <row r="9168">
      <c r="A9168" t="str">
        <f>IFERROR(__xludf.DUMMYFUNCTION("""COMPUTED_VALUE"""),"2016-06-07-D22-CU-2")</f>
        <v>2016-06-07-D22-CU-2</v>
      </c>
    </row>
    <row r="9169">
      <c r="A9169" t="str">
        <f>IFERROR(__xludf.DUMMYFUNCTION("""COMPUTED_VALUE"""),"2016-06-07-D22-CU-3")</f>
        <v>2016-06-07-D22-CU-3</v>
      </c>
    </row>
    <row r="9170">
      <c r="A9170" t="str">
        <f>IFERROR(__xludf.DUMMYFUNCTION("""COMPUTED_VALUE"""),"2016-06-07-D22-CU-4")</f>
        <v>2016-06-07-D22-CU-4</v>
      </c>
    </row>
    <row r="9171">
      <c r="A9171" t="str">
        <f>IFERROR(__xludf.DUMMYFUNCTION("""COMPUTED_VALUE"""),"2016-06-07-D22-CU-5")</f>
        <v>2016-06-07-D22-CU-5</v>
      </c>
    </row>
    <row r="9172">
      <c r="A9172" t="str">
        <f>IFERROR(__xludf.DUMMYFUNCTION("""COMPUTED_VALUE"""),"2016-06-07-D22-CU-6")</f>
        <v>2016-06-07-D22-CU-6</v>
      </c>
    </row>
    <row r="9173">
      <c r="A9173" t="str">
        <f>IFERROR(__xludf.DUMMYFUNCTION("""COMPUTED_VALUE"""),"2016-06-07-D22-CU-7")</f>
        <v>2016-06-07-D22-CU-7</v>
      </c>
    </row>
    <row r="9174">
      <c r="A9174" t="str">
        <f>IFERROR(__xludf.DUMMYFUNCTION("""COMPUTED_VALUE"""),"2016-06-07-D22-CU-8")</f>
        <v>2016-06-07-D22-CU-8</v>
      </c>
    </row>
    <row r="9175">
      <c r="A9175" t="str">
        <f>IFERROR(__xludf.DUMMYFUNCTION("""COMPUTED_VALUE"""),"2016-06-07-D22-CU-9")</f>
        <v>2016-06-07-D22-CU-9</v>
      </c>
    </row>
    <row r="9176">
      <c r="A9176" t="str">
        <f>IFERROR(__xludf.DUMMYFUNCTION("""COMPUTED_VALUE"""),"2016-06-07-D22-CU-10")</f>
        <v>2016-06-07-D22-CU-10</v>
      </c>
    </row>
    <row r="9177">
      <c r="A9177" t="str">
        <f>IFERROR(__xludf.DUMMYFUNCTION("""COMPUTED_VALUE"""),"2016-06-07-D22-CO-1")</f>
        <v>2016-06-07-D22-CO-1</v>
      </c>
    </row>
    <row r="9178">
      <c r="A9178" t="str">
        <f>IFERROR(__xludf.DUMMYFUNCTION("""COMPUTED_VALUE"""),"2016-06-07-D22-HE-1")</f>
        <v>2016-06-07-D22-HE-1</v>
      </c>
    </row>
    <row r="9179">
      <c r="A9179" t="str">
        <f>IFERROR(__xludf.DUMMYFUNCTION("""COMPUTED_VALUE"""),"2016-06-07-D22-HE-2")</f>
        <v>2016-06-07-D22-HE-2</v>
      </c>
    </row>
    <row r="9180">
      <c r="A9180" t="str">
        <f>IFERROR(__xludf.DUMMYFUNCTION("""COMPUTED_VALUE"""),"2016-06-07-D22-HE-3")</f>
        <v>2016-06-07-D22-HE-3</v>
      </c>
    </row>
    <row r="9181">
      <c r="A9181" t="str">
        <f>IFERROR(__xludf.DUMMYFUNCTION("""COMPUTED_VALUE"""),"2016-06-07-D22-HE-4")</f>
        <v>2016-06-07-D22-HE-4</v>
      </c>
    </row>
    <row r="9182">
      <c r="A9182" t="str">
        <f>IFERROR(__xludf.DUMMYFUNCTION("""COMPUTED_VALUE"""),"2016-06-07-D22-HE-5")</f>
        <v>2016-06-07-D22-HE-5</v>
      </c>
    </row>
    <row r="9183">
      <c r="A9183" t="str">
        <f>IFERROR(__xludf.DUMMYFUNCTION("""COMPUTED_VALUE"""),"2016-06-07-D22-HE-6")</f>
        <v>2016-06-07-D22-HE-6</v>
      </c>
    </row>
    <row r="9184">
      <c r="A9184" t="str">
        <f>IFERROR(__xludf.DUMMYFUNCTION("""COMPUTED_VALUE"""),"2016-06-07-D22-HE-7")</f>
        <v>2016-06-07-D22-HE-7</v>
      </c>
    </row>
    <row r="9185">
      <c r="A9185" t="str">
        <f>IFERROR(__xludf.DUMMYFUNCTION("""COMPUTED_VALUE"""),"2016-06-07-D22-HE-8")</f>
        <v>2016-06-07-D22-HE-8</v>
      </c>
    </row>
    <row r="9186">
      <c r="A9186" t="str">
        <f>IFERROR(__xludf.DUMMYFUNCTION("""COMPUTED_VALUE"""),"2016-06-07-D22-HE-9")</f>
        <v>2016-06-07-D22-HE-9</v>
      </c>
    </row>
    <row r="9187">
      <c r="A9187" t="str">
        <f>IFERROR(__xludf.DUMMYFUNCTION("""COMPUTED_VALUE"""),"2016-06-07-D22-HE-10")</f>
        <v>2016-06-07-D22-HE-10</v>
      </c>
    </row>
    <row r="9188">
      <c r="A9188" t="str">
        <f>IFERROR(__xludf.DUMMYFUNCTION("""COMPUTED_VALUE"""),"2016-06-08-D11-SO-1")</f>
        <v>2016-06-08-D11-SO-1</v>
      </c>
    </row>
    <row r="9189">
      <c r="A9189" t="str">
        <f>IFERROR(__xludf.DUMMYFUNCTION("""COMPUTED_VALUE"""),"2016-06-08-D11-SO-2")</f>
        <v>2016-06-08-D11-SO-2</v>
      </c>
    </row>
    <row r="9190">
      <c r="A9190" t="str">
        <f>IFERROR(__xludf.DUMMYFUNCTION("""COMPUTED_VALUE"""),"2016-06-08-D11-SO-3")</f>
        <v>2016-06-08-D11-SO-3</v>
      </c>
    </row>
    <row r="9191">
      <c r="A9191" t="str">
        <f>IFERROR(__xludf.DUMMYFUNCTION("""COMPUTED_VALUE"""),"2016-06-08-D11-SO-4")</f>
        <v>2016-06-08-D11-SO-4</v>
      </c>
    </row>
    <row r="9192">
      <c r="A9192" t="str">
        <f>IFERROR(__xludf.DUMMYFUNCTION("""COMPUTED_VALUE"""),"2016-06-08-D11-SO-5")</f>
        <v>2016-06-08-D11-SO-5</v>
      </c>
    </row>
    <row r="9193">
      <c r="A9193" t="str">
        <f>IFERROR(__xludf.DUMMYFUNCTION("""COMPUTED_VALUE"""),"2016-06-08-D11-SO-6")</f>
        <v>2016-06-08-D11-SO-6</v>
      </c>
    </row>
    <row r="9194">
      <c r="A9194" t="str">
        <f>IFERROR(__xludf.DUMMYFUNCTION("""COMPUTED_VALUE"""),"2016-06-08-D11-SO-7")</f>
        <v>2016-06-08-D11-SO-7</v>
      </c>
    </row>
    <row r="9195">
      <c r="A9195" t="str">
        <f>IFERROR(__xludf.DUMMYFUNCTION("""COMPUTED_VALUE"""),"2016-06-08-D11-SO-8")</f>
        <v>2016-06-08-D11-SO-8</v>
      </c>
    </row>
    <row r="9196">
      <c r="A9196" t="str">
        <f>IFERROR(__xludf.DUMMYFUNCTION("""COMPUTED_VALUE"""),"2016-06-08-D11-SO-9")</f>
        <v>2016-06-08-D11-SO-9</v>
      </c>
    </row>
    <row r="9197">
      <c r="A9197" t="str">
        <f>IFERROR(__xludf.DUMMYFUNCTION("""COMPUTED_VALUE"""),"2016-06-08-D11-SO-10")</f>
        <v>2016-06-08-D11-SO-10</v>
      </c>
    </row>
    <row r="9198">
      <c r="A9198" t="str">
        <f>IFERROR(__xludf.DUMMYFUNCTION("""COMPUTED_VALUE"""),"2016-06-08-D11-SO-11")</f>
        <v>2016-06-08-D11-SO-11</v>
      </c>
    </row>
    <row r="9199">
      <c r="A9199" t="str">
        <f>IFERROR(__xludf.DUMMYFUNCTION("""COMPUTED_VALUE"""),"2016-06-08-D11-SO-12")</f>
        <v>2016-06-08-D11-SO-12</v>
      </c>
    </row>
    <row r="9200">
      <c r="A9200" t="str">
        <f>IFERROR(__xludf.DUMMYFUNCTION("""COMPUTED_VALUE"""),"2016-06-08-D11-SO-13")</f>
        <v>2016-06-08-D11-SO-13</v>
      </c>
    </row>
    <row r="9201">
      <c r="A9201" t="str">
        <f>IFERROR(__xludf.DUMMYFUNCTION("""COMPUTED_VALUE"""),"2016-06-08-D11-SO-14")</f>
        <v>2016-06-08-D11-SO-14</v>
      </c>
    </row>
    <row r="9202">
      <c r="A9202" t="str">
        <f>IFERROR(__xludf.DUMMYFUNCTION("""COMPUTED_VALUE"""),"2016-06-08-D11-SO-15")</f>
        <v>2016-06-08-D11-SO-15</v>
      </c>
    </row>
    <row r="9203">
      <c r="A9203" t="str">
        <f>IFERROR(__xludf.DUMMYFUNCTION("""COMPUTED_VALUE"""),"2016-06-08-D11-SO-16")</f>
        <v>2016-06-08-D11-SO-16</v>
      </c>
    </row>
    <row r="9204">
      <c r="A9204" t="str">
        <f>IFERROR(__xludf.DUMMYFUNCTION("""COMPUTED_VALUE"""),"2016-06-08-D11-SO-17")</f>
        <v>2016-06-08-D11-SO-17</v>
      </c>
    </row>
    <row r="9205">
      <c r="A9205" t="str">
        <f>IFERROR(__xludf.DUMMYFUNCTION("""COMPUTED_VALUE"""),"2016-06-08-D11-SO-18")</f>
        <v>2016-06-08-D11-SO-18</v>
      </c>
    </row>
    <row r="9206">
      <c r="A9206" t="str">
        <f>IFERROR(__xludf.DUMMYFUNCTION("""COMPUTED_VALUE"""),"2016-06-08-D11-SO-19")</f>
        <v>2016-06-08-D11-SO-19</v>
      </c>
    </row>
    <row r="9207">
      <c r="A9207" t="str">
        <f>IFERROR(__xludf.DUMMYFUNCTION("""COMPUTED_VALUE"""),"2016-06-08-D11-SO-20")</f>
        <v>2016-06-08-D11-SO-20</v>
      </c>
    </row>
    <row r="9208">
      <c r="A9208" t="str">
        <f>IFERROR(__xludf.DUMMYFUNCTION("""COMPUTED_VALUE"""),"2016-06-08-D11-SO-21")</f>
        <v>2016-06-08-D11-SO-21</v>
      </c>
    </row>
    <row r="9209">
      <c r="A9209" t="str">
        <f>IFERROR(__xludf.DUMMYFUNCTION("""COMPUTED_VALUE"""),"2016-06-08-D11-SO-22")</f>
        <v>2016-06-08-D11-SO-22</v>
      </c>
    </row>
    <row r="9210">
      <c r="A9210" t="str">
        <f>IFERROR(__xludf.DUMMYFUNCTION("""COMPUTED_VALUE"""),"2016-06-08-D11-SO-23")</f>
        <v>2016-06-08-D11-SO-23</v>
      </c>
    </row>
    <row r="9211">
      <c r="A9211" t="str">
        <f>IFERROR(__xludf.DUMMYFUNCTION("""COMPUTED_VALUE"""),"2016-06-08-D11-SO-24")</f>
        <v>2016-06-08-D11-SO-24</v>
      </c>
    </row>
    <row r="9212">
      <c r="A9212" t="str">
        <f>IFERROR(__xludf.DUMMYFUNCTION("""COMPUTED_VALUE"""),"2016-06-08-D11-SO-25")</f>
        <v>2016-06-08-D11-SO-25</v>
      </c>
    </row>
    <row r="9213">
      <c r="A9213" t="str">
        <f>IFERROR(__xludf.DUMMYFUNCTION("""COMPUTED_VALUE"""),"2016-06-08-D11-SO-26")</f>
        <v>2016-06-08-D11-SO-26</v>
      </c>
    </row>
    <row r="9214">
      <c r="A9214" t="str">
        <f>IFERROR(__xludf.DUMMYFUNCTION("""COMPUTED_VALUE"""),"2016-06-08-D11-SO-27")</f>
        <v>2016-06-08-D11-SO-27</v>
      </c>
    </row>
    <row r="9215">
      <c r="A9215" t="str">
        <f>IFERROR(__xludf.DUMMYFUNCTION("""COMPUTED_VALUE"""),"2016-06-08-D11-SO-28")</f>
        <v>2016-06-08-D11-SO-28</v>
      </c>
    </row>
    <row r="9216">
      <c r="A9216" t="str">
        <f>IFERROR(__xludf.DUMMYFUNCTION("""COMPUTED_VALUE"""),"2016-06-08-D11-SO-29")</f>
        <v>2016-06-08-D11-SO-29</v>
      </c>
    </row>
    <row r="9217">
      <c r="A9217" t="str">
        <f>IFERROR(__xludf.DUMMYFUNCTION("""COMPUTED_VALUE"""),"2016-06-08-D11-SO-30")</f>
        <v>2016-06-08-D11-SO-30</v>
      </c>
    </row>
    <row r="9218">
      <c r="A9218" t="str">
        <f>IFERROR(__xludf.DUMMYFUNCTION("""COMPUTED_VALUE"""),"2016-06-08-D20-SO-1")</f>
        <v>2016-06-08-D20-SO-1</v>
      </c>
    </row>
    <row r="9219">
      <c r="A9219" t="str">
        <f>IFERROR(__xludf.DUMMYFUNCTION("""COMPUTED_VALUE"""),"2016-06-08-D20-SO-2")</f>
        <v>2016-06-08-D20-SO-2</v>
      </c>
    </row>
    <row r="9220">
      <c r="A9220" t="str">
        <f>IFERROR(__xludf.DUMMYFUNCTION("""COMPUTED_VALUE"""),"2016-06-08-D20-SO-3")</f>
        <v>2016-06-08-D20-SO-3</v>
      </c>
    </row>
    <row r="9221">
      <c r="A9221" t="str">
        <f>IFERROR(__xludf.DUMMYFUNCTION("""COMPUTED_VALUE"""),"2016-06-08-D20-SO-4")</f>
        <v>2016-06-08-D20-SO-4</v>
      </c>
    </row>
    <row r="9222">
      <c r="A9222" t="str">
        <f>IFERROR(__xludf.DUMMYFUNCTION("""COMPUTED_VALUE"""),"2016-06-08-D20-SO-5")</f>
        <v>2016-06-08-D20-SO-5</v>
      </c>
    </row>
    <row r="9223">
      <c r="A9223" t="str">
        <f>IFERROR(__xludf.DUMMYFUNCTION("""COMPUTED_VALUE"""),"2016-06-08-D20-SO-6")</f>
        <v>2016-06-08-D20-SO-6</v>
      </c>
    </row>
    <row r="9224">
      <c r="A9224" t="str">
        <f>IFERROR(__xludf.DUMMYFUNCTION("""COMPUTED_VALUE"""),"2016-06-08-D20-SO-7")</f>
        <v>2016-06-08-D20-SO-7</v>
      </c>
    </row>
    <row r="9225">
      <c r="A9225" t="str">
        <f>IFERROR(__xludf.DUMMYFUNCTION("""COMPUTED_VALUE"""),"2016-06-08-D20-SO-8")</f>
        <v>2016-06-08-D20-SO-8</v>
      </c>
    </row>
    <row r="9226">
      <c r="A9226" t="str">
        <f>IFERROR(__xludf.DUMMYFUNCTION("""COMPUTED_VALUE"""),"2016-06-08-D20-SO-9")</f>
        <v>2016-06-08-D20-SO-9</v>
      </c>
    </row>
    <row r="9227">
      <c r="A9227" t="str">
        <f>IFERROR(__xludf.DUMMYFUNCTION("""COMPUTED_VALUE"""),"2016-06-08-D20-SO-10")</f>
        <v>2016-06-08-D20-SO-10</v>
      </c>
    </row>
    <row r="9228">
      <c r="A9228" t="str">
        <f>IFERROR(__xludf.DUMMYFUNCTION("""COMPUTED_VALUE"""),"2016-06-08-D20-SO-11")</f>
        <v>2016-06-08-D20-SO-11</v>
      </c>
    </row>
    <row r="9229">
      <c r="A9229" t="str">
        <f>IFERROR(__xludf.DUMMYFUNCTION("""COMPUTED_VALUE"""),"2016-06-08-D20-SO-12")</f>
        <v>2016-06-08-D20-SO-12</v>
      </c>
    </row>
    <row r="9230">
      <c r="A9230" t="str">
        <f>IFERROR(__xludf.DUMMYFUNCTION("""COMPUTED_VALUE"""),"2016-06-08-D20-SO-13")</f>
        <v>2016-06-08-D20-SO-13</v>
      </c>
    </row>
    <row r="9231">
      <c r="A9231" t="str">
        <f>IFERROR(__xludf.DUMMYFUNCTION("""COMPUTED_VALUE"""),"2016-06-08-D20-SO-14")</f>
        <v>2016-06-08-D20-SO-14</v>
      </c>
    </row>
    <row r="9232">
      <c r="A9232" t="str">
        <f>IFERROR(__xludf.DUMMYFUNCTION("""COMPUTED_VALUE"""),"2016-06-08-D20-SO-15")</f>
        <v>2016-06-08-D20-SO-15</v>
      </c>
    </row>
    <row r="9233">
      <c r="A9233" t="str">
        <f>IFERROR(__xludf.DUMMYFUNCTION("""COMPUTED_VALUE"""),"2016-06-08-D20-SO-16")</f>
        <v>2016-06-08-D20-SO-16</v>
      </c>
    </row>
    <row r="9234">
      <c r="A9234" t="str">
        <f>IFERROR(__xludf.DUMMYFUNCTION("""COMPUTED_VALUE"""),"2016-06-08-D20-SO-17")</f>
        <v>2016-06-08-D20-SO-17</v>
      </c>
    </row>
    <row r="9235">
      <c r="A9235" t="str">
        <f>IFERROR(__xludf.DUMMYFUNCTION("""COMPUTED_VALUE"""),"2016-06-08-D20-SO-18")</f>
        <v>2016-06-08-D20-SO-18</v>
      </c>
    </row>
    <row r="9236">
      <c r="A9236" t="str">
        <f>IFERROR(__xludf.DUMMYFUNCTION("""COMPUTED_VALUE"""),"2016-06-08-D20-SO-19")</f>
        <v>2016-06-08-D20-SO-19</v>
      </c>
    </row>
    <row r="9237">
      <c r="A9237" t="str">
        <f>IFERROR(__xludf.DUMMYFUNCTION("""COMPUTED_VALUE"""),"2016-06-08-D20-SO-20")</f>
        <v>2016-06-08-D20-SO-20</v>
      </c>
    </row>
    <row r="9238">
      <c r="A9238" t="str">
        <f>IFERROR(__xludf.DUMMYFUNCTION("""COMPUTED_VALUE"""),"2016-06-08-D20-SO-21")</f>
        <v>2016-06-08-D20-SO-21</v>
      </c>
    </row>
    <row r="9239">
      <c r="A9239" t="str">
        <f>IFERROR(__xludf.DUMMYFUNCTION("""COMPUTED_VALUE"""),"2016-06-08-D20-SO-22")</f>
        <v>2016-06-08-D20-SO-22</v>
      </c>
    </row>
    <row r="9240">
      <c r="A9240" t="str">
        <f>IFERROR(__xludf.DUMMYFUNCTION("""COMPUTED_VALUE"""),"2016-06-08-D20-SO-23")</f>
        <v>2016-06-08-D20-SO-23</v>
      </c>
    </row>
    <row r="9241">
      <c r="A9241" t="str">
        <f>IFERROR(__xludf.DUMMYFUNCTION("""COMPUTED_VALUE"""),"2016-06-08-D20-SO-24")</f>
        <v>2016-06-08-D20-SO-24</v>
      </c>
    </row>
    <row r="9242">
      <c r="A9242" t="str">
        <f>IFERROR(__xludf.DUMMYFUNCTION("""COMPUTED_VALUE"""),"2016-06-08-D20-SO-25")</f>
        <v>2016-06-08-D20-SO-25</v>
      </c>
    </row>
    <row r="9243">
      <c r="A9243" t="str">
        <f>IFERROR(__xludf.DUMMYFUNCTION("""COMPUTED_VALUE"""),"2016-06-08-D20-SO-26")</f>
        <v>2016-06-08-D20-SO-26</v>
      </c>
    </row>
    <row r="9244">
      <c r="A9244" t="str">
        <f>IFERROR(__xludf.DUMMYFUNCTION("""COMPUTED_VALUE"""),"2016-06-08-D20-SO-27")</f>
        <v>2016-06-08-D20-SO-27</v>
      </c>
    </row>
    <row r="9245">
      <c r="A9245" t="str">
        <f>IFERROR(__xludf.DUMMYFUNCTION("""COMPUTED_VALUE"""),"2016-06-08-D20-SO-28")</f>
        <v>2016-06-08-D20-SO-28</v>
      </c>
    </row>
    <row r="9246">
      <c r="A9246" t="str">
        <f>IFERROR(__xludf.DUMMYFUNCTION("""COMPUTED_VALUE"""),"2016-06-08-D20-SO-29")</f>
        <v>2016-06-08-D20-SO-29</v>
      </c>
    </row>
    <row r="9247">
      <c r="A9247" t="str">
        <f>IFERROR(__xludf.DUMMYFUNCTION("""COMPUTED_VALUE"""),"2016-06-08-D20-SO-30")</f>
        <v>2016-06-08-D20-SO-30</v>
      </c>
    </row>
    <row r="9248">
      <c r="A9248" t="str">
        <f>IFERROR(__xludf.DUMMYFUNCTION("""COMPUTED_VALUE"""),"2016-06-08-D11-PI-1")</f>
        <v>2016-06-08-D11-PI-1</v>
      </c>
    </row>
    <row r="9249">
      <c r="A9249" t="str">
        <f>IFERROR(__xludf.DUMMYFUNCTION("""COMPUTED_VALUE"""),"2016-06-08-D11-PI-2")</f>
        <v>2016-06-08-D11-PI-2</v>
      </c>
    </row>
    <row r="9250">
      <c r="A9250" t="str">
        <f>IFERROR(__xludf.DUMMYFUNCTION("""COMPUTED_VALUE"""),"2016-06-08-D11-PI-3")</f>
        <v>2016-06-08-D11-PI-3</v>
      </c>
    </row>
    <row r="9251">
      <c r="A9251" t="str">
        <f>IFERROR(__xludf.DUMMYFUNCTION("""COMPUTED_VALUE"""),"2016-06-08-D11-PI-4")</f>
        <v>2016-06-08-D11-PI-4</v>
      </c>
    </row>
    <row r="9252">
      <c r="A9252" t="str">
        <f>IFERROR(__xludf.DUMMYFUNCTION("""COMPUTED_VALUE"""),"2016-06-08-D11-PI-5")</f>
        <v>2016-06-08-D11-PI-5</v>
      </c>
    </row>
    <row r="9253">
      <c r="A9253" t="str">
        <f>IFERROR(__xludf.DUMMYFUNCTION("""COMPUTED_VALUE"""),"2016-06-08-D11-PI-6")</f>
        <v>2016-06-08-D11-PI-6</v>
      </c>
    </row>
    <row r="9254">
      <c r="A9254" t="str">
        <f>IFERROR(__xludf.DUMMYFUNCTION("""COMPUTED_VALUE"""),"2016-06-08-D11-PI-7")</f>
        <v>2016-06-08-D11-PI-7</v>
      </c>
    </row>
    <row r="9255">
      <c r="A9255" t="str">
        <f>IFERROR(__xludf.DUMMYFUNCTION("""COMPUTED_VALUE"""),"2016-06-08-D11-PI-8")</f>
        <v>2016-06-08-D11-PI-8</v>
      </c>
    </row>
    <row r="9256">
      <c r="A9256" t="str">
        <f>IFERROR(__xludf.DUMMYFUNCTION("""COMPUTED_VALUE"""),"2016-06-08-D11-PI-9")</f>
        <v>2016-06-08-D11-PI-9</v>
      </c>
    </row>
    <row r="9257">
      <c r="A9257" t="str">
        <f>IFERROR(__xludf.DUMMYFUNCTION("""COMPUTED_VALUE"""),"2016-06-08-D11-PI-10")</f>
        <v>2016-06-08-D11-PI-10</v>
      </c>
    </row>
    <row r="9258">
      <c r="A9258" t="str">
        <f>IFERROR(__xludf.DUMMYFUNCTION("""COMPUTED_VALUE"""),"2016-06-08-D20-PI-1")</f>
        <v>2016-06-08-D20-PI-1</v>
      </c>
    </row>
    <row r="9259">
      <c r="A9259" t="str">
        <f>IFERROR(__xludf.DUMMYFUNCTION("""COMPUTED_VALUE"""),"2016-06-08-D20-PI-2")</f>
        <v>2016-06-08-D20-PI-2</v>
      </c>
    </row>
    <row r="9260">
      <c r="A9260" t="str">
        <f>IFERROR(__xludf.DUMMYFUNCTION("""COMPUTED_VALUE"""),"2016-06-08-D20-PI-3")</f>
        <v>2016-06-08-D20-PI-3</v>
      </c>
    </row>
    <row r="9261">
      <c r="A9261" t="str">
        <f>IFERROR(__xludf.DUMMYFUNCTION("""COMPUTED_VALUE"""),"2016-06-08-D20-PI-4")</f>
        <v>2016-06-08-D20-PI-4</v>
      </c>
    </row>
    <row r="9262">
      <c r="A9262" t="str">
        <f>IFERROR(__xludf.DUMMYFUNCTION("""COMPUTED_VALUE"""),"2016-06-08-D20-PI-5")</f>
        <v>2016-06-08-D20-PI-5</v>
      </c>
    </row>
    <row r="9263">
      <c r="A9263" t="str">
        <f>IFERROR(__xludf.DUMMYFUNCTION("""COMPUTED_VALUE"""),"2016-06-08-D20-PI-6")</f>
        <v>2016-06-08-D20-PI-6</v>
      </c>
    </row>
    <row r="9264">
      <c r="A9264" t="str">
        <f>IFERROR(__xludf.DUMMYFUNCTION("""COMPUTED_VALUE"""),"2016-06-08-D20-PI-7")</f>
        <v>2016-06-08-D20-PI-7</v>
      </c>
    </row>
    <row r="9265">
      <c r="A9265" t="str">
        <f>IFERROR(__xludf.DUMMYFUNCTION("""COMPUTED_VALUE"""),"2016-06-08-D20-PI-8")</f>
        <v>2016-06-08-D20-PI-8</v>
      </c>
    </row>
    <row r="9266">
      <c r="A9266" t="str">
        <f>IFERROR(__xludf.DUMMYFUNCTION("""COMPUTED_VALUE"""),"2016-06-08-D20-PI-9")</f>
        <v>2016-06-08-D20-PI-9</v>
      </c>
    </row>
    <row r="9267">
      <c r="A9267" t="str">
        <f>IFERROR(__xludf.DUMMYFUNCTION("""COMPUTED_VALUE"""),"2016-06-08-D20-PI-10")</f>
        <v>2016-06-08-D20-PI-10</v>
      </c>
    </row>
    <row r="9268">
      <c r="A9268" t="str">
        <f>IFERROR(__xludf.DUMMYFUNCTION("""COMPUTED_VALUE"""),"2016-06-08-D11-CU-1")</f>
        <v>2016-06-08-D11-CU-1</v>
      </c>
    </row>
    <row r="9269">
      <c r="A9269" t="str">
        <f>IFERROR(__xludf.DUMMYFUNCTION("""COMPUTED_VALUE"""),"2016-06-08-D11-CU-2")</f>
        <v>2016-06-08-D11-CU-2</v>
      </c>
    </row>
    <row r="9270">
      <c r="A9270" t="str">
        <f>IFERROR(__xludf.DUMMYFUNCTION("""COMPUTED_VALUE"""),"2016-06-08-D11-CU-3")</f>
        <v>2016-06-08-D11-CU-3</v>
      </c>
    </row>
    <row r="9271">
      <c r="A9271" t="str">
        <f>IFERROR(__xludf.DUMMYFUNCTION("""COMPUTED_VALUE"""),"2016-06-08-D11-CU-4")</f>
        <v>2016-06-08-D11-CU-4</v>
      </c>
    </row>
    <row r="9272">
      <c r="A9272" t="str">
        <f>IFERROR(__xludf.DUMMYFUNCTION("""COMPUTED_VALUE"""),"2016-06-08-D11-CU-5")</f>
        <v>2016-06-08-D11-CU-5</v>
      </c>
    </row>
    <row r="9273">
      <c r="A9273" t="str">
        <f>IFERROR(__xludf.DUMMYFUNCTION("""COMPUTED_VALUE"""),"2016-06-08-D11-CU-6")</f>
        <v>2016-06-08-D11-CU-6</v>
      </c>
    </row>
    <row r="9274">
      <c r="A9274" t="str">
        <f>IFERROR(__xludf.DUMMYFUNCTION("""COMPUTED_VALUE"""),"2016-06-08-D11-CU-7")</f>
        <v>2016-06-08-D11-CU-7</v>
      </c>
    </row>
    <row r="9275">
      <c r="A9275" t="str">
        <f>IFERROR(__xludf.DUMMYFUNCTION("""COMPUTED_VALUE"""),"2016-06-08-D11-CU-8")</f>
        <v>2016-06-08-D11-CU-8</v>
      </c>
    </row>
    <row r="9276">
      <c r="A9276" t="str">
        <f>IFERROR(__xludf.DUMMYFUNCTION("""COMPUTED_VALUE"""),"2016-06-08-D11-CU-9")</f>
        <v>2016-06-08-D11-CU-9</v>
      </c>
    </row>
    <row r="9277">
      <c r="A9277" t="str">
        <f>IFERROR(__xludf.DUMMYFUNCTION("""COMPUTED_VALUE"""),"2016-06-08-D11-CU-10")</f>
        <v>2016-06-08-D11-CU-10</v>
      </c>
    </row>
    <row r="9278">
      <c r="A9278" t="str">
        <f>IFERROR(__xludf.DUMMYFUNCTION("""COMPUTED_VALUE"""),"2016-06-08-D20-CU-1")</f>
        <v>2016-06-08-D20-CU-1</v>
      </c>
    </row>
    <row r="9279">
      <c r="A9279" t="str">
        <f>IFERROR(__xludf.DUMMYFUNCTION("""COMPUTED_VALUE"""),"2016-06-08-D20-CU-2")</f>
        <v>2016-06-08-D20-CU-2</v>
      </c>
    </row>
    <row r="9280">
      <c r="A9280" t="str">
        <f>IFERROR(__xludf.DUMMYFUNCTION("""COMPUTED_VALUE"""),"2016-06-08-D20-CU-3")</f>
        <v>2016-06-08-D20-CU-3</v>
      </c>
    </row>
    <row r="9281">
      <c r="A9281" t="str">
        <f>IFERROR(__xludf.DUMMYFUNCTION("""COMPUTED_VALUE"""),"2016-06-08-D20-CU-4")</f>
        <v>2016-06-08-D20-CU-4</v>
      </c>
    </row>
    <row r="9282">
      <c r="A9282" t="str">
        <f>IFERROR(__xludf.DUMMYFUNCTION("""COMPUTED_VALUE"""),"2016-06-08-D20-CU-5")</f>
        <v>2016-06-08-D20-CU-5</v>
      </c>
    </row>
    <row r="9283">
      <c r="A9283" t="str">
        <f>IFERROR(__xludf.DUMMYFUNCTION("""COMPUTED_VALUE"""),"2016-06-08-D20-CU-6")</f>
        <v>2016-06-08-D20-CU-6</v>
      </c>
    </row>
    <row r="9284">
      <c r="A9284" t="str">
        <f>IFERROR(__xludf.DUMMYFUNCTION("""COMPUTED_VALUE"""),"2016-06-08-D20-CU-7")</f>
        <v>2016-06-08-D20-CU-7</v>
      </c>
    </row>
    <row r="9285">
      <c r="A9285" t="str">
        <f>IFERROR(__xludf.DUMMYFUNCTION("""COMPUTED_VALUE"""),"2016-06-08-D20-CU-8")</f>
        <v>2016-06-08-D20-CU-8</v>
      </c>
    </row>
    <row r="9286">
      <c r="A9286" t="str">
        <f>IFERROR(__xludf.DUMMYFUNCTION("""COMPUTED_VALUE"""),"2016-06-08-D20-CU-9")</f>
        <v>2016-06-08-D20-CU-9</v>
      </c>
    </row>
    <row r="9287">
      <c r="A9287" t="str">
        <f>IFERROR(__xludf.DUMMYFUNCTION("""COMPUTED_VALUE"""),"2016-06-08-D20-CU-10")</f>
        <v>2016-06-08-D20-CU-10</v>
      </c>
    </row>
    <row r="9288">
      <c r="A9288" t="str">
        <f>IFERROR(__xludf.DUMMYFUNCTION("""COMPUTED_VALUE"""),"2016-06-08-D20-CO-1")</f>
        <v>2016-06-08-D20-CO-1</v>
      </c>
    </row>
    <row r="9289">
      <c r="A9289" t="str">
        <f>IFERROR(__xludf.DUMMYFUNCTION("""COMPUTED_VALUE"""),"2016-06-09-D07-SO-1")</f>
        <v>2016-06-09-D07-SO-1</v>
      </c>
    </row>
    <row r="9290">
      <c r="A9290" t="str">
        <f>IFERROR(__xludf.DUMMYFUNCTION("""COMPUTED_VALUE"""),"2016-06-09-D07-SO-2")</f>
        <v>2016-06-09-D07-SO-2</v>
      </c>
    </row>
    <row r="9291">
      <c r="A9291" t="str">
        <f>IFERROR(__xludf.DUMMYFUNCTION("""COMPUTED_VALUE"""),"2016-06-09-D07-SO-3")</f>
        <v>2016-06-09-D07-SO-3</v>
      </c>
    </row>
    <row r="9292">
      <c r="A9292" t="str">
        <f>IFERROR(__xludf.DUMMYFUNCTION("""COMPUTED_VALUE"""),"2016-06-09-D07-SO-4")</f>
        <v>2016-06-09-D07-SO-4</v>
      </c>
    </row>
    <row r="9293">
      <c r="A9293" t="str">
        <f>IFERROR(__xludf.DUMMYFUNCTION("""COMPUTED_VALUE"""),"2016-06-09-D07-SO-5")</f>
        <v>2016-06-09-D07-SO-5</v>
      </c>
    </row>
    <row r="9294">
      <c r="A9294" t="str">
        <f>IFERROR(__xludf.DUMMYFUNCTION("""COMPUTED_VALUE"""),"2016-06-09-D07-SO-6")</f>
        <v>2016-06-09-D07-SO-6</v>
      </c>
    </row>
    <row r="9295">
      <c r="A9295" t="str">
        <f>IFERROR(__xludf.DUMMYFUNCTION("""COMPUTED_VALUE"""),"2016-06-09-D07-SO-7")</f>
        <v>2016-06-09-D07-SO-7</v>
      </c>
    </row>
    <row r="9296">
      <c r="A9296" t="str">
        <f>IFERROR(__xludf.DUMMYFUNCTION("""COMPUTED_VALUE"""),"2016-06-09-D07-SO-8")</f>
        <v>2016-06-09-D07-SO-8</v>
      </c>
    </row>
    <row r="9297">
      <c r="A9297" t="str">
        <f>IFERROR(__xludf.DUMMYFUNCTION("""COMPUTED_VALUE"""),"2016-06-09-D07-SO-9")</f>
        <v>2016-06-09-D07-SO-9</v>
      </c>
    </row>
    <row r="9298">
      <c r="A9298" t="str">
        <f>IFERROR(__xludf.DUMMYFUNCTION("""COMPUTED_VALUE"""),"2016-06-09-D07-SO-10")</f>
        <v>2016-06-09-D07-SO-10</v>
      </c>
    </row>
    <row r="9299">
      <c r="A9299" t="str">
        <f>IFERROR(__xludf.DUMMYFUNCTION("""COMPUTED_VALUE"""),"2016-06-09-D07-SO-11")</f>
        <v>2016-06-09-D07-SO-11</v>
      </c>
    </row>
    <row r="9300">
      <c r="A9300" t="str">
        <f>IFERROR(__xludf.DUMMYFUNCTION("""COMPUTED_VALUE"""),"2016-06-09-D07-SO-12")</f>
        <v>2016-06-09-D07-SO-12</v>
      </c>
    </row>
    <row r="9301">
      <c r="A9301" t="str">
        <f>IFERROR(__xludf.DUMMYFUNCTION("""COMPUTED_VALUE"""),"2016-06-09-D07-SO-13")</f>
        <v>2016-06-09-D07-SO-13</v>
      </c>
    </row>
    <row r="9302">
      <c r="A9302" t="str">
        <f>IFERROR(__xludf.DUMMYFUNCTION("""COMPUTED_VALUE"""),"2016-06-09-D07-SO-14")</f>
        <v>2016-06-09-D07-SO-14</v>
      </c>
    </row>
    <row r="9303">
      <c r="A9303" t="str">
        <f>IFERROR(__xludf.DUMMYFUNCTION("""COMPUTED_VALUE"""),"2016-06-09-D07-SO-15")</f>
        <v>2016-06-09-D07-SO-15</v>
      </c>
    </row>
    <row r="9304">
      <c r="A9304" t="str">
        <f>IFERROR(__xludf.DUMMYFUNCTION("""COMPUTED_VALUE"""),"2016-06-09-D07-SO-16")</f>
        <v>2016-06-09-D07-SO-16</v>
      </c>
    </row>
    <row r="9305">
      <c r="A9305" t="str">
        <f>IFERROR(__xludf.DUMMYFUNCTION("""COMPUTED_VALUE"""),"2016-06-09-D07-SO-17")</f>
        <v>2016-06-09-D07-SO-17</v>
      </c>
    </row>
    <row r="9306">
      <c r="A9306" t="str">
        <f>IFERROR(__xludf.DUMMYFUNCTION("""COMPUTED_VALUE"""),"2016-06-09-D07-SO-18")</f>
        <v>2016-06-09-D07-SO-18</v>
      </c>
    </row>
    <row r="9307">
      <c r="A9307" t="str">
        <f>IFERROR(__xludf.DUMMYFUNCTION("""COMPUTED_VALUE"""),"2016-06-09-D07-SO-19")</f>
        <v>2016-06-09-D07-SO-19</v>
      </c>
    </row>
    <row r="9308">
      <c r="A9308" t="str">
        <f>IFERROR(__xludf.DUMMYFUNCTION("""COMPUTED_VALUE"""),"2016-06-09-D07-SO-20")</f>
        <v>2016-06-09-D07-SO-20</v>
      </c>
    </row>
    <row r="9309">
      <c r="A9309" t="str">
        <f>IFERROR(__xludf.DUMMYFUNCTION("""COMPUTED_VALUE"""),"2016-06-09-D07-SO-21")</f>
        <v>2016-06-09-D07-SO-21</v>
      </c>
    </row>
    <row r="9310">
      <c r="A9310" t="str">
        <f>IFERROR(__xludf.DUMMYFUNCTION("""COMPUTED_VALUE"""),"2016-06-09-D07-SO-22")</f>
        <v>2016-06-09-D07-SO-22</v>
      </c>
    </row>
    <row r="9311">
      <c r="A9311" t="str">
        <f>IFERROR(__xludf.DUMMYFUNCTION("""COMPUTED_VALUE"""),"2016-06-09-D07-SO-23")</f>
        <v>2016-06-09-D07-SO-23</v>
      </c>
    </row>
    <row r="9312">
      <c r="A9312" t="str">
        <f>IFERROR(__xludf.DUMMYFUNCTION("""COMPUTED_VALUE"""),"2016-06-09-D07-SO-24")</f>
        <v>2016-06-09-D07-SO-24</v>
      </c>
    </row>
    <row r="9313">
      <c r="A9313" t="str">
        <f>IFERROR(__xludf.DUMMYFUNCTION("""COMPUTED_VALUE"""),"2016-06-09-D07-SO-25")</f>
        <v>2016-06-09-D07-SO-25</v>
      </c>
    </row>
    <row r="9314">
      <c r="A9314" t="str">
        <f>IFERROR(__xludf.DUMMYFUNCTION("""COMPUTED_VALUE"""),"2016-06-09-D07-SO-26")</f>
        <v>2016-06-09-D07-SO-26</v>
      </c>
    </row>
    <row r="9315">
      <c r="A9315" t="str">
        <f>IFERROR(__xludf.DUMMYFUNCTION("""COMPUTED_VALUE"""),"2016-06-09-D07-SO-27")</f>
        <v>2016-06-09-D07-SO-27</v>
      </c>
    </row>
    <row r="9316">
      <c r="A9316" t="str">
        <f>IFERROR(__xludf.DUMMYFUNCTION("""COMPUTED_VALUE"""),"2016-06-09-D07-SO-28")</f>
        <v>2016-06-09-D07-SO-28</v>
      </c>
    </row>
    <row r="9317">
      <c r="A9317" t="str">
        <f>IFERROR(__xludf.DUMMYFUNCTION("""COMPUTED_VALUE"""),"2016-06-09-D07-SO-29")</f>
        <v>2016-06-09-D07-SO-29</v>
      </c>
    </row>
    <row r="9318">
      <c r="A9318" t="str">
        <f>IFERROR(__xludf.DUMMYFUNCTION("""COMPUTED_VALUE"""),"2016-06-09-D07-SO-30")</f>
        <v>2016-06-09-D07-SO-30</v>
      </c>
    </row>
    <row r="9319">
      <c r="A9319" t="str">
        <f>IFERROR(__xludf.DUMMYFUNCTION("""COMPUTED_VALUE"""),"2016-06-09-J09-SO-1")</f>
        <v>2016-06-09-J09-SO-1</v>
      </c>
    </row>
    <row r="9320">
      <c r="A9320" t="str">
        <f>IFERROR(__xludf.DUMMYFUNCTION("""COMPUTED_VALUE"""),"2016-06-09-J09-SO-2")</f>
        <v>2016-06-09-J09-SO-2</v>
      </c>
    </row>
    <row r="9321">
      <c r="A9321" t="str">
        <f>IFERROR(__xludf.DUMMYFUNCTION("""COMPUTED_VALUE"""),"2016-06-09-J09-SO-3")</f>
        <v>2016-06-09-J09-SO-3</v>
      </c>
    </row>
    <row r="9322">
      <c r="A9322" t="str">
        <f>IFERROR(__xludf.DUMMYFUNCTION("""COMPUTED_VALUE"""),"2016-06-09-J09-SO-4")</f>
        <v>2016-06-09-J09-SO-4</v>
      </c>
    </row>
    <row r="9323">
      <c r="A9323" t="str">
        <f>IFERROR(__xludf.DUMMYFUNCTION("""COMPUTED_VALUE"""),"2016-06-09-J09-SO-5")</f>
        <v>2016-06-09-J09-SO-5</v>
      </c>
    </row>
    <row r="9324">
      <c r="A9324" t="str">
        <f>IFERROR(__xludf.DUMMYFUNCTION("""COMPUTED_VALUE"""),"2016-06-09-J09-SO-6")</f>
        <v>2016-06-09-J09-SO-6</v>
      </c>
    </row>
    <row r="9325">
      <c r="A9325" t="str">
        <f>IFERROR(__xludf.DUMMYFUNCTION("""COMPUTED_VALUE"""),"2016-06-09-J09-SO-7")</f>
        <v>2016-06-09-J09-SO-7</v>
      </c>
    </row>
    <row r="9326">
      <c r="A9326" t="str">
        <f>IFERROR(__xludf.DUMMYFUNCTION("""COMPUTED_VALUE"""),"2016-06-09-J09-SO-8")</f>
        <v>2016-06-09-J09-SO-8</v>
      </c>
    </row>
    <row r="9327">
      <c r="A9327" t="str">
        <f>IFERROR(__xludf.DUMMYFUNCTION("""COMPUTED_VALUE"""),"2016-06-09-J09-SO-9")</f>
        <v>2016-06-09-J09-SO-9</v>
      </c>
    </row>
    <row r="9328">
      <c r="A9328" t="str">
        <f>IFERROR(__xludf.DUMMYFUNCTION("""COMPUTED_VALUE"""),"2016-06-09-J09-SO-10")</f>
        <v>2016-06-09-J09-SO-10</v>
      </c>
    </row>
    <row r="9329">
      <c r="A9329" t="str">
        <f>IFERROR(__xludf.DUMMYFUNCTION("""COMPUTED_VALUE"""),"2016-06-09-J09-SO-11")</f>
        <v>2016-06-09-J09-SO-11</v>
      </c>
    </row>
    <row r="9330">
      <c r="A9330" t="str">
        <f>IFERROR(__xludf.DUMMYFUNCTION("""COMPUTED_VALUE"""),"2016-06-09-J09-SO-12")</f>
        <v>2016-06-09-J09-SO-12</v>
      </c>
    </row>
    <row r="9331">
      <c r="A9331" t="str">
        <f>IFERROR(__xludf.DUMMYFUNCTION("""COMPUTED_VALUE"""),"2016-06-09-J09-SO-13")</f>
        <v>2016-06-09-J09-SO-13</v>
      </c>
    </row>
    <row r="9332">
      <c r="A9332" t="str">
        <f>IFERROR(__xludf.DUMMYFUNCTION("""COMPUTED_VALUE"""),"2016-06-09-J09-SO-14")</f>
        <v>2016-06-09-J09-SO-14</v>
      </c>
    </row>
    <row r="9333">
      <c r="A9333" t="str">
        <f>IFERROR(__xludf.DUMMYFUNCTION("""COMPUTED_VALUE"""),"2016-06-09-J09-SO-15")</f>
        <v>2016-06-09-J09-SO-15</v>
      </c>
    </row>
    <row r="9334">
      <c r="A9334" t="str">
        <f>IFERROR(__xludf.DUMMYFUNCTION("""COMPUTED_VALUE"""),"2016-06-09-J09-SO-16")</f>
        <v>2016-06-09-J09-SO-16</v>
      </c>
    </row>
    <row r="9335">
      <c r="A9335" t="str">
        <f>IFERROR(__xludf.DUMMYFUNCTION("""COMPUTED_VALUE"""),"2016-06-09-J09-SO-17")</f>
        <v>2016-06-09-J09-SO-17</v>
      </c>
    </row>
    <row r="9336">
      <c r="A9336" t="str">
        <f>IFERROR(__xludf.DUMMYFUNCTION("""COMPUTED_VALUE"""),"2016-06-09-J09-SO-18")</f>
        <v>2016-06-09-J09-SO-18</v>
      </c>
    </row>
    <row r="9337">
      <c r="A9337" t="str">
        <f>IFERROR(__xludf.DUMMYFUNCTION("""COMPUTED_VALUE"""),"2016-06-09-J09-SO-19")</f>
        <v>2016-06-09-J09-SO-19</v>
      </c>
    </row>
    <row r="9338">
      <c r="A9338" t="str">
        <f>IFERROR(__xludf.DUMMYFUNCTION("""COMPUTED_VALUE"""),"2016-06-09-J09-SO-20")</f>
        <v>2016-06-09-J09-SO-20</v>
      </c>
    </row>
    <row r="9339">
      <c r="A9339" t="str">
        <f>IFERROR(__xludf.DUMMYFUNCTION("""COMPUTED_VALUE"""),"2016-06-09-J09-SO-21")</f>
        <v>2016-06-09-J09-SO-21</v>
      </c>
    </row>
    <row r="9340">
      <c r="A9340" t="str">
        <f>IFERROR(__xludf.DUMMYFUNCTION("""COMPUTED_VALUE"""),"2016-06-09-J09-SO-22")</f>
        <v>2016-06-09-J09-SO-22</v>
      </c>
    </row>
    <row r="9341">
      <c r="A9341" t="str">
        <f>IFERROR(__xludf.DUMMYFUNCTION("""COMPUTED_VALUE"""),"2016-06-09-J09-SO-23")</f>
        <v>2016-06-09-J09-SO-23</v>
      </c>
    </row>
    <row r="9342">
      <c r="A9342" t="str">
        <f>IFERROR(__xludf.DUMMYFUNCTION("""COMPUTED_VALUE"""),"2016-06-09-J09-SO-24")</f>
        <v>2016-06-09-J09-SO-24</v>
      </c>
    </row>
    <row r="9343">
      <c r="A9343" t="str">
        <f>IFERROR(__xludf.DUMMYFUNCTION("""COMPUTED_VALUE"""),"2016-06-09-J09-SO-25")</f>
        <v>2016-06-09-J09-SO-25</v>
      </c>
    </row>
    <row r="9344">
      <c r="A9344" t="str">
        <f>IFERROR(__xludf.DUMMYFUNCTION("""COMPUTED_VALUE"""),"2016-06-09-J09-SO-26")</f>
        <v>2016-06-09-J09-SO-26</v>
      </c>
    </row>
    <row r="9345">
      <c r="A9345" t="str">
        <f>IFERROR(__xludf.DUMMYFUNCTION("""COMPUTED_VALUE"""),"2016-06-09-J09-SO-27")</f>
        <v>2016-06-09-J09-SO-27</v>
      </c>
    </row>
    <row r="9346">
      <c r="A9346" t="str">
        <f>IFERROR(__xludf.DUMMYFUNCTION("""COMPUTED_VALUE"""),"2016-06-09-J09-SO-28")</f>
        <v>2016-06-09-J09-SO-28</v>
      </c>
    </row>
    <row r="9347">
      <c r="A9347" t="str">
        <f>IFERROR(__xludf.DUMMYFUNCTION("""COMPUTED_VALUE"""),"2016-06-09-J09-SO-29")</f>
        <v>2016-06-09-J09-SO-29</v>
      </c>
    </row>
    <row r="9348">
      <c r="A9348" t="str">
        <f>IFERROR(__xludf.DUMMYFUNCTION("""COMPUTED_VALUE"""),"2016-06-09-J10-SO-1")</f>
        <v>2016-06-09-J10-SO-1</v>
      </c>
    </row>
    <row r="9349">
      <c r="A9349" t="str">
        <f>IFERROR(__xludf.DUMMYFUNCTION("""COMPUTED_VALUE"""),"2016-06-09-J10-SO-2")</f>
        <v>2016-06-09-J10-SO-2</v>
      </c>
    </row>
    <row r="9350">
      <c r="A9350" t="str">
        <f>IFERROR(__xludf.DUMMYFUNCTION("""COMPUTED_VALUE"""),"2016-06-09-J10-SO-3")</f>
        <v>2016-06-09-J10-SO-3</v>
      </c>
    </row>
    <row r="9351">
      <c r="A9351" t="str">
        <f>IFERROR(__xludf.DUMMYFUNCTION("""COMPUTED_VALUE"""),"2016-06-09-J10-SO-4")</f>
        <v>2016-06-09-J10-SO-4</v>
      </c>
    </row>
    <row r="9352">
      <c r="A9352" t="str">
        <f>IFERROR(__xludf.DUMMYFUNCTION("""COMPUTED_VALUE"""),"2016-06-09-J10-SO-5")</f>
        <v>2016-06-09-J10-SO-5</v>
      </c>
    </row>
    <row r="9353">
      <c r="A9353" t="str">
        <f>IFERROR(__xludf.DUMMYFUNCTION("""COMPUTED_VALUE"""),"2016-06-09-J10-SO-6")</f>
        <v>2016-06-09-J10-SO-6</v>
      </c>
    </row>
    <row r="9354">
      <c r="A9354" t="str">
        <f>IFERROR(__xludf.DUMMYFUNCTION("""COMPUTED_VALUE"""),"2016-06-09-J10-SO-7")</f>
        <v>2016-06-09-J10-SO-7</v>
      </c>
    </row>
    <row r="9355">
      <c r="A9355" t="str">
        <f>IFERROR(__xludf.DUMMYFUNCTION("""COMPUTED_VALUE"""),"2016-06-09-J10-SO-8")</f>
        <v>2016-06-09-J10-SO-8</v>
      </c>
    </row>
    <row r="9356">
      <c r="A9356" t="str">
        <f>IFERROR(__xludf.DUMMYFUNCTION("""COMPUTED_VALUE"""),"2016-06-09-J10-SO-9")</f>
        <v>2016-06-09-J10-SO-9</v>
      </c>
    </row>
    <row r="9357">
      <c r="A9357" t="str">
        <f>IFERROR(__xludf.DUMMYFUNCTION("""COMPUTED_VALUE"""),"2016-06-09-J10-SO-10")</f>
        <v>2016-06-09-J10-SO-10</v>
      </c>
    </row>
    <row r="9358">
      <c r="A9358" t="str">
        <f>IFERROR(__xludf.DUMMYFUNCTION("""COMPUTED_VALUE"""),"2016-06-09-J10-SO-11")</f>
        <v>2016-06-09-J10-SO-11</v>
      </c>
    </row>
    <row r="9359">
      <c r="A9359" t="str">
        <f>IFERROR(__xludf.DUMMYFUNCTION("""COMPUTED_VALUE"""),"2016-06-09-J10-SO-12")</f>
        <v>2016-06-09-J10-SO-12</v>
      </c>
    </row>
    <row r="9360">
      <c r="A9360" t="str">
        <f>IFERROR(__xludf.DUMMYFUNCTION("""COMPUTED_VALUE"""),"2016-06-09-J10-SO-13")</f>
        <v>2016-06-09-J10-SO-13</v>
      </c>
    </row>
    <row r="9361">
      <c r="A9361" t="str">
        <f>IFERROR(__xludf.DUMMYFUNCTION("""COMPUTED_VALUE"""),"2016-06-09-J10-SO-14")</f>
        <v>2016-06-09-J10-SO-14</v>
      </c>
    </row>
    <row r="9362">
      <c r="A9362" t="str">
        <f>IFERROR(__xludf.DUMMYFUNCTION("""COMPUTED_VALUE"""),"2016-06-09-J10-SO-15")</f>
        <v>2016-06-09-J10-SO-15</v>
      </c>
    </row>
    <row r="9363">
      <c r="A9363" t="str">
        <f>IFERROR(__xludf.DUMMYFUNCTION("""COMPUTED_VALUE"""),"2016-06-09-J10-SO-16")</f>
        <v>2016-06-09-J10-SO-16</v>
      </c>
    </row>
    <row r="9364">
      <c r="A9364" t="str">
        <f>IFERROR(__xludf.DUMMYFUNCTION("""COMPUTED_VALUE"""),"2016-06-09-J10-SO-17")</f>
        <v>2016-06-09-J10-SO-17</v>
      </c>
    </row>
    <row r="9365">
      <c r="A9365" t="str">
        <f>IFERROR(__xludf.DUMMYFUNCTION("""COMPUTED_VALUE"""),"2016-06-09-J10-SO-18")</f>
        <v>2016-06-09-J10-SO-18</v>
      </c>
    </row>
    <row r="9366">
      <c r="A9366" t="str">
        <f>IFERROR(__xludf.DUMMYFUNCTION("""COMPUTED_VALUE"""),"2016-06-09-J10-SO-19")</f>
        <v>2016-06-09-J10-SO-19</v>
      </c>
    </row>
    <row r="9367">
      <c r="A9367" t="str">
        <f>IFERROR(__xludf.DUMMYFUNCTION("""COMPUTED_VALUE"""),"2016-06-09-J10-SO-20")</f>
        <v>2016-06-09-J10-SO-20</v>
      </c>
    </row>
    <row r="9368">
      <c r="A9368" t="str">
        <f>IFERROR(__xludf.DUMMYFUNCTION("""COMPUTED_VALUE"""),"2016-06-09-J10-SO-21")</f>
        <v>2016-06-09-J10-SO-21</v>
      </c>
    </row>
    <row r="9369">
      <c r="A9369" t="str">
        <f>IFERROR(__xludf.DUMMYFUNCTION("""COMPUTED_VALUE"""),"2016-06-09-J10-SO-22")</f>
        <v>2016-06-09-J10-SO-22</v>
      </c>
    </row>
    <row r="9370">
      <c r="A9370" t="str">
        <f>IFERROR(__xludf.DUMMYFUNCTION("""COMPUTED_VALUE"""),"2016-06-09-J10-SO-23")</f>
        <v>2016-06-09-J10-SO-23</v>
      </c>
    </row>
    <row r="9371">
      <c r="A9371" t="str">
        <f>IFERROR(__xludf.DUMMYFUNCTION("""COMPUTED_VALUE"""),"2016-06-09-J10-SO-24")</f>
        <v>2016-06-09-J10-SO-24</v>
      </c>
    </row>
    <row r="9372">
      <c r="A9372" t="str">
        <f>IFERROR(__xludf.DUMMYFUNCTION("""COMPUTED_VALUE"""),"2016-06-09-J10-SO-25")</f>
        <v>2016-06-09-J10-SO-25</v>
      </c>
    </row>
    <row r="9373">
      <c r="A9373" t="str">
        <f>IFERROR(__xludf.DUMMYFUNCTION("""COMPUTED_VALUE"""),"2016-06-09-J10-SO-26")</f>
        <v>2016-06-09-J10-SO-26</v>
      </c>
    </row>
    <row r="9374">
      <c r="A9374" t="str">
        <f>IFERROR(__xludf.DUMMYFUNCTION("""COMPUTED_VALUE"""),"2016-06-09-J10-SO-27")</f>
        <v>2016-06-09-J10-SO-27</v>
      </c>
    </row>
    <row r="9375">
      <c r="A9375" t="str">
        <f>IFERROR(__xludf.DUMMYFUNCTION("""COMPUTED_VALUE"""),"2016-06-09-J10-SO-28")</f>
        <v>2016-06-09-J10-SO-28</v>
      </c>
    </row>
    <row r="9376">
      <c r="A9376" t="str">
        <f>IFERROR(__xludf.DUMMYFUNCTION("""COMPUTED_VALUE"""),"2016-06-09-J10-SO-29")</f>
        <v>2016-06-09-J10-SO-29</v>
      </c>
    </row>
    <row r="9377">
      <c r="A9377" t="str">
        <f>IFERROR(__xludf.DUMMYFUNCTION("""COMPUTED_VALUE"""),"2016-06-09-J10-SO-30")</f>
        <v>2016-06-09-J10-SO-30</v>
      </c>
    </row>
    <row r="9378">
      <c r="A9378" t="str">
        <f>IFERROR(__xludf.DUMMYFUNCTION("""COMPUTED_VALUE"""),"2016-06-09-J02-SO-1")</f>
        <v>2016-06-09-J02-SO-1</v>
      </c>
    </row>
    <row r="9379">
      <c r="A9379" t="str">
        <f>IFERROR(__xludf.DUMMYFUNCTION("""COMPUTED_VALUE"""),"2016-06-09-J02-SO-2")</f>
        <v>2016-06-09-J02-SO-2</v>
      </c>
    </row>
    <row r="9380">
      <c r="A9380" t="str">
        <f>IFERROR(__xludf.DUMMYFUNCTION("""COMPUTED_VALUE"""),"2016-06-09-J02-SO-3")</f>
        <v>2016-06-09-J02-SO-3</v>
      </c>
    </row>
    <row r="9381">
      <c r="A9381" t="str">
        <f>IFERROR(__xludf.DUMMYFUNCTION("""COMPUTED_VALUE"""),"2016-06-09-J02-SO-4")</f>
        <v>2016-06-09-J02-SO-4</v>
      </c>
    </row>
    <row r="9382">
      <c r="A9382" t="str">
        <f>IFERROR(__xludf.DUMMYFUNCTION("""COMPUTED_VALUE"""),"2016-06-09-J02-SO-5")</f>
        <v>2016-06-09-J02-SO-5</v>
      </c>
    </row>
    <row r="9383">
      <c r="A9383" t="str">
        <f>IFERROR(__xludf.DUMMYFUNCTION("""COMPUTED_VALUE"""),"2016-06-09-J02-SO-6")</f>
        <v>2016-06-09-J02-SO-6</v>
      </c>
    </row>
    <row r="9384">
      <c r="A9384" t="str">
        <f>IFERROR(__xludf.DUMMYFUNCTION("""COMPUTED_VALUE"""),"2016-06-09-J02-SO-7")</f>
        <v>2016-06-09-J02-SO-7</v>
      </c>
    </row>
    <row r="9385">
      <c r="A9385" t="str">
        <f>IFERROR(__xludf.DUMMYFUNCTION("""COMPUTED_VALUE"""),"2016-06-09-J02-SO-8")</f>
        <v>2016-06-09-J02-SO-8</v>
      </c>
    </row>
    <row r="9386">
      <c r="A9386" t="str">
        <f>IFERROR(__xludf.DUMMYFUNCTION("""COMPUTED_VALUE"""),"2016-06-09-J02-SO-9")</f>
        <v>2016-06-09-J02-SO-9</v>
      </c>
    </row>
    <row r="9387">
      <c r="A9387" t="str">
        <f>IFERROR(__xludf.DUMMYFUNCTION("""COMPUTED_VALUE"""),"2016-06-09-J02-SO-10")</f>
        <v>2016-06-09-J02-SO-10</v>
      </c>
    </row>
    <row r="9388">
      <c r="A9388" t="str">
        <f>IFERROR(__xludf.DUMMYFUNCTION("""COMPUTED_VALUE"""),"2016-06-09-J02-SO-11")</f>
        <v>2016-06-09-J02-SO-11</v>
      </c>
    </row>
    <row r="9389">
      <c r="A9389" t="str">
        <f>IFERROR(__xludf.DUMMYFUNCTION("""COMPUTED_VALUE"""),"2016-06-09-J02-SO-12")</f>
        <v>2016-06-09-J02-SO-12</v>
      </c>
    </row>
    <row r="9390">
      <c r="A9390" t="str">
        <f>IFERROR(__xludf.DUMMYFUNCTION("""COMPUTED_VALUE"""),"2016-06-09-J02-SO-13")</f>
        <v>2016-06-09-J02-SO-13</v>
      </c>
    </row>
    <row r="9391">
      <c r="A9391" t="str">
        <f>IFERROR(__xludf.DUMMYFUNCTION("""COMPUTED_VALUE"""),"2016-06-09-J02-SO-14")</f>
        <v>2016-06-09-J02-SO-14</v>
      </c>
    </row>
    <row r="9392">
      <c r="A9392" t="str">
        <f>IFERROR(__xludf.DUMMYFUNCTION("""COMPUTED_VALUE"""),"2016-06-09-J02-SO-15")</f>
        <v>2016-06-09-J02-SO-15</v>
      </c>
    </row>
    <row r="9393">
      <c r="A9393" t="str">
        <f>IFERROR(__xludf.DUMMYFUNCTION("""COMPUTED_VALUE"""),"2016-06-09-J02-SO-16")</f>
        <v>2016-06-09-J02-SO-16</v>
      </c>
    </row>
    <row r="9394">
      <c r="A9394" t="str">
        <f>IFERROR(__xludf.DUMMYFUNCTION("""COMPUTED_VALUE"""),"2016-06-09-J02-SO-17")</f>
        <v>2016-06-09-J02-SO-17</v>
      </c>
    </row>
    <row r="9395">
      <c r="A9395" t="str">
        <f>IFERROR(__xludf.DUMMYFUNCTION("""COMPUTED_VALUE"""),"2016-06-09-J02-SO-18")</f>
        <v>2016-06-09-J02-SO-18</v>
      </c>
    </row>
    <row r="9396">
      <c r="A9396" t="str">
        <f>IFERROR(__xludf.DUMMYFUNCTION("""COMPUTED_VALUE"""),"2016-06-09-J02-SO-19")</f>
        <v>2016-06-09-J02-SO-19</v>
      </c>
    </row>
    <row r="9397">
      <c r="A9397" t="str">
        <f>IFERROR(__xludf.DUMMYFUNCTION("""COMPUTED_VALUE"""),"2016-06-09-J02-SO-20")</f>
        <v>2016-06-09-J02-SO-20</v>
      </c>
    </row>
    <row r="9398">
      <c r="A9398" t="str">
        <f>IFERROR(__xludf.DUMMYFUNCTION("""COMPUTED_VALUE"""),"2016-06-09-J02-SO-21")</f>
        <v>2016-06-09-J02-SO-21</v>
      </c>
    </row>
    <row r="9399">
      <c r="A9399" t="str">
        <f>IFERROR(__xludf.DUMMYFUNCTION("""COMPUTED_VALUE"""),"2016-06-09-J02-SO-22")</f>
        <v>2016-06-09-J02-SO-22</v>
      </c>
    </row>
    <row r="9400">
      <c r="A9400" t="str">
        <f>IFERROR(__xludf.DUMMYFUNCTION("""COMPUTED_VALUE"""),"2016-06-09-J02-SO-23")</f>
        <v>2016-06-09-J02-SO-23</v>
      </c>
    </row>
    <row r="9401">
      <c r="A9401" t="str">
        <f>IFERROR(__xludf.DUMMYFUNCTION("""COMPUTED_VALUE"""),"2016-06-09-J02-SO-24")</f>
        <v>2016-06-09-J02-SO-24</v>
      </c>
    </row>
    <row r="9402">
      <c r="A9402" t="str">
        <f>IFERROR(__xludf.DUMMYFUNCTION("""COMPUTED_VALUE"""),"2016-06-09-J02-SO-25")</f>
        <v>2016-06-09-J02-SO-25</v>
      </c>
    </row>
    <row r="9403">
      <c r="A9403" t="str">
        <f>IFERROR(__xludf.DUMMYFUNCTION("""COMPUTED_VALUE"""),"2016-06-09-J02-SO-26")</f>
        <v>2016-06-09-J02-SO-26</v>
      </c>
    </row>
    <row r="9404">
      <c r="A9404" t="str">
        <f>IFERROR(__xludf.DUMMYFUNCTION("""COMPUTED_VALUE"""),"2016-06-09-J02-SO-27")</f>
        <v>2016-06-09-J02-SO-27</v>
      </c>
    </row>
    <row r="9405">
      <c r="A9405" t="str">
        <f>IFERROR(__xludf.DUMMYFUNCTION("""COMPUTED_VALUE"""),"2016-06-09-J02-SO-28")</f>
        <v>2016-06-09-J02-SO-28</v>
      </c>
    </row>
    <row r="9406">
      <c r="A9406" t="str">
        <f>IFERROR(__xludf.DUMMYFUNCTION("""COMPUTED_VALUE"""),"2016-06-09-J02-SO-29")</f>
        <v>2016-06-09-J02-SO-29</v>
      </c>
    </row>
    <row r="9407">
      <c r="A9407" t="str">
        <f>IFERROR(__xludf.DUMMYFUNCTION("""COMPUTED_VALUE"""),"2016-06-09-J02-SO-30")</f>
        <v>2016-06-09-J02-SO-30</v>
      </c>
    </row>
    <row r="9408">
      <c r="A9408" t="str">
        <f>IFERROR(__xludf.DUMMYFUNCTION("""COMPUTED_VALUE"""),"2016-06-09-D08-PI-1")</f>
        <v>2016-06-09-D08-PI-1</v>
      </c>
    </row>
    <row r="9409">
      <c r="A9409" t="str">
        <f>IFERROR(__xludf.DUMMYFUNCTION("""COMPUTED_VALUE"""),"2016-06-09-D08-PI-2")</f>
        <v>2016-06-09-D08-PI-2</v>
      </c>
    </row>
    <row r="9410">
      <c r="A9410" t="str">
        <f>IFERROR(__xludf.DUMMYFUNCTION("""COMPUTED_VALUE"""),"2016-06-09-D08-PI-3")</f>
        <v>2016-06-09-D08-PI-3</v>
      </c>
    </row>
    <row r="9411">
      <c r="A9411" t="str">
        <f>IFERROR(__xludf.DUMMYFUNCTION("""COMPUTED_VALUE"""),"2016-06-09-D08-PI-4")</f>
        <v>2016-06-09-D08-PI-4</v>
      </c>
    </row>
    <row r="9412">
      <c r="A9412" t="str">
        <f>IFERROR(__xludf.DUMMYFUNCTION("""COMPUTED_VALUE"""),"2016-06-09-D08-PI-5")</f>
        <v>2016-06-09-D08-PI-5</v>
      </c>
    </row>
    <row r="9413">
      <c r="A9413" t="str">
        <f>IFERROR(__xludf.DUMMYFUNCTION("""COMPUTED_VALUE"""),"2016-06-09-D08-PI-6")</f>
        <v>2016-06-09-D08-PI-6</v>
      </c>
    </row>
    <row r="9414">
      <c r="A9414" t="str">
        <f>IFERROR(__xludf.DUMMYFUNCTION("""COMPUTED_VALUE"""),"2016-06-09-D08-PI-7")</f>
        <v>2016-06-09-D08-PI-7</v>
      </c>
    </row>
    <row r="9415">
      <c r="A9415" t="str">
        <f>IFERROR(__xludf.DUMMYFUNCTION("""COMPUTED_VALUE"""),"2016-06-09-D08-PI-8")</f>
        <v>2016-06-09-D08-PI-8</v>
      </c>
    </row>
    <row r="9416">
      <c r="A9416" t="str">
        <f>IFERROR(__xludf.DUMMYFUNCTION("""COMPUTED_VALUE"""),"2016-06-09-D08-PI-9")</f>
        <v>2016-06-09-D08-PI-9</v>
      </c>
    </row>
    <row r="9417">
      <c r="A9417" t="str">
        <f>IFERROR(__xludf.DUMMYFUNCTION("""COMPUTED_VALUE"""),"2016-06-09-D08-PI-10")</f>
        <v>2016-06-09-D08-PI-10</v>
      </c>
    </row>
    <row r="9418">
      <c r="A9418" t="str">
        <f>IFERROR(__xludf.DUMMYFUNCTION("""COMPUTED_VALUE"""),"2016-06-09-D07-PI-1")</f>
        <v>2016-06-09-D07-PI-1</v>
      </c>
    </row>
    <row r="9419">
      <c r="A9419" t="str">
        <f>IFERROR(__xludf.DUMMYFUNCTION("""COMPUTED_VALUE"""),"2016-06-09-D07-PI-2")</f>
        <v>2016-06-09-D07-PI-2</v>
      </c>
    </row>
    <row r="9420">
      <c r="A9420" t="str">
        <f>IFERROR(__xludf.DUMMYFUNCTION("""COMPUTED_VALUE"""),"2016-06-09-D07-PI-3")</f>
        <v>2016-06-09-D07-PI-3</v>
      </c>
    </row>
    <row r="9421">
      <c r="A9421" t="str">
        <f>IFERROR(__xludf.DUMMYFUNCTION("""COMPUTED_VALUE"""),"2016-06-09-D07-PI-4")</f>
        <v>2016-06-09-D07-PI-4</v>
      </c>
    </row>
    <row r="9422">
      <c r="A9422" t="str">
        <f>IFERROR(__xludf.DUMMYFUNCTION("""COMPUTED_VALUE"""),"2016-06-09-D07-PI-5")</f>
        <v>2016-06-09-D07-PI-5</v>
      </c>
    </row>
    <row r="9423">
      <c r="A9423" t="str">
        <f>IFERROR(__xludf.DUMMYFUNCTION("""COMPUTED_VALUE"""),"2016-06-09-D07-PI-6")</f>
        <v>2016-06-09-D07-PI-6</v>
      </c>
    </row>
    <row r="9424">
      <c r="A9424" t="str">
        <f>IFERROR(__xludf.DUMMYFUNCTION("""COMPUTED_VALUE"""),"2016-06-09-D07-PI-7")</f>
        <v>2016-06-09-D07-PI-7</v>
      </c>
    </row>
    <row r="9425">
      <c r="A9425" t="str">
        <f>IFERROR(__xludf.DUMMYFUNCTION("""COMPUTED_VALUE"""),"2016-06-09-D07-PI-8")</f>
        <v>2016-06-09-D07-PI-8</v>
      </c>
    </row>
    <row r="9426">
      <c r="A9426" t="str">
        <f>IFERROR(__xludf.DUMMYFUNCTION("""COMPUTED_VALUE"""),"2016-06-09-D07-PI-9")</f>
        <v>2016-06-09-D07-PI-9</v>
      </c>
    </row>
    <row r="9427">
      <c r="A9427" t="str">
        <f>IFERROR(__xludf.DUMMYFUNCTION("""COMPUTED_VALUE"""),"2016-06-09-D07-PI-10")</f>
        <v>2016-06-09-D07-PI-10</v>
      </c>
    </row>
    <row r="9428">
      <c r="A9428" t="str">
        <f>IFERROR(__xludf.DUMMYFUNCTION("""COMPUTED_VALUE"""),"2016-06-09-J09-PI-1")</f>
        <v>2016-06-09-J09-PI-1</v>
      </c>
    </row>
    <row r="9429">
      <c r="A9429" t="str">
        <f>IFERROR(__xludf.DUMMYFUNCTION("""COMPUTED_VALUE"""),"2016-06-09-J09-PI-2")</f>
        <v>2016-06-09-J09-PI-2</v>
      </c>
    </row>
    <row r="9430">
      <c r="A9430" t="str">
        <f>IFERROR(__xludf.DUMMYFUNCTION("""COMPUTED_VALUE"""),"2016-06-09-J09-PI-3")</f>
        <v>2016-06-09-J09-PI-3</v>
      </c>
    </row>
    <row r="9431">
      <c r="A9431" t="str">
        <f>IFERROR(__xludf.DUMMYFUNCTION("""COMPUTED_VALUE"""),"2016-06-09-J09-PI-4")</f>
        <v>2016-06-09-J09-PI-4</v>
      </c>
    </row>
    <row r="9432">
      <c r="A9432" t="str">
        <f>IFERROR(__xludf.DUMMYFUNCTION("""COMPUTED_VALUE"""),"2016-06-09-J09-PI-5")</f>
        <v>2016-06-09-J09-PI-5</v>
      </c>
    </row>
    <row r="9433">
      <c r="A9433" t="str">
        <f>IFERROR(__xludf.DUMMYFUNCTION("""COMPUTED_VALUE"""),"2016-06-09-J09-PI-6")</f>
        <v>2016-06-09-J09-PI-6</v>
      </c>
    </row>
    <row r="9434">
      <c r="A9434" t="str">
        <f>IFERROR(__xludf.DUMMYFUNCTION("""COMPUTED_VALUE"""),"2016-06-09-J09-PI-7")</f>
        <v>2016-06-09-J09-PI-7</v>
      </c>
    </row>
    <row r="9435">
      <c r="A9435" t="str">
        <f>IFERROR(__xludf.DUMMYFUNCTION("""COMPUTED_VALUE"""),"2016-06-09-J09-PI-8")</f>
        <v>2016-06-09-J09-PI-8</v>
      </c>
    </row>
    <row r="9436">
      <c r="A9436" t="str">
        <f>IFERROR(__xludf.DUMMYFUNCTION("""COMPUTED_VALUE"""),"2016-06-09-J09-PI-9")</f>
        <v>2016-06-09-J09-PI-9</v>
      </c>
    </row>
    <row r="9437">
      <c r="A9437" t="str">
        <f>IFERROR(__xludf.DUMMYFUNCTION("""COMPUTED_VALUE"""),"2016-06-09-J09-PI-10")</f>
        <v>2016-06-09-J09-PI-10</v>
      </c>
    </row>
    <row r="9438">
      <c r="A9438" t="str">
        <f>IFERROR(__xludf.DUMMYFUNCTION("""COMPUTED_VALUE"""),"2016-06-09-J10-PI-1")</f>
        <v>2016-06-09-J10-PI-1</v>
      </c>
    </row>
    <row r="9439">
      <c r="A9439" t="str">
        <f>IFERROR(__xludf.DUMMYFUNCTION("""COMPUTED_VALUE"""),"2016-06-09-J10-PI-2")</f>
        <v>2016-06-09-J10-PI-2</v>
      </c>
    </row>
    <row r="9440">
      <c r="A9440" t="str">
        <f>IFERROR(__xludf.DUMMYFUNCTION("""COMPUTED_VALUE"""),"2016-06-09-J10-PI-3")</f>
        <v>2016-06-09-J10-PI-3</v>
      </c>
    </row>
    <row r="9441">
      <c r="A9441" t="str">
        <f>IFERROR(__xludf.DUMMYFUNCTION("""COMPUTED_VALUE"""),"2016-06-09-J10-PI-4")</f>
        <v>2016-06-09-J10-PI-4</v>
      </c>
    </row>
    <row r="9442">
      <c r="A9442" t="str">
        <f>IFERROR(__xludf.DUMMYFUNCTION("""COMPUTED_VALUE"""),"2016-06-09-J10-PI-5")</f>
        <v>2016-06-09-J10-PI-5</v>
      </c>
    </row>
    <row r="9443">
      <c r="A9443" t="str">
        <f>IFERROR(__xludf.DUMMYFUNCTION("""COMPUTED_VALUE"""),"2016-06-09-J10-PI-6")</f>
        <v>2016-06-09-J10-PI-6</v>
      </c>
    </row>
    <row r="9444">
      <c r="A9444" t="str">
        <f>IFERROR(__xludf.DUMMYFUNCTION("""COMPUTED_VALUE"""),"2016-06-09-J10-PI-7")</f>
        <v>2016-06-09-J10-PI-7</v>
      </c>
    </row>
    <row r="9445">
      <c r="A9445" t="str">
        <f>IFERROR(__xludf.DUMMYFUNCTION("""COMPUTED_VALUE"""),"2016-06-09-J10-PI-8")</f>
        <v>2016-06-09-J10-PI-8</v>
      </c>
    </row>
    <row r="9446">
      <c r="A9446" t="str">
        <f>IFERROR(__xludf.DUMMYFUNCTION("""COMPUTED_VALUE"""),"2016-06-09-J10-PI-9")</f>
        <v>2016-06-09-J10-PI-9</v>
      </c>
    </row>
    <row r="9447">
      <c r="A9447" t="str">
        <f>IFERROR(__xludf.DUMMYFUNCTION("""COMPUTED_VALUE"""),"2016-06-09-J10-PI-10")</f>
        <v>2016-06-09-J10-PI-10</v>
      </c>
    </row>
    <row r="9448">
      <c r="A9448" t="str">
        <f>IFERROR(__xludf.DUMMYFUNCTION("""COMPUTED_VALUE"""),"2016-06-09-J02-PI-1")</f>
        <v>2016-06-09-J02-PI-1</v>
      </c>
    </row>
    <row r="9449">
      <c r="A9449" t="str">
        <f>IFERROR(__xludf.DUMMYFUNCTION("""COMPUTED_VALUE"""),"2016-06-09-J02-PI-2")</f>
        <v>2016-06-09-J02-PI-2</v>
      </c>
    </row>
    <row r="9450">
      <c r="A9450" t="str">
        <f>IFERROR(__xludf.DUMMYFUNCTION("""COMPUTED_VALUE"""),"2016-06-09-J02-PI-3")</f>
        <v>2016-06-09-J02-PI-3</v>
      </c>
    </row>
    <row r="9451">
      <c r="A9451" t="str">
        <f>IFERROR(__xludf.DUMMYFUNCTION("""COMPUTED_VALUE"""),"2016-06-09-J02-PI-4")</f>
        <v>2016-06-09-J02-PI-4</v>
      </c>
    </row>
    <row r="9452">
      <c r="A9452" t="str">
        <f>IFERROR(__xludf.DUMMYFUNCTION("""COMPUTED_VALUE"""),"2016-06-09-J02-PI-5")</f>
        <v>2016-06-09-J02-PI-5</v>
      </c>
    </row>
    <row r="9453">
      <c r="A9453" t="str">
        <f>IFERROR(__xludf.DUMMYFUNCTION("""COMPUTED_VALUE"""),"2016-06-09-J02-PI-6")</f>
        <v>2016-06-09-J02-PI-6</v>
      </c>
    </row>
    <row r="9454">
      <c r="A9454" t="str">
        <f>IFERROR(__xludf.DUMMYFUNCTION("""COMPUTED_VALUE"""),"2016-06-09-J02-PI-7")</f>
        <v>2016-06-09-J02-PI-7</v>
      </c>
    </row>
    <row r="9455">
      <c r="A9455" t="str">
        <f>IFERROR(__xludf.DUMMYFUNCTION("""COMPUTED_VALUE"""),"2016-06-09-J02-PI-8")</f>
        <v>2016-06-09-J02-PI-8</v>
      </c>
    </row>
    <row r="9456">
      <c r="A9456" t="str">
        <f>IFERROR(__xludf.DUMMYFUNCTION("""COMPUTED_VALUE"""),"2016-06-09-J02-PI-9")</f>
        <v>2016-06-09-J02-PI-9</v>
      </c>
    </row>
    <row r="9457">
      <c r="A9457" t="str">
        <f>IFERROR(__xludf.DUMMYFUNCTION("""COMPUTED_VALUE"""),"2016-06-09-J02-PI-10")</f>
        <v>2016-06-09-J02-PI-10</v>
      </c>
    </row>
    <row r="9458">
      <c r="A9458" t="str">
        <f>IFERROR(__xludf.DUMMYFUNCTION("""COMPUTED_VALUE"""),"2016-06-09-D08-CU-1")</f>
        <v>2016-06-09-D08-CU-1</v>
      </c>
    </row>
    <row r="9459">
      <c r="A9459" t="str">
        <f>IFERROR(__xludf.DUMMYFUNCTION("""COMPUTED_VALUE"""),"2016-06-09-D08-CU-2")</f>
        <v>2016-06-09-D08-CU-2</v>
      </c>
    </row>
    <row r="9460">
      <c r="A9460" t="str">
        <f>IFERROR(__xludf.DUMMYFUNCTION("""COMPUTED_VALUE"""),"2016-06-09-D08-CU-3")</f>
        <v>2016-06-09-D08-CU-3</v>
      </c>
    </row>
    <row r="9461">
      <c r="A9461" t="str">
        <f>IFERROR(__xludf.DUMMYFUNCTION("""COMPUTED_VALUE"""),"2016-06-09-D08-CU-4")</f>
        <v>2016-06-09-D08-CU-4</v>
      </c>
    </row>
    <row r="9462">
      <c r="A9462" t="str">
        <f>IFERROR(__xludf.DUMMYFUNCTION("""COMPUTED_VALUE"""),"2016-06-09-D08-CU-5")</f>
        <v>2016-06-09-D08-CU-5</v>
      </c>
    </row>
    <row r="9463">
      <c r="A9463" t="str">
        <f>IFERROR(__xludf.DUMMYFUNCTION("""COMPUTED_VALUE"""),"2016-06-09-D08-CU-6")</f>
        <v>2016-06-09-D08-CU-6</v>
      </c>
    </row>
    <row r="9464">
      <c r="A9464" t="str">
        <f>IFERROR(__xludf.DUMMYFUNCTION("""COMPUTED_VALUE"""),"2016-06-09-D08-CU-7")</f>
        <v>2016-06-09-D08-CU-7</v>
      </c>
    </row>
    <row r="9465">
      <c r="A9465" t="str">
        <f>IFERROR(__xludf.DUMMYFUNCTION("""COMPUTED_VALUE"""),"2016-06-09-D08-CU-8")</f>
        <v>2016-06-09-D08-CU-8</v>
      </c>
    </row>
    <row r="9466">
      <c r="A9466" t="str">
        <f>IFERROR(__xludf.DUMMYFUNCTION("""COMPUTED_VALUE"""),"2016-06-09-D08-CU-9")</f>
        <v>2016-06-09-D08-CU-9</v>
      </c>
    </row>
    <row r="9467">
      <c r="A9467" t="str">
        <f>IFERROR(__xludf.DUMMYFUNCTION("""COMPUTED_VALUE"""),"2016-06-09-D08-CU-10")</f>
        <v>2016-06-09-D08-CU-10</v>
      </c>
    </row>
    <row r="9468">
      <c r="A9468" t="str">
        <f>IFERROR(__xludf.DUMMYFUNCTION("""COMPUTED_VALUE"""),"2016-06-09-D07-CU-1")</f>
        <v>2016-06-09-D07-CU-1</v>
      </c>
    </row>
    <row r="9469">
      <c r="A9469" t="str">
        <f>IFERROR(__xludf.DUMMYFUNCTION("""COMPUTED_VALUE"""),"2016-06-09-D07-CU-2")</f>
        <v>2016-06-09-D07-CU-2</v>
      </c>
    </row>
    <row r="9470">
      <c r="A9470" t="str">
        <f>IFERROR(__xludf.DUMMYFUNCTION("""COMPUTED_VALUE"""),"2016-06-09-D07-CU-3")</f>
        <v>2016-06-09-D07-CU-3</v>
      </c>
    </row>
    <row r="9471">
      <c r="A9471" t="str">
        <f>IFERROR(__xludf.DUMMYFUNCTION("""COMPUTED_VALUE"""),"2016-06-09-D07-CU-4")</f>
        <v>2016-06-09-D07-CU-4</v>
      </c>
    </row>
    <row r="9472">
      <c r="A9472" t="str">
        <f>IFERROR(__xludf.DUMMYFUNCTION("""COMPUTED_VALUE"""),"2016-06-09-J09-CU-1")</f>
        <v>2016-06-09-J09-CU-1</v>
      </c>
    </row>
    <row r="9473">
      <c r="A9473" t="str">
        <f>IFERROR(__xludf.DUMMYFUNCTION("""COMPUTED_VALUE"""),"2016-06-09-J09-CU-2")</f>
        <v>2016-06-09-J09-CU-2</v>
      </c>
    </row>
    <row r="9474">
      <c r="A9474" t="str">
        <f>IFERROR(__xludf.DUMMYFUNCTION("""COMPUTED_VALUE"""),"2016-06-09-J09-CU-3")</f>
        <v>2016-06-09-J09-CU-3</v>
      </c>
    </row>
    <row r="9475">
      <c r="A9475" t="str">
        <f>IFERROR(__xludf.DUMMYFUNCTION("""COMPUTED_VALUE"""),"2016-06-09-J09-CU-4")</f>
        <v>2016-06-09-J09-CU-4</v>
      </c>
    </row>
    <row r="9476">
      <c r="A9476" t="str">
        <f>IFERROR(__xludf.DUMMYFUNCTION("""COMPUTED_VALUE"""),"2016-06-09-J09-CU-5")</f>
        <v>2016-06-09-J09-CU-5</v>
      </c>
    </row>
    <row r="9477">
      <c r="A9477" t="str">
        <f>IFERROR(__xludf.DUMMYFUNCTION("""COMPUTED_VALUE"""),"2016-06-09-J09-CU-6")</f>
        <v>2016-06-09-J09-CU-6</v>
      </c>
    </row>
    <row r="9478">
      <c r="A9478" t="str">
        <f>IFERROR(__xludf.DUMMYFUNCTION("""COMPUTED_VALUE"""),"2016-06-09-J09-CU-7")</f>
        <v>2016-06-09-J09-CU-7</v>
      </c>
    </row>
    <row r="9479">
      <c r="A9479" t="str">
        <f>IFERROR(__xludf.DUMMYFUNCTION("""COMPUTED_VALUE"""),"2016-06-09-J09-CU-8")</f>
        <v>2016-06-09-J09-CU-8</v>
      </c>
    </row>
    <row r="9480">
      <c r="A9480" t="str">
        <f>IFERROR(__xludf.DUMMYFUNCTION("""COMPUTED_VALUE"""),"2016-06-09-J09-CU-9")</f>
        <v>2016-06-09-J09-CU-9</v>
      </c>
    </row>
    <row r="9481">
      <c r="A9481" t="str">
        <f>IFERROR(__xludf.DUMMYFUNCTION("""COMPUTED_VALUE"""),"2016-06-09-J09-CU-10")</f>
        <v>2016-06-09-J09-CU-10</v>
      </c>
    </row>
    <row r="9482">
      <c r="A9482" t="str">
        <f>IFERROR(__xludf.DUMMYFUNCTION("""COMPUTED_VALUE"""),"2016-06-09-J10-CU-1")</f>
        <v>2016-06-09-J10-CU-1</v>
      </c>
    </row>
    <row r="9483">
      <c r="A9483" t="str">
        <f>IFERROR(__xludf.DUMMYFUNCTION("""COMPUTED_VALUE"""),"2016-06-09-J10-CU-2")</f>
        <v>2016-06-09-J10-CU-2</v>
      </c>
    </row>
    <row r="9484">
      <c r="A9484" t="str">
        <f>IFERROR(__xludf.DUMMYFUNCTION("""COMPUTED_VALUE"""),"2016-06-09-J10-CU-3")</f>
        <v>2016-06-09-J10-CU-3</v>
      </c>
    </row>
    <row r="9485">
      <c r="A9485" t="str">
        <f>IFERROR(__xludf.DUMMYFUNCTION("""COMPUTED_VALUE"""),"2016-06-09-J10-CU-4")</f>
        <v>2016-06-09-J10-CU-4</v>
      </c>
    </row>
    <row r="9486">
      <c r="A9486" t="str">
        <f>IFERROR(__xludf.DUMMYFUNCTION("""COMPUTED_VALUE"""),"2016-06-09-J10-CU-5")</f>
        <v>2016-06-09-J10-CU-5</v>
      </c>
    </row>
    <row r="9487">
      <c r="A9487" t="str">
        <f>IFERROR(__xludf.DUMMYFUNCTION("""COMPUTED_VALUE"""),"2016-06-09-J10-CU-6")</f>
        <v>2016-06-09-J10-CU-6</v>
      </c>
    </row>
    <row r="9488">
      <c r="A9488" t="str">
        <f>IFERROR(__xludf.DUMMYFUNCTION("""COMPUTED_VALUE"""),"2016-06-09-J10-CU-7")</f>
        <v>2016-06-09-J10-CU-7</v>
      </c>
    </row>
    <row r="9489">
      <c r="A9489" t="str">
        <f>IFERROR(__xludf.DUMMYFUNCTION("""COMPUTED_VALUE"""),"2016-06-09-J10-CU-8")</f>
        <v>2016-06-09-J10-CU-8</v>
      </c>
    </row>
    <row r="9490">
      <c r="A9490" t="str">
        <f>IFERROR(__xludf.DUMMYFUNCTION("""COMPUTED_VALUE"""),"2016-06-09-J10-CU-9")</f>
        <v>2016-06-09-J10-CU-9</v>
      </c>
    </row>
    <row r="9491">
      <c r="A9491" t="str">
        <f>IFERROR(__xludf.DUMMYFUNCTION("""COMPUTED_VALUE"""),"2016-06-09-J10-CU-10")</f>
        <v>2016-06-09-J10-CU-10</v>
      </c>
    </row>
    <row r="9492">
      <c r="A9492" t="str">
        <f>IFERROR(__xludf.DUMMYFUNCTION("""COMPUTED_VALUE"""),"2016-06-09-J02-CU-1")</f>
        <v>2016-06-09-J02-CU-1</v>
      </c>
    </row>
    <row r="9493">
      <c r="A9493" t="str">
        <f>IFERROR(__xludf.DUMMYFUNCTION("""COMPUTED_VALUE"""),"2016-06-09-J02-CU-2")</f>
        <v>2016-06-09-J02-CU-2</v>
      </c>
    </row>
    <row r="9494">
      <c r="A9494" t="str">
        <f>IFERROR(__xludf.DUMMYFUNCTION("""COMPUTED_VALUE"""),"2016-06-09-J02-CU-3")</f>
        <v>2016-06-09-J02-CU-3</v>
      </c>
    </row>
    <row r="9495">
      <c r="A9495" t="str">
        <f>IFERROR(__xludf.DUMMYFUNCTION("""COMPUTED_VALUE"""),"2016-06-09-J02-CU-4")</f>
        <v>2016-06-09-J02-CU-4</v>
      </c>
    </row>
    <row r="9496">
      <c r="A9496" t="str">
        <f>IFERROR(__xludf.DUMMYFUNCTION("""COMPUTED_VALUE"""),"2016-06-09-J02-CU-5")</f>
        <v>2016-06-09-J02-CU-5</v>
      </c>
    </row>
    <row r="9497">
      <c r="A9497" t="str">
        <f>IFERROR(__xludf.DUMMYFUNCTION("""COMPUTED_VALUE"""),"2016-06-09-J02-CU-6")</f>
        <v>2016-06-09-J02-CU-6</v>
      </c>
    </row>
    <row r="9498">
      <c r="A9498" t="str">
        <f>IFERROR(__xludf.DUMMYFUNCTION("""COMPUTED_VALUE"""),"2016-06-09-J02-CU-7")</f>
        <v>2016-06-09-J02-CU-7</v>
      </c>
    </row>
    <row r="9499">
      <c r="A9499" t="str">
        <f>IFERROR(__xludf.DUMMYFUNCTION("""COMPUTED_VALUE"""),"2016-06-09-J02-CU-8")</f>
        <v>2016-06-09-J02-CU-8</v>
      </c>
    </row>
    <row r="9500">
      <c r="A9500" t="str">
        <f>IFERROR(__xludf.DUMMYFUNCTION("""COMPUTED_VALUE"""),"2016-06-09-J02-CU-9")</f>
        <v>2016-06-09-J02-CU-9</v>
      </c>
    </row>
    <row r="9501">
      <c r="A9501" t="str">
        <f>IFERROR(__xludf.DUMMYFUNCTION("""COMPUTED_VALUE"""),"2016-06-09-J02-CU-10")</f>
        <v>2016-06-09-J02-CU-10</v>
      </c>
    </row>
    <row r="9502">
      <c r="A9502" t="str">
        <f>IFERROR(__xludf.DUMMYFUNCTION("""COMPUTED_VALUE"""),"2016-06-09-D08-CO-1")</f>
        <v>2016-06-09-D08-CO-1</v>
      </c>
    </row>
    <row r="9503">
      <c r="A9503" t="str">
        <f>IFERROR(__xludf.DUMMYFUNCTION("""COMPUTED_VALUE"""),"2016-06-09-J09-CO-1")</f>
        <v>2016-06-09-J09-CO-1</v>
      </c>
    </row>
    <row r="9504">
      <c r="A9504" t="str">
        <f>IFERROR(__xludf.DUMMYFUNCTION("""COMPUTED_VALUE"""),"2016-06-09-J10-CO-1")</f>
        <v>2016-06-09-J10-CO-1</v>
      </c>
    </row>
    <row r="9505">
      <c r="A9505" t="str">
        <f>IFERROR(__xludf.DUMMYFUNCTION("""COMPUTED_VALUE"""),"2016-06-09-J10-CO-2")</f>
        <v>2016-06-09-J10-CO-2</v>
      </c>
    </row>
    <row r="9506">
      <c r="A9506" t="str">
        <f>IFERROR(__xludf.DUMMYFUNCTION("""COMPUTED_VALUE"""),"2016-06-09-J10-CO-3")</f>
        <v>2016-06-09-J10-CO-3</v>
      </c>
    </row>
    <row r="9507">
      <c r="A9507" t="str">
        <f>IFERROR(__xludf.DUMMYFUNCTION("""COMPUTED_VALUE"""),"2016-06-09-J10-CO-4")</f>
        <v>2016-06-09-J10-CO-4</v>
      </c>
    </row>
    <row r="9508">
      <c r="A9508" t="str">
        <f>IFERROR(__xludf.DUMMYFUNCTION("""COMPUTED_VALUE"""),"2016-06-09-J10-CO-5")</f>
        <v>2016-06-09-J10-CO-5</v>
      </c>
    </row>
    <row r="9509">
      <c r="A9509" t="str">
        <f>IFERROR(__xludf.DUMMYFUNCTION("""COMPUTED_VALUE"""),"2016-06-09-J10-CO-6")</f>
        <v>2016-06-09-J10-CO-6</v>
      </c>
    </row>
    <row r="9510">
      <c r="A9510" t="str">
        <f>IFERROR(__xludf.DUMMYFUNCTION("""COMPUTED_VALUE"""),"2016-06-09-J10-CO-7")</f>
        <v>2016-06-09-J10-CO-7</v>
      </c>
    </row>
    <row r="9511">
      <c r="A9511" t="str">
        <f>IFERROR(__xludf.DUMMYFUNCTION("""COMPUTED_VALUE"""),"2016-06-09-J10-CO-8")</f>
        <v>2016-06-09-J10-CO-8</v>
      </c>
    </row>
    <row r="9512">
      <c r="A9512" t="str">
        <f>IFERROR(__xludf.DUMMYFUNCTION("""COMPUTED_VALUE"""),"2016-06-09-J02-CO-1")</f>
        <v>2016-06-09-J02-CO-1</v>
      </c>
    </row>
    <row r="9513">
      <c r="A9513" t="str">
        <f>IFERROR(__xludf.DUMMYFUNCTION("""COMPUTED_VALUE"""),"2016-06-09-J02-CO-2")</f>
        <v>2016-06-09-J02-CO-2</v>
      </c>
    </row>
    <row r="9514">
      <c r="A9514" t="str">
        <f>IFERROR(__xludf.DUMMYFUNCTION("""COMPUTED_VALUE"""),"2016-06-09-D08-HE-1")</f>
        <v>2016-06-09-D08-HE-1</v>
      </c>
    </row>
    <row r="9515">
      <c r="A9515" t="str">
        <f>IFERROR(__xludf.DUMMYFUNCTION("""COMPUTED_VALUE"""),"2016-06-09-J09-HE-1")</f>
        <v>2016-06-09-J09-HE-1</v>
      </c>
    </row>
    <row r="9516">
      <c r="A9516" t="str">
        <f>IFERROR(__xludf.DUMMYFUNCTION("""COMPUTED_VALUE"""),"2016-06-09-J02-HE-1")</f>
        <v>2016-06-09-J02-HE-1</v>
      </c>
    </row>
    <row r="9517">
      <c r="A9517" t="str">
        <f>IFERROR(__xludf.DUMMYFUNCTION("""COMPUTED_VALUE"""),"2016-06-09-J02-HE-2")</f>
        <v>2016-06-09-J02-HE-2</v>
      </c>
    </row>
    <row r="9518">
      <c r="A9518" t="str">
        <f>IFERROR(__xludf.DUMMYFUNCTION("""COMPUTED_VALUE"""),"2016-06-10-J01-SO-1")</f>
        <v>2016-06-10-J01-SO-1</v>
      </c>
    </row>
    <row r="9519">
      <c r="A9519" t="str">
        <f>IFERROR(__xludf.DUMMYFUNCTION("""COMPUTED_VALUE"""),"2016-06-10-J01-SO-2")</f>
        <v>2016-06-10-J01-SO-2</v>
      </c>
    </row>
    <row r="9520">
      <c r="A9520" t="str">
        <f>IFERROR(__xludf.DUMMYFUNCTION("""COMPUTED_VALUE"""),"2016-06-10-J01-SO-3")</f>
        <v>2016-06-10-J01-SO-3</v>
      </c>
    </row>
    <row r="9521">
      <c r="A9521" t="str">
        <f>IFERROR(__xludf.DUMMYFUNCTION("""COMPUTED_VALUE"""),"2016-06-10-J01-SO-4")</f>
        <v>2016-06-10-J01-SO-4</v>
      </c>
    </row>
    <row r="9522">
      <c r="A9522" t="str">
        <f>IFERROR(__xludf.DUMMYFUNCTION("""COMPUTED_VALUE"""),"2016-06-10-J01-SO-5")</f>
        <v>2016-06-10-J01-SO-5</v>
      </c>
    </row>
    <row r="9523">
      <c r="A9523" t="str">
        <f>IFERROR(__xludf.DUMMYFUNCTION("""COMPUTED_VALUE"""),"2016-06-10-J01-SO-6")</f>
        <v>2016-06-10-J01-SO-6</v>
      </c>
    </row>
    <row r="9524">
      <c r="A9524" t="str">
        <f>IFERROR(__xludf.DUMMYFUNCTION("""COMPUTED_VALUE"""),"2016-06-10-J01-SO-7")</f>
        <v>2016-06-10-J01-SO-7</v>
      </c>
    </row>
    <row r="9525">
      <c r="A9525" t="str">
        <f>IFERROR(__xludf.DUMMYFUNCTION("""COMPUTED_VALUE"""),"2016-06-10-J01-SO-8")</f>
        <v>2016-06-10-J01-SO-8</v>
      </c>
    </row>
    <row r="9526">
      <c r="A9526" t="str">
        <f>IFERROR(__xludf.DUMMYFUNCTION("""COMPUTED_VALUE"""),"2016-06-10-J01-SO-9")</f>
        <v>2016-06-10-J01-SO-9</v>
      </c>
    </row>
    <row r="9527">
      <c r="A9527" t="str">
        <f>IFERROR(__xludf.DUMMYFUNCTION("""COMPUTED_VALUE"""),"2016-06-10-J01-SO-10")</f>
        <v>2016-06-10-J01-SO-10</v>
      </c>
    </row>
    <row r="9528">
      <c r="A9528" t="str">
        <f>IFERROR(__xludf.DUMMYFUNCTION("""COMPUTED_VALUE"""),"2016-06-10-J01-SO-11")</f>
        <v>2016-06-10-J01-SO-11</v>
      </c>
    </row>
    <row r="9529">
      <c r="A9529" t="str">
        <f>IFERROR(__xludf.DUMMYFUNCTION("""COMPUTED_VALUE"""),"2016-06-10-J01-SO-12")</f>
        <v>2016-06-10-J01-SO-12</v>
      </c>
    </row>
    <row r="9530">
      <c r="A9530" t="str">
        <f>IFERROR(__xludf.DUMMYFUNCTION("""COMPUTED_VALUE"""),"2016-06-10-J01-SO-13")</f>
        <v>2016-06-10-J01-SO-13</v>
      </c>
    </row>
    <row r="9531">
      <c r="A9531" t="str">
        <f>IFERROR(__xludf.DUMMYFUNCTION("""COMPUTED_VALUE"""),"2016-06-10-J01-SO-14")</f>
        <v>2016-06-10-J01-SO-14</v>
      </c>
    </row>
    <row r="9532">
      <c r="A9532" t="str">
        <f>IFERROR(__xludf.DUMMYFUNCTION("""COMPUTED_VALUE"""),"2016-06-10-J01-SO-15")</f>
        <v>2016-06-10-J01-SO-15</v>
      </c>
    </row>
    <row r="9533">
      <c r="A9533" t="str">
        <f>IFERROR(__xludf.DUMMYFUNCTION("""COMPUTED_VALUE"""),"2016-06-10-J01-SO-16")</f>
        <v>2016-06-10-J01-SO-16</v>
      </c>
    </row>
    <row r="9534">
      <c r="A9534" t="str">
        <f>IFERROR(__xludf.DUMMYFUNCTION("""COMPUTED_VALUE"""),"2016-06-10-J01-SO-17")</f>
        <v>2016-06-10-J01-SO-17</v>
      </c>
    </row>
    <row r="9535">
      <c r="A9535" t="str">
        <f>IFERROR(__xludf.DUMMYFUNCTION("""COMPUTED_VALUE"""),"2016-06-10-J01-SO-18")</f>
        <v>2016-06-10-J01-SO-18</v>
      </c>
    </row>
    <row r="9536">
      <c r="A9536" t="str">
        <f>IFERROR(__xludf.DUMMYFUNCTION("""COMPUTED_VALUE"""),"2016-06-10-J01-SO-19")</f>
        <v>2016-06-10-J01-SO-19</v>
      </c>
    </row>
    <row r="9537">
      <c r="A9537" t="str">
        <f>IFERROR(__xludf.DUMMYFUNCTION("""COMPUTED_VALUE"""),"2016-06-10-J01-SO-20")</f>
        <v>2016-06-10-J01-SO-20</v>
      </c>
    </row>
    <row r="9538">
      <c r="A9538" t="str">
        <f>IFERROR(__xludf.DUMMYFUNCTION("""COMPUTED_VALUE"""),"2016-06-10-J01-SO-21")</f>
        <v>2016-06-10-J01-SO-21</v>
      </c>
    </row>
    <row r="9539">
      <c r="A9539" t="str">
        <f>IFERROR(__xludf.DUMMYFUNCTION("""COMPUTED_VALUE"""),"2016-06-10-J01-SO-22")</f>
        <v>2016-06-10-J01-SO-22</v>
      </c>
    </row>
    <row r="9540">
      <c r="A9540" t="str">
        <f>IFERROR(__xludf.DUMMYFUNCTION("""COMPUTED_VALUE"""),"2016-06-10-J03-SO-1")</f>
        <v>2016-06-10-J03-SO-1</v>
      </c>
    </row>
    <row r="9541">
      <c r="A9541" t="str">
        <f>IFERROR(__xludf.DUMMYFUNCTION("""COMPUTED_VALUE"""),"2016-06-10-J03-SO-2")</f>
        <v>2016-06-10-J03-SO-2</v>
      </c>
    </row>
    <row r="9542">
      <c r="A9542" t="str">
        <f>IFERROR(__xludf.DUMMYFUNCTION("""COMPUTED_VALUE"""),"2016-06-10-J03-SO-3")</f>
        <v>2016-06-10-J03-SO-3</v>
      </c>
    </row>
    <row r="9543">
      <c r="A9543" t="str">
        <f>IFERROR(__xludf.DUMMYFUNCTION("""COMPUTED_VALUE"""),"2016-06-10-J03-SO-4")</f>
        <v>2016-06-10-J03-SO-4</v>
      </c>
    </row>
    <row r="9544">
      <c r="A9544" t="str">
        <f>IFERROR(__xludf.DUMMYFUNCTION("""COMPUTED_VALUE"""),"2016-06-10-J03-SO-5")</f>
        <v>2016-06-10-J03-SO-5</v>
      </c>
    </row>
    <row r="9545">
      <c r="A9545" t="str">
        <f>IFERROR(__xludf.DUMMYFUNCTION("""COMPUTED_VALUE"""),"2016-06-10-J03-SO-6")</f>
        <v>2016-06-10-J03-SO-6</v>
      </c>
    </row>
    <row r="9546">
      <c r="A9546" t="str">
        <f>IFERROR(__xludf.DUMMYFUNCTION("""COMPUTED_VALUE"""),"2016-06-10-J03-SO-7")</f>
        <v>2016-06-10-J03-SO-7</v>
      </c>
    </row>
    <row r="9547">
      <c r="A9547" t="str">
        <f>IFERROR(__xludf.DUMMYFUNCTION("""COMPUTED_VALUE"""),"2016-06-10-J03-SO-8")</f>
        <v>2016-06-10-J03-SO-8</v>
      </c>
    </row>
    <row r="9548">
      <c r="A9548" t="str">
        <f>IFERROR(__xludf.DUMMYFUNCTION("""COMPUTED_VALUE"""),"2016-06-10-J03-SO-9")</f>
        <v>2016-06-10-J03-SO-9</v>
      </c>
    </row>
    <row r="9549">
      <c r="A9549" t="str">
        <f>IFERROR(__xludf.DUMMYFUNCTION("""COMPUTED_VALUE"""),"2016-06-10-J03-SO-10")</f>
        <v>2016-06-10-J03-SO-10</v>
      </c>
    </row>
    <row r="9550">
      <c r="A9550" t="str">
        <f>IFERROR(__xludf.DUMMYFUNCTION("""COMPUTED_VALUE"""),"2016-06-10-J03-SO-11")</f>
        <v>2016-06-10-J03-SO-11</v>
      </c>
    </row>
    <row r="9551">
      <c r="A9551" t="str">
        <f>IFERROR(__xludf.DUMMYFUNCTION("""COMPUTED_VALUE"""),"2016-06-10-J03-SO-12")</f>
        <v>2016-06-10-J03-SO-12</v>
      </c>
    </row>
    <row r="9552">
      <c r="A9552" t="str">
        <f>IFERROR(__xludf.DUMMYFUNCTION("""COMPUTED_VALUE"""),"2016-06-10-J03-SO-13")</f>
        <v>2016-06-10-J03-SO-13</v>
      </c>
    </row>
    <row r="9553">
      <c r="A9553" t="str">
        <f>IFERROR(__xludf.DUMMYFUNCTION("""COMPUTED_VALUE"""),"2016-06-10-J03-SO-14")</f>
        <v>2016-06-10-J03-SO-14</v>
      </c>
    </row>
    <row r="9554">
      <c r="A9554" t="str">
        <f>IFERROR(__xludf.DUMMYFUNCTION("""COMPUTED_VALUE"""),"2016-06-10-J03-SO-15")</f>
        <v>2016-06-10-J03-SO-15</v>
      </c>
    </row>
    <row r="9555">
      <c r="A9555" t="str">
        <f>IFERROR(__xludf.DUMMYFUNCTION("""COMPUTED_VALUE"""),"2016-06-10-J03-SO-16")</f>
        <v>2016-06-10-J03-SO-16</v>
      </c>
    </row>
    <row r="9556">
      <c r="A9556" t="str">
        <f>IFERROR(__xludf.DUMMYFUNCTION("""COMPUTED_VALUE"""),"2016-06-10-J03-SO-17")</f>
        <v>2016-06-10-J03-SO-17</v>
      </c>
    </row>
    <row r="9557">
      <c r="A9557" t="str">
        <f>IFERROR(__xludf.DUMMYFUNCTION("""COMPUTED_VALUE"""),"2016-06-10-J03-SO-18")</f>
        <v>2016-06-10-J03-SO-18</v>
      </c>
    </row>
    <row r="9558">
      <c r="A9558" t="str">
        <f>IFERROR(__xludf.DUMMYFUNCTION("""COMPUTED_VALUE"""),"2016-06-10-J03-SO-19")</f>
        <v>2016-06-10-J03-SO-19</v>
      </c>
    </row>
    <row r="9559">
      <c r="A9559" t="str">
        <f>IFERROR(__xludf.DUMMYFUNCTION("""COMPUTED_VALUE"""),"2016-06-10-J03-SO-20")</f>
        <v>2016-06-10-J03-SO-20</v>
      </c>
    </row>
    <row r="9560">
      <c r="A9560" t="str">
        <f>IFERROR(__xludf.DUMMYFUNCTION("""COMPUTED_VALUE"""),"2016-06-10-J03-SO-21")</f>
        <v>2016-06-10-J03-SO-21</v>
      </c>
    </row>
    <row r="9561">
      <c r="A9561" t="str">
        <f>IFERROR(__xludf.DUMMYFUNCTION("""COMPUTED_VALUE"""),"2016-06-10-J03-SO-22")</f>
        <v>2016-06-10-J03-SO-22</v>
      </c>
    </row>
    <row r="9562">
      <c r="A9562" t="str">
        <f>IFERROR(__xludf.DUMMYFUNCTION("""COMPUTED_VALUE"""),"2016-06-10-J03-SO-23")</f>
        <v>2016-06-10-J03-SO-23</v>
      </c>
    </row>
    <row r="9563">
      <c r="A9563" t="str">
        <f>IFERROR(__xludf.DUMMYFUNCTION("""COMPUTED_VALUE"""),"2016-06-10-J03-SO-24")</f>
        <v>2016-06-10-J03-SO-24</v>
      </c>
    </row>
    <row r="9564">
      <c r="A9564" t="str">
        <f>IFERROR(__xludf.DUMMYFUNCTION("""COMPUTED_VALUE"""),"2016-06-10-J03-SO-25")</f>
        <v>2016-06-10-J03-SO-25</v>
      </c>
    </row>
    <row r="9565">
      <c r="A9565" t="str">
        <f>IFERROR(__xludf.DUMMYFUNCTION("""COMPUTED_VALUE"""),"2016-06-10-J03-SO-26")</f>
        <v>2016-06-10-J03-SO-26</v>
      </c>
    </row>
    <row r="9566">
      <c r="A9566" t="str">
        <f>IFERROR(__xludf.DUMMYFUNCTION("""COMPUTED_VALUE"""),"2016-06-10-J03-SO-27")</f>
        <v>2016-06-10-J03-SO-27</v>
      </c>
    </row>
    <row r="9567">
      <c r="A9567" t="str">
        <f>IFERROR(__xludf.DUMMYFUNCTION("""COMPUTED_VALUE"""),"2016-06-10-J03-SO-28")</f>
        <v>2016-06-10-J03-SO-28</v>
      </c>
    </row>
    <row r="9568">
      <c r="A9568" t="str">
        <f>IFERROR(__xludf.DUMMYFUNCTION("""COMPUTED_VALUE"""),"2016-06-10-J03-SO-29")</f>
        <v>2016-06-10-J03-SO-29</v>
      </c>
    </row>
    <row r="9569">
      <c r="A9569" t="str">
        <f>IFERROR(__xludf.DUMMYFUNCTION("""COMPUTED_VALUE"""),"2016-06-10-J03-SO-30")</f>
        <v>2016-06-10-J03-SO-30</v>
      </c>
    </row>
    <row r="9570">
      <c r="A9570" t="str">
        <f>IFERROR(__xludf.DUMMYFUNCTION("""COMPUTED_VALUE"""),"2016-06-10-J04-SO-1")</f>
        <v>2016-06-10-J04-SO-1</v>
      </c>
    </row>
    <row r="9571">
      <c r="A9571" t="str">
        <f>IFERROR(__xludf.DUMMYFUNCTION("""COMPUTED_VALUE"""),"2016-06-10-J04-SO-2")</f>
        <v>2016-06-10-J04-SO-2</v>
      </c>
    </row>
    <row r="9572">
      <c r="A9572" t="str">
        <f>IFERROR(__xludf.DUMMYFUNCTION("""COMPUTED_VALUE"""),"2016-06-10-J04-SO-3")</f>
        <v>2016-06-10-J04-SO-3</v>
      </c>
    </row>
    <row r="9573">
      <c r="A9573" t="str">
        <f>IFERROR(__xludf.DUMMYFUNCTION("""COMPUTED_VALUE"""),"2016-06-10-J04-SO-4")</f>
        <v>2016-06-10-J04-SO-4</v>
      </c>
    </row>
    <row r="9574">
      <c r="A9574" t="str">
        <f>IFERROR(__xludf.DUMMYFUNCTION("""COMPUTED_VALUE"""),"2016-06-10-J04-SO-5")</f>
        <v>2016-06-10-J04-SO-5</v>
      </c>
    </row>
    <row r="9575">
      <c r="A9575" t="str">
        <f>IFERROR(__xludf.DUMMYFUNCTION("""COMPUTED_VALUE"""),"2016-06-10-J04-SO-6")</f>
        <v>2016-06-10-J04-SO-6</v>
      </c>
    </row>
    <row r="9576">
      <c r="A9576" t="str">
        <f>IFERROR(__xludf.DUMMYFUNCTION("""COMPUTED_VALUE"""),"2016-06-10-J04-SO-7")</f>
        <v>2016-06-10-J04-SO-7</v>
      </c>
    </row>
    <row r="9577">
      <c r="A9577" t="str">
        <f>IFERROR(__xludf.DUMMYFUNCTION("""COMPUTED_VALUE"""),"2016-06-10-J04-SO-8")</f>
        <v>2016-06-10-J04-SO-8</v>
      </c>
    </row>
    <row r="9578">
      <c r="A9578" t="str">
        <f>IFERROR(__xludf.DUMMYFUNCTION("""COMPUTED_VALUE"""),"2016-06-10-J04-SO-9")</f>
        <v>2016-06-10-J04-SO-9</v>
      </c>
    </row>
    <row r="9579">
      <c r="A9579" t="str">
        <f>IFERROR(__xludf.DUMMYFUNCTION("""COMPUTED_VALUE"""),"2016-06-10-J04-SO-10")</f>
        <v>2016-06-10-J04-SO-10</v>
      </c>
    </row>
    <row r="9580">
      <c r="A9580" t="str">
        <f>IFERROR(__xludf.DUMMYFUNCTION("""COMPUTED_VALUE"""),"2016-06-10-J04-SO-11")</f>
        <v>2016-06-10-J04-SO-11</v>
      </c>
    </row>
    <row r="9581">
      <c r="A9581" t="str">
        <f>IFERROR(__xludf.DUMMYFUNCTION("""COMPUTED_VALUE"""),"2016-06-10-J04-SO-12")</f>
        <v>2016-06-10-J04-SO-12</v>
      </c>
    </row>
    <row r="9582">
      <c r="A9582" t="str">
        <f>IFERROR(__xludf.DUMMYFUNCTION("""COMPUTED_VALUE"""),"2016-06-10-J04-SO-13")</f>
        <v>2016-06-10-J04-SO-13</v>
      </c>
    </row>
    <row r="9583">
      <c r="A9583" t="str">
        <f>IFERROR(__xludf.DUMMYFUNCTION("""COMPUTED_VALUE"""),"2016-06-10-J04-SO-14")</f>
        <v>2016-06-10-J04-SO-14</v>
      </c>
    </row>
    <row r="9584">
      <c r="A9584" t="str">
        <f>IFERROR(__xludf.DUMMYFUNCTION("""COMPUTED_VALUE"""),"2016-06-10-J04-SO-15")</f>
        <v>2016-06-10-J04-SO-15</v>
      </c>
    </row>
    <row r="9585">
      <c r="A9585" t="str">
        <f>IFERROR(__xludf.DUMMYFUNCTION("""COMPUTED_VALUE"""),"2016-06-10-J04-SO-16")</f>
        <v>2016-06-10-J04-SO-16</v>
      </c>
    </row>
    <row r="9586">
      <c r="A9586" t="str">
        <f>IFERROR(__xludf.DUMMYFUNCTION("""COMPUTED_VALUE"""),"2016-06-10-J04-SO-17")</f>
        <v>2016-06-10-J04-SO-17</v>
      </c>
    </row>
    <row r="9587">
      <c r="A9587" t="str">
        <f>IFERROR(__xludf.DUMMYFUNCTION("""COMPUTED_VALUE"""),"2016-06-10-J04-SO-18")</f>
        <v>2016-06-10-J04-SO-18</v>
      </c>
    </row>
    <row r="9588">
      <c r="A9588" t="str">
        <f>IFERROR(__xludf.DUMMYFUNCTION("""COMPUTED_VALUE"""),"2016-06-10-J04-SO-19")</f>
        <v>2016-06-10-J04-SO-19</v>
      </c>
    </row>
    <row r="9589">
      <c r="A9589" t="str">
        <f>IFERROR(__xludf.DUMMYFUNCTION("""COMPUTED_VALUE"""),"2016-06-10-J04-SO-20")</f>
        <v>2016-06-10-J04-SO-20</v>
      </c>
    </row>
    <row r="9590">
      <c r="A9590" t="str">
        <f>IFERROR(__xludf.DUMMYFUNCTION("""COMPUTED_VALUE"""),"2016-06-10-J04-SO-21")</f>
        <v>2016-06-10-J04-SO-21</v>
      </c>
    </row>
    <row r="9591">
      <c r="A9591" t="str">
        <f>IFERROR(__xludf.DUMMYFUNCTION("""COMPUTED_VALUE"""),"2016-06-10-J04-SO-22")</f>
        <v>2016-06-10-J04-SO-22</v>
      </c>
    </row>
    <row r="9592">
      <c r="A9592" t="str">
        <f>IFERROR(__xludf.DUMMYFUNCTION("""COMPUTED_VALUE"""),"2016-06-10-J04-SO-23")</f>
        <v>2016-06-10-J04-SO-23</v>
      </c>
    </row>
    <row r="9593">
      <c r="A9593" t="str">
        <f>IFERROR(__xludf.DUMMYFUNCTION("""COMPUTED_VALUE"""),"2016-06-10-J04-SO-24")</f>
        <v>2016-06-10-J04-SO-24</v>
      </c>
    </row>
    <row r="9594">
      <c r="A9594" t="str">
        <f>IFERROR(__xludf.DUMMYFUNCTION("""COMPUTED_VALUE"""),"2016-06-10-J04-SO-25")</f>
        <v>2016-06-10-J04-SO-25</v>
      </c>
    </row>
    <row r="9595">
      <c r="A9595" t="str">
        <f>IFERROR(__xludf.DUMMYFUNCTION("""COMPUTED_VALUE"""),"2016-06-10-J04-SO-26")</f>
        <v>2016-06-10-J04-SO-26</v>
      </c>
    </row>
    <row r="9596">
      <c r="A9596" t="str">
        <f>IFERROR(__xludf.DUMMYFUNCTION("""COMPUTED_VALUE"""),"2016-06-10-J04-SO-27")</f>
        <v>2016-06-10-J04-SO-27</v>
      </c>
    </row>
    <row r="9597">
      <c r="A9597" t="str">
        <f>IFERROR(__xludf.DUMMYFUNCTION("""COMPUTED_VALUE"""),"2016-06-10-J04-SO-28")</f>
        <v>2016-06-10-J04-SO-28</v>
      </c>
    </row>
    <row r="9598">
      <c r="A9598" t="str">
        <f>IFERROR(__xludf.DUMMYFUNCTION("""COMPUTED_VALUE"""),"2016-06-10-J04-SO-29")</f>
        <v>2016-06-10-J04-SO-29</v>
      </c>
    </row>
    <row r="9599">
      <c r="A9599" t="str">
        <f>IFERROR(__xludf.DUMMYFUNCTION("""COMPUTED_VALUE"""),"2016-06-10-J04-SO-30")</f>
        <v>2016-06-10-J04-SO-30</v>
      </c>
    </row>
    <row r="9600">
      <c r="A9600" t="str">
        <f>IFERROR(__xludf.DUMMYFUNCTION("""COMPUTED_VALUE"""),"2016-06-10-J08-SO-1")</f>
        <v>2016-06-10-J08-SO-1</v>
      </c>
    </row>
    <row r="9601">
      <c r="A9601" t="str">
        <f>IFERROR(__xludf.DUMMYFUNCTION("""COMPUTED_VALUE"""),"2016-06-10-J08-SO-2")</f>
        <v>2016-06-10-J08-SO-2</v>
      </c>
    </row>
    <row r="9602">
      <c r="A9602" t="str">
        <f>IFERROR(__xludf.DUMMYFUNCTION("""COMPUTED_VALUE"""),"2016-06-10-J08-SO-3")</f>
        <v>2016-06-10-J08-SO-3</v>
      </c>
    </row>
    <row r="9603">
      <c r="A9603" t="str">
        <f>IFERROR(__xludf.DUMMYFUNCTION("""COMPUTED_VALUE"""),"2016-06-10-J08-SO-4")</f>
        <v>2016-06-10-J08-SO-4</v>
      </c>
    </row>
    <row r="9604">
      <c r="A9604" t="str">
        <f>IFERROR(__xludf.DUMMYFUNCTION("""COMPUTED_VALUE"""),"2016-06-10-J08-SO-5")</f>
        <v>2016-06-10-J08-SO-5</v>
      </c>
    </row>
    <row r="9605">
      <c r="A9605" t="str">
        <f>IFERROR(__xludf.DUMMYFUNCTION("""COMPUTED_VALUE"""),"2016-06-10-J08-SO-6")</f>
        <v>2016-06-10-J08-SO-6</v>
      </c>
    </row>
    <row r="9606">
      <c r="A9606" t="str">
        <f>IFERROR(__xludf.DUMMYFUNCTION("""COMPUTED_VALUE"""),"2016-06-10-J08-SO-7")</f>
        <v>2016-06-10-J08-SO-7</v>
      </c>
    </row>
    <row r="9607">
      <c r="A9607" t="str">
        <f>IFERROR(__xludf.DUMMYFUNCTION("""COMPUTED_VALUE"""),"2016-06-10-J08-SO-8")</f>
        <v>2016-06-10-J08-SO-8</v>
      </c>
    </row>
    <row r="9608">
      <c r="A9608" t="str">
        <f>IFERROR(__xludf.DUMMYFUNCTION("""COMPUTED_VALUE"""),"2016-06-10-J08-SO-9")</f>
        <v>2016-06-10-J08-SO-9</v>
      </c>
    </row>
    <row r="9609">
      <c r="A9609" t="str">
        <f>IFERROR(__xludf.DUMMYFUNCTION("""COMPUTED_VALUE"""),"2016-06-10-J08-SO-10")</f>
        <v>2016-06-10-J08-SO-10</v>
      </c>
    </row>
    <row r="9610">
      <c r="A9610" t="str">
        <f>IFERROR(__xludf.DUMMYFUNCTION("""COMPUTED_VALUE"""),"2016-06-10-J08-SO-11")</f>
        <v>2016-06-10-J08-SO-11</v>
      </c>
    </row>
    <row r="9611">
      <c r="A9611" t="str">
        <f>IFERROR(__xludf.DUMMYFUNCTION("""COMPUTED_VALUE"""),"2016-06-10-J08-SO-12")</f>
        <v>2016-06-10-J08-SO-12</v>
      </c>
    </row>
    <row r="9612">
      <c r="A9612" t="str">
        <f>IFERROR(__xludf.DUMMYFUNCTION("""COMPUTED_VALUE"""),"2016-06-10-J08-SO-13")</f>
        <v>2016-06-10-J08-SO-13</v>
      </c>
    </row>
    <row r="9613">
      <c r="A9613" t="str">
        <f>IFERROR(__xludf.DUMMYFUNCTION("""COMPUTED_VALUE"""),"2016-06-10-J08-SO-14")</f>
        <v>2016-06-10-J08-SO-14</v>
      </c>
    </row>
    <row r="9614">
      <c r="A9614" t="str">
        <f>IFERROR(__xludf.DUMMYFUNCTION("""COMPUTED_VALUE"""),"2016-06-10-J08-SO-15")</f>
        <v>2016-06-10-J08-SO-15</v>
      </c>
    </row>
    <row r="9615">
      <c r="A9615" t="str">
        <f>IFERROR(__xludf.DUMMYFUNCTION("""COMPUTED_VALUE"""),"2016-06-10-J08-SO-16")</f>
        <v>2016-06-10-J08-SO-16</v>
      </c>
    </row>
    <row r="9616">
      <c r="A9616" t="str">
        <f>IFERROR(__xludf.DUMMYFUNCTION("""COMPUTED_VALUE"""),"2016-06-10-J08-SO-17")</f>
        <v>2016-06-10-J08-SO-17</v>
      </c>
    </row>
    <row r="9617">
      <c r="A9617" t="str">
        <f>IFERROR(__xludf.DUMMYFUNCTION("""COMPUTED_VALUE"""),"2016-06-10-J08-SO-18")</f>
        <v>2016-06-10-J08-SO-18</v>
      </c>
    </row>
    <row r="9618">
      <c r="A9618" t="str">
        <f>IFERROR(__xludf.DUMMYFUNCTION("""COMPUTED_VALUE"""),"2016-06-10-J08-SO-19")</f>
        <v>2016-06-10-J08-SO-19</v>
      </c>
    </row>
    <row r="9619">
      <c r="A9619" t="str">
        <f>IFERROR(__xludf.DUMMYFUNCTION("""COMPUTED_VALUE"""),"2016-06-10-J08-SO-20")</f>
        <v>2016-06-10-J08-SO-20</v>
      </c>
    </row>
    <row r="9620">
      <c r="A9620" t="str">
        <f>IFERROR(__xludf.DUMMYFUNCTION("""COMPUTED_VALUE"""),"2016-06-10-J08-SO-21")</f>
        <v>2016-06-10-J08-SO-21</v>
      </c>
    </row>
    <row r="9621">
      <c r="A9621" t="str">
        <f>IFERROR(__xludf.DUMMYFUNCTION("""COMPUTED_VALUE"""),"2016-06-10-J08-SO-22")</f>
        <v>2016-06-10-J08-SO-22</v>
      </c>
    </row>
    <row r="9622">
      <c r="A9622" t="str">
        <f>IFERROR(__xludf.DUMMYFUNCTION("""COMPUTED_VALUE"""),"2016-06-10-J08-SO-23")</f>
        <v>2016-06-10-J08-SO-23</v>
      </c>
    </row>
    <row r="9623">
      <c r="A9623" t="str">
        <f>IFERROR(__xludf.DUMMYFUNCTION("""COMPUTED_VALUE"""),"2016-06-10-J08-SO-24")</f>
        <v>2016-06-10-J08-SO-24</v>
      </c>
    </row>
    <row r="9624">
      <c r="A9624" t="str">
        <f>IFERROR(__xludf.DUMMYFUNCTION("""COMPUTED_VALUE"""),"2016-06-10-J08-SO-25")</f>
        <v>2016-06-10-J08-SO-25</v>
      </c>
    </row>
    <row r="9625">
      <c r="A9625" t="str">
        <f>IFERROR(__xludf.DUMMYFUNCTION("""COMPUTED_VALUE"""),"2016-06-10-J08-SO-26")</f>
        <v>2016-06-10-J08-SO-26</v>
      </c>
    </row>
    <row r="9626">
      <c r="A9626" t="str">
        <f>IFERROR(__xludf.DUMMYFUNCTION("""COMPUTED_VALUE"""),"2016-06-10-J08-SO-27")</f>
        <v>2016-06-10-J08-SO-27</v>
      </c>
    </row>
    <row r="9627">
      <c r="A9627" t="str">
        <f>IFERROR(__xludf.DUMMYFUNCTION("""COMPUTED_VALUE"""),"2016-06-10-J08-SO-28")</f>
        <v>2016-06-10-J08-SO-28</v>
      </c>
    </row>
    <row r="9628">
      <c r="A9628" t="str">
        <f>IFERROR(__xludf.DUMMYFUNCTION("""COMPUTED_VALUE"""),"2016-06-10-J08-SO-29")</f>
        <v>2016-06-10-J08-SO-29</v>
      </c>
    </row>
    <row r="9629">
      <c r="A9629" t="str">
        <f>IFERROR(__xludf.DUMMYFUNCTION("""COMPUTED_VALUE"""),"2016-06-10-J08-SO-30")</f>
        <v>2016-06-10-J08-SO-30</v>
      </c>
    </row>
    <row r="9630">
      <c r="A9630" t="str">
        <f>IFERROR(__xludf.DUMMYFUNCTION("""COMPUTED_VALUE"""),"2016-06-10-J01-PI-1")</f>
        <v>2016-06-10-J01-PI-1</v>
      </c>
    </row>
    <row r="9631">
      <c r="A9631" t="str">
        <f>IFERROR(__xludf.DUMMYFUNCTION("""COMPUTED_VALUE"""),"2016-06-10-J01-PI-2")</f>
        <v>2016-06-10-J01-PI-2</v>
      </c>
    </row>
    <row r="9632">
      <c r="A9632" t="str">
        <f>IFERROR(__xludf.DUMMYFUNCTION("""COMPUTED_VALUE"""),"2016-06-10-J01-PI-3")</f>
        <v>2016-06-10-J01-PI-3</v>
      </c>
    </row>
    <row r="9633">
      <c r="A9633" t="str">
        <f>IFERROR(__xludf.DUMMYFUNCTION("""COMPUTED_VALUE"""),"2016-06-10-J01-PI-4")</f>
        <v>2016-06-10-J01-PI-4</v>
      </c>
    </row>
    <row r="9634">
      <c r="A9634" t="str">
        <f>IFERROR(__xludf.DUMMYFUNCTION("""COMPUTED_VALUE"""),"2016-06-10-J01-PI-5")</f>
        <v>2016-06-10-J01-PI-5</v>
      </c>
    </row>
    <row r="9635">
      <c r="A9635" t="str">
        <f>IFERROR(__xludf.DUMMYFUNCTION("""COMPUTED_VALUE"""),"2016-06-10-J01-PI-6")</f>
        <v>2016-06-10-J01-PI-6</v>
      </c>
    </row>
    <row r="9636">
      <c r="A9636" t="str">
        <f>IFERROR(__xludf.DUMMYFUNCTION("""COMPUTED_VALUE"""),"2016-06-10-J01-PI-7")</f>
        <v>2016-06-10-J01-PI-7</v>
      </c>
    </row>
    <row r="9637">
      <c r="A9637" t="str">
        <f>IFERROR(__xludf.DUMMYFUNCTION("""COMPUTED_VALUE"""),"2016-06-10-J01-PI-8")</f>
        <v>2016-06-10-J01-PI-8</v>
      </c>
    </row>
    <row r="9638">
      <c r="A9638" t="str">
        <f>IFERROR(__xludf.DUMMYFUNCTION("""COMPUTED_VALUE"""),"2016-06-10-J01-PI-9")</f>
        <v>2016-06-10-J01-PI-9</v>
      </c>
    </row>
    <row r="9639">
      <c r="A9639" t="str">
        <f>IFERROR(__xludf.DUMMYFUNCTION("""COMPUTED_VALUE"""),"2016-06-10-J01-PI-10")</f>
        <v>2016-06-10-J01-PI-10</v>
      </c>
    </row>
    <row r="9640">
      <c r="A9640" t="str">
        <f>IFERROR(__xludf.DUMMYFUNCTION("""COMPUTED_VALUE"""),"2016-06-10-J03-PI-1")</f>
        <v>2016-06-10-J03-PI-1</v>
      </c>
    </row>
    <row r="9641">
      <c r="A9641" t="str">
        <f>IFERROR(__xludf.DUMMYFUNCTION("""COMPUTED_VALUE"""),"2016-06-10-J03-PI-2")</f>
        <v>2016-06-10-J03-PI-2</v>
      </c>
    </row>
    <row r="9642">
      <c r="A9642" t="str">
        <f>IFERROR(__xludf.DUMMYFUNCTION("""COMPUTED_VALUE"""),"2016-06-10-J03-PI-3")</f>
        <v>2016-06-10-J03-PI-3</v>
      </c>
    </row>
    <row r="9643">
      <c r="A9643" t="str">
        <f>IFERROR(__xludf.DUMMYFUNCTION("""COMPUTED_VALUE"""),"2016-06-10-J03-PI-4")</f>
        <v>2016-06-10-J03-PI-4</v>
      </c>
    </row>
    <row r="9644">
      <c r="A9644" t="str">
        <f>IFERROR(__xludf.DUMMYFUNCTION("""COMPUTED_VALUE"""),"2016-06-10-J03-PI-5")</f>
        <v>2016-06-10-J03-PI-5</v>
      </c>
    </row>
    <row r="9645">
      <c r="A9645" t="str">
        <f>IFERROR(__xludf.DUMMYFUNCTION("""COMPUTED_VALUE"""),"2016-06-10-J03-PI-6")</f>
        <v>2016-06-10-J03-PI-6</v>
      </c>
    </row>
    <row r="9646">
      <c r="A9646" t="str">
        <f>IFERROR(__xludf.DUMMYFUNCTION("""COMPUTED_VALUE"""),"2016-06-10-J03-PI-7")</f>
        <v>2016-06-10-J03-PI-7</v>
      </c>
    </row>
    <row r="9647">
      <c r="A9647" t="str">
        <f>IFERROR(__xludf.DUMMYFUNCTION("""COMPUTED_VALUE"""),"2016-06-10-J03-PI-8")</f>
        <v>2016-06-10-J03-PI-8</v>
      </c>
    </row>
    <row r="9648">
      <c r="A9648" t="str">
        <f>IFERROR(__xludf.DUMMYFUNCTION("""COMPUTED_VALUE"""),"2016-06-10-J03-PI-9")</f>
        <v>2016-06-10-J03-PI-9</v>
      </c>
    </row>
    <row r="9649">
      <c r="A9649" t="str">
        <f>IFERROR(__xludf.DUMMYFUNCTION("""COMPUTED_VALUE"""),"2016-06-10-J03-PI-10")</f>
        <v>2016-06-10-J03-PI-10</v>
      </c>
    </row>
    <row r="9650">
      <c r="A9650" t="str">
        <f>IFERROR(__xludf.DUMMYFUNCTION("""COMPUTED_VALUE"""),"2016-06-10-J04-PI-1")</f>
        <v>2016-06-10-J04-PI-1</v>
      </c>
    </row>
    <row r="9651">
      <c r="A9651" t="str">
        <f>IFERROR(__xludf.DUMMYFUNCTION("""COMPUTED_VALUE"""),"2016-06-10-J04-PI-2")</f>
        <v>2016-06-10-J04-PI-2</v>
      </c>
    </row>
    <row r="9652">
      <c r="A9652" t="str">
        <f>IFERROR(__xludf.DUMMYFUNCTION("""COMPUTED_VALUE"""),"2016-06-10-J04-PI-3")</f>
        <v>2016-06-10-J04-PI-3</v>
      </c>
    </row>
    <row r="9653">
      <c r="A9653" t="str">
        <f>IFERROR(__xludf.DUMMYFUNCTION("""COMPUTED_VALUE"""),"2016-06-10-J04-PI-4")</f>
        <v>2016-06-10-J04-PI-4</v>
      </c>
    </row>
    <row r="9654">
      <c r="A9654" t="str">
        <f>IFERROR(__xludf.DUMMYFUNCTION("""COMPUTED_VALUE"""),"2016-06-10-J04-PI-5")</f>
        <v>2016-06-10-J04-PI-5</v>
      </c>
    </row>
    <row r="9655">
      <c r="A9655" t="str">
        <f>IFERROR(__xludf.DUMMYFUNCTION("""COMPUTED_VALUE"""),"2016-06-10-J04-PI-6")</f>
        <v>2016-06-10-J04-PI-6</v>
      </c>
    </row>
    <row r="9656">
      <c r="A9656" t="str">
        <f>IFERROR(__xludf.DUMMYFUNCTION("""COMPUTED_VALUE"""),"2016-06-10-J04-PI-7")</f>
        <v>2016-06-10-J04-PI-7</v>
      </c>
    </row>
    <row r="9657">
      <c r="A9657" t="str">
        <f>IFERROR(__xludf.DUMMYFUNCTION("""COMPUTED_VALUE"""),"2016-06-10-J04-PI-8")</f>
        <v>2016-06-10-J04-PI-8</v>
      </c>
    </row>
    <row r="9658">
      <c r="A9658" t="str">
        <f>IFERROR(__xludf.DUMMYFUNCTION("""COMPUTED_VALUE"""),"2016-06-10-J04-PI-9")</f>
        <v>2016-06-10-J04-PI-9</v>
      </c>
    </row>
    <row r="9659">
      <c r="A9659" t="str">
        <f>IFERROR(__xludf.DUMMYFUNCTION("""COMPUTED_VALUE"""),"2016-06-10-J08-PI-1")</f>
        <v>2016-06-10-J08-PI-1</v>
      </c>
    </row>
    <row r="9660">
      <c r="A9660" t="str">
        <f>IFERROR(__xludf.DUMMYFUNCTION("""COMPUTED_VALUE"""),"2016-06-10-J08-PI-2")</f>
        <v>2016-06-10-J08-PI-2</v>
      </c>
    </row>
    <row r="9661">
      <c r="A9661" t="str">
        <f>IFERROR(__xludf.DUMMYFUNCTION("""COMPUTED_VALUE"""),"2016-06-10-J08-PI-3")</f>
        <v>2016-06-10-J08-PI-3</v>
      </c>
    </row>
    <row r="9662">
      <c r="A9662" t="str">
        <f>IFERROR(__xludf.DUMMYFUNCTION("""COMPUTED_VALUE"""),"2016-06-10-J08-PI-4")</f>
        <v>2016-06-10-J08-PI-4</v>
      </c>
    </row>
    <row r="9663">
      <c r="A9663" t="str">
        <f>IFERROR(__xludf.DUMMYFUNCTION("""COMPUTED_VALUE"""),"2016-06-10-J08-PI-5")</f>
        <v>2016-06-10-J08-PI-5</v>
      </c>
    </row>
    <row r="9664">
      <c r="A9664" t="str">
        <f>IFERROR(__xludf.DUMMYFUNCTION("""COMPUTED_VALUE"""),"2016-06-10-J08-PI-6")</f>
        <v>2016-06-10-J08-PI-6</v>
      </c>
    </row>
    <row r="9665">
      <c r="A9665" t="str">
        <f>IFERROR(__xludf.DUMMYFUNCTION("""COMPUTED_VALUE"""),"2016-06-10-J08-PI-7")</f>
        <v>2016-06-10-J08-PI-7</v>
      </c>
    </row>
    <row r="9666">
      <c r="A9666" t="str">
        <f>IFERROR(__xludf.DUMMYFUNCTION("""COMPUTED_VALUE"""),"2016-06-10-J08-PI-8")</f>
        <v>2016-06-10-J08-PI-8</v>
      </c>
    </row>
    <row r="9667">
      <c r="A9667" t="str">
        <f>IFERROR(__xludf.DUMMYFUNCTION("""COMPUTED_VALUE"""),"2016-06-10-J08-PI-9")</f>
        <v>2016-06-10-J08-PI-9</v>
      </c>
    </row>
    <row r="9668">
      <c r="A9668" t="str">
        <f>IFERROR(__xludf.DUMMYFUNCTION("""COMPUTED_VALUE"""),"2016-06-10-J08-PI-10")</f>
        <v>2016-06-10-J08-PI-10</v>
      </c>
    </row>
    <row r="9669">
      <c r="A9669" t="str">
        <f>IFERROR(__xludf.DUMMYFUNCTION("""COMPUTED_VALUE"""),"2016-06-10-J01-CU-1")</f>
        <v>2016-06-10-J01-CU-1</v>
      </c>
    </row>
    <row r="9670">
      <c r="A9670" t="str">
        <f>IFERROR(__xludf.DUMMYFUNCTION("""COMPUTED_VALUE"""),"2016-06-10-J01-CU-2")</f>
        <v>2016-06-10-J01-CU-2</v>
      </c>
    </row>
    <row r="9671">
      <c r="A9671" t="str">
        <f>IFERROR(__xludf.DUMMYFUNCTION("""COMPUTED_VALUE"""),"2016-06-10-J01-CU-3")</f>
        <v>2016-06-10-J01-CU-3</v>
      </c>
    </row>
    <row r="9672">
      <c r="A9672" t="str">
        <f>IFERROR(__xludf.DUMMYFUNCTION("""COMPUTED_VALUE"""),"2016-06-10-J01-CU-4")</f>
        <v>2016-06-10-J01-CU-4</v>
      </c>
    </row>
    <row r="9673">
      <c r="A9673" t="str">
        <f>IFERROR(__xludf.DUMMYFUNCTION("""COMPUTED_VALUE"""),"2016-06-10-J01-CU-5")</f>
        <v>2016-06-10-J01-CU-5</v>
      </c>
    </row>
    <row r="9674">
      <c r="A9674" t="str">
        <f>IFERROR(__xludf.DUMMYFUNCTION("""COMPUTED_VALUE"""),"2016-06-10-J01-CU-6")</f>
        <v>2016-06-10-J01-CU-6</v>
      </c>
    </row>
    <row r="9675">
      <c r="A9675" t="str">
        <f>IFERROR(__xludf.DUMMYFUNCTION("""COMPUTED_VALUE"""),"2016-06-10-J01-CU-7")</f>
        <v>2016-06-10-J01-CU-7</v>
      </c>
    </row>
    <row r="9676">
      <c r="A9676" t="str">
        <f>IFERROR(__xludf.DUMMYFUNCTION("""COMPUTED_VALUE"""),"2016-06-10-J01-CU-8")</f>
        <v>2016-06-10-J01-CU-8</v>
      </c>
    </row>
    <row r="9677">
      <c r="A9677" t="str">
        <f>IFERROR(__xludf.DUMMYFUNCTION("""COMPUTED_VALUE"""),"2016-06-10-J01-CU-9")</f>
        <v>2016-06-10-J01-CU-9</v>
      </c>
    </row>
    <row r="9678">
      <c r="A9678" t="str">
        <f>IFERROR(__xludf.DUMMYFUNCTION("""COMPUTED_VALUE"""),"2016-06-10-J01-CU-10")</f>
        <v>2016-06-10-J01-CU-10</v>
      </c>
    </row>
    <row r="9679">
      <c r="A9679" t="str">
        <f>IFERROR(__xludf.DUMMYFUNCTION("""COMPUTED_VALUE"""),"2016-06-10-J03-CU-1")</f>
        <v>2016-06-10-J03-CU-1</v>
      </c>
    </row>
    <row r="9680">
      <c r="A9680" t="str">
        <f>IFERROR(__xludf.DUMMYFUNCTION("""COMPUTED_VALUE"""),"2016-06-10-J03-CU-2")</f>
        <v>2016-06-10-J03-CU-2</v>
      </c>
    </row>
    <row r="9681">
      <c r="A9681" t="str">
        <f>IFERROR(__xludf.DUMMYFUNCTION("""COMPUTED_VALUE"""),"2016-06-10-J04-CU-1")</f>
        <v>2016-06-10-J04-CU-1</v>
      </c>
    </row>
    <row r="9682">
      <c r="A9682" t="str">
        <f>IFERROR(__xludf.DUMMYFUNCTION("""COMPUTED_VALUE"""),"2016-06-10-J04-CU-2")</f>
        <v>2016-06-10-J04-CU-2</v>
      </c>
    </row>
    <row r="9683">
      <c r="A9683" t="str">
        <f>IFERROR(__xludf.DUMMYFUNCTION("""COMPUTED_VALUE"""),"2016-06-10-J04-CU-3")</f>
        <v>2016-06-10-J04-CU-3</v>
      </c>
    </row>
    <row r="9684">
      <c r="A9684" t="str">
        <f>IFERROR(__xludf.DUMMYFUNCTION("""COMPUTED_VALUE"""),"2016-06-10-J04-CU-4")</f>
        <v>2016-06-10-J04-CU-4</v>
      </c>
    </row>
    <row r="9685">
      <c r="A9685" t="str">
        <f>IFERROR(__xludf.DUMMYFUNCTION("""COMPUTED_VALUE"""),"2016-06-10-J04-CU-5")</f>
        <v>2016-06-10-J04-CU-5</v>
      </c>
    </row>
    <row r="9686">
      <c r="A9686" t="str">
        <f>IFERROR(__xludf.DUMMYFUNCTION("""COMPUTED_VALUE"""),"2016-06-10-J04-CU-6")</f>
        <v>2016-06-10-J04-CU-6</v>
      </c>
    </row>
    <row r="9687">
      <c r="A9687" t="str">
        <f>IFERROR(__xludf.DUMMYFUNCTION("""COMPUTED_VALUE"""),"2016-06-10-J04-CU-7")</f>
        <v>2016-06-10-J04-CU-7</v>
      </c>
    </row>
    <row r="9688">
      <c r="A9688" t="str">
        <f>IFERROR(__xludf.DUMMYFUNCTION("""COMPUTED_VALUE"""),"2016-06-10-J04-CU-8")</f>
        <v>2016-06-10-J04-CU-8</v>
      </c>
    </row>
    <row r="9689">
      <c r="A9689" t="str">
        <f>IFERROR(__xludf.DUMMYFUNCTION("""COMPUTED_VALUE"""),"2016-06-10-J04-CU-9")</f>
        <v>2016-06-10-J04-CU-9</v>
      </c>
    </row>
    <row r="9690">
      <c r="A9690" t="str">
        <f>IFERROR(__xludf.DUMMYFUNCTION("""COMPUTED_VALUE"""),"2016-06-10-J04-CU-10")</f>
        <v>2016-06-10-J04-CU-10</v>
      </c>
    </row>
    <row r="9691">
      <c r="A9691" t="str">
        <f>IFERROR(__xludf.DUMMYFUNCTION("""COMPUTED_VALUE"""),"2016-06-10-J08-CU-1")</f>
        <v>2016-06-10-J08-CU-1</v>
      </c>
    </row>
    <row r="9692">
      <c r="A9692" t="str">
        <f>IFERROR(__xludf.DUMMYFUNCTION("""COMPUTED_VALUE"""),"2016-06-10-J08-CU-2")</f>
        <v>2016-06-10-J08-CU-2</v>
      </c>
    </row>
    <row r="9693">
      <c r="A9693" t="str">
        <f>IFERROR(__xludf.DUMMYFUNCTION("""COMPUTED_VALUE"""),"2016-06-10-J08-CU-3")</f>
        <v>2016-06-10-J08-CU-3</v>
      </c>
    </row>
    <row r="9694">
      <c r="A9694" t="str">
        <f>IFERROR(__xludf.DUMMYFUNCTION("""COMPUTED_VALUE"""),"2016-06-10-J08-CU-4")</f>
        <v>2016-06-10-J08-CU-4</v>
      </c>
    </row>
    <row r="9695">
      <c r="A9695" t="str">
        <f>IFERROR(__xludf.DUMMYFUNCTION("""COMPUTED_VALUE"""),"2016-06-10-J08-CU-5")</f>
        <v>2016-06-10-J08-CU-5</v>
      </c>
    </row>
    <row r="9696">
      <c r="A9696" t="str">
        <f>IFERROR(__xludf.DUMMYFUNCTION("""COMPUTED_VALUE"""),"2016-06-10-J08-CU-6")</f>
        <v>2016-06-10-J08-CU-6</v>
      </c>
    </row>
    <row r="9697">
      <c r="A9697" t="str">
        <f>IFERROR(__xludf.DUMMYFUNCTION("""COMPUTED_VALUE"""),"2016-06-10-J08-CU-7")</f>
        <v>2016-06-10-J08-CU-7</v>
      </c>
    </row>
    <row r="9698">
      <c r="A9698" t="str">
        <f>IFERROR(__xludf.DUMMYFUNCTION("""COMPUTED_VALUE"""),"2016-06-10-J08-CU-8")</f>
        <v>2016-06-10-J08-CU-8</v>
      </c>
    </row>
    <row r="9699">
      <c r="A9699" t="str">
        <f>IFERROR(__xludf.DUMMYFUNCTION("""COMPUTED_VALUE"""),"2016-06-10-J08-CU-9")</f>
        <v>2016-06-10-J08-CU-9</v>
      </c>
    </row>
    <row r="9700">
      <c r="A9700" t="str">
        <f>IFERROR(__xludf.DUMMYFUNCTION("""COMPUTED_VALUE"""),"2016-06-10-J08-CU-10")</f>
        <v>2016-06-10-J08-CU-10</v>
      </c>
    </row>
    <row r="9701">
      <c r="A9701" t="str">
        <f>IFERROR(__xludf.DUMMYFUNCTION("""COMPUTED_VALUE"""),"2016-06-10-J03-CO-1")</f>
        <v>2016-06-10-J03-CO-1</v>
      </c>
    </row>
    <row r="9702">
      <c r="A9702" t="str">
        <f>IFERROR(__xludf.DUMMYFUNCTION("""COMPUTED_VALUE"""),"2016-06-10-J08-HE-1")</f>
        <v>2016-06-10-J08-HE-1</v>
      </c>
    </row>
    <row r="9703">
      <c r="A9703" t="str">
        <f>IFERROR(__xludf.DUMMYFUNCTION("""COMPUTED_VALUE"""),"2016-06-10-J08-HE-2")</f>
        <v>2016-06-10-J08-HE-2</v>
      </c>
    </row>
    <row r="9704">
      <c r="A9704" t="str">
        <f>IFERROR(__xludf.DUMMYFUNCTION("""COMPUTED_VALUE"""),"2016-06-10-J08-HE-3")</f>
        <v>2016-06-10-J08-HE-3</v>
      </c>
    </row>
    <row r="9705">
      <c r="A9705" t="str">
        <f>IFERROR(__xludf.DUMMYFUNCTION("""COMPUTED_VALUE"""),"2016-06-10-J08-HE-4")</f>
        <v>2016-06-10-J08-HE-4</v>
      </c>
    </row>
    <row r="9706">
      <c r="A9706" t="str">
        <f>IFERROR(__xludf.DUMMYFUNCTION("""COMPUTED_VALUE"""),"2016-06-10-J08-HE-5")</f>
        <v>2016-06-10-J08-HE-5</v>
      </c>
    </row>
    <row r="9707">
      <c r="A9707" t="str">
        <f>IFERROR(__xludf.DUMMYFUNCTION("""COMPUTED_VALUE"""),"2016-06-10-J08-HE-6")</f>
        <v>2016-06-10-J08-HE-6</v>
      </c>
    </row>
    <row r="9708">
      <c r="A9708" t="str">
        <f>IFERROR(__xludf.DUMMYFUNCTION("""COMPUTED_VALUE"""),"2016-06-10-J08-HE-7")</f>
        <v>2016-06-10-J08-HE-7</v>
      </c>
    </row>
    <row r="9709">
      <c r="A9709" t="str">
        <f>IFERROR(__xludf.DUMMYFUNCTION("""COMPUTED_VALUE"""),"2016-06-10-J08-HE-8")</f>
        <v>2016-06-10-J08-HE-8</v>
      </c>
    </row>
    <row r="9710">
      <c r="A9710" t="str">
        <f>IFERROR(__xludf.DUMMYFUNCTION("""COMPUTED_VALUE"""),"2016-06-10-J08-HE-9")</f>
        <v>2016-06-10-J08-HE-9</v>
      </c>
    </row>
    <row r="9711">
      <c r="A9711" t="str">
        <f>IFERROR(__xludf.DUMMYFUNCTION("""COMPUTED_VALUE"""),"2016-06-10-J08-HE-10")</f>
        <v>2016-06-10-J08-HE-10</v>
      </c>
    </row>
    <row r="9712">
      <c r="A9712" t="str">
        <f>IFERROR(__xludf.DUMMYFUNCTION("""COMPUTED_VALUE"""),"2016-06-11-D25-SO-1")</f>
        <v>2016-06-11-D25-SO-1</v>
      </c>
    </row>
    <row r="9713">
      <c r="A9713" t="str">
        <f>IFERROR(__xludf.DUMMYFUNCTION("""COMPUTED_VALUE"""),"2016-06-11-J06-SO-1")</f>
        <v>2016-06-11-J06-SO-1</v>
      </c>
    </row>
    <row r="9714">
      <c r="A9714" t="str">
        <f>IFERROR(__xludf.DUMMYFUNCTION("""COMPUTED_VALUE"""),"2016-06-11-J06-SO-2")</f>
        <v>2016-06-11-J06-SO-2</v>
      </c>
    </row>
    <row r="9715">
      <c r="A9715" t="str">
        <f>IFERROR(__xludf.DUMMYFUNCTION("""COMPUTED_VALUE"""),"2016-06-11-J06-SO-3")</f>
        <v>2016-06-11-J06-SO-3</v>
      </c>
    </row>
    <row r="9716">
      <c r="A9716" t="str">
        <f>IFERROR(__xludf.DUMMYFUNCTION("""COMPUTED_VALUE"""),"2016-06-11-J06-SO-4")</f>
        <v>2016-06-11-J06-SO-4</v>
      </c>
    </row>
    <row r="9717">
      <c r="A9717" t="str">
        <f>IFERROR(__xludf.DUMMYFUNCTION("""COMPUTED_VALUE"""),"2016-06-11-J06-SO-5")</f>
        <v>2016-06-11-J06-SO-5</v>
      </c>
    </row>
    <row r="9718">
      <c r="A9718" t="str">
        <f>IFERROR(__xludf.DUMMYFUNCTION("""COMPUTED_VALUE"""),"2016-06-11-J06-SO-6")</f>
        <v>2016-06-11-J06-SO-6</v>
      </c>
    </row>
    <row r="9719">
      <c r="A9719" t="str">
        <f>IFERROR(__xludf.DUMMYFUNCTION("""COMPUTED_VALUE"""),"2016-06-11-J06-SO-7")</f>
        <v>2016-06-11-J06-SO-7</v>
      </c>
    </row>
    <row r="9720">
      <c r="A9720" t="str">
        <f>IFERROR(__xludf.DUMMYFUNCTION("""COMPUTED_VALUE"""),"2016-06-11-J06-SO-8")</f>
        <v>2016-06-11-J06-SO-8</v>
      </c>
    </row>
    <row r="9721">
      <c r="A9721" t="str">
        <f>IFERROR(__xludf.DUMMYFUNCTION("""COMPUTED_VALUE"""),"2016-06-11-J06-SO-9")</f>
        <v>2016-06-11-J06-SO-9</v>
      </c>
    </row>
    <row r="9722">
      <c r="A9722" t="str">
        <f>IFERROR(__xludf.DUMMYFUNCTION("""COMPUTED_VALUE"""),"2016-06-11-J06-SO-10")</f>
        <v>2016-06-11-J06-SO-10</v>
      </c>
    </row>
    <row r="9723">
      <c r="A9723" t="str">
        <f>IFERROR(__xludf.DUMMYFUNCTION("""COMPUTED_VALUE"""),"2016-06-11-J06-SO-11")</f>
        <v>2016-06-11-J06-SO-11</v>
      </c>
    </row>
    <row r="9724">
      <c r="A9724" t="str">
        <f>IFERROR(__xludf.DUMMYFUNCTION("""COMPUTED_VALUE"""),"2016-06-11-J06-SO-12")</f>
        <v>2016-06-11-J06-SO-12</v>
      </c>
    </row>
    <row r="9725">
      <c r="A9725" t="str">
        <f>IFERROR(__xludf.DUMMYFUNCTION("""COMPUTED_VALUE"""),"2016-06-11-J06-SO-13")</f>
        <v>2016-06-11-J06-SO-13</v>
      </c>
    </row>
    <row r="9726">
      <c r="A9726" t="str">
        <f>IFERROR(__xludf.DUMMYFUNCTION("""COMPUTED_VALUE"""),"2016-06-11-J06-SO-14")</f>
        <v>2016-06-11-J06-SO-14</v>
      </c>
    </row>
    <row r="9727">
      <c r="A9727" t="str">
        <f>IFERROR(__xludf.DUMMYFUNCTION("""COMPUTED_VALUE"""),"2016-06-11-J06-SO-15")</f>
        <v>2016-06-11-J06-SO-15</v>
      </c>
    </row>
    <row r="9728">
      <c r="A9728" t="str">
        <f>IFERROR(__xludf.DUMMYFUNCTION("""COMPUTED_VALUE"""),"2016-06-11-J06-SO-16")</f>
        <v>2016-06-11-J06-SO-16</v>
      </c>
    </row>
    <row r="9729">
      <c r="A9729" t="str">
        <f>IFERROR(__xludf.DUMMYFUNCTION("""COMPUTED_VALUE"""),"2016-06-11-J06-SO-17")</f>
        <v>2016-06-11-J06-SO-17</v>
      </c>
    </row>
    <row r="9730">
      <c r="A9730" t="str">
        <f>IFERROR(__xludf.DUMMYFUNCTION("""COMPUTED_VALUE"""),"2016-06-11-J06-SO-18")</f>
        <v>2016-06-11-J06-SO-18</v>
      </c>
    </row>
    <row r="9731">
      <c r="A9731" t="str">
        <f>IFERROR(__xludf.DUMMYFUNCTION("""COMPUTED_VALUE"""),"2016-06-11-J06-SO-19")</f>
        <v>2016-06-11-J06-SO-19</v>
      </c>
    </row>
    <row r="9732">
      <c r="A9732" t="str">
        <f>IFERROR(__xludf.DUMMYFUNCTION("""COMPUTED_VALUE"""),"2016-06-11-J06-SO-20")</f>
        <v>2016-06-11-J06-SO-20</v>
      </c>
    </row>
    <row r="9733">
      <c r="A9733" t="str">
        <f>IFERROR(__xludf.DUMMYFUNCTION("""COMPUTED_VALUE"""),"2016-06-11-J06-SO-21")</f>
        <v>2016-06-11-J06-SO-21</v>
      </c>
    </row>
    <row r="9734">
      <c r="A9734" t="str">
        <f>IFERROR(__xludf.DUMMYFUNCTION("""COMPUTED_VALUE"""),"2016-06-11-J06-SO-22")</f>
        <v>2016-06-11-J06-SO-22</v>
      </c>
    </row>
    <row r="9735">
      <c r="A9735" t="str">
        <f>IFERROR(__xludf.DUMMYFUNCTION("""COMPUTED_VALUE"""),"2016-06-11-J06-SO-23")</f>
        <v>2016-06-11-J06-SO-23</v>
      </c>
    </row>
    <row r="9736">
      <c r="A9736" t="str">
        <f>IFERROR(__xludf.DUMMYFUNCTION("""COMPUTED_VALUE"""),"2016-06-11-J06-SO-24")</f>
        <v>2016-06-11-J06-SO-24</v>
      </c>
    </row>
    <row r="9737">
      <c r="A9737" t="str">
        <f>IFERROR(__xludf.DUMMYFUNCTION("""COMPUTED_VALUE"""),"2016-06-11-J06-SO-25")</f>
        <v>2016-06-11-J06-SO-25</v>
      </c>
    </row>
    <row r="9738">
      <c r="A9738" t="str">
        <f>IFERROR(__xludf.DUMMYFUNCTION("""COMPUTED_VALUE"""),"2016-06-11-J06-SO-26")</f>
        <v>2016-06-11-J06-SO-26</v>
      </c>
    </row>
    <row r="9739">
      <c r="A9739" t="str">
        <f>IFERROR(__xludf.DUMMYFUNCTION("""COMPUTED_VALUE"""),"2016-06-11-J06-SO-27")</f>
        <v>2016-06-11-J06-SO-27</v>
      </c>
    </row>
    <row r="9740">
      <c r="A9740" t="str">
        <f>IFERROR(__xludf.DUMMYFUNCTION("""COMPUTED_VALUE"""),"2016-06-11-J06-SO-28")</f>
        <v>2016-06-11-J06-SO-28</v>
      </c>
    </row>
    <row r="9741">
      <c r="A9741" t="str">
        <f>IFERROR(__xludf.DUMMYFUNCTION("""COMPUTED_VALUE"""),"2016-06-11-J06-SO-29")</f>
        <v>2016-06-11-J06-SO-29</v>
      </c>
    </row>
    <row r="9742">
      <c r="A9742" t="str">
        <f>IFERROR(__xludf.DUMMYFUNCTION("""COMPUTED_VALUE"""),"2016-06-11-J07-SO-1")</f>
        <v>2016-06-11-J07-SO-1</v>
      </c>
    </row>
    <row r="9743">
      <c r="A9743" t="str">
        <f>IFERROR(__xludf.DUMMYFUNCTION("""COMPUTED_VALUE"""),"2016-06-11-J07-SO-2")</f>
        <v>2016-06-11-J07-SO-2</v>
      </c>
    </row>
    <row r="9744">
      <c r="A9744" t="str">
        <f>IFERROR(__xludf.DUMMYFUNCTION("""COMPUTED_VALUE"""),"2016-06-11-J07-SO-3")</f>
        <v>2016-06-11-J07-SO-3</v>
      </c>
    </row>
    <row r="9745">
      <c r="A9745" t="str">
        <f>IFERROR(__xludf.DUMMYFUNCTION("""COMPUTED_VALUE"""),"2016-06-11-J07-SO-4")</f>
        <v>2016-06-11-J07-SO-4</v>
      </c>
    </row>
    <row r="9746">
      <c r="A9746" t="str">
        <f>IFERROR(__xludf.DUMMYFUNCTION("""COMPUTED_VALUE"""),"2016-06-11-J07-SO-5")</f>
        <v>2016-06-11-J07-SO-5</v>
      </c>
    </row>
    <row r="9747">
      <c r="A9747" t="str">
        <f>IFERROR(__xludf.DUMMYFUNCTION("""COMPUTED_VALUE"""),"2016-06-11-J07-SO-6")</f>
        <v>2016-06-11-J07-SO-6</v>
      </c>
    </row>
    <row r="9748">
      <c r="A9748" t="str">
        <f>IFERROR(__xludf.DUMMYFUNCTION("""COMPUTED_VALUE"""),"2016-06-11-J07-SO-7")</f>
        <v>2016-06-11-J07-SO-7</v>
      </c>
    </row>
    <row r="9749">
      <c r="A9749" t="str">
        <f>IFERROR(__xludf.DUMMYFUNCTION("""COMPUTED_VALUE"""),"2016-06-11-J07-SO-8")</f>
        <v>2016-06-11-J07-SO-8</v>
      </c>
    </row>
    <row r="9750">
      <c r="A9750" t="str">
        <f>IFERROR(__xludf.DUMMYFUNCTION("""COMPUTED_VALUE"""),"2016-06-11-J07-SO-9")</f>
        <v>2016-06-11-J07-SO-9</v>
      </c>
    </row>
    <row r="9751">
      <c r="A9751" t="str">
        <f>IFERROR(__xludf.DUMMYFUNCTION("""COMPUTED_VALUE"""),"2016-06-11-J07-SO-10")</f>
        <v>2016-06-11-J07-SO-10</v>
      </c>
    </row>
    <row r="9752">
      <c r="A9752" t="str">
        <f>IFERROR(__xludf.DUMMYFUNCTION("""COMPUTED_VALUE"""),"2016-06-11-J07-SO-11")</f>
        <v>2016-06-11-J07-SO-11</v>
      </c>
    </row>
    <row r="9753">
      <c r="A9753" t="str">
        <f>IFERROR(__xludf.DUMMYFUNCTION("""COMPUTED_VALUE"""),"2016-06-11-J07-SO-12")</f>
        <v>2016-06-11-J07-SO-12</v>
      </c>
    </row>
    <row r="9754">
      <c r="A9754" t="str">
        <f>IFERROR(__xludf.DUMMYFUNCTION("""COMPUTED_VALUE"""),"2016-06-11-J07-SO-13")</f>
        <v>2016-06-11-J07-SO-13</v>
      </c>
    </row>
    <row r="9755">
      <c r="A9755" t="str">
        <f>IFERROR(__xludf.DUMMYFUNCTION("""COMPUTED_VALUE"""),"2016-06-11-J07-SO-14")</f>
        <v>2016-06-11-J07-SO-14</v>
      </c>
    </row>
    <row r="9756">
      <c r="A9756" t="str">
        <f>IFERROR(__xludf.DUMMYFUNCTION("""COMPUTED_VALUE"""),"2016-06-11-J07-SO-15")</f>
        <v>2016-06-11-J07-SO-15</v>
      </c>
    </row>
    <row r="9757">
      <c r="A9757" t="str">
        <f>IFERROR(__xludf.DUMMYFUNCTION("""COMPUTED_VALUE"""),"2016-06-11-J07-SO-16")</f>
        <v>2016-06-11-J07-SO-16</v>
      </c>
    </row>
    <row r="9758">
      <c r="A9758" t="str">
        <f>IFERROR(__xludf.DUMMYFUNCTION("""COMPUTED_VALUE"""),"2016-06-11-J07-SO-17")</f>
        <v>2016-06-11-J07-SO-17</v>
      </c>
    </row>
    <row r="9759">
      <c r="A9759" t="str">
        <f>IFERROR(__xludf.DUMMYFUNCTION("""COMPUTED_VALUE"""),"2016-06-11-J07-SO-18")</f>
        <v>2016-06-11-J07-SO-18</v>
      </c>
    </row>
    <row r="9760">
      <c r="A9760" t="str">
        <f>IFERROR(__xludf.DUMMYFUNCTION("""COMPUTED_VALUE"""),"2016-06-11-J07-SO-19")</f>
        <v>2016-06-11-J07-SO-19</v>
      </c>
    </row>
    <row r="9761">
      <c r="A9761" t="str">
        <f>IFERROR(__xludf.DUMMYFUNCTION("""COMPUTED_VALUE"""),"2016-06-11-J07-SO-20")</f>
        <v>2016-06-11-J07-SO-20</v>
      </c>
    </row>
    <row r="9762">
      <c r="A9762" t="str">
        <f>IFERROR(__xludf.DUMMYFUNCTION("""COMPUTED_VALUE"""),"2016-06-11-J07-SO-21")</f>
        <v>2016-06-11-J07-SO-21</v>
      </c>
    </row>
    <row r="9763">
      <c r="A9763" t="str">
        <f>IFERROR(__xludf.DUMMYFUNCTION("""COMPUTED_VALUE"""),"2016-06-11-J07-SO-22")</f>
        <v>2016-06-11-J07-SO-22</v>
      </c>
    </row>
    <row r="9764">
      <c r="A9764" t="str">
        <f>IFERROR(__xludf.DUMMYFUNCTION("""COMPUTED_VALUE"""),"2016-06-11-J07-SO-23")</f>
        <v>2016-06-11-J07-SO-23</v>
      </c>
    </row>
    <row r="9765">
      <c r="A9765" t="str">
        <f>IFERROR(__xludf.DUMMYFUNCTION("""COMPUTED_VALUE"""),"2016-06-11-J07-SO-24")</f>
        <v>2016-06-11-J07-SO-24</v>
      </c>
    </row>
    <row r="9766">
      <c r="A9766" t="str">
        <f>IFERROR(__xludf.DUMMYFUNCTION("""COMPUTED_VALUE"""),"2016-06-11-J07-SO-25")</f>
        <v>2016-06-11-J07-SO-25</v>
      </c>
    </row>
    <row r="9767">
      <c r="A9767" t="str">
        <f>IFERROR(__xludf.DUMMYFUNCTION("""COMPUTED_VALUE"""),"2016-06-11-J07-SO-26")</f>
        <v>2016-06-11-J07-SO-26</v>
      </c>
    </row>
    <row r="9768">
      <c r="A9768" t="str">
        <f>IFERROR(__xludf.DUMMYFUNCTION("""COMPUTED_VALUE"""),"2016-06-11-J07-SO-27")</f>
        <v>2016-06-11-J07-SO-27</v>
      </c>
    </row>
    <row r="9769">
      <c r="A9769" t="str">
        <f>IFERROR(__xludf.DUMMYFUNCTION("""COMPUTED_VALUE"""),"2016-06-11-J07-SO-28")</f>
        <v>2016-06-11-J07-SO-28</v>
      </c>
    </row>
    <row r="9770">
      <c r="A9770" t="str">
        <f>IFERROR(__xludf.DUMMYFUNCTION("""COMPUTED_VALUE"""),"2016-06-11-J07-SO-29")</f>
        <v>2016-06-11-J07-SO-29</v>
      </c>
    </row>
    <row r="9771">
      <c r="A9771" t="str">
        <f>IFERROR(__xludf.DUMMYFUNCTION("""COMPUTED_VALUE"""),"2016-06-11-J07-SO-30")</f>
        <v>2016-06-11-J07-SO-30</v>
      </c>
    </row>
    <row r="9772">
      <c r="A9772" t="str">
        <f>IFERROR(__xludf.DUMMYFUNCTION("""COMPUTED_VALUE"""),"2016-06-11-J05-SO-1")</f>
        <v>2016-06-11-J05-SO-1</v>
      </c>
    </row>
    <row r="9773">
      <c r="A9773" t="str">
        <f>IFERROR(__xludf.DUMMYFUNCTION("""COMPUTED_VALUE"""),"2016-06-11-J05-SO-2")</f>
        <v>2016-06-11-J05-SO-2</v>
      </c>
    </row>
    <row r="9774">
      <c r="A9774" t="str">
        <f>IFERROR(__xludf.DUMMYFUNCTION("""COMPUTED_VALUE"""),"2016-06-11-J05-SO-3")</f>
        <v>2016-06-11-J05-SO-3</v>
      </c>
    </row>
    <row r="9775">
      <c r="A9775" t="str">
        <f>IFERROR(__xludf.DUMMYFUNCTION("""COMPUTED_VALUE"""),"2016-06-11-J05-SO-4")</f>
        <v>2016-06-11-J05-SO-4</v>
      </c>
    </row>
    <row r="9776">
      <c r="A9776" t="str">
        <f>IFERROR(__xludf.DUMMYFUNCTION("""COMPUTED_VALUE"""),"2016-06-11-J05-SO-5")</f>
        <v>2016-06-11-J05-SO-5</v>
      </c>
    </row>
    <row r="9777">
      <c r="A9777" t="str">
        <f>IFERROR(__xludf.DUMMYFUNCTION("""COMPUTED_VALUE"""),"2016-06-11-J05-SO-6")</f>
        <v>2016-06-11-J05-SO-6</v>
      </c>
    </row>
    <row r="9778">
      <c r="A9778" t="str">
        <f>IFERROR(__xludf.DUMMYFUNCTION("""COMPUTED_VALUE"""),"2016-06-11-J05-SO-7")</f>
        <v>2016-06-11-J05-SO-7</v>
      </c>
    </row>
    <row r="9779">
      <c r="A9779" t="str">
        <f>IFERROR(__xludf.DUMMYFUNCTION("""COMPUTED_VALUE"""),"2016-06-11-J05-SO-8")</f>
        <v>2016-06-11-J05-SO-8</v>
      </c>
    </row>
    <row r="9780">
      <c r="A9780" t="str">
        <f>IFERROR(__xludf.DUMMYFUNCTION("""COMPUTED_VALUE"""),"2016-06-11-J05-SO-9")</f>
        <v>2016-06-11-J05-SO-9</v>
      </c>
    </row>
    <row r="9781">
      <c r="A9781" t="str">
        <f>IFERROR(__xludf.DUMMYFUNCTION("""COMPUTED_VALUE"""),"2016-06-11-J05-SO-10")</f>
        <v>2016-06-11-J05-SO-10</v>
      </c>
    </row>
    <row r="9782">
      <c r="A9782" t="str">
        <f>IFERROR(__xludf.DUMMYFUNCTION("""COMPUTED_VALUE"""),"2016-06-11-J05-SO-11")</f>
        <v>2016-06-11-J05-SO-11</v>
      </c>
    </row>
    <row r="9783">
      <c r="A9783" t="str">
        <f>IFERROR(__xludf.DUMMYFUNCTION("""COMPUTED_VALUE"""),"2016-06-11-J05-SO-12")</f>
        <v>2016-06-11-J05-SO-12</v>
      </c>
    </row>
    <row r="9784">
      <c r="A9784" t="str">
        <f>IFERROR(__xludf.DUMMYFUNCTION("""COMPUTED_VALUE"""),"2016-06-11-J05-SO-13")</f>
        <v>2016-06-11-J05-SO-13</v>
      </c>
    </row>
    <row r="9785">
      <c r="A9785" t="str">
        <f>IFERROR(__xludf.DUMMYFUNCTION("""COMPUTED_VALUE"""),"2016-06-11-J05-SO-14")</f>
        <v>2016-06-11-J05-SO-14</v>
      </c>
    </row>
    <row r="9786">
      <c r="A9786" t="str">
        <f>IFERROR(__xludf.DUMMYFUNCTION("""COMPUTED_VALUE"""),"2016-06-11-J05-SO-15")</f>
        <v>2016-06-11-J05-SO-15</v>
      </c>
    </row>
    <row r="9787">
      <c r="A9787" t="str">
        <f>IFERROR(__xludf.DUMMYFUNCTION("""COMPUTED_VALUE"""),"2016-06-11-J05-SO-16")</f>
        <v>2016-06-11-J05-SO-16</v>
      </c>
    </row>
    <row r="9788">
      <c r="A9788" t="str">
        <f>IFERROR(__xludf.DUMMYFUNCTION("""COMPUTED_VALUE"""),"2016-06-11-J05-SO-17")</f>
        <v>2016-06-11-J05-SO-17</v>
      </c>
    </row>
    <row r="9789">
      <c r="A9789" t="str">
        <f>IFERROR(__xludf.DUMMYFUNCTION("""COMPUTED_VALUE"""),"2016-06-11-J05-SO-18")</f>
        <v>2016-06-11-J05-SO-18</v>
      </c>
    </row>
    <row r="9790">
      <c r="A9790" t="str">
        <f>IFERROR(__xludf.DUMMYFUNCTION("""COMPUTED_VALUE"""),"2016-06-11-J05-SO-19")</f>
        <v>2016-06-11-J05-SO-19</v>
      </c>
    </row>
    <row r="9791">
      <c r="A9791" t="str">
        <f>IFERROR(__xludf.DUMMYFUNCTION("""COMPUTED_VALUE"""),"2016-06-11-J05-SO-20")</f>
        <v>2016-06-11-J05-SO-20</v>
      </c>
    </row>
    <row r="9792">
      <c r="A9792" t="str">
        <f>IFERROR(__xludf.DUMMYFUNCTION("""COMPUTED_VALUE"""),"2016-06-11-J05-SO-21")</f>
        <v>2016-06-11-J05-SO-21</v>
      </c>
    </row>
    <row r="9793">
      <c r="A9793" t="str">
        <f>IFERROR(__xludf.DUMMYFUNCTION("""COMPUTED_VALUE"""),"2016-06-11-J05-SO-22")</f>
        <v>2016-06-11-J05-SO-22</v>
      </c>
    </row>
    <row r="9794">
      <c r="A9794" t="str">
        <f>IFERROR(__xludf.DUMMYFUNCTION("""COMPUTED_VALUE"""),"2016-06-11-J05-SO-23")</f>
        <v>2016-06-11-J05-SO-23</v>
      </c>
    </row>
    <row r="9795">
      <c r="A9795" t="str">
        <f>IFERROR(__xludf.DUMMYFUNCTION("""COMPUTED_VALUE"""),"2016-06-11-J05-SO-24")</f>
        <v>2016-06-11-J05-SO-24</v>
      </c>
    </row>
    <row r="9796">
      <c r="A9796" t="str">
        <f>IFERROR(__xludf.DUMMYFUNCTION("""COMPUTED_VALUE"""),"2016-06-11-J05-SO-25")</f>
        <v>2016-06-11-J05-SO-25</v>
      </c>
    </row>
    <row r="9797">
      <c r="A9797" t="str">
        <f>IFERROR(__xludf.DUMMYFUNCTION("""COMPUTED_VALUE"""),"2016-06-11-J05-SO-26")</f>
        <v>2016-06-11-J05-SO-26</v>
      </c>
    </row>
    <row r="9798">
      <c r="A9798" t="str">
        <f>IFERROR(__xludf.DUMMYFUNCTION("""COMPUTED_VALUE"""),"2016-06-11-J05-SO-27")</f>
        <v>2016-06-11-J05-SO-27</v>
      </c>
    </row>
    <row r="9799">
      <c r="A9799" t="str">
        <f>IFERROR(__xludf.DUMMYFUNCTION("""COMPUTED_VALUE"""),"2016-06-11-J05-SO-28")</f>
        <v>2016-06-11-J05-SO-28</v>
      </c>
    </row>
    <row r="9800">
      <c r="A9800" t="str">
        <f>IFERROR(__xludf.DUMMYFUNCTION("""COMPUTED_VALUE"""),"2016-06-11-J05-SO-29")</f>
        <v>2016-06-11-J05-SO-29</v>
      </c>
    </row>
    <row r="9801">
      <c r="A9801" t="str">
        <f>IFERROR(__xludf.DUMMYFUNCTION("""COMPUTED_VALUE"""),"2016-06-11-J05-SO-30")</f>
        <v>2016-06-11-J05-SO-30</v>
      </c>
    </row>
    <row r="9802">
      <c r="A9802" t="str">
        <f>IFERROR(__xludf.DUMMYFUNCTION("""COMPUTED_VALUE"""),"2016-06-11-D25-PI-1")</f>
        <v>2016-06-11-D25-PI-1</v>
      </c>
    </row>
    <row r="9803">
      <c r="A9803" t="str">
        <f>IFERROR(__xludf.DUMMYFUNCTION("""COMPUTED_VALUE"""),"2016-06-11-D25-PI-2")</f>
        <v>2016-06-11-D25-PI-2</v>
      </c>
    </row>
    <row r="9804">
      <c r="A9804" t="str">
        <f>IFERROR(__xludf.DUMMYFUNCTION("""COMPUTED_VALUE"""),"2016-06-11-D25-PI-3")</f>
        <v>2016-06-11-D25-PI-3</v>
      </c>
    </row>
    <row r="9805">
      <c r="A9805" t="str">
        <f>IFERROR(__xludf.DUMMYFUNCTION("""COMPUTED_VALUE"""),"2016-06-11-D25-PI-4")</f>
        <v>2016-06-11-D25-PI-4</v>
      </c>
    </row>
    <row r="9806">
      <c r="A9806" t="str">
        <f>IFERROR(__xludf.DUMMYFUNCTION("""COMPUTED_VALUE"""),"2016-06-11-D25-PI-5")</f>
        <v>2016-06-11-D25-PI-5</v>
      </c>
    </row>
    <row r="9807">
      <c r="A9807" t="str">
        <f>IFERROR(__xludf.DUMMYFUNCTION("""COMPUTED_VALUE"""),"2016-06-11-D25-PI-6")</f>
        <v>2016-06-11-D25-PI-6</v>
      </c>
    </row>
    <row r="9808">
      <c r="A9808" t="str">
        <f>IFERROR(__xludf.DUMMYFUNCTION("""COMPUTED_VALUE"""),"2016-06-11-D25-PI-7")</f>
        <v>2016-06-11-D25-PI-7</v>
      </c>
    </row>
    <row r="9809">
      <c r="A9809" t="str">
        <f>IFERROR(__xludf.DUMMYFUNCTION("""COMPUTED_VALUE"""),"2016-06-11-D25-PI-8")</f>
        <v>2016-06-11-D25-PI-8</v>
      </c>
    </row>
    <row r="9810">
      <c r="A9810" t="str">
        <f>IFERROR(__xludf.DUMMYFUNCTION("""COMPUTED_VALUE"""),"2016-06-11-J06-PI-1")</f>
        <v>2016-06-11-J06-PI-1</v>
      </c>
    </row>
    <row r="9811">
      <c r="A9811" t="str">
        <f>IFERROR(__xludf.DUMMYFUNCTION("""COMPUTED_VALUE"""),"2016-06-11-J06-PI-2")</f>
        <v>2016-06-11-J06-PI-2</v>
      </c>
    </row>
    <row r="9812">
      <c r="A9812" t="str">
        <f>IFERROR(__xludf.DUMMYFUNCTION("""COMPUTED_VALUE"""),"2016-06-11-J06-PI-3")</f>
        <v>2016-06-11-J06-PI-3</v>
      </c>
    </row>
    <row r="9813">
      <c r="A9813" t="str">
        <f>IFERROR(__xludf.DUMMYFUNCTION("""COMPUTED_VALUE"""),"2016-06-11-J06-PI-4")</f>
        <v>2016-06-11-J06-PI-4</v>
      </c>
    </row>
    <row r="9814">
      <c r="A9814" t="str">
        <f>IFERROR(__xludf.DUMMYFUNCTION("""COMPUTED_VALUE"""),"2016-06-11-J06-PI-5")</f>
        <v>2016-06-11-J06-PI-5</v>
      </c>
    </row>
    <row r="9815">
      <c r="A9815" t="str">
        <f>IFERROR(__xludf.DUMMYFUNCTION("""COMPUTED_VALUE"""),"2016-06-11-J06-PI-6")</f>
        <v>2016-06-11-J06-PI-6</v>
      </c>
    </row>
    <row r="9816">
      <c r="A9816" t="str">
        <f>IFERROR(__xludf.DUMMYFUNCTION("""COMPUTED_VALUE"""),"2016-06-11-J06-PI-7")</f>
        <v>2016-06-11-J06-PI-7</v>
      </c>
    </row>
    <row r="9817">
      <c r="A9817" t="str">
        <f>IFERROR(__xludf.DUMMYFUNCTION("""COMPUTED_VALUE"""),"2016-06-11-J06-PI-8")</f>
        <v>2016-06-11-J06-PI-8</v>
      </c>
    </row>
    <row r="9818">
      <c r="A9818" t="str">
        <f>IFERROR(__xludf.DUMMYFUNCTION("""COMPUTED_VALUE"""),"2016-06-11-J06-PI-9")</f>
        <v>2016-06-11-J06-PI-9</v>
      </c>
    </row>
    <row r="9819">
      <c r="A9819" t="str">
        <f>IFERROR(__xludf.DUMMYFUNCTION("""COMPUTED_VALUE"""),"2016-06-11-J06-PI-10")</f>
        <v>2016-06-11-J06-PI-10</v>
      </c>
    </row>
    <row r="9820">
      <c r="A9820" t="str">
        <f>IFERROR(__xludf.DUMMYFUNCTION("""COMPUTED_VALUE"""),"2016-06-11-J07-PI-1")</f>
        <v>2016-06-11-J07-PI-1</v>
      </c>
    </row>
    <row r="9821">
      <c r="A9821" t="str">
        <f>IFERROR(__xludf.DUMMYFUNCTION("""COMPUTED_VALUE"""),"2016-06-11-J07-PI-2")</f>
        <v>2016-06-11-J07-PI-2</v>
      </c>
    </row>
    <row r="9822">
      <c r="A9822" t="str">
        <f>IFERROR(__xludf.DUMMYFUNCTION("""COMPUTED_VALUE"""),"2016-06-11-J07-PI-3")</f>
        <v>2016-06-11-J07-PI-3</v>
      </c>
    </row>
    <row r="9823">
      <c r="A9823" t="str">
        <f>IFERROR(__xludf.DUMMYFUNCTION("""COMPUTED_VALUE"""),"2016-06-11-J07-PI-4")</f>
        <v>2016-06-11-J07-PI-4</v>
      </c>
    </row>
    <row r="9824">
      <c r="A9824" t="str">
        <f>IFERROR(__xludf.DUMMYFUNCTION("""COMPUTED_VALUE"""),"2016-06-11-J07-PI-5")</f>
        <v>2016-06-11-J07-PI-5</v>
      </c>
    </row>
    <row r="9825">
      <c r="A9825" t="str">
        <f>IFERROR(__xludf.DUMMYFUNCTION("""COMPUTED_VALUE"""),"2016-06-11-J07-PI-6")</f>
        <v>2016-06-11-J07-PI-6</v>
      </c>
    </row>
    <row r="9826">
      <c r="A9826" t="str">
        <f>IFERROR(__xludf.DUMMYFUNCTION("""COMPUTED_VALUE"""),"2016-06-11-J07-PI-7")</f>
        <v>2016-06-11-J07-PI-7</v>
      </c>
    </row>
    <row r="9827">
      <c r="A9827" t="str">
        <f>IFERROR(__xludf.DUMMYFUNCTION("""COMPUTED_VALUE"""),"2016-06-11-J07-PI-8")</f>
        <v>2016-06-11-J07-PI-8</v>
      </c>
    </row>
    <row r="9828">
      <c r="A9828" t="str">
        <f>IFERROR(__xludf.DUMMYFUNCTION("""COMPUTED_VALUE"""),"2016-06-11-J07-PI-9")</f>
        <v>2016-06-11-J07-PI-9</v>
      </c>
    </row>
    <row r="9829">
      <c r="A9829" t="str">
        <f>IFERROR(__xludf.DUMMYFUNCTION("""COMPUTED_VALUE"""),"2016-06-11-J07-PI-10")</f>
        <v>2016-06-11-J07-PI-10</v>
      </c>
    </row>
    <row r="9830">
      <c r="A9830" t="str">
        <f>IFERROR(__xludf.DUMMYFUNCTION("""COMPUTED_VALUE"""),"2016-06-11-J05-PI-1")</f>
        <v>2016-06-11-J05-PI-1</v>
      </c>
    </row>
    <row r="9831">
      <c r="A9831" t="str">
        <f>IFERROR(__xludf.DUMMYFUNCTION("""COMPUTED_VALUE"""),"2016-06-11-J05-PI-2")</f>
        <v>2016-06-11-J05-PI-2</v>
      </c>
    </row>
    <row r="9832">
      <c r="A9832" t="str">
        <f>IFERROR(__xludf.DUMMYFUNCTION("""COMPUTED_VALUE"""),"2016-06-11-J05-PI-3")</f>
        <v>2016-06-11-J05-PI-3</v>
      </c>
    </row>
    <row r="9833">
      <c r="A9833" t="str">
        <f>IFERROR(__xludf.DUMMYFUNCTION("""COMPUTED_VALUE"""),"2016-06-11-J05-PI-4")</f>
        <v>2016-06-11-J05-PI-4</v>
      </c>
    </row>
    <row r="9834">
      <c r="A9834" t="str">
        <f>IFERROR(__xludf.DUMMYFUNCTION("""COMPUTED_VALUE"""),"2016-06-11-J05-PI-5")</f>
        <v>2016-06-11-J05-PI-5</v>
      </c>
    </row>
    <row r="9835">
      <c r="A9835" t="str">
        <f>IFERROR(__xludf.DUMMYFUNCTION("""COMPUTED_VALUE"""),"2016-06-11-J05-PI-6")</f>
        <v>2016-06-11-J05-PI-6</v>
      </c>
    </row>
    <row r="9836">
      <c r="A9836" t="str">
        <f>IFERROR(__xludf.DUMMYFUNCTION("""COMPUTED_VALUE"""),"2016-06-11-J05-PI-7")</f>
        <v>2016-06-11-J05-PI-7</v>
      </c>
    </row>
    <row r="9837">
      <c r="A9837" t="str">
        <f>IFERROR(__xludf.DUMMYFUNCTION("""COMPUTED_VALUE"""),"2016-06-11-J05-PI-8")</f>
        <v>2016-06-11-J05-PI-8</v>
      </c>
    </row>
    <row r="9838">
      <c r="A9838" t="str">
        <f>IFERROR(__xludf.DUMMYFUNCTION("""COMPUTED_VALUE"""),"2016-06-11-J05-PI-9")</f>
        <v>2016-06-11-J05-PI-9</v>
      </c>
    </row>
    <row r="9839">
      <c r="A9839" t="str">
        <f>IFERROR(__xludf.DUMMYFUNCTION("""COMPUTED_VALUE"""),"2016-06-11-J05-PI-10")</f>
        <v>2016-06-11-J05-PI-10</v>
      </c>
    </row>
    <row r="9840">
      <c r="A9840" t="str">
        <f>IFERROR(__xludf.DUMMYFUNCTION("""COMPUTED_VALUE"""),"2016-06-11-D25-CU-1")</f>
        <v>2016-06-11-D25-CU-1</v>
      </c>
    </row>
    <row r="9841">
      <c r="A9841" t="str">
        <f>IFERROR(__xludf.DUMMYFUNCTION("""COMPUTED_VALUE"""),"2016-06-11-D25-CU-2")</f>
        <v>2016-06-11-D25-CU-2</v>
      </c>
    </row>
    <row r="9842">
      <c r="A9842" t="str">
        <f>IFERROR(__xludf.DUMMYFUNCTION("""COMPUTED_VALUE"""),"2016-06-11-D25-CU-3")</f>
        <v>2016-06-11-D25-CU-3</v>
      </c>
    </row>
    <row r="9843">
      <c r="A9843" t="str">
        <f>IFERROR(__xludf.DUMMYFUNCTION("""COMPUTED_VALUE"""),"2016-06-11-D25-CU-4")</f>
        <v>2016-06-11-D25-CU-4</v>
      </c>
    </row>
    <row r="9844">
      <c r="A9844" t="str">
        <f>IFERROR(__xludf.DUMMYFUNCTION("""COMPUTED_VALUE"""),"2016-06-11-D25-CU-5")</f>
        <v>2016-06-11-D25-CU-5</v>
      </c>
    </row>
    <row r="9845">
      <c r="A9845" t="str">
        <f>IFERROR(__xludf.DUMMYFUNCTION("""COMPUTED_VALUE"""),"2016-06-11-J06-CU-1")</f>
        <v>2016-06-11-J06-CU-1</v>
      </c>
    </row>
    <row r="9846">
      <c r="A9846" t="str">
        <f>IFERROR(__xludf.DUMMYFUNCTION("""COMPUTED_VALUE"""),"2016-06-11-J06-CU-2")</f>
        <v>2016-06-11-J06-CU-2</v>
      </c>
    </row>
    <row r="9847">
      <c r="A9847" t="str">
        <f>IFERROR(__xludf.DUMMYFUNCTION("""COMPUTED_VALUE"""),"2016-06-11-J06-CU-3")</f>
        <v>2016-06-11-J06-CU-3</v>
      </c>
    </row>
    <row r="9848">
      <c r="A9848" t="str">
        <f>IFERROR(__xludf.DUMMYFUNCTION("""COMPUTED_VALUE"""),"2016-06-11-J06-CU-4")</f>
        <v>2016-06-11-J06-CU-4</v>
      </c>
    </row>
    <row r="9849">
      <c r="A9849" t="str">
        <f>IFERROR(__xludf.DUMMYFUNCTION("""COMPUTED_VALUE"""),"2016-06-11-J06-CU-5")</f>
        <v>2016-06-11-J06-CU-5</v>
      </c>
    </row>
    <row r="9850">
      <c r="A9850" t="str">
        <f>IFERROR(__xludf.DUMMYFUNCTION("""COMPUTED_VALUE"""),"2016-06-11-J06-CU-6")</f>
        <v>2016-06-11-J06-CU-6</v>
      </c>
    </row>
    <row r="9851">
      <c r="A9851" t="str">
        <f>IFERROR(__xludf.DUMMYFUNCTION("""COMPUTED_VALUE"""),"2016-06-11-J06-CU-7")</f>
        <v>2016-06-11-J06-CU-7</v>
      </c>
    </row>
    <row r="9852">
      <c r="A9852" t="str">
        <f>IFERROR(__xludf.DUMMYFUNCTION("""COMPUTED_VALUE"""),"2016-06-11-J06-CU-8")</f>
        <v>2016-06-11-J06-CU-8</v>
      </c>
    </row>
    <row r="9853">
      <c r="A9853" t="str">
        <f>IFERROR(__xludf.DUMMYFUNCTION("""COMPUTED_VALUE"""),"2016-06-11-J06-CU-9")</f>
        <v>2016-06-11-J06-CU-9</v>
      </c>
    </row>
    <row r="9854">
      <c r="A9854" t="str">
        <f>IFERROR(__xludf.DUMMYFUNCTION("""COMPUTED_VALUE"""),"2016-06-11-J06-CU-10")</f>
        <v>2016-06-11-J06-CU-10</v>
      </c>
    </row>
    <row r="9855">
      <c r="A9855" t="str">
        <f>IFERROR(__xludf.DUMMYFUNCTION("""COMPUTED_VALUE"""),"2016-06-11-J07-CU-1")</f>
        <v>2016-06-11-J07-CU-1</v>
      </c>
    </row>
    <row r="9856">
      <c r="A9856" t="str">
        <f>IFERROR(__xludf.DUMMYFUNCTION("""COMPUTED_VALUE"""),"2016-06-11-J07-CU-2")</f>
        <v>2016-06-11-J07-CU-2</v>
      </c>
    </row>
    <row r="9857">
      <c r="A9857" t="str">
        <f>IFERROR(__xludf.DUMMYFUNCTION("""COMPUTED_VALUE"""),"2016-06-11-J07-CU-3")</f>
        <v>2016-06-11-J07-CU-3</v>
      </c>
    </row>
    <row r="9858">
      <c r="A9858" t="str">
        <f>IFERROR(__xludf.DUMMYFUNCTION("""COMPUTED_VALUE"""),"2016-06-11-J07-CU-4")</f>
        <v>2016-06-11-J07-CU-4</v>
      </c>
    </row>
    <row r="9859">
      <c r="A9859" t="str">
        <f>IFERROR(__xludf.DUMMYFUNCTION("""COMPUTED_VALUE"""),"2016-06-11-J07-CU-5")</f>
        <v>2016-06-11-J07-CU-5</v>
      </c>
    </row>
    <row r="9860">
      <c r="A9860" t="str">
        <f>IFERROR(__xludf.DUMMYFUNCTION("""COMPUTED_VALUE"""),"2016-06-11-J07-CU-6")</f>
        <v>2016-06-11-J07-CU-6</v>
      </c>
    </row>
    <row r="9861">
      <c r="A9861" t="str">
        <f>IFERROR(__xludf.DUMMYFUNCTION("""COMPUTED_VALUE"""),"2016-06-11-J07-CU-7")</f>
        <v>2016-06-11-J07-CU-7</v>
      </c>
    </row>
    <row r="9862">
      <c r="A9862" t="str">
        <f>IFERROR(__xludf.DUMMYFUNCTION("""COMPUTED_VALUE"""),"2016-06-11-J07-CU-8")</f>
        <v>2016-06-11-J07-CU-8</v>
      </c>
    </row>
    <row r="9863">
      <c r="A9863" t="str">
        <f>IFERROR(__xludf.DUMMYFUNCTION("""COMPUTED_VALUE"""),"2016-06-11-J07-CU-9")</f>
        <v>2016-06-11-J07-CU-9</v>
      </c>
    </row>
    <row r="9864">
      <c r="A9864" t="str">
        <f>IFERROR(__xludf.DUMMYFUNCTION("""COMPUTED_VALUE"""),"2016-06-11-J07-CU-10")</f>
        <v>2016-06-11-J07-CU-10</v>
      </c>
    </row>
    <row r="9865">
      <c r="A9865" t="str">
        <f>IFERROR(__xludf.DUMMYFUNCTION("""COMPUTED_VALUE"""),"2016-06-11-J05-CU-1")</f>
        <v>2016-06-11-J05-CU-1</v>
      </c>
    </row>
    <row r="9866">
      <c r="A9866" t="str">
        <f>IFERROR(__xludf.DUMMYFUNCTION("""COMPUTED_VALUE"""),"2016-06-11-J05-CU-2")</f>
        <v>2016-06-11-J05-CU-2</v>
      </c>
    </row>
    <row r="9867">
      <c r="A9867" t="str">
        <f>IFERROR(__xludf.DUMMYFUNCTION("""COMPUTED_VALUE"""),"2016-06-11-J05-CU-3")</f>
        <v>2016-06-11-J05-CU-3</v>
      </c>
    </row>
    <row r="9868">
      <c r="A9868" t="str">
        <f>IFERROR(__xludf.DUMMYFUNCTION("""COMPUTED_VALUE"""),"2016-06-11-J05-CU-4")</f>
        <v>2016-06-11-J05-CU-4</v>
      </c>
    </row>
    <row r="9869">
      <c r="A9869" t="str">
        <f>IFERROR(__xludf.DUMMYFUNCTION("""COMPUTED_VALUE"""),"2016-06-11-J05-CU-5")</f>
        <v>2016-06-11-J05-CU-5</v>
      </c>
    </row>
    <row r="9870">
      <c r="A9870" t="str">
        <f>IFERROR(__xludf.DUMMYFUNCTION("""COMPUTED_VALUE"""),"2016-06-11-J05-CU-6")</f>
        <v>2016-06-11-J05-CU-6</v>
      </c>
    </row>
    <row r="9871">
      <c r="A9871" t="str">
        <f>IFERROR(__xludf.DUMMYFUNCTION("""COMPUTED_VALUE"""),"2016-06-11-J05-CU-7")</f>
        <v>2016-06-11-J05-CU-7</v>
      </c>
    </row>
    <row r="9872">
      <c r="A9872" t="str">
        <f>IFERROR(__xludf.DUMMYFUNCTION("""COMPUTED_VALUE"""),"2016-06-11-J05-CU-8")</f>
        <v>2016-06-11-J05-CU-8</v>
      </c>
    </row>
    <row r="9873">
      <c r="A9873" t="str">
        <f>IFERROR(__xludf.DUMMYFUNCTION("""COMPUTED_VALUE"""),"2016-06-11-J05-CU-9")</f>
        <v>2016-06-11-J05-CU-9</v>
      </c>
    </row>
    <row r="9874">
      <c r="A9874" t="str">
        <f>IFERROR(__xludf.DUMMYFUNCTION("""COMPUTED_VALUE"""),"2016-06-11-J05-CU-10")</f>
        <v>2016-06-11-J05-CU-10</v>
      </c>
    </row>
    <row r="9875">
      <c r="A9875" t="str">
        <f>IFERROR(__xludf.DUMMYFUNCTION("""COMPUTED_VALUE"""),"2016-06-11-J06-CO-1")</f>
        <v>2016-06-11-J06-CO-1</v>
      </c>
    </row>
    <row r="9876">
      <c r="A9876" t="str">
        <f>IFERROR(__xludf.DUMMYFUNCTION("""COMPUTED_VALUE"""),"2016-06-11-J06-HE-1")</f>
        <v>2016-06-11-J06-HE-1</v>
      </c>
    </row>
    <row r="9877">
      <c r="A9877" t="str">
        <f>IFERROR(__xludf.DUMMYFUNCTION("""COMPUTED_VALUE"""),"2016-06-11-J07-HE-1")</f>
        <v>2016-06-11-J07-HE-1</v>
      </c>
    </row>
    <row r="9878">
      <c r="A9878" t="str">
        <f>IFERROR(__xludf.DUMMYFUNCTION("""COMPUTED_VALUE"""),"2016-06-11-J07-HE-2")</f>
        <v>2016-06-11-J07-HE-2</v>
      </c>
    </row>
    <row r="9879">
      <c r="A9879" t="str">
        <f>IFERROR(__xludf.DUMMYFUNCTION("""COMPUTED_VALUE"""),"2016-06-11-J07-HE-3")</f>
        <v>2016-06-11-J07-HE-3</v>
      </c>
    </row>
    <row r="9880">
      <c r="A9880" t="str">
        <f>IFERROR(__xludf.DUMMYFUNCTION("""COMPUTED_VALUE"""),"2016-06-11-J07-HE-4")</f>
        <v>2016-06-11-J07-HE-4</v>
      </c>
    </row>
    <row r="9881">
      <c r="A9881" t="str">
        <f>IFERROR(__xludf.DUMMYFUNCTION("""COMPUTED_VALUE"""),"2016-06-11-J07-HE-5")</f>
        <v>2016-06-11-J07-HE-5</v>
      </c>
    </row>
    <row r="9882">
      <c r="A9882" t="str">
        <f>IFERROR(__xludf.DUMMYFUNCTION("""COMPUTED_VALUE"""),"2016-06-13-D21-SO-1")</f>
        <v>2016-06-13-D21-SO-1</v>
      </c>
    </row>
    <row r="9883">
      <c r="A9883" t="str">
        <f>IFERROR(__xludf.DUMMYFUNCTION("""COMPUTED_VALUE"""),"2016-06-13-D21-SO-2")</f>
        <v>2016-06-13-D21-SO-2</v>
      </c>
    </row>
    <row r="9884">
      <c r="A9884" t="str">
        <f>IFERROR(__xludf.DUMMYFUNCTION("""COMPUTED_VALUE"""),"2016-06-13-D21-SO-3")</f>
        <v>2016-06-13-D21-SO-3</v>
      </c>
    </row>
    <row r="9885">
      <c r="A9885" t="str">
        <f>IFERROR(__xludf.DUMMYFUNCTION("""COMPUTED_VALUE"""),"2016-06-13-D21-SO-4")</f>
        <v>2016-06-13-D21-SO-4</v>
      </c>
    </row>
    <row r="9886">
      <c r="A9886" t="str">
        <f>IFERROR(__xludf.DUMMYFUNCTION("""COMPUTED_VALUE"""),"2016-06-13-D21-SO-5")</f>
        <v>2016-06-13-D21-SO-5</v>
      </c>
    </row>
    <row r="9887">
      <c r="A9887" t="str">
        <f>IFERROR(__xludf.DUMMYFUNCTION("""COMPUTED_VALUE"""),"2016-06-13-D21-SO-6")</f>
        <v>2016-06-13-D21-SO-6</v>
      </c>
    </row>
    <row r="9888">
      <c r="A9888" t="str">
        <f>IFERROR(__xludf.DUMMYFUNCTION("""COMPUTED_VALUE"""),"2016-06-13-D21-SO-7")</f>
        <v>2016-06-13-D21-SO-7</v>
      </c>
    </row>
    <row r="9889">
      <c r="A9889" t="str">
        <f>IFERROR(__xludf.DUMMYFUNCTION("""COMPUTED_VALUE"""),"2016-06-13-D21-SO-8")</f>
        <v>2016-06-13-D21-SO-8</v>
      </c>
    </row>
    <row r="9890">
      <c r="A9890" t="str">
        <f>IFERROR(__xludf.DUMMYFUNCTION("""COMPUTED_VALUE"""),"2016-06-13-D21-SO-9")</f>
        <v>2016-06-13-D21-SO-9</v>
      </c>
    </row>
    <row r="9891">
      <c r="A9891" t="str">
        <f>IFERROR(__xludf.DUMMYFUNCTION("""COMPUTED_VALUE"""),"2016-06-13-D21-SO-10")</f>
        <v>2016-06-13-D21-SO-10</v>
      </c>
    </row>
    <row r="9892">
      <c r="A9892" t="str">
        <f>IFERROR(__xludf.DUMMYFUNCTION("""COMPUTED_VALUE"""),"2016-06-13-D21-SO-11")</f>
        <v>2016-06-13-D21-SO-11</v>
      </c>
    </row>
    <row r="9893">
      <c r="A9893" t="str">
        <f>IFERROR(__xludf.DUMMYFUNCTION("""COMPUTED_VALUE"""),"2016-06-13-D21-SO-12")</f>
        <v>2016-06-13-D21-SO-12</v>
      </c>
    </row>
    <row r="9894">
      <c r="A9894" t="str">
        <f>IFERROR(__xludf.DUMMYFUNCTION("""COMPUTED_VALUE"""),"2016-06-13-D21-SO-13")</f>
        <v>2016-06-13-D21-SO-13</v>
      </c>
    </row>
    <row r="9895">
      <c r="A9895" t="str">
        <f>IFERROR(__xludf.DUMMYFUNCTION("""COMPUTED_VALUE"""),"2016-06-13-D21-SO-14")</f>
        <v>2016-06-13-D21-SO-14</v>
      </c>
    </row>
    <row r="9896">
      <c r="A9896" t="str">
        <f>IFERROR(__xludf.DUMMYFUNCTION("""COMPUTED_VALUE"""),"2016-06-13-D21-SO-15")</f>
        <v>2016-06-13-D21-SO-15</v>
      </c>
    </row>
    <row r="9897">
      <c r="A9897" t="str">
        <f>IFERROR(__xludf.DUMMYFUNCTION("""COMPUTED_VALUE"""),"2016-06-13-D21-PI-1")</f>
        <v>2016-06-13-D21-PI-1</v>
      </c>
    </row>
    <row r="9898">
      <c r="A9898" t="str">
        <f>IFERROR(__xludf.DUMMYFUNCTION("""COMPUTED_VALUE"""),"2016-06-13-D21-PI-2")</f>
        <v>2016-06-13-D21-PI-2</v>
      </c>
    </row>
    <row r="9899">
      <c r="A9899" t="str">
        <f>IFERROR(__xludf.DUMMYFUNCTION("""COMPUTED_VALUE"""),"2016-06-13-D21-PI-3")</f>
        <v>2016-06-13-D21-PI-3</v>
      </c>
    </row>
    <row r="9900">
      <c r="A9900" t="str">
        <f>IFERROR(__xludf.DUMMYFUNCTION("""COMPUTED_VALUE"""),"2016-06-13-D21-PI-4")</f>
        <v>2016-06-13-D21-PI-4</v>
      </c>
    </row>
    <row r="9901">
      <c r="A9901" t="str">
        <f>IFERROR(__xludf.DUMMYFUNCTION("""COMPUTED_VALUE"""),"2016-06-13-D21-PI-5")</f>
        <v>2016-06-13-D21-PI-5</v>
      </c>
    </row>
    <row r="9902">
      <c r="A9902" t="str">
        <f>IFERROR(__xludf.DUMMYFUNCTION("""COMPUTED_VALUE"""),"2016-06-13-D21-PI-6")</f>
        <v>2016-06-13-D21-PI-6</v>
      </c>
    </row>
    <row r="9903">
      <c r="A9903" t="str">
        <f>IFERROR(__xludf.DUMMYFUNCTION("""COMPUTED_VALUE"""),"2016-06-13-D21-PI-7")</f>
        <v>2016-06-13-D21-PI-7</v>
      </c>
    </row>
    <row r="9904">
      <c r="A9904" t="str">
        <f>IFERROR(__xludf.DUMMYFUNCTION("""COMPUTED_VALUE"""),"2016-06-13-D21-PI-8")</f>
        <v>2016-06-13-D21-PI-8</v>
      </c>
    </row>
    <row r="9905">
      <c r="A9905" t="str">
        <f>IFERROR(__xludf.DUMMYFUNCTION("""COMPUTED_VALUE"""),"2016-06-13-D21-PI-9")</f>
        <v>2016-06-13-D21-PI-9</v>
      </c>
    </row>
    <row r="9906">
      <c r="A9906" t="str">
        <f>IFERROR(__xludf.DUMMYFUNCTION("""COMPUTED_VALUE"""),"2016-06-13-D21-PI-10")</f>
        <v>2016-06-13-D21-PI-10</v>
      </c>
    </row>
    <row r="9907">
      <c r="A9907" t="str">
        <f>IFERROR(__xludf.DUMMYFUNCTION("""COMPUTED_VALUE"""),"2016-06-13-D21-CU-1")</f>
        <v>2016-06-13-D21-CU-1</v>
      </c>
    </row>
    <row r="9908">
      <c r="A9908" t="str">
        <f>IFERROR(__xludf.DUMMYFUNCTION("""COMPUTED_VALUE"""),"2016-06-13-D21-CU-2")</f>
        <v>2016-06-13-D21-CU-2</v>
      </c>
    </row>
    <row r="9909">
      <c r="A9909" t="str">
        <f>IFERROR(__xludf.DUMMYFUNCTION("""COMPUTED_VALUE"""),"2016-06-13-D21-CU-3")</f>
        <v>2016-06-13-D21-CU-3</v>
      </c>
    </row>
    <row r="9910">
      <c r="A9910" t="str">
        <f>IFERROR(__xludf.DUMMYFUNCTION("""COMPUTED_VALUE"""),"2016-06-13-D21-CU-4")</f>
        <v>2016-06-13-D21-CU-4</v>
      </c>
    </row>
    <row r="9911">
      <c r="A9911" t="str">
        <f>IFERROR(__xludf.DUMMYFUNCTION("""COMPUTED_VALUE"""),"2016-06-13-D21-CU-5")</f>
        <v>2016-06-13-D21-CU-5</v>
      </c>
    </row>
    <row r="9912">
      <c r="A9912" t="str">
        <f>IFERROR(__xludf.DUMMYFUNCTION("""COMPUTED_VALUE"""),"2016-06-13-D21-CU-6")</f>
        <v>2016-06-13-D21-CU-6</v>
      </c>
    </row>
    <row r="9913">
      <c r="A9913" t="str">
        <f>IFERROR(__xludf.DUMMYFUNCTION("""COMPUTED_VALUE"""),"2016-06-13-D21-CU-7")</f>
        <v>2016-06-13-D21-CU-7</v>
      </c>
    </row>
    <row r="9914">
      <c r="A9914" t="str">
        <f>IFERROR(__xludf.DUMMYFUNCTION("""COMPUTED_VALUE"""),"2016-06-13-D21-CU-8")</f>
        <v>2016-06-13-D21-CU-8</v>
      </c>
    </row>
    <row r="9915">
      <c r="A9915" t="str">
        <f>IFERROR(__xludf.DUMMYFUNCTION("""COMPUTED_VALUE"""),"2016-06-13-D21-CU-9")</f>
        <v>2016-06-13-D21-CU-9</v>
      </c>
    </row>
    <row r="9916">
      <c r="A9916" t="str">
        <f>IFERROR(__xludf.DUMMYFUNCTION("""COMPUTED_VALUE"""),"2016-06-14-D22-SO-1")</f>
        <v>2016-06-14-D22-SO-1</v>
      </c>
    </row>
    <row r="9917">
      <c r="A9917" t="str">
        <f>IFERROR(__xludf.DUMMYFUNCTION("""COMPUTED_VALUE"""),"2016-06-14-D22-SO-2")</f>
        <v>2016-06-14-D22-SO-2</v>
      </c>
    </row>
    <row r="9918">
      <c r="A9918" t="str">
        <f>IFERROR(__xludf.DUMMYFUNCTION("""COMPUTED_VALUE"""),"2016-06-14-D22-SO-3")</f>
        <v>2016-06-14-D22-SO-3</v>
      </c>
    </row>
    <row r="9919">
      <c r="A9919" t="str">
        <f>IFERROR(__xludf.DUMMYFUNCTION("""COMPUTED_VALUE"""),"2016-06-14-D22-SO-4")</f>
        <v>2016-06-14-D22-SO-4</v>
      </c>
    </row>
    <row r="9920">
      <c r="A9920" t="str">
        <f>IFERROR(__xludf.DUMMYFUNCTION("""COMPUTED_VALUE"""),"2016-06-14-D22-SO-5")</f>
        <v>2016-06-14-D22-SO-5</v>
      </c>
    </row>
    <row r="9921">
      <c r="A9921" t="str">
        <f>IFERROR(__xludf.DUMMYFUNCTION("""COMPUTED_VALUE"""),"2016-06-14-D22-SO-6")</f>
        <v>2016-06-14-D22-SO-6</v>
      </c>
    </row>
    <row r="9922">
      <c r="A9922" t="str">
        <f>IFERROR(__xludf.DUMMYFUNCTION("""COMPUTED_VALUE"""),"2016-06-14-D22-SO-7")</f>
        <v>2016-06-14-D22-SO-7</v>
      </c>
    </row>
    <row r="9923">
      <c r="A9923" t="str">
        <f>IFERROR(__xludf.DUMMYFUNCTION("""COMPUTED_VALUE"""),"2016-06-14-D22-SO-8")</f>
        <v>2016-06-14-D22-SO-8</v>
      </c>
    </row>
    <row r="9924">
      <c r="A9924" t="str">
        <f>IFERROR(__xludf.DUMMYFUNCTION("""COMPUTED_VALUE"""),"2016-06-14-D22-SO-9")</f>
        <v>2016-06-14-D22-SO-9</v>
      </c>
    </row>
    <row r="9925">
      <c r="A9925" t="str">
        <f>IFERROR(__xludf.DUMMYFUNCTION("""COMPUTED_VALUE"""),"2016-06-14-D22-SO-10")</f>
        <v>2016-06-14-D22-SO-10</v>
      </c>
    </row>
    <row r="9926">
      <c r="A9926" t="str">
        <f>IFERROR(__xludf.DUMMYFUNCTION("""COMPUTED_VALUE"""),"2016-06-14-D22-SO-11")</f>
        <v>2016-06-14-D22-SO-11</v>
      </c>
    </row>
    <row r="9927">
      <c r="A9927" t="str">
        <f>IFERROR(__xludf.DUMMYFUNCTION("""COMPUTED_VALUE"""),"2016-06-14-D22-SO-12")</f>
        <v>2016-06-14-D22-SO-12</v>
      </c>
    </row>
    <row r="9928">
      <c r="A9928" t="str">
        <f>IFERROR(__xludf.DUMMYFUNCTION("""COMPUTED_VALUE"""),"2016-06-14-D22-SO-13")</f>
        <v>2016-06-14-D22-SO-13</v>
      </c>
    </row>
    <row r="9929">
      <c r="A9929" t="str">
        <f>IFERROR(__xludf.DUMMYFUNCTION("""COMPUTED_VALUE"""),"2016-06-14-D22-SO-14")</f>
        <v>2016-06-14-D22-SO-14</v>
      </c>
    </row>
    <row r="9930">
      <c r="A9930" t="str">
        <f>IFERROR(__xludf.DUMMYFUNCTION("""COMPUTED_VALUE"""),"2016-06-14-D22-SO-15")</f>
        <v>2016-06-14-D22-SO-15</v>
      </c>
    </row>
    <row r="9931">
      <c r="A9931" t="str">
        <f>IFERROR(__xludf.DUMMYFUNCTION("""COMPUTED_VALUE"""),"2016-06-14-D22-SO-16")</f>
        <v>2016-06-14-D22-SO-16</v>
      </c>
    </row>
    <row r="9932">
      <c r="A9932" t="str">
        <f>IFERROR(__xludf.DUMMYFUNCTION("""COMPUTED_VALUE"""),"2016-06-14-D22-SO-17")</f>
        <v>2016-06-14-D22-SO-17</v>
      </c>
    </row>
    <row r="9933">
      <c r="A9933" t="str">
        <f>IFERROR(__xludf.DUMMYFUNCTION("""COMPUTED_VALUE"""),"2016-06-14-D22-SO-18")</f>
        <v>2016-06-14-D22-SO-18</v>
      </c>
    </row>
    <row r="9934">
      <c r="A9934" t="str">
        <f>IFERROR(__xludf.DUMMYFUNCTION("""COMPUTED_VALUE"""),"2016-06-14-D22-SO-19")</f>
        <v>2016-06-14-D22-SO-19</v>
      </c>
    </row>
    <row r="9935">
      <c r="A9935" t="str">
        <f>IFERROR(__xludf.DUMMYFUNCTION("""COMPUTED_VALUE"""),"2016-06-14-D22-SO-20")</f>
        <v>2016-06-14-D22-SO-20</v>
      </c>
    </row>
    <row r="9936">
      <c r="A9936" t="str">
        <f>IFERROR(__xludf.DUMMYFUNCTION("""COMPUTED_VALUE"""),"2016-06-14-D22-SO-21")</f>
        <v>2016-06-14-D22-SO-21</v>
      </c>
    </row>
    <row r="9937">
      <c r="A9937" t="str">
        <f>IFERROR(__xludf.DUMMYFUNCTION("""COMPUTED_VALUE"""),"2016-06-14-D22-SO-22")</f>
        <v>2016-06-14-D22-SO-22</v>
      </c>
    </row>
    <row r="9938">
      <c r="A9938" t="str">
        <f>IFERROR(__xludf.DUMMYFUNCTION("""COMPUTED_VALUE"""),"2016-06-14-D22-SO-23")</f>
        <v>2016-06-14-D22-SO-23</v>
      </c>
    </row>
    <row r="9939">
      <c r="A9939" t="str">
        <f>IFERROR(__xludf.DUMMYFUNCTION("""COMPUTED_VALUE"""),"2016-06-14-D22-SO-24")</f>
        <v>2016-06-14-D22-SO-24</v>
      </c>
    </row>
    <row r="9940">
      <c r="A9940" t="str">
        <f>IFERROR(__xludf.DUMMYFUNCTION("""COMPUTED_VALUE"""),"2016-06-14-D22-SO-25")</f>
        <v>2016-06-14-D22-SO-25</v>
      </c>
    </row>
    <row r="9941">
      <c r="A9941" t="str">
        <f>IFERROR(__xludf.DUMMYFUNCTION("""COMPUTED_VALUE"""),"2016-06-14-D22-SO-26")</f>
        <v>2016-06-14-D22-SO-26</v>
      </c>
    </row>
    <row r="9942">
      <c r="A9942" t="str">
        <f>IFERROR(__xludf.DUMMYFUNCTION("""COMPUTED_VALUE"""),"2016-06-14-D22-SO-27")</f>
        <v>2016-06-14-D22-SO-27</v>
      </c>
    </row>
    <row r="9943">
      <c r="A9943" t="str">
        <f>IFERROR(__xludf.DUMMYFUNCTION("""COMPUTED_VALUE"""),"2016-06-14-D22-SO-28")</f>
        <v>2016-06-14-D22-SO-28</v>
      </c>
    </row>
    <row r="9944">
      <c r="A9944" t="str">
        <f>IFERROR(__xludf.DUMMYFUNCTION("""COMPUTED_VALUE"""),"2016-06-14-D22-SO-29")</f>
        <v>2016-06-14-D22-SO-29</v>
      </c>
    </row>
    <row r="9945">
      <c r="A9945" t="str">
        <f>IFERROR(__xludf.DUMMYFUNCTION("""COMPUTED_VALUE"""),"2016-06-14-D22-SO-30")</f>
        <v>2016-06-14-D22-SO-30</v>
      </c>
    </row>
    <row r="9946">
      <c r="A9946" t="str">
        <f>IFERROR(__xludf.DUMMYFUNCTION("""COMPUTED_VALUE"""),"2016-06-14-D27-SO-1")</f>
        <v>2016-06-14-D27-SO-1</v>
      </c>
    </row>
    <row r="9947">
      <c r="A9947" t="str">
        <f>IFERROR(__xludf.DUMMYFUNCTION("""COMPUTED_VALUE"""),"2016-06-14-D27-SO-2")</f>
        <v>2016-06-14-D27-SO-2</v>
      </c>
    </row>
    <row r="9948">
      <c r="A9948" t="str">
        <f>IFERROR(__xludf.DUMMYFUNCTION("""COMPUTED_VALUE"""),"2016-06-14-D27-SO-3")</f>
        <v>2016-06-14-D27-SO-3</v>
      </c>
    </row>
    <row r="9949">
      <c r="A9949" t="str">
        <f>IFERROR(__xludf.DUMMYFUNCTION("""COMPUTED_VALUE"""),"2016-06-14-D27-SO-4")</f>
        <v>2016-06-14-D27-SO-4</v>
      </c>
    </row>
    <row r="9950">
      <c r="A9950" t="str">
        <f>IFERROR(__xludf.DUMMYFUNCTION("""COMPUTED_VALUE"""),"2016-06-14-D27-SO-5")</f>
        <v>2016-06-14-D27-SO-5</v>
      </c>
    </row>
    <row r="9951">
      <c r="A9951" t="str">
        <f>IFERROR(__xludf.DUMMYFUNCTION("""COMPUTED_VALUE"""),"2016-06-14-D27-SO-6")</f>
        <v>2016-06-14-D27-SO-6</v>
      </c>
    </row>
    <row r="9952">
      <c r="A9952" t="str">
        <f>IFERROR(__xludf.DUMMYFUNCTION("""COMPUTED_VALUE"""),"2016-06-14-D09-SO-1")</f>
        <v>2016-06-14-D09-SO-1</v>
      </c>
    </row>
    <row r="9953">
      <c r="A9953" t="str">
        <f>IFERROR(__xludf.DUMMYFUNCTION("""COMPUTED_VALUE"""),"2016-06-14-D09-SO-2")</f>
        <v>2016-06-14-D09-SO-2</v>
      </c>
    </row>
    <row r="9954">
      <c r="A9954" t="str">
        <f>IFERROR(__xludf.DUMMYFUNCTION("""COMPUTED_VALUE"""),"2016-06-14-D09-SO-3")</f>
        <v>2016-06-14-D09-SO-3</v>
      </c>
    </row>
    <row r="9955">
      <c r="A9955" t="str">
        <f>IFERROR(__xludf.DUMMYFUNCTION("""COMPUTED_VALUE"""),"2016-06-14-D09-SO-4")</f>
        <v>2016-06-14-D09-SO-4</v>
      </c>
    </row>
    <row r="9956">
      <c r="A9956" t="str">
        <f>IFERROR(__xludf.DUMMYFUNCTION("""COMPUTED_VALUE"""),"2016-06-14-D09-SO-5")</f>
        <v>2016-06-14-D09-SO-5</v>
      </c>
    </row>
    <row r="9957">
      <c r="A9957" t="str">
        <f>IFERROR(__xludf.DUMMYFUNCTION("""COMPUTED_VALUE"""),"2016-06-14-D09-SO-6")</f>
        <v>2016-06-14-D09-SO-6</v>
      </c>
    </row>
    <row r="9958">
      <c r="A9958" t="str">
        <f>IFERROR(__xludf.DUMMYFUNCTION("""COMPUTED_VALUE"""),"2016-06-14-D09-SO-7")</f>
        <v>2016-06-14-D09-SO-7</v>
      </c>
    </row>
    <row r="9959">
      <c r="A9959" t="str">
        <f>IFERROR(__xludf.DUMMYFUNCTION("""COMPUTED_VALUE"""),"2016-06-14-D09-SO-8")</f>
        <v>2016-06-14-D09-SO-8</v>
      </c>
    </row>
    <row r="9960">
      <c r="A9960" t="str">
        <f>IFERROR(__xludf.DUMMYFUNCTION("""COMPUTED_VALUE"""),"2016-06-14-D09-SO-9")</f>
        <v>2016-06-14-D09-SO-9</v>
      </c>
    </row>
    <row r="9961">
      <c r="A9961" t="str">
        <f>IFERROR(__xludf.DUMMYFUNCTION("""COMPUTED_VALUE"""),"2016-06-14-D09-SO-10")</f>
        <v>2016-06-14-D09-SO-10</v>
      </c>
    </row>
    <row r="9962">
      <c r="A9962" t="str">
        <f>IFERROR(__xludf.DUMMYFUNCTION("""COMPUTED_VALUE"""),"2016-06-14-D09-SO-11")</f>
        <v>2016-06-14-D09-SO-11</v>
      </c>
    </row>
    <row r="9963">
      <c r="A9963" t="str">
        <f>IFERROR(__xludf.DUMMYFUNCTION("""COMPUTED_VALUE"""),"2016-06-14-D09-SO-12")</f>
        <v>2016-06-14-D09-SO-12</v>
      </c>
    </row>
    <row r="9964">
      <c r="A9964" t="str">
        <f>IFERROR(__xludf.DUMMYFUNCTION("""COMPUTED_VALUE"""),"2016-06-14-D09-SO-13")</f>
        <v>2016-06-14-D09-SO-13</v>
      </c>
    </row>
    <row r="9965">
      <c r="A9965" t="str">
        <f>IFERROR(__xludf.DUMMYFUNCTION("""COMPUTED_VALUE"""),"2016-06-14-D09-SO-14")</f>
        <v>2016-06-14-D09-SO-14</v>
      </c>
    </row>
    <row r="9966">
      <c r="A9966" t="str">
        <f>IFERROR(__xludf.DUMMYFUNCTION("""COMPUTED_VALUE"""),"2016-06-14-D09-SO-15")</f>
        <v>2016-06-14-D09-SO-15</v>
      </c>
    </row>
    <row r="9967">
      <c r="A9967" t="str">
        <f>IFERROR(__xludf.DUMMYFUNCTION("""COMPUTED_VALUE"""),"2016-06-14-D09-SO-16")</f>
        <v>2016-06-14-D09-SO-16</v>
      </c>
    </row>
    <row r="9968">
      <c r="A9968" t="str">
        <f>IFERROR(__xludf.DUMMYFUNCTION("""COMPUTED_VALUE"""),"2016-06-14-D09-SO-17")</f>
        <v>2016-06-14-D09-SO-17</v>
      </c>
    </row>
    <row r="9969">
      <c r="A9969" t="str">
        <f>IFERROR(__xludf.DUMMYFUNCTION("""COMPUTED_VALUE"""),"2016-06-14-D09-SO-18")</f>
        <v>2016-06-14-D09-SO-18</v>
      </c>
    </row>
    <row r="9970">
      <c r="A9970" t="str">
        <f>IFERROR(__xludf.DUMMYFUNCTION("""COMPUTED_VALUE"""),"2016-06-14-D09-SO-19")</f>
        <v>2016-06-14-D09-SO-19</v>
      </c>
    </row>
    <row r="9971">
      <c r="A9971" t="str">
        <f>IFERROR(__xludf.DUMMYFUNCTION("""COMPUTED_VALUE"""),"2016-06-14-D09-SO-20")</f>
        <v>2016-06-14-D09-SO-20</v>
      </c>
    </row>
    <row r="9972">
      <c r="A9972" t="str">
        <f>IFERROR(__xludf.DUMMYFUNCTION("""COMPUTED_VALUE"""),"2016-06-14-D09-SO-21")</f>
        <v>2016-06-14-D09-SO-21</v>
      </c>
    </row>
    <row r="9973">
      <c r="A9973" t="str">
        <f>IFERROR(__xludf.DUMMYFUNCTION("""COMPUTED_VALUE"""),"2016-06-14-D09-SO-22")</f>
        <v>2016-06-14-D09-SO-22</v>
      </c>
    </row>
    <row r="9974">
      <c r="A9974" t="str">
        <f>IFERROR(__xludf.DUMMYFUNCTION("""COMPUTED_VALUE"""),"2016-06-14-D09-SO-23")</f>
        <v>2016-06-14-D09-SO-23</v>
      </c>
    </row>
    <row r="9975">
      <c r="A9975" t="str">
        <f>IFERROR(__xludf.DUMMYFUNCTION("""COMPUTED_VALUE"""),"2016-06-14-D09-SO-24")</f>
        <v>2016-06-14-D09-SO-24</v>
      </c>
    </row>
    <row r="9976">
      <c r="A9976" t="str">
        <f>IFERROR(__xludf.DUMMYFUNCTION("""COMPUTED_VALUE"""),"2016-06-14-D09-SO-25")</f>
        <v>2016-06-14-D09-SO-25</v>
      </c>
    </row>
    <row r="9977">
      <c r="A9977" t="str">
        <f>IFERROR(__xludf.DUMMYFUNCTION("""COMPUTED_VALUE"""),"2016-06-14-D09-SO-26")</f>
        <v>2016-06-14-D09-SO-26</v>
      </c>
    </row>
    <row r="9978">
      <c r="A9978" t="str">
        <f>IFERROR(__xludf.DUMMYFUNCTION("""COMPUTED_VALUE"""),"2016-06-14-D09-SO-27")</f>
        <v>2016-06-14-D09-SO-27</v>
      </c>
    </row>
    <row r="9979">
      <c r="A9979" t="str">
        <f>IFERROR(__xludf.DUMMYFUNCTION("""COMPUTED_VALUE"""),"2016-06-14-D09-SO-28")</f>
        <v>2016-06-14-D09-SO-28</v>
      </c>
    </row>
    <row r="9980">
      <c r="A9980" t="str">
        <f>IFERROR(__xludf.DUMMYFUNCTION("""COMPUTED_VALUE"""),"2016-06-14-D09-SO-29")</f>
        <v>2016-06-14-D09-SO-29</v>
      </c>
    </row>
    <row r="9981">
      <c r="A9981" t="str">
        <f>IFERROR(__xludf.DUMMYFUNCTION("""COMPUTED_VALUE"""),"2016-06-14-D09-SO-30")</f>
        <v>2016-06-14-D09-SO-30</v>
      </c>
    </row>
    <row r="9982">
      <c r="A9982" t="str">
        <f>IFERROR(__xludf.DUMMYFUNCTION("""COMPUTED_VALUE"""),"2016-06-14-D22-PI-1")</f>
        <v>2016-06-14-D22-PI-1</v>
      </c>
    </row>
    <row r="9983">
      <c r="A9983" t="str">
        <f>IFERROR(__xludf.DUMMYFUNCTION("""COMPUTED_VALUE"""),"2016-06-14-D22-PI-2")</f>
        <v>2016-06-14-D22-PI-2</v>
      </c>
    </row>
    <row r="9984">
      <c r="A9984" t="str">
        <f>IFERROR(__xludf.DUMMYFUNCTION("""COMPUTED_VALUE"""),"2016-06-14-D22-PI-3")</f>
        <v>2016-06-14-D22-PI-3</v>
      </c>
    </row>
    <row r="9985">
      <c r="A9985" t="str">
        <f>IFERROR(__xludf.DUMMYFUNCTION("""COMPUTED_VALUE"""),"2016-06-14-D22-PI-4")</f>
        <v>2016-06-14-D22-PI-4</v>
      </c>
    </row>
    <row r="9986">
      <c r="A9986" t="str">
        <f>IFERROR(__xludf.DUMMYFUNCTION("""COMPUTED_VALUE"""),"2016-06-14-D22-PI-5")</f>
        <v>2016-06-14-D22-PI-5</v>
      </c>
    </row>
    <row r="9987">
      <c r="A9987" t="str">
        <f>IFERROR(__xludf.DUMMYFUNCTION("""COMPUTED_VALUE"""),"2016-06-14-D22-PI-6")</f>
        <v>2016-06-14-D22-PI-6</v>
      </c>
    </row>
    <row r="9988">
      <c r="A9988" t="str">
        <f>IFERROR(__xludf.DUMMYFUNCTION("""COMPUTED_VALUE"""),"2016-06-14-D22-PI-7")</f>
        <v>2016-06-14-D22-PI-7</v>
      </c>
    </row>
    <row r="9989">
      <c r="A9989" t="str">
        <f>IFERROR(__xludf.DUMMYFUNCTION("""COMPUTED_VALUE"""),"2016-06-14-D22-PI-8")</f>
        <v>2016-06-14-D22-PI-8</v>
      </c>
    </row>
    <row r="9990">
      <c r="A9990" t="str">
        <f>IFERROR(__xludf.DUMMYFUNCTION("""COMPUTED_VALUE"""),"2016-06-14-D22-PI-9")</f>
        <v>2016-06-14-D22-PI-9</v>
      </c>
    </row>
    <row r="9991">
      <c r="A9991" t="str">
        <f>IFERROR(__xludf.DUMMYFUNCTION("""COMPUTED_VALUE"""),"2016-06-14-D22-PI-10")</f>
        <v>2016-06-14-D22-PI-10</v>
      </c>
    </row>
    <row r="9992">
      <c r="A9992" t="str">
        <f>IFERROR(__xludf.DUMMYFUNCTION("""COMPUTED_VALUE"""),"2016-06-14-D27-PI-1")</f>
        <v>2016-06-14-D27-PI-1</v>
      </c>
    </row>
    <row r="9993">
      <c r="A9993" t="str">
        <f>IFERROR(__xludf.DUMMYFUNCTION("""COMPUTED_VALUE"""),"2016-06-14-D27-PI-2")</f>
        <v>2016-06-14-D27-PI-2</v>
      </c>
    </row>
    <row r="9994">
      <c r="A9994" t="str">
        <f>IFERROR(__xludf.DUMMYFUNCTION("""COMPUTED_VALUE"""),"2016-06-14-D27-PI-3")</f>
        <v>2016-06-14-D27-PI-3</v>
      </c>
    </row>
    <row r="9995">
      <c r="A9995" t="str">
        <f>IFERROR(__xludf.DUMMYFUNCTION("""COMPUTED_VALUE"""),"2016-06-14-D27-PI-4")</f>
        <v>2016-06-14-D27-PI-4</v>
      </c>
    </row>
    <row r="9996">
      <c r="A9996" t="str">
        <f>IFERROR(__xludf.DUMMYFUNCTION("""COMPUTED_VALUE"""),"2016-06-14-D27-PI-5")</f>
        <v>2016-06-14-D27-PI-5</v>
      </c>
    </row>
    <row r="9997">
      <c r="A9997" t="str">
        <f>IFERROR(__xludf.DUMMYFUNCTION("""COMPUTED_VALUE"""),"2016-06-14-D27-PI-6")</f>
        <v>2016-06-14-D27-PI-6</v>
      </c>
    </row>
    <row r="9998">
      <c r="A9998" t="str">
        <f>IFERROR(__xludf.DUMMYFUNCTION("""COMPUTED_VALUE"""),"2016-06-14-D27-PI-7")</f>
        <v>2016-06-14-D27-PI-7</v>
      </c>
    </row>
    <row r="9999">
      <c r="A9999" t="str">
        <f>IFERROR(__xludf.DUMMYFUNCTION("""COMPUTED_VALUE"""),"2016-06-14-D27-PI-8")</f>
        <v>2016-06-14-D27-PI-8</v>
      </c>
    </row>
    <row r="10000">
      <c r="A10000" t="str">
        <f>IFERROR(__xludf.DUMMYFUNCTION("""COMPUTED_VALUE"""),"2016-06-14-D27-PI-9")</f>
        <v>2016-06-14-D27-PI-9</v>
      </c>
    </row>
    <row r="10001">
      <c r="A10001" t="str">
        <f>IFERROR(__xludf.DUMMYFUNCTION("""COMPUTED_VALUE"""),"2016-06-14-D27-PI-10")</f>
        <v>2016-06-14-D27-PI-10</v>
      </c>
    </row>
    <row r="10002">
      <c r="A10002" t="str">
        <f>IFERROR(__xludf.DUMMYFUNCTION("""COMPUTED_VALUE"""),"2016-06-14-D09-PI-1")</f>
        <v>2016-06-14-D09-PI-1</v>
      </c>
    </row>
    <row r="10003">
      <c r="A10003" t="str">
        <f>IFERROR(__xludf.DUMMYFUNCTION("""COMPUTED_VALUE"""),"2016-06-14-D09-PI-2")</f>
        <v>2016-06-14-D09-PI-2</v>
      </c>
    </row>
    <row r="10004">
      <c r="A10004" t="str">
        <f>IFERROR(__xludf.DUMMYFUNCTION("""COMPUTED_VALUE"""),"2016-06-14-D09-PI-3")</f>
        <v>2016-06-14-D09-PI-3</v>
      </c>
    </row>
    <row r="10005">
      <c r="A10005" t="str">
        <f>IFERROR(__xludf.DUMMYFUNCTION("""COMPUTED_VALUE"""),"2016-06-14-D09-PI-4")</f>
        <v>2016-06-14-D09-PI-4</v>
      </c>
    </row>
    <row r="10006">
      <c r="A10006" t="str">
        <f>IFERROR(__xludf.DUMMYFUNCTION("""COMPUTED_VALUE"""),"2016-06-14-D09-PI-5")</f>
        <v>2016-06-14-D09-PI-5</v>
      </c>
    </row>
    <row r="10007">
      <c r="A10007" t="str">
        <f>IFERROR(__xludf.DUMMYFUNCTION("""COMPUTED_VALUE"""),"2016-06-14-D09-PI-6")</f>
        <v>2016-06-14-D09-PI-6</v>
      </c>
    </row>
    <row r="10008">
      <c r="A10008" t="str">
        <f>IFERROR(__xludf.DUMMYFUNCTION("""COMPUTED_VALUE"""),"2016-06-14-D09-PI-7")</f>
        <v>2016-06-14-D09-PI-7</v>
      </c>
    </row>
    <row r="10009">
      <c r="A10009" t="str">
        <f>IFERROR(__xludf.DUMMYFUNCTION("""COMPUTED_VALUE"""),"2016-06-14-D09-PI-8")</f>
        <v>2016-06-14-D09-PI-8</v>
      </c>
    </row>
    <row r="10010">
      <c r="A10010" t="str">
        <f>IFERROR(__xludf.DUMMYFUNCTION("""COMPUTED_VALUE"""),"2016-06-14-D09-PI-9")</f>
        <v>2016-06-14-D09-PI-9</v>
      </c>
    </row>
    <row r="10011">
      <c r="A10011" t="str">
        <f>IFERROR(__xludf.DUMMYFUNCTION("""COMPUTED_VALUE"""),"2016-06-14-D09-PI-10")</f>
        <v>2016-06-14-D09-PI-10</v>
      </c>
    </row>
    <row r="10012">
      <c r="A10012" t="str">
        <f>IFERROR(__xludf.DUMMYFUNCTION("""COMPUTED_VALUE"""),"2016-06-14-D22-CU-1")</f>
        <v>2016-06-14-D22-CU-1</v>
      </c>
    </row>
    <row r="10013">
      <c r="A10013" t="str">
        <f>IFERROR(__xludf.DUMMYFUNCTION("""COMPUTED_VALUE"""),"2016-06-14-D22-CU-2")</f>
        <v>2016-06-14-D22-CU-2</v>
      </c>
    </row>
    <row r="10014">
      <c r="A10014" t="str">
        <f>IFERROR(__xludf.DUMMYFUNCTION("""COMPUTED_VALUE"""),"2016-06-14-D22-CU-3")</f>
        <v>2016-06-14-D22-CU-3</v>
      </c>
    </row>
    <row r="10015">
      <c r="A10015" t="str">
        <f>IFERROR(__xludf.DUMMYFUNCTION("""COMPUTED_VALUE"""),"2016-06-14-D22-CU-4")</f>
        <v>2016-06-14-D22-CU-4</v>
      </c>
    </row>
    <row r="10016">
      <c r="A10016" t="str">
        <f>IFERROR(__xludf.DUMMYFUNCTION("""COMPUTED_VALUE"""),"2016-06-14-D22-CU-5")</f>
        <v>2016-06-14-D22-CU-5</v>
      </c>
    </row>
    <row r="10017">
      <c r="A10017" t="str">
        <f>IFERROR(__xludf.DUMMYFUNCTION("""COMPUTED_VALUE"""),"2016-06-14-D22-CU-6")</f>
        <v>2016-06-14-D22-CU-6</v>
      </c>
    </row>
    <row r="10018">
      <c r="A10018" t="str">
        <f>IFERROR(__xludf.DUMMYFUNCTION("""COMPUTED_VALUE"""),"2016-06-14-D22-CU-7")</f>
        <v>2016-06-14-D22-CU-7</v>
      </c>
    </row>
    <row r="10019">
      <c r="A10019" t="str">
        <f>IFERROR(__xludf.DUMMYFUNCTION("""COMPUTED_VALUE"""),"2016-06-14-D22-CU-8")</f>
        <v>2016-06-14-D22-CU-8</v>
      </c>
    </row>
    <row r="10020">
      <c r="A10020" t="str">
        <f>IFERROR(__xludf.DUMMYFUNCTION("""COMPUTED_VALUE"""),"2016-06-14-D22-CU-9")</f>
        <v>2016-06-14-D22-CU-9</v>
      </c>
    </row>
    <row r="10021">
      <c r="A10021" t="str">
        <f>IFERROR(__xludf.DUMMYFUNCTION("""COMPUTED_VALUE"""),"2016-06-14-D22-CU-10")</f>
        <v>2016-06-14-D22-CU-10</v>
      </c>
    </row>
    <row r="10022">
      <c r="A10022" t="str">
        <f>IFERROR(__xludf.DUMMYFUNCTION("""COMPUTED_VALUE"""),"2016-06-14-D27-CU-1")</f>
        <v>2016-06-14-D27-CU-1</v>
      </c>
    </row>
    <row r="10023">
      <c r="A10023" t="str">
        <f>IFERROR(__xludf.DUMMYFUNCTION("""COMPUTED_VALUE"""),"2016-06-14-D27-CU-2")</f>
        <v>2016-06-14-D27-CU-2</v>
      </c>
    </row>
    <row r="10024">
      <c r="A10024" t="str">
        <f>IFERROR(__xludf.DUMMYFUNCTION("""COMPUTED_VALUE"""),"2016-06-14-D27-CU-3")</f>
        <v>2016-06-14-D27-CU-3</v>
      </c>
    </row>
    <row r="10025">
      <c r="A10025" t="str">
        <f>IFERROR(__xludf.DUMMYFUNCTION("""COMPUTED_VALUE"""),"2016-06-14-D27-CU-4")</f>
        <v>2016-06-14-D27-CU-4</v>
      </c>
    </row>
    <row r="10026">
      <c r="A10026" t="str">
        <f>IFERROR(__xludf.DUMMYFUNCTION("""COMPUTED_VALUE"""),"2016-06-14-D27-CU-5")</f>
        <v>2016-06-14-D27-CU-5</v>
      </c>
    </row>
    <row r="10027">
      <c r="A10027" t="str">
        <f>IFERROR(__xludf.DUMMYFUNCTION("""COMPUTED_VALUE"""),"2016-06-14-D27-CU-6")</f>
        <v>2016-06-14-D27-CU-6</v>
      </c>
    </row>
    <row r="10028">
      <c r="A10028" t="str">
        <f>IFERROR(__xludf.DUMMYFUNCTION("""COMPUTED_VALUE"""),"2016-06-14-D27-CU-7")</f>
        <v>2016-06-14-D27-CU-7</v>
      </c>
    </row>
    <row r="10029">
      <c r="A10029" t="str">
        <f>IFERROR(__xludf.DUMMYFUNCTION("""COMPUTED_VALUE"""),"2016-06-14-D27-CU-8")</f>
        <v>2016-06-14-D27-CU-8</v>
      </c>
    </row>
    <row r="10030">
      <c r="A10030" t="str">
        <f>IFERROR(__xludf.DUMMYFUNCTION("""COMPUTED_VALUE"""),"2016-06-14-D27-CU-9")</f>
        <v>2016-06-14-D27-CU-9</v>
      </c>
    </row>
    <row r="10031">
      <c r="A10031" t="str">
        <f>IFERROR(__xludf.DUMMYFUNCTION("""COMPUTED_VALUE"""),"2016-06-14-D27-CU-10")</f>
        <v>2016-06-14-D27-CU-10</v>
      </c>
    </row>
    <row r="10032">
      <c r="A10032" t="str">
        <f>IFERROR(__xludf.DUMMYFUNCTION("""COMPUTED_VALUE"""),"2016-06-14-D09-CU-1")</f>
        <v>2016-06-14-D09-CU-1</v>
      </c>
    </row>
    <row r="10033">
      <c r="A10033" t="str">
        <f>IFERROR(__xludf.DUMMYFUNCTION("""COMPUTED_VALUE"""),"2016-06-14-D09-CU-2")</f>
        <v>2016-06-14-D09-CU-2</v>
      </c>
    </row>
    <row r="10034">
      <c r="A10034" t="str">
        <f>IFERROR(__xludf.DUMMYFUNCTION("""COMPUTED_VALUE"""),"2016-06-14-D09-CU-3")</f>
        <v>2016-06-14-D09-CU-3</v>
      </c>
    </row>
    <row r="10035">
      <c r="A10035" t="str">
        <f>IFERROR(__xludf.DUMMYFUNCTION("""COMPUTED_VALUE"""),"2016-06-14-D09-CU-4")</f>
        <v>2016-06-14-D09-CU-4</v>
      </c>
    </row>
    <row r="10036">
      <c r="A10036" t="str">
        <f>IFERROR(__xludf.DUMMYFUNCTION("""COMPUTED_VALUE"""),"2016-06-14-D09-CU-5")</f>
        <v>2016-06-14-D09-CU-5</v>
      </c>
    </row>
    <row r="10037">
      <c r="A10037" t="str">
        <f>IFERROR(__xludf.DUMMYFUNCTION("""COMPUTED_VALUE"""),"2016-06-14-D09-CU-6")</f>
        <v>2016-06-14-D09-CU-6</v>
      </c>
    </row>
    <row r="10038">
      <c r="A10038" t="str">
        <f>IFERROR(__xludf.DUMMYFUNCTION("""COMPUTED_VALUE"""),"2016-06-14-D09-CU-7")</f>
        <v>2016-06-14-D09-CU-7</v>
      </c>
    </row>
    <row r="10039">
      <c r="A10039" t="str">
        <f>IFERROR(__xludf.DUMMYFUNCTION("""COMPUTED_VALUE"""),"2016-06-14-D09-CU-8")</f>
        <v>2016-06-14-D09-CU-8</v>
      </c>
    </row>
    <row r="10040">
      <c r="A10040" t="str">
        <f>IFERROR(__xludf.DUMMYFUNCTION("""COMPUTED_VALUE"""),"2016-06-14-D09-CU-9")</f>
        <v>2016-06-14-D09-CU-9</v>
      </c>
    </row>
    <row r="10041">
      <c r="A10041" t="str">
        <f>IFERROR(__xludf.DUMMYFUNCTION("""COMPUTED_VALUE"""),"2016-06-14-D09-CU-10")</f>
        <v>2016-06-14-D09-CU-10</v>
      </c>
    </row>
    <row r="10042">
      <c r="A10042" t="str">
        <f>IFERROR(__xludf.DUMMYFUNCTION("""COMPUTED_VALUE"""),"2016-06-16-D07-SO-1")</f>
        <v>2016-06-16-D07-SO-1</v>
      </c>
    </row>
    <row r="10043">
      <c r="A10043" t="str">
        <f>IFERROR(__xludf.DUMMYFUNCTION("""COMPUTED_VALUE"""),"2016-06-16-D07-SO-2")</f>
        <v>2016-06-16-D07-SO-2</v>
      </c>
    </row>
    <row r="10044">
      <c r="A10044" t="str">
        <f>IFERROR(__xludf.DUMMYFUNCTION("""COMPUTED_VALUE"""),"2016-06-16-D07-SO-3")</f>
        <v>2016-06-16-D07-SO-3</v>
      </c>
    </row>
    <row r="10045">
      <c r="A10045" t="str">
        <f>IFERROR(__xludf.DUMMYFUNCTION("""COMPUTED_VALUE"""),"2016-06-16-D07-SO-4")</f>
        <v>2016-06-16-D07-SO-4</v>
      </c>
    </row>
    <row r="10046">
      <c r="A10046" t="str">
        <f>IFERROR(__xludf.DUMMYFUNCTION("""COMPUTED_VALUE"""),"2016-06-16-D07-SO-5")</f>
        <v>2016-06-16-D07-SO-5</v>
      </c>
    </row>
    <row r="10047">
      <c r="A10047" t="str">
        <f>IFERROR(__xludf.DUMMYFUNCTION("""COMPUTED_VALUE"""),"2016-06-16-D07-SO-6")</f>
        <v>2016-06-16-D07-SO-6</v>
      </c>
    </row>
    <row r="10048">
      <c r="A10048" t="str">
        <f>IFERROR(__xludf.DUMMYFUNCTION("""COMPUTED_VALUE"""),"2016-06-16-D07-SO-7")</f>
        <v>2016-06-16-D07-SO-7</v>
      </c>
    </row>
    <row r="10049">
      <c r="A10049" t="str">
        <f>IFERROR(__xludf.DUMMYFUNCTION("""COMPUTED_VALUE"""),"2016-06-16-D07-SO-8")</f>
        <v>2016-06-16-D07-SO-8</v>
      </c>
    </row>
    <row r="10050">
      <c r="A10050" t="str">
        <f>IFERROR(__xludf.DUMMYFUNCTION("""COMPUTED_VALUE"""),"2016-06-16-D07-SO-9")</f>
        <v>2016-06-16-D07-SO-9</v>
      </c>
    </row>
    <row r="10051">
      <c r="A10051" t="str">
        <f>IFERROR(__xludf.DUMMYFUNCTION("""COMPUTED_VALUE"""),"2016-06-16-D07-SO-10")</f>
        <v>2016-06-16-D07-SO-10</v>
      </c>
    </row>
    <row r="10052">
      <c r="A10052" t="str">
        <f>IFERROR(__xludf.DUMMYFUNCTION("""COMPUTED_VALUE"""),"2016-06-16-D07-SO-11")</f>
        <v>2016-06-16-D07-SO-11</v>
      </c>
    </row>
    <row r="10053">
      <c r="A10053" t="str">
        <f>IFERROR(__xludf.DUMMYFUNCTION("""COMPUTED_VALUE"""),"2016-06-16-D07-SO-12")</f>
        <v>2016-06-16-D07-SO-12</v>
      </c>
    </row>
    <row r="10054">
      <c r="A10054" t="str">
        <f>IFERROR(__xludf.DUMMYFUNCTION("""COMPUTED_VALUE"""),"2016-06-16-D07-SO-13")</f>
        <v>2016-06-16-D07-SO-13</v>
      </c>
    </row>
    <row r="10055">
      <c r="A10055" t="str">
        <f>IFERROR(__xludf.DUMMYFUNCTION("""COMPUTED_VALUE"""),"2016-06-16-D07-SO-14")</f>
        <v>2016-06-16-D07-SO-14</v>
      </c>
    </row>
    <row r="10056">
      <c r="A10056" t="str">
        <f>IFERROR(__xludf.DUMMYFUNCTION("""COMPUTED_VALUE"""),"2016-06-16-D07-SO-15")</f>
        <v>2016-06-16-D07-SO-15</v>
      </c>
    </row>
    <row r="10057">
      <c r="A10057" t="str">
        <f>IFERROR(__xludf.DUMMYFUNCTION("""COMPUTED_VALUE"""),"2016-06-16-D07-SO-16")</f>
        <v>2016-06-16-D07-SO-16</v>
      </c>
    </row>
    <row r="10058">
      <c r="A10058" t="str">
        <f>IFERROR(__xludf.DUMMYFUNCTION("""COMPUTED_VALUE"""),"2016-06-16-D07-SO-17")</f>
        <v>2016-06-16-D07-SO-17</v>
      </c>
    </row>
    <row r="10059">
      <c r="A10059" t="str">
        <f>IFERROR(__xludf.DUMMYFUNCTION("""COMPUTED_VALUE"""),"2016-06-16-D07-SO-18")</f>
        <v>2016-06-16-D07-SO-18</v>
      </c>
    </row>
    <row r="10060">
      <c r="A10060" t="str">
        <f>IFERROR(__xludf.DUMMYFUNCTION("""COMPUTED_VALUE"""),"2016-06-16-D07-SO-19")</f>
        <v>2016-06-16-D07-SO-19</v>
      </c>
    </row>
    <row r="10061">
      <c r="A10061" t="str">
        <f>IFERROR(__xludf.DUMMYFUNCTION("""COMPUTED_VALUE"""),"2016-06-16-D07-SO-20")</f>
        <v>2016-06-16-D07-SO-20</v>
      </c>
    </row>
    <row r="10062">
      <c r="A10062" t="str">
        <f>IFERROR(__xludf.DUMMYFUNCTION("""COMPUTED_VALUE"""),"2016-06-16-D07-SO-21")</f>
        <v>2016-06-16-D07-SO-21</v>
      </c>
    </row>
    <row r="10063">
      <c r="A10063" t="str">
        <f>IFERROR(__xludf.DUMMYFUNCTION("""COMPUTED_VALUE"""),"2016-06-16-D07-SO-22")</f>
        <v>2016-06-16-D07-SO-22</v>
      </c>
    </row>
    <row r="10064">
      <c r="A10064" t="str">
        <f>IFERROR(__xludf.DUMMYFUNCTION("""COMPUTED_VALUE"""),"2016-06-16-D07-SO-23")</f>
        <v>2016-06-16-D07-SO-23</v>
      </c>
    </row>
    <row r="10065">
      <c r="A10065" t="str">
        <f>IFERROR(__xludf.DUMMYFUNCTION("""COMPUTED_VALUE"""),"2016-06-16-D07-SO-24")</f>
        <v>2016-06-16-D07-SO-24</v>
      </c>
    </row>
    <row r="10066">
      <c r="A10066" t="str">
        <f>IFERROR(__xludf.DUMMYFUNCTION("""COMPUTED_VALUE"""),"2016-06-16-D07-SO-25")</f>
        <v>2016-06-16-D07-SO-25</v>
      </c>
    </row>
    <row r="10067">
      <c r="A10067" t="str">
        <f>IFERROR(__xludf.DUMMYFUNCTION("""COMPUTED_VALUE"""),"2016-06-16-D07-SO-26")</f>
        <v>2016-06-16-D07-SO-26</v>
      </c>
    </row>
    <row r="10068">
      <c r="A10068" t="str">
        <f>IFERROR(__xludf.DUMMYFUNCTION("""COMPUTED_VALUE"""),"2016-06-16-D07-SO-27")</f>
        <v>2016-06-16-D07-SO-27</v>
      </c>
    </row>
    <row r="10069">
      <c r="A10069" t="str">
        <f>IFERROR(__xludf.DUMMYFUNCTION("""COMPUTED_VALUE"""),"2016-06-16-D07-SO-28")</f>
        <v>2016-06-16-D07-SO-28</v>
      </c>
    </row>
    <row r="10070">
      <c r="A10070" t="str">
        <f>IFERROR(__xludf.DUMMYFUNCTION("""COMPUTED_VALUE"""),"2016-06-16-D07-SO-29")</f>
        <v>2016-06-16-D07-SO-29</v>
      </c>
    </row>
    <row r="10071">
      <c r="A10071" t="str">
        <f>IFERROR(__xludf.DUMMYFUNCTION("""COMPUTED_VALUE"""),"2016-06-16-D07-SO-30")</f>
        <v>2016-06-16-D07-SO-30</v>
      </c>
    </row>
    <row r="10072">
      <c r="A10072" t="str">
        <f>IFERROR(__xludf.DUMMYFUNCTION("""COMPUTED_VALUE"""),"2016-06-16-D07-SO-31")</f>
        <v>2016-06-16-D07-SO-31</v>
      </c>
    </row>
    <row r="10073">
      <c r="A10073" t="str">
        <f>IFERROR(__xludf.DUMMYFUNCTION("""COMPUTED_VALUE"""),"2016-06-16-D07-SO-32")</f>
        <v>2016-06-16-D07-SO-32</v>
      </c>
    </row>
    <row r="10074">
      <c r="A10074" t="str">
        <f>IFERROR(__xludf.DUMMYFUNCTION("""COMPUTED_VALUE"""),"2016-06-16-D07-SO-33")</f>
        <v>2016-06-16-D07-SO-33</v>
      </c>
    </row>
    <row r="10075">
      <c r="A10075" t="str">
        <f>IFERROR(__xludf.DUMMYFUNCTION("""COMPUTED_VALUE"""),"2016-06-16-D07-SO-34")</f>
        <v>2016-06-16-D07-SO-34</v>
      </c>
    </row>
    <row r="10076">
      <c r="A10076" t="str">
        <f>IFERROR(__xludf.DUMMYFUNCTION("""COMPUTED_VALUE"""),"2016-06-16-D07-SO-35")</f>
        <v>2016-06-16-D07-SO-35</v>
      </c>
    </row>
    <row r="10077">
      <c r="A10077" t="str">
        <f>IFERROR(__xludf.DUMMYFUNCTION("""COMPUTED_VALUE"""),"2016-06-16-D07-SO-36")</f>
        <v>2016-06-16-D07-SO-36</v>
      </c>
    </row>
    <row r="10078">
      <c r="A10078" t="str">
        <f>IFERROR(__xludf.DUMMYFUNCTION("""COMPUTED_VALUE"""),"2016-06-16-D07-SO-37")</f>
        <v>2016-06-16-D07-SO-37</v>
      </c>
    </row>
    <row r="10079">
      <c r="A10079" t="str">
        <f>IFERROR(__xludf.DUMMYFUNCTION("""COMPUTED_VALUE"""),"2016-06-16-D07-SO-38")</f>
        <v>2016-06-16-D07-SO-38</v>
      </c>
    </row>
    <row r="10080">
      <c r="A10080" t="str">
        <f>IFERROR(__xludf.DUMMYFUNCTION("""COMPUTED_VALUE"""),"2016-06-16-D07-SO-39")</f>
        <v>2016-06-16-D07-SO-39</v>
      </c>
    </row>
    <row r="10081">
      <c r="A10081" t="str">
        <f>IFERROR(__xludf.DUMMYFUNCTION("""COMPUTED_VALUE"""),"2016-06-16-D07-SO-40")</f>
        <v>2016-06-16-D07-SO-40</v>
      </c>
    </row>
    <row r="10082">
      <c r="A10082" t="str">
        <f>IFERROR(__xludf.DUMMYFUNCTION("""COMPUTED_VALUE"""),"2016-06-16-D07-SO-41")</f>
        <v>2016-06-16-D07-SO-41</v>
      </c>
    </row>
    <row r="10083">
      <c r="A10083" t="str">
        <f>IFERROR(__xludf.DUMMYFUNCTION("""COMPUTED_VALUE"""),"2016-06-16-D07-SO-42")</f>
        <v>2016-06-16-D07-SO-42</v>
      </c>
    </row>
    <row r="10084">
      <c r="A10084" t="str">
        <f>IFERROR(__xludf.DUMMYFUNCTION("""COMPUTED_VALUE"""),"2016-06-16-D07-SO-43")</f>
        <v>2016-06-16-D07-SO-43</v>
      </c>
    </row>
    <row r="10085">
      <c r="A10085" t="str">
        <f>IFERROR(__xludf.DUMMYFUNCTION("""COMPUTED_VALUE"""),"2016-06-16-D07-SO-44")</f>
        <v>2016-06-16-D07-SO-44</v>
      </c>
    </row>
    <row r="10086">
      <c r="A10086" t="str">
        <f>IFERROR(__xludf.DUMMYFUNCTION("""COMPUTED_VALUE"""),"2016-06-16-D07-SO-45")</f>
        <v>2016-06-16-D07-SO-45</v>
      </c>
    </row>
    <row r="10087">
      <c r="A10087" t="str">
        <f>IFERROR(__xludf.DUMMYFUNCTION("""COMPUTED_VALUE"""),"2016-06-16-D07-SO-46")</f>
        <v>2016-06-16-D07-SO-46</v>
      </c>
    </row>
    <row r="10088">
      <c r="A10088" t="str">
        <f>IFERROR(__xludf.DUMMYFUNCTION("""COMPUTED_VALUE"""),"2016-06-16-D07-SO-47")</f>
        <v>2016-06-16-D07-SO-47</v>
      </c>
    </row>
    <row r="10089">
      <c r="A10089" t="str">
        <f>IFERROR(__xludf.DUMMYFUNCTION("""COMPUTED_VALUE"""),"2016-06-16-D07-SO-48")</f>
        <v>2016-06-16-D07-SO-48</v>
      </c>
    </row>
    <row r="10090">
      <c r="A10090" t="str">
        <f>IFERROR(__xludf.DUMMYFUNCTION("""COMPUTED_VALUE"""),"2016-06-16-D07-SO-49")</f>
        <v>2016-06-16-D07-SO-49</v>
      </c>
    </row>
    <row r="10091">
      <c r="A10091" t="str">
        <f>IFERROR(__xludf.DUMMYFUNCTION("""COMPUTED_VALUE"""),"2016-06-16-D07-SO-50")</f>
        <v>2016-06-16-D07-SO-50</v>
      </c>
    </row>
    <row r="10092">
      <c r="A10092" t="str">
        <f>IFERROR(__xludf.DUMMYFUNCTION("""COMPUTED_VALUE"""),"2016-06-16-D07-SO-51")</f>
        <v>2016-06-16-D07-SO-51</v>
      </c>
    </row>
    <row r="10093">
      <c r="A10093" t="str">
        <f>IFERROR(__xludf.DUMMYFUNCTION("""COMPUTED_VALUE"""),"2016-06-16-D07-SO-52")</f>
        <v>2016-06-16-D07-SO-52</v>
      </c>
    </row>
    <row r="10094">
      <c r="A10094" t="str">
        <f>IFERROR(__xludf.DUMMYFUNCTION("""COMPUTED_VALUE"""),"2016-06-16-D07-SO-53")</f>
        <v>2016-06-16-D07-SO-53</v>
      </c>
    </row>
    <row r="10095">
      <c r="A10095" t="str">
        <f>IFERROR(__xludf.DUMMYFUNCTION("""COMPUTED_VALUE"""),"2016-06-16-D07-SO-54")</f>
        <v>2016-06-16-D07-SO-54</v>
      </c>
    </row>
    <row r="10096">
      <c r="A10096" t="str">
        <f>IFERROR(__xludf.DUMMYFUNCTION("""COMPUTED_VALUE"""),"2016-06-16-D07-SO-55")</f>
        <v>2016-06-16-D07-SO-55</v>
      </c>
    </row>
    <row r="10097">
      <c r="A10097" t="str">
        <f>IFERROR(__xludf.DUMMYFUNCTION("""COMPUTED_VALUE"""),"2016-06-16-D07-SO-56")</f>
        <v>2016-06-16-D07-SO-56</v>
      </c>
    </row>
    <row r="10098">
      <c r="A10098" t="str">
        <f>IFERROR(__xludf.DUMMYFUNCTION("""COMPUTED_VALUE"""),"2016-06-16-D07-SO-57")</f>
        <v>2016-06-16-D07-SO-57</v>
      </c>
    </row>
    <row r="10099">
      <c r="A10099" t="str">
        <f>IFERROR(__xludf.DUMMYFUNCTION("""COMPUTED_VALUE"""),"2016-06-16-D07-SO-58")</f>
        <v>2016-06-16-D07-SO-58</v>
      </c>
    </row>
    <row r="10100">
      <c r="A10100" t="str">
        <f>IFERROR(__xludf.DUMMYFUNCTION("""COMPUTED_VALUE"""),"2016-06-16-D07-SO-59")</f>
        <v>2016-06-16-D07-SO-59</v>
      </c>
    </row>
    <row r="10101">
      <c r="A10101" t="str">
        <f>IFERROR(__xludf.DUMMYFUNCTION("""COMPUTED_VALUE"""),"2016-06-16-D07-SO-60")</f>
        <v>2016-06-16-D07-SO-60</v>
      </c>
    </row>
    <row r="10102">
      <c r="A10102" t="str">
        <f>IFERROR(__xludf.DUMMYFUNCTION("""COMPUTED_VALUE"""),"2016-06-16-D07-PI-1")</f>
        <v>2016-06-16-D07-PI-1</v>
      </c>
    </row>
    <row r="10103">
      <c r="A10103" t="str">
        <f>IFERROR(__xludf.DUMMYFUNCTION("""COMPUTED_VALUE"""),"2016-06-16-D07-PI-2")</f>
        <v>2016-06-16-D07-PI-2</v>
      </c>
    </row>
    <row r="10104">
      <c r="A10104" t="str">
        <f>IFERROR(__xludf.DUMMYFUNCTION("""COMPUTED_VALUE"""),"2016-06-16-D07-PI-3")</f>
        <v>2016-06-16-D07-PI-3</v>
      </c>
    </row>
    <row r="10105">
      <c r="A10105" t="str">
        <f>IFERROR(__xludf.DUMMYFUNCTION("""COMPUTED_VALUE"""),"2016-06-16-D07-PI-4")</f>
        <v>2016-06-16-D07-PI-4</v>
      </c>
    </row>
    <row r="10106">
      <c r="A10106" t="str">
        <f>IFERROR(__xludf.DUMMYFUNCTION("""COMPUTED_VALUE"""),"2016-06-16-D07-PI-5")</f>
        <v>2016-06-16-D07-PI-5</v>
      </c>
    </row>
    <row r="10107">
      <c r="A10107" t="str">
        <f>IFERROR(__xludf.DUMMYFUNCTION("""COMPUTED_VALUE"""),"2016-06-16-D07-PI-6")</f>
        <v>2016-06-16-D07-PI-6</v>
      </c>
    </row>
    <row r="10108">
      <c r="A10108" t="str">
        <f>IFERROR(__xludf.DUMMYFUNCTION("""COMPUTED_VALUE"""),"2016-06-16-D07-PI-7")</f>
        <v>2016-06-16-D07-PI-7</v>
      </c>
    </row>
    <row r="10109">
      <c r="A10109" t="str">
        <f>IFERROR(__xludf.DUMMYFUNCTION("""COMPUTED_VALUE"""),"2016-06-16-D07-PI-8")</f>
        <v>2016-06-16-D07-PI-8</v>
      </c>
    </row>
    <row r="10110">
      <c r="A10110" t="str">
        <f>IFERROR(__xludf.DUMMYFUNCTION("""COMPUTED_VALUE"""),"2016-06-16-D07-PI-9")</f>
        <v>2016-06-16-D07-PI-9</v>
      </c>
    </row>
    <row r="10111">
      <c r="A10111" t="str">
        <f>IFERROR(__xludf.DUMMYFUNCTION("""COMPUTED_VALUE"""),"2016-06-16-D07-PI-10")</f>
        <v>2016-06-16-D07-PI-10</v>
      </c>
    </row>
    <row r="10112">
      <c r="A10112" t="str">
        <f>IFERROR(__xludf.DUMMYFUNCTION("""COMPUTED_VALUE"""),"2016-06-16-D07-CU-1")</f>
        <v>2016-06-16-D07-CU-1</v>
      </c>
    </row>
    <row r="10113">
      <c r="A10113" t="str">
        <f>IFERROR(__xludf.DUMMYFUNCTION("""COMPUTED_VALUE"""),"2016-06-16-D07-CU-2")</f>
        <v>2016-06-16-D07-CU-2</v>
      </c>
    </row>
    <row r="10114">
      <c r="A10114" t="str">
        <f>IFERROR(__xludf.DUMMYFUNCTION("""COMPUTED_VALUE"""),"2016-06-16-D07-CU-3")</f>
        <v>2016-06-16-D07-CU-3</v>
      </c>
    </row>
    <row r="10115">
      <c r="A10115" t="str">
        <f>IFERROR(__xludf.DUMMYFUNCTION("""COMPUTED_VALUE"""),"2016-06-16-D07-CU-4")</f>
        <v>2016-06-16-D07-CU-4</v>
      </c>
    </row>
    <row r="10116">
      <c r="A10116" t="str">
        <f>IFERROR(__xludf.DUMMYFUNCTION("""COMPUTED_VALUE"""),"2016-06-16-D07-CU-5")</f>
        <v>2016-06-16-D07-CU-5</v>
      </c>
    </row>
    <row r="10117">
      <c r="A10117" t="str">
        <f>IFERROR(__xludf.DUMMYFUNCTION("""COMPUTED_VALUE"""),"2016-06-16-D07-CU-6")</f>
        <v>2016-06-16-D07-CU-6</v>
      </c>
    </row>
    <row r="10118">
      <c r="A10118" t="str">
        <f>IFERROR(__xludf.DUMMYFUNCTION("""COMPUTED_VALUE"""),"2016-06-16-D07-CU-7")</f>
        <v>2016-06-16-D07-CU-7</v>
      </c>
    </row>
    <row r="10119">
      <c r="A10119" t="str">
        <f>IFERROR(__xludf.DUMMYFUNCTION("""COMPUTED_VALUE"""),"2016-06-16-D07-CU-8")</f>
        <v>2016-06-16-D07-CU-8</v>
      </c>
    </row>
    <row r="10120">
      <c r="A10120" t="str">
        <f>IFERROR(__xludf.DUMMYFUNCTION("""COMPUTED_VALUE"""),"2016-06-16-D07-CU-9")</f>
        <v>2016-06-16-D07-CU-9</v>
      </c>
    </row>
    <row r="10121">
      <c r="A10121" t="str">
        <f>IFERROR(__xludf.DUMMYFUNCTION("""COMPUTED_VALUE"""),"2016-06-16-D07-CU-10")</f>
        <v>2016-06-16-D07-CU-10</v>
      </c>
    </row>
    <row r="10122">
      <c r="A10122" t="str">
        <f>IFERROR(__xludf.DUMMYFUNCTION("""COMPUTED_VALUE"""),"2016-06-17-J02-SO-1")</f>
        <v>2016-06-17-J02-SO-1</v>
      </c>
    </row>
    <row r="10123">
      <c r="A10123" t="str">
        <f>IFERROR(__xludf.DUMMYFUNCTION("""COMPUTED_VALUE"""),"2016-06-17-J02-SO-2")</f>
        <v>2016-06-17-J02-SO-2</v>
      </c>
    </row>
    <row r="10124">
      <c r="A10124" t="str">
        <f>IFERROR(__xludf.DUMMYFUNCTION("""COMPUTED_VALUE"""),"2016-06-17-J02-SO-3")</f>
        <v>2016-06-17-J02-SO-3</v>
      </c>
    </row>
    <row r="10125">
      <c r="A10125" t="str">
        <f>IFERROR(__xludf.DUMMYFUNCTION("""COMPUTED_VALUE"""),"2016-06-17-J02-SO-4")</f>
        <v>2016-06-17-J02-SO-4</v>
      </c>
    </row>
    <row r="10126">
      <c r="A10126" t="str">
        <f>IFERROR(__xludf.DUMMYFUNCTION("""COMPUTED_VALUE"""),"2016-06-17-J02-SO-5")</f>
        <v>2016-06-17-J02-SO-5</v>
      </c>
    </row>
    <row r="10127">
      <c r="A10127" t="str">
        <f>IFERROR(__xludf.DUMMYFUNCTION("""COMPUTED_VALUE"""),"2016-06-17-J02-SO-6")</f>
        <v>2016-06-17-J02-SO-6</v>
      </c>
    </row>
    <row r="10128">
      <c r="A10128" t="str">
        <f>IFERROR(__xludf.DUMMYFUNCTION("""COMPUTED_VALUE"""),"2016-06-17-J02-SO-7")</f>
        <v>2016-06-17-J02-SO-7</v>
      </c>
    </row>
    <row r="10129">
      <c r="A10129" t="str">
        <f>IFERROR(__xludf.DUMMYFUNCTION("""COMPUTED_VALUE"""),"2016-06-17-J02-SO-8")</f>
        <v>2016-06-17-J02-SO-8</v>
      </c>
    </row>
    <row r="10130">
      <c r="A10130" t="str">
        <f>IFERROR(__xludf.DUMMYFUNCTION("""COMPUTED_VALUE"""),"2016-06-17-J02-SO-9")</f>
        <v>2016-06-17-J02-SO-9</v>
      </c>
    </row>
    <row r="10131">
      <c r="A10131" t="str">
        <f>IFERROR(__xludf.DUMMYFUNCTION("""COMPUTED_VALUE"""),"2016-06-17-J02-SO-10")</f>
        <v>2016-06-17-J02-SO-10</v>
      </c>
    </row>
    <row r="10132">
      <c r="A10132" t="str">
        <f>IFERROR(__xludf.DUMMYFUNCTION("""COMPUTED_VALUE"""),"2016-06-17-J02-SO-11")</f>
        <v>2016-06-17-J02-SO-11</v>
      </c>
    </row>
    <row r="10133">
      <c r="A10133" t="str">
        <f>IFERROR(__xludf.DUMMYFUNCTION("""COMPUTED_VALUE"""),"2016-06-17-J02-SO-12")</f>
        <v>2016-06-17-J02-SO-12</v>
      </c>
    </row>
    <row r="10134">
      <c r="A10134" t="str">
        <f>IFERROR(__xludf.DUMMYFUNCTION("""COMPUTED_VALUE"""),"2016-06-17-J02-SO-13")</f>
        <v>2016-06-17-J02-SO-13</v>
      </c>
    </row>
    <row r="10135">
      <c r="A10135" t="str">
        <f>IFERROR(__xludf.DUMMYFUNCTION("""COMPUTED_VALUE"""),"2016-06-17-J02-SO-14")</f>
        <v>2016-06-17-J02-SO-14</v>
      </c>
    </row>
    <row r="10136">
      <c r="A10136" t="str">
        <f>IFERROR(__xludf.DUMMYFUNCTION("""COMPUTED_VALUE"""),"2016-06-17-J02-SO-15")</f>
        <v>2016-06-17-J02-SO-15</v>
      </c>
    </row>
    <row r="10137">
      <c r="A10137" t="str">
        <f>IFERROR(__xludf.DUMMYFUNCTION("""COMPUTED_VALUE"""),"2016-06-17-J02-SO-16")</f>
        <v>2016-06-17-J02-SO-16</v>
      </c>
    </row>
    <row r="10138">
      <c r="A10138" t="str">
        <f>IFERROR(__xludf.DUMMYFUNCTION("""COMPUTED_VALUE"""),"2016-06-17-J02-SO-17")</f>
        <v>2016-06-17-J02-SO-17</v>
      </c>
    </row>
    <row r="10139">
      <c r="A10139" t="str">
        <f>IFERROR(__xludf.DUMMYFUNCTION("""COMPUTED_VALUE"""),"2016-06-17-J02-SO-18")</f>
        <v>2016-06-17-J02-SO-18</v>
      </c>
    </row>
    <row r="10140">
      <c r="A10140" t="str">
        <f>IFERROR(__xludf.DUMMYFUNCTION("""COMPUTED_VALUE"""),"2016-06-17-J02-SO-19")</f>
        <v>2016-06-17-J02-SO-19</v>
      </c>
    </row>
    <row r="10141">
      <c r="A10141" t="str">
        <f>IFERROR(__xludf.DUMMYFUNCTION("""COMPUTED_VALUE"""),"2016-06-17-J02-SO-20")</f>
        <v>2016-06-17-J02-SO-20</v>
      </c>
    </row>
    <row r="10142">
      <c r="A10142" t="str">
        <f>IFERROR(__xludf.DUMMYFUNCTION("""COMPUTED_VALUE"""),"2016-06-17-J02-SO-21")</f>
        <v>2016-06-17-J02-SO-21</v>
      </c>
    </row>
    <row r="10143">
      <c r="A10143" t="str">
        <f>IFERROR(__xludf.DUMMYFUNCTION("""COMPUTED_VALUE"""),"2016-06-17-J02-SO-22")</f>
        <v>2016-06-17-J02-SO-22</v>
      </c>
    </row>
    <row r="10144">
      <c r="A10144" t="str">
        <f>IFERROR(__xludf.DUMMYFUNCTION("""COMPUTED_VALUE"""),"2016-06-17-J02-SO-23")</f>
        <v>2016-06-17-J02-SO-23</v>
      </c>
    </row>
    <row r="10145">
      <c r="A10145" t="str">
        <f>IFERROR(__xludf.DUMMYFUNCTION("""COMPUTED_VALUE"""),"2016-06-17-J02-SO-24")</f>
        <v>2016-06-17-J02-SO-24</v>
      </c>
    </row>
    <row r="10146">
      <c r="A10146" t="str">
        <f>IFERROR(__xludf.DUMMYFUNCTION("""COMPUTED_VALUE"""),"2016-06-17-J02-SO-25")</f>
        <v>2016-06-17-J02-SO-25</v>
      </c>
    </row>
    <row r="10147">
      <c r="A10147" t="str">
        <f>IFERROR(__xludf.DUMMYFUNCTION("""COMPUTED_VALUE"""),"2016-06-17-J02-SO-26")</f>
        <v>2016-06-17-J02-SO-26</v>
      </c>
    </row>
    <row r="10148">
      <c r="A10148" t="str">
        <f>IFERROR(__xludf.DUMMYFUNCTION("""COMPUTED_VALUE"""),"2016-06-17-J02-SO-27")</f>
        <v>2016-06-17-J02-SO-27</v>
      </c>
    </row>
    <row r="10149">
      <c r="A10149" t="str">
        <f>IFERROR(__xludf.DUMMYFUNCTION("""COMPUTED_VALUE"""),"2016-06-17-J02-SO-28")</f>
        <v>2016-06-17-J02-SO-28</v>
      </c>
    </row>
    <row r="10150">
      <c r="A10150" t="str">
        <f>IFERROR(__xludf.DUMMYFUNCTION("""COMPUTED_VALUE"""),"2016-06-17-J02-SO-29")</f>
        <v>2016-06-17-J02-SO-29</v>
      </c>
    </row>
    <row r="10151">
      <c r="A10151" t="str">
        <f>IFERROR(__xludf.DUMMYFUNCTION("""COMPUTED_VALUE"""),"2016-06-17-J02-SO-30")</f>
        <v>2016-06-17-J02-SO-30</v>
      </c>
    </row>
    <row r="10152">
      <c r="A10152" t="str">
        <f>IFERROR(__xludf.DUMMYFUNCTION("""COMPUTED_VALUE"""),"2016-06-17-J01-SO-1")</f>
        <v>2016-06-17-J01-SO-1</v>
      </c>
    </row>
    <row r="10153">
      <c r="A10153" t="str">
        <f>IFERROR(__xludf.DUMMYFUNCTION("""COMPUTED_VALUE"""),"2016-06-17-J01-SO-2")</f>
        <v>2016-06-17-J01-SO-2</v>
      </c>
    </row>
    <row r="10154">
      <c r="A10154" t="str">
        <f>IFERROR(__xludf.DUMMYFUNCTION("""COMPUTED_VALUE"""),"2016-06-17-J01-SO-3")</f>
        <v>2016-06-17-J01-SO-3</v>
      </c>
    </row>
    <row r="10155">
      <c r="A10155" t="str">
        <f>IFERROR(__xludf.DUMMYFUNCTION("""COMPUTED_VALUE"""),"2016-06-17-J01-SO-4")</f>
        <v>2016-06-17-J01-SO-4</v>
      </c>
    </row>
    <row r="10156">
      <c r="A10156" t="str">
        <f>IFERROR(__xludf.DUMMYFUNCTION("""COMPUTED_VALUE"""),"2016-06-17-J01-SO-5")</f>
        <v>2016-06-17-J01-SO-5</v>
      </c>
    </row>
    <row r="10157">
      <c r="A10157" t="str">
        <f>IFERROR(__xludf.DUMMYFUNCTION("""COMPUTED_VALUE"""),"2016-06-17-J01-SO-6")</f>
        <v>2016-06-17-J01-SO-6</v>
      </c>
    </row>
    <row r="10158">
      <c r="A10158" t="str">
        <f>IFERROR(__xludf.DUMMYFUNCTION("""COMPUTED_VALUE"""),"2016-06-17-J01-SO-7")</f>
        <v>2016-06-17-J01-SO-7</v>
      </c>
    </row>
    <row r="10159">
      <c r="A10159" t="str">
        <f>IFERROR(__xludf.DUMMYFUNCTION("""COMPUTED_VALUE"""),"2016-06-17-J01-SO-8")</f>
        <v>2016-06-17-J01-SO-8</v>
      </c>
    </row>
    <row r="10160">
      <c r="A10160" t="str">
        <f>IFERROR(__xludf.DUMMYFUNCTION("""COMPUTED_VALUE"""),"2016-06-17-J01-SO-9")</f>
        <v>2016-06-17-J01-SO-9</v>
      </c>
    </row>
    <row r="10161">
      <c r="A10161" t="str">
        <f>IFERROR(__xludf.DUMMYFUNCTION("""COMPUTED_VALUE"""),"2016-06-17-J01-SO-10")</f>
        <v>2016-06-17-J01-SO-10</v>
      </c>
    </row>
    <row r="10162">
      <c r="A10162" t="str">
        <f>IFERROR(__xludf.DUMMYFUNCTION("""COMPUTED_VALUE"""),"2016-06-17-J01-SO-11")</f>
        <v>2016-06-17-J01-SO-11</v>
      </c>
    </row>
    <row r="10163">
      <c r="A10163" t="str">
        <f>IFERROR(__xludf.DUMMYFUNCTION("""COMPUTED_VALUE"""),"2016-06-17-J01-SO-12")</f>
        <v>2016-06-17-J01-SO-12</v>
      </c>
    </row>
    <row r="10164">
      <c r="A10164" t="str">
        <f>IFERROR(__xludf.DUMMYFUNCTION("""COMPUTED_VALUE"""),"2016-06-17-J01-SO-13")</f>
        <v>2016-06-17-J01-SO-13</v>
      </c>
    </row>
    <row r="10165">
      <c r="A10165" t="str">
        <f>IFERROR(__xludf.DUMMYFUNCTION("""COMPUTED_VALUE"""),"2016-06-17-J01-SO-14")</f>
        <v>2016-06-17-J01-SO-14</v>
      </c>
    </row>
    <row r="10166">
      <c r="A10166" t="str">
        <f>IFERROR(__xludf.DUMMYFUNCTION("""COMPUTED_VALUE"""),"2016-06-17-J01-SO-15")</f>
        <v>2016-06-17-J01-SO-15</v>
      </c>
    </row>
    <row r="10167">
      <c r="A10167" t="str">
        <f>IFERROR(__xludf.DUMMYFUNCTION("""COMPUTED_VALUE"""),"2016-06-17-J01-SO-16")</f>
        <v>2016-06-17-J01-SO-16</v>
      </c>
    </row>
    <row r="10168">
      <c r="A10168" t="str">
        <f>IFERROR(__xludf.DUMMYFUNCTION("""COMPUTED_VALUE"""),"2016-06-17-J01-SO-17")</f>
        <v>2016-06-17-J01-SO-17</v>
      </c>
    </row>
    <row r="10169">
      <c r="A10169" t="str">
        <f>IFERROR(__xludf.DUMMYFUNCTION("""COMPUTED_VALUE"""),"2016-06-17-J01-SO-18")</f>
        <v>2016-06-17-J01-SO-18</v>
      </c>
    </row>
    <row r="10170">
      <c r="A10170" t="str">
        <f>IFERROR(__xludf.DUMMYFUNCTION("""COMPUTED_VALUE"""),"2016-06-17-J01-SO-19")</f>
        <v>2016-06-17-J01-SO-19</v>
      </c>
    </row>
    <row r="10171">
      <c r="A10171" t="str">
        <f>IFERROR(__xludf.DUMMYFUNCTION("""COMPUTED_VALUE"""),"2016-06-17-J01-SO-20")</f>
        <v>2016-06-17-J01-SO-20</v>
      </c>
    </row>
    <row r="10172">
      <c r="A10172" t="str">
        <f>IFERROR(__xludf.DUMMYFUNCTION("""COMPUTED_VALUE"""),"2016-06-17-J01-SO-21")</f>
        <v>2016-06-17-J01-SO-21</v>
      </c>
    </row>
    <row r="10173">
      <c r="A10173" t="str">
        <f>IFERROR(__xludf.DUMMYFUNCTION("""COMPUTED_VALUE"""),"2016-06-17-J01-SO-22")</f>
        <v>2016-06-17-J01-SO-22</v>
      </c>
    </row>
    <row r="10174">
      <c r="A10174" t="str">
        <f>IFERROR(__xludf.DUMMYFUNCTION("""COMPUTED_VALUE"""),"2016-06-17-J01-SO-23")</f>
        <v>2016-06-17-J01-SO-23</v>
      </c>
    </row>
    <row r="10175">
      <c r="A10175" t="str">
        <f>IFERROR(__xludf.DUMMYFUNCTION("""COMPUTED_VALUE"""),"2016-06-17-J01-SO-24")</f>
        <v>2016-06-17-J01-SO-24</v>
      </c>
    </row>
    <row r="10176">
      <c r="A10176" t="str">
        <f>IFERROR(__xludf.DUMMYFUNCTION("""COMPUTED_VALUE"""),"2016-06-17-J01-SO-25")</f>
        <v>2016-06-17-J01-SO-25</v>
      </c>
    </row>
    <row r="10177">
      <c r="A10177" t="str">
        <f>IFERROR(__xludf.DUMMYFUNCTION("""COMPUTED_VALUE"""),"2016-06-17-J01-SO-26")</f>
        <v>2016-06-17-J01-SO-26</v>
      </c>
    </row>
    <row r="10178">
      <c r="A10178" t="str">
        <f>IFERROR(__xludf.DUMMYFUNCTION("""COMPUTED_VALUE"""),"2016-06-17-J01-SO-27")</f>
        <v>2016-06-17-J01-SO-27</v>
      </c>
    </row>
    <row r="10179">
      <c r="A10179" t="str">
        <f>IFERROR(__xludf.DUMMYFUNCTION("""COMPUTED_VALUE"""),"2016-06-17-J01-SO-28")</f>
        <v>2016-06-17-J01-SO-28</v>
      </c>
    </row>
    <row r="10180">
      <c r="A10180" t="str">
        <f>IFERROR(__xludf.DUMMYFUNCTION("""COMPUTED_VALUE"""),"2016-06-17-J01-SO-29")</f>
        <v>2016-06-17-J01-SO-29</v>
      </c>
    </row>
    <row r="10181">
      <c r="A10181" t="str">
        <f>IFERROR(__xludf.DUMMYFUNCTION("""COMPUTED_VALUE"""),"2016-06-17-J01-SO-30")</f>
        <v>2016-06-17-J01-SO-30</v>
      </c>
    </row>
    <row r="10182">
      <c r="A10182" t="str">
        <f>IFERROR(__xludf.DUMMYFUNCTION("""COMPUTED_VALUE"""),"2016-06-17-J02-PI-1")</f>
        <v>2016-06-17-J02-PI-1</v>
      </c>
    </row>
    <row r="10183">
      <c r="A10183" t="str">
        <f>IFERROR(__xludf.DUMMYFUNCTION("""COMPUTED_VALUE"""),"2016-06-17-J02-PI-2")</f>
        <v>2016-06-17-J02-PI-2</v>
      </c>
    </row>
    <row r="10184">
      <c r="A10184" t="str">
        <f>IFERROR(__xludf.DUMMYFUNCTION("""COMPUTED_VALUE"""),"2016-06-17-J02-PI-3")</f>
        <v>2016-06-17-J02-PI-3</v>
      </c>
    </row>
    <row r="10185">
      <c r="A10185" t="str">
        <f>IFERROR(__xludf.DUMMYFUNCTION("""COMPUTED_VALUE"""),"2016-06-17-J02-PI-4")</f>
        <v>2016-06-17-J02-PI-4</v>
      </c>
    </row>
    <row r="10186">
      <c r="A10186" t="str">
        <f>IFERROR(__xludf.DUMMYFUNCTION("""COMPUTED_VALUE"""),"2016-06-17-J02-PI-5")</f>
        <v>2016-06-17-J02-PI-5</v>
      </c>
    </row>
    <row r="10187">
      <c r="A10187" t="str">
        <f>IFERROR(__xludf.DUMMYFUNCTION("""COMPUTED_VALUE"""),"2016-06-17-J02-PI-6")</f>
        <v>2016-06-17-J02-PI-6</v>
      </c>
    </row>
    <row r="10188">
      <c r="A10188" t="str">
        <f>IFERROR(__xludf.DUMMYFUNCTION("""COMPUTED_VALUE"""),"2016-06-17-J02-PI-7")</f>
        <v>2016-06-17-J02-PI-7</v>
      </c>
    </row>
    <row r="10189">
      <c r="A10189" t="str">
        <f>IFERROR(__xludf.DUMMYFUNCTION("""COMPUTED_VALUE"""),"2016-06-17-J02-PI-8")</f>
        <v>2016-06-17-J02-PI-8</v>
      </c>
    </row>
    <row r="10190">
      <c r="A10190" t="str">
        <f>IFERROR(__xludf.DUMMYFUNCTION("""COMPUTED_VALUE"""),"2016-06-17-J02-PI-9")</f>
        <v>2016-06-17-J02-PI-9</v>
      </c>
    </row>
    <row r="10191">
      <c r="A10191" t="str">
        <f>IFERROR(__xludf.DUMMYFUNCTION("""COMPUTED_VALUE"""),"2016-06-17-J02-PI-10")</f>
        <v>2016-06-17-J02-PI-10</v>
      </c>
    </row>
    <row r="10192">
      <c r="A10192" t="str">
        <f>IFERROR(__xludf.DUMMYFUNCTION("""COMPUTED_VALUE"""),"2016-06-17-J01-PI-1")</f>
        <v>2016-06-17-J01-PI-1</v>
      </c>
    </row>
    <row r="10193">
      <c r="A10193" t="str">
        <f>IFERROR(__xludf.DUMMYFUNCTION("""COMPUTED_VALUE"""),"2016-06-17-J01-PI-2")</f>
        <v>2016-06-17-J01-PI-2</v>
      </c>
    </row>
    <row r="10194">
      <c r="A10194" t="str">
        <f>IFERROR(__xludf.DUMMYFUNCTION("""COMPUTED_VALUE"""),"2016-06-17-J01-PI-3")</f>
        <v>2016-06-17-J01-PI-3</v>
      </c>
    </row>
    <row r="10195">
      <c r="A10195" t="str">
        <f>IFERROR(__xludf.DUMMYFUNCTION("""COMPUTED_VALUE"""),"2016-06-17-J01-PI-4")</f>
        <v>2016-06-17-J01-PI-4</v>
      </c>
    </row>
    <row r="10196">
      <c r="A10196" t="str">
        <f>IFERROR(__xludf.DUMMYFUNCTION("""COMPUTED_VALUE"""),"2016-06-17-J01-PI-5")</f>
        <v>2016-06-17-J01-PI-5</v>
      </c>
    </row>
    <row r="10197">
      <c r="A10197" t="str">
        <f>IFERROR(__xludf.DUMMYFUNCTION("""COMPUTED_VALUE"""),"2016-06-17-J01-PI-6")</f>
        <v>2016-06-17-J01-PI-6</v>
      </c>
    </row>
    <row r="10198">
      <c r="A10198" t="str">
        <f>IFERROR(__xludf.DUMMYFUNCTION("""COMPUTED_VALUE"""),"2016-06-17-J01-PI-7")</f>
        <v>2016-06-17-J01-PI-7</v>
      </c>
    </row>
    <row r="10199">
      <c r="A10199" t="str">
        <f>IFERROR(__xludf.DUMMYFUNCTION("""COMPUTED_VALUE"""),"2016-06-17-J01-PI-8")</f>
        <v>2016-06-17-J01-PI-8</v>
      </c>
    </row>
    <row r="10200">
      <c r="A10200" t="str">
        <f>IFERROR(__xludf.DUMMYFUNCTION("""COMPUTED_VALUE"""),"2016-06-17-J01-PI-9")</f>
        <v>2016-06-17-J01-PI-9</v>
      </c>
    </row>
    <row r="10201">
      <c r="A10201" t="str">
        <f>IFERROR(__xludf.DUMMYFUNCTION("""COMPUTED_VALUE"""),"2016-06-17-J01-PI-10")</f>
        <v>2016-06-17-J01-PI-10</v>
      </c>
    </row>
    <row r="10202">
      <c r="A10202" t="str">
        <f>IFERROR(__xludf.DUMMYFUNCTION("""COMPUTED_VALUE"""),"2016-06-17-J02-CU-1")</f>
        <v>2016-06-17-J02-CU-1</v>
      </c>
    </row>
    <row r="10203">
      <c r="A10203" t="str">
        <f>IFERROR(__xludf.DUMMYFUNCTION("""COMPUTED_VALUE"""),"2016-06-17-J02-CU-2")</f>
        <v>2016-06-17-J02-CU-2</v>
      </c>
    </row>
    <row r="10204">
      <c r="A10204" t="str">
        <f>IFERROR(__xludf.DUMMYFUNCTION("""COMPUTED_VALUE"""),"2016-06-17-J02-CU-3")</f>
        <v>2016-06-17-J02-CU-3</v>
      </c>
    </row>
    <row r="10205">
      <c r="A10205" t="str">
        <f>IFERROR(__xludf.DUMMYFUNCTION("""COMPUTED_VALUE"""),"2016-06-17-J02-CU-4")</f>
        <v>2016-06-17-J02-CU-4</v>
      </c>
    </row>
    <row r="10206">
      <c r="A10206" t="str">
        <f>IFERROR(__xludf.DUMMYFUNCTION("""COMPUTED_VALUE"""),"2016-06-17-J02-CU-5")</f>
        <v>2016-06-17-J02-CU-5</v>
      </c>
    </row>
    <row r="10207">
      <c r="A10207" t="str">
        <f>IFERROR(__xludf.DUMMYFUNCTION("""COMPUTED_VALUE"""),"2016-06-17-J02-CU-6")</f>
        <v>2016-06-17-J02-CU-6</v>
      </c>
    </row>
    <row r="10208">
      <c r="A10208" t="str">
        <f>IFERROR(__xludf.DUMMYFUNCTION("""COMPUTED_VALUE"""),"2016-06-17-J02-CU-7")</f>
        <v>2016-06-17-J02-CU-7</v>
      </c>
    </row>
    <row r="10209">
      <c r="A10209" t="str">
        <f>IFERROR(__xludf.DUMMYFUNCTION("""COMPUTED_VALUE"""),"2016-06-17-J01-CU-1")</f>
        <v>2016-06-17-J01-CU-1</v>
      </c>
    </row>
    <row r="10210">
      <c r="A10210" t="str">
        <f>IFERROR(__xludf.DUMMYFUNCTION("""COMPUTED_VALUE"""),"2016-06-17-J01-CU-2")</f>
        <v>2016-06-17-J01-CU-2</v>
      </c>
    </row>
    <row r="10211">
      <c r="A10211" t="str">
        <f>IFERROR(__xludf.DUMMYFUNCTION("""COMPUTED_VALUE"""),"2016-06-17-J01-CU-3")</f>
        <v>2016-06-17-J01-CU-3</v>
      </c>
    </row>
    <row r="10212">
      <c r="A10212" t="str">
        <f>IFERROR(__xludf.DUMMYFUNCTION("""COMPUTED_VALUE"""),"2016-06-17-J01-CU-4")</f>
        <v>2016-06-17-J01-CU-4</v>
      </c>
    </row>
    <row r="10213">
      <c r="A10213" t="str">
        <f>IFERROR(__xludf.DUMMYFUNCTION("""COMPUTED_VALUE"""),"2016-06-17-J01-CU-5")</f>
        <v>2016-06-17-J01-CU-5</v>
      </c>
    </row>
    <row r="10214">
      <c r="A10214" t="str">
        <f>IFERROR(__xludf.DUMMYFUNCTION("""COMPUTED_VALUE"""),"2016-06-17-J01-CU-6")</f>
        <v>2016-06-17-J01-CU-6</v>
      </c>
    </row>
    <row r="10215">
      <c r="A10215" t="str">
        <f>IFERROR(__xludf.DUMMYFUNCTION("""COMPUTED_VALUE"""),"2016-06-17-J01-CU-7")</f>
        <v>2016-06-17-J01-CU-7</v>
      </c>
    </row>
    <row r="10216">
      <c r="A10216" t="str">
        <f>IFERROR(__xludf.DUMMYFUNCTION("""COMPUTED_VALUE"""),"2016-06-17-J01-CU-8")</f>
        <v>2016-06-17-J01-CU-8</v>
      </c>
    </row>
    <row r="10217">
      <c r="A10217" t="str">
        <f>IFERROR(__xludf.DUMMYFUNCTION("""COMPUTED_VALUE"""),"2016-06-17-J01-CU-9")</f>
        <v>2016-06-17-J01-CU-9</v>
      </c>
    </row>
    <row r="10218">
      <c r="A10218" t="str">
        <f>IFERROR(__xludf.DUMMYFUNCTION("""COMPUTED_VALUE"""),"2016-06-17-J01-CU-10")</f>
        <v>2016-06-17-J01-CU-10</v>
      </c>
    </row>
    <row r="10219">
      <c r="A10219" t="str">
        <f>IFERROR(__xludf.DUMMYFUNCTION("""COMPUTED_VALUE"""),"2016-06-17-J02-CO-1")</f>
        <v>2016-06-17-J02-CO-1</v>
      </c>
    </row>
    <row r="10220">
      <c r="A10220" t="str">
        <f>IFERROR(__xludf.DUMMYFUNCTION("""COMPUTED_VALUE"""),"2016-06-17-J02-CO-2")</f>
        <v>2016-06-17-J02-CO-2</v>
      </c>
    </row>
    <row r="10221">
      <c r="A10221" t="str">
        <f>IFERROR(__xludf.DUMMYFUNCTION("""COMPUTED_VALUE"""),"2016-06-17-J02-CO-3")</f>
        <v>2016-06-17-J02-CO-3</v>
      </c>
    </row>
    <row r="10222">
      <c r="A10222" t="str">
        <f>IFERROR(__xludf.DUMMYFUNCTION("""COMPUTED_VALUE"""),"2016-06-17-J02-HE-1")</f>
        <v>2016-06-17-J02-HE-1</v>
      </c>
    </row>
    <row r="10223">
      <c r="A10223" t="str">
        <f>IFERROR(__xludf.DUMMYFUNCTION("""COMPUTED_VALUE"""),"2016-06-17-J01-HE-1")</f>
        <v>2016-06-17-J01-HE-1</v>
      </c>
    </row>
    <row r="10224">
      <c r="A10224" t="str">
        <f>IFERROR(__xludf.DUMMYFUNCTION("""COMPUTED_VALUE"""),"2016-06-18-J09-SO-1")</f>
        <v>2016-06-18-J09-SO-1</v>
      </c>
    </row>
    <row r="10225">
      <c r="A10225" t="str">
        <f>IFERROR(__xludf.DUMMYFUNCTION("""COMPUTED_VALUE"""),"2016-06-18-J09-SO-2")</f>
        <v>2016-06-18-J09-SO-2</v>
      </c>
    </row>
    <row r="10226">
      <c r="A10226" t="str">
        <f>IFERROR(__xludf.DUMMYFUNCTION("""COMPUTED_VALUE"""),"2016-06-18-J09-SO-3")</f>
        <v>2016-06-18-J09-SO-3</v>
      </c>
    </row>
    <row r="10227">
      <c r="A10227" t="str">
        <f>IFERROR(__xludf.DUMMYFUNCTION("""COMPUTED_VALUE"""),"2016-06-18-J09-SO-4")</f>
        <v>2016-06-18-J09-SO-4</v>
      </c>
    </row>
    <row r="10228">
      <c r="A10228" t="str">
        <f>IFERROR(__xludf.DUMMYFUNCTION("""COMPUTED_VALUE"""),"2016-06-18-J09-SO-5")</f>
        <v>2016-06-18-J09-SO-5</v>
      </c>
    </row>
    <row r="10229">
      <c r="A10229" t="str">
        <f>IFERROR(__xludf.DUMMYFUNCTION("""COMPUTED_VALUE"""),"2016-06-18-J09-SO-6")</f>
        <v>2016-06-18-J09-SO-6</v>
      </c>
    </row>
    <row r="10230">
      <c r="A10230" t="str">
        <f>IFERROR(__xludf.DUMMYFUNCTION("""COMPUTED_VALUE"""),"2016-06-18-J09-SO-7")</f>
        <v>2016-06-18-J09-SO-7</v>
      </c>
    </row>
    <row r="10231">
      <c r="A10231" t="str">
        <f>IFERROR(__xludf.DUMMYFUNCTION("""COMPUTED_VALUE"""),"2016-06-18-J09-SO-8")</f>
        <v>2016-06-18-J09-SO-8</v>
      </c>
    </row>
    <row r="10232">
      <c r="A10232" t="str">
        <f>IFERROR(__xludf.DUMMYFUNCTION("""COMPUTED_VALUE"""),"2016-06-18-J09-SO-9")</f>
        <v>2016-06-18-J09-SO-9</v>
      </c>
    </row>
    <row r="10233">
      <c r="A10233" t="str">
        <f>IFERROR(__xludf.DUMMYFUNCTION("""COMPUTED_VALUE"""),"2016-06-18-J09-SO-10")</f>
        <v>2016-06-18-J09-SO-10</v>
      </c>
    </row>
    <row r="10234">
      <c r="A10234" t="str">
        <f>IFERROR(__xludf.DUMMYFUNCTION("""COMPUTED_VALUE"""),"2016-06-18-J09-SO-11")</f>
        <v>2016-06-18-J09-SO-11</v>
      </c>
    </row>
    <row r="10235">
      <c r="A10235" t="str">
        <f>IFERROR(__xludf.DUMMYFUNCTION("""COMPUTED_VALUE"""),"2016-06-18-J09-SO-12")</f>
        <v>2016-06-18-J09-SO-12</v>
      </c>
    </row>
    <row r="10236">
      <c r="A10236" t="str">
        <f>IFERROR(__xludf.DUMMYFUNCTION("""COMPUTED_VALUE"""),"2016-06-18-J09-SO-13")</f>
        <v>2016-06-18-J09-SO-13</v>
      </c>
    </row>
    <row r="10237">
      <c r="A10237" t="str">
        <f>IFERROR(__xludf.DUMMYFUNCTION("""COMPUTED_VALUE"""),"2016-06-18-J09-SO-14")</f>
        <v>2016-06-18-J09-SO-14</v>
      </c>
    </row>
    <row r="10238">
      <c r="A10238" t="str">
        <f>IFERROR(__xludf.DUMMYFUNCTION("""COMPUTED_VALUE"""),"2016-06-18-J09-SO-15")</f>
        <v>2016-06-18-J09-SO-15</v>
      </c>
    </row>
    <row r="10239">
      <c r="A10239" t="str">
        <f>IFERROR(__xludf.DUMMYFUNCTION("""COMPUTED_VALUE"""),"2016-06-18-J09-SO-16")</f>
        <v>2016-06-18-J09-SO-16</v>
      </c>
    </row>
    <row r="10240">
      <c r="A10240" t="str">
        <f>IFERROR(__xludf.DUMMYFUNCTION("""COMPUTED_VALUE"""),"2016-06-18-J09-SO-17")</f>
        <v>2016-06-18-J09-SO-17</v>
      </c>
    </row>
    <row r="10241">
      <c r="A10241" t="str">
        <f>IFERROR(__xludf.DUMMYFUNCTION("""COMPUTED_VALUE"""),"2016-06-18-J09-SO-18")</f>
        <v>2016-06-18-J09-SO-18</v>
      </c>
    </row>
    <row r="10242">
      <c r="A10242" t="str">
        <f>IFERROR(__xludf.DUMMYFUNCTION("""COMPUTED_VALUE"""),"2016-06-18-J09-SO-19")</f>
        <v>2016-06-18-J09-SO-19</v>
      </c>
    </row>
    <row r="10243">
      <c r="A10243" t="str">
        <f>IFERROR(__xludf.DUMMYFUNCTION("""COMPUTED_VALUE"""),"2016-06-18-J09-SO-20")</f>
        <v>2016-06-18-J09-SO-20</v>
      </c>
    </row>
    <row r="10244">
      <c r="A10244" t="str">
        <f>IFERROR(__xludf.DUMMYFUNCTION("""COMPUTED_VALUE"""),"2016-06-18-J09-SO-21")</f>
        <v>2016-06-18-J09-SO-21</v>
      </c>
    </row>
    <row r="10245">
      <c r="A10245" t="str">
        <f>IFERROR(__xludf.DUMMYFUNCTION("""COMPUTED_VALUE"""),"2016-06-18-J09-SO-22")</f>
        <v>2016-06-18-J09-SO-22</v>
      </c>
    </row>
    <row r="10246">
      <c r="A10246" t="str">
        <f>IFERROR(__xludf.DUMMYFUNCTION("""COMPUTED_VALUE"""),"2016-06-18-J09-SO-23")</f>
        <v>2016-06-18-J09-SO-23</v>
      </c>
    </row>
    <row r="10247">
      <c r="A10247" t="str">
        <f>IFERROR(__xludf.DUMMYFUNCTION("""COMPUTED_VALUE"""),"2016-06-18-J09-SO-24")</f>
        <v>2016-06-18-J09-SO-24</v>
      </c>
    </row>
    <row r="10248">
      <c r="A10248" t="str">
        <f>IFERROR(__xludf.DUMMYFUNCTION("""COMPUTED_VALUE"""),"2016-06-18-J09-SO-25")</f>
        <v>2016-06-18-J09-SO-25</v>
      </c>
    </row>
    <row r="10249">
      <c r="A10249" t="str">
        <f>IFERROR(__xludf.DUMMYFUNCTION("""COMPUTED_VALUE"""),"2016-06-18-J09-SO-26")</f>
        <v>2016-06-18-J09-SO-26</v>
      </c>
    </row>
    <row r="10250">
      <c r="A10250" t="str">
        <f>IFERROR(__xludf.DUMMYFUNCTION("""COMPUTED_VALUE"""),"2016-06-18-J09-SO-27")</f>
        <v>2016-06-18-J09-SO-27</v>
      </c>
    </row>
    <row r="10251">
      <c r="A10251" t="str">
        <f>IFERROR(__xludf.DUMMYFUNCTION("""COMPUTED_VALUE"""),"2016-06-18-J09-SO-28")</f>
        <v>2016-06-18-J09-SO-28</v>
      </c>
    </row>
    <row r="10252">
      <c r="A10252" t="str">
        <f>IFERROR(__xludf.DUMMYFUNCTION("""COMPUTED_VALUE"""),"2016-06-18-J09-SO-29")</f>
        <v>2016-06-18-J09-SO-29</v>
      </c>
    </row>
    <row r="10253">
      <c r="A10253" t="str">
        <f>IFERROR(__xludf.DUMMYFUNCTION("""COMPUTED_VALUE"""),"2016-06-18-J09-SO-30")</f>
        <v>2016-06-18-J09-SO-30</v>
      </c>
    </row>
    <row r="10254">
      <c r="A10254" t="str">
        <f>IFERROR(__xludf.DUMMYFUNCTION("""COMPUTED_VALUE"""),"2016-06-18-J03-SO-1")</f>
        <v>2016-06-18-J03-SO-1</v>
      </c>
    </row>
    <row r="10255">
      <c r="A10255" t="str">
        <f>IFERROR(__xludf.DUMMYFUNCTION("""COMPUTED_VALUE"""),"2016-06-18-J03-SO-2")</f>
        <v>2016-06-18-J03-SO-2</v>
      </c>
    </row>
    <row r="10256">
      <c r="A10256" t="str">
        <f>IFERROR(__xludf.DUMMYFUNCTION("""COMPUTED_VALUE"""),"2016-06-18-J03-SO-3")</f>
        <v>2016-06-18-J03-SO-3</v>
      </c>
    </row>
    <row r="10257">
      <c r="A10257" t="str">
        <f>IFERROR(__xludf.DUMMYFUNCTION("""COMPUTED_VALUE"""),"2016-06-18-J03-SO-4")</f>
        <v>2016-06-18-J03-SO-4</v>
      </c>
    </row>
    <row r="10258">
      <c r="A10258" t="str">
        <f>IFERROR(__xludf.DUMMYFUNCTION("""COMPUTED_VALUE"""),"2016-06-18-J03-SO-5")</f>
        <v>2016-06-18-J03-SO-5</v>
      </c>
    </row>
    <row r="10259">
      <c r="A10259" t="str">
        <f>IFERROR(__xludf.DUMMYFUNCTION("""COMPUTED_VALUE"""),"2016-06-18-J03-SO-6")</f>
        <v>2016-06-18-J03-SO-6</v>
      </c>
    </row>
    <row r="10260">
      <c r="A10260" t="str">
        <f>IFERROR(__xludf.DUMMYFUNCTION("""COMPUTED_VALUE"""),"2016-06-18-J09-PI-1")</f>
        <v>2016-06-18-J09-PI-1</v>
      </c>
    </row>
    <row r="10261">
      <c r="A10261" t="str">
        <f>IFERROR(__xludf.DUMMYFUNCTION("""COMPUTED_VALUE"""),"2016-06-18-J09-PI-2")</f>
        <v>2016-06-18-J09-PI-2</v>
      </c>
    </row>
    <row r="10262">
      <c r="A10262" t="str">
        <f>IFERROR(__xludf.DUMMYFUNCTION("""COMPUTED_VALUE"""),"2016-06-18-J09-PI-3")</f>
        <v>2016-06-18-J09-PI-3</v>
      </c>
    </row>
    <row r="10263">
      <c r="A10263" t="str">
        <f>IFERROR(__xludf.DUMMYFUNCTION("""COMPUTED_VALUE"""),"2016-06-18-J09-PI-4")</f>
        <v>2016-06-18-J09-PI-4</v>
      </c>
    </row>
    <row r="10264">
      <c r="A10264" t="str">
        <f>IFERROR(__xludf.DUMMYFUNCTION("""COMPUTED_VALUE"""),"2016-06-18-J09-PI-5")</f>
        <v>2016-06-18-J09-PI-5</v>
      </c>
    </row>
    <row r="10265">
      <c r="A10265" t="str">
        <f>IFERROR(__xludf.DUMMYFUNCTION("""COMPUTED_VALUE"""),"2016-06-18-J09-PI-6")</f>
        <v>2016-06-18-J09-PI-6</v>
      </c>
    </row>
    <row r="10266">
      <c r="A10266" t="str">
        <f>IFERROR(__xludf.DUMMYFUNCTION("""COMPUTED_VALUE"""),"2016-06-18-J09-PI-7")</f>
        <v>2016-06-18-J09-PI-7</v>
      </c>
    </row>
    <row r="10267">
      <c r="A10267" t="str">
        <f>IFERROR(__xludf.DUMMYFUNCTION("""COMPUTED_VALUE"""),"2016-06-18-J09-PI-8")</f>
        <v>2016-06-18-J09-PI-8</v>
      </c>
    </row>
    <row r="10268">
      <c r="A10268" t="str">
        <f>IFERROR(__xludf.DUMMYFUNCTION("""COMPUTED_VALUE"""),"2016-06-18-J09-PI-9")</f>
        <v>2016-06-18-J09-PI-9</v>
      </c>
    </row>
    <row r="10269">
      <c r="A10269" t="str">
        <f>IFERROR(__xludf.DUMMYFUNCTION("""COMPUTED_VALUE"""),"2016-06-18-J09-PI-10")</f>
        <v>2016-06-18-J09-PI-10</v>
      </c>
    </row>
    <row r="10270">
      <c r="A10270" t="str">
        <f>IFERROR(__xludf.DUMMYFUNCTION("""COMPUTED_VALUE"""),"2016-06-18-J03-PI-1")</f>
        <v>2016-06-18-J03-PI-1</v>
      </c>
    </row>
    <row r="10271">
      <c r="A10271" t="str">
        <f>IFERROR(__xludf.DUMMYFUNCTION("""COMPUTED_VALUE"""),"2016-06-18-J03-PI-2")</f>
        <v>2016-06-18-J03-PI-2</v>
      </c>
    </row>
    <row r="10272">
      <c r="A10272" t="str">
        <f>IFERROR(__xludf.DUMMYFUNCTION("""COMPUTED_VALUE"""),"2016-06-18-J03-PI-3")</f>
        <v>2016-06-18-J03-PI-3</v>
      </c>
    </row>
    <row r="10273">
      <c r="A10273" t="str">
        <f>IFERROR(__xludf.DUMMYFUNCTION("""COMPUTED_VALUE"""),"2016-06-18-J03-PI-4")</f>
        <v>2016-06-18-J03-PI-4</v>
      </c>
    </row>
    <row r="10274">
      <c r="A10274" t="str">
        <f>IFERROR(__xludf.DUMMYFUNCTION("""COMPUTED_VALUE"""),"2016-06-18-J03-PI-5")</f>
        <v>2016-06-18-J03-PI-5</v>
      </c>
    </row>
    <row r="10275">
      <c r="A10275" t="str">
        <f>IFERROR(__xludf.DUMMYFUNCTION("""COMPUTED_VALUE"""),"2016-06-18-J03-PI-6")</f>
        <v>2016-06-18-J03-PI-6</v>
      </c>
    </row>
    <row r="10276">
      <c r="A10276" t="str">
        <f>IFERROR(__xludf.DUMMYFUNCTION("""COMPUTED_VALUE"""),"2016-06-18-J03-PI-7")</f>
        <v>2016-06-18-J03-PI-7</v>
      </c>
    </row>
    <row r="10277">
      <c r="A10277" t="str">
        <f>IFERROR(__xludf.DUMMYFUNCTION("""COMPUTED_VALUE"""),"2016-06-18-J03-PI-8")</f>
        <v>2016-06-18-J03-PI-8</v>
      </c>
    </row>
    <row r="10278">
      <c r="A10278" t="str">
        <f>IFERROR(__xludf.DUMMYFUNCTION("""COMPUTED_VALUE"""),"2016-06-18-J03-PI-9")</f>
        <v>2016-06-18-J03-PI-9</v>
      </c>
    </row>
    <row r="10279">
      <c r="A10279" t="str">
        <f>IFERROR(__xludf.DUMMYFUNCTION("""COMPUTED_VALUE"""),"2016-06-18-J03-PI-10")</f>
        <v>2016-06-18-J03-PI-10</v>
      </c>
    </row>
    <row r="10280">
      <c r="A10280" t="str">
        <f>IFERROR(__xludf.DUMMYFUNCTION("""COMPUTED_VALUE"""),"2016-06-18-J09-CU-1")</f>
        <v>2016-06-18-J09-CU-1</v>
      </c>
    </row>
    <row r="10281">
      <c r="A10281" t="str">
        <f>IFERROR(__xludf.DUMMYFUNCTION("""COMPUTED_VALUE"""),"2016-06-18-J09-CU-2")</f>
        <v>2016-06-18-J09-CU-2</v>
      </c>
    </row>
    <row r="10282">
      <c r="A10282" t="str">
        <f>IFERROR(__xludf.DUMMYFUNCTION("""COMPUTED_VALUE"""),"2016-06-18-J09-CU-3")</f>
        <v>2016-06-18-J09-CU-3</v>
      </c>
    </row>
    <row r="10283">
      <c r="A10283" t="str">
        <f>IFERROR(__xludf.DUMMYFUNCTION("""COMPUTED_VALUE"""),"2016-06-18-J09-CU-4")</f>
        <v>2016-06-18-J09-CU-4</v>
      </c>
    </row>
    <row r="10284">
      <c r="A10284" t="str">
        <f>IFERROR(__xludf.DUMMYFUNCTION("""COMPUTED_VALUE"""),"2016-06-18-J09-CU-5")</f>
        <v>2016-06-18-J09-CU-5</v>
      </c>
    </row>
    <row r="10285">
      <c r="A10285" t="str">
        <f>IFERROR(__xludf.DUMMYFUNCTION("""COMPUTED_VALUE"""),"2016-06-18-J09-CU-6")</f>
        <v>2016-06-18-J09-CU-6</v>
      </c>
    </row>
    <row r="10286">
      <c r="A10286" t="str">
        <f>IFERROR(__xludf.DUMMYFUNCTION("""COMPUTED_VALUE"""),"2016-06-18-J09-CU-7")</f>
        <v>2016-06-18-J09-CU-7</v>
      </c>
    </row>
    <row r="10287">
      <c r="A10287" t="str">
        <f>IFERROR(__xludf.DUMMYFUNCTION("""COMPUTED_VALUE"""),"2016-06-18-J09-CU-8")</f>
        <v>2016-06-18-J09-CU-8</v>
      </c>
    </row>
    <row r="10288">
      <c r="A10288" t="str">
        <f>IFERROR(__xludf.DUMMYFUNCTION("""COMPUTED_VALUE"""),"2016-06-18-J09-CU-9")</f>
        <v>2016-06-18-J09-CU-9</v>
      </c>
    </row>
    <row r="10289">
      <c r="A10289" t="str">
        <f>IFERROR(__xludf.DUMMYFUNCTION("""COMPUTED_VALUE"""),"2016-06-18-J09-CU-10")</f>
        <v>2016-06-18-J09-CU-10</v>
      </c>
    </row>
    <row r="10290">
      <c r="A10290" t="str">
        <f>IFERROR(__xludf.DUMMYFUNCTION("""COMPUTED_VALUE"""),"2016-06-18-J03-CU-1")</f>
        <v>2016-06-18-J03-CU-1</v>
      </c>
    </row>
    <row r="10291">
      <c r="A10291" t="str">
        <f>IFERROR(__xludf.DUMMYFUNCTION("""COMPUTED_VALUE"""),"2016-06-18-J03-CU-2")</f>
        <v>2016-06-18-J03-CU-2</v>
      </c>
    </row>
    <row r="10292">
      <c r="A10292" t="str">
        <f>IFERROR(__xludf.DUMMYFUNCTION("""COMPUTED_VALUE"""),"2016-06-18-J03-CU-3")</f>
        <v>2016-06-18-J03-CU-3</v>
      </c>
    </row>
    <row r="10293">
      <c r="A10293" t="str">
        <f>IFERROR(__xludf.DUMMYFUNCTION("""COMPUTED_VALUE"""),"2016-06-18-J03-CU-4")</f>
        <v>2016-06-18-J03-CU-4</v>
      </c>
    </row>
    <row r="10294">
      <c r="A10294" t="str">
        <f>IFERROR(__xludf.DUMMYFUNCTION("""COMPUTED_VALUE"""),"2016-06-18-J03-CU-5")</f>
        <v>2016-06-18-J03-CU-5</v>
      </c>
    </row>
    <row r="10295">
      <c r="A10295" t="str">
        <f>IFERROR(__xludf.DUMMYFUNCTION("""COMPUTED_VALUE"""),"2016-06-18-J03-CU-6")</f>
        <v>2016-06-18-J03-CU-6</v>
      </c>
    </row>
    <row r="10296">
      <c r="A10296" t="str">
        <f>IFERROR(__xludf.DUMMYFUNCTION("""COMPUTED_VALUE"""),"2016-06-18-J03-CU-7")</f>
        <v>2016-06-18-J03-CU-7</v>
      </c>
    </row>
    <row r="10297">
      <c r="A10297" t="str">
        <f>IFERROR(__xludf.DUMMYFUNCTION("""COMPUTED_VALUE"""),"2016-06-18-J03-CU-8")</f>
        <v>2016-06-18-J03-CU-8</v>
      </c>
    </row>
    <row r="10298">
      <c r="A10298" t="str">
        <f>IFERROR(__xludf.DUMMYFUNCTION("""COMPUTED_VALUE"""),"2016-06-18-J03-CU-9")</f>
        <v>2016-06-18-J03-CU-9</v>
      </c>
    </row>
    <row r="10299">
      <c r="A10299" t="str">
        <f>IFERROR(__xludf.DUMMYFUNCTION("""COMPUTED_VALUE"""),"2016-06-18-J03-CU-10")</f>
        <v>2016-06-18-J03-CU-10</v>
      </c>
    </row>
    <row r="10300">
      <c r="A10300" t="str">
        <f>IFERROR(__xludf.DUMMYFUNCTION("""COMPUTED_VALUE"""),"2016-06-18-J09-CO-1")</f>
        <v>2016-06-18-J09-CO-1</v>
      </c>
    </row>
    <row r="10301">
      <c r="A10301" t="str">
        <f>IFERROR(__xludf.DUMMYFUNCTION("""COMPUTED_VALUE"""),"2016-06-18-J09-CO-2")</f>
        <v>2016-06-18-J09-CO-2</v>
      </c>
    </row>
    <row r="10302">
      <c r="A10302" t="str">
        <f>IFERROR(__xludf.DUMMYFUNCTION("""COMPUTED_VALUE"""),"2016-06-18-J09-CO-3")</f>
        <v>2016-06-18-J09-CO-3</v>
      </c>
    </row>
    <row r="10303">
      <c r="A10303" t="str">
        <f>IFERROR(__xludf.DUMMYFUNCTION("""COMPUTED_VALUE"""),"2016-06-18-J09-CO-4")</f>
        <v>2016-06-18-J09-CO-4</v>
      </c>
    </row>
    <row r="10304">
      <c r="A10304" t="str">
        <f>IFERROR(__xludf.DUMMYFUNCTION("""COMPUTED_VALUE"""),"2016-06-18-J09-CO-5")</f>
        <v>2016-06-18-J09-CO-5</v>
      </c>
    </row>
    <row r="10305">
      <c r="A10305" t="str">
        <f>IFERROR(__xludf.DUMMYFUNCTION("""COMPUTED_VALUE"""),"2016-06-18-J09-CO-6")</f>
        <v>2016-06-18-J09-CO-6</v>
      </c>
    </row>
    <row r="10306">
      <c r="A10306" t="str">
        <f>IFERROR(__xludf.DUMMYFUNCTION("""COMPUTED_VALUE"""),"2016-06-18-J09-CO-7")</f>
        <v>2016-06-18-J09-CO-7</v>
      </c>
    </row>
    <row r="10307">
      <c r="A10307" t="str">
        <f>IFERROR(__xludf.DUMMYFUNCTION("""COMPUTED_VALUE"""),"2016-06-18-J03-HE-1")</f>
        <v>2016-06-18-J03-HE-1</v>
      </c>
    </row>
    <row r="10308">
      <c r="A10308" t="str">
        <f>IFERROR(__xludf.DUMMYFUNCTION("""COMPUTED_VALUE"""),"2016-06-18-J03-HE-2")</f>
        <v>2016-06-18-J03-HE-2</v>
      </c>
    </row>
    <row r="10309">
      <c r="A10309" t="str">
        <f>IFERROR(__xludf.DUMMYFUNCTION("""COMPUTED_VALUE"""),"2016-06-19-J06-SO-1")</f>
        <v>2016-06-19-J06-SO-1</v>
      </c>
    </row>
    <row r="10310">
      <c r="A10310" t="str">
        <f>IFERROR(__xludf.DUMMYFUNCTION("""COMPUTED_VALUE"""),"2016-06-19-J06-SO-2")</f>
        <v>2016-06-19-J06-SO-2</v>
      </c>
    </row>
    <row r="10311">
      <c r="A10311" t="str">
        <f>IFERROR(__xludf.DUMMYFUNCTION("""COMPUTED_VALUE"""),"2016-06-19-J06-SO-3")</f>
        <v>2016-06-19-J06-SO-3</v>
      </c>
    </row>
    <row r="10312">
      <c r="A10312" t="str">
        <f>IFERROR(__xludf.DUMMYFUNCTION("""COMPUTED_VALUE"""),"2016-06-19-J06-SO-4")</f>
        <v>2016-06-19-J06-SO-4</v>
      </c>
    </row>
    <row r="10313">
      <c r="A10313" t="str">
        <f>IFERROR(__xludf.DUMMYFUNCTION("""COMPUTED_VALUE"""),"2016-06-19-J06-SO-5")</f>
        <v>2016-06-19-J06-SO-5</v>
      </c>
    </row>
    <row r="10314">
      <c r="A10314" t="str">
        <f>IFERROR(__xludf.DUMMYFUNCTION("""COMPUTED_VALUE"""),"2016-06-19-J06-SO-6")</f>
        <v>2016-06-19-J06-SO-6</v>
      </c>
    </row>
    <row r="10315">
      <c r="A10315" t="str">
        <f>IFERROR(__xludf.DUMMYFUNCTION("""COMPUTED_VALUE"""),"2016-06-19-J06-SO-7")</f>
        <v>2016-06-19-J06-SO-7</v>
      </c>
    </row>
    <row r="10316">
      <c r="A10316" t="str">
        <f>IFERROR(__xludf.DUMMYFUNCTION("""COMPUTED_VALUE"""),"2016-06-19-J06-SO-8")</f>
        <v>2016-06-19-J06-SO-8</v>
      </c>
    </row>
    <row r="10317">
      <c r="A10317" t="str">
        <f>IFERROR(__xludf.DUMMYFUNCTION("""COMPUTED_VALUE"""),"2016-06-19-J06-SO-9")</f>
        <v>2016-06-19-J06-SO-9</v>
      </c>
    </row>
    <row r="10318">
      <c r="A10318" t="str">
        <f>IFERROR(__xludf.DUMMYFUNCTION("""COMPUTED_VALUE"""),"2016-06-19-J06-SO-10")</f>
        <v>2016-06-19-J06-SO-10</v>
      </c>
    </row>
    <row r="10319">
      <c r="A10319" t="str">
        <f>IFERROR(__xludf.DUMMYFUNCTION("""COMPUTED_VALUE"""),"2016-06-19-J06-SO-11")</f>
        <v>2016-06-19-J06-SO-11</v>
      </c>
    </row>
    <row r="10320">
      <c r="A10320" t="str">
        <f>IFERROR(__xludf.DUMMYFUNCTION("""COMPUTED_VALUE"""),"2016-06-19-J06-SO-12")</f>
        <v>2016-06-19-J06-SO-12</v>
      </c>
    </row>
    <row r="10321">
      <c r="A10321" t="str">
        <f>IFERROR(__xludf.DUMMYFUNCTION("""COMPUTED_VALUE"""),"2016-06-19-J06-SO-13")</f>
        <v>2016-06-19-J06-SO-13</v>
      </c>
    </row>
    <row r="10322">
      <c r="A10322" t="str">
        <f>IFERROR(__xludf.DUMMYFUNCTION("""COMPUTED_VALUE"""),"2016-06-19-J06-SO-14")</f>
        <v>2016-06-19-J06-SO-14</v>
      </c>
    </row>
    <row r="10323">
      <c r="A10323" t="str">
        <f>IFERROR(__xludf.DUMMYFUNCTION("""COMPUTED_VALUE"""),"2016-06-19-J06-SO-15")</f>
        <v>2016-06-19-J06-SO-15</v>
      </c>
    </row>
    <row r="10324">
      <c r="A10324" t="str">
        <f>IFERROR(__xludf.DUMMYFUNCTION("""COMPUTED_VALUE"""),"2016-06-19-J06-SO-16")</f>
        <v>2016-06-19-J06-SO-16</v>
      </c>
    </row>
    <row r="10325">
      <c r="A10325" t="str">
        <f>IFERROR(__xludf.DUMMYFUNCTION("""COMPUTED_VALUE"""),"2016-06-19-J06-SO-17")</f>
        <v>2016-06-19-J06-SO-17</v>
      </c>
    </row>
    <row r="10326">
      <c r="A10326" t="str">
        <f>IFERROR(__xludf.DUMMYFUNCTION("""COMPUTED_VALUE"""),"2016-06-19-J06-SO-18")</f>
        <v>2016-06-19-J06-SO-18</v>
      </c>
    </row>
    <row r="10327">
      <c r="A10327" t="str">
        <f>IFERROR(__xludf.DUMMYFUNCTION("""COMPUTED_VALUE"""),"2016-06-19-J06-SO-19")</f>
        <v>2016-06-19-J06-SO-19</v>
      </c>
    </row>
    <row r="10328">
      <c r="A10328" t="str">
        <f>IFERROR(__xludf.DUMMYFUNCTION("""COMPUTED_VALUE"""),"2016-06-19-J06-SO-20")</f>
        <v>2016-06-19-J06-SO-20</v>
      </c>
    </row>
    <row r="10329">
      <c r="A10329" t="str">
        <f>IFERROR(__xludf.DUMMYFUNCTION("""COMPUTED_VALUE"""),"2016-06-19-J06-SO-21")</f>
        <v>2016-06-19-J06-SO-21</v>
      </c>
    </row>
    <row r="10330">
      <c r="A10330" t="str">
        <f>IFERROR(__xludf.DUMMYFUNCTION("""COMPUTED_VALUE"""),"2016-06-19-J06-SO-22")</f>
        <v>2016-06-19-J06-SO-22</v>
      </c>
    </row>
    <row r="10331">
      <c r="A10331" t="str">
        <f>IFERROR(__xludf.DUMMYFUNCTION("""COMPUTED_VALUE"""),"2016-06-19-J06-SO-23")</f>
        <v>2016-06-19-J06-SO-23</v>
      </c>
    </row>
    <row r="10332">
      <c r="A10332" t="str">
        <f>IFERROR(__xludf.DUMMYFUNCTION("""COMPUTED_VALUE"""),"2016-06-19-J06-SO-24")</f>
        <v>2016-06-19-J06-SO-24</v>
      </c>
    </row>
    <row r="10333">
      <c r="A10333" t="str">
        <f>IFERROR(__xludf.DUMMYFUNCTION("""COMPUTED_VALUE"""),"2016-06-19-J06-SO-25")</f>
        <v>2016-06-19-J06-SO-25</v>
      </c>
    </row>
    <row r="10334">
      <c r="A10334" t="str">
        <f>IFERROR(__xludf.DUMMYFUNCTION("""COMPUTED_VALUE"""),"2016-06-19-J06-SO-26")</f>
        <v>2016-06-19-J06-SO-26</v>
      </c>
    </row>
    <row r="10335">
      <c r="A10335" t="str">
        <f>IFERROR(__xludf.DUMMYFUNCTION("""COMPUTED_VALUE"""),"2016-06-19-J06-SO-27")</f>
        <v>2016-06-19-J06-SO-27</v>
      </c>
    </row>
    <row r="10336">
      <c r="A10336" t="str">
        <f>IFERROR(__xludf.DUMMYFUNCTION("""COMPUTED_VALUE"""),"2016-06-19-J06-SO-28")</f>
        <v>2016-06-19-J06-SO-28</v>
      </c>
    </row>
    <row r="10337">
      <c r="A10337" t="str">
        <f>IFERROR(__xludf.DUMMYFUNCTION("""COMPUTED_VALUE"""),"2016-06-19-J06-SO-29")</f>
        <v>2016-06-19-J06-SO-29</v>
      </c>
    </row>
    <row r="10338">
      <c r="A10338" t="str">
        <f>IFERROR(__xludf.DUMMYFUNCTION("""COMPUTED_VALUE"""),"2016-06-19-J06-SO-30")</f>
        <v>2016-06-19-J06-SO-30</v>
      </c>
    </row>
    <row r="10339">
      <c r="A10339" t="str">
        <f>IFERROR(__xludf.DUMMYFUNCTION("""COMPUTED_VALUE"""),"2016-06-19-J06-PI-1")</f>
        <v>2016-06-19-J06-PI-1</v>
      </c>
    </row>
    <row r="10340">
      <c r="A10340" t="str">
        <f>IFERROR(__xludf.DUMMYFUNCTION("""COMPUTED_VALUE"""),"2016-06-19-J06-PI-2")</f>
        <v>2016-06-19-J06-PI-2</v>
      </c>
    </row>
    <row r="10341">
      <c r="A10341" t="str">
        <f>IFERROR(__xludf.DUMMYFUNCTION("""COMPUTED_VALUE"""),"2016-06-19-J06-PI-3")</f>
        <v>2016-06-19-J06-PI-3</v>
      </c>
    </row>
    <row r="10342">
      <c r="A10342" t="str">
        <f>IFERROR(__xludf.DUMMYFUNCTION("""COMPUTED_VALUE"""),"2016-06-19-J06-PI-4")</f>
        <v>2016-06-19-J06-PI-4</v>
      </c>
    </row>
    <row r="10343">
      <c r="A10343" t="str">
        <f>IFERROR(__xludf.DUMMYFUNCTION("""COMPUTED_VALUE"""),"2016-06-19-J06-PI-5")</f>
        <v>2016-06-19-J06-PI-5</v>
      </c>
    </row>
    <row r="10344">
      <c r="A10344" t="str">
        <f>IFERROR(__xludf.DUMMYFUNCTION("""COMPUTED_VALUE"""),"2016-06-19-J06-PI-6")</f>
        <v>2016-06-19-J06-PI-6</v>
      </c>
    </row>
    <row r="10345">
      <c r="A10345" t="str">
        <f>IFERROR(__xludf.DUMMYFUNCTION("""COMPUTED_VALUE"""),"2016-06-19-J06-PI-7")</f>
        <v>2016-06-19-J06-PI-7</v>
      </c>
    </row>
    <row r="10346">
      <c r="A10346" t="str">
        <f>IFERROR(__xludf.DUMMYFUNCTION("""COMPUTED_VALUE"""),"2016-06-19-J06-PI-8")</f>
        <v>2016-06-19-J06-PI-8</v>
      </c>
    </row>
    <row r="10347">
      <c r="A10347" t="str">
        <f>IFERROR(__xludf.DUMMYFUNCTION("""COMPUTED_VALUE"""),"2016-06-19-J06-PI-9")</f>
        <v>2016-06-19-J06-PI-9</v>
      </c>
    </row>
    <row r="10348">
      <c r="A10348" t="str">
        <f>IFERROR(__xludf.DUMMYFUNCTION("""COMPUTED_VALUE"""),"2016-06-19-J06-PI-10")</f>
        <v>2016-06-19-J06-PI-10</v>
      </c>
    </row>
    <row r="10349">
      <c r="A10349" t="str">
        <f>IFERROR(__xludf.DUMMYFUNCTION("""COMPUTED_VALUE"""),"2016-06-19-J06-CU-1")</f>
        <v>2016-06-19-J06-CU-1</v>
      </c>
    </row>
    <row r="10350">
      <c r="A10350" t="str">
        <f>IFERROR(__xludf.DUMMYFUNCTION("""COMPUTED_VALUE"""),"2016-06-19-J06-CU-2")</f>
        <v>2016-06-19-J06-CU-2</v>
      </c>
    </row>
    <row r="10351">
      <c r="A10351" t="str">
        <f>IFERROR(__xludf.DUMMYFUNCTION("""COMPUTED_VALUE"""),"2016-06-19-J06-CU-3")</f>
        <v>2016-06-19-J06-CU-3</v>
      </c>
    </row>
    <row r="10352">
      <c r="A10352" t="str">
        <f>IFERROR(__xludf.DUMMYFUNCTION("""COMPUTED_VALUE"""),"2016-06-19-J06-CU-4")</f>
        <v>2016-06-19-J06-CU-4</v>
      </c>
    </row>
    <row r="10353">
      <c r="A10353" t="str">
        <f>IFERROR(__xludf.DUMMYFUNCTION("""COMPUTED_VALUE"""),"2016-06-19-J06-CU-5")</f>
        <v>2016-06-19-J06-CU-5</v>
      </c>
    </row>
    <row r="10354">
      <c r="A10354" t="str">
        <f>IFERROR(__xludf.DUMMYFUNCTION("""COMPUTED_VALUE"""),"2016-06-19-J06-CU-6")</f>
        <v>2016-06-19-J06-CU-6</v>
      </c>
    </row>
    <row r="10355">
      <c r="A10355" t="str">
        <f>IFERROR(__xludf.DUMMYFUNCTION("""COMPUTED_VALUE"""),"2016-06-19-J06-CU-7")</f>
        <v>2016-06-19-J06-CU-7</v>
      </c>
    </row>
    <row r="10356">
      <c r="A10356" t="str">
        <f>IFERROR(__xludf.DUMMYFUNCTION("""COMPUTED_VALUE"""),"2016-06-19-J06-CU-8")</f>
        <v>2016-06-19-J06-CU-8</v>
      </c>
    </row>
    <row r="10357">
      <c r="A10357" t="str">
        <f>IFERROR(__xludf.DUMMYFUNCTION("""COMPUTED_VALUE"""),"2016-06-19-J06-CU-9")</f>
        <v>2016-06-19-J06-CU-9</v>
      </c>
    </row>
    <row r="10358">
      <c r="A10358" t="str">
        <f>IFERROR(__xludf.DUMMYFUNCTION("""COMPUTED_VALUE"""),"2016-06-19-J06-CU-10")</f>
        <v>2016-06-19-J06-CU-10</v>
      </c>
    </row>
    <row r="10359">
      <c r="A10359" t="str">
        <f>IFERROR(__xludf.DUMMYFUNCTION("""COMPUTED_VALUE"""),"2016-06-19-J06-HE-1")</f>
        <v>2016-06-19-J06-HE-1</v>
      </c>
    </row>
    <row r="10360">
      <c r="A10360" t="str">
        <f>IFERROR(__xludf.DUMMYFUNCTION("""COMPUTED_VALUE"""),"2016-06-19-J06-HE-2")</f>
        <v>2016-06-19-J06-HE-2</v>
      </c>
    </row>
    <row r="10361">
      <c r="A10361" t="str">
        <f>IFERROR(__xludf.DUMMYFUNCTION("""COMPUTED_VALUE"""),"2016-06-19-J06-HE-3")</f>
        <v>2016-06-19-J06-HE-3</v>
      </c>
    </row>
    <row r="10362">
      <c r="A10362" t="str">
        <f>IFERROR(__xludf.DUMMYFUNCTION("""COMPUTED_VALUE"""),"2016-06-19-J06-HE-4")</f>
        <v>2016-06-19-J06-HE-4</v>
      </c>
    </row>
    <row r="10363">
      <c r="A10363" t="str">
        <f>IFERROR(__xludf.DUMMYFUNCTION("""COMPUTED_VALUE"""),"2016-06-19-J06-HE-5")</f>
        <v>2016-06-19-J06-HE-5</v>
      </c>
    </row>
    <row r="10364">
      <c r="A10364" t="str">
        <f>IFERROR(__xludf.DUMMYFUNCTION("""COMPUTED_VALUE"""),"2016-06-19-J06-HE-6")</f>
        <v>2016-06-19-J06-HE-6</v>
      </c>
    </row>
    <row r="10365">
      <c r="A10365" t="str">
        <f>IFERROR(__xludf.DUMMYFUNCTION("""COMPUTED_VALUE"""),"2016-06-19-J06-HE-7")</f>
        <v>2016-06-19-J06-HE-7</v>
      </c>
    </row>
    <row r="10366">
      <c r="A10366" t="str">
        <f>IFERROR(__xludf.DUMMYFUNCTION("""COMPUTED_VALUE"""),"2016-06-20-J07-SO-1")</f>
        <v>2016-06-20-J07-SO-1</v>
      </c>
    </row>
    <row r="10367">
      <c r="A10367" t="str">
        <f>IFERROR(__xludf.DUMMYFUNCTION("""COMPUTED_VALUE"""),"2016-06-20-J07-SO-2")</f>
        <v>2016-06-20-J07-SO-2</v>
      </c>
    </row>
    <row r="10368">
      <c r="A10368" t="str">
        <f>IFERROR(__xludf.DUMMYFUNCTION("""COMPUTED_VALUE"""),"2016-06-20-J07-SO-3")</f>
        <v>2016-06-20-J07-SO-3</v>
      </c>
    </row>
    <row r="10369">
      <c r="A10369" t="str">
        <f>IFERROR(__xludf.DUMMYFUNCTION("""COMPUTED_VALUE"""),"2016-06-20-J07-SO-4")</f>
        <v>2016-06-20-J07-SO-4</v>
      </c>
    </row>
    <row r="10370">
      <c r="A10370" t="str">
        <f>IFERROR(__xludf.DUMMYFUNCTION("""COMPUTED_VALUE"""),"2016-06-20-J07-SO-5")</f>
        <v>2016-06-20-J07-SO-5</v>
      </c>
    </row>
    <row r="10371">
      <c r="A10371" t="str">
        <f>IFERROR(__xludf.DUMMYFUNCTION("""COMPUTED_VALUE"""),"2016-06-20-J07-SO-6")</f>
        <v>2016-06-20-J07-SO-6</v>
      </c>
    </row>
    <row r="10372">
      <c r="A10372" t="str">
        <f>IFERROR(__xludf.DUMMYFUNCTION("""COMPUTED_VALUE"""),"2016-06-20-J07-SO-7")</f>
        <v>2016-06-20-J07-SO-7</v>
      </c>
    </row>
    <row r="10373">
      <c r="A10373" t="str">
        <f>IFERROR(__xludf.DUMMYFUNCTION("""COMPUTED_VALUE"""),"2016-06-20-J07-SO-8")</f>
        <v>2016-06-20-J07-SO-8</v>
      </c>
    </row>
    <row r="10374">
      <c r="A10374" t="str">
        <f>IFERROR(__xludf.DUMMYFUNCTION("""COMPUTED_VALUE"""),"2016-06-20-J07-SO-9")</f>
        <v>2016-06-20-J07-SO-9</v>
      </c>
    </row>
    <row r="10375">
      <c r="A10375" t="str">
        <f>IFERROR(__xludf.DUMMYFUNCTION("""COMPUTED_VALUE"""),"2016-06-20-J07-SO-10")</f>
        <v>2016-06-20-J07-SO-10</v>
      </c>
    </row>
    <row r="10376">
      <c r="A10376" t="str">
        <f>IFERROR(__xludf.DUMMYFUNCTION("""COMPUTED_VALUE"""),"2016-06-20-J07-SO-11")</f>
        <v>2016-06-20-J07-SO-11</v>
      </c>
    </row>
    <row r="10377">
      <c r="A10377" t="str">
        <f>IFERROR(__xludf.DUMMYFUNCTION("""COMPUTED_VALUE"""),"2016-06-20-J07-SO-12")</f>
        <v>2016-06-20-J07-SO-12</v>
      </c>
    </row>
    <row r="10378">
      <c r="A10378" t="str">
        <f>IFERROR(__xludf.DUMMYFUNCTION("""COMPUTED_VALUE"""),"2016-06-20-J07-SO-13")</f>
        <v>2016-06-20-J07-SO-13</v>
      </c>
    </row>
    <row r="10379">
      <c r="A10379" t="str">
        <f>IFERROR(__xludf.DUMMYFUNCTION("""COMPUTED_VALUE"""),"2016-06-20-J07-SO-14")</f>
        <v>2016-06-20-J07-SO-14</v>
      </c>
    </row>
    <row r="10380">
      <c r="A10380" t="str">
        <f>IFERROR(__xludf.DUMMYFUNCTION("""COMPUTED_VALUE"""),"2016-06-20-J07-SO-15")</f>
        <v>2016-06-20-J07-SO-15</v>
      </c>
    </row>
    <row r="10381">
      <c r="A10381" t="str">
        <f>IFERROR(__xludf.DUMMYFUNCTION("""COMPUTED_VALUE"""),"2016-06-20-J07-SO-16")</f>
        <v>2016-06-20-J07-SO-16</v>
      </c>
    </row>
    <row r="10382">
      <c r="A10382" t="str">
        <f>IFERROR(__xludf.DUMMYFUNCTION("""COMPUTED_VALUE"""),"2016-06-20-J07-SO-17")</f>
        <v>2016-06-20-J07-SO-17</v>
      </c>
    </row>
    <row r="10383">
      <c r="A10383" t="str">
        <f>IFERROR(__xludf.DUMMYFUNCTION("""COMPUTED_VALUE"""),"2016-06-20-J07-SO-18")</f>
        <v>2016-06-20-J07-SO-18</v>
      </c>
    </row>
    <row r="10384">
      <c r="A10384" t="str">
        <f>IFERROR(__xludf.DUMMYFUNCTION("""COMPUTED_VALUE"""),"2016-06-20-J07-SO-19")</f>
        <v>2016-06-20-J07-SO-19</v>
      </c>
    </row>
    <row r="10385">
      <c r="A10385" t="str">
        <f>IFERROR(__xludf.DUMMYFUNCTION("""COMPUTED_VALUE"""),"2016-06-20-J07-SO-20")</f>
        <v>2016-06-20-J07-SO-20</v>
      </c>
    </row>
    <row r="10386">
      <c r="A10386" t="str">
        <f>IFERROR(__xludf.DUMMYFUNCTION("""COMPUTED_VALUE"""),"2016-06-20-J07-SO-21")</f>
        <v>2016-06-20-J07-SO-21</v>
      </c>
    </row>
    <row r="10387">
      <c r="A10387" t="str">
        <f>IFERROR(__xludf.DUMMYFUNCTION("""COMPUTED_VALUE"""),"2016-06-20-J07-SO-22")</f>
        <v>2016-06-20-J07-SO-22</v>
      </c>
    </row>
    <row r="10388">
      <c r="A10388" t="str">
        <f>IFERROR(__xludf.DUMMYFUNCTION("""COMPUTED_VALUE"""),"2016-06-20-J07-SO-23")</f>
        <v>2016-06-20-J07-SO-23</v>
      </c>
    </row>
    <row r="10389">
      <c r="A10389" t="str">
        <f>IFERROR(__xludf.DUMMYFUNCTION("""COMPUTED_VALUE"""),"2016-06-20-J07-SO-24")</f>
        <v>2016-06-20-J07-SO-24</v>
      </c>
    </row>
    <row r="10390">
      <c r="A10390" t="str">
        <f>IFERROR(__xludf.DUMMYFUNCTION("""COMPUTED_VALUE"""),"2016-06-20-J07-SO-25")</f>
        <v>2016-06-20-J07-SO-25</v>
      </c>
    </row>
    <row r="10391">
      <c r="A10391" t="str">
        <f>IFERROR(__xludf.DUMMYFUNCTION("""COMPUTED_VALUE"""),"2016-06-20-J07-SO-26")</f>
        <v>2016-06-20-J07-SO-26</v>
      </c>
    </row>
    <row r="10392">
      <c r="A10392" t="str">
        <f>IFERROR(__xludf.DUMMYFUNCTION("""COMPUTED_VALUE"""),"2016-06-20-J07-SO-27")</f>
        <v>2016-06-20-J07-SO-27</v>
      </c>
    </row>
    <row r="10393">
      <c r="A10393" t="str">
        <f>IFERROR(__xludf.DUMMYFUNCTION("""COMPUTED_VALUE"""),"2016-06-20-J07-SO-28")</f>
        <v>2016-06-20-J07-SO-28</v>
      </c>
    </row>
    <row r="10394">
      <c r="A10394" t="str">
        <f>IFERROR(__xludf.DUMMYFUNCTION("""COMPUTED_VALUE"""),"2016-06-20-J07-SO-29")</f>
        <v>2016-06-20-J07-SO-29</v>
      </c>
    </row>
    <row r="10395">
      <c r="A10395" t="str">
        <f>IFERROR(__xludf.DUMMYFUNCTION("""COMPUTED_VALUE"""),"2016-06-20-J07-SO-30")</f>
        <v>2016-06-20-J07-SO-30</v>
      </c>
    </row>
    <row r="10396">
      <c r="A10396" t="str">
        <f>IFERROR(__xludf.DUMMYFUNCTION("""COMPUTED_VALUE"""),"2016-06-20-J07-PI-1")</f>
        <v>2016-06-20-J07-PI-1</v>
      </c>
    </row>
    <row r="10397">
      <c r="A10397" t="str">
        <f>IFERROR(__xludf.DUMMYFUNCTION("""COMPUTED_VALUE"""),"2016-06-20-J07-PI-2")</f>
        <v>2016-06-20-J07-PI-2</v>
      </c>
    </row>
    <row r="10398">
      <c r="A10398" t="str">
        <f>IFERROR(__xludf.DUMMYFUNCTION("""COMPUTED_VALUE"""),"2016-06-20-J07-PI-3")</f>
        <v>2016-06-20-J07-PI-3</v>
      </c>
    </row>
    <row r="10399">
      <c r="A10399" t="str">
        <f>IFERROR(__xludf.DUMMYFUNCTION("""COMPUTED_VALUE"""),"2016-06-20-J07-PI-4")</f>
        <v>2016-06-20-J07-PI-4</v>
      </c>
    </row>
    <row r="10400">
      <c r="A10400" t="str">
        <f>IFERROR(__xludf.DUMMYFUNCTION("""COMPUTED_VALUE"""),"2016-06-20-J07-PI-5")</f>
        <v>2016-06-20-J07-PI-5</v>
      </c>
    </row>
    <row r="10401">
      <c r="A10401" t="str">
        <f>IFERROR(__xludf.DUMMYFUNCTION("""COMPUTED_VALUE"""),"2016-06-20-J07-PI-6")</f>
        <v>2016-06-20-J07-PI-6</v>
      </c>
    </row>
    <row r="10402">
      <c r="A10402" t="str">
        <f>IFERROR(__xludf.DUMMYFUNCTION("""COMPUTED_VALUE"""),"2016-06-20-J07-PI-7")</f>
        <v>2016-06-20-J07-PI-7</v>
      </c>
    </row>
    <row r="10403">
      <c r="A10403" t="str">
        <f>IFERROR(__xludf.DUMMYFUNCTION("""COMPUTED_VALUE"""),"2016-06-20-J07-PI-8")</f>
        <v>2016-06-20-J07-PI-8</v>
      </c>
    </row>
    <row r="10404">
      <c r="A10404" t="str">
        <f>IFERROR(__xludf.DUMMYFUNCTION("""COMPUTED_VALUE"""),"2016-06-20-J07-PI-9")</f>
        <v>2016-06-20-J07-PI-9</v>
      </c>
    </row>
    <row r="10405">
      <c r="A10405" t="str">
        <f>IFERROR(__xludf.DUMMYFUNCTION("""COMPUTED_VALUE"""),"2016-06-20-J07-PI-10")</f>
        <v>2016-06-20-J07-PI-10</v>
      </c>
    </row>
    <row r="10406">
      <c r="A10406" t="str">
        <f>IFERROR(__xludf.DUMMYFUNCTION("""COMPUTED_VALUE"""),"2016-06-20-J07-CU-1")</f>
        <v>2016-06-20-J07-CU-1</v>
      </c>
    </row>
    <row r="10407">
      <c r="A10407" t="str">
        <f>IFERROR(__xludf.DUMMYFUNCTION("""COMPUTED_VALUE"""),"2016-06-20-J07-CU-2")</f>
        <v>2016-06-20-J07-CU-2</v>
      </c>
    </row>
    <row r="10408">
      <c r="A10408" t="str">
        <f>IFERROR(__xludf.DUMMYFUNCTION("""COMPUTED_VALUE"""),"2016-06-20-J07-CU-3")</f>
        <v>2016-06-20-J07-CU-3</v>
      </c>
    </row>
    <row r="10409">
      <c r="A10409" t="str">
        <f>IFERROR(__xludf.DUMMYFUNCTION("""COMPUTED_VALUE"""),"2016-06-20-J07-CU-4")</f>
        <v>2016-06-20-J07-CU-4</v>
      </c>
    </row>
    <row r="10410">
      <c r="A10410" t="str">
        <f>IFERROR(__xludf.DUMMYFUNCTION("""COMPUTED_VALUE"""),"2016-06-20-J07-CU-5")</f>
        <v>2016-06-20-J07-CU-5</v>
      </c>
    </row>
    <row r="10411">
      <c r="A10411" t="str">
        <f>IFERROR(__xludf.DUMMYFUNCTION("""COMPUTED_VALUE"""),"2016-06-20-J07-CU-6")</f>
        <v>2016-06-20-J07-CU-6</v>
      </c>
    </row>
    <row r="10412">
      <c r="A10412" t="str">
        <f>IFERROR(__xludf.DUMMYFUNCTION("""COMPUTED_VALUE"""),"2016-06-20-J07-CU-7")</f>
        <v>2016-06-20-J07-CU-7</v>
      </c>
    </row>
    <row r="10413">
      <c r="A10413" t="str">
        <f>IFERROR(__xludf.DUMMYFUNCTION("""COMPUTED_VALUE"""),"2016-06-20-J07-CU-8")</f>
        <v>2016-06-20-J07-CU-8</v>
      </c>
    </row>
    <row r="10414">
      <c r="A10414" t="str">
        <f>IFERROR(__xludf.DUMMYFUNCTION("""COMPUTED_VALUE"""),"2016-06-20-J07-CU-9")</f>
        <v>2016-06-20-J07-CU-9</v>
      </c>
    </row>
    <row r="10415">
      <c r="A10415" t="str">
        <f>IFERROR(__xludf.DUMMYFUNCTION("""COMPUTED_VALUE"""),"2016-06-20-J07-CU-10")</f>
        <v>2016-06-20-J07-CU-10</v>
      </c>
    </row>
    <row r="10416">
      <c r="A10416" t="str">
        <f>IFERROR(__xludf.DUMMYFUNCTION("""COMPUTED_VALUE"""),"2016-06-21-D09-SO-1")</f>
        <v>2016-06-21-D09-SO-1</v>
      </c>
    </row>
    <row r="10417">
      <c r="A10417" t="str">
        <f>IFERROR(__xludf.DUMMYFUNCTION("""COMPUTED_VALUE"""),"2016-06-21-D09-SO-2")</f>
        <v>2016-06-21-D09-SO-2</v>
      </c>
    </row>
    <row r="10418">
      <c r="A10418" t="str">
        <f>IFERROR(__xludf.DUMMYFUNCTION("""COMPUTED_VALUE"""),"2016-06-21-D09-SO-3")</f>
        <v>2016-06-21-D09-SO-3</v>
      </c>
    </row>
    <row r="10419">
      <c r="A10419" t="str">
        <f>IFERROR(__xludf.DUMMYFUNCTION("""COMPUTED_VALUE"""),"2016-06-21-D09-SO-4")</f>
        <v>2016-06-21-D09-SO-4</v>
      </c>
    </row>
    <row r="10420">
      <c r="A10420" t="str">
        <f>IFERROR(__xludf.DUMMYFUNCTION("""COMPUTED_VALUE"""),"2016-06-21-D09-SO-5")</f>
        <v>2016-06-21-D09-SO-5</v>
      </c>
    </row>
    <row r="10421">
      <c r="A10421" t="str">
        <f>IFERROR(__xludf.DUMMYFUNCTION("""COMPUTED_VALUE"""),"2016-06-21-D09-SO-6")</f>
        <v>2016-06-21-D09-SO-6</v>
      </c>
    </row>
    <row r="10422">
      <c r="A10422" t="str">
        <f>IFERROR(__xludf.DUMMYFUNCTION("""COMPUTED_VALUE"""),"2016-06-21-D09-SO-7")</f>
        <v>2016-06-21-D09-SO-7</v>
      </c>
    </row>
    <row r="10423">
      <c r="A10423" t="str">
        <f>IFERROR(__xludf.DUMMYFUNCTION("""COMPUTED_VALUE"""),"2016-06-21-D09-SO-8")</f>
        <v>2016-06-21-D09-SO-8</v>
      </c>
    </row>
    <row r="10424">
      <c r="A10424" t="str">
        <f>IFERROR(__xludf.DUMMYFUNCTION("""COMPUTED_VALUE"""),"2016-06-21-D09-SO-9")</f>
        <v>2016-06-21-D09-SO-9</v>
      </c>
    </row>
    <row r="10425">
      <c r="A10425" t="str">
        <f>IFERROR(__xludf.DUMMYFUNCTION("""COMPUTED_VALUE"""),"2016-06-21-D09-SO-10")</f>
        <v>2016-06-21-D09-SO-10</v>
      </c>
    </row>
    <row r="10426">
      <c r="A10426" t="str">
        <f>IFERROR(__xludf.DUMMYFUNCTION("""COMPUTED_VALUE"""),"2016-06-21-D09-SO-11")</f>
        <v>2016-06-21-D09-SO-11</v>
      </c>
    </row>
    <row r="10427">
      <c r="A10427" t="str">
        <f>IFERROR(__xludf.DUMMYFUNCTION("""COMPUTED_VALUE"""),"2016-06-21-D09-SO-12")</f>
        <v>2016-06-21-D09-SO-12</v>
      </c>
    </row>
    <row r="10428">
      <c r="A10428" t="str">
        <f>IFERROR(__xludf.DUMMYFUNCTION("""COMPUTED_VALUE"""),"2016-06-21-D09-SO-13")</f>
        <v>2016-06-21-D09-SO-13</v>
      </c>
    </row>
    <row r="10429">
      <c r="A10429" t="str">
        <f>IFERROR(__xludf.DUMMYFUNCTION("""COMPUTED_VALUE"""),"2016-06-21-D09-SO-14")</f>
        <v>2016-06-21-D09-SO-14</v>
      </c>
    </row>
    <row r="10430">
      <c r="A10430" t="str">
        <f>IFERROR(__xludf.DUMMYFUNCTION("""COMPUTED_VALUE"""),"2016-06-21-D09-PI-1")</f>
        <v>2016-06-21-D09-PI-1</v>
      </c>
    </row>
    <row r="10431">
      <c r="A10431" t="str">
        <f>IFERROR(__xludf.DUMMYFUNCTION("""COMPUTED_VALUE"""),"2016-06-21-D09-PI-2")</f>
        <v>2016-06-21-D09-PI-2</v>
      </c>
    </row>
    <row r="10432">
      <c r="A10432" t="str">
        <f>IFERROR(__xludf.DUMMYFUNCTION("""COMPUTED_VALUE"""),"2016-06-21-D09-PI-3")</f>
        <v>2016-06-21-D09-PI-3</v>
      </c>
    </row>
    <row r="10433">
      <c r="A10433" t="str">
        <f>IFERROR(__xludf.DUMMYFUNCTION("""COMPUTED_VALUE"""),"2016-06-21-D09-PI-4")</f>
        <v>2016-06-21-D09-PI-4</v>
      </c>
    </row>
    <row r="10434">
      <c r="A10434" t="str">
        <f>IFERROR(__xludf.DUMMYFUNCTION("""COMPUTED_VALUE"""),"2016-06-21-D09-PI-5")</f>
        <v>2016-06-21-D09-PI-5</v>
      </c>
    </row>
    <row r="10435">
      <c r="A10435" t="str">
        <f>IFERROR(__xludf.DUMMYFUNCTION("""COMPUTED_VALUE"""),"2016-06-21-D09-PI-6")</f>
        <v>2016-06-21-D09-PI-6</v>
      </c>
    </row>
    <row r="10436">
      <c r="A10436" t="str">
        <f>IFERROR(__xludf.DUMMYFUNCTION("""COMPUTED_VALUE"""),"2016-06-21-D09-PI-7")</f>
        <v>2016-06-21-D09-PI-7</v>
      </c>
    </row>
    <row r="10437">
      <c r="A10437" t="str">
        <f>IFERROR(__xludf.DUMMYFUNCTION("""COMPUTED_VALUE"""),"2016-06-21-D09-PI-8")</f>
        <v>2016-06-21-D09-PI-8</v>
      </c>
    </row>
    <row r="10438">
      <c r="A10438" t="str">
        <f>IFERROR(__xludf.DUMMYFUNCTION("""COMPUTED_VALUE"""),"2016-06-21-D09-PI-9")</f>
        <v>2016-06-21-D09-PI-9</v>
      </c>
    </row>
    <row r="10439">
      <c r="A10439" t="str">
        <f>IFERROR(__xludf.DUMMYFUNCTION("""COMPUTED_VALUE"""),"2016-06-21-D09-PI-10")</f>
        <v>2016-06-21-D09-PI-10</v>
      </c>
    </row>
    <row r="10440">
      <c r="A10440" t="str">
        <f>IFERROR(__xludf.DUMMYFUNCTION("""COMPUTED_VALUE"""),"2016-06-21-D09-CU-1")</f>
        <v>2016-06-21-D09-CU-1</v>
      </c>
    </row>
    <row r="10441">
      <c r="A10441" t="str">
        <f>IFERROR(__xludf.DUMMYFUNCTION("""COMPUTED_VALUE"""),"2016-06-21-D09-CU-2")</f>
        <v>2016-06-21-D09-CU-2</v>
      </c>
    </row>
    <row r="10442">
      <c r="A10442" t="str">
        <f>IFERROR(__xludf.DUMMYFUNCTION("""COMPUTED_VALUE"""),"2016-06-21-D09-CU-3")</f>
        <v>2016-06-21-D09-CU-3</v>
      </c>
    </row>
    <row r="10443">
      <c r="A10443" t="str">
        <f>IFERROR(__xludf.DUMMYFUNCTION("""COMPUTED_VALUE"""),"2016-06-21-D09-CU-4")</f>
        <v>2016-06-21-D09-CU-4</v>
      </c>
    </row>
    <row r="10444">
      <c r="A10444" t="str">
        <f>IFERROR(__xludf.DUMMYFUNCTION("""COMPUTED_VALUE"""),"2016-06-21-D09-CU-5")</f>
        <v>2016-06-21-D09-CU-5</v>
      </c>
    </row>
    <row r="10445">
      <c r="A10445" t="str">
        <f>IFERROR(__xludf.DUMMYFUNCTION("""COMPUTED_VALUE"""),"2016-06-21-D09-CU-6")</f>
        <v>2016-06-21-D09-CU-6</v>
      </c>
    </row>
    <row r="10446">
      <c r="A10446" t="str">
        <f>IFERROR(__xludf.DUMMYFUNCTION("""COMPUTED_VALUE"""),"2016-06-21-D09-CU-7")</f>
        <v>2016-06-21-D09-CU-7</v>
      </c>
    </row>
    <row r="10447">
      <c r="A10447" t="str">
        <f>IFERROR(__xludf.DUMMYFUNCTION("""COMPUTED_VALUE"""),"2016-06-21-D09-CU-8")</f>
        <v>2016-06-21-D09-CU-8</v>
      </c>
    </row>
    <row r="10448">
      <c r="A10448" t="str">
        <f>IFERROR(__xludf.DUMMYFUNCTION("""COMPUTED_VALUE"""),"2016-06-21-D09-CU-9")</f>
        <v>2016-06-21-D09-CU-9</v>
      </c>
    </row>
    <row r="10449">
      <c r="A10449" t="str">
        <f>IFERROR(__xludf.DUMMYFUNCTION("""COMPUTED_VALUE"""),"2016-06-21-D09-CU-10")</f>
        <v>2016-06-21-D09-CU-10</v>
      </c>
    </row>
    <row r="10450">
      <c r="A10450" t="str">
        <f>IFERROR(__xludf.DUMMYFUNCTION("""COMPUTED_VALUE"""),"2016-06-22-D21-SO-1")</f>
        <v>2016-06-22-D21-SO-1</v>
      </c>
    </row>
    <row r="10451">
      <c r="A10451" t="str">
        <f>IFERROR(__xludf.DUMMYFUNCTION("""COMPUTED_VALUE"""),"2016-06-22-D21-SO-2")</f>
        <v>2016-06-22-D21-SO-2</v>
      </c>
    </row>
    <row r="10452">
      <c r="A10452" t="str">
        <f>IFERROR(__xludf.DUMMYFUNCTION("""COMPUTED_VALUE"""),"2016-06-22-D21-SO-3")</f>
        <v>2016-06-22-D21-SO-3</v>
      </c>
    </row>
    <row r="10453">
      <c r="A10453" t="str">
        <f>IFERROR(__xludf.DUMMYFUNCTION("""COMPUTED_VALUE"""),"2016-06-22-D21-SO-4")</f>
        <v>2016-06-22-D21-SO-4</v>
      </c>
    </row>
    <row r="10454">
      <c r="A10454" t="str">
        <f>IFERROR(__xludf.DUMMYFUNCTION("""COMPUTED_VALUE"""),"2016-06-22-D21-SO-5")</f>
        <v>2016-06-22-D21-SO-5</v>
      </c>
    </row>
    <row r="10455">
      <c r="A10455" t="str">
        <f>IFERROR(__xludf.DUMMYFUNCTION("""COMPUTED_VALUE"""),"2016-06-22-D21-SO-6")</f>
        <v>2016-06-22-D21-SO-6</v>
      </c>
    </row>
    <row r="10456">
      <c r="A10456" t="str">
        <f>IFERROR(__xludf.DUMMYFUNCTION("""COMPUTED_VALUE"""),"2016-06-22-D21-SO-7")</f>
        <v>2016-06-22-D21-SO-7</v>
      </c>
    </row>
    <row r="10457">
      <c r="A10457" t="str">
        <f>IFERROR(__xludf.DUMMYFUNCTION("""COMPUTED_VALUE"""),"2016-06-22-D21-SO-8")</f>
        <v>2016-06-22-D21-SO-8</v>
      </c>
    </row>
    <row r="10458">
      <c r="A10458" t="str">
        <f>IFERROR(__xludf.DUMMYFUNCTION("""COMPUTED_VALUE"""),"2016-06-22-D21-SO-9")</f>
        <v>2016-06-22-D21-SO-9</v>
      </c>
    </row>
    <row r="10459">
      <c r="A10459" t="str">
        <f>IFERROR(__xludf.DUMMYFUNCTION("""COMPUTED_VALUE"""),"2016-06-22-D21-SO-10")</f>
        <v>2016-06-22-D21-SO-10</v>
      </c>
    </row>
    <row r="10460">
      <c r="A10460" t="str">
        <f>IFERROR(__xludf.DUMMYFUNCTION("""COMPUTED_VALUE"""),"2016-06-22-D21-SO-11")</f>
        <v>2016-06-22-D21-SO-11</v>
      </c>
    </row>
    <row r="10461">
      <c r="A10461" t="str">
        <f>IFERROR(__xludf.DUMMYFUNCTION("""COMPUTED_VALUE"""),"2016-06-22-D21-SO-12")</f>
        <v>2016-06-22-D21-SO-12</v>
      </c>
    </row>
    <row r="10462">
      <c r="A10462" t="str">
        <f>IFERROR(__xludf.DUMMYFUNCTION("""COMPUTED_VALUE"""),"2016-06-22-D21-SO-13")</f>
        <v>2016-06-22-D21-SO-13</v>
      </c>
    </row>
    <row r="10463">
      <c r="A10463" t="str">
        <f>IFERROR(__xludf.DUMMYFUNCTION("""COMPUTED_VALUE"""),"2016-06-22-D21-SO-14")</f>
        <v>2016-06-22-D21-SO-14</v>
      </c>
    </row>
    <row r="10464">
      <c r="A10464" t="str">
        <f>IFERROR(__xludf.DUMMYFUNCTION("""COMPUTED_VALUE"""),"2016-06-22-D21-SO-15")</f>
        <v>2016-06-22-D21-SO-15</v>
      </c>
    </row>
    <row r="10465">
      <c r="A10465" t="str">
        <f>IFERROR(__xludf.DUMMYFUNCTION("""COMPUTED_VALUE"""),"2016-06-22-D21-SO-16")</f>
        <v>2016-06-22-D21-SO-16</v>
      </c>
    </row>
    <row r="10466">
      <c r="A10466" t="str">
        <f>IFERROR(__xludf.DUMMYFUNCTION("""COMPUTED_VALUE"""),"2016-06-22-D21-SO-17")</f>
        <v>2016-06-22-D21-SO-17</v>
      </c>
    </row>
    <row r="10467">
      <c r="A10467" t="str">
        <f>IFERROR(__xludf.DUMMYFUNCTION("""COMPUTED_VALUE"""),"2016-06-22-D21-SO-18")</f>
        <v>2016-06-22-D21-SO-18</v>
      </c>
    </row>
    <row r="10468">
      <c r="A10468" t="str">
        <f>IFERROR(__xludf.DUMMYFUNCTION("""COMPUTED_VALUE"""),"2016-06-22-D21-SO-19")</f>
        <v>2016-06-22-D21-SO-19</v>
      </c>
    </row>
    <row r="10469">
      <c r="A10469" t="str">
        <f>IFERROR(__xludf.DUMMYFUNCTION("""COMPUTED_VALUE"""),"2016-06-22-D21-SO-20")</f>
        <v>2016-06-22-D21-SO-20</v>
      </c>
    </row>
    <row r="10470">
      <c r="A10470" t="str">
        <f>IFERROR(__xludf.DUMMYFUNCTION("""COMPUTED_VALUE"""),"2016-06-22-D21-SO-21")</f>
        <v>2016-06-22-D21-SO-21</v>
      </c>
    </row>
    <row r="10471">
      <c r="A10471" t="str">
        <f>IFERROR(__xludf.DUMMYFUNCTION("""COMPUTED_VALUE"""),"2016-06-22-D21-SO-22")</f>
        <v>2016-06-22-D21-SO-22</v>
      </c>
    </row>
    <row r="10472">
      <c r="A10472" t="str">
        <f>IFERROR(__xludf.DUMMYFUNCTION("""COMPUTED_VALUE"""),"2016-06-22-D21-SO-23")</f>
        <v>2016-06-22-D21-SO-23</v>
      </c>
    </row>
    <row r="10473">
      <c r="A10473" t="str">
        <f>IFERROR(__xludf.DUMMYFUNCTION("""COMPUTED_VALUE"""),"2016-06-22-D21-SO-24")</f>
        <v>2016-06-22-D21-SO-24</v>
      </c>
    </row>
    <row r="10474">
      <c r="A10474" t="str">
        <f>IFERROR(__xludf.DUMMYFUNCTION("""COMPUTED_VALUE"""),"2016-06-22-D21-SO-25")</f>
        <v>2016-06-22-D21-SO-25</v>
      </c>
    </row>
    <row r="10475">
      <c r="A10475" t="str">
        <f>IFERROR(__xludf.DUMMYFUNCTION("""COMPUTED_VALUE"""),"2016-06-22-D21-SO-26")</f>
        <v>2016-06-22-D21-SO-26</v>
      </c>
    </row>
    <row r="10476">
      <c r="A10476" t="str">
        <f>IFERROR(__xludf.DUMMYFUNCTION("""COMPUTED_VALUE"""),"2016-06-22-D21-SO-27")</f>
        <v>2016-06-22-D21-SO-27</v>
      </c>
    </row>
    <row r="10477">
      <c r="A10477" t="str">
        <f>IFERROR(__xludf.DUMMYFUNCTION("""COMPUTED_VALUE"""),"2016-06-22-D21-SO-28")</f>
        <v>2016-06-22-D21-SO-28</v>
      </c>
    </row>
    <row r="10478">
      <c r="A10478" t="str">
        <f>IFERROR(__xludf.DUMMYFUNCTION("""COMPUTED_VALUE"""),"2016-06-22-D21-SO-29")</f>
        <v>2016-06-22-D21-SO-29</v>
      </c>
    </row>
    <row r="10479">
      <c r="A10479" t="str">
        <f>IFERROR(__xludf.DUMMYFUNCTION("""COMPUTED_VALUE"""),"2016-06-22-D21-SO-30")</f>
        <v>2016-06-22-D21-SO-30</v>
      </c>
    </row>
    <row r="10480">
      <c r="A10480" t="str">
        <f>IFERROR(__xludf.DUMMYFUNCTION("""COMPUTED_VALUE"""),"2016-06-22-D21-SO-31")</f>
        <v>2016-06-22-D21-SO-31</v>
      </c>
    </row>
    <row r="10481">
      <c r="A10481" t="str">
        <f>IFERROR(__xludf.DUMMYFUNCTION("""COMPUTED_VALUE"""),"2016-06-22-D21-SO-32")</f>
        <v>2016-06-22-D21-SO-32</v>
      </c>
    </row>
    <row r="10482">
      <c r="A10482" t="str">
        <f>IFERROR(__xludf.DUMMYFUNCTION("""COMPUTED_VALUE"""),"2016-06-22-D21-SO-33")</f>
        <v>2016-06-22-D21-SO-33</v>
      </c>
    </row>
    <row r="10483">
      <c r="A10483" t="str">
        <f>IFERROR(__xludf.DUMMYFUNCTION("""COMPUTED_VALUE"""),"2016-06-22-D21-SO-34")</f>
        <v>2016-06-22-D21-SO-34</v>
      </c>
    </row>
    <row r="10484">
      <c r="A10484" t="str">
        <f>IFERROR(__xludf.DUMMYFUNCTION("""COMPUTED_VALUE"""),"2016-06-22-D21-SO-35")</f>
        <v>2016-06-22-D21-SO-35</v>
      </c>
    </row>
    <row r="10485">
      <c r="A10485" t="str">
        <f>IFERROR(__xludf.DUMMYFUNCTION("""COMPUTED_VALUE"""),"2016-06-22-D21-SO-36")</f>
        <v>2016-06-22-D21-SO-36</v>
      </c>
    </row>
    <row r="10486">
      <c r="A10486" t="str">
        <f>IFERROR(__xludf.DUMMYFUNCTION("""COMPUTED_VALUE"""),"2016-06-22-D21-SO-37")</f>
        <v>2016-06-22-D21-SO-37</v>
      </c>
    </row>
    <row r="10487">
      <c r="A10487" t="str">
        <f>IFERROR(__xludf.DUMMYFUNCTION("""COMPUTED_VALUE"""),"2016-06-22-D21-SO-38")</f>
        <v>2016-06-22-D21-SO-38</v>
      </c>
    </row>
    <row r="10488">
      <c r="A10488" t="str">
        <f>IFERROR(__xludf.DUMMYFUNCTION("""COMPUTED_VALUE"""),"2016-06-22-D21-SO-39")</f>
        <v>2016-06-22-D21-SO-39</v>
      </c>
    </row>
    <row r="10489">
      <c r="A10489" t="str">
        <f>IFERROR(__xludf.DUMMYFUNCTION("""COMPUTED_VALUE"""),"2016-06-22-D21-SO-40")</f>
        <v>2016-06-22-D21-SO-40</v>
      </c>
    </row>
    <row r="10490">
      <c r="A10490" t="str">
        <f>IFERROR(__xludf.DUMMYFUNCTION("""COMPUTED_VALUE"""),"2016-06-22-D21-SO-41")</f>
        <v>2016-06-22-D21-SO-41</v>
      </c>
    </row>
    <row r="10491">
      <c r="A10491" t="str">
        <f>IFERROR(__xludf.DUMMYFUNCTION("""COMPUTED_VALUE"""),"2016-06-22-D21-SO-42")</f>
        <v>2016-06-22-D21-SO-42</v>
      </c>
    </row>
    <row r="10492">
      <c r="A10492" t="str">
        <f>IFERROR(__xludf.DUMMYFUNCTION("""COMPUTED_VALUE"""),"2016-06-22-D21-SO-43")</f>
        <v>2016-06-22-D21-SO-43</v>
      </c>
    </row>
    <row r="10493">
      <c r="A10493" t="str">
        <f>IFERROR(__xludf.DUMMYFUNCTION("""COMPUTED_VALUE"""),"2016-06-22-D21-SO-44")</f>
        <v>2016-06-22-D21-SO-44</v>
      </c>
    </row>
    <row r="10494">
      <c r="A10494" t="str">
        <f>IFERROR(__xludf.DUMMYFUNCTION("""COMPUTED_VALUE"""),"2016-06-22-D21-SO-45")</f>
        <v>2016-06-22-D21-SO-45</v>
      </c>
    </row>
    <row r="10495">
      <c r="A10495" t="str">
        <f>IFERROR(__xludf.DUMMYFUNCTION("""COMPUTED_VALUE"""),"2016-06-22-D21-SO-46")</f>
        <v>2016-06-22-D21-SO-46</v>
      </c>
    </row>
    <row r="10496">
      <c r="A10496" t="str">
        <f>IFERROR(__xludf.DUMMYFUNCTION("""COMPUTED_VALUE"""),"2016-06-22-D21-SO-47")</f>
        <v>2016-06-22-D21-SO-47</v>
      </c>
    </row>
    <row r="10497">
      <c r="A10497" t="str">
        <f>IFERROR(__xludf.DUMMYFUNCTION("""COMPUTED_VALUE"""),"2016-06-22-D21-SO-48")</f>
        <v>2016-06-22-D21-SO-48</v>
      </c>
    </row>
    <row r="10498">
      <c r="A10498" t="str">
        <f>IFERROR(__xludf.DUMMYFUNCTION("""COMPUTED_VALUE"""),"2016-06-22-D21-SO-49")</f>
        <v>2016-06-22-D21-SO-49</v>
      </c>
    </row>
    <row r="10499">
      <c r="A10499" t="str">
        <f>IFERROR(__xludf.DUMMYFUNCTION("""COMPUTED_VALUE"""),"2016-06-22-D21-SO-50")</f>
        <v>2016-06-22-D21-SO-50</v>
      </c>
    </row>
    <row r="10500">
      <c r="A10500" t="str">
        <f>IFERROR(__xludf.DUMMYFUNCTION("""COMPUTED_VALUE"""),"2016-06-22-D21-SO-51")</f>
        <v>2016-06-22-D21-SO-51</v>
      </c>
    </row>
    <row r="10501">
      <c r="A10501" t="str">
        <f>IFERROR(__xludf.DUMMYFUNCTION("""COMPUTED_VALUE"""),"2016-06-22-D21-SO-52")</f>
        <v>2016-06-22-D21-SO-52</v>
      </c>
    </row>
    <row r="10502">
      <c r="A10502" t="str">
        <f>IFERROR(__xludf.DUMMYFUNCTION("""COMPUTED_VALUE"""),"2016-06-22-D21-SO-53")</f>
        <v>2016-06-22-D21-SO-53</v>
      </c>
    </row>
    <row r="10503">
      <c r="A10503" t="str">
        <f>IFERROR(__xludf.DUMMYFUNCTION("""COMPUTED_VALUE"""),"2016-06-22-D21-SO-54")</f>
        <v>2016-06-22-D21-SO-54</v>
      </c>
    </row>
    <row r="10504">
      <c r="A10504" t="str">
        <f>IFERROR(__xludf.DUMMYFUNCTION("""COMPUTED_VALUE"""),"2016-06-22-D21-SO-55")</f>
        <v>2016-06-22-D21-SO-55</v>
      </c>
    </row>
    <row r="10505">
      <c r="A10505" t="str">
        <f>IFERROR(__xludf.DUMMYFUNCTION("""COMPUTED_VALUE"""),"2016-06-22-D21-SO-56")</f>
        <v>2016-06-22-D21-SO-56</v>
      </c>
    </row>
    <row r="10506">
      <c r="A10506" t="str">
        <f>IFERROR(__xludf.DUMMYFUNCTION("""COMPUTED_VALUE"""),"2016-06-22-D21-SO-57")</f>
        <v>2016-06-22-D21-SO-57</v>
      </c>
    </row>
    <row r="10507">
      <c r="A10507" t="str">
        <f>IFERROR(__xludf.DUMMYFUNCTION("""COMPUTED_VALUE"""),"2016-06-22-D21-SO-58")</f>
        <v>2016-06-22-D21-SO-58</v>
      </c>
    </row>
    <row r="10508">
      <c r="A10508" t="str">
        <f>IFERROR(__xludf.DUMMYFUNCTION("""COMPUTED_VALUE"""),"2016-06-22-D21-SO-59")</f>
        <v>2016-06-22-D21-SO-59</v>
      </c>
    </row>
    <row r="10509">
      <c r="A10509" t="str">
        <f>IFERROR(__xludf.DUMMYFUNCTION("""COMPUTED_VALUE"""),"2016-06-22-D21-SO-60")</f>
        <v>2016-06-22-D21-SO-60</v>
      </c>
    </row>
    <row r="10510">
      <c r="A10510" t="str">
        <f>IFERROR(__xludf.DUMMYFUNCTION("""COMPUTED_VALUE"""),"2016-06-22-D20-SO-1")</f>
        <v>2016-06-22-D20-SO-1</v>
      </c>
    </row>
    <row r="10511">
      <c r="A10511" t="str">
        <f>IFERROR(__xludf.DUMMYFUNCTION("""COMPUTED_VALUE"""),"2016-06-22-D20-SO-2")</f>
        <v>2016-06-22-D20-SO-2</v>
      </c>
    </row>
    <row r="10512">
      <c r="A10512" t="str">
        <f>IFERROR(__xludf.DUMMYFUNCTION("""COMPUTED_VALUE"""),"2016-06-22-D20-SO-3")</f>
        <v>2016-06-22-D20-SO-3</v>
      </c>
    </row>
    <row r="10513">
      <c r="A10513" t="str">
        <f>IFERROR(__xludf.DUMMYFUNCTION("""COMPUTED_VALUE"""),"2016-06-22-D20-SO-4")</f>
        <v>2016-06-22-D20-SO-4</v>
      </c>
    </row>
    <row r="10514">
      <c r="A10514" t="str">
        <f>IFERROR(__xludf.DUMMYFUNCTION("""COMPUTED_VALUE"""),"2016-06-22-D20-SO-5")</f>
        <v>2016-06-22-D20-SO-5</v>
      </c>
    </row>
    <row r="10515">
      <c r="A10515" t="str">
        <f>IFERROR(__xludf.DUMMYFUNCTION("""COMPUTED_VALUE"""),"2016-06-22-D20-SO-6")</f>
        <v>2016-06-22-D20-SO-6</v>
      </c>
    </row>
    <row r="10516">
      <c r="A10516" t="str">
        <f>IFERROR(__xludf.DUMMYFUNCTION("""COMPUTED_VALUE"""),"2016-06-22-D20-SO-7")</f>
        <v>2016-06-22-D20-SO-7</v>
      </c>
    </row>
    <row r="10517">
      <c r="A10517" t="str">
        <f>IFERROR(__xludf.DUMMYFUNCTION("""COMPUTED_VALUE"""),"2016-06-22-D20-SO-8")</f>
        <v>2016-06-22-D20-SO-8</v>
      </c>
    </row>
    <row r="10518">
      <c r="A10518" t="str">
        <f>IFERROR(__xludf.DUMMYFUNCTION("""COMPUTED_VALUE"""),"2016-06-22-D20-SO-9")</f>
        <v>2016-06-22-D20-SO-9</v>
      </c>
    </row>
    <row r="10519">
      <c r="A10519" t="str">
        <f>IFERROR(__xludf.DUMMYFUNCTION("""COMPUTED_VALUE"""),"2016-06-22-D20-SO-10")</f>
        <v>2016-06-22-D20-SO-10</v>
      </c>
    </row>
    <row r="10520">
      <c r="A10520" t="str">
        <f>IFERROR(__xludf.DUMMYFUNCTION("""COMPUTED_VALUE"""),"2016-06-22-D20-SO-11")</f>
        <v>2016-06-22-D20-SO-11</v>
      </c>
    </row>
    <row r="10521">
      <c r="A10521" t="str">
        <f>IFERROR(__xludf.DUMMYFUNCTION("""COMPUTED_VALUE"""),"2016-06-22-D20-SO-12")</f>
        <v>2016-06-22-D20-SO-12</v>
      </c>
    </row>
    <row r="10522">
      <c r="A10522" t="str">
        <f>IFERROR(__xludf.DUMMYFUNCTION("""COMPUTED_VALUE"""),"2016-06-22-D20-SO-13")</f>
        <v>2016-06-22-D20-SO-13</v>
      </c>
    </row>
    <row r="10523">
      <c r="A10523" t="str">
        <f>IFERROR(__xludf.DUMMYFUNCTION("""COMPUTED_VALUE"""),"2016-06-22-D20-SO-14")</f>
        <v>2016-06-22-D20-SO-14</v>
      </c>
    </row>
    <row r="10524">
      <c r="A10524" t="str">
        <f>IFERROR(__xludf.DUMMYFUNCTION("""COMPUTED_VALUE"""),"2016-06-22-D20-SO-15")</f>
        <v>2016-06-22-D20-SO-15</v>
      </c>
    </row>
    <row r="10525">
      <c r="A10525" t="str">
        <f>IFERROR(__xludf.DUMMYFUNCTION("""COMPUTED_VALUE"""),"2016-06-22-D20-SO-16")</f>
        <v>2016-06-22-D20-SO-16</v>
      </c>
    </row>
    <row r="10526">
      <c r="A10526" t="str">
        <f>IFERROR(__xludf.DUMMYFUNCTION("""COMPUTED_VALUE"""),"2016-06-22-D20-SO-17")</f>
        <v>2016-06-22-D20-SO-17</v>
      </c>
    </row>
    <row r="10527">
      <c r="A10527" t="str">
        <f>IFERROR(__xludf.DUMMYFUNCTION("""COMPUTED_VALUE"""),"2016-06-22-D20-SO-18")</f>
        <v>2016-06-22-D20-SO-18</v>
      </c>
    </row>
    <row r="10528">
      <c r="A10528" t="str">
        <f>IFERROR(__xludf.DUMMYFUNCTION("""COMPUTED_VALUE"""),"2016-06-22-D20-SO-19")</f>
        <v>2016-06-22-D20-SO-19</v>
      </c>
    </row>
    <row r="10529">
      <c r="A10529" t="str">
        <f>IFERROR(__xludf.DUMMYFUNCTION("""COMPUTED_VALUE"""),"2016-06-22-D20-SO-20")</f>
        <v>2016-06-22-D20-SO-20</v>
      </c>
    </row>
    <row r="10530">
      <c r="A10530" t="str">
        <f>IFERROR(__xludf.DUMMYFUNCTION("""COMPUTED_VALUE"""),"2016-06-22-D20-SO-21")</f>
        <v>2016-06-22-D20-SO-21</v>
      </c>
    </row>
    <row r="10531">
      <c r="A10531" t="str">
        <f>IFERROR(__xludf.DUMMYFUNCTION("""COMPUTED_VALUE"""),"2016-06-22-D20-SO-22")</f>
        <v>2016-06-22-D20-SO-22</v>
      </c>
    </row>
    <row r="10532">
      <c r="A10532" t="str">
        <f>IFERROR(__xludf.DUMMYFUNCTION("""COMPUTED_VALUE"""),"2016-06-22-D20-SO-23")</f>
        <v>2016-06-22-D20-SO-23</v>
      </c>
    </row>
    <row r="10533">
      <c r="A10533" t="str">
        <f>IFERROR(__xludf.DUMMYFUNCTION("""COMPUTED_VALUE"""),"2016-06-22-D20-SO-24")</f>
        <v>2016-06-22-D20-SO-24</v>
      </c>
    </row>
    <row r="10534">
      <c r="A10534" t="str">
        <f>IFERROR(__xludf.DUMMYFUNCTION("""COMPUTED_VALUE"""),"2016-06-22-D20-SO-25")</f>
        <v>2016-06-22-D20-SO-25</v>
      </c>
    </row>
    <row r="10535">
      <c r="A10535" t="str">
        <f>IFERROR(__xludf.DUMMYFUNCTION("""COMPUTED_VALUE"""),"2016-06-22-D20-SO-26")</f>
        <v>2016-06-22-D20-SO-26</v>
      </c>
    </row>
    <row r="10536">
      <c r="A10536" t="str">
        <f>IFERROR(__xludf.DUMMYFUNCTION("""COMPUTED_VALUE"""),"2016-06-22-D20-SO-27")</f>
        <v>2016-06-22-D20-SO-27</v>
      </c>
    </row>
    <row r="10537">
      <c r="A10537" t="str">
        <f>IFERROR(__xludf.DUMMYFUNCTION("""COMPUTED_VALUE"""),"2016-06-22-D20-SO-28")</f>
        <v>2016-06-22-D20-SO-28</v>
      </c>
    </row>
    <row r="10538">
      <c r="A10538" t="str">
        <f>IFERROR(__xludf.DUMMYFUNCTION("""COMPUTED_VALUE"""),"2016-06-22-D20-SO-29")</f>
        <v>2016-06-22-D20-SO-29</v>
      </c>
    </row>
    <row r="10539">
      <c r="A10539" t="str">
        <f>IFERROR(__xludf.DUMMYFUNCTION("""COMPUTED_VALUE"""),"2016-06-22-D20-SO-30")</f>
        <v>2016-06-22-D20-SO-30</v>
      </c>
    </row>
    <row r="10540">
      <c r="A10540" t="str">
        <f>IFERROR(__xludf.DUMMYFUNCTION("""COMPUTED_VALUE"""),"2016-06-22-D21-PI-1")</f>
        <v>2016-06-22-D21-PI-1</v>
      </c>
    </row>
    <row r="10541">
      <c r="A10541" t="str">
        <f>IFERROR(__xludf.DUMMYFUNCTION("""COMPUTED_VALUE"""),"2016-06-22-D21-PI-2")</f>
        <v>2016-06-22-D21-PI-2</v>
      </c>
    </row>
    <row r="10542">
      <c r="A10542" t="str">
        <f>IFERROR(__xludf.DUMMYFUNCTION("""COMPUTED_VALUE"""),"2016-06-22-D21-PI-3")</f>
        <v>2016-06-22-D21-PI-3</v>
      </c>
    </row>
    <row r="10543">
      <c r="A10543" t="str">
        <f>IFERROR(__xludf.DUMMYFUNCTION("""COMPUTED_VALUE"""),"2016-06-22-D21-PI-4")</f>
        <v>2016-06-22-D21-PI-4</v>
      </c>
    </row>
    <row r="10544">
      <c r="A10544" t="str">
        <f>IFERROR(__xludf.DUMMYFUNCTION("""COMPUTED_VALUE"""),"2016-06-22-D21-PI-5")</f>
        <v>2016-06-22-D21-PI-5</v>
      </c>
    </row>
    <row r="10545">
      <c r="A10545" t="str">
        <f>IFERROR(__xludf.DUMMYFUNCTION("""COMPUTED_VALUE"""),"2016-06-22-D21-PI-6")</f>
        <v>2016-06-22-D21-PI-6</v>
      </c>
    </row>
    <row r="10546">
      <c r="A10546" t="str">
        <f>IFERROR(__xludf.DUMMYFUNCTION("""COMPUTED_VALUE"""),"2016-06-22-D21-PI-7")</f>
        <v>2016-06-22-D21-PI-7</v>
      </c>
    </row>
    <row r="10547">
      <c r="A10547" t="str">
        <f>IFERROR(__xludf.DUMMYFUNCTION("""COMPUTED_VALUE"""),"2016-06-22-D21-PI-8")</f>
        <v>2016-06-22-D21-PI-8</v>
      </c>
    </row>
    <row r="10548">
      <c r="A10548" t="str">
        <f>IFERROR(__xludf.DUMMYFUNCTION("""COMPUTED_VALUE"""),"2016-06-22-D21-PI-9")</f>
        <v>2016-06-22-D21-PI-9</v>
      </c>
    </row>
    <row r="10549">
      <c r="A10549" t="str">
        <f>IFERROR(__xludf.DUMMYFUNCTION("""COMPUTED_VALUE"""),"2016-06-22-D21-PI-10")</f>
        <v>2016-06-22-D21-PI-10</v>
      </c>
    </row>
    <row r="10550">
      <c r="A10550" t="str">
        <f>IFERROR(__xludf.DUMMYFUNCTION("""COMPUTED_VALUE"""),"2016-06-22-D20-PI-1")</f>
        <v>2016-06-22-D20-PI-1</v>
      </c>
    </row>
    <row r="10551">
      <c r="A10551" t="str">
        <f>IFERROR(__xludf.DUMMYFUNCTION("""COMPUTED_VALUE"""),"2016-06-22-D20-PI-2")</f>
        <v>2016-06-22-D20-PI-2</v>
      </c>
    </row>
    <row r="10552">
      <c r="A10552" t="str">
        <f>IFERROR(__xludf.DUMMYFUNCTION("""COMPUTED_VALUE"""),"2016-06-22-D20-PI-3")</f>
        <v>2016-06-22-D20-PI-3</v>
      </c>
    </row>
    <row r="10553">
      <c r="A10553" t="str">
        <f>IFERROR(__xludf.DUMMYFUNCTION("""COMPUTED_VALUE"""),"2016-06-22-D20-PI-4")</f>
        <v>2016-06-22-D20-PI-4</v>
      </c>
    </row>
    <row r="10554">
      <c r="A10554" t="str">
        <f>IFERROR(__xludf.DUMMYFUNCTION("""COMPUTED_VALUE"""),"2016-06-22-D20-PI-5")</f>
        <v>2016-06-22-D20-PI-5</v>
      </c>
    </row>
    <row r="10555">
      <c r="A10555" t="str">
        <f>IFERROR(__xludf.DUMMYFUNCTION("""COMPUTED_VALUE"""),"2016-06-22-D20-PI-6")</f>
        <v>2016-06-22-D20-PI-6</v>
      </c>
    </row>
    <row r="10556">
      <c r="A10556" t="str">
        <f>IFERROR(__xludf.DUMMYFUNCTION("""COMPUTED_VALUE"""),"2016-06-22-D20-PI-7")</f>
        <v>2016-06-22-D20-PI-7</v>
      </c>
    </row>
    <row r="10557">
      <c r="A10557" t="str">
        <f>IFERROR(__xludf.DUMMYFUNCTION("""COMPUTED_VALUE"""),"2016-06-22-D20-PI-8")</f>
        <v>2016-06-22-D20-PI-8</v>
      </c>
    </row>
    <row r="10558">
      <c r="A10558" t="str">
        <f>IFERROR(__xludf.DUMMYFUNCTION("""COMPUTED_VALUE"""),"2016-06-22-D20-PI-9")</f>
        <v>2016-06-22-D20-PI-9</v>
      </c>
    </row>
    <row r="10559">
      <c r="A10559" t="str">
        <f>IFERROR(__xludf.DUMMYFUNCTION("""COMPUTED_VALUE"""),"2016-06-22-D20-PI-10")</f>
        <v>2016-06-22-D20-PI-10</v>
      </c>
    </row>
    <row r="10560">
      <c r="A10560" t="str">
        <f>IFERROR(__xludf.DUMMYFUNCTION("""COMPUTED_VALUE"""),"2016-06-22-D21-CU-1")</f>
        <v>2016-06-22-D21-CU-1</v>
      </c>
    </row>
    <row r="10561">
      <c r="A10561" t="str">
        <f>IFERROR(__xludf.DUMMYFUNCTION("""COMPUTED_VALUE"""),"2016-06-22-D21-CU-2")</f>
        <v>2016-06-22-D21-CU-2</v>
      </c>
    </row>
    <row r="10562">
      <c r="A10562" t="str">
        <f>IFERROR(__xludf.DUMMYFUNCTION("""COMPUTED_VALUE"""),"2016-06-22-D21-CU-3")</f>
        <v>2016-06-22-D21-CU-3</v>
      </c>
    </row>
    <row r="10563">
      <c r="A10563" t="str">
        <f>IFERROR(__xludf.DUMMYFUNCTION("""COMPUTED_VALUE"""),"2016-06-22-D21-CU-4")</f>
        <v>2016-06-22-D21-CU-4</v>
      </c>
    </row>
    <row r="10564">
      <c r="A10564" t="str">
        <f>IFERROR(__xludf.DUMMYFUNCTION("""COMPUTED_VALUE"""),"2016-06-22-D21-CU-5")</f>
        <v>2016-06-22-D21-CU-5</v>
      </c>
    </row>
    <row r="10565">
      <c r="A10565" t="str">
        <f>IFERROR(__xludf.DUMMYFUNCTION("""COMPUTED_VALUE"""),"2016-06-22-D21-CU-6")</f>
        <v>2016-06-22-D21-CU-6</v>
      </c>
    </row>
    <row r="10566">
      <c r="A10566" t="str">
        <f>IFERROR(__xludf.DUMMYFUNCTION("""COMPUTED_VALUE"""),"2016-06-22-D21-CU-7")</f>
        <v>2016-06-22-D21-CU-7</v>
      </c>
    </row>
    <row r="10567">
      <c r="A10567" t="str">
        <f>IFERROR(__xludf.DUMMYFUNCTION("""COMPUTED_VALUE"""),"2016-06-22-D21-CU-8")</f>
        <v>2016-06-22-D21-CU-8</v>
      </c>
    </row>
    <row r="10568">
      <c r="A10568" t="str">
        <f>IFERROR(__xludf.DUMMYFUNCTION("""COMPUTED_VALUE"""),"2016-06-22-D21-CU-9")</f>
        <v>2016-06-22-D21-CU-9</v>
      </c>
    </row>
    <row r="10569">
      <c r="A10569" t="str">
        <f>IFERROR(__xludf.DUMMYFUNCTION("""COMPUTED_VALUE"""),"2016-06-22-D21-CU-10")</f>
        <v>2016-06-22-D21-CU-10</v>
      </c>
    </row>
    <row r="10570">
      <c r="A10570" t="str">
        <f>IFERROR(__xludf.DUMMYFUNCTION("""COMPUTED_VALUE"""),"2016-06-22-D20-CU-1")</f>
        <v>2016-06-22-D20-CU-1</v>
      </c>
    </row>
    <row r="10571">
      <c r="A10571" t="str">
        <f>IFERROR(__xludf.DUMMYFUNCTION("""COMPUTED_VALUE"""),"2016-06-22-D20-CU-2")</f>
        <v>2016-06-22-D20-CU-2</v>
      </c>
    </row>
    <row r="10572">
      <c r="A10572" t="str">
        <f>IFERROR(__xludf.DUMMYFUNCTION("""COMPUTED_VALUE"""),"2016-06-22-D20-CU-3")</f>
        <v>2016-06-22-D20-CU-3</v>
      </c>
    </row>
    <row r="10573">
      <c r="A10573" t="str">
        <f>IFERROR(__xludf.DUMMYFUNCTION("""COMPUTED_VALUE"""),"2016-06-22-D20-CU-4")</f>
        <v>2016-06-22-D20-CU-4</v>
      </c>
    </row>
    <row r="10574">
      <c r="A10574" t="str">
        <f>IFERROR(__xludf.DUMMYFUNCTION("""COMPUTED_VALUE"""),"2016-06-22-D20-CU-5")</f>
        <v>2016-06-22-D20-CU-5</v>
      </c>
    </row>
    <row r="10575">
      <c r="A10575" t="str">
        <f>IFERROR(__xludf.DUMMYFUNCTION("""COMPUTED_VALUE"""),"2016-06-22-D20-CU-6")</f>
        <v>2016-06-22-D20-CU-6</v>
      </c>
    </row>
    <row r="10576">
      <c r="A10576" t="str">
        <f>IFERROR(__xludf.DUMMYFUNCTION("""COMPUTED_VALUE"""),"2016-06-22-D20-CU-7")</f>
        <v>2016-06-22-D20-CU-7</v>
      </c>
    </row>
    <row r="10577">
      <c r="A10577" t="str">
        <f>IFERROR(__xludf.DUMMYFUNCTION("""COMPUTED_VALUE"""),"2016-06-22-D20-CU-8")</f>
        <v>2016-06-22-D20-CU-8</v>
      </c>
    </row>
    <row r="10578">
      <c r="A10578" t="str">
        <f>IFERROR(__xludf.DUMMYFUNCTION("""COMPUTED_VALUE"""),"2016-06-22-D20-CU-9")</f>
        <v>2016-06-22-D20-CU-9</v>
      </c>
    </row>
    <row r="10579">
      <c r="A10579" t="str">
        <f>IFERROR(__xludf.DUMMYFUNCTION("""COMPUTED_VALUE"""),"2016-06-22-D20-CU-10")</f>
        <v>2016-06-22-D20-CU-10</v>
      </c>
    </row>
    <row r="10580">
      <c r="A10580" t="str">
        <f>IFERROR(__xludf.DUMMYFUNCTION("""COMPUTED_VALUE"""),"2016-06-22-D20-HE-1")</f>
        <v>2016-06-22-D20-HE-1</v>
      </c>
    </row>
    <row r="10581">
      <c r="A10581" t="str">
        <f>IFERROR(__xludf.DUMMYFUNCTION("""COMPUTED_VALUE"""),"2016-06-22-D20-HE-2")</f>
        <v>2016-06-22-D20-HE-2</v>
      </c>
    </row>
    <row r="10582">
      <c r="A10582" t="str">
        <f>IFERROR(__xludf.DUMMYFUNCTION("""COMPUTED_VALUE"""),"2016-06-22-D20-HE-3")</f>
        <v>2016-06-22-D20-HE-3</v>
      </c>
    </row>
    <row r="10583">
      <c r="A10583" t="str">
        <f>IFERROR(__xludf.DUMMYFUNCTION("""COMPUTED_VALUE"""),"2016-06-23-D24-SO-1")</f>
        <v>2016-06-23-D24-SO-1</v>
      </c>
    </row>
    <row r="10584">
      <c r="A10584" t="str">
        <f>IFERROR(__xludf.DUMMYFUNCTION("""COMPUTED_VALUE"""),"2016-06-23-D24-SO-2")</f>
        <v>2016-06-23-D24-SO-2</v>
      </c>
    </row>
    <row r="10585">
      <c r="A10585" t="str">
        <f>IFERROR(__xludf.DUMMYFUNCTION("""COMPUTED_VALUE"""),"2016-06-23-D24-SO-3")</f>
        <v>2016-06-23-D24-SO-3</v>
      </c>
    </row>
    <row r="10586">
      <c r="A10586" t="str">
        <f>IFERROR(__xludf.DUMMYFUNCTION("""COMPUTED_VALUE"""),"2016-06-23-D24-SO-4")</f>
        <v>2016-06-23-D24-SO-4</v>
      </c>
    </row>
    <row r="10587">
      <c r="A10587" t="str">
        <f>IFERROR(__xludf.DUMMYFUNCTION("""COMPUTED_VALUE"""),"2016-06-23-D24-SO-5")</f>
        <v>2016-06-23-D24-SO-5</v>
      </c>
    </row>
    <row r="10588">
      <c r="A10588" t="str">
        <f>IFERROR(__xludf.DUMMYFUNCTION("""COMPUTED_VALUE"""),"2016-06-23-D24-SO-6")</f>
        <v>2016-06-23-D24-SO-6</v>
      </c>
    </row>
    <row r="10589">
      <c r="A10589" t="str">
        <f>IFERROR(__xludf.DUMMYFUNCTION("""COMPUTED_VALUE"""),"2016-06-23-D24-SO-7")</f>
        <v>2016-06-23-D24-SO-7</v>
      </c>
    </row>
    <row r="10590">
      <c r="A10590" t="str">
        <f>IFERROR(__xludf.DUMMYFUNCTION("""COMPUTED_VALUE"""),"2016-06-23-D24-SO-8")</f>
        <v>2016-06-23-D24-SO-8</v>
      </c>
    </row>
    <row r="10591">
      <c r="A10591" t="str">
        <f>IFERROR(__xludf.DUMMYFUNCTION("""COMPUTED_VALUE"""),"2016-06-23-D24-SO-9")</f>
        <v>2016-06-23-D24-SO-9</v>
      </c>
    </row>
    <row r="10592">
      <c r="A10592" t="str">
        <f>IFERROR(__xludf.DUMMYFUNCTION("""COMPUTED_VALUE"""),"2016-06-23-D24-SO-10")</f>
        <v>2016-06-23-D24-SO-10</v>
      </c>
    </row>
    <row r="10593">
      <c r="A10593" t="str">
        <f>IFERROR(__xludf.DUMMYFUNCTION("""COMPUTED_VALUE"""),"2016-06-23-D24-SO-11")</f>
        <v>2016-06-23-D24-SO-11</v>
      </c>
    </row>
    <row r="10594">
      <c r="A10594" t="str">
        <f>IFERROR(__xludf.DUMMYFUNCTION("""COMPUTED_VALUE"""),"2016-06-23-D24-SO-12")</f>
        <v>2016-06-23-D24-SO-12</v>
      </c>
    </row>
    <row r="10595">
      <c r="A10595" t="str">
        <f>IFERROR(__xludf.DUMMYFUNCTION("""COMPUTED_VALUE"""),"2016-06-23-D24-SO-13")</f>
        <v>2016-06-23-D24-SO-13</v>
      </c>
    </row>
    <row r="10596">
      <c r="A10596" t="str">
        <f>IFERROR(__xludf.DUMMYFUNCTION("""COMPUTED_VALUE"""),"2016-06-23-D24-SO-14")</f>
        <v>2016-06-23-D24-SO-14</v>
      </c>
    </row>
    <row r="10597">
      <c r="A10597" t="str">
        <f>IFERROR(__xludf.DUMMYFUNCTION("""COMPUTED_VALUE"""),"2016-06-23-D24-SO-15")</f>
        <v>2016-06-23-D24-SO-15</v>
      </c>
    </row>
    <row r="10598">
      <c r="A10598" t="str">
        <f>IFERROR(__xludf.DUMMYFUNCTION("""COMPUTED_VALUE"""),"2016-06-23-D24-SO-16")</f>
        <v>2016-06-23-D24-SO-16</v>
      </c>
    </row>
    <row r="10599">
      <c r="A10599" t="str">
        <f>IFERROR(__xludf.DUMMYFUNCTION("""COMPUTED_VALUE"""),"2016-06-23-D24-SO-17")</f>
        <v>2016-06-23-D24-SO-17</v>
      </c>
    </row>
    <row r="10600">
      <c r="A10600" t="str">
        <f>IFERROR(__xludf.DUMMYFUNCTION("""COMPUTED_VALUE"""),"2016-06-23-D24-SO-18")</f>
        <v>2016-06-23-D24-SO-18</v>
      </c>
    </row>
    <row r="10601">
      <c r="A10601" t="str">
        <f>IFERROR(__xludf.DUMMYFUNCTION("""COMPUTED_VALUE"""),"2016-06-23-D24-SO-19")</f>
        <v>2016-06-23-D24-SO-19</v>
      </c>
    </row>
    <row r="10602">
      <c r="A10602" t="str">
        <f>IFERROR(__xludf.DUMMYFUNCTION("""COMPUTED_VALUE"""),"2016-06-23-D24-SO-20")</f>
        <v>2016-06-23-D24-SO-20</v>
      </c>
    </row>
    <row r="10603">
      <c r="A10603" t="str">
        <f>IFERROR(__xludf.DUMMYFUNCTION("""COMPUTED_VALUE"""),"2016-06-23-D24-SO-21")</f>
        <v>2016-06-23-D24-SO-21</v>
      </c>
    </row>
    <row r="10604">
      <c r="A10604" t="str">
        <f>IFERROR(__xludf.DUMMYFUNCTION("""COMPUTED_VALUE"""),"2016-06-23-J10-SO-1")</f>
        <v>2016-06-23-J10-SO-1</v>
      </c>
    </row>
    <row r="10605">
      <c r="A10605" t="str">
        <f>IFERROR(__xludf.DUMMYFUNCTION("""COMPUTED_VALUE"""),"2016-06-23-J10-SO-2")</f>
        <v>2016-06-23-J10-SO-2</v>
      </c>
    </row>
    <row r="10606">
      <c r="A10606" t="str">
        <f>IFERROR(__xludf.DUMMYFUNCTION("""COMPUTED_VALUE"""),"2016-06-23-J10-SO-3")</f>
        <v>2016-06-23-J10-SO-3</v>
      </c>
    </row>
    <row r="10607">
      <c r="A10607" t="str">
        <f>IFERROR(__xludf.DUMMYFUNCTION("""COMPUTED_VALUE"""),"2016-06-23-J10-SO-4")</f>
        <v>2016-06-23-J10-SO-4</v>
      </c>
    </row>
    <row r="10608">
      <c r="A10608" t="str">
        <f>IFERROR(__xludf.DUMMYFUNCTION("""COMPUTED_VALUE"""),"2016-06-23-J10-SO-5")</f>
        <v>2016-06-23-J10-SO-5</v>
      </c>
    </row>
    <row r="10609">
      <c r="A10609" t="str">
        <f>IFERROR(__xludf.DUMMYFUNCTION("""COMPUTED_VALUE"""),"2016-06-23-J10-SO-6")</f>
        <v>2016-06-23-J10-SO-6</v>
      </c>
    </row>
    <row r="10610">
      <c r="A10610" t="str">
        <f>IFERROR(__xludf.DUMMYFUNCTION("""COMPUTED_VALUE"""),"2016-06-23-J10-SO-7")</f>
        <v>2016-06-23-J10-SO-7</v>
      </c>
    </row>
    <row r="10611">
      <c r="A10611" t="str">
        <f>IFERROR(__xludf.DUMMYFUNCTION("""COMPUTED_VALUE"""),"2016-06-23-J10-SO-8")</f>
        <v>2016-06-23-J10-SO-8</v>
      </c>
    </row>
    <row r="10612">
      <c r="A10612" t="str">
        <f>IFERROR(__xludf.DUMMYFUNCTION("""COMPUTED_VALUE"""),"2016-06-23-J10-SO-9")</f>
        <v>2016-06-23-J10-SO-9</v>
      </c>
    </row>
    <row r="10613">
      <c r="A10613" t="str">
        <f>IFERROR(__xludf.DUMMYFUNCTION("""COMPUTED_VALUE"""),"2016-06-23-J10-SO-10")</f>
        <v>2016-06-23-J10-SO-10</v>
      </c>
    </row>
    <row r="10614">
      <c r="A10614" t="str">
        <f>IFERROR(__xludf.DUMMYFUNCTION("""COMPUTED_VALUE"""),"2016-06-23-J10-SO-11")</f>
        <v>2016-06-23-J10-SO-11</v>
      </c>
    </row>
    <row r="10615">
      <c r="A10615" t="str">
        <f>IFERROR(__xludf.DUMMYFUNCTION("""COMPUTED_VALUE"""),"2016-06-23-J10-SO-12")</f>
        <v>2016-06-23-J10-SO-12</v>
      </c>
    </row>
    <row r="10616">
      <c r="A10616" t="str">
        <f>IFERROR(__xludf.DUMMYFUNCTION("""COMPUTED_VALUE"""),"2016-06-23-J10-SO-13")</f>
        <v>2016-06-23-J10-SO-13</v>
      </c>
    </row>
    <row r="10617">
      <c r="A10617" t="str">
        <f>IFERROR(__xludf.DUMMYFUNCTION("""COMPUTED_VALUE"""),"2016-06-23-J10-SO-14")</f>
        <v>2016-06-23-J10-SO-14</v>
      </c>
    </row>
    <row r="10618">
      <c r="A10618" t="str">
        <f>IFERROR(__xludf.DUMMYFUNCTION("""COMPUTED_VALUE"""),"2016-06-23-J10-SO-15")</f>
        <v>2016-06-23-J10-SO-15</v>
      </c>
    </row>
    <row r="10619">
      <c r="A10619" t="str">
        <f>IFERROR(__xludf.DUMMYFUNCTION("""COMPUTED_VALUE"""),"2016-06-23-J10-SO-16")</f>
        <v>2016-06-23-J10-SO-16</v>
      </c>
    </row>
    <row r="10620">
      <c r="A10620" t="str">
        <f>IFERROR(__xludf.DUMMYFUNCTION("""COMPUTED_VALUE"""),"2016-06-23-J10-SO-17")</f>
        <v>2016-06-23-J10-SO-17</v>
      </c>
    </row>
    <row r="10621">
      <c r="A10621" t="str">
        <f>IFERROR(__xludf.DUMMYFUNCTION("""COMPUTED_VALUE"""),"2016-06-23-J10-SO-18")</f>
        <v>2016-06-23-J10-SO-18</v>
      </c>
    </row>
    <row r="10622">
      <c r="A10622" t="str">
        <f>IFERROR(__xludf.DUMMYFUNCTION("""COMPUTED_VALUE"""),"2016-06-23-J10-SO-19")</f>
        <v>2016-06-23-J10-SO-19</v>
      </c>
    </row>
    <row r="10623">
      <c r="A10623" t="str">
        <f>IFERROR(__xludf.DUMMYFUNCTION("""COMPUTED_VALUE"""),"2016-06-23-J10-SO-20")</f>
        <v>2016-06-23-J10-SO-20</v>
      </c>
    </row>
    <row r="10624">
      <c r="A10624" t="str">
        <f>IFERROR(__xludf.DUMMYFUNCTION("""COMPUTED_VALUE"""),"2016-06-23-J10-SO-21")</f>
        <v>2016-06-23-J10-SO-21</v>
      </c>
    </row>
    <row r="10625">
      <c r="A10625" t="str">
        <f>IFERROR(__xludf.DUMMYFUNCTION("""COMPUTED_VALUE"""),"2016-06-23-J10-SO-22")</f>
        <v>2016-06-23-J10-SO-22</v>
      </c>
    </row>
    <row r="10626">
      <c r="A10626" t="str">
        <f>IFERROR(__xludf.DUMMYFUNCTION("""COMPUTED_VALUE"""),"2016-06-23-J10-SO-23")</f>
        <v>2016-06-23-J10-SO-23</v>
      </c>
    </row>
    <row r="10627">
      <c r="A10627" t="str">
        <f>IFERROR(__xludf.DUMMYFUNCTION("""COMPUTED_VALUE"""),"2016-06-23-J10-SO-24")</f>
        <v>2016-06-23-J10-SO-24</v>
      </c>
    </row>
    <row r="10628">
      <c r="A10628" t="str">
        <f>IFERROR(__xludf.DUMMYFUNCTION("""COMPUTED_VALUE"""),"2016-06-23-J10-SO-25")</f>
        <v>2016-06-23-J10-SO-25</v>
      </c>
    </row>
    <row r="10629">
      <c r="A10629" t="str">
        <f>IFERROR(__xludf.DUMMYFUNCTION("""COMPUTED_VALUE"""),"2016-06-23-J10-SO-26")</f>
        <v>2016-06-23-J10-SO-26</v>
      </c>
    </row>
    <row r="10630">
      <c r="A10630" t="str">
        <f>IFERROR(__xludf.DUMMYFUNCTION("""COMPUTED_VALUE"""),"2016-06-23-J10-SO-27")</f>
        <v>2016-06-23-J10-SO-27</v>
      </c>
    </row>
    <row r="10631">
      <c r="A10631" t="str">
        <f>IFERROR(__xludf.DUMMYFUNCTION("""COMPUTED_VALUE"""),"2016-06-23-J10-SO-28")</f>
        <v>2016-06-23-J10-SO-28</v>
      </c>
    </row>
    <row r="10632">
      <c r="A10632" t="str">
        <f>IFERROR(__xludf.DUMMYFUNCTION("""COMPUTED_VALUE"""),"2016-06-23-J10-SO-29")</f>
        <v>2016-06-23-J10-SO-29</v>
      </c>
    </row>
    <row r="10633">
      <c r="A10633" t="str">
        <f>IFERROR(__xludf.DUMMYFUNCTION("""COMPUTED_VALUE"""),"2016-06-23-J10-SO-30")</f>
        <v>2016-06-23-J10-SO-30</v>
      </c>
    </row>
    <row r="10634">
      <c r="A10634" t="str">
        <f>IFERROR(__xludf.DUMMYFUNCTION("""COMPUTED_VALUE"""),"2016-06-23-J03-SO-1")</f>
        <v>2016-06-23-J03-SO-1</v>
      </c>
    </row>
    <row r="10635">
      <c r="A10635" t="str">
        <f>IFERROR(__xludf.DUMMYFUNCTION("""COMPUTED_VALUE"""),"2016-06-23-J03-SO-2")</f>
        <v>2016-06-23-J03-SO-2</v>
      </c>
    </row>
    <row r="10636">
      <c r="A10636" t="str">
        <f>IFERROR(__xludf.DUMMYFUNCTION("""COMPUTED_VALUE"""),"2016-06-23-J03-SO-3")</f>
        <v>2016-06-23-J03-SO-3</v>
      </c>
    </row>
    <row r="10637">
      <c r="A10637" t="str">
        <f>IFERROR(__xludf.DUMMYFUNCTION("""COMPUTED_VALUE"""),"2016-06-23-J03-SO-4")</f>
        <v>2016-06-23-J03-SO-4</v>
      </c>
    </row>
    <row r="10638">
      <c r="A10638" t="str">
        <f>IFERROR(__xludf.DUMMYFUNCTION("""COMPUTED_VALUE"""),"2016-06-23-J03-SO-5")</f>
        <v>2016-06-23-J03-SO-5</v>
      </c>
    </row>
    <row r="10639">
      <c r="A10639" t="str">
        <f>IFERROR(__xludf.DUMMYFUNCTION("""COMPUTED_VALUE"""),"2016-06-23-J03-SO-6")</f>
        <v>2016-06-23-J03-SO-6</v>
      </c>
    </row>
    <row r="10640">
      <c r="A10640" t="str">
        <f>IFERROR(__xludf.DUMMYFUNCTION("""COMPUTED_VALUE"""),"2016-06-23-J03-SO-7")</f>
        <v>2016-06-23-J03-SO-7</v>
      </c>
    </row>
    <row r="10641">
      <c r="A10641" t="str">
        <f>IFERROR(__xludf.DUMMYFUNCTION("""COMPUTED_VALUE"""),"2016-06-23-J03-SO-8")</f>
        <v>2016-06-23-J03-SO-8</v>
      </c>
    </row>
    <row r="10642">
      <c r="A10642" t="str">
        <f>IFERROR(__xludf.DUMMYFUNCTION("""COMPUTED_VALUE"""),"2016-06-23-J03-SO-9")</f>
        <v>2016-06-23-J03-SO-9</v>
      </c>
    </row>
    <row r="10643">
      <c r="A10643" t="str">
        <f>IFERROR(__xludf.DUMMYFUNCTION("""COMPUTED_VALUE"""),"2016-06-23-J03-SO-10")</f>
        <v>2016-06-23-J03-SO-10</v>
      </c>
    </row>
    <row r="10644">
      <c r="A10644" t="str">
        <f>IFERROR(__xludf.DUMMYFUNCTION("""COMPUTED_VALUE"""),"2016-06-23-J03-SO-11")</f>
        <v>2016-06-23-J03-SO-11</v>
      </c>
    </row>
    <row r="10645">
      <c r="A10645" t="str">
        <f>IFERROR(__xludf.DUMMYFUNCTION("""COMPUTED_VALUE"""),"2016-06-23-J03-SO-12")</f>
        <v>2016-06-23-J03-SO-12</v>
      </c>
    </row>
    <row r="10646">
      <c r="A10646" t="str">
        <f>IFERROR(__xludf.DUMMYFUNCTION("""COMPUTED_VALUE"""),"2016-06-23-J03-SO-13")</f>
        <v>2016-06-23-J03-SO-13</v>
      </c>
    </row>
    <row r="10647">
      <c r="A10647" t="str">
        <f>IFERROR(__xludf.DUMMYFUNCTION("""COMPUTED_VALUE"""),"2016-06-23-J03-SO-14")</f>
        <v>2016-06-23-J03-SO-14</v>
      </c>
    </row>
    <row r="10648">
      <c r="A10648" t="str">
        <f>IFERROR(__xludf.DUMMYFUNCTION("""COMPUTED_VALUE"""),"2016-06-23-J03-SO-15")</f>
        <v>2016-06-23-J03-SO-15</v>
      </c>
    </row>
    <row r="10649">
      <c r="A10649" t="str">
        <f>IFERROR(__xludf.DUMMYFUNCTION("""COMPUTED_VALUE"""),"2016-06-23-J03-SO-16")</f>
        <v>2016-06-23-J03-SO-16</v>
      </c>
    </row>
    <row r="10650">
      <c r="A10650" t="str">
        <f>IFERROR(__xludf.DUMMYFUNCTION("""COMPUTED_VALUE"""),"2016-06-23-J03-SO-17")</f>
        <v>2016-06-23-J03-SO-17</v>
      </c>
    </row>
    <row r="10651">
      <c r="A10651" t="str">
        <f>IFERROR(__xludf.DUMMYFUNCTION("""COMPUTED_VALUE"""),"2016-06-23-J03-SO-18")</f>
        <v>2016-06-23-J03-SO-18</v>
      </c>
    </row>
    <row r="10652">
      <c r="A10652" t="str">
        <f>IFERROR(__xludf.DUMMYFUNCTION("""COMPUTED_VALUE"""),"2016-06-23-J03-SO-19")</f>
        <v>2016-06-23-J03-SO-19</v>
      </c>
    </row>
    <row r="10653">
      <c r="A10653" t="str">
        <f>IFERROR(__xludf.DUMMYFUNCTION("""COMPUTED_VALUE"""),"2016-06-23-J03-SO-20")</f>
        <v>2016-06-23-J03-SO-20</v>
      </c>
    </row>
    <row r="10654">
      <c r="A10654" t="str">
        <f>IFERROR(__xludf.DUMMYFUNCTION("""COMPUTED_VALUE"""),"2016-06-23-J03-SO-21")</f>
        <v>2016-06-23-J03-SO-21</v>
      </c>
    </row>
    <row r="10655">
      <c r="A10655" t="str">
        <f>IFERROR(__xludf.DUMMYFUNCTION("""COMPUTED_VALUE"""),"2016-06-23-J03-SO-22")</f>
        <v>2016-06-23-J03-SO-22</v>
      </c>
    </row>
    <row r="10656">
      <c r="A10656" t="str">
        <f>IFERROR(__xludf.DUMMYFUNCTION("""COMPUTED_VALUE"""),"2016-06-23-J03-SO-23")</f>
        <v>2016-06-23-J03-SO-23</v>
      </c>
    </row>
    <row r="10657">
      <c r="A10657" t="str">
        <f>IFERROR(__xludf.DUMMYFUNCTION("""COMPUTED_VALUE"""),"2016-06-23-J03-SO-24")</f>
        <v>2016-06-23-J03-SO-24</v>
      </c>
    </row>
    <row r="10658">
      <c r="A10658" t="str">
        <f>IFERROR(__xludf.DUMMYFUNCTION("""COMPUTED_VALUE"""),"2016-06-23-J03-SO-25")</f>
        <v>2016-06-23-J03-SO-25</v>
      </c>
    </row>
    <row r="10659">
      <c r="A10659" t="str">
        <f>IFERROR(__xludf.DUMMYFUNCTION("""COMPUTED_VALUE"""),"2016-06-23-J03-SO-26")</f>
        <v>2016-06-23-J03-SO-26</v>
      </c>
    </row>
    <row r="10660">
      <c r="A10660" t="str">
        <f>IFERROR(__xludf.DUMMYFUNCTION("""COMPUTED_VALUE"""),"2016-06-23-D24-PI-1")</f>
        <v>2016-06-23-D24-PI-1</v>
      </c>
    </row>
    <row r="10661">
      <c r="A10661" t="str">
        <f>IFERROR(__xludf.DUMMYFUNCTION("""COMPUTED_VALUE"""),"2016-06-23-D24-PI-2")</f>
        <v>2016-06-23-D24-PI-2</v>
      </c>
    </row>
    <row r="10662">
      <c r="A10662" t="str">
        <f>IFERROR(__xludf.DUMMYFUNCTION("""COMPUTED_VALUE"""),"2016-06-23-D24-PI-3")</f>
        <v>2016-06-23-D24-PI-3</v>
      </c>
    </row>
    <row r="10663">
      <c r="A10663" t="str">
        <f>IFERROR(__xludf.DUMMYFUNCTION("""COMPUTED_VALUE"""),"2016-06-23-D24-PI-4")</f>
        <v>2016-06-23-D24-PI-4</v>
      </c>
    </row>
    <row r="10664">
      <c r="A10664" t="str">
        <f>IFERROR(__xludf.DUMMYFUNCTION("""COMPUTED_VALUE"""),"2016-06-23-D24-PI-5")</f>
        <v>2016-06-23-D24-PI-5</v>
      </c>
    </row>
    <row r="10665">
      <c r="A10665" t="str">
        <f>IFERROR(__xludf.DUMMYFUNCTION("""COMPUTED_VALUE"""),"2016-06-23-D24-PI-6")</f>
        <v>2016-06-23-D24-PI-6</v>
      </c>
    </row>
    <row r="10666">
      <c r="A10666" t="str">
        <f>IFERROR(__xludf.DUMMYFUNCTION("""COMPUTED_VALUE"""),"2016-06-23-D24-PI-7")</f>
        <v>2016-06-23-D24-PI-7</v>
      </c>
    </row>
    <row r="10667">
      <c r="A10667" t="str">
        <f>IFERROR(__xludf.DUMMYFUNCTION("""COMPUTED_VALUE"""),"2016-06-23-D24-PI-8")</f>
        <v>2016-06-23-D24-PI-8</v>
      </c>
    </row>
    <row r="10668">
      <c r="A10668" t="str">
        <f>IFERROR(__xludf.DUMMYFUNCTION("""COMPUTED_VALUE"""),"2016-06-23-D24-PI-9")</f>
        <v>2016-06-23-D24-PI-9</v>
      </c>
    </row>
    <row r="10669">
      <c r="A10669" t="str">
        <f>IFERROR(__xludf.DUMMYFUNCTION("""COMPUTED_VALUE"""),"2016-06-23-D24-PI-10")</f>
        <v>2016-06-23-D24-PI-10</v>
      </c>
    </row>
    <row r="10670">
      <c r="A10670" t="str">
        <f>IFERROR(__xludf.DUMMYFUNCTION("""COMPUTED_VALUE"""),"2016-06-23-J10-PI-1")</f>
        <v>2016-06-23-J10-PI-1</v>
      </c>
    </row>
    <row r="10671">
      <c r="A10671" t="str">
        <f>IFERROR(__xludf.DUMMYFUNCTION("""COMPUTED_VALUE"""),"2016-06-23-J10-PI-2")</f>
        <v>2016-06-23-J10-PI-2</v>
      </c>
    </row>
    <row r="10672">
      <c r="A10672" t="str">
        <f>IFERROR(__xludf.DUMMYFUNCTION("""COMPUTED_VALUE"""),"2016-06-23-J10-PI-3")</f>
        <v>2016-06-23-J10-PI-3</v>
      </c>
    </row>
    <row r="10673">
      <c r="A10673" t="str">
        <f>IFERROR(__xludf.DUMMYFUNCTION("""COMPUTED_VALUE"""),"2016-06-23-J10-PI-4")</f>
        <v>2016-06-23-J10-PI-4</v>
      </c>
    </row>
    <row r="10674">
      <c r="A10674" t="str">
        <f>IFERROR(__xludf.DUMMYFUNCTION("""COMPUTED_VALUE"""),"2016-06-23-J10-PI-5")</f>
        <v>2016-06-23-J10-PI-5</v>
      </c>
    </row>
    <row r="10675">
      <c r="A10675" t="str">
        <f>IFERROR(__xludf.DUMMYFUNCTION("""COMPUTED_VALUE"""),"2016-06-23-J10-PI-6")</f>
        <v>2016-06-23-J10-PI-6</v>
      </c>
    </row>
    <row r="10676">
      <c r="A10676" t="str">
        <f>IFERROR(__xludf.DUMMYFUNCTION("""COMPUTED_VALUE"""),"2016-06-23-J10-PI-7")</f>
        <v>2016-06-23-J10-PI-7</v>
      </c>
    </row>
    <row r="10677">
      <c r="A10677" t="str">
        <f>IFERROR(__xludf.DUMMYFUNCTION("""COMPUTED_VALUE"""),"2016-06-23-J10-PI-8")</f>
        <v>2016-06-23-J10-PI-8</v>
      </c>
    </row>
    <row r="10678">
      <c r="A10678" t="str">
        <f>IFERROR(__xludf.DUMMYFUNCTION("""COMPUTED_VALUE"""),"2016-06-23-J10-PI-9")</f>
        <v>2016-06-23-J10-PI-9</v>
      </c>
    </row>
    <row r="10679">
      <c r="A10679" t="str">
        <f>IFERROR(__xludf.DUMMYFUNCTION("""COMPUTED_VALUE"""),"2016-06-23-J10-PI-10")</f>
        <v>2016-06-23-J10-PI-10</v>
      </c>
    </row>
    <row r="10680">
      <c r="A10680" t="str">
        <f>IFERROR(__xludf.DUMMYFUNCTION("""COMPUTED_VALUE"""),"2016-06-23-J03-PI-1")</f>
        <v>2016-06-23-J03-PI-1</v>
      </c>
    </row>
    <row r="10681">
      <c r="A10681" t="str">
        <f>IFERROR(__xludf.DUMMYFUNCTION("""COMPUTED_VALUE"""),"2016-06-23-J03-PI-2")</f>
        <v>2016-06-23-J03-PI-2</v>
      </c>
    </row>
    <row r="10682">
      <c r="A10682" t="str">
        <f>IFERROR(__xludf.DUMMYFUNCTION("""COMPUTED_VALUE"""),"2016-06-23-J03-PI-3")</f>
        <v>2016-06-23-J03-PI-3</v>
      </c>
    </row>
    <row r="10683">
      <c r="A10683" t="str">
        <f>IFERROR(__xludf.DUMMYFUNCTION("""COMPUTED_VALUE"""),"2016-06-23-J03-PI-4")</f>
        <v>2016-06-23-J03-PI-4</v>
      </c>
    </row>
    <row r="10684">
      <c r="A10684" t="str">
        <f>IFERROR(__xludf.DUMMYFUNCTION("""COMPUTED_VALUE"""),"2016-06-23-J03-PI-5")</f>
        <v>2016-06-23-J03-PI-5</v>
      </c>
    </row>
    <row r="10685">
      <c r="A10685" t="str">
        <f>IFERROR(__xludf.DUMMYFUNCTION("""COMPUTED_VALUE"""),"2016-06-23-J03-PI-6")</f>
        <v>2016-06-23-J03-PI-6</v>
      </c>
    </row>
    <row r="10686">
      <c r="A10686" t="str">
        <f>IFERROR(__xludf.DUMMYFUNCTION("""COMPUTED_VALUE"""),"2016-06-23-J03-PI-7")</f>
        <v>2016-06-23-J03-PI-7</v>
      </c>
    </row>
    <row r="10687">
      <c r="A10687" t="str">
        <f>IFERROR(__xludf.DUMMYFUNCTION("""COMPUTED_VALUE"""),"2016-06-23-J03-PI-8")</f>
        <v>2016-06-23-J03-PI-8</v>
      </c>
    </row>
    <row r="10688">
      <c r="A10688" t="str">
        <f>IFERROR(__xludf.DUMMYFUNCTION("""COMPUTED_VALUE"""),"2016-06-23-J03-PI-9")</f>
        <v>2016-06-23-J03-PI-9</v>
      </c>
    </row>
    <row r="10689">
      <c r="A10689" t="str">
        <f>IFERROR(__xludf.DUMMYFUNCTION("""COMPUTED_VALUE"""),"2016-06-23-J03-PI-10")</f>
        <v>2016-06-23-J03-PI-10</v>
      </c>
    </row>
    <row r="10690">
      <c r="A10690" t="str">
        <f>IFERROR(__xludf.DUMMYFUNCTION("""COMPUTED_VALUE"""),"2016-06-23-D24-CU-1")</f>
        <v>2016-06-23-D24-CU-1</v>
      </c>
    </row>
    <row r="10691">
      <c r="A10691" t="str">
        <f>IFERROR(__xludf.DUMMYFUNCTION("""COMPUTED_VALUE"""),"2016-06-23-D24-CU-2")</f>
        <v>2016-06-23-D24-CU-2</v>
      </c>
    </row>
    <row r="10692">
      <c r="A10692" t="str">
        <f>IFERROR(__xludf.DUMMYFUNCTION("""COMPUTED_VALUE"""),"2016-06-23-D24-CU-3")</f>
        <v>2016-06-23-D24-CU-3</v>
      </c>
    </row>
    <row r="10693">
      <c r="A10693" t="str">
        <f>IFERROR(__xludf.DUMMYFUNCTION("""COMPUTED_VALUE"""),"2016-06-23-D24-CU-4")</f>
        <v>2016-06-23-D24-CU-4</v>
      </c>
    </row>
    <row r="10694">
      <c r="A10694" t="str">
        <f>IFERROR(__xludf.DUMMYFUNCTION("""COMPUTED_VALUE"""),"2016-06-23-D24-CU-5")</f>
        <v>2016-06-23-D24-CU-5</v>
      </c>
    </row>
    <row r="10695">
      <c r="A10695" t="str">
        <f>IFERROR(__xludf.DUMMYFUNCTION("""COMPUTED_VALUE"""),"2016-06-23-D24-CU-6")</f>
        <v>2016-06-23-D24-CU-6</v>
      </c>
    </row>
    <row r="10696">
      <c r="A10696" t="str">
        <f>IFERROR(__xludf.DUMMYFUNCTION("""COMPUTED_VALUE"""),"2016-06-23-D24-CU-7")</f>
        <v>2016-06-23-D24-CU-7</v>
      </c>
    </row>
    <row r="10697">
      <c r="A10697" t="str">
        <f>IFERROR(__xludf.DUMMYFUNCTION("""COMPUTED_VALUE"""),"2016-06-23-D24-CU-8")</f>
        <v>2016-06-23-D24-CU-8</v>
      </c>
    </row>
    <row r="10698">
      <c r="A10698" t="str">
        <f>IFERROR(__xludf.DUMMYFUNCTION("""COMPUTED_VALUE"""),"2016-06-23-D24-CU-9")</f>
        <v>2016-06-23-D24-CU-9</v>
      </c>
    </row>
    <row r="10699">
      <c r="A10699" t="str">
        <f>IFERROR(__xludf.DUMMYFUNCTION("""COMPUTED_VALUE"""),"2016-06-23-D24-CU-10")</f>
        <v>2016-06-23-D24-CU-10</v>
      </c>
    </row>
    <row r="10700">
      <c r="A10700" t="str">
        <f>IFERROR(__xludf.DUMMYFUNCTION("""COMPUTED_VALUE"""),"2016-06-23-J10-CU-1")</f>
        <v>2016-06-23-J10-CU-1</v>
      </c>
    </row>
    <row r="10701">
      <c r="A10701" t="str">
        <f>IFERROR(__xludf.DUMMYFUNCTION("""COMPUTED_VALUE"""),"2016-06-23-J10-CU-2")</f>
        <v>2016-06-23-J10-CU-2</v>
      </c>
    </row>
    <row r="10702">
      <c r="A10702" t="str">
        <f>IFERROR(__xludf.DUMMYFUNCTION("""COMPUTED_VALUE"""),"2016-06-23-J10-CU-3")</f>
        <v>2016-06-23-J10-CU-3</v>
      </c>
    </row>
    <row r="10703">
      <c r="A10703" t="str">
        <f>IFERROR(__xludf.DUMMYFUNCTION("""COMPUTED_VALUE"""),"2016-06-23-J10-CU-4")</f>
        <v>2016-06-23-J10-CU-4</v>
      </c>
    </row>
    <row r="10704">
      <c r="A10704" t="str">
        <f>IFERROR(__xludf.DUMMYFUNCTION("""COMPUTED_VALUE"""),"2016-06-23-J10-CU-5")</f>
        <v>2016-06-23-J10-CU-5</v>
      </c>
    </row>
    <row r="10705">
      <c r="A10705" t="str">
        <f>IFERROR(__xludf.DUMMYFUNCTION("""COMPUTED_VALUE"""),"2016-06-23-J10-CU-6")</f>
        <v>2016-06-23-J10-CU-6</v>
      </c>
    </row>
    <row r="10706">
      <c r="A10706" t="str">
        <f>IFERROR(__xludf.DUMMYFUNCTION("""COMPUTED_VALUE"""),"2016-06-23-J10-CU-7")</f>
        <v>2016-06-23-J10-CU-7</v>
      </c>
    </row>
    <row r="10707">
      <c r="A10707" t="str">
        <f>IFERROR(__xludf.DUMMYFUNCTION("""COMPUTED_VALUE"""),"2016-06-23-J10-CU-8")</f>
        <v>2016-06-23-J10-CU-8</v>
      </c>
    </row>
    <row r="10708">
      <c r="A10708" t="str">
        <f>IFERROR(__xludf.DUMMYFUNCTION("""COMPUTED_VALUE"""),"2016-06-23-J10-CU-9")</f>
        <v>2016-06-23-J10-CU-9</v>
      </c>
    </row>
    <row r="10709">
      <c r="A10709" t="str">
        <f>IFERROR(__xludf.DUMMYFUNCTION("""COMPUTED_VALUE"""),"2016-06-23-J10-CU-10")</f>
        <v>2016-06-23-J10-CU-10</v>
      </c>
    </row>
    <row r="10710">
      <c r="A10710" t="str">
        <f>IFERROR(__xludf.DUMMYFUNCTION("""COMPUTED_VALUE"""),"2016-06-23-J03-CU-1")</f>
        <v>2016-06-23-J03-CU-1</v>
      </c>
    </row>
    <row r="10711">
      <c r="A10711" t="str">
        <f>IFERROR(__xludf.DUMMYFUNCTION("""COMPUTED_VALUE"""),"2016-06-23-J03-CU-2")</f>
        <v>2016-06-23-J03-CU-2</v>
      </c>
    </row>
    <row r="10712">
      <c r="A10712" t="str">
        <f>IFERROR(__xludf.DUMMYFUNCTION("""COMPUTED_VALUE"""),"2016-06-23-J03-CU-3")</f>
        <v>2016-06-23-J03-CU-3</v>
      </c>
    </row>
    <row r="10713">
      <c r="A10713" t="str">
        <f>IFERROR(__xludf.DUMMYFUNCTION("""COMPUTED_VALUE"""),"2016-06-23-J03-CU-4")</f>
        <v>2016-06-23-J03-CU-4</v>
      </c>
    </row>
    <row r="10714">
      <c r="A10714" t="str">
        <f>IFERROR(__xludf.DUMMYFUNCTION("""COMPUTED_VALUE"""),"2016-06-23-J03-CU-5")</f>
        <v>2016-06-23-J03-CU-5</v>
      </c>
    </row>
    <row r="10715">
      <c r="A10715" t="str">
        <f>IFERROR(__xludf.DUMMYFUNCTION("""COMPUTED_VALUE"""),"2016-06-23-J03-CU-6")</f>
        <v>2016-06-23-J03-CU-6</v>
      </c>
    </row>
    <row r="10716">
      <c r="A10716" t="str">
        <f>IFERROR(__xludf.DUMMYFUNCTION("""COMPUTED_VALUE"""),"2016-06-23-J03-CU-7")</f>
        <v>2016-06-23-J03-CU-7</v>
      </c>
    </row>
    <row r="10717">
      <c r="A10717" t="str">
        <f>IFERROR(__xludf.DUMMYFUNCTION("""COMPUTED_VALUE"""),"2016-06-23-J03-CU-8")</f>
        <v>2016-06-23-J03-CU-8</v>
      </c>
    </row>
    <row r="10718">
      <c r="A10718" t="str">
        <f>IFERROR(__xludf.DUMMYFUNCTION("""COMPUTED_VALUE"""),"2016-06-23-J03-CU-9")</f>
        <v>2016-06-23-J03-CU-9</v>
      </c>
    </row>
    <row r="10719">
      <c r="A10719" t="str">
        <f>IFERROR(__xludf.DUMMYFUNCTION("""COMPUTED_VALUE"""),"2016-06-23-J03-CU-10")</f>
        <v>2016-06-23-J03-CU-10</v>
      </c>
    </row>
    <row r="10720">
      <c r="A10720" t="str">
        <f>IFERROR(__xludf.DUMMYFUNCTION("""COMPUTED_VALUE"""),"2016-06-23-J10-CO-1")</f>
        <v>2016-06-23-J10-CO-1</v>
      </c>
    </row>
    <row r="10721">
      <c r="A10721" t="str">
        <f>IFERROR(__xludf.DUMMYFUNCTION("""COMPUTED_VALUE"""),"2016-06-23-J10-CO-2")</f>
        <v>2016-06-23-J10-CO-2</v>
      </c>
    </row>
    <row r="10722">
      <c r="A10722" t="str">
        <f>IFERROR(__xludf.DUMMYFUNCTION("""COMPUTED_VALUE"""),"2016-06-23-J10-CO-3")</f>
        <v>2016-06-23-J10-CO-3</v>
      </c>
    </row>
    <row r="10723">
      <c r="A10723" t="str">
        <f>IFERROR(__xludf.DUMMYFUNCTION("""COMPUTED_VALUE"""),"2016-06-23-J10-CO-4")</f>
        <v>2016-06-23-J10-CO-4</v>
      </c>
    </row>
    <row r="10724">
      <c r="A10724" t="str">
        <f>IFERROR(__xludf.DUMMYFUNCTION("""COMPUTED_VALUE"""),"2016-06-23-J10-CO-5")</f>
        <v>2016-06-23-J10-CO-5</v>
      </c>
    </row>
    <row r="10725">
      <c r="A10725" t="str">
        <f>IFERROR(__xludf.DUMMYFUNCTION("""COMPUTED_VALUE"""),"2016-06-23-J10-CO-6")</f>
        <v>2016-06-23-J10-CO-6</v>
      </c>
    </row>
    <row r="10726">
      <c r="A10726" t="str">
        <f>IFERROR(__xludf.DUMMYFUNCTION("""COMPUTED_VALUE"""),"2016-06-23-J10-CO-7")</f>
        <v>2016-06-23-J10-CO-7</v>
      </c>
    </row>
    <row r="10727">
      <c r="A10727" t="str">
        <f>IFERROR(__xludf.DUMMYFUNCTION("""COMPUTED_VALUE"""),"2016-06-23-J10-CO-8")</f>
        <v>2016-06-23-J10-CO-8</v>
      </c>
    </row>
    <row r="10728">
      <c r="A10728" t="str">
        <f>IFERROR(__xludf.DUMMYFUNCTION("""COMPUTED_VALUE"""),"2016-06-23-J10-CO-9")</f>
        <v>2016-06-23-J10-CO-9</v>
      </c>
    </row>
    <row r="10729">
      <c r="A10729" t="str">
        <f>IFERROR(__xludf.DUMMYFUNCTION("""COMPUTED_VALUE"""),"2016-06-23-J10-CO-10")</f>
        <v>2016-06-23-J10-CO-10</v>
      </c>
    </row>
    <row r="10730">
      <c r="A10730" t="str">
        <f>IFERROR(__xludf.DUMMYFUNCTION("""COMPUTED_VALUE"""),"2016-06-23-J03-CO-1")</f>
        <v>2016-06-23-J03-CO-1</v>
      </c>
    </row>
    <row r="10731">
      <c r="A10731" t="str">
        <f>IFERROR(__xludf.DUMMYFUNCTION("""COMPUTED_VALUE"""),"2016-06-23-J03-CO-2")</f>
        <v>2016-06-23-J03-CO-2</v>
      </c>
    </row>
    <row r="10732">
      <c r="A10732" t="str">
        <f>IFERROR(__xludf.DUMMYFUNCTION("""COMPUTED_VALUE"""),"2016-06-23-D24-HE-1")</f>
        <v>2016-06-23-D24-HE-1</v>
      </c>
    </row>
    <row r="10733">
      <c r="A10733" t="str">
        <f>IFERROR(__xludf.DUMMYFUNCTION("""COMPUTED_VALUE"""),"2016-06-23-D24-HE-2")</f>
        <v>2016-06-23-D24-HE-2</v>
      </c>
    </row>
    <row r="10734">
      <c r="A10734" t="str">
        <f>IFERROR(__xludf.DUMMYFUNCTION("""COMPUTED_VALUE"""),"2016-06-23-D24-HE-3")</f>
        <v>2016-06-23-D24-HE-3</v>
      </c>
    </row>
    <row r="10735">
      <c r="A10735" t="str">
        <f>IFERROR(__xludf.DUMMYFUNCTION("""COMPUTED_VALUE"""),"2016-06-23-J10-HE-1")</f>
        <v>2016-06-23-J10-HE-1</v>
      </c>
    </row>
    <row r="10736">
      <c r="A10736" t="str">
        <f>IFERROR(__xludf.DUMMYFUNCTION("""COMPUTED_VALUE"""),"2016-06-23-J10-HE-2")</f>
        <v>2016-06-23-J10-HE-2</v>
      </c>
    </row>
    <row r="10737">
      <c r="A10737" t="str">
        <f>IFERROR(__xludf.DUMMYFUNCTION("""COMPUTED_VALUE"""),"2016-06-23-J10-HE-3")</f>
        <v>2016-06-23-J10-HE-3</v>
      </c>
    </row>
    <row r="10738">
      <c r="A10738" t="str">
        <f>IFERROR(__xludf.DUMMYFUNCTION("""COMPUTED_VALUE"""),"2016-06-23-J10-HE-4")</f>
        <v>2016-06-23-J10-HE-4</v>
      </c>
    </row>
    <row r="10739">
      <c r="A10739" t="str">
        <f>IFERROR(__xludf.DUMMYFUNCTION("""COMPUTED_VALUE"""),"2016-06-23-J10-HE-5")</f>
        <v>2016-06-23-J10-HE-5</v>
      </c>
    </row>
    <row r="10740">
      <c r="A10740" t="str">
        <f>IFERROR(__xludf.DUMMYFUNCTION("""COMPUTED_VALUE"""),"2016-06-23-J03-HE-1")</f>
        <v>2016-06-23-J03-HE-1</v>
      </c>
    </row>
    <row r="10741">
      <c r="A10741" t="str">
        <f>IFERROR(__xludf.DUMMYFUNCTION("""COMPUTED_VALUE"""),"2016-06-23-J03-HE-2")</f>
        <v>2016-06-23-J03-HE-2</v>
      </c>
    </row>
    <row r="10742">
      <c r="A10742" t="str">
        <f>IFERROR(__xludf.DUMMYFUNCTION("""COMPUTED_VALUE"""),"2016-06-23-J03-HE-3")</f>
        <v>2016-06-23-J03-HE-3</v>
      </c>
    </row>
    <row r="10743">
      <c r="A10743" t="str">
        <f>IFERROR(__xludf.DUMMYFUNCTION("""COMPUTED_VALUE"""),"2016-06-23-J03-HE-4")</f>
        <v>2016-06-23-J03-HE-4</v>
      </c>
    </row>
    <row r="10744">
      <c r="A10744" t="str">
        <f>IFERROR(__xludf.DUMMYFUNCTION("""COMPUTED_VALUE"""),"2016-06-23-J03-HE-5")</f>
        <v>2016-06-23-J03-HE-5</v>
      </c>
    </row>
    <row r="10745">
      <c r="A10745" t="str">
        <f>IFERROR(__xludf.DUMMYFUNCTION("""COMPUTED_VALUE"""),"2016-06-23-J03-HE-6")</f>
        <v>2016-06-23-J03-HE-6</v>
      </c>
    </row>
    <row r="10746">
      <c r="A10746" t="str">
        <f>IFERROR(__xludf.DUMMYFUNCTION("""COMPUTED_VALUE"""),"2016-06-23-J03-HE-7")</f>
        <v>2016-06-23-J03-HE-7</v>
      </c>
    </row>
    <row r="10747">
      <c r="A10747" t="str">
        <f>IFERROR(__xludf.DUMMYFUNCTION("""COMPUTED_VALUE"""),"2016-06-24-D04-SO-1")</f>
        <v>2016-06-24-D04-SO-1</v>
      </c>
    </row>
    <row r="10748">
      <c r="A10748" t="str">
        <f>IFERROR(__xludf.DUMMYFUNCTION("""COMPUTED_VALUE"""),"2016-06-24-D04-SO-2")</f>
        <v>2016-06-24-D04-SO-2</v>
      </c>
    </row>
    <row r="10749">
      <c r="A10749" t="str">
        <f>IFERROR(__xludf.DUMMYFUNCTION("""COMPUTED_VALUE"""),"2016-06-24-D04-SO-3")</f>
        <v>2016-06-24-D04-SO-3</v>
      </c>
    </row>
    <row r="10750">
      <c r="A10750" t="str">
        <f>IFERROR(__xludf.DUMMYFUNCTION("""COMPUTED_VALUE"""),"2016-06-24-D04-SO-4")</f>
        <v>2016-06-24-D04-SO-4</v>
      </c>
    </row>
    <row r="10751">
      <c r="A10751" t="str">
        <f>IFERROR(__xludf.DUMMYFUNCTION("""COMPUTED_VALUE"""),"2016-06-24-D04-SO-5")</f>
        <v>2016-06-24-D04-SO-5</v>
      </c>
    </row>
    <row r="10752">
      <c r="A10752" t="str">
        <f>IFERROR(__xludf.DUMMYFUNCTION("""COMPUTED_VALUE"""),"2016-06-24-D04-SO-6")</f>
        <v>2016-06-24-D04-SO-6</v>
      </c>
    </row>
    <row r="10753">
      <c r="A10753" t="str">
        <f>IFERROR(__xludf.DUMMYFUNCTION("""COMPUTED_VALUE"""),"2016-06-24-D04-SO-7")</f>
        <v>2016-06-24-D04-SO-7</v>
      </c>
    </row>
    <row r="10754">
      <c r="A10754" t="str">
        <f>IFERROR(__xludf.DUMMYFUNCTION("""COMPUTED_VALUE"""),"2016-06-24-D04-SO-8")</f>
        <v>2016-06-24-D04-SO-8</v>
      </c>
    </row>
    <row r="10755">
      <c r="A10755" t="str">
        <f>IFERROR(__xludf.DUMMYFUNCTION("""COMPUTED_VALUE"""),"2016-06-24-D04-SO-9")</f>
        <v>2016-06-24-D04-SO-9</v>
      </c>
    </row>
    <row r="10756">
      <c r="A10756" t="str">
        <f>IFERROR(__xludf.DUMMYFUNCTION("""COMPUTED_VALUE"""),"2016-06-24-J02-SO-1")</f>
        <v>2016-06-24-J02-SO-1</v>
      </c>
    </row>
    <row r="10757">
      <c r="A10757" t="str">
        <f>IFERROR(__xludf.DUMMYFUNCTION("""COMPUTED_VALUE"""),"2016-06-24-J02-SO-2")</f>
        <v>2016-06-24-J02-SO-2</v>
      </c>
    </row>
    <row r="10758">
      <c r="A10758" t="str">
        <f>IFERROR(__xludf.DUMMYFUNCTION("""COMPUTED_VALUE"""),"2016-06-24-J02-SO-3")</f>
        <v>2016-06-24-J02-SO-3</v>
      </c>
    </row>
    <row r="10759">
      <c r="A10759" t="str">
        <f>IFERROR(__xludf.DUMMYFUNCTION("""COMPUTED_VALUE"""),"2016-06-24-J02-SO-4")</f>
        <v>2016-06-24-J02-SO-4</v>
      </c>
    </row>
    <row r="10760">
      <c r="A10760" t="str">
        <f>IFERROR(__xludf.DUMMYFUNCTION("""COMPUTED_VALUE"""),"2016-06-24-J08-SO-1")</f>
        <v>2016-06-24-J08-SO-1</v>
      </c>
    </row>
    <row r="10761">
      <c r="A10761" t="str">
        <f>IFERROR(__xludf.DUMMYFUNCTION("""COMPUTED_VALUE"""),"2016-06-24-J08-SO-2")</f>
        <v>2016-06-24-J08-SO-2</v>
      </c>
    </row>
    <row r="10762">
      <c r="A10762" t="str">
        <f>IFERROR(__xludf.DUMMYFUNCTION("""COMPUTED_VALUE"""),"2016-06-24-J08-SO-3")</f>
        <v>2016-06-24-J08-SO-3</v>
      </c>
    </row>
    <row r="10763">
      <c r="A10763" t="str">
        <f>IFERROR(__xludf.DUMMYFUNCTION("""COMPUTED_VALUE"""),"2016-06-24-J08-SO-4")</f>
        <v>2016-06-24-J08-SO-4</v>
      </c>
    </row>
    <row r="10764">
      <c r="A10764" t="str">
        <f>IFERROR(__xludf.DUMMYFUNCTION("""COMPUTED_VALUE"""),"2016-06-24-J08-SO-5")</f>
        <v>2016-06-24-J08-SO-5</v>
      </c>
    </row>
    <row r="10765">
      <c r="A10765" t="str">
        <f>IFERROR(__xludf.DUMMYFUNCTION("""COMPUTED_VALUE"""),"2016-06-24-J08-SO-6")</f>
        <v>2016-06-24-J08-SO-6</v>
      </c>
    </row>
    <row r="10766">
      <c r="A10766" t="str">
        <f>IFERROR(__xludf.DUMMYFUNCTION("""COMPUTED_VALUE"""),"2016-06-24-J08-SO-7")</f>
        <v>2016-06-24-J08-SO-7</v>
      </c>
    </row>
    <row r="10767">
      <c r="A10767" t="str">
        <f>IFERROR(__xludf.DUMMYFUNCTION("""COMPUTED_VALUE"""),"2016-06-24-J08-SO-8")</f>
        <v>2016-06-24-J08-SO-8</v>
      </c>
    </row>
    <row r="10768">
      <c r="A10768" t="str">
        <f>IFERROR(__xludf.DUMMYFUNCTION("""COMPUTED_VALUE"""),"2016-06-24-J08-SO-9")</f>
        <v>2016-06-24-J08-SO-9</v>
      </c>
    </row>
    <row r="10769">
      <c r="A10769" t="str">
        <f>IFERROR(__xludf.DUMMYFUNCTION("""COMPUTED_VALUE"""),"2016-06-24-J08-SO-10")</f>
        <v>2016-06-24-J08-SO-10</v>
      </c>
    </row>
    <row r="10770">
      <c r="A10770" t="str">
        <f>IFERROR(__xludf.DUMMYFUNCTION("""COMPUTED_VALUE"""),"2016-06-24-D04-PI-1")</f>
        <v>2016-06-24-D04-PI-1</v>
      </c>
    </row>
    <row r="10771">
      <c r="A10771" t="str">
        <f>IFERROR(__xludf.DUMMYFUNCTION("""COMPUTED_VALUE"""),"2016-06-24-D04-PI-2")</f>
        <v>2016-06-24-D04-PI-2</v>
      </c>
    </row>
    <row r="10772">
      <c r="A10772" t="str">
        <f>IFERROR(__xludf.DUMMYFUNCTION("""COMPUTED_VALUE"""),"2016-06-24-D04-PI-3")</f>
        <v>2016-06-24-D04-PI-3</v>
      </c>
    </row>
    <row r="10773">
      <c r="A10773" t="str">
        <f>IFERROR(__xludf.DUMMYFUNCTION("""COMPUTED_VALUE"""),"2016-06-24-D04-PI-4")</f>
        <v>2016-06-24-D04-PI-4</v>
      </c>
    </row>
    <row r="10774">
      <c r="A10774" t="str">
        <f>IFERROR(__xludf.DUMMYFUNCTION("""COMPUTED_VALUE"""),"2016-06-24-D04-PI-5")</f>
        <v>2016-06-24-D04-PI-5</v>
      </c>
    </row>
    <row r="10775">
      <c r="A10775" t="str">
        <f>IFERROR(__xludf.DUMMYFUNCTION("""COMPUTED_VALUE"""),"2016-06-24-D04-PI-6")</f>
        <v>2016-06-24-D04-PI-6</v>
      </c>
    </row>
    <row r="10776">
      <c r="A10776" t="str">
        <f>IFERROR(__xludf.DUMMYFUNCTION("""COMPUTED_VALUE"""),"2016-06-24-D04-PI-7")</f>
        <v>2016-06-24-D04-PI-7</v>
      </c>
    </row>
    <row r="10777">
      <c r="A10777" t="str">
        <f>IFERROR(__xludf.DUMMYFUNCTION("""COMPUTED_VALUE"""),"2016-06-24-D04-PI-8")</f>
        <v>2016-06-24-D04-PI-8</v>
      </c>
    </row>
    <row r="10778">
      <c r="A10778" t="str">
        <f>IFERROR(__xludf.DUMMYFUNCTION("""COMPUTED_VALUE"""),"2016-06-24-D04-PI-9")</f>
        <v>2016-06-24-D04-PI-9</v>
      </c>
    </row>
    <row r="10779">
      <c r="A10779" t="str">
        <f>IFERROR(__xludf.DUMMYFUNCTION("""COMPUTED_VALUE"""),"2016-06-24-D04-PI-10")</f>
        <v>2016-06-24-D04-PI-10</v>
      </c>
    </row>
    <row r="10780">
      <c r="A10780" t="str">
        <f>IFERROR(__xludf.DUMMYFUNCTION("""COMPUTED_VALUE"""),"2016-06-24-J02-PI-1")</f>
        <v>2016-06-24-J02-PI-1</v>
      </c>
    </row>
    <row r="10781">
      <c r="A10781" t="str">
        <f>IFERROR(__xludf.DUMMYFUNCTION("""COMPUTED_VALUE"""),"2016-06-24-J02-PI-2")</f>
        <v>2016-06-24-J02-PI-2</v>
      </c>
    </row>
    <row r="10782">
      <c r="A10782" t="str">
        <f>IFERROR(__xludf.DUMMYFUNCTION("""COMPUTED_VALUE"""),"2016-06-24-J02-PI-3")</f>
        <v>2016-06-24-J02-PI-3</v>
      </c>
    </row>
    <row r="10783">
      <c r="A10783" t="str">
        <f>IFERROR(__xludf.DUMMYFUNCTION("""COMPUTED_VALUE"""),"2016-06-24-J02-PI-4")</f>
        <v>2016-06-24-J02-PI-4</v>
      </c>
    </row>
    <row r="10784">
      <c r="A10784" t="str">
        <f>IFERROR(__xludf.DUMMYFUNCTION("""COMPUTED_VALUE"""),"2016-06-24-J02-PI-5")</f>
        <v>2016-06-24-J02-PI-5</v>
      </c>
    </row>
    <row r="10785">
      <c r="A10785" t="str">
        <f>IFERROR(__xludf.DUMMYFUNCTION("""COMPUTED_VALUE"""),"2016-06-24-J02-PI-6")</f>
        <v>2016-06-24-J02-PI-6</v>
      </c>
    </row>
    <row r="10786">
      <c r="A10786" t="str">
        <f>IFERROR(__xludf.DUMMYFUNCTION("""COMPUTED_VALUE"""),"2016-06-24-J02-PI-7")</f>
        <v>2016-06-24-J02-PI-7</v>
      </c>
    </row>
    <row r="10787">
      <c r="A10787" t="str">
        <f>IFERROR(__xludf.DUMMYFUNCTION("""COMPUTED_VALUE"""),"2016-06-24-J02-PI-8")</f>
        <v>2016-06-24-J02-PI-8</v>
      </c>
    </row>
    <row r="10788">
      <c r="A10788" t="str">
        <f>IFERROR(__xludf.DUMMYFUNCTION("""COMPUTED_VALUE"""),"2016-06-24-J02-PI-9")</f>
        <v>2016-06-24-J02-PI-9</v>
      </c>
    </row>
    <row r="10789">
      <c r="A10789" t="str">
        <f>IFERROR(__xludf.DUMMYFUNCTION("""COMPUTED_VALUE"""),"2016-06-24-J02-PI-10")</f>
        <v>2016-06-24-J02-PI-10</v>
      </c>
    </row>
    <row r="10790">
      <c r="A10790" t="str">
        <f>IFERROR(__xludf.DUMMYFUNCTION("""COMPUTED_VALUE"""),"2016-06-24-J08-PI-1")</f>
        <v>2016-06-24-J08-PI-1</v>
      </c>
    </row>
    <row r="10791">
      <c r="A10791" t="str">
        <f>IFERROR(__xludf.DUMMYFUNCTION("""COMPUTED_VALUE"""),"2016-06-24-J08-PI-2")</f>
        <v>2016-06-24-J08-PI-2</v>
      </c>
    </row>
    <row r="10792">
      <c r="A10792" t="str">
        <f>IFERROR(__xludf.DUMMYFUNCTION("""COMPUTED_VALUE"""),"2016-06-24-J08-PI-3")</f>
        <v>2016-06-24-J08-PI-3</v>
      </c>
    </row>
    <row r="10793">
      <c r="A10793" t="str">
        <f>IFERROR(__xludf.DUMMYFUNCTION("""COMPUTED_VALUE"""),"2016-06-24-J08-PI-4")</f>
        <v>2016-06-24-J08-PI-4</v>
      </c>
    </row>
    <row r="10794">
      <c r="A10794" t="str">
        <f>IFERROR(__xludf.DUMMYFUNCTION("""COMPUTED_VALUE"""),"2016-06-24-J08-PI-5")</f>
        <v>2016-06-24-J08-PI-5</v>
      </c>
    </row>
    <row r="10795">
      <c r="A10795" t="str">
        <f>IFERROR(__xludf.DUMMYFUNCTION("""COMPUTED_VALUE"""),"2016-06-24-J08-PI-6")</f>
        <v>2016-06-24-J08-PI-6</v>
      </c>
    </row>
    <row r="10796">
      <c r="A10796" t="str">
        <f>IFERROR(__xludf.DUMMYFUNCTION("""COMPUTED_VALUE"""),"2016-06-24-J08-PI-7")</f>
        <v>2016-06-24-J08-PI-7</v>
      </c>
    </row>
    <row r="10797">
      <c r="A10797" t="str">
        <f>IFERROR(__xludf.DUMMYFUNCTION("""COMPUTED_VALUE"""),"2016-06-24-J08-PI-8")</f>
        <v>2016-06-24-J08-PI-8</v>
      </c>
    </row>
    <row r="10798">
      <c r="A10798" t="str">
        <f>IFERROR(__xludf.DUMMYFUNCTION("""COMPUTED_VALUE"""),"2016-06-24-J08-PI-9")</f>
        <v>2016-06-24-J08-PI-9</v>
      </c>
    </row>
    <row r="10799">
      <c r="A10799" t="str">
        <f>IFERROR(__xludf.DUMMYFUNCTION("""COMPUTED_VALUE"""),"2016-06-24-J08-PI-10")</f>
        <v>2016-06-24-J08-PI-10</v>
      </c>
    </row>
    <row r="10800">
      <c r="A10800" t="str">
        <f>IFERROR(__xludf.DUMMYFUNCTION("""COMPUTED_VALUE"""),"2016-06-24-D04-CU-1")</f>
        <v>2016-06-24-D04-CU-1</v>
      </c>
    </row>
    <row r="10801">
      <c r="A10801" t="str">
        <f>IFERROR(__xludf.DUMMYFUNCTION("""COMPUTED_VALUE"""),"2016-06-24-D04-CU-2")</f>
        <v>2016-06-24-D04-CU-2</v>
      </c>
    </row>
    <row r="10802">
      <c r="A10802" t="str">
        <f>IFERROR(__xludf.DUMMYFUNCTION("""COMPUTED_VALUE"""),"2016-06-24-D04-CU-3")</f>
        <v>2016-06-24-D04-CU-3</v>
      </c>
    </row>
    <row r="10803">
      <c r="A10803" t="str">
        <f>IFERROR(__xludf.DUMMYFUNCTION("""COMPUTED_VALUE"""),"2016-06-24-D04-CU-4")</f>
        <v>2016-06-24-D04-CU-4</v>
      </c>
    </row>
    <row r="10804">
      <c r="A10804" t="str">
        <f>IFERROR(__xludf.DUMMYFUNCTION("""COMPUTED_VALUE"""),"2016-06-24-D04-CU-5")</f>
        <v>2016-06-24-D04-CU-5</v>
      </c>
    </row>
    <row r="10805">
      <c r="A10805" t="str">
        <f>IFERROR(__xludf.DUMMYFUNCTION("""COMPUTED_VALUE"""),"2016-06-24-D04-CU-6")</f>
        <v>2016-06-24-D04-CU-6</v>
      </c>
    </row>
    <row r="10806">
      <c r="A10806" t="str">
        <f>IFERROR(__xludf.DUMMYFUNCTION("""COMPUTED_VALUE"""),"2016-06-24-D04-CU-7")</f>
        <v>2016-06-24-D04-CU-7</v>
      </c>
    </row>
    <row r="10807">
      <c r="A10807" t="str">
        <f>IFERROR(__xludf.DUMMYFUNCTION("""COMPUTED_VALUE"""),"2016-06-24-D04-CU-8")</f>
        <v>2016-06-24-D04-CU-8</v>
      </c>
    </row>
    <row r="10808">
      <c r="A10808" t="str">
        <f>IFERROR(__xludf.DUMMYFUNCTION("""COMPUTED_VALUE"""),"2016-06-24-D04-CU-9")</f>
        <v>2016-06-24-D04-CU-9</v>
      </c>
    </row>
    <row r="10809">
      <c r="A10809" t="str">
        <f>IFERROR(__xludf.DUMMYFUNCTION("""COMPUTED_VALUE"""),"2016-06-24-D04-CU-10")</f>
        <v>2016-06-24-D04-CU-10</v>
      </c>
    </row>
    <row r="10810">
      <c r="A10810" t="str">
        <f>IFERROR(__xludf.DUMMYFUNCTION("""COMPUTED_VALUE"""),"2016-06-24-J02-CU-1")</f>
        <v>2016-06-24-J02-CU-1</v>
      </c>
    </row>
    <row r="10811">
      <c r="A10811" t="str">
        <f>IFERROR(__xludf.DUMMYFUNCTION("""COMPUTED_VALUE"""),"2016-06-24-J02-CU-2")</f>
        <v>2016-06-24-J02-CU-2</v>
      </c>
    </row>
    <row r="10812">
      <c r="A10812" t="str">
        <f>IFERROR(__xludf.DUMMYFUNCTION("""COMPUTED_VALUE"""),"2016-06-24-J02-CU-3")</f>
        <v>2016-06-24-J02-CU-3</v>
      </c>
    </row>
    <row r="10813">
      <c r="A10813" t="str">
        <f>IFERROR(__xludf.DUMMYFUNCTION("""COMPUTED_VALUE"""),"2016-06-24-J02-CU-4")</f>
        <v>2016-06-24-J02-CU-4</v>
      </c>
    </row>
    <row r="10814">
      <c r="A10814" t="str">
        <f>IFERROR(__xludf.DUMMYFUNCTION("""COMPUTED_VALUE"""),"2016-06-24-J02-CU-5")</f>
        <v>2016-06-24-J02-CU-5</v>
      </c>
    </row>
    <row r="10815">
      <c r="A10815" t="str">
        <f>IFERROR(__xludf.DUMMYFUNCTION("""COMPUTED_VALUE"""),"2016-06-24-J02-CU-6")</f>
        <v>2016-06-24-J02-CU-6</v>
      </c>
    </row>
    <row r="10816">
      <c r="A10816" t="str">
        <f>IFERROR(__xludf.DUMMYFUNCTION("""COMPUTED_VALUE"""),"2016-06-24-J02-CU-7")</f>
        <v>2016-06-24-J02-CU-7</v>
      </c>
    </row>
    <row r="10817">
      <c r="A10817" t="str">
        <f>IFERROR(__xludf.DUMMYFUNCTION("""COMPUTED_VALUE"""),"2016-06-24-J02-CU-8")</f>
        <v>2016-06-24-J02-CU-8</v>
      </c>
    </row>
    <row r="10818">
      <c r="A10818" t="str">
        <f>IFERROR(__xludf.DUMMYFUNCTION("""COMPUTED_VALUE"""),"2016-06-24-J02-CU-9")</f>
        <v>2016-06-24-J02-CU-9</v>
      </c>
    </row>
    <row r="10819">
      <c r="A10819" t="str">
        <f>IFERROR(__xludf.DUMMYFUNCTION("""COMPUTED_VALUE"""),"2016-06-24-J02-CU-10")</f>
        <v>2016-06-24-J02-CU-10</v>
      </c>
    </row>
    <row r="10820">
      <c r="A10820" t="str">
        <f>IFERROR(__xludf.DUMMYFUNCTION("""COMPUTED_VALUE"""),"2016-06-24-J08-CU-1")</f>
        <v>2016-06-24-J08-CU-1</v>
      </c>
    </row>
    <row r="10821">
      <c r="A10821" t="str">
        <f>IFERROR(__xludf.DUMMYFUNCTION("""COMPUTED_VALUE"""),"2016-06-24-J08-CU-2")</f>
        <v>2016-06-24-J08-CU-2</v>
      </c>
    </row>
    <row r="10822">
      <c r="A10822" t="str">
        <f>IFERROR(__xludf.DUMMYFUNCTION("""COMPUTED_VALUE"""),"2016-06-24-J08-CU-3")</f>
        <v>2016-06-24-J08-CU-3</v>
      </c>
    </row>
    <row r="10823">
      <c r="A10823" t="str">
        <f>IFERROR(__xludf.DUMMYFUNCTION("""COMPUTED_VALUE"""),"2016-06-24-J08-CU-4")</f>
        <v>2016-06-24-J08-CU-4</v>
      </c>
    </row>
    <row r="10824">
      <c r="A10824" t="str">
        <f>IFERROR(__xludf.DUMMYFUNCTION("""COMPUTED_VALUE"""),"2016-06-24-J08-CU-5")</f>
        <v>2016-06-24-J08-CU-5</v>
      </c>
    </row>
    <row r="10825">
      <c r="A10825" t="str">
        <f>IFERROR(__xludf.DUMMYFUNCTION("""COMPUTED_VALUE"""),"2016-06-24-J08-CU-6")</f>
        <v>2016-06-24-J08-CU-6</v>
      </c>
    </row>
    <row r="10826">
      <c r="A10826" t="str">
        <f>IFERROR(__xludf.DUMMYFUNCTION("""COMPUTED_VALUE"""),"2016-06-24-J08-CU-7")</f>
        <v>2016-06-24-J08-CU-7</v>
      </c>
    </row>
    <row r="10827">
      <c r="A10827" t="str">
        <f>IFERROR(__xludf.DUMMYFUNCTION("""COMPUTED_VALUE"""),"2016-06-24-J08-CU-8")</f>
        <v>2016-06-24-J08-CU-8</v>
      </c>
    </row>
    <row r="10828">
      <c r="A10828" t="str">
        <f>IFERROR(__xludf.DUMMYFUNCTION("""COMPUTED_VALUE"""),"2016-06-24-J08-CU-9")</f>
        <v>2016-06-24-J08-CU-9</v>
      </c>
    </row>
    <row r="10829">
      <c r="A10829" t="str">
        <f>IFERROR(__xludf.DUMMYFUNCTION("""COMPUTED_VALUE"""),"2016-06-24-J08-CU-10")</f>
        <v>2016-06-24-J08-CU-10</v>
      </c>
    </row>
    <row r="10830">
      <c r="A10830" t="str">
        <f>IFERROR(__xludf.DUMMYFUNCTION("""COMPUTED_VALUE"""),"2016-06-24-J02-CO-1")</f>
        <v>2016-06-24-J02-CO-1</v>
      </c>
    </row>
    <row r="10831">
      <c r="A10831" t="str">
        <f>IFERROR(__xludf.DUMMYFUNCTION("""COMPUTED_VALUE"""),"2016-06-24-D04-HE-1")</f>
        <v>2016-06-24-D04-HE-1</v>
      </c>
    </row>
    <row r="10832">
      <c r="A10832" t="str">
        <f>IFERROR(__xludf.DUMMYFUNCTION("""COMPUTED_VALUE"""),"2016-06-24-D04-HE-2")</f>
        <v>2016-06-24-D04-HE-2</v>
      </c>
    </row>
    <row r="10833">
      <c r="A10833" t="str">
        <f>IFERROR(__xludf.DUMMYFUNCTION("""COMPUTED_VALUE"""),"2016-06-24-D04-HE-3")</f>
        <v>2016-06-24-D04-HE-3</v>
      </c>
    </row>
    <row r="10834">
      <c r="A10834" t="str">
        <f>IFERROR(__xludf.DUMMYFUNCTION("""COMPUTED_VALUE"""),"2016-06-24-J08-HE-1")</f>
        <v>2016-06-24-J08-HE-1</v>
      </c>
    </row>
    <row r="10835">
      <c r="A10835" t="str">
        <f>IFERROR(__xludf.DUMMYFUNCTION("""COMPUTED_VALUE"""),"2016-06-24-J08-HE-2")</f>
        <v>2016-06-24-J08-HE-2</v>
      </c>
    </row>
    <row r="10836">
      <c r="A10836" t="str">
        <f>IFERROR(__xludf.DUMMYFUNCTION("""COMPUTED_VALUE"""),"2016-06-25-J06-SO-1")</f>
        <v>2016-06-25-J06-SO-1</v>
      </c>
    </row>
    <row r="10837">
      <c r="A10837" t="str">
        <f>IFERROR(__xludf.DUMMYFUNCTION("""COMPUTED_VALUE"""),"2016-06-25-J06-SO-2")</f>
        <v>2016-06-25-J06-SO-2</v>
      </c>
    </row>
    <row r="10838">
      <c r="A10838" t="str">
        <f>IFERROR(__xludf.DUMMYFUNCTION("""COMPUTED_VALUE"""),"2016-06-25-J06-SO-3")</f>
        <v>2016-06-25-J06-SO-3</v>
      </c>
    </row>
    <row r="10839">
      <c r="A10839" t="str">
        <f>IFERROR(__xludf.DUMMYFUNCTION("""COMPUTED_VALUE"""),"2016-06-25-J06-SO-4")</f>
        <v>2016-06-25-J06-SO-4</v>
      </c>
    </row>
    <row r="10840">
      <c r="A10840" t="str">
        <f>IFERROR(__xludf.DUMMYFUNCTION("""COMPUTED_VALUE"""),"2016-06-25-J06-SO-5")</f>
        <v>2016-06-25-J06-SO-5</v>
      </c>
    </row>
    <row r="10841">
      <c r="A10841" t="str">
        <f>IFERROR(__xludf.DUMMYFUNCTION("""COMPUTED_VALUE"""),"2016-06-25-J06-SO-6")</f>
        <v>2016-06-25-J06-SO-6</v>
      </c>
    </row>
    <row r="10842">
      <c r="A10842" t="str">
        <f>IFERROR(__xludf.DUMMYFUNCTION("""COMPUTED_VALUE"""),"2016-06-25-J06-SO-7")</f>
        <v>2016-06-25-J06-SO-7</v>
      </c>
    </row>
    <row r="10843">
      <c r="A10843" t="str">
        <f>IFERROR(__xludf.DUMMYFUNCTION("""COMPUTED_VALUE"""),"2016-06-25-J06-SO-8")</f>
        <v>2016-06-25-J06-SO-8</v>
      </c>
    </row>
    <row r="10844">
      <c r="A10844" t="str">
        <f>IFERROR(__xludf.DUMMYFUNCTION("""COMPUTED_VALUE"""),"2016-06-25-J06-SO-9")</f>
        <v>2016-06-25-J06-SO-9</v>
      </c>
    </row>
    <row r="10845">
      <c r="A10845" t="str">
        <f>IFERROR(__xludf.DUMMYFUNCTION("""COMPUTED_VALUE"""),"2016-06-25-J06-SO-10")</f>
        <v>2016-06-25-J06-SO-10</v>
      </c>
    </row>
    <row r="10846">
      <c r="A10846" t="str">
        <f>IFERROR(__xludf.DUMMYFUNCTION("""COMPUTED_VALUE"""),"2016-06-25-J06-SO-11")</f>
        <v>2016-06-25-J06-SO-11</v>
      </c>
    </row>
    <row r="10847">
      <c r="A10847" t="str">
        <f>IFERROR(__xludf.DUMMYFUNCTION("""COMPUTED_VALUE"""),"2016-06-25-J06-SO-12")</f>
        <v>2016-06-25-J06-SO-12</v>
      </c>
    </row>
    <row r="10848">
      <c r="A10848" t="str">
        <f>IFERROR(__xludf.DUMMYFUNCTION("""COMPUTED_VALUE"""),"2016-06-25-J06-SO-13")</f>
        <v>2016-06-25-J06-SO-13</v>
      </c>
    </row>
    <row r="10849">
      <c r="A10849" t="str">
        <f>IFERROR(__xludf.DUMMYFUNCTION("""COMPUTED_VALUE"""),"2016-06-25-J06-SO-14")</f>
        <v>2016-06-25-J06-SO-14</v>
      </c>
    </row>
    <row r="10850">
      <c r="A10850" t="str">
        <f>IFERROR(__xludf.DUMMYFUNCTION("""COMPUTED_VALUE"""),"2016-06-25-J06-SO-15")</f>
        <v>2016-06-25-J06-SO-15</v>
      </c>
    </row>
    <row r="10851">
      <c r="A10851" t="str">
        <f>IFERROR(__xludf.DUMMYFUNCTION("""COMPUTED_VALUE"""),"2016-06-25-J06-SO-16")</f>
        <v>2016-06-25-J06-SO-16</v>
      </c>
    </row>
    <row r="10852">
      <c r="A10852" t="str">
        <f>IFERROR(__xludf.DUMMYFUNCTION("""COMPUTED_VALUE"""),"2016-06-25-J06-SO-17")</f>
        <v>2016-06-25-J06-SO-17</v>
      </c>
    </row>
    <row r="10853">
      <c r="A10853" t="str">
        <f>IFERROR(__xludf.DUMMYFUNCTION("""COMPUTED_VALUE"""),"2016-06-25-J06-SO-18")</f>
        <v>2016-06-25-J06-SO-18</v>
      </c>
    </row>
    <row r="10854">
      <c r="A10854" t="str">
        <f>IFERROR(__xludf.DUMMYFUNCTION("""COMPUTED_VALUE"""),"2016-06-25-J06-SO-19")</f>
        <v>2016-06-25-J06-SO-19</v>
      </c>
    </row>
    <row r="10855">
      <c r="A10855" t="str">
        <f>IFERROR(__xludf.DUMMYFUNCTION("""COMPUTED_VALUE"""),"2016-06-25-J06-SO-20")</f>
        <v>2016-06-25-J06-SO-20</v>
      </c>
    </row>
    <row r="10856">
      <c r="A10856" t="str">
        <f>IFERROR(__xludf.DUMMYFUNCTION("""COMPUTED_VALUE"""),"2016-06-25-J06-SO-21")</f>
        <v>2016-06-25-J06-SO-21</v>
      </c>
    </row>
    <row r="10857">
      <c r="A10857" t="str">
        <f>IFERROR(__xludf.DUMMYFUNCTION("""COMPUTED_VALUE"""),"2016-06-25-J06-SO-22")</f>
        <v>2016-06-25-J06-SO-22</v>
      </c>
    </row>
    <row r="10858">
      <c r="A10858" t="str">
        <f>IFERROR(__xludf.DUMMYFUNCTION("""COMPUTED_VALUE"""),"2016-06-25-J06-SO-23")</f>
        <v>2016-06-25-J06-SO-23</v>
      </c>
    </row>
    <row r="10859">
      <c r="A10859" t="str">
        <f>IFERROR(__xludf.DUMMYFUNCTION("""COMPUTED_VALUE"""),"2016-06-25-J06-SO-24")</f>
        <v>2016-06-25-J06-SO-24</v>
      </c>
    </row>
    <row r="10860">
      <c r="A10860" t="str">
        <f>IFERROR(__xludf.DUMMYFUNCTION("""COMPUTED_VALUE"""),"2016-06-25-J06-SO-25")</f>
        <v>2016-06-25-J06-SO-25</v>
      </c>
    </row>
    <row r="10861">
      <c r="A10861" t="str">
        <f>IFERROR(__xludf.DUMMYFUNCTION("""COMPUTED_VALUE"""),"2016-06-25-J06-SO-26")</f>
        <v>2016-06-25-J06-SO-26</v>
      </c>
    </row>
    <row r="10862">
      <c r="A10862" t="str">
        <f>IFERROR(__xludf.DUMMYFUNCTION("""COMPUTED_VALUE"""),"2016-06-25-J06-SO-27")</f>
        <v>2016-06-25-J06-SO-27</v>
      </c>
    </row>
    <row r="10863">
      <c r="A10863" t="str">
        <f>IFERROR(__xludf.DUMMYFUNCTION("""COMPUTED_VALUE"""),"2016-06-25-J06-SO-28")</f>
        <v>2016-06-25-J06-SO-28</v>
      </c>
    </row>
    <row r="10864">
      <c r="A10864" t="str">
        <f>IFERROR(__xludf.DUMMYFUNCTION("""COMPUTED_VALUE"""),"2016-06-25-J06-SO-29")</f>
        <v>2016-06-25-J06-SO-29</v>
      </c>
    </row>
    <row r="10865">
      <c r="A10865" t="str">
        <f>IFERROR(__xludf.DUMMYFUNCTION("""COMPUTED_VALUE"""),"2016-06-25-J06-SO-30")</f>
        <v>2016-06-25-J06-SO-30</v>
      </c>
    </row>
    <row r="10866">
      <c r="A10866" t="str">
        <f>IFERROR(__xludf.DUMMYFUNCTION("""COMPUTED_VALUE"""),"2016-06-25-J07-SO-1")</f>
        <v>2016-06-25-J07-SO-1</v>
      </c>
    </row>
    <row r="10867">
      <c r="A10867" t="str">
        <f>IFERROR(__xludf.DUMMYFUNCTION("""COMPUTED_VALUE"""),"2016-06-25-J07-SO-2")</f>
        <v>2016-06-25-J07-SO-2</v>
      </c>
    </row>
    <row r="10868">
      <c r="A10868" t="str">
        <f>IFERROR(__xludf.DUMMYFUNCTION("""COMPUTED_VALUE"""),"2016-06-25-J07-SO-3")</f>
        <v>2016-06-25-J07-SO-3</v>
      </c>
    </row>
    <row r="10869">
      <c r="A10869" t="str">
        <f>IFERROR(__xludf.DUMMYFUNCTION("""COMPUTED_VALUE"""),"2016-06-25-J07-SO-4")</f>
        <v>2016-06-25-J07-SO-4</v>
      </c>
    </row>
    <row r="10870">
      <c r="A10870" t="str">
        <f>IFERROR(__xludf.DUMMYFUNCTION("""COMPUTED_VALUE"""),"2016-06-25-J07-SO-5")</f>
        <v>2016-06-25-J07-SO-5</v>
      </c>
    </row>
    <row r="10871">
      <c r="A10871" t="str">
        <f>IFERROR(__xludf.DUMMYFUNCTION("""COMPUTED_VALUE"""),"2016-06-25-J07-SO-6")</f>
        <v>2016-06-25-J07-SO-6</v>
      </c>
    </row>
    <row r="10872">
      <c r="A10872" t="str">
        <f>IFERROR(__xludf.DUMMYFUNCTION("""COMPUTED_VALUE"""),"2016-06-25-J07-SO-7")</f>
        <v>2016-06-25-J07-SO-7</v>
      </c>
    </row>
    <row r="10873">
      <c r="A10873" t="str">
        <f>IFERROR(__xludf.DUMMYFUNCTION("""COMPUTED_VALUE"""),"2016-06-25-J07-SO-8")</f>
        <v>2016-06-25-J07-SO-8</v>
      </c>
    </row>
    <row r="10874">
      <c r="A10874" t="str">
        <f>IFERROR(__xludf.DUMMYFUNCTION("""COMPUTED_VALUE"""),"2016-06-25-J07-SO-9")</f>
        <v>2016-06-25-J07-SO-9</v>
      </c>
    </row>
    <row r="10875">
      <c r="A10875" t="str">
        <f>IFERROR(__xludf.DUMMYFUNCTION("""COMPUTED_VALUE"""),"2016-06-25-J07-SO-10")</f>
        <v>2016-06-25-J07-SO-10</v>
      </c>
    </row>
    <row r="10876">
      <c r="A10876" t="str">
        <f>IFERROR(__xludf.DUMMYFUNCTION("""COMPUTED_VALUE"""),"2016-06-25-J07-SO-11")</f>
        <v>2016-06-25-J07-SO-11</v>
      </c>
    </row>
    <row r="10877">
      <c r="A10877" t="str">
        <f>IFERROR(__xludf.DUMMYFUNCTION("""COMPUTED_VALUE"""),"2016-06-25-J07-SO-12")</f>
        <v>2016-06-25-J07-SO-12</v>
      </c>
    </row>
    <row r="10878">
      <c r="A10878" t="str">
        <f>IFERROR(__xludf.DUMMYFUNCTION("""COMPUTED_VALUE"""),"2016-06-25-J07-SO-13")</f>
        <v>2016-06-25-J07-SO-13</v>
      </c>
    </row>
    <row r="10879">
      <c r="A10879" t="str">
        <f>IFERROR(__xludf.DUMMYFUNCTION("""COMPUTED_VALUE"""),"2016-06-25-J07-SO-14")</f>
        <v>2016-06-25-J07-SO-14</v>
      </c>
    </row>
    <row r="10880">
      <c r="A10880" t="str">
        <f>IFERROR(__xludf.DUMMYFUNCTION("""COMPUTED_VALUE"""),"2016-06-25-J07-SO-15")</f>
        <v>2016-06-25-J07-SO-15</v>
      </c>
    </row>
    <row r="10881">
      <c r="A10881" t="str">
        <f>IFERROR(__xludf.DUMMYFUNCTION("""COMPUTED_VALUE"""),"2016-06-25-J07-SO-16")</f>
        <v>2016-06-25-J07-SO-16</v>
      </c>
    </row>
    <row r="10882">
      <c r="A10882" t="str">
        <f>IFERROR(__xludf.DUMMYFUNCTION("""COMPUTED_VALUE"""),"2016-06-25-J07-SO-17")</f>
        <v>2016-06-25-J07-SO-17</v>
      </c>
    </row>
    <row r="10883">
      <c r="A10883" t="str">
        <f>IFERROR(__xludf.DUMMYFUNCTION("""COMPUTED_VALUE"""),"2016-06-25-J07-SO-18")</f>
        <v>2016-06-25-J07-SO-18</v>
      </c>
    </row>
    <row r="10884">
      <c r="A10884" t="str">
        <f>IFERROR(__xludf.DUMMYFUNCTION("""COMPUTED_VALUE"""),"2016-06-25-J07-SO-19")</f>
        <v>2016-06-25-J07-SO-19</v>
      </c>
    </row>
    <row r="10885">
      <c r="A10885" t="str">
        <f>IFERROR(__xludf.DUMMYFUNCTION("""COMPUTED_VALUE"""),"2016-06-25-J07-SO-20")</f>
        <v>2016-06-25-J07-SO-20</v>
      </c>
    </row>
    <row r="10886">
      <c r="A10886" t="str">
        <f>IFERROR(__xludf.DUMMYFUNCTION("""COMPUTED_VALUE"""),"2016-06-25-J07-SO-21")</f>
        <v>2016-06-25-J07-SO-21</v>
      </c>
    </row>
    <row r="10887">
      <c r="A10887" t="str">
        <f>IFERROR(__xludf.DUMMYFUNCTION("""COMPUTED_VALUE"""),"2016-06-25-J07-SO-22")</f>
        <v>2016-06-25-J07-SO-22</v>
      </c>
    </row>
    <row r="10888">
      <c r="A10888" t="str">
        <f>IFERROR(__xludf.DUMMYFUNCTION("""COMPUTED_VALUE"""),"2016-06-25-J07-SO-23")</f>
        <v>2016-06-25-J07-SO-23</v>
      </c>
    </row>
    <row r="10889">
      <c r="A10889" t="str">
        <f>IFERROR(__xludf.DUMMYFUNCTION("""COMPUTED_VALUE"""),"2016-06-25-J07-SO-24")</f>
        <v>2016-06-25-J07-SO-24</v>
      </c>
    </row>
    <row r="10890">
      <c r="A10890" t="str">
        <f>IFERROR(__xludf.DUMMYFUNCTION("""COMPUTED_VALUE"""),"2016-06-25-J07-SO-25")</f>
        <v>2016-06-25-J07-SO-25</v>
      </c>
    </row>
    <row r="10891">
      <c r="A10891" t="str">
        <f>IFERROR(__xludf.DUMMYFUNCTION("""COMPUTED_VALUE"""),"2016-06-25-J07-SO-26")</f>
        <v>2016-06-25-J07-SO-26</v>
      </c>
    </row>
    <row r="10892">
      <c r="A10892" t="str">
        <f>IFERROR(__xludf.DUMMYFUNCTION("""COMPUTED_VALUE"""),"2016-06-25-J07-SO-27")</f>
        <v>2016-06-25-J07-SO-27</v>
      </c>
    </row>
    <row r="10893">
      <c r="A10893" t="str">
        <f>IFERROR(__xludf.DUMMYFUNCTION("""COMPUTED_VALUE"""),"2016-06-25-J07-SO-28")</f>
        <v>2016-06-25-J07-SO-28</v>
      </c>
    </row>
    <row r="10894">
      <c r="A10894" t="str">
        <f>IFERROR(__xludf.DUMMYFUNCTION("""COMPUTED_VALUE"""),"2016-06-25-J07-SO-29")</f>
        <v>2016-06-25-J07-SO-29</v>
      </c>
    </row>
    <row r="10895">
      <c r="A10895" t="str">
        <f>IFERROR(__xludf.DUMMYFUNCTION("""COMPUTED_VALUE"""),"2016-06-25-J07-SO-30")</f>
        <v>2016-06-25-J07-SO-30</v>
      </c>
    </row>
    <row r="10896">
      <c r="A10896" t="str">
        <f>IFERROR(__xludf.DUMMYFUNCTION("""COMPUTED_VALUE"""),"2016-06-25-J05-SO-1")</f>
        <v>2016-06-25-J05-SO-1</v>
      </c>
    </row>
    <row r="10897">
      <c r="A10897" t="str">
        <f>IFERROR(__xludf.DUMMYFUNCTION("""COMPUTED_VALUE"""),"2016-06-25-J05-SO-2")</f>
        <v>2016-06-25-J05-SO-2</v>
      </c>
    </row>
    <row r="10898">
      <c r="A10898" t="str">
        <f>IFERROR(__xludf.DUMMYFUNCTION("""COMPUTED_VALUE"""),"2016-06-25-J05-SO-3")</f>
        <v>2016-06-25-J05-SO-3</v>
      </c>
    </row>
    <row r="10899">
      <c r="A10899" t="str">
        <f>IFERROR(__xludf.DUMMYFUNCTION("""COMPUTED_VALUE"""),"2016-06-25-J05-SO-4")</f>
        <v>2016-06-25-J05-SO-4</v>
      </c>
    </row>
    <row r="10900">
      <c r="A10900" t="str">
        <f>IFERROR(__xludf.DUMMYFUNCTION("""COMPUTED_VALUE"""),"2016-06-25-J05-SO-5")</f>
        <v>2016-06-25-J05-SO-5</v>
      </c>
    </row>
    <row r="10901">
      <c r="A10901" t="str">
        <f>IFERROR(__xludf.DUMMYFUNCTION("""COMPUTED_VALUE"""),"2016-06-25-J05-SO-6")</f>
        <v>2016-06-25-J05-SO-6</v>
      </c>
    </row>
    <row r="10902">
      <c r="A10902" t="str">
        <f>IFERROR(__xludf.DUMMYFUNCTION("""COMPUTED_VALUE"""),"2016-06-25-J05-SO-7")</f>
        <v>2016-06-25-J05-SO-7</v>
      </c>
    </row>
    <row r="10903">
      <c r="A10903" t="str">
        <f>IFERROR(__xludf.DUMMYFUNCTION("""COMPUTED_VALUE"""),"2016-06-25-J05-SO-8")</f>
        <v>2016-06-25-J05-SO-8</v>
      </c>
    </row>
    <row r="10904">
      <c r="A10904" t="str">
        <f>IFERROR(__xludf.DUMMYFUNCTION("""COMPUTED_VALUE"""),"2016-06-25-J05-SO-9")</f>
        <v>2016-06-25-J05-SO-9</v>
      </c>
    </row>
    <row r="10905">
      <c r="A10905" t="str">
        <f>IFERROR(__xludf.DUMMYFUNCTION("""COMPUTED_VALUE"""),"2016-06-25-J05-SO-10")</f>
        <v>2016-06-25-J05-SO-10</v>
      </c>
    </row>
    <row r="10906">
      <c r="A10906" t="str">
        <f>IFERROR(__xludf.DUMMYFUNCTION("""COMPUTED_VALUE"""),"2016-06-25-J05-SO-11")</f>
        <v>2016-06-25-J05-SO-11</v>
      </c>
    </row>
    <row r="10907">
      <c r="A10907" t="str">
        <f>IFERROR(__xludf.DUMMYFUNCTION("""COMPUTED_VALUE"""),"2016-06-25-J05-SO-12")</f>
        <v>2016-06-25-J05-SO-12</v>
      </c>
    </row>
    <row r="10908">
      <c r="A10908" t="str">
        <f>IFERROR(__xludf.DUMMYFUNCTION("""COMPUTED_VALUE"""),"2016-06-25-J05-SO-13")</f>
        <v>2016-06-25-J05-SO-13</v>
      </c>
    </row>
    <row r="10909">
      <c r="A10909" t="str">
        <f>IFERROR(__xludf.DUMMYFUNCTION("""COMPUTED_VALUE"""),"2016-06-25-J05-SO-14")</f>
        <v>2016-06-25-J05-SO-14</v>
      </c>
    </row>
    <row r="10910">
      <c r="A10910" t="str">
        <f>IFERROR(__xludf.DUMMYFUNCTION("""COMPUTED_VALUE"""),"2016-06-25-J05-SO-15")</f>
        <v>2016-06-25-J05-SO-15</v>
      </c>
    </row>
    <row r="10911">
      <c r="A10911" t="str">
        <f>IFERROR(__xludf.DUMMYFUNCTION("""COMPUTED_VALUE"""),"2016-06-25-J05-SO-16")</f>
        <v>2016-06-25-J05-SO-16</v>
      </c>
    </row>
    <row r="10912">
      <c r="A10912" t="str">
        <f>IFERROR(__xludf.DUMMYFUNCTION("""COMPUTED_VALUE"""),"2016-06-25-J05-SO-17")</f>
        <v>2016-06-25-J05-SO-17</v>
      </c>
    </row>
    <row r="10913">
      <c r="A10913" t="str">
        <f>IFERROR(__xludf.DUMMYFUNCTION("""COMPUTED_VALUE"""),"2016-06-25-J05-SO-18")</f>
        <v>2016-06-25-J05-SO-18</v>
      </c>
    </row>
    <row r="10914">
      <c r="A10914" t="str">
        <f>IFERROR(__xludf.DUMMYFUNCTION("""COMPUTED_VALUE"""),"2016-06-25-J05-SO-19")</f>
        <v>2016-06-25-J05-SO-19</v>
      </c>
    </row>
    <row r="10915">
      <c r="A10915" t="str">
        <f>IFERROR(__xludf.DUMMYFUNCTION("""COMPUTED_VALUE"""),"2016-06-25-J05-SO-20")</f>
        <v>2016-06-25-J05-SO-20</v>
      </c>
    </row>
    <row r="10916">
      <c r="A10916" t="str">
        <f>IFERROR(__xludf.DUMMYFUNCTION("""COMPUTED_VALUE"""),"2016-06-25-J05-SO-21")</f>
        <v>2016-06-25-J05-SO-21</v>
      </c>
    </row>
    <row r="10917">
      <c r="A10917" t="str">
        <f>IFERROR(__xludf.DUMMYFUNCTION("""COMPUTED_VALUE"""),"2016-06-25-J05-SO-22")</f>
        <v>2016-06-25-J05-SO-22</v>
      </c>
    </row>
    <row r="10918">
      <c r="A10918" t="str">
        <f>IFERROR(__xludf.DUMMYFUNCTION("""COMPUTED_VALUE"""),"2016-06-25-J05-SO-23")</f>
        <v>2016-06-25-J05-SO-23</v>
      </c>
    </row>
    <row r="10919">
      <c r="A10919" t="str">
        <f>IFERROR(__xludf.DUMMYFUNCTION("""COMPUTED_VALUE"""),"2016-06-25-J05-SO-24")</f>
        <v>2016-06-25-J05-SO-24</v>
      </c>
    </row>
    <row r="10920">
      <c r="A10920" t="str">
        <f>IFERROR(__xludf.DUMMYFUNCTION("""COMPUTED_VALUE"""),"2016-06-25-J05-SO-25")</f>
        <v>2016-06-25-J05-SO-25</v>
      </c>
    </row>
    <row r="10921">
      <c r="A10921" t="str">
        <f>IFERROR(__xludf.DUMMYFUNCTION("""COMPUTED_VALUE"""),"2016-06-25-J05-SO-26")</f>
        <v>2016-06-25-J05-SO-26</v>
      </c>
    </row>
    <row r="10922">
      <c r="A10922" t="str">
        <f>IFERROR(__xludf.DUMMYFUNCTION("""COMPUTED_VALUE"""),"2016-06-25-J05-SO-27")</f>
        <v>2016-06-25-J05-SO-27</v>
      </c>
    </row>
    <row r="10923">
      <c r="A10923" t="str">
        <f>IFERROR(__xludf.DUMMYFUNCTION("""COMPUTED_VALUE"""),"2016-06-25-J05-SO-28")</f>
        <v>2016-06-25-J05-SO-28</v>
      </c>
    </row>
    <row r="10924">
      <c r="A10924" t="str">
        <f>IFERROR(__xludf.DUMMYFUNCTION("""COMPUTED_VALUE"""),"2016-06-25-J06-PI-1")</f>
        <v>2016-06-25-J06-PI-1</v>
      </c>
    </row>
    <row r="10925">
      <c r="A10925" t="str">
        <f>IFERROR(__xludf.DUMMYFUNCTION("""COMPUTED_VALUE"""),"2016-06-25-J06-PI-2")</f>
        <v>2016-06-25-J06-PI-2</v>
      </c>
    </row>
    <row r="10926">
      <c r="A10926" t="str">
        <f>IFERROR(__xludf.DUMMYFUNCTION("""COMPUTED_VALUE"""),"2016-06-25-J06-PI-3")</f>
        <v>2016-06-25-J06-PI-3</v>
      </c>
    </row>
    <row r="10927">
      <c r="A10927" t="str">
        <f>IFERROR(__xludf.DUMMYFUNCTION("""COMPUTED_VALUE"""),"2016-06-25-J06-PI-4")</f>
        <v>2016-06-25-J06-PI-4</v>
      </c>
    </row>
    <row r="10928">
      <c r="A10928" t="str">
        <f>IFERROR(__xludf.DUMMYFUNCTION("""COMPUTED_VALUE"""),"2016-06-25-J06-PI-5")</f>
        <v>2016-06-25-J06-PI-5</v>
      </c>
    </row>
    <row r="10929">
      <c r="A10929" t="str">
        <f>IFERROR(__xludf.DUMMYFUNCTION("""COMPUTED_VALUE"""),"2016-06-25-J06-PI-6")</f>
        <v>2016-06-25-J06-PI-6</v>
      </c>
    </row>
    <row r="10930">
      <c r="A10930" t="str">
        <f>IFERROR(__xludf.DUMMYFUNCTION("""COMPUTED_VALUE"""),"2016-06-25-J06-PI-7")</f>
        <v>2016-06-25-J06-PI-7</v>
      </c>
    </row>
    <row r="10931">
      <c r="A10931" t="str">
        <f>IFERROR(__xludf.DUMMYFUNCTION("""COMPUTED_VALUE"""),"2016-06-25-J06-PI-8")</f>
        <v>2016-06-25-J06-PI-8</v>
      </c>
    </row>
    <row r="10932">
      <c r="A10932" t="str">
        <f>IFERROR(__xludf.DUMMYFUNCTION("""COMPUTED_VALUE"""),"2016-06-25-J06-PI-9")</f>
        <v>2016-06-25-J06-PI-9</v>
      </c>
    </row>
    <row r="10933">
      <c r="A10933" t="str">
        <f>IFERROR(__xludf.DUMMYFUNCTION("""COMPUTED_VALUE"""),"2016-06-25-J06-PI-10")</f>
        <v>2016-06-25-J06-PI-10</v>
      </c>
    </row>
    <row r="10934">
      <c r="A10934" t="str">
        <f>IFERROR(__xludf.DUMMYFUNCTION("""COMPUTED_VALUE"""),"2016-06-25-J07-PI-1")</f>
        <v>2016-06-25-J07-PI-1</v>
      </c>
    </row>
    <row r="10935">
      <c r="A10935" t="str">
        <f>IFERROR(__xludf.DUMMYFUNCTION("""COMPUTED_VALUE"""),"2016-06-25-J07-PI-2")</f>
        <v>2016-06-25-J07-PI-2</v>
      </c>
    </row>
    <row r="10936">
      <c r="A10936" t="str">
        <f>IFERROR(__xludf.DUMMYFUNCTION("""COMPUTED_VALUE"""),"2016-06-25-J07-PI-3")</f>
        <v>2016-06-25-J07-PI-3</v>
      </c>
    </row>
    <row r="10937">
      <c r="A10937" t="str">
        <f>IFERROR(__xludf.DUMMYFUNCTION("""COMPUTED_VALUE"""),"2016-06-25-J07-PI-4")</f>
        <v>2016-06-25-J07-PI-4</v>
      </c>
    </row>
    <row r="10938">
      <c r="A10938" t="str">
        <f>IFERROR(__xludf.DUMMYFUNCTION("""COMPUTED_VALUE"""),"2016-06-25-J07-PI-5")</f>
        <v>2016-06-25-J07-PI-5</v>
      </c>
    </row>
    <row r="10939">
      <c r="A10939" t="str">
        <f>IFERROR(__xludf.DUMMYFUNCTION("""COMPUTED_VALUE"""),"2016-06-25-J07-PI-6")</f>
        <v>2016-06-25-J07-PI-6</v>
      </c>
    </row>
    <row r="10940">
      <c r="A10940" t="str">
        <f>IFERROR(__xludf.DUMMYFUNCTION("""COMPUTED_VALUE"""),"2016-06-25-J07-PI-7")</f>
        <v>2016-06-25-J07-PI-7</v>
      </c>
    </row>
    <row r="10941">
      <c r="A10941" t="str">
        <f>IFERROR(__xludf.DUMMYFUNCTION("""COMPUTED_VALUE"""),"2016-06-25-J07-PI-8")</f>
        <v>2016-06-25-J07-PI-8</v>
      </c>
    </row>
    <row r="10942">
      <c r="A10942" t="str">
        <f>IFERROR(__xludf.DUMMYFUNCTION("""COMPUTED_VALUE"""),"2016-06-25-J07-PI-9")</f>
        <v>2016-06-25-J07-PI-9</v>
      </c>
    </row>
    <row r="10943">
      <c r="A10943" t="str">
        <f>IFERROR(__xludf.DUMMYFUNCTION("""COMPUTED_VALUE"""),"2016-06-25-J07-PI-10")</f>
        <v>2016-06-25-J07-PI-10</v>
      </c>
    </row>
    <row r="10944">
      <c r="A10944" t="str">
        <f>IFERROR(__xludf.DUMMYFUNCTION("""COMPUTED_VALUE"""),"2016-06-25-J05-PI-1")</f>
        <v>2016-06-25-J05-PI-1</v>
      </c>
    </row>
    <row r="10945">
      <c r="A10945" t="str">
        <f>IFERROR(__xludf.DUMMYFUNCTION("""COMPUTED_VALUE"""),"2016-06-25-J05-PI-2")</f>
        <v>2016-06-25-J05-PI-2</v>
      </c>
    </row>
    <row r="10946">
      <c r="A10946" t="str">
        <f>IFERROR(__xludf.DUMMYFUNCTION("""COMPUTED_VALUE"""),"2016-06-25-J05-PI-3")</f>
        <v>2016-06-25-J05-PI-3</v>
      </c>
    </row>
    <row r="10947">
      <c r="A10947" t="str">
        <f>IFERROR(__xludf.DUMMYFUNCTION("""COMPUTED_VALUE"""),"2016-06-25-J05-PI-4")</f>
        <v>2016-06-25-J05-PI-4</v>
      </c>
    </row>
    <row r="10948">
      <c r="A10948" t="str">
        <f>IFERROR(__xludf.DUMMYFUNCTION("""COMPUTED_VALUE"""),"2016-06-25-J05-PI-5")</f>
        <v>2016-06-25-J05-PI-5</v>
      </c>
    </row>
    <row r="10949">
      <c r="A10949" t="str">
        <f>IFERROR(__xludf.DUMMYFUNCTION("""COMPUTED_VALUE"""),"2016-06-25-J05-PI-6")</f>
        <v>2016-06-25-J05-PI-6</v>
      </c>
    </row>
    <row r="10950">
      <c r="A10950" t="str">
        <f>IFERROR(__xludf.DUMMYFUNCTION("""COMPUTED_VALUE"""),"2016-06-25-J05-PI-7")</f>
        <v>2016-06-25-J05-PI-7</v>
      </c>
    </row>
    <row r="10951">
      <c r="A10951" t="str">
        <f>IFERROR(__xludf.DUMMYFUNCTION("""COMPUTED_VALUE"""),"2016-06-25-J05-PI-8")</f>
        <v>2016-06-25-J05-PI-8</v>
      </c>
    </row>
    <row r="10952">
      <c r="A10952" t="str">
        <f>IFERROR(__xludf.DUMMYFUNCTION("""COMPUTED_VALUE"""),"2016-06-25-J05-PI-9")</f>
        <v>2016-06-25-J05-PI-9</v>
      </c>
    </row>
    <row r="10953">
      <c r="A10953" t="str">
        <f>IFERROR(__xludf.DUMMYFUNCTION("""COMPUTED_VALUE"""),"2016-06-25-J05-PI-10")</f>
        <v>2016-06-25-J05-PI-10</v>
      </c>
    </row>
    <row r="10954">
      <c r="A10954" t="str">
        <f>IFERROR(__xludf.DUMMYFUNCTION("""COMPUTED_VALUE"""),"2016-06-25-J06-CU-1")</f>
        <v>2016-06-25-J06-CU-1</v>
      </c>
    </row>
    <row r="10955">
      <c r="A10955" t="str">
        <f>IFERROR(__xludf.DUMMYFUNCTION("""COMPUTED_VALUE"""),"2016-06-25-J06-CU-2")</f>
        <v>2016-06-25-J06-CU-2</v>
      </c>
    </row>
    <row r="10956">
      <c r="A10956" t="str">
        <f>IFERROR(__xludf.DUMMYFUNCTION("""COMPUTED_VALUE"""),"2016-06-25-J06-CU-3")</f>
        <v>2016-06-25-J06-CU-3</v>
      </c>
    </row>
    <row r="10957">
      <c r="A10957" t="str">
        <f>IFERROR(__xludf.DUMMYFUNCTION("""COMPUTED_VALUE"""),"2016-06-25-J06-CU-4")</f>
        <v>2016-06-25-J06-CU-4</v>
      </c>
    </row>
    <row r="10958">
      <c r="A10958" t="str">
        <f>IFERROR(__xludf.DUMMYFUNCTION("""COMPUTED_VALUE"""),"2016-06-25-J06-CU-5")</f>
        <v>2016-06-25-J06-CU-5</v>
      </c>
    </row>
    <row r="10959">
      <c r="A10959" t="str">
        <f>IFERROR(__xludf.DUMMYFUNCTION("""COMPUTED_VALUE"""),"2016-06-25-J06-CU-6")</f>
        <v>2016-06-25-J06-CU-6</v>
      </c>
    </row>
    <row r="10960">
      <c r="A10960" t="str">
        <f>IFERROR(__xludf.DUMMYFUNCTION("""COMPUTED_VALUE"""),"2016-06-25-J06-CU-7")</f>
        <v>2016-06-25-J06-CU-7</v>
      </c>
    </row>
    <row r="10961">
      <c r="A10961" t="str">
        <f>IFERROR(__xludf.DUMMYFUNCTION("""COMPUTED_VALUE"""),"2016-06-25-J06-CU-8")</f>
        <v>2016-06-25-J06-CU-8</v>
      </c>
    </row>
    <row r="10962">
      <c r="A10962" t="str">
        <f>IFERROR(__xludf.DUMMYFUNCTION("""COMPUTED_VALUE"""),"2016-06-25-J06-CU-9")</f>
        <v>2016-06-25-J06-CU-9</v>
      </c>
    </row>
    <row r="10963">
      <c r="A10963" t="str">
        <f>IFERROR(__xludf.DUMMYFUNCTION("""COMPUTED_VALUE"""),"2016-06-25-J06-CU-10")</f>
        <v>2016-06-25-J06-CU-10</v>
      </c>
    </row>
    <row r="10964">
      <c r="A10964" t="str">
        <f>IFERROR(__xludf.DUMMYFUNCTION("""COMPUTED_VALUE"""),"2016-06-25-J07-CU-1")</f>
        <v>2016-06-25-J07-CU-1</v>
      </c>
    </row>
    <row r="10965">
      <c r="A10965" t="str">
        <f>IFERROR(__xludf.DUMMYFUNCTION("""COMPUTED_VALUE"""),"2016-06-25-J07-CU-2")</f>
        <v>2016-06-25-J07-CU-2</v>
      </c>
    </row>
    <row r="10966">
      <c r="A10966" t="str">
        <f>IFERROR(__xludf.DUMMYFUNCTION("""COMPUTED_VALUE"""),"2016-06-25-J07-CU-3")</f>
        <v>2016-06-25-J07-CU-3</v>
      </c>
    </row>
    <row r="10967">
      <c r="A10967" t="str">
        <f>IFERROR(__xludf.DUMMYFUNCTION("""COMPUTED_VALUE"""),"2016-06-25-J07-CU-4")</f>
        <v>2016-06-25-J07-CU-4</v>
      </c>
    </row>
    <row r="10968">
      <c r="A10968" t="str">
        <f>IFERROR(__xludf.DUMMYFUNCTION("""COMPUTED_VALUE"""),"2016-06-25-J07-CU-5")</f>
        <v>2016-06-25-J07-CU-5</v>
      </c>
    </row>
    <row r="10969">
      <c r="A10969" t="str">
        <f>IFERROR(__xludf.DUMMYFUNCTION("""COMPUTED_VALUE"""),"2016-06-25-J07-CU-6")</f>
        <v>2016-06-25-J07-CU-6</v>
      </c>
    </row>
    <row r="10970">
      <c r="A10970" t="str">
        <f>IFERROR(__xludf.DUMMYFUNCTION("""COMPUTED_VALUE"""),"2016-06-25-J07-CU-7")</f>
        <v>2016-06-25-J07-CU-7</v>
      </c>
    </row>
    <row r="10971">
      <c r="A10971" t="str">
        <f>IFERROR(__xludf.DUMMYFUNCTION("""COMPUTED_VALUE"""),"2016-06-25-J07-CU-8")</f>
        <v>2016-06-25-J07-CU-8</v>
      </c>
    </row>
    <row r="10972">
      <c r="A10972" t="str">
        <f>IFERROR(__xludf.DUMMYFUNCTION("""COMPUTED_VALUE"""),"2016-06-25-J07-CU-9")</f>
        <v>2016-06-25-J07-CU-9</v>
      </c>
    </row>
    <row r="10973">
      <c r="A10973" t="str">
        <f>IFERROR(__xludf.DUMMYFUNCTION("""COMPUTED_VALUE"""),"2016-06-25-J07-CU-10")</f>
        <v>2016-06-25-J07-CU-10</v>
      </c>
    </row>
    <row r="10974">
      <c r="A10974" t="str">
        <f>IFERROR(__xludf.DUMMYFUNCTION("""COMPUTED_VALUE"""),"2016-06-25-J05-CU-1")</f>
        <v>2016-06-25-J05-CU-1</v>
      </c>
    </row>
    <row r="10975">
      <c r="A10975" t="str">
        <f>IFERROR(__xludf.DUMMYFUNCTION("""COMPUTED_VALUE"""),"2016-06-25-J05-CU-2")</f>
        <v>2016-06-25-J05-CU-2</v>
      </c>
    </row>
    <row r="10976">
      <c r="A10976" t="str">
        <f>IFERROR(__xludf.DUMMYFUNCTION("""COMPUTED_VALUE"""),"2016-06-25-J05-CU-3")</f>
        <v>2016-06-25-J05-CU-3</v>
      </c>
    </row>
    <row r="10977">
      <c r="A10977" t="str">
        <f>IFERROR(__xludf.DUMMYFUNCTION("""COMPUTED_VALUE"""),"2016-06-25-J05-CU-4")</f>
        <v>2016-06-25-J05-CU-4</v>
      </c>
    </row>
    <row r="10978">
      <c r="A10978" t="str">
        <f>IFERROR(__xludf.DUMMYFUNCTION("""COMPUTED_VALUE"""),"2016-06-25-J05-CU-5")</f>
        <v>2016-06-25-J05-CU-5</v>
      </c>
    </row>
    <row r="10979">
      <c r="A10979" t="str">
        <f>IFERROR(__xludf.DUMMYFUNCTION("""COMPUTED_VALUE"""),"2016-06-25-J05-CU-6")</f>
        <v>2016-06-25-J05-CU-6</v>
      </c>
    </row>
    <row r="10980">
      <c r="A10980" t="str">
        <f>IFERROR(__xludf.DUMMYFUNCTION("""COMPUTED_VALUE"""),"2016-06-25-J05-CU-7")</f>
        <v>2016-06-25-J05-CU-7</v>
      </c>
    </row>
    <row r="10981">
      <c r="A10981" t="str">
        <f>IFERROR(__xludf.DUMMYFUNCTION("""COMPUTED_VALUE"""),"2016-06-25-J05-CU-8")</f>
        <v>2016-06-25-J05-CU-8</v>
      </c>
    </row>
    <row r="10982">
      <c r="A10982" t="str">
        <f>IFERROR(__xludf.DUMMYFUNCTION("""COMPUTED_VALUE"""),"2016-06-25-J05-CU-9")</f>
        <v>2016-06-25-J05-CU-9</v>
      </c>
    </row>
    <row r="10983">
      <c r="A10983" t="str">
        <f>IFERROR(__xludf.DUMMYFUNCTION("""COMPUTED_VALUE"""),"2016-06-25-J05-CU-10")</f>
        <v>2016-06-25-J05-CU-10</v>
      </c>
    </row>
    <row r="10984">
      <c r="A10984" t="str">
        <f>IFERROR(__xludf.DUMMYFUNCTION("""COMPUTED_VALUE"""),"2016-06-25-J06-CO-1")</f>
        <v>2016-06-25-J06-CO-1</v>
      </c>
    </row>
    <row r="10985">
      <c r="A10985" t="str">
        <f>IFERROR(__xludf.DUMMYFUNCTION("""COMPUTED_VALUE"""),"2016-06-25-J06-HE-1")</f>
        <v>2016-06-25-J06-HE-1</v>
      </c>
    </row>
    <row r="10986">
      <c r="A10986" t="str">
        <f>IFERROR(__xludf.DUMMYFUNCTION("""COMPUTED_VALUE"""),"2016-06-30-D21-SO-1")</f>
        <v>2016-06-30-D21-SO-1</v>
      </c>
    </row>
    <row r="10987">
      <c r="A10987" t="str">
        <f>IFERROR(__xludf.DUMMYFUNCTION("""COMPUTED_VALUE"""),"2016-06-30-D21-SO-2")</f>
        <v>2016-06-30-D21-SO-2</v>
      </c>
    </row>
    <row r="10988">
      <c r="A10988" t="str">
        <f>IFERROR(__xludf.DUMMYFUNCTION("""COMPUTED_VALUE"""),"2016-06-30-D21-SO-3")</f>
        <v>2016-06-30-D21-SO-3</v>
      </c>
    </row>
    <row r="10989">
      <c r="A10989" t="str">
        <f>IFERROR(__xludf.DUMMYFUNCTION("""COMPUTED_VALUE"""),"2016-06-30-D21-SO-4")</f>
        <v>2016-06-30-D21-SO-4</v>
      </c>
    </row>
    <row r="10990">
      <c r="A10990" t="str">
        <f>IFERROR(__xludf.DUMMYFUNCTION("""COMPUTED_VALUE"""),"2016-06-30-D21-SO-5")</f>
        <v>2016-06-30-D21-SO-5</v>
      </c>
    </row>
    <row r="10991">
      <c r="A10991" t="str">
        <f>IFERROR(__xludf.DUMMYFUNCTION("""COMPUTED_VALUE"""),"2016-06-30-D21-SO-6")</f>
        <v>2016-06-30-D21-SO-6</v>
      </c>
    </row>
    <row r="10992">
      <c r="A10992" t="str">
        <f>IFERROR(__xludf.DUMMYFUNCTION("""COMPUTED_VALUE"""),"2016-06-30-D11-SO-1")</f>
        <v>2016-06-30-D11-SO-1</v>
      </c>
    </row>
    <row r="10993">
      <c r="A10993" t="str">
        <f>IFERROR(__xludf.DUMMYFUNCTION("""COMPUTED_VALUE"""),"2016-06-30-D11-SO-2")</f>
        <v>2016-06-30-D11-SO-2</v>
      </c>
    </row>
    <row r="10994">
      <c r="A10994" t="str">
        <f>IFERROR(__xludf.DUMMYFUNCTION("""COMPUTED_VALUE"""),"2016-06-30-D11-SO-3")</f>
        <v>2016-06-30-D11-SO-3</v>
      </c>
    </row>
    <row r="10995">
      <c r="A10995" t="str">
        <f>IFERROR(__xludf.DUMMYFUNCTION("""COMPUTED_VALUE"""),"2016-06-30-D11-SO-4")</f>
        <v>2016-06-30-D11-SO-4</v>
      </c>
    </row>
    <row r="10996">
      <c r="A10996" t="str">
        <f>IFERROR(__xludf.DUMMYFUNCTION("""COMPUTED_VALUE"""),"2016-06-30-D11-SO-5")</f>
        <v>2016-06-30-D11-SO-5</v>
      </c>
    </row>
    <row r="10997">
      <c r="A10997" t="str">
        <f>IFERROR(__xludf.DUMMYFUNCTION("""COMPUTED_VALUE"""),"2016-06-30-D11-SO-6")</f>
        <v>2016-06-30-D11-SO-6</v>
      </c>
    </row>
    <row r="10998">
      <c r="A10998" t="str">
        <f>IFERROR(__xludf.DUMMYFUNCTION("""COMPUTED_VALUE"""),"2016-06-30-D11-SO-7")</f>
        <v>2016-06-30-D11-SO-7</v>
      </c>
    </row>
    <row r="10999">
      <c r="A10999" t="str">
        <f>IFERROR(__xludf.DUMMYFUNCTION("""COMPUTED_VALUE"""),"2016-06-30-D11-SO-8")</f>
        <v>2016-06-30-D11-SO-8</v>
      </c>
    </row>
    <row r="11000">
      <c r="A11000" t="str">
        <f>IFERROR(__xludf.DUMMYFUNCTION("""COMPUTED_VALUE"""),"2016-06-30-D11-SO-9")</f>
        <v>2016-06-30-D11-SO-9</v>
      </c>
    </row>
    <row r="11001">
      <c r="A11001" t="str">
        <f>IFERROR(__xludf.DUMMYFUNCTION("""COMPUTED_VALUE"""),"2016-06-30-D11-SO-10")</f>
        <v>2016-06-30-D11-SO-10</v>
      </c>
    </row>
    <row r="11002">
      <c r="A11002" t="str">
        <f>IFERROR(__xludf.DUMMYFUNCTION("""COMPUTED_VALUE"""),"2016-06-30-D11-SO-11")</f>
        <v>2016-06-30-D11-SO-11</v>
      </c>
    </row>
    <row r="11003">
      <c r="A11003" t="str">
        <f>IFERROR(__xludf.DUMMYFUNCTION("""COMPUTED_VALUE"""),"2016-06-30-D11-SO-12")</f>
        <v>2016-06-30-D11-SO-12</v>
      </c>
    </row>
    <row r="11004">
      <c r="A11004" t="str">
        <f>IFERROR(__xludf.DUMMYFUNCTION("""COMPUTED_VALUE"""),"2016-06-30-D11-SO-13")</f>
        <v>2016-06-30-D11-SO-13</v>
      </c>
    </row>
    <row r="11005">
      <c r="A11005" t="str">
        <f>IFERROR(__xludf.DUMMYFUNCTION("""COMPUTED_VALUE"""),"2016-06-30-D11-SO-14")</f>
        <v>2016-06-30-D11-SO-14</v>
      </c>
    </row>
    <row r="11006">
      <c r="A11006" t="str">
        <f>IFERROR(__xludf.DUMMYFUNCTION("""COMPUTED_VALUE"""),"2016-06-30-D11-SO-15")</f>
        <v>2016-06-30-D11-SO-15</v>
      </c>
    </row>
    <row r="11007">
      <c r="A11007" t="str">
        <f>IFERROR(__xludf.DUMMYFUNCTION("""COMPUTED_VALUE"""),"2016-06-30-D11-SO-16")</f>
        <v>2016-06-30-D11-SO-16</v>
      </c>
    </row>
    <row r="11008">
      <c r="A11008" t="str">
        <f>IFERROR(__xludf.DUMMYFUNCTION("""COMPUTED_VALUE"""),"2016-06-30-D11-SO-17")</f>
        <v>2016-06-30-D11-SO-17</v>
      </c>
    </row>
    <row r="11009">
      <c r="A11009" t="str">
        <f>IFERROR(__xludf.DUMMYFUNCTION("""COMPUTED_VALUE"""),"2016-06-30-D11-SO-18")</f>
        <v>2016-06-30-D11-SO-18</v>
      </c>
    </row>
    <row r="11010">
      <c r="A11010" t="str">
        <f>IFERROR(__xludf.DUMMYFUNCTION("""COMPUTED_VALUE"""),"2016-06-30-D11-SO-19")</f>
        <v>2016-06-30-D11-SO-19</v>
      </c>
    </row>
    <row r="11011">
      <c r="A11011" t="str">
        <f>IFERROR(__xludf.DUMMYFUNCTION("""COMPUTED_VALUE"""),"2016-06-30-D11-SO-20")</f>
        <v>2016-06-30-D11-SO-20</v>
      </c>
    </row>
    <row r="11012">
      <c r="A11012" t="str">
        <f>IFERROR(__xludf.DUMMYFUNCTION("""COMPUTED_VALUE"""),"2016-06-30-D11-SO-21")</f>
        <v>2016-06-30-D11-SO-21</v>
      </c>
    </row>
    <row r="11013">
      <c r="A11013" t="str">
        <f>IFERROR(__xludf.DUMMYFUNCTION("""COMPUTED_VALUE"""),"2016-06-30-D11-SO-22")</f>
        <v>2016-06-30-D11-SO-22</v>
      </c>
    </row>
    <row r="11014">
      <c r="A11014" t="str">
        <f>IFERROR(__xludf.DUMMYFUNCTION("""COMPUTED_VALUE"""),"2016-06-30-D20-SO-1")</f>
        <v>2016-06-30-D20-SO-1</v>
      </c>
    </row>
    <row r="11015">
      <c r="A11015" t="str">
        <f>IFERROR(__xludf.DUMMYFUNCTION("""COMPUTED_VALUE"""),"2016-06-30-D20-SO-2")</f>
        <v>2016-06-30-D20-SO-2</v>
      </c>
    </row>
    <row r="11016">
      <c r="A11016" t="str">
        <f>IFERROR(__xludf.DUMMYFUNCTION("""COMPUTED_VALUE"""),"2016-06-30-D20-SO-3")</f>
        <v>2016-06-30-D20-SO-3</v>
      </c>
    </row>
    <row r="11017">
      <c r="A11017" t="str">
        <f>IFERROR(__xludf.DUMMYFUNCTION("""COMPUTED_VALUE"""),"2016-06-30-D20-SO-4")</f>
        <v>2016-06-30-D20-SO-4</v>
      </c>
    </row>
    <row r="11018">
      <c r="A11018" t="str">
        <f>IFERROR(__xludf.DUMMYFUNCTION("""COMPUTED_VALUE"""),"2016-06-30-D20-SO-5")</f>
        <v>2016-06-30-D20-SO-5</v>
      </c>
    </row>
    <row r="11019">
      <c r="A11019" t="str">
        <f>IFERROR(__xludf.DUMMYFUNCTION("""COMPUTED_VALUE"""),"2016-06-30-D20-SO-6")</f>
        <v>2016-06-30-D20-SO-6</v>
      </c>
    </row>
    <row r="11020">
      <c r="A11020" t="str">
        <f>IFERROR(__xludf.DUMMYFUNCTION("""COMPUTED_VALUE"""),"2016-06-30-D21-PI-1")</f>
        <v>2016-06-30-D21-PI-1</v>
      </c>
    </row>
    <row r="11021">
      <c r="A11021" t="str">
        <f>IFERROR(__xludf.DUMMYFUNCTION("""COMPUTED_VALUE"""),"2016-06-30-D21-PI-2")</f>
        <v>2016-06-30-D21-PI-2</v>
      </c>
    </row>
    <row r="11022">
      <c r="A11022" t="str">
        <f>IFERROR(__xludf.DUMMYFUNCTION("""COMPUTED_VALUE"""),"2016-06-30-D21-PI-3")</f>
        <v>2016-06-30-D21-PI-3</v>
      </c>
    </row>
    <row r="11023">
      <c r="A11023" t="str">
        <f>IFERROR(__xludf.DUMMYFUNCTION("""COMPUTED_VALUE"""),"2016-06-30-D21-PI-4")</f>
        <v>2016-06-30-D21-PI-4</v>
      </c>
    </row>
    <row r="11024">
      <c r="A11024" t="str">
        <f>IFERROR(__xludf.DUMMYFUNCTION("""COMPUTED_VALUE"""),"2016-06-30-D21-PI-5")</f>
        <v>2016-06-30-D21-PI-5</v>
      </c>
    </row>
    <row r="11025">
      <c r="A11025" t="str">
        <f>IFERROR(__xludf.DUMMYFUNCTION("""COMPUTED_VALUE"""),"2016-06-30-D21-PI-6")</f>
        <v>2016-06-30-D21-PI-6</v>
      </c>
    </row>
    <row r="11026">
      <c r="A11026" t="str">
        <f>IFERROR(__xludf.DUMMYFUNCTION("""COMPUTED_VALUE"""),"2016-06-30-D21-PI-7")</f>
        <v>2016-06-30-D21-PI-7</v>
      </c>
    </row>
    <row r="11027">
      <c r="A11027" t="str">
        <f>IFERROR(__xludf.DUMMYFUNCTION("""COMPUTED_VALUE"""),"2016-06-30-D21-PI-8")</f>
        <v>2016-06-30-D21-PI-8</v>
      </c>
    </row>
    <row r="11028">
      <c r="A11028" t="str">
        <f>IFERROR(__xludf.DUMMYFUNCTION("""COMPUTED_VALUE"""),"2016-06-30-D21-PI-9")</f>
        <v>2016-06-30-D21-PI-9</v>
      </c>
    </row>
    <row r="11029">
      <c r="A11029" t="str">
        <f>IFERROR(__xludf.DUMMYFUNCTION("""COMPUTED_VALUE"""),"2016-06-30-D21-PI-10")</f>
        <v>2016-06-30-D21-PI-10</v>
      </c>
    </row>
    <row r="11030">
      <c r="A11030" t="str">
        <f>IFERROR(__xludf.DUMMYFUNCTION("""COMPUTED_VALUE"""),"2016-06-30-D11-PI-1")</f>
        <v>2016-06-30-D11-PI-1</v>
      </c>
    </row>
    <row r="11031">
      <c r="A11031" t="str">
        <f>IFERROR(__xludf.DUMMYFUNCTION("""COMPUTED_VALUE"""),"2016-06-30-D11-PI-2")</f>
        <v>2016-06-30-D11-PI-2</v>
      </c>
    </row>
    <row r="11032">
      <c r="A11032" t="str">
        <f>IFERROR(__xludf.DUMMYFUNCTION("""COMPUTED_VALUE"""),"2016-06-30-D11-PI-3")</f>
        <v>2016-06-30-D11-PI-3</v>
      </c>
    </row>
    <row r="11033">
      <c r="A11033" t="str">
        <f>IFERROR(__xludf.DUMMYFUNCTION("""COMPUTED_VALUE"""),"2016-06-30-D11-PI-4")</f>
        <v>2016-06-30-D11-PI-4</v>
      </c>
    </row>
    <row r="11034">
      <c r="A11034" t="str">
        <f>IFERROR(__xludf.DUMMYFUNCTION("""COMPUTED_VALUE"""),"2016-06-30-D11-PI-5")</f>
        <v>2016-06-30-D11-PI-5</v>
      </c>
    </row>
    <row r="11035">
      <c r="A11035" t="str">
        <f>IFERROR(__xludf.DUMMYFUNCTION("""COMPUTED_VALUE"""),"2016-06-30-D11-PI-6")</f>
        <v>2016-06-30-D11-PI-6</v>
      </c>
    </row>
    <row r="11036">
      <c r="A11036" t="str">
        <f>IFERROR(__xludf.DUMMYFUNCTION("""COMPUTED_VALUE"""),"2016-06-30-D11-PI-7")</f>
        <v>2016-06-30-D11-PI-7</v>
      </c>
    </row>
    <row r="11037">
      <c r="A11037" t="str">
        <f>IFERROR(__xludf.DUMMYFUNCTION("""COMPUTED_VALUE"""),"2016-06-30-D11-PI-8")</f>
        <v>2016-06-30-D11-PI-8</v>
      </c>
    </row>
    <row r="11038">
      <c r="A11038" t="str">
        <f>IFERROR(__xludf.DUMMYFUNCTION("""COMPUTED_VALUE"""),"2016-06-30-D11-PI-9")</f>
        <v>2016-06-30-D11-PI-9</v>
      </c>
    </row>
    <row r="11039">
      <c r="A11039" t="str">
        <f>IFERROR(__xludf.DUMMYFUNCTION("""COMPUTED_VALUE"""),"2016-06-30-D11-PI-10")</f>
        <v>2016-06-30-D11-PI-10</v>
      </c>
    </row>
    <row r="11040">
      <c r="A11040" t="str">
        <f>IFERROR(__xludf.DUMMYFUNCTION("""COMPUTED_VALUE"""),"2016-06-30-D20-PI-1")</f>
        <v>2016-06-30-D20-PI-1</v>
      </c>
    </row>
    <row r="11041">
      <c r="A11041" t="str">
        <f>IFERROR(__xludf.DUMMYFUNCTION("""COMPUTED_VALUE"""),"2016-06-30-D20-PI-2")</f>
        <v>2016-06-30-D20-PI-2</v>
      </c>
    </row>
    <row r="11042">
      <c r="A11042" t="str">
        <f>IFERROR(__xludf.DUMMYFUNCTION("""COMPUTED_VALUE"""),"2016-06-30-D20-PI-3")</f>
        <v>2016-06-30-D20-PI-3</v>
      </c>
    </row>
    <row r="11043">
      <c r="A11043" t="str">
        <f>IFERROR(__xludf.DUMMYFUNCTION("""COMPUTED_VALUE"""),"2016-06-30-D20-PI-4")</f>
        <v>2016-06-30-D20-PI-4</v>
      </c>
    </row>
    <row r="11044">
      <c r="A11044" t="str">
        <f>IFERROR(__xludf.DUMMYFUNCTION("""COMPUTED_VALUE"""),"2016-06-30-D20-PI-5")</f>
        <v>2016-06-30-D20-PI-5</v>
      </c>
    </row>
    <row r="11045">
      <c r="A11045" t="str">
        <f>IFERROR(__xludf.DUMMYFUNCTION("""COMPUTED_VALUE"""),"2016-06-30-D20-PI-6")</f>
        <v>2016-06-30-D20-PI-6</v>
      </c>
    </row>
    <row r="11046">
      <c r="A11046" t="str">
        <f>IFERROR(__xludf.DUMMYFUNCTION("""COMPUTED_VALUE"""),"2016-06-30-D20-PI-7")</f>
        <v>2016-06-30-D20-PI-7</v>
      </c>
    </row>
    <row r="11047">
      <c r="A11047" t="str">
        <f>IFERROR(__xludf.DUMMYFUNCTION("""COMPUTED_VALUE"""),"2016-06-30-D20-PI-8")</f>
        <v>2016-06-30-D20-PI-8</v>
      </c>
    </row>
    <row r="11048">
      <c r="A11048" t="str">
        <f>IFERROR(__xludf.DUMMYFUNCTION("""COMPUTED_VALUE"""),"2016-06-30-D20-PI-9")</f>
        <v>2016-06-30-D20-PI-9</v>
      </c>
    </row>
    <row r="11049">
      <c r="A11049" t="str">
        <f>IFERROR(__xludf.DUMMYFUNCTION("""COMPUTED_VALUE"""),"2016-06-30-D20-PI-10")</f>
        <v>2016-06-30-D20-PI-10</v>
      </c>
    </row>
    <row r="11050">
      <c r="A11050" t="str">
        <f>IFERROR(__xludf.DUMMYFUNCTION("""COMPUTED_VALUE"""),"2016-06-30-D21-CU-1")</f>
        <v>2016-06-30-D21-CU-1</v>
      </c>
    </row>
    <row r="11051">
      <c r="A11051" t="str">
        <f>IFERROR(__xludf.DUMMYFUNCTION("""COMPUTED_VALUE"""),"2016-06-30-D21-CU-2")</f>
        <v>2016-06-30-D21-CU-2</v>
      </c>
    </row>
    <row r="11052">
      <c r="A11052" t="str">
        <f>IFERROR(__xludf.DUMMYFUNCTION("""COMPUTED_VALUE"""),"2016-06-30-D21-CU-3")</f>
        <v>2016-06-30-D21-CU-3</v>
      </c>
    </row>
    <row r="11053">
      <c r="A11053" t="str">
        <f>IFERROR(__xludf.DUMMYFUNCTION("""COMPUTED_VALUE"""),"2016-06-30-D21-CU-4")</f>
        <v>2016-06-30-D21-CU-4</v>
      </c>
    </row>
    <row r="11054">
      <c r="A11054" t="str">
        <f>IFERROR(__xludf.DUMMYFUNCTION("""COMPUTED_VALUE"""),"2016-06-30-D21-CU-5")</f>
        <v>2016-06-30-D21-CU-5</v>
      </c>
    </row>
    <row r="11055">
      <c r="A11055" t="str">
        <f>IFERROR(__xludf.DUMMYFUNCTION("""COMPUTED_VALUE"""),"2016-06-30-D21-CU-6")</f>
        <v>2016-06-30-D21-CU-6</v>
      </c>
    </row>
    <row r="11056">
      <c r="A11056" t="str">
        <f>IFERROR(__xludf.DUMMYFUNCTION("""COMPUTED_VALUE"""),"2016-06-30-D21-CU-7")</f>
        <v>2016-06-30-D21-CU-7</v>
      </c>
    </row>
    <row r="11057">
      <c r="A11057" t="str">
        <f>IFERROR(__xludf.DUMMYFUNCTION("""COMPUTED_VALUE"""),"2016-06-30-D21-CU-8")</f>
        <v>2016-06-30-D21-CU-8</v>
      </c>
    </row>
    <row r="11058">
      <c r="A11058" t="str">
        <f>IFERROR(__xludf.DUMMYFUNCTION("""COMPUTED_VALUE"""),"2016-06-30-D21-CU-9")</f>
        <v>2016-06-30-D21-CU-9</v>
      </c>
    </row>
    <row r="11059">
      <c r="A11059" t="str">
        <f>IFERROR(__xludf.DUMMYFUNCTION("""COMPUTED_VALUE"""),"2016-06-30-D21-CU-10")</f>
        <v>2016-06-30-D21-CU-10</v>
      </c>
    </row>
    <row r="11060">
      <c r="A11060" t="str">
        <f>IFERROR(__xludf.DUMMYFUNCTION("""COMPUTED_VALUE"""),"2016-06-30-D11-CU-1")</f>
        <v>2016-06-30-D11-CU-1</v>
      </c>
    </row>
    <row r="11061">
      <c r="A11061" t="str">
        <f>IFERROR(__xludf.DUMMYFUNCTION("""COMPUTED_VALUE"""),"2016-06-30-D11-CU-2")</f>
        <v>2016-06-30-D11-CU-2</v>
      </c>
    </row>
    <row r="11062">
      <c r="A11062" t="str">
        <f>IFERROR(__xludf.DUMMYFUNCTION("""COMPUTED_VALUE"""),"2016-06-30-D11-CU-3")</f>
        <v>2016-06-30-D11-CU-3</v>
      </c>
    </row>
    <row r="11063">
      <c r="A11063" t="str">
        <f>IFERROR(__xludf.DUMMYFUNCTION("""COMPUTED_VALUE"""),"2016-06-30-D11-CU-4")</f>
        <v>2016-06-30-D11-CU-4</v>
      </c>
    </row>
    <row r="11064">
      <c r="A11064" t="str">
        <f>IFERROR(__xludf.DUMMYFUNCTION("""COMPUTED_VALUE"""),"2016-06-30-D11-CU-5")</f>
        <v>2016-06-30-D11-CU-5</v>
      </c>
    </row>
    <row r="11065">
      <c r="A11065" t="str">
        <f>IFERROR(__xludf.DUMMYFUNCTION("""COMPUTED_VALUE"""),"2016-06-30-D11-CU-6")</f>
        <v>2016-06-30-D11-CU-6</v>
      </c>
    </row>
    <row r="11066">
      <c r="A11066" t="str">
        <f>IFERROR(__xludf.DUMMYFUNCTION("""COMPUTED_VALUE"""),"2016-06-30-D11-CU-7")</f>
        <v>2016-06-30-D11-CU-7</v>
      </c>
    </row>
    <row r="11067">
      <c r="A11067" t="str">
        <f>IFERROR(__xludf.DUMMYFUNCTION("""COMPUTED_VALUE"""),"2016-06-30-D11-CU-8")</f>
        <v>2016-06-30-D11-CU-8</v>
      </c>
    </row>
    <row r="11068">
      <c r="A11068" t="str">
        <f>IFERROR(__xludf.DUMMYFUNCTION("""COMPUTED_VALUE"""),"2016-06-30-D11-CU-9")</f>
        <v>2016-06-30-D11-CU-9</v>
      </c>
    </row>
    <row r="11069">
      <c r="A11069" t="str">
        <f>IFERROR(__xludf.DUMMYFUNCTION("""COMPUTED_VALUE"""),"2016-06-30-D11-CU-10")</f>
        <v>2016-06-30-D11-CU-10</v>
      </c>
    </row>
    <row r="11070">
      <c r="A11070" t="str">
        <f>IFERROR(__xludf.DUMMYFUNCTION("""COMPUTED_VALUE"""),"2016-06-30-D20-CU-1")</f>
        <v>2016-06-30-D20-CU-1</v>
      </c>
    </row>
    <row r="11071">
      <c r="A11071" t="str">
        <f>IFERROR(__xludf.DUMMYFUNCTION("""COMPUTED_VALUE"""),"2016-06-30-D20-CU-2")</f>
        <v>2016-06-30-D20-CU-2</v>
      </c>
    </row>
    <row r="11072">
      <c r="A11072" t="str">
        <f>IFERROR(__xludf.DUMMYFUNCTION("""COMPUTED_VALUE"""),"2016-06-30-D20-CU-3")</f>
        <v>2016-06-30-D20-CU-3</v>
      </c>
    </row>
    <row r="11073">
      <c r="A11073" t="str">
        <f>IFERROR(__xludf.DUMMYFUNCTION("""COMPUTED_VALUE"""),"2016-06-30-D20-CU-4")</f>
        <v>2016-06-30-D20-CU-4</v>
      </c>
    </row>
    <row r="11074">
      <c r="A11074" t="str">
        <f>IFERROR(__xludf.DUMMYFUNCTION("""COMPUTED_VALUE"""),"2016-06-30-D20-CU-5")</f>
        <v>2016-06-30-D20-CU-5</v>
      </c>
    </row>
    <row r="11075">
      <c r="A11075" t="str">
        <f>IFERROR(__xludf.DUMMYFUNCTION("""COMPUTED_VALUE"""),"2016-06-30-D20-CU-6")</f>
        <v>2016-06-30-D20-CU-6</v>
      </c>
    </row>
    <row r="11076">
      <c r="A11076" t="str">
        <f>IFERROR(__xludf.DUMMYFUNCTION("""COMPUTED_VALUE"""),"2016-06-30-D20-CU-7")</f>
        <v>2016-06-30-D20-CU-7</v>
      </c>
    </row>
    <row r="11077">
      <c r="A11077" t="str">
        <f>IFERROR(__xludf.DUMMYFUNCTION("""COMPUTED_VALUE"""),"2016-06-30-D20-CU-8")</f>
        <v>2016-06-30-D20-CU-8</v>
      </c>
    </row>
    <row r="11078">
      <c r="A11078" t="str">
        <f>IFERROR(__xludf.DUMMYFUNCTION("""COMPUTED_VALUE"""),"2016-06-30-D20-CU-9")</f>
        <v>2016-06-30-D20-CU-9</v>
      </c>
    </row>
    <row r="11079">
      <c r="A11079" t="str">
        <f>IFERROR(__xludf.DUMMYFUNCTION("""COMPUTED_VALUE"""),"2016-06-30-D20-CU-10")</f>
        <v>2016-06-30-D20-CU-10</v>
      </c>
    </row>
    <row r="11080">
      <c r="A11080" t="str">
        <f>IFERROR(__xludf.DUMMYFUNCTION("""COMPUTED_VALUE"""),"2016-06-30-D21-HE-1")</f>
        <v>2016-06-30-D21-HE-1</v>
      </c>
    </row>
    <row r="11081">
      <c r="A11081" t="str">
        <f>IFERROR(__xludf.DUMMYFUNCTION("""COMPUTED_VALUE"""),"2016-06-30-D21-HE-2")</f>
        <v>2016-06-30-D21-HE-2</v>
      </c>
    </row>
    <row r="11082">
      <c r="A11082" t="str">
        <f>IFERROR(__xludf.DUMMYFUNCTION("""COMPUTED_VALUE"""),"2016-07-04-J09-SO-1")</f>
        <v>2016-07-04-J09-SO-1</v>
      </c>
    </row>
    <row r="11083">
      <c r="A11083" t="str">
        <f>IFERROR(__xludf.DUMMYFUNCTION("""COMPUTED_VALUE"""),"2016-07-04-J09-SO-2")</f>
        <v>2016-07-04-J09-SO-2</v>
      </c>
    </row>
    <row r="11084">
      <c r="A11084" t="str">
        <f>IFERROR(__xludf.DUMMYFUNCTION("""COMPUTED_VALUE"""),"2016-07-04-J09-SO-3")</f>
        <v>2016-07-04-J09-SO-3</v>
      </c>
    </row>
    <row r="11085">
      <c r="A11085" t="str">
        <f>IFERROR(__xludf.DUMMYFUNCTION("""COMPUTED_VALUE"""),"2016-07-04-J09-SO-4")</f>
        <v>2016-07-04-J09-SO-4</v>
      </c>
    </row>
    <row r="11086">
      <c r="A11086" t="str">
        <f>IFERROR(__xludf.DUMMYFUNCTION("""COMPUTED_VALUE"""),"2016-07-04-J09-SO-5")</f>
        <v>2016-07-04-J09-SO-5</v>
      </c>
    </row>
    <row r="11087">
      <c r="A11087" t="str">
        <f>IFERROR(__xludf.DUMMYFUNCTION("""COMPUTED_VALUE"""),"2016-07-04-J09-SO-6")</f>
        <v>2016-07-04-J09-SO-6</v>
      </c>
    </row>
    <row r="11088">
      <c r="A11088" t="str">
        <f>IFERROR(__xludf.DUMMYFUNCTION("""COMPUTED_VALUE"""),"2016-07-04-J09-SO-7")</f>
        <v>2016-07-04-J09-SO-7</v>
      </c>
    </row>
    <row r="11089">
      <c r="A11089" t="str">
        <f>IFERROR(__xludf.DUMMYFUNCTION("""COMPUTED_VALUE"""),"2016-07-04-J09-SO-8")</f>
        <v>2016-07-04-J09-SO-8</v>
      </c>
    </row>
    <row r="11090">
      <c r="A11090" t="str">
        <f>IFERROR(__xludf.DUMMYFUNCTION("""COMPUTED_VALUE"""),"2016-07-04-J09-SO-9")</f>
        <v>2016-07-04-J09-SO-9</v>
      </c>
    </row>
    <row r="11091">
      <c r="A11091" t="str">
        <f>IFERROR(__xludf.DUMMYFUNCTION("""COMPUTED_VALUE"""),"2016-07-04-J09-SO-10")</f>
        <v>2016-07-04-J09-SO-10</v>
      </c>
    </row>
    <row r="11092">
      <c r="A11092" t="str">
        <f>IFERROR(__xludf.DUMMYFUNCTION("""COMPUTED_VALUE"""),"2016-07-04-J09-SO-11")</f>
        <v>2016-07-04-J09-SO-11</v>
      </c>
    </row>
    <row r="11093">
      <c r="A11093" t="str">
        <f>IFERROR(__xludf.DUMMYFUNCTION("""COMPUTED_VALUE"""),"2016-07-04-J09-SO-12")</f>
        <v>2016-07-04-J09-SO-12</v>
      </c>
    </row>
    <row r="11094">
      <c r="A11094" t="str">
        <f>IFERROR(__xludf.DUMMYFUNCTION("""COMPUTED_VALUE"""),"2016-07-04-J09-SO-13")</f>
        <v>2016-07-04-J09-SO-13</v>
      </c>
    </row>
    <row r="11095">
      <c r="A11095" t="str">
        <f>IFERROR(__xludf.DUMMYFUNCTION("""COMPUTED_VALUE"""),"2016-07-04-J09-SO-14")</f>
        <v>2016-07-04-J09-SO-14</v>
      </c>
    </row>
    <row r="11096">
      <c r="A11096" t="str">
        <f>IFERROR(__xludf.DUMMYFUNCTION("""COMPUTED_VALUE"""),"2016-07-04-J09-SO-15")</f>
        <v>2016-07-04-J09-SO-15</v>
      </c>
    </row>
    <row r="11097">
      <c r="A11097" t="str">
        <f>IFERROR(__xludf.DUMMYFUNCTION("""COMPUTED_VALUE"""),"2016-07-04-J09-PI-1")</f>
        <v>2016-07-04-J09-PI-1</v>
      </c>
    </row>
    <row r="11098">
      <c r="A11098" t="str">
        <f>IFERROR(__xludf.DUMMYFUNCTION("""COMPUTED_VALUE"""),"2016-07-04-J09-PI-2")</f>
        <v>2016-07-04-J09-PI-2</v>
      </c>
    </row>
    <row r="11099">
      <c r="A11099" t="str">
        <f>IFERROR(__xludf.DUMMYFUNCTION("""COMPUTED_VALUE"""),"2016-07-04-J09-PI-3")</f>
        <v>2016-07-04-J09-PI-3</v>
      </c>
    </row>
    <row r="11100">
      <c r="A11100" t="str">
        <f>IFERROR(__xludf.DUMMYFUNCTION("""COMPUTED_VALUE"""),"2016-07-04-J09-PI-4")</f>
        <v>2016-07-04-J09-PI-4</v>
      </c>
    </row>
    <row r="11101">
      <c r="A11101" t="str">
        <f>IFERROR(__xludf.DUMMYFUNCTION("""COMPUTED_VALUE"""),"2016-07-04-J09-PI-5")</f>
        <v>2016-07-04-J09-PI-5</v>
      </c>
    </row>
    <row r="11102">
      <c r="A11102" t="str">
        <f>IFERROR(__xludf.DUMMYFUNCTION("""COMPUTED_VALUE"""),"2016-07-04-J09-PI-6")</f>
        <v>2016-07-04-J09-PI-6</v>
      </c>
    </row>
    <row r="11103">
      <c r="A11103" t="str">
        <f>IFERROR(__xludf.DUMMYFUNCTION("""COMPUTED_VALUE"""),"2016-07-04-J09-PI-7")</f>
        <v>2016-07-04-J09-PI-7</v>
      </c>
    </row>
    <row r="11104">
      <c r="A11104" t="str">
        <f>IFERROR(__xludf.DUMMYFUNCTION("""COMPUTED_VALUE"""),"2016-07-04-J09-PI-8")</f>
        <v>2016-07-04-J09-PI-8</v>
      </c>
    </row>
    <row r="11105">
      <c r="A11105" t="str">
        <f>IFERROR(__xludf.DUMMYFUNCTION("""COMPUTED_VALUE"""),"2016-07-04-J09-PI-9")</f>
        <v>2016-07-04-J09-PI-9</v>
      </c>
    </row>
    <row r="11106">
      <c r="A11106" t="str">
        <f>IFERROR(__xludf.DUMMYFUNCTION("""COMPUTED_VALUE"""),"2016-07-04-J09-PI-10")</f>
        <v>2016-07-04-J09-PI-10</v>
      </c>
    </row>
    <row r="11107">
      <c r="A11107" t="str">
        <f>IFERROR(__xludf.DUMMYFUNCTION("""COMPUTED_VALUE"""),"2016-07-04-J09-CU-1")</f>
        <v>2016-07-04-J09-CU-1</v>
      </c>
    </row>
    <row r="11108">
      <c r="A11108" t="str">
        <f>IFERROR(__xludf.DUMMYFUNCTION("""COMPUTED_VALUE"""),"2016-07-04-J09-CU-2")</f>
        <v>2016-07-04-J09-CU-2</v>
      </c>
    </row>
    <row r="11109">
      <c r="A11109" t="str">
        <f>IFERROR(__xludf.DUMMYFUNCTION("""COMPUTED_VALUE"""),"2016-07-04-J09-CU-3")</f>
        <v>2016-07-04-J09-CU-3</v>
      </c>
    </row>
    <row r="11110">
      <c r="A11110" t="str">
        <f>IFERROR(__xludf.DUMMYFUNCTION("""COMPUTED_VALUE"""),"2016-07-04-J09-CU-4")</f>
        <v>2016-07-04-J09-CU-4</v>
      </c>
    </row>
    <row r="11111">
      <c r="A11111" t="str">
        <f>IFERROR(__xludf.DUMMYFUNCTION("""COMPUTED_VALUE"""),"2016-07-04-J09-CU-5")</f>
        <v>2016-07-04-J09-CU-5</v>
      </c>
    </row>
    <row r="11112">
      <c r="A11112" t="str">
        <f>IFERROR(__xludf.DUMMYFUNCTION("""COMPUTED_VALUE"""),"2016-07-04-J09-CU-6")</f>
        <v>2016-07-04-J09-CU-6</v>
      </c>
    </row>
    <row r="11113">
      <c r="A11113" t="str">
        <f>IFERROR(__xludf.DUMMYFUNCTION("""COMPUTED_VALUE"""),"2016-07-04-J09-CU-7")</f>
        <v>2016-07-04-J09-CU-7</v>
      </c>
    </row>
    <row r="11114">
      <c r="A11114" t="str">
        <f>IFERROR(__xludf.DUMMYFUNCTION("""COMPUTED_VALUE"""),"2016-07-04-J09-CU-8")</f>
        <v>2016-07-04-J09-CU-8</v>
      </c>
    </row>
    <row r="11115">
      <c r="A11115" t="str">
        <f>IFERROR(__xludf.DUMMYFUNCTION("""COMPUTED_VALUE"""),"2016-07-04-J09-CU-9")</f>
        <v>2016-07-04-J09-CU-9</v>
      </c>
    </row>
    <row r="11116">
      <c r="A11116" t="str">
        <f>IFERROR(__xludf.DUMMYFUNCTION("""COMPUTED_VALUE"""),"2016-07-04-J09-CU-10")</f>
        <v>2016-07-04-J09-CU-10</v>
      </c>
    </row>
    <row r="11117">
      <c r="A11117" t="str">
        <f>IFERROR(__xludf.DUMMYFUNCTION("""COMPUTED_VALUE"""),"2016-07-04-J09-CO-1")</f>
        <v>2016-07-04-J09-CO-1</v>
      </c>
    </row>
    <row r="11118">
      <c r="A11118" t="str">
        <f>IFERROR(__xludf.DUMMYFUNCTION("""COMPUTED_VALUE"""),"2016-07-04-J09-CO-2")</f>
        <v>2016-07-04-J09-CO-2</v>
      </c>
    </row>
    <row r="11119">
      <c r="A11119" t="str">
        <f>IFERROR(__xludf.DUMMYFUNCTION("""COMPUTED_VALUE"""),"2016-07-04-J09-CO-3")</f>
        <v>2016-07-04-J09-CO-3</v>
      </c>
    </row>
    <row r="11120">
      <c r="A11120" t="str">
        <f>IFERROR(__xludf.DUMMYFUNCTION("""COMPUTED_VALUE"""),"2016-07-04-J09-CO-4")</f>
        <v>2016-07-04-J09-CO-4</v>
      </c>
    </row>
    <row r="11121">
      <c r="A11121" t="str">
        <f>IFERROR(__xludf.DUMMYFUNCTION("""COMPUTED_VALUE"""),"2016-07-04-J09-CO-5")</f>
        <v>2016-07-04-J09-CO-5</v>
      </c>
    </row>
    <row r="11122">
      <c r="A11122" t="str">
        <f>IFERROR(__xludf.DUMMYFUNCTION("""COMPUTED_VALUE"""),"2016-07-04-J09-CO-6")</f>
        <v>2016-07-04-J09-CO-6</v>
      </c>
    </row>
    <row r="11123">
      <c r="A11123" t="str">
        <f>IFERROR(__xludf.DUMMYFUNCTION("""COMPUTED_VALUE"""),"2016-07-04-J09-CO-7")</f>
        <v>2016-07-04-J09-CO-7</v>
      </c>
    </row>
    <row r="11124">
      <c r="A11124" t="str">
        <f>IFERROR(__xludf.DUMMYFUNCTION("""COMPUTED_VALUE"""),"2016-07-05-J07-SO-1")</f>
        <v>2016-07-05-J07-SO-1</v>
      </c>
    </row>
    <row r="11125">
      <c r="A11125" t="str">
        <f>IFERROR(__xludf.DUMMYFUNCTION("""COMPUTED_VALUE"""),"2016-07-05-J07-SO-2")</f>
        <v>2016-07-05-J07-SO-2</v>
      </c>
    </row>
    <row r="11126">
      <c r="A11126" t="str">
        <f>IFERROR(__xludf.DUMMYFUNCTION("""COMPUTED_VALUE"""),"2016-07-05-J07-SO-3")</f>
        <v>2016-07-05-J07-SO-3</v>
      </c>
    </row>
    <row r="11127">
      <c r="A11127" t="str">
        <f>IFERROR(__xludf.DUMMYFUNCTION("""COMPUTED_VALUE"""),"2016-07-05-J07-SO-4")</f>
        <v>2016-07-05-J07-SO-4</v>
      </c>
    </row>
    <row r="11128">
      <c r="A11128" t="str">
        <f>IFERROR(__xludf.DUMMYFUNCTION("""COMPUTED_VALUE"""),"2016-07-05-J07-SO-5")</f>
        <v>2016-07-05-J07-SO-5</v>
      </c>
    </row>
    <row r="11129">
      <c r="A11129" t="str">
        <f>IFERROR(__xludf.DUMMYFUNCTION("""COMPUTED_VALUE"""),"2016-07-05-J07-SO-6")</f>
        <v>2016-07-05-J07-SO-6</v>
      </c>
    </row>
    <row r="11130">
      <c r="A11130" t="str">
        <f>IFERROR(__xludf.DUMMYFUNCTION("""COMPUTED_VALUE"""),"2016-07-05-J07-SO-7")</f>
        <v>2016-07-05-J07-SO-7</v>
      </c>
    </row>
    <row r="11131">
      <c r="A11131" t="str">
        <f>IFERROR(__xludf.DUMMYFUNCTION("""COMPUTED_VALUE"""),"2016-07-05-J07-SO-8")</f>
        <v>2016-07-05-J07-SO-8</v>
      </c>
    </row>
    <row r="11132">
      <c r="A11132" t="str">
        <f>IFERROR(__xludf.DUMMYFUNCTION("""COMPUTED_VALUE"""),"2016-07-05-J07-SO-9")</f>
        <v>2016-07-05-J07-SO-9</v>
      </c>
    </row>
    <row r="11133">
      <c r="A11133" t="str">
        <f>IFERROR(__xludf.DUMMYFUNCTION("""COMPUTED_VALUE"""),"2016-07-05-J07-SO-10")</f>
        <v>2016-07-05-J07-SO-10</v>
      </c>
    </row>
    <row r="11134">
      <c r="A11134" t="str">
        <f>IFERROR(__xludf.DUMMYFUNCTION("""COMPUTED_VALUE"""),"2016-07-05-J07-SO-11")</f>
        <v>2016-07-05-J07-SO-11</v>
      </c>
    </row>
    <row r="11135">
      <c r="A11135" t="str">
        <f>IFERROR(__xludf.DUMMYFUNCTION("""COMPUTED_VALUE"""),"2016-07-05-J07-SO-12")</f>
        <v>2016-07-05-J07-SO-12</v>
      </c>
    </row>
    <row r="11136">
      <c r="A11136" t="str">
        <f>IFERROR(__xludf.DUMMYFUNCTION("""COMPUTED_VALUE"""),"2016-07-05-J07-SO-13")</f>
        <v>2016-07-05-J07-SO-13</v>
      </c>
    </row>
    <row r="11137">
      <c r="A11137" t="str">
        <f>IFERROR(__xludf.DUMMYFUNCTION("""COMPUTED_VALUE"""),"2016-07-05-J07-SO-14")</f>
        <v>2016-07-05-J07-SO-14</v>
      </c>
    </row>
    <row r="11138">
      <c r="A11138" t="str">
        <f>IFERROR(__xludf.DUMMYFUNCTION("""COMPUTED_VALUE"""),"2016-07-05-J07-SO-15")</f>
        <v>2016-07-05-J07-SO-15</v>
      </c>
    </row>
    <row r="11139">
      <c r="A11139" t="str">
        <f>IFERROR(__xludf.DUMMYFUNCTION("""COMPUTED_VALUE"""),"2016-07-05-J07-SO-16")</f>
        <v>2016-07-05-J07-SO-16</v>
      </c>
    </row>
    <row r="11140">
      <c r="A11140" t="str">
        <f>IFERROR(__xludf.DUMMYFUNCTION("""COMPUTED_VALUE"""),"2016-07-05-J07-SO-17")</f>
        <v>2016-07-05-J07-SO-17</v>
      </c>
    </row>
    <row r="11141">
      <c r="A11141" t="str">
        <f>IFERROR(__xludf.DUMMYFUNCTION("""COMPUTED_VALUE"""),"2016-07-05-J07-SO-18")</f>
        <v>2016-07-05-J07-SO-18</v>
      </c>
    </row>
    <row r="11142">
      <c r="A11142" t="str">
        <f>IFERROR(__xludf.DUMMYFUNCTION("""COMPUTED_VALUE"""),"2016-07-05-J07-SO-19")</f>
        <v>2016-07-05-J07-SO-19</v>
      </c>
    </row>
    <row r="11143">
      <c r="A11143" t="str">
        <f>IFERROR(__xludf.DUMMYFUNCTION("""COMPUTED_VALUE"""),"2016-07-05-J07-SO-20")</f>
        <v>2016-07-05-J07-SO-20</v>
      </c>
    </row>
    <row r="11144">
      <c r="A11144" t="str">
        <f>IFERROR(__xludf.DUMMYFUNCTION("""COMPUTED_VALUE"""),"2016-07-05-J07-SO-21")</f>
        <v>2016-07-05-J07-SO-21</v>
      </c>
    </row>
    <row r="11145">
      <c r="A11145" t="str">
        <f>IFERROR(__xludf.DUMMYFUNCTION("""COMPUTED_VALUE"""),"2016-07-05-J07-SO-22")</f>
        <v>2016-07-05-J07-SO-22</v>
      </c>
    </row>
    <row r="11146">
      <c r="A11146" t="str">
        <f>IFERROR(__xludf.DUMMYFUNCTION("""COMPUTED_VALUE"""),"2016-07-05-J07-SO-23")</f>
        <v>2016-07-05-J07-SO-23</v>
      </c>
    </row>
    <row r="11147">
      <c r="A11147" t="str">
        <f>IFERROR(__xludf.DUMMYFUNCTION("""COMPUTED_VALUE"""),"2016-07-05-J07-SO-24")</f>
        <v>2016-07-05-J07-SO-24</v>
      </c>
    </row>
    <row r="11148">
      <c r="A11148" t="str">
        <f>IFERROR(__xludf.DUMMYFUNCTION("""COMPUTED_VALUE"""),"2016-07-05-J07-SO-25")</f>
        <v>2016-07-05-J07-SO-25</v>
      </c>
    </row>
    <row r="11149">
      <c r="A11149" t="str">
        <f>IFERROR(__xludf.DUMMYFUNCTION("""COMPUTED_VALUE"""),"2016-07-05-J07-SO-26")</f>
        <v>2016-07-05-J07-SO-26</v>
      </c>
    </row>
    <row r="11150">
      <c r="A11150" t="str">
        <f>IFERROR(__xludf.DUMMYFUNCTION("""COMPUTED_VALUE"""),"2016-07-05-J07-SO-27")</f>
        <v>2016-07-05-J07-SO-27</v>
      </c>
    </row>
    <row r="11151">
      <c r="A11151" t="str">
        <f>IFERROR(__xludf.DUMMYFUNCTION("""COMPUTED_VALUE"""),"2016-07-05-J07-SO-28")</f>
        <v>2016-07-05-J07-SO-28</v>
      </c>
    </row>
    <row r="11152">
      <c r="A11152" t="str">
        <f>IFERROR(__xludf.DUMMYFUNCTION("""COMPUTED_VALUE"""),"2016-07-05-J07-SO-29")</f>
        <v>2016-07-05-J07-SO-29</v>
      </c>
    </row>
    <row r="11153">
      <c r="A11153" t="str">
        <f>IFERROR(__xludf.DUMMYFUNCTION("""COMPUTED_VALUE"""),"2016-07-05-J07-SO-30")</f>
        <v>2016-07-05-J07-SO-30</v>
      </c>
    </row>
    <row r="11154">
      <c r="A11154" t="str">
        <f>IFERROR(__xludf.DUMMYFUNCTION("""COMPUTED_VALUE"""),"2016-07-05-J07-PI-1")</f>
        <v>2016-07-05-J07-PI-1</v>
      </c>
    </row>
    <row r="11155">
      <c r="A11155" t="str">
        <f>IFERROR(__xludf.DUMMYFUNCTION("""COMPUTED_VALUE"""),"2016-07-05-J07-PI-2")</f>
        <v>2016-07-05-J07-PI-2</v>
      </c>
    </row>
    <row r="11156">
      <c r="A11156" t="str">
        <f>IFERROR(__xludf.DUMMYFUNCTION("""COMPUTED_VALUE"""),"2016-07-05-J07-PI-3")</f>
        <v>2016-07-05-J07-PI-3</v>
      </c>
    </row>
    <row r="11157">
      <c r="A11157" t="str">
        <f>IFERROR(__xludf.DUMMYFUNCTION("""COMPUTED_VALUE"""),"2016-07-05-J07-PI-4")</f>
        <v>2016-07-05-J07-PI-4</v>
      </c>
    </row>
    <row r="11158">
      <c r="A11158" t="str">
        <f>IFERROR(__xludf.DUMMYFUNCTION("""COMPUTED_VALUE"""),"2016-07-05-J07-PI-5")</f>
        <v>2016-07-05-J07-PI-5</v>
      </c>
    </row>
    <row r="11159">
      <c r="A11159" t="str">
        <f>IFERROR(__xludf.DUMMYFUNCTION("""COMPUTED_VALUE"""),"2016-07-05-J07-PI-6")</f>
        <v>2016-07-05-J07-PI-6</v>
      </c>
    </row>
    <row r="11160">
      <c r="A11160" t="str">
        <f>IFERROR(__xludf.DUMMYFUNCTION("""COMPUTED_VALUE"""),"2016-07-05-J07-PI-7")</f>
        <v>2016-07-05-J07-PI-7</v>
      </c>
    </row>
    <row r="11161">
      <c r="A11161" t="str">
        <f>IFERROR(__xludf.DUMMYFUNCTION("""COMPUTED_VALUE"""),"2016-07-05-J07-PI-8")</f>
        <v>2016-07-05-J07-PI-8</v>
      </c>
    </row>
    <row r="11162">
      <c r="A11162" t="str">
        <f>IFERROR(__xludf.DUMMYFUNCTION("""COMPUTED_VALUE"""),"2016-07-05-J07-PI-9")</f>
        <v>2016-07-05-J07-PI-9</v>
      </c>
    </row>
    <row r="11163">
      <c r="A11163" t="str">
        <f>IFERROR(__xludf.DUMMYFUNCTION("""COMPUTED_VALUE"""),"2016-07-05-J07-PI-10")</f>
        <v>2016-07-05-J07-PI-10</v>
      </c>
    </row>
    <row r="11164">
      <c r="A11164" t="str">
        <f>IFERROR(__xludf.DUMMYFUNCTION("""COMPUTED_VALUE"""),"2016-07-05-J07-CU-1")</f>
        <v>2016-07-05-J07-CU-1</v>
      </c>
    </row>
    <row r="11165">
      <c r="A11165" t="str">
        <f>IFERROR(__xludf.DUMMYFUNCTION("""COMPUTED_VALUE"""),"2016-07-05-J07-CU-2")</f>
        <v>2016-07-05-J07-CU-2</v>
      </c>
    </row>
    <row r="11166">
      <c r="A11166" t="str">
        <f>IFERROR(__xludf.DUMMYFUNCTION("""COMPUTED_VALUE"""),"2016-07-05-J07-CU-3")</f>
        <v>2016-07-05-J07-CU-3</v>
      </c>
    </row>
    <row r="11167">
      <c r="A11167" t="str">
        <f>IFERROR(__xludf.DUMMYFUNCTION("""COMPUTED_VALUE"""),"2016-07-05-J07-CU-4")</f>
        <v>2016-07-05-J07-CU-4</v>
      </c>
    </row>
    <row r="11168">
      <c r="A11168" t="str">
        <f>IFERROR(__xludf.DUMMYFUNCTION("""COMPUTED_VALUE"""),"2016-07-05-J07-CU-5")</f>
        <v>2016-07-05-J07-CU-5</v>
      </c>
    </row>
    <row r="11169">
      <c r="A11169" t="str">
        <f>IFERROR(__xludf.DUMMYFUNCTION("""COMPUTED_VALUE"""),"2016-07-05-J07-CU-6")</f>
        <v>2016-07-05-J07-CU-6</v>
      </c>
    </row>
    <row r="11170">
      <c r="A11170" t="str">
        <f>IFERROR(__xludf.DUMMYFUNCTION("""COMPUTED_VALUE"""),"2016-07-05-J07-CU-7")</f>
        <v>2016-07-05-J07-CU-7</v>
      </c>
    </row>
    <row r="11171">
      <c r="A11171" t="str">
        <f>IFERROR(__xludf.DUMMYFUNCTION("""COMPUTED_VALUE"""),"2016-07-05-J07-CU-8")</f>
        <v>2016-07-05-J07-CU-8</v>
      </c>
    </row>
    <row r="11172">
      <c r="A11172" t="str">
        <f>IFERROR(__xludf.DUMMYFUNCTION("""COMPUTED_VALUE"""),"2016-07-05-J07-CU-9")</f>
        <v>2016-07-05-J07-CU-9</v>
      </c>
    </row>
    <row r="11173">
      <c r="A11173" t="str">
        <f>IFERROR(__xludf.DUMMYFUNCTION("""COMPUTED_VALUE"""),"2016-07-05-J07-CU-10")</f>
        <v>2016-07-05-J07-CU-10</v>
      </c>
    </row>
    <row r="11174">
      <c r="A11174" t="str">
        <f>IFERROR(__xludf.DUMMYFUNCTION("""COMPUTED_VALUE"""),"2016-07-05-J07-HE-1")</f>
        <v>2016-07-05-J07-HE-1</v>
      </c>
    </row>
    <row r="11175">
      <c r="A11175" t="str">
        <f>IFERROR(__xludf.DUMMYFUNCTION("""COMPUTED_VALUE"""),"2016-07-06-D27-SO-1")</f>
        <v>2016-07-06-D27-SO-1</v>
      </c>
    </row>
    <row r="11176">
      <c r="A11176" t="str">
        <f>IFERROR(__xludf.DUMMYFUNCTION("""COMPUTED_VALUE"""),"2016-07-06-D27-SO-2")</f>
        <v>2016-07-06-D27-SO-2</v>
      </c>
    </row>
    <row r="11177">
      <c r="A11177" t="str">
        <f>IFERROR(__xludf.DUMMYFUNCTION("""COMPUTED_VALUE"""),"2016-07-06-D27-SO-3")</f>
        <v>2016-07-06-D27-SO-3</v>
      </c>
    </row>
    <row r="11178">
      <c r="A11178" t="str">
        <f>IFERROR(__xludf.DUMMYFUNCTION("""COMPUTED_VALUE"""),"2016-07-06-D27-SO-4")</f>
        <v>2016-07-06-D27-SO-4</v>
      </c>
    </row>
    <row r="11179">
      <c r="A11179" t="str">
        <f>IFERROR(__xludf.DUMMYFUNCTION("""COMPUTED_VALUE"""),"2016-07-06-D27-SO-5")</f>
        <v>2016-07-06-D27-SO-5</v>
      </c>
    </row>
    <row r="11180">
      <c r="A11180" t="str">
        <f>IFERROR(__xludf.DUMMYFUNCTION("""COMPUTED_VALUE"""),"2016-07-06-D27-SO-6")</f>
        <v>2016-07-06-D27-SO-6</v>
      </c>
    </row>
    <row r="11181">
      <c r="A11181" t="str">
        <f>IFERROR(__xludf.DUMMYFUNCTION("""COMPUTED_VALUE"""),"2016-07-06-D27-SO-7")</f>
        <v>2016-07-06-D27-SO-7</v>
      </c>
    </row>
    <row r="11182">
      <c r="A11182" t="str">
        <f>IFERROR(__xludf.DUMMYFUNCTION("""COMPUTED_VALUE"""),"2016-07-06-D27-SO-8")</f>
        <v>2016-07-06-D27-SO-8</v>
      </c>
    </row>
    <row r="11183">
      <c r="A11183" t="str">
        <f>IFERROR(__xludf.DUMMYFUNCTION("""COMPUTED_VALUE"""),"2016-07-06-D27-SO-9")</f>
        <v>2016-07-06-D27-SO-9</v>
      </c>
    </row>
    <row r="11184">
      <c r="A11184" t="str">
        <f>IFERROR(__xludf.DUMMYFUNCTION("""COMPUTED_VALUE"""),"2016-07-06-D27-SO-10")</f>
        <v>2016-07-06-D27-SO-10</v>
      </c>
    </row>
    <row r="11185">
      <c r="A11185" t="str">
        <f>IFERROR(__xludf.DUMMYFUNCTION("""COMPUTED_VALUE"""),"2016-07-06-D27-SO-11")</f>
        <v>2016-07-06-D27-SO-11</v>
      </c>
    </row>
    <row r="11186">
      <c r="A11186" t="str">
        <f>IFERROR(__xludf.DUMMYFUNCTION("""COMPUTED_VALUE"""),"2016-07-06-D27-SO-12")</f>
        <v>2016-07-06-D27-SO-12</v>
      </c>
    </row>
    <row r="11187">
      <c r="A11187" t="str">
        <f>IFERROR(__xludf.DUMMYFUNCTION("""COMPUTED_VALUE"""),"2016-07-06-D27-SO-13")</f>
        <v>2016-07-06-D27-SO-13</v>
      </c>
    </row>
    <row r="11188">
      <c r="A11188" t="str">
        <f>IFERROR(__xludf.DUMMYFUNCTION("""COMPUTED_VALUE"""),"2016-07-06-D27-SO-14")</f>
        <v>2016-07-06-D27-SO-14</v>
      </c>
    </row>
    <row r="11189">
      <c r="A11189" t="str">
        <f>IFERROR(__xludf.DUMMYFUNCTION("""COMPUTED_VALUE"""),"2016-07-06-D27-SO-15")</f>
        <v>2016-07-06-D27-SO-15</v>
      </c>
    </row>
    <row r="11190">
      <c r="A11190" t="str">
        <f>IFERROR(__xludf.DUMMYFUNCTION("""COMPUTED_VALUE"""),"2016-07-06-D27-SO-16")</f>
        <v>2016-07-06-D27-SO-16</v>
      </c>
    </row>
    <row r="11191">
      <c r="A11191" t="str">
        <f>IFERROR(__xludf.DUMMYFUNCTION("""COMPUTED_VALUE"""),"2016-07-06-D27-SO-17")</f>
        <v>2016-07-06-D27-SO-17</v>
      </c>
    </row>
    <row r="11192">
      <c r="A11192" t="str">
        <f>IFERROR(__xludf.DUMMYFUNCTION("""COMPUTED_VALUE"""),"2016-07-06-D27-SO-18")</f>
        <v>2016-07-06-D27-SO-18</v>
      </c>
    </row>
    <row r="11193">
      <c r="A11193" t="str">
        <f>IFERROR(__xludf.DUMMYFUNCTION("""COMPUTED_VALUE"""),"2016-07-06-D27-SO-19")</f>
        <v>2016-07-06-D27-SO-19</v>
      </c>
    </row>
    <row r="11194">
      <c r="A11194" t="str">
        <f>IFERROR(__xludf.DUMMYFUNCTION("""COMPUTED_VALUE"""),"2016-07-06-D27-SO-20")</f>
        <v>2016-07-06-D27-SO-20</v>
      </c>
    </row>
    <row r="11195">
      <c r="A11195" t="str">
        <f>IFERROR(__xludf.DUMMYFUNCTION("""COMPUTED_VALUE"""),"2016-07-06-D27-SO-21")</f>
        <v>2016-07-06-D27-SO-21</v>
      </c>
    </row>
    <row r="11196">
      <c r="A11196" t="str">
        <f>IFERROR(__xludf.DUMMYFUNCTION("""COMPUTED_VALUE"""),"2016-07-06-D27-SO-22")</f>
        <v>2016-07-06-D27-SO-22</v>
      </c>
    </row>
    <row r="11197">
      <c r="A11197" t="str">
        <f>IFERROR(__xludf.DUMMYFUNCTION("""COMPUTED_VALUE"""),"2016-07-06-D27-SO-23")</f>
        <v>2016-07-06-D27-SO-23</v>
      </c>
    </row>
    <row r="11198">
      <c r="A11198" t="str">
        <f>IFERROR(__xludf.DUMMYFUNCTION("""COMPUTED_VALUE"""),"2016-07-06-D27-SO-24")</f>
        <v>2016-07-06-D27-SO-24</v>
      </c>
    </row>
    <row r="11199">
      <c r="A11199" t="str">
        <f>IFERROR(__xludf.DUMMYFUNCTION("""COMPUTED_VALUE"""),"2016-07-06-D09-SO-1")</f>
        <v>2016-07-06-D09-SO-1</v>
      </c>
    </row>
    <row r="11200">
      <c r="A11200" t="str">
        <f>IFERROR(__xludf.DUMMYFUNCTION("""COMPUTED_VALUE"""),"2016-07-06-D09-SO-2")</f>
        <v>2016-07-06-D09-SO-2</v>
      </c>
    </row>
    <row r="11201">
      <c r="A11201" t="str">
        <f>IFERROR(__xludf.DUMMYFUNCTION("""COMPUTED_VALUE"""),"2016-07-06-D09-SO-3")</f>
        <v>2016-07-06-D09-SO-3</v>
      </c>
    </row>
    <row r="11202">
      <c r="A11202" t="str">
        <f>IFERROR(__xludf.DUMMYFUNCTION("""COMPUTED_VALUE"""),"2016-07-06-D09-SO-4")</f>
        <v>2016-07-06-D09-SO-4</v>
      </c>
    </row>
    <row r="11203">
      <c r="A11203" t="str">
        <f>IFERROR(__xludf.DUMMYFUNCTION("""COMPUTED_VALUE"""),"2016-07-06-D09-SO-5")</f>
        <v>2016-07-06-D09-SO-5</v>
      </c>
    </row>
    <row r="11204">
      <c r="A11204" t="str">
        <f>IFERROR(__xludf.DUMMYFUNCTION("""COMPUTED_VALUE"""),"2016-07-06-D09-SO-6")</f>
        <v>2016-07-06-D09-SO-6</v>
      </c>
    </row>
    <row r="11205">
      <c r="A11205" t="str">
        <f>IFERROR(__xludf.DUMMYFUNCTION("""COMPUTED_VALUE"""),"2016-07-06-D09-SO-7")</f>
        <v>2016-07-06-D09-SO-7</v>
      </c>
    </row>
    <row r="11206">
      <c r="A11206" t="str">
        <f>IFERROR(__xludf.DUMMYFUNCTION("""COMPUTED_VALUE"""),"2016-07-06-D09-SO-8")</f>
        <v>2016-07-06-D09-SO-8</v>
      </c>
    </row>
    <row r="11207">
      <c r="A11207" t="str">
        <f>IFERROR(__xludf.DUMMYFUNCTION("""COMPUTED_VALUE"""),"2016-07-06-J06-SO-1")</f>
        <v>2016-07-06-J06-SO-1</v>
      </c>
    </row>
    <row r="11208">
      <c r="A11208" t="str">
        <f>IFERROR(__xludf.DUMMYFUNCTION("""COMPUTED_VALUE"""),"2016-07-06-J06-SO-2")</f>
        <v>2016-07-06-J06-SO-2</v>
      </c>
    </row>
    <row r="11209">
      <c r="A11209" t="str">
        <f>IFERROR(__xludf.DUMMYFUNCTION("""COMPUTED_VALUE"""),"2016-07-06-J06-SO-3")</f>
        <v>2016-07-06-J06-SO-3</v>
      </c>
    </row>
    <row r="11210">
      <c r="A11210" t="str">
        <f>IFERROR(__xludf.DUMMYFUNCTION("""COMPUTED_VALUE"""),"2016-07-06-J06-SO-4")</f>
        <v>2016-07-06-J06-SO-4</v>
      </c>
    </row>
    <row r="11211">
      <c r="A11211" t="str">
        <f>IFERROR(__xludf.DUMMYFUNCTION("""COMPUTED_VALUE"""),"2016-07-06-J06-SO-5")</f>
        <v>2016-07-06-J06-SO-5</v>
      </c>
    </row>
    <row r="11212">
      <c r="A11212" t="str">
        <f>IFERROR(__xludf.DUMMYFUNCTION("""COMPUTED_VALUE"""),"2016-07-06-J06-SO-6")</f>
        <v>2016-07-06-J06-SO-6</v>
      </c>
    </row>
    <row r="11213">
      <c r="A11213" t="str">
        <f>IFERROR(__xludf.DUMMYFUNCTION("""COMPUTED_VALUE"""),"2016-07-06-J06-SO-7")</f>
        <v>2016-07-06-J06-SO-7</v>
      </c>
    </row>
    <row r="11214">
      <c r="A11214" t="str">
        <f>IFERROR(__xludf.DUMMYFUNCTION("""COMPUTED_VALUE"""),"2016-07-06-J06-SO-8")</f>
        <v>2016-07-06-J06-SO-8</v>
      </c>
    </row>
    <row r="11215">
      <c r="A11215" t="str">
        <f>IFERROR(__xludf.DUMMYFUNCTION("""COMPUTED_VALUE"""),"2016-07-06-J06-SO-9")</f>
        <v>2016-07-06-J06-SO-9</v>
      </c>
    </row>
    <row r="11216">
      <c r="A11216" t="str">
        <f>IFERROR(__xludf.DUMMYFUNCTION("""COMPUTED_VALUE"""),"2016-07-06-J06-SO-10")</f>
        <v>2016-07-06-J06-SO-10</v>
      </c>
    </row>
    <row r="11217">
      <c r="A11217" t="str">
        <f>IFERROR(__xludf.DUMMYFUNCTION("""COMPUTED_VALUE"""),"2016-07-06-J06-SO-11")</f>
        <v>2016-07-06-J06-SO-11</v>
      </c>
    </row>
    <row r="11218">
      <c r="A11218" t="str">
        <f>IFERROR(__xludf.DUMMYFUNCTION("""COMPUTED_VALUE"""),"2016-07-06-J06-SO-12")</f>
        <v>2016-07-06-J06-SO-12</v>
      </c>
    </row>
    <row r="11219">
      <c r="A11219" t="str">
        <f>IFERROR(__xludf.DUMMYFUNCTION("""COMPUTED_VALUE"""),"2016-07-06-J06-SO-13")</f>
        <v>2016-07-06-J06-SO-13</v>
      </c>
    </row>
    <row r="11220">
      <c r="A11220" t="str">
        <f>IFERROR(__xludf.DUMMYFUNCTION("""COMPUTED_VALUE"""),"2016-07-06-J06-SO-14")</f>
        <v>2016-07-06-J06-SO-14</v>
      </c>
    </row>
    <row r="11221">
      <c r="A11221" t="str">
        <f>IFERROR(__xludf.DUMMYFUNCTION("""COMPUTED_VALUE"""),"2016-07-06-J06-SO-15")</f>
        <v>2016-07-06-J06-SO-15</v>
      </c>
    </row>
    <row r="11222">
      <c r="A11222" t="str">
        <f>IFERROR(__xludf.DUMMYFUNCTION("""COMPUTED_VALUE"""),"2016-07-06-J06-SO-16")</f>
        <v>2016-07-06-J06-SO-16</v>
      </c>
    </row>
    <row r="11223">
      <c r="A11223" t="str">
        <f>IFERROR(__xludf.DUMMYFUNCTION("""COMPUTED_VALUE"""),"2016-07-06-J06-SO-17")</f>
        <v>2016-07-06-J06-SO-17</v>
      </c>
    </row>
    <row r="11224">
      <c r="A11224" t="str">
        <f>IFERROR(__xludf.DUMMYFUNCTION("""COMPUTED_VALUE"""),"2016-07-06-J06-SO-18")</f>
        <v>2016-07-06-J06-SO-18</v>
      </c>
    </row>
    <row r="11225">
      <c r="A11225" t="str">
        <f>IFERROR(__xludf.DUMMYFUNCTION("""COMPUTED_VALUE"""),"2016-07-06-J06-SO-19")</f>
        <v>2016-07-06-J06-SO-19</v>
      </c>
    </row>
    <row r="11226">
      <c r="A11226" t="str">
        <f>IFERROR(__xludf.DUMMYFUNCTION("""COMPUTED_VALUE"""),"2016-07-06-J06-SO-20")</f>
        <v>2016-07-06-J06-SO-20</v>
      </c>
    </row>
    <row r="11227">
      <c r="A11227" t="str">
        <f>IFERROR(__xludf.DUMMYFUNCTION("""COMPUTED_VALUE"""),"2016-07-06-J06-SO-21")</f>
        <v>2016-07-06-J06-SO-21</v>
      </c>
    </row>
    <row r="11228">
      <c r="A11228" t="str">
        <f>IFERROR(__xludf.DUMMYFUNCTION("""COMPUTED_VALUE"""),"2016-07-06-J06-SO-22")</f>
        <v>2016-07-06-J06-SO-22</v>
      </c>
    </row>
    <row r="11229">
      <c r="A11229" t="str">
        <f>IFERROR(__xludf.DUMMYFUNCTION("""COMPUTED_VALUE"""),"2016-07-06-D27-PI-1")</f>
        <v>2016-07-06-D27-PI-1</v>
      </c>
    </row>
    <row r="11230">
      <c r="A11230" t="str">
        <f>IFERROR(__xludf.DUMMYFUNCTION("""COMPUTED_VALUE"""),"2016-07-06-D27-PI-2")</f>
        <v>2016-07-06-D27-PI-2</v>
      </c>
    </row>
    <row r="11231">
      <c r="A11231" t="str">
        <f>IFERROR(__xludf.DUMMYFUNCTION("""COMPUTED_VALUE"""),"2016-07-06-D27-PI-3")</f>
        <v>2016-07-06-D27-PI-3</v>
      </c>
    </row>
    <row r="11232">
      <c r="A11232" t="str">
        <f>IFERROR(__xludf.DUMMYFUNCTION("""COMPUTED_VALUE"""),"2016-07-06-D27-PI-4")</f>
        <v>2016-07-06-D27-PI-4</v>
      </c>
    </row>
    <row r="11233">
      <c r="A11233" t="str">
        <f>IFERROR(__xludf.DUMMYFUNCTION("""COMPUTED_VALUE"""),"2016-07-06-D27-PI-5")</f>
        <v>2016-07-06-D27-PI-5</v>
      </c>
    </row>
    <row r="11234">
      <c r="A11234" t="str">
        <f>IFERROR(__xludf.DUMMYFUNCTION("""COMPUTED_VALUE"""),"2016-07-06-D27-PI-6")</f>
        <v>2016-07-06-D27-PI-6</v>
      </c>
    </row>
    <row r="11235">
      <c r="A11235" t="str">
        <f>IFERROR(__xludf.DUMMYFUNCTION("""COMPUTED_VALUE"""),"2016-07-06-D27-PI-7")</f>
        <v>2016-07-06-D27-PI-7</v>
      </c>
    </row>
    <row r="11236">
      <c r="A11236" t="str">
        <f>IFERROR(__xludf.DUMMYFUNCTION("""COMPUTED_VALUE"""),"2016-07-06-D27-PI-8")</f>
        <v>2016-07-06-D27-PI-8</v>
      </c>
    </row>
    <row r="11237">
      <c r="A11237" t="str">
        <f>IFERROR(__xludf.DUMMYFUNCTION("""COMPUTED_VALUE"""),"2016-07-06-D27-PI-9")</f>
        <v>2016-07-06-D27-PI-9</v>
      </c>
    </row>
    <row r="11238">
      <c r="A11238" t="str">
        <f>IFERROR(__xludf.DUMMYFUNCTION("""COMPUTED_VALUE"""),"2016-07-06-D27-PI-10")</f>
        <v>2016-07-06-D27-PI-10</v>
      </c>
    </row>
    <row r="11239">
      <c r="A11239" t="str">
        <f>IFERROR(__xludf.DUMMYFUNCTION("""COMPUTED_VALUE"""),"2016-07-06-D09-PI-1")</f>
        <v>2016-07-06-D09-PI-1</v>
      </c>
    </row>
    <row r="11240">
      <c r="A11240" t="str">
        <f>IFERROR(__xludf.DUMMYFUNCTION("""COMPUTED_VALUE"""),"2016-07-06-D09-PI-2")</f>
        <v>2016-07-06-D09-PI-2</v>
      </c>
    </row>
    <row r="11241">
      <c r="A11241" t="str">
        <f>IFERROR(__xludf.DUMMYFUNCTION("""COMPUTED_VALUE"""),"2016-07-06-D09-PI-3")</f>
        <v>2016-07-06-D09-PI-3</v>
      </c>
    </row>
    <row r="11242">
      <c r="A11242" t="str">
        <f>IFERROR(__xludf.DUMMYFUNCTION("""COMPUTED_VALUE"""),"2016-07-06-D09-PI-4")</f>
        <v>2016-07-06-D09-PI-4</v>
      </c>
    </row>
    <row r="11243">
      <c r="A11243" t="str">
        <f>IFERROR(__xludf.DUMMYFUNCTION("""COMPUTED_VALUE"""),"2016-07-06-D09-PI-5")</f>
        <v>2016-07-06-D09-PI-5</v>
      </c>
    </row>
    <row r="11244">
      <c r="A11244" t="str">
        <f>IFERROR(__xludf.DUMMYFUNCTION("""COMPUTED_VALUE"""),"2016-07-06-D09-PI-6")</f>
        <v>2016-07-06-D09-PI-6</v>
      </c>
    </row>
    <row r="11245">
      <c r="A11245" t="str">
        <f>IFERROR(__xludf.DUMMYFUNCTION("""COMPUTED_VALUE"""),"2016-07-06-D09-PI-7")</f>
        <v>2016-07-06-D09-PI-7</v>
      </c>
    </row>
    <row r="11246">
      <c r="A11246" t="str">
        <f>IFERROR(__xludf.DUMMYFUNCTION("""COMPUTED_VALUE"""),"2016-07-06-D09-PI-8")</f>
        <v>2016-07-06-D09-PI-8</v>
      </c>
    </row>
    <row r="11247">
      <c r="A11247" t="str">
        <f>IFERROR(__xludf.DUMMYFUNCTION("""COMPUTED_VALUE"""),"2016-07-06-D09-PI-9")</f>
        <v>2016-07-06-D09-PI-9</v>
      </c>
    </row>
    <row r="11248">
      <c r="A11248" t="str">
        <f>IFERROR(__xludf.DUMMYFUNCTION("""COMPUTED_VALUE"""),"2016-07-06-D09-PI-10")</f>
        <v>2016-07-06-D09-PI-10</v>
      </c>
    </row>
    <row r="11249">
      <c r="A11249" t="str">
        <f>IFERROR(__xludf.DUMMYFUNCTION("""COMPUTED_VALUE"""),"2016-07-06-J06-PI-1")</f>
        <v>2016-07-06-J06-PI-1</v>
      </c>
    </row>
    <row r="11250">
      <c r="A11250" t="str">
        <f>IFERROR(__xludf.DUMMYFUNCTION("""COMPUTED_VALUE"""),"2016-07-06-J06-PI-2")</f>
        <v>2016-07-06-J06-PI-2</v>
      </c>
    </row>
    <row r="11251">
      <c r="A11251" t="str">
        <f>IFERROR(__xludf.DUMMYFUNCTION("""COMPUTED_VALUE"""),"2016-07-06-J06-PI-3")</f>
        <v>2016-07-06-J06-PI-3</v>
      </c>
    </row>
    <row r="11252">
      <c r="A11252" t="str">
        <f>IFERROR(__xludf.DUMMYFUNCTION("""COMPUTED_VALUE"""),"2016-07-06-J06-PI-4")</f>
        <v>2016-07-06-J06-PI-4</v>
      </c>
    </row>
    <row r="11253">
      <c r="A11253" t="str">
        <f>IFERROR(__xludf.DUMMYFUNCTION("""COMPUTED_VALUE"""),"2016-07-06-J06-PI-5")</f>
        <v>2016-07-06-J06-PI-5</v>
      </c>
    </row>
    <row r="11254">
      <c r="A11254" t="str">
        <f>IFERROR(__xludf.DUMMYFUNCTION("""COMPUTED_VALUE"""),"2016-07-06-J06-PI-6")</f>
        <v>2016-07-06-J06-PI-6</v>
      </c>
    </row>
    <row r="11255">
      <c r="A11255" t="str">
        <f>IFERROR(__xludf.DUMMYFUNCTION("""COMPUTED_VALUE"""),"2016-07-06-J06-PI-7")</f>
        <v>2016-07-06-J06-PI-7</v>
      </c>
    </row>
    <row r="11256">
      <c r="A11256" t="str">
        <f>IFERROR(__xludf.DUMMYFUNCTION("""COMPUTED_VALUE"""),"2016-07-06-J06-PI-8")</f>
        <v>2016-07-06-J06-PI-8</v>
      </c>
    </row>
    <row r="11257">
      <c r="A11257" t="str">
        <f>IFERROR(__xludf.DUMMYFUNCTION("""COMPUTED_VALUE"""),"2016-07-06-J06-PI-9")</f>
        <v>2016-07-06-J06-PI-9</v>
      </c>
    </row>
    <row r="11258">
      <c r="A11258" t="str">
        <f>IFERROR(__xludf.DUMMYFUNCTION("""COMPUTED_VALUE"""),"2016-07-06-J06-PI-10")</f>
        <v>2016-07-06-J06-PI-10</v>
      </c>
    </row>
    <row r="11259">
      <c r="A11259" t="str">
        <f>IFERROR(__xludf.DUMMYFUNCTION("""COMPUTED_VALUE"""),"2016-07-06-D27-CU-1")</f>
        <v>2016-07-06-D27-CU-1</v>
      </c>
    </row>
    <row r="11260">
      <c r="A11260" t="str">
        <f>IFERROR(__xludf.DUMMYFUNCTION("""COMPUTED_VALUE"""),"2016-07-06-D27-CU-2")</f>
        <v>2016-07-06-D27-CU-2</v>
      </c>
    </row>
    <row r="11261">
      <c r="A11261" t="str">
        <f>IFERROR(__xludf.DUMMYFUNCTION("""COMPUTED_VALUE"""),"2016-07-06-D27-CU-3")</f>
        <v>2016-07-06-D27-CU-3</v>
      </c>
    </row>
    <row r="11262">
      <c r="A11262" t="str">
        <f>IFERROR(__xludf.DUMMYFUNCTION("""COMPUTED_VALUE"""),"2016-07-06-D27-CU-4")</f>
        <v>2016-07-06-D27-CU-4</v>
      </c>
    </row>
    <row r="11263">
      <c r="A11263" t="str">
        <f>IFERROR(__xludf.DUMMYFUNCTION("""COMPUTED_VALUE"""),"2016-07-06-D27-CU-5")</f>
        <v>2016-07-06-D27-CU-5</v>
      </c>
    </row>
    <row r="11264">
      <c r="A11264" t="str">
        <f>IFERROR(__xludf.DUMMYFUNCTION("""COMPUTED_VALUE"""),"2016-07-06-D27-CU-6")</f>
        <v>2016-07-06-D27-CU-6</v>
      </c>
    </row>
    <row r="11265">
      <c r="A11265" t="str">
        <f>IFERROR(__xludf.DUMMYFUNCTION("""COMPUTED_VALUE"""),"2016-07-06-D27-CU-7")</f>
        <v>2016-07-06-D27-CU-7</v>
      </c>
    </row>
    <row r="11266">
      <c r="A11266" t="str">
        <f>IFERROR(__xludf.DUMMYFUNCTION("""COMPUTED_VALUE"""),"2016-07-06-D27-CU-8")</f>
        <v>2016-07-06-D27-CU-8</v>
      </c>
    </row>
    <row r="11267">
      <c r="A11267" t="str">
        <f>IFERROR(__xludf.DUMMYFUNCTION("""COMPUTED_VALUE"""),"2016-07-06-D27-CU-9")</f>
        <v>2016-07-06-D27-CU-9</v>
      </c>
    </row>
    <row r="11268">
      <c r="A11268" t="str">
        <f>IFERROR(__xludf.DUMMYFUNCTION("""COMPUTED_VALUE"""),"2016-07-06-D27-CU-10")</f>
        <v>2016-07-06-D27-CU-10</v>
      </c>
    </row>
    <row r="11269">
      <c r="A11269" t="str">
        <f>IFERROR(__xludf.DUMMYFUNCTION("""COMPUTED_VALUE"""),"2016-07-06-D09-CU-1")</f>
        <v>2016-07-06-D09-CU-1</v>
      </c>
    </row>
    <row r="11270">
      <c r="A11270" t="str">
        <f>IFERROR(__xludf.DUMMYFUNCTION("""COMPUTED_VALUE"""),"2016-07-06-D09-CU-2")</f>
        <v>2016-07-06-D09-CU-2</v>
      </c>
    </row>
    <row r="11271">
      <c r="A11271" t="str">
        <f>IFERROR(__xludf.DUMMYFUNCTION("""COMPUTED_VALUE"""),"2016-07-06-D09-CU-3")</f>
        <v>2016-07-06-D09-CU-3</v>
      </c>
    </row>
    <row r="11272">
      <c r="A11272" t="str">
        <f>IFERROR(__xludf.DUMMYFUNCTION("""COMPUTED_VALUE"""),"2016-07-06-D09-CU-4")</f>
        <v>2016-07-06-D09-CU-4</v>
      </c>
    </row>
    <row r="11273">
      <c r="A11273" t="str">
        <f>IFERROR(__xludf.DUMMYFUNCTION("""COMPUTED_VALUE"""),"2016-07-06-D09-CU-5")</f>
        <v>2016-07-06-D09-CU-5</v>
      </c>
    </row>
    <row r="11274">
      <c r="A11274" t="str">
        <f>IFERROR(__xludf.DUMMYFUNCTION("""COMPUTED_VALUE"""),"2016-07-06-D09-CU-6")</f>
        <v>2016-07-06-D09-CU-6</v>
      </c>
    </row>
    <row r="11275">
      <c r="A11275" t="str">
        <f>IFERROR(__xludf.DUMMYFUNCTION("""COMPUTED_VALUE"""),"2016-07-06-D09-CU-7")</f>
        <v>2016-07-06-D09-CU-7</v>
      </c>
    </row>
    <row r="11276">
      <c r="A11276" t="str">
        <f>IFERROR(__xludf.DUMMYFUNCTION("""COMPUTED_VALUE"""),"2016-07-06-D09-CU-8")</f>
        <v>2016-07-06-D09-CU-8</v>
      </c>
    </row>
    <row r="11277">
      <c r="A11277" t="str">
        <f>IFERROR(__xludf.DUMMYFUNCTION("""COMPUTED_VALUE"""),"2016-07-06-D09-CU-9")</f>
        <v>2016-07-06-D09-CU-9</v>
      </c>
    </row>
    <row r="11278">
      <c r="A11278" t="str">
        <f>IFERROR(__xludf.DUMMYFUNCTION("""COMPUTED_VALUE"""),"2016-07-06-D09-CU-10")</f>
        <v>2016-07-06-D09-CU-10</v>
      </c>
    </row>
    <row r="11279">
      <c r="A11279" t="str">
        <f>IFERROR(__xludf.DUMMYFUNCTION("""COMPUTED_VALUE"""),"2016-07-06-J06-CU-1")</f>
        <v>2016-07-06-J06-CU-1</v>
      </c>
    </row>
    <row r="11280">
      <c r="A11280" t="str">
        <f>IFERROR(__xludf.DUMMYFUNCTION("""COMPUTED_VALUE"""),"2016-07-06-J06-CU-2")</f>
        <v>2016-07-06-J06-CU-2</v>
      </c>
    </row>
    <row r="11281">
      <c r="A11281" t="str">
        <f>IFERROR(__xludf.DUMMYFUNCTION("""COMPUTED_VALUE"""),"2016-07-06-J06-CU-3")</f>
        <v>2016-07-06-J06-CU-3</v>
      </c>
    </row>
    <row r="11282">
      <c r="A11282" t="str">
        <f>IFERROR(__xludf.DUMMYFUNCTION("""COMPUTED_VALUE"""),"2016-07-06-J06-CU-4")</f>
        <v>2016-07-06-J06-CU-4</v>
      </c>
    </row>
    <row r="11283">
      <c r="A11283" t="str">
        <f>IFERROR(__xludf.DUMMYFUNCTION("""COMPUTED_VALUE"""),"2016-07-06-J06-CU-5")</f>
        <v>2016-07-06-J06-CU-5</v>
      </c>
    </row>
    <row r="11284">
      <c r="A11284" t="str">
        <f>IFERROR(__xludf.DUMMYFUNCTION("""COMPUTED_VALUE"""),"2016-07-06-J06-CU-6")</f>
        <v>2016-07-06-J06-CU-6</v>
      </c>
    </row>
    <row r="11285">
      <c r="A11285" t="str">
        <f>IFERROR(__xludf.DUMMYFUNCTION("""COMPUTED_VALUE"""),"2016-07-06-J06-CU-7")</f>
        <v>2016-07-06-J06-CU-7</v>
      </c>
    </row>
    <row r="11286">
      <c r="A11286" t="str">
        <f>IFERROR(__xludf.DUMMYFUNCTION("""COMPUTED_VALUE"""),"2016-07-06-J06-CU-8")</f>
        <v>2016-07-06-J06-CU-8</v>
      </c>
    </row>
    <row r="11287">
      <c r="A11287" t="str">
        <f>IFERROR(__xludf.DUMMYFUNCTION("""COMPUTED_VALUE"""),"2016-07-06-J06-CU-9")</f>
        <v>2016-07-06-J06-CU-9</v>
      </c>
    </row>
    <row r="11288">
      <c r="A11288" t="str">
        <f>IFERROR(__xludf.DUMMYFUNCTION("""COMPUTED_VALUE"""),"2016-07-06-J06-CU-10")</f>
        <v>2016-07-06-J06-CU-10</v>
      </c>
    </row>
    <row r="11289">
      <c r="A11289" t="str">
        <f>IFERROR(__xludf.DUMMYFUNCTION("""COMPUTED_VALUE"""),"2016-07-06-D09-CO-1")</f>
        <v>2016-07-06-D09-CO-1</v>
      </c>
    </row>
    <row r="11290">
      <c r="A11290" t="str">
        <f>IFERROR(__xludf.DUMMYFUNCTION("""COMPUTED_VALUE"""),"2016-07-06-J06-CO-1")</f>
        <v>2016-07-06-J06-CO-1</v>
      </c>
    </row>
    <row r="11291">
      <c r="A11291" t="str">
        <f>IFERROR(__xludf.DUMMYFUNCTION("""COMPUTED_VALUE"""),"NA")</f>
        <v>NA</v>
      </c>
    </row>
    <row r="11292">
      <c r="A11292" t="str">
        <f>IFERROR(__xludf.DUMMYFUNCTION("""COMPUTED_VALUE"""),"NA")</f>
        <v>NA</v>
      </c>
    </row>
    <row r="11293">
      <c r="A11293" t="str">
        <f>IFERROR(__xludf.DUMMYFUNCTION("""COMPUTED_VALUE"""),"NA")</f>
        <v>NA</v>
      </c>
    </row>
    <row r="11294">
      <c r="A11294" t="str">
        <f>IFERROR(__xludf.DUMMYFUNCTION("""COMPUTED_VALUE"""),"NA")</f>
        <v>NA</v>
      </c>
    </row>
    <row r="11295">
      <c r="A11295" t="str">
        <f>IFERROR(__xludf.DUMMYFUNCTION("""COMPUTED_VALUE"""),"NA")</f>
        <v>NA</v>
      </c>
    </row>
    <row r="11296">
      <c r="A11296" t="str">
        <f>IFERROR(__xludf.DUMMYFUNCTION("""COMPUTED_VALUE"""),"NA")</f>
        <v>NA</v>
      </c>
    </row>
    <row r="11297">
      <c r="A11297" t="str">
        <f>IFERROR(__xludf.DUMMYFUNCTION("""COMPUTED_VALUE"""),"NA")</f>
        <v>NA</v>
      </c>
    </row>
    <row r="11298">
      <c r="A11298" t="str">
        <f>IFERROR(__xludf.DUMMYFUNCTION("""COMPUTED_VALUE"""),"NA")</f>
        <v>NA</v>
      </c>
    </row>
    <row r="11299">
      <c r="A11299" t="str">
        <f>IFERROR(__xludf.DUMMYFUNCTION("""COMPUTED_VALUE"""),"NA")</f>
        <v>NA</v>
      </c>
    </row>
    <row r="11300">
      <c r="A11300" t="str">
        <f>IFERROR(__xludf.DUMMYFUNCTION("""COMPUTED_VALUE"""),"NA")</f>
        <v>NA</v>
      </c>
    </row>
    <row r="11301">
      <c r="A11301" t="str">
        <f>IFERROR(__xludf.DUMMYFUNCTION("""COMPUTED_VALUE"""),"NA")</f>
        <v>NA</v>
      </c>
    </row>
    <row r="11302">
      <c r="A11302" t="str">
        <f>IFERROR(__xludf.DUMMYFUNCTION("""COMPUTED_VALUE"""),"NA")</f>
        <v>NA</v>
      </c>
    </row>
    <row r="11303">
      <c r="A11303" t="str">
        <f>IFERROR(__xludf.DUMMYFUNCTION("""COMPUTED_VALUE"""),"NA")</f>
        <v>NA</v>
      </c>
    </row>
    <row r="11304">
      <c r="A11304" t="str">
        <f>IFERROR(__xludf.DUMMYFUNCTION("""COMPUTED_VALUE"""),"NA")</f>
        <v>NA</v>
      </c>
    </row>
    <row r="11305">
      <c r="A11305" t="str">
        <f>IFERROR(__xludf.DUMMYFUNCTION("""COMPUTED_VALUE"""),"NA")</f>
        <v>NA</v>
      </c>
    </row>
    <row r="11306">
      <c r="A11306" t="str">
        <f>IFERROR(__xludf.DUMMYFUNCTION("""COMPUTED_VALUE"""),"NA")</f>
        <v>NA</v>
      </c>
    </row>
    <row r="11307">
      <c r="A11307" t="str">
        <f>IFERROR(__xludf.DUMMYFUNCTION("""COMPUTED_VALUE"""),"NA")</f>
        <v>NA</v>
      </c>
    </row>
    <row r="11308">
      <c r="A11308" t="str">
        <f>IFERROR(__xludf.DUMMYFUNCTION("""COMPUTED_VALUE"""),"NA")</f>
        <v>NA</v>
      </c>
    </row>
    <row r="11309">
      <c r="A11309" t="str">
        <f>IFERROR(__xludf.DUMMYFUNCTION("""COMPUTED_VALUE"""),"NA")</f>
        <v>NA</v>
      </c>
    </row>
    <row r="11310">
      <c r="A11310" t="str">
        <f>IFERROR(__xludf.DUMMYFUNCTION("""COMPUTED_VALUE"""),"NA")</f>
        <v>NA</v>
      </c>
    </row>
    <row r="11311">
      <c r="A11311" t="str">
        <f>IFERROR(__xludf.DUMMYFUNCTION("""COMPUTED_VALUE"""),"NA")</f>
        <v>NA</v>
      </c>
    </row>
    <row r="11312">
      <c r="A11312" t="str">
        <f>IFERROR(__xludf.DUMMYFUNCTION("""COMPUTED_VALUE"""),"NA")</f>
        <v>NA</v>
      </c>
    </row>
    <row r="11313">
      <c r="A11313" t="str">
        <f>IFERROR(__xludf.DUMMYFUNCTION("""COMPUTED_VALUE"""),"NA")</f>
        <v>NA</v>
      </c>
    </row>
    <row r="11314">
      <c r="A11314" t="str">
        <f>IFERROR(__xludf.DUMMYFUNCTION("""COMPUTED_VALUE"""),"NA")</f>
        <v>NA</v>
      </c>
    </row>
    <row r="11315">
      <c r="A11315" t="str">
        <f>IFERROR(__xludf.DUMMYFUNCTION("""COMPUTED_VALUE"""),"NA")</f>
        <v>NA</v>
      </c>
    </row>
    <row r="11316">
      <c r="A11316" t="str">
        <f>IFERROR(__xludf.DUMMYFUNCTION("""COMPUTED_VALUE"""),"NA")</f>
        <v>NA</v>
      </c>
    </row>
    <row r="11317">
      <c r="A11317" t="str">
        <f>IFERROR(__xludf.DUMMYFUNCTION("""COMPUTED_VALUE"""),"NA")</f>
        <v>NA</v>
      </c>
    </row>
    <row r="11318">
      <c r="A11318" t="str">
        <f>IFERROR(__xludf.DUMMYFUNCTION("""COMPUTED_VALUE"""),"NA")</f>
        <v>NA</v>
      </c>
    </row>
    <row r="11319">
      <c r="A11319" t="str">
        <f>IFERROR(__xludf.DUMMYFUNCTION("""COMPUTED_VALUE"""),"NA")</f>
        <v>NA</v>
      </c>
    </row>
    <row r="11320">
      <c r="A11320" t="str">
        <f>IFERROR(__xludf.DUMMYFUNCTION("""COMPUTED_VALUE"""),"NA")</f>
        <v>NA</v>
      </c>
    </row>
    <row r="11321">
      <c r="A11321" t="str">
        <f>IFERROR(__xludf.DUMMYFUNCTION("""COMPUTED_VALUE"""),"NA")</f>
        <v>NA</v>
      </c>
    </row>
    <row r="11322">
      <c r="A11322" t="str">
        <f>IFERROR(__xludf.DUMMYFUNCTION("""COMPUTED_VALUE"""),"NA")</f>
        <v>NA</v>
      </c>
    </row>
    <row r="11323">
      <c r="A11323" t="str">
        <f>IFERROR(__xludf.DUMMYFUNCTION("""COMPUTED_VALUE"""),"NA")</f>
        <v>NA</v>
      </c>
    </row>
    <row r="11324">
      <c r="A11324" t="str">
        <f>IFERROR(__xludf.DUMMYFUNCTION("""COMPUTED_VALUE"""),"NA")</f>
        <v>NA</v>
      </c>
    </row>
    <row r="11325">
      <c r="A11325" t="str">
        <f>IFERROR(__xludf.DUMMYFUNCTION("""COMPUTED_VALUE"""),"NA")</f>
        <v>NA</v>
      </c>
    </row>
    <row r="11326">
      <c r="A11326" t="str">
        <f>IFERROR(__xludf.DUMMYFUNCTION("""COMPUTED_VALUE"""),"NA")</f>
        <v>NA</v>
      </c>
    </row>
    <row r="11327">
      <c r="A11327" t="str">
        <f>IFERROR(__xludf.DUMMYFUNCTION("""COMPUTED_VALUE"""),"NA")</f>
        <v>NA</v>
      </c>
    </row>
    <row r="11328">
      <c r="A11328" t="str">
        <f>IFERROR(__xludf.DUMMYFUNCTION("""COMPUTED_VALUE"""),"NA")</f>
        <v>NA</v>
      </c>
    </row>
    <row r="11329">
      <c r="A11329" t="str">
        <f>IFERROR(__xludf.DUMMYFUNCTION("""COMPUTED_VALUE"""),"NA")</f>
        <v>NA</v>
      </c>
    </row>
    <row r="11330">
      <c r="A11330" t="str">
        <f>IFERROR(__xludf.DUMMYFUNCTION("""COMPUTED_VALUE"""),"NA")</f>
        <v>NA</v>
      </c>
    </row>
    <row r="11331">
      <c r="A11331" t="str">
        <f>IFERROR(__xludf.DUMMYFUNCTION("""COMPUTED_VALUE"""),"NA")</f>
        <v>NA</v>
      </c>
    </row>
    <row r="11332">
      <c r="A11332" t="str">
        <f>IFERROR(__xludf.DUMMYFUNCTION("""COMPUTED_VALUE"""),"NA")</f>
        <v>NA</v>
      </c>
    </row>
    <row r="11333">
      <c r="A11333" t="str">
        <f>IFERROR(__xludf.DUMMYFUNCTION("""COMPUTED_VALUE"""),"NA")</f>
        <v>NA</v>
      </c>
    </row>
    <row r="11334">
      <c r="A11334" t="str">
        <f>IFERROR(__xludf.DUMMYFUNCTION("""COMPUTED_VALUE"""),"NA")</f>
        <v>NA</v>
      </c>
    </row>
    <row r="11335">
      <c r="A11335" t="str">
        <f>IFERROR(__xludf.DUMMYFUNCTION("""COMPUTED_VALUE"""),"NA")</f>
        <v>NA</v>
      </c>
    </row>
    <row r="11336">
      <c r="A11336" t="str">
        <f>IFERROR(__xludf.DUMMYFUNCTION("""COMPUTED_VALUE"""),"NA")</f>
        <v>NA</v>
      </c>
    </row>
    <row r="11337">
      <c r="A11337" t="str">
        <f>IFERROR(__xludf.DUMMYFUNCTION("""COMPUTED_VALUE"""),"NA")</f>
        <v>NA</v>
      </c>
    </row>
    <row r="11338">
      <c r="A11338" t="str">
        <f>IFERROR(__xludf.DUMMYFUNCTION("""COMPUTED_VALUE"""),"NA")</f>
        <v>NA</v>
      </c>
    </row>
    <row r="11339">
      <c r="A11339" t="str">
        <f>IFERROR(__xludf.DUMMYFUNCTION("""COMPUTED_VALUE"""),"NA")</f>
        <v>NA</v>
      </c>
    </row>
    <row r="11340">
      <c r="A11340" t="str">
        <f>IFERROR(__xludf.DUMMYFUNCTION("""COMPUTED_VALUE"""),"NA")</f>
        <v>NA</v>
      </c>
    </row>
    <row r="11341">
      <c r="A11341" t="str">
        <f>IFERROR(__xludf.DUMMYFUNCTION("""COMPUTED_VALUE"""),"NA")</f>
        <v>NA</v>
      </c>
    </row>
    <row r="11342">
      <c r="A11342" t="str">
        <f>IFERROR(__xludf.DUMMYFUNCTION("""COMPUTED_VALUE"""),"NA")</f>
        <v>NA</v>
      </c>
    </row>
    <row r="11343">
      <c r="A11343" t="str">
        <f>IFERROR(__xludf.DUMMYFUNCTION("""COMPUTED_VALUE"""),"NA")</f>
        <v>NA</v>
      </c>
    </row>
    <row r="11344">
      <c r="A11344" t="str">
        <f>IFERROR(__xludf.DUMMYFUNCTION("""COMPUTED_VALUE"""),"NA")</f>
        <v>NA</v>
      </c>
    </row>
    <row r="11345">
      <c r="A11345" t="str">
        <f>IFERROR(__xludf.DUMMYFUNCTION("""COMPUTED_VALUE"""),"NA")</f>
        <v>NA</v>
      </c>
    </row>
    <row r="11346">
      <c r="A11346" t="str">
        <f>IFERROR(__xludf.DUMMYFUNCTION("""COMPUTED_VALUE"""),"NA")</f>
        <v>NA</v>
      </c>
    </row>
    <row r="11347">
      <c r="A11347" t="str">
        <f>IFERROR(__xludf.DUMMYFUNCTION("""COMPUTED_VALUE"""),"NA")</f>
        <v>NA</v>
      </c>
    </row>
    <row r="11348">
      <c r="A11348" t="str">
        <f>IFERROR(__xludf.DUMMYFUNCTION("""COMPUTED_VALUE"""),"NA")</f>
        <v>NA</v>
      </c>
    </row>
    <row r="11349">
      <c r="A11349" t="str">
        <f>IFERROR(__xludf.DUMMYFUNCTION("""COMPUTED_VALUE"""),"NA")</f>
        <v>NA</v>
      </c>
    </row>
    <row r="11350">
      <c r="A11350" t="str">
        <f>IFERROR(__xludf.DUMMYFUNCTION("""COMPUTED_VALUE"""),"NA")</f>
        <v>NA</v>
      </c>
    </row>
    <row r="11351">
      <c r="A11351" t="str">
        <f>IFERROR(__xludf.DUMMYFUNCTION("""COMPUTED_VALUE"""),"NA")</f>
        <v>NA</v>
      </c>
    </row>
    <row r="11352">
      <c r="A11352" t="str">
        <f>IFERROR(__xludf.DUMMYFUNCTION("""COMPUTED_VALUE"""),"NA")</f>
        <v>NA</v>
      </c>
    </row>
    <row r="11353">
      <c r="A11353" t="str">
        <f>IFERROR(__xludf.DUMMYFUNCTION("""COMPUTED_VALUE"""),"NA")</f>
        <v>NA</v>
      </c>
    </row>
    <row r="11354">
      <c r="A11354" t="str">
        <f>IFERROR(__xludf.DUMMYFUNCTION("""COMPUTED_VALUE"""),"NA")</f>
        <v>NA</v>
      </c>
    </row>
    <row r="11355">
      <c r="A11355" t="str">
        <f>IFERROR(__xludf.DUMMYFUNCTION("""COMPUTED_VALUE"""),"NA")</f>
        <v>NA</v>
      </c>
    </row>
    <row r="11356">
      <c r="A11356" t="str">
        <f>IFERROR(__xludf.DUMMYFUNCTION("""COMPUTED_VALUE"""),"NA")</f>
        <v>NA</v>
      </c>
    </row>
    <row r="11357">
      <c r="A11357" t="str">
        <f>IFERROR(__xludf.DUMMYFUNCTION("""COMPUTED_VALUE"""),"NA")</f>
        <v>NA</v>
      </c>
    </row>
    <row r="11358">
      <c r="A11358" t="str">
        <f>IFERROR(__xludf.DUMMYFUNCTION("""COMPUTED_VALUE"""),"NA")</f>
        <v>NA</v>
      </c>
    </row>
    <row r="11359">
      <c r="A11359" t="str">
        <f>IFERROR(__xludf.DUMMYFUNCTION("""COMPUTED_VALUE"""),"NA")</f>
        <v>NA</v>
      </c>
    </row>
    <row r="11360">
      <c r="A11360" t="str">
        <f>IFERROR(__xludf.DUMMYFUNCTION("""COMPUTED_VALUE"""),"NA")</f>
        <v>NA</v>
      </c>
    </row>
    <row r="11361">
      <c r="A11361" t="str">
        <f>IFERROR(__xludf.DUMMYFUNCTION("""COMPUTED_VALUE"""),"NA")</f>
        <v>NA</v>
      </c>
    </row>
    <row r="11362">
      <c r="A11362" t="str">
        <f>IFERROR(__xludf.DUMMYFUNCTION("""COMPUTED_VALUE"""),"NA")</f>
        <v>NA</v>
      </c>
    </row>
    <row r="11363">
      <c r="A11363" t="str">
        <f>IFERROR(__xludf.DUMMYFUNCTION("""COMPUTED_VALUE"""),"NA")</f>
        <v>NA</v>
      </c>
    </row>
    <row r="11364">
      <c r="A11364" t="str">
        <f>IFERROR(__xludf.DUMMYFUNCTION("""COMPUTED_VALUE"""),"NA")</f>
        <v>NA</v>
      </c>
    </row>
    <row r="11365">
      <c r="A11365" t="str">
        <f>IFERROR(__xludf.DUMMYFUNCTION("""COMPUTED_VALUE"""),"NA")</f>
        <v>NA</v>
      </c>
    </row>
    <row r="11366">
      <c r="A11366" t="str">
        <f>IFERROR(__xludf.DUMMYFUNCTION("""COMPUTED_VALUE"""),"NA")</f>
        <v>NA</v>
      </c>
    </row>
    <row r="11367">
      <c r="A11367" t="str">
        <f>IFERROR(__xludf.DUMMYFUNCTION("""COMPUTED_VALUE"""),"NA")</f>
        <v>NA</v>
      </c>
    </row>
    <row r="11368">
      <c r="A11368" t="str">
        <f>IFERROR(__xludf.DUMMYFUNCTION("""COMPUTED_VALUE"""),"NA")</f>
        <v>NA</v>
      </c>
    </row>
    <row r="11369">
      <c r="A11369" t="str">
        <f>IFERROR(__xludf.DUMMYFUNCTION("""COMPUTED_VALUE"""),"NA")</f>
        <v>NA</v>
      </c>
    </row>
    <row r="11370">
      <c r="A11370" t="str">
        <f>IFERROR(__xludf.DUMMYFUNCTION("""COMPUTED_VALUE"""),"NA")</f>
        <v>NA</v>
      </c>
    </row>
    <row r="11371">
      <c r="A11371" t="str">
        <f>IFERROR(__xludf.DUMMYFUNCTION("""COMPUTED_VALUE"""),"NA")</f>
        <v>NA</v>
      </c>
    </row>
    <row r="11372">
      <c r="A11372" t="str">
        <f>IFERROR(__xludf.DUMMYFUNCTION("""COMPUTED_VALUE"""),"NA")</f>
        <v>NA</v>
      </c>
    </row>
    <row r="11373">
      <c r="A11373" t="str">
        <f>IFERROR(__xludf.DUMMYFUNCTION("""COMPUTED_VALUE"""),"NA")</f>
        <v>NA</v>
      </c>
    </row>
    <row r="11374">
      <c r="A11374" t="str">
        <f>IFERROR(__xludf.DUMMYFUNCTION("""COMPUTED_VALUE"""),"NA")</f>
        <v>NA</v>
      </c>
    </row>
    <row r="11375">
      <c r="A11375" t="str">
        <f>IFERROR(__xludf.DUMMYFUNCTION("""COMPUTED_VALUE"""),"NA")</f>
        <v>NA</v>
      </c>
    </row>
    <row r="11376">
      <c r="A11376" t="str">
        <f>IFERROR(__xludf.DUMMYFUNCTION("""COMPUTED_VALUE"""),"NA")</f>
        <v>NA</v>
      </c>
    </row>
    <row r="11377">
      <c r="A11377" t="str">
        <f>IFERROR(__xludf.DUMMYFUNCTION("""COMPUTED_VALUE"""),"NA")</f>
        <v>NA</v>
      </c>
    </row>
    <row r="11378">
      <c r="A11378" t="str">
        <f>IFERROR(__xludf.DUMMYFUNCTION("""COMPUTED_VALUE"""),"NA")</f>
        <v>NA</v>
      </c>
    </row>
    <row r="11379">
      <c r="A11379" t="str">
        <f>IFERROR(__xludf.DUMMYFUNCTION("""COMPUTED_VALUE"""),"NA")</f>
        <v>NA</v>
      </c>
    </row>
    <row r="11380">
      <c r="A11380" t="str">
        <f>IFERROR(__xludf.DUMMYFUNCTION("""COMPUTED_VALUE"""),"NA")</f>
        <v>NA</v>
      </c>
    </row>
    <row r="11381">
      <c r="A11381" t="str">
        <f>IFERROR(__xludf.DUMMYFUNCTION("""COMPUTED_VALUE"""),"NA")</f>
        <v>NA</v>
      </c>
    </row>
    <row r="11382">
      <c r="A11382" t="str">
        <f>IFERROR(__xludf.DUMMYFUNCTION("""COMPUTED_VALUE"""),"NA")</f>
        <v>NA</v>
      </c>
    </row>
    <row r="11383">
      <c r="A11383" t="str">
        <f>IFERROR(__xludf.DUMMYFUNCTION("""COMPUTED_VALUE"""),"NA")</f>
        <v>NA</v>
      </c>
    </row>
    <row r="11384">
      <c r="A11384" t="str">
        <f>IFERROR(__xludf.DUMMYFUNCTION("""COMPUTED_VALUE"""),"NA")</f>
        <v>NA</v>
      </c>
    </row>
    <row r="11385">
      <c r="A11385" t="str">
        <f>IFERROR(__xludf.DUMMYFUNCTION("""COMPUTED_VALUE"""),"NA")</f>
        <v>NA</v>
      </c>
    </row>
    <row r="11386">
      <c r="A11386" t="str">
        <f>IFERROR(__xludf.DUMMYFUNCTION("""COMPUTED_VALUE"""),"NA")</f>
        <v>NA</v>
      </c>
    </row>
    <row r="11387">
      <c r="A11387" t="str">
        <f>IFERROR(__xludf.DUMMYFUNCTION("""COMPUTED_VALUE"""),"NA")</f>
        <v>NA</v>
      </c>
    </row>
    <row r="11388">
      <c r="A11388" t="str">
        <f>IFERROR(__xludf.DUMMYFUNCTION("""COMPUTED_VALUE"""),"NA")</f>
        <v>NA</v>
      </c>
    </row>
    <row r="11389">
      <c r="A11389" t="str">
        <f>IFERROR(__xludf.DUMMYFUNCTION("""COMPUTED_VALUE"""),"NA")</f>
        <v>NA</v>
      </c>
    </row>
    <row r="11390">
      <c r="A11390" t="str">
        <f>IFERROR(__xludf.DUMMYFUNCTION("""COMPUTED_VALUE"""),"NA")</f>
        <v>NA</v>
      </c>
    </row>
    <row r="11391">
      <c r="A11391" t="str">
        <f>IFERROR(__xludf.DUMMYFUNCTION("""COMPUTED_VALUE"""),"NA")</f>
        <v>NA</v>
      </c>
    </row>
    <row r="11392">
      <c r="A11392" t="str">
        <f>IFERROR(__xludf.DUMMYFUNCTION("""COMPUTED_VALUE"""),"NA")</f>
        <v>NA</v>
      </c>
    </row>
    <row r="11393">
      <c r="A11393" t="str">
        <f>IFERROR(__xludf.DUMMYFUNCTION("""COMPUTED_VALUE"""),"NA")</f>
        <v>NA</v>
      </c>
    </row>
    <row r="11394">
      <c r="A11394" t="str">
        <f>IFERROR(__xludf.DUMMYFUNCTION("""COMPUTED_VALUE"""),"NA")</f>
        <v>NA</v>
      </c>
    </row>
    <row r="11395">
      <c r="A11395" t="str">
        <f>IFERROR(__xludf.DUMMYFUNCTION("""COMPUTED_VALUE"""),"NA")</f>
        <v>NA</v>
      </c>
    </row>
    <row r="11396">
      <c r="A11396" t="str">
        <f>IFERROR(__xludf.DUMMYFUNCTION("""COMPUTED_VALUE"""),"NA")</f>
        <v>NA</v>
      </c>
    </row>
    <row r="11397">
      <c r="A11397" t="str">
        <f>IFERROR(__xludf.DUMMYFUNCTION("""COMPUTED_VALUE"""),"NA")</f>
        <v>NA</v>
      </c>
    </row>
    <row r="11398">
      <c r="A11398" t="str">
        <f>IFERROR(__xludf.DUMMYFUNCTION("""COMPUTED_VALUE"""),"NA")</f>
        <v>NA</v>
      </c>
    </row>
    <row r="11399">
      <c r="A11399" t="str">
        <f>IFERROR(__xludf.DUMMYFUNCTION("""COMPUTED_VALUE"""),"NA")</f>
        <v>NA</v>
      </c>
    </row>
    <row r="11400">
      <c r="A11400" t="str">
        <f>IFERROR(__xludf.DUMMYFUNCTION("""COMPUTED_VALUE"""),"NA")</f>
        <v>NA</v>
      </c>
    </row>
    <row r="11401">
      <c r="A11401" t="str">
        <f>IFERROR(__xludf.DUMMYFUNCTION("""COMPUTED_VALUE"""),"NA")</f>
        <v>NA</v>
      </c>
    </row>
    <row r="11402">
      <c r="A11402" t="str">
        <f>IFERROR(__xludf.DUMMYFUNCTION("""COMPUTED_VALUE"""),"NA")</f>
        <v>NA</v>
      </c>
    </row>
    <row r="11403">
      <c r="A11403" t="str">
        <f>IFERROR(__xludf.DUMMYFUNCTION("""COMPUTED_VALUE"""),"NA")</f>
        <v>NA</v>
      </c>
    </row>
    <row r="11404">
      <c r="A11404" t="str">
        <f>IFERROR(__xludf.DUMMYFUNCTION("""COMPUTED_VALUE"""),"NA")</f>
        <v>NA</v>
      </c>
    </row>
    <row r="11405">
      <c r="A11405" t="str">
        <f>IFERROR(__xludf.DUMMYFUNCTION("""COMPUTED_VALUE"""),"NA")</f>
        <v>NA</v>
      </c>
    </row>
    <row r="11406">
      <c r="A11406" t="str">
        <f>IFERROR(__xludf.DUMMYFUNCTION("""COMPUTED_VALUE"""),"NA")</f>
        <v>NA</v>
      </c>
    </row>
    <row r="11407">
      <c r="A11407" t="str">
        <f>IFERROR(__xludf.DUMMYFUNCTION("""COMPUTED_VALUE"""),"NA")</f>
        <v>NA</v>
      </c>
    </row>
    <row r="11408">
      <c r="A11408" t="str">
        <f>IFERROR(__xludf.DUMMYFUNCTION("""COMPUTED_VALUE"""),"NA")</f>
        <v>NA</v>
      </c>
    </row>
    <row r="11409">
      <c r="A11409" t="str">
        <f>IFERROR(__xludf.DUMMYFUNCTION("""COMPUTED_VALUE"""),"NA")</f>
        <v>NA</v>
      </c>
    </row>
    <row r="11410">
      <c r="A11410" t="str">
        <f>IFERROR(__xludf.DUMMYFUNCTION("""COMPUTED_VALUE"""),"NA")</f>
        <v>NA</v>
      </c>
    </row>
    <row r="11411">
      <c r="A11411" t="str">
        <f>IFERROR(__xludf.DUMMYFUNCTION("""COMPUTED_VALUE"""),"NA")</f>
        <v>NA</v>
      </c>
    </row>
    <row r="11412">
      <c r="A11412" t="str">
        <f>IFERROR(__xludf.DUMMYFUNCTION("""COMPUTED_VALUE"""),"NA")</f>
        <v>NA</v>
      </c>
    </row>
    <row r="11413">
      <c r="A11413" t="str">
        <f>IFERROR(__xludf.DUMMYFUNCTION("""COMPUTED_VALUE"""),"NA")</f>
        <v>NA</v>
      </c>
    </row>
    <row r="11414">
      <c r="A11414" t="str">
        <f>IFERROR(__xludf.DUMMYFUNCTION("""COMPUTED_VALUE"""),"NA")</f>
        <v>NA</v>
      </c>
    </row>
    <row r="11415">
      <c r="A11415" t="str">
        <f>IFERROR(__xludf.DUMMYFUNCTION("""COMPUTED_VALUE"""),"NA")</f>
        <v>NA</v>
      </c>
    </row>
    <row r="11416">
      <c r="A11416" t="str">
        <f>IFERROR(__xludf.DUMMYFUNCTION("""COMPUTED_VALUE"""),"NA")</f>
        <v>NA</v>
      </c>
    </row>
    <row r="11417">
      <c r="A11417" t="str">
        <f>IFERROR(__xludf.DUMMYFUNCTION("""COMPUTED_VALUE"""),"NA")</f>
        <v>NA</v>
      </c>
    </row>
    <row r="11418">
      <c r="A11418" t="str">
        <f>IFERROR(__xludf.DUMMYFUNCTION("""COMPUTED_VALUE"""),"NA")</f>
        <v>NA</v>
      </c>
    </row>
    <row r="11419">
      <c r="A11419" t="str">
        <f>IFERROR(__xludf.DUMMYFUNCTION("""COMPUTED_VALUE"""),"NA")</f>
        <v>NA</v>
      </c>
    </row>
    <row r="11420">
      <c r="A11420" t="str">
        <f>IFERROR(__xludf.DUMMYFUNCTION("""COMPUTED_VALUE"""),"NA")</f>
        <v>NA</v>
      </c>
    </row>
    <row r="11421">
      <c r="A11421" t="str">
        <f>IFERROR(__xludf.DUMMYFUNCTION("""COMPUTED_VALUE"""),"NA")</f>
        <v>NA</v>
      </c>
    </row>
    <row r="11422">
      <c r="A11422" t="str">
        <f>IFERROR(__xludf.DUMMYFUNCTION("""COMPUTED_VALUE"""),"NA")</f>
        <v>NA</v>
      </c>
    </row>
    <row r="11423">
      <c r="A11423" t="str">
        <f>IFERROR(__xludf.DUMMYFUNCTION("""COMPUTED_VALUE"""),"NA")</f>
        <v>NA</v>
      </c>
    </row>
    <row r="11424">
      <c r="A11424" t="str">
        <f>IFERROR(__xludf.DUMMYFUNCTION("""COMPUTED_VALUE"""),"NA")</f>
        <v>NA</v>
      </c>
    </row>
    <row r="11425">
      <c r="A11425" t="str">
        <f>IFERROR(__xludf.DUMMYFUNCTION("""COMPUTED_VALUE"""),"NA")</f>
        <v>NA</v>
      </c>
    </row>
    <row r="11426">
      <c r="A11426" t="str">
        <f>IFERROR(__xludf.DUMMYFUNCTION("""COMPUTED_VALUE"""),"NA")</f>
        <v>NA</v>
      </c>
    </row>
    <row r="11427">
      <c r="A11427" t="str">
        <f>IFERROR(__xludf.DUMMYFUNCTION("""COMPUTED_VALUE"""),"NA")</f>
        <v>NA</v>
      </c>
    </row>
    <row r="11428">
      <c r="A11428" t="str">
        <f>IFERROR(__xludf.DUMMYFUNCTION("""COMPUTED_VALUE"""),"NA")</f>
        <v>NA</v>
      </c>
    </row>
    <row r="11429">
      <c r="A11429" t="str">
        <f>IFERROR(__xludf.DUMMYFUNCTION("""COMPUTED_VALUE"""),"NA")</f>
        <v>NA</v>
      </c>
    </row>
    <row r="11430">
      <c r="A11430" t="str">
        <f>IFERROR(__xludf.DUMMYFUNCTION("""COMPUTED_VALUE"""),"NA")</f>
        <v>NA</v>
      </c>
    </row>
    <row r="11431">
      <c r="A11431" t="str">
        <f>IFERROR(__xludf.DUMMYFUNCTION("""COMPUTED_VALUE"""),"NA")</f>
        <v>NA</v>
      </c>
    </row>
    <row r="11432">
      <c r="A11432" t="str">
        <f>IFERROR(__xludf.DUMMYFUNCTION("""COMPUTED_VALUE"""),"NA")</f>
        <v>NA</v>
      </c>
    </row>
    <row r="11433">
      <c r="A11433" t="str">
        <f>IFERROR(__xludf.DUMMYFUNCTION("""COMPUTED_VALUE"""),"NA")</f>
        <v>NA</v>
      </c>
    </row>
    <row r="11434">
      <c r="A11434" t="str">
        <f>IFERROR(__xludf.DUMMYFUNCTION("""COMPUTED_VALUE"""),"NA")</f>
        <v>NA</v>
      </c>
    </row>
    <row r="11435">
      <c r="A11435" t="str">
        <f>IFERROR(__xludf.DUMMYFUNCTION("""COMPUTED_VALUE"""),"NA")</f>
        <v>NA</v>
      </c>
    </row>
    <row r="11436">
      <c r="A11436" t="str">
        <f>IFERROR(__xludf.DUMMYFUNCTION("""COMPUTED_VALUE"""),"NA")</f>
        <v>NA</v>
      </c>
    </row>
    <row r="11437">
      <c r="A11437" t="str">
        <f>IFERROR(__xludf.DUMMYFUNCTION("""COMPUTED_VALUE"""),"NA")</f>
        <v>NA</v>
      </c>
    </row>
    <row r="11438">
      <c r="A11438" t="str">
        <f>IFERROR(__xludf.DUMMYFUNCTION("""COMPUTED_VALUE"""),"NA")</f>
        <v>NA</v>
      </c>
    </row>
    <row r="11439">
      <c r="A11439" t="str">
        <f>IFERROR(__xludf.DUMMYFUNCTION("""COMPUTED_VALUE"""),"NA")</f>
        <v>NA</v>
      </c>
    </row>
    <row r="11440">
      <c r="A11440" t="str">
        <f>IFERROR(__xludf.DUMMYFUNCTION("""COMPUTED_VALUE"""),"NA")</f>
        <v>NA</v>
      </c>
    </row>
    <row r="11441">
      <c r="A11441" t="str">
        <f>IFERROR(__xludf.DUMMYFUNCTION("""COMPUTED_VALUE"""),"NA")</f>
        <v>NA</v>
      </c>
    </row>
    <row r="11442">
      <c r="A11442" t="str">
        <f>IFERROR(__xludf.DUMMYFUNCTION("""COMPUTED_VALUE"""),"NA")</f>
        <v>NA</v>
      </c>
    </row>
    <row r="11443">
      <c r="A11443" t="str">
        <f>IFERROR(__xludf.DUMMYFUNCTION("""COMPUTED_VALUE"""),"NA")</f>
        <v>NA</v>
      </c>
    </row>
    <row r="11444">
      <c r="A11444" t="str">
        <f>IFERROR(__xludf.DUMMYFUNCTION("""COMPUTED_VALUE"""),"NA")</f>
        <v>NA</v>
      </c>
    </row>
    <row r="11445">
      <c r="A11445" t="str">
        <f>IFERROR(__xludf.DUMMYFUNCTION("""COMPUTED_VALUE"""),"NA")</f>
        <v>NA</v>
      </c>
    </row>
    <row r="11446">
      <c r="A11446" t="str">
        <f>IFERROR(__xludf.DUMMYFUNCTION("""COMPUTED_VALUE"""),"NA")</f>
        <v>NA</v>
      </c>
    </row>
    <row r="11447">
      <c r="A11447" t="str">
        <f>IFERROR(__xludf.DUMMYFUNCTION("""COMPUTED_VALUE"""),"NA")</f>
        <v>NA</v>
      </c>
    </row>
    <row r="11448">
      <c r="A11448" t="str">
        <f>IFERROR(__xludf.DUMMYFUNCTION("""COMPUTED_VALUE"""),"NA")</f>
        <v>NA</v>
      </c>
    </row>
    <row r="11449">
      <c r="A11449" t="str">
        <f>IFERROR(__xludf.DUMMYFUNCTION("""COMPUTED_VALUE"""),"NA")</f>
        <v>NA</v>
      </c>
    </row>
    <row r="11450">
      <c r="A11450" t="str">
        <f>IFERROR(__xludf.DUMMYFUNCTION("""COMPUTED_VALUE"""),"NA")</f>
        <v>NA</v>
      </c>
    </row>
    <row r="11451">
      <c r="A11451" t="str">
        <f>IFERROR(__xludf.DUMMYFUNCTION("""COMPUTED_VALUE"""),"NA")</f>
        <v>NA</v>
      </c>
    </row>
    <row r="11452">
      <c r="A11452" t="str">
        <f>IFERROR(__xludf.DUMMYFUNCTION("""COMPUTED_VALUE"""),"NA")</f>
        <v>NA</v>
      </c>
    </row>
    <row r="11453">
      <c r="A11453" t="str">
        <f>IFERROR(__xludf.DUMMYFUNCTION("""COMPUTED_VALUE"""),"NA")</f>
        <v>NA</v>
      </c>
    </row>
    <row r="11454">
      <c r="A11454" t="str">
        <f>IFERROR(__xludf.DUMMYFUNCTION("""COMPUTED_VALUE"""),"NA")</f>
        <v>NA</v>
      </c>
    </row>
    <row r="11455">
      <c r="A11455" t="str">
        <f>IFERROR(__xludf.DUMMYFUNCTION("""COMPUTED_VALUE"""),"NA")</f>
        <v>NA</v>
      </c>
    </row>
    <row r="11456">
      <c r="A11456" t="str">
        <f>IFERROR(__xludf.DUMMYFUNCTION("""COMPUTED_VALUE"""),"NA")</f>
        <v>NA</v>
      </c>
    </row>
    <row r="11457">
      <c r="A11457" t="str">
        <f>IFERROR(__xludf.DUMMYFUNCTION("""COMPUTED_VALUE"""),"NA")</f>
        <v>NA</v>
      </c>
    </row>
    <row r="11458">
      <c r="A11458" t="str">
        <f>IFERROR(__xludf.DUMMYFUNCTION("""COMPUTED_VALUE"""),"NA")</f>
        <v>NA</v>
      </c>
    </row>
    <row r="11459">
      <c r="A11459" t="str">
        <f>IFERROR(__xludf.DUMMYFUNCTION("""COMPUTED_VALUE"""),"NA")</f>
        <v>NA</v>
      </c>
    </row>
    <row r="11460">
      <c r="A11460" t="str">
        <f>IFERROR(__xludf.DUMMYFUNCTION("""COMPUTED_VALUE"""),"NA")</f>
        <v>NA</v>
      </c>
    </row>
    <row r="11461">
      <c r="A11461" t="str">
        <f>IFERROR(__xludf.DUMMYFUNCTION("""COMPUTED_VALUE"""),"NA")</f>
        <v>NA</v>
      </c>
    </row>
    <row r="11462">
      <c r="A11462" t="str">
        <f>IFERROR(__xludf.DUMMYFUNCTION("""COMPUTED_VALUE"""),"NA")</f>
        <v>NA</v>
      </c>
    </row>
    <row r="11463">
      <c r="A11463" t="str">
        <f>IFERROR(__xludf.DUMMYFUNCTION("""COMPUTED_VALUE"""),"NA")</f>
        <v>NA</v>
      </c>
    </row>
    <row r="11464">
      <c r="A11464" t="str">
        <f>IFERROR(__xludf.DUMMYFUNCTION("""COMPUTED_VALUE"""),"NA")</f>
        <v>NA</v>
      </c>
    </row>
    <row r="11465">
      <c r="A11465" t="str">
        <f>IFERROR(__xludf.DUMMYFUNCTION("""COMPUTED_VALUE"""),"NA")</f>
        <v>NA</v>
      </c>
    </row>
    <row r="11466">
      <c r="A11466" t="str">
        <f>IFERROR(__xludf.DUMMYFUNCTION("""COMPUTED_VALUE"""),"NA")</f>
        <v>NA</v>
      </c>
    </row>
    <row r="11467">
      <c r="A11467" t="str">
        <f>IFERROR(__xludf.DUMMYFUNCTION("""COMPUTED_VALUE"""),"NA")</f>
        <v>NA</v>
      </c>
    </row>
    <row r="11468">
      <c r="A11468" t="str">
        <f>IFERROR(__xludf.DUMMYFUNCTION("""COMPUTED_VALUE"""),"NA")</f>
        <v>NA</v>
      </c>
    </row>
    <row r="11469">
      <c r="A11469" t="str">
        <f>IFERROR(__xludf.DUMMYFUNCTION("""COMPUTED_VALUE"""),"NA")</f>
        <v>NA</v>
      </c>
    </row>
    <row r="11470">
      <c r="A11470" t="str">
        <f>IFERROR(__xludf.DUMMYFUNCTION("""COMPUTED_VALUE"""),"NA")</f>
        <v>NA</v>
      </c>
    </row>
    <row r="11471">
      <c r="A11471" t="str">
        <f>IFERROR(__xludf.DUMMYFUNCTION("""COMPUTED_VALUE"""),"NA")</f>
        <v>NA</v>
      </c>
    </row>
    <row r="11472">
      <c r="A11472" t="str">
        <f>IFERROR(__xludf.DUMMYFUNCTION("""COMPUTED_VALUE"""),"NA")</f>
        <v>NA</v>
      </c>
    </row>
    <row r="11473">
      <c r="A11473" t="str">
        <f>IFERROR(__xludf.DUMMYFUNCTION("""COMPUTED_VALUE"""),"NA")</f>
        <v>NA</v>
      </c>
    </row>
    <row r="11474">
      <c r="A11474" t="str">
        <f>IFERROR(__xludf.DUMMYFUNCTION("""COMPUTED_VALUE"""),"NA")</f>
        <v>NA</v>
      </c>
    </row>
    <row r="11475">
      <c r="A11475" t="str">
        <f>IFERROR(__xludf.DUMMYFUNCTION("""COMPUTED_VALUE"""),"NA")</f>
        <v>NA</v>
      </c>
    </row>
    <row r="11476">
      <c r="A11476" t="str">
        <f>IFERROR(__xludf.DUMMYFUNCTION("""COMPUTED_VALUE"""),"NA")</f>
        <v>NA</v>
      </c>
    </row>
    <row r="11477">
      <c r="A11477" t="str">
        <f>IFERROR(__xludf.DUMMYFUNCTION("""COMPUTED_VALUE"""),"NA")</f>
        <v>NA</v>
      </c>
    </row>
    <row r="11478">
      <c r="A11478" t="str">
        <f>IFERROR(__xludf.DUMMYFUNCTION("""COMPUTED_VALUE"""),"NA")</f>
        <v>NA</v>
      </c>
    </row>
    <row r="11479">
      <c r="A11479" t="str">
        <f>IFERROR(__xludf.DUMMYFUNCTION("""COMPUTED_VALUE"""),"NA")</f>
        <v>NA</v>
      </c>
    </row>
    <row r="11480">
      <c r="A11480" t="str">
        <f>IFERROR(__xludf.DUMMYFUNCTION("""COMPUTED_VALUE"""),"NA")</f>
        <v>NA</v>
      </c>
    </row>
    <row r="11481">
      <c r="A11481" t="str">
        <f>IFERROR(__xludf.DUMMYFUNCTION("""COMPUTED_VALUE"""),"NA")</f>
        <v>NA</v>
      </c>
    </row>
    <row r="11482">
      <c r="A11482" t="str">
        <f>IFERROR(__xludf.DUMMYFUNCTION("""COMPUTED_VALUE"""),"NA")</f>
        <v>NA</v>
      </c>
    </row>
    <row r="11483">
      <c r="A11483" t="str">
        <f>IFERROR(__xludf.DUMMYFUNCTION("""COMPUTED_VALUE"""),"NA")</f>
        <v>NA</v>
      </c>
    </row>
    <row r="11484">
      <c r="A11484" t="str">
        <f>IFERROR(__xludf.DUMMYFUNCTION("""COMPUTED_VALUE"""),"NA")</f>
        <v>NA</v>
      </c>
    </row>
    <row r="11485">
      <c r="A11485" t="str">
        <f>IFERROR(__xludf.DUMMYFUNCTION("""COMPUTED_VALUE"""),"NA")</f>
        <v>NA</v>
      </c>
    </row>
    <row r="11486">
      <c r="A11486" t="str">
        <f>IFERROR(__xludf.DUMMYFUNCTION("""COMPUTED_VALUE"""),"NA")</f>
        <v>NA</v>
      </c>
    </row>
    <row r="11487">
      <c r="A11487" t="str">
        <f>IFERROR(__xludf.DUMMYFUNCTION("""COMPUTED_VALUE"""),"NA")</f>
        <v>NA</v>
      </c>
    </row>
    <row r="11488">
      <c r="A11488" t="str">
        <f>IFERROR(__xludf.DUMMYFUNCTION("""COMPUTED_VALUE"""),"NA")</f>
        <v>NA</v>
      </c>
    </row>
    <row r="11489">
      <c r="A11489" t="str">
        <f>IFERROR(__xludf.DUMMYFUNCTION("""COMPUTED_VALUE"""),"NA")</f>
        <v>NA</v>
      </c>
    </row>
    <row r="11490">
      <c r="A11490" t="str">
        <f>IFERROR(__xludf.DUMMYFUNCTION("""COMPUTED_VALUE"""),"NA")</f>
        <v>NA</v>
      </c>
    </row>
    <row r="11491">
      <c r="A11491" t="str">
        <f>IFERROR(__xludf.DUMMYFUNCTION("""COMPUTED_VALUE"""),"NA")</f>
        <v>NA</v>
      </c>
    </row>
    <row r="11492">
      <c r="A11492" t="str">
        <f>IFERROR(__xludf.DUMMYFUNCTION("""COMPUTED_VALUE"""),"NA")</f>
        <v>NA</v>
      </c>
    </row>
    <row r="11493">
      <c r="A11493" t="str">
        <f>IFERROR(__xludf.DUMMYFUNCTION("""COMPUTED_VALUE"""),"NA")</f>
        <v>NA</v>
      </c>
    </row>
    <row r="11494">
      <c r="A11494" t="str">
        <f>IFERROR(__xludf.DUMMYFUNCTION("""COMPUTED_VALUE"""),"NA")</f>
        <v>NA</v>
      </c>
    </row>
    <row r="11495">
      <c r="A11495" t="str">
        <f>IFERROR(__xludf.DUMMYFUNCTION("""COMPUTED_VALUE"""),"NA")</f>
        <v>NA</v>
      </c>
    </row>
    <row r="11496">
      <c r="A11496" t="str">
        <f>IFERROR(__xludf.DUMMYFUNCTION("""COMPUTED_VALUE"""),"NA")</f>
        <v>NA</v>
      </c>
    </row>
    <row r="11497">
      <c r="A11497" t="str">
        <f>IFERROR(__xludf.DUMMYFUNCTION("""COMPUTED_VALUE"""),"NA")</f>
        <v>NA</v>
      </c>
    </row>
    <row r="11498">
      <c r="A11498" t="str">
        <f>IFERROR(__xludf.DUMMYFUNCTION("""COMPUTED_VALUE"""),"NA")</f>
        <v>NA</v>
      </c>
    </row>
    <row r="11499">
      <c r="A11499" t="str">
        <f>IFERROR(__xludf.DUMMYFUNCTION("""COMPUTED_VALUE"""),"NA")</f>
        <v>NA</v>
      </c>
    </row>
    <row r="11500">
      <c r="A11500" t="str">
        <f>IFERROR(__xludf.DUMMYFUNCTION("""COMPUTED_VALUE"""),"NA")</f>
        <v>NA</v>
      </c>
    </row>
    <row r="11501">
      <c r="A11501" t="str">
        <f>IFERROR(__xludf.DUMMYFUNCTION("""COMPUTED_VALUE"""),"NA")</f>
        <v>NA</v>
      </c>
    </row>
    <row r="11502">
      <c r="A11502" t="str">
        <f>IFERROR(__xludf.DUMMYFUNCTION("""COMPUTED_VALUE"""),"NA")</f>
        <v>NA</v>
      </c>
    </row>
    <row r="11503">
      <c r="A11503" t="str">
        <f>IFERROR(__xludf.DUMMYFUNCTION("""COMPUTED_VALUE"""),"NA")</f>
        <v>NA</v>
      </c>
    </row>
    <row r="11504">
      <c r="A11504" t="str">
        <f>IFERROR(__xludf.DUMMYFUNCTION("""COMPUTED_VALUE"""),"NA")</f>
        <v>NA</v>
      </c>
    </row>
    <row r="11505">
      <c r="A11505" t="str">
        <f>IFERROR(__xludf.DUMMYFUNCTION("""COMPUTED_VALUE"""),"NA")</f>
        <v>NA</v>
      </c>
    </row>
    <row r="11506">
      <c r="A11506" t="str">
        <f>IFERROR(__xludf.DUMMYFUNCTION("""COMPUTED_VALUE"""),"NA")</f>
        <v>NA</v>
      </c>
    </row>
    <row r="11507">
      <c r="A11507" t="str">
        <f>IFERROR(__xludf.DUMMYFUNCTION("""COMPUTED_VALUE"""),"NA")</f>
        <v>NA</v>
      </c>
    </row>
    <row r="11508">
      <c r="A11508" t="str">
        <f>IFERROR(__xludf.DUMMYFUNCTION("""COMPUTED_VALUE"""),"NA")</f>
        <v>NA</v>
      </c>
    </row>
    <row r="11509">
      <c r="A11509" t="str">
        <f>IFERROR(__xludf.DUMMYFUNCTION("""COMPUTED_VALUE"""),"NA")</f>
        <v>NA</v>
      </c>
    </row>
    <row r="11510">
      <c r="A11510" t="str">
        <f>IFERROR(__xludf.DUMMYFUNCTION("""COMPUTED_VALUE"""),"NA")</f>
        <v>NA</v>
      </c>
    </row>
    <row r="11511">
      <c r="A11511" t="str">
        <f>IFERROR(__xludf.DUMMYFUNCTION("""COMPUTED_VALUE"""),"NA")</f>
        <v>NA</v>
      </c>
    </row>
    <row r="11512">
      <c r="A11512" t="str">
        <f>IFERROR(__xludf.DUMMYFUNCTION("""COMPUTED_VALUE"""),"NA")</f>
        <v>NA</v>
      </c>
    </row>
    <row r="11513">
      <c r="A11513" t="str">
        <f>IFERROR(__xludf.DUMMYFUNCTION("""COMPUTED_VALUE"""),"NA")</f>
        <v>NA</v>
      </c>
    </row>
    <row r="11514">
      <c r="A11514" t="str">
        <f>IFERROR(__xludf.DUMMYFUNCTION("""COMPUTED_VALUE"""),"NA")</f>
        <v>NA</v>
      </c>
    </row>
    <row r="11515">
      <c r="A11515" t="str">
        <f>IFERROR(__xludf.DUMMYFUNCTION("""COMPUTED_VALUE"""),"NA")</f>
        <v>NA</v>
      </c>
    </row>
    <row r="11516">
      <c r="A11516" t="str">
        <f>IFERROR(__xludf.DUMMYFUNCTION("""COMPUTED_VALUE"""),"NA")</f>
        <v>NA</v>
      </c>
    </row>
    <row r="11517">
      <c r="A11517" t="str">
        <f>IFERROR(__xludf.DUMMYFUNCTION("""COMPUTED_VALUE"""),"NA")</f>
        <v>NA</v>
      </c>
    </row>
    <row r="11518">
      <c r="A11518" t="str">
        <f>IFERROR(__xludf.DUMMYFUNCTION("""COMPUTED_VALUE"""),"NA")</f>
        <v>NA</v>
      </c>
    </row>
    <row r="11519">
      <c r="A11519" t="str">
        <f>IFERROR(__xludf.DUMMYFUNCTION("""COMPUTED_VALUE"""),"NA")</f>
        <v>NA</v>
      </c>
    </row>
    <row r="11520">
      <c r="A11520" t="str">
        <f>IFERROR(__xludf.DUMMYFUNCTION("""COMPUTED_VALUE"""),"NA")</f>
        <v>NA</v>
      </c>
    </row>
    <row r="11521">
      <c r="A11521" t="str">
        <f>IFERROR(__xludf.DUMMYFUNCTION("""COMPUTED_VALUE"""),"NA")</f>
        <v>NA</v>
      </c>
    </row>
    <row r="11522">
      <c r="A11522" t="str">
        <f>IFERROR(__xludf.DUMMYFUNCTION("""COMPUTED_VALUE"""),"NA")</f>
        <v>NA</v>
      </c>
    </row>
    <row r="11523">
      <c r="A11523" t="str">
        <f>IFERROR(__xludf.DUMMYFUNCTION("""COMPUTED_VALUE"""),"NA")</f>
        <v>NA</v>
      </c>
    </row>
    <row r="11524">
      <c r="A11524" t="str">
        <f>IFERROR(__xludf.DUMMYFUNCTION("""COMPUTED_VALUE"""),"NA")</f>
        <v>NA</v>
      </c>
    </row>
    <row r="11525">
      <c r="A11525" t="str">
        <f>IFERROR(__xludf.DUMMYFUNCTION("""COMPUTED_VALUE"""),"NA")</f>
        <v>NA</v>
      </c>
    </row>
    <row r="11526">
      <c r="A11526" t="str">
        <f>IFERROR(__xludf.DUMMYFUNCTION("""COMPUTED_VALUE"""),"NA")</f>
        <v>NA</v>
      </c>
    </row>
    <row r="11527">
      <c r="A11527" t="str">
        <f>IFERROR(__xludf.DUMMYFUNCTION("""COMPUTED_VALUE"""),"NA")</f>
        <v>NA</v>
      </c>
    </row>
    <row r="11528">
      <c r="A11528" t="str">
        <f>IFERROR(__xludf.DUMMYFUNCTION("""COMPUTED_VALUE"""),"NA")</f>
        <v>NA</v>
      </c>
    </row>
    <row r="11529">
      <c r="A11529" t="str">
        <f>IFERROR(__xludf.DUMMYFUNCTION("""COMPUTED_VALUE"""),"NA")</f>
        <v>NA</v>
      </c>
    </row>
    <row r="11530">
      <c r="A11530" t="str">
        <f>IFERROR(__xludf.DUMMYFUNCTION("""COMPUTED_VALUE"""),"NA")</f>
        <v>NA</v>
      </c>
    </row>
    <row r="11531">
      <c r="A11531" t="str">
        <f>IFERROR(__xludf.DUMMYFUNCTION("""COMPUTED_VALUE"""),"NA")</f>
        <v>NA</v>
      </c>
    </row>
    <row r="11532">
      <c r="A11532" t="str">
        <f>IFERROR(__xludf.DUMMYFUNCTION("""COMPUTED_VALUE"""),"NA")</f>
        <v>NA</v>
      </c>
    </row>
    <row r="11533">
      <c r="A11533" t="str">
        <f>IFERROR(__xludf.DUMMYFUNCTION("""COMPUTED_VALUE"""),"NA")</f>
        <v>NA</v>
      </c>
    </row>
    <row r="11534">
      <c r="A11534" t="str">
        <f>IFERROR(__xludf.DUMMYFUNCTION("""COMPUTED_VALUE"""),"NA")</f>
        <v>NA</v>
      </c>
    </row>
    <row r="11535">
      <c r="A11535" t="str">
        <f>IFERROR(__xludf.DUMMYFUNCTION("""COMPUTED_VALUE"""),"NA")</f>
        <v>NA</v>
      </c>
    </row>
    <row r="11536">
      <c r="A11536" t="str">
        <f>IFERROR(__xludf.DUMMYFUNCTION("""COMPUTED_VALUE"""),"NA")</f>
        <v>NA</v>
      </c>
    </row>
    <row r="11537">
      <c r="A11537" t="str">
        <f>IFERROR(__xludf.DUMMYFUNCTION("""COMPUTED_VALUE"""),"NA")</f>
        <v>NA</v>
      </c>
    </row>
    <row r="11538">
      <c r="A11538" t="str">
        <f>IFERROR(__xludf.DUMMYFUNCTION("""COMPUTED_VALUE"""),"NA")</f>
        <v>NA</v>
      </c>
    </row>
    <row r="11539">
      <c r="A11539" t="str">
        <f>IFERROR(__xludf.DUMMYFUNCTION("""COMPUTED_VALUE"""),"NA")</f>
        <v>NA</v>
      </c>
    </row>
    <row r="11540">
      <c r="A11540" t="str">
        <f>IFERROR(__xludf.DUMMYFUNCTION("""COMPUTED_VALUE"""),"NA")</f>
        <v>NA</v>
      </c>
    </row>
    <row r="11541">
      <c r="A11541" t="str">
        <f>IFERROR(__xludf.DUMMYFUNCTION("""COMPUTED_VALUE"""),"NA")</f>
        <v>NA</v>
      </c>
    </row>
    <row r="11542">
      <c r="A11542" t="str">
        <f>IFERROR(__xludf.DUMMYFUNCTION("""COMPUTED_VALUE"""),"NA")</f>
        <v>NA</v>
      </c>
    </row>
    <row r="11543">
      <c r="A11543" t="str">
        <f>IFERROR(__xludf.DUMMYFUNCTION("""COMPUTED_VALUE"""),"NA")</f>
        <v>NA</v>
      </c>
    </row>
    <row r="11544">
      <c r="A11544" t="str">
        <f>IFERROR(__xludf.DUMMYFUNCTION("""COMPUTED_VALUE"""),"NA")</f>
        <v>NA</v>
      </c>
    </row>
    <row r="11545">
      <c r="A11545" t="str">
        <f>IFERROR(__xludf.DUMMYFUNCTION("""COMPUTED_VALUE"""),"NA")</f>
        <v>NA</v>
      </c>
    </row>
    <row r="11546">
      <c r="A11546" t="str">
        <f>IFERROR(__xludf.DUMMYFUNCTION("""COMPUTED_VALUE"""),"NA")</f>
        <v>NA</v>
      </c>
    </row>
    <row r="11547">
      <c r="A11547" t="str">
        <f>IFERROR(__xludf.DUMMYFUNCTION("""COMPUTED_VALUE"""),"NA")</f>
        <v>NA</v>
      </c>
    </row>
    <row r="11548">
      <c r="A11548" t="str">
        <f>IFERROR(__xludf.DUMMYFUNCTION("""COMPUTED_VALUE"""),"NA")</f>
        <v>NA</v>
      </c>
    </row>
    <row r="11549">
      <c r="A11549" t="str">
        <f>IFERROR(__xludf.DUMMYFUNCTION("""COMPUTED_VALUE"""),"NA")</f>
        <v>NA</v>
      </c>
    </row>
    <row r="11550">
      <c r="A11550" t="str">
        <f>IFERROR(__xludf.DUMMYFUNCTION("""COMPUTED_VALUE"""),"NA")</f>
        <v>NA</v>
      </c>
    </row>
    <row r="11551">
      <c r="A11551" t="str">
        <f>IFERROR(__xludf.DUMMYFUNCTION("""COMPUTED_VALUE"""),"NA")</f>
        <v>NA</v>
      </c>
    </row>
    <row r="11552">
      <c r="A11552" t="str">
        <f>IFERROR(__xludf.DUMMYFUNCTION("""COMPUTED_VALUE"""),"NA")</f>
        <v>NA</v>
      </c>
    </row>
    <row r="11553">
      <c r="A11553" t="str">
        <f>IFERROR(__xludf.DUMMYFUNCTION("""COMPUTED_VALUE"""),"NA")</f>
        <v>NA</v>
      </c>
    </row>
    <row r="11554">
      <c r="A11554" t="str">
        <f>IFERROR(__xludf.DUMMYFUNCTION("""COMPUTED_VALUE"""),"NA")</f>
        <v>NA</v>
      </c>
    </row>
    <row r="11555">
      <c r="A11555" t="str">
        <f>IFERROR(__xludf.DUMMYFUNCTION("""COMPUTED_VALUE"""),"NA")</f>
        <v>NA</v>
      </c>
    </row>
    <row r="11556">
      <c r="A11556" t="str">
        <f>IFERROR(__xludf.DUMMYFUNCTION("""COMPUTED_VALUE"""),"NA")</f>
        <v>NA</v>
      </c>
    </row>
    <row r="11557">
      <c r="A11557" t="str">
        <f>IFERROR(__xludf.DUMMYFUNCTION("""COMPUTED_VALUE"""),"NA")</f>
        <v>NA</v>
      </c>
    </row>
    <row r="11558">
      <c r="A11558" t="str">
        <f>IFERROR(__xludf.DUMMYFUNCTION("""COMPUTED_VALUE"""),"NA")</f>
        <v>NA</v>
      </c>
    </row>
    <row r="11559">
      <c r="A11559" t="str">
        <f>IFERROR(__xludf.DUMMYFUNCTION("""COMPUTED_VALUE"""),"NA")</f>
        <v>NA</v>
      </c>
    </row>
    <row r="11560">
      <c r="A11560" t="str">
        <f>IFERROR(__xludf.DUMMYFUNCTION("""COMPUTED_VALUE"""),"NA")</f>
        <v>NA</v>
      </c>
    </row>
    <row r="11561">
      <c r="A11561" t="str">
        <f>IFERROR(__xludf.DUMMYFUNCTION("""COMPUTED_VALUE"""),"NA")</f>
        <v>NA</v>
      </c>
    </row>
    <row r="11562">
      <c r="A11562" t="str">
        <f>IFERROR(__xludf.DUMMYFUNCTION("""COMPUTED_VALUE"""),"NA")</f>
        <v>NA</v>
      </c>
    </row>
    <row r="11563">
      <c r="A11563" t="str">
        <f>IFERROR(__xludf.DUMMYFUNCTION("""COMPUTED_VALUE"""),"NA")</f>
        <v>NA</v>
      </c>
    </row>
    <row r="11564">
      <c r="A11564" t="str">
        <f>IFERROR(__xludf.DUMMYFUNCTION("""COMPUTED_VALUE"""),"NA")</f>
        <v>NA</v>
      </c>
    </row>
    <row r="11565">
      <c r="A11565" t="str">
        <f>IFERROR(__xludf.DUMMYFUNCTION("""COMPUTED_VALUE"""),"NA")</f>
        <v>NA</v>
      </c>
    </row>
    <row r="11566">
      <c r="A11566" t="str">
        <f>IFERROR(__xludf.DUMMYFUNCTION("""COMPUTED_VALUE"""),"NA")</f>
        <v>NA</v>
      </c>
    </row>
    <row r="11567">
      <c r="A11567" t="str">
        <f>IFERROR(__xludf.DUMMYFUNCTION("""COMPUTED_VALUE"""),"NA")</f>
        <v>NA</v>
      </c>
    </row>
    <row r="11568">
      <c r="A11568" t="str">
        <f>IFERROR(__xludf.DUMMYFUNCTION("""COMPUTED_VALUE"""),"NA")</f>
        <v>NA</v>
      </c>
    </row>
    <row r="11569">
      <c r="A11569" t="str">
        <f>IFERROR(__xludf.DUMMYFUNCTION("""COMPUTED_VALUE"""),"NA")</f>
        <v>NA</v>
      </c>
    </row>
    <row r="11570">
      <c r="A11570" t="str">
        <f>IFERROR(__xludf.DUMMYFUNCTION("""COMPUTED_VALUE"""),"NA")</f>
        <v>NA</v>
      </c>
    </row>
    <row r="11571">
      <c r="A11571" t="str">
        <f>IFERROR(__xludf.DUMMYFUNCTION("""COMPUTED_VALUE"""),"NA")</f>
        <v>NA</v>
      </c>
    </row>
    <row r="11572">
      <c r="A11572" t="str">
        <f>IFERROR(__xludf.DUMMYFUNCTION("""COMPUTED_VALUE"""),"NA")</f>
        <v>NA</v>
      </c>
    </row>
    <row r="11573">
      <c r="A11573" t="str">
        <f>IFERROR(__xludf.DUMMYFUNCTION("""COMPUTED_VALUE"""),"NA")</f>
        <v>NA</v>
      </c>
    </row>
    <row r="11574">
      <c r="A11574" t="str">
        <f>IFERROR(__xludf.DUMMYFUNCTION("""COMPUTED_VALUE"""),"NA")</f>
        <v>NA</v>
      </c>
    </row>
    <row r="11575">
      <c r="A11575" t="str">
        <f>IFERROR(__xludf.DUMMYFUNCTION("""COMPUTED_VALUE"""),"NA")</f>
        <v>NA</v>
      </c>
    </row>
    <row r="11576">
      <c r="A11576" t="str">
        <f>IFERROR(__xludf.DUMMYFUNCTION("""COMPUTED_VALUE"""),"NA")</f>
        <v>NA</v>
      </c>
    </row>
    <row r="11577">
      <c r="A11577" t="str">
        <f>IFERROR(__xludf.DUMMYFUNCTION("""COMPUTED_VALUE"""),"NA")</f>
        <v>NA</v>
      </c>
    </row>
    <row r="11578">
      <c r="A11578" t="str">
        <f>IFERROR(__xludf.DUMMYFUNCTION("""COMPUTED_VALUE"""),"NA")</f>
        <v>NA</v>
      </c>
    </row>
    <row r="11579">
      <c r="A11579" t="str">
        <f>IFERROR(__xludf.DUMMYFUNCTION("""COMPUTED_VALUE"""),"NA")</f>
        <v>NA</v>
      </c>
    </row>
    <row r="11580">
      <c r="A11580" t="str">
        <f>IFERROR(__xludf.DUMMYFUNCTION("""COMPUTED_VALUE"""),"NA")</f>
        <v>NA</v>
      </c>
    </row>
    <row r="11581">
      <c r="A11581" t="str">
        <f>IFERROR(__xludf.DUMMYFUNCTION("""COMPUTED_VALUE"""),"NA")</f>
        <v>NA</v>
      </c>
    </row>
    <row r="11582">
      <c r="A11582" t="str">
        <f>IFERROR(__xludf.DUMMYFUNCTION("""COMPUTED_VALUE"""),"NA")</f>
        <v>NA</v>
      </c>
    </row>
    <row r="11583">
      <c r="A11583" t="str">
        <f>IFERROR(__xludf.DUMMYFUNCTION("""COMPUTED_VALUE"""),"NA")</f>
        <v>NA</v>
      </c>
    </row>
    <row r="11584">
      <c r="A11584" t="str">
        <f>IFERROR(__xludf.DUMMYFUNCTION("""COMPUTED_VALUE"""),"NA")</f>
        <v>NA</v>
      </c>
    </row>
    <row r="11585">
      <c r="A11585" t="str">
        <f>IFERROR(__xludf.DUMMYFUNCTION("""COMPUTED_VALUE"""),"NA")</f>
        <v>NA</v>
      </c>
    </row>
    <row r="11586">
      <c r="A11586" t="str">
        <f>IFERROR(__xludf.DUMMYFUNCTION("""COMPUTED_VALUE"""),"NA")</f>
        <v>NA</v>
      </c>
    </row>
    <row r="11587">
      <c r="A11587" t="str">
        <f>IFERROR(__xludf.DUMMYFUNCTION("""COMPUTED_VALUE"""),"NA")</f>
        <v>NA</v>
      </c>
    </row>
    <row r="11588">
      <c r="A11588" t="str">
        <f>IFERROR(__xludf.DUMMYFUNCTION("""COMPUTED_VALUE"""),"NA")</f>
        <v>NA</v>
      </c>
    </row>
    <row r="11589">
      <c r="A11589" t="str">
        <f>IFERROR(__xludf.DUMMYFUNCTION("""COMPUTED_VALUE"""),"NA")</f>
        <v>NA</v>
      </c>
    </row>
    <row r="11590">
      <c r="A11590" t="str">
        <f>IFERROR(__xludf.DUMMYFUNCTION("""COMPUTED_VALUE"""),"NA")</f>
        <v>NA</v>
      </c>
    </row>
    <row r="11591">
      <c r="A11591" t="str">
        <f>IFERROR(__xludf.DUMMYFUNCTION("""COMPUTED_VALUE"""),"NA")</f>
        <v>NA</v>
      </c>
    </row>
    <row r="11592">
      <c r="A11592" t="str">
        <f>IFERROR(__xludf.DUMMYFUNCTION("""COMPUTED_VALUE"""),"NA")</f>
        <v>NA</v>
      </c>
    </row>
    <row r="11593">
      <c r="A11593" t="str">
        <f>IFERROR(__xludf.DUMMYFUNCTION("""COMPUTED_VALUE"""),"NA")</f>
        <v>NA</v>
      </c>
    </row>
    <row r="11594">
      <c r="A11594" t="str">
        <f>IFERROR(__xludf.DUMMYFUNCTION("""COMPUTED_VALUE"""),"NA")</f>
        <v>NA</v>
      </c>
    </row>
    <row r="11595">
      <c r="A11595" t="str">
        <f>IFERROR(__xludf.DUMMYFUNCTION("""COMPUTED_VALUE"""),"NA")</f>
        <v>NA</v>
      </c>
    </row>
    <row r="11596">
      <c r="A11596" t="str">
        <f>IFERROR(__xludf.DUMMYFUNCTION("""COMPUTED_VALUE"""),"NA")</f>
        <v>NA</v>
      </c>
    </row>
    <row r="11597">
      <c r="A11597" t="str">
        <f>IFERROR(__xludf.DUMMYFUNCTION("""COMPUTED_VALUE"""),"NA")</f>
        <v>NA</v>
      </c>
    </row>
    <row r="11598">
      <c r="A11598" t="str">
        <f>IFERROR(__xludf.DUMMYFUNCTION("""COMPUTED_VALUE"""),"NA")</f>
        <v>NA</v>
      </c>
    </row>
    <row r="11599">
      <c r="A11599" t="str">
        <f>IFERROR(__xludf.DUMMYFUNCTION("""COMPUTED_VALUE"""),"NA")</f>
        <v>NA</v>
      </c>
    </row>
    <row r="11600">
      <c r="A11600" t="str">
        <f>IFERROR(__xludf.DUMMYFUNCTION("""COMPUTED_VALUE"""),"NA")</f>
        <v>NA</v>
      </c>
    </row>
    <row r="11601">
      <c r="A11601" t="str">
        <f>IFERROR(__xludf.DUMMYFUNCTION("""COMPUTED_VALUE"""),"NA")</f>
        <v>NA</v>
      </c>
    </row>
    <row r="11602">
      <c r="A11602" t="str">
        <f>IFERROR(__xludf.DUMMYFUNCTION("""COMPUTED_VALUE"""),"NA")</f>
        <v>NA</v>
      </c>
    </row>
    <row r="11603">
      <c r="A11603" t="str">
        <f>IFERROR(__xludf.DUMMYFUNCTION("""COMPUTED_VALUE"""),"NA")</f>
        <v>NA</v>
      </c>
    </row>
    <row r="11604">
      <c r="A11604" t="str">
        <f>IFERROR(__xludf.DUMMYFUNCTION("""COMPUTED_VALUE"""),"NA")</f>
        <v>NA</v>
      </c>
    </row>
    <row r="11605">
      <c r="A11605" t="str">
        <f>IFERROR(__xludf.DUMMYFUNCTION("""COMPUTED_VALUE"""),"NA")</f>
        <v>NA</v>
      </c>
    </row>
    <row r="11606">
      <c r="A11606" t="str">
        <f>IFERROR(__xludf.DUMMYFUNCTION("""COMPUTED_VALUE"""),"NA")</f>
        <v>NA</v>
      </c>
    </row>
    <row r="11607">
      <c r="A11607" t="str">
        <f>IFERROR(__xludf.DUMMYFUNCTION("""COMPUTED_VALUE"""),"NA")</f>
        <v>NA</v>
      </c>
    </row>
    <row r="11608">
      <c r="A11608" t="str">
        <f>IFERROR(__xludf.DUMMYFUNCTION("""COMPUTED_VALUE"""),"NA")</f>
        <v>NA</v>
      </c>
    </row>
    <row r="11609">
      <c r="A11609" t="str">
        <f>IFERROR(__xludf.DUMMYFUNCTION("""COMPUTED_VALUE"""),"NA")</f>
        <v>NA</v>
      </c>
    </row>
    <row r="11610">
      <c r="A11610" t="str">
        <f>IFERROR(__xludf.DUMMYFUNCTION("""COMPUTED_VALUE"""),"NA")</f>
        <v>NA</v>
      </c>
    </row>
    <row r="11611">
      <c r="A11611" t="str">
        <f>IFERROR(__xludf.DUMMYFUNCTION("""COMPUTED_VALUE"""),"NA")</f>
        <v>NA</v>
      </c>
    </row>
    <row r="11612">
      <c r="A11612" t="str">
        <f>IFERROR(__xludf.DUMMYFUNCTION("""COMPUTED_VALUE"""),"NA")</f>
        <v>NA</v>
      </c>
    </row>
    <row r="11613">
      <c r="A11613" t="str">
        <f>IFERROR(__xludf.DUMMYFUNCTION("""COMPUTED_VALUE"""),"NA")</f>
        <v>NA</v>
      </c>
    </row>
    <row r="11614">
      <c r="A11614" t="str">
        <f>IFERROR(__xludf.DUMMYFUNCTION("""COMPUTED_VALUE"""),"NA")</f>
        <v>NA</v>
      </c>
    </row>
    <row r="11615">
      <c r="A11615" t="str">
        <f>IFERROR(__xludf.DUMMYFUNCTION("""COMPUTED_VALUE"""),"NA")</f>
        <v>NA</v>
      </c>
    </row>
    <row r="11616">
      <c r="A11616" t="str">
        <f>IFERROR(__xludf.DUMMYFUNCTION("""COMPUTED_VALUE"""),"NA")</f>
        <v>NA</v>
      </c>
    </row>
    <row r="11617">
      <c r="A11617" t="str">
        <f>IFERROR(__xludf.DUMMYFUNCTION("""COMPUTED_VALUE"""),"NA")</f>
        <v>NA</v>
      </c>
    </row>
    <row r="11618">
      <c r="A11618" t="str">
        <f>IFERROR(__xludf.DUMMYFUNCTION("""COMPUTED_VALUE"""),"NA")</f>
        <v>NA</v>
      </c>
    </row>
    <row r="11619">
      <c r="A11619" t="str">
        <f>IFERROR(__xludf.DUMMYFUNCTION("""COMPUTED_VALUE"""),"NA")</f>
        <v>NA</v>
      </c>
    </row>
    <row r="11620">
      <c r="A11620" t="str">
        <f>IFERROR(__xludf.DUMMYFUNCTION("""COMPUTED_VALUE"""),"NA")</f>
        <v>NA</v>
      </c>
    </row>
    <row r="11621">
      <c r="A11621" t="str">
        <f>IFERROR(__xludf.DUMMYFUNCTION("""COMPUTED_VALUE"""),"NA")</f>
        <v>NA</v>
      </c>
    </row>
    <row r="11622">
      <c r="A11622" t="str">
        <f>IFERROR(__xludf.DUMMYFUNCTION("""COMPUTED_VALUE"""),"NA")</f>
        <v>NA</v>
      </c>
    </row>
    <row r="11623">
      <c r="A11623" t="str">
        <f>IFERROR(__xludf.DUMMYFUNCTION("""COMPUTED_VALUE"""),"NA")</f>
        <v>NA</v>
      </c>
    </row>
    <row r="11624">
      <c r="A11624" t="str">
        <f>IFERROR(__xludf.DUMMYFUNCTION("""COMPUTED_VALUE"""),"NA")</f>
        <v>NA</v>
      </c>
    </row>
    <row r="11625">
      <c r="A11625" t="str">
        <f>IFERROR(__xludf.DUMMYFUNCTION("""COMPUTED_VALUE"""),"NA")</f>
        <v>NA</v>
      </c>
    </row>
    <row r="11626">
      <c r="A11626" t="str">
        <f>IFERROR(__xludf.DUMMYFUNCTION("""COMPUTED_VALUE"""),"NA")</f>
        <v>NA</v>
      </c>
    </row>
    <row r="11627">
      <c r="A11627" t="str">
        <f>IFERROR(__xludf.DUMMYFUNCTION("""COMPUTED_VALUE"""),"NA")</f>
        <v>NA</v>
      </c>
    </row>
    <row r="11628">
      <c r="A11628" t="str">
        <f>IFERROR(__xludf.DUMMYFUNCTION("""COMPUTED_VALUE"""),"NA")</f>
        <v>NA</v>
      </c>
    </row>
    <row r="11629">
      <c r="A11629" t="str">
        <f>IFERROR(__xludf.DUMMYFUNCTION("""COMPUTED_VALUE"""),"NA")</f>
        <v>NA</v>
      </c>
    </row>
    <row r="11630">
      <c r="A11630" t="str">
        <f>IFERROR(__xludf.DUMMYFUNCTION("""COMPUTED_VALUE"""),"NA")</f>
        <v>NA</v>
      </c>
    </row>
    <row r="11631">
      <c r="A11631" t="str">
        <f>IFERROR(__xludf.DUMMYFUNCTION("""COMPUTED_VALUE"""),"NA")</f>
        <v>NA</v>
      </c>
    </row>
    <row r="11632">
      <c r="A11632" t="str">
        <f>IFERROR(__xludf.DUMMYFUNCTION("""COMPUTED_VALUE"""),"NA")</f>
        <v>NA</v>
      </c>
    </row>
    <row r="11633">
      <c r="A11633" t="str">
        <f>IFERROR(__xludf.DUMMYFUNCTION("""COMPUTED_VALUE"""),"NA")</f>
        <v>NA</v>
      </c>
    </row>
    <row r="11634">
      <c r="A11634" t="str">
        <f>IFERROR(__xludf.DUMMYFUNCTION("""COMPUTED_VALUE"""),"NA")</f>
        <v>NA</v>
      </c>
    </row>
    <row r="11635">
      <c r="A11635" t="str">
        <f>IFERROR(__xludf.DUMMYFUNCTION("""COMPUTED_VALUE"""),"NA")</f>
        <v>NA</v>
      </c>
    </row>
    <row r="11636">
      <c r="A11636" t="str">
        <f>IFERROR(__xludf.DUMMYFUNCTION("""COMPUTED_VALUE"""),"NA")</f>
        <v>NA</v>
      </c>
    </row>
    <row r="11637">
      <c r="A11637" t="str">
        <f>IFERROR(__xludf.DUMMYFUNCTION("""COMPUTED_VALUE"""),"NA")</f>
        <v>NA</v>
      </c>
    </row>
    <row r="11638">
      <c r="A11638" t="str">
        <f>IFERROR(__xludf.DUMMYFUNCTION("""COMPUTED_VALUE"""),"NA")</f>
        <v>NA</v>
      </c>
    </row>
    <row r="11639">
      <c r="A11639" t="str">
        <f>IFERROR(__xludf.DUMMYFUNCTION("""COMPUTED_VALUE"""),"NA")</f>
        <v>NA</v>
      </c>
    </row>
    <row r="11640">
      <c r="A11640" t="str">
        <f>IFERROR(__xludf.DUMMYFUNCTION("""COMPUTED_VALUE"""),"NA")</f>
        <v>NA</v>
      </c>
    </row>
    <row r="11641">
      <c r="A11641" t="str">
        <f>IFERROR(__xludf.DUMMYFUNCTION("""COMPUTED_VALUE"""),"NA")</f>
        <v>NA</v>
      </c>
    </row>
    <row r="11642">
      <c r="A11642" t="str">
        <f>IFERROR(__xludf.DUMMYFUNCTION("""COMPUTED_VALUE"""),"NA")</f>
        <v>NA</v>
      </c>
    </row>
    <row r="11643">
      <c r="A11643" t="str">
        <f>IFERROR(__xludf.DUMMYFUNCTION("""COMPUTED_VALUE"""),"NA")</f>
        <v>NA</v>
      </c>
    </row>
    <row r="11644">
      <c r="A11644" t="str">
        <f>IFERROR(__xludf.DUMMYFUNCTION("""COMPUTED_VALUE"""),"NA")</f>
        <v>NA</v>
      </c>
    </row>
    <row r="11645">
      <c r="A11645" t="str">
        <f>IFERROR(__xludf.DUMMYFUNCTION("""COMPUTED_VALUE"""),"NA")</f>
        <v>NA</v>
      </c>
    </row>
    <row r="11646">
      <c r="A11646" t="str">
        <f>IFERROR(__xludf.DUMMYFUNCTION("""COMPUTED_VALUE"""),"NA")</f>
        <v>NA</v>
      </c>
    </row>
    <row r="11647">
      <c r="A11647" t="str">
        <f>IFERROR(__xludf.DUMMYFUNCTION("""COMPUTED_VALUE"""),"NA")</f>
        <v>NA</v>
      </c>
    </row>
    <row r="11648">
      <c r="A11648" t="str">
        <f>IFERROR(__xludf.DUMMYFUNCTION("""COMPUTED_VALUE"""),"NA")</f>
        <v>NA</v>
      </c>
    </row>
    <row r="11649">
      <c r="A11649" t="str">
        <f>IFERROR(__xludf.DUMMYFUNCTION("""COMPUTED_VALUE"""),"NA")</f>
        <v>NA</v>
      </c>
    </row>
    <row r="11650">
      <c r="A11650" t="str">
        <f>IFERROR(__xludf.DUMMYFUNCTION("""COMPUTED_VALUE"""),"NA")</f>
        <v>NA</v>
      </c>
    </row>
    <row r="11651">
      <c r="A11651" t="str">
        <f>IFERROR(__xludf.DUMMYFUNCTION("""COMPUTED_VALUE"""),"NA")</f>
        <v>NA</v>
      </c>
    </row>
    <row r="11652">
      <c r="A11652" t="str">
        <f>IFERROR(__xludf.DUMMYFUNCTION("""COMPUTED_VALUE"""),"NA")</f>
        <v>NA</v>
      </c>
    </row>
    <row r="11653">
      <c r="A11653" t="str">
        <f>IFERROR(__xludf.DUMMYFUNCTION("""COMPUTED_VALUE"""),"NA")</f>
        <v>NA</v>
      </c>
    </row>
    <row r="11654">
      <c r="A11654" t="str">
        <f>IFERROR(__xludf.DUMMYFUNCTION("""COMPUTED_VALUE"""),"NA")</f>
        <v>NA</v>
      </c>
    </row>
    <row r="11655">
      <c r="A11655" t="str">
        <f>IFERROR(__xludf.DUMMYFUNCTION("""COMPUTED_VALUE"""),"NA")</f>
        <v>NA</v>
      </c>
    </row>
    <row r="11656">
      <c r="A11656" t="str">
        <f>IFERROR(__xludf.DUMMYFUNCTION("""COMPUTED_VALUE"""),"NA")</f>
        <v>NA</v>
      </c>
    </row>
    <row r="11657">
      <c r="A11657" t="str">
        <f>IFERROR(__xludf.DUMMYFUNCTION("""COMPUTED_VALUE"""),"NA")</f>
        <v>NA</v>
      </c>
    </row>
    <row r="11658">
      <c r="A11658" t="str">
        <f>IFERROR(__xludf.DUMMYFUNCTION("""COMPUTED_VALUE"""),"NA")</f>
        <v>NA</v>
      </c>
    </row>
    <row r="11659">
      <c r="A11659" t="str">
        <f>IFERROR(__xludf.DUMMYFUNCTION("""COMPUTED_VALUE"""),"NA")</f>
        <v>NA</v>
      </c>
    </row>
    <row r="11660">
      <c r="A11660" t="str">
        <f>IFERROR(__xludf.DUMMYFUNCTION("""COMPUTED_VALUE"""),"NA")</f>
        <v>NA</v>
      </c>
    </row>
    <row r="11661">
      <c r="A11661" t="str">
        <f>IFERROR(__xludf.DUMMYFUNCTION("""COMPUTED_VALUE"""),"NA")</f>
        <v>NA</v>
      </c>
    </row>
    <row r="11662">
      <c r="A11662" t="str">
        <f>IFERROR(__xludf.DUMMYFUNCTION("""COMPUTED_VALUE"""),"NA")</f>
        <v>NA</v>
      </c>
    </row>
    <row r="11663">
      <c r="A11663" t="str">
        <f>IFERROR(__xludf.DUMMYFUNCTION("""COMPUTED_VALUE"""),"NA")</f>
        <v>NA</v>
      </c>
    </row>
    <row r="11664">
      <c r="A11664" t="str">
        <f>IFERROR(__xludf.DUMMYFUNCTION("""COMPUTED_VALUE"""),"NA")</f>
        <v>NA</v>
      </c>
    </row>
    <row r="11665">
      <c r="A11665" t="str">
        <f>IFERROR(__xludf.DUMMYFUNCTION("""COMPUTED_VALUE"""),"NA")</f>
        <v>NA</v>
      </c>
    </row>
    <row r="11666">
      <c r="A11666" t="str">
        <f>IFERROR(__xludf.DUMMYFUNCTION("""COMPUTED_VALUE"""),"NA")</f>
        <v>NA</v>
      </c>
    </row>
    <row r="11667">
      <c r="A11667" t="str">
        <f>IFERROR(__xludf.DUMMYFUNCTION("""COMPUTED_VALUE"""),"NA")</f>
        <v>NA</v>
      </c>
    </row>
    <row r="11668">
      <c r="A11668" t="str">
        <f>IFERROR(__xludf.DUMMYFUNCTION("""COMPUTED_VALUE"""),"NA")</f>
        <v>NA</v>
      </c>
    </row>
    <row r="11669">
      <c r="A11669" t="str">
        <f>IFERROR(__xludf.DUMMYFUNCTION("""COMPUTED_VALUE"""),"NA")</f>
        <v>NA</v>
      </c>
    </row>
    <row r="11670">
      <c r="A11670" t="str">
        <f>IFERROR(__xludf.DUMMYFUNCTION("""COMPUTED_VALUE"""),"NA")</f>
        <v>NA</v>
      </c>
    </row>
    <row r="11671">
      <c r="A11671" t="str">
        <f>IFERROR(__xludf.DUMMYFUNCTION("""COMPUTED_VALUE"""),"NA")</f>
        <v>NA</v>
      </c>
    </row>
    <row r="11672">
      <c r="A11672" t="str">
        <f>IFERROR(__xludf.DUMMYFUNCTION("""COMPUTED_VALUE"""),"NA")</f>
        <v>NA</v>
      </c>
    </row>
    <row r="11673">
      <c r="A11673" t="str">
        <f>IFERROR(__xludf.DUMMYFUNCTION("""COMPUTED_VALUE"""),"NA")</f>
        <v>NA</v>
      </c>
    </row>
    <row r="11674">
      <c r="A11674" t="str">
        <f>IFERROR(__xludf.DUMMYFUNCTION("""COMPUTED_VALUE"""),"NA")</f>
        <v>NA</v>
      </c>
    </row>
    <row r="11675">
      <c r="A11675" t="str">
        <f>IFERROR(__xludf.DUMMYFUNCTION("""COMPUTED_VALUE"""),"NA")</f>
        <v>NA</v>
      </c>
    </row>
    <row r="11676">
      <c r="A11676" t="str">
        <f>IFERROR(__xludf.DUMMYFUNCTION("""COMPUTED_VALUE"""),"NA")</f>
        <v>NA</v>
      </c>
    </row>
    <row r="11677">
      <c r="A11677" t="str">
        <f>IFERROR(__xludf.DUMMYFUNCTION("""COMPUTED_VALUE"""),"NA")</f>
        <v>NA</v>
      </c>
    </row>
    <row r="11678">
      <c r="A11678" t="str">
        <f>IFERROR(__xludf.DUMMYFUNCTION("""COMPUTED_VALUE"""),"NA")</f>
        <v>NA</v>
      </c>
    </row>
    <row r="11679">
      <c r="A11679" t="str">
        <f>IFERROR(__xludf.DUMMYFUNCTION("""COMPUTED_VALUE"""),"NA")</f>
        <v>NA</v>
      </c>
    </row>
    <row r="11680">
      <c r="A11680" t="str">
        <f>IFERROR(__xludf.DUMMYFUNCTION("""COMPUTED_VALUE"""),"NA")</f>
        <v>NA</v>
      </c>
    </row>
    <row r="11681">
      <c r="A11681" t="str">
        <f>IFERROR(__xludf.DUMMYFUNCTION("""COMPUTED_VALUE"""),"NA")</f>
        <v>NA</v>
      </c>
    </row>
    <row r="11682">
      <c r="A11682" t="str">
        <f>IFERROR(__xludf.DUMMYFUNCTION("""COMPUTED_VALUE"""),"NA")</f>
        <v>NA</v>
      </c>
    </row>
    <row r="11683">
      <c r="A11683" t="str">
        <f>IFERROR(__xludf.DUMMYFUNCTION("""COMPUTED_VALUE"""),"NA")</f>
        <v>NA</v>
      </c>
    </row>
    <row r="11684">
      <c r="A11684" t="str">
        <f>IFERROR(__xludf.DUMMYFUNCTION("""COMPUTED_VALUE"""),"NA")</f>
        <v>NA</v>
      </c>
    </row>
    <row r="11685">
      <c r="A11685" t="str">
        <f>IFERROR(__xludf.DUMMYFUNCTION("""COMPUTED_VALUE"""),"NA")</f>
        <v>NA</v>
      </c>
    </row>
    <row r="11686">
      <c r="A11686" t="str">
        <f>IFERROR(__xludf.DUMMYFUNCTION("""COMPUTED_VALUE"""),"NA")</f>
        <v>NA</v>
      </c>
    </row>
    <row r="11687">
      <c r="A11687" t="str">
        <f>IFERROR(__xludf.DUMMYFUNCTION("""COMPUTED_VALUE"""),"NA")</f>
        <v>NA</v>
      </c>
    </row>
    <row r="11688">
      <c r="A11688" t="str">
        <f>IFERROR(__xludf.DUMMYFUNCTION("""COMPUTED_VALUE"""),"NA")</f>
        <v>NA</v>
      </c>
    </row>
    <row r="11689">
      <c r="A11689" t="str">
        <f>IFERROR(__xludf.DUMMYFUNCTION("""COMPUTED_VALUE"""),"NA")</f>
        <v>NA</v>
      </c>
    </row>
    <row r="11690">
      <c r="A11690" t="str">
        <f>IFERROR(__xludf.DUMMYFUNCTION("""COMPUTED_VALUE"""),"NA")</f>
        <v>NA</v>
      </c>
    </row>
    <row r="11691">
      <c r="A11691" t="str">
        <f>IFERROR(__xludf.DUMMYFUNCTION("""COMPUTED_VALUE"""),"NA")</f>
        <v>NA</v>
      </c>
    </row>
    <row r="11692">
      <c r="A11692" t="str">
        <f>IFERROR(__xludf.DUMMYFUNCTION("""COMPUTED_VALUE"""),"NA")</f>
        <v>NA</v>
      </c>
    </row>
    <row r="11693">
      <c r="A11693" t="str">
        <f>IFERROR(__xludf.DUMMYFUNCTION("""COMPUTED_VALUE"""),"NA")</f>
        <v>NA</v>
      </c>
    </row>
    <row r="11694">
      <c r="A11694" t="str">
        <f>IFERROR(__xludf.DUMMYFUNCTION("""COMPUTED_VALUE"""),"NA")</f>
        <v>NA</v>
      </c>
    </row>
    <row r="11695">
      <c r="A11695" t="str">
        <f>IFERROR(__xludf.DUMMYFUNCTION("""COMPUTED_VALUE"""),"NA")</f>
        <v>NA</v>
      </c>
    </row>
    <row r="11696">
      <c r="A11696" t="str">
        <f>IFERROR(__xludf.DUMMYFUNCTION("""COMPUTED_VALUE"""),"NA")</f>
        <v>NA</v>
      </c>
    </row>
    <row r="11697">
      <c r="A11697" t="str">
        <f>IFERROR(__xludf.DUMMYFUNCTION("""COMPUTED_VALUE"""),"NA")</f>
        <v>NA</v>
      </c>
    </row>
    <row r="11698">
      <c r="A11698" t="str">
        <f>IFERROR(__xludf.DUMMYFUNCTION("""COMPUTED_VALUE"""),"NA")</f>
        <v>NA</v>
      </c>
    </row>
    <row r="11699">
      <c r="A11699" t="str">
        <f>IFERROR(__xludf.DUMMYFUNCTION("""COMPUTED_VALUE"""),"NA")</f>
        <v>NA</v>
      </c>
    </row>
    <row r="11700">
      <c r="A11700" t="str">
        <f>IFERROR(__xludf.DUMMYFUNCTION("""COMPUTED_VALUE"""),"NA")</f>
        <v>NA</v>
      </c>
    </row>
    <row r="11701">
      <c r="A11701" t="str">
        <f>IFERROR(__xludf.DUMMYFUNCTION("""COMPUTED_VALUE"""),"NA")</f>
        <v>NA</v>
      </c>
    </row>
    <row r="11702">
      <c r="A11702" t="str">
        <f>IFERROR(__xludf.DUMMYFUNCTION("""COMPUTED_VALUE"""),"NA")</f>
        <v>NA</v>
      </c>
    </row>
    <row r="11703">
      <c r="A11703" t="str">
        <f>IFERROR(__xludf.DUMMYFUNCTION("""COMPUTED_VALUE"""),"NA")</f>
        <v>NA</v>
      </c>
    </row>
    <row r="11704">
      <c r="A11704" t="str">
        <f>IFERROR(__xludf.DUMMYFUNCTION("""COMPUTED_VALUE"""),"NA")</f>
        <v>NA</v>
      </c>
    </row>
    <row r="11705">
      <c r="A11705" t="str">
        <f>IFERROR(__xludf.DUMMYFUNCTION("""COMPUTED_VALUE"""),"NA")</f>
        <v>NA</v>
      </c>
    </row>
    <row r="11706">
      <c r="A11706" t="str">
        <f>IFERROR(__xludf.DUMMYFUNCTION("""COMPUTED_VALUE"""),"NA")</f>
        <v>NA</v>
      </c>
    </row>
    <row r="11707">
      <c r="A11707" t="str">
        <f>IFERROR(__xludf.DUMMYFUNCTION("""COMPUTED_VALUE"""),"NA")</f>
        <v>NA</v>
      </c>
    </row>
    <row r="11708">
      <c r="A11708" t="str">
        <f>IFERROR(__xludf.DUMMYFUNCTION("""COMPUTED_VALUE"""),"NA")</f>
        <v>NA</v>
      </c>
    </row>
    <row r="11709">
      <c r="A11709" t="str">
        <f>IFERROR(__xludf.DUMMYFUNCTION("""COMPUTED_VALUE"""),"NA")</f>
        <v>NA</v>
      </c>
    </row>
    <row r="11710">
      <c r="A11710" t="str">
        <f>IFERROR(__xludf.DUMMYFUNCTION("""COMPUTED_VALUE"""),"NA")</f>
        <v>NA</v>
      </c>
    </row>
    <row r="11711">
      <c r="A11711" t="str">
        <f>IFERROR(__xludf.DUMMYFUNCTION("""COMPUTED_VALUE"""),"NA")</f>
        <v>NA</v>
      </c>
    </row>
    <row r="11712">
      <c r="A11712" t="str">
        <f>IFERROR(__xludf.DUMMYFUNCTION("""COMPUTED_VALUE"""),"NA")</f>
        <v>NA</v>
      </c>
    </row>
    <row r="11713">
      <c r="A11713" t="str">
        <f>IFERROR(__xludf.DUMMYFUNCTION("""COMPUTED_VALUE"""),"NA")</f>
        <v>NA</v>
      </c>
    </row>
    <row r="11714">
      <c r="A11714" t="str">
        <f>IFERROR(__xludf.DUMMYFUNCTION("""COMPUTED_VALUE"""),"NA")</f>
        <v>NA</v>
      </c>
    </row>
    <row r="11715">
      <c r="A11715" t="str">
        <f>IFERROR(__xludf.DUMMYFUNCTION("""COMPUTED_VALUE"""),"NA")</f>
        <v>NA</v>
      </c>
    </row>
    <row r="11716">
      <c r="A11716" t="str">
        <f>IFERROR(__xludf.DUMMYFUNCTION("""COMPUTED_VALUE"""),"NA")</f>
        <v>NA</v>
      </c>
    </row>
    <row r="11717">
      <c r="A11717" t="str">
        <f>IFERROR(__xludf.DUMMYFUNCTION("""COMPUTED_VALUE"""),"NA")</f>
        <v>NA</v>
      </c>
    </row>
    <row r="11718">
      <c r="A11718" t="str">
        <f>IFERROR(__xludf.DUMMYFUNCTION("""COMPUTED_VALUE"""),"NA")</f>
        <v>NA</v>
      </c>
    </row>
    <row r="11719">
      <c r="A11719" t="str">
        <f>IFERROR(__xludf.DUMMYFUNCTION("""COMPUTED_VALUE"""),"NA")</f>
        <v>NA</v>
      </c>
    </row>
    <row r="11720">
      <c r="A11720" t="str">
        <f>IFERROR(__xludf.DUMMYFUNCTION("""COMPUTED_VALUE"""),"NA")</f>
        <v>NA</v>
      </c>
    </row>
    <row r="11721">
      <c r="A11721" t="str">
        <f>IFERROR(__xludf.DUMMYFUNCTION("""COMPUTED_VALUE"""),"NA")</f>
        <v>NA</v>
      </c>
    </row>
    <row r="11722">
      <c r="A11722" t="str">
        <f>IFERROR(__xludf.DUMMYFUNCTION("""COMPUTED_VALUE"""),"NA")</f>
        <v>NA</v>
      </c>
    </row>
    <row r="11723">
      <c r="A11723" t="str">
        <f>IFERROR(__xludf.DUMMYFUNCTION("""COMPUTED_VALUE"""),"NA")</f>
        <v>NA</v>
      </c>
    </row>
    <row r="11724">
      <c r="A11724" t="str">
        <f>IFERROR(__xludf.DUMMYFUNCTION("""COMPUTED_VALUE"""),"NA")</f>
        <v>NA</v>
      </c>
    </row>
    <row r="11725">
      <c r="A11725" t="str">
        <f>IFERROR(__xludf.DUMMYFUNCTION("""COMPUTED_VALUE"""),"NA")</f>
        <v>NA</v>
      </c>
    </row>
    <row r="11726">
      <c r="A11726" t="str">
        <f>IFERROR(__xludf.DUMMYFUNCTION("""COMPUTED_VALUE"""),"NA")</f>
        <v>NA</v>
      </c>
    </row>
    <row r="11727">
      <c r="A11727" t="str">
        <f>IFERROR(__xludf.DUMMYFUNCTION("""COMPUTED_VALUE"""),"NA")</f>
        <v>NA</v>
      </c>
    </row>
    <row r="11728">
      <c r="A11728" t="str">
        <f>IFERROR(__xludf.DUMMYFUNCTION("""COMPUTED_VALUE"""),"NA")</f>
        <v>NA</v>
      </c>
    </row>
    <row r="11729">
      <c r="A11729" t="str">
        <f>IFERROR(__xludf.DUMMYFUNCTION("""COMPUTED_VALUE"""),"NA")</f>
        <v>NA</v>
      </c>
    </row>
    <row r="11730">
      <c r="A11730" t="str">
        <f>IFERROR(__xludf.DUMMYFUNCTION("""COMPUTED_VALUE"""),"NA")</f>
        <v>NA</v>
      </c>
    </row>
    <row r="11731">
      <c r="A11731" t="str">
        <f>IFERROR(__xludf.DUMMYFUNCTION("""COMPUTED_VALUE"""),"NA")</f>
        <v>NA</v>
      </c>
    </row>
    <row r="11732">
      <c r="A11732" t="str">
        <f>IFERROR(__xludf.DUMMYFUNCTION("""COMPUTED_VALUE"""),"NA")</f>
        <v>NA</v>
      </c>
    </row>
    <row r="11733">
      <c r="A11733" t="str">
        <f>IFERROR(__xludf.DUMMYFUNCTION("""COMPUTED_VALUE"""),"NA")</f>
        <v>NA</v>
      </c>
    </row>
    <row r="11734">
      <c r="A11734" t="str">
        <f>IFERROR(__xludf.DUMMYFUNCTION("""COMPUTED_VALUE"""),"NA")</f>
        <v>NA</v>
      </c>
    </row>
    <row r="11735">
      <c r="A11735" t="str">
        <f>IFERROR(__xludf.DUMMYFUNCTION("""COMPUTED_VALUE"""),"NA")</f>
        <v>NA</v>
      </c>
    </row>
    <row r="11736">
      <c r="A11736" t="str">
        <f>IFERROR(__xludf.DUMMYFUNCTION("""COMPUTED_VALUE"""),"NA")</f>
        <v>NA</v>
      </c>
    </row>
    <row r="11737">
      <c r="A11737" t="str">
        <f>IFERROR(__xludf.DUMMYFUNCTION("""COMPUTED_VALUE"""),"NA")</f>
        <v>NA</v>
      </c>
    </row>
    <row r="11738">
      <c r="A11738" t="str">
        <f>IFERROR(__xludf.DUMMYFUNCTION("""COMPUTED_VALUE"""),"NA")</f>
        <v>NA</v>
      </c>
    </row>
    <row r="11739">
      <c r="A11739" t="str">
        <f>IFERROR(__xludf.DUMMYFUNCTION("""COMPUTED_VALUE"""),"NA")</f>
        <v>NA</v>
      </c>
    </row>
    <row r="11740">
      <c r="A11740" t="str">
        <f>IFERROR(__xludf.DUMMYFUNCTION("""COMPUTED_VALUE"""),"NA")</f>
        <v>NA</v>
      </c>
    </row>
    <row r="11741">
      <c r="A11741" t="str">
        <f>IFERROR(__xludf.DUMMYFUNCTION("""COMPUTED_VALUE"""),"NA")</f>
        <v>NA</v>
      </c>
    </row>
    <row r="11742">
      <c r="A11742" t="str">
        <f>IFERROR(__xludf.DUMMYFUNCTION("""COMPUTED_VALUE"""),"NA")</f>
        <v>NA</v>
      </c>
    </row>
    <row r="11743">
      <c r="A11743" t="str">
        <f>IFERROR(__xludf.DUMMYFUNCTION("""COMPUTED_VALUE"""),"NA")</f>
        <v>NA</v>
      </c>
    </row>
    <row r="11744">
      <c r="A11744" t="str">
        <f>IFERROR(__xludf.DUMMYFUNCTION("""COMPUTED_VALUE"""),"NA")</f>
        <v>NA</v>
      </c>
    </row>
    <row r="11745">
      <c r="A11745" t="str">
        <f>IFERROR(__xludf.DUMMYFUNCTION("""COMPUTED_VALUE"""),"NA")</f>
        <v>NA</v>
      </c>
    </row>
    <row r="11746">
      <c r="A11746" t="str">
        <f>IFERROR(__xludf.DUMMYFUNCTION("""COMPUTED_VALUE"""),"NA")</f>
        <v>NA</v>
      </c>
    </row>
    <row r="11747">
      <c r="A11747" t="str">
        <f>IFERROR(__xludf.DUMMYFUNCTION("""COMPUTED_VALUE"""),"NA")</f>
        <v>NA</v>
      </c>
    </row>
    <row r="11748">
      <c r="A11748" t="str">
        <f>IFERROR(__xludf.DUMMYFUNCTION("""COMPUTED_VALUE"""),"NA")</f>
        <v>NA</v>
      </c>
    </row>
    <row r="11749">
      <c r="A11749" t="str">
        <f>IFERROR(__xludf.DUMMYFUNCTION("""COMPUTED_VALUE"""),"NA")</f>
        <v>NA</v>
      </c>
    </row>
    <row r="11750">
      <c r="A11750" t="str">
        <f>IFERROR(__xludf.DUMMYFUNCTION("""COMPUTED_VALUE"""),"NA")</f>
        <v>NA</v>
      </c>
    </row>
    <row r="11751">
      <c r="A11751" t="str">
        <f>IFERROR(__xludf.DUMMYFUNCTION("""COMPUTED_VALUE"""),"NA")</f>
        <v>NA</v>
      </c>
    </row>
    <row r="11752">
      <c r="A11752" t="str">
        <f>IFERROR(__xludf.DUMMYFUNCTION("""COMPUTED_VALUE"""),"NA")</f>
        <v>NA</v>
      </c>
    </row>
    <row r="11753">
      <c r="A11753" t="str">
        <f>IFERROR(__xludf.DUMMYFUNCTION("""COMPUTED_VALUE"""),"NA")</f>
        <v>NA</v>
      </c>
    </row>
    <row r="11754">
      <c r="A11754" t="str">
        <f>IFERROR(__xludf.DUMMYFUNCTION("""COMPUTED_VALUE"""),"NA")</f>
        <v>NA</v>
      </c>
    </row>
    <row r="11755">
      <c r="A11755" t="str">
        <f>IFERROR(__xludf.DUMMYFUNCTION("""COMPUTED_VALUE"""),"NA")</f>
        <v>NA</v>
      </c>
    </row>
    <row r="11756">
      <c r="A11756" t="str">
        <f>IFERROR(__xludf.DUMMYFUNCTION("""COMPUTED_VALUE"""),"NA")</f>
        <v>NA</v>
      </c>
    </row>
    <row r="11757">
      <c r="A11757" t="str">
        <f>IFERROR(__xludf.DUMMYFUNCTION("""COMPUTED_VALUE"""),"NA")</f>
        <v>NA</v>
      </c>
    </row>
    <row r="11758">
      <c r="A11758" t="str">
        <f>IFERROR(__xludf.DUMMYFUNCTION("""COMPUTED_VALUE"""),"NA")</f>
        <v>NA</v>
      </c>
    </row>
    <row r="11759">
      <c r="A11759" t="str">
        <f>IFERROR(__xludf.DUMMYFUNCTION("""COMPUTED_VALUE"""),"NA")</f>
        <v>NA</v>
      </c>
    </row>
    <row r="11760">
      <c r="A11760" t="str">
        <f>IFERROR(__xludf.DUMMYFUNCTION("""COMPUTED_VALUE"""),"NA")</f>
        <v>NA</v>
      </c>
    </row>
    <row r="11761">
      <c r="A11761" t="str">
        <f>IFERROR(__xludf.DUMMYFUNCTION("""COMPUTED_VALUE"""),"NA")</f>
        <v>NA</v>
      </c>
    </row>
    <row r="11762">
      <c r="A11762" t="str">
        <f>IFERROR(__xludf.DUMMYFUNCTION("""COMPUTED_VALUE"""),"NA")</f>
        <v>NA</v>
      </c>
    </row>
    <row r="11763">
      <c r="A11763" t="str">
        <f>IFERROR(__xludf.DUMMYFUNCTION("""COMPUTED_VALUE"""),"NA")</f>
        <v>NA</v>
      </c>
    </row>
    <row r="11764">
      <c r="A11764" t="str">
        <f>IFERROR(__xludf.DUMMYFUNCTION("""COMPUTED_VALUE"""),"NA")</f>
        <v>NA</v>
      </c>
    </row>
    <row r="11765">
      <c r="A11765" t="str">
        <f>IFERROR(__xludf.DUMMYFUNCTION("""COMPUTED_VALUE"""),"NA")</f>
        <v>NA</v>
      </c>
    </row>
    <row r="11766">
      <c r="A11766" t="str">
        <f>IFERROR(__xludf.DUMMYFUNCTION("""COMPUTED_VALUE"""),"NA")</f>
        <v>NA</v>
      </c>
    </row>
    <row r="11767">
      <c r="A11767" t="str">
        <f>IFERROR(__xludf.DUMMYFUNCTION("""COMPUTED_VALUE"""),"NA")</f>
        <v>NA</v>
      </c>
    </row>
    <row r="11768">
      <c r="A11768" t="str">
        <f>IFERROR(__xludf.DUMMYFUNCTION("""COMPUTED_VALUE"""),"NA")</f>
        <v>NA</v>
      </c>
    </row>
    <row r="11769">
      <c r="A11769" t="str">
        <f>IFERROR(__xludf.DUMMYFUNCTION("""COMPUTED_VALUE"""),"NA")</f>
        <v>NA</v>
      </c>
    </row>
    <row r="11770">
      <c r="A11770" t="str">
        <f>IFERROR(__xludf.DUMMYFUNCTION("""COMPUTED_VALUE"""),"NA")</f>
        <v>NA</v>
      </c>
    </row>
    <row r="11771">
      <c r="A11771" t="str">
        <f>IFERROR(__xludf.DUMMYFUNCTION("""COMPUTED_VALUE"""),"NA")</f>
        <v>NA</v>
      </c>
    </row>
    <row r="11772">
      <c r="A11772" t="str">
        <f>IFERROR(__xludf.DUMMYFUNCTION("""COMPUTED_VALUE"""),"NA")</f>
        <v>NA</v>
      </c>
    </row>
    <row r="11773">
      <c r="A11773" t="str">
        <f>IFERROR(__xludf.DUMMYFUNCTION("""COMPUTED_VALUE"""),"NA")</f>
        <v>NA</v>
      </c>
    </row>
    <row r="11774">
      <c r="A11774" t="str">
        <f>IFERROR(__xludf.DUMMYFUNCTION("""COMPUTED_VALUE"""),"NA")</f>
        <v>NA</v>
      </c>
    </row>
    <row r="11775">
      <c r="A11775" t="str">
        <f>IFERROR(__xludf.DUMMYFUNCTION("""COMPUTED_VALUE"""),"NA")</f>
        <v>NA</v>
      </c>
    </row>
    <row r="11776">
      <c r="A11776" t="str">
        <f>IFERROR(__xludf.DUMMYFUNCTION("""COMPUTED_VALUE"""),"NA")</f>
        <v>NA</v>
      </c>
    </row>
    <row r="11777">
      <c r="A11777" t="str">
        <f>IFERROR(__xludf.DUMMYFUNCTION("""COMPUTED_VALUE"""),"NA")</f>
        <v>NA</v>
      </c>
    </row>
    <row r="11778">
      <c r="A11778" t="str">
        <f>IFERROR(__xludf.DUMMYFUNCTION("""COMPUTED_VALUE"""),"NA")</f>
        <v>NA</v>
      </c>
    </row>
    <row r="11779">
      <c r="A11779" t="str">
        <f>IFERROR(__xludf.DUMMYFUNCTION("""COMPUTED_VALUE"""),"NA")</f>
        <v>NA</v>
      </c>
    </row>
    <row r="11780">
      <c r="A11780" t="str">
        <f>IFERROR(__xludf.DUMMYFUNCTION("""COMPUTED_VALUE"""),"NA")</f>
        <v>NA</v>
      </c>
    </row>
    <row r="11781">
      <c r="A11781" t="str">
        <f>IFERROR(__xludf.DUMMYFUNCTION("""COMPUTED_VALUE"""),"NA")</f>
        <v>NA</v>
      </c>
    </row>
    <row r="11782">
      <c r="A11782" t="str">
        <f>IFERROR(__xludf.DUMMYFUNCTION("""COMPUTED_VALUE"""),"NA")</f>
        <v>NA</v>
      </c>
    </row>
    <row r="11783">
      <c r="A11783" t="str">
        <f>IFERROR(__xludf.DUMMYFUNCTION("""COMPUTED_VALUE"""),"NA")</f>
        <v>NA</v>
      </c>
    </row>
    <row r="11784">
      <c r="A11784" t="str">
        <f>IFERROR(__xludf.DUMMYFUNCTION("""COMPUTED_VALUE"""),"NA")</f>
        <v>NA</v>
      </c>
    </row>
    <row r="11785">
      <c r="A11785" t="str">
        <f>IFERROR(__xludf.DUMMYFUNCTION("""COMPUTED_VALUE"""),"NA")</f>
        <v>NA</v>
      </c>
    </row>
    <row r="11786">
      <c r="A11786" t="str">
        <f>IFERROR(__xludf.DUMMYFUNCTION("""COMPUTED_VALUE"""),"NA")</f>
        <v>NA</v>
      </c>
    </row>
    <row r="11787">
      <c r="A11787" t="str">
        <f>IFERROR(__xludf.DUMMYFUNCTION("""COMPUTED_VALUE"""),"NA")</f>
        <v>NA</v>
      </c>
    </row>
    <row r="11788">
      <c r="A11788" t="str">
        <f>IFERROR(__xludf.DUMMYFUNCTION("""COMPUTED_VALUE"""),"NA")</f>
        <v>NA</v>
      </c>
    </row>
    <row r="11789">
      <c r="A11789" t="str">
        <f>IFERROR(__xludf.DUMMYFUNCTION("""COMPUTED_VALUE"""),"NA")</f>
        <v>NA</v>
      </c>
    </row>
    <row r="11790">
      <c r="A11790" t="str">
        <f>IFERROR(__xludf.DUMMYFUNCTION("""COMPUTED_VALUE"""),"NA")</f>
        <v>NA</v>
      </c>
    </row>
    <row r="11791">
      <c r="A11791" t="str">
        <f>IFERROR(__xludf.DUMMYFUNCTION("""COMPUTED_VALUE"""),"NA")</f>
        <v>NA</v>
      </c>
    </row>
    <row r="11792">
      <c r="A11792" t="str">
        <f>IFERROR(__xludf.DUMMYFUNCTION("""COMPUTED_VALUE"""),"NA")</f>
        <v>NA</v>
      </c>
    </row>
    <row r="11793">
      <c r="A11793" t="str">
        <f>IFERROR(__xludf.DUMMYFUNCTION("""COMPUTED_VALUE"""),"NA")</f>
        <v>NA</v>
      </c>
    </row>
    <row r="11794">
      <c r="A11794" t="str">
        <f>IFERROR(__xludf.DUMMYFUNCTION("""COMPUTED_VALUE"""),"NA")</f>
        <v>NA</v>
      </c>
    </row>
    <row r="11795">
      <c r="A11795" t="str">
        <f>IFERROR(__xludf.DUMMYFUNCTION("""COMPUTED_VALUE"""),"NA")</f>
        <v>NA</v>
      </c>
    </row>
    <row r="11796">
      <c r="A11796" t="str">
        <f>IFERROR(__xludf.DUMMYFUNCTION("""COMPUTED_VALUE"""),"NA")</f>
        <v>NA</v>
      </c>
    </row>
    <row r="11797">
      <c r="A11797" t="str">
        <f>IFERROR(__xludf.DUMMYFUNCTION("""COMPUTED_VALUE"""),"NA")</f>
        <v>NA</v>
      </c>
    </row>
    <row r="11798">
      <c r="A11798" t="str">
        <f>IFERROR(__xludf.DUMMYFUNCTION("""COMPUTED_VALUE"""),"NA")</f>
        <v>NA</v>
      </c>
    </row>
    <row r="11799">
      <c r="A11799" t="str">
        <f>IFERROR(__xludf.DUMMYFUNCTION("""COMPUTED_VALUE"""),"NA")</f>
        <v>NA</v>
      </c>
    </row>
    <row r="11800">
      <c r="A11800" t="str">
        <f>IFERROR(__xludf.DUMMYFUNCTION("""COMPUTED_VALUE"""),"NA")</f>
        <v>NA</v>
      </c>
    </row>
    <row r="11801">
      <c r="A11801" t="str">
        <f>IFERROR(__xludf.DUMMYFUNCTION("""COMPUTED_VALUE"""),"NA")</f>
        <v>NA</v>
      </c>
    </row>
    <row r="11802">
      <c r="A11802" t="str">
        <f>IFERROR(__xludf.DUMMYFUNCTION("""COMPUTED_VALUE"""),"NA")</f>
        <v>NA</v>
      </c>
    </row>
    <row r="11803">
      <c r="A11803" t="str">
        <f>IFERROR(__xludf.DUMMYFUNCTION("""COMPUTED_VALUE"""),"NA")</f>
        <v>NA</v>
      </c>
    </row>
    <row r="11804">
      <c r="A11804" t="str">
        <f>IFERROR(__xludf.DUMMYFUNCTION("""COMPUTED_VALUE"""),"NA")</f>
        <v>NA</v>
      </c>
    </row>
    <row r="11805">
      <c r="A11805" t="str">
        <f>IFERROR(__xludf.DUMMYFUNCTION("""COMPUTED_VALUE"""),"NA")</f>
        <v>NA</v>
      </c>
    </row>
    <row r="11806">
      <c r="A11806" t="str">
        <f>IFERROR(__xludf.DUMMYFUNCTION("""COMPUTED_VALUE"""),"NA")</f>
        <v>NA</v>
      </c>
    </row>
    <row r="11807">
      <c r="A11807" t="str">
        <f>IFERROR(__xludf.DUMMYFUNCTION("""COMPUTED_VALUE"""),"NA")</f>
        <v>NA</v>
      </c>
    </row>
    <row r="11808">
      <c r="A11808" t="str">
        <f>IFERROR(__xludf.DUMMYFUNCTION("""COMPUTED_VALUE"""),"NA")</f>
        <v>NA</v>
      </c>
    </row>
    <row r="11809">
      <c r="A11809" t="str">
        <f>IFERROR(__xludf.DUMMYFUNCTION("""COMPUTED_VALUE"""),"NA")</f>
        <v>NA</v>
      </c>
    </row>
    <row r="11810">
      <c r="A11810" t="str">
        <f>IFERROR(__xludf.DUMMYFUNCTION("""COMPUTED_VALUE"""),"NA")</f>
        <v>NA</v>
      </c>
    </row>
    <row r="11811">
      <c r="A11811" t="str">
        <f>IFERROR(__xludf.DUMMYFUNCTION("""COMPUTED_VALUE"""),"NA")</f>
        <v>NA</v>
      </c>
    </row>
    <row r="11812">
      <c r="A11812" t="str">
        <f>IFERROR(__xludf.DUMMYFUNCTION("""COMPUTED_VALUE"""),"NA")</f>
        <v>NA</v>
      </c>
    </row>
    <row r="11813">
      <c r="A11813" t="str">
        <f>IFERROR(__xludf.DUMMYFUNCTION("""COMPUTED_VALUE"""),"NA")</f>
        <v>NA</v>
      </c>
    </row>
    <row r="11814">
      <c r="A11814" t="str">
        <f>IFERROR(__xludf.DUMMYFUNCTION("""COMPUTED_VALUE"""),"NA")</f>
        <v>NA</v>
      </c>
    </row>
    <row r="11815">
      <c r="A11815" t="str">
        <f>IFERROR(__xludf.DUMMYFUNCTION("""COMPUTED_VALUE"""),"NA")</f>
        <v>NA</v>
      </c>
    </row>
    <row r="11816">
      <c r="A11816" t="str">
        <f>IFERROR(__xludf.DUMMYFUNCTION("""COMPUTED_VALUE"""),"NA")</f>
        <v>NA</v>
      </c>
    </row>
    <row r="11817">
      <c r="A11817" t="str">
        <f>IFERROR(__xludf.DUMMYFUNCTION("""COMPUTED_VALUE"""),"NA")</f>
        <v>NA</v>
      </c>
    </row>
    <row r="11818">
      <c r="A11818" t="str">
        <f>IFERROR(__xludf.DUMMYFUNCTION("""COMPUTED_VALUE"""),"NA")</f>
        <v>NA</v>
      </c>
    </row>
    <row r="11819">
      <c r="A11819" t="str">
        <f>IFERROR(__xludf.DUMMYFUNCTION("""COMPUTED_VALUE"""),"NA")</f>
        <v>NA</v>
      </c>
    </row>
    <row r="11820">
      <c r="A11820" t="str">
        <f>IFERROR(__xludf.DUMMYFUNCTION("""COMPUTED_VALUE"""),"NA")</f>
        <v>NA</v>
      </c>
    </row>
    <row r="11821">
      <c r="A11821" t="str">
        <f>IFERROR(__xludf.DUMMYFUNCTION("""COMPUTED_VALUE"""),"NA")</f>
        <v>NA</v>
      </c>
    </row>
    <row r="11822">
      <c r="A11822" t="str">
        <f>IFERROR(__xludf.DUMMYFUNCTION("""COMPUTED_VALUE"""),"NA")</f>
        <v>NA</v>
      </c>
    </row>
    <row r="11823">
      <c r="A11823" t="str">
        <f>IFERROR(__xludf.DUMMYFUNCTION("""COMPUTED_VALUE"""),"NA")</f>
        <v>NA</v>
      </c>
    </row>
    <row r="11824">
      <c r="A11824" t="str">
        <f>IFERROR(__xludf.DUMMYFUNCTION("""COMPUTED_VALUE"""),"NA")</f>
        <v>NA</v>
      </c>
    </row>
    <row r="11825">
      <c r="A11825" t="str">
        <f>IFERROR(__xludf.DUMMYFUNCTION("""COMPUTED_VALUE"""),"NA")</f>
        <v>NA</v>
      </c>
    </row>
    <row r="11826">
      <c r="A11826" t="str">
        <f>IFERROR(__xludf.DUMMYFUNCTION("""COMPUTED_VALUE"""),"NA")</f>
        <v>NA</v>
      </c>
    </row>
    <row r="11827">
      <c r="A11827" t="str">
        <f>IFERROR(__xludf.DUMMYFUNCTION("""COMPUTED_VALUE"""),"NA")</f>
        <v>NA</v>
      </c>
    </row>
    <row r="11828">
      <c r="A11828" t="str">
        <f>IFERROR(__xludf.DUMMYFUNCTION("""COMPUTED_VALUE"""),"NA")</f>
        <v>NA</v>
      </c>
    </row>
    <row r="11829">
      <c r="A11829" t="str">
        <f>IFERROR(__xludf.DUMMYFUNCTION("""COMPUTED_VALUE"""),"NA")</f>
        <v>NA</v>
      </c>
    </row>
    <row r="11830">
      <c r="A11830" t="str">
        <f>IFERROR(__xludf.DUMMYFUNCTION("""COMPUTED_VALUE"""),"NA")</f>
        <v>NA</v>
      </c>
    </row>
    <row r="11831">
      <c r="A11831" t="str">
        <f>IFERROR(__xludf.DUMMYFUNCTION("""COMPUTED_VALUE"""),"NA")</f>
        <v>NA</v>
      </c>
    </row>
    <row r="11832">
      <c r="A11832" t="str">
        <f>IFERROR(__xludf.DUMMYFUNCTION("""COMPUTED_VALUE"""),"NA")</f>
        <v>NA</v>
      </c>
    </row>
    <row r="11833">
      <c r="A11833" t="str">
        <f>IFERROR(__xludf.DUMMYFUNCTION("""COMPUTED_VALUE"""),"NA")</f>
        <v>NA</v>
      </c>
    </row>
    <row r="11834">
      <c r="A11834" t="str">
        <f>IFERROR(__xludf.DUMMYFUNCTION("""COMPUTED_VALUE"""),"NA")</f>
        <v>NA</v>
      </c>
    </row>
    <row r="11835">
      <c r="A11835" t="str">
        <f>IFERROR(__xludf.DUMMYFUNCTION("""COMPUTED_VALUE"""),"NA")</f>
        <v>NA</v>
      </c>
    </row>
    <row r="11836">
      <c r="A11836" t="str">
        <f>IFERROR(__xludf.DUMMYFUNCTION("""COMPUTED_VALUE"""),"NA")</f>
        <v>NA</v>
      </c>
    </row>
    <row r="11837">
      <c r="A11837" t="str">
        <f>IFERROR(__xludf.DUMMYFUNCTION("""COMPUTED_VALUE"""),"NA")</f>
        <v>NA</v>
      </c>
    </row>
    <row r="11838">
      <c r="A11838" t="str">
        <f>IFERROR(__xludf.DUMMYFUNCTION("""COMPUTED_VALUE"""),"NA")</f>
        <v>NA</v>
      </c>
    </row>
    <row r="11839">
      <c r="A11839" t="str">
        <f>IFERROR(__xludf.DUMMYFUNCTION("""COMPUTED_VALUE"""),"NA")</f>
        <v>NA</v>
      </c>
    </row>
    <row r="11840">
      <c r="A11840" t="str">
        <f>IFERROR(__xludf.DUMMYFUNCTION("""COMPUTED_VALUE"""),"NA")</f>
        <v>NA</v>
      </c>
    </row>
    <row r="11841">
      <c r="A11841" t="str">
        <f>IFERROR(__xludf.DUMMYFUNCTION("""COMPUTED_VALUE"""),"NA")</f>
        <v>NA</v>
      </c>
    </row>
    <row r="11842">
      <c r="A11842" t="str">
        <f>IFERROR(__xludf.DUMMYFUNCTION("""COMPUTED_VALUE"""),"NA")</f>
        <v>NA</v>
      </c>
    </row>
    <row r="11843">
      <c r="A11843" t="str">
        <f>IFERROR(__xludf.DUMMYFUNCTION("""COMPUTED_VALUE"""),"NA")</f>
        <v>NA</v>
      </c>
    </row>
    <row r="11844">
      <c r="A11844" t="str">
        <f>IFERROR(__xludf.DUMMYFUNCTION("""COMPUTED_VALUE"""),"NA")</f>
        <v>NA</v>
      </c>
    </row>
    <row r="11845">
      <c r="A11845" t="str">
        <f>IFERROR(__xludf.DUMMYFUNCTION("""COMPUTED_VALUE"""),"NA")</f>
        <v>NA</v>
      </c>
    </row>
    <row r="11846">
      <c r="A11846" t="str">
        <f>IFERROR(__xludf.DUMMYFUNCTION("""COMPUTED_VALUE"""),"NA")</f>
        <v>NA</v>
      </c>
    </row>
    <row r="11847">
      <c r="A11847" t="str">
        <f>IFERROR(__xludf.DUMMYFUNCTION("""COMPUTED_VALUE"""),"NA")</f>
        <v>NA</v>
      </c>
    </row>
    <row r="11848">
      <c r="A11848" t="str">
        <f>IFERROR(__xludf.DUMMYFUNCTION("""COMPUTED_VALUE"""),"NA")</f>
        <v>NA</v>
      </c>
    </row>
    <row r="11849">
      <c r="A11849" t="str">
        <f>IFERROR(__xludf.DUMMYFUNCTION("""COMPUTED_VALUE"""),"NA")</f>
        <v>NA</v>
      </c>
    </row>
    <row r="11850">
      <c r="A11850" t="str">
        <f>IFERROR(__xludf.DUMMYFUNCTION("""COMPUTED_VALUE"""),"NA")</f>
        <v>NA</v>
      </c>
    </row>
    <row r="11851">
      <c r="A11851" t="str">
        <f>IFERROR(__xludf.DUMMYFUNCTION("""COMPUTED_VALUE"""),"NA")</f>
        <v>NA</v>
      </c>
    </row>
    <row r="11852">
      <c r="A11852" t="str">
        <f>IFERROR(__xludf.DUMMYFUNCTION("""COMPUTED_VALUE"""),"NA")</f>
        <v>NA</v>
      </c>
    </row>
    <row r="11853">
      <c r="A11853" t="str">
        <f>IFERROR(__xludf.DUMMYFUNCTION("""COMPUTED_VALUE"""),"NA")</f>
        <v>NA</v>
      </c>
    </row>
    <row r="11854">
      <c r="A11854" t="str">
        <f>IFERROR(__xludf.DUMMYFUNCTION("""COMPUTED_VALUE"""),"NA")</f>
        <v>NA</v>
      </c>
    </row>
    <row r="11855">
      <c r="A11855" t="str">
        <f>IFERROR(__xludf.DUMMYFUNCTION("""COMPUTED_VALUE"""),"NA")</f>
        <v>NA</v>
      </c>
    </row>
    <row r="11856">
      <c r="A11856" t="str">
        <f>IFERROR(__xludf.DUMMYFUNCTION("""COMPUTED_VALUE"""),"NA")</f>
        <v>NA</v>
      </c>
    </row>
    <row r="11857">
      <c r="A11857" t="str">
        <f>IFERROR(__xludf.DUMMYFUNCTION("""COMPUTED_VALUE"""),"NA")</f>
        <v>NA</v>
      </c>
    </row>
    <row r="11858">
      <c r="A11858" t="str">
        <f>IFERROR(__xludf.DUMMYFUNCTION("""COMPUTED_VALUE"""),"NA")</f>
        <v>NA</v>
      </c>
    </row>
    <row r="11859">
      <c r="A11859" t="str">
        <f>IFERROR(__xludf.DUMMYFUNCTION("""COMPUTED_VALUE"""),"NA")</f>
        <v>NA</v>
      </c>
    </row>
    <row r="11860">
      <c r="A11860" t="str">
        <f>IFERROR(__xludf.DUMMYFUNCTION("""COMPUTED_VALUE"""),"NA")</f>
        <v>NA</v>
      </c>
    </row>
    <row r="11861">
      <c r="A11861" t="str">
        <f>IFERROR(__xludf.DUMMYFUNCTION("""COMPUTED_VALUE"""),"NA")</f>
        <v>NA</v>
      </c>
    </row>
    <row r="11862">
      <c r="A11862" t="str">
        <f>IFERROR(__xludf.DUMMYFUNCTION("""COMPUTED_VALUE"""),"NA")</f>
        <v>NA</v>
      </c>
    </row>
    <row r="11863">
      <c r="A11863" t="str">
        <f>IFERROR(__xludf.DUMMYFUNCTION("""COMPUTED_VALUE"""),"NA")</f>
        <v>NA</v>
      </c>
    </row>
    <row r="11864">
      <c r="A11864" t="str">
        <f>IFERROR(__xludf.DUMMYFUNCTION("""COMPUTED_VALUE"""),"NA")</f>
        <v>NA</v>
      </c>
    </row>
    <row r="11865">
      <c r="A11865" t="str">
        <f>IFERROR(__xludf.DUMMYFUNCTION("""COMPUTED_VALUE"""),"NA")</f>
        <v>NA</v>
      </c>
    </row>
    <row r="11866">
      <c r="A11866" t="str">
        <f>IFERROR(__xludf.DUMMYFUNCTION("""COMPUTED_VALUE"""),"NA")</f>
        <v>NA</v>
      </c>
    </row>
    <row r="11867">
      <c r="A11867" t="str">
        <f>IFERROR(__xludf.DUMMYFUNCTION("""COMPUTED_VALUE"""),"NA")</f>
        <v>NA</v>
      </c>
    </row>
    <row r="11868">
      <c r="A11868" t="str">
        <f>IFERROR(__xludf.DUMMYFUNCTION("""COMPUTED_VALUE"""),"NA")</f>
        <v>NA</v>
      </c>
    </row>
    <row r="11869">
      <c r="A11869" t="str">
        <f>IFERROR(__xludf.DUMMYFUNCTION("""COMPUTED_VALUE"""),"NA")</f>
        <v>NA</v>
      </c>
    </row>
    <row r="11870">
      <c r="A11870" t="str">
        <f>IFERROR(__xludf.DUMMYFUNCTION("""COMPUTED_VALUE"""),"NA")</f>
        <v>NA</v>
      </c>
    </row>
    <row r="11871">
      <c r="A11871" t="str">
        <f>IFERROR(__xludf.DUMMYFUNCTION("""COMPUTED_VALUE"""),"NA")</f>
        <v>NA</v>
      </c>
    </row>
    <row r="11872">
      <c r="A11872" t="str">
        <f>IFERROR(__xludf.DUMMYFUNCTION("""COMPUTED_VALUE"""),"NA")</f>
        <v>NA</v>
      </c>
    </row>
    <row r="11873">
      <c r="A11873" t="str">
        <f>IFERROR(__xludf.DUMMYFUNCTION("""COMPUTED_VALUE"""),"NA")</f>
        <v>NA</v>
      </c>
    </row>
    <row r="11874">
      <c r="A11874" t="str">
        <f>IFERROR(__xludf.DUMMYFUNCTION("""COMPUTED_VALUE"""),"NA")</f>
        <v>NA</v>
      </c>
    </row>
    <row r="11875">
      <c r="A11875" t="str">
        <f>IFERROR(__xludf.DUMMYFUNCTION("""COMPUTED_VALUE"""),"NA")</f>
        <v>NA</v>
      </c>
    </row>
    <row r="11876">
      <c r="A11876" t="str">
        <f>IFERROR(__xludf.DUMMYFUNCTION("""COMPUTED_VALUE"""),"NA")</f>
        <v>NA</v>
      </c>
    </row>
    <row r="11877">
      <c r="A11877" t="str">
        <f>IFERROR(__xludf.DUMMYFUNCTION("""COMPUTED_VALUE"""),"NA")</f>
        <v>NA</v>
      </c>
    </row>
    <row r="11878">
      <c r="A11878" t="str">
        <f>IFERROR(__xludf.DUMMYFUNCTION("""COMPUTED_VALUE"""),"NA")</f>
        <v>NA</v>
      </c>
    </row>
    <row r="11879">
      <c r="A11879" t="str">
        <f>IFERROR(__xludf.DUMMYFUNCTION("""COMPUTED_VALUE"""),"NA")</f>
        <v>NA</v>
      </c>
    </row>
    <row r="11880">
      <c r="A11880" t="str">
        <f>IFERROR(__xludf.DUMMYFUNCTION("""COMPUTED_VALUE"""),"NA")</f>
        <v>NA</v>
      </c>
    </row>
    <row r="11881">
      <c r="A11881" t="str">
        <f>IFERROR(__xludf.DUMMYFUNCTION("""COMPUTED_VALUE"""),"NA")</f>
        <v>NA</v>
      </c>
    </row>
    <row r="11882">
      <c r="A11882" t="str">
        <f>IFERROR(__xludf.DUMMYFUNCTION("""COMPUTED_VALUE"""),"NA")</f>
        <v>NA</v>
      </c>
    </row>
    <row r="11883">
      <c r="A11883" t="str">
        <f>IFERROR(__xludf.DUMMYFUNCTION("""COMPUTED_VALUE"""),"NA")</f>
        <v>NA</v>
      </c>
    </row>
    <row r="11884">
      <c r="A11884" t="str">
        <f>IFERROR(__xludf.DUMMYFUNCTION("""COMPUTED_VALUE"""),"NA")</f>
        <v>NA</v>
      </c>
    </row>
    <row r="11885">
      <c r="A11885" t="str">
        <f>IFERROR(__xludf.DUMMYFUNCTION("""COMPUTED_VALUE"""),"NA")</f>
        <v>NA</v>
      </c>
    </row>
    <row r="11886">
      <c r="A11886" t="str">
        <f>IFERROR(__xludf.DUMMYFUNCTION("""COMPUTED_VALUE"""),"NA")</f>
        <v>NA</v>
      </c>
    </row>
    <row r="11887">
      <c r="A11887" t="str">
        <f>IFERROR(__xludf.DUMMYFUNCTION("""COMPUTED_VALUE"""),"NA")</f>
        <v>NA</v>
      </c>
    </row>
    <row r="11888">
      <c r="A11888" t="str">
        <f>IFERROR(__xludf.DUMMYFUNCTION("""COMPUTED_VALUE"""),"NA")</f>
        <v>NA</v>
      </c>
    </row>
    <row r="11889">
      <c r="A11889" t="str">
        <f>IFERROR(__xludf.DUMMYFUNCTION("""COMPUTED_VALUE"""),"NA")</f>
        <v>NA</v>
      </c>
    </row>
    <row r="11890">
      <c r="A11890" t="str">
        <f>IFERROR(__xludf.DUMMYFUNCTION("""COMPUTED_VALUE"""),"NA")</f>
        <v>NA</v>
      </c>
    </row>
    <row r="11891">
      <c r="A11891" t="str">
        <f>IFERROR(__xludf.DUMMYFUNCTION("""COMPUTED_VALUE"""),"NA")</f>
        <v>NA</v>
      </c>
    </row>
    <row r="11892">
      <c r="A11892" t="str">
        <f>IFERROR(__xludf.DUMMYFUNCTION("""COMPUTED_VALUE"""),"NA")</f>
        <v>NA</v>
      </c>
    </row>
    <row r="11893">
      <c r="A11893" t="str">
        <f>IFERROR(__xludf.DUMMYFUNCTION("""COMPUTED_VALUE"""),"NA")</f>
        <v>NA</v>
      </c>
    </row>
    <row r="11894">
      <c r="A11894" t="str">
        <f>IFERROR(__xludf.DUMMYFUNCTION("""COMPUTED_VALUE"""),"NA")</f>
        <v>NA</v>
      </c>
    </row>
    <row r="11895">
      <c r="A11895" t="str">
        <f>IFERROR(__xludf.DUMMYFUNCTION("""COMPUTED_VALUE"""),"NA")</f>
        <v>NA</v>
      </c>
    </row>
    <row r="11896">
      <c r="A11896" t="str">
        <f>IFERROR(__xludf.DUMMYFUNCTION("""COMPUTED_VALUE"""),"NA")</f>
        <v>NA</v>
      </c>
    </row>
    <row r="11897">
      <c r="A11897" t="str">
        <f>IFERROR(__xludf.DUMMYFUNCTION("""COMPUTED_VALUE"""),"NA")</f>
        <v>NA</v>
      </c>
    </row>
    <row r="11898">
      <c r="A11898" t="str">
        <f>IFERROR(__xludf.DUMMYFUNCTION("""COMPUTED_VALUE"""),"NA")</f>
        <v>NA</v>
      </c>
    </row>
    <row r="11899">
      <c r="A11899" t="str">
        <f>IFERROR(__xludf.DUMMYFUNCTION("""COMPUTED_VALUE"""),"NA")</f>
        <v>NA</v>
      </c>
    </row>
    <row r="11900">
      <c r="A11900" t="str">
        <f>IFERROR(__xludf.DUMMYFUNCTION("""COMPUTED_VALUE"""),"NA")</f>
        <v>NA</v>
      </c>
    </row>
    <row r="11901">
      <c r="A11901" t="str">
        <f>IFERROR(__xludf.DUMMYFUNCTION("""COMPUTED_VALUE"""),"NA")</f>
        <v>NA</v>
      </c>
    </row>
    <row r="11902">
      <c r="A11902" t="str">
        <f>IFERROR(__xludf.DUMMYFUNCTION("""COMPUTED_VALUE"""),"NA")</f>
        <v>NA</v>
      </c>
    </row>
    <row r="11903">
      <c r="A11903" t="str">
        <f>IFERROR(__xludf.DUMMYFUNCTION("""COMPUTED_VALUE"""),"NA")</f>
        <v>NA</v>
      </c>
    </row>
    <row r="11904">
      <c r="A11904" t="str">
        <f>IFERROR(__xludf.DUMMYFUNCTION("""COMPUTED_VALUE"""),"NA")</f>
        <v>NA</v>
      </c>
    </row>
    <row r="11905">
      <c r="A11905" t="str">
        <f>IFERROR(__xludf.DUMMYFUNCTION("""COMPUTED_VALUE"""),"NA")</f>
        <v>NA</v>
      </c>
    </row>
    <row r="11906">
      <c r="A11906" t="str">
        <f>IFERROR(__xludf.DUMMYFUNCTION("""COMPUTED_VALUE"""),"NA")</f>
        <v>NA</v>
      </c>
    </row>
    <row r="11907">
      <c r="A11907" t="str">
        <f>IFERROR(__xludf.DUMMYFUNCTION("""COMPUTED_VALUE"""),"NA")</f>
        <v>NA</v>
      </c>
    </row>
    <row r="11908">
      <c r="A11908" t="str">
        <f>IFERROR(__xludf.DUMMYFUNCTION("""COMPUTED_VALUE"""),"NA")</f>
        <v>NA</v>
      </c>
    </row>
    <row r="11909">
      <c r="A11909" t="str">
        <f>IFERROR(__xludf.DUMMYFUNCTION("""COMPUTED_VALUE"""),"NA")</f>
        <v>NA</v>
      </c>
    </row>
    <row r="11910">
      <c r="A11910" t="str">
        <f>IFERROR(__xludf.DUMMYFUNCTION("""COMPUTED_VALUE"""),"NA")</f>
        <v>NA</v>
      </c>
    </row>
    <row r="11911">
      <c r="A11911" t="str">
        <f>IFERROR(__xludf.DUMMYFUNCTION("""COMPUTED_VALUE"""),"NA")</f>
        <v>NA</v>
      </c>
    </row>
    <row r="11912">
      <c r="A11912" t="str">
        <f>IFERROR(__xludf.DUMMYFUNCTION("""COMPUTED_VALUE"""),"NA")</f>
        <v>NA</v>
      </c>
    </row>
    <row r="11913">
      <c r="A11913" t="str">
        <f>IFERROR(__xludf.DUMMYFUNCTION("""COMPUTED_VALUE"""),"NA")</f>
        <v>NA</v>
      </c>
    </row>
    <row r="11914">
      <c r="A11914" t="str">
        <f>IFERROR(__xludf.DUMMYFUNCTION("""COMPUTED_VALUE"""),"NA")</f>
        <v>NA</v>
      </c>
    </row>
    <row r="11915">
      <c r="A11915" t="str">
        <f>IFERROR(__xludf.DUMMYFUNCTION("""COMPUTED_VALUE"""),"NA")</f>
        <v>NA</v>
      </c>
    </row>
    <row r="11916">
      <c r="A11916" t="str">
        <f>IFERROR(__xludf.DUMMYFUNCTION("""COMPUTED_VALUE"""),"NA")</f>
        <v>NA</v>
      </c>
    </row>
    <row r="11917">
      <c r="A11917" t="str">
        <f>IFERROR(__xludf.DUMMYFUNCTION("""COMPUTED_VALUE"""),"NA")</f>
        <v>NA</v>
      </c>
    </row>
    <row r="11918">
      <c r="A11918" t="str">
        <f>IFERROR(__xludf.DUMMYFUNCTION("""COMPUTED_VALUE"""),"NA")</f>
        <v>NA</v>
      </c>
    </row>
    <row r="11919">
      <c r="A11919" t="str">
        <f>IFERROR(__xludf.DUMMYFUNCTION("""COMPUTED_VALUE"""),"NA")</f>
        <v>NA</v>
      </c>
    </row>
    <row r="11920">
      <c r="A11920" t="str">
        <f>IFERROR(__xludf.DUMMYFUNCTION("""COMPUTED_VALUE"""),"NA")</f>
        <v>NA</v>
      </c>
    </row>
    <row r="11921">
      <c r="A11921" t="str">
        <f>IFERROR(__xludf.DUMMYFUNCTION("""COMPUTED_VALUE"""),"NA")</f>
        <v>NA</v>
      </c>
    </row>
    <row r="11922">
      <c r="A11922" t="str">
        <f>IFERROR(__xludf.DUMMYFUNCTION("""COMPUTED_VALUE"""),"NA")</f>
        <v>NA</v>
      </c>
    </row>
    <row r="11923">
      <c r="A11923" t="str">
        <f>IFERROR(__xludf.DUMMYFUNCTION("""COMPUTED_VALUE"""),"NA")</f>
        <v>NA</v>
      </c>
    </row>
    <row r="11924">
      <c r="A11924" t="str">
        <f>IFERROR(__xludf.DUMMYFUNCTION("""COMPUTED_VALUE"""),"NA")</f>
        <v>NA</v>
      </c>
    </row>
    <row r="11925">
      <c r="A11925" t="str">
        <f>IFERROR(__xludf.DUMMYFUNCTION("""COMPUTED_VALUE"""),"NA")</f>
        <v>NA</v>
      </c>
    </row>
    <row r="11926">
      <c r="A11926" t="str">
        <f>IFERROR(__xludf.DUMMYFUNCTION("""COMPUTED_VALUE"""),"NA")</f>
        <v>NA</v>
      </c>
    </row>
    <row r="11927">
      <c r="A11927" t="str">
        <f>IFERROR(__xludf.DUMMYFUNCTION("""COMPUTED_VALUE"""),"NA")</f>
        <v>NA</v>
      </c>
    </row>
    <row r="11928">
      <c r="A11928" t="str">
        <f>IFERROR(__xludf.DUMMYFUNCTION("""COMPUTED_VALUE"""),"NA")</f>
        <v>NA</v>
      </c>
    </row>
    <row r="11929">
      <c r="A11929" t="str">
        <f>IFERROR(__xludf.DUMMYFUNCTION("""COMPUTED_VALUE"""),"NA")</f>
        <v>NA</v>
      </c>
    </row>
    <row r="11930">
      <c r="A11930" t="str">
        <f>IFERROR(__xludf.DUMMYFUNCTION("""COMPUTED_VALUE"""),"NA")</f>
        <v>NA</v>
      </c>
    </row>
    <row r="11931">
      <c r="A11931" t="str">
        <f>IFERROR(__xludf.DUMMYFUNCTION("""COMPUTED_VALUE"""),"NA")</f>
        <v>NA</v>
      </c>
    </row>
    <row r="11932">
      <c r="A11932" t="str">
        <f>IFERROR(__xludf.DUMMYFUNCTION("""COMPUTED_VALUE"""),"NA")</f>
        <v>NA</v>
      </c>
    </row>
    <row r="11933">
      <c r="A11933" t="str">
        <f>IFERROR(__xludf.DUMMYFUNCTION("""COMPUTED_VALUE"""),"NA")</f>
        <v>NA</v>
      </c>
    </row>
    <row r="11934">
      <c r="A11934" t="str">
        <f>IFERROR(__xludf.DUMMYFUNCTION("""COMPUTED_VALUE"""),"NA")</f>
        <v>NA</v>
      </c>
    </row>
    <row r="11935">
      <c r="A11935" t="str">
        <f>IFERROR(__xludf.DUMMYFUNCTION("""COMPUTED_VALUE"""),"NA")</f>
        <v>NA</v>
      </c>
    </row>
    <row r="11936">
      <c r="A11936" t="str">
        <f>IFERROR(__xludf.DUMMYFUNCTION("""COMPUTED_VALUE"""),"NA")</f>
        <v>NA</v>
      </c>
    </row>
    <row r="11937">
      <c r="A11937" t="str">
        <f>IFERROR(__xludf.DUMMYFUNCTION("""COMPUTED_VALUE"""),"NA")</f>
        <v>NA</v>
      </c>
    </row>
    <row r="11938">
      <c r="A11938" t="str">
        <f>IFERROR(__xludf.DUMMYFUNCTION("""COMPUTED_VALUE"""),"NA")</f>
        <v>NA</v>
      </c>
    </row>
    <row r="11939">
      <c r="A11939" t="str">
        <f>IFERROR(__xludf.DUMMYFUNCTION("""COMPUTED_VALUE"""),"NA")</f>
        <v>NA</v>
      </c>
    </row>
    <row r="11940">
      <c r="A11940" t="str">
        <f>IFERROR(__xludf.DUMMYFUNCTION("""COMPUTED_VALUE"""),"NA")</f>
        <v>NA</v>
      </c>
    </row>
    <row r="11941">
      <c r="A11941" t="str">
        <f>IFERROR(__xludf.DUMMYFUNCTION("""COMPUTED_VALUE"""),"NA")</f>
        <v>NA</v>
      </c>
    </row>
    <row r="11942">
      <c r="A11942" t="str">
        <f>IFERROR(__xludf.DUMMYFUNCTION("""COMPUTED_VALUE"""),"NA")</f>
        <v>NA</v>
      </c>
    </row>
    <row r="11943">
      <c r="A11943" t="str">
        <f>IFERROR(__xludf.DUMMYFUNCTION("""COMPUTED_VALUE"""),"NA")</f>
        <v>NA</v>
      </c>
    </row>
    <row r="11944">
      <c r="A11944" t="str">
        <f>IFERROR(__xludf.DUMMYFUNCTION("""COMPUTED_VALUE"""),"NA")</f>
        <v>NA</v>
      </c>
    </row>
    <row r="11945">
      <c r="A11945" t="str">
        <f>IFERROR(__xludf.DUMMYFUNCTION("""COMPUTED_VALUE"""),"NA")</f>
        <v>NA</v>
      </c>
    </row>
    <row r="11946">
      <c r="A11946" t="str">
        <f>IFERROR(__xludf.DUMMYFUNCTION("""COMPUTED_VALUE"""),"NA")</f>
        <v>NA</v>
      </c>
    </row>
    <row r="11947">
      <c r="A11947" t="str">
        <f>IFERROR(__xludf.DUMMYFUNCTION("""COMPUTED_VALUE"""),"NA")</f>
        <v>NA</v>
      </c>
    </row>
    <row r="11948">
      <c r="A11948" t="str">
        <f>IFERROR(__xludf.DUMMYFUNCTION("""COMPUTED_VALUE"""),"NA")</f>
        <v>NA</v>
      </c>
    </row>
    <row r="11949">
      <c r="A11949" t="str">
        <f>IFERROR(__xludf.DUMMYFUNCTION("""COMPUTED_VALUE"""),"NA")</f>
        <v>NA</v>
      </c>
    </row>
    <row r="11950">
      <c r="A11950" t="str">
        <f>IFERROR(__xludf.DUMMYFUNCTION("""COMPUTED_VALUE"""),"NA")</f>
        <v>NA</v>
      </c>
    </row>
    <row r="11951">
      <c r="A11951" t="str">
        <f>IFERROR(__xludf.DUMMYFUNCTION("""COMPUTED_VALUE"""),"NA")</f>
        <v>NA</v>
      </c>
    </row>
    <row r="11952">
      <c r="A11952" t="str">
        <f>IFERROR(__xludf.DUMMYFUNCTION("""COMPUTED_VALUE"""),"NA")</f>
        <v>NA</v>
      </c>
    </row>
    <row r="11953">
      <c r="A11953" t="str">
        <f>IFERROR(__xludf.DUMMYFUNCTION("""COMPUTED_VALUE"""),"NA")</f>
        <v>NA</v>
      </c>
    </row>
    <row r="11954">
      <c r="A11954" t="str">
        <f>IFERROR(__xludf.DUMMYFUNCTION("""COMPUTED_VALUE"""),"NA")</f>
        <v>NA</v>
      </c>
    </row>
    <row r="11955">
      <c r="A11955" t="str">
        <f>IFERROR(__xludf.DUMMYFUNCTION("""COMPUTED_VALUE"""),"NA")</f>
        <v>NA</v>
      </c>
    </row>
    <row r="11956">
      <c r="A11956" t="str">
        <f>IFERROR(__xludf.DUMMYFUNCTION("""COMPUTED_VALUE"""),"NA")</f>
        <v>NA</v>
      </c>
    </row>
    <row r="11957">
      <c r="A11957" t="str">
        <f>IFERROR(__xludf.DUMMYFUNCTION("""COMPUTED_VALUE"""),"NA")</f>
        <v>NA</v>
      </c>
    </row>
    <row r="11958">
      <c r="A11958" t="str">
        <f>IFERROR(__xludf.DUMMYFUNCTION("""COMPUTED_VALUE"""),"NA")</f>
        <v>NA</v>
      </c>
    </row>
    <row r="11959">
      <c r="A11959" t="str">
        <f>IFERROR(__xludf.DUMMYFUNCTION("""COMPUTED_VALUE"""),"NA")</f>
        <v>NA</v>
      </c>
    </row>
    <row r="11960">
      <c r="A11960" t="str">
        <f>IFERROR(__xludf.DUMMYFUNCTION("""COMPUTED_VALUE"""),"NA")</f>
        <v>NA</v>
      </c>
    </row>
    <row r="11961">
      <c r="A11961" t="str">
        <f>IFERROR(__xludf.DUMMYFUNCTION("""COMPUTED_VALUE"""),"NA")</f>
        <v>NA</v>
      </c>
    </row>
    <row r="11962">
      <c r="A11962" t="str">
        <f>IFERROR(__xludf.DUMMYFUNCTION("""COMPUTED_VALUE"""),"NA")</f>
        <v>NA</v>
      </c>
    </row>
    <row r="11963">
      <c r="A11963" t="str">
        <f>IFERROR(__xludf.DUMMYFUNCTION("""COMPUTED_VALUE"""),"NA")</f>
        <v>NA</v>
      </c>
    </row>
    <row r="11964">
      <c r="A11964" t="str">
        <f>IFERROR(__xludf.DUMMYFUNCTION("""COMPUTED_VALUE"""),"NA")</f>
        <v>NA</v>
      </c>
    </row>
    <row r="11965">
      <c r="A11965" t="str">
        <f>IFERROR(__xludf.DUMMYFUNCTION("""COMPUTED_VALUE"""),"NA")</f>
        <v>NA</v>
      </c>
    </row>
    <row r="11966">
      <c r="A11966" t="str">
        <f>IFERROR(__xludf.DUMMYFUNCTION("""COMPUTED_VALUE"""),"NA")</f>
        <v>NA</v>
      </c>
    </row>
    <row r="11967">
      <c r="A11967" t="str">
        <f>IFERROR(__xludf.DUMMYFUNCTION("""COMPUTED_VALUE"""),"NA")</f>
        <v>NA</v>
      </c>
    </row>
    <row r="11968">
      <c r="A11968" t="str">
        <f>IFERROR(__xludf.DUMMYFUNCTION("""COMPUTED_VALUE"""),"NA")</f>
        <v>NA</v>
      </c>
    </row>
    <row r="11969">
      <c r="A11969" t="str">
        <f>IFERROR(__xludf.DUMMYFUNCTION("""COMPUTED_VALUE"""),"NA")</f>
        <v>NA</v>
      </c>
    </row>
    <row r="11970">
      <c r="A11970" t="str">
        <f>IFERROR(__xludf.DUMMYFUNCTION("""COMPUTED_VALUE"""),"NA")</f>
        <v>NA</v>
      </c>
    </row>
    <row r="11971">
      <c r="A11971" t="str">
        <f>IFERROR(__xludf.DUMMYFUNCTION("""COMPUTED_VALUE"""),"NA")</f>
        <v>NA</v>
      </c>
    </row>
    <row r="11972">
      <c r="A11972" t="str">
        <f>IFERROR(__xludf.DUMMYFUNCTION("""COMPUTED_VALUE"""),"NA")</f>
        <v>NA</v>
      </c>
    </row>
    <row r="11973">
      <c r="A11973" t="str">
        <f>IFERROR(__xludf.DUMMYFUNCTION("""COMPUTED_VALUE"""),"NA")</f>
        <v>NA</v>
      </c>
    </row>
    <row r="11974">
      <c r="A11974" t="str">
        <f>IFERROR(__xludf.DUMMYFUNCTION("""COMPUTED_VALUE"""),"NA")</f>
        <v>NA</v>
      </c>
    </row>
    <row r="11975">
      <c r="A11975" t="str">
        <f>IFERROR(__xludf.DUMMYFUNCTION("""COMPUTED_VALUE"""),"NA")</f>
        <v>NA</v>
      </c>
    </row>
    <row r="11976">
      <c r="A11976" t="str">
        <f>IFERROR(__xludf.DUMMYFUNCTION("""COMPUTED_VALUE"""),"NA")</f>
        <v>NA</v>
      </c>
    </row>
    <row r="11977">
      <c r="A11977" t="str">
        <f>IFERROR(__xludf.DUMMYFUNCTION("""COMPUTED_VALUE"""),"NA")</f>
        <v>NA</v>
      </c>
    </row>
    <row r="11978">
      <c r="A11978" t="str">
        <f>IFERROR(__xludf.DUMMYFUNCTION("""COMPUTED_VALUE"""),"NA")</f>
        <v>NA</v>
      </c>
    </row>
    <row r="11979">
      <c r="A11979" t="str">
        <f>IFERROR(__xludf.DUMMYFUNCTION("""COMPUTED_VALUE"""),"NA")</f>
        <v>NA</v>
      </c>
    </row>
    <row r="11980">
      <c r="A11980" t="str">
        <f>IFERROR(__xludf.DUMMYFUNCTION("""COMPUTED_VALUE"""),"NA")</f>
        <v>NA</v>
      </c>
    </row>
    <row r="11981">
      <c r="A11981" t="str">
        <f>IFERROR(__xludf.DUMMYFUNCTION("""COMPUTED_VALUE"""),"NA")</f>
        <v>NA</v>
      </c>
    </row>
    <row r="11982">
      <c r="A11982" t="str">
        <f>IFERROR(__xludf.DUMMYFUNCTION("""COMPUTED_VALUE"""),"NA")</f>
        <v>NA</v>
      </c>
    </row>
    <row r="11983">
      <c r="A11983" t="str">
        <f>IFERROR(__xludf.DUMMYFUNCTION("""COMPUTED_VALUE"""),"NA")</f>
        <v>NA</v>
      </c>
    </row>
    <row r="11984">
      <c r="A11984" t="str">
        <f>IFERROR(__xludf.DUMMYFUNCTION("""COMPUTED_VALUE"""),"NA")</f>
        <v>NA</v>
      </c>
    </row>
    <row r="11985">
      <c r="A11985" t="str">
        <f>IFERROR(__xludf.DUMMYFUNCTION("""COMPUTED_VALUE"""),"NA")</f>
        <v>NA</v>
      </c>
    </row>
    <row r="11986">
      <c r="A11986" t="str">
        <f>IFERROR(__xludf.DUMMYFUNCTION("""COMPUTED_VALUE"""),"NA")</f>
        <v>NA</v>
      </c>
    </row>
    <row r="11987">
      <c r="A11987" t="str">
        <f>IFERROR(__xludf.DUMMYFUNCTION("""COMPUTED_VALUE"""),"NA")</f>
        <v>NA</v>
      </c>
    </row>
    <row r="11988">
      <c r="A11988" t="str">
        <f>IFERROR(__xludf.DUMMYFUNCTION("""COMPUTED_VALUE"""),"NA")</f>
        <v>NA</v>
      </c>
    </row>
    <row r="11989">
      <c r="A11989" t="str">
        <f>IFERROR(__xludf.DUMMYFUNCTION("""COMPUTED_VALUE"""),"NA")</f>
        <v>NA</v>
      </c>
    </row>
    <row r="11990">
      <c r="A11990" t="str">
        <f>IFERROR(__xludf.DUMMYFUNCTION("""COMPUTED_VALUE"""),"NA")</f>
        <v>NA</v>
      </c>
    </row>
    <row r="11991">
      <c r="A11991" t="str">
        <f>IFERROR(__xludf.DUMMYFUNCTION("""COMPUTED_VALUE"""),"NA")</f>
        <v>NA</v>
      </c>
    </row>
    <row r="11992">
      <c r="A11992" t="str">
        <f>IFERROR(__xludf.DUMMYFUNCTION("""COMPUTED_VALUE"""),"NA")</f>
        <v>NA</v>
      </c>
    </row>
    <row r="11993">
      <c r="A11993" t="str">
        <f>IFERROR(__xludf.DUMMYFUNCTION("""COMPUTED_VALUE"""),"NA")</f>
        <v>NA</v>
      </c>
    </row>
    <row r="11994">
      <c r="A11994" t="str">
        <f>IFERROR(__xludf.DUMMYFUNCTION("""COMPUTED_VALUE"""),"NA")</f>
        <v>NA</v>
      </c>
    </row>
    <row r="11995">
      <c r="A11995" t="str">
        <f>IFERROR(__xludf.DUMMYFUNCTION("""COMPUTED_VALUE"""),"NA")</f>
        <v>NA</v>
      </c>
    </row>
    <row r="11996">
      <c r="A11996" t="str">
        <f>IFERROR(__xludf.DUMMYFUNCTION("""COMPUTED_VALUE"""),"NA")</f>
        <v>NA</v>
      </c>
    </row>
    <row r="11997">
      <c r="A11997" t="str">
        <f>IFERROR(__xludf.DUMMYFUNCTION("""COMPUTED_VALUE"""),"NA")</f>
        <v>NA</v>
      </c>
    </row>
    <row r="11998">
      <c r="A11998" t="str">
        <f>IFERROR(__xludf.DUMMYFUNCTION("""COMPUTED_VALUE"""),"NA")</f>
        <v>NA</v>
      </c>
    </row>
    <row r="11999">
      <c r="A11999" t="str">
        <f>IFERROR(__xludf.DUMMYFUNCTION("""COMPUTED_VALUE"""),"NA")</f>
        <v>NA</v>
      </c>
    </row>
    <row r="12000">
      <c r="A12000" t="str">
        <f>IFERROR(__xludf.DUMMYFUNCTION("""COMPUTED_VALUE"""),"NA")</f>
        <v>NA</v>
      </c>
    </row>
    <row r="12001">
      <c r="A12001" t="str">
        <f>IFERROR(__xludf.DUMMYFUNCTION("""COMPUTED_VALUE"""),"NA")</f>
        <v>NA</v>
      </c>
    </row>
    <row r="12002">
      <c r="A12002" t="str">
        <f>IFERROR(__xludf.DUMMYFUNCTION("""COMPUTED_VALUE"""),"NA")</f>
        <v>NA</v>
      </c>
    </row>
    <row r="12003">
      <c r="A12003" t="str">
        <f>IFERROR(__xludf.DUMMYFUNCTION("""COMPUTED_VALUE"""),"NA")</f>
        <v>NA</v>
      </c>
    </row>
    <row r="12004">
      <c r="A12004" t="str">
        <f>IFERROR(__xludf.DUMMYFUNCTION("""COMPUTED_VALUE"""),"NA")</f>
        <v>NA</v>
      </c>
    </row>
    <row r="12005">
      <c r="A12005" t="str">
        <f>IFERROR(__xludf.DUMMYFUNCTION("""COMPUTED_VALUE"""),"NA")</f>
        <v>NA</v>
      </c>
    </row>
    <row r="12006">
      <c r="A12006" t="str">
        <f>IFERROR(__xludf.DUMMYFUNCTION("""COMPUTED_VALUE"""),"NA")</f>
        <v>NA</v>
      </c>
    </row>
    <row r="12007">
      <c r="A12007" t="str">
        <f>IFERROR(__xludf.DUMMYFUNCTION("""COMPUTED_VALUE"""),"NA")</f>
        <v>NA</v>
      </c>
    </row>
    <row r="12008">
      <c r="A12008" t="str">
        <f>IFERROR(__xludf.DUMMYFUNCTION("""COMPUTED_VALUE"""),"NA")</f>
        <v>NA</v>
      </c>
    </row>
    <row r="12009">
      <c r="A12009" t="str">
        <f>IFERROR(__xludf.DUMMYFUNCTION("""COMPUTED_VALUE"""),"NA")</f>
        <v>NA</v>
      </c>
    </row>
    <row r="12010">
      <c r="A12010" t="str">
        <f>IFERROR(__xludf.DUMMYFUNCTION("""COMPUTED_VALUE"""),"NA")</f>
        <v>NA</v>
      </c>
    </row>
    <row r="12011">
      <c r="A12011" t="str">
        <f>IFERROR(__xludf.DUMMYFUNCTION("""COMPUTED_VALUE"""),"NA")</f>
        <v>NA</v>
      </c>
    </row>
    <row r="12012">
      <c r="A12012" t="str">
        <f>IFERROR(__xludf.DUMMYFUNCTION("""COMPUTED_VALUE"""),"NA")</f>
        <v>NA</v>
      </c>
    </row>
    <row r="12013">
      <c r="A12013" t="str">
        <f>IFERROR(__xludf.DUMMYFUNCTION("""COMPUTED_VALUE"""),"NA")</f>
        <v>NA</v>
      </c>
    </row>
    <row r="12014">
      <c r="A12014" t="str">
        <f>IFERROR(__xludf.DUMMYFUNCTION("""COMPUTED_VALUE"""),"NA")</f>
        <v>NA</v>
      </c>
    </row>
    <row r="12015">
      <c r="A12015" t="str">
        <f>IFERROR(__xludf.DUMMYFUNCTION("""COMPUTED_VALUE"""),"NA")</f>
        <v>NA</v>
      </c>
    </row>
    <row r="12016">
      <c r="A12016" t="str">
        <f>IFERROR(__xludf.DUMMYFUNCTION("""COMPUTED_VALUE"""),"NA")</f>
        <v>NA</v>
      </c>
    </row>
    <row r="12017">
      <c r="A12017" t="str">
        <f>IFERROR(__xludf.DUMMYFUNCTION("""COMPUTED_VALUE"""),"NA")</f>
        <v>NA</v>
      </c>
    </row>
    <row r="12018">
      <c r="A12018" t="str">
        <f>IFERROR(__xludf.DUMMYFUNCTION("""COMPUTED_VALUE"""),"NA")</f>
        <v>NA</v>
      </c>
    </row>
    <row r="12019">
      <c r="A12019" t="str">
        <f>IFERROR(__xludf.DUMMYFUNCTION("""COMPUTED_VALUE"""),"NA")</f>
        <v>NA</v>
      </c>
    </row>
    <row r="12020">
      <c r="A12020" t="str">
        <f>IFERROR(__xludf.DUMMYFUNCTION("""COMPUTED_VALUE"""),"NA")</f>
        <v>NA</v>
      </c>
    </row>
    <row r="12021">
      <c r="A12021" t="str">
        <f>IFERROR(__xludf.DUMMYFUNCTION("""COMPUTED_VALUE"""),"NA")</f>
        <v>NA</v>
      </c>
    </row>
    <row r="12022">
      <c r="A12022" t="str">
        <f>IFERROR(__xludf.DUMMYFUNCTION("""COMPUTED_VALUE"""),"NA")</f>
        <v>NA</v>
      </c>
    </row>
    <row r="12023">
      <c r="A12023" t="str">
        <f>IFERROR(__xludf.DUMMYFUNCTION("""COMPUTED_VALUE"""),"NA")</f>
        <v>NA</v>
      </c>
    </row>
    <row r="12024">
      <c r="A12024" t="str">
        <f>IFERROR(__xludf.DUMMYFUNCTION("""COMPUTED_VALUE"""),"NA")</f>
        <v>NA</v>
      </c>
    </row>
    <row r="12025">
      <c r="A12025" t="str">
        <f>IFERROR(__xludf.DUMMYFUNCTION("""COMPUTED_VALUE"""),"NA")</f>
        <v>NA</v>
      </c>
    </row>
    <row r="12026">
      <c r="A12026" t="str">
        <f>IFERROR(__xludf.DUMMYFUNCTION("""COMPUTED_VALUE"""),"NA")</f>
        <v>NA</v>
      </c>
    </row>
    <row r="12027">
      <c r="A12027" t="str">
        <f>IFERROR(__xludf.DUMMYFUNCTION("""COMPUTED_VALUE"""),"NA")</f>
        <v>NA</v>
      </c>
    </row>
    <row r="12028">
      <c r="A12028" t="str">
        <f>IFERROR(__xludf.DUMMYFUNCTION("""COMPUTED_VALUE"""),"NA")</f>
        <v>NA</v>
      </c>
    </row>
    <row r="12029">
      <c r="A12029" t="str">
        <f>IFERROR(__xludf.DUMMYFUNCTION("""COMPUTED_VALUE"""),"NA")</f>
        <v>NA</v>
      </c>
    </row>
    <row r="12030">
      <c r="A12030" t="str">
        <f>IFERROR(__xludf.DUMMYFUNCTION("""COMPUTED_VALUE"""),"NA")</f>
        <v>NA</v>
      </c>
    </row>
    <row r="12031">
      <c r="A12031" t="str">
        <f>IFERROR(__xludf.DUMMYFUNCTION("""COMPUTED_VALUE"""),"NA")</f>
        <v>NA</v>
      </c>
    </row>
    <row r="12032">
      <c r="A12032" t="str">
        <f>IFERROR(__xludf.DUMMYFUNCTION("""COMPUTED_VALUE"""),"NA")</f>
        <v>NA</v>
      </c>
    </row>
    <row r="12033">
      <c r="A12033" t="str">
        <f>IFERROR(__xludf.DUMMYFUNCTION("""COMPUTED_VALUE"""),"NA")</f>
        <v>NA</v>
      </c>
    </row>
    <row r="12034">
      <c r="A12034" t="str">
        <f>IFERROR(__xludf.DUMMYFUNCTION("""COMPUTED_VALUE"""),"NA")</f>
        <v>NA</v>
      </c>
    </row>
    <row r="12035">
      <c r="A12035" t="str">
        <f>IFERROR(__xludf.DUMMYFUNCTION("""COMPUTED_VALUE"""),"NA")</f>
        <v>NA</v>
      </c>
    </row>
    <row r="12036">
      <c r="A12036" t="str">
        <f>IFERROR(__xludf.DUMMYFUNCTION("""COMPUTED_VALUE"""),"NA")</f>
        <v>NA</v>
      </c>
    </row>
    <row r="12037">
      <c r="A12037" t="str">
        <f>IFERROR(__xludf.DUMMYFUNCTION("""COMPUTED_VALUE"""),"NA")</f>
        <v>NA</v>
      </c>
    </row>
    <row r="12038">
      <c r="A12038" t="str">
        <f>IFERROR(__xludf.DUMMYFUNCTION("""COMPUTED_VALUE"""),"NA")</f>
        <v>NA</v>
      </c>
    </row>
    <row r="12039">
      <c r="A12039" t="str">
        <f>IFERROR(__xludf.DUMMYFUNCTION("""COMPUTED_VALUE"""),"NA")</f>
        <v>NA</v>
      </c>
    </row>
    <row r="12040">
      <c r="A12040" t="str">
        <f>IFERROR(__xludf.DUMMYFUNCTION("""COMPUTED_VALUE"""),"NA")</f>
        <v>NA</v>
      </c>
    </row>
    <row r="12041">
      <c r="A12041" t="str">
        <f>IFERROR(__xludf.DUMMYFUNCTION("""COMPUTED_VALUE"""),"NA")</f>
        <v>NA</v>
      </c>
    </row>
    <row r="12042">
      <c r="A12042" t="str">
        <f>IFERROR(__xludf.DUMMYFUNCTION("""COMPUTED_VALUE"""),"NA")</f>
        <v>NA</v>
      </c>
    </row>
    <row r="12043">
      <c r="A12043" t="str">
        <f>IFERROR(__xludf.DUMMYFUNCTION("""COMPUTED_VALUE"""),"NA")</f>
        <v>NA</v>
      </c>
    </row>
    <row r="12044">
      <c r="A12044" t="str">
        <f>IFERROR(__xludf.DUMMYFUNCTION("""COMPUTED_VALUE"""),"NA")</f>
        <v>NA</v>
      </c>
    </row>
    <row r="12045">
      <c r="A12045" t="str">
        <f>IFERROR(__xludf.DUMMYFUNCTION("""COMPUTED_VALUE"""),"NA")</f>
        <v>NA</v>
      </c>
    </row>
    <row r="12046">
      <c r="A12046" t="str">
        <f>IFERROR(__xludf.DUMMYFUNCTION("""COMPUTED_VALUE"""),"NA")</f>
        <v>NA</v>
      </c>
    </row>
    <row r="12047">
      <c r="A12047" t="str">
        <f>IFERROR(__xludf.DUMMYFUNCTION("""COMPUTED_VALUE"""),"NA")</f>
        <v>NA</v>
      </c>
    </row>
    <row r="12048">
      <c r="A12048" t="str">
        <f>IFERROR(__xludf.DUMMYFUNCTION("""COMPUTED_VALUE"""),"NA")</f>
        <v>NA</v>
      </c>
    </row>
    <row r="12049">
      <c r="A12049" t="str">
        <f>IFERROR(__xludf.DUMMYFUNCTION("""COMPUTED_VALUE"""),"NA")</f>
        <v>NA</v>
      </c>
    </row>
    <row r="12050">
      <c r="A12050" t="str">
        <f>IFERROR(__xludf.DUMMYFUNCTION("""COMPUTED_VALUE"""),"NA")</f>
        <v>NA</v>
      </c>
    </row>
    <row r="12051">
      <c r="A12051" t="str">
        <f>IFERROR(__xludf.DUMMYFUNCTION("""COMPUTED_VALUE"""),"NA")</f>
        <v>NA</v>
      </c>
    </row>
    <row r="12052">
      <c r="A12052" t="str">
        <f>IFERROR(__xludf.DUMMYFUNCTION("""COMPUTED_VALUE"""),"NA")</f>
        <v>NA</v>
      </c>
    </row>
    <row r="12053">
      <c r="A12053" t="str">
        <f>IFERROR(__xludf.DUMMYFUNCTION("""COMPUTED_VALUE"""),"NA")</f>
        <v>NA</v>
      </c>
    </row>
    <row r="12054">
      <c r="A12054" t="str">
        <f>IFERROR(__xludf.DUMMYFUNCTION("""COMPUTED_VALUE"""),"NA")</f>
        <v>NA</v>
      </c>
    </row>
    <row r="12055">
      <c r="A12055" t="str">
        <f>IFERROR(__xludf.DUMMYFUNCTION("""COMPUTED_VALUE"""),"NA")</f>
        <v>NA</v>
      </c>
    </row>
    <row r="12056">
      <c r="A12056" t="str">
        <f>IFERROR(__xludf.DUMMYFUNCTION("""COMPUTED_VALUE"""),"NA")</f>
        <v>NA</v>
      </c>
    </row>
    <row r="12057">
      <c r="A12057" t="str">
        <f>IFERROR(__xludf.DUMMYFUNCTION("""COMPUTED_VALUE"""),"NA")</f>
        <v>NA</v>
      </c>
    </row>
    <row r="12058">
      <c r="A12058" t="str">
        <f>IFERROR(__xludf.DUMMYFUNCTION("""COMPUTED_VALUE"""),"NA")</f>
        <v>NA</v>
      </c>
    </row>
    <row r="12059">
      <c r="A12059" t="str">
        <f>IFERROR(__xludf.DUMMYFUNCTION("""COMPUTED_VALUE"""),"NA")</f>
        <v>NA</v>
      </c>
    </row>
    <row r="12060">
      <c r="A12060" t="str">
        <f>IFERROR(__xludf.DUMMYFUNCTION("""COMPUTED_VALUE"""),"NA")</f>
        <v>NA</v>
      </c>
    </row>
    <row r="12061">
      <c r="A12061" t="str">
        <f>IFERROR(__xludf.DUMMYFUNCTION("""COMPUTED_VALUE"""),"NA")</f>
        <v>NA</v>
      </c>
    </row>
    <row r="12062">
      <c r="A12062" t="str">
        <f>IFERROR(__xludf.DUMMYFUNCTION("""COMPUTED_VALUE"""),"NA")</f>
        <v>NA</v>
      </c>
    </row>
    <row r="12063">
      <c r="A12063" t="str">
        <f>IFERROR(__xludf.DUMMYFUNCTION("""COMPUTED_VALUE"""),"NA")</f>
        <v>NA</v>
      </c>
    </row>
    <row r="12064">
      <c r="A12064" t="str">
        <f>IFERROR(__xludf.DUMMYFUNCTION("""COMPUTED_VALUE"""),"NA")</f>
        <v>NA</v>
      </c>
    </row>
    <row r="12065">
      <c r="A12065" t="str">
        <f>IFERROR(__xludf.DUMMYFUNCTION("""COMPUTED_VALUE"""),"NA")</f>
        <v>NA</v>
      </c>
    </row>
    <row r="12066">
      <c r="A12066" t="str">
        <f>IFERROR(__xludf.DUMMYFUNCTION("""COMPUTED_VALUE"""),"NA")</f>
        <v>NA</v>
      </c>
    </row>
    <row r="12067">
      <c r="A12067" t="str">
        <f>IFERROR(__xludf.DUMMYFUNCTION("""COMPUTED_VALUE"""),"NA")</f>
        <v>NA</v>
      </c>
    </row>
    <row r="12068">
      <c r="A12068" t="str">
        <f>IFERROR(__xludf.DUMMYFUNCTION("""COMPUTED_VALUE"""),"NA")</f>
        <v>NA</v>
      </c>
    </row>
    <row r="12069">
      <c r="A12069" t="str">
        <f>IFERROR(__xludf.DUMMYFUNCTION("""COMPUTED_VALUE"""),"NA")</f>
        <v>NA</v>
      </c>
    </row>
    <row r="12070">
      <c r="A12070" t="str">
        <f>IFERROR(__xludf.DUMMYFUNCTION("""COMPUTED_VALUE"""),"NA")</f>
        <v>NA</v>
      </c>
    </row>
    <row r="12071">
      <c r="A12071" t="str">
        <f>IFERROR(__xludf.DUMMYFUNCTION("""COMPUTED_VALUE"""),"NA")</f>
        <v>NA</v>
      </c>
    </row>
    <row r="12072">
      <c r="A12072" t="str">
        <f>IFERROR(__xludf.DUMMYFUNCTION("""COMPUTED_VALUE"""),"NA")</f>
        <v>NA</v>
      </c>
    </row>
    <row r="12073">
      <c r="A12073" t="str">
        <f>IFERROR(__xludf.DUMMYFUNCTION("""COMPUTED_VALUE"""),"NA")</f>
        <v>NA</v>
      </c>
    </row>
    <row r="12074">
      <c r="A12074" t="str">
        <f>IFERROR(__xludf.DUMMYFUNCTION("""COMPUTED_VALUE"""),"NA")</f>
        <v>NA</v>
      </c>
    </row>
    <row r="12075">
      <c r="A12075" t="str">
        <f>IFERROR(__xludf.DUMMYFUNCTION("""COMPUTED_VALUE"""),"NA")</f>
        <v>NA</v>
      </c>
    </row>
    <row r="12076">
      <c r="A12076" t="str">
        <f>IFERROR(__xludf.DUMMYFUNCTION("""COMPUTED_VALUE"""),"NA")</f>
        <v>NA</v>
      </c>
    </row>
    <row r="12077">
      <c r="A12077" t="str">
        <f>IFERROR(__xludf.DUMMYFUNCTION("""COMPUTED_VALUE"""),"NA")</f>
        <v>NA</v>
      </c>
    </row>
    <row r="12078">
      <c r="A12078" t="str">
        <f>IFERROR(__xludf.DUMMYFUNCTION("""COMPUTED_VALUE"""),"NA")</f>
        <v>NA</v>
      </c>
    </row>
    <row r="12079">
      <c r="A12079" t="str">
        <f>IFERROR(__xludf.DUMMYFUNCTION("""COMPUTED_VALUE"""),"NA")</f>
        <v>NA</v>
      </c>
    </row>
    <row r="12080">
      <c r="A12080" t="str">
        <f>IFERROR(__xludf.DUMMYFUNCTION("""COMPUTED_VALUE"""),"NA")</f>
        <v>NA</v>
      </c>
    </row>
    <row r="12081">
      <c r="A12081" t="str">
        <f>IFERROR(__xludf.DUMMYFUNCTION("""COMPUTED_VALUE"""),"NA")</f>
        <v>NA</v>
      </c>
    </row>
    <row r="12082">
      <c r="A12082" t="str">
        <f>IFERROR(__xludf.DUMMYFUNCTION("""COMPUTED_VALUE"""),"NA")</f>
        <v>NA</v>
      </c>
    </row>
    <row r="12083">
      <c r="A12083" t="str">
        <f>IFERROR(__xludf.DUMMYFUNCTION("""COMPUTED_VALUE"""),"NA")</f>
        <v>NA</v>
      </c>
    </row>
    <row r="12084">
      <c r="A12084" t="str">
        <f>IFERROR(__xludf.DUMMYFUNCTION("""COMPUTED_VALUE"""),"NA")</f>
        <v>NA</v>
      </c>
    </row>
    <row r="12085">
      <c r="A12085" t="str">
        <f>IFERROR(__xludf.DUMMYFUNCTION("""COMPUTED_VALUE"""),"NA")</f>
        <v>NA</v>
      </c>
    </row>
    <row r="12086">
      <c r="A12086" t="str">
        <f>IFERROR(__xludf.DUMMYFUNCTION("""COMPUTED_VALUE"""),"NA")</f>
        <v>NA</v>
      </c>
    </row>
    <row r="12087">
      <c r="A12087" t="str">
        <f>IFERROR(__xludf.DUMMYFUNCTION("""COMPUTED_VALUE"""),"NA")</f>
        <v>NA</v>
      </c>
    </row>
    <row r="12088">
      <c r="A12088" t="str">
        <f>IFERROR(__xludf.DUMMYFUNCTION("""COMPUTED_VALUE"""),"NA")</f>
        <v>NA</v>
      </c>
    </row>
    <row r="12089">
      <c r="A12089" t="str">
        <f>IFERROR(__xludf.DUMMYFUNCTION("""COMPUTED_VALUE"""),"NA")</f>
        <v>NA</v>
      </c>
    </row>
    <row r="12090">
      <c r="A12090" t="str">
        <f>IFERROR(__xludf.DUMMYFUNCTION("""COMPUTED_VALUE"""),"NA")</f>
        <v>NA</v>
      </c>
    </row>
    <row r="12091">
      <c r="A12091" t="str">
        <f>IFERROR(__xludf.DUMMYFUNCTION("""COMPUTED_VALUE"""),"NA")</f>
        <v>NA</v>
      </c>
    </row>
    <row r="12092">
      <c r="A12092" t="str">
        <f>IFERROR(__xludf.DUMMYFUNCTION("""COMPUTED_VALUE"""),"NA")</f>
        <v>NA</v>
      </c>
    </row>
    <row r="12093">
      <c r="A12093" t="str">
        <f>IFERROR(__xludf.DUMMYFUNCTION("""COMPUTED_VALUE"""),"NA")</f>
        <v>NA</v>
      </c>
    </row>
    <row r="12094">
      <c r="A12094" t="str">
        <f>IFERROR(__xludf.DUMMYFUNCTION("""COMPUTED_VALUE"""),"NA")</f>
        <v>NA</v>
      </c>
    </row>
    <row r="12095">
      <c r="A12095" t="str">
        <f>IFERROR(__xludf.DUMMYFUNCTION("""COMPUTED_VALUE"""),"NA")</f>
        <v>NA</v>
      </c>
    </row>
    <row r="12096">
      <c r="A12096" t="str">
        <f>IFERROR(__xludf.DUMMYFUNCTION("""COMPUTED_VALUE"""),"NA")</f>
        <v>NA</v>
      </c>
    </row>
    <row r="12097">
      <c r="A12097" t="str">
        <f>IFERROR(__xludf.DUMMYFUNCTION("""COMPUTED_VALUE"""),"NA")</f>
        <v>NA</v>
      </c>
    </row>
    <row r="12098">
      <c r="A12098" t="str">
        <f>IFERROR(__xludf.DUMMYFUNCTION("""COMPUTED_VALUE"""),"NA")</f>
        <v>NA</v>
      </c>
    </row>
    <row r="12099">
      <c r="A12099" t="str">
        <f>IFERROR(__xludf.DUMMYFUNCTION("""COMPUTED_VALUE"""),"NA")</f>
        <v>NA</v>
      </c>
    </row>
    <row r="12100">
      <c r="A12100" t="str">
        <f>IFERROR(__xludf.DUMMYFUNCTION("""COMPUTED_VALUE"""),"NA")</f>
        <v>NA</v>
      </c>
    </row>
    <row r="12101">
      <c r="A12101" t="str">
        <f>IFERROR(__xludf.DUMMYFUNCTION("""COMPUTED_VALUE"""),"NA")</f>
        <v>NA</v>
      </c>
    </row>
    <row r="12102">
      <c r="A12102" t="str">
        <f>IFERROR(__xludf.DUMMYFUNCTION("""COMPUTED_VALUE"""),"NA")</f>
        <v>NA</v>
      </c>
    </row>
    <row r="12103">
      <c r="A12103" t="str">
        <f>IFERROR(__xludf.DUMMYFUNCTION("""COMPUTED_VALUE"""),"NA")</f>
        <v>NA</v>
      </c>
    </row>
    <row r="12104">
      <c r="A12104" t="str">
        <f>IFERROR(__xludf.DUMMYFUNCTION("""COMPUTED_VALUE"""),"NA")</f>
        <v>NA</v>
      </c>
    </row>
    <row r="12105">
      <c r="A12105" t="str">
        <f>IFERROR(__xludf.DUMMYFUNCTION("""COMPUTED_VALUE"""),"NA")</f>
        <v>NA</v>
      </c>
    </row>
    <row r="12106">
      <c r="A12106" t="str">
        <f>IFERROR(__xludf.DUMMYFUNCTION("""COMPUTED_VALUE"""),"NA")</f>
        <v>NA</v>
      </c>
    </row>
    <row r="12107">
      <c r="A12107" t="str">
        <f>IFERROR(__xludf.DUMMYFUNCTION("""COMPUTED_VALUE"""),"NA")</f>
        <v>NA</v>
      </c>
    </row>
    <row r="12108">
      <c r="A12108" t="str">
        <f>IFERROR(__xludf.DUMMYFUNCTION("""COMPUTED_VALUE"""),"NA")</f>
        <v>NA</v>
      </c>
    </row>
    <row r="12109">
      <c r="A12109" t="str">
        <f>IFERROR(__xludf.DUMMYFUNCTION("""COMPUTED_VALUE"""),"NA")</f>
        <v>NA</v>
      </c>
    </row>
    <row r="12110">
      <c r="A12110" t="str">
        <f>IFERROR(__xludf.DUMMYFUNCTION("""COMPUTED_VALUE"""),"NA")</f>
        <v>NA</v>
      </c>
    </row>
    <row r="12111">
      <c r="A12111" t="str">
        <f>IFERROR(__xludf.DUMMYFUNCTION("""COMPUTED_VALUE"""),"NA")</f>
        <v>NA</v>
      </c>
    </row>
    <row r="12112">
      <c r="A12112" t="str">
        <f>IFERROR(__xludf.DUMMYFUNCTION("""COMPUTED_VALUE"""),"NA")</f>
        <v>NA</v>
      </c>
    </row>
    <row r="12113">
      <c r="A12113" t="str">
        <f>IFERROR(__xludf.DUMMYFUNCTION("""COMPUTED_VALUE"""),"NA")</f>
        <v>NA</v>
      </c>
    </row>
    <row r="12114">
      <c r="A12114" t="str">
        <f>IFERROR(__xludf.DUMMYFUNCTION("""COMPUTED_VALUE"""),"NA")</f>
        <v>NA</v>
      </c>
    </row>
    <row r="12115">
      <c r="A12115" t="str">
        <f>IFERROR(__xludf.DUMMYFUNCTION("""COMPUTED_VALUE"""),"NA")</f>
        <v>NA</v>
      </c>
    </row>
    <row r="12116">
      <c r="A12116" t="str">
        <f>IFERROR(__xludf.DUMMYFUNCTION("""COMPUTED_VALUE"""),"NA")</f>
        <v>NA</v>
      </c>
    </row>
    <row r="12117">
      <c r="A12117" t="str">
        <f>IFERROR(__xludf.DUMMYFUNCTION("""COMPUTED_VALUE"""),"NA")</f>
        <v>NA</v>
      </c>
    </row>
    <row r="12118">
      <c r="A12118" t="str">
        <f>IFERROR(__xludf.DUMMYFUNCTION("""COMPUTED_VALUE"""),"NA")</f>
        <v>NA</v>
      </c>
    </row>
    <row r="12119">
      <c r="A12119" t="str">
        <f>IFERROR(__xludf.DUMMYFUNCTION("""COMPUTED_VALUE"""),"NA")</f>
        <v>NA</v>
      </c>
    </row>
    <row r="12120">
      <c r="A12120" t="str">
        <f>IFERROR(__xludf.DUMMYFUNCTION("""COMPUTED_VALUE"""),"NA")</f>
        <v>NA</v>
      </c>
    </row>
    <row r="12121">
      <c r="A12121" t="str">
        <f>IFERROR(__xludf.DUMMYFUNCTION("""COMPUTED_VALUE"""),"NA")</f>
        <v>NA</v>
      </c>
    </row>
    <row r="12122">
      <c r="A12122" t="str">
        <f>IFERROR(__xludf.DUMMYFUNCTION("""COMPUTED_VALUE"""),"NA")</f>
        <v>NA</v>
      </c>
    </row>
    <row r="12123">
      <c r="A12123" t="str">
        <f>IFERROR(__xludf.DUMMYFUNCTION("""COMPUTED_VALUE"""),"NA")</f>
        <v>NA</v>
      </c>
    </row>
    <row r="12124">
      <c r="A12124" t="str">
        <f>IFERROR(__xludf.DUMMYFUNCTION("""COMPUTED_VALUE"""),"NA")</f>
        <v>NA</v>
      </c>
    </row>
    <row r="12125">
      <c r="A12125" t="str">
        <f>IFERROR(__xludf.DUMMYFUNCTION("""COMPUTED_VALUE"""),"NA")</f>
        <v>NA</v>
      </c>
    </row>
    <row r="12126">
      <c r="A12126" t="str">
        <f>IFERROR(__xludf.DUMMYFUNCTION("""COMPUTED_VALUE"""),"NA")</f>
        <v>NA</v>
      </c>
    </row>
    <row r="12127">
      <c r="A12127" t="str">
        <f>IFERROR(__xludf.DUMMYFUNCTION("""COMPUTED_VALUE"""),"NA")</f>
        <v>NA</v>
      </c>
    </row>
    <row r="12128">
      <c r="A12128" t="str">
        <f>IFERROR(__xludf.DUMMYFUNCTION("""COMPUTED_VALUE"""),"NA")</f>
        <v>NA</v>
      </c>
    </row>
    <row r="12129">
      <c r="A12129" t="str">
        <f>IFERROR(__xludf.DUMMYFUNCTION("""COMPUTED_VALUE"""),"NA")</f>
        <v>NA</v>
      </c>
    </row>
    <row r="12130">
      <c r="A12130" t="str">
        <f>IFERROR(__xludf.DUMMYFUNCTION("""COMPUTED_VALUE"""),"NA")</f>
        <v>NA</v>
      </c>
    </row>
    <row r="12131">
      <c r="A12131" t="str">
        <f>IFERROR(__xludf.DUMMYFUNCTION("""COMPUTED_VALUE"""),"NA")</f>
        <v>NA</v>
      </c>
    </row>
    <row r="12132">
      <c r="A12132" t="str">
        <f>IFERROR(__xludf.DUMMYFUNCTION("""COMPUTED_VALUE"""),"NA")</f>
        <v>NA</v>
      </c>
    </row>
    <row r="12133">
      <c r="A12133" t="str">
        <f>IFERROR(__xludf.DUMMYFUNCTION("""COMPUTED_VALUE"""),"NA")</f>
        <v>NA</v>
      </c>
    </row>
    <row r="12134">
      <c r="A12134" t="str">
        <f>IFERROR(__xludf.DUMMYFUNCTION("""COMPUTED_VALUE"""),"NA")</f>
        <v>NA</v>
      </c>
    </row>
    <row r="12135">
      <c r="A12135" t="str">
        <f>IFERROR(__xludf.DUMMYFUNCTION("""COMPUTED_VALUE"""),"NA")</f>
        <v>NA</v>
      </c>
    </row>
    <row r="12136">
      <c r="A12136" t="str">
        <f>IFERROR(__xludf.DUMMYFUNCTION("""COMPUTED_VALUE"""),"NA")</f>
        <v>NA</v>
      </c>
    </row>
    <row r="12137">
      <c r="A12137" t="str">
        <f>IFERROR(__xludf.DUMMYFUNCTION("""COMPUTED_VALUE"""),"NA")</f>
        <v>NA</v>
      </c>
    </row>
    <row r="12138">
      <c r="A12138" t="str">
        <f>IFERROR(__xludf.DUMMYFUNCTION("""COMPUTED_VALUE"""),"NA")</f>
        <v>NA</v>
      </c>
    </row>
    <row r="12139">
      <c r="A12139" t="str">
        <f>IFERROR(__xludf.DUMMYFUNCTION("""COMPUTED_VALUE"""),"NA")</f>
        <v>NA</v>
      </c>
    </row>
    <row r="12140">
      <c r="A12140" t="str">
        <f>IFERROR(__xludf.DUMMYFUNCTION("""COMPUTED_VALUE"""),"NA")</f>
        <v>NA</v>
      </c>
    </row>
    <row r="12141">
      <c r="A12141" t="str">
        <f>IFERROR(__xludf.DUMMYFUNCTION("""COMPUTED_VALUE"""),"NA")</f>
        <v>NA</v>
      </c>
    </row>
    <row r="12142">
      <c r="A12142" t="str">
        <f>IFERROR(__xludf.DUMMYFUNCTION("""COMPUTED_VALUE"""),"NA")</f>
        <v>NA</v>
      </c>
    </row>
    <row r="12143">
      <c r="A12143" t="str">
        <f>IFERROR(__xludf.DUMMYFUNCTION("""COMPUTED_VALUE"""),"NA")</f>
        <v>NA</v>
      </c>
    </row>
    <row r="12144">
      <c r="A12144" t="str">
        <f>IFERROR(__xludf.DUMMYFUNCTION("""COMPUTED_VALUE"""),"NA")</f>
        <v>NA</v>
      </c>
    </row>
    <row r="12145">
      <c r="A12145" t="str">
        <f>IFERROR(__xludf.DUMMYFUNCTION("""COMPUTED_VALUE"""),"NA")</f>
        <v>NA</v>
      </c>
    </row>
    <row r="12146">
      <c r="A12146" t="str">
        <f>IFERROR(__xludf.DUMMYFUNCTION("""COMPUTED_VALUE"""),"NA")</f>
        <v>NA</v>
      </c>
    </row>
    <row r="12147">
      <c r="A12147" t="str">
        <f>IFERROR(__xludf.DUMMYFUNCTION("""COMPUTED_VALUE"""),"NA")</f>
        <v>NA</v>
      </c>
    </row>
    <row r="12148">
      <c r="A12148" t="str">
        <f>IFERROR(__xludf.DUMMYFUNCTION("""COMPUTED_VALUE"""),"NA")</f>
        <v>NA</v>
      </c>
    </row>
    <row r="12149">
      <c r="A12149" t="str">
        <f>IFERROR(__xludf.DUMMYFUNCTION("""COMPUTED_VALUE"""),"NA")</f>
        <v>NA</v>
      </c>
    </row>
    <row r="12150">
      <c r="A12150" t="str">
        <f>IFERROR(__xludf.DUMMYFUNCTION("""COMPUTED_VALUE"""),"NA")</f>
        <v>NA</v>
      </c>
    </row>
    <row r="12151">
      <c r="A12151" t="str">
        <f>IFERROR(__xludf.DUMMYFUNCTION("""COMPUTED_VALUE"""),"NA")</f>
        <v>NA</v>
      </c>
    </row>
    <row r="12152">
      <c r="A12152" t="str">
        <f>IFERROR(__xludf.DUMMYFUNCTION("""COMPUTED_VALUE"""),"NA")</f>
        <v>NA</v>
      </c>
    </row>
    <row r="12153">
      <c r="A12153" t="str">
        <f>IFERROR(__xludf.DUMMYFUNCTION("""COMPUTED_VALUE"""),"NA")</f>
        <v>NA</v>
      </c>
    </row>
    <row r="12154">
      <c r="A12154" t="str">
        <f>IFERROR(__xludf.DUMMYFUNCTION("""COMPUTED_VALUE"""),"NA")</f>
        <v>NA</v>
      </c>
    </row>
    <row r="12155">
      <c r="A12155" t="str">
        <f>IFERROR(__xludf.DUMMYFUNCTION("""COMPUTED_VALUE"""),"NA")</f>
        <v>NA</v>
      </c>
    </row>
    <row r="12156">
      <c r="A12156" t="str">
        <f>IFERROR(__xludf.DUMMYFUNCTION("""COMPUTED_VALUE"""),"NA")</f>
        <v>NA</v>
      </c>
    </row>
    <row r="12157">
      <c r="A12157" t="str">
        <f>IFERROR(__xludf.DUMMYFUNCTION("""COMPUTED_VALUE"""),"NA")</f>
        <v>NA</v>
      </c>
    </row>
    <row r="12158">
      <c r="A12158" t="str">
        <f>IFERROR(__xludf.DUMMYFUNCTION("""COMPUTED_VALUE"""),"NA")</f>
        <v>NA</v>
      </c>
    </row>
    <row r="12159">
      <c r="A12159" t="str">
        <f>IFERROR(__xludf.DUMMYFUNCTION("""COMPUTED_VALUE"""),"NA")</f>
        <v>NA</v>
      </c>
    </row>
    <row r="12160">
      <c r="A12160" t="str">
        <f>IFERROR(__xludf.DUMMYFUNCTION("""COMPUTED_VALUE"""),"NA")</f>
        <v>NA</v>
      </c>
    </row>
    <row r="12161">
      <c r="A12161" t="str">
        <f>IFERROR(__xludf.DUMMYFUNCTION("""COMPUTED_VALUE"""),"NA")</f>
        <v>NA</v>
      </c>
    </row>
    <row r="12162">
      <c r="A12162" t="str">
        <f>IFERROR(__xludf.DUMMYFUNCTION("""COMPUTED_VALUE"""),"NA")</f>
        <v>NA</v>
      </c>
    </row>
    <row r="12163">
      <c r="A12163" t="str">
        <f>IFERROR(__xludf.DUMMYFUNCTION("""COMPUTED_VALUE"""),"NA")</f>
        <v>NA</v>
      </c>
    </row>
    <row r="12164">
      <c r="A12164" t="str">
        <f>IFERROR(__xludf.DUMMYFUNCTION("""COMPUTED_VALUE"""),"NA")</f>
        <v>NA</v>
      </c>
    </row>
    <row r="12165">
      <c r="A12165" t="str">
        <f>IFERROR(__xludf.DUMMYFUNCTION("""COMPUTED_VALUE"""),"NA")</f>
        <v>NA</v>
      </c>
    </row>
    <row r="12166">
      <c r="A12166" t="str">
        <f>IFERROR(__xludf.DUMMYFUNCTION("""COMPUTED_VALUE"""),"NA")</f>
        <v>NA</v>
      </c>
    </row>
    <row r="12167">
      <c r="A12167" t="str">
        <f>IFERROR(__xludf.DUMMYFUNCTION("""COMPUTED_VALUE"""),"NA")</f>
        <v>NA</v>
      </c>
    </row>
    <row r="12168">
      <c r="A12168" t="str">
        <f>IFERROR(__xludf.DUMMYFUNCTION("""COMPUTED_VALUE"""),"NA")</f>
        <v>NA</v>
      </c>
    </row>
    <row r="12169">
      <c r="A12169" t="str">
        <f>IFERROR(__xludf.DUMMYFUNCTION("""COMPUTED_VALUE"""),"NA")</f>
        <v>NA</v>
      </c>
    </row>
    <row r="12170">
      <c r="A12170" t="str">
        <f>IFERROR(__xludf.DUMMYFUNCTION("""COMPUTED_VALUE"""),"NA")</f>
        <v>NA</v>
      </c>
    </row>
    <row r="12171">
      <c r="A12171" t="str">
        <f>IFERROR(__xludf.DUMMYFUNCTION("""COMPUTED_VALUE"""),"NA")</f>
        <v>NA</v>
      </c>
    </row>
    <row r="12172">
      <c r="A12172" t="str">
        <f>IFERROR(__xludf.DUMMYFUNCTION("""COMPUTED_VALUE"""),"NA")</f>
        <v>NA</v>
      </c>
    </row>
    <row r="12173">
      <c r="A12173" t="str">
        <f>IFERROR(__xludf.DUMMYFUNCTION("""COMPUTED_VALUE"""),"NA")</f>
        <v>NA</v>
      </c>
    </row>
    <row r="12174">
      <c r="A12174" t="str">
        <f>IFERROR(__xludf.DUMMYFUNCTION("""COMPUTED_VALUE"""),"NA")</f>
        <v>NA</v>
      </c>
    </row>
    <row r="12175">
      <c r="A12175" t="str">
        <f>IFERROR(__xludf.DUMMYFUNCTION("""COMPUTED_VALUE"""),"NA")</f>
        <v>NA</v>
      </c>
    </row>
    <row r="12176">
      <c r="A12176" t="str">
        <f>IFERROR(__xludf.DUMMYFUNCTION("""COMPUTED_VALUE"""),"NA")</f>
        <v>NA</v>
      </c>
    </row>
    <row r="12177">
      <c r="A12177" t="str">
        <f>IFERROR(__xludf.DUMMYFUNCTION("""COMPUTED_VALUE"""),"NA")</f>
        <v>NA</v>
      </c>
    </row>
    <row r="12178">
      <c r="A12178" t="str">
        <f>IFERROR(__xludf.DUMMYFUNCTION("""COMPUTED_VALUE"""),"NA")</f>
        <v>NA</v>
      </c>
    </row>
    <row r="12179">
      <c r="A12179" t="str">
        <f>IFERROR(__xludf.DUMMYFUNCTION("""COMPUTED_VALUE"""),"NA")</f>
        <v>NA</v>
      </c>
    </row>
    <row r="12180">
      <c r="A12180" t="str">
        <f>IFERROR(__xludf.DUMMYFUNCTION("""COMPUTED_VALUE"""),"NA")</f>
        <v>NA</v>
      </c>
    </row>
    <row r="12181">
      <c r="A12181" t="str">
        <f>IFERROR(__xludf.DUMMYFUNCTION("""COMPUTED_VALUE"""),"NA")</f>
        <v>NA</v>
      </c>
    </row>
    <row r="12182">
      <c r="A12182" t="str">
        <f>IFERROR(__xludf.DUMMYFUNCTION("""COMPUTED_VALUE"""),"NA")</f>
        <v>NA</v>
      </c>
    </row>
    <row r="12183">
      <c r="A12183" t="str">
        <f>IFERROR(__xludf.DUMMYFUNCTION("""COMPUTED_VALUE"""),"NA")</f>
        <v>NA</v>
      </c>
    </row>
    <row r="12184">
      <c r="A12184" t="str">
        <f>IFERROR(__xludf.DUMMYFUNCTION("""COMPUTED_VALUE"""),"NA")</f>
        <v>NA</v>
      </c>
    </row>
    <row r="12185">
      <c r="A12185" t="str">
        <f>IFERROR(__xludf.DUMMYFUNCTION("""COMPUTED_VALUE"""),"NA")</f>
        <v>NA</v>
      </c>
    </row>
    <row r="12186">
      <c r="A12186" t="str">
        <f>IFERROR(__xludf.DUMMYFUNCTION("""COMPUTED_VALUE"""),"NA")</f>
        <v>NA</v>
      </c>
    </row>
    <row r="12187">
      <c r="A12187" t="str">
        <f>IFERROR(__xludf.DUMMYFUNCTION("""COMPUTED_VALUE"""),"NA")</f>
        <v>NA</v>
      </c>
    </row>
    <row r="12188">
      <c r="A12188" t="str">
        <f>IFERROR(__xludf.DUMMYFUNCTION("""COMPUTED_VALUE"""),"NA")</f>
        <v>NA</v>
      </c>
    </row>
    <row r="12189">
      <c r="A12189" t="str">
        <f>IFERROR(__xludf.DUMMYFUNCTION("""COMPUTED_VALUE"""),"NA")</f>
        <v>NA</v>
      </c>
    </row>
    <row r="12190">
      <c r="A12190" t="str">
        <f>IFERROR(__xludf.DUMMYFUNCTION("""COMPUTED_VALUE"""),"NA")</f>
        <v>NA</v>
      </c>
    </row>
    <row r="12191">
      <c r="A12191" t="str">
        <f>IFERROR(__xludf.DUMMYFUNCTION("""COMPUTED_VALUE"""),"NA")</f>
        <v>NA</v>
      </c>
    </row>
    <row r="12192">
      <c r="A12192" t="str">
        <f>IFERROR(__xludf.DUMMYFUNCTION("""COMPUTED_VALUE"""),"NA")</f>
        <v>NA</v>
      </c>
    </row>
    <row r="12193">
      <c r="A12193" t="str">
        <f>IFERROR(__xludf.DUMMYFUNCTION("""COMPUTED_VALUE"""),"NA")</f>
        <v>NA</v>
      </c>
    </row>
    <row r="12194">
      <c r="A12194" t="str">
        <f>IFERROR(__xludf.DUMMYFUNCTION("""COMPUTED_VALUE"""),"NA")</f>
        <v>NA</v>
      </c>
    </row>
    <row r="12195">
      <c r="A12195" t="str">
        <f>IFERROR(__xludf.DUMMYFUNCTION("""COMPUTED_VALUE"""),"NA")</f>
        <v>NA</v>
      </c>
    </row>
    <row r="12196">
      <c r="A12196" t="str">
        <f>IFERROR(__xludf.DUMMYFUNCTION("""COMPUTED_VALUE"""),"NA")</f>
        <v>NA</v>
      </c>
    </row>
    <row r="12197">
      <c r="A12197" t="str">
        <f>IFERROR(__xludf.DUMMYFUNCTION("""COMPUTED_VALUE"""),"NA")</f>
        <v>NA</v>
      </c>
    </row>
    <row r="12198">
      <c r="A12198" t="str">
        <f>IFERROR(__xludf.DUMMYFUNCTION("""COMPUTED_VALUE"""),"NA")</f>
        <v>NA</v>
      </c>
    </row>
    <row r="12199">
      <c r="A12199" t="str">
        <f>IFERROR(__xludf.DUMMYFUNCTION("""COMPUTED_VALUE"""),"NA")</f>
        <v>NA</v>
      </c>
    </row>
    <row r="12200">
      <c r="A12200" t="str">
        <f>IFERROR(__xludf.DUMMYFUNCTION("""COMPUTED_VALUE"""),"NA")</f>
        <v>NA</v>
      </c>
    </row>
    <row r="12201">
      <c r="A12201" t="str">
        <f>IFERROR(__xludf.DUMMYFUNCTION("""COMPUTED_VALUE"""),"NA")</f>
        <v>NA</v>
      </c>
    </row>
    <row r="12202">
      <c r="A12202" t="str">
        <f>IFERROR(__xludf.DUMMYFUNCTION("""COMPUTED_VALUE"""),"NA")</f>
        <v>NA</v>
      </c>
    </row>
    <row r="12203">
      <c r="A12203" t="str">
        <f>IFERROR(__xludf.DUMMYFUNCTION("""COMPUTED_VALUE"""),"NA")</f>
        <v>NA</v>
      </c>
    </row>
    <row r="12204">
      <c r="A12204" t="str">
        <f>IFERROR(__xludf.DUMMYFUNCTION("""COMPUTED_VALUE"""),"NA")</f>
        <v>NA</v>
      </c>
    </row>
    <row r="12205">
      <c r="A12205" t="str">
        <f>IFERROR(__xludf.DUMMYFUNCTION("""COMPUTED_VALUE"""),"NA")</f>
        <v>NA</v>
      </c>
    </row>
    <row r="12206">
      <c r="A12206" t="str">
        <f>IFERROR(__xludf.DUMMYFUNCTION("""COMPUTED_VALUE"""),"NA")</f>
        <v>NA</v>
      </c>
    </row>
    <row r="12207">
      <c r="A12207" t="str">
        <f>IFERROR(__xludf.DUMMYFUNCTION("""COMPUTED_VALUE"""),"NA")</f>
        <v>NA</v>
      </c>
    </row>
    <row r="12208">
      <c r="A12208" t="str">
        <f>IFERROR(__xludf.DUMMYFUNCTION("""COMPUTED_VALUE"""),"NA")</f>
        <v>NA</v>
      </c>
    </row>
    <row r="12209">
      <c r="A12209" t="str">
        <f>IFERROR(__xludf.DUMMYFUNCTION("""COMPUTED_VALUE"""),"NA")</f>
        <v>NA</v>
      </c>
    </row>
    <row r="12210">
      <c r="A12210" t="str">
        <f>IFERROR(__xludf.DUMMYFUNCTION("""COMPUTED_VALUE"""),"NA")</f>
        <v>NA</v>
      </c>
    </row>
    <row r="12211">
      <c r="A12211" t="str">
        <f>IFERROR(__xludf.DUMMYFUNCTION("""COMPUTED_VALUE"""),"NA")</f>
        <v>NA</v>
      </c>
    </row>
    <row r="12212">
      <c r="A12212" t="str">
        <f>IFERROR(__xludf.DUMMYFUNCTION("""COMPUTED_VALUE"""),"NA")</f>
        <v>NA</v>
      </c>
    </row>
    <row r="12213">
      <c r="A12213" t="str">
        <f>IFERROR(__xludf.DUMMYFUNCTION("""COMPUTED_VALUE"""),"NA")</f>
        <v>NA</v>
      </c>
    </row>
    <row r="12214">
      <c r="A12214" t="str">
        <f>IFERROR(__xludf.DUMMYFUNCTION("""COMPUTED_VALUE"""),"NA")</f>
        <v>NA</v>
      </c>
    </row>
    <row r="12215">
      <c r="A12215" t="str">
        <f>IFERROR(__xludf.DUMMYFUNCTION("""COMPUTED_VALUE"""),"NA")</f>
        <v>NA</v>
      </c>
    </row>
    <row r="12216">
      <c r="A12216" t="str">
        <f>IFERROR(__xludf.DUMMYFUNCTION("""COMPUTED_VALUE"""),"NA")</f>
        <v>NA</v>
      </c>
    </row>
    <row r="12217">
      <c r="A12217" t="str">
        <f>IFERROR(__xludf.DUMMYFUNCTION("""COMPUTED_VALUE"""),"NA")</f>
        <v>NA</v>
      </c>
    </row>
    <row r="12218">
      <c r="A12218" t="str">
        <f>IFERROR(__xludf.DUMMYFUNCTION("""COMPUTED_VALUE"""),"NA")</f>
        <v>NA</v>
      </c>
    </row>
    <row r="12219">
      <c r="A12219" t="str">
        <f>IFERROR(__xludf.DUMMYFUNCTION("""COMPUTED_VALUE"""),"NA")</f>
        <v>NA</v>
      </c>
    </row>
    <row r="12220">
      <c r="A12220" t="str">
        <f>IFERROR(__xludf.DUMMYFUNCTION("""COMPUTED_VALUE"""),"NA")</f>
        <v>NA</v>
      </c>
    </row>
    <row r="12221">
      <c r="A12221" t="str">
        <f>IFERROR(__xludf.DUMMYFUNCTION("""COMPUTED_VALUE"""),"NA")</f>
        <v>NA</v>
      </c>
    </row>
    <row r="12222">
      <c r="A12222" t="str">
        <f>IFERROR(__xludf.DUMMYFUNCTION("""COMPUTED_VALUE"""),"NA")</f>
        <v>NA</v>
      </c>
    </row>
    <row r="12223">
      <c r="A12223" t="str">
        <f>IFERROR(__xludf.DUMMYFUNCTION("""COMPUTED_VALUE"""),"NA")</f>
        <v>NA</v>
      </c>
    </row>
    <row r="12224">
      <c r="A12224" t="str">
        <f>IFERROR(__xludf.DUMMYFUNCTION("""COMPUTED_VALUE"""),"NA")</f>
        <v>NA</v>
      </c>
    </row>
    <row r="12225">
      <c r="A12225" t="str">
        <f>IFERROR(__xludf.DUMMYFUNCTION("""COMPUTED_VALUE"""),"NA")</f>
        <v>NA</v>
      </c>
    </row>
    <row r="12226">
      <c r="A12226" t="str">
        <f>IFERROR(__xludf.DUMMYFUNCTION("""COMPUTED_VALUE"""),"NA")</f>
        <v>NA</v>
      </c>
    </row>
    <row r="12227">
      <c r="A12227" t="str">
        <f>IFERROR(__xludf.DUMMYFUNCTION("""COMPUTED_VALUE"""),"NA")</f>
        <v>NA</v>
      </c>
    </row>
    <row r="12228">
      <c r="A12228" t="str">
        <f>IFERROR(__xludf.DUMMYFUNCTION("""COMPUTED_VALUE"""),"NA")</f>
        <v>NA</v>
      </c>
    </row>
    <row r="12229">
      <c r="A12229" t="str">
        <f>IFERROR(__xludf.DUMMYFUNCTION("""COMPUTED_VALUE"""),"NA")</f>
        <v>NA</v>
      </c>
    </row>
    <row r="12230">
      <c r="A12230" t="str">
        <f>IFERROR(__xludf.DUMMYFUNCTION("""COMPUTED_VALUE"""),"NA")</f>
        <v>NA</v>
      </c>
    </row>
    <row r="12231">
      <c r="A12231" t="str">
        <f>IFERROR(__xludf.DUMMYFUNCTION("""COMPUTED_VALUE"""),"NA")</f>
        <v>NA</v>
      </c>
    </row>
    <row r="12232">
      <c r="A12232" t="str">
        <f>IFERROR(__xludf.DUMMYFUNCTION("""COMPUTED_VALUE"""),"NA")</f>
        <v>NA</v>
      </c>
    </row>
    <row r="12233">
      <c r="A12233" t="str">
        <f>IFERROR(__xludf.DUMMYFUNCTION("""COMPUTED_VALUE"""),"NA")</f>
        <v>NA</v>
      </c>
    </row>
    <row r="12234">
      <c r="A12234" t="str">
        <f>IFERROR(__xludf.DUMMYFUNCTION("""COMPUTED_VALUE"""),"NA")</f>
        <v>NA</v>
      </c>
    </row>
    <row r="12235">
      <c r="A12235" t="str">
        <f>IFERROR(__xludf.DUMMYFUNCTION("""COMPUTED_VALUE"""),"NA")</f>
        <v>NA</v>
      </c>
    </row>
    <row r="12236">
      <c r="A12236" t="str">
        <f>IFERROR(__xludf.DUMMYFUNCTION("""COMPUTED_VALUE"""),"NA")</f>
        <v>NA</v>
      </c>
    </row>
    <row r="12237">
      <c r="A12237" t="str">
        <f>IFERROR(__xludf.DUMMYFUNCTION("""COMPUTED_VALUE"""),"NA")</f>
        <v>NA</v>
      </c>
    </row>
    <row r="12238">
      <c r="A12238" t="str">
        <f>IFERROR(__xludf.DUMMYFUNCTION("""COMPUTED_VALUE"""),"NA")</f>
        <v>NA</v>
      </c>
    </row>
    <row r="12239">
      <c r="A12239" t="str">
        <f>IFERROR(__xludf.DUMMYFUNCTION("""COMPUTED_VALUE"""),"NA")</f>
        <v>NA</v>
      </c>
    </row>
    <row r="12240">
      <c r="A12240" t="str">
        <f>IFERROR(__xludf.DUMMYFUNCTION("""COMPUTED_VALUE"""),"NA")</f>
        <v>NA</v>
      </c>
    </row>
    <row r="12241">
      <c r="A12241" t="str">
        <f>IFERROR(__xludf.DUMMYFUNCTION("""COMPUTED_VALUE"""),"NA")</f>
        <v>NA</v>
      </c>
    </row>
    <row r="12242">
      <c r="A12242" t="str">
        <f>IFERROR(__xludf.DUMMYFUNCTION("""COMPUTED_VALUE"""),"NA")</f>
        <v>NA</v>
      </c>
    </row>
    <row r="12243">
      <c r="A12243" t="str">
        <f>IFERROR(__xludf.DUMMYFUNCTION("""COMPUTED_VALUE"""),"NA")</f>
        <v>NA</v>
      </c>
    </row>
    <row r="12244">
      <c r="A12244" t="str">
        <f>IFERROR(__xludf.DUMMYFUNCTION("""COMPUTED_VALUE"""),"NA")</f>
        <v>NA</v>
      </c>
    </row>
    <row r="12245">
      <c r="A12245" t="str">
        <f>IFERROR(__xludf.DUMMYFUNCTION("""COMPUTED_VALUE"""),"NA")</f>
        <v>NA</v>
      </c>
    </row>
    <row r="12246">
      <c r="A12246" t="str">
        <f>IFERROR(__xludf.DUMMYFUNCTION("""COMPUTED_VALUE"""),"NA")</f>
        <v>NA</v>
      </c>
    </row>
    <row r="12247">
      <c r="A12247" t="str">
        <f>IFERROR(__xludf.DUMMYFUNCTION("""COMPUTED_VALUE"""),"NA")</f>
        <v>NA</v>
      </c>
    </row>
    <row r="12248">
      <c r="A12248" t="str">
        <f>IFERROR(__xludf.DUMMYFUNCTION("""COMPUTED_VALUE"""),"NA")</f>
        <v>NA</v>
      </c>
    </row>
    <row r="12249">
      <c r="A12249" t="str">
        <f>IFERROR(__xludf.DUMMYFUNCTION("""COMPUTED_VALUE"""),"NA")</f>
        <v>NA</v>
      </c>
    </row>
    <row r="12250">
      <c r="A12250" t="str">
        <f>IFERROR(__xludf.DUMMYFUNCTION("""COMPUTED_VALUE"""),"NA")</f>
        <v>NA</v>
      </c>
    </row>
    <row r="12251">
      <c r="A12251" t="str">
        <f>IFERROR(__xludf.DUMMYFUNCTION("""COMPUTED_VALUE"""),"NA")</f>
        <v>NA</v>
      </c>
    </row>
    <row r="12252">
      <c r="A12252" t="str">
        <f>IFERROR(__xludf.DUMMYFUNCTION("""COMPUTED_VALUE"""),"NA")</f>
        <v>NA</v>
      </c>
    </row>
    <row r="12253">
      <c r="A12253" t="str">
        <f>IFERROR(__xludf.DUMMYFUNCTION("""COMPUTED_VALUE"""),"NA")</f>
        <v>NA</v>
      </c>
    </row>
    <row r="12254">
      <c r="A12254" t="str">
        <f>IFERROR(__xludf.DUMMYFUNCTION("""COMPUTED_VALUE"""),"NA")</f>
        <v>NA</v>
      </c>
    </row>
    <row r="12255">
      <c r="A12255" t="str">
        <f>IFERROR(__xludf.DUMMYFUNCTION("""COMPUTED_VALUE"""),"NA")</f>
        <v>NA</v>
      </c>
    </row>
    <row r="12256">
      <c r="A12256" t="str">
        <f>IFERROR(__xludf.DUMMYFUNCTION("""COMPUTED_VALUE"""),"NA")</f>
        <v>NA</v>
      </c>
    </row>
    <row r="12257">
      <c r="A12257" t="str">
        <f>IFERROR(__xludf.DUMMYFUNCTION("""COMPUTED_VALUE"""),"NA")</f>
        <v>NA</v>
      </c>
    </row>
    <row r="12258">
      <c r="A12258" t="str">
        <f>IFERROR(__xludf.DUMMYFUNCTION("""COMPUTED_VALUE"""),"NA")</f>
        <v>NA</v>
      </c>
    </row>
    <row r="12259">
      <c r="A12259" t="str">
        <f>IFERROR(__xludf.DUMMYFUNCTION("""COMPUTED_VALUE"""),"NA")</f>
        <v>NA</v>
      </c>
    </row>
    <row r="12260">
      <c r="A12260" t="str">
        <f>IFERROR(__xludf.DUMMYFUNCTION("""COMPUTED_VALUE"""),"NA")</f>
        <v>NA</v>
      </c>
    </row>
    <row r="12261">
      <c r="A12261" t="str">
        <f>IFERROR(__xludf.DUMMYFUNCTION("""COMPUTED_VALUE"""),"NA")</f>
        <v>NA</v>
      </c>
    </row>
    <row r="12262">
      <c r="A12262" t="str">
        <f>IFERROR(__xludf.DUMMYFUNCTION("""COMPUTED_VALUE"""),"NA")</f>
        <v>NA</v>
      </c>
    </row>
    <row r="12263">
      <c r="A12263" t="str">
        <f>IFERROR(__xludf.DUMMYFUNCTION("""COMPUTED_VALUE"""),"NA")</f>
        <v>NA</v>
      </c>
    </row>
    <row r="12264">
      <c r="A12264" t="str">
        <f>IFERROR(__xludf.DUMMYFUNCTION("""COMPUTED_VALUE"""),"NA")</f>
        <v>NA</v>
      </c>
    </row>
    <row r="12265">
      <c r="A12265" t="str">
        <f>IFERROR(__xludf.DUMMYFUNCTION("""COMPUTED_VALUE"""),"NA")</f>
        <v>NA</v>
      </c>
    </row>
    <row r="12266">
      <c r="A12266" t="str">
        <f>IFERROR(__xludf.DUMMYFUNCTION("""COMPUTED_VALUE"""),"NA")</f>
        <v>NA</v>
      </c>
    </row>
    <row r="12267">
      <c r="A12267" t="str">
        <f>IFERROR(__xludf.DUMMYFUNCTION("""COMPUTED_VALUE"""),"NA")</f>
        <v>NA</v>
      </c>
    </row>
    <row r="12268">
      <c r="A12268" t="str">
        <f>IFERROR(__xludf.DUMMYFUNCTION("""COMPUTED_VALUE"""),"NA")</f>
        <v>NA</v>
      </c>
    </row>
    <row r="12269">
      <c r="A12269" t="str">
        <f>IFERROR(__xludf.DUMMYFUNCTION("""COMPUTED_VALUE"""),"NA")</f>
        <v>NA</v>
      </c>
    </row>
    <row r="12270">
      <c r="A12270" t="str">
        <f>IFERROR(__xludf.DUMMYFUNCTION("""COMPUTED_VALUE"""),"NA")</f>
        <v>NA</v>
      </c>
    </row>
    <row r="12271">
      <c r="A12271" t="str">
        <f>IFERROR(__xludf.DUMMYFUNCTION("""COMPUTED_VALUE"""),"NA")</f>
        <v>NA</v>
      </c>
    </row>
    <row r="12272">
      <c r="A12272" t="str">
        <f>IFERROR(__xludf.DUMMYFUNCTION("""COMPUTED_VALUE"""),"NA")</f>
        <v>NA</v>
      </c>
    </row>
    <row r="12273">
      <c r="A12273" t="str">
        <f>IFERROR(__xludf.DUMMYFUNCTION("""COMPUTED_VALUE"""),"NA")</f>
        <v>NA</v>
      </c>
    </row>
    <row r="12274">
      <c r="A12274" t="str">
        <f>IFERROR(__xludf.DUMMYFUNCTION("""COMPUTED_VALUE"""),"NA")</f>
        <v>NA</v>
      </c>
    </row>
    <row r="12275">
      <c r="A12275" t="str">
        <f>IFERROR(__xludf.DUMMYFUNCTION("""COMPUTED_VALUE"""),"NA")</f>
        <v>NA</v>
      </c>
    </row>
    <row r="12276">
      <c r="A12276" t="str">
        <f>IFERROR(__xludf.DUMMYFUNCTION("""COMPUTED_VALUE"""),"NA")</f>
        <v>NA</v>
      </c>
    </row>
    <row r="12277">
      <c r="A12277" t="str">
        <f>IFERROR(__xludf.DUMMYFUNCTION("""COMPUTED_VALUE"""),"NA")</f>
        <v>NA</v>
      </c>
    </row>
    <row r="12278">
      <c r="A12278" t="str">
        <f>IFERROR(__xludf.DUMMYFUNCTION("""COMPUTED_VALUE"""),"NA")</f>
        <v>NA</v>
      </c>
    </row>
    <row r="12279">
      <c r="A12279" t="str">
        <f>IFERROR(__xludf.DUMMYFUNCTION("""COMPUTED_VALUE"""),"NA")</f>
        <v>NA</v>
      </c>
    </row>
    <row r="12280">
      <c r="A12280" t="str">
        <f>IFERROR(__xludf.DUMMYFUNCTION("""COMPUTED_VALUE"""),"NA")</f>
        <v>NA</v>
      </c>
    </row>
    <row r="12281">
      <c r="A12281" t="str">
        <f>IFERROR(__xludf.DUMMYFUNCTION("""COMPUTED_VALUE"""),"NA")</f>
        <v>NA</v>
      </c>
    </row>
    <row r="12282">
      <c r="A12282" t="str">
        <f>IFERROR(__xludf.DUMMYFUNCTION("""COMPUTED_VALUE"""),"NA")</f>
        <v>NA</v>
      </c>
    </row>
    <row r="12283">
      <c r="A12283" t="str">
        <f>IFERROR(__xludf.DUMMYFUNCTION("""COMPUTED_VALUE"""),"NA")</f>
        <v>NA</v>
      </c>
    </row>
    <row r="12284">
      <c r="A12284" t="str">
        <f>IFERROR(__xludf.DUMMYFUNCTION("""COMPUTED_VALUE"""),"NA")</f>
        <v>NA</v>
      </c>
    </row>
    <row r="12285">
      <c r="A12285" t="str">
        <f>IFERROR(__xludf.DUMMYFUNCTION("""COMPUTED_VALUE"""),"NA")</f>
        <v>NA</v>
      </c>
    </row>
    <row r="12286">
      <c r="A12286" t="str">
        <f>IFERROR(__xludf.DUMMYFUNCTION("""COMPUTED_VALUE"""),"NA")</f>
        <v>NA</v>
      </c>
    </row>
    <row r="12287">
      <c r="A12287" t="str">
        <f>IFERROR(__xludf.DUMMYFUNCTION("""COMPUTED_VALUE"""),"NA")</f>
        <v>NA</v>
      </c>
    </row>
    <row r="12288">
      <c r="A12288" t="str">
        <f>IFERROR(__xludf.DUMMYFUNCTION("""COMPUTED_VALUE"""),"NA")</f>
        <v>NA</v>
      </c>
    </row>
    <row r="12289">
      <c r="A12289" t="str">
        <f>IFERROR(__xludf.DUMMYFUNCTION("""COMPUTED_VALUE"""),"NA")</f>
        <v>NA</v>
      </c>
    </row>
    <row r="12290">
      <c r="A12290" t="str">
        <f>IFERROR(__xludf.DUMMYFUNCTION("""COMPUTED_VALUE"""),"NA")</f>
        <v>NA</v>
      </c>
    </row>
    <row r="12291">
      <c r="A12291" t="str">
        <f>IFERROR(__xludf.DUMMYFUNCTION("""COMPUTED_VALUE"""),"NA")</f>
        <v>NA</v>
      </c>
    </row>
    <row r="12292">
      <c r="A12292" t="str">
        <f>IFERROR(__xludf.DUMMYFUNCTION("""COMPUTED_VALUE"""),"NA")</f>
        <v>NA</v>
      </c>
    </row>
    <row r="12293">
      <c r="A12293" t="str">
        <f>IFERROR(__xludf.DUMMYFUNCTION("""COMPUTED_VALUE"""),"NA")</f>
        <v>NA</v>
      </c>
    </row>
    <row r="12294">
      <c r="A12294" t="str">
        <f>IFERROR(__xludf.DUMMYFUNCTION("""COMPUTED_VALUE"""),"NA")</f>
        <v>NA</v>
      </c>
    </row>
    <row r="12295">
      <c r="A12295" t="str">
        <f>IFERROR(__xludf.DUMMYFUNCTION("""COMPUTED_VALUE"""),"NA")</f>
        <v>NA</v>
      </c>
    </row>
    <row r="12296">
      <c r="A12296" t="str">
        <f>IFERROR(__xludf.DUMMYFUNCTION("""COMPUTED_VALUE"""),"NA")</f>
        <v>NA</v>
      </c>
    </row>
    <row r="12297">
      <c r="A12297" t="str">
        <f>IFERROR(__xludf.DUMMYFUNCTION("""COMPUTED_VALUE"""),"NA")</f>
        <v>NA</v>
      </c>
    </row>
    <row r="12298">
      <c r="A12298" t="str">
        <f>IFERROR(__xludf.DUMMYFUNCTION("""COMPUTED_VALUE"""),"NA")</f>
        <v>NA</v>
      </c>
    </row>
    <row r="12299">
      <c r="A12299" t="str">
        <f>IFERROR(__xludf.DUMMYFUNCTION("""COMPUTED_VALUE"""),"NA")</f>
        <v>NA</v>
      </c>
    </row>
    <row r="12300">
      <c r="A12300" t="str">
        <f>IFERROR(__xludf.DUMMYFUNCTION("""COMPUTED_VALUE"""),"NA")</f>
        <v>NA</v>
      </c>
    </row>
    <row r="12301">
      <c r="A12301" t="str">
        <f>IFERROR(__xludf.DUMMYFUNCTION("""COMPUTED_VALUE"""),"NA")</f>
        <v>NA</v>
      </c>
    </row>
    <row r="12302">
      <c r="A12302" t="str">
        <f>IFERROR(__xludf.DUMMYFUNCTION("""COMPUTED_VALUE"""),"NA")</f>
        <v>NA</v>
      </c>
    </row>
    <row r="12303">
      <c r="A12303" t="str">
        <f>IFERROR(__xludf.DUMMYFUNCTION("""COMPUTED_VALUE"""),"NA")</f>
        <v>NA</v>
      </c>
    </row>
    <row r="12304">
      <c r="A12304" t="str">
        <f>IFERROR(__xludf.DUMMYFUNCTION("""COMPUTED_VALUE"""),"NA")</f>
        <v>NA</v>
      </c>
    </row>
    <row r="12305">
      <c r="A12305" t="str">
        <f>IFERROR(__xludf.DUMMYFUNCTION("""COMPUTED_VALUE"""),"NA")</f>
        <v>NA</v>
      </c>
    </row>
    <row r="12306">
      <c r="A12306" t="str">
        <f>IFERROR(__xludf.DUMMYFUNCTION("""COMPUTED_VALUE"""),"NA")</f>
        <v>NA</v>
      </c>
    </row>
    <row r="12307">
      <c r="A12307" t="str">
        <f>IFERROR(__xludf.DUMMYFUNCTION("""COMPUTED_VALUE"""),"NA")</f>
        <v>NA</v>
      </c>
    </row>
    <row r="12308">
      <c r="A12308" t="str">
        <f>IFERROR(__xludf.DUMMYFUNCTION("""COMPUTED_VALUE"""),"NA")</f>
        <v>NA</v>
      </c>
    </row>
    <row r="12309">
      <c r="A12309" t="str">
        <f>IFERROR(__xludf.DUMMYFUNCTION("""COMPUTED_VALUE"""),"NA")</f>
        <v>NA</v>
      </c>
    </row>
    <row r="12310">
      <c r="A12310" t="str">
        <f>IFERROR(__xludf.DUMMYFUNCTION("""COMPUTED_VALUE"""),"NA")</f>
        <v>NA</v>
      </c>
    </row>
    <row r="12311">
      <c r="A12311" t="str">
        <f>IFERROR(__xludf.DUMMYFUNCTION("""COMPUTED_VALUE"""),"NA")</f>
        <v>NA</v>
      </c>
    </row>
    <row r="12312">
      <c r="A12312" t="str">
        <f>IFERROR(__xludf.DUMMYFUNCTION("""COMPUTED_VALUE"""),"NA")</f>
        <v>NA</v>
      </c>
    </row>
    <row r="12313">
      <c r="A12313" t="str">
        <f>IFERROR(__xludf.DUMMYFUNCTION("""COMPUTED_VALUE"""),"NA")</f>
        <v>NA</v>
      </c>
    </row>
    <row r="12314">
      <c r="A12314" t="str">
        <f>IFERROR(__xludf.DUMMYFUNCTION("""COMPUTED_VALUE"""),"NA")</f>
        <v>NA</v>
      </c>
    </row>
    <row r="12315">
      <c r="A12315" t="str">
        <f>IFERROR(__xludf.DUMMYFUNCTION("""COMPUTED_VALUE"""),"NA")</f>
        <v>NA</v>
      </c>
    </row>
    <row r="12316">
      <c r="A12316" t="str">
        <f>IFERROR(__xludf.DUMMYFUNCTION("""COMPUTED_VALUE"""),"NA")</f>
        <v>NA</v>
      </c>
    </row>
    <row r="12317">
      <c r="A12317" t="str">
        <f>IFERROR(__xludf.DUMMYFUNCTION("""COMPUTED_VALUE"""),"NA")</f>
        <v>NA</v>
      </c>
    </row>
    <row r="12318">
      <c r="A12318" t="str">
        <f>IFERROR(__xludf.DUMMYFUNCTION("""COMPUTED_VALUE"""),"NA")</f>
        <v>NA</v>
      </c>
    </row>
    <row r="12319">
      <c r="A12319" t="str">
        <f>IFERROR(__xludf.DUMMYFUNCTION("""COMPUTED_VALUE"""),"NA")</f>
        <v>NA</v>
      </c>
    </row>
    <row r="12320">
      <c r="A12320" t="str">
        <f>IFERROR(__xludf.DUMMYFUNCTION("""COMPUTED_VALUE"""),"NA")</f>
        <v>NA</v>
      </c>
    </row>
    <row r="12321">
      <c r="A12321" t="str">
        <f>IFERROR(__xludf.DUMMYFUNCTION("""COMPUTED_VALUE"""),"NA")</f>
        <v>NA</v>
      </c>
    </row>
    <row r="12322">
      <c r="A12322" t="str">
        <f>IFERROR(__xludf.DUMMYFUNCTION("""COMPUTED_VALUE"""),"NA")</f>
        <v>NA</v>
      </c>
    </row>
    <row r="12323">
      <c r="A12323" t="str">
        <f>IFERROR(__xludf.DUMMYFUNCTION("""COMPUTED_VALUE"""),"NA")</f>
        <v>NA</v>
      </c>
    </row>
    <row r="12324">
      <c r="A12324" t="str">
        <f>IFERROR(__xludf.DUMMYFUNCTION("""COMPUTED_VALUE"""),"NA")</f>
        <v>NA</v>
      </c>
    </row>
    <row r="12325">
      <c r="A12325" t="str">
        <f>IFERROR(__xludf.DUMMYFUNCTION("""COMPUTED_VALUE"""),"NA")</f>
        <v>NA</v>
      </c>
    </row>
    <row r="12326">
      <c r="A12326" t="str">
        <f>IFERROR(__xludf.DUMMYFUNCTION("""COMPUTED_VALUE"""),"NA")</f>
        <v>NA</v>
      </c>
    </row>
    <row r="12327">
      <c r="A12327" t="str">
        <f>IFERROR(__xludf.DUMMYFUNCTION("""COMPUTED_VALUE"""),"NA")</f>
        <v>NA</v>
      </c>
    </row>
    <row r="12328">
      <c r="A12328" t="str">
        <f>IFERROR(__xludf.DUMMYFUNCTION("""COMPUTED_VALUE"""),"NA")</f>
        <v>NA</v>
      </c>
    </row>
    <row r="12329">
      <c r="A12329" t="str">
        <f>IFERROR(__xludf.DUMMYFUNCTION("""COMPUTED_VALUE"""),"NA")</f>
        <v>NA</v>
      </c>
    </row>
    <row r="12330">
      <c r="A12330" t="str">
        <f>IFERROR(__xludf.DUMMYFUNCTION("""COMPUTED_VALUE"""),"NA")</f>
        <v>NA</v>
      </c>
    </row>
    <row r="12331">
      <c r="A12331" t="str">
        <f>IFERROR(__xludf.DUMMYFUNCTION("""COMPUTED_VALUE"""),"NA")</f>
        <v>NA</v>
      </c>
    </row>
    <row r="12332">
      <c r="A12332" t="str">
        <f>IFERROR(__xludf.DUMMYFUNCTION("""COMPUTED_VALUE"""),"NA")</f>
        <v>NA</v>
      </c>
    </row>
    <row r="12333">
      <c r="A12333" t="str">
        <f>IFERROR(__xludf.DUMMYFUNCTION("""COMPUTED_VALUE"""),"NA")</f>
        <v>NA</v>
      </c>
    </row>
    <row r="12334">
      <c r="A12334" t="str">
        <f>IFERROR(__xludf.DUMMYFUNCTION("""COMPUTED_VALUE"""),"NA")</f>
        <v>NA</v>
      </c>
    </row>
    <row r="12335">
      <c r="A12335" t="str">
        <f>IFERROR(__xludf.DUMMYFUNCTION("""COMPUTED_VALUE"""),"NA")</f>
        <v>NA</v>
      </c>
    </row>
    <row r="12336">
      <c r="A12336" t="str">
        <f>IFERROR(__xludf.DUMMYFUNCTION("""COMPUTED_VALUE"""),"NA")</f>
        <v>NA</v>
      </c>
    </row>
    <row r="12337">
      <c r="A12337" t="str">
        <f>IFERROR(__xludf.DUMMYFUNCTION("""COMPUTED_VALUE"""),"NA")</f>
        <v>NA</v>
      </c>
    </row>
    <row r="12338">
      <c r="A12338" t="str">
        <f>IFERROR(__xludf.DUMMYFUNCTION("""COMPUTED_VALUE"""),"NA")</f>
        <v>NA</v>
      </c>
    </row>
    <row r="12339">
      <c r="A12339" t="str">
        <f>IFERROR(__xludf.DUMMYFUNCTION("""COMPUTED_VALUE"""),"NA")</f>
        <v>NA</v>
      </c>
    </row>
    <row r="12340">
      <c r="A12340" t="str">
        <f>IFERROR(__xludf.DUMMYFUNCTION("""COMPUTED_VALUE"""),"NA")</f>
        <v>NA</v>
      </c>
    </row>
    <row r="12341">
      <c r="A12341" t="str">
        <f>IFERROR(__xludf.DUMMYFUNCTION("""COMPUTED_VALUE"""),"NA")</f>
        <v>NA</v>
      </c>
    </row>
    <row r="12342">
      <c r="A12342" t="str">
        <f>IFERROR(__xludf.DUMMYFUNCTION("""COMPUTED_VALUE"""),"NA")</f>
        <v>NA</v>
      </c>
    </row>
    <row r="12343">
      <c r="A12343" t="str">
        <f>IFERROR(__xludf.DUMMYFUNCTION("""COMPUTED_VALUE"""),"NA")</f>
        <v>NA</v>
      </c>
    </row>
    <row r="12344">
      <c r="A12344" t="str">
        <f>IFERROR(__xludf.DUMMYFUNCTION("""COMPUTED_VALUE"""),"NA")</f>
        <v>NA</v>
      </c>
    </row>
    <row r="12345">
      <c r="A12345" t="str">
        <f>IFERROR(__xludf.DUMMYFUNCTION("""COMPUTED_VALUE"""),"NA")</f>
        <v>NA</v>
      </c>
    </row>
    <row r="12346">
      <c r="A12346" t="str">
        <f>IFERROR(__xludf.DUMMYFUNCTION("""COMPUTED_VALUE"""),"NA")</f>
        <v>NA</v>
      </c>
    </row>
    <row r="12347">
      <c r="A12347" t="str">
        <f>IFERROR(__xludf.DUMMYFUNCTION("""COMPUTED_VALUE"""),"NA")</f>
        <v>NA</v>
      </c>
    </row>
    <row r="12348">
      <c r="A12348" t="str">
        <f>IFERROR(__xludf.DUMMYFUNCTION("""COMPUTED_VALUE"""),"NA")</f>
        <v>NA</v>
      </c>
    </row>
    <row r="12349">
      <c r="A12349" t="str">
        <f>IFERROR(__xludf.DUMMYFUNCTION("""COMPUTED_VALUE"""),"NA")</f>
        <v>NA</v>
      </c>
    </row>
    <row r="12350">
      <c r="A12350" t="str">
        <f>IFERROR(__xludf.DUMMYFUNCTION("""COMPUTED_VALUE"""),"NA")</f>
        <v>NA</v>
      </c>
    </row>
    <row r="12351">
      <c r="A12351" t="str">
        <f>IFERROR(__xludf.DUMMYFUNCTION("""COMPUTED_VALUE"""),"NA")</f>
        <v>NA</v>
      </c>
    </row>
    <row r="12352">
      <c r="A12352" t="str">
        <f>IFERROR(__xludf.DUMMYFUNCTION("""COMPUTED_VALUE"""),"NA")</f>
        <v>NA</v>
      </c>
    </row>
    <row r="12353">
      <c r="A12353" t="str">
        <f>IFERROR(__xludf.DUMMYFUNCTION("""COMPUTED_VALUE"""),"NA")</f>
        <v>NA</v>
      </c>
    </row>
    <row r="12354">
      <c r="A12354" t="str">
        <f>IFERROR(__xludf.DUMMYFUNCTION("""COMPUTED_VALUE"""),"NA")</f>
        <v>NA</v>
      </c>
    </row>
    <row r="12355">
      <c r="A12355" t="str">
        <f>IFERROR(__xludf.DUMMYFUNCTION("""COMPUTED_VALUE"""),"NA")</f>
        <v>NA</v>
      </c>
    </row>
    <row r="12356">
      <c r="A12356" t="str">
        <f>IFERROR(__xludf.DUMMYFUNCTION("""COMPUTED_VALUE"""),"NA")</f>
        <v>NA</v>
      </c>
    </row>
    <row r="12357">
      <c r="A12357" t="str">
        <f>IFERROR(__xludf.DUMMYFUNCTION("""COMPUTED_VALUE"""),"NA")</f>
        <v>NA</v>
      </c>
    </row>
    <row r="12358">
      <c r="A12358" t="str">
        <f>IFERROR(__xludf.DUMMYFUNCTION("""COMPUTED_VALUE"""),"NA")</f>
        <v>NA</v>
      </c>
    </row>
    <row r="12359">
      <c r="A12359" t="str">
        <f>IFERROR(__xludf.DUMMYFUNCTION("""COMPUTED_VALUE"""),"NA")</f>
        <v>NA</v>
      </c>
    </row>
    <row r="12360">
      <c r="A12360" t="str">
        <f>IFERROR(__xludf.DUMMYFUNCTION("""COMPUTED_VALUE"""),"NA")</f>
        <v>NA</v>
      </c>
    </row>
    <row r="12361">
      <c r="A12361" t="str">
        <f>IFERROR(__xludf.DUMMYFUNCTION("""COMPUTED_VALUE"""),"NA")</f>
        <v>NA</v>
      </c>
    </row>
    <row r="12362">
      <c r="A12362" t="str">
        <f>IFERROR(__xludf.DUMMYFUNCTION("""COMPUTED_VALUE"""),"NA")</f>
        <v>NA</v>
      </c>
    </row>
    <row r="12363">
      <c r="A12363" t="str">
        <f>IFERROR(__xludf.DUMMYFUNCTION("""COMPUTED_VALUE"""),"NA")</f>
        <v>NA</v>
      </c>
    </row>
    <row r="12364">
      <c r="A12364" t="str">
        <f>IFERROR(__xludf.DUMMYFUNCTION("""COMPUTED_VALUE"""),"NA")</f>
        <v>NA</v>
      </c>
    </row>
    <row r="12365">
      <c r="A12365" t="str">
        <f>IFERROR(__xludf.DUMMYFUNCTION("""COMPUTED_VALUE"""),"NA")</f>
        <v>NA</v>
      </c>
    </row>
    <row r="12366">
      <c r="A12366" t="str">
        <f>IFERROR(__xludf.DUMMYFUNCTION("""COMPUTED_VALUE"""),"NA")</f>
        <v>NA</v>
      </c>
    </row>
    <row r="12367">
      <c r="A12367" t="str">
        <f>IFERROR(__xludf.DUMMYFUNCTION("""COMPUTED_VALUE"""),"NA")</f>
        <v>NA</v>
      </c>
    </row>
    <row r="12368">
      <c r="A12368" t="str">
        <f>IFERROR(__xludf.DUMMYFUNCTION("""COMPUTED_VALUE"""),"NA")</f>
        <v>NA</v>
      </c>
    </row>
    <row r="12369">
      <c r="A12369" t="str">
        <f>IFERROR(__xludf.DUMMYFUNCTION("""COMPUTED_VALUE"""),"NA")</f>
        <v>NA</v>
      </c>
    </row>
    <row r="12370">
      <c r="A12370" t="str">
        <f>IFERROR(__xludf.DUMMYFUNCTION("""COMPUTED_VALUE"""),"NA")</f>
        <v>NA</v>
      </c>
    </row>
    <row r="12371">
      <c r="A12371" t="str">
        <f>IFERROR(__xludf.DUMMYFUNCTION("""COMPUTED_VALUE"""),"NA")</f>
        <v>NA</v>
      </c>
    </row>
    <row r="12372">
      <c r="A12372" t="str">
        <f>IFERROR(__xludf.DUMMYFUNCTION("""COMPUTED_VALUE"""),"NA")</f>
        <v>NA</v>
      </c>
    </row>
    <row r="12373">
      <c r="A12373" t="str">
        <f>IFERROR(__xludf.DUMMYFUNCTION("""COMPUTED_VALUE"""),"NA")</f>
        <v>NA</v>
      </c>
    </row>
    <row r="12374">
      <c r="A12374" t="str">
        <f>IFERROR(__xludf.DUMMYFUNCTION("""COMPUTED_VALUE"""),"NA")</f>
        <v>NA</v>
      </c>
    </row>
    <row r="12375">
      <c r="A12375" t="str">
        <f>IFERROR(__xludf.DUMMYFUNCTION("""COMPUTED_VALUE"""),"NA")</f>
        <v>NA</v>
      </c>
    </row>
    <row r="12376">
      <c r="A12376" t="str">
        <f>IFERROR(__xludf.DUMMYFUNCTION("""COMPUTED_VALUE"""),"NA")</f>
        <v>NA</v>
      </c>
    </row>
    <row r="12377">
      <c r="A12377" t="str">
        <f>IFERROR(__xludf.DUMMYFUNCTION("""COMPUTED_VALUE"""),"NA")</f>
        <v>NA</v>
      </c>
    </row>
    <row r="12378">
      <c r="A12378" t="str">
        <f>IFERROR(__xludf.DUMMYFUNCTION("""COMPUTED_VALUE"""),"NA")</f>
        <v>NA</v>
      </c>
    </row>
    <row r="12379">
      <c r="A12379" t="str">
        <f>IFERROR(__xludf.DUMMYFUNCTION("""COMPUTED_VALUE"""),"NA")</f>
        <v>NA</v>
      </c>
    </row>
    <row r="12380">
      <c r="A12380" t="str">
        <f>IFERROR(__xludf.DUMMYFUNCTION("""COMPUTED_VALUE"""),"NA")</f>
        <v>NA</v>
      </c>
    </row>
    <row r="12381">
      <c r="A12381" t="str">
        <f>IFERROR(__xludf.DUMMYFUNCTION("""COMPUTED_VALUE"""),"NA")</f>
        <v>NA</v>
      </c>
    </row>
    <row r="12382">
      <c r="A12382" t="str">
        <f>IFERROR(__xludf.DUMMYFUNCTION("""COMPUTED_VALUE"""),"NA")</f>
        <v>NA</v>
      </c>
    </row>
    <row r="12383">
      <c r="A12383" t="str">
        <f>IFERROR(__xludf.DUMMYFUNCTION("""COMPUTED_VALUE"""),"NA")</f>
        <v>NA</v>
      </c>
    </row>
    <row r="12384">
      <c r="A12384" t="str">
        <f>IFERROR(__xludf.DUMMYFUNCTION("""COMPUTED_VALUE"""),"NA")</f>
        <v>NA</v>
      </c>
    </row>
    <row r="12385">
      <c r="A12385" t="str">
        <f>IFERROR(__xludf.DUMMYFUNCTION("""COMPUTED_VALUE"""),"NA")</f>
        <v>NA</v>
      </c>
    </row>
    <row r="12386">
      <c r="A12386" t="str">
        <f>IFERROR(__xludf.DUMMYFUNCTION("""COMPUTED_VALUE"""),"NA")</f>
        <v>NA</v>
      </c>
    </row>
    <row r="12387">
      <c r="A12387" t="str">
        <f>IFERROR(__xludf.DUMMYFUNCTION("""COMPUTED_VALUE"""),"NA")</f>
        <v>NA</v>
      </c>
    </row>
    <row r="12388">
      <c r="A12388" t="str">
        <f>IFERROR(__xludf.DUMMYFUNCTION("""COMPUTED_VALUE"""),"NA")</f>
        <v>NA</v>
      </c>
    </row>
    <row r="12389">
      <c r="A12389" t="str">
        <f>IFERROR(__xludf.DUMMYFUNCTION("""COMPUTED_VALUE"""),"NA")</f>
        <v>NA</v>
      </c>
    </row>
    <row r="12390">
      <c r="A12390" t="str">
        <f>IFERROR(__xludf.DUMMYFUNCTION("""COMPUTED_VALUE"""),"NA")</f>
        <v>NA</v>
      </c>
    </row>
    <row r="12391">
      <c r="A12391" t="str">
        <f>IFERROR(__xludf.DUMMYFUNCTION("""COMPUTED_VALUE"""),"NA")</f>
        <v>NA</v>
      </c>
    </row>
    <row r="12392">
      <c r="A12392" t="str">
        <f>IFERROR(__xludf.DUMMYFUNCTION("""COMPUTED_VALUE"""),"NA")</f>
        <v>NA</v>
      </c>
    </row>
    <row r="12393">
      <c r="A12393" t="str">
        <f>IFERROR(__xludf.DUMMYFUNCTION("""COMPUTED_VALUE"""),"NA")</f>
        <v>NA</v>
      </c>
    </row>
    <row r="12394">
      <c r="A12394" t="str">
        <f>IFERROR(__xludf.DUMMYFUNCTION("""COMPUTED_VALUE"""),"NA")</f>
        <v>NA</v>
      </c>
    </row>
    <row r="12395">
      <c r="A12395" t="str">
        <f>IFERROR(__xludf.DUMMYFUNCTION("""COMPUTED_VALUE"""),"NA")</f>
        <v>NA</v>
      </c>
    </row>
    <row r="12396">
      <c r="A12396" t="str">
        <f>IFERROR(__xludf.DUMMYFUNCTION("""COMPUTED_VALUE"""),"NA")</f>
        <v>NA</v>
      </c>
    </row>
    <row r="12397">
      <c r="A12397" t="str">
        <f>IFERROR(__xludf.DUMMYFUNCTION("""COMPUTED_VALUE"""),"NA")</f>
        <v>NA</v>
      </c>
    </row>
    <row r="12398">
      <c r="A12398" t="str">
        <f>IFERROR(__xludf.DUMMYFUNCTION("""COMPUTED_VALUE"""),"NA")</f>
        <v>NA</v>
      </c>
    </row>
    <row r="12399">
      <c r="A12399" t="str">
        <f>IFERROR(__xludf.DUMMYFUNCTION("""COMPUTED_VALUE"""),"NA")</f>
        <v>NA</v>
      </c>
    </row>
    <row r="12400">
      <c r="A12400" t="str">
        <f>IFERROR(__xludf.DUMMYFUNCTION("""COMPUTED_VALUE"""),"NA")</f>
        <v>NA</v>
      </c>
    </row>
    <row r="12401">
      <c r="A12401" t="str">
        <f>IFERROR(__xludf.DUMMYFUNCTION("""COMPUTED_VALUE"""),"NA")</f>
        <v>NA</v>
      </c>
    </row>
    <row r="12402">
      <c r="A12402" t="str">
        <f>IFERROR(__xludf.DUMMYFUNCTION("""COMPUTED_VALUE"""),"NA")</f>
        <v>NA</v>
      </c>
    </row>
    <row r="12403">
      <c r="A12403" t="str">
        <f>IFERROR(__xludf.DUMMYFUNCTION("""COMPUTED_VALUE"""),"NA")</f>
        <v>NA</v>
      </c>
    </row>
    <row r="12404">
      <c r="A12404" t="str">
        <f>IFERROR(__xludf.DUMMYFUNCTION("""COMPUTED_VALUE"""),"NA")</f>
        <v>NA</v>
      </c>
    </row>
    <row r="12405">
      <c r="A12405" t="str">
        <f>IFERROR(__xludf.DUMMYFUNCTION("""COMPUTED_VALUE"""),"NA")</f>
        <v>NA</v>
      </c>
    </row>
    <row r="12406">
      <c r="A12406" t="str">
        <f>IFERROR(__xludf.DUMMYFUNCTION("""COMPUTED_VALUE"""),"NA")</f>
        <v>NA</v>
      </c>
    </row>
    <row r="12407">
      <c r="A12407" t="str">
        <f>IFERROR(__xludf.DUMMYFUNCTION("""COMPUTED_VALUE"""),"NA")</f>
        <v>NA</v>
      </c>
    </row>
    <row r="12408">
      <c r="A12408" t="str">
        <f>IFERROR(__xludf.DUMMYFUNCTION("""COMPUTED_VALUE"""),"NA")</f>
        <v>NA</v>
      </c>
    </row>
    <row r="12409">
      <c r="A12409" t="str">
        <f>IFERROR(__xludf.DUMMYFUNCTION("""COMPUTED_VALUE"""),"NA")</f>
        <v>NA</v>
      </c>
    </row>
    <row r="12410">
      <c r="A12410" t="str">
        <f>IFERROR(__xludf.DUMMYFUNCTION("""COMPUTED_VALUE"""),"NA")</f>
        <v>NA</v>
      </c>
    </row>
    <row r="12411">
      <c r="A12411" t="str">
        <f>IFERROR(__xludf.DUMMYFUNCTION("""COMPUTED_VALUE"""),"NA")</f>
        <v>NA</v>
      </c>
    </row>
    <row r="12412">
      <c r="A12412" t="str">
        <f>IFERROR(__xludf.DUMMYFUNCTION("""COMPUTED_VALUE"""),"NA")</f>
        <v>NA</v>
      </c>
    </row>
    <row r="12413">
      <c r="A12413" t="str">
        <f>IFERROR(__xludf.DUMMYFUNCTION("""COMPUTED_VALUE"""),"NA")</f>
        <v>NA</v>
      </c>
    </row>
    <row r="12414">
      <c r="A12414" t="str">
        <f>IFERROR(__xludf.DUMMYFUNCTION("""COMPUTED_VALUE"""),"NA")</f>
        <v>NA</v>
      </c>
    </row>
    <row r="12415">
      <c r="A12415" t="str">
        <f>IFERROR(__xludf.DUMMYFUNCTION("""COMPUTED_VALUE"""),"NA")</f>
        <v>NA</v>
      </c>
    </row>
    <row r="12416">
      <c r="A12416" t="str">
        <f>IFERROR(__xludf.DUMMYFUNCTION("""COMPUTED_VALUE"""),"NA")</f>
        <v>NA</v>
      </c>
    </row>
    <row r="12417">
      <c r="A12417" t="str">
        <f>IFERROR(__xludf.DUMMYFUNCTION("""COMPUTED_VALUE"""),"NA")</f>
        <v>NA</v>
      </c>
    </row>
    <row r="12418">
      <c r="A12418" t="str">
        <f>IFERROR(__xludf.DUMMYFUNCTION("""COMPUTED_VALUE"""),"NA")</f>
        <v>NA</v>
      </c>
    </row>
    <row r="12419">
      <c r="A12419" t="str">
        <f>IFERROR(__xludf.DUMMYFUNCTION("""COMPUTED_VALUE"""),"NA")</f>
        <v>NA</v>
      </c>
    </row>
    <row r="12420">
      <c r="A12420" t="str">
        <f>IFERROR(__xludf.DUMMYFUNCTION("""COMPUTED_VALUE"""),"NA")</f>
        <v>NA</v>
      </c>
    </row>
    <row r="12421">
      <c r="A12421" t="str">
        <f>IFERROR(__xludf.DUMMYFUNCTION("""COMPUTED_VALUE"""),"NA")</f>
        <v>NA</v>
      </c>
    </row>
    <row r="12422">
      <c r="A12422" t="str">
        <f>IFERROR(__xludf.DUMMYFUNCTION("""COMPUTED_VALUE"""),"NA")</f>
        <v>NA</v>
      </c>
    </row>
    <row r="12423">
      <c r="A12423" t="str">
        <f>IFERROR(__xludf.DUMMYFUNCTION("""COMPUTED_VALUE"""),"NA")</f>
        <v>NA</v>
      </c>
    </row>
    <row r="12424">
      <c r="A12424" t="str">
        <f>IFERROR(__xludf.DUMMYFUNCTION("""COMPUTED_VALUE"""),"NA")</f>
        <v>NA</v>
      </c>
    </row>
    <row r="12425">
      <c r="A12425" t="str">
        <f>IFERROR(__xludf.DUMMYFUNCTION("""COMPUTED_VALUE"""),"NA")</f>
        <v>NA</v>
      </c>
    </row>
    <row r="12426">
      <c r="A12426" t="str">
        <f>IFERROR(__xludf.DUMMYFUNCTION("""COMPUTED_VALUE"""),"NA")</f>
        <v>NA</v>
      </c>
    </row>
    <row r="12427">
      <c r="A12427" t="str">
        <f>IFERROR(__xludf.DUMMYFUNCTION("""COMPUTED_VALUE"""),"NA")</f>
        <v>NA</v>
      </c>
    </row>
    <row r="12428">
      <c r="A12428" t="str">
        <f>IFERROR(__xludf.DUMMYFUNCTION("""COMPUTED_VALUE"""),"NA")</f>
        <v>NA</v>
      </c>
    </row>
    <row r="12429">
      <c r="A12429" t="str">
        <f>IFERROR(__xludf.DUMMYFUNCTION("""COMPUTED_VALUE"""),"NA")</f>
        <v>NA</v>
      </c>
    </row>
    <row r="12430">
      <c r="A12430" t="str">
        <f>IFERROR(__xludf.DUMMYFUNCTION("""COMPUTED_VALUE"""),"NA")</f>
        <v>NA</v>
      </c>
    </row>
    <row r="12431">
      <c r="A12431" t="str">
        <f>IFERROR(__xludf.DUMMYFUNCTION("""COMPUTED_VALUE"""),"NA")</f>
        <v>NA</v>
      </c>
    </row>
    <row r="12432">
      <c r="A12432" t="str">
        <f>IFERROR(__xludf.DUMMYFUNCTION("""COMPUTED_VALUE"""),"NA")</f>
        <v>NA</v>
      </c>
    </row>
    <row r="12433">
      <c r="A12433" t="str">
        <f>IFERROR(__xludf.DUMMYFUNCTION("""COMPUTED_VALUE"""),"NA")</f>
        <v>NA</v>
      </c>
    </row>
    <row r="12434">
      <c r="A12434" t="str">
        <f>IFERROR(__xludf.DUMMYFUNCTION("""COMPUTED_VALUE"""),"NA")</f>
        <v>NA</v>
      </c>
    </row>
    <row r="12435">
      <c r="A12435" t="str">
        <f>IFERROR(__xludf.DUMMYFUNCTION("""COMPUTED_VALUE"""),"NA")</f>
        <v>NA</v>
      </c>
    </row>
    <row r="12436">
      <c r="A12436" t="str">
        <f>IFERROR(__xludf.DUMMYFUNCTION("""COMPUTED_VALUE"""),"NA")</f>
        <v>NA</v>
      </c>
    </row>
    <row r="12437">
      <c r="A12437" t="str">
        <f>IFERROR(__xludf.DUMMYFUNCTION("""COMPUTED_VALUE"""),"NA")</f>
        <v>NA</v>
      </c>
    </row>
    <row r="12438">
      <c r="A12438" t="str">
        <f>IFERROR(__xludf.DUMMYFUNCTION("""COMPUTED_VALUE"""),"NA")</f>
        <v>NA</v>
      </c>
    </row>
    <row r="12439">
      <c r="A12439" t="str">
        <f>IFERROR(__xludf.DUMMYFUNCTION("""COMPUTED_VALUE"""),"NA")</f>
        <v>NA</v>
      </c>
    </row>
    <row r="12440">
      <c r="A12440" t="str">
        <f>IFERROR(__xludf.DUMMYFUNCTION("""COMPUTED_VALUE"""),"NA")</f>
        <v>NA</v>
      </c>
    </row>
    <row r="12441">
      <c r="A12441" t="str">
        <f>IFERROR(__xludf.DUMMYFUNCTION("""COMPUTED_VALUE"""),"NA")</f>
        <v>NA</v>
      </c>
    </row>
    <row r="12442">
      <c r="A12442" t="str">
        <f>IFERROR(__xludf.DUMMYFUNCTION("""COMPUTED_VALUE"""),"NA")</f>
        <v>NA</v>
      </c>
    </row>
    <row r="12443">
      <c r="A12443" t="str">
        <f>IFERROR(__xludf.DUMMYFUNCTION("""COMPUTED_VALUE"""),"NA")</f>
        <v>NA</v>
      </c>
    </row>
    <row r="12444">
      <c r="A12444" t="str">
        <f>IFERROR(__xludf.DUMMYFUNCTION("""COMPUTED_VALUE"""),"NA")</f>
        <v>NA</v>
      </c>
    </row>
    <row r="12445">
      <c r="A12445" t="str">
        <f>IFERROR(__xludf.DUMMYFUNCTION("""COMPUTED_VALUE"""),"NA")</f>
        <v>NA</v>
      </c>
    </row>
    <row r="12446">
      <c r="A12446" t="str">
        <f>IFERROR(__xludf.DUMMYFUNCTION("""COMPUTED_VALUE"""),"NA")</f>
        <v>NA</v>
      </c>
    </row>
    <row r="12447">
      <c r="A12447" t="str">
        <f>IFERROR(__xludf.DUMMYFUNCTION("""COMPUTED_VALUE"""),"NA")</f>
        <v>NA</v>
      </c>
    </row>
    <row r="12448">
      <c r="A12448" t="str">
        <f>IFERROR(__xludf.DUMMYFUNCTION("""COMPUTED_VALUE"""),"NA")</f>
        <v>NA</v>
      </c>
    </row>
    <row r="12449">
      <c r="A12449" t="str">
        <f>IFERROR(__xludf.DUMMYFUNCTION("""COMPUTED_VALUE"""),"NA")</f>
        <v>NA</v>
      </c>
    </row>
    <row r="12450">
      <c r="A12450" t="str">
        <f>IFERROR(__xludf.DUMMYFUNCTION("""COMPUTED_VALUE"""),"NA")</f>
        <v>NA</v>
      </c>
    </row>
    <row r="12451">
      <c r="A12451" t="str">
        <f>IFERROR(__xludf.DUMMYFUNCTION("""COMPUTED_VALUE"""),"NA")</f>
        <v>NA</v>
      </c>
    </row>
    <row r="12452">
      <c r="A12452" t="str">
        <f>IFERROR(__xludf.DUMMYFUNCTION("""COMPUTED_VALUE"""),"NA")</f>
        <v>NA</v>
      </c>
    </row>
    <row r="12453">
      <c r="A12453" t="str">
        <f>IFERROR(__xludf.DUMMYFUNCTION("""COMPUTED_VALUE"""),"NA")</f>
        <v>NA</v>
      </c>
    </row>
    <row r="12454">
      <c r="A12454" t="str">
        <f>IFERROR(__xludf.DUMMYFUNCTION("""COMPUTED_VALUE"""),"NA")</f>
        <v>NA</v>
      </c>
    </row>
    <row r="12455">
      <c r="A12455" t="str">
        <f>IFERROR(__xludf.DUMMYFUNCTION("""COMPUTED_VALUE"""),"NA")</f>
        <v>NA</v>
      </c>
    </row>
    <row r="12456">
      <c r="A12456" t="str">
        <f>IFERROR(__xludf.DUMMYFUNCTION("""COMPUTED_VALUE"""),"NA")</f>
        <v>NA</v>
      </c>
    </row>
    <row r="12457">
      <c r="A12457" t="str">
        <f>IFERROR(__xludf.DUMMYFUNCTION("""COMPUTED_VALUE"""),"NA")</f>
        <v>NA</v>
      </c>
    </row>
    <row r="12458">
      <c r="A12458" t="str">
        <f>IFERROR(__xludf.DUMMYFUNCTION("""COMPUTED_VALUE"""),"NA")</f>
        <v>NA</v>
      </c>
    </row>
    <row r="12459">
      <c r="A12459" t="str">
        <f>IFERROR(__xludf.DUMMYFUNCTION("""COMPUTED_VALUE"""),"NA")</f>
        <v>NA</v>
      </c>
    </row>
    <row r="12460">
      <c r="A12460" t="str">
        <f>IFERROR(__xludf.DUMMYFUNCTION("""COMPUTED_VALUE"""),"NA")</f>
        <v>NA</v>
      </c>
    </row>
    <row r="12461">
      <c r="A12461" t="str">
        <f>IFERROR(__xludf.DUMMYFUNCTION("""COMPUTED_VALUE"""),"NA")</f>
        <v>NA</v>
      </c>
    </row>
    <row r="12462">
      <c r="A12462" t="str">
        <f>IFERROR(__xludf.DUMMYFUNCTION("""COMPUTED_VALUE"""),"NA")</f>
        <v>NA</v>
      </c>
    </row>
    <row r="12463">
      <c r="A12463" t="str">
        <f>IFERROR(__xludf.DUMMYFUNCTION("""COMPUTED_VALUE"""),"NA")</f>
        <v>NA</v>
      </c>
    </row>
    <row r="12464">
      <c r="A12464" t="str">
        <f>IFERROR(__xludf.DUMMYFUNCTION("""COMPUTED_VALUE"""),"NA")</f>
        <v>NA</v>
      </c>
    </row>
    <row r="12465">
      <c r="A12465" t="str">
        <f>IFERROR(__xludf.DUMMYFUNCTION("""COMPUTED_VALUE"""),"NA")</f>
        <v>NA</v>
      </c>
    </row>
    <row r="12466">
      <c r="A12466" t="str">
        <f>IFERROR(__xludf.DUMMYFUNCTION("""COMPUTED_VALUE"""),"NA")</f>
        <v>NA</v>
      </c>
    </row>
    <row r="12467">
      <c r="A12467" t="str">
        <f>IFERROR(__xludf.DUMMYFUNCTION("""COMPUTED_VALUE"""),"NA")</f>
        <v>NA</v>
      </c>
    </row>
    <row r="12468">
      <c r="A12468" t="str">
        <f>IFERROR(__xludf.DUMMYFUNCTION("""COMPUTED_VALUE"""),"NA")</f>
        <v>NA</v>
      </c>
    </row>
    <row r="12469">
      <c r="A12469" t="str">
        <f>IFERROR(__xludf.DUMMYFUNCTION("""COMPUTED_VALUE"""),"NA")</f>
        <v>NA</v>
      </c>
    </row>
    <row r="12470">
      <c r="A12470" t="str">
        <f>IFERROR(__xludf.DUMMYFUNCTION("""COMPUTED_VALUE"""),"NA")</f>
        <v>NA</v>
      </c>
    </row>
    <row r="12471">
      <c r="A12471" t="str">
        <f>IFERROR(__xludf.DUMMYFUNCTION("""COMPUTED_VALUE"""),"NA")</f>
        <v>NA</v>
      </c>
    </row>
    <row r="12472">
      <c r="A12472" t="str">
        <f>IFERROR(__xludf.DUMMYFUNCTION("""COMPUTED_VALUE"""),"NA")</f>
        <v>NA</v>
      </c>
    </row>
    <row r="12473">
      <c r="A12473" t="str">
        <f>IFERROR(__xludf.DUMMYFUNCTION("""COMPUTED_VALUE"""),"NA")</f>
        <v>NA</v>
      </c>
    </row>
    <row r="12474">
      <c r="A12474" t="str">
        <f>IFERROR(__xludf.DUMMYFUNCTION("""COMPUTED_VALUE"""),"NA")</f>
        <v>NA</v>
      </c>
    </row>
    <row r="12475">
      <c r="A12475" t="str">
        <f>IFERROR(__xludf.DUMMYFUNCTION("""COMPUTED_VALUE"""),"NA")</f>
        <v>NA</v>
      </c>
    </row>
    <row r="12476">
      <c r="A12476" t="str">
        <f>IFERROR(__xludf.DUMMYFUNCTION("""COMPUTED_VALUE"""),"NA")</f>
        <v>NA</v>
      </c>
    </row>
    <row r="12477">
      <c r="A12477" t="str">
        <f>IFERROR(__xludf.DUMMYFUNCTION("""COMPUTED_VALUE"""),"NA")</f>
        <v>NA</v>
      </c>
    </row>
    <row r="12478">
      <c r="A12478" t="str">
        <f>IFERROR(__xludf.DUMMYFUNCTION("""COMPUTED_VALUE"""),"NA")</f>
        <v>NA</v>
      </c>
    </row>
    <row r="12479">
      <c r="A12479" t="str">
        <f>IFERROR(__xludf.DUMMYFUNCTION("""COMPUTED_VALUE"""),"NA")</f>
        <v>NA</v>
      </c>
    </row>
    <row r="12480">
      <c r="A12480" t="str">
        <f>IFERROR(__xludf.DUMMYFUNCTION("""COMPUTED_VALUE"""),"NA")</f>
        <v>NA</v>
      </c>
    </row>
    <row r="12481">
      <c r="A12481" t="str">
        <f>IFERROR(__xludf.DUMMYFUNCTION("""COMPUTED_VALUE"""),"NA")</f>
        <v>NA</v>
      </c>
    </row>
    <row r="12482">
      <c r="A12482" t="str">
        <f>IFERROR(__xludf.DUMMYFUNCTION("""COMPUTED_VALUE"""),"NA")</f>
        <v>NA</v>
      </c>
    </row>
    <row r="12483">
      <c r="A12483" t="str">
        <f>IFERROR(__xludf.DUMMYFUNCTION("""COMPUTED_VALUE"""),"NA")</f>
        <v>NA</v>
      </c>
    </row>
    <row r="12484">
      <c r="A12484" t="str">
        <f>IFERROR(__xludf.DUMMYFUNCTION("""COMPUTED_VALUE"""),"NA")</f>
        <v>NA</v>
      </c>
    </row>
    <row r="12485">
      <c r="A12485" t="str">
        <f>IFERROR(__xludf.DUMMYFUNCTION("""COMPUTED_VALUE"""),"NA")</f>
        <v>NA</v>
      </c>
    </row>
    <row r="12486">
      <c r="A12486" t="str">
        <f>IFERROR(__xludf.DUMMYFUNCTION("""COMPUTED_VALUE"""),"NA")</f>
        <v>NA</v>
      </c>
    </row>
    <row r="12487">
      <c r="A12487" t="str">
        <f>IFERROR(__xludf.DUMMYFUNCTION("""COMPUTED_VALUE"""),"NA")</f>
        <v>NA</v>
      </c>
    </row>
    <row r="12488">
      <c r="A12488" t="str">
        <f>IFERROR(__xludf.DUMMYFUNCTION("""COMPUTED_VALUE"""),"NA")</f>
        <v>NA</v>
      </c>
    </row>
    <row r="12489">
      <c r="A12489" t="str">
        <f>IFERROR(__xludf.DUMMYFUNCTION("""COMPUTED_VALUE"""),"NA")</f>
        <v>NA</v>
      </c>
    </row>
    <row r="12490">
      <c r="A12490" t="str">
        <f>IFERROR(__xludf.DUMMYFUNCTION("""COMPUTED_VALUE"""),"NA")</f>
        <v>NA</v>
      </c>
    </row>
    <row r="12491">
      <c r="A12491" t="str">
        <f>IFERROR(__xludf.DUMMYFUNCTION("""COMPUTED_VALUE"""),"NA")</f>
        <v>NA</v>
      </c>
    </row>
    <row r="12492">
      <c r="A12492" t="str">
        <f>IFERROR(__xludf.DUMMYFUNCTION("""COMPUTED_VALUE"""),"NA")</f>
        <v>NA</v>
      </c>
    </row>
    <row r="12493">
      <c r="A12493" t="str">
        <f>IFERROR(__xludf.DUMMYFUNCTION("""COMPUTED_VALUE"""),"NA")</f>
        <v>NA</v>
      </c>
    </row>
    <row r="12494">
      <c r="A12494" t="str">
        <f>IFERROR(__xludf.DUMMYFUNCTION("""COMPUTED_VALUE"""),"NA")</f>
        <v>NA</v>
      </c>
    </row>
    <row r="12495">
      <c r="A12495" t="str">
        <f>IFERROR(__xludf.DUMMYFUNCTION("""COMPUTED_VALUE"""),"NA")</f>
        <v>NA</v>
      </c>
    </row>
    <row r="12496">
      <c r="A12496" t="str">
        <f>IFERROR(__xludf.DUMMYFUNCTION("""COMPUTED_VALUE"""),"NA")</f>
        <v>NA</v>
      </c>
    </row>
    <row r="12497">
      <c r="A12497" t="str">
        <f>IFERROR(__xludf.DUMMYFUNCTION("""COMPUTED_VALUE"""),"NA")</f>
        <v>NA</v>
      </c>
    </row>
    <row r="12498">
      <c r="A12498" t="str">
        <f>IFERROR(__xludf.DUMMYFUNCTION("""COMPUTED_VALUE"""),"NA")</f>
        <v>NA</v>
      </c>
    </row>
    <row r="12499">
      <c r="A12499" t="str">
        <f>IFERROR(__xludf.DUMMYFUNCTION("""COMPUTED_VALUE"""),"NA")</f>
        <v>NA</v>
      </c>
    </row>
    <row r="12500">
      <c r="A12500" t="str">
        <f>IFERROR(__xludf.DUMMYFUNCTION("""COMPUTED_VALUE"""),"NA")</f>
        <v>NA</v>
      </c>
    </row>
    <row r="12501">
      <c r="A12501" t="str">
        <f>IFERROR(__xludf.DUMMYFUNCTION("""COMPUTED_VALUE"""),"NA")</f>
        <v>NA</v>
      </c>
    </row>
    <row r="12502">
      <c r="A12502" t="str">
        <f>IFERROR(__xludf.DUMMYFUNCTION("""COMPUTED_VALUE"""),"NA")</f>
        <v>NA</v>
      </c>
    </row>
    <row r="12503">
      <c r="A12503" t="str">
        <f>IFERROR(__xludf.DUMMYFUNCTION("""COMPUTED_VALUE"""),"NA")</f>
        <v>NA</v>
      </c>
    </row>
    <row r="12504">
      <c r="A12504" t="str">
        <f>IFERROR(__xludf.DUMMYFUNCTION("""COMPUTED_VALUE"""),"NA")</f>
        <v>NA</v>
      </c>
    </row>
    <row r="12505">
      <c r="A12505" t="str">
        <f>IFERROR(__xludf.DUMMYFUNCTION("""COMPUTED_VALUE"""),"NA")</f>
        <v>NA</v>
      </c>
    </row>
    <row r="12506">
      <c r="A12506" t="str">
        <f>IFERROR(__xludf.DUMMYFUNCTION("""COMPUTED_VALUE"""),"NA")</f>
        <v>NA</v>
      </c>
    </row>
    <row r="12507">
      <c r="A12507" t="str">
        <f>IFERROR(__xludf.DUMMYFUNCTION("""COMPUTED_VALUE"""),"NA")</f>
        <v>NA</v>
      </c>
    </row>
    <row r="12508">
      <c r="A12508" t="str">
        <f>IFERROR(__xludf.DUMMYFUNCTION("""COMPUTED_VALUE"""),"NA")</f>
        <v>NA</v>
      </c>
    </row>
    <row r="12509">
      <c r="A12509" t="str">
        <f>IFERROR(__xludf.DUMMYFUNCTION("""COMPUTED_VALUE"""),"NA")</f>
        <v>NA</v>
      </c>
    </row>
    <row r="12510">
      <c r="A12510" t="str">
        <f>IFERROR(__xludf.DUMMYFUNCTION("""COMPUTED_VALUE"""),"NA")</f>
        <v>NA</v>
      </c>
    </row>
    <row r="12511">
      <c r="A12511" t="str">
        <f>IFERROR(__xludf.DUMMYFUNCTION("""COMPUTED_VALUE"""),"NA")</f>
        <v>NA</v>
      </c>
    </row>
    <row r="12512">
      <c r="A12512" t="str">
        <f>IFERROR(__xludf.DUMMYFUNCTION("""COMPUTED_VALUE"""),"NA")</f>
        <v>NA</v>
      </c>
    </row>
    <row r="12513">
      <c r="A12513" t="str">
        <f>IFERROR(__xludf.DUMMYFUNCTION("""COMPUTED_VALUE"""),"NA")</f>
        <v>NA</v>
      </c>
    </row>
    <row r="12514">
      <c r="A12514" t="str">
        <f>IFERROR(__xludf.DUMMYFUNCTION("""COMPUTED_VALUE"""),"NA")</f>
        <v>NA</v>
      </c>
    </row>
    <row r="12515">
      <c r="A12515" t="str">
        <f>IFERROR(__xludf.DUMMYFUNCTION("""COMPUTED_VALUE"""),"NA")</f>
        <v>NA</v>
      </c>
    </row>
    <row r="12516">
      <c r="A12516" t="str">
        <f>IFERROR(__xludf.DUMMYFUNCTION("""COMPUTED_VALUE"""),"NA")</f>
        <v>NA</v>
      </c>
    </row>
    <row r="12517">
      <c r="A12517" t="str">
        <f>IFERROR(__xludf.DUMMYFUNCTION("""COMPUTED_VALUE"""),"NA")</f>
        <v>NA</v>
      </c>
    </row>
    <row r="12518">
      <c r="A12518" t="str">
        <f>IFERROR(__xludf.DUMMYFUNCTION("""COMPUTED_VALUE"""),"NA")</f>
        <v>NA</v>
      </c>
    </row>
    <row r="12519">
      <c r="A12519" t="str">
        <f>IFERROR(__xludf.DUMMYFUNCTION("""COMPUTED_VALUE"""),"NA")</f>
        <v>NA</v>
      </c>
    </row>
    <row r="12520">
      <c r="A12520" t="str">
        <f>IFERROR(__xludf.DUMMYFUNCTION("""COMPUTED_VALUE"""),"NA")</f>
        <v>NA</v>
      </c>
    </row>
    <row r="12521">
      <c r="A12521" t="str">
        <f>IFERROR(__xludf.DUMMYFUNCTION("""COMPUTED_VALUE"""),"NA")</f>
        <v>NA</v>
      </c>
    </row>
    <row r="12522">
      <c r="A12522" t="str">
        <f>IFERROR(__xludf.DUMMYFUNCTION("""COMPUTED_VALUE"""),"NA")</f>
        <v>NA</v>
      </c>
    </row>
    <row r="12523">
      <c r="A12523" t="str">
        <f>IFERROR(__xludf.DUMMYFUNCTION("""COMPUTED_VALUE"""),"NA")</f>
        <v>NA</v>
      </c>
    </row>
    <row r="12524">
      <c r="A12524" t="str">
        <f>IFERROR(__xludf.DUMMYFUNCTION("""COMPUTED_VALUE"""),"NA")</f>
        <v>NA</v>
      </c>
    </row>
    <row r="12525">
      <c r="A12525" t="str">
        <f>IFERROR(__xludf.DUMMYFUNCTION("""COMPUTED_VALUE"""),"NA")</f>
        <v>NA</v>
      </c>
    </row>
    <row r="12526">
      <c r="A12526" t="str">
        <f>IFERROR(__xludf.DUMMYFUNCTION("""COMPUTED_VALUE"""),"NA")</f>
        <v>NA</v>
      </c>
    </row>
    <row r="12527">
      <c r="A12527" t="str">
        <f>IFERROR(__xludf.DUMMYFUNCTION("""COMPUTED_VALUE"""),"NA")</f>
        <v>NA</v>
      </c>
    </row>
    <row r="12528">
      <c r="A12528" t="str">
        <f>IFERROR(__xludf.DUMMYFUNCTION("""COMPUTED_VALUE"""),"NA")</f>
        <v>NA</v>
      </c>
    </row>
    <row r="12529">
      <c r="A12529" t="str">
        <f>IFERROR(__xludf.DUMMYFUNCTION("""COMPUTED_VALUE"""),"NA")</f>
        <v>NA</v>
      </c>
    </row>
    <row r="12530">
      <c r="A12530" t="str">
        <f>IFERROR(__xludf.DUMMYFUNCTION("""COMPUTED_VALUE"""),"NA")</f>
        <v>NA</v>
      </c>
    </row>
    <row r="12531">
      <c r="A12531" t="str">
        <f>IFERROR(__xludf.DUMMYFUNCTION("""COMPUTED_VALUE"""),"NA")</f>
        <v>NA</v>
      </c>
    </row>
    <row r="12532">
      <c r="A12532" t="str">
        <f>IFERROR(__xludf.DUMMYFUNCTION("""COMPUTED_VALUE"""),"NA")</f>
        <v>NA</v>
      </c>
    </row>
    <row r="12533">
      <c r="A12533" t="str">
        <f>IFERROR(__xludf.DUMMYFUNCTION("""COMPUTED_VALUE"""),"NA")</f>
        <v>NA</v>
      </c>
    </row>
    <row r="12534">
      <c r="A12534" t="str">
        <f>IFERROR(__xludf.DUMMYFUNCTION("""COMPUTED_VALUE"""),"NA")</f>
        <v>NA</v>
      </c>
    </row>
    <row r="12535">
      <c r="A12535" t="str">
        <f>IFERROR(__xludf.DUMMYFUNCTION("""COMPUTED_VALUE"""),"NA")</f>
        <v>NA</v>
      </c>
    </row>
    <row r="12536">
      <c r="A12536" t="str">
        <f>IFERROR(__xludf.DUMMYFUNCTION("""COMPUTED_VALUE"""),"NA")</f>
        <v>NA</v>
      </c>
    </row>
    <row r="12537">
      <c r="A12537" t="str">
        <f>IFERROR(__xludf.DUMMYFUNCTION("""COMPUTED_VALUE"""),"NA")</f>
        <v>NA</v>
      </c>
    </row>
    <row r="12538">
      <c r="A12538" t="str">
        <f>IFERROR(__xludf.DUMMYFUNCTION("""COMPUTED_VALUE"""),"NA")</f>
        <v>NA</v>
      </c>
    </row>
    <row r="12539">
      <c r="A12539" t="str">
        <f>IFERROR(__xludf.DUMMYFUNCTION("""COMPUTED_VALUE"""),"NA")</f>
        <v>NA</v>
      </c>
    </row>
    <row r="12540">
      <c r="A12540" t="str">
        <f>IFERROR(__xludf.DUMMYFUNCTION("""COMPUTED_VALUE"""),"NA")</f>
        <v>NA</v>
      </c>
    </row>
    <row r="12541">
      <c r="A12541" t="str">
        <f>IFERROR(__xludf.DUMMYFUNCTION("""COMPUTED_VALUE"""),"NA")</f>
        <v>NA</v>
      </c>
    </row>
    <row r="12542">
      <c r="A12542" t="str">
        <f>IFERROR(__xludf.DUMMYFUNCTION("""COMPUTED_VALUE"""),"NA")</f>
        <v>NA</v>
      </c>
    </row>
    <row r="12543">
      <c r="A12543" t="str">
        <f>IFERROR(__xludf.DUMMYFUNCTION("""COMPUTED_VALUE"""),"NA")</f>
        <v>NA</v>
      </c>
    </row>
    <row r="12544">
      <c r="A12544" t="str">
        <f>IFERROR(__xludf.DUMMYFUNCTION("""COMPUTED_VALUE"""),"NA")</f>
        <v>NA</v>
      </c>
    </row>
    <row r="12545">
      <c r="A12545" t="str">
        <f>IFERROR(__xludf.DUMMYFUNCTION("""COMPUTED_VALUE"""),"NA")</f>
        <v>NA</v>
      </c>
    </row>
    <row r="12546">
      <c r="A12546" t="str">
        <f>IFERROR(__xludf.DUMMYFUNCTION("""COMPUTED_VALUE"""),"NA")</f>
        <v>NA</v>
      </c>
    </row>
    <row r="12547">
      <c r="A12547" t="str">
        <f>IFERROR(__xludf.DUMMYFUNCTION("""COMPUTED_VALUE"""),"NA")</f>
        <v>NA</v>
      </c>
    </row>
    <row r="12548">
      <c r="A12548" t="str">
        <f>IFERROR(__xludf.DUMMYFUNCTION("""COMPUTED_VALUE"""),"NA")</f>
        <v>NA</v>
      </c>
    </row>
    <row r="12549">
      <c r="A12549" t="str">
        <f>IFERROR(__xludf.DUMMYFUNCTION("""COMPUTED_VALUE"""),"NA")</f>
        <v>NA</v>
      </c>
    </row>
    <row r="12550">
      <c r="A12550" t="str">
        <f>IFERROR(__xludf.DUMMYFUNCTION("""COMPUTED_VALUE"""),"NA")</f>
        <v>NA</v>
      </c>
    </row>
    <row r="12551">
      <c r="A12551" t="str">
        <f>IFERROR(__xludf.DUMMYFUNCTION("""COMPUTED_VALUE"""),"NA")</f>
        <v>NA</v>
      </c>
    </row>
    <row r="12552">
      <c r="A12552" t="str">
        <f>IFERROR(__xludf.DUMMYFUNCTION("""COMPUTED_VALUE"""),"NA")</f>
        <v>NA</v>
      </c>
    </row>
    <row r="12553">
      <c r="A12553" t="str">
        <f>IFERROR(__xludf.DUMMYFUNCTION("""COMPUTED_VALUE"""),"NA")</f>
        <v>NA</v>
      </c>
    </row>
    <row r="12554">
      <c r="A12554" t="str">
        <f>IFERROR(__xludf.DUMMYFUNCTION("""COMPUTED_VALUE"""),"NA")</f>
        <v>NA</v>
      </c>
    </row>
    <row r="12555">
      <c r="A12555" t="str">
        <f>IFERROR(__xludf.DUMMYFUNCTION("""COMPUTED_VALUE"""),"NA")</f>
        <v>NA</v>
      </c>
    </row>
    <row r="12556">
      <c r="A12556" t="str">
        <f>IFERROR(__xludf.DUMMYFUNCTION("""COMPUTED_VALUE"""),"NA")</f>
        <v>NA</v>
      </c>
    </row>
    <row r="12557">
      <c r="A12557" t="str">
        <f>IFERROR(__xludf.DUMMYFUNCTION("""COMPUTED_VALUE"""),"NA")</f>
        <v>NA</v>
      </c>
    </row>
    <row r="12558">
      <c r="A12558" t="str">
        <f>IFERROR(__xludf.DUMMYFUNCTION("""COMPUTED_VALUE"""),"NA")</f>
        <v>NA</v>
      </c>
    </row>
    <row r="12559">
      <c r="A12559" t="str">
        <f>IFERROR(__xludf.DUMMYFUNCTION("""COMPUTED_VALUE"""),"NA")</f>
        <v>NA</v>
      </c>
    </row>
    <row r="12560">
      <c r="A12560" t="str">
        <f>IFERROR(__xludf.DUMMYFUNCTION("""COMPUTED_VALUE"""),"NA")</f>
        <v>NA</v>
      </c>
    </row>
    <row r="12561">
      <c r="A12561" t="str">
        <f>IFERROR(__xludf.DUMMYFUNCTION("""COMPUTED_VALUE"""),"NA")</f>
        <v>NA</v>
      </c>
    </row>
    <row r="12562">
      <c r="A12562" t="str">
        <f>IFERROR(__xludf.DUMMYFUNCTION("""COMPUTED_VALUE"""),"NA")</f>
        <v>NA</v>
      </c>
    </row>
    <row r="12563">
      <c r="A12563" t="str">
        <f>IFERROR(__xludf.DUMMYFUNCTION("""COMPUTED_VALUE"""),"NA")</f>
        <v>NA</v>
      </c>
    </row>
    <row r="12564">
      <c r="A12564" t="str">
        <f>IFERROR(__xludf.DUMMYFUNCTION("""COMPUTED_VALUE"""),"NA")</f>
        <v>NA</v>
      </c>
    </row>
    <row r="12565">
      <c r="A12565" t="str">
        <f>IFERROR(__xludf.DUMMYFUNCTION("""COMPUTED_VALUE"""),"NA")</f>
        <v>NA</v>
      </c>
    </row>
    <row r="12566">
      <c r="A12566" t="str">
        <f>IFERROR(__xludf.DUMMYFUNCTION("""COMPUTED_VALUE"""),"NA")</f>
        <v>NA</v>
      </c>
    </row>
    <row r="12567">
      <c r="A12567" t="str">
        <f>IFERROR(__xludf.DUMMYFUNCTION("""COMPUTED_VALUE"""),"NA")</f>
        <v>NA</v>
      </c>
    </row>
    <row r="12568">
      <c r="A12568" t="str">
        <f>IFERROR(__xludf.DUMMYFUNCTION("""COMPUTED_VALUE"""),"NA")</f>
        <v>NA</v>
      </c>
    </row>
    <row r="12569">
      <c r="A12569" t="str">
        <f>IFERROR(__xludf.DUMMYFUNCTION("""COMPUTED_VALUE"""),"NA")</f>
        <v>NA</v>
      </c>
    </row>
    <row r="12570">
      <c r="A12570" t="str">
        <f>IFERROR(__xludf.DUMMYFUNCTION("""COMPUTED_VALUE"""),"NA")</f>
        <v>NA</v>
      </c>
    </row>
    <row r="12571">
      <c r="A12571" t="str">
        <f>IFERROR(__xludf.DUMMYFUNCTION("""COMPUTED_VALUE"""),"NA")</f>
        <v>NA</v>
      </c>
    </row>
    <row r="12572">
      <c r="A12572" t="str">
        <f>IFERROR(__xludf.DUMMYFUNCTION("""COMPUTED_VALUE"""),"NA")</f>
        <v>NA</v>
      </c>
    </row>
    <row r="12573">
      <c r="A12573" t="str">
        <f>IFERROR(__xludf.DUMMYFUNCTION("""COMPUTED_VALUE"""),"NA")</f>
        <v>NA</v>
      </c>
    </row>
    <row r="12574">
      <c r="A12574" t="str">
        <f>IFERROR(__xludf.DUMMYFUNCTION("""COMPUTED_VALUE"""),"NA")</f>
        <v>NA</v>
      </c>
    </row>
    <row r="12575">
      <c r="A12575" t="str">
        <f>IFERROR(__xludf.DUMMYFUNCTION("""COMPUTED_VALUE"""),"NA")</f>
        <v>NA</v>
      </c>
    </row>
    <row r="12576">
      <c r="A12576" t="str">
        <f>IFERROR(__xludf.DUMMYFUNCTION("""COMPUTED_VALUE"""),"NA")</f>
        <v>NA</v>
      </c>
    </row>
    <row r="12577">
      <c r="A12577" t="str">
        <f>IFERROR(__xludf.DUMMYFUNCTION("""COMPUTED_VALUE"""),"NA")</f>
        <v>NA</v>
      </c>
    </row>
    <row r="12578">
      <c r="A12578" t="str">
        <f>IFERROR(__xludf.DUMMYFUNCTION("""COMPUTED_VALUE"""),"NA")</f>
        <v>NA</v>
      </c>
    </row>
    <row r="12579">
      <c r="A12579" t="str">
        <f>IFERROR(__xludf.DUMMYFUNCTION("""COMPUTED_VALUE"""),"NA")</f>
        <v>NA</v>
      </c>
    </row>
    <row r="12580">
      <c r="A12580" t="str">
        <f>IFERROR(__xludf.DUMMYFUNCTION("""COMPUTED_VALUE"""),"NA")</f>
        <v>NA</v>
      </c>
    </row>
    <row r="12581">
      <c r="A12581" t="str">
        <f>IFERROR(__xludf.DUMMYFUNCTION("""COMPUTED_VALUE"""),"NA")</f>
        <v>NA</v>
      </c>
    </row>
    <row r="12582">
      <c r="A12582" t="str">
        <f>IFERROR(__xludf.DUMMYFUNCTION("""COMPUTED_VALUE"""),"NA")</f>
        <v>NA</v>
      </c>
    </row>
    <row r="12583">
      <c r="A12583" t="str">
        <f>IFERROR(__xludf.DUMMYFUNCTION("""COMPUTED_VALUE"""),"NA")</f>
        <v>NA</v>
      </c>
    </row>
    <row r="12584">
      <c r="A12584" t="str">
        <f>IFERROR(__xludf.DUMMYFUNCTION("""COMPUTED_VALUE"""),"NA")</f>
        <v>NA</v>
      </c>
    </row>
    <row r="12585">
      <c r="A12585" t="str">
        <f>IFERROR(__xludf.DUMMYFUNCTION("""COMPUTED_VALUE"""),"NA")</f>
        <v>NA</v>
      </c>
    </row>
    <row r="12586">
      <c r="A12586" t="str">
        <f>IFERROR(__xludf.DUMMYFUNCTION("""COMPUTED_VALUE"""),"NA")</f>
        <v>NA</v>
      </c>
    </row>
    <row r="12587">
      <c r="A12587" t="str">
        <f>IFERROR(__xludf.DUMMYFUNCTION("""COMPUTED_VALUE"""),"NA")</f>
        <v>NA</v>
      </c>
    </row>
    <row r="12588">
      <c r="A12588" t="str">
        <f>IFERROR(__xludf.DUMMYFUNCTION("""COMPUTED_VALUE"""),"NA")</f>
        <v>NA</v>
      </c>
    </row>
    <row r="12589">
      <c r="A12589" t="str">
        <f>IFERROR(__xludf.DUMMYFUNCTION("""COMPUTED_VALUE"""),"NA")</f>
        <v>NA</v>
      </c>
    </row>
    <row r="12590">
      <c r="A12590" t="str">
        <f>IFERROR(__xludf.DUMMYFUNCTION("""COMPUTED_VALUE"""),"NA")</f>
        <v>NA</v>
      </c>
    </row>
    <row r="12591">
      <c r="A12591" t="str">
        <f>IFERROR(__xludf.DUMMYFUNCTION("""COMPUTED_VALUE"""),"NA")</f>
        <v>NA</v>
      </c>
    </row>
    <row r="12592">
      <c r="A12592" t="str">
        <f>IFERROR(__xludf.DUMMYFUNCTION("""COMPUTED_VALUE"""),"NA")</f>
        <v>NA</v>
      </c>
    </row>
    <row r="12593">
      <c r="A12593" t="str">
        <f>IFERROR(__xludf.DUMMYFUNCTION("""COMPUTED_VALUE"""),"NA")</f>
        <v>NA</v>
      </c>
    </row>
    <row r="12594">
      <c r="A12594" t="str">
        <f>IFERROR(__xludf.DUMMYFUNCTION("""COMPUTED_VALUE"""),"NA")</f>
        <v>NA</v>
      </c>
    </row>
    <row r="12595">
      <c r="A12595" t="str">
        <f>IFERROR(__xludf.DUMMYFUNCTION("""COMPUTED_VALUE"""),"NA")</f>
        <v>NA</v>
      </c>
    </row>
    <row r="12596">
      <c r="A12596" t="str">
        <f>IFERROR(__xludf.DUMMYFUNCTION("""COMPUTED_VALUE"""),"NA")</f>
        <v>NA</v>
      </c>
    </row>
    <row r="12597">
      <c r="A12597" t="str">
        <f>IFERROR(__xludf.DUMMYFUNCTION("""COMPUTED_VALUE"""),"NA")</f>
        <v>NA</v>
      </c>
    </row>
    <row r="12598">
      <c r="A12598" t="str">
        <f>IFERROR(__xludf.DUMMYFUNCTION("""COMPUTED_VALUE"""),"NA")</f>
        <v>NA</v>
      </c>
    </row>
    <row r="12599">
      <c r="A12599" t="str">
        <f>IFERROR(__xludf.DUMMYFUNCTION("""COMPUTED_VALUE"""),"NA")</f>
        <v>NA</v>
      </c>
    </row>
    <row r="12600">
      <c r="A12600" t="str">
        <f>IFERROR(__xludf.DUMMYFUNCTION("""COMPUTED_VALUE"""),"NA")</f>
        <v>NA</v>
      </c>
    </row>
    <row r="12601">
      <c r="A12601" t="str">
        <f>IFERROR(__xludf.DUMMYFUNCTION("""COMPUTED_VALUE"""),"NA")</f>
        <v>NA</v>
      </c>
    </row>
    <row r="12602">
      <c r="A12602" t="str">
        <f>IFERROR(__xludf.DUMMYFUNCTION("""COMPUTED_VALUE"""),"NA")</f>
        <v>NA</v>
      </c>
    </row>
    <row r="12603">
      <c r="A12603" t="str">
        <f>IFERROR(__xludf.DUMMYFUNCTION("""COMPUTED_VALUE"""),"NA")</f>
        <v>NA</v>
      </c>
    </row>
    <row r="12604">
      <c r="A12604" t="str">
        <f>IFERROR(__xludf.DUMMYFUNCTION("""COMPUTED_VALUE"""),"NA")</f>
        <v>NA</v>
      </c>
    </row>
    <row r="12605">
      <c r="A12605" t="str">
        <f>IFERROR(__xludf.DUMMYFUNCTION("""COMPUTED_VALUE"""),"NA")</f>
        <v>NA</v>
      </c>
    </row>
    <row r="12606">
      <c r="A12606" t="str">
        <f>IFERROR(__xludf.DUMMYFUNCTION("""COMPUTED_VALUE"""),"NA")</f>
        <v>NA</v>
      </c>
    </row>
    <row r="12607">
      <c r="A12607" t="str">
        <f>IFERROR(__xludf.DUMMYFUNCTION("""COMPUTED_VALUE"""),"NA")</f>
        <v>NA</v>
      </c>
    </row>
    <row r="12608">
      <c r="A12608" t="str">
        <f>IFERROR(__xludf.DUMMYFUNCTION("""COMPUTED_VALUE"""),"NA")</f>
        <v>NA</v>
      </c>
    </row>
    <row r="12609">
      <c r="A12609" t="str">
        <f>IFERROR(__xludf.DUMMYFUNCTION("""COMPUTED_VALUE"""),"NA")</f>
        <v>NA</v>
      </c>
    </row>
    <row r="12610">
      <c r="A12610" t="str">
        <f>IFERROR(__xludf.DUMMYFUNCTION("""COMPUTED_VALUE"""),"NA")</f>
        <v>NA</v>
      </c>
    </row>
    <row r="12611">
      <c r="A12611" t="str">
        <f>IFERROR(__xludf.DUMMYFUNCTION("""COMPUTED_VALUE"""),"NA")</f>
        <v>NA</v>
      </c>
    </row>
    <row r="12612">
      <c r="A12612" t="str">
        <f>IFERROR(__xludf.DUMMYFUNCTION("""COMPUTED_VALUE"""),"NA")</f>
        <v>NA</v>
      </c>
    </row>
    <row r="12613">
      <c r="A12613" t="str">
        <f>IFERROR(__xludf.DUMMYFUNCTION("""COMPUTED_VALUE"""),"NA")</f>
        <v>NA</v>
      </c>
    </row>
    <row r="12614">
      <c r="A12614" t="str">
        <f>IFERROR(__xludf.DUMMYFUNCTION("""COMPUTED_VALUE"""),"NA")</f>
        <v>NA</v>
      </c>
    </row>
    <row r="12615">
      <c r="A12615" t="str">
        <f>IFERROR(__xludf.DUMMYFUNCTION("""COMPUTED_VALUE"""),"NA")</f>
        <v>NA</v>
      </c>
    </row>
    <row r="12616">
      <c r="A12616" t="str">
        <f>IFERROR(__xludf.DUMMYFUNCTION("""COMPUTED_VALUE"""),"NA")</f>
        <v>NA</v>
      </c>
    </row>
    <row r="12617">
      <c r="A12617" t="str">
        <f>IFERROR(__xludf.DUMMYFUNCTION("""COMPUTED_VALUE"""),"NA")</f>
        <v>NA</v>
      </c>
    </row>
    <row r="12618">
      <c r="A12618" t="str">
        <f>IFERROR(__xludf.DUMMYFUNCTION("""COMPUTED_VALUE"""),"NA")</f>
        <v>NA</v>
      </c>
    </row>
    <row r="12619">
      <c r="A12619" t="str">
        <f>IFERROR(__xludf.DUMMYFUNCTION("""COMPUTED_VALUE"""),"NA")</f>
        <v>NA</v>
      </c>
    </row>
    <row r="12620">
      <c r="A12620" t="str">
        <f>IFERROR(__xludf.DUMMYFUNCTION("""COMPUTED_VALUE"""),"NA")</f>
        <v>NA</v>
      </c>
    </row>
    <row r="12621">
      <c r="A12621" t="str">
        <f>IFERROR(__xludf.DUMMYFUNCTION("""COMPUTED_VALUE"""),"NA")</f>
        <v>NA</v>
      </c>
    </row>
    <row r="12622">
      <c r="A12622" t="str">
        <f>IFERROR(__xludf.DUMMYFUNCTION("""COMPUTED_VALUE"""),"NA")</f>
        <v>NA</v>
      </c>
    </row>
    <row r="12623">
      <c r="A12623" t="str">
        <f>IFERROR(__xludf.DUMMYFUNCTION("""COMPUTED_VALUE"""),"NA")</f>
        <v>NA</v>
      </c>
    </row>
    <row r="12624">
      <c r="A12624" t="str">
        <f>IFERROR(__xludf.DUMMYFUNCTION("""COMPUTED_VALUE"""),"NA")</f>
        <v>NA</v>
      </c>
    </row>
    <row r="12625">
      <c r="A12625" t="str">
        <f>IFERROR(__xludf.DUMMYFUNCTION("""COMPUTED_VALUE"""),"NA")</f>
        <v>NA</v>
      </c>
    </row>
    <row r="12626">
      <c r="A12626" t="str">
        <f>IFERROR(__xludf.DUMMYFUNCTION("""COMPUTED_VALUE"""),"NA")</f>
        <v>NA</v>
      </c>
    </row>
    <row r="12627">
      <c r="A12627" t="str">
        <f>IFERROR(__xludf.DUMMYFUNCTION("""COMPUTED_VALUE"""),"NA")</f>
        <v>NA</v>
      </c>
    </row>
    <row r="12628">
      <c r="A12628" t="str">
        <f>IFERROR(__xludf.DUMMYFUNCTION("""COMPUTED_VALUE"""),"NA")</f>
        <v>NA</v>
      </c>
    </row>
    <row r="12629">
      <c r="A12629" t="str">
        <f>IFERROR(__xludf.DUMMYFUNCTION("""COMPUTED_VALUE"""),"NA")</f>
        <v>NA</v>
      </c>
    </row>
    <row r="12630">
      <c r="A12630" t="str">
        <f>IFERROR(__xludf.DUMMYFUNCTION("""COMPUTED_VALUE"""),"NA")</f>
        <v>NA</v>
      </c>
    </row>
    <row r="12631">
      <c r="A12631" t="str">
        <f>IFERROR(__xludf.DUMMYFUNCTION("""COMPUTED_VALUE"""),"NA")</f>
        <v>NA</v>
      </c>
    </row>
    <row r="12632">
      <c r="A12632" t="str">
        <f>IFERROR(__xludf.DUMMYFUNCTION("""COMPUTED_VALUE"""),"NA")</f>
        <v>NA</v>
      </c>
    </row>
    <row r="12633">
      <c r="A12633" t="str">
        <f>IFERROR(__xludf.DUMMYFUNCTION("""COMPUTED_VALUE"""),"NA")</f>
        <v>NA</v>
      </c>
    </row>
    <row r="12634">
      <c r="A12634" t="str">
        <f>IFERROR(__xludf.DUMMYFUNCTION("""COMPUTED_VALUE"""),"NA")</f>
        <v>NA</v>
      </c>
    </row>
    <row r="12635">
      <c r="A12635" t="str">
        <f>IFERROR(__xludf.DUMMYFUNCTION("""COMPUTED_VALUE"""),"NA")</f>
        <v>NA</v>
      </c>
    </row>
    <row r="12636">
      <c r="A12636" t="str">
        <f>IFERROR(__xludf.DUMMYFUNCTION("""COMPUTED_VALUE"""),"NA")</f>
        <v>NA</v>
      </c>
    </row>
    <row r="12637">
      <c r="A12637" t="str">
        <f>IFERROR(__xludf.DUMMYFUNCTION("""COMPUTED_VALUE"""),"NA")</f>
        <v>NA</v>
      </c>
    </row>
    <row r="12638">
      <c r="A12638" t="str">
        <f>IFERROR(__xludf.DUMMYFUNCTION("""COMPUTED_VALUE"""),"NA")</f>
        <v>NA</v>
      </c>
    </row>
    <row r="12639">
      <c r="A12639" t="str">
        <f>IFERROR(__xludf.DUMMYFUNCTION("""COMPUTED_VALUE"""),"NA")</f>
        <v>NA</v>
      </c>
    </row>
    <row r="12640">
      <c r="A12640" t="str">
        <f>IFERROR(__xludf.DUMMYFUNCTION("""COMPUTED_VALUE"""),"NA")</f>
        <v>NA</v>
      </c>
    </row>
    <row r="12641">
      <c r="A12641" t="str">
        <f>IFERROR(__xludf.DUMMYFUNCTION("""COMPUTED_VALUE"""),"NA")</f>
        <v>NA</v>
      </c>
    </row>
    <row r="12642">
      <c r="A12642" t="str">
        <f>IFERROR(__xludf.DUMMYFUNCTION("""COMPUTED_VALUE"""),"NA")</f>
        <v>NA</v>
      </c>
    </row>
    <row r="12643">
      <c r="A12643" t="str">
        <f>IFERROR(__xludf.DUMMYFUNCTION("""COMPUTED_VALUE"""),"NA")</f>
        <v>NA</v>
      </c>
    </row>
    <row r="12644">
      <c r="A12644" t="str">
        <f>IFERROR(__xludf.DUMMYFUNCTION("""COMPUTED_VALUE"""),"NA")</f>
        <v>NA</v>
      </c>
    </row>
    <row r="12645">
      <c r="A12645" t="str">
        <f>IFERROR(__xludf.DUMMYFUNCTION("""COMPUTED_VALUE"""),"NA")</f>
        <v>NA</v>
      </c>
    </row>
    <row r="12646">
      <c r="A12646" t="str">
        <f>IFERROR(__xludf.DUMMYFUNCTION("""COMPUTED_VALUE"""),"NA")</f>
        <v>NA</v>
      </c>
    </row>
    <row r="12647">
      <c r="A12647" t="str">
        <f>IFERROR(__xludf.DUMMYFUNCTION("""COMPUTED_VALUE"""),"NA")</f>
        <v>NA</v>
      </c>
    </row>
    <row r="12648">
      <c r="A12648" t="str">
        <f>IFERROR(__xludf.DUMMYFUNCTION("""COMPUTED_VALUE"""),"NA")</f>
        <v>NA</v>
      </c>
    </row>
    <row r="12649">
      <c r="A12649" t="str">
        <f>IFERROR(__xludf.DUMMYFUNCTION("""COMPUTED_VALUE"""),"NA")</f>
        <v>NA</v>
      </c>
    </row>
    <row r="12650">
      <c r="A12650" t="str">
        <f>IFERROR(__xludf.DUMMYFUNCTION("""COMPUTED_VALUE"""),"NA")</f>
        <v>NA</v>
      </c>
    </row>
    <row r="12651">
      <c r="A12651" t="str">
        <f>IFERROR(__xludf.DUMMYFUNCTION("""COMPUTED_VALUE"""),"NA")</f>
        <v>NA</v>
      </c>
    </row>
    <row r="12652">
      <c r="A12652" t="str">
        <f>IFERROR(__xludf.DUMMYFUNCTION("""COMPUTED_VALUE"""),"NA")</f>
        <v>NA</v>
      </c>
    </row>
    <row r="12653">
      <c r="A12653" t="str">
        <f>IFERROR(__xludf.DUMMYFUNCTION("""COMPUTED_VALUE"""),"NA")</f>
        <v>NA</v>
      </c>
    </row>
    <row r="12654">
      <c r="A12654" t="str">
        <f>IFERROR(__xludf.DUMMYFUNCTION("""COMPUTED_VALUE"""),"NA")</f>
        <v>NA</v>
      </c>
    </row>
    <row r="12655">
      <c r="A12655" t="str">
        <f>IFERROR(__xludf.DUMMYFUNCTION("""COMPUTED_VALUE"""),"NA")</f>
        <v>NA</v>
      </c>
    </row>
    <row r="12656">
      <c r="A12656" t="str">
        <f>IFERROR(__xludf.DUMMYFUNCTION("""COMPUTED_VALUE"""),"NA")</f>
        <v>NA</v>
      </c>
    </row>
    <row r="12657">
      <c r="A12657" t="str">
        <f>IFERROR(__xludf.DUMMYFUNCTION("""COMPUTED_VALUE"""),"NA")</f>
        <v>NA</v>
      </c>
    </row>
    <row r="12658">
      <c r="A12658" t="str">
        <f>IFERROR(__xludf.DUMMYFUNCTION("""COMPUTED_VALUE"""),"NA")</f>
        <v>NA</v>
      </c>
    </row>
    <row r="12659">
      <c r="A12659" t="str">
        <f>IFERROR(__xludf.DUMMYFUNCTION("""COMPUTED_VALUE"""),"NA")</f>
        <v>NA</v>
      </c>
    </row>
    <row r="12660">
      <c r="A12660" t="str">
        <f>IFERROR(__xludf.DUMMYFUNCTION("""COMPUTED_VALUE"""),"NA")</f>
        <v>NA</v>
      </c>
    </row>
    <row r="12661">
      <c r="A12661" t="str">
        <f>IFERROR(__xludf.DUMMYFUNCTION("""COMPUTED_VALUE"""),"NA")</f>
        <v>NA</v>
      </c>
    </row>
    <row r="12662">
      <c r="A12662" t="str">
        <f>IFERROR(__xludf.DUMMYFUNCTION("""COMPUTED_VALUE"""),"NA")</f>
        <v>NA</v>
      </c>
    </row>
    <row r="12663">
      <c r="A12663" t="str">
        <f>IFERROR(__xludf.DUMMYFUNCTION("""COMPUTED_VALUE"""),"NA")</f>
        <v>NA</v>
      </c>
    </row>
    <row r="12664">
      <c r="A12664" t="str">
        <f>IFERROR(__xludf.DUMMYFUNCTION("""COMPUTED_VALUE"""),"NA")</f>
        <v>NA</v>
      </c>
    </row>
    <row r="12665">
      <c r="A12665" t="str">
        <f>IFERROR(__xludf.DUMMYFUNCTION("""COMPUTED_VALUE"""),"NA")</f>
        <v>NA</v>
      </c>
    </row>
    <row r="12666">
      <c r="A12666" t="str">
        <f>IFERROR(__xludf.DUMMYFUNCTION("""COMPUTED_VALUE"""),"NA")</f>
        <v>NA</v>
      </c>
    </row>
    <row r="12667">
      <c r="A12667" t="str">
        <f>IFERROR(__xludf.DUMMYFUNCTION("""COMPUTED_VALUE"""),"NA")</f>
        <v>NA</v>
      </c>
    </row>
    <row r="12668">
      <c r="A12668" t="str">
        <f>IFERROR(__xludf.DUMMYFUNCTION("""COMPUTED_VALUE"""),"NA")</f>
        <v>NA</v>
      </c>
    </row>
    <row r="12669">
      <c r="A12669" t="str">
        <f>IFERROR(__xludf.DUMMYFUNCTION("""COMPUTED_VALUE"""),"NA")</f>
        <v>NA</v>
      </c>
    </row>
    <row r="12670">
      <c r="A12670" t="str">
        <f>IFERROR(__xludf.DUMMYFUNCTION("""COMPUTED_VALUE"""),"NA")</f>
        <v>NA</v>
      </c>
    </row>
    <row r="12671">
      <c r="A12671" t="str">
        <f>IFERROR(__xludf.DUMMYFUNCTION("""COMPUTED_VALUE"""),"NA")</f>
        <v>NA</v>
      </c>
    </row>
    <row r="12672">
      <c r="A12672" t="str">
        <f>IFERROR(__xludf.DUMMYFUNCTION("""COMPUTED_VALUE"""),"NA")</f>
        <v>NA</v>
      </c>
    </row>
    <row r="12673">
      <c r="A12673" t="str">
        <f>IFERROR(__xludf.DUMMYFUNCTION("""COMPUTED_VALUE"""),"NA")</f>
        <v>NA</v>
      </c>
    </row>
    <row r="12674">
      <c r="A12674" t="str">
        <f>IFERROR(__xludf.DUMMYFUNCTION("""COMPUTED_VALUE"""),"NA")</f>
        <v>NA</v>
      </c>
    </row>
    <row r="12675">
      <c r="A12675" t="str">
        <f>IFERROR(__xludf.DUMMYFUNCTION("""COMPUTED_VALUE"""),"NA")</f>
        <v>NA</v>
      </c>
    </row>
    <row r="12676">
      <c r="A12676" t="str">
        <f>IFERROR(__xludf.DUMMYFUNCTION("""COMPUTED_VALUE"""),"NA")</f>
        <v>NA</v>
      </c>
    </row>
    <row r="12677">
      <c r="A12677" t="str">
        <f>IFERROR(__xludf.DUMMYFUNCTION("""COMPUTED_VALUE"""),"NA")</f>
        <v>NA</v>
      </c>
    </row>
    <row r="12678">
      <c r="A12678" t="str">
        <f>IFERROR(__xludf.DUMMYFUNCTION("""COMPUTED_VALUE"""),"NA")</f>
        <v>NA</v>
      </c>
    </row>
    <row r="12679">
      <c r="A12679" t="str">
        <f>IFERROR(__xludf.DUMMYFUNCTION("""COMPUTED_VALUE"""),"NA")</f>
        <v>NA</v>
      </c>
    </row>
    <row r="12680">
      <c r="A12680" t="str">
        <f>IFERROR(__xludf.DUMMYFUNCTION("""COMPUTED_VALUE"""),"NA")</f>
        <v>NA</v>
      </c>
    </row>
    <row r="12681">
      <c r="A12681" t="str">
        <f>IFERROR(__xludf.DUMMYFUNCTION("""COMPUTED_VALUE"""),"NA")</f>
        <v>NA</v>
      </c>
    </row>
    <row r="12682">
      <c r="A12682" t="str">
        <f>IFERROR(__xludf.DUMMYFUNCTION("""COMPUTED_VALUE"""),"NA")</f>
        <v>NA</v>
      </c>
    </row>
    <row r="12683">
      <c r="A12683" t="str">
        <f>IFERROR(__xludf.DUMMYFUNCTION("""COMPUTED_VALUE"""),"NA")</f>
        <v>NA</v>
      </c>
    </row>
    <row r="12684">
      <c r="A12684" t="str">
        <f>IFERROR(__xludf.DUMMYFUNCTION("""COMPUTED_VALUE"""),"NA")</f>
        <v>NA</v>
      </c>
    </row>
    <row r="12685">
      <c r="A12685" t="str">
        <f>IFERROR(__xludf.DUMMYFUNCTION("""COMPUTED_VALUE"""),"NA")</f>
        <v>NA</v>
      </c>
    </row>
    <row r="12686">
      <c r="A12686" t="str">
        <f>IFERROR(__xludf.DUMMYFUNCTION("""COMPUTED_VALUE"""),"NA")</f>
        <v>NA</v>
      </c>
    </row>
    <row r="12687">
      <c r="A12687" t="str">
        <f>IFERROR(__xludf.DUMMYFUNCTION("""COMPUTED_VALUE"""),"NA")</f>
        <v>NA</v>
      </c>
    </row>
    <row r="12688">
      <c r="A12688" t="str">
        <f>IFERROR(__xludf.DUMMYFUNCTION("""COMPUTED_VALUE"""),"NA")</f>
        <v>NA</v>
      </c>
    </row>
    <row r="12689">
      <c r="A12689" t="str">
        <f>IFERROR(__xludf.DUMMYFUNCTION("""COMPUTED_VALUE"""),"NA")</f>
        <v>NA</v>
      </c>
    </row>
    <row r="12690">
      <c r="A12690" t="str">
        <f>IFERROR(__xludf.DUMMYFUNCTION("""COMPUTED_VALUE"""),"NA")</f>
        <v>NA</v>
      </c>
    </row>
    <row r="12691">
      <c r="A12691" t="str">
        <f>IFERROR(__xludf.DUMMYFUNCTION("""COMPUTED_VALUE"""),"NA")</f>
        <v>NA</v>
      </c>
    </row>
    <row r="12692">
      <c r="A12692" t="str">
        <f>IFERROR(__xludf.DUMMYFUNCTION("""COMPUTED_VALUE"""),"NA")</f>
        <v>NA</v>
      </c>
    </row>
    <row r="12693">
      <c r="A12693" t="str">
        <f>IFERROR(__xludf.DUMMYFUNCTION("""COMPUTED_VALUE"""),"NA")</f>
        <v>NA</v>
      </c>
    </row>
    <row r="12694">
      <c r="A12694" t="str">
        <f>IFERROR(__xludf.DUMMYFUNCTION("""COMPUTED_VALUE"""),"NA")</f>
        <v>NA</v>
      </c>
    </row>
    <row r="12695">
      <c r="A12695" t="str">
        <f>IFERROR(__xludf.DUMMYFUNCTION("""COMPUTED_VALUE"""),"NA")</f>
        <v>NA</v>
      </c>
    </row>
    <row r="12696">
      <c r="A12696" t="str">
        <f>IFERROR(__xludf.DUMMYFUNCTION("""COMPUTED_VALUE"""),"NA")</f>
        <v>NA</v>
      </c>
    </row>
    <row r="12697">
      <c r="A12697" t="str">
        <f>IFERROR(__xludf.DUMMYFUNCTION("""COMPUTED_VALUE"""),"NA")</f>
        <v>NA</v>
      </c>
    </row>
    <row r="12698">
      <c r="A12698" t="str">
        <f>IFERROR(__xludf.DUMMYFUNCTION("""COMPUTED_VALUE"""),"NA")</f>
        <v>NA</v>
      </c>
    </row>
    <row r="12699">
      <c r="A12699" t="str">
        <f>IFERROR(__xludf.DUMMYFUNCTION("""COMPUTED_VALUE"""),"NA")</f>
        <v>NA</v>
      </c>
    </row>
    <row r="12700">
      <c r="A12700" t="str">
        <f>IFERROR(__xludf.DUMMYFUNCTION("""COMPUTED_VALUE"""),"NA")</f>
        <v>NA</v>
      </c>
    </row>
    <row r="12701">
      <c r="A12701" t="str">
        <f>IFERROR(__xludf.DUMMYFUNCTION("""COMPUTED_VALUE"""),"NA")</f>
        <v>NA</v>
      </c>
    </row>
    <row r="12702">
      <c r="A12702" t="str">
        <f>IFERROR(__xludf.DUMMYFUNCTION("""COMPUTED_VALUE"""),"NA")</f>
        <v>NA</v>
      </c>
    </row>
    <row r="12703">
      <c r="A12703" t="str">
        <f>IFERROR(__xludf.DUMMYFUNCTION("""COMPUTED_VALUE"""),"NA")</f>
        <v>NA</v>
      </c>
    </row>
    <row r="12704">
      <c r="A12704" t="str">
        <f>IFERROR(__xludf.DUMMYFUNCTION("""COMPUTED_VALUE"""),"NA")</f>
        <v>NA</v>
      </c>
    </row>
    <row r="12705">
      <c r="A12705" t="str">
        <f>IFERROR(__xludf.DUMMYFUNCTION("""COMPUTED_VALUE"""),"NA")</f>
        <v>NA</v>
      </c>
    </row>
    <row r="12706">
      <c r="A12706" t="str">
        <f>IFERROR(__xludf.DUMMYFUNCTION("""COMPUTED_VALUE"""),"NA")</f>
        <v>NA</v>
      </c>
    </row>
    <row r="12707">
      <c r="A12707" t="str">
        <f>IFERROR(__xludf.DUMMYFUNCTION("""COMPUTED_VALUE"""),"NA")</f>
        <v>NA</v>
      </c>
    </row>
    <row r="12708">
      <c r="A12708" t="str">
        <f>IFERROR(__xludf.DUMMYFUNCTION("""COMPUTED_VALUE"""),"NA")</f>
        <v>NA</v>
      </c>
    </row>
    <row r="12709">
      <c r="A12709" t="str">
        <f>IFERROR(__xludf.DUMMYFUNCTION("""COMPUTED_VALUE"""),"NA")</f>
        <v>NA</v>
      </c>
    </row>
    <row r="12710">
      <c r="A12710" t="str">
        <f>IFERROR(__xludf.DUMMYFUNCTION("""COMPUTED_VALUE"""),"NA")</f>
        <v>NA</v>
      </c>
    </row>
    <row r="12711">
      <c r="A12711" t="str">
        <f>IFERROR(__xludf.DUMMYFUNCTION("""COMPUTED_VALUE"""),"NA")</f>
        <v>NA</v>
      </c>
    </row>
    <row r="12712">
      <c r="A12712" t="str">
        <f>IFERROR(__xludf.DUMMYFUNCTION("""COMPUTED_VALUE"""),"NA")</f>
        <v>NA</v>
      </c>
    </row>
    <row r="12713">
      <c r="A12713" t="str">
        <f>IFERROR(__xludf.DUMMYFUNCTION("""COMPUTED_VALUE"""),"NA")</f>
        <v>NA</v>
      </c>
    </row>
    <row r="12714">
      <c r="A12714" t="str">
        <f>IFERROR(__xludf.DUMMYFUNCTION("""COMPUTED_VALUE"""),"NA")</f>
        <v>NA</v>
      </c>
    </row>
    <row r="12715">
      <c r="A12715" t="str">
        <f>IFERROR(__xludf.DUMMYFUNCTION("""COMPUTED_VALUE"""),"NA")</f>
        <v>NA</v>
      </c>
    </row>
    <row r="12716">
      <c r="A12716" t="str">
        <f>IFERROR(__xludf.DUMMYFUNCTION("""COMPUTED_VALUE"""),"NA")</f>
        <v>NA</v>
      </c>
    </row>
    <row r="12717">
      <c r="A12717" t="str">
        <f>IFERROR(__xludf.DUMMYFUNCTION("""COMPUTED_VALUE"""),"NA")</f>
        <v>NA</v>
      </c>
    </row>
    <row r="12718">
      <c r="A12718" t="str">
        <f>IFERROR(__xludf.DUMMYFUNCTION("""COMPUTED_VALUE"""),"NA")</f>
        <v>NA</v>
      </c>
    </row>
    <row r="12719">
      <c r="A12719" t="str">
        <f>IFERROR(__xludf.DUMMYFUNCTION("""COMPUTED_VALUE"""),"NA")</f>
        <v>NA</v>
      </c>
    </row>
    <row r="12720">
      <c r="A12720" t="str">
        <f>IFERROR(__xludf.DUMMYFUNCTION("""COMPUTED_VALUE"""),"NA")</f>
        <v>NA</v>
      </c>
    </row>
    <row r="12721">
      <c r="A12721" t="str">
        <f>IFERROR(__xludf.DUMMYFUNCTION("""COMPUTED_VALUE"""),"NA")</f>
        <v>NA</v>
      </c>
    </row>
    <row r="12722">
      <c r="A12722" t="str">
        <f>IFERROR(__xludf.DUMMYFUNCTION("""COMPUTED_VALUE"""),"NA")</f>
        <v>NA</v>
      </c>
    </row>
    <row r="12723">
      <c r="A12723" t="str">
        <f>IFERROR(__xludf.DUMMYFUNCTION("""COMPUTED_VALUE"""),"NA")</f>
        <v>NA</v>
      </c>
    </row>
    <row r="12724">
      <c r="A12724" t="str">
        <f>IFERROR(__xludf.DUMMYFUNCTION("""COMPUTED_VALUE"""),"NA")</f>
        <v>NA</v>
      </c>
    </row>
    <row r="12725">
      <c r="A12725" t="str">
        <f>IFERROR(__xludf.DUMMYFUNCTION("""COMPUTED_VALUE"""),"NA")</f>
        <v>NA</v>
      </c>
    </row>
    <row r="12726">
      <c r="A12726" t="str">
        <f>IFERROR(__xludf.DUMMYFUNCTION("""COMPUTED_VALUE"""),"NA")</f>
        <v>NA</v>
      </c>
    </row>
    <row r="12727">
      <c r="A12727" t="str">
        <f>IFERROR(__xludf.DUMMYFUNCTION("""COMPUTED_VALUE"""),"NA")</f>
        <v>NA</v>
      </c>
    </row>
    <row r="12728">
      <c r="A12728" t="str">
        <f>IFERROR(__xludf.DUMMYFUNCTION("""COMPUTED_VALUE"""),"NA")</f>
        <v>NA</v>
      </c>
    </row>
    <row r="12729">
      <c r="A12729" t="str">
        <f>IFERROR(__xludf.DUMMYFUNCTION("""COMPUTED_VALUE"""),"NA")</f>
        <v>NA</v>
      </c>
    </row>
    <row r="12730">
      <c r="A12730" t="str">
        <f>IFERROR(__xludf.DUMMYFUNCTION("""COMPUTED_VALUE"""),"NA")</f>
        <v>NA</v>
      </c>
    </row>
    <row r="12731">
      <c r="A12731" t="str">
        <f>IFERROR(__xludf.DUMMYFUNCTION("""COMPUTED_VALUE"""),"NA")</f>
        <v>NA</v>
      </c>
    </row>
    <row r="12732">
      <c r="A12732" t="str">
        <f>IFERROR(__xludf.DUMMYFUNCTION("""COMPUTED_VALUE"""),"NA")</f>
        <v>NA</v>
      </c>
    </row>
    <row r="12733">
      <c r="A12733" t="str">
        <f>IFERROR(__xludf.DUMMYFUNCTION("""COMPUTED_VALUE"""),"NA")</f>
        <v>NA</v>
      </c>
    </row>
    <row r="12734">
      <c r="A12734" t="str">
        <f>IFERROR(__xludf.DUMMYFUNCTION("""COMPUTED_VALUE"""),"NA")</f>
        <v>NA</v>
      </c>
    </row>
    <row r="12735">
      <c r="A12735" t="str">
        <f>IFERROR(__xludf.DUMMYFUNCTION("""COMPUTED_VALUE"""),"NA")</f>
        <v>NA</v>
      </c>
    </row>
    <row r="12736">
      <c r="A12736" t="str">
        <f>IFERROR(__xludf.DUMMYFUNCTION("""COMPUTED_VALUE"""),"NA")</f>
        <v>NA</v>
      </c>
    </row>
    <row r="12737">
      <c r="A12737" t="str">
        <f>IFERROR(__xludf.DUMMYFUNCTION("""COMPUTED_VALUE"""),"NA")</f>
        <v>NA</v>
      </c>
    </row>
    <row r="12738">
      <c r="A12738" t="str">
        <f>IFERROR(__xludf.DUMMYFUNCTION("""COMPUTED_VALUE"""),"NA")</f>
        <v>NA</v>
      </c>
    </row>
    <row r="12739">
      <c r="A12739" t="str">
        <f>IFERROR(__xludf.DUMMYFUNCTION("""COMPUTED_VALUE"""),"NA")</f>
        <v>NA</v>
      </c>
    </row>
    <row r="12740">
      <c r="A12740" t="str">
        <f>IFERROR(__xludf.DUMMYFUNCTION("""COMPUTED_VALUE"""),"NA")</f>
        <v>NA</v>
      </c>
    </row>
    <row r="12741">
      <c r="A12741" t="str">
        <f>IFERROR(__xludf.DUMMYFUNCTION("""COMPUTED_VALUE"""),"NA")</f>
        <v>NA</v>
      </c>
    </row>
    <row r="12742">
      <c r="A12742" t="str">
        <f>IFERROR(__xludf.DUMMYFUNCTION("""COMPUTED_VALUE"""),"NA")</f>
        <v>NA</v>
      </c>
    </row>
    <row r="12743">
      <c r="A12743" t="str">
        <f>IFERROR(__xludf.DUMMYFUNCTION("""COMPUTED_VALUE"""),"NA")</f>
        <v>NA</v>
      </c>
    </row>
    <row r="12744">
      <c r="A12744" t="str">
        <f>IFERROR(__xludf.DUMMYFUNCTION("""COMPUTED_VALUE"""),"NA")</f>
        <v>NA</v>
      </c>
    </row>
    <row r="12745">
      <c r="A12745" t="str">
        <f>IFERROR(__xludf.DUMMYFUNCTION("""COMPUTED_VALUE"""),"NA")</f>
        <v>NA</v>
      </c>
    </row>
    <row r="12746">
      <c r="A12746" t="str">
        <f>IFERROR(__xludf.DUMMYFUNCTION("""COMPUTED_VALUE"""),"NA")</f>
        <v>NA</v>
      </c>
    </row>
    <row r="12747">
      <c r="A12747" t="str">
        <f>IFERROR(__xludf.DUMMYFUNCTION("""COMPUTED_VALUE"""),"NA")</f>
        <v>NA</v>
      </c>
    </row>
    <row r="12748">
      <c r="A12748" t="str">
        <f>IFERROR(__xludf.DUMMYFUNCTION("""COMPUTED_VALUE"""),"NA")</f>
        <v>NA</v>
      </c>
    </row>
    <row r="12749">
      <c r="A12749" t="str">
        <f>IFERROR(__xludf.DUMMYFUNCTION("""COMPUTED_VALUE"""),"NA")</f>
        <v>NA</v>
      </c>
    </row>
    <row r="12750">
      <c r="A12750" t="str">
        <f>IFERROR(__xludf.DUMMYFUNCTION("""COMPUTED_VALUE"""),"NA")</f>
        <v>NA</v>
      </c>
    </row>
    <row r="12751">
      <c r="A12751" t="str">
        <f>IFERROR(__xludf.DUMMYFUNCTION("""COMPUTED_VALUE"""),"NA")</f>
        <v>NA</v>
      </c>
    </row>
    <row r="12752">
      <c r="A12752" t="str">
        <f>IFERROR(__xludf.DUMMYFUNCTION("""COMPUTED_VALUE"""),"NA")</f>
        <v>NA</v>
      </c>
    </row>
    <row r="12753">
      <c r="A12753" t="str">
        <f>IFERROR(__xludf.DUMMYFUNCTION("""COMPUTED_VALUE"""),"NA")</f>
        <v>NA</v>
      </c>
    </row>
    <row r="12754">
      <c r="A12754" t="str">
        <f>IFERROR(__xludf.DUMMYFUNCTION("""COMPUTED_VALUE"""),"NA")</f>
        <v>NA</v>
      </c>
    </row>
    <row r="12755">
      <c r="A12755" t="str">
        <f>IFERROR(__xludf.DUMMYFUNCTION("""COMPUTED_VALUE"""),"NA")</f>
        <v>NA</v>
      </c>
    </row>
    <row r="12756">
      <c r="A12756" t="str">
        <f>IFERROR(__xludf.DUMMYFUNCTION("""COMPUTED_VALUE"""),"NA")</f>
        <v>NA</v>
      </c>
    </row>
    <row r="12757">
      <c r="A12757" t="str">
        <f>IFERROR(__xludf.DUMMYFUNCTION("""COMPUTED_VALUE"""),"NA")</f>
        <v>NA</v>
      </c>
    </row>
    <row r="12758">
      <c r="A12758" t="str">
        <f>IFERROR(__xludf.DUMMYFUNCTION("""COMPUTED_VALUE"""),"NA")</f>
        <v>NA</v>
      </c>
    </row>
    <row r="12759">
      <c r="A12759" t="str">
        <f>IFERROR(__xludf.DUMMYFUNCTION("""COMPUTED_VALUE"""),"NA")</f>
        <v>NA</v>
      </c>
    </row>
    <row r="12760">
      <c r="A12760" t="str">
        <f>IFERROR(__xludf.DUMMYFUNCTION("""COMPUTED_VALUE"""),"NA")</f>
        <v>NA</v>
      </c>
    </row>
    <row r="12761">
      <c r="A12761" t="str">
        <f>IFERROR(__xludf.DUMMYFUNCTION("""COMPUTED_VALUE"""),"NA")</f>
        <v>NA</v>
      </c>
    </row>
    <row r="12762">
      <c r="A12762" t="str">
        <f>IFERROR(__xludf.DUMMYFUNCTION("""COMPUTED_VALUE"""),"NA")</f>
        <v>NA</v>
      </c>
    </row>
    <row r="12763">
      <c r="A12763" t="str">
        <f>IFERROR(__xludf.DUMMYFUNCTION("""COMPUTED_VALUE"""),"NA")</f>
        <v>NA</v>
      </c>
    </row>
    <row r="12764">
      <c r="A12764" t="str">
        <f>IFERROR(__xludf.DUMMYFUNCTION("""COMPUTED_VALUE"""),"NA")</f>
        <v>NA</v>
      </c>
    </row>
    <row r="12765">
      <c r="A12765" t="str">
        <f>IFERROR(__xludf.DUMMYFUNCTION("""COMPUTED_VALUE"""),"NA")</f>
        <v>NA</v>
      </c>
    </row>
    <row r="12766">
      <c r="A12766" t="str">
        <f>IFERROR(__xludf.DUMMYFUNCTION("""COMPUTED_VALUE"""),"NA")</f>
        <v>NA</v>
      </c>
    </row>
    <row r="12767">
      <c r="A12767" t="str">
        <f>IFERROR(__xludf.DUMMYFUNCTION("""COMPUTED_VALUE"""),"NA")</f>
        <v>NA</v>
      </c>
    </row>
    <row r="12768">
      <c r="A12768" t="str">
        <f>IFERROR(__xludf.DUMMYFUNCTION("""COMPUTED_VALUE"""),"NA")</f>
        <v>NA</v>
      </c>
    </row>
    <row r="12769">
      <c r="A12769" t="str">
        <f>IFERROR(__xludf.DUMMYFUNCTION("""COMPUTED_VALUE"""),"NA")</f>
        <v>NA</v>
      </c>
    </row>
    <row r="12770">
      <c r="A12770" t="str">
        <f>IFERROR(__xludf.DUMMYFUNCTION("""COMPUTED_VALUE"""),"NA")</f>
        <v>NA</v>
      </c>
    </row>
    <row r="12771">
      <c r="A12771" t="str">
        <f>IFERROR(__xludf.DUMMYFUNCTION("""COMPUTED_VALUE"""),"NA")</f>
        <v>NA</v>
      </c>
    </row>
    <row r="12772">
      <c r="A12772" t="str">
        <f>IFERROR(__xludf.DUMMYFUNCTION("""COMPUTED_VALUE"""),"NA")</f>
        <v>NA</v>
      </c>
    </row>
    <row r="12773">
      <c r="A12773" t="str">
        <f>IFERROR(__xludf.DUMMYFUNCTION("""COMPUTED_VALUE"""),"NA")</f>
        <v>NA</v>
      </c>
    </row>
    <row r="12774">
      <c r="A12774" t="str">
        <f>IFERROR(__xludf.DUMMYFUNCTION("""COMPUTED_VALUE"""),"NA")</f>
        <v>NA</v>
      </c>
    </row>
    <row r="12775">
      <c r="A12775" t="str">
        <f>IFERROR(__xludf.DUMMYFUNCTION("""COMPUTED_VALUE"""),"NA")</f>
        <v>NA</v>
      </c>
    </row>
    <row r="12776">
      <c r="A12776" t="str">
        <f>IFERROR(__xludf.DUMMYFUNCTION("""COMPUTED_VALUE"""),"NA")</f>
        <v>NA</v>
      </c>
    </row>
    <row r="12777">
      <c r="A12777" t="str">
        <f>IFERROR(__xludf.DUMMYFUNCTION("""COMPUTED_VALUE"""),"NA")</f>
        <v>NA</v>
      </c>
    </row>
    <row r="12778">
      <c r="A12778" t="str">
        <f>IFERROR(__xludf.DUMMYFUNCTION("""COMPUTED_VALUE"""),"NA")</f>
        <v>NA</v>
      </c>
    </row>
    <row r="12779">
      <c r="A12779" t="str">
        <f>IFERROR(__xludf.DUMMYFUNCTION("""COMPUTED_VALUE"""),"NA")</f>
        <v>NA</v>
      </c>
    </row>
    <row r="12780">
      <c r="A12780" t="str">
        <f>IFERROR(__xludf.DUMMYFUNCTION("""COMPUTED_VALUE"""),"NA")</f>
        <v>NA</v>
      </c>
    </row>
    <row r="12781">
      <c r="A12781" t="str">
        <f>IFERROR(__xludf.DUMMYFUNCTION("""COMPUTED_VALUE"""),"NA")</f>
        <v>NA</v>
      </c>
    </row>
    <row r="12782">
      <c r="A12782" t="str">
        <f>IFERROR(__xludf.DUMMYFUNCTION("""COMPUTED_VALUE"""),"NA")</f>
        <v>NA</v>
      </c>
    </row>
    <row r="12783">
      <c r="A12783" t="str">
        <f>IFERROR(__xludf.DUMMYFUNCTION("""COMPUTED_VALUE"""),"NA")</f>
        <v>NA</v>
      </c>
    </row>
    <row r="12784">
      <c r="A12784" t="str">
        <f>IFERROR(__xludf.DUMMYFUNCTION("""COMPUTED_VALUE"""),"NA")</f>
        <v>NA</v>
      </c>
    </row>
    <row r="12785">
      <c r="A12785" t="str">
        <f>IFERROR(__xludf.DUMMYFUNCTION("""COMPUTED_VALUE"""),"NA")</f>
        <v>NA</v>
      </c>
    </row>
    <row r="12786">
      <c r="A12786" t="str">
        <f>IFERROR(__xludf.DUMMYFUNCTION("""COMPUTED_VALUE"""),"NA")</f>
        <v>NA</v>
      </c>
    </row>
    <row r="12787">
      <c r="A12787" t="str">
        <f>IFERROR(__xludf.DUMMYFUNCTION("""COMPUTED_VALUE"""),"NA")</f>
        <v>NA</v>
      </c>
    </row>
    <row r="12788">
      <c r="A12788" t="str">
        <f>IFERROR(__xludf.DUMMYFUNCTION("""COMPUTED_VALUE"""),"NA")</f>
        <v>NA</v>
      </c>
    </row>
    <row r="12789">
      <c r="A12789" t="str">
        <f>IFERROR(__xludf.DUMMYFUNCTION("""COMPUTED_VALUE"""),"NA")</f>
        <v>NA</v>
      </c>
    </row>
    <row r="12790">
      <c r="A12790" t="str">
        <f>IFERROR(__xludf.DUMMYFUNCTION("""COMPUTED_VALUE"""),"NA")</f>
        <v>NA</v>
      </c>
    </row>
    <row r="12791">
      <c r="A12791" t="str">
        <f>IFERROR(__xludf.DUMMYFUNCTION("""COMPUTED_VALUE"""),"NA")</f>
        <v>NA</v>
      </c>
    </row>
    <row r="12792">
      <c r="A12792" t="str">
        <f>IFERROR(__xludf.DUMMYFUNCTION("""COMPUTED_VALUE"""),"NA")</f>
        <v>NA</v>
      </c>
    </row>
    <row r="12793">
      <c r="A12793" t="str">
        <f>IFERROR(__xludf.DUMMYFUNCTION("""COMPUTED_VALUE"""),"NA")</f>
        <v>NA</v>
      </c>
    </row>
    <row r="12794">
      <c r="A12794" t="str">
        <f>IFERROR(__xludf.DUMMYFUNCTION("""COMPUTED_VALUE"""),"NA")</f>
        <v>NA</v>
      </c>
    </row>
    <row r="12795">
      <c r="A12795" t="str">
        <f>IFERROR(__xludf.DUMMYFUNCTION("""COMPUTED_VALUE"""),"NA")</f>
        <v>NA</v>
      </c>
    </row>
    <row r="12796">
      <c r="A12796" t="str">
        <f>IFERROR(__xludf.DUMMYFUNCTION("""COMPUTED_VALUE"""),"NA")</f>
        <v>NA</v>
      </c>
    </row>
    <row r="12797">
      <c r="A12797" t="str">
        <f>IFERROR(__xludf.DUMMYFUNCTION("""COMPUTED_VALUE"""),"NA")</f>
        <v>NA</v>
      </c>
    </row>
    <row r="12798">
      <c r="A12798" t="str">
        <f>IFERROR(__xludf.DUMMYFUNCTION("""COMPUTED_VALUE"""),"NA")</f>
        <v>NA</v>
      </c>
    </row>
    <row r="12799">
      <c r="A12799" t="str">
        <f>IFERROR(__xludf.DUMMYFUNCTION("""COMPUTED_VALUE"""),"NA")</f>
        <v>NA</v>
      </c>
    </row>
    <row r="12800">
      <c r="A12800" t="str">
        <f>IFERROR(__xludf.DUMMYFUNCTION("""COMPUTED_VALUE"""),"NA")</f>
        <v>NA</v>
      </c>
    </row>
    <row r="12801">
      <c r="A12801" t="str">
        <f>IFERROR(__xludf.DUMMYFUNCTION("""COMPUTED_VALUE"""),"NA")</f>
        <v>NA</v>
      </c>
    </row>
    <row r="12802">
      <c r="A12802" t="str">
        <f>IFERROR(__xludf.DUMMYFUNCTION("""COMPUTED_VALUE"""),"NA")</f>
        <v>NA</v>
      </c>
    </row>
    <row r="12803">
      <c r="A12803" t="str">
        <f>IFERROR(__xludf.DUMMYFUNCTION("""COMPUTED_VALUE"""),"NA")</f>
        <v>NA</v>
      </c>
    </row>
    <row r="12804">
      <c r="A12804" t="str">
        <f>IFERROR(__xludf.DUMMYFUNCTION("""COMPUTED_VALUE"""),"NA")</f>
        <v>NA</v>
      </c>
    </row>
    <row r="12805">
      <c r="A12805" t="str">
        <f>IFERROR(__xludf.DUMMYFUNCTION("""COMPUTED_VALUE"""),"NA")</f>
        <v>NA</v>
      </c>
    </row>
    <row r="12806">
      <c r="A12806" t="str">
        <f>IFERROR(__xludf.DUMMYFUNCTION("""COMPUTED_VALUE"""),"NA")</f>
        <v>NA</v>
      </c>
    </row>
    <row r="12807">
      <c r="A12807" t="str">
        <f>IFERROR(__xludf.DUMMYFUNCTION("""COMPUTED_VALUE"""),"NA")</f>
        <v>NA</v>
      </c>
    </row>
    <row r="12808">
      <c r="A12808" t="str">
        <f>IFERROR(__xludf.DUMMYFUNCTION("""COMPUTED_VALUE"""),"NA")</f>
        <v>NA</v>
      </c>
    </row>
    <row r="12809">
      <c r="A12809" t="str">
        <f>IFERROR(__xludf.DUMMYFUNCTION("""COMPUTED_VALUE"""),"NA")</f>
        <v>NA</v>
      </c>
    </row>
    <row r="12810">
      <c r="A12810" t="str">
        <f>IFERROR(__xludf.DUMMYFUNCTION("""COMPUTED_VALUE"""),"NA")</f>
        <v>NA</v>
      </c>
    </row>
    <row r="12811">
      <c r="A12811" t="str">
        <f>IFERROR(__xludf.DUMMYFUNCTION("""COMPUTED_VALUE"""),"NA")</f>
        <v>NA</v>
      </c>
    </row>
    <row r="12812">
      <c r="A12812" t="str">
        <f>IFERROR(__xludf.DUMMYFUNCTION("""COMPUTED_VALUE"""),"NA")</f>
        <v>NA</v>
      </c>
    </row>
    <row r="12813">
      <c r="A12813" t="str">
        <f>IFERROR(__xludf.DUMMYFUNCTION("""COMPUTED_VALUE"""),"NA")</f>
        <v>NA</v>
      </c>
    </row>
    <row r="12814">
      <c r="A12814" t="str">
        <f>IFERROR(__xludf.DUMMYFUNCTION("""COMPUTED_VALUE"""),"NA")</f>
        <v>NA</v>
      </c>
    </row>
    <row r="12815">
      <c r="A12815" t="str">
        <f>IFERROR(__xludf.DUMMYFUNCTION("""COMPUTED_VALUE"""),"NA")</f>
        <v>NA</v>
      </c>
    </row>
    <row r="12816">
      <c r="A12816" t="str">
        <f>IFERROR(__xludf.DUMMYFUNCTION("""COMPUTED_VALUE"""),"NA")</f>
        <v>NA</v>
      </c>
    </row>
    <row r="12817">
      <c r="A12817" t="str">
        <f>IFERROR(__xludf.DUMMYFUNCTION("""COMPUTED_VALUE"""),"NA")</f>
        <v>NA</v>
      </c>
    </row>
    <row r="12818">
      <c r="A12818" t="str">
        <f>IFERROR(__xludf.DUMMYFUNCTION("""COMPUTED_VALUE"""),"NA")</f>
        <v>NA</v>
      </c>
    </row>
    <row r="12819">
      <c r="A12819" t="str">
        <f>IFERROR(__xludf.DUMMYFUNCTION("""COMPUTED_VALUE"""),"NA")</f>
        <v>NA</v>
      </c>
    </row>
    <row r="12820">
      <c r="A12820" t="str">
        <f>IFERROR(__xludf.DUMMYFUNCTION("""COMPUTED_VALUE"""),"NA")</f>
        <v>NA</v>
      </c>
    </row>
    <row r="12821">
      <c r="A12821" t="str">
        <f>IFERROR(__xludf.DUMMYFUNCTION("""COMPUTED_VALUE"""),"NA")</f>
        <v>NA</v>
      </c>
    </row>
    <row r="12822">
      <c r="A12822" t="str">
        <f>IFERROR(__xludf.DUMMYFUNCTION("""COMPUTED_VALUE"""),"NA")</f>
        <v>NA</v>
      </c>
    </row>
    <row r="12823">
      <c r="A12823" t="str">
        <f>IFERROR(__xludf.DUMMYFUNCTION("""COMPUTED_VALUE"""),"NA")</f>
        <v>NA</v>
      </c>
    </row>
    <row r="12824">
      <c r="A12824" t="str">
        <f>IFERROR(__xludf.DUMMYFUNCTION("""COMPUTED_VALUE"""),"NA")</f>
        <v>NA</v>
      </c>
    </row>
    <row r="12825">
      <c r="A12825" t="str">
        <f>IFERROR(__xludf.DUMMYFUNCTION("""COMPUTED_VALUE"""),"NA")</f>
        <v>NA</v>
      </c>
    </row>
    <row r="12826">
      <c r="A12826" t="str">
        <f>IFERROR(__xludf.DUMMYFUNCTION("""COMPUTED_VALUE"""),"NA")</f>
        <v>NA</v>
      </c>
    </row>
    <row r="12827">
      <c r="A12827" t="str">
        <f>IFERROR(__xludf.DUMMYFUNCTION("""COMPUTED_VALUE"""),"NA")</f>
        <v>NA</v>
      </c>
    </row>
    <row r="12828">
      <c r="A12828" t="str">
        <f>IFERROR(__xludf.DUMMYFUNCTION("""COMPUTED_VALUE"""),"NA")</f>
        <v>NA</v>
      </c>
    </row>
    <row r="12829">
      <c r="A12829" t="str">
        <f>IFERROR(__xludf.DUMMYFUNCTION("""COMPUTED_VALUE"""),"NA")</f>
        <v>NA</v>
      </c>
    </row>
    <row r="12830">
      <c r="A12830" t="str">
        <f>IFERROR(__xludf.DUMMYFUNCTION("""COMPUTED_VALUE"""),"NA")</f>
        <v>NA</v>
      </c>
    </row>
    <row r="12831">
      <c r="A12831" t="str">
        <f>IFERROR(__xludf.DUMMYFUNCTION("""COMPUTED_VALUE"""),"NA")</f>
        <v>NA</v>
      </c>
    </row>
    <row r="12832">
      <c r="A12832" t="str">
        <f>IFERROR(__xludf.DUMMYFUNCTION("""COMPUTED_VALUE"""),"NA")</f>
        <v>NA</v>
      </c>
    </row>
    <row r="12833">
      <c r="A12833" t="str">
        <f>IFERROR(__xludf.DUMMYFUNCTION("""COMPUTED_VALUE"""),"NA")</f>
        <v>NA</v>
      </c>
    </row>
    <row r="12834">
      <c r="A12834" t="str">
        <f>IFERROR(__xludf.DUMMYFUNCTION("""COMPUTED_VALUE"""),"NA")</f>
        <v>NA</v>
      </c>
    </row>
    <row r="12835">
      <c r="A12835" t="str">
        <f>IFERROR(__xludf.DUMMYFUNCTION("""COMPUTED_VALUE"""),"NA")</f>
        <v>NA</v>
      </c>
    </row>
    <row r="12836">
      <c r="A12836" t="str">
        <f>IFERROR(__xludf.DUMMYFUNCTION("""COMPUTED_VALUE"""),"NA")</f>
        <v>NA</v>
      </c>
    </row>
    <row r="12837">
      <c r="A12837" t="str">
        <f>IFERROR(__xludf.DUMMYFUNCTION("""COMPUTED_VALUE"""),"NA")</f>
        <v>NA</v>
      </c>
    </row>
    <row r="12838">
      <c r="A12838" t="str">
        <f>IFERROR(__xludf.DUMMYFUNCTION("""COMPUTED_VALUE"""),"NA")</f>
        <v>NA</v>
      </c>
    </row>
    <row r="12839">
      <c r="A12839" t="str">
        <f>IFERROR(__xludf.DUMMYFUNCTION("""COMPUTED_VALUE"""),"NA")</f>
        <v>NA</v>
      </c>
    </row>
    <row r="12840">
      <c r="A12840" t="str">
        <f>IFERROR(__xludf.DUMMYFUNCTION("""COMPUTED_VALUE"""),"NA")</f>
        <v>NA</v>
      </c>
    </row>
    <row r="12841">
      <c r="A12841" t="str">
        <f>IFERROR(__xludf.DUMMYFUNCTION("""COMPUTED_VALUE"""),"NA")</f>
        <v>NA</v>
      </c>
    </row>
    <row r="12842">
      <c r="A12842" t="str">
        <f>IFERROR(__xludf.DUMMYFUNCTION("""COMPUTED_VALUE"""),"NA")</f>
        <v>NA</v>
      </c>
    </row>
    <row r="12843">
      <c r="A12843" t="str">
        <f>IFERROR(__xludf.DUMMYFUNCTION("""COMPUTED_VALUE"""),"NA")</f>
        <v>NA</v>
      </c>
    </row>
    <row r="12844">
      <c r="A12844" t="str">
        <f>IFERROR(__xludf.DUMMYFUNCTION("""COMPUTED_VALUE"""),"NA")</f>
        <v>NA</v>
      </c>
    </row>
    <row r="12845">
      <c r="A12845" t="str">
        <f>IFERROR(__xludf.DUMMYFUNCTION("""COMPUTED_VALUE"""),"NA")</f>
        <v>NA</v>
      </c>
    </row>
    <row r="12846">
      <c r="A12846" t="str">
        <f>IFERROR(__xludf.DUMMYFUNCTION("""COMPUTED_VALUE"""),"NA")</f>
        <v>NA</v>
      </c>
    </row>
    <row r="12847">
      <c r="A12847" t="str">
        <f>IFERROR(__xludf.DUMMYFUNCTION("""COMPUTED_VALUE"""),"NA")</f>
        <v>NA</v>
      </c>
    </row>
    <row r="12848">
      <c r="A12848" t="str">
        <f>IFERROR(__xludf.DUMMYFUNCTION("""COMPUTED_VALUE"""),"NA")</f>
        <v>NA</v>
      </c>
    </row>
    <row r="12849">
      <c r="A12849" t="str">
        <f>IFERROR(__xludf.DUMMYFUNCTION("""COMPUTED_VALUE"""),"NA")</f>
        <v>NA</v>
      </c>
    </row>
    <row r="12850">
      <c r="A12850" t="str">
        <f>IFERROR(__xludf.DUMMYFUNCTION("""COMPUTED_VALUE"""),"NA")</f>
        <v>NA</v>
      </c>
    </row>
    <row r="12851">
      <c r="A12851" t="str">
        <f>IFERROR(__xludf.DUMMYFUNCTION("""COMPUTED_VALUE"""),"NA")</f>
        <v>NA</v>
      </c>
    </row>
    <row r="12852">
      <c r="A12852" t="str">
        <f>IFERROR(__xludf.DUMMYFUNCTION("""COMPUTED_VALUE"""),"NA")</f>
        <v>NA</v>
      </c>
    </row>
    <row r="12853">
      <c r="A12853" t="str">
        <f>IFERROR(__xludf.DUMMYFUNCTION("""COMPUTED_VALUE"""),"NA")</f>
        <v>NA</v>
      </c>
    </row>
    <row r="12854">
      <c r="A12854" t="str">
        <f>IFERROR(__xludf.DUMMYFUNCTION("""COMPUTED_VALUE"""),"NA")</f>
        <v>NA</v>
      </c>
    </row>
    <row r="12855">
      <c r="A12855" t="str">
        <f>IFERROR(__xludf.DUMMYFUNCTION("""COMPUTED_VALUE"""),"NA")</f>
        <v>NA</v>
      </c>
    </row>
    <row r="12856">
      <c r="A12856" t="str">
        <f>IFERROR(__xludf.DUMMYFUNCTION("""COMPUTED_VALUE"""),"NA")</f>
        <v>NA</v>
      </c>
    </row>
    <row r="12857">
      <c r="A12857" t="str">
        <f>IFERROR(__xludf.DUMMYFUNCTION("""COMPUTED_VALUE"""),"NA")</f>
        <v>NA</v>
      </c>
    </row>
    <row r="12858">
      <c r="A12858" t="str">
        <f>IFERROR(__xludf.DUMMYFUNCTION("""COMPUTED_VALUE"""),"NA")</f>
        <v>NA</v>
      </c>
    </row>
    <row r="12859">
      <c r="A12859" t="str">
        <f>IFERROR(__xludf.DUMMYFUNCTION("""COMPUTED_VALUE"""),"NA")</f>
        <v>NA</v>
      </c>
    </row>
    <row r="12860">
      <c r="A12860" t="str">
        <f>IFERROR(__xludf.DUMMYFUNCTION("""COMPUTED_VALUE"""),"NA")</f>
        <v>NA</v>
      </c>
    </row>
    <row r="12861">
      <c r="A12861" t="str">
        <f>IFERROR(__xludf.DUMMYFUNCTION("""COMPUTED_VALUE"""),"NA")</f>
        <v>NA</v>
      </c>
    </row>
    <row r="12862">
      <c r="A12862" t="str">
        <f>IFERROR(__xludf.DUMMYFUNCTION("""COMPUTED_VALUE"""),"NA")</f>
        <v>NA</v>
      </c>
    </row>
    <row r="12863">
      <c r="A12863" t="str">
        <f>IFERROR(__xludf.DUMMYFUNCTION("""COMPUTED_VALUE"""),"NA")</f>
        <v>NA</v>
      </c>
    </row>
    <row r="12864">
      <c r="A12864" t="str">
        <f>IFERROR(__xludf.DUMMYFUNCTION("""COMPUTED_VALUE"""),"NA")</f>
        <v>NA</v>
      </c>
    </row>
    <row r="12865">
      <c r="A12865" t="str">
        <f>IFERROR(__xludf.DUMMYFUNCTION("""COMPUTED_VALUE"""),"NA")</f>
        <v>NA</v>
      </c>
    </row>
    <row r="12866">
      <c r="A12866" t="str">
        <f>IFERROR(__xludf.DUMMYFUNCTION("""COMPUTED_VALUE"""),"NA")</f>
        <v>NA</v>
      </c>
    </row>
    <row r="12867">
      <c r="A12867" t="str">
        <f>IFERROR(__xludf.DUMMYFUNCTION("""COMPUTED_VALUE"""),"NA")</f>
        <v>NA</v>
      </c>
    </row>
    <row r="12868">
      <c r="A12868" t="str">
        <f>IFERROR(__xludf.DUMMYFUNCTION("""COMPUTED_VALUE"""),"NA")</f>
        <v>NA</v>
      </c>
    </row>
    <row r="12869">
      <c r="A12869" t="str">
        <f>IFERROR(__xludf.DUMMYFUNCTION("""COMPUTED_VALUE"""),"NA")</f>
        <v>NA</v>
      </c>
    </row>
    <row r="12870">
      <c r="A12870" t="str">
        <f>IFERROR(__xludf.DUMMYFUNCTION("""COMPUTED_VALUE"""),"NA")</f>
        <v>NA</v>
      </c>
    </row>
    <row r="12871">
      <c r="A12871" t="str">
        <f>IFERROR(__xludf.DUMMYFUNCTION("""COMPUTED_VALUE"""),"NA")</f>
        <v>NA</v>
      </c>
    </row>
    <row r="12872">
      <c r="A12872" t="str">
        <f>IFERROR(__xludf.DUMMYFUNCTION("""COMPUTED_VALUE"""),"NA")</f>
        <v>NA</v>
      </c>
    </row>
    <row r="12873">
      <c r="A12873" t="str">
        <f>IFERROR(__xludf.DUMMYFUNCTION("""COMPUTED_VALUE"""),"NA")</f>
        <v>NA</v>
      </c>
    </row>
    <row r="12874">
      <c r="A12874" t="str">
        <f>IFERROR(__xludf.DUMMYFUNCTION("""COMPUTED_VALUE"""),"NA")</f>
        <v>NA</v>
      </c>
    </row>
    <row r="12875">
      <c r="A12875" t="str">
        <f>IFERROR(__xludf.DUMMYFUNCTION("""COMPUTED_VALUE"""),"NA")</f>
        <v>NA</v>
      </c>
    </row>
    <row r="12876">
      <c r="A12876" t="str">
        <f>IFERROR(__xludf.DUMMYFUNCTION("""COMPUTED_VALUE"""),"NA")</f>
        <v>NA</v>
      </c>
    </row>
    <row r="12877">
      <c r="A12877" t="str">
        <f>IFERROR(__xludf.DUMMYFUNCTION("""COMPUTED_VALUE"""),"NA")</f>
        <v>NA</v>
      </c>
    </row>
    <row r="12878">
      <c r="A12878" t="str">
        <f>IFERROR(__xludf.DUMMYFUNCTION("""COMPUTED_VALUE"""),"NA")</f>
        <v>NA</v>
      </c>
    </row>
    <row r="12879">
      <c r="A12879" t="str">
        <f>IFERROR(__xludf.DUMMYFUNCTION("""COMPUTED_VALUE"""),"NA")</f>
        <v>NA</v>
      </c>
    </row>
    <row r="12880">
      <c r="A12880" t="str">
        <f>IFERROR(__xludf.DUMMYFUNCTION("""COMPUTED_VALUE"""),"NA")</f>
        <v>NA</v>
      </c>
    </row>
    <row r="12881">
      <c r="A12881" t="str">
        <f>IFERROR(__xludf.DUMMYFUNCTION("""COMPUTED_VALUE"""),"NA")</f>
        <v>NA</v>
      </c>
    </row>
    <row r="12882">
      <c r="A12882" t="str">
        <f>IFERROR(__xludf.DUMMYFUNCTION("""COMPUTED_VALUE"""),"NA")</f>
        <v>NA</v>
      </c>
    </row>
    <row r="12883">
      <c r="A12883" t="str">
        <f>IFERROR(__xludf.DUMMYFUNCTION("""COMPUTED_VALUE"""),"NA")</f>
        <v>NA</v>
      </c>
    </row>
    <row r="12884">
      <c r="A12884" t="str">
        <f>IFERROR(__xludf.DUMMYFUNCTION("""COMPUTED_VALUE"""),"NA")</f>
        <v>NA</v>
      </c>
    </row>
    <row r="12885">
      <c r="A12885" t="str">
        <f>IFERROR(__xludf.DUMMYFUNCTION("""COMPUTED_VALUE"""),"NA")</f>
        <v>NA</v>
      </c>
    </row>
    <row r="12886">
      <c r="A12886" t="str">
        <f>IFERROR(__xludf.DUMMYFUNCTION("""COMPUTED_VALUE"""),"NA")</f>
        <v>NA</v>
      </c>
    </row>
    <row r="12887">
      <c r="A12887" t="str">
        <f>IFERROR(__xludf.DUMMYFUNCTION("""COMPUTED_VALUE"""),"NA")</f>
        <v>NA</v>
      </c>
    </row>
    <row r="12888">
      <c r="A12888" t="str">
        <f>IFERROR(__xludf.DUMMYFUNCTION("""COMPUTED_VALUE"""),"NA")</f>
        <v>NA</v>
      </c>
    </row>
    <row r="12889">
      <c r="A12889" t="str">
        <f>IFERROR(__xludf.DUMMYFUNCTION("""COMPUTED_VALUE"""),"NA")</f>
        <v>NA</v>
      </c>
    </row>
    <row r="12890">
      <c r="A12890" t="str">
        <f>IFERROR(__xludf.DUMMYFUNCTION("""COMPUTED_VALUE"""),"NA")</f>
        <v>NA</v>
      </c>
    </row>
    <row r="12891">
      <c r="A12891" t="str">
        <f>IFERROR(__xludf.DUMMYFUNCTION("""COMPUTED_VALUE"""),"NA")</f>
        <v>NA</v>
      </c>
    </row>
    <row r="12892">
      <c r="A12892" t="str">
        <f>IFERROR(__xludf.DUMMYFUNCTION("""COMPUTED_VALUE"""),"NA")</f>
        <v>NA</v>
      </c>
    </row>
    <row r="12893">
      <c r="A12893" t="str">
        <f>IFERROR(__xludf.DUMMYFUNCTION("""COMPUTED_VALUE"""),"NA")</f>
        <v>NA</v>
      </c>
    </row>
    <row r="12894">
      <c r="A12894" t="str">
        <f>IFERROR(__xludf.DUMMYFUNCTION("""COMPUTED_VALUE"""),"NA")</f>
        <v>NA</v>
      </c>
    </row>
    <row r="12895">
      <c r="A12895" t="str">
        <f>IFERROR(__xludf.DUMMYFUNCTION("""COMPUTED_VALUE"""),"NA")</f>
        <v>NA</v>
      </c>
    </row>
    <row r="12896">
      <c r="A12896" t="str">
        <f>IFERROR(__xludf.DUMMYFUNCTION("""COMPUTED_VALUE"""),"NA")</f>
        <v>NA</v>
      </c>
    </row>
    <row r="12897">
      <c r="A12897" t="str">
        <f>IFERROR(__xludf.DUMMYFUNCTION("""COMPUTED_VALUE"""),"NA")</f>
        <v>NA</v>
      </c>
    </row>
    <row r="12898">
      <c r="A12898" t="str">
        <f>IFERROR(__xludf.DUMMYFUNCTION("""COMPUTED_VALUE"""),"NA")</f>
        <v>NA</v>
      </c>
    </row>
    <row r="12899">
      <c r="A12899" t="str">
        <f>IFERROR(__xludf.DUMMYFUNCTION("""COMPUTED_VALUE"""),"NA")</f>
        <v>NA</v>
      </c>
    </row>
    <row r="12900">
      <c r="A12900" t="str">
        <f>IFERROR(__xludf.DUMMYFUNCTION("""COMPUTED_VALUE"""),"NA")</f>
        <v>NA</v>
      </c>
    </row>
    <row r="12901">
      <c r="A12901" t="str">
        <f>IFERROR(__xludf.DUMMYFUNCTION("""COMPUTED_VALUE"""),"NA")</f>
        <v>NA</v>
      </c>
    </row>
    <row r="12902">
      <c r="A12902" t="str">
        <f>IFERROR(__xludf.DUMMYFUNCTION("""COMPUTED_VALUE"""),"NA")</f>
        <v>NA</v>
      </c>
    </row>
    <row r="12903">
      <c r="A12903" t="str">
        <f>IFERROR(__xludf.DUMMYFUNCTION("""COMPUTED_VALUE"""),"NA")</f>
        <v>NA</v>
      </c>
    </row>
    <row r="12904">
      <c r="A12904" t="str">
        <f>IFERROR(__xludf.DUMMYFUNCTION("""COMPUTED_VALUE"""),"NA")</f>
        <v>NA</v>
      </c>
    </row>
    <row r="12905">
      <c r="A12905" t="str">
        <f>IFERROR(__xludf.DUMMYFUNCTION("""COMPUTED_VALUE"""),"NA")</f>
        <v>NA</v>
      </c>
    </row>
    <row r="12906">
      <c r="A12906" t="str">
        <f>IFERROR(__xludf.DUMMYFUNCTION("""COMPUTED_VALUE"""),"NA")</f>
        <v>NA</v>
      </c>
    </row>
    <row r="12907">
      <c r="A12907" t="str">
        <f>IFERROR(__xludf.DUMMYFUNCTION("""COMPUTED_VALUE"""),"NA")</f>
        <v>NA</v>
      </c>
    </row>
    <row r="12908">
      <c r="A12908" t="str">
        <f>IFERROR(__xludf.DUMMYFUNCTION("""COMPUTED_VALUE"""),"NA")</f>
        <v>NA</v>
      </c>
    </row>
    <row r="12909">
      <c r="A12909" t="str">
        <f>IFERROR(__xludf.DUMMYFUNCTION("""COMPUTED_VALUE"""),"NA")</f>
        <v>NA</v>
      </c>
    </row>
    <row r="12910">
      <c r="A12910" t="str">
        <f>IFERROR(__xludf.DUMMYFUNCTION("""COMPUTED_VALUE"""),"NA")</f>
        <v>NA</v>
      </c>
    </row>
    <row r="12911">
      <c r="A12911" t="str">
        <f>IFERROR(__xludf.DUMMYFUNCTION("""COMPUTED_VALUE"""),"NA")</f>
        <v>NA</v>
      </c>
    </row>
    <row r="12912">
      <c r="A12912" t="str">
        <f>IFERROR(__xludf.DUMMYFUNCTION("""COMPUTED_VALUE"""),"NA")</f>
        <v>NA</v>
      </c>
    </row>
    <row r="12913">
      <c r="A12913" t="str">
        <f>IFERROR(__xludf.DUMMYFUNCTION("""COMPUTED_VALUE"""),"NA")</f>
        <v>NA</v>
      </c>
    </row>
    <row r="12914">
      <c r="A12914" t="str">
        <f>IFERROR(__xludf.DUMMYFUNCTION("""COMPUTED_VALUE"""),"NA")</f>
        <v>NA</v>
      </c>
    </row>
    <row r="12915">
      <c r="A12915" t="str">
        <f>IFERROR(__xludf.DUMMYFUNCTION("""COMPUTED_VALUE"""),"NA")</f>
        <v>NA</v>
      </c>
    </row>
    <row r="12916">
      <c r="A12916" t="str">
        <f>IFERROR(__xludf.DUMMYFUNCTION("""COMPUTED_VALUE"""),"NA")</f>
        <v>NA</v>
      </c>
    </row>
    <row r="12917">
      <c r="A12917" t="str">
        <f>IFERROR(__xludf.DUMMYFUNCTION("""COMPUTED_VALUE"""),"NA")</f>
        <v>NA</v>
      </c>
    </row>
    <row r="12918">
      <c r="A12918" t="str">
        <f>IFERROR(__xludf.DUMMYFUNCTION("""COMPUTED_VALUE"""),"NA")</f>
        <v>NA</v>
      </c>
    </row>
    <row r="12919">
      <c r="A12919" t="str">
        <f>IFERROR(__xludf.DUMMYFUNCTION("""COMPUTED_VALUE"""),"NA")</f>
        <v>NA</v>
      </c>
    </row>
    <row r="12920">
      <c r="A12920" t="str">
        <f>IFERROR(__xludf.DUMMYFUNCTION("""COMPUTED_VALUE"""),"NA")</f>
        <v>NA</v>
      </c>
    </row>
    <row r="12921">
      <c r="A12921" t="str">
        <f>IFERROR(__xludf.DUMMYFUNCTION("""COMPUTED_VALUE"""),"NA")</f>
        <v>NA</v>
      </c>
    </row>
    <row r="12922">
      <c r="A12922" t="str">
        <f>IFERROR(__xludf.DUMMYFUNCTION("""COMPUTED_VALUE"""),"NA")</f>
        <v>NA</v>
      </c>
    </row>
    <row r="12923">
      <c r="A12923" t="str">
        <f>IFERROR(__xludf.DUMMYFUNCTION("""COMPUTED_VALUE"""),"NA")</f>
        <v>NA</v>
      </c>
    </row>
    <row r="12924">
      <c r="A12924" t="str">
        <f>IFERROR(__xludf.DUMMYFUNCTION("""COMPUTED_VALUE"""),"NA")</f>
        <v>NA</v>
      </c>
    </row>
    <row r="12925">
      <c r="A12925" t="str">
        <f>IFERROR(__xludf.DUMMYFUNCTION("""COMPUTED_VALUE"""),"NA")</f>
        <v>NA</v>
      </c>
    </row>
    <row r="12926">
      <c r="A12926" t="str">
        <f>IFERROR(__xludf.DUMMYFUNCTION("""COMPUTED_VALUE"""),"NA")</f>
        <v>NA</v>
      </c>
    </row>
    <row r="12927">
      <c r="A12927" t="str">
        <f>IFERROR(__xludf.DUMMYFUNCTION("""COMPUTED_VALUE"""),"NA")</f>
        <v>NA</v>
      </c>
    </row>
    <row r="12928">
      <c r="A12928" t="str">
        <f>IFERROR(__xludf.DUMMYFUNCTION("""COMPUTED_VALUE"""),"NA")</f>
        <v>NA</v>
      </c>
    </row>
    <row r="12929">
      <c r="A12929" t="str">
        <f>IFERROR(__xludf.DUMMYFUNCTION("""COMPUTED_VALUE"""),"NA")</f>
        <v>NA</v>
      </c>
    </row>
    <row r="12930">
      <c r="A12930" t="str">
        <f>IFERROR(__xludf.DUMMYFUNCTION("""COMPUTED_VALUE"""),"NA")</f>
        <v>NA</v>
      </c>
    </row>
    <row r="12931">
      <c r="A12931" t="str">
        <f>IFERROR(__xludf.DUMMYFUNCTION("""COMPUTED_VALUE"""),"NA")</f>
        <v>NA</v>
      </c>
    </row>
    <row r="12932">
      <c r="A12932" t="str">
        <f>IFERROR(__xludf.DUMMYFUNCTION("""COMPUTED_VALUE"""),"NA")</f>
        <v>NA</v>
      </c>
    </row>
    <row r="12933">
      <c r="A12933" t="str">
        <f>IFERROR(__xludf.DUMMYFUNCTION("""COMPUTED_VALUE"""),"NA")</f>
        <v>NA</v>
      </c>
    </row>
    <row r="12934">
      <c r="A12934" t="str">
        <f>IFERROR(__xludf.DUMMYFUNCTION("""COMPUTED_VALUE"""),"NA")</f>
        <v>NA</v>
      </c>
    </row>
    <row r="12935">
      <c r="A12935" t="str">
        <f>IFERROR(__xludf.DUMMYFUNCTION("""COMPUTED_VALUE"""),"NA")</f>
        <v>NA</v>
      </c>
    </row>
    <row r="12936">
      <c r="A12936" t="str">
        <f>IFERROR(__xludf.DUMMYFUNCTION("""COMPUTED_VALUE"""),"NA")</f>
        <v>NA</v>
      </c>
    </row>
    <row r="12937">
      <c r="A12937" t="str">
        <f>IFERROR(__xludf.DUMMYFUNCTION("""COMPUTED_VALUE"""),"NA")</f>
        <v>NA</v>
      </c>
    </row>
    <row r="12938">
      <c r="A12938" t="str">
        <f>IFERROR(__xludf.DUMMYFUNCTION("""COMPUTED_VALUE"""),"NA")</f>
        <v>NA</v>
      </c>
    </row>
    <row r="12939">
      <c r="A12939" t="str">
        <f>IFERROR(__xludf.DUMMYFUNCTION("""COMPUTED_VALUE"""),"NA")</f>
        <v>NA</v>
      </c>
    </row>
    <row r="12940">
      <c r="A12940" t="str">
        <f>IFERROR(__xludf.DUMMYFUNCTION("""COMPUTED_VALUE"""),"NA")</f>
        <v>NA</v>
      </c>
    </row>
    <row r="12941">
      <c r="A12941" t="str">
        <f>IFERROR(__xludf.DUMMYFUNCTION("""COMPUTED_VALUE"""),"NA")</f>
        <v>NA</v>
      </c>
    </row>
    <row r="12942">
      <c r="A12942" t="str">
        <f>IFERROR(__xludf.DUMMYFUNCTION("""COMPUTED_VALUE"""),"NA")</f>
        <v>NA</v>
      </c>
    </row>
    <row r="12943">
      <c r="A12943" t="str">
        <f>IFERROR(__xludf.DUMMYFUNCTION("""COMPUTED_VALUE"""),"NA")</f>
        <v>NA</v>
      </c>
    </row>
    <row r="12944">
      <c r="A12944" t="str">
        <f>IFERROR(__xludf.DUMMYFUNCTION("""COMPUTED_VALUE"""),"NA")</f>
        <v>NA</v>
      </c>
    </row>
    <row r="12945">
      <c r="A12945" t="str">
        <f>IFERROR(__xludf.DUMMYFUNCTION("""COMPUTED_VALUE"""),"NA")</f>
        <v>NA</v>
      </c>
    </row>
    <row r="12946">
      <c r="A12946" t="str">
        <f>IFERROR(__xludf.DUMMYFUNCTION("""COMPUTED_VALUE"""),"NA")</f>
        <v>NA</v>
      </c>
    </row>
    <row r="12947">
      <c r="A12947" t="str">
        <f>IFERROR(__xludf.DUMMYFUNCTION("""COMPUTED_VALUE"""),"NA")</f>
        <v>NA</v>
      </c>
    </row>
    <row r="12948">
      <c r="A12948" t="str">
        <f>IFERROR(__xludf.DUMMYFUNCTION("""COMPUTED_VALUE"""),"NA")</f>
        <v>NA</v>
      </c>
    </row>
    <row r="12949">
      <c r="A12949" t="str">
        <f>IFERROR(__xludf.DUMMYFUNCTION("""COMPUTED_VALUE"""),"NA")</f>
        <v>NA</v>
      </c>
    </row>
    <row r="12950">
      <c r="A12950" t="str">
        <f>IFERROR(__xludf.DUMMYFUNCTION("""COMPUTED_VALUE"""),"NA")</f>
        <v>NA</v>
      </c>
    </row>
    <row r="12951">
      <c r="A12951" t="str">
        <f>IFERROR(__xludf.DUMMYFUNCTION("""COMPUTED_VALUE"""),"NA")</f>
        <v>NA</v>
      </c>
    </row>
    <row r="12952">
      <c r="A12952" t="str">
        <f>IFERROR(__xludf.DUMMYFUNCTION("""COMPUTED_VALUE"""),"NA")</f>
        <v>NA</v>
      </c>
    </row>
    <row r="12953">
      <c r="A12953" t="str">
        <f>IFERROR(__xludf.DUMMYFUNCTION("""COMPUTED_VALUE"""),"NA")</f>
        <v>NA</v>
      </c>
    </row>
    <row r="12954">
      <c r="A12954" t="str">
        <f>IFERROR(__xludf.DUMMYFUNCTION("""COMPUTED_VALUE"""),"NA")</f>
        <v>NA</v>
      </c>
    </row>
    <row r="12955">
      <c r="A12955" t="str">
        <f>IFERROR(__xludf.DUMMYFUNCTION("""COMPUTED_VALUE"""),"NA")</f>
        <v>NA</v>
      </c>
    </row>
    <row r="12956">
      <c r="A12956" t="str">
        <f>IFERROR(__xludf.DUMMYFUNCTION("""COMPUTED_VALUE"""),"NA")</f>
        <v>NA</v>
      </c>
    </row>
    <row r="12957">
      <c r="A12957" t="str">
        <f>IFERROR(__xludf.DUMMYFUNCTION("""COMPUTED_VALUE"""),"NA")</f>
        <v>NA</v>
      </c>
    </row>
    <row r="12958">
      <c r="A12958" t="str">
        <f>IFERROR(__xludf.DUMMYFUNCTION("""COMPUTED_VALUE"""),"NA")</f>
        <v>NA</v>
      </c>
    </row>
    <row r="12959">
      <c r="A12959" t="str">
        <f>IFERROR(__xludf.DUMMYFUNCTION("""COMPUTED_VALUE"""),"NA")</f>
        <v>NA</v>
      </c>
    </row>
    <row r="12960">
      <c r="A12960" t="str">
        <f>IFERROR(__xludf.DUMMYFUNCTION("""COMPUTED_VALUE"""),"NA")</f>
        <v>NA</v>
      </c>
    </row>
    <row r="12961">
      <c r="A12961" t="str">
        <f>IFERROR(__xludf.DUMMYFUNCTION("""COMPUTED_VALUE"""),"NA")</f>
        <v>NA</v>
      </c>
    </row>
    <row r="12962">
      <c r="A12962" t="str">
        <f>IFERROR(__xludf.DUMMYFUNCTION("""COMPUTED_VALUE"""),"NA")</f>
        <v>NA</v>
      </c>
    </row>
    <row r="12963">
      <c r="A12963" t="str">
        <f>IFERROR(__xludf.DUMMYFUNCTION("""COMPUTED_VALUE"""),"NA")</f>
        <v>NA</v>
      </c>
    </row>
    <row r="12964">
      <c r="A12964" t="str">
        <f>IFERROR(__xludf.DUMMYFUNCTION("""COMPUTED_VALUE"""),"NA")</f>
        <v>NA</v>
      </c>
    </row>
    <row r="12965">
      <c r="A12965" t="str">
        <f>IFERROR(__xludf.DUMMYFUNCTION("""COMPUTED_VALUE"""),"NA")</f>
        <v>NA</v>
      </c>
    </row>
    <row r="12966">
      <c r="A12966" t="str">
        <f>IFERROR(__xludf.DUMMYFUNCTION("""COMPUTED_VALUE"""),"NA")</f>
        <v>NA</v>
      </c>
    </row>
    <row r="12967">
      <c r="A12967" t="str">
        <f>IFERROR(__xludf.DUMMYFUNCTION("""COMPUTED_VALUE"""),"NA")</f>
        <v>NA</v>
      </c>
    </row>
    <row r="12968">
      <c r="A12968" t="str">
        <f>IFERROR(__xludf.DUMMYFUNCTION("""COMPUTED_VALUE"""),"NA")</f>
        <v>NA</v>
      </c>
    </row>
    <row r="12969">
      <c r="A12969" t="str">
        <f>IFERROR(__xludf.DUMMYFUNCTION("""COMPUTED_VALUE"""),"NA")</f>
        <v>NA</v>
      </c>
    </row>
    <row r="12970">
      <c r="A12970" t="str">
        <f>IFERROR(__xludf.DUMMYFUNCTION("""COMPUTED_VALUE"""),"NA")</f>
        <v>NA</v>
      </c>
    </row>
    <row r="12971">
      <c r="A12971" t="str">
        <f>IFERROR(__xludf.DUMMYFUNCTION("""COMPUTED_VALUE"""),"NA")</f>
        <v>NA</v>
      </c>
    </row>
    <row r="12972">
      <c r="A12972" t="str">
        <f>IFERROR(__xludf.DUMMYFUNCTION("""COMPUTED_VALUE"""),"NA")</f>
        <v>NA</v>
      </c>
    </row>
    <row r="12973">
      <c r="A12973" t="str">
        <f>IFERROR(__xludf.DUMMYFUNCTION("""COMPUTED_VALUE"""),"NA")</f>
        <v>NA</v>
      </c>
    </row>
    <row r="12974">
      <c r="A12974" t="str">
        <f>IFERROR(__xludf.DUMMYFUNCTION("""COMPUTED_VALUE"""),"NA")</f>
        <v>NA</v>
      </c>
    </row>
    <row r="12975">
      <c r="A12975" t="str">
        <f>IFERROR(__xludf.DUMMYFUNCTION("""COMPUTED_VALUE"""),"NA")</f>
        <v>NA</v>
      </c>
    </row>
    <row r="12976">
      <c r="A12976" t="str">
        <f>IFERROR(__xludf.DUMMYFUNCTION("""COMPUTED_VALUE"""),"NA")</f>
        <v>NA</v>
      </c>
    </row>
    <row r="12977">
      <c r="A12977" t="str">
        <f>IFERROR(__xludf.DUMMYFUNCTION("""COMPUTED_VALUE"""),"NA")</f>
        <v>NA</v>
      </c>
    </row>
    <row r="12978">
      <c r="A12978" t="str">
        <f>IFERROR(__xludf.DUMMYFUNCTION("""COMPUTED_VALUE"""),"NA")</f>
        <v>NA</v>
      </c>
    </row>
    <row r="12979">
      <c r="A12979" t="str">
        <f>IFERROR(__xludf.DUMMYFUNCTION("""COMPUTED_VALUE"""),"NA")</f>
        <v>NA</v>
      </c>
    </row>
    <row r="12980">
      <c r="A12980" t="str">
        <f>IFERROR(__xludf.DUMMYFUNCTION("""COMPUTED_VALUE"""),"NA")</f>
        <v>NA</v>
      </c>
    </row>
    <row r="12981">
      <c r="A12981" t="str">
        <f>IFERROR(__xludf.DUMMYFUNCTION("""COMPUTED_VALUE"""),"NA")</f>
        <v>NA</v>
      </c>
    </row>
    <row r="12982">
      <c r="A12982" t="str">
        <f>IFERROR(__xludf.DUMMYFUNCTION("""COMPUTED_VALUE"""),"NA")</f>
        <v>NA</v>
      </c>
    </row>
    <row r="12983">
      <c r="A12983" t="str">
        <f>IFERROR(__xludf.DUMMYFUNCTION("""COMPUTED_VALUE"""),"NA")</f>
        <v>NA</v>
      </c>
    </row>
    <row r="12984">
      <c r="A12984" t="str">
        <f>IFERROR(__xludf.DUMMYFUNCTION("""COMPUTED_VALUE"""),"NA")</f>
        <v>NA</v>
      </c>
    </row>
    <row r="12985">
      <c r="A12985" t="str">
        <f>IFERROR(__xludf.DUMMYFUNCTION("""COMPUTED_VALUE"""),"NA")</f>
        <v>NA</v>
      </c>
    </row>
    <row r="12986">
      <c r="A12986" t="str">
        <f>IFERROR(__xludf.DUMMYFUNCTION("""COMPUTED_VALUE"""),"NA")</f>
        <v>NA</v>
      </c>
    </row>
    <row r="12987">
      <c r="A12987" t="str">
        <f>IFERROR(__xludf.DUMMYFUNCTION("""COMPUTED_VALUE"""),"NA")</f>
        <v>NA</v>
      </c>
    </row>
    <row r="12988">
      <c r="A12988" t="str">
        <f>IFERROR(__xludf.DUMMYFUNCTION("""COMPUTED_VALUE"""),"NA")</f>
        <v>NA</v>
      </c>
    </row>
    <row r="12989">
      <c r="A12989" t="str">
        <f>IFERROR(__xludf.DUMMYFUNCTION("""COMPUTED_VALUE"""),"NA")</f>
        <v>NA</v>
      </c>
    </row>
    <row r="12990">
      <c r="A12990" t="str">
        <f>IFERROR(__xludf.DUMMYFUNCTION("""COMPUTED_VALUE"""),"NA")</f>
        <v>NA</v>
      </c>
    </row>
    <row r="12991">
      <c r="A12991" t="str">
        <f>IFERROR(__xludf.DUMMYFUNCTION("""COMPUTED_VALUE"""),"NA")</f>
        <v>NA</v>
      </c>
    </row>
    <row r="12992">
      <c r="A12992" t="str">
        <f>IFERROR(__xludf.DUMMYFUNCTION("""COMPUTED_VALUE"""),"NA")</f>
        <v>NA</v>
      </c>
    </row>
    <row r="12993">
      <c r="A12993" t="str">
        <f>IFERROR(__xludf.DUMMYFUNCTION("""COMPUTED_VALUE"""),"NA")</f>
        <v>NA</v>
      </c>
    </row>
    <row r="12994">
      <c r="A12994" t="str">
        <f>IFERROR(__xludf.DUMMYFUNCTION("""COMPUTED_VALUE"""),"NA")</f>
        <v>NA</v>
      </c>
    </row>
    <row r="12995">
      <c r="A12995" t="str">
        <f>IFERROR(__xludf.DUMMYFUNCTION("""COMPUTED_VALUE"""),"NA")</f>
        <v>NA</v>
      </c>
    </row>
    <row r="12996">
      <c r="A12996" t="str">
        <f>IFERROR(__xludf.DUMMYFUNCTION("""COMPUTED_VALUE"""),"NA")</f>
        <v>NA</v>
      </c>
    </row>
    <row r="12997">
      <c r="A12997" t="str">
        <f>IFERROR(__xludf.DUMMYFUNCTION("""COMPUTED_VALUE"""),"NA")</f>
        <v>NA</v>
      </c>
    </row>
    <row r="12998">
      <c r="A12998" t="str">
        <f>IFERROR(__xludf.DUMMYFUNCTION("""COMPUTED_VALUE"""),"NA")</f>
        <v>NA</v>
      </c>
    </row>
    <row r="12999">
      <c r="A12999" t="str">
        <f>IFERROR(__xludf.DUMMYFUNCTION("""COMPUTED_VALUE"""),"NA")</f>
        <v>NA</v>
      </c>
    </row>
    <row r="13000">
      <c r="A13000" t="str">
        <f>IFERROR(__xludf.DUMMYFUNCTION("""COMPUTED_VALUE"""),"NA")</f>
        <v>NA</v>
      </c>
    </row>
    <row r="13001">
      <c r="A13001" t="str">
        <f>IFERROR(__xludf.DUMMYFUNCTION("""COMPUTED_VALUE"""),"NA")</f>
        <v>NA</v>
      </c>
    </row>
    <row r="13002">
      <c r="A13002" t="str">
        <f>IFERROR(__xludf.DUMMYFUNCTION("""COMPUTED_VALUE"""),"NA")</f>
        <v>NA</v>
      </c>
    </row>
    <row r="13003">
      <c r="A13003" t="str">
        <f>IFERROR(__xludf.DUMMYFUNCTION("""COMPUTED_VALUE"""),"NA")</f>
        <v>NA</v>
      </c>
    </row>
    <row r="13004">
      <c r="A13004" t="str">
        <f>IFERROR(__xludf.DUMMYFUNCTION("""COMPUTED_VALUE"""),"NA")</f>
        <v>NA</v>
      </c>
    </row>
    <row r="13005">
      <c r="A13005" t="str">
        <f>IFERROR(__xludf.DUMMYFUNCTION("""COMPUTED_VALUE"""),"NA")</f>
        <v>NA</v>
      </c>
    </row>
    <row r="13006">
      <c r="A13006" t="str">
        <f>IFERROR(__xludf.DUMMYFUNCTION("""COMPUTED_VALUE"""),"NA")</f>
        <v>NA</v>
      </c>
    </row>
    <row r="13007">
      <c r="A13007" t="str">
        <f>IFERROR(__xludf.DUMMYFUNCTION("""COMPUTED_VALUE"""),"NA")</f>
        <v>NA</v>
      </c>
    </row>
    <row r="13008">
      <c r="A13008" t="str">
        <f>IFERROR(__xludf.DUMMYFUNCTION("""COMPUTED_VALUE"""),"NA")</f>
        <v>NA</v>
      </c>
    </row>
    <row r="13009">
      <c r="A13009" t="str">
        <f>IFERROR(__xludf.DUMMYFUNCTION("""COMPUTED_VALUE"""),"NA")</f>
        <v>NA</v>
      </c>
    </row>
    <row r="13010">
      <c r="A13010" t="str">
        <f>IFERROR(__xludf.DUMMYFUNCTION("""COMPUTED_VALUE"""),"NA")</f>
        <v>NA</v>
      </c>
    </row>
    <row r="13011">
      <c r="A13011" t="str">
        <f>IFERROR(__xludf.DUMMYFUNCTION("""COMPUTED_VALUE"""),"NA")</f>
        <v>NA</v>
      </c>
    </row>
    <row r="13012">
      <c r="A13012" t="str">
        <f>IFERROR(__xludf.DUMMYFUNCTION("""COMPUTED_VALUE"""),"NA")</f>
        <v>NA</v>
      </c>
    </row>
    <row r="13013">
      <c r="A13013" t="str">
        <f>IFERROR(__xludf.DUMMYFUNCTION("""COMPUTED_VALUE"""),"NA")</f>
        <v>NA</v>
      </c>
    </row>
    <row r="13014">
      <c r="A13014" t="str">
        <f>IFERROR(__xludf.DUMMYFUNCTION("""COMPUTED_VALUE"""),"NA")</f>
        <v>NA</v>
      </c>
    </row>
    <row r="13015">
      <c r="A13015" t="str">
        <f>IFERROR(__xludf.DUMMYFUNCTION("""COMPUTED_VALUE"""),"NA")</f>
        <v>NA</v>
      </c>
    </row>
    <row r="13016">
      <c r="A13016" t="str">
        <f>IFERROR(__xludf.DUMMYFUNCTION("""COMPUTED_VALUE"""),"NA")</f>
        <v>NA</v>
      </c>
    </row>
    <row r="13017">
      <c r="A13017" t="str">
        <f>IFERROR(__xludf.DUMMYFUNCTION("""COMPUTED_VALUE"""),"NA")</f>
        <v>NA</v>
      </c>
    </row>
    <row r="13018">
      <c r="A13018" t="str">
        <f>IFERROR(__xludf.DUMMYFUNCTION("""COMPUTED_VALUE"""),"NA")</f>
        <v>NA</v>
      </c>
    </row>
    <row r="13019">
      <c r="A13019" t="str">
        <f>IFERROR(__xludf.DUMMYFUNCTION("""COMPUTED_VALUE"""),"NA")</f>
        <v>NA</v>
      </c>
    </row>
    <row r="13020">
      <c r="A13020" t="str">
        <f>IFERROR(__xludf.DUMMYFUNCTION("""COMPUTED_VALUE"""),"NA")</f>
        <v>NA</v>
      </c>
    </row>
    <row r="13021">
      <c r="A13021" t="str">
        <f>IFERROR(__xludf.DUMMYFUNCTION("""COMPUTED_VALUE"""),"NA")</f>
        <v>NA</v>
      </c>
    </row>
    <row r="13022">
      <c r="A13022" t="str">
        <f>IFERROR(__xludf.DUMMYFUNCTION("""COMPUTED_VALUE"""),"NA")</f>
        <v>NA</v>
      </c>
    </row>
    <row r="13023">
      <c r="A13023" t="str">
        <f>IFERROR(__xludf.DUMMYFUNCTION("""COMPUTED_VALUE"""),"NA")</f>
        <v>NA</v>
      </c>
    </row>
    <row r="13024">
      <c r="A13024" t="str">
        <f>IFERROR(__xludf.DUMMYFUNCTION("""COMPUTED_VALUE"""),"NA")</f>
        <v>NA</v>
      </c>
    </row>
    <row r="13025">
      <c r="A13025" t="str">
        <f>IFERROR(__xludf.DUMMYFUNCTION("""COMPUTED_VALUE"""),"NA")</f>
        <v>NA</v>
      </c>
    </row>
    <row r="13026">
      <c r="A13026" t="str">
        <f>IFERROR(__xludf.DUMMYFUNCTION("""COMPUTED_VALUE"""),"NA")</f>
        <v>NA</v>
      </c>
    </row>
    <row r="13027">
      <c r="A13027" t="str">
        <f>IFERROR(__xludf.DUMMYFUNCTION("""COMPUTED_VALUE"""),"NA")</f>
        <v>NA</v>
      </c>
    </row>
    <row r="13028">
      <c r="A13028" t="str">
        <f>IFERROR(__xludf.DUMMYFUNCTION("""COMPUTED_VALUE"""),"NA")</f>
        <v>NA</v>
      </c>
    </row>
    <row r="13029">
      <c r="A13029" t="str">
        <f>IFERROR(__xludf.DUMMYFUNCTION("""COMPUTED_VALUE"""),"NA")</f>
        <v>NA</v>
      </c>
    </row>
    <row r="13030">
      <c r="A13030" t="str">
        <f>IFERROR(__xludf.DUMMYFUNCTION("""COMPUTED_VALUE"""),"NA")</f>
        <v>NA</v>
      </c>
    </row>
    <row r="13031">
      <c r="A13031" t="str">
        <f>IFERROR(__xludf.DUMMYFUNCTION("""COMPUTED_VALUE"""),"NA")</f>
        <v>NA</v>
      </c>
    </row>
    <row r="13032">
      <c r="A13032" t="str">
        <f>IFERROR(__xludf.DUMMYFUNCTION("""COMPUTED_VALUE"""),"NA")</f>
        <v>NA</v>
      </c>
    </row>
    <row r="13033">
      <c r="A13033" t="str">
        <f>IFERROR(__xludf.DUMMYFUNCTION("""COMPUTED_VALUE"""),"NA")</f>
        <v>NA</v>
      </c>
    </row>
    <row r="13034">
      <c r="A13034" t="str">
        <f>IFERROR(__xludf.DUMMYFUNCTION("""COMPUTED_VALUE"""),"NA")</f>
        <v>NA</v>
      </c>
    </row>
    <row r="13035">
      <c r="A13035" t="str">
        <f>IFERROR(__xludf.DUMMYFUNCTION("""COMPUTED_VALUE"""),"NA")</f>
        <v>NA</v>
      </c>
    </row>
    <row r="13036">
      <c r="A13036" t="str">
        <f>IFERROR(__xludf.DUMMYFUNCTION("""COMPUTED_VALUE"""),"NA")</f>
        <v>NA</v>
      </c>
    </row>
    <row r="13037">
      <c r="A13037" t="str">
        <f>IFERROR(__xludf.DUMMYFUNCTION("""COMPUTED_VALUE"""),"NA")</f>
        <v>NA</v>
      </c>
    </row>
    <row r="13038">
      <c r="A13038" t="str">
        <f>IFERROR(__xludf.DUMMYFUNCTION("""COMPUTED_VALUE"""),"NA")</f>
        <v>NA</v>
      </c>
    </row>
    <row r="13039">
      <c r="A13039" t="str">
        <f>IFERROR(__xludf.DUMMYFUNCTION("""COMPUTED_VALUE"""),"NA")</f>
        <v>NA</v>
      </c>
    </row>
    <row r="13040">
      <c r="A13040" t="str">
        <f>IFERROR(__xludf.DUMMYFUNCTION("""COMPUTED_VALUE"""),"NA")</f>
        <v>NA</v>
      </c>
    </row>
    <row r="13041">
      <c r="A13041" t="str">
        <f>IFERROR(__xludf.DUMMYFUNCTION("""COMPUTED_VALUE"""),"NA")</f>
        <v>NA</v>
      </c>
    </row>
    <row r="13042">
      <c r="A13042" t="str">
        <f>IFERROR(__xludf.DUMMYFUNCTION("""COMPUTED_VALUE"""),"NA")</f>
        <v>NA</v>
      </c>
    </row>
    <row r="13043">
      <c r="A13043" t="str">
        <f>IFERROR(__xludf.DUMMYFUNCTION("""COMPUTED_VALUE"""),"NA")</f>
        <v>NA</v>
      </c>
    </row>
    <row r="13044">
      <c r="A13044" t="str">
        <f>IFERROR(__xludf.DUMMYFUNCTION("""COMPUTED_VALUE"""),"NA")</f>
        <v>NA</v>
      </c>
    </row>
    <row r="13045">
      <c r="A13045" t="str">
        <f>IFERROR(__xludf.DUMMYFUNCTION("""COMPUTED_VALUE"""),"NA")</f>
        <v>NA</v>
      </c>
    </row>
    <row r="13046">
      <c r="A13046" t="str">
        <f>IFERROR(__xludf.DUMMYFUNCTION("""COMPUTED_VALUE"""),"NA")</f>
        <v>NA</v>
      </c>
    </row>
    <row r="13047">
      <c r="A13047" t="str">
        <f>IFERROR(__xludf.DUMMYFUNCTION("""COMPUTED_VALUE"""),"NA")</f>
        <v>NA</v>
      </c>
    </row>
    <row r="13048">
      <c r="A13048" t="str">
        <f>IFERROR(__xludf.DUMMYFUNCTION("""COMPUTED_VALUE"""),"NA")</f>
        <v>NA</v>
      </c>
    </row>
    <row r="13049">
      <c r="A13049" t="str">
        <f>IFERROR(__xludf.DUMMYFUNCTION("""COMPUTED_VALUE"""),"NA")</f>
        <v>NA</v>
      </c>
    </row>
    <row r="13050">
      <c r="A13050" t="str">
        <f>IFERROR(__xludf.DUMMYFUNCTION("""COMPUTED_VALUE"""),"NA")</f>
        <v>NA</v>
      </c>
    </row>
    <row r="13051">
      <c r="A13051" t="str">
        <f>IFERROR(__xludf.DUMMYFUNCTION("""COMPUTED_VALUE"""),"NA")</f>
        <v>NA</v>
      </c>
    </row>
    <row r="13052">
      <c r="A13052" t="str">
        <f>IFERROR(__xludf.DUMMYFUNCTION("""COMPUTED_VALUE"""),"NA")</f>
        <v>NA</v>
      </c>
    </row>
    <row r="13053">
      <c r="A13053" t="str">
        <f>IFERROR(__xludf.DUMMYFUNCTION("""COMPUTED_VALUE"""),"NA")</f>
        <v>NA</v>
      </c>
    </row>
    <row r="13054">
      <c r="A13054" t="str">
        <f>IFERROR(__xludf.DUMMYFUNCTION("""COMPUTED_VALUE"""),"NA")</f>
        <v>NA</v>
      </c>
    </row>
    <row r="13055">
      <c r="A13055" t="str">
        <f>IFERROR(__xludf.DUMMYFUNCTION("""COMPUTED_VALUE"""),"NA")</f>
        <v>NA</v>
      </c>
    </row>
    <row r="13056">
      <c r="A13056" t="str">
        <f>IFERROR(__xludf.DUMMYFUNCTION("""COMPUTED_VALUE"""),"NA")</f>
        <v>NA</v>
      </c>
    </row>
    <row r="13057">
      <c r="A13057" t="str">
        <f>IFERROR(__xludf.DUMMYFUNCTION("""COMPUTED_VALUE"""),"NA")</f>
        <v>NA</v>
      </c>
    </row>
    <row r="13058">
      <c r="A13058" t="str">
        <f>IFERROR(__xludf.DUMMYFUNCTION("""COMPUTED_VALUE"""),"NA")</f>
        <v>NA</v>
      </c>
    </row>
    <row r="13059">
      <c r="A13059" t="str">
        <f>IFERROR(__xludf.DUMMYFUNCTION("""COMPUTED_VALUE"""),"NA")</f>
        <v>NA</v>
      </c>
    </row>
    <row r="13060">
      <c r="A13060" t="str">
        <f>IFERROR(__xludf.DUMMYFUNCTION("""COMPUTED_VALUE"""),"NA")</f>
        <v>NA</v>
      </c>
    </row>
    <row r="13061">
      <c r="A13061" t="str">
        <f>IFERROR(__xludf.DUMMYFUNCTION("""COMPUTED_VALUE"""),"NA")</f>
        <v>NA</v>
      </c>
    </row>
    <row r="13062">
      <c r="A13062" t="str">
        <f>IFERROR(__xludf.DUMMYFUNCTION("""COMPUTED_VALUE"""),"NA")</f>
        <v>NA</v>
      </c>
    </row>
    <row r="13063">
      <c r="A13063" t="str">
        <f>IFERROR(__xludf.DUMMYFUNCTION("""COMPUTED_VALUE"""),"NA")</f>
        <v>NA</v>
      </c>
    </row>
    <row r="13064">
      <c r="A13064" t="str">
        <f>IFERROR(__xludf.DUMMYFUNCTION("""COMPUTED_VALUE"""),"NA")</f>
        <v>NA</v>
      </c>
    </row>
    <row r="13065">
      <c r="A13065" t="str">
        <f>IFERROR(__xludf.DUMMYFUNCTION("""COMPUTED_VALUE"""),"NA")</f>
        <v>NA</v>
      </c>
    </row>
    <row r="13066">
      <c r="A13066" t="str">
        <f>IFERROR(__xludf.DUMMYFUNCTION("""COMPUTED_VALUE"""),"NA")</f>
        <v>NA</v>
      </c>
    </row>
    <row r="13067">
      <c r="A13067" t="str">
        <f>IFERROR(__xludf.DUMMYFUNCTION("""COMPUTED_VALUE"""),"NA")</f>
        <v>NA</v>
      </c>
    </row>
    <row r="13068">
      <c r="A13068" t="str">
        <f>IFERROR(__xludf.DUMMYFUNCTION("""COMPUTED_VALUE"""),"NA")</f>
        <v>NA</v>
      </c>
    </row>
    <row r="13069">
      <c r="A13069" t="str">
        <f>IFERROR(__xludf.DUMMYFUNCTION("""COMPUTED_VALUE"""),"NA")</f>
        <v>NA</v>
      </c>
    </row>
    <row r="13070">
      <c r="A13070" t="str">
        <f>IFERROR(__xludf.DUMMYFUNCTION("""COMPUTED_VALUE"""),"NA")</f>
        <v>NA</v>
      </c>
    </row>
    <row r="13071">
      <c r="A13071" t="str">
        <f>IFERROR(__xludf.DUMMYFUNCTION("""COMPUTED_VALUE"""),"NA")</f>
        <v>NA</v>
      </c>
    </row>
    <row r="13072">
      <c r="A13072" t="str">
        <f>IFERROR(__xludf.DUMMYFUNCTION("""COMPUTED_VALUE"""),"NA")</f>
        <v>NA</v>
      </c>
    </row>
    <row r="13073">
      <c r="A13073" t="str">
        <f>IFERROR(__xludf.DUMMYFUNCTION("""COMPUTED_VALUE"""),"NA")</f>
        <v>NA</v>
      </c>
    </row>
    <row r="13074">
      <c r="A13074" t="str">
        <f>IFERROR(__xludf.DUMMYFUNCTION("""COMPUTED_VALUE"""),"NA")</f>
        <v>NA</v>
      </c>
    </row>
    <row r="13075">
      <c r="A13075" t="str">
        <f>IFERROR(__xludf.DUMMYFUNCTION("""COMPUTED_VALUE"""),"NA")</f>
        <v>NA</v>
      </c>
    </row>
    <row r="13076">
      <c r="A13076" t="str">
        <f>IFERROR(__xludf.DUMMYFUNCTION("""COMPUTED_VALUE"""),"NA")</f>
        <v>NA</v>
      </c>
    </row>
    <row r="13077">
      <c r="A13077" t="str">
        <f>IFERROR(__xludf.DUMMYFUNCTION("""COMPUTED_VALUE"""),"NA")</f>
        <v>NA</v>
      </c>
    </row>
    <row r="13078">
      <c r="A13078" t="str">
        <f>IFERROR(__xludf.DUMMYFUNCTION("""COMPUTED_VALUE"""),"NA")</f>
        <v>NA</v>
      </c>
    </row>
    <row r="13079">
      <c r="A13079" t="str">
        <f>IFERROR(__xludf.DUMMYFUNCTION("""COMPUTED_VALUE"""),"NA")</f>
        <v>NA</v>
      </c>
    </row>
    <row r="13080">
      <c r="A13080" t="str">
        <f>IFERROR(__xludf.DUMMYFUNCTION("""COMPUTED_VALUE"""),"NA")</f>
        <v>NA</v>
      </c>
    </row>
    <row r="13081">
      <c r="A13081" t="str">
        <f>IFERROR(__xludf.DUMMYFUNCTION("""COMPUTED_VALUE"""),"NA")</f>
        <v>NA</v>
      </c>
    </row>
    <row r="13082">
      <c r="A13082" t="str">
        <f>IFERROR(__xludf.DUMMYFUNCTION("""COMPUTED_VALUE"""),"NA")</f>
        <v>NA</v>
      </c>
    </row>
    <row r="13083">
      <c r="A13083" t="str">
        <f>IFERROR(__xludf.DUMMYFUNCTION("""COMPUTED_VALUE"""),"NA")</f>
        <v>NA</v>
      </c>
    </row>
    <row r="13084">
      <c r="A13084" t="str">
        <f>IFERROR(__xludf.DUMMYFUNCTION("""COMPUTED_VALUE"""),"NA")</f>
        <v>NA</v>
      </c>
    </row>
    <row r="13085">
      <c r="A13085" t="str">
        <f>IFERROR(__xludf.DUMMYFUNCTION("""COMPUTED_VALUE"""),"NA")</f>
        <v>NA</v>
      </c>
    </row>
    <row r="13086">
      <c r="A13086" t="str">
        <f>IFERROR(__xludf.DUMMYFUNCTION("""COMPUTED_VALUE"""),"NA")</f>
        <v>NA</v>
      </c>
    </row>
    <row r="13087">
      <c r="A13087" t="str">
        <f>IFERROR(__xludf.DUMMYFUNCTION("""COMPUTED_VALUE"""),"NA")</f>
        <v>NA</v>
      </c>
    </row>
    <row r="13088">
      <c r="A13088" t="str">
        <f>IFERROR(__xludf.DUMMYFUNCTION("""COMPUTED_VALUE"""),"NA")</f>
        <v>NA</v>
      </c>
    </row>
    <row r="13089">
      <c r="A13089" t="str">
        <f>IFERROR(__xludf.DUMMYFUNCTION("""COMPUTED_VALUE"""),"NA")</f>
        <v>NA</v>
      </c>
    </row>
    <row r="13090">
      <c r="A13090" t="str">
        <f>IFERROR(__xludf.DUMMYFUNCTION("""COMPUTED_VALUE"""),"NA")</f>
        <v>NA</v>
      </c>
    </row>
    <row r="13091">
      <c r="A13091" t="str">
        <f>IFERROR(__xludf.DUMMYFUNCTION("""COMPUTED_VALUE"""),"NA")</f>
        <v>NA</v>
      </c>
    </row>
    <row r="13092">
      <c r="A13092" t="str">
        <f>IFERROR(__xludf.DUMMYFUNCTION("""COMPUTED_VALUE"""),"NA")</f>
        <v>NA</v>
      </c>
    </row>
    <row r="13093">
      <c r="A13093" t="str">
        <f>IFERROR(__xludf.DUMMYFUNCTION("""COMPUTED_VALUE"""),"NA")</f>
        <v>NA</v>
      </c>
    </row>
    <row r="13094">
      <c r="A13094" t="str">
        <f>IFERROR(__xludf.DUMMYFUNCTION("""COMPUTED_VALUE"""),"NA")</f>
        <v>NA</v>
      </c>
    </row>
    <row r="13095">
      <c r="A13095" t="str">
        <f>IFERROR(__xludf.DUMMYFUNCTION("""COMPUTED_VALUE"""),"NA")</f>
        <v>NA</v>
      </c>
    </row>
    <row r="13096">
      <c r="A13096" t="str">
        <f>IFERROR(__xludf.DUMMYFUNCTION("""COMPUTED_VALUE"""),"NA")</f>
        <v>NA</v>
      </c>
    </row>
    <row r="13097">
      <c r="A13097" t="str">
        <f>IFERROR(__xludf.DUMMYFUNCTION("""COMPUTED_VALUE"""),"NA")</f>
        <v>NA</v>
      </c>
    </row>
    <row r="13098">
      <c r="A13098" t="str">
        <f>IFERROR(__xludf.DUMMYFUNCTION("""COMPUTED_VALUE"""),"NA")</f>
        <v>NA</v>
      </c>
    </row>
    <row r="13099">
      <c r="A13099" t="str">
        <f>IFERROR(__xludf.DUMMYFUNCTION("""COMPUTED_VALUE"""),"NA")</f>
        <v>NA</v>
      </c>
    </row>
    <row r="13100">
      <c r="A13100" t="str">
        <f>IFERROR(__xludf.DUMMYFUNCTION("""COMPUTED_VALUE"""),"NA")</f>
        <v>NA</v>
      </c>
    </row>
    <row r="13101">
      <c r="A13101" t="str">
        <f>IFERROR(__xludf.DUMMYFUNCTION("""COMPUTED_VALUE"""),"NA")</f>
        <v>NA</v>
      </c>
    </row>
    <row r="13102">
      <c r="A13102" t="str">
        <f>IFERROR(__xludf.DUMMYFUNCTION("""COMPUTED_VALUE"""),"NA")</f>
        <v>NA</v>
      </c>
    </row>
    <row r="13103">
      <c r="A13103" t="str">
        <f>IFERROR(__xludf.DUMMYFUNCTION("""COMPUTED_VALUE"""),"NA")</f>
        <v>NA</v>
      </c>
    </row>
    <row r="13104">
      <c r="A13104" t="str">
        <f>IFERROR(__xludf.DUMMYFUNCTION("""COMPUTED_VALUE"""),"NA")</f>
        <v>NA</v>
      </c>
    </row>
    <row r="13105">
      <c r="A13105" t="str">
        <f>IFERROR(__xludf.DUMMYFUNCTION("""COMPUTED_VALUE"""),"NA")</f>
        <v>NA</v>
      </c>
    </row>
    <row r="13106">
      <c r="A13106" t="str">
        <f>IFERROR(__xludf.DUMMYFUNCTION("""COMPUTED_VALUE"""),"NA")</f>
        <v>NA</v>
      </c>
    </row>
    <row r="13107">
      <c r="A13107" t="str">
        <f>IFERROR(__xludf.DUMMYFUNCTION("""COMPUTED_VALUE"""),"NA")</f>
        <v>NA</v>
      </c>
    </row>
    <row r="13108">
      <c r="A13108" t="str">
        <f>IFERROR(__xludf.DUMMYFUNCTION("""COMPUTED_VALUE"""),"NA")</f>
        <v>NA</v>
      </c>
    </row>
    <row r="13109">
      <c r="A13109" t="str">
        <f>IFERROR(__xludf.DUMMYFUNCTION("""COMPUTED_VALUE"""),"NA")</f>
        <v>NA</v>
      </c>
    </row>
    <row r="13110">
      <c r="A13110" t="str">
        <f>IFERROR(__xludf.DUMMYFUNCTION("""COMPUTED_VALUE"""),"NA")</f>
        <v>NA</v>
      </c>
    </row>
    <row r="13111">
      <c r="A13111" t="str">
        <f>IFERROR(__xludf.DUMMYFUNCTION("""COMPUTED_VALUE"""),"NA")</f>
        <v>NA</v>
      </c>
    </row>
    <row r="13112">
      <c r="A13112" t="str">
        <f>IFERROR(__xludf.DUMMYFUNCTION("""COMPUTED_VALUE"""),"NA")</f>
        <v>NA</v>
      </c>
    </row>
    <row r="13113">
      <c r="A13113" t="str">
        <f>IFERROR(__xludf.DUMMYFUNCTION("""COMPUTED_VALUE"""),"NA")</f>
        <v>NA</v>
      </c>
    </row>
    <row r="13114">
      <c r="A13114" t="str">
        <f>IFERROR(__xludf.DUMMYFUNCTION("""COMPUTED_VALUE"""),"NA")</f>
        <v>NA</v>
      </c>
    </row>
    <row r="13115">
      <c r="A13115" t="str">
        <f>IFERROR(__xludf.DUMMYFUNCTION("""COMPUTED_VALUE"""),"NA")</f>
        <v>NA</v>
      </c>
    </row>
    <row r="13116">
      <c r="A13116" t="str">
        <f>IFERROR(__xludf.DUMMYFUNCTION("""COMPUTED_VALUE"""),"NA")</f>
        <v>NA</v>
      </c>
    </row>
    <row r="13117">
      <c r="A13117" t="str">
        <f>IFERROR(__xludf.DUMMYFUNCTION("""COMPUTED_VALUE"""),"NA")</f>
        <v>NA</v>
      </c>
    </row>
    <row r="13118">
      <c r="A13118" t="str">
        <f>IFERROR(__xludf.DUMMYFUNCTION("""COMPUTED_VALUE"""),"NA")</f>
        <v>NA</v>
      </c>
    </row>
    <row r="13119">
      <c r="A13119" t="str">
        <f>IFERROR(__xludf.DUMMYFUNCTION("""COMPUTED_VALUE"""),"NA")</f>
        <v>NA</v>
      </c>
    </row>
    <row r="13120">
      <c r="A13120" t="str">
        <f>IFERROR(__xludf.DUMMYFUNCTION("""COMPUTED_VALUE"""),"NA")</f>
        <v>NA</v>
      </c>
    </row>
    <row r="13121">
      <c r="A13121" t="str">
        <f>IFERROR(__xludf.DUMMYFUNCTION("""COMPUTED_VALUE"""),"NA")</f>
        <v>NA</v>
      </c>
    </row>
    <row r="13122">
      <c r="A13122" t="str">
        <f>IFERROR(__xludf.DUMMYFUNCTION("""COMPUTED_VALUE"""),"NA")</f>
        <v>NA</v>
      </c>
    </row>
    <row r="13123">
      <c r="A13123" t="str">
        <f>IFERROR(__xludf.DUMMYFUNCTION("""COMPUTED_VALUE"""),"NA")</f>
        <v>NA</v>
      </c>
    </row>
    <row r="13124">
      <c r="A13124" t="str">
        <f>IFERROR(__xludf.DUMMYFUNCTION("""COMPUTED_VALUE"""),"NA")</f>
        <v>NA</v>
      </c>
    </row>
    <row r="13125">
      <c r="A13125" t="str">
        <f>IFERROR(__xludf.DUMMYFUNCTION("""COMPUTED_VALUE"""),"NA")</f>
        <v>NA</v>
      </c>
    </row>
    <row r="13126">
      <c r="A13126" t="str">
        <f>IFERROR(__xludf.DUMMYFUNCTION("""COMPUTED_VALUE"""),"NA")</f>
        <v>NA</v>
      </c>
    </row>
    <row r="13127">
      <c r="A13127" t="str">
        <f>IFERROR(__xludf.DUMMYFUNCTION("""COMPUTED_VALUE"""),"NA")</f>
        <v>NA</v>
      </c>
    </row>
    <row r="13128">
      <c r="A13128" t="str">
        <f>IFERROR(__xludf.DUMMYFUNCTION("""COMPUTED_VALUE"""),"NA")</f>
        <v>NA</v>
      </c>
    </row>
    <row r="13129">
      <c r="A13129" t="str">
        <f>IFERROR(__xludf.DUMMYFUNCTION("""COMPUTED_VALUE"""),"NA")</f>
        <v>NA</v>
      </c>
    </row>
    <row r="13130">
      <c r="A13130" t="str">
        <f>IFERROR(__xludf.DUMMYFUNCTION("""COMPUTED_VALUE"""),"NA")</f>
        <v>NA</v>
      </c>
    </row>
    <row r="13131">
      <c r="A13131" t="str">
        <f>IFERROR(__xludf.DUMMYFUNCTION("""COMPUTED_VALUE"""),"NA")</f>
        <v>NA</v>
      </c>
    </row>
    <row r="13132">
      <c r="A13132" t="str">
        <f>IFERROR(__xludf.DUMMYFUNCTION("""COMPUTED_VALUE"""),"NA")</f>
        <v>NA</v>
      </c>
    </row>
    <row r="13133">
      <c r="A13133" t="str">
        <f>IFERROR(__xludf.DUMMYFUNCTION("""COMPUTED_VALUE"""),"NA")</f>
        <v>NA</v>
      </c>
    </row>
    <row r="13134">
      <c r="A13134" t="str">
        <f>IFERROR(__xludf.DUMMYFUNCTION("""COMPUTED_VALUE"""),"NA")</f>
        <v>NA</v>
      </c>
    </row>
    <row r="13135">
      <c r="A13135" t="str">
        <f>IFERROR(__xludf.DUMMYFUNCTION("""COMPUTED_VALUE"""),"NA")</f>
        <v>NA</v>
      </c>
    </row>
    <row r="13136">
      <c r="A13136" t="str">
        <f>IFERROR(__xludf.DUMMYFUNCTION("""COMPUTED_VALUE"""),"NA")</f>
        <v>NA</v>
      </c>
    </row>
    <row r="13137">
      <c r="A13137" t="str">
        <f>IFERROR(__xludf.DUMMYFUNCTION("""COMPUTED_VALUE"""),"NA")</f>
        <v>NA</v>
      </c>
    </row>
    <row r="13138">
      <c r="A13138" t="str">
        <f>IFERROR(__xludf.DUMMYFUNCTION("""COMPUTED_VALUE"""),"NA")</f>
        <v>NA</v>
      </c>
    </row>
    <row r="13139">
      <c r="A13139" t="str">
        <f>IFERROR(__xludf.DUMMYFUNCTION("""COMPUTED_VALUE"""),"NA")</f>
        <v>NA</v>
      </c>
    </row>
    <row r="13140">
      <c r="A13140" t="str">
        <f>IFERROR(__xludf.DUMMYFUNCTION("""COMPUTED_VALUE"""),"NA")</f>
        <v>NA</v>
      </c>
    </row>
    <row r="13141">
      <c r="A13141" t="str">
        <f>IFERROR(__xludf.DUMMYFUNCTION("""COMPUTED_VALUE"""),"NA")</f>
        <v>NA</v>
      </c>
    </row>
    <row r="13142">
      <c r="A13142" t="str">
        <f>IFERROR(__xludf.DUMMYFUNCTION("""COMPUTED_VALUE"""),"NA")</f>
        <v>NA</v>
      </c>
    </row>
    <row r="13143">
      <c r="A13143" t="str">
        <f>IFERROR(__xludf.DUMMYFUNCTION("""COMPUTED_VALUE"""),"NA")</f>
        <v>NA</v>
      </c>
    </row>
    <row r="13144">
      <c r="A13144" t="str">
        <f>IFERROR(__xludf.DUMMYFUNCTION("""COMPUTED_VALUE"""),"NA")</f>
        <v>NA</v>
      </c>
    </row>
    <row r="13145">
      <c r="A13145" t="str">
        <f>IFERROR(__xludf.DUMMYFUNCTION("""COMPUTED_VALUE"""),"NA")</f>
        <v>NA</v>
      </c>
    </row>
    <row r="13146">
      <c r="A13146" t="str">
        <f>IFERROR(__xludf.DUMMYFUNCTION("""COMPUTED_VALUE"""),"NA")</f>
        <v>NA</v>
      </c>
    </row>
    <row r="13147">
      <c r="A13147" t="str">
        <f>IFERROR(__xludf.DUMMYFUNCTION("""COMPUTED_VALUE"""),"NA")</f>
        <v>NA</v>
      </c>
    </row>
    <row r="13148">
      <c r="A13148" t="str">
        <f>IFERROR(__xludf.DUMMYFUNCTION("""COMPUTED_VALUE"""),"NA")</f>
        <v>NA</v>
      </c>
    </row>
    <row r="13149">
      <c r="A13149" t="str">
        <f>IFERROR(__xludf.DUMMYFUNCTION("""COMPUTED_VALUE"""),"NA")</f>
        <v>NA</v>
      </c>
    </row>
    <row r="13150">
      <c r="A13150" t="str">
        <f>IFERROR(__xludf.DUMMYFUNCTION("""COMPUTED_VALUE"""),"NA")</f>
        <v>NA</v>
      </c>
    </row>
    <row r="13151">
      <c r="A13151" t="str">
        <f>IFERROR(__xludf.DUMMYFUNCTION("""COMPUTED_VALUE"""),"NA")</f>
        <v>NA</v>
      </c>
    </row>
    <row r="13152">
      <c r="A13152" t="str">
        <f>IFERROR(__xludf.DUMMYFUNCTION("""COMPUTED_VALUE"""),"NA")</f>
        <v>NA</v>
      </c>
    </row>
    <row r="13153">
      <c r="A13153" t="str">
        <f>IFERROR(__xludf.DUMMYFUNCTION("""COMPUTED_VALUE"""),"NA")</f>
        <v>NA</v>
      </c>
    </row>
    <row r="13154">
      <c r="A13154" t="str">
        <f>IFERROR(__xludf.DUMMYFUNCTION("""COMPUTED_VALUE"""),"NA")</f>
        <v>NA</v>
      </c>
    </row>
    <row r="13155">
      <c r="A13155" t="str">
        <f>IFERROR(__xludf.DUMMYFUNCTION("""COMPUTED_VALUE"""),"NA")</f>
        <v>NA</v>
      </c>
    </row>
    <row r="13156">
      <c r="A13156" t="str">
        <f>IFERROR(__xludf.DUMMYFUNCTION("""COMPUTED_VALUE"""),"NA")</f>
        <v>NA</v>
      </c>
    </row>
    <row r="13157">
      <c r="A13157" t="str">
        <f>IFERROR(__xludf.DUMMYFUNCTION("""COMPUTED_VALUE"""),"NA")</f>
        <v>NA</v>
      </c>
    </row>
    <row r="13158">
      <c r="A13158" t="str">
        <f>IFERROR(__xludf.DUMMYFUNCTION("""COMPUTED_VALUE"""),"NA")</f>
        <v>NA</v>
      </c>
    </row>
    <row r="13159">
      <c r="A13159" t="str">
        <f>IFERROR(__xludf.DUMMYFUNCTION("""COMPUTED_VALUE"""),"NA")</f>
        <v>NA</v>
      </c>
    </row>
    <row r="13160">
      <c r="A13160" t="str">
        <f>IFERROR(__xludf.DUMMYFUNCTION("""COMPUTED_VALUE"""),"NA")</f>
        <v>NA</v>
      </c>
    </row>
    <row r="13161">
      <c r="A13161" t="str">
        <f>IFERROR(__xludf.DUMMYFUNCTION("""COMPUTED_VALUE"""),"NA")</f>
        <v>NA</v>
      </c>
    </row>
    <row r="13162">
      <c r="A13162" t="str">
        <f>IFERROR(__xludf.DUMMYFUNCTION("""COMPUTED_VALUE"""),"NA")</f>
        <v>NA</v>
      </c>
    </row>
    <row r="13163">
      <c r="A13163" t="str">
        <f>IFERROR(__xludf.DUMMYFUNCTION("""COMPUTED_VALUE"""),"NA")</f>
        <v>NA</v>
      </c>
    </row>
    <row r="13164">
      <c r="A13164" t="str">
        <f>IFERROR(__xludf.DUMMYFUNCTION("""COMPUTED_VALUE"""),"NA")</f>
        <v>NA</v>
      </c>
    </row>
    <row r="13165">
      <c r="A13165" t="str">
        <f>IFERROR(__xludf.DUMMYFUNCTION("""COMPUTED_VALUE"""),"NA")</f>
        <v>NA</v>
      </c>
    </row>
    <row r="13166">
      <c r="A13166" t="str">
        <f>IFERROR(__xludf.DUMMYFUNCTION("""COMPUTED_VALUE"""),"NA")</f>
        <v>NA</v>
      </c>
    </row>
    <row r="13167">
      <c r="A13167" t="str">
        <f>IFERROR(__xludf.DUMMYFUNCTION("""COMPUTED_VALUE"""),"NA")</f>
        <v>NA</v>
      </c>
    </row>
    <row r="13168">
      <c r="A13168" t="str">
        <f>IFERROR(__xludf.DUMMYFUNCTION("""COMPUTED_VALUE"""),"NA")</f>
        <v>NA</v>
      </c>
    </row>
    <row r="13169">
      <c r="A13169" t="str">
        <f>IFERROR(__xludf.DUMMYFUNCTION("""COMPUTED_VALUE"""),"NA")</f>
        <v>NA</v>
      </c>
    </row>
    <row r="13170">
      <c r="A13170" t="str">
        <f>IFERROR(__xludf.DUMMYFUNCTION("""COMPUTED_VALUE"""),"NA")</f>
        <v>NA</v>
      </c>
    </row>
    <row r="13171">
      <c r="A13171" t="str">
        <f>IFERROR(__xludf.DUMMYFUNCTION("""COMPUTED_VALUE"""),"NA")</f>
        <v>NA</v>
      </c>
    </row>
    <row r="13172">
      <c r="A13172" t="str">
        <f>IFERROR(__xludf.DUMMYFUNCTION("""COMPUTED_VALUE"""),"NA")</f>
        <v>NA</v>
      </c>
    </row>
    <row r="13173">
      <c r="A13173" t="str">
        <f>IFERROR(__xludf.DUMMYFUNCTION("""COMPUTED_VALUE"""),"NA")</f>
        <v>NA</v>
      </c>
    </row>
    <row r="13174">
      <c r="A13174" t="str">
        <f>IFERROR(__xludf.DUMMYFUNCTION("""COMPUTED_VALUE"""),"NA")</f>
        <v>NA</v>
      </c>
    </row>
    <row r="13175">
      <c r="A13175" t="str">
        <f>IFERROR(__xludf.DUMMYFUNCTION("""COMPUTED_VALUE"""),"NA")</f>
        <v>NA</v>
      </c>
    </row>
    <row r="13176">
      <c r="A13176" t="str">
        <f>IFERROR(__xludf.DUMMYFUNCTION("""COMPUTED_VALUE"""),"NA")</f>
        <v>NA</v>
      </c>
    </row>
    <row r="13177">
      <c r="A13177" t="str">
        <f>IFERROR(__xludf.DUMMYFUNCTION("""COMPUTED_VALUE"""),"NA")</f>
        <v>NA</v>
      </c>
    </row>
    <row r="13178">
      <c r="A13178" t="str">
        <f>IFERROR(__xludf.DUMMYFUNCTION("""COMPUTED_VALUE"""),"NA")</f>
        <v>NA</v>
      </c>
    </row>
    <row r="13179">
      <c r="A13179" t="str">
        <f>IFERROR(__xludf.DUMMYFUNCTION("""COMPUTED_VALUE"""),"NA")</f>
        <v>NA</v>
      </c>
    </row>
    <row r="13180">
      <c r="A13180" t="str">
        <f>IFERROR(__xludf.DUMMYFUNCTION("""COMPUTED_VALUE"""),"NA")</f>
        <v>NA</v>
      </c>
    </row>
    <row r="13181">
      <c r="A13181" t="str">
        <f>IFERROR(__xludf.DUMMYFUNCTION("""COMPUTED_VALUE"""),"NA")</f>
        <v>NA</v>
      </c>
    </row>
    <row r="13182">
      <c r="A13182" t="str">
        <f>IFERROR(__xludf.DUMMYFUNCTION("""COMPUTED_VALUE"""),"NA")</f>
        <v>NA</v>
      </c>
    </row>
    <row r="13183">
      <c r="A13183" t="str">
        <f>IFERROR(__xludf.DUMMYFUNCTION("""COMPUTED_VALUE"""),"NA")</f>
        <v>NA</v>
      </c>
    </row>
    <row r="13184">
      <c r="A13184" t="str">
        <f>IFERROR(__xludf.DUMMYFUNCTION("""COMPUTED_VALUE"""),"NA")</f>
        <v>NA</v>
      </c>
    </row>
    <row r="13185">
      <c r="A13185" t="str">
        <f>IFERROR(__xludf.DUMMYFUNCTION("""COMPUTED_VALUE"""),"NA")</f>
        <v>NA</v>
      </c>
    </row>
    <row r="13186">
      <c r="A13186" t="str">
        <f>IFERROR(__xludf.DUMMYFUNCTION("""COMPUTED_VALUE"""),"NA")</f>
        <v>NA</v>
      </c>
    </row>
    <row r="13187">
      <c r="A13187" t="str">
        <f>IFERROR(__xludf.DUMMYFUNCTION("""COMPUTED_VALUE"""),"NA")</f>
        <v>NA</v>
      </c>
    </row>
    <row r="13188">
      <c r="A13188" t="str">
        <f>IFERROR(__xludf.DUMMYFUNCTION("""COMPUTED_VALUE"""),"NA")</f>
        <v>NA</v>
      </c>
    </row>
    <row r="13189">
      <c r="A13189" t="str">
        <f>IFERROR(__xludf.DUMMYFUNCTION("""COMPUTED_VALUE"""),"NA")</f>
        <v>NA</v>
      </c>
    </row>
    <row r="13190">
      <c r="A13190" t="str">
        <f>IFERROR(__xludf.DUMMYFUNCTION("""COMPUTED_VALUE"""),"NA")</f>
        <v>NA</v>
      </c>
    </row>
    <row r="13191">
      <c r="A13191" t="str">
        <f>IFERROR(__xludf.DUMMYFUNCTION("""COMPUTED_VALUE"""),"NA")</f>
        <v>NA</v>
      </c>
    </row>
    <row r="13192">
      <c r="A13192" t="str">
        <f>IFERROR(__xludf.DUMMYFUNCTION("""COMPUTED_VALUE"""),"NA")</f>
        <v>NA</v>
      </c>
    </row>
    <row r="13193">
      <c r="A13193" t="str">
        <f>IFERROR(__xludf.DUMMYFUNCTION("""COMPUTED_VALUE"""),"NA")</f>
        <v>NA</v>
      </c>
    </row>
    <row r="13194">
      <c r="A13194" t="str">
        <f>IFERROR(__xludf.DUMMYFUNCTION("""COMPUTED_VALUE"""),"NA")</f>
        <v>NA</v>
      </c>
    </row>
    <row r="13195">
      <c r="A13195" t="str">
        <f>IFERROR(__xludf.DUMMYFUNCTION("""COMPUTED_VALUE"""),"NA")</f>
        <v>NA</v>
      </c>
    </row>
    <row r="13196">
      <c r="A13196" t="str">
        <f>IFERROR(__xludf.DUMMYFUNCTION("""COMPUTED_VALUE"""),"NA")</f>
        <v>NA</v>
      </c>
    </row>
    <row r="13197">
      <c r="A13197" t="str">
        <f>IFERROR(__xludf.DUMMYFUNCTION("""COMPUTED_VALUE"""),"NA")</f>
        <v>NA</v>
      </c>
    </row>
    <row r="13198">
      <c r="A13198" t="str">
        <f>IFERROR(__xludf.DUMMYFUNCTION("""COMPUTED_VALUE"""),"NA")</f>
        <v>NA</v>
      </c>
    </row>
    <row r="13199">
      <c r="A13199" t="str">
        <f>IFERROR(__xludf.DUMMYFUNCTION("""COMPUTED_VALUE"""),"NA")</f>
        <v>NA</v>
      </c>
    </row>
    <row r="13200">
      <c r="A13200" t="str">
        <f>IFERROR(__xludf.DUMMYFUNCTION("""COMPUTED_VALUE"""),"NA")</f>
        <v>NA</v>
      </c>
    </row>
    <row r="13201">
      <c r="A13201" t="str">
        <f>IFERROR(__xludf.DUMMYFUNCTION("""COMPUTED_VALUE"""),"NA")</f>
        <v>NA</v>
      </c>
    </row>
    <row r="13202">
      <c r="A13202" t="str">
        <f>IFERROR(__xludf.DUMMYFUNCTION("""COMPUTED_VALUE"""),"NA")</f>
        <v>NA</v>
      </c>
    </row>
    <row r="13203">
      <c r="A13203" t="str">
        <f>IFERROR(__xludf.DUMMYFUNCTION("""COMPUTED_VALUE"""),"NA")</f>
        <v>NA</v>
      </c>
    </row>
    <row r="13204">
      <c r="A13204" t="str">
        <f>IFERROR(__xludf.DUMMYFUNCTION("""COMPUTED_VALUE"""),"NA")</f>
        <v>NA</v>
      </c>
    </row>
    <row r="13205">
      <c r="A13205" t="str">
        <f>IFERROR(__xludf.DUMMYFUNCTION("""COMPUTED_VALUE"""),"NA")</f>
        <v>NA</v>
      </c>
    </row>
    <row r="13206">
      <c r="A13206" t="str">
        <f>IFERROR(__xludf.DUMMYFUNCTION("""COMPUTED_VALUE"""),"NA")</f>
        <v>NA</v>
      </c>
    </row>
    <row r="13207">
      <c r="A13207" t="str">
        <f>IFERROR(__xludf.DUMMYFUNCTION("""COMPUTED_VALUE"""),"NA")</f>
        <v>NA</v>
      </c>
    </row>
    <row r="13208">
      <c r="A13208" t="str">
        <f>IFERROR(__xludf.DUMMYFUNCTION("""COMPUTED_VALUE"""),"NA")</f>
        <v>NA</v>
      </c>
    </row>
    <row r="13209">
      <c r="A13209" t="str">
        <f>IFERROR(__xludf.DUMMYFUNCTION("""COMPUTED_VALUE"""),"NA")</f>
        <v>NA</v>
      </c>
    </row>
    <row r="13210">
      <c r="A13210" t="str">
        <f>IFERROR(__xludf.DUMMYFUNCTION("""COMPUTED_VALUE"""),"NA")</f>
        <v>NA</v>
      </c>
    </row>
    <row r="13211">
      <c r="A13211" t="str">
        <f>IFERROR(__xludf.DUMMYFUNCTION("""COMPUTED_VALUE"""),"NA")</f>
        <v>NA</v>
      </c>
    </row>
    <row r="13212">
      <c r="A13212" t="str">
        <f>IFERROR(__xludf.DUMMYFUNCTION("""COMPUTED_VALUE"""),"NA")</f>
        <v>NA</v>
      </c>
    </row>
    <row r="13213">
      <c r="A13213" t="str">
        <f>IFERROR(__xludf.DUMMYFUNCTION("""COMPUTED_VALUE"""),"NA")</f>
        <v>NA</v>
      </c>
    </row>
    <row r="13214">
      <c r="A13214" t="str">
        <f>IFERROR(__xludf.DUMMYFUNCTION("""COMPUTED_VALUE"""),"NA")</f>
        <v>NA</v>
      </c>
    </row>
    <row r="13215">
      <c r="A13215" t="str">
        <f>IFERROR(__xludf.DUMMYFUNCTION("""COMPUTED_VALUE"""),"NA")</f>
        <v>NA</v>
      </c>
    </row>
    <row r="13216">
      <c r="A13216" t="str">
        <f>IFERROR(__xludf.DUMMYFUNCTION("""COMPUTED_VALUE"""),"NA")</f>
        <v>NA</v>
      </c>
    </row>
    <row r="13217">
      <c r="A13217" t="str">
        <f>IFERROR(__xludf.DUMMYFUNCTION("""COMPUTED_VALUE"""),"NA")</f>
        <v>NA</v>
      </c>
    </row>
    <row r="13218">
      <c r="A13218" t="str">
        <f>IFERROR(__xludf.DUMMYFUNCTION("""COMPUTED_VALUE"""),"NA")</f>
        <v>NA</v>
      </c>
    </row>
    <row r="13219">
      <c r="A13219" t="str">
        <f>IFERROR(__xludf.DUMMYFUNCTION("""COMPUTED_VALUE"""),"NA")</f>
        <v>NA</v>
      </c>
    </row>
    <row r="13220">
      <c r="A13220" t="str">
        <f>IFERROR(__xludf.DUMMYFUNCTION("""COMPUTED_VALUE"""),"NA")</f>
        <v>NA</v>
      </c>
    </row>
    <row r="13221">
      <c r="A13221" t="str">
        <f>IFERROR(__xludf.DUMMYFUNCTION("""COMPUTED_VALUE"""),"NA")</f>
        <v>NA</v>
      </c>
    </row>
    <row r="13222">
      <c r="A13222" t="str">
        <f>IFERROR(__xludf.DUMMYFUNCTION("""COMPUTED_VALUE"""),"NA")</f>
        <v>NA</v>
      </c>
    </row>
    <row r="13223">
      <c r="A13223" t="str">
        <f>IFERROR(__xludf.DUMMYFUNCTION("""COMPUTED_VALUE"""),"NA")</f>
        <v>NA</v>
      </c>
    </row>
    <row r="13224">
      <c r="A13224" t="str">
        <f>IFERROR(__xludf.DUMMYFUNCTION("""COMPUTED_VALUE"""),"NA")</f>
        <v>NA</v>
      </c>
    </row>
    <row r="13225">
      <c r="A13225" t="str">
        <f>IFERROR(__xludf.DUMMYFUNCTION("""COMPUTED_VALUE"""),"NA")</f>
        <v>NA</v>
      </c>
    </row>
    <row r="13226">
      <c r="A13226" t="str">
        <f>IFERROR(__xludf.DUMMYFUNCTION("""COMPUTED_VALUE"""),"NA")</f>
        <v>NA</v>
      </c>
    </row>
    <row r="13227">
      <c r="A13227" t="str">
        <f>IFERROR(__xludf.DUMMYFUNCTION("""COMPUTED_VALUE"""),"NA")</f>
        <v>NA</v>
      </c>
    </row>
    <row r="13228">
      <c r="A13228" t="str">
        <f>IFERROR(__xludf.DUMMYFUNCTION("""COMPUTED_VALUE"""),"NA")</f>
        <v>NA</v>
      </c>
    </row>
    <row r="13229">
      <c r="A13229" t="str">
        <f>IFERROR(__xludf.DUMMYFUNCTION("""COMPUTED_VALUE"""),"NA")</f>
        <v>NA</v>
      </c>
    </row>
    <row r="13230">
      <c r="A13230" t="str">
        <f>IFERROR(__xludf.DUMMYFUNCTION("""COMPUTED_VALUE"""),"NA")</f>
        <v>NA</v>
      </c>
    </row>
    <row r="13231">
      <c r="A13231" t="str">
        <f>IFERROR(__xludf.DUMMYFUNCTION("""COMPUTED_VALUE"""),"NA")</f>
        <v>NA</v>
      </c>
    </row>
    <row r="13232">
      <c r="A13232" t="str">
        <f>IFERROR(__xludf.DUMMYFUNCTION("""COMPUTED_VALUE"""),"NA")</f>
        <v>NA</v>
      </c>
    </row>
    <row r="13233">
      <c r="A13233" t="str">
        <f>IFERROR(__xludf.DUMMYFUNCTION("""COMPUTED_VALUE"""),"NA")</f>
        <v>NA</v>
      </c>
    </row>
    <row r="13234">
      <c r="A13234" t="str">
        <f>IFERROR(__xludf.DUMMYFUNCTION("""COMPUTED_VALUE"""),"NA")</f>
        <v>NA</v>
      </c>
    </row>
    <row r="13235">
      <c r="A13235" t="str">
        <f>IFERROR(__xludf.DUMMYFUNCTION("""COMPUTED_VALUE"""),"NA")</f>
        <v>NA</v>
      </c>
    </row>
    <row r="13236">
      <c r="A13236" t="str">
        <f>IFERROR(__xludf.DUMMYFUNCTION("""COMPUTED_VALUE"""),"NA")</f>
        <v>NA</v>
      </c>
    </row>
    <row r="13237">
      <c r="A13237" t="str">
        <f>IFERROR(__xludf.DUMMYFUNCTION("""COMPUTED_VALUE"""),"NA")</f>
        <v>NA</v>
      </c>
    </row>
    <row r="13238">
      <c r="A13238" t="str">
        <f>IFERROR(__xludf.DUMMYFUNCTION("""COMPUTED_VALUE"""),"NA")</f>
        <v>NA</v>
      </c>
    </row>
    <row r="13239">
      <c r="A13239" t="str">
        <f>IFERROR(__xludf.DUMMYFUNCTION("""COMPUTED_VALUE"""),"NA")</f>
        <v>NA</v>
      </c>
    </row>
    <row r="13240">
      <c r="A13240" t="str">
        <f>IFERROR(__xludf.DUMMYFUNCTION("""COMPUTED_VALUE"""),"NA")</f>
        <v>NA</v>
      </c>
    </row>
    <row r="13241">
      <c r="A13241" t="str">
        <f>IFERROR(__xludf.DUMMYFUNCTION("""COMPUTED_VALUE"""),"NA")</f>
        <v>NA</v>
      </c>
    </row>
    <row r="13242">
      <c r="A13242" t="str">
        <f>IFERROR(__xludf.DUMMYFUNCTION("""COMPUTED_VALUE"""),"NA")</f>
        <v>NA</v>
      </c>
    </row>
    <row r="13243">
      <c r="A13243" t="str">
        <f>IFERROR(__xludf.DUMMYFUNCTION("""COMPUTED_VALUE"""),"NA")</f>
        <v>NA</v>
      </c>
    </row>
    <row r="13244">
      <c r="A13244" t="str">
        <f>IFERROR(__xludf.DUMMYFUNCTION("""COMPUTED_VALUE"""),"NA")</f>
        <v>NA</v>
      </c>
    </row>
    <row r="13245">
      <c r="A13245" t="str">
        <f>IFERROR(__xludf.DUMMYFUNCTION("""COMPUTED_VALUE"""),"NA")</f>
        <v>NA</v>
      </c>
    </row>
    <row r="13246">
      <c r="A13246" t="str">
        <f>IFERROR(__xludf.DUMMYFUNCTION("""COMPUTED_VALUE"""),"NA")</f>
        <v>NA</v>
      </c>
    </row>
    <row r="13247">
      <c r="A13247" t="str">
        <f>IFERROR(__xludf.DUMMYFUNCTION("""COMPUTED_VALUE"""),"NA")</f>
        <v>NA</v>
      </c>
    </row>
    <row r="13248">
      <c r="A13248" t="str">
        <f>IFERROR(__xludf.DUMMYFUNCTION("""COMPUTED_VALUE"""),"NA")</f>
        <v>NA</v>
      </c>
    </row>
    <row r="13249">
      <c r="A13249" t="str">
        <f>IFERROR(__xludf.DUMMYFUNCTION("""COMPUTED_VALUE"""),"NA")</f>
        <v>NA</v>
      </c>
    </row>
    <row r="13250">
      <c r="A13250" t="str">
        <f>IFERROR(__xludf.DUMMYFUNCTION("""COMPUTED_VALUE"""),"NA")</f>
        <v>NA</v>
      </c>
    </row>
    <row r="13251">
      <c r="A13251" t="str">
        <f>IFERROR(__xludf.DUMMYFUNCTION("""COMPUTED_VALUE"""),"NA")</f>
        <v>NA</v>
      </c>
    </row>
    <row r="13252">
      <c r="A13252" t="str">
        <f>IFERROR(__xludf.DUMMYFUNCTION("""COMPUTED_VALUE"""),"NA")</f>
        <v>NA</v>
      </c>
    </row>
    <row r="13253">
      <c r="A13253" t="str">
        <f>IFERROR(__xludf.DUMMYFUNCTION("""COMPUTED_VALUE"""),"NA")</f>
        <v>NA</v>
      </c>
    </row>
    <row r="13254">
      <c r="A13254" t="str">
        <f>IFERROR(__xludf.DUMMYFUNCTION("""COMPUTED_VALUE"""),"NA")</f>
        <v>NA</v>
      </c>
    </row>
    <row r="13255">
      <c r="A13255" t="str">
        <f>IFERROR(__xludf.DUMMYFUNCTION("""COMPUTED_VALUE"""),"NA")</f>
        <v>NA</v>
      </c>
    </row>
    <row r="13256">
      <c r="A13256" t="str">
        <f>IFERROR(__xludf.DUMMYFUNCTION("""COMPUTED_VALUE"""),"NA")</f>
        <v>NA</v>
      </c>
    </row>
    <row r="13257">
      <c r="A13257" t="str">
        <f>IFERROR(__xludf.DUMMYFUNCTION("""COMPUTED_VALUE"""),"NA")</f>
        <v>NA</v>
      </c>
    </row>
    <row r="13258">
      <c r="A13258" t="str">
        <f>IFERROR(__xludf.DUMMYFUNCTION("""COMPUTED_VALUE"""),"NA")</f>
        <v>NA</v>
      </c>
    </row>
    <row r="13259">
      <c r="A13259" t="str">
        <f>IFERROR(__xludf.DUMMYFUNCTION("""COMPUTED_VALUE"""),"NA")</f>
        <v>NA</v>
      </c>
    </row>
    <row r="13260">
      <c r="A13260" t="str">
        <f>IFERROR(__xludf.DUMMYFUNCTION("""COMPUTED_VALUE"""),"NA")</f>
        <v>NA</v>
      </c>
    </row>
    <row r="13261">
      <c r="A13261" t="str">
        <f>IFERROR(__xludf.DUMMYFUNCTION("""COMPUTED_VALUE"""),"NA")</f>
        <v>NA</v>
      </c>
    </row>
    <row r="13262">
      <c r="A13262" t="str">
        <f>IFERROR(__xludf.DUMMYFUNCTION("""COMPUTED_VALUE"""),"NA")</f>
        <v>NA</v>
      </c>
    </row>
    <row r="13263">
      <c r="A13263" t="str">
        <f>IFERROR(__xludf.DUMMYFUNCTION("""COMPUTED_VALUE"""),"NA")</f>
        <v>NA</v>
      </c>
    </row>
    <row r="13264">
      <c r="A13264" t="str">
        <f>IFERROR(__xludf.DUMMYFUNCTION("""COMPUTED_VALUE"""),"NA")</f>
        <v>NA</v>
      </c>
    </row>
    <row r="13265">
      <c r="A13265" t="str">
        <f>IFERROR(__xludf.DUMMYFUNCTION("""COMPUTED_VALUE"""),"NA")</f>
        <v>NA</v>
      </c>
    </row>
    <row r="13266">
      <c r="A13266" t="str">
        <f>IFERROR(__xludf.DUMMYFUNCTION("""COMPUTED_VALUE"""),"NA")</f>
        <v>NA</v>
      </c>
    </row>
    <row r="13267">
      <c r="A13267" t="str">
        <f>IFERROR(__xludf.DUMMYFUNCTION("""COMPUTED_VALUE"""),"NA")</f>
        <v>NA</v>
      </c>
    </row>
    <row r="13268">
      <c r="A13268" t="str">
        <f>IFERROR(__xludf.DUMMYFUNCTION("""COMPUTED_VALUE"""),"NA")</f>
        <v>NA</v>
      </c>
    </row>
    <row r="13269">
      <c r="A13269" t="str">
        <f>IFERROR(__xludf.DUMMYFUNCTION("""COMPUTED_VALUE"""),"NA")</f>
        <v>NA</v>
      </c>
    </row>
    <row r="13270">
      <c r="A13270" t="str">
        <f>IFERROR(__xludf.DUMMYFUNCTION("""COMPUTED_VALUE"""),"NA")</f>
        <v>NA</v>
      </c>
    </row>
    <row r="13271">
      <c r="A13271" t="str">
        <f>IFERROR(__xludf.DUMMYFUNCTION("""COMPUTED_VALUE"""),"NA")</f>
        <v>NA</v>
      </c>
    </row>
    <row r="13272">
      <c r="A13272" t="str">
        <f>IFERROR(__xludf.DUMMYFUNCTION("""COMPUTED_VALUE"""),"NA")</f>
        <v>NA</v>
      </c>
    </row>
    <row r="13273">
      <c r="A13273" t="str">
        <f>IFERROR(__xludf.DUMMYFUNCTION("""COMPUTED_VALUE"""),"NA")</f>
        <v>NA</v>
      </c>
    </row>
    <row r="13274">
      <c r="A13274" t="str">
        <f>IFERROR(__xludf.DUMMYFUNCTION("""COMPUTED_VALUE"""),"NA")</f>
        <v>NA</v>
      </c>
    </row>
    <row r="13275">
      <c r="A13275" t="str">
        <f>IFERROR(__xludf.DUMMYFUNCTION("""COMPUTED_VALUE"""),"NA")</f>
        <v>NA</v>
      </c>
    </row>
    <row r="13276">
      <c r="A13276" t="str">
        <f>IFERROR(__xludf.DUMMYFUNCTION("""COMPUTED_VALUE"""),"NA")</f>
        <v>NA</v>
      </c>
    </row>
    <row r="13277">
      <c r="A13277" t="str">
        <f>IFERROR(__xludf.DUMMYFUNCTION("""COMPUTED_VALUE"""),"NA")</f>
        <v>NA</v>
      </c>
    </row>
    <row r="13278">
      <c r="A13278" t="str">
        <f>IFERROR(__xludf.DUMMYFUNCTION("""COMPUTED_VALUE"""),"NA")</f>
        <v>NA</v>
      </c>
    </row>
    <row r="13279">
      <c r="A13279" t="str">
        <f>IFERROR(__xludf.DUMMYFUNCTION("""COMPUTED_VALUE"""),"NA")</f>
        <v>NA</v>
      </c>
    </row>
    <row r="13280">
      <c r="A13280" t="str">
        <f>IFERROR(__xludf.DUMMYFUNCTION("""COMPUTED_VALUE"""),"NA")</f>
        <v>NA</v>
      </c>
    </row>
    <row r="13281">
      <c r="A13281" t="str">
        <f>IFERROR(__xludf.DUMMYFUNCTION("""COMPUTED_VALUE"""),"NA")</f>
        <v>NA</v>
      </c>
    </row>
    <row r="13282">
      <c r="A13282" t="str">
        <f>IFERROR(__xludf.DUMMYFUNCTION("""COMPUTED_VALUE"""),"NA")</f>
        <v>NA</v>
      </c>
    </row>
    <row r="13283">
      <c r="A13283" t="str">
        <f>IFERROR(__xludf.DUMMYFUNCTION("""COMPUTED_VALUE"""),"NA")</f>
        <v>NA</v>
      </c>
    </row>
    <row r="13284">
      <c r="A13284" t="str">
        <f>IFERROR(__xludf.DUMMYFUNCTION("""COMPUTED_VALUE"""),"NA")</f>
        <v>NA</v>
      </c>
    </row>
    <row r="13285">
      <c r="A13285" t="str">
        <f>IFERROR(__xludf.DUMMYFUNCTION("""COMPUTED_VALUE"""),"NA")</f>
        <v>NA</v>
      </c>
    </row>
    <row r="13286">
      <c r="A13286" t="str">
        <f>IFERROR(__xludf.DUMMYFUNCTION("""COMPUTED_VALUE"""),"NA")</f>
        <v>NA</v>
      </c>
    </row>
    <row r="13287">
      <c r="A13287" t="str">
        <f>IFERROR(__xludf.DUMMYFUNCTION("""COMPUTED_VALUE"""),"NA")</f>
        <v>NA</v>
      </c>
    </row>
    <row r="13288">
      <c r="A13288" t="str">
        <f>IFERROR(__xludf.DUMMYFUNCTION("""COMPUTED_VALUE"""),"NA")</f>
        <v>NA</v>
      </c>
    </row>
    <row r="13289">
      <c r="A13289" t="str">
        <f>IFERROR(__xludf.DUMMYFUNCTION("""COMPUTED_VALUE"""),"NA")</f>
        <v>NA</v>
      </c>
    </row>
    <row r="13290">
      <c r="A13290" t="str">
        <f>IFERROR(__xludf.DUMMYFUNCTION("""COMPUTED_VALUE"""),"NA")</f>
        <v>NA</v>
      </c>
    </row>
    <row r="13291">
      <c r="A13291" t="str">
        <f>IFERROR(__xludf.DUMMYFUNCTION("""COMPUTED_VALUE"""),"NA")</f>
        <v>NA</v>
      </c>
    </row>
    <row r="13292">
      <c r="A13292" t="str">
        <f>IFERROR(__xludf.DUMMYFUNCTION("""COMPUTED_VALUE"""),"NA")</f>
        <v>NA</v>
      </c>
    </row>
    <row r="13293">
      <c r="A13293" t="str">
        <f>IFERROR(__xludf.DUMMYFUNCTION("""COMPUTED_VALUE"""),"NA")</f>
        <v>NA</v>
      </c>
    </row>
    <row r="13294">
      <c r="A13294" t="str">
        <f>IFERROR(__xludf.DUMMYFUNCTION("""COMPUTED_VALUE"""),"NA")</f>
        <v>NA</v>
      </c>
    </row>
    <row r="13295">
      <c r="A13295" t="str">
        <f>IFERROR(__xludf.DUMMYFUNCTION("""COMPUTED_VALUE"""),"NA")</f>
        <v>NA</v>
      </c>
    </row>
    <row r="13296">
      <c r="A13296" t="str">
        <f>IFERROR(__xludf.DUMMYFUNCTION("""COMPUTED_VALUE"""),"NA")</f>
        <v>NA</v>
      </c>
    </row>
    <row r="13297">
      <c r="A13297" t="str">
        <f>IFERROR(__xludf.DUMMYFUNCTION("""COMPUTED_VALUE"""),"NA")</f>
        <v>NA</v>
      </c>
    </row>
    <row r="13298">
      <c r="A13298" t="str">
        <f>IFERROR(__xludf.DUMMYFUNCTION("""COMPUTED_VALUE"""),"NA")</f>
        <v>NA</v>
      </c>
    </row>
    <row r="13299">
      <c r="A13299" t="str">
        <f>IFERROR(__xludf.DUMMYFUNCTION("""COMPUTED_VALUE"""),"NA")</f>
        <v>NA</v>
      </c>
    </row>
    <row r="13300">
      <c r="A13300" t="str">
        <f>IFERROR(__xludf.DUMMYFUNCTION("""COMPUTED_VALUE"""),"NA")</f>
        <v>NA</v>
      </c>
    </row>
    <row r="13301">
      <c r="A13301" t="str">
        <f>IFERROR(__xludf.DUMMYFUNCTION("""COMPUTED_VALUE"""),"NA")</f>
        <v>NA</v>
      </c>
    </row>
    <row r="13302">
      <c r="A13302" t="str">
        <f>IFERROR(__xludf.DUMMYFUNCTION("""COMPUTED_VALUE"""),"NA")</f>
        <v>NA</v>
      </c>
    </row>
    <row r="13303">
      <c r="A13303" t="str">
        <f>IFERROR(__xludf.DUMMYFUNCTION("""COMPUTED_VALUE"""),"NA")</f>
        <v>NA</v>
      </c>
    </row>
    <row r="13304">
      <c r="A13304" t="str">
        <f>IFERROR(__xludf.DUMMYFUNCTION("""COMPUTED_VALUE"""),"NA")</f>
        <v>NA</v>
      </c>
    </row>
    <row r="13305">
      <c r="A13305" t="str">
        <f>IFERROR(__xludf.DUMMYFUNCTION("""COMPUTED_VALUE"""),"NA")</f>
        <v>NA</v>
      </c>
    </row>
    <row r="13306">
      <c r="A13306" t="str">
        <f>IFERROR(__xludf.DUMMYFUNCTION("""COMPUTED_VALUE"""),"NA")</f>
        <v>NA</v>
      </c>
    </row>
    <row r="13307">
      <c r="A13307" t="str">
        <f>IFERROR(__xludf.DUMMYFUNCTION("""COMPUTED_VALUE"""),"NA")</f>
        <v>NA</v>
      </c>
    </row>
    <row r="13308">
      <c r="A13308" t="str">
        <f>IFERROR(__xludf.DUMMYFUNCTION("""COMPUTED_VALUE"""),"NA")</f>
        <v>NA</v>
      </c>
    </row>
    <row r="13309">
      <c r="A13309" t="str">
        <f>IFERROR(__xludf.DUMMYFUNCTION("""COMPUTED_VALUE"""),"NA")</f>
        <v>NA</v>
      </c>
    </row>
    <row r="13310">
      <c r="A13310" t="str">
        <f>IFERROR(__xludf.DUMMYFUNCTION("""COMPUTED_VALUE"""),"NA")</f>
        <v>NA</v>
      </c>
    </row>
    <row r="13311">
      <c r="A13311" t="str">
        <f>IFERROR(__xludf.DUMMYFUNCTION("""COMPUTED_VALUE"""),"NA")</f>
        <v>NA</v>
      </c>
    </row>
    <row r="13312">
      <c r="A13312" t="str">
        <f>IFERROR(__xludf.DUMMYFUNCTION("""COMPUTED_VALUE"""),"NA")</f>
        <v>NA</v>
      </c>
    </row>
    <row r="13313">
      <c r="A13313" t="str">
        <f>IFERROR(__xludf.DUMMYFUNCTION("""COMPUTED_VALUE"""),"NA")</f>
        <v>NA</v>
      </c>
    </row>
    <row r="13314">
      <c r="A13314" t="str">
        <f>IFERROR(__xludf.DUMMYFUNCTION("""COMPUTED_VALUE"""),"NA")</f>
        <v>NA</v>
      </c>
    </row>
    <row r="13315">
      <c r="A13315" t="str">
        <f>IFERROR(__xludf.DUMMYFUNCTION("""COMPUTED_VALUE"""),"NA")</f>
        <v>NA</v>
      </c>
    </row>
    <row r="13316">
      <c r="A13316" t="str">
        <f>IFERROR(__xludf.DUMMYFUNCTION("""COMPUTED_VALUE"""),"NA")</f>
        <v>NA</v>
      </c>
    </row>
    <row r="13317">
      <c r="A13317" t="str">
        <f>IFERROR(__xludf.DUMMYFUNCTION("""COMPUTED_VALUE"""),"NA")</f>
        <v>NA</v>
      </c>
    </row>
    <row r="13318">
      <c r="A13318" t="str">
        <f>IFERROR(__xludf.DUMMYFUNCTION("""COMPUTED_VALUE"""),"NA")</f>
        <v>NA</v>
      </c>
    </row>
    <row r="13319">
      <c r="A13319" t="str">
        <f>IFERROR(__xludf.DUMMYFUNCTION("""COMPUTED_VALUE"""),"NA")</f>
        <v>NA</v>
      </c>
    </row>
    <row r="13320">
      <c r="A13320" t="str">
        <f>IFERROR(__xludf.DUMMYFUNCTION("""COMPUTED_VALUE"""),"NA")</f>
        <v>NA</v>
      </c>
    </row>
    <row r="13321">
      <c r="A13321" t="str">
        <f>IFERROR(__xludf.DUMMYFUNCTION("""COMPUTED_VALUE"""),"NA")</f>
        <v>NA</v>
      </c>
    </row>
    <row r="13322">
      <c r="A13322" t="str">
        <f>IFERROR(__xludf.DUMMYFUNCTION("""COMPUTED_VALUE"""),"NA")</f>
        <v>NA</v>
      </c>
    </row>
    <row r="13323">
      <c r="A13323" t="str">
        <f>IFERROR(__xludf.DUMMYFUNCTION("""COMPUTED_VALUE"""),"NA")</f>
        <v>NA</v>
      </c>
    </row>
    <row r="13324">
      <c r="A13324" t="str">
        <f>IFERROR(__xludf.DUMMYFUNCTION("""COMPUTED_VALUE"""),"NA")</f>
        <v>NA</v>
      </c>
    </row>
    <row r="13325">
      <c r="A13325" t="str">
        <f>IFERROR(__xludf.DUMMYFUNCTION("""COMPUTED_VALUE"""),"NA")</f>
        <v>NA</v>
      </c>
    </row>
    <row r="13326">
      <c r="A13326" t="str">
        <f>IFERROR(__xludf.DUMMYFUNCTION("""COMPUTED_VALUE"""),"NA")</f>
        <v>NA</v>
      </c>
    </row>
    <row r="13327">
      <c r="A13327" t="str">
        <f>IFERROR(__xludf.DUMMYFUNCTION("""COMPUTED_VALUE"""),"NA")</f>
        <v>NA</v>
      </c>
    </row>
    <row r="13328">
      <c r="A13328" t="str">
        <f>IFERROR(__xludf.DUMMYFUNCTION("""COMPUTED_VALUE"""),"NA")</f>
        <v>NA</v>
      </c>
    </row>
    <row r="13329">
      <c r="A13329" t="str">
        <f>IFERROR(__xludf.DUMMYFUNCTION("""COMPUTED_VALUE"""),"NA")</f>
        <v>NA</v>
      </c>
    </row>
    <row r="13330">
      <c r="A13330" t="str">
        <f>IFERROR(__xludf.DUMMYFUNCTION("""COMPUTED_VALUE"""),"NA")</f>
        <v>NA</v>
      </c>
    </row>
    <row r="13331">
      <c r="A13331" t="str">
        <f>IFERROR(__xludf.DUMMYFUNCTION("""COMPUTED_VALUE"""),"NA")</f>
        <v>NA</v>
      </c>
    </row>
    <row r="13332">
      <c r="A13332" t="str">
        <f>IFERROR(__xludf.DUMMYFUNCTION("""COMPUTED_VALUE"""),"NA")</f>
        <v>NA</v>
      </c>
    </row>
    <row r="13333">
      <c r="A13333" t="str">
        <f>IFERROR(__xludf.DUMMYFUNCTION("""COMPUTED_VALUE"""),"NA")</f>
        <v>NA</v>
      </c>
    </row>
    <row r="13334">
      <c r="A13334" t="str">
        <f>IFERROR(__xludf.DUMMYFUNCTION("""COMPUTED_VALUE"""),"NA")</f>
        <v>NA</v>
      </c>
    </row>
    <row r="13335">
      <c r="A13335" t="str">
        <f>IFERROR(__xludf.DUMMYFUNCTION("""COMPUTED_VALUE"""),"NA")</f>
        <v>NA</v>
      </c>
    </row>
    <row r="13336">
      <c r="A13336" t="str">
        <f>IFERROR(__xludf.DUMMYFUNCTION("""COMPUTED_VALUE"""),"NA")</f>
        <v>NA</v>
      </c>
    </row>
    <row r="13337">
      <c r="A13337" t="str">
        <f>IFERROR(__xludf.DUMMYFUNCTION("""COMPUTED_VALUE"""),"NA")</f>
        <v>NA</v>
      </c>
    </row>
    <row r="13338">
      <c r="A13338" t="str">
        <f>IFERROR(__xludf.DUMMYFUNCTION("""COMPUTED_VALUE"""),"NA")</f>
        <v>NA</v>
      </c>
    </row>
    <row r="13339">
      <c r="A13339" t="str">
        <f>IFERROR(__xludf.DUMMYFUNCTION("""COMPUTED_VALUE"""),"NA")</f>
        <v>NA</v>
      </c>
    </row>
    <row r="13340">
      <c r="A13340" t="str">
        <f>IFERROR(__xludf.DUMMYFUNCTION("""COMPUTED_VALUE"""),"NA")</f>
        <v>NA</v>
      </c>
    </row>
    <row r="13341">
      <c r="A13341" t="str">
        <f>IFERROR(__xludf.DUMMYFUNCTION("""COMPUTED_VALUE"""),"NA")</f>
        <v>NA</v>
      </c>
    </row>
    <row r="13342">
      <c r="A13342" t="str">
        <f>IFERROR(__xludf.DUMMYFUNCTION("""COMPUTED_VALUE"""),"NA")</f>
        <v>NA</v>
      </c>
    </row>
    <row r="13343">
      <c r="A13343" t="str">
        <f>IFERROR(__xludf.DUMMYFUNCTION("""COMPUTED_VALUE"""),"NA")</f>
        <v>NA</v>
      </c>
    </row>
    <row r="13344">
      <c r="A13344" t="str">
        <f>IFERROR(__xludf.DUMMYFUNCTION("""COMPUTED_VALUE"""),"NA")</f>
        <v>NA</v>
      </c>
    </row>
    <row r="13345">
      <c r="A13345" t="str">
        <f>IFERROR(__xludf.DUMMYFUNCTION("""COMPUTED_VALUE"""),"NA")</f>
        <v>NA</v>
      </c>
    </row>
    <row r="13346">
      <c r="A13346" t="str">
        <f>IFERROR(__xludf.DUMMYFUNCTION("""COMPUTED_VALUE"""),"NA")</f>
        <v>NA</v>
      </c>
    </row>
    <row r="13347">
      <c r="A13347" t="str">
        <f>IFERROR(__xludf.DUMMYFUNCTION("""COMPUTED_VALUE"""),"NA")</f>
        <v>NA</v>
      </c>
    </row>
    <row r="13348">
      <c r="A13348" t="str">
        <f>IFERROR(__xludf.DUMMYFUNCTION("""COMPUTED_VALUE"""),"NA")</f>
        <v>NA</v>
      </c>
    </row>
    <row r="13349">
      <c r="A13349" t="str">
        <f>IFERROR(__xludf.DUMMYFUNCTION("""COMPUTED_VALUE"""),"NA")</f>
        <v>NA</v>
      </c>
    </row>
    <row r="13350">
      <c r="A13350" t="str">
        <f>IFERROR(__xludf.DUMMYFUNCTION("""COMPUTED_VALUE"""),"NA")</f>
        <v>NA</v>
      </c>
    </row>
    <row r="13351">
      <c r="A13351" t="str">
        <f>IFERROR(__xludf.DUMMYFUNCTION("""COMPUTED_VALUE"""),"NA")</f>
        <v>NA</v>
      </c>
    </row>
    <row r="13352">
      <c r="A13352" t="str">
        <f>IFERROR(__xludf.DUMMYFUNCTION("""COMPUTED_VALUE"""),"NA")</f>
        <v>NA</v>
      </c>
    </row>
    <row r="13353">
      <c r="A13353" t="str">
        <f>IFERROR(__xludf.DUMMYFUNCTION("""COMPUTED_VALUE"""),"NA")</f>
        <v>NA</v>
      </c>
    </row>
    <row r="13354">
      <c r="A13354" t="str">
        <f>IFERROR(__xludf.DUMMYFUNCTION("""COMPUTED_VALUE"""),"NA")</f>
        <v>NA</v>
      </c>
    </row>
    <row r="13355">
      <c r="A13355" t="str">
        <f>IFERROR(__xludf.DUMMYFUNCTION("""COMPUTED_VALUE"""),"NA")</f>
        <v>NA</v>
      </c>
    </row>
    <row r="13356">
      <c r="A13356" t="str">
        <f>IFERROR(__xludf.DUMMYFUNCTION("""COMPUTED_VALUE"""),"NA")</f>
        <v>NA</v>
      </c>
    </row>
    <row r="13357">
      <c r="A13357" t="str">
        <f>IFERROR(__xludf.DUMMYFUNCTION("""COMPUTED_VALUE"""),"NA")</f>
        <v>NA</v>
      </c>
    </row>
    <row r="13358">
      <c r="A13358" t="str">
        <f>IFERROR(__xludf.DUMMYFUNCTION("""COMPUTED_VALUE"""),"NA")</f>
        <v>NA</v>
      </c>
    </row>
    <row r="13359">
      <c r="A13359" t="str">
        <f>IFERROR(__xludf.DUMMYFUNCTION("""COMPUTED_VALUE"""),"NA")</f>
        <v>NA</v>
      </c>
    </row>
    <row r="13360">
      <c r="A13360" t="str">
        <f>IFERROR(__xludf.DUMMYFUNCTION("""COMPUTED_VALUE"""),"NA")</f>
        <v>NA</v>
      </c>
    </row>
    <row r="13361">
      <c r="A13361" t="str">
        <f>IFERROR(__xludf.DUMMYFUNCTION("""COMPUTED_VALUE"""),"NA")</f>
        <v>NA</v>
      </c>
    </row>
    <row r="13362">
      <c r="A13362" t="str">
        <f>IFERROR(__xludf.DUMMYFUNCTION("""COMPUTED_VALUE"""),"NA")</f>
        <v>NA</v>
      </c>
    </row>
    <row r="13363">
      <c r="A13363" t="str">
        <f>IFERROR(__xludf.DUMMYFUNCTION("""COMPUTED_VALUE"""),"NA")</f>
        <v>NA</v>
      </c>
    </row>
    <row r="13364">
      <c r="A13364" t="str">
        <f>IFERROR(__xludf.DUMMYFUNCTION("""COMPUTED_VALUE"""),"NA")</f>
        <v>NA</v>
      </c>
    </row>
    <row r="13365">
      <c r="A13365" t="str">
        <f>IFERROR(__xludf.DUMMYFUNCTION("""COMPUTED_VALUE"""),"NA")</f>
        <v>NA</v>
      </c>
    </row>
    <row r="13366">
      <c r="A13366" t="str">
        <f>IFERROR(__xludf.DUMMYFUNCTION("""COMPUTED_VALUE"""),"NA")</f>
        <v>NA</v>
      </c>
    </row>
    <row r="13367">
      <c r="A13367" t="str">
        <f>IFERROR(__xludf.DUMMYFUNCTION("""COMPUTED_VALUE"""),"NA")</f>
        <v>NA</v>
      </c>
    </row>
    <row r="13368">
      <c r="A13368" t="str">
        <f>IFERROR(__xludf.DUMMYFUNCTION("""COMPUTED_VALUE"""),"NA")</f>
        <v>NA</v>
      </c>
    </row>
    <row r="13369">
      <c r="A13369" t="str">
        <f>IFERROR(__xludf.DUMMYFUNCTION("""COMPUTED_VALUE"""),"NA")</f>
        <v>NA</v>
      </c>
    </row>
    <row r="13370">
      <c r="A13370" t="str">
        <f>IFERROR(__xludf.DUMMYFUNCTION("""COMPUTED_VALUE"""),"NA")</f>
        <v>NA</v>
      </c>
    </row>
    <row r="13371">
      <c r="A13371" t="str">
        <f>IFERROR(__xludf.DUMMYFUNCTION("""COMPUTED_VALUE"""),"NA")</f>
        <v>NA</v>
      </c>
    </row>
    <row r="13372">
      <c r="A13372" t="str">
        <f>IFERROR(__xludf.DUMMYFUNCTION("""COMPUTED_VALUE"""),"NA")</f>
        <v>NA</v>
      </c>
    </row>
    <row r="13373">
      <c r="A13373" t="str">
        <f>IFERROR(__xludf.DUMMYFUNCTION("""COMPUTED_VALUE"""),"NA")</f>
        <v>NA</v>
      </c>
    </row>
    <row r="13374">
      <c r="A13374" t="str">
        <f>IFERROR(__xludf.DUMMYFUNCTION("""COMPUTED_VALUE"""),"NA")</f>
        <v>NA</v>
      </c>
    </row>
    <row r="13375">
      <c r="A13375" t="str">
        <f>IFERROR(__xludf.DUMMYFUNCTION("""COMPUTED_VALUE"""),"NA")</f>
        <v>NA</v>
      </c>
    </row>
    <row r="13376">
      <c r="A13376" t="str">
        <f>IFERROR(__xludf.DUMMYFUNCTION("""COMPUTED_VALUE"""),"NA")</f>
        <v>NA</v>
      </c>
    </row>
    <row r="13377">
      <c r="A13377" t="str">
        <f>IFERROR(__xludf.DUMMYFUNCTION("""COMPUTED_VALUE"""),"NA")</f>
        <v>NA</v>
      </c>
    </row>
    <row r="13378">
      <c r="A13378" t="str">
        <f>IFERROR(__xludf.DUMMYFUNCTION("""COMPUTED_VALUE"""),"NA")</f>
        <v>NA</v>
      </c>
    </row>
    <row r="13379">
      <c r="A13379" t="str">
        <f>IFERROR(__xludf.DUMMYFUNCTION("""COMPUTED_VALUE"""),"NA")</f>
        <v>NA</v>
      </c>
    </row>
    <row r="13380">
      <c r="A13380" t="str">
        <f>IFERROR(__xludf.DUMMYFUNCTION("""COMPUTED_VALUE"""),"NA")</f>
        <v>NA</v>
      </c>
    </row>
    <row r="13381">
      <c r="A13381" t="str">
        <f>IFERROR(__xludf.DUMMYFUNCTION("""COMPUTED_VALUE"""),"NA")</f>
        <v>NA</v>
      </c>
    </row>
    <row r="13382">
      <c r="A13382" t="str">
        <f>IFERROR(__xludf.DUMMYFUNCTION("""COMPUTED_VALUE"""),"NA")</f>
        <v>NA</v>
      </c>
    </row>
    <row r="13383">
      <c r="A13383" t="str">
        <f>IFERROR(__xludf.DUMMYFUNCTION("""COMPUTED_VALUE"""),"NA")</f>
        <v>NA</v>
      </c>
    </row>
    <row r="13384">
      <c r="A13384" t="str">
        <f>IFERROR(__xludf.DUMMYFUNCTION("""COMPUTED_VALUE"""),"NA")</f>
        <v>NA</v>
      </c>
    </row>
    <row r="13385">
      <c r="A13385" t="str">
        <f>IFERROR(__xludf.DUMMYFUNCTION("""COMPUTED_VALUE"""),"NA")</f>
        <v>NA</v>
      </c>
    </row>
    <row r="13386">
      <c r="A13386" t="str">
        <f>IFERROR(__xludf.DUMMYFUNCTION("""COMPUTED_VALUE"""),"NA")</f>
        <v>NA</v>
      </c>
    </row>
    <row r="13387">
      <c r="A13387" t="str">
        <f>IFERROR(__xludf.DUMMYFUNCTION("""COMPUTED_VALUE"""),"NA")</f>
        <v>NA</v>
      </c>
    </row>
    <row r="13388">
      <c r="A13388" t="str">
        <f>IFERROR(__xludf.DUMMYFUNCTION("""COMPUTED_VALUE"""),"NA")</f>
        <v>NA</v>
      </c>
    </row>
    <row r="13389">
      <c r="A13389" t="str">
        <f>IFERROR(__xludf.DUMMYFUNCTION("""COMPUTED_VALUE"""),"NA")</f>
        <v>NA</v>
      </c>
    </row>
    <row r="13390">
      <c r="A13390" t="str">
        <f>IFERROR(__xludf.DUMMYFUNCTION("""COMPUTED_VALUE"""),"NA")</f>
        <v>NA</v>
      </c>
    </row>
    <row r="13391">
      <c r="A13391" t="str">
        <f>IFERROR(__xludf.DUMMYFUNCTION("""COMPUTED_VALUE"""),"NA")</f>
        <v>NA</v>
      </c>
    </row>
    <row r="13392">
      <c r="A13392" t="str">
        <f>IFERROR(__xludf.DUMMYFUNCTION("""COMPUTED_VALUE"""),"NA")</f>
        <v>NA</v>
      </c>
    </row>
    <row r="13393">
      <c r="A13393" t="str">
        <f>IFERROR(__xludf.DUMMYFUNCTION("""COMPUTED_VALUE"""),"NA")</f>
        <v>NA</v>
      </c>
    </row>
    <row r="13394">
      <c r="A13394" t="str">
        <f>IFERROR(__xludf.DUMMYFUNCTION("""COMPUTED_VALUE"""),"NA")</f>
        <v>NA</v>
      </c>
    </row>
    <row r="13395">
      <c r="A13395" t="str">
        <f>IFERROR(__xludf.DUMMYFUNCTION("""COMPUTED_VALUE"""),"NA")</f>
        <v>NA</v>
      </c>
    </row>
    <row r="13396">
      <c r="A13396" t="str">
        <f>IFERROR(__xludf.DUMMYFUNCTION("""COMPUTED_VALUE"""),"NA")</f>
        <v>NA</v>
      </c>
    </row>
    <row r="13397">
      <c r="A13397" t="str">
        <f>IFERROR(__xludf.DUMMYFUNCTION("""COMPUTED_VALUE"""),"NA")</f>
        <v>NA</v>
      </c>
    </row>
    <row r="13398">
      <c r="A13398" t="str">
        <f>IFERROR(__xludf.DUMMYFUNCTION("""COMPUTED_VALUE"""),"NA")</f>
        <v>NA</v>
      </c>
    </row>
    <row r="13399">
      <c r="A13399" t="str">
        <f>IFERROR(__xludf.DUMMYFUNCTION("""COMPUTED_VALUE"""),"NA")</f>
        <v>NA</v>
      </c>
    </row>
    <row r="13400">
      <c r="A13400" t="str">
        <f>IFERROR(__xludf.DUMMYFUNCTION("""COMPUTED_VALUE"""),"NA")</f>
        <v>NA</v>
      </c>
    </row>
    <row r="13401">
      <c r="A13401" t="str">
        <f>IFERROR(__xludf.DUMMYFUNCTION("""COMPUTED_VALUE"""),"NA")</f>
        <v>NA</v>
      </c>
    </row>
    <row r="13402">
      <c r="A13402" t="str">
        <f>IFERROR(__xludf.DUMMYFUNCTION("""COMPUTED_VALUE"""),"NA")</f>
        <v>NA</v>
      </c>
    </row>
    <row r="13403">
      <c r="A13403" t="str">
        <f>IFERROR(__xludf.DUMMYFUNCTION("""COMPUTED_VALUE"""),"NA")</f>
        <v>NA</v>
      </c>
    </row>
    <row r="13404">
      <c r="A13404" t="str">
        <f>IFERROR(__xludf.DUMMYFUNCTION("""COMPUTED_VALUE"""),"NA")</f>
        <v>NA</v>
      </c>
    </row>
    <row r="13405">
      <c r="A13405" t="str">
        <f>IFERROR(__xludf.DUMMYFUNCTION("""COMPUTED_VALUE"""),"NA")</f>
        <v>NA</v>
      </c>
    </row>
    <row r="13406">
      <c r="A13406" t="str">
        <f>IFERROR(__xludf.DUMMYFUNCTION("""COMPUTED_VALUE"""),"NA")</f>
        <v>NA</v>
      </c>
    </row>
    <row r="13407">
      <c r="A13407" t="str">
        <f>IFERROR(__xludf.DUMMYFUNCTION("""COMPUTED_VALUE"""),"NA")</f>
        <v>NA</v>
      </c>
    </row>
    <row r="13408">
      <c r="A13408" t="str">
        <f>IFERROR(__xludf.DUMMYFUNCTION("""COMPUTED_VALUE"""),"NA")</f>
        <v>NA</v>
      </c>
    </row>
    <row r="13409">
      <c r="A13409" t="str">
        <f>IFERROR(__xludf.DUMMYFUNCTION("""COMPUTED_VALUE"""),"NA")</f>
        <v>NA</v>
      </c>
    </row>
    <row r="13410">
      <c r="A13410" t="str">
        <f>IFERROR(__xludf.DUMMYFUNCTION("""COMPUTED_VALUE"""),"NA")</f>
        <v>NA</v>
      </c>
    </row>
    <row r="13411">
      <c r="A13411" t="str">
        <f>IFERROR(__xludf.DUMMYFUNCTION("""COMPUTED_VALUE"""),"NA")</f>
        <v>NA</v>
      </c>
    </row>
    <row r="13412">
      <c r="A13412" t="str">
        <f>IFERROR(__xludf.DUMMYFUNCTION("""COMPUTED_VALUE"""),"NA")</f>
        <v>NA</v>
      </c>
    </row>
    <row r="13413">
      <c r="A13413" t="str">
        <f>IFERROR(__xludf.DUMMYFUNCTION("""COMPUTED_VALUE"""),"NA")</f>
        <v>NA</v>
      </c>
    </row>
    <row r="13414">
      <c r="A13414" t="str">
        <f>IFERROR(__xludf.DUMMYFUNCTION("""COMPUTED_VALUE"""),"NA")</f>
        <v>NA</v>
      </c>
    </row>
    <row r="13415">
      <c r="A13415" t="str">
        <f>IFERROR(__xludf.DUMMYFUNCTION("""COMPUTED_VALUE"""),"NA")</f>
        <v>NA</v>
      </c>
    </row>
    <row r="13416">
      <c r="A13416" t="str">
        <f>IFERROR(__xludf.DUMMYFUNCTION("""COMPUTED_VALUE"""),"NA")</f>
        <v>NA</v>
      </c>
    </row>
    <row r="13417">
      <c r="A13417" t="str">
        <f>IFERROR(__xludf.DUMMYFUNCTION("""COMPUTED_VALUE"""),"NA")</f>
        <v>NA</v>
      </c>
    </row>
    <row r="13418">
      <c r="A13418" t="str">
        <f>IFERROR(__xludf.DUMMYFUNCTION("""COMPUTED_VALUE"""),"NA")</f>
        <v>NA</v>
      </c>
    </row>
    <row r="13419">
      <c r="A13419" t="str">
        <f>IFERROR(__xludf.DUMMYFUNCTION("""COMPUTED_VALUE"""),"NA")</f>
        <v>NA</v>
      </c>
    </row>
    <row r="13420">
      <c r="A13420" t="str">
        <f>IFERROR(__xludf.DUMMYFUNCTION("""COMPUTED_VALUE"""),"NA")</f>
        <v>NA</v>
      </c>
    </row>
    <row r="13421">
      <c r="A13421" t="str">
        <f>IFERROR(__xludf.DUMMYFUNCTION("""COMPUTED_VALUE"""),"NA")</f>
        <v>NA</v>
      </c>
    </row>
    <row r="13422">
      <c r="A13422" t="str">
        <f>IFERROR(__xludf.DUMMYFUNCTION("""COMPUTED_VALUE"""),"NA")</f>
        <v>NA</v>
      </c>
    </row>
    <row r="13423">
      <c r="A13423" t="str">
        <f>IFERROR(__xludf.DUMMYFUNCTION("""COMPUTED_VALUE"""),"NA")</f>
        <v>NA</v>
      </c>
    </row>
    <row r="13424">
      <c r="A13424" t="str">
        <f>IFERROR(__xludf.DUMMYFUNCTION("""COMPUTED_VALUE"""),"NA")</f>
        <v>NA</v>
      </c>
    </row>
    <row r="13425">
      <c r="A13425" t="str">
        <f>IFERROR(__xludf.DUMMYFUNCTION("""COMPUTED_VALUE"""),"NA")</f>
        <v>NA</v>
      </c>
    </row>
    <row r="13426">
      <c r="A13426" t="str">
        <f>IFERROR(__xludf.DUMMYFUNCTION("""COMPUTED_VALUE"""),"NA")</f>
        <v>NA</v>
      </c>
    </row>
    <row r="13427">
      <c r="A13427" t="str">
        <f>IFERROR(__xludf.DUMMYFUNCTION("""COMPUTED_VALUE"""),"NA")</f>
        <v>NA</v>
      </c>
    </row>
    <row r="13428">
      <c r="A13428" t="str">
        <f>IFERROR(__xludf.DUMMYFUNCTION("""COMPUTED_VALUE"""),"NA")</f>
        <v>NA</v>
      </c>
    </row>
    <row r="13429">
      <c r="A13429" t="str">
        <f>IFERROR(__xludf.DUMMYFUNCTION("""COMPUTED_VALUE"""),"NA")</f>
        <v>NA</v>
      </c>
    </row>
    <row r="13430">
      <c r="A13430" t="str">
        <f>IFERROR(__xludf.DUMMYFUNCTION("""COMPUTED_VALUE"""),"NA")</f>
        <v>NA</v>
      </c>
    </row>
    <row r="13431">
      <c r="A13431" t="str">
        <f>IFERROR(__xludf.DUMMYFUNCTION("""COMPUTED_VALUE"""),"NA")</f>
        <v>NA</v>
      </c>
    </row>
    <row r="13432">
      <c r="A13432" t="str">
        <f>IFERROR(__xludf.DUMMYFUNCTION("""COMPUTED_VALUE"""),"NA")</f>
        <v>NA</v>
      </c>
    </row>
    <row r="13433">
      <c r="A13433" t="str">
        <f>IFERROR(__xludf.DUMMYFUNCTION("""COMPUTED_VALUE"""),"NA")</f>
        <v>NA</v>
      </c>
    </row>
    <row r="13434">
      <c r="A13434" t="str">
        <f>IFERROR(__xludf.DUMMYFUNCTION("""COMPUTED_VALUE"""),"NA")</f>
        <v>NA</v>
      </c>
    </row>
    <row r="13435">
      <c r="A13435" t="str">
        <f>IFERROR(__xludf.DUMMYFUNCTION("""COMPUTED_VALUE"""),"NA")</f>
        <v>NA</v>
      </c>
    </row>
    <row r="13436">
      <c r="A13436" t="str">
        <f>IFERROR(__xludf.DUMMYFUNCTION("""COMPUTED_VALUE"""),"NA")</f>
        <v>NA</v>
      </c>
    </row>
    <row r="13437">
      <c r="A13437" t="str">
        <f>IFERROR(__xludf.DUMMYFUNCTION("""COMPUTED_VALUE"""),"NA")</f>
        <v>NA</v>
      </c>
    </row>
    <row r="13438">
      <c r="A13438" t="str">
        <f>IFERROR(__xludf.DUMMYFUNCTION("""COMPUTED_VALUE"""),"NA")</f>
        <v>NA</v>
      </c>
    </row>
    <row r="13439">
      <c r="A13439" t="str">
        <f>IFERROR(__xludf.DUMMYFUNCTION("""COMPUTED_VALUE"""),"NA")</f>
        <v>NA</v>
      </c>
    </row>
    <row r="13440">
      <c r="A13440" t="str">
        <f>IFERROR(__xludf.DUMMYFUNCTION("""COMPUTED_VALUE"""),"NA")</f>
        <v>NA</v>
      </c>
    </row>
    <row r="13441">
      <c r="A13441" t="str">
        <f>IFERROR(__xludf.DUMMYFUNCTION("""COMPUTED_VALUE"""),"NA")</f>
        <v>NA</v>
      </c>
    </row>
    <row r="13442">
      <c r="A13442" t="str">
        <f>IFERROR(__xludf.DUMMYFUNCTION("""COMPUTED_VALUE"""),"NA")</f>
        <v>NA</v>
      </c>
    </row>
    <row r="13443">
      <c r="A13443" t="str">
        <f>IFERROR(__xludf.DUMMYFUNCTION("""COMPUTED_VALUE"""),"NA")</f>
        <v>NA</v>
      </c>
    </row>
    <row r="13444">
      <c r="A13444" t="str">
        <f>IFERROR(__xludf.DUMMYFUNCTION("""COMPUTED_VALUE"""),"NA")</f>
        <v>NA</v>
      </c>
    </row>
    <row r="13445">
      <c r="A13445" t="str">
        <f>IFERROR(__xludf.DUMMYFUNCTION("""COMPUTED_VALUE"""),"NA")</f>
        <v>NA</v>
      </c>
    </row>
    <row r="13446">
      <c r="A13446" t="str">
        <f>IFERROR(__xludf.DUMMYFUNCTION("""COMPUTED_VALUE"""),"NA")</f>
        <v>NA</v>
      </c>
    </row>
    <row r="13447">
      <c r="A13447" t="str">
        <f>IFERROR(__xludf.DUMMYFUNCTION("""COMPUTED_VALUE"""),"NA")</f>
        <v>NA</v>
      </c>
    </row>
    <row r="13448">
      <c r="A13448" t="str">
        <f>IFERROR(__xludf.DUMMYFUNCTION("""COMPUTED_VALUE"""),"NA")</f>
        <v>NA</v>
      </c>
    </row>
    <row r="13449">
      <c r="A13449" t="str">
        <f>IFERROR(__xludf.DUMMYFUNCTION("""COMPUTED_VALUE"""),"NA")</f>
        <v>NA</v>
      </c>
    </row>
    <row r="13450">
      <c r="A13450" t="str">
        <f>IFERROR(__xludf.DUMMYFUNCTION("""COMPUTED_VALUE"""),"NA")</f>
        <v>NA</v>
      </c>
    </row>
    <row r="13451">
      <c r="A13451" t="str">
        <f>IFERROR(__xludf.DUMMYFUNCTION("""COMPUTED_VALUE"""),"NA")</f>
        <v>NA</v>
      </c>
    </row>
    <row r="13452">
      <c r="A13452" t="str">
        <f>IFERROR(__xludf.DUMMYFUNCTION("""COMPUTED_VALUE"""),"NA")</f>
        <v>NA</v>
      </c>
    </row>
    <row r="13453">
      <c r="A13453" t="str">
        <f>IFERROR(__xludf.DUMMYFUNCTION("""COMPUTED_VALUE"""),"NA")</f>
        <v>NA</v>
      </c>
    </row>
    <row r="13454">
      <c r="A13454" t="str">
        <f>IFERROR(__xludf.DUMMYFUNCTION("""COMPUTED_VALUE"""),"NA")</f>
        <v>NA</v>
      </c>
    </row>
    <row r="13455">
      <c r="A13455" t="str">
        <f>IFERROR(__xludf.DUMMYFUNCTION("""COMPUTED_VALUE"""),"NA")</f>
        <v>NA</v>
      </c>
    </row>
    <row r="13456">
      <c r="A13456" t="str">
        <f>IFERROR(__xludf.DUMMYFUNCTION("""COMPUTED_VALUE"""),"NA")</f>
        <v>NA</v>
      </c>
    </row>
    <row r="13457">
      <c r="A13457" t="str">
        <f>IFERROR(__xludf.DUMMYFUNCTION("""COMPUTED_VALUE"""),"NA")</f>
        <v>NA</v>
      </c>
    </row>
    <row r="13458">
      <c r="A13458" t="str">
        <f>IFERROR(__xludf.DUMMYFUNCTION("""COMPUTED_VALUE"""),"NA")</f>
        <v>NA</v>
      </c>
    </row>
    <row r="13459">
      <c r="A13459" t="str">
        <f>IFERROR(__xludf.DUMMYFUNCTION("""COMPUTED_VALUE"""),"NA")</f>
        <v>NA</v>
      </c>
    </row>
    <row r="13460">
      <c r="A13460" t="str">
        <f>IFERROR(__xludf.DUMMYFUNCTION("""COMPUTED_VALUE"""),"NA")</f>
        <v>NA</v>
      </c>
    </row>
    <row r="13461">
      <c r="A13461" t="str">
        <f>IFERROR(__xludf.DUMMYFUNCTION("""COMPUTED_VALUE"""),"NA")</f>
        <v>NA</v>
      </c>
    </row>
    <row r="13462">
      <c r="A13462" t="str">
        <f>IFERROR(__xludf.DUMMYFUNCTION("""COMPUTED_VALUE"""),"NA")</f>
        <v>NA</v>
      </c>
    </row>
    <row r="13463">
      <c r="A13463" t="str">
        <f>IFERROR(__xludf.DUMMYFUNCTION("""COMPUTED_VALUE"""),"NA")</f>
        <v>NA</v>
      </c>
    </row>
    <row r="13464">
      <c r="A13464" t="str">
        <f>IFERROR(__xludf.DUMMYFUNCTION("""COMPUTED_VALUE"""),"NA")</f>
        <v>NA</v>
      </c>
    </row>
    <row r="13465">
      <c r="A13465" t="str">
        <f>IFERROR(__xludf.DUMMYFUNCTION("""COMPUTED_VALUE"""),"NA")</f>
        <v>NA</v>
      </c>
    </row>
    <row r="13466">
      <c r="A13466" t="str">
        <f>IFERROR(__xludf.DUMMYFUNCTION("""COMPUTED_VALUE"""),"NA")</f>
        <v>NA</v>
      </c>
    </row>
    <row r="13467">
      <c r="A13467" t="str">
        <f>IFERROR(__xludf.DUMMYFUNCTION("""COMPUTED_VALUE"""),"NA")</f>
        <v>NA</v>
      </c>
    </row>
    <row r="13468">
      <c r="A13468" t="str">
        <f>IFERROR(__xludf.DUMMYFUNCTION("""COMPUTED_VALUE"""),"NA")</f>
        <v>NA</v>
      </c>
    </row>
    <row r="13469">
      <c r="A13469" t="str">
        <f>IFERROR(__xludf.DUMMYFUNCTION("""COMPUTED_VALUE"""),"NA")</f>
        <v>NA</v>
      </c>
    </row>
    <row r="13470">
      <c r="A13470" t="str">
        <f>IFERROR(__xludf.DUMMYFUNCTION("""COMPUTED_VALUE"""),"NA")</f>
        <v>NA</v>
      </c>
    </row>
    <row r="13471">
      <c r="A13471" t="str">
        <f>IFERROR(__xludf.DUMMYFUNCTION("""COMPUTED_VALUE"""),"NA")</f>
        <v>NA</v>
      </c>
    </row>
    <row r="13472">
      <c r="A13472" t="str">
        <f>IFERROR(__xludf.DUMMYFUNCTION("""COMPUTED_VALUE"""),"NA")</f>
        <v>NA</v>
      </c>
    </row>
    <row r="13473">
      <c r="A13473" t="str">
        <f>IFERROR(__xludf.DUMMYFUNCTION("""COMPUTED_VALUE"""),"NA")</f>
        <v>NA</v>
      </c>
    </row>
    <row r="13474">
      <c r="A13474" t="str">
        <f>IFERROR(__xludf.DUMMYFUNCTION("""COMPUTED_VALUE"""),"NA")</f>
        <v>NA</v>
      </c>
    </row>
    <row r="13475">
      <c r="A13475" t="str">
        <f>IFERROR(__xludf.DUMMYFUNCTION("""COMPUTED_VALUE"""),"NA")</f>
        <v>NA</v>
      </c>
    </row>
    <row r="13476">
      <c r="A13476" t="str">
        <f>IFERROR(__xludf.DUMMYFUNCTION("""COMPUTED_VALUE"""),"NA")</f>
        <v>NA</v>
      </c>
    </row>
    <row r="13477">
      <c r="A13477" t="str">
        <f>IFERROR(__xludf.DUMMYFUNCTION("""COMPUTED_VALUE"""),"NA")</f>
        <v>NA</v>
      </c>
    </row>
    <row r="13478">
      <c r="A13478" t="str">
        <f>IFERROR(__xludf.DUMMYFUNCTION("""COMPUTED_VALUE"""),"NA")</f>
        <v>NA</v>
      </c>
    </row>
    <row r="13479">
      <c r="A13479" t="str">
        <f>IFERROR(__xludf.DUMMYFUNCTION("""COMPUTED_VALUE"""),"NA")</f>
        <v>NA</v>
      </c>
    </row>
    <row r="13480">
      <c r="A13480" t="str">
        <f>IFERROR(__xludf.DUMMYFUNCTION("""COMPUTED_VALUE"""),"NA")</f>
        <v>NA</v>
      </c>
    </row>
    <row r="13481">
      <c r="A13481" t="str">
        <f>IFERROR(__xludf.DUMMYFUNCTION("""COMPUTED_VALUE"""),"NA")</f>
        <v>NA</v>
      </c>
    </row>
    <row r="13482">
      <c r="A13482" t="str">
        <f>IFERROR(__xludf.DUMMYFUNCTION("""COMPUTED_VALUE"""),"NA")</f>
        <v>NA</v>
      </c>
    </row>
    <row r="13483">
      <c r="A13483" t="str">
        <f>IFERROR(__xludf.DUMMYFUNCTION("""COMPUTED_VALUE"""),"NA")</f>
        <v>NA</v>
      </c>
    </row>
    <row r="13484">
      <c r="A13484" t="str">
        <f>IFERROR(__xludf.DUMMYFUNCTION("""COMPUTED_VALUE"""),"NA")</f>
        <v>NA</v>
      </c>
    </row>
    <row r="13485">
      <c r="A13485" t="str">
        <f>IFERROR(__xludf.DUMMYFUNCTION("""COMPUTED_VALUE"""),"NA")</f>
        <v>NA</v>
      </c>
    </row>
    <row r="13486">
      <c r="A13486" t="str">
        <f>IFERROR(__xludf.DUMMYFUNCTION("""COMPUTED_VALUE"""),"NA")</f>
        <v>NA</v>
      </c>
    </row>
    <row r="13487">
      <c r="A13487" t="str">
        <f>IFERROR(__xludf.DUMMYFUNCTION("""COMPUTED_VALUE"""),"NA")</f>
        <v>NA</v>
      </c>
    </row>
    <row r="13488">
      <c r="A13488" t="str">
        <f>IFERROR(__xludf.DUMMYFUNCTION("""COMPUTED_VALUE"""),"NA")</f>
        <v>NA</v>
      </c>
    </row>
    <row r="13489">
      <c r="A13489" t="str">
        <f>IFERROR(__xludf.DUMMYFUNCTION("""COMPUTED_VALUE"""),"NA")</f>
        <v>NA</v>
      </c>
    </row>
    <row r="13490">
      <c r="A13490" t="str">
        <f>IFERROR(__xludf.DUMMYFUNCTION("""COMPUTED_VALUE"""),"NA")</f>
        <v>NA</v>
      </c>
    </row>
    <row r="13491">
      <c r="A13491" t="str">
        <f>IFERROR(__xludf.DUMMYFUNCTION("""COMPUTED_VALUE"""),"NA")</f>
        <v>NA</v>
      </c>
    </row>
    <row r="13492">
      <c r="A13492" t="str">
        <f>IFERROR(__xludf.DUMMYFUNCTION("""COMPUTED_VALUE"""),"NA")</f>
        <v>NA</v>
      </c>
    </row>
    <row r="13493">
      <c r="A13493" t="str">
        <f>IFERROR(__xludf.DUMMYFUNCTION("""COMPUTED_VALUE"""),"NA")</f>
        <v>NA</v>
      </c>
    </row>
    <row r="13494">
      <c r="A13494" t="str">
        <f>IFERROR(__xludf.DUMMYFUNCTION("""COMPUTED_VALUE"""),"NA")</f>
        <v>NA</v>
      </c>
    </row>
    <row r="13495">
      <c r="A13495" t="str">
        <f>IFERROR(__xludf.DUMMYFUNCTION("""COMPUTED_VALUE"""),"NA")</f>
        <v>NA</v>
      </c>
    </row>
    <row r="13496">
      <c r="A13496" t="str">
        <f>IFERROR(__xludf.DUMMYFUNCTION("""COMPUTED_VALUE"""),"NA")</f>
        <v>NA</v>
      </c>
    </row>
    <row r="13497">
      <c r="A13497" t="str">
        <f>IFERROR(__xludf.DUMMYFUNCTION("""COMPUTED_VALUE"""),"NA")</f>
        <v>NA</v>
      </c>
    </row>
    <row r="13498">
      <c r="A13498" t="str">
        <f>IFERROR(__xludf.DUMMYFUNCTION("""COMPUTED_VALUE"""),"NA")</f>
        <v>NA</v>
      </c>
    </row>
    <row r="13499">
      <c r="A13499" t="str">
        <f>IFERROR(__xludf.DUMMYFUNCTION("""COMPUTED_VALUE"""),"NA")</f>
        <v>NA</v>
      </c>
    </row>
    <row r="13500">
      <c r="A13500" t="str">
        <f>IFERROR(__xludf.DUMMYFUNCTION("""COMPUTED_VALUE"""),"NA")</f>
        <v>NA</v>
      </c>
    </row>
    <row r="13501">
      <c r="A13501" t="str">
        <f>IFERROR(__xludf.DUMMYFUNCTION("""COMPUTED_VALUE"""),"NA")</f>
        <v>NA</v>
      </c>
    </row>
    <row r="13502">
      <c r="A13502" t="str">
        <f>IFERROR(__xludf.DUMMYFUNCTION("""COMPUTED_VALUE"""),"NA")</f>
        <v>NA</v>
      </c>
    </row>
    <row r="13503">
      <c r="A13503" t="str">
        <f>IFERROR(__xludf.DUMMYFUNCTION("""COMPUTED_VALUE"""),"NA")</f>
        <v>NA</v>
      </c>
    </row>
    <row r="13504">
      <c r="A13504" t="str">
        <f>IFERROR(__xludf.DUMMYFUNCTION("""COMPUTED_VALUE"""),"NA")</f>
        <v>NA</v>
      </c>
    </row>
    <row r="13505">
      <c r="A13505" t="str">
        <f>IFERROR(__xludf.DUMMYFUNCTION("""COMPUTED_VALUE"""),"NA")</f>
        <v>NA</v>
      </c>
    </row>
    <row r="13506">
      <c r="A13506" t="str">
        <f>IFERROR(__xludf.DUMMYFUNCTION("""COMPUTED_VALUE"""),"NA")</f>
        <v>NA</v>
      </c>
    </row>
    <row r="13507">
      <c r="A13507" t="str">
        <f>IFERROR(__xludf.DUMMYFUNCTION("""COMPUTED_VALUE"""),"NA")</f>
        <v>NA</v>
      </c>
    </row>
    <row r="13508">
      <c r="A13508" t="str">
        <f>IFERROR(__xludf.DUMMYFUNCTION("""COMPUTED_VALUE"""),"NA")</f>
        <v>NA</v>
      </c>
    </row>
    <row r="13509">
      <c r="A13509" t="str">
        <f>IFERROR(__xludf.DUMMYFUNCTION("""COMPUTED_VALUE"""),"NA")</f>
        <v>NA</v>
      </c>
    </row>
    <row r="13510">
      <c r="A13510" t="str">
        <f>IFERROR(__xludf.DUMMYFUNCTION("""COMPUTED_VALUE"""),"NA")</f>
        <v>NA</v>
      </c>
    </row>
    <row r="13511">
      <c r="A13511" t="str">
        <f>IFERROR(__xludf.DUMMYFUNCTION("""COMPUTED_VALUE"""),"NA")</f>
        <v>NA</v>
      </c>
    </row>
    <row r="13512">
      <c r="A13512" t="str">
        <f>IFERROR(__xludf.DUMMYFUNCTION("""COMPUTED_VALUE"""),"NA")</f>
        <v>NA</v>
      </c>
    </row>
    <row r="13513">
      <c r="A13513" t="str">
        <f>IFERROR(__xludf.DUMMYFUNCTION("""COMPUTED_VALUE"""),"NA")</f>
        <v>NA</v>
      </c>
    </row>
    <row r="13514">
      <c r="A13514" t="str">
        <f>IFERROR(__xludf.DUMMYFUNCTION("""COMPUTED_VALUE"""),"NA")</f>
        <v>NA</v>
      </c>
    </row>
    <row r="13515">
      <c r="A13515" t="str">
        <f>IFERROR(__xludf.DUMMYFUNCTION("""COMPUTED_VALUE"""),"NA")</f>
        <v>NA</v>
      </c>
    </row>
    <row r="13516">
      <c r="A13516" t="str">
        <f>IFERROR(__xludf.DUMMYFUNCTION("""COMPUTED_VALUE"""),"NA")</f>
        <v>NA</v>
      </c>
    </row>
    <row r="13517">
      <c r="A13517" t="str">
        <f>IFERROR(__xludf.DUMMYFUNCTION("""COMPUTED_VALUE"""),"NA")</f>
        <v>NA</v>
      </c>
    </row>
    <row r="13518">
      <c r="A13518" t="str">
        <f>IFERROR(__xludf.DUMMYFUNCTION("""COMPUTED_VALUE"""),"NA")</f>
        <v>NA</v>
      </c>
    </row>
    <row r="13519">
      <c r="A13519" t="str">
        <f>IFERROR(__xludf.DUMMYFUNCTION("""COMPUTED_VALUE"""),"NA")</f>
        <v>NA</v>
      </c>
    </row>
    <row r="13520">
      <c r="A13520" t="str">
        <f>IFERROR(__xludf.DUMMYFUNCTION("""COMPUTED_VALUE"""),"NA")</f>
        <v>NA</v>
      </c>
    </row>
    <row r="13521">
      <c r="A13521" t="str">
        <f>IFERROR(__xludf.DUMMYFUNCTION("""COMPUTED_VALUE"""),"NA")</f>
        <v>NA</v>
      </c>
    </row>
    <row r="13522">
      <c r="A13522" t="str">
        <f>IFERROR(__xludf.DUMMYFUNCTION("""COMPUTED_VALUE"""),"NA")</f>
        <v>NA</v>
      </c>
    </row>
    <row r="13523">
      <c r="A13523" t="str">
        <f>IFERROR(__xludf.DUMMYFUNCTION("""COMPUTED_VALUE"""),"NA")</f>
        <v>NA</v>
      </c>
    </row>
    <row r="13524">
      <c r="A13524" t="str">
        <f>IFERROR(__xludf.DUMMYFUNCTION("""COMPUTED_VALUE"""),"NA")</f>
        <v>NA</v>
      </c>
    </row>
    <row r="13525">
      <c r="A13525" t="str">
        <f>IFERROR(__xludf.DUMMYFUNCTION("""COMPUTED_VALUE"""),"NA")</f>
        <v>NA</v>
      </c>
    </row>
    <row r="13526">
      <c r="A13526" t="str">
        <f>IFERROR(__xludf.DUMMYFUNCTION("""COMPUTED_VALUE"""),"NA")</f>
        <v>NA</v>
      </c>
    </row>
    <row r="13527">
      <c r="A13527" t="str">
        <f>IFERROR(__xludf.DUMMYFUNCTION("""COMPUTED_VALUE"""),"NA")</f>
        <v>NA</v>
      </c>
    </row>
    <row r="13528">
      <c r="A13528" t="str">
        <f>IFERROR(__xludf.DUMMYFUNCTION("""COMPUTED_VALUE"""),"NA")</f>
        <v>NA</v>
      </c>
    </row>
    <row r="13529">
      <c r="A13529" t="str">
        <f>IFERROR(__xludf.DUMMYFUNCTION("""COMPUTED_VALUE"""),"NA")</f>
        <v>NA</v>
      </c>
    </row>
    <row r="13530">
      <c r="A13530" t="str">
        <f>IFERROR(__xludf.DUMMYFUNCTION("""COMPUTED_VALUE"""),"NA")</f>
        <v>NA</v>
      </c>
    </row>
    <row r="13531">
      <c r="A13531" t="str">
        <f>IFERROR(__xludf.DUMMYFUNCTION("""COMPUTED_VALUE"""),"NA")</f>
        <v>NA</v>
      </c>
    </row>
    <row r="13532">
      <c r="A13532" t="str">
        <f>IFERROR(__xludf.DUMMYFUNCTION("""COMPUTED_VALUE"""),"NA")</f>
        <v>NA</v>
      </c>
    </row>
    <row r="13533">
      <c r="A13533" t="str">
        <f>IFERROR(__xludf.DUMMYFUNCTION("""COMPUTED_VALUE"""),"NA")</f>
        <v>NA</v>
      </c>
    </row>
    <row r="13534">
      <c r="A13534" t="str">
        <f>IFERROR(__xludf.DUMMYFUNCTION("""COMPUTED_VALUE"""),"NA")</f>
        <v>NA</v>
      </c>
    </row>
    <row r="13535">
      <c r="A13535" t="str">
        <f>IFERROR(__xludf.DUMMYFUNCTION("""COMPUTED_VALUE"""),"NA")</f>
        <v>NA</v>
      </c>
    </row>
    <row r="13536">
      <c r="A13536" t="str">
        <f>IFERROR(__xludf.DUMMYFUNCTION("""COMPUTED_VALUE"""),"NA")</f>
        <v>NA</v>
      </c>
    </row>
    <row r="13537">
      <c r="A13537" t="str">
        <f>IFERROR(__xludf.DUMMYFUNCTION("""COMPUTED_VALUE"""),"NA")</f>
        <v>NA</v>
      </c>
    </row>
    <row r="13538">
      <c r="A13538" t="str">
        <f>IFERROR(__xludf.DUMMYFUNCTION("""COMPUTED_VALUE"""),"NA")</f>
        <v>NA</v>
      </c>
    </row>
    <row r="13539">
      <c r="A13539" t="str">
        <f>IFERROR(__xludf.DUMMYFUNCTION("""COMPUTED_VALUE"""),"NA")</f>
        <v>NA</v>
      </c>
    </row>
    <row r="13540">
      <c r="A13540" t="str">
        <f>IFERROR(__xludf.DUMMYFUNCTION("""COMPUTED_VALUE"""),"NA")</f>
        <v>NA</v>
      </c>
    </row>
    <row r="13541">
      <c r="A13541" t="str">
        <f>IFERROR(__xludf.DUMMYFUNCTION("""COMPUTED_VALUE"""),"NA")</f>
        <v>NA</v>
      </c>
    </row>
    <row r="13542">
      <c r="A13542" t="str">
        <f>IFERROR(__xludf.DUMMYFUNCTION("""COMPUTED_VALUE"""),"NA")</f>
        <v>NA</v>
      </c>
    </row>
    <row r="13543">
      <c r="A13543" t="str">
        <f>IFERROR(__xludf.DUMMYFUNCTION("""COMPUTED_VALUE"""),"NA")</f>
        <v>NA</v>
      </c>
    </row>
    <row r="13544">
      <c r="A13544" t="str">
        <f>IFERROR(__xludf.DUMMYFUNCTION("""COMPUTED_VALUE"""),"NA")</f>
        <v>NA</v>
      </c>
    </row>
    <row r="13545">
      <c r="A13545" t="str">
        <f>IFERROR(__xludf.DUMMYFUNCTION("""COMPUTED_VALUE"""),"NA")</f>
        <v>NA</v>
      </c>
    </row>
    <row r="13546">
      <c r="A13546" t="str">
        <f>IFERROR(__xludf.DUMMYFUNCTION("""COMPUTED_VALUE"""),"NA")</f>
        <v>NA</v>
      </c>
    </row>
    <row r="13547">
      <c r="A13547" t="str">
        <f>IFERROR(__xludf.DUMMYFUNCTION("""COMPUTED_VALUE"""),"NA")</f>
        <v>NA</v>
      </c>
    </row>
    <row r="13548">
      <c r="A13548" t="str">
        <f>IFERROR(__xludf.DUMMYFUNCTION("""COMPUTED_VALUE"""),"NA")</f>
        <v>NA</v>
      </c>
    </row>
    <row r="13549">
      <c r="A13549" t="str">
        <f>IFERROR(__xludf.DUMMYFUNCTION("""COMPUTED_VALUE"""),"NA")</f>
        <v>NA</v>
      </c>
    </row>
    <row r="13550">
      <c r="A13550" t="str">
        <f>IFERROR(__xludf.DUMMYFUNCTION("""COMPUTED_VALUE"""),"NA")</f>
        <v>NA</v>
      </c>
    </row>
    <row r="13551">
      <c r="A13551" t="str">
        <f>IFERROR(__xludf.DUMMYFUNCTION("""COMPUTED_VALUE"""),"NA")</f>
        <v>NA</v>
      </c>
    </row>
    <row r="13552">
      <c r="A13552" t="str">
        <f>IFERROR(__xludf.DUMMYFUNCTION("""COMPUTED_VALUE"""),"NA")</f>
        <v>NA</v>
      </c>
    </row>
    <row r="13553">
      <c r="A13553" t="str">
        <f>IFERROR(__xludf.DUMMYFUNCTION("""COMPUTED_VALUE"""),"NA")</f>
        <v>NA</v>
      </c>
    </row>
    <row r="13554">
      <c r="A13554" t="str">
        <f>IFERROR(__xludf.DUMMYFUNCTION("""COMPUTED_VALUE"""),"NA")</f>
        <v>NA</v>
      </c>
    </row>
    <row r="13555">
      <c r="A13555" t="str">
        <f>IFERROR(__xludf.DUMMYFUNCTION("""COMPUTED_VALUE"""),"NA")</f>
        <v>NA</v>
      </c>
    </row>
    <row r="13556">
      <c r="A13556" t="str">
        <f>IFERROR(__xludf.DUMMYFUNCTION("""COMPUTED_VALUE"""),"NA")</f>
        <v>NA</v>
      </c>
    </row>
    <row r="13557">
      <c r="A13557" t="str">
        <f>IFERROR(__xludf.DUMMYFUNCTION("""COMPUTED_VALUE"""),"NA")</f>
        <v>NA</v>
      </c>
    </row>
    <row r="13558">
      <c r="A13558" t="str">
        <f>IFERROR(__xludf.DUMMYFUNCTION("""COMPUTED_VALUE"""),"NA")</f>
        <v>NA</v>
      </c>
    </row>
    <row r="13559">
      <c r="A13559" t="str">
        <f>IFERROR(__xludf.DUMMYFUNCTION("""COMPUTED_VALUE"""),"NA")</f>
        <v>NA</v>
      </c>
    </row>
    <row r="13560">
      <c r="A13560" t="str">
        <f>IFERROR(__xludf.DUMMYFUNCTION("""COMPUTED_VALUE"""),"NA")</f>
        <v>NA</v>
      </c>
    </row>
    <row r="13561">
      <c r="A13561" t="str">
        <f>IFERROR(__xludf.DUMMYFUNCTION("""COMPUTED_VALUE"""),"NA")</f>
        <v>NA</v>
      </c>
    </row>
    <row r="13562">
      <c r="A13562" t="str">
        <f>IFERROR(__xludf.DUMMYFUNCTION("""COMPUTED_VALUE"""),"NA")</f>
        <v>NA</v>
      </c>
    </row>
    <row r="13563">
      <c r="A13563" t="str">
        <f>IFERROR(__xludf.DUMMYFUNCTION("""COMPUTED_VALUE"""),"NA")</f>
        <v>NA</v>
      </c>
    </row>
    <row r="13564">
      <c r="A13564" t="str">
        <f>IFERROR(__xludf.DUMMYFUNCTION("""COMPUTED_VALUE"""),"NA")</f>
        <v>NA</v>
      </c>
    </row>
    <row r="13565">
      <c r="A13565" t="str">
        <f>IFERROR(__xludf.DUMMYFUNCTION("""COMPUTED_VALUE"""),"NA")</f>
        <v>NA</v>
      </c>
    </row>
    <row r="13566">
      <c r="A13566" t="str">
        <f>IFERROR(__xludf.DUMMYFUNCTION("""COMPUTED_VALUE"""),"NA")</f>
        <v>NA</v>
      </c>
    </row>
    <row r="13567">
      <c r="A13567" t="str">
        <f>IFERROR(__xludf.DUMMYFUNCTION("""COMPUTED_VALUE"""),"NA")</f>
        <v>NA</v>
      </c>
    </row>
    <row r="13568">
      <c r="A13568" t="str">
        <f>IFERROR(__xludf.DUMMYFUNCTION("""COMPUTED_VALUE"""),"NA")</f>
        <v>NA</v>
      </c>
    </row>
    <row r="13569">
      <c r="A13569" t="str">
        <f>IFERROR(__xludf.DUMMYFUNCTION("""COMPUTED_VALUE"""),"NA")</f>
        <v>NA</v>
      </c>
    </row>
    <row r="13570">
      <c r="A13570" t="str">
        <f>IFERROR(__xludf.DUMMYFUNCTION("""COMPUTED_VALUE"""),"NA")</f>
        <v>NA</v>
      </c>
    </row>
    <row r="13571">
      <c r="A13571" t="str">
        <f>IFERROR(__xludf.DUMMYFUNCTION("""COMPUTED_VALUE"""),"NA")</f>
        <v>NA</v>
      </c>
    </row>
    <row r="13572">
      <c r="A13572" t="str">
        <f>IFERROR(__xludf.DUMMYFUNCTION("""COMPUTED_VALUE"""),"NA")</f>
        <v>NA</v>
      </c>
    </row>
    <row r="13573">
      <c r="A13573" t="str">
        <f>IFERROR(__xludf.DUMMYFUNCTION("""COMPUTED_VALUE"""),"NA")</f>
        <v>NA</v>
      </c>
    </row>
    <row r="13574">
      <c r="A13574" t="str">
        <f>IFERROR(__xludf.DUMMYFUNCTION("""COMPUTED_VALUE"""),"NA")</f>
        <v>NA</v>
      </c>
    </row>
    <row r="13575">
      <c r="A13575" t="str">
        <f>IFERROR(__xludf.DUMMYFUNCTION("""COMPUTED_VALUE"""),"NA")</f>
        <v>NA</v>
      </c>
    </row>
    <row r="13576">
      <c r="A13576" t="str">
        <f>IFERROR(__xludf.DUMMYFUNCTION("""COMPUTED_VALUE"""),"NA")</f>
        <v>NA</v>
      </c>
    </row>
    <row r="13577">
      <c r="A13577" t="str">
        <f>IFERROR(__xludf.DUMMYFUNCTION("""COMPUTED_VALUE"""),"NA")</f>
        <v>NA</v>
      </c>
    </row>
    <row r="13578">
      <c r="A13578" t="str">
        <f>IFERROR(__xludf.DUMMYFUNCTION("""COMPUTED_VALUE"""),"NA")</f>
        <v>NA</v>
      </c>
    </row>
    <row r="13579">
      <c r="A13579" t="str">
        <f>IFERROR(__xludf.DUMMYFUNCTION("""COMPUTED_VALUE"""),"NA")</f>
        <v>NA</v>
      </c>
    </row>
    <row r="13580">
      <c r="A13580" t="str">
        <f>IFERROR(__xludf.DUMMYFUNCTION("""COMPUTED_VALUE"""),"NA")</f>
        <v>NA</v>
      </c>
    </row>
    <row r="13581">
      <c r="A13581" t="str">
        <f>IFERROR(__xludf.DUMMYFUNCTION("""COMPUTED_VALUE"""),"NA")</f>
        <v>NA</v>
      </c>
    </row>
    <row r="13582">
      <c r="A13582" t="str">
        <f>IFERROR(__xludf.DUMMYFUNCTION("""COMPUTED_VALUE"""),"NA")</f>
        <v>NA</v>
      </c>
    </row>
    <row r="13583">
      <c r="A13583" t="str">
        <f>IFERROR(__xludf.DUMMYFUNCTION("""COMPUTED_VALUE"""),"NA")</f>
        <v>NA</v>
      </c>
    </row>
    <row r="13584">
      <c r="A13584" t="str">
        <f>IFERROR(__xludf.DUMMYFUNCTION("""COMPUTED_VALUE"""),"NA")</f>
        <v>NA</v>
      </c>
    </row>
    <row r="13585">
      <c r="A13585" t="str">
        <f>IFERROR(__xludf.DUMMYFUNCTION("""COMPUTED_VALUE"""),"NA")</f>
        <v>NA</v>
      </c>
    </row>
    <row r="13586">
      <c r="A13586" t="str">
        <f>IFERROR(__xludf.DUMMYFUNCTION("""COMPUTED_VALUE"""),"NA")</f>
        <v>NA</v>
      </c>
    </row>
    <row r="13587">
      <c r="A13587" t="str">
        <f>IFERROR(__xludf.DUMMYFUNCTION("""COMPUTED_VALUE"""),"NA")</f>
        <v>NA</v>
      </c>
    </row>
    <row r="13588">
      <c r="A13588" t="str">
        <f>IFERROR(__xludf.DUMMYFUNCTION("""COMPUTED_VALUE"""),"NA")</f>
        <v>NA</v>
      </c>
    </row>
    <row r="13589">
      <c r="A13589" t="str">
        <f>IFERROR(__xludf.DUMMYFUNCTION("""COMPUTED_VALUE"""),"NA")</f>
        <v>NA</v>
      </c>
    </row>
    <row r="13590">
      <c r="A13590" t="str">
        <f>IFERROR(__xludf.DUMMYFUNCTION("""COMPUTED_VALUE"""),"NA")</f>
        <v>NA</v>
      </c>
    </row>
    <row r="13591">
      <c r="A13591" t="str">
        <f>IFERROR(__xludf.DUMMYFUNCTION("""COMPUTED_VALUE"""),"NA")</f>
        <v>NA</v>
      </c>
    </row>
    <row r="13592">
      <c r="A13592" t="str">
        <f>IFERROR(__xludf.DUMMYFUNCTION("""COMPUTED_VALUE"""),"NA")</f>
        <v>NA</v>
      </c>
    </row>
    <row r="13593">
      <c r="A13593" t="str">
        <f>IFERROR(__xludf.DUMMYFUNCTION("""COMPUTED_VALUE"""),"NA")</f>
        <v>NA</v>
      </c>
    </row>
    <row r="13594">
      <c r="A13594" t="str">
        <f>IFERROR(__xludf.DUMMYFUNCTION("""COMPUTED_VALUE"""),"NA")</f>
        <v>NA</v>
      </c>
    </row>
    <row r="13595">
      <c r="A13595" t="str">
        <f>IFERROR(__xludf.DUMMYFUNCTION("""COMPUTED_VALUE"""),"NA")</f>
        <v>NA</v>
      </c>
    </row>
    <row r="13596">
      <c r="A13596" t="str">
        <f>IFERROR(__xludf.DUMMYFUNCTION("""COMPUTED_VALUE"""),"NA")</f>
        <v>NA</v>
      </c>
    </row>
    <row r="13597">
      <c r="A13597" t="str">
        <f>IFERROR(__xludf.DUMMYFUNCTION("""COMPUTED_VALUE"""),"NA")</f>
        <v>NA</v>
      </c>
    </row>
    <row r="13598">
      <c r="A13598" t="str">
        <f>IFERROR(__xludf.DUMMYFUNCTION("""COMPUTED_VALUE"""),"NA")</f>
        <v>NA</v>
      </c>
    </row>
    <row r="13599">
      <c r="A13599" t="str">
        <f>IFERROR(__xludf.DUMMYFUNCTION("""COMPUTED_VALUE"""),"NA")</f>
        <v>NA</v>
      </c>
    </row>
    <row r="13600">
      <c r="A13600" t="str">
        <f>IFERROR(__xludf.DUMMYFUNCTION("""COMPUTED_VALUE"""),"NA")</f>
        <v>NA</v>
      </c>
    </row>
    <row r="13601">
      <c r="A13601" t="str">
        <f>IFERROR(__xludf.DUMMYFUNCTION("""COMPUTED_VALUE"""),"NA")</f>
        <v>NA</v>
      </c>
    </row>
    <row r="13602">
      <c r="A13602" t="str">
        <f>IFERROR(__xludf.DUMMYFUNCTION("""COMPUTED_VALUE"""),"NA")</f>
        <v>NA</v>
      </c>
    </row>
    <row r="13603">
      <c r="A13603" t="str">
        <f>IFERROR(__xludf.DUMMYFUNCTION("""COMPUTED_VALUE"""),"NA")</f>
        <v>NA</v>
      </c>
    </row>
    <row r="13604">
      <c r="A13604" t="str">
        <f>IFERROR(__xludf.DUMMYFUNCTION("""COMPUTED_VALUE"""),"NA")</f>
        <v>NA</v>
      </c>
    </row>
    <row r="13605">
      <c r="A13605" t="str">
        <f>IFERROR(__xludf.DUMMYFUNCTION("""COMPUTED_VALUE"""),"NA")</f>
        <v>NA</v>
      </c>
    </row>
    <row r="13606">
      <c r="A13606" t="str">
        <f>IFERROR(__xludf.DUMMYFUNCTION("""COMPUTED_VALUE"""),"NA")</f>
        <v>NA</v>
      </c>
    </row>
    <row r="13607">
      <c r="A13607" t="str">
        <f>IFERROR(__xludf.DUMMYFUNCTION("""COMPUTED_VALUE"""),"NA")</f>
        <v>NA</v>
      </c>
    </row>
    <row r="13608">
      <c r="A13608" t="str">
        <f>IFERROR(__xludf.DUMMYFUNCTION("""COMPUTED_VALUE"""),"NA")</f>
        <v>NA</v>
      </c>
    </row>
    <row r="13609">
      <c r="A13609" t="str">
        <f>IFERROR(__xludf.DUMMYFUNCTION("""COMPUTED_VALUE"""),"NA")</f>
        <v>NA</v>
      </c>
    </row>
    <row r="13610">
      <c r="A13610" t="str">
        <f>IFERROR(__xludf.DUMMYFUNCTION("""COMPUTED_VALUE"""),"NA")</f>
        <v>NA</v>
      </c>
    </row>
    <row r="13611">
      <c r="A13611" t="str">
        <f>IFERROR(__xludf.DUMMYFUNCTION("""COMPUTED_VALUE"""),"NA")</f>
        <v>NA</v>
      </c>
    </row>
    <row r="13612">
      <c r="A13612" t="str">
        <f>IFERROR(__xludf.DUMMYFUNCTION("""COMPUTED_VALUE"""),"NA")</f>
        <v>NA</v>
      </c>
    </row>
    <row r="13613">
      <c r="A13613" t="str">
        <f>IFERROR(__xludf.DUMMYFUNCTION("""COMPUTED_VALUE"""),"NA")</f>
        <v>NA</v>
      </c>
    </row>
    <row r="13614">
      <c r="A13614" t="str">
        <f>IFERROR(__xludf.DUMMYFUNCTION("""COMPUTED_VALUE"""),"NA")</f>
        <v>NA</v>
      </c>
    </row>
    <row r="13615">
      <c r="A13615" t="str">
        <f>IFERROR(__xludf.DUMMYFUNCTION("""COMPUTED_VALUE"""),"NA")</f>
        <v>NA</v>
      </c>
    </row>
    <row r="13616">
      <c r="A13616" t="str">
        <f>IFERROR(__xludf.DUMMYFUNCTION("""COMPUTED_VALUE"""),"NA")</f>
        <v>NA</v>
      </c>
    </row>
    <row r="13617">
      <c r="A13617" t="str">
        <f>IFERROR(__xludf.DUMMYFUNCTION("""COMPUTED_VALUE"""),"NA")</f>
        <v>NA</v>
      </c>
    </row>
    <row r="13618">
      <c r="A13618" t="str">
        <f>IFERROR(__xludf.DUMMYFUNCTION("""COMPUTED_VALUE"""),"NA")</f>
        <v>NA</v>
      </c>
    </row>
    <row r="13619">
      <c r="A13619" t="str">
        <f>IFERROR(__xludf.DUMMYFUNCTION("""COMPUTED_VALUE"""),"NA")</f>
        <v>NA</v>
      </c>
    </row>
    <row r="13620">
      <c r="A13620" t="str">
        <f>IFERROR(__xludf.DUMMYFUNCTION("""COMPUTED_VALUE"""),"NA")</f>
        <v>NA</v>
      </c>
    </row>
    <row r="13621">
      <c r="A13621" t="str">
        <f>IFERROR(__xludf.DUMMYFUNCTION("""COMPUTED_VALUE"""),"NA")</f>
        <v>NA</v>
      </c>
    </row>
    <row r="13622">
      <c r="A13622" t="str">
        <f>IFERROR(__xludf.DUMMYFUNCTION("""COMPUTED_VALUE"""),"NA")</f>
        <v>NA</v>
      </c>
    </row>
    <row r="13623">
      <c r="A13623" t="str">
        <f>IFERROR(__xludf.DUMMYFUNCTION("""COMPUTED_VALUE"""),"NA")</f>
        <v>NA</v>
      </c>
    </row>
    <row r="13624">
      <c r="A13624" t="str">
        <f>IFERROR(__xludf.DUMMYFUNCTION("""COMPUTED_VALUE"""),"NA")</f>
        <v>NA</v>
      </c>
    </row>
    <row r="13625">
      <c r="A13625" t="str">
        <f>IFERROR(__xludf.DUMMYFUNCTION("""COMPUTED_VALUE"""),"NA")</f>
        <v>NA</v>
      </c>
    </row>
    <row r="13626">
      <c r="A13626" t="str">
        <f>IFERROR(__xludf.DUMMYFUNCTION("""COMPUTED_VALUE"""),"NA")</f>
        <v>NA</v>
      </c>
    </row>
    <row r="13627">
      <c r="A13627" t="str">
        <f>IFERROR(__xludf.DUMMYFUNCTION("""COMPUTED_VALUE"""),"NA")</f>
        <v>NA</v>
      </c>
    </row>
    <row r="13628">
      <c r="A13628" t="str">
        <f>IFERROR(__xludf.DUMMYFUNCTION("""COMPUTED_VALUE"""),"NA")</f>
        <v>NA</v>
      </c>
    </row>
    <row r="13629">
      <c r="A13629" t="str">
        <f>IFERROR(__xludf.DUMMYFUNCTION("""COMPUTED_VALUE"""),"NA")</f>
        <v>NA</v>
      </c>
    </row>
    <row r="13630">
      <c r="A13630" t="str">
        <f>IFERROR(__xludf.DUMMYFUNCTION("""COMPUTED_VALUE"""),"NA")</f>
        <v>NA</v>
      </c>
    </row>
    <row r="13631">
      <c r="A13631" t="str">
        <f>IFERROR(__xludf.DUMMYFUNCTION("""COMPUTED_VALUE"""),"NA")</f>
        <v>NA</v>
      </c>
    </row>
    <row r="13632">
      <c r="A13632" t="str">
        <f>IFERROR(__xludf.DUMMYFUNCTION("""COMPUTED_VALUE"""),"NA")</f>
        <v>NA</v>
      </c>
    </row>
    <row r="13633">
      <c r="A13633" t="str">
        <f>IFERROR(__xludf.DUMMYFUNCTION("""COMPUTED_VALUE"""),"NA")</f>
        <v>NA</v>
      </c>
    </row>
    <row r="13634">
      <c r="A13634" t="str">
        <f>IFERROR(__xludf.DUMMYFUNCTION("""COMPUTED_VALUE"""),"NA")</f>
        <v>NA</v>
      </c>
    </row>
    <row r="13635">
      <c r="A13635" t="str">
        <f>IFERROR(__xludf.DUMMYFUNCTION("""COMPUTED_VALUE"""),"NA")</f>
        <v>NA</v>
      </c>
    </row>
    <row r="13636">
      <c r="A13636" t="str">
        <f>IFERROR(__xludf.DUMMYFUNCTION("""COMPUTED_VALUE"""),"NA")</f>
        <v>NA</v>
      </c>
    </row>
    <row r="13637">
      <c r="A13637" t="str">
        <f>IFERROR(__xludf.DUMMYFUNCTION("""COMPUTED_VALUE"""),"NA")</f>
        <v>NA</v>
      </c>
    </row>
    <row r="13638">
      <c r="A13638" t="str">
        <f>IFERROR(__xludf.DUMMYFUNCTION("""COMPUTED_VALUE"""),"NA")</f>
        <v>NA</v>
      </c>
    </row>
    <row r="13639">
      <c r="A13639" t="str">
        <f>IFERROR(__xludf.DUMMYFUNCTION("""COMPUTED_VALUE"""),"NA")</f>
        <v>NA</v>
      </c>
    </row>
    <row r="13640">
      <c r="A13640" t="str">
        <f>IFERROR(__xludf.DUMMYFUNCTION("""COMPUTED_VALUE"""),"NA")</f>
        <v>NA</v>
      </c>
    </row>
    <row r="13641">
      <c r="A13641" t="str">
        <f>IFERROR(__xludf.DUMMYFUNCTION("""COMPUTED_VALUE"""),"NA")</f>
        <v>NA</v>
      </c>
    </row>
    <row r="13642">
      <c r="A13642" t="str">
        <f>IFERROR(__xludf.DUMMYFUNCTION("""COMPUTED_VALUE"""),"NA")</f>
        <v>NA</v>
      </c>
    </row>
    <row r="13643">
      <c r="A13643" t="str">
        <f>IFERROR(__xludf.DUMMYFUNCTION("""COMPUTED_VALUE"""),"NA")</f>
        <v>NA</v>
      </c>
    </row>
    <row r="13644">
      <c r="A13644" t="str">
        <f>IFERROR(__xludf.DUMMYFUNCTION("""COMPUTED_VALUE"""),"NA")</f>
        <v>NA</v>
      </c>
    </row>
    <row r="13645">
      <c r="A13645" t="str">
        <f>IFERROR(__xludf.DUMMYFUNCTION("""COMPUTED_VALUE"""),"NA")</f>
        <v>NA</v>
      </c>
    </row>
    <row r="13646">
      <c r="A13646" t="str">
        <f>IFERROR(__xludf.DUMMYFUNCTION("""COMPUTED_VALUE"""),"NA")</f>
        <v>NA</v>
      </c>
    </row>
    <row r="13647">
      <c r="A13647" t="str">
        <f>IFERROR(__xludf.DUMMYFUNCTION("""COMPUTED_VALUE"""),"NA")</f>
        <v>NA</v>
      </c>
    </row>
    <row r="13648">
      <c r="A13648" t="str">
        <f>IFERROR(__xludf.DUMMYFUNCTION("""COMPUTED_VALUE"""),"NA")</f>
        <v>NA</v>
      </c>
    </row>
    <row r="13649">
      <c r="A13649" t="str">
        <f>IFERROR(__xludf.DUMMYFUNCTION("""COMPUTED_VALUE"""),"NA")</f>
        <v>NA</v>
      </c>
    </row>
    <row r="13650">
      <c r="A13650" t="str">
        <f>IFERROR(__xludf.DUMMYFUNCTION("""COMPUTED_VALUE"""),"NA")</f>
        <v>NA</v>
      </c>
    </row>
    <row r="13651">
      <c r="A13651" t="str">
        <f>IFERROR(__xludf.DUMMYFUNCTION("""COMPUTED_VALUE"""),"NA")</f>
        <v>NA</v>
      </c>
    </row>
    <row r="13652">
      <c r="A13652" t="str">
        <f>IFERROR(__xludf.DUMMYFUNCTION("""COMPUTED_VALUE"""),"NA")</f>
        <v>NA</v>
      </c>
    </row>
    <row r="13653">
      <c r="A13653" t="str">
        <f>IFERROR(__xludf.DUMMYFUNCTION("""COMPUTED_VALUE"""),"NA")</f>
        <v>NA</v>
      </c>
    </row>
    <row r="13654">
      <c r="A13654" t="str">
        <f>IFERROR(__xludf.DUMMYFUNCTION("""COMPUTED_VALUE"""),"NA")</f>
        <v>NA</v>
      </c>
    </row>
    <row r="13655">
      <c r="A13655" t="str">
        <f>IFERROR(__xludf.DUMMYFUNCTION("""COMPUTED_VALUE"""),"NA")</f>
        <v>NA</v>
      </c>
    </row>
    <row r="13656">
      <c r="A13656" t="str">
        <f>IFERROR(__xludf.DUMMYFUNCTION("""COMPUTED_VALUE"""),"NA")</f>
        <v>NA</v>
      </c>
    </row>
    <row r="13657">
      <c r="A13657" t="str">
        <f>IFERROR(__xludf.DUMMYFUNCTION("""COMPUTED_VALUE"""),"NA")</f>
        <v>NA</v>
      </c>
    </row>
    <row r="13658">
      <c r="A13658" t="str">
        <f>IFERROR(__xludf.DUMMYFUNCTION("""COMPUTED_VALUE"""),"NA")</f>
        <v>NA</v>
      </c>
    </row>
    <row r="13659">
      <c r="A13659" t="str">
        <f>IFERROR(__xludf.DUMMYFUNCTION("""COMPUTED_VALUE"""),"NA")</f>
        <v>NA</v>
      </c>
    </row>
    <row r="13660">
      <c r="A13660" t="str">
        <f>IFERROR(__xludf.DUMMYFUNCTION("""COMPUTED_VALUE"""),"NA")</f>
        <v>NA</v>
      </c>
    </row>
    <row r="13661">
      <c r="A13661" t="str">
        <f>IFERROR(__xludf.DUMMYFUNCTION("""COMPUTED_VALUE"""),"NA")</f>
        <v>NA</v>
      </c>
    </row>
    <row r="13662">
      <c r="A13662" t="str">
        <f>IFERROR(__xludf.DUMMYFUNCTION("""COMPUTED_VALUE"""),"NA")</f>
        <v>NA</v>
      </c>
    </row>
    <row r="13663">
      <c r="A13663" t="str">
        <f>IFERROR(__xludf.DUMMYFUNCTION("""COMPUTED_VALUE"""),"NA")</f>
        <v>NA</v>
      </c>
    </row>
    <row r="13664">
      <c r="A13664" t="str">
        <f>IFERROR(__xludf.DUMMYFUNCTION("""COMPUTED_VALUE"""),"NA")</f>
        <v>NA</v>
      </c>
    </row>
    <row r="13665">
      <c r="A13665" t="str">
        <f>IFERROR(__xludf.DUMMYFUNCTION("""COMPUTED_VALUE"""),"NA")</f>
        <v>NA</v>
      </c>
    </row>
    <row r="13666">
      <c r="A13666" t="str">
        <f>IFERROR(__xludf.DUMMYFUNCTION("""COMPUTED_VALUE"""),"NA")</f>
        <v>NA</v>
      </c>
    </row>
    <row r="13667">
      <c r="A13667" t="str">
        <f>IFERROR(__xludf.DUMMYFUNCTION("""COMPUTED_VALUE"""),"NA")</f>
        <v>NA</v>
      </c>
    </row>
    <row r="13668">
      <c r="A13668" t="str">
        <f>IFERROR(__xludf.DUMMYFUNCTION("""COMPUTED_VALUE"""),"NA")</f>
        <v>NA</v>
      </c>
    </row>
    <row r="13669">
      <c r="A13669" t="str">
        <f>IFERROR(__xludf.DUMMYFUNCTION("""COMPUTED_VALUE"""),"NA")</f>
        <v>NA</v>
      </c>
    </row>
    <row r="13670">
      <c r="A13670" t="str">
        <f>IFERROR(__xludf.DUMMYFUNCTION("""COMPUTED_VALUE"""),"NA")</f>
        <v>NA</v>
      </c>
    </row>
    <row r="13671">
      <c r="A13671" t="str">
        <f>IFERROR(__xludf.DUMMYFUNCTION("""COMPUTED_VALUE"""),"NA")</f>
        <v>NA</v>
      </c>
    </row>
    <row r="13672">
      <c r="A13672" t="str">
        <f>IFERROR(__xludf.DUMMYFUNCTION("""COMPUTED_VALUE"""),"NA")</f>
        <v>NA</v>
      </c>
    </row>
    <row r="13673">
      <c r="A13673" t="str">
        <f>IFERROR(__xludf.DUMMYFUNCTION("""COMPUTED_VALUE"""),"NA")</f>
        <v>NA</v>
      </c>
    </row>
    <row r="13674">
      <c r="A13674" t="str">
        <f>IFERROR(__xludf.DUMMYFUNCTION("""COMPUTED_VALUE"""),"NA")</f>
        <v>NA</v>
      </c>
    </row>
    <row r="13675">
      <c r="A13675" t="str">
        <f>IFERROR(__xludf.DUMMYFUNCTION("""COMPUTED_VALUE"""),"NA")</f>
        <v>NA</v>
      </c>
    </row>
    <row r="13676">
      <c r="A13676" t="str">
        <f>IFERROR(__xludf.DUMMYFUNCTION("""COMPUTED_VALUE"""),"NA")</f>
        <v>NA</v>
      </c>
    </row>
    <row r="13677">
      <c r="A13677" t="str">
        <f>IFERROR(__xludf.DUMMYFUNCTION("""COMPUTED_VALUE"""),"NA")</f>
        <v>NA</v>
      </c>
    </row>
    <row r="13678">
      <c r="A13678" t="str">
        <f>IFERROR(__xludf.DUMMYFUNCTION("""COMPUTED_VALUE"""),"NA")</f>
        <v>NA</v>
      </c>
    </row>
    <row r="13679">
      <c r="A13679" t="str">
        <f>IFERROR(__xludf.DUMMYFUNCTION("""COMPUTED_VALUE"""),"NA")</f>
        <v>NA</v>
      </c>
    </row>
    <row r="13680">
      <c r="A13680" t="str">
        <f>IFERROR(__xludf.DUMMYFUNCTION("""COMPUTED_VALUE"""),"NA")</f>
        <v>NA</v>
      </c>
    </row>
    <row r="13681">
      <c r="A13681" t="str">
        <f>IFERROR(__xludf.DUMMYFUNCTION("""COMPUTED_VALUE"""),"NA")</f>
        <v>NA</v>
      </c>
    </row>
    <row r="13682">
      <c r="A13682" t="str">
        <f>IFERROR(__xludf.DUMMYFUNCTION("""COMPUTED_VALUE"""),"NA")</f>
        <v>NA</v>
      </c>
    </row>
    <row r="13683">
      <c r="A13683" t="str">
        <f>IFERROR(__xludf.DUMMYFUNCTION("""COMPUTED_VALUE"""),"NA")</f>
        <v>NA</v>
      </c>
    </row>
    <row r="13684">
      <c r="A13684" t="str">
        <f>IFERROR(__xludf.DUMMYFUNCTION("""COMPUTED_VALUE"""),"NA")</f>
        <v>NA</v>
      </c>
    </row>
    <row r="13685">
      <c r="A13685" t="str">
        <f>IFERROR(__xludf.DUMMYFUNCTION("""COMPUTED_VALUE"""),"NA")</f>
        <v>NA</v>
      </c>
    </row>
    <row r="13686">
      <c r="A13686" t="str">
        <f>IFERROR(__xludf.DUMMYFUNCTION("""COMPUTED_VALUE"""),"NA")</f>
        <v>NA</v>
      </c>
    </row>
    <row r="13687">
      <c r="A13687" t="str">
        <f>IFERROR(__xludf.DUMMYFUNCTION("""COMPUTED_VALUE"""),"NA")</f>
        <v>NA</v>
      </c>
    </row>
    <row r="13688">
      <c r="A13688" t="str">
        <f>IFERROR(__xludf.DUMMYFUNCTION("""COMPUTED_VALUE"""),"NA")</f>
        <v>NA</v>
      </c>
    </row>
    <row r="13689">
      <c r="A13689" t="str">
        <f>IFERROR(__xludf.DUMMYFUNCTION("""COMPUTED_VALUE"""),"NA")</f>
        <v>NA</v>
      </c>
    </row>
    <row r="13690">
      <c r="A13690" t="str">
        <f>IFERROR(__xludf.DUMMYFUNCTION("""COMPUTED_VALUE"""),"NA")</f>
        <v>NA</v>
      </c>
    </row>
    <row r="13691">
      <c r="A13691" t="str">
        <f>IFERROR(__xludf.DUMMYFUNCTION("""COMPUTED_VALUE"""),"NA")</f>
        <v>NA</v>
      </c>
    </row>
    <row r="13692">
      <c r="A13692" t="str">
        <f>IFERROR(__xludf.DUMMYFUNCTION("""COMPUTED_VALUE"""),"NA")</f>
        <v>NA</v>
      </c>
    </row>
    <row r="13693">
      <c r="A13693" t="str">
        <f>IFERROR(__xludf.DUMMYFUNCTION("""COMPUTED_VALUE"""),"NA")</f>
        <v>NA</v>
      </c>
    </row>
    <row r="13694">
      <c r="A13694" t="str">
        <f>IFERROR(__xludf.DUMMYFUNCTION("""COMPUTED_VALUE"""),"NA")</f>
        <v>NA</v>
      </c>
    </row>
    <row r="13695">
      <c r="A13695" t="str">
        <f>IFERROR(__xludf.DUMMYFUNCTION("""COMPUTED_VALUE"""),"NA")</f>
        <v>NA</v>
      </c>
    </row>
    <row r="13696">
      <c r="A13696" t="str">
        <f>IFERROR(__xludf.DUMMYFUNCTION("""COMPUTED_VALUE"""),"NA")</f>
        <v>NA</v>
      </c>
    </row>
    <row r="13697">
      <c r="A13697" t="str">
        <f>IFERROR(__xludf.DUMMYFUNCTION("""COMPUTED_VALUE"""),"NA")</f>
        <v>NA</v>
      </c>
    </row>
    <row r="13698">
      <c r="A13698" t="str">
        <f>IFERROR(__xludf.DUMMYFUNCTION("""COMPUTED_VALUE"""),"NA")</f>
        <v>NA</v>
      </c>
    </row>
    <row r="13699">
      <c r="A13699" t="str">
        <f>IFERROR(__xludf.DUMMYFUNCTION("""COMPUTED_VALUE"""),"NA")</f>
        <v>NA</v>
      </c>
    </row>
    <row r="13700">
      <c r="A13700" t="str">
        <f>IFERROR(__xludf.DUMMYFUNCTION("""COMPUTED_VALUE"""),"NA")</f>
        <v>NA</v>
      </c>
    </row>
    <row r="13701">
      <c r="A13701" t="str">
        <f>IFERROR(__xludf.DUMMYFUNCTION("""COMPUTED_VALUE"""),"NA")</f>
        <v>NA</v>
      </c>
    </row>
    <row r="13702">
      <c r="A13702" t="str">
        <f>IFERROR(__xludf.DUMMYFUNCTION("""COMPUTED_VALUE"""),"NA")</f>
        <v>NA</v>
      </c>
    </row>
    <row r="13703">
      <c r="A13703" t="str">
        <f>IFERROR(__xludf.DUMMYFUNCTION("""COMPUTED_VALUE"""),"NA")</f>
        <v>NA</v>
      </c>
    </row>
    <row r="13704">
      <c r="A13704" t="str">
        <f>IFERROR(__xludf.DUMMYFUNCTION("""COMPUTED_VALUE"""),"NA")</f>
        <v>NA</v>
      </c>
    </row>
    <row r="13705">
      <c r="A13705" t="str">
        <f>IFERROR(__xludf.DUMMYFUNCTION("""COMPUTED_VALUE"""),"NA")</f>
        <v>NA</v>
      </c>
    </row>
    <row r="13706">
      <c r="A13706" t="str">
        <f>IFERROR(__xludf.DUMMYFUNCTION("""COMPUTED_VALUE"""),"NA")</f>
        <v>NA</v>
      </c>
    </row>
    <row r="13707">
      <c r="A13707" t="str">
        <f>IFERROR(__xludf.DUMMYFUNCTION("""COMPUTED_VALUE"""),"NA")</f>
        <v>NA</v>
      </c>
    </row>
    <row r="13708">
      <c r="A13708" t="str">
        <f>IFERROR(__xludf.DUMMYFUNCTION("""COMPUTED_VALUE"""),"NA")</f>
        <v>NA</v>
      </c>
    </row>
    <row r="13709">
      <c r="A13709" t="str">
        <f>IFERROR(__xludf.DUMMYFUNCTION("""COMPUTED_VALUE"""),"NA")</f>
        <v>NA</v>
      </c>
    </row>
    <row r="13710">
      <c r="A13710" t="str">
        <f>IFERROR(__xludf.DUMMYFUNCTION("""COMPUTED_VALUE"""),"NA")</f>
        <v>NA</v>
      </c>
    </row>
    <row r="13711">
      <c r="A13711" t="str">
        <f>IFERROR(__xludf.DUMMYFUNCTION("""COMPUTED_VALUE"""),"NA")</f>
        <v>NA</v>
      </c>
    </row>
    <row r="13712">
      <c r="A13712" t="str">
        <f>IFERROR(__xludf.DUMMYFUNCTION("""COMPUTED_VALUE"""),"NA")</f>
        <v>NA</v>
      </c>
    </row>
    <row r="13713">
      <c r="A13713" t="str">
        <f>IFERROR(__xludf.DUMMYFUNCTION("""COMPUTED_VALUE"""),"NA")</f>
        <v>NA</v>
      </c>
    </row>
    <row r="13714">
      <c r="A13714" t="str">
        <f>IFERROR(__xludf.DUMMYFUNCTION("""COMPUTED_VALUE"""),"NA")</f>
        <v>NA</v>
      </c>
    </row>
    <row r="13715">
      <c r="A13715" t="str">
        <f>IFERROR(__xludf.DUMMYFUNCTION("""COMPUTED_VALUE"""),"NA")</f>
        <v>NA</v>
      </c>
    </row>
    <row r="13716">
      <c r="A13716" t="str">
        <f>IFERROR(__xludf.DUMMYFUNCTION("""COMPUTED_VALUE"""),"NA")</f>
        <v>NA</v>
      </c>
    </row>
    <row r="13717">
      <c r="A13717" t="str">
        <f>IFERROR(__xludf.DUMMYFUNCTION("""COMPUTED_VALUE"""),"NA")</f>
        <v>NA</v>
      </c>
    </row>
    <row r="13718">
      <c r="A13718" t="str">
        <f>IFERROR(__xludf.DUMMYFUNCTION("""COMPUTED_VALUE"""),"NA")</f>
        <v>NA</v>
      </c>
    </row>
    <row r="13719">
      <c r="A13719" t="str">
        <f>IFERROR(__xludf.DUMMYFUNCTION("""COMPUTED_VALUE"""),"NA")</f>
        <v>NA</v>
      </c>
    </row>
    <row r="13720">
      <c r="A13720" t="str">
        <f>IFERROR(__xludf.DUMMYFUNCTION("""COMPUTED_VALUE"""),"NA")</f>
        <v>NA</v>
      </c>
    </row>
    <row r="13721">
      <c r="A13721" t="str">
        <f>IFERROR(__xludf.DUMMYFUNCTION("""COMPUTED_VALUE"""),"NA")</f>
        <v>NA</v>
      </c>
    </row>
    <row r="13722">
      <c r="A13722" t="str">
        <f>IFERROR(__xludf.DUMMYFUNCTION("""COMPUTED_VALUE"""),"NA")</f>
        <v>NA</v>
      </c>
    </row>
    <row r="13723">
      <c r="A13723" t="str">
        <f>IFERROR(__xludf.DUMMYFUNCTION("""COMPUTED_VALUE"""),"NA")</f>
        <v>NA</v>
      </c>
    </row>
    <row r="13724">
      <c r="A13724" t="str">
        <f>IFERROR(__xludf.DUMMYFUNCTION("""COMPUTED_VALUE"""),"NA")</f>
        <v>NA</v>
      </c>
    </row>
    <row r="13725">
      <c r="A13725" t="str">
        <f>IFERROR(__xludf.DUMMYFUNCTION("""COMPUTED_VALUE"""),"NA")</f>
        <v>NA</v>
      </c>
    </row>
    <row r="13726">
      <c r="A13726" t="str">
        <f>IFERROR(__xludf.DUMMYFUNCTION("""COMPUTED_VALUE"""),"NA")</f>
        <v>NA</v>
      </c>
    </row>
    <row r="13727">
      <c r="A13727" t="str">
        <f>IFERROR(__xludf.DUMMYFUNCTION("""COMPUTED_VALUE"""),"NA")</f>
        <v>NA</v>
      </c>
    </row>
    <row r="13728">
      <c r="A13728" t="str">
        <f>IFERROR(__xludf.DUMMYFUNCTION("""COMPUTED_VALUE"""),"NA")</f>
        <v>NA</v>
      </c>
    </row>
    <row r="13729">
      <c r="A13729" t="str">
        <f>IFERROR(__xludf.DUMMYFUNCTION("""COMPUTED_VALUE"""),"NA")</f>
        <v>NA</v>
      </c>
    </row>
    <row r="13730">
      <c r="A13730" t="str">
        <f>IFERROR(__xludf.DUMMYFUNCTION("""COMPUTED_VALUE"""),"NA")</f>
        <v>NA</v>
      </c>
    </row>
    <row r="13731">
      <c r="A13731" t="str">
        <f>IFERROR(__xludf.DUMMYFUNCTION("""COMPUTED_VALUE"""),"NA")</f>
        <v>NA</v>
      </c>
    </row>
    <row r="13732">
      <c r="A13732" t="str">
        <f>IFERROR(__xludf.DUMMYFUNCTION("""COMPUTED_VALUE"""),"NA")</f>
        <v>NA</v>
      </c>
    </row>
    <row r="13733">
      <c r="A13733" t="str">
        <f>IFERROR(__xludf.DUMMYFUNCTION("""COMPUTED_VALUE"""),"NA")</f>
        <v>NA</v>
      </c>
    </row>
    <row r="13734">
      <c r="A13734" t="str">
        <f>IFERROR(__xludf.DUMMYFUNCTION("""COMPUTED_VALUE"""),"NA")</f>
        <v>NA</v>
      </c>
    </row>
    <row r="13735">
      <c r="A13735" t="str">
        <f>IFERROR(__xludf.DUMMYFUNCTION("""COMPUTED_VALUE"""),"NA")</f>
        <v>NA</v>
      </c>
    </row>
    <row r="13736">
      <c r="A13736" t="str">
        <f>IFERROR(__xludf.DUMMYFUNCTION("""COMPUTED_VALUE"""),"NA")</f>
        <v>NA</v>
      </c>
    </row>
    <row r="13737">
      <c r="A13737" t="str">
        <f>IFERROR(__xludf.DUMMYFUNCTION("""COMPUTED_VALUE"""),"NA")</f>
        <v>NA</v>
      </c>
    </row>
    <row r="13738">
      <c r="A13738" t="str">
        <f>IFERROR(__xludf.DUMMYFUNCTION("""COMPUTED_VALUE"""),"NA")</f>
        <v>NA</v>
      </c>
    </row>
    <row r="13739">
      <c r="A13739" t="str">
        <f>IFERROR(__xludf.DUMMYFUNCTION("""COMPUTED_VALUE"""),"NA")</f>
        <v>NA</v>
      </c>
    </row>
    <row r="13740">
      <c r="A13740" t="str">
        <f>IFERROR(__xludf.DUMMYFUNCTION("""COMPUTED_VALUE"""),"NA")</f>
        <v>NA</v>
      </c>
    </row>
    <row r="13741">
      <c r="A13741" t="str">
        <f>IFERROR(__xludf.DUMMYFUNCTION("""COMPUTED_VALUE"""),"NA")</f>
        <v>NA</v>
      </c>
    </row>
    <row r="13742">
      <c r="A13742" t="str">
        <f>IFERROR(__xludf.DUMMYFUNCTION("""COMPUTED_VALUE"""),"NA")</f>
        <v>NA</v>
      </c>
    </row>
    <row r="13743">
      <c r="A13743" t="str">
        <f>IFERROR(__xludf.DUMMYFUNCTION("""COMPUTED_VALUE"""),"NA")</f>
        <v>NA</v>
      </c>
    </row>
    <row r="13744">
      <c r="A13744" t="str">
        <f>IFERROR(__xludf.DUMMYFUNCTION("""COMPUTED_VALUE"""),"NA")</f>
        <v>NA</v>
      </c>
    </row>
    <row r="13745">
      <c r="A13745" t="str">
        <f>IFERROR(__xludf.DUMMYFUNCTION("""COMPUTED_VALUE"""),"NA")</f>
        <v>NA</v>
      </c>
    </row>
    <row r="13746">
      <c r="A13746" t="str">
        <f>IFERROR(__xludf.DUMMYFUNCTION("""COMPUTED_VALUE"""),"NA")</f>
        <v>NA</v>
      </c>
    </row>
    <row r="13747">
      <c r="A13747" t="str">
        <f>IFERROR(__xludf.DUMMYFUNCTION("""COMPUTED_VALUE"""),"NA")</f>
        <v>NA</v>
      </c>
    </row>
    <row r="13748">
      <c r="A13748" t="str">
        <f>IFERROR(__xludf.DUMMYFUNCTION("""COMPUTED_VALUE"""),"NA")</f>
        <v>NA</v>
      </c>
    </row>
    <row r="13749">
      <c r="A13749" t="str">
        <f>IFERROR(__xludf.DUMMYFUNCTION("""COMPUTED_VALUE"""),"NA")</f>
        <v>NA</v>
      </c>
    </row>
    <row r="13750">
      <c r="A13750" t="str">
        <f>IFERROR(__xludf.DUMMYFUNCTION("""COMPUTED_VALUE"""),"NA")</f>
        <v>NA</v>
      </c>
    </row>
    <row r="13751">
      <c r="A13751" t="str">
        <f>IFERROR(__xludf.DUMMYFUNCTION("""COMPUTED_VALUE"""),"NA")</f>
        <v>NA</v>
      </c>
    </row>
    <row r="13752">
      <c r="A13752" t="str">
        <f>IFERROR(__xludf.DUMMYFUNCTION("""COMPUTED_VALUE"""),"NA")</f>
        <v>NA</v>
      </c>
    </row>
    <row r="13753">
      <c r="A13753" t="str">
        <f>IFERROR(__xludf.DUMMYFUNCTION("""COMPUTED_VALUE"""),"NA")</f>
        <v>NA</v>
      </c>
    </row>
    <row r="13754">
      <c r="A13754" t="str">
        <f>IFERROR(__xludf.DUMMYFUNCTION("""COMPUTED_VALUE"""),"NA")</f>
        <v>NA</v>
      </c>
    </row>
    <row r="13755">
      <c r="A13755" t="str">
        <f>IFERROR(__xludf.DUMMYFUNCTION("""COMPUTED_VALUE"""),"NA")</f>
        <v>NA</v>
      </c>
    </row>
    <row r="13756">
      <c r="A13756" t="str">
        <f>IFERROR(__xludf.DUMMYFUNCTION("""COMPUTED_VALUE"""),"NA")</f>
        <v>NA</v>
      </c>
    </row>
    <row r="13757">
      <c r="A13757" t="str">
        <f>IFERROR(__xludf.DUMMYFUNCTION("""COMPUTED_VALUE"""),"NA")</f>
        <v>NA</v>
      </c>
    </row>
    <row r="13758">
      <c r="A13758" t="str">
        <f>IFERROR(__xludf.DUMMYFUNCTION("""COMPUTED_VALUE"""),"NA")</f>
        <v>NA</v>
      </c>
    </row>
    <row r="13759">
      <c r="A13759" t="str">
        <f>IFERROR(__xludf.DUMMYFUNCTION("""COMPUTED_VALUE"""),"NA")</f>
        <v>NA</v>
      </c>
    </row>
    <row r="13760">
      <c r="A13760" t="str">
        <f>IFERROR(__xludf.DUMMYFUNCTION("""COMPUTED_VALUE"""),"NA")</f>
        <v>NA</v>
      </c>
    </row>
    <row r="13761">
      <c r="A13761" t="str">
        <f>IFERROR(__xludf.DUMMYFUNCTION("""COMPUTED_VALUE"""),"NA")</f>
        <v>NA</v>
      </c>
    </row>
    <row r="13762">
      <c r="A13762" t="str">
        <f>IFERROR(__xludf.DUMMYFUNCTION("""COMPUTED_VALUE"""),"NA")</f>
        <v>NA</v>
      </c>
    </row>
    <row r="13763">
      <c r="A13763" t="str">
        <f>IFERROR(__xludf.DUMMYFUNCTION("""COMPUTED_VALUE"""),"NA")</f>
        <v>NA</v>
      </c>
    </row>
    <row r="13764">
      <c r="A13764" t="str">
        <f>IFERROR(__xludf.DUMMYFUNCTION("""COMPUTED_VALUE"""),"NA")</f>
        <v>NA</v>
      </c>
    </row>
    <row r="13765">
      <c r="A13765" t="str">
        <f>IFERROR(__xludf.DUMMYFUNCTION("""COMPUTED_VALUE"""),"NA")</f>
        <v>NA</v>
      </c>
    </row>
    <row r="13766">
      <c r="A13766" t="str">
        <f>IFERROR(__xludf.DUMMYFUNCTION("""COMPUTED_VALUE"""),"NA")</f>
        <v>NA</v>
      </c>
    </row>
    <row r="13767">
      <c r="A13767" t="str">
        <f>IFERROR(__xludf.DUMMYFUNCTION("""COMPUTED_VALUE"""),"NA")</f>
        <v>NA</v>
      </c>
    </row>
    <row r="13768">
      <c r="A13768" t="str">
        <f>IFERROR(__xludf.DUMMYFUNCTION("""COMPUTED_VALUE"""),"NA")</f>
        <v>NA</v>
      </c>
    </row>
    <row r="13769">
      <c r="A13769" t="str">
        <f>IFERROR(__xludf.DUMMYFUNCTION("""COMPUTED_VALUE"""),"NA")</f>
        <v>NA</v>
      </c>
    </row>
    <row r="13770">
      <c r="A13770" t="str">
        <f>IFERROR(__xludf.DUMMYFUNCTION("""COMPUTED_VALUE"""),"NA")</f>
        <v>NA</v>
      </c>
    </row>
    <row r="13771">
      <c r="A13771" t="str">
        <f>IFERROR(__xludf.DUMMYFUNCTION("""COMPUTED_VALUE"""),"NA")</f>
        <v>NA</v>
      </c>
    </row>
    <row r="13772">
      <c r="A13772" t="str">
        <f>IFERROR(__xludf.DUMMYFUNCTION("""COMPUTED_VALUE"""),"NA")</f>
        <v>NA</v>
      </c>
    </row>
    <row r="13773">
      <c r="A13773" t="str">
        <f>IFERROR(__xludf.DUMMYFUNCTION("""COMPUTED_VALUE"""),"NA")</f>
        <v>NA</v>
      </c>
    </row>
    <row r="13774">
      <c r="A13774" t="str">
        <f>IFERROR(__xludf.DUMMYFUNCTION("""COMPUTED_VALUE"""),"NA")</f>
        <v>NA</v>
      </c>
    </row>
    <row r="13775">
      <c r="A13775" t="str">
        <f>IFERROR(__xludf.DUMMYFUNCTION("""COMPUTED_VALUE"""),"NA")</f>
        <v>NA</v>
      </c>
    </row>
    <row r="13776">
      <c r="A13776" t="str">
        <f>IFERROR(__xludf.DUMMYFUNCTION("""COMPUTED_VALUE"""),"NA")</f>
        <v>NA</v>
      </c>
    </row>
    <row r="13777">
      <c r="A13777" t="str">
        <f>IFERROR(__xludf.DUMMYFUNCTION("""COMPUTED_VALUE"""),"NA")</f>
        <v>NA</v>
      </c>
    </row>
    <row r="13778">
      <c r="A13778" t="str">
        <f>IFERROR(__xludf.DUMMYFUNCTION("""COMPUTED_VALUE"""),"NA")</f>
        <v>NA</v>
      </c>
    </row>
    <row r="13779">
      <c r="A13779" t="str">
        <f>IFERROR(__xludf.DUMMYFUNCTION("""COMPUTED_VALUE"""),"NA")</f>
        <v>NA</v>
      </c>
    </row>
    <row r="13780">
      <c r="A13780" t="str">
        <f>IFERROR(__xludf.DUMMYFUNCTION("""COMPUTED_VALUE"""),"NA")</f>
        <v>NA</v>
      </c>
    </row>
    <row r="13781">
      <c r="A13781" t="str">
        <f>IFERROR(__xludf.DUMMYFUNCTION("""COMPUTED_VALUE"""),"NA")</f>
        <v>NA</v>
      </c>
    </row>
    <row r="13782">
      <c r="A13782" t="str">
        <f>IFERROR(__xludf.DUMMYFUNCTION("""COMPUTED_VALUE"""),"NA")</f>
        <v>NA</v>
      </c>
    </row>
    <row r="13783">
      <c r="A13783" t="str">
        <f>IFERROR(__xludf.DUMMYFUNCTION("""COMPUTED_VALUE"""),"NA")</f>
        <v>NA</v>
      </c>
    </row>
    <row r="13784">
      <c r="A13784" t="str">
        <f>IFERROR(__xludf.DUMMYFUNCTION("""COMPUTED_VALUE"""),"NA")</f>
        <v>NA</v>
      </c>
    </row>
    <row r="13785">
      <c r="A13785" t="str">
        <f>IFERROR(__xludf.DUMMYFUNCTION("""COMPUTED_VALUE"""),"NA")</f>
        <v>NA</v>
      </c>
    </row>
    <row r="13786">
      <c r="A13786" t="str">
        <f>IFERROR(__xludf.DUMMYFUNCTION("""COMPUTED_VALUE"""),"NA")</f>
        <v>NA</v>
      </c>
    </row>
    <row r="13787">
      <c r="A13787" t="str">
        <f>IFERROR(__xludf.DUMMYFUNCTION("""COMPUTED_VALUE"""),"NA")</f>
        <v>NA</v>
      </c>
    </row>
    <row r="13788">
      <c r="A13788" t="str">
        <f>IFERROR(__xludf.DUMMYFUNCTION("""COMPUTED_VALUE"""),"NA")</f>
        <v>NA</v>
      </c>
    </row>
    <row r="13789">
      <c r="A13789" t="str">
        <f>IFERROR(__xludf.DUMMYFUNCTION("""COMPUTED_VALUE"""),"NA")</f>
        <v>NA</v>
      </c>
    </row>
    <row r="13790">
      <c r="A13790" t="str">
        <f>IFERROR(__xludf.DUMMYFUNCTION("""COMPUTED_VALUE"""),"NA")</f>
        <v>NA</v>
      </c>
    </row>
    <row r="13791">
      <c r="A13791" t="str">
        <f>IFERROR(__xludf.DUMMYFUNCTION("""COMPUTED_VALUE"""),"NA")</f>
        <v>NA</v>
      </c>
    </row>
    <row r="13792">
      <c r="A13792" t="str">
        <f>IFERROR(__xludf.DUMMYFUNCTION("""COMPUTED_VALUE"""),"NA")</f>
        <v>NA</v>
      </c>
    </row>
    <row r="13793">
      <c r="A13793" t="str">
        <f>IFERROR(__xludf.DUMMYFUNCTION("""COMPUTED_VALUE"""),"NA")</f>
        <v>NA</v>
      </c>
    </row>
    <row r="13794">
      <c r="A13794" t="str">
        <f>IFERROR(__xludf.DUMMYFUNCTION("""COMPUTED_VALUE"""),"NA")</f>
        <v>NA</v>
      </c>
    </row>
    <row r="13795">
      <c r="A13795" t="str">
        <f>IFERROR(__xludf.DUMMYFUNCTION("""COMPUTED_VALUE"""),"NA")</f>
        <v>NA</v>
      </c>
    </row>
    <row r="13796">
      <c r="A13796" t="str">
        <f>IFERROR(__xludf.DUMMYFUNCTION("""COMPUTED_VALUE"""),"NA")</f>
        <v>NA</v>
      </c>
    </row>
    <row r="13797">
      <c r="A13797" t="str">
        <f>IFERROR(__xludf.DUMMYFUNCTION("""COMPUTED_VALUE"""),"NA")</f>
        <v>NA</v>
      </c>
    </row>
    <row r="13798">
      <c r="A13798" t="str">
        <f>IFERROR(__xludf.DUMMYFUNCTION("""COMPUTED_VALUE"""),"NA")</f>
        <v>NA</v>
      </c>
    </row>
    <row r="13799">
      <c r="A13799" t="str">
        <f>IFERROR(__xludf.DUMMYFUNCTION("""COMPUTED_VALUE"""),"NA")</f>
        <v>NA</v>
      </c>
    </row>
    <row r="13800">
      <c r="A13800" t="str">
        <f>IFERROR(__xludf.DUMMYFUNCTION("""COMPUTED_VALUE"""),"NA")</f>
        <v>NA</v>
      </c>
    </row>
    <row r="13801">
      <c r="A13801" t="str">
        <f>IFERROR(__xludf.DUMMYFUNCTION("""COMPUTED_VALUE"""),"NA")</f>
        <v>NA</v>
      </c>
    </row>
    <row r="13802">
      <c r="A13802" t="str">
        <f>IFERROR(__xludf.DUMMYFUNCTION("""COMPUTED_VALUE"""),"NA")</f>
        <v>NA</v>
      </c>
    </row>
    <row r="13803">
      <c r="A13803" t="str">
        <f>IFERROR(__xludf.DUMMYFUNCTION("""COMPUTED_VALUE"""),"NA")</f>
        <v>NA</v>
      </c>
    </row>
    <row r="13804">
      <c r="A13804" t="str">
        <f>IFERROR(__xludf.DUMMYFUNCTION("""COMPUTED_VALUE"""),"NA")</f>
        <v>NA</v>
      </c>
    </row>
    <row r="13805">
      <c r="A13805" t="str">
        <f>IFERROR(__xludf.DUMMYFUNCTION("""COMPUTED_VALUE"""),"NA")</f>
        <v>NA</v>
      </c>
    </row>
    <row r="13806">
      <c r="A13806" t="str">
        <f>IFERROR(__xludf.DUMMYFUNCTION("""COMPUTED_VALUE"""),"NA")</f>
        <v>NA</v>
      </c>
    </row>
    <row r="13807">
      <c r="A13807" t="str">
        <f>IFERROR(__xludf.DUMMYFUNCTION("""COMPUTED_VALUE"""),"NA")</f>
        <v>NA</v>
      </c>
    </row>
    <row r="13808">
      <c r="A13808" t="str">
        <f>IFERROR(__xludf.DUMMYFUNCTION("""COMPUTED_VALUE"""),"NA")</f>
        <v>NA</v>
      </c>
    </row>
    <row r="13809">
      <c r="A13809" t="str">
        <f>IFERROR(__xludf.DUMMYFUNCTION("""COMPUTED_VALUE"""),"NA")</f>
        <v>NA</v>
      </c>
    </row>
    <row r="13810">
      <c r="A13810" t="str">
        <f>IFERROR(__xludf.DUMMYFUNCTION("""COMPUTED_VALUE"""),"NA")</f>
        <v>NA</v>
      </c>
    </row>
    <row r="13811">
      <c r="A13811" t="str">
        <f>IFERROR(__xludf.DUMMYFUNCTION("""COMPUTED_VALUE"""),"NA")</f>
        <v>NA</v>
      </c>
    </row>
    <row r="13812">
      <c r="A13812" t="str">
        <f>IFERROR(__xludf.DUMMYFUNCTION("""COMPUTED_VALUE"""),"NA")</f>
        <v>NA</v>
      </c>
    </row>
    <row r="13813">
      <c r="A13813" t="str">
        <f>IFERROR(__xludf.DUMMYFUNCTION("""COMPUTED_VALUE"""),"NA")</f>
        <v>NA</v>
      </c>
    </row>
    <row r="13814">
      <c r="A13814" t="str">
        <f>IFERROR(__xludf.DUMMYFUNCTION("""COMPUTED_VALUE"""),"NA")</f>
        <v>NA</v>
      </c>
    </row>
    <row r="13815">
      <c r="A13815" t="str">
        <f>IFERROR(__xludf.DUMMYFUNCTION("""COMPUTED_VALUE"""),"NA")</f>
        <v>NA</v>
      </c>
    </row>
    <row r="13816">
      <c r="A13816" t="str">
        <f>IFERROR(__xludf.DUMMYFUNCTION("""COMPUTED_VALUE"""),"NA")</f>
        <v>NA</v>
      </c>
    </row>
    <row r="13817">
      <c r="A13817" t="str">
        <f>IFERROR(__xludf.DUMMYFUNCTION("""COMPUTED_VALUE"""),"NA")</f>
        <v>NA</v>
      </c>
    </row>
    <row r="13818">
      <c r="A13818" t="str">
        <f>IFERROR(__xludf.DUMMYFUNCTION("""COMPUTED_VALUE"""),"NA")</f>
        <v>NA</v>
      </c>
    </row>
    <row r="13819">
      <c r="A13819" t="str">
        <f>IFERROR(__xludf.DUMMYFUNCTION("""COMPUTED_VALUE"""),"NA")</f>
        <v>NA</v>
      </c>
    </row>
    <row r="13820">
      <c r="A13820" t="str">
        <f>IFERROR(__xludf.DUMMYFUNCTION("""COMPUTED_VALUE"""),"NA")</f>
        <v>NA</v>
      </c>
    </row>
    <row r="13821">
      <c r="A13821" t="str">
        <f>IFERROR(__xludf.DUMMYFUNCTION("""COMPUTED_VALUE"""),"NA")</f>
        <v>NA</v>
      </c>
    </row>
    <row r="13822">
      <c r="A13822" t="str">
        <f>IFERROR(__xludf.DUMMYFUNCTION("""COMPUTED_VALUE"""),"NA")</f>
        <v>NA</v>
      </c>
    </row>
    <row r="13823">
      <c r="A13823" t="str">
        <f>IFERROR(__xludf.DUMMYFUNCTION("""COMPUTED_VALUE"""),"NA")</f>
        <v>NA</v>
      </c>
    </row>
    <row r="13824">
      <c r="A13824" t="str">
        <f>IFERROR(__xludf.DUMMYFUNCTION("""COMPUTED_VALUE"""),"NA")</f>
        <v>NA</v>
      </c>
    </row>
    <row r="13825">
      <c r="A13825" t="str">
        <f>IFERROR(__xludf.DUMMYFUNCTION("""COMPUTED_VALUE"""),"NA")</f>
        <v>NA</v>
      </c>
    </row>
    <row r="13826">
      <c r="A13826" t="str">
        <f>IFERROR(__xludf.DUMMYFUNCTION("""COMPUTED_VALUE"""),"NA")</f>
        <v>NA</v>
      </c>
    </row>
    <row r="13827">
      <c r="A13827" t="str">
        <f>IFERROR(__xludf.DUMMYFUNCTION("""COMPUTED_VALUE"""),"NA")</f>
        <v>NA</v>
      </c>
    </row>
    <row r="13828">
      <c r="A13828" t="str">
        <f>IFERROR(__xludf.DUMMYFUNCTION("""COMPUTED_VALUE"""),"NA")</f>
        <v>NA</v>
      </c>
    </row>
    <row r="13829">
      <c r="A13829" t="str">
        <f>IFERROR(__xludf.DUMMYFUNCTION("""COMPUTED_VALUE"""),"NA")</f>
        <v>NA</v>
      </c>
    </row>
    <row r="13830">
      <c r="A13830" t="str">
        <f>IFERROR(__xludf.DUMMYFUNCTION("""COMPUTED_VALUE"""),"NA")</f>
        <v>NA</v>
      </c>
    </row>
    <row r="13831">
      <c r="A13831" t="str">
        <f>IFERROR(__xludf.DUMMYFUNCTION("""COMPUTED_VALUE"""),"NA")</f>
        <v>NA</v>
      </c>
    </row>
    <row r="13832">
      <c r="A13832" t="str">
        <f>IFERROR(__xludf.DUMMYFUNCTION("""COMPUTED_VALUE"""),"NA")</f>
        <v>NA</v>
      </c>
    </row>
    <row r="13833">
      <c r="A13833" t="str">
        <f>IFERROR(__xludf.DUMMYFUNCTION("""COMPUTED_VALUE"""),"NA")</f>
        <v>NA</v>
      </c>
    </row>
    <row r="13834">
      <c r="A13834" t="str">
        <f>IFERROR(__xludf.DUMMYFUNCTION("""COMPUTED_VALUE"""),"NA")</f>
        <v>NA</v>
      </c>
    </row>
    <row r="13835">
      <c r="A13835" t="str">
        <f>IFERROR(__xludf.DUMMYFUNCTION("""COMPUTED_VALUE"""),"NA")</f>
        <v>NA</v>
      </c>
    </row>
    <row r="13836">
      <c r="A13836" t="str">
        <f>IFERROR(__xludf.DUMMYFUNCTION("""COMPUTED_VALUE"""),"NA")</f>
        <v>NA</v>
      </c>
    </row>
    <row r="13837">
      <c r="A13837" t="str">
        <f>IFERROR(__xludf.DUMMYFUNCTION("""COMPUTED_VALUE"""),"NA")</f>
        <v>NA</v>
      </c>
    </row>
    <row r="13838">
      <c r="A13838" t="str">
        <f>IFERROR(__xludf.DUMMYFUNCTION("""COMPUTED_VALUE"""),"NA")</f>
        <v>NA</v>
      </c>
    </row>
    <row r="13839">
      <c r="A13839" t="str">
        <f>IFERROR(__xludf.DUMMYFUNCTION("""COMPUTED_VALUE"""),"NA")</f>
        <v>NA</v>
      </c>
    </row>
    <row r="13840">
      <c r="A13840" t="str">
        <f>IFERROR(__xludf.DUMMYFUNCTION("""COMPUTED_VALUE"""),"NA")</f>
        <v>NA</v>
      </c>
    </row>
    <row r="13841">
      <c r="A13841" t="str">
        <f>IFERROR(__xludf.DUMMYFUNCTION("""COMPUTED_VALUE"""),"NA")</f>
        <v>NA</v>
      </c>
    </row>
    <row r="13842">
      <c r="A13842" t="str">
        <f>IFERROR(__xludf.DUMMYFUNCTION("""COMPUTED_VALUE"""),"NA")</f>
        <v>NA</v>
      </c>
    </row>
    <row r="13843">
      <c r="A13843" t="str">
        <f>IFERROR(__xludf.DUMMYFUNCTION("""COMPUTED_VALUE"""),"NA")</f>
        <v>NA</v>
      </c>
    </row>
    <row r="13844">
      <c r="A13844" t="str">
        <f>IFERROR(__xludf.DUMMYFUNCTION("""COMPUTED_VALUE"""),"NA")</f>
        <v>NA</v>
      </c>
    </row>
    <row r="13845">
      <c r="A13845" t="str">
        <f>IFERROR(__xludf.DUMMYFUNCTION("""COMPUTED_VALUE"""),"NA")</f>
        <v>NA</v>
      </c>
    </row>
    <row r="13846">
      <c r="A13846" t="str">
        <f>IFERROR(__xludf.DUMMYFUNCTION("""COMPUTED_VALUE"""),"NA")</f>
        <v>NA</v>
      </c>
    </row>
    <row r="13847">
      <c r="A13847" t="str">
        <f>IFERROR(__xludf.DUMMYFUNCTION("""COMPUTED_VALUE"""),"NA")</f>
        <v>NA</v>
      </c>
    </row>
    <row r="13848">
      <c r="A13848" t="str">
        <f>IFERROR(__xludf.DUMMYFUNCTION("""COMPUTED_VALUE"""),"NA")</f>
        <v>NA</v>
      </c>
    </row>
    <row r="13849">
      <c r="A13849" t="str">
        <f>IFERROR(__xludf.DUMMYFUNCTION("""COMPUTED_VALUE"""),"NA")</f>
        <v>NA</v>
      </c>
    </row>
    <row r="13850">
      <c r="A13850" t="str">
        <f>IFERROR(__xludf.DUMMYFUNCTION("""COMPUTED_VALUE"""),"NA")</f>
        <v>NA</v>
      </c>
    </row>
    <row r="13851">
      <c r="A13851" t="str">
        <f>IFERROR(__xludf.DUMMYFUNCTION("""COMPUTED_VALUE"""),"NA")</f>
        <v>NA</v>
      </c>
    </row>
    <row r="13852">
      <c r="A13852" t="str">
        <f>IFERROR(__xludf.DUMMYFUNCTION("""COMPUTED_VALUE"""),"NA")</f>
        <v>NA</v>
      </c>
    </row>
    <row r="13853">
      <c r="A13853" t="str">
        <f>IFERROR(__xludf.DUMMYFUNCTION("""COMPUTED_VALUE"""),"NA")</f>
        <v>NA</v>
      </c>
    </row>
    <row r="13854">
      <c r="A13854" t="str">
        <f>IFERROR(__xludf.DUMMYFUNCTION("""COMPUTED_VALUE"""),"NA")</f>
        <v>NA</v>
      </c>
    </row>
    <row r="13855">
      <c r="A13855" t="str">
        <f>IFERROR(__xludf.DUMMYFUNCTION("""COMPUTED_VALUE"""),"NA")</f>
        <v>NA</v>
      </c>
    </row>
    <row r="13856">
      <c r="A13856" t="str">
        <f>IFERROR(__xludf.DUMMYFUNCTION("""COMPUTED_VALUE"""),"NA")</f>
        <v>NA</v>
      </c>
    </row>
    <row r="13857">
      <c r="A13857" t="str">
        <f>IFERROR(__xludf.DUMMYFUNCTION("""COMPUTED_VALUE"""),"NA")</f>
        <v>NA</v>
      </c>
    </row>
    <row r="13858">
      <c r="A13858" t="str">
        <f>IFERROR(__xludf.DUMMYFUNCTION("""COMPUTED_VALUE"""),"NA")</f>
        <v>NA</v>
      </c>
    </row>
    <row r="13859">
      <c r="A13859" t="str">
        <f>IFERROR(__xludf.DUMMYFUNCTION("""COMPUTED_VALUE"""),"NA")</f>
        <v>NA</v>
      </c>
    </row>
    <row r="13860">
      <c r="A13860" t="str">
        <f>IFERROR(__xludf.DUMMYFUNCTION("""COMPUTED_VALUE"""),"NA")</f>
        <v>NA</v>
      </c>
    </row>
    <row r="13861">
      <c r="A13861" t="str">
        <f>IFERROR(__xludf.DUMMYFUNCTION("""COMPUTED_VALUE"""),"NA")</f>
        <v>NA</v>
      </c>
    </row>
    <row r="13862">
      <c r="A13862" t="str">
        <f>IFERROR(__xludf.DUMMYFUNCTION("""COMPUTED_VALUE"""),"NA")</f>
        <v>NA</v>
      </c>
    </row>
    <row r="13863">
      <c r="A13863" t="str">
        <f>IFERROR(__xludf.DUMMYFUNCTION("""COMPUTED_VALUE"""),"NA")</f>
        <v>NA</v>
      </c>
    </row>
    <row r="13864">
      <c r="A13864" t="str">
        <f>IFERROR(__xludf.DUMMYFUNCTION("""COMPUTED_VALUE"""),"NA")</f>
        <v>NA</v>
      </c>
    </row>
    <row r="13865">
      <c r="A13865" t="str">
        <f>IFERROR(__xludf.DUMMYFUNCTION("""COMPUTED_VALUE"""),"NA")</f>
        <v>NA</v>
      </c>
    </row>
    <row r="13866">
      <c r="A13866" t="str">
        <f>IFERROR(__xludf.DUMMYFUNCTION("""COMPUTED_VALUE"""),"NA")</f>
        <v>NA</v>
      </c>
    </row>
    <row r="13867">
      <c r="A13867" t="str">
        <f>IFERROR(__xludf.DUMMYFUNCTION("""COMPUTED_VALUE"""),"NA")</f>
        <v>NA</v>
      </c>
    </row>
    <row r="13868">
      <c r="A13868" t="str">
        <f>IFERROR(__xludf.DUMMYFUNCTION("""COMPUTED_VALUE"""),"NA")</f>
        <v>NA</v>
      </c>
    </row>
    <row r="13869">
      <c r="A13869" t="str">
        <f>IFERROR(__xludf.DUMMYFUNCTION("""COMPUTED_VALUE"""),"NA")</f>
        <v>NA</v>
      </c>
    </row>
    <row r="13870">
      <c r="A13870" t="str">
        <f>IFERROR(__xludf.DUMMYFUNCTION("""COMPUTED_VALUE"""),"NA")</f>
        <v>NA</v>
      </c>
    </row>
    <row r="13871">
      <c r="A13871" t="str">
        <f>IFERROR(__xludf.DUMMYFUNCTION("""COMPUTED_VALUE"""),"NA")</f>
        <v>NA</v>
      </c>
    </row>
    <row r="13872">
      <c r="A13872" t="str">
        <f>IFERROR(__xludf.DUMMYFUNCTION("""COMPUTED_VALUE"""),"NA")</f>
        <v>NA</v>
      </c>
    </row>
    <row r="13873">
      <c r="A13873" t="str">
        <f>IFERROR(__xludf.DUMMYFUNCTION("""COMPUTED_VALUE"""),"NA")</f>
        <v>NA</v>
      </c>
    </row>
    <row r="13874">
      <c r="A13874" t="str">
        <f>IFERROR(__xludf.DUMMYFUNCTION("""COMPUTED_VALUE"""),"NA")</f>
        <v>NA</v>
      </c>
    </row>
    <row r="13875">
      <c r="A13875" t="str">
        <f>IFERROR(__xludf.DUMMYFUNCTION("""COMPUTED_VALUE"""),"NA")</f>
        <v>NA</v>
      </c>
    </row>
    <row r="13876">
      <c r="A13876" t="str">
        <f>IFERROR(__xludf.DUMMYFUNCTION("""COMPUTED_VALUE"""),"NA")</f>
        <v>NA</v>
      </c>
    </row>
    <row r="13877">
      <c r="A13877" t="str">
        <f>IFERROR(__xludf.DUMMYFUNCTION("""COMPUTED_VALUE"""),"NA")</f>
        <v>NA</v>
      </c>
    </row>
    <row r="13878">
      <c r="A13878" t="str">
        <f>IFERROR(__xludf.DUMMYFUNCTION("""COMPUTED_VALUE"""),"NA")</f>
        <v>NA</v>
      </c>
    </row>
    <row r="13879">
      <c r="A13879" t="str">
        <f>IFERROR(__xludf.DUMMYFUNCTION("""COMPUTED_VALUE"""),"NA")</f>
        <v>NA</v>
      </c>
    </row>
    <row r="13880">
      <c r="A13880" t="str">
        <f>IFERROR(__xludf.DUMMYFUNCTION("""COMPUTED_VALUE"""),"NA")</f>
        <v>NA</v>
      </c>
    </row>
    <row r="13881">
      <c r="A13881" t="str">
        <f>IFERROR(__xludf.DUMMYFUNCTION("""COMPUTED_VALUE"""),"NA")</f>
        <v>NA</v>
      </c>
    </row>
    <row r="13882">
      <c r="A13882" t="str">
        <f>IFERROR(__xludf.DUMMYFUNCTION("""COMPUTED_VALUE"""),"NA")</f>
        <v>NA</v>
      </c>
    </row>
    <row r="13883">
      <c r="A13883" t="str">
        <f>IFERROR(__xludf.DUMMYFUNCTION("""COMPUTED_VALUE"""),"NA")</f>
        <v>NA</v>
      </c>
    </row>
    <row r="13884">
      <c r="A13884" t="str">
        <f>IFERROR(__xludf.DUMMYFUNCTION("""COMPUTED_VALUE"""),"NA")</f>
        <v>NA</v>
      </c>
    </row>
    <row r="13885">
      <c r="A13885" t="str">
        <f>IFERROR(__xludf.DUMMYFUNCTION("""COMPUTED_VALUE"""),"NA")</f>
        <v>NA</v>
      </c>
    </row>
    <row r="13886">
      <c r="A13886" t="str">
        <f>IFERROR(__xludf.DUMMYFUNCTION("""COMPUTED_VALUE"""),"NA")</f>
        <v>NA</v>
      </c>
    </row>
    <row r="13887">
      <c r="A13887" t="str">
        <f>IFERROR(__xludf.DUMMYFUNCTION("""COMPUTED_VALUE"""),"NA")</f>
        <v>NA</v>
      </c>
    </row>
    <row r="13888">
      <c r="A13888" t="str">
        <f>IFERROR(__xludf.DUMMYFUNCTION("""COMPUTED_VALUE"""),"NA")</f>
        <v>NA</v>
      </c>
    </row>
    <row r="13889">
      <c r="A13889" t="str">
        <f>IFERROR(__xludf.DUMMYFUNCTION("""COMPUTED_VALUE"""),"NA")</f>
        <v>NA</v>
      </c>
    </row>
    <row r="13890">
      <c r="A13890" t="str">
        <f>IFERROR(__xludf.DUMMYFUNCTION("""COMPUTED_VALUE"""),"NA")</f>
        <v>NA</v>
      </c>
    </row>
    <row r="13891">
      <c r="A13891" t="str">
        <f>IFERROR(__xludf.DUMMYFUNCTION("""COMPUTED_VALUE"""),"NA")</f>
        <v>NA</v>
      </c>
    </row>
    <row r="13892">
      <c r="A13892" t="str">
        <f>IFERROR(__xludf.DUMMYFUNCTION("""COMPUTED_VALUE"""),"NA")</f>
        <v>NA</v>
      </c>
    </row>
    <row r="13893">
      <c r="A13893" t="str">
        <f>IFERROR(__xludf.DUMMYFUNCTION("""COMPUTED_VALUE"""),"NA")</f>
        <v>NA</v>
      </c>
    </row>
    <row r="13894">
      <c r="A13894" t="str">
        <f>IFERROR(__xludf.DUMMYFUNCTION("""COMPUTED_VALUE"""),"NA")</f>
        <v>NA</v>
      </c>
    </row>
    <row r="13895">
      <c r="A13895" t="str">
        <f>IFERROR(__xludf.DUMMYFUNCTION("""COMPUTED_VALUE"""),"NA")</f>
        <v>NA</v>
      </c>
    </row>
    <row r="13896">
      <c r="A13896" t="str">
        <f>IFERROR(__xludf.DUMMYFUNCTION("""COMPUTED_VALUE"""),"NA")</f>
        <v>NA</v>
      </c>
    </row>
    <row r="13897">
      <c r="A13897" t="str">
        <f>IFERROR(__xludf.DUMMYFUNCTION("""COMPUTED_VALUE"""),"NA")</f>
        <v>NA</v>
      </c>
    </row>
    <row r="13898">
      <c r="A13898" t="str">
        <f>IFERROR(__xludf.DUMMYFUNCTION("""COMPUTED_VALUE"""),"NA")</f>
        <v>NA</v>
      </c>
    </row>
    <row r="13899">
      <c r="A13899" t="str">
        <f>IFERROR(__xludf.DUMMYFUNCTION("""COMPUTED_VALUE"""),"NA")</f>
        <v>NA</v>
      </c>
    </row>
    <row r="13900">
      <c r="A13900" t="str">
        <f>IFERROR(__xludf.DUMMYFUNCTION("""COMPUTED_VALUE"""),"NA")</f>
        <v>NA</v>
      </c>
    </row>
    <row r="13901">
      <c r="A13901" t="str">
        <f>IFERROR(__xludf.DUMMYFUNCTION("""COMPUTED_VALUE"""),"NA")</f>
        <v>NA</v>
      </c>
    </row>
    <row r="13902">
      <c r="A13902" t="str">
        <f>IFERROR(__xludf.DUMMYFUNCTION("""COMPUTED_VALUE"""),"NA")</f>
        <v>NA</v>
      </c>
    </row>
    <row r="13903">
      <c r="A13903" t="str">
        <f>IFERROR(__xludf.DUMMYFUNCTION("""COMPUTED_VALUE"""),"NA")</f>
        <v>NA</v>
      </c>
    </row>
    <row r="13904">
      <c r="A13904" t="str">
        <f>IFERROR(__xludf.DUMMYFUNCTION("""COMPUTED_VALUE"""),"NA")</f>
        <v>NA</v>
      </c>
    </row>
    <row r="13905">
      <c r="A13905" t="str">
        <f>IFERROR(__xludf.DUMMYFUNCTION("""COMPUTED_VALUE"""),"NA")</f>
        <v>NA</v>
      </c>
    </row>
    <row r="13906">
      <c r="A13906" t="str">
        <f>IFERROR(__xludf.DUMMYFUNCTION("""COMPUTED_VALUE"""),"NA")</f>
        <v>NA</v>
      </c>
    </row>
    <row r="13907">
      <c r="A13907" t="str">
        <f>IFERROR(__xludf.DUMMYFUNCTION("""COMPUTED_VALUE"""),"NA")</f>
        <v>NA</v>
      </c>
    </row>
    <row r="13908">
      <c r="A13908" t="str">
        <f>IFERROR(__xludf.DUMMYFUNCTION("""COMPUTED_VALUE"""),"NA")</f>
        <v>NA</v>
      </c>
    </row>
    <row r="13909">
      <c r="A13909" t="str">
        <f>IFERROR(__xludf.DUMMYFUNCTION("""COMPUTED_VALUE"""),"NA")</f>
        <v>NA</v>
      </c>
    </row>
    <row r="13910">
      <c r="A13910" t="str">
        <f>IFERROR(__xludf.DUMMYFUNCTION("""COMPUTED_VALUE"""),"NA")</f>
        <v>NA</v>
      </c>
    </row>
    <row r="13911">
      <c r="A13911" t="str">
        <f>IFERROR(__xludf.DUMMYFUNCTION("""COMPUTED_VALUE"""),"NA")</f>
        <v>NA</v>
      </c>
    </row>
    <row r="13912">
      <c r="A13912" t="str">
        <f>IFERROR(__xludf.DUMMYFUNCTION("""COMPUTED_VALUE"""),"NA")</f>
        <v>NA</v>
      </c>
    </row>
    <row r="13913">
      <c r="A13913" t="str">
        <f>IFERROR(__xludf.DUMMYFUNCTION("""COMPUTED_VALUE"""),"NA")</f>
        <v>NA</v>
      </c>
    </row>
    <row r="13914">
      <c r="A13914" t="str">
        <f>IFERROR(__xludf.DUMMYFUNCTION("""COMPUTED_VALUE"""),"NA")</f>
        <v>NA</v>
      </c>
    </row>
    <row r="13915">
      <c r="A13915" t="str">
        <f>IFERROR(__xludf.DUMMYFUNCTION("""COMPUTED_VALUE"""),"NA")</f>
        <v>NA</v>
      </c>
    </row>
    <row r="13916">
      <c r="A13916" t="str">
        <f>IFERROR(__xludf.DUMMYFUNCTION("""COMPUTED_VALUE"""),"NA")</f>
        <v>NA</v>
      </c>
    </row>
    <row r="13917">
      <c r="A13917" t="str">
        <f>IFERROR(__xludf.DUMMYFUNCTION("""COMPUTED_VALUE"""),"NA")</f>
        <v>NA</v>
      </c>
    </row>
    <row r="13918">
      <c r="A13918" t="str">
        <f>IFERROR(__xludf.DUMMYFUNCTION("""COMPUTED_VALUE"""),"NA")</f>
        <v>NA</v>
      </c>
    </row>
    <row r="13919">
      <c r="A13919" t="str">
        <f>IFERROR(__xludf.DUMMYFUNCTION("""COMPUTED_VALUE"""),"NA")</f>
        <v>NA</v>
      </c>
    </row>
    <row r="13920">
      <c r="A13920" t="str">
        <f>IFERROR(__xludf.DUMMYFUNCTION("""COMPUTED_VALUE"""),"NA")</f>
        <v>NA</v>
      </c>
    </row>
    <row r="13921">
      <c r="A13921" t="str">
        <f>IFERROR(__xludf.DUMMYFUNCTION("""COMPUTED_VALUE"""),"NA")</f>
        <v>NA</v>
      </c>
    </row>
    <row r="13922">
      <c r="A13922" t="str">
        <f>IFERROR(__xludf.DUMMYFUNCTION("""COMPUTED_VALUE"""),"NA")</f>
        <v>NA</v>
      </c>
    </row>
    <row r="13923">
      <c r="A13923" t="str">
        <f>IFERROR(__xludf.DUMMYFUNCTION("""COMPUTED_VALUE"""),"NA")</f>
        <v>NA</v>
      </c>
    </row>
    <row r="13924">
      <c r="A13924" t="str">
        <f>IFERROR(__xludf.DUMMYFUNCTION("""COMPUTED_VALUE"""),"NA")</f>
        <v>NA</v>
      </c>
    </row>
    <row r="13925">
      <c r="A13925" t="str">
        <f>IFERROR(__xludf.DUMMYFUNCTION("""COMPUTED_VALUE"""),"NA")</f>
        <v>NA</v>
      </c>
    </row>
    <row r="13926">
      <c r="A13926" t="str">
        <f>IFERROR(__xludf.DUMMYFUNCTION("""COMPUTED_VALUE"""),"NA")</f>
        <v>NA</v>
      </c>
    </row>
    <row r="13927">
      <c r="A13927" t="str">
        <f>IFERROR(__xludf.DUMMYFUNCTION("""COMPUTED_VALUE"""),"NA")</f>
        <v>NA</v>
      </c>
    </row>
    <row r="13928">
      <c r="A13928" t="str">
        <f>IFERROR(__xludf.DUMMYFUNCTION("""COMPUTED_VALUE"""),"NA")</f>
        <v>NA</v>
      </c>
    </row>
    <row r="13929">
      <c r="A13929" t="str">
        <f>IFERROR(__xludf.DUMMYFUNCTION("""COMPUTED_VALUE"""),"NA")</f>
        <v>NA</v>
      </c>
    </row>
    <row r="13930">
      <c r="A13930" t="str">
        <f>IFERROR(__xludf.DUMMYFUNCTION("""COMPUTED_VALUE"""),"NA")</f>
        <v>NA</v>
      </c>
    </row>
    <row r="13931">
      <c r="A13931" t="str">
        <f>IFERROR(__xludf.DUMMYFUNCTION("""COMPUTED_VALUE"""),"NA")</f>
        <v>NA</v>
      </c>
    </row>
    <row r="13932">
      <c r="A13932" t="str">
        <f>IFERROR(__xludf.DUMMYFUNCTION("""COMPUTED_VALUE"""),"NA")</f>
        <v>NA</v>
      </c>
    </row>
    <row r="13933">
      <c r="A13933" t="str">
        <f>IFERROR(__xludf.DUMMYFUNCTION("""COMPUTED_VALUE"""),"NA")</f>
        <v>NA</v>
      </c>
    </row>
    <row r="13934">
      <c r="A13934" t="str">
        <f>IFERROR(__xludf.DUMMYFUNCTION("""COMPUTED_VALUE"""),"NA")</f>
        <v>NA</v>
      </c>
    </row>
    <row r="13935">
      <c r="A13935" t="str">
        <f>IFERROR(__xludf.DUMMYFUNCTION("""COMPUTED_VALUE"""),"NA")</f>
        <v>NA</v>
      </c>
    </row>
    <row r="13936">
      <c r="A13936" t="str">
        <f>IFERROR(__xludf.DUMMYFUNCTION("""COMPUTED_VALUE"""),"NA")</f>
        <v>NA</v>
      </c>
    </row>
    <row r="13937">
      <c r="A13937" t="str">
        <f>IFERROR(__xludf.DUMMYFUNCTION("""COMPUTED_VALUE"""),"NA")</f>
        <v>NA</v>
      </c>
    </row>
    <row r="13938">
      <c r="A13938" t="str">
        <f>IFERROR(__xludf.DUMMYFUNCTION("""COMPUTED_VALUE"""),"NA")</f>
        <v>NA</v>
      </c>
    </row>
    <row r="13939">
      <c r="A13939" t="str">
        <f>IFERROR(__xludf.DUMMYFUNCTION("""COMPUTED_VALUE"""),"NA")</f>
        <v>NA</v>
      </c>
    </row>
    <row r="13940">
      <c r="A13940" t="str">
        <f>IFERROR(__xludf.DUMMYFUNCTION("""COMPUTED_VALUE"""),"NA")</f>
        <v>NA</v>
      </c>
    </row>
    <row r="13941">
      <c r="A13941" t="str">
        <f>IFERROR(__xludf.DUMMYFUNCTION("""COMPUTED_VALUE"""),"NA")</f>
        <v>NA</v>
      </c>
    </row>
    <row r="13942">
      <c r="A13942" t="str">
        <f>IFERROR(__xludf.DUMMYFUNCTION("""COMPUTED_VALUE"""),"NA")</f>
        <v>NA</v>
      </c>
    </row>
    <row r="13943">
      <c r="A13943" t="str">
        <f>IFERROR(__xludf.DUMMYFUNCTION("""COMPUTED_VALUE"""),"NA")</f>
        <v>NA</v>
      </c>
    </row>
    <row r="13944">
      <c r="A13944" t="str">
        <f>IFERROR(__xludf.DUMMYFUNCTION("""COMPUTED_VALUE"""),"NA")</f>
        <v>NA</v>
      </c>
    </row>
    <row r="13945">
      <c r="A13945" t="str">
        <f>IFERROR(__xludf.DUMMYFUNCTION("""COMPUTED_VALUE"""),"NA")</f>
        <v>NA</v>
      </c>
    </row>
    <row r="13946">
      <c r="A13946" t="str">
        <f>IFERROR(__xludf.DUMMYFUNCTION("""COMPUTED_VALUE"""),"NA")</f>
        <v>NA</v>
      </c>
    </row>
    <row r="13947">
      <c r="A13947" t="str">
        <f>IFERROR(__xludf.DUMMYFUNCTION("""COMPUTED_VALUE"""),"NA")</f>
        <v>NA</v>
      </c>
    </row>
    <row r="13948">
      <c r="A13948" t="str">
        <f>IFERROR(__xludf.DUMMYFUNCTION("""COMPUTED_VALUE"""),"NA")</f>
        <v>NA</v>
      </c>
    </row>
    <row r="13949">
      <c r="A13949" t="str">
        <f>IFERROR(__xludf.DUMMYFUNCTION("""COMPUTED_VALUE"""),"NA")</f>
        <v>NA</v>
      </c>
    </row>
    <row r="13950">
      <c r="A13950" t="str">
        <f>IFERROR(__xludf.DUMMYFUNCTION("""COMPUTED_VALUE"""),"NA")</f>
        <v>NA</v>
      </c>
    </row>
    <row r="13951">
      <c r="A13951" t="str">
        <f>IFERROR(__xludf.DUMMYFUNCTION("""COMPUTED_VALUE"""),"NA")</f>
        <v>NA</v>
      </c>
    </row>
    <row r="13952">
      <c r="A13952" t="str">
        <f>IFERROR(__xludf.DUMMYFUNCTION("""COMPUTED_VALUE"""),"NA")</f>
        <v>NA</v>
      </c>
    </row>
    <row r="13953">
      <c r="A13953" t="str">
        <f>IFERROR(__xludf.DUMMYFUNCTION("""COMPUTED_VALUE"""),"NA")</f>
        <v>NA</v>
      </c>
    </row>
    <row r="13954">
      <c r="A13954" t="str">
        <f>IFERROR(__xludf.DUMMYFUNCTION("""COMPUTED_VALUE"""),"NA")</f>
        <v>NA</v>
      </c>
    </row>
    <row r="13955">
      <c r="A13955" t="str">
        <f>IFERROR(__xludf.DUMMYFUNCTION("""COMPUTED_VALUE"""),"NA")</f>
        <v>NA</v>
      </c>
    </row>
    <row r="13956">
      <c r="A13956" t="str">
        <f>IFERROR(__xludf.DUMMYFUNCTION("""COMPUTED_VALUE"""),"NA")</f>
        <v>NA</v>
      </c>
    </row>
    <row r="13957">
      <c r="A13957" t="str">
        <f>IFERROR(__xludf.DUMMYFUNCTION("""COMPUTED_VALUE"""),"NA")</f>
        <v>NA</v>
      </c>
    </row>
    <row r="13958">
      <c r="A13958" t="str">
        <f>IFERROR(__xludf.DUMMYFUNCTION("""COMPUTED_VALUE"""),"NA")</f>
        <v>NA</v>
      </c>
    </row>
    <row r="13959">
      <c r="A13959" t="str">
        <f>IFERROR(__xludf.DUMMYFUNCTION("""COMPUTED_VALUE"""),"NA")</f>
        <v>NA</v>
      </c>
    </row>
    <row r="13960">
      <c r="A13960" t="str">
        <f>IFERROR(__xludf.DUMMYFUNCTION("""COMPUTED_VALUE"""),"NA")</f>
        <v>NA</v>
      </c>
    </row>
    <row r="13961">
      <c r="A13961" t="str">
        <f>IFERROR(__xludf.DUMMYFUNCTION("""COMPUTED_VALUE"""),"NA")</f>
        <v>NA</v>
      </c>
    </row>
    <row r="13962">
      <c r="A13962" t="str">
        <f>IFERROR(__xludf.DUMMYFUNCTION("""COMPUTED_VALUE"""),"NA")</f>
        <v>NA</v>
      </c>
    </row>
    <row r="13963">
      <c r="A13963" t="str">
        <f>IFERROR(__xludf.DUMMYFUNCTION("""COMPUTED_VALUE"""),"NA")</f>
        <v>NA</v>
      </c>
    </row>
    <row r="13964">
      <c r="A13964" t="str">
        <f>IFERROR(__xludf.DUMMYFUNCTION("""COMPUTED_VALUE"""),"NA")</f>
        <v>NA</v>
      </c>
    </row>
    <row r="13965">
      <c r="A13965" t="str">
        <f>IFERROR(__xludf.DUMMYFUNCTION("""COMPUTED_VALUE"""),"NA")</f>
        <v>NA</v>
      </c>
    </row>
    <row r="13966">
      <c r="A13966" t="str">
        <f>IFERROR(__xludf.DUMMYFUNCTION("""COMPUTED_VALUE"""),"NA")</f>
        <v>NA</v>
      </c>
    </row>
    <row r="13967">
      <c r="A13967" t="str">
        <f>IFERROR(__xludf.DUMMYFUNCTION("""COMPUTED_VALUE"""),"NA")</f>
        <v>NA</v>
      </c>
    </row>
    <row r="13968">
      <c r="A13968" t="str">
        <f>IFERROR(__xludf.DUMMYFUNCTION("""COMPUTED_VALUE"""),"NA")</f>
        <v>NA</v>
      </c>
    </row>
    <row r="13969">
      <c r="A13969" t="str">
        <f>IFERROR(__xludf.DUMMYFUNCTION("""COMPUTED_VALUE"""),"NA")</f>
        <v>NA</v>
      </c>
    </row>
    <row r="13970">
      <c r="A13970" t="str">
        <f>IFERROR(__xludf.DUMMYFUNCTION("""COMPUTED_VALUE"""),"NA")</f>
        <v>NA</v>
      </c>
    </row>
    <row r="13971">
      <c r="A13971" t="str">
        <f>IFERROR(__xludf.DUMMYFUNCTION("""COMPUTED_VALUE"""),"NA")</f>
        <v>NA</v>
      </c>
    </row>
    <row r="13972">
      <c r="A13972" t="str">
        <f>IFERROR(__xludf.DUMMYFUNCTION("""COMPUTED_VALUE"""),"NA")</f>
        <v>NA</v>
      </c>
    </row>
    <row r="13973">
      <c r="A13973" t="str">
        <f>IFERROR(__xludf.DUMMYFUNCTION("""COMPUTED_VALUE"""),"NA")</f>
        <v>NA</v>
      </c>
    </row>
    <row r="13974">
      <c r="A13974" t="str">
        <f>IFERROR(__xludf.DUMMYFUNCTION("""COMPUTED_VALUE"""),"NA")</f>
        <v>NA</v>
      </c>
    </row>
    <row r="13975">
      <c r="A13975" t="str">
        <f>IFERROR(__xludf.DUMMYFUNCTION("""COMPUTED_VALUE"""),"NA")</f>
        <v>NA</v>
      </c>
    </row>
    <row r="13976">
      <c r="A13976" t="str">
        <f>IFERROR(__xludf.DUMMYFUNCTION("""COMPUTED_VALUE"""),"NA")</f>
        <v>NA</v>
      </c>
    </row>
    <row r="13977">
      <c r="A13977" t="str">
        <f>IFERROR(__xludf.DUMMYFUNCTION("""COMPUTED_VALUE"""),"NA")</f>
        <v>NA</v>
      </c>
    </row>
    <row r="13978">
      <c r="A13978" t="str">
        <f>IFERROR(__xludf.DUMMYFUNCTION("""COMPUTED_VALUE"""),"NA")</f>
        <v>NA</v>
      </c>
    </row>
    <row r="13979">
      <c r="A13979" t="str">
        <f>IFERROR(__xludf.DUMMYFUNCTION("""COMPUTED_VALUE"""),"NA")</f>
        <v>NA</v>
      </c>
    </row>
    <row r="13980">
      <c r="A13980" t="str">
        <f>IFERROR(__xludf.DUMMYFUNCTION("""COMPUTED_VALUE"""),"NA")</f>
        <v>NA</v>
      </c>
    </row>
    <row r="13981">
      <c r="A13981" t="str">
        <f>IFERROR(__xludf.DUMMYFUNCTION("""COMPUTED_VALUE"""),"NA")</f>
        <v>NA</v>
      </c>
    </row>
    <row r="13982">
      <c r="A13982" t="str">
        <f>IFERROR(__xludf.DUMMYFUNCTION("""COMPUTED_VALUE"""),"NA")</f>
        <v>NA</v>
      </c>
    </row>
    <row r="13983">
      <c r="A13983" t="str">
        <f>IFERROR(__xludf.DUMMYFUNCTION("""COMPUTED_VALUE"""),"NA")</f>
        <v>NA</v>
      </c>
    </row>
    <row r="13984">
      <c r="A13984" t="str">
        <f>IFERROR(__xludf.DUMMYFUNCTION("""COMPUTED_VALUE"""),"NA")</f>
        <v>NA</v>
      </c>
    </row>
    <row r="13985">
      <c r="A13985" t="str">
        <f>IFERROR(__xludf.DUMMYFUNCTION("""COMPUTED_VALUE"""),"NA")</f>
        <v>NA</v>
      </c>
    </row>
    <row r="13986">
      <c r="A13986" t="str">
        <f>IFERROR(__xludf.DUMMYFUNCTION("""COMPUTED_VALUE"""),"NA")</f>
        <v>NA</v>
      </c>
    </row>
    <row r="13987">
      <c r="A13987" t="str">
        <f>IFERROR(__xludf.DUMMYFUNCTION("""COMPUTED_VALUE"""),"NA")</f>
        <v>NA</v>
      </c>
    </row>
    <row r="13988">
      <c r="A13988" t="str">
        <f>IFERROR(__xludf.DUMMYFUNCTION("""COMPUTED_VALUE"""),"NA")</f>
        <v>NA</v>
      </c>
    </row>
    <row r="13989">
      <c r="A13989" t="str">
        <f>IFERROR(__xludf.DUMMYFUNCTION("""COMPUTED_VALUE"""),"NA")</f>
        <v>NA</v>
      </c>
    </row>
    <row r="13990">
      <c r="A13990" t="str">
        <f>IFERROR(__xludf.DUMMYFUNCTION("""COMPUTED_VALUE"""),"NA")</f>
        <v>NA</v>
      </c>
    </row>
    <row r="13991">
      <c r="A13991" t="str">
        <f>IFERROR(__xludf.DUMMYFUNCTION("""COMPUTED_VALUE"""),"NA")</f>
        <v>NA</v>
      </c>
    </row>
    <row r="13992">
      <c r="A13992" t="str">
        <f>IFERROR(__xludf.DUMMYFUNCTION("""COMPUTED_VALUE"""),"NA")</f>
        <v>NA</v>
      </c>
    </row>
    <row r="13993">
      <c r="A13993" t="str">
        <f>IFERROR(__xludf.DUMMYFUNCTION("""COMPUTED_VALUE"""),"NA")</f>
        <v>NA</v>
      </c>
    </row>
    <row r="13994">
      <c r="A13994" t="str">
        <f>IFERROR(__xludf.DUMMYFUNCTION("""COMPUTED_VALUE"""),"NA")</f>
        <v>NA</v>
      </c>
    </row>
    <row r="13995">
      <c r="A13995" t="str">
        <f>IFERROR(__xludf.DUMMYFUNCTION("""COMPUTED_VALUE"""),"NA")</f>
        <v>NA</v>
      </c>
    </row>
    <row r="13996">
      <c r="A13996" t="str">
        <f>IFERROR(__xludf.DUMMYFUNCTION("""COMPUTED_VALUE"""),"NA")</f>
        <v>NA</v>
      </c>
    </row>
    <row r="13997">
      <c r="A13997" t="str">
        <f>IFERROR(__xludf.DUMMYFUNCTION("""COMPUTED_VALUE"""),"NA")</f>
        <v>NA</v>
      </c>
    </row>
    <row r="13998">
      <c r="A13998" t="str">
        <f>IFERROR(__xludf.DUMMYFUNCTION("""COMPUTED_VALUE"""),"NA")</f>
        <v>NA</v>
      </c>
    </row>
    <row r="13999">
      <c r="A13999" t="str">
        <f>IFERROR(__xludf.DUMMYFUNCTION("""COMPUTED_VALUE"""),"NA")</f>
        <v>NA</v>
      </c>
    </row>
    <row r="14000">
      <c r="A14000" t="str">
        <f>IFERROR(__xludf.DUMMYFUNCTION("""COMPUTED_VALUE"""),"NA")</f>
        <v>NA</v>
      </c>
    </row>
    <row r="14001">
      <c r="A14001" t="str">
        <f>IFERROR(__xludf.DUMMYFUNCTION("""COMPUTED_VALUE"""),"NA")</f>
        <v>NA</v>
      </c>
    </row>
    <row r="14002">
      <c r="A14002" t="str">
        <f>IFERROR(__xludf.DUMMYFUNCTION("""COMPUTED_VALUE"""),"NA")</f>
        <v>NA</v>
      </c>
    </row>
    <row r="14003">
      <c r="A14003" t="str">
        <f>IFERROR(__xludf.DUMMYFUNCTION("""COMPUTED_VALUE"""),"NA")</f>
        <v>NA</v>
      </c>
    </row>
    <row r="14004">
      <c r="A14004" t="str">
        <f>IFERROR(__xludf.DUMMYFUNCTION("""COMPUTED_VALUE"""),"NA")</f>
        <v>NA</v>
      </c>
    </row>
    <row r="14005">
      <c r="A14005" t="str">
        <f>IFERROR(__xludf.DUMMYFUNCTION("""COMPUTED_VALUE"""),"NA")</f>
        <v>NA</v>
      </c>
    </row>
    <row r="14006">
      <c r="A14006" t="str">
        <f>IFERROR(__xludf.DUMMYFUNCTION("""COMPUTED_VALUE"""),"NA")</f>
        <v>NA</v>
      </c>
    </row>
    <row r="14007">
      <c r="A14007" t="str">
        <f>IFERROR(__xludf.DUMMYFUNCTION("""COMPUTED_VALUE"""),"NA")</f>
        <v>NA</v>
      </c>
    </row>
    <row r="14008">
      <c r="A14008" t="str">
        <f>IFERROR(__xludf.DUMMYFUNCTION("""COMPUTED_VALUE"""),"NA")</f>
        <v>NA</v>
      </c>
    </row>
    <row r="14009">
      <c r="A14009" t="str">
        <f>IFERROR(__xludf.DUMMYFUNCTION("""COMPUTED_VALUE"""),"NA")</f>
        <v>NA</v>
      </c>
    </row>
    <row r="14010">
      <c r="A14010" t="str">
        <f>IFERROR(__xludf.DUMMYFUNCTION("""COMPUTED_VALUE"""),"NA")</f>
        <v>NA</v>
      </c>
    </row>
    <row r="14011">
      <c r="A14011" t="str">
        <f>IFERROR(__xludf.DUMMYFUNCTION("""COMPUTED_VALUE"""),"NA")</f>
        <v>NA</v>
      </c>
    </row>
    <row r="14012">
      <c r="A14012" t="str">
        <f>IFERROR(__xludf.DUMMYFUNCTION("""COMPUTED_VALUE"""),"NA")</f>
        <v>NA</v>
      </c>
    </row>
    <row r="14013">
      <c r="A14013" t="str">
        <f>IFERROR(__xludf.DUMMYFUNCTION("""COMPUTED_VALUE"""),"NA")</f>
        <v>NA</v>
      </c>
    </row>
    <row r="14014">
      <c r="A14014" t="str">
        <f>IFERROR(__xludf.DUMMYFUNCTION("""COMPUTED_VALUE"""),"NA")</f>
        <v>NA</v>
      </c>
    </row>
    <row r="14015">
      <c r="A14015" t="str">
        <f>IFERROR(__xludf.DUMMYFUNCTION("""COMPUTED_VALUE"""),"NA")</f>
        <v>NA</v>
      </c>
    </row>
    <row r="14016">
      <c r="A14016" t="str">
        <f>IFERROR(__xludf.DUMMYFUNCTION("""COMPUTED_VALUE"""),"NA")</f>
        <v>NA</v>
      </c>
    </row>
    <row r="14017">
      <c r="A14017" t="str">
        <f>IFERROR(__xludf.DUMMYFUNCTION("""COMPUTED_VALUE"""),"NA")</f>
        <v>NA</v>
      </c>
    </row>
    <row r="14018">
      <c r="A14018" t="str">
        <f>IFERROR(__xludf.DUMMYFUNCTION("""COMPUTED_VALUE"""),"NA")</f>
        <v>NA</v>
      </c>
    </row>
    <row r="14019">
      <c r="A14019" t="str">
        <f>IFERROR(__xludf.DUMMYFUNCTION("""COMPUTED_VALUE"""),"NA")</f>
        <v>NA</v>
      </c>
    </row>
    <row r="14020">
      <c r="A14020" t="str">
        <f>IFERROR(__xludf.DUMMYFUNCTION("""COMPUTED_VALUE"""),"NA")</f>
        <v>NA</v>
      </c>
    </row>
    <row r="14021">
      <c r="A14021" t="str">
        <f>IFERROR(__xludf.DUMMYFUNCTION("""COMPUTED_VALUE"""),"NA")</f>
        <v>NA</v>
      </c>
    </row>
    <row r="14022">
      <c r="A14022" t="str">
        <f>IFERROR(__xludf.DUMMYFUNCTION("""COMPUTED_VALUE"""),"NA")</f>
        <v>NA</v>
      </c>
    </row>
    <row r="14023">
      <c r="A14023" t="str">
        <f>IFERROR(__xludf.DUMMYFUNCTION("""COMPUTED_VALUE"""),"NA")</f>
        <v>NA</v>
      </c>
    </row>
    <row r="14024">
      <c r="A14024" t="str">
        <f>IFERROR(__xludf.DUMMYFUNCTION("""COMPUTED_VALUE"""),"NA")</f>
        <v>NA</v>
      </c>
    </row>
    <row r="14025">
      <c r="A14025" t="str">
        <f>IFERROR(__xludf.DUMMYFUNCTION("""COMPUTED_VALUE"""),"NA")</f>
        <v>NA</v>
      </c>
    </row>
    <row r="14026">
      <c r="A14026" t="str">
        <f>IFERROR(__xludf.DUMMYFUNCTION("""COMPUTED_VALUE"""),"NA")</f>
        <v>NA</v>
      </c>
    </row>
    <row r="14027">
      <c r="A14027" t="str">
        <f>IFERROR(__xludf.DUMMYFUNCTION("""COMPUTED_VALUE"""),"NA")</f>
        <v>NA</v>
      </c>
    </row>
    <row r="14028">
      <c r="A14028" t="str">
        <f>IFERROR(__xludf.DUMMYFUNCTION("""COMPUTED_VALUE"""),"NA")</f>
        <v>NA</v>
      </c>
    </row>
    <row r="14029">
      <c r="A14029" t="str">
        <f>IFERROR(__xludf.DUMMYFUNCTION("""COMPUTED_VALUE"""),"NA")</f>
        <v>NA</v>
      </c>
    </row>
    <row r="14030">
      <c r="A14030" t="str">
        <f>IFERROR(__xludf.DUMMYFUNCTION("""COMPUTED_VALUE"""),"NA")</f>
        <v>NA</v>
      </c>
    </row>
    <row r="14031">
      <c r="A14031" t="str">
        <f>IFERROR(__xludf.DUMMYFUNCTION("""COMPUTED_VALUE"""),"NA")</f>
        <v>NA</v>
      </c>
    </row>
    <row r="14032">
      <c r="A14032" t="str">
        <f>IFERROR(__xludf.DUMMYFUNCTION("""COMPUTED_VALUE"""),"NA")</f>
        <v>NA</v>
      </c>
    </row>
    <row r="14033">
      <c r="A14033" t="str">
        <f>IFERROR(__xludf.DUMMYFUNCTION("""COMPUTED_VALUE"""),"NA")</f>
        <v>NA</v>
      </c>
    </row>
    <row r="14034">
      <c r="A14034" t="str">
        <f>IFERROR(__xludf.DUMMYFUNCTION("""COMPUTED_VALUE"""),"NA")</f>
        <v>NA</v>
      </c>
    </row>
    <row r="14035">
      <c r="A14035" t="str">
        <f>IFERROR(__xludf.DUMMYFUNCTION("""COMPUTED_VALUE"""),"NA")</f>
        <v>NA</v>
      </c>
    </row>
    <row r="14036">
      <c r="A14036" t="str">
        <f>IFERROR(__xludf.DUMMYFUNCTION("""COMPUTED_VALUE"""),"NA")</f>
        <v>NA</v>
      </c>
    </row>
    <row r="14037">
      <c r="A14037" t="str">
        <f>IFERROR(__xludf.DUMMYFUNCTION("""COMPUTED_VALUE"""),"NA")</f>
        <v>NA</v>
      </c>
    </row>
    <row r="14038">
      <c r="A14038" t="str">
        <f>IFERROR(__xludf.DUMMYFUNCTION("""COMPUTED_VALUE"""),"NA")</f>
        <v>NA</v>
      </c>
    </row>
    <row r="14039">
      <c r="A14039" t="str">
        <f>IFERROR(__xludf.DUMMYFUNCTION("""COMPUTED_VALUE"""),"NA")</f>
        <v>NA</v>
      </c>
    </row>
    <row r="14040">
      <c r="A14040" t="str">
        <f>IFERROR(__xludf.DUMMYFUNCTION("""COMPUTED_VALUE"""),"NA")</f>
        <v>NA</v>
      </c>
    </row>
    <row r="14041">
      <c r="A14041" t="str">
        <f>IFERROR(__xludf.DUMMYFUNCTION("""COMPUTED_VALUE"""),"NA")</f>
        <v>NA</v>
      </c>
    </row>
    <row r="14042">
      <c r="A14042" t="str">
        <f>IFERROR(__xludf.DUMMYFUNCTION("""COMPUTED_VALUE"""),"NA")</f>
        <v>NA</v>
      </c>
    </row>
    <row r="14043">
      <c r="A14043" t="str">
        <f>IFERROR(__xludf.DUMMYFUNCTION("""COMPUTED_VALUE"""),"NA")</f>
        <v>NA</v>
      </c>
    </row>
    <row r="14044">
      <c r="A14044" t="str">
        <f>IFERROR(__xludf.DUMMYFUNCTION("""COMPUTED_VALUE"""),"NA")</f>
        <v>NA</v>
      </c>
    </row>
    <row r="14045">
      <c r="A14045" t="str">
        <f>IFERROR(__xludf.DUMMYFUNCTION("""COMPUTED_VALUE"""),"NA")</f>
        <v>NA</v>
      </c>
    </row>
    <row r="14046">
      <c r="A14046" t="str">
        <f>IFERROR(__xludf.DUMMYFUNCTION("""COMPUTED_VALUE"""),"NA")</f>
        <v>NA</v>
      </c>
    </row>
    <row r="14047">
      <c r="A14047" t="str">
        <f>IFERROR(__xludf.DUMMYFUNCTION("""COMPUTED_VALUE"""),"NA")</f>
        <v>NA</v>
      </c>
    </row>
    <row r="14048">
      <c r="A14048" t="str">
        <f>IFERROR(__xludf.DUMMYFUNCTION("""COMPUTED_VALUE"""),"NA")</f>
        <v>NA</v>
      </c>
    </row>
    <row r="14049">
      <c r="A14049" t="str">
        <f>IFERROR(__xludf.DUMMYFUNCTION("""COMPUTED_VALUE"""),"NA")</f>
        <v>NA</v>
      </c>
    </row>
    <row r="14050">
      <c r="A14050" t="str">
        <f>IFERROR(__xludf.DUMMYFUNCTION("""COMPUTED_VALUE"""),"NA")</f>
        <v>NA</v>
      </c>
    </row>
    <row r="14051">
      <c r="A14051" t="str">
        <f>IFERROR(__xludf.DUMMYFUNCTION("""COMPUTED_VALUE"""),"NA")</f>
        <v>NA</v>
      </c>
    </row>
    <row r="14052">
      <c r="A14052" t="str">
        <f>IFERROR(__xludf.DUMMYFUNCTION("""COMPUTED_VALUE"""),"NA")</f>
        <v>NA</v>
      </c>
    </row>
    <row r="14053">
      <c r="A14053" t="str">
        <f>IFERROR(__xludf.DUMMYFUNCTION("""COMPUTED_VALUE"""),"NA")</f>
        <v>NA</v>
      </c>
    </row>
    <row r="14054">
      <c r="A14054" t="str">
        <f>IFERROR(__xludf.DUMMYFUNCTION("""COMPUTED_VALUE"""),"NA")</f>
        <v>NA</v>
      </c>
    </row>
    <row r="14055">
      <c r="A14055" t="str">
        <f>IFERROR(__xludf.DUMMYFUNCTION("""COMPUTED_VALUE"""),"NA")</f>
        <v>NA</v>
      </c>
    </row>
    <row r="14056">
      <c r="A14056" t="str">
        <f>IFERROR(__xludf.DUMMYFUNCTION("""COMPUTED_VALUE"""),"NA")</f>
        <v>NA</v>
      </c>
    </row>
    <row r="14057">
      <c r="A14057" t="str">
        <f>IFERROR(__xludf.DUMMYFUNCTION("""COMPUTED_VALUE"""),"NA")</f>
        <v>NA</v>
      </c>
    </row>
    <row r="14058">
      <c r="A14058" t="str">
        <f>IFERROR(__xludf.DUMMYFUNCTION("""COMPUTED_VALUE"""),"NA")</f>
        <v>NA</v>
      </c>
    </row>
    <row r="14059">
      <c r="A14059" t="str">
        <f>IFERROR(__xludf.DUMMYFUNCTION("""COMPUTED_VALUE"""),"NA")</f>
        <v>NA</v>
      </c>
    </row>
    <row r="14060">
      <c r="A14060" t="str">
        <f>IFERROR(__xludf.DUMMYFUNCTION("""COMPUTED_VALUE"""),"NA")</f>
        <v>NA</v>
      </c>
    </row>
    <row r="14061">
      <c r="A14061" t="str">
        <f>IFERROR(__xludf.DUMMYFUNCTION("""COMPUTED_VALUE"""),"NA")</f>
        <v>NA</v>
      </c>
    </row>
    <row r="14062">
      <c r="A14062" t="str">
        <f>IFERROR(__xludf.DUMMYFUNCTION("""COMPUTED_VALUE"""),"NA")</f>
        <v>NA</v>
      </c>
    </row>
    <row r="14063">
      <c r="A14063" t="str">
        <f>IFERROR(__xludf.DUMMYFUNCTION("""COMPUTED_VALUE"""),"NA")</f>
        <v>NA</v>
      </c>
    </row>
    <row r="14064">
      <c r="A14064" t="str">
        <f>IFERROR(__xludf.DUMMYFUNCTION("""COMPUTED_VALUE"""),"NA")</f>
        <v>NA</v>
      </c>
    </row>
    <row r="14065">
      <c r="A14065" t="str">
        <f>IFERROR(__xludf.DUMMYFUNCTION("""COMPUTED_VALUE"""),"NA")</f>
        <v>NA</v>
      </c>
    </row>
    <row r="14066">
      <c r="A14066" t="str">
        <f>IFERROR(__xludf.DUMMYFUNCTION("""COMPUTED_VALUE"""),"NA")</f>
        <v>NA</v>
      </c>
    </row>
    <row r="14067">
      <c r="A14067" t="str">
        <f>IFERROR(__xludf.DUMMYFUNCTION("""COMPUTED_VALUE"""),"NA")</f>
        <v>NA</v>
      </c>
    </row>
    <row r="14068">
      <c r="A14068" t="str">
        <f>IFERROR(__xludf.DUMMYFUNCTION("""COMPUTED_VALUE"""),"NA")</f>
        <v>NA</v>
      </c>
    </row>
    <row r="14069">
      <c r="A14069" t="str">
        <f>IFERROR(__xludf.DUMMYFUNCTION("""COMPUTED_VALUE"""),"NA")</f>
        <v>NA</v>
      </c>
    </row>
    <row r="14070">
      <c r="A14070" t="str">
        <f>IFERROR(__xludf.DUMMYFUNCTION("""COMPUTED_VALUE"""),"NA")</f>
        <v>NA</v>
      </c>
    </row>
    <row r="14071">
      <c r="A14071" t="str">
        <f>IFERROR(__xludf.DUMMYFUNCTION("""COMPUTED_VALUE"""),"NA")</f>
        <v>NA</v>
      </c>
    </row>
    <row r="14072">
      <c r="A14072" t="str">
        <f>IFERROR(__xludf.DUMMYFUNCTION("""COMPUTED_VALUE"""),"NA")</f>
        <v>NA</v>
      </c>
    </row>
    <row r="14073">
      <c r="A14073" t="str">
        <f>IFERROR(__xludf.DUMMYFUNCTION("""COMPUTED_VALUE"""),"NA")</f>
        <v>NA</v>
      </c>
    </row>
    <row r="14074">
      <c r="A14074" t="str">
        <f>IFERROR(__xludf.DUMMYFUNCTION("""COMPUTED_VALUE"""),"NA")</f>
        <v>NA</v>
      </c>
    </row>
    <row r="14075">
      <c r="A14075" t="str">
        <f>IFERROR(__xludf.DUMMYFUNCTION("""COMPUTED_VALUE"""),"NA")</f>
        <v>NA</v>
      </c>
    </row>
    <row r="14076">
      <c r="A14076" t="str">
        <f>IFERROR(__xludf.DUMMYFUNCTION("""COMPUTED_VALUE"""),"NA")</f>
        <v>NA</v>
      </c>
    </row>
    <row r="14077">
      <c r="A14077" t="str">
        <f>IFERROR(__xludf.DUMMYFUNCTION("""COMPUTED_VALUE"""),"NA")</f>
        <v>NA</v>
      </c>
    </row>
    <row r="14078">
      <c r="A14078" t="str">
        <f>IFERROR(__xludf.DUMMYFUNCTION("""COMPUTED_VALUE"""),"NA")</f>
        <v>NA</v>
      </c>
    </row>
    <row r="14079">
      <c r="A14079" t="str">
        <f>IFERROR(__xludf.DUMMYFUNCTION("""COMPUTED_VALUE"""),"NA")</f>
        <v>NA</v>
      </c>
    </row>
    <row r="14080">
      <c r="A14080" t="str">
        <f>IFERROR(__xludf.DUMMYFUNCTION("""COMPUTED_VALUE"""),"NA")</f>
        <v>NA</v>
      </c>
    </row>
    <row r="14081">
      <c r="A14081" t="str">
        <f>IFERROR(__xludf.DUMMYFUNCTION("""COMPUTED_VALUE"""),"NA")</f>
        <v>NA</v>
      </c>
    </row>
    <row r="14082">
      <c r="A14082" t="str">
        <f>IFERROR(__xludf.DUMMYFUNCTION("""COMPUTED_VALUE"""),"NA")</f>
        <v>NA</v>
      </c>
    </row>
    <row r="14083">
      <c r="A14083" t="str">
        <f>IFERROR(__xludf.DUMMYFUNCTION("""COMPUTED_VALUE"""),"NA")</f>
        <v>NA</v>
      </c>
    </row>
    <row r="14084">
      <c r="A14084" t="str">
        <f>IFERROR(__xludf.DUMMYFUNCTION("""COMPUTED_VALUE"""),"NA")</f>
        <v>NA</v>
      </c>
    </row>
    <row r="14085">
      <c r="A14085" t="str">
        <f>IFERROR(__xludf.DUMMYFUNCTION("""COMPUTED_VALUE"""),"NA")</f>
        <v>NA</v>
      </c>
    </row>
    <row r="14086">
      <c r="A14086" t="str">
        <f>IFERROR(__xludf.DUMMYFUNCTION("""COMPUTED_VALUE"""),"NA")</f>
        <v>NA</v>
      </c>
    </row>
    <row r="14087">
      <c r="A14087" t="str">
        <f>IFERROR(__xludf.DUMMYFUNCTION("""COMPUTED_VALUE"""),"NA")</f>
        <v>NA</v>
      </c>
    </row>
    <row r="14088">
      <c r="A14088" t="str">
        <f>IFERROR(__xludf.DUMMYFUNCTION("""COMPUTED_VALUE"""),"NA")</f>
        <v>NA</v>
      </c>
    </row>
    <row r="14089">
      <c r="A14089" t="str">
        <f>IFERROR(__xludf.DUMMYFUNCTION("""COMPUTED_VALUE"""),"NA")</f>
        <v>NA</v>
      </c>
    </row>
    <row r="14090">
      <c r="A14090" t="str">
        <f>IFERROR(__xludf.DUMMYFUNCTION("""COMPUTED_VALUE"""),"NA")</f>
        <v>NA</v>
      </c>
    </row>
    <row r="14091">
      <c r="A14091" t="str">
        <f>IFERROR(__xludf.DUMMYFUNCTION("""COMPUTED_VALUE"""),"NA")</f>
        <v>NA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4" max="4" width="10.0"/>
  </cols>
  <sheetData>
    <row r="1">
      <c r="A1" s="64" t="s">
        <v>2248</v>
      </c>
      <c r="B1" s="64" t="s">
        <v>2249</v>
      </c>
      <c r="C1" s="64" t="s">
        <v>2250</v>
      </c>
      <c r="D1" s="64" t="s">
        <v>2251</v>
      </c>
      <c r="E1" s="65" t="s">
        <v>18</v>
      </c>
      <c r="F1" s="56" t="s">
        <v>2252</v>
      </c>
      <c r="G1" s="64" t="s">
        <v>2253</v>
      </c>
      <c r="H1" s="64" t="s">
        <v>2254</v>
      </c>
      <c r="I1" s="66"/>
      <c r="J1" s="66"/>
      <c r="K1" s="66"/>
      <c r="L1" s="66"/>
      <c r="M1" s="66"/>
      <c r="N1" s="66"/>
      <c r="O1" s="66"/>
      <c r="P1" s="66"/>
      <c r="Q1" s="66"/>
      <c r="R1" s="66"/>
      <c r="S1" s="66"/>
      <c r="T1" s="66"/>
      <c r="U1" s="66"/>
      <c r="V1" s="66"/>
      <c r="W1" s="66"/>
      <c r="X1" s="66"/>
      <c r="Y1" s="66"/>
      <c r="Z1" s="66"/>
      <c r="AA1" s="66"/>
    </row>
    <row r="2">
      <c r="A2" s="25" t="s">
        <v>282</v>
      </c>
      <c r="B2" s="25" t="s">
        <v>2255</v>
      </c>
      <c r="C2" s="25" t="s">
        <v>2256</v>
      </c>
      <c r="D2" s="25">
        <v>10.0</v>
      </c>
      <c r="E2" s="17" t="str">
        <f t="array" ref="E2">iferror(index(dissected_fish!F:F,match(A2,dissected_fish!D:D,0)))</f>
        <v>BCA99</v>
      </c>
      <c r="F2" s="9" t="s">
        <v>2257</v>
      </c>
    </row>
    <row r="3">
      <c r="A3" s="25" t="s">
        <v>324</v>
      </c>
      <c r="B3" s="25" t="s">
        <v>2255</v>
      </c>
      <c r="C3" s="25" t="s">
        <v>2258</v>
      </c>
      <c r="D3" s="25">
        <v>10.0</v>
      </c>
      <c r="E3" s="17" t="str">
        <f t="array" ref="E3">iferror(index(dissected_fish!F:F,match(A3,dissected_fish!D:D,0)))</f>
        <v>BCA99</v>
      </c>
      <c r="F3" s="9" t="s">
        <v>2257</v>
      </c>
    </row>
    <row r="4">
      <c r="A4" s="25" t="s">
        <v>381</v>
      </c>
      <c r="B4" s="25" t="s">
        <v>2255</v>
      </c>
      <c r="C4" s="25" t="s">
        <v>2259</v>
      </c>
      <c r="D4" s="25">
        <v>10.0</v>
      </c>
      <c r="E4" s="17" t="str">
        <f t="array" ref="E4">iferror(index(dissected_fish!F:F,match(A4,dissected_fish!D:D,0)))</f>
        <v>BCA99</v>
      </c>
      <c r="F4" s="9" t="s">
        <v>2257</v>
      </c>
    </row>
    <row r="5">
      <c r="A5" s="25" t="s">
        <v>750</v>
      </c>
      <c r="B5" s="25" t="s">
        <v>2255</v>
      </c>
      <c r="C5" s="25" t="s">
        <v>2260</v>
      </c>
      <c r="D5" s="25">
        <v>4.0</v>
      </c>
      <c r="E5" s="17" t="str">
        <f t="array" ref="E5">iferror(index(dissected_fish!F:F,match(A5,dissected_fish!D:D,0)))</f>
        <v>BCA100</v>
      </c>
      <c r="F5" s="9" t="s">
        <v>2257</v>
      </c>
    </row>
    <row r="6">
      <c r="A6" s="25" t="s">
        <v>819</v>
      </c>
      <c r="B6" s="25" t="s">
        <v>2255</v>
      </c>
      <c r="C6" s="25" t="s">
        <v>2261</v>
      </c>
      <c r="D6" s="25">
        <v>10.0</v>
      </c>
      <c r="E6" s="17" t="str">
        <f t="array" ref="E6">iferror(index(dissected_fish!F:F,match(A6,dissected_fish!D:D,0)))</f>
        <v>BCA100</v>
      </c>
      <c r="F6" s="9" t="s">
        <v>2257</v>
      </c>
    </row>
    <row r="7">
      <c r="A7" s="25" t="s">
        <v>926</v>
      </c>
      <c r="B7" s="25" t="s">
        <v>2255</v>
      </c>
      <c r="C7" s="25" t="s">
        <v>2262</v>
      </c>
      <c r="D7" s="25">
        <v>10.0</v>
      </c>
      <c r="E7" s="17" t="str">
        <f t="array" ref="E7">iferror(index(dissected_fish!F:F,match(A7,dissected_fish!D:D,0)))</f>
        <v>BCA100</v>
      </c>
      <c r="F7" s="9" t="s">
        <v>2257</v>
      </c>
    </row>
    <row r="8">
      <c r="A8" s="25" t="s">
        <v>1045</v>
      </c>
      <c r="B8" s="25" t="s">
        <v>2263</v>
      </c>
      <c r="C8" s="25" t="s">
        <v>2260</v>
      </c>
      <c r="D8" s="25">
        <v>7.0</v>
      </c>
      <c r="E8" s="17" t="str">
        <f t="array" ref="E8">iferror(index(dissected_fish!F:F,match(A8,dissected_fish!D:D,0)))</f>
        <v>BCA100</v>
      </c>
      <c r="F8" s="9" t="s">
        <v>2257</v>
      </c>
    </row>
    <row r="9">
      <c r="A9" s="25" t="s">
        <v>1316</v>
      </c>
      <c r="B9" s="25" t="s">
        <v>2263</v>
      </c>
      <c r="C9" s="25" t="s">
        <v>2258</v>
      </c>
      <c r="D9" s="25">
        <v>10.0</v>
      </c>
      <c r="E9" s="17" t="str">
        <f t="array" ref="E9">iferror(index(dissected_fish!F:F,match(A9,dissected_fish!D:D,0)))</f>
        <v>BCA101</v>
      </c>
      <c r="F9" s="9" t="s">
        <v>2257</v>
      </c>
    </row>
    <row r="10">
      <c r="A10" s="25" t="s">
        <v>1394</v>
      </c>
      <c r="B10" s="25" t="s">
        <v>2263</v>
      </c>
      <c r="C10" s="25" t="s">
        <v>2256</v>
      </c>
      <c r="D10" s="25">
        <v>3.0</v>
      </c>
      <c r="E10" s="17" t="str">
        <f t="array" ref="E10">iferror(index(dissected_fish!F:F,match(A10,dissected_fish!D:D,0)))</f>
        <v>BCA102</v>
      </c>
      <c r="F10" s="9" t="s">
        <v>2257</v>
      </c>
    </row>
    <row r="11">
      <c r="A11" s="25" t="s">
        <v>1253</v>
      </c>
      <c r="B11" s="25" t="s">
        <v>2263</v>
      </c>
      <c r="C11" s="25" t="s">
        <v>2259</v>
      </c>
      <c r="D11" s="25">
        <v>5.0</v>
      </c>
      <c r="E11" s="17" t="str">
        <f t="array" ref="E11">iferror(index(dissected_fish!F:F,match(A11,dissected_fish!D:D,0)))</f>
        <v>BCA101</v>
      </c>
      <c r="F11" s="9" t="s">
        <v>2257</v>
      </c>
    </row>
    <row r="12">
      <c r="A12" s="25" t="s">
        <v>1496</v>
      </c>
      <c r="B12" s="25" t="s">
        <v>2263</v>
      </c>
      <c r="C12" s="25" t="s">
        <v>2259</v>
      </c>
      <c r="D12" s="25">
        <v>1.0</v>
      </c>
      <c r="E12" s="17" t="str">
        <f t="array" ref="E12">iferror(index(dissected_fish!F:F,match(A12,dissected_fish!D:D,0)))</f>
        <v>BCA101</v>
      </c>
      <c r="F12" s="9" t="s">
        <v>2257</v>
      </c>
    </row>
    <row r="13">
      <c r="A13" s="25" t="s">
        <v>1502</v>
      </c>
      <c r="B13" s="25" t="s">
        <v>2263</v>
      </c>
      <c r="C13" s="25" t="s">
        <v>2259</v>
      </c>
      <c r="D13" s="25">
        <v>1.0</v>
      </c>
      <c r="E13" s="17" t="str">
        <f t="array" ref="E13">iferror(index(dissected_fish!F:F,match(A13,dissected_fish!D:D,0)))</f>
        <v>BCA101</v>
      </c>
      <c r="F13" s="9" t="s">
        <v>2257</v>
      </c>
    </row>
    <row r="14">
      <c r="A14" s="25" t="s">
        <v>1507</v>
      </c>
      <c r="B14" s="25" t="s">
        <v>2263</v>
      </c>
      <c r="C14" s="25" t="s">
        <v>2259</v>
      </c>
      <c r="D14" s="25">
        <v>1.0</v>
      </c>
      <c r="E14" s="17" t="str">
        <f t="array" ref="E14">iferror(index(dissected_fish!F:F,match(A14,dissected_fish!D:D,0)))</f>
        <v>BCA101</v>
      </c>
      <c r="F14" s="9" t="s">
        <v>2257</v>
      </c>
    </row>
    <row r="15">
      <c r="A15" s="25" t="s">
        <v>1512</v>
      </c>
      <c r="B15" s="25" t="s">
        <v>2263</v>
      </c>
      <c r="C15" s="25" t="s">
        <v>2259</v>
      </c>
      <c r="D15" s="25">
        <v>1.0</v>
      </c>
      <c r="E15" s="17" t="str">
        <f t="array" ref="E15">iferror(index(dissected_fish!F:F,match(A15,dissected_fish!D:D,0)))</f>
        <v>BCA101</v>
      </c>
      <c r="F15" s="9" t="s">
        <v>2257</v>
      </c>
    </row>
    <row r="16">
      <c r="A16" s="25" t="s">
        <v>1518</v>
      </c>
      <c r="B16" s="25" t="s">
        <v>2263</v>
      </c>
      <c r="C16" s="25" t="s">
        <v>2259</v>
      </c>
      <c r="D16" s="25">
        <v>1.0</v>
      </c>
      <c r="E16" s="17" t="str">
        <f t="array" ref="E16">iferror(index(dissected_fish!F:F,match(A16,dissected_fish!D:D,0)))</f>
        <v>BCA101</v>
      </c>
      <c r="F16" s="9" t="s">
        <v>2257</v>
      </c>
    </row>
    <row r="17">
      <c r="A17" s="25" t="s">
        <v>125</v>
      </c>
      <c r="B17" s="25" t="s">
        <v>2263</v>
      </c>
      <c r="C17" s="25" t="s">
        <v>2264</v>
      </c>
      <c r="D17" s="25">
        <v>3.0</v>
      </c>
      <c r="E17" s="17" t="str">
        <f t="array" ref="E17">iferror(index(dissected_fish!F:F,match(A17,dissected_fish!D:D,0)))</f>
        <v>BCA99</v>
      </c>
      <c r="F17" s="9" t="s">
        <v>2257</v>
      </c>
    </row>
    <row r="18">
      <c r="A18" s="25" t="s">
        <v>1467</v>
      </c>
      <c r="B18" s="25" t="s">
        <v>2263</v>
      </c>
      <c r="C18" s="25" t="s">
        <v>2265</v>
      </c>
      <c r="D18" s="25">
        <v>5.0</v>
      </c>
      <c r="E18" s="17" t="str">
        <f t="array" ref="E18">iferror(index(dissected_fish!F:F,match(A18,dissected_fish!D:D,0)))</f>
        <v>BCA102</v>
      </c>
      <c r="F18" s="9" t="s">
        <v>2257</v>
      </c>
    </row>
    <row r="19">
      <c r="A19" s="25" t="s">
        <v>148</v>
      </c>
      <c r="B19" s="25" t="s">
        <v>2255</v>
      </c>
      <c r="C19" s="25" t="s">
        <v>2265</v>
      </c>
      <c r="D19" s="25">
        <v>10.0</v>
      </c>
      <c r="E19" s="17" t="str">
        <f t="array" ref="E19">iferror(index(dissected_fish!F:F,match(A19,dissected_fish!D:D,0)))</f>
        <v>BCA99</v>
      </c>
      <c r="F19" s="9" t="s">
        <v>2257</v>
      </c>
    </row>
    <row r="20">
      <c r="A20" s="25" t="s">
        <v>52</v>
      </c>
      <c r="B20" s="25" t="s">
        <v>2263</v>
      </c>
      <c r="C20" s="25" t="s">
        <v>2266</v>
      </c>
      <c r="D20" s="25">
        <v>7.0</v>
      </c>
      <c r="E20" s="17" t="str">
        <f t="array" ref="E20">iferror(index(dissected_fish!F:F,match(A20,dissected_fish!D:D,0)))</f>
        <v>BCA99</v>
      </c>
      <c r="F20" s="9" t="s">
        <v>2257</v>
      </c>
    </row>
    <row r="21">
      <c r="A21" s="25" t="s">
        <v>219</v>
      </c>
      <c r="B21" s="25" t="s">
        <v>2255</v>
      </c>
      <c r="C21" s="25" t="s">
        <v>2264</v>
      </c>
      <c r="D21" s="25">
        <v>10.0</v>
      </c>
      <c r="E21" s="17" t="str">
        <f t="array" ref="E21">iferror(index(dissected_fish!F:F,match(A21,dissected_fish!D:D,0)))</f>
        <v>BCA99</v>
      </c>
      <c r="F21" s="9" t="s">
        <v>2257</v>
      </c>
    </row>
    <row r="22">
      <c r="A22" s="25" t="s">
        <v>425</v>
      </c>
      <c r="B22" s="25" t="s">
        <v>2255</v>
      </c>
      <c r="C22" s="25" t="s">
        <v>2267</v>
      </c>
      <c r="D22" s="25">
        <v>10.0</v>
      </c>
      <c r="E22" s="17" t="str">
        <f t="array" ref="E22">iferror(index(dissected_fish!F:F,match(A22,dissected_fish!D:D,0)))</f>
        <v>BCA99</v>
      </c>
      <c r="F22" s="9" t="s">
        <v>2257</v>
      </c>
    </row>
    <row r="23">
      <c r="A23" s="25" t="s">
        <v>497</v>
      </c>
      <c r="B23" s="25" t="s">
        <v>2255</v>
      </c>
      <c r="C23" s="25" t="s">
        <v>2268</v>
      </c>
      <c r="D23" s="25">
        <v>10.0</v>
      </c>
      <c r="E23" s="17" t="str">
        <f t="array" ref="E23">iferror(index(dissected_fish!F:F,match(A23,dissected_fish!D:D,0)))</f>
        <v>BCA99</v>
      </c>
      <c r="F23" s="9" t="s">
        <v>2257</v>
      </c>
    </row>
    <row r="24">
      <c r="A24" s="25" t="s">
        <v>474</v>
      </c>
      <c r="B24" s="25" t="s">
        <v>2255</v>
      </c>
      <c r="C24" s="25" t="s">
        <v>2269</v>
      </c>
      <c r="D24" s="25">
        <v>10.0</v>
      </c>
      <c r="E24" s="17" t="str">
        <f t="array" ref="E24">iferror(index(dissected_fish!F:F,match(A24,dissected_fish!D:D,0)))</f>
        <v>BCA100</v>
      </c>
      <c r="F24" s="9" t="s">
        <v>2257</v>
      </c>
    </row>
    <row r="25">
      <c r="A25" s="25" t="s">
        <v>538</v>
      </c>
      <c r="B25" s="25" t="s">
        <v>2255</v>
      </c>
      <c r="C25" s="25" t="s">
        <v>2270</v>
      </c>
      <c r="D25" s="25">
        <v>10.0</v>
      </c>
      <c r="E25" s="17" t="str">
        <f t="array" ref="E25">iferror(index(dissected_fish!F:F,match(A25,dissected_fish!D:D,0)))</f>
        <v>BCA100</v>
      </c>
      <c r="F25" s="9" t="s">
        <v>2257</v>
      </c>
    </row>
    <row r="26">
      <c r="A26" s="25" t="s">
        <v>630</v>
      </c>
      <c r="B26" s="25" t="s">
        <v>2255</v>
      </c>
      <c r="C26" s="25" t="s">
        <v>2271</v>
      </c>
      <c r="D26" s="25">
        <v>10.0</v>
      </c>
      <c r="E26" s="17" t="str">
        <f t="array" ref="E26">iferror(index(dissected_fish!F:F,match(A26,dissected_fish!D:D,0)))</f>
        <v>BCA100</v>
      </c>
      <c r="F26" s="9" t="s">
        <v>2257</v>
      </c>
    </row>
    <row r="27">
      <c r="A27" s="25" t="s">
        <v>655</v>
      </c>
      <c r="B27" s="25" t="s">
        <v>2255</v>
      </c>
      <c r="C27" s="25" t="s">
        <v>2272</v>
      </c>
      <c r="D27" s="25">
        <v>10.0</v>
      </c>
      <c r="E27" s="17" t="str">
        <f t="array" ref="E27">iferror(index(dissected_fish!F:F,match(A27,dissected_fish!D:D,0)))</f>
        <v>BCA100</v>
      </c>
      <c r="F27" s="9" t="s">
        <v>2257</v>
      </c>
    </row>
    <row r="28">
      <c r="A28" s="25" t="s">
        <v>776</v>
      </c>
      <c r="B28" s="25" t="s">
        <v>2255</v>
      </c>
      <c r="C28" s="25" t="s">
        <v>2273</v>
      </c>
      <c r="D28" s="25">
        <v>10.0</v>
      </c>
      <c r="E28" s="17" t="str">
        <f t="array" ref="E28">iferror(index(dissected_fish!F:F,match(A28,dissected_fish!D:D,0)))</f>
        <v>BCA100</v>
      </c>
      <c r="F28" s="9" t="s">
        <v>2257</v>
      </c>
    </row>
    <row r="29">
      <c r="A29" s="25" t="s">
        <v>868</v>
      </c>
      <c r="B29" s="25" t="s">
        <v>2255</v>
      </c>
      <c r="C29" s="25" t="s">
        <v>2274</v>
      </c>
      <c r="D29" s="25">
        <v>10.0</v>
      </c>
      <c r="E29" s="17" t="str">
        <f t="array" ref="E29">iferror(index(dissected_fish!F:F,match(A29,dissected_fish!D:D,0)))</f>
        <v>BCA100</v>
      </c>
      <c r="F29" s="9" t="s">
        <v>2257</v>
      </c>
    </row>
    <row r="30">
      <c r="A30" s="25" t="s">
        <v>989</v>
      </c>
      <c r="B30" s="25" t="s">
        <v>2263</v>
      </c>
      <c r="C30" s="25" t="s">
        <v>2269</v>
      </c>
      <c r="D30" s="25">
        <v>10.0</v>
      </c>
      <c r="E30" s="17" t="str">
        <f t="array" ref="E30">iferror(index(dissected_fish!F:F,match(A30,dissected_fish!D:D,0)))</f>
        <v>BCA100</v>
      </c>
      <c r="F30" s="9" t="s">
        <v>2257</v>
      </c>
    </row>
    <row r="31">
      <c r="A31" s="25" t="s">
        <v>1099</v>
      </c>
      <c r="B31" s="25" t="s">
        <v>2263</v>
      </c>
      <c r="C31" s="25" t="s">
        <v>2267</v>
      </c>
      <c r="D31" s="25">
        <v>10.0</v>
      </c>
      <c r="E31" s="17" t="str">
        <f t="array" ref="E31">iferror(index(dissected_fish!F:F,match(A31,dissected_fish!D:D,0)))</f>
        <v>BCA101</v>
      </c>
      <c r="F31" s="9" t="s">
        <v>2257</v>
      </c>
    </row>
    <row r="32">
      <c r="A32" s="25" t="s">
        <v>1185</v>
      </c>
      <c r="B32" s="25" t="s">
        <v>2263</v>
      </c>
      <c r="C32" s="25" t="s">
        <v>2268</v>
      </c>
      <c r="D32" s="25">
        <v>10.0</v>
      </c>
      <c r="E32" s="17" t="str">
        <f t="array" ref="E32">iferror(index(dissected_fish!F:F,match(A32,dissected_fish!D:D,0)))</f>
        <v>BCA101</v>
      </c>
      <c r="F32" s="9" t="s">
        <v>2257</v>
      </c>
    </row>
    <row r="33">
      <c r="A33" s="25" t="s">
        <v>1172</v>
      </c>
      <c r="B33" s="25" t="s">
        <v>2263</v>
      </c>
      <c r="C33" s="25" t="s">
        <v>2270</v>
      </c>
      <c r="D33" s="25">
        <v>10.0</v>
      </c>
      <c r="E33" s="17" t="str">
        <f t="array" ref="E33">iferror(index(dissected_fish!F:F,match(A33,dissected_fish!D:D,0)))</f>
        <v>BCA101</v>
      </c>
      <c r="F33" s="9" t="s">
        <v>2257</v>
      </c>
    </row>
    <row r="34">
      <c r="A34" s="25" t="s">
        <v>1207</v>
      </c>
      <c r="B34" s="25" t="s">
        <v>2263</v>
      </c>
      <c r="C34" s="25" t="s">
        <v>2275</v>
      </c>
      <c r="D34" s="25">
        <v>9.0</v>
      </c>
      <c r="E34" s="17" t="str">
        <f t="array" ref="E34">iferror(index(dissected_fish!F:F,match(A34,dissected_fish!D:D,0)))</f>
        <v>BCA101</v>
      </c>
      <c r="F34" s="9" t="s">
        <v>2257</v>
      </c>
    </row>
    <row r="35">
      <c r="A35" s="25" t="s">
        <v>1222</v>
      </c>
      <c r="B35" s="25" t="s">
        <v>2263</v>
      </c>
      <c r="C35" s="25" t="s">
        <v>2274</v>
      </c>
      <c r="D35" s="25">
        <v>9.0</v>
      </c>
      <c r="E35" s="17" t="str">
        <f t="array" ref="E35">iferror(index(dissected_fish!F:F,match(A35,dissected_fish!D:D,0)))</f>
        <v>BCA101</v>
      </c>
      <c r="F35" s="9" t="s">
        <v>2257</v>
      </c>
    </row>
    <row r="36">
      <c r="A36" s="25" t="s">
        <v>1234</v>
      </c>
      <c r="B36" s="25" t="s">
        <v>2263</v>
      </c>
      <c r="C36" s="25" t="s">
        <v>2271</v>
      </c>
      <c r="D36" s="25">
        <v>10.0</v>
      </c>
      <c r="E36" s="17" t="str">
        <f t="array" ref="E36">iferror(index(dissected_fish!F:F,match(A36,dissected_fish!D:D,0)))</f>
        <v>BCA101</v>
      </c>
      <c r="F36" s="9" t="s">
        <v>2257</v>
      </c>
    </row>
    <row r="37">
      <c r="A37" s="25" t="s">
        <v>1272</v>
      </c>
      <c r="B37" s="25" t="s">
        <v>2263</v>
      </c>
      <c r="C37" s="25" t="s">
        <v>2273</v>
      </c>
      <c r="D37" s="25">
        <v>10.0</v>
      </c>
      <c r="E37" s="17" t="str">
        <f t="array" ref="E37">iferror(index(dissected_fish!F:F,match(A37,dissected_fish!D:D,0)))</f>
        <v>BCA101</v>
      </c>
      <c r="F37" s="9" t="s">
        <v>2257</v>
      </c>
    </row>
    <row r="38">
      <c r="A38" s="25" t="s">
        <v>1428</v>
      </c>
      <c r="B38" s="25" t="s">
        <v>2263</v>
      </c>
      <c r="C38" s="25" t="s">
        <v>2276</v>
      </c>
      <c r="D38" s="25">
        <v>10.0</v>
      </c>
      <c r="E38" s="17" t="str">
        <f t="array" ref="E38">iferror(index(dissected_fish!F:F,match(A38,dissected_fish!D:D,0)))</f>
        <v>BCA101</v>
      </c>
      <c r="F38" s="9" t="s">
        <v>2257</v>
      </c>
    </row>
    <row r="39">
      <c r="A39" s="25" t="s">
        <v>1523</v>
      </c>
      <c r="B39" s="25" t="s">
        <v>2263</v>
      </c>
      <c r="C39" s="25" t="s">
        <v>2272</v>
      </c>
      <c r="D39" s="25">
        <v>1.0</v>
      </c>
      <c r="E39" s="17" t="str">
        <f t="array" ref="E39">iferror(index(dissected_fish!F:F,match(A39,dissected_fish!D:D,0)))</f>
        <v>BCA102</v>
      </c>
      <c r="F39" s="9" t="s">
        <v>2257</v>
      </c>
    </row>
    <row r="40">
      <c r="A40" s="25" t="s">
        <v>1528</v>
      </c>
      <c r="B40" s="25" t="s">
        <v>2263</v>
      </c>
      <c r="C40" s="25" t="s">
        <v>2272</v>
      </c>
      <c r="D40" s="25">
        <v>1.0</v>
      </c>
      <c r="E40" s="17" t="str">
        <f t="array" ref="E40">iferror(index(dissected_fish!F:F,match(A40,dissected_fish!D:D,0)))</f>
        <v>BCA102</v>
      </c>
      <c r="F40" s="9" t="s">
        <v>2257</v>
      </c>
    </row>
    <row r="41">
      <c r="A41" s="25" t="s">
        <v>1535</v>
      </c>
      <c r="B41" s="25" t="s">
        <v>2263</v>
      </c>
      <c r="C41" s="25" t="s">
        <v>2272</v>
      </c>
      <c r="D41" s="25">
        <v>1.0</v>
      </c>
      <c r="E41" s="17" t="str">
        <f t="array" ref="E41">iferror(index(dissected_fish!F:F,match(A41,dissected_fish!D:D,0)))</f>
        <v>BCA102</v>
      </c>
      <c r="F41" s="9" t="s">
        <v>2257</v>
      </c>
    </row>
    <row r="42">
      <c r="A42" s="25" t="s">
        <v>1543</v>
      </c>
      <c r="B42" s="25" t="s">
        <v>2263</v>
      </c>
      <c r="C42" s="25" t="s">
        <v>2272</v>
      </c>
      <c r="D42" s="25">
        <v>1.0</v>
      </c>
      <c r="E42" s="17" t="str">
        <f t="array" ref="E42">iferror(index(dissected_fish!F:F,match(A42,dissected_fish!D:D,0)))</f>
        <v>BCA102</v>
      </c>
      <c r="F42" s="9" t="s">
        <v>2257</v>
      </c>
    </row>
    <row r="43">
      <c r="A43" s="25" t="s">
        <v>1548</v>
      </c>
      <c r="B43" s="25" t="s">
        <v>2263</v>
      </c>
      <c r="C43" s="25" t="s">
        <v>2272</v>
      </c>
      <c r="D43" s="25">
        <v>1.0</v>
      </c>
      <c r="E43" s="17" t="str">
        <f t="array" ref="E43">iferror(index(dissected_fish!F:F,match(A43,dissected_fish!D:D,0)))</f>
        <v>BCA102</v>
      </c>
      <c r="F43" s="9" t="s">
        <v>2257</v>
      </c>
    </row>
    <row r="44">
      <c r="A44" s="25" t="s">
        <v>1553</v>
      </c>
      <c r="B44" s="25" t="s">
        <v>2263</v>
      </c>
      <c r="C44" s="25" t="s">
        <v>2272</v>
      </c>
      <c r="D44" s="25">
        <v>1.0</v>
      </c>
      <c r="E44" s="17" t="str">
        <f t="array" ref="E44">iferror(index(dissected_fish!F:F,match(A44,dissected_fish!D:D,0)))</f>
        <v>BCA102</v>
      </c>
      <c r="F44" s="9" t="s">
        <v>2257</v>
      </c>
    </row>
    <row r="45">
      <c r="A45" s="25" t="s">
        <v>1562</v>
      </c>
      <c r="B45" s="25" t="s">
        <v>2263</v>
      </c>
      <c r="C45" s="25" t="s">
        <v>2272</v>
      </c>
      <c r="D45" s="25">
        <v>1.0</v>
      </c>
      <c r="E45" s="17" t="str">
        <f t="array" ref="E45">iferror(index(dissected_fish!F:F,match(A45,dissected_fish!D:D,0)))</f>
        <v>BCA102</v>
      </c>
      <c r="F45" s="9" t="s">
        <v>2257</v>
      </c>
    </row>
    <row r="46">
      <c r="A46" s="25" t="s">
        <v>1570</v>
      </c>
      <c r="B46" s="25" t="s">
        <v>2263</v>
      </c>
      <c r="C46" s="25" t="s">
        <v>2272</v>
      </c>
      <c r="D46" s="25">
        <v>1.0</v>
      </c>
      <c r="E46" s="17" t="str">
        <f t="array" ref="E46">iferror(index(dissected_fish!F:F,match(A46,dissected_fish!D:D,0)))</f>
        <v>BCA102</v>
      </c>
      <c r="F46" s="9" t="s">
        <v>2257</v>
      </c>
    </row>
    <row r="47">
      <c r="A47" s="25" t="s">
        <v>1577</v>
      </c>
      <c r="B47" s="25" t="s">
        <v>2263</v>
      </c>
      <c r="C47" s="25" t="s">
        <v>2272</v>
      </c>
      <c r="D47" s="25">
        <v>1.0</v>
      </c>
      <c r="E47" s="17" t="str">
        <f t="array" ref="E47">iferror(index(dissected_fish!F:F,match(A47,dissected_fish!D:D,0)))</f>
        <v>BCA102</v>
      </c>
      <c r="F47" s="9" t="s">
        <v>2257</v>
      </c>
    </row>
    <row r="48">
      <c r="A48" s="25" t="s">
        <v>1582</v>
      </c>
      <c r="B48" s="25" t="s">
        <v>2263</v>
      </c>
      <c r="C48" s="25" t="s">
        <v>2272</v>
      </c>
      <c r="D48" s="25">
        <v>1.0</v>
      </c>
      <c r="E48" s="17" t="str">
        <f t="array" ref="E48">iferror(index(dissected_fish!F:F,match(A48,dissected_fish!D:D,0)))</f>
        <v>BCA102</v>
      </c>
      <c r="F48" s="9" t="s">
        <v>2257</v>
      </c>
    </row>
    <row r="49">
      <c r="A49" s="25" t="s">
        <v>587</v>
      </c>
      <c r="B49" s="25" t="s">
        <v>2255</v>
      </c>
      <c r="C49" s="25" t="s">
        <v>2277</v>
      </c>
      <c r="D49" s="25">
        <v>5.0</v>
      </c>
      <c r="E49" s="17" t="str">
        <f t="array" ref="E49">iferror(index(dissected_fish!F:F,match(A49,dissected_fish!D:D,0)))</f>
        <v>BCA100</v>
      </c>
      <c r="F49" s="9" t="s">
        <v>2257</v>
      </c>
    </row>
    <row r="50">
      <c r="E50" s="17" t="str">
        <f t="array" ref="E50">iferror(index(dissected_fish!F:F,match(A50,dissected_fish!D:D,0)))</f>
        <v/>
      </c>
    </row>
    <row r="51">
      <c r="E51" s="17" t="str">
        <f t="array" ref="E51">iferror(index(dissected_fish!F:F,match(A51,dissected_fish!D:D,0)))</f>
        <v/>
      </c>
    </row>
    <row r="52">
      <c r="E52" s="17" t="str">
        <f t="array" ref="E52">iferror(index(dissected_fish!F:F,match(A52,dissected_fish!D:D,0)))</f>
        <v/>
      </c>
    </row>
    <row r="53">
      <c r="E53" s="17" t="str">
        <f t="array" ref="E53">iferror(index(dissected_fish!F:F,match(A53,dissected_fish!D:D,0)))</f>
        <v/>
      </c>
    </row>
    <row r="54">
      <c r="E54" s="17" t="str">
        <f t="array" ref="E54">iferror(index(dissected_fish!F:F,match(A54,dissected_fish!D:D,0)))</f>
        <v/>
      </c>
    </row>
    <row r="55">
      <c r="E55" s="17" t="str">
        <f t="array" ref="E55">iferror(index(dissected_fish!F:F,match(A55,dissected_fish!D:D,0)))</f>
        <v/>
      </c>
    </row>
    <row r="56">
      <c r="E56" s="17" t="str">
        <f t="array" ref="E56">iferror(index(dissected_fish!F:F,match(A56,dissected_fish!D:D,0)))</f>
        <v/>
      </c>
    </row>
    <row r="57">
      <c r="E57" s="17" t="str">
        <f t="array" ref="E57">iferror(index(dissected_fish!F:F,match(A57,dissected_fish!D:D,0)))</f>
        <v/>
      </c>
    </row>
    <row r="58">
      <c r="E58" s="17" t="str">
        <f t="array" ref="E58">iferror(index(dissected_fish!F:F,match(A58,dissected_fish!D:D,0)))</f>
        <v/>
      </c>
    </row>
    <row r="59">
      <c r="E59" s="17" t="str">
        <f t="array" ref="E59">iferror(index(dissected_fish!F:F,match(A59,dissected_fish!D:D,0)))</f>
        <v/>
      </c>
    </row>
    <row r="60">
      <c r="E60" s="17" t="str">
        <f t="array" ref="E60">iferror(index(dissected_fish!F:F,match(A60,dissected_fish!D:D,0)))</f>
        <v/>
      </c>
    </row>
    <row r="61">
      <c r="E61" s="17" t="str">
        <f t="array" ref="E61">iferror(index(dissected_fish!F:F,match(A61,dissected_fish!D:D,0)))</f>
        <v/>
      </c>
    </row>
    <row r="62">
      <c r="E62" s="17" t="str">
        <f t="array" ref="E62">iferror(index(dissected_fish!F:F,match(A62,dissected_fish!D:D,0)))</f>
        <v/>
      </c>
    </row>
    <row r="63">
      <c r="E63" s="17" t="str">
        <f t="array" ref="E63">iferror(index(dissected_fish!F:F,match(A63,dissected_fish!D:D,0)))</f>
        <v/>
      </c>
    </row>
    <row r="64">
      <c r="E64" s="17" t="str">
        <f t="array" ref="E64">iferror(index(dissected_fish!F:F,match(A64,dissected_fish!D:D,0)))</f>
        <v/>
      </c>
    </row>
    <row r="65">
      <c r="E65" s="17" t="str">
        <f t="array" ref="E65">iferror(index(dissected_fish!F:F,match(A65,dissected_fish!D:D,0)))</f>
        <v/>
      </c>
    </row>
    <row r="66">
      <c r="E66" s="17" t="str">
        <f t="array" ref="E66">iferror(index(dissected_fish!F:F,match(A66,dissected_fish!D:D,0)))</f>
        <v/>
      </c>
    </row>
    <row r="67">
      <c r="E67" s="17" t="str">
        <f t="array" ref="E67">iferror(index(dissected_fish!F:F,match(A67,dissected_fish!D:D,0)))</f>
        <v/>
      </c>
    </row>
    <row r="68">
      <c r="E68" s="17" t="str">
        <f t="array" ref="E68">iferror(index(dissected_fish!F:F,match(A68,dissected_fish!D:D,0)))</f>
        <v/>
      </c>
    </row>
    <row r="69">
      <c r="E69" s="17" t="str">
        <f t="array" ref="E69">iferror(index(dissected_fish!F:F,match(A69,dissected_fish!D:D,0)))</f>
        <v/>
      </c>
    </row>
    <row r="70">
      <c r="E70" s="17" t="str">
        <f t="array" ref="E70">iferror(index(dissected_fish!F:F,match(A70,dissected_fish!D:D,0)))</f>
        <v/>
      </c>
    </row>
    <row r="71">
      <c r="E71" s="17" t="str">
        <f t="array" ref="E71">iferror(index(dissected_fish!F:F,match(A71,dissected_fish!D:D,0)))</f>
        <v/>
      </c>
    </row>
    <row r="72">
      <c r="E72" s="17" t="str">
        <f t="array" ref="E72">iferror(index(dissected_fish!F:F,match(A72,dissected_fish!D:D,0)))</f>
        <v/>
      </c>
    </row>
    <row r="73">
      <c r="E73" s="17" t="str">
        <f t="array" ref="E73">iferror(index(dissected_fish!F:F,match(A73,dissected_fish!D:D,0)))</f>
        <v/>
      </c>
    </row>
    <row r="74">
      <c r="E74" s="17" t="str">
        <f t="array" ref="E74">iferror(index(dissected_fish!F:F,match(A74,dissected_fish!D:D,0)))</f>
        <v/>
      </c>
    </row>
    <row r="75">
      <c r="E75" s="17" t="str">
        <f t="array" ref="E75">iferror(index(dissected_fish!F:F,match(A75,dissected_fish!D:D,0)))</f>
        <v/>
      </c>
    </row>
    <row r="76">
      <c r="E76" s="17" t="str">
        <f t="array" ref="E76">iferror(index(dissected_fish!F:F,match(A76,dissected_fish!D:D,0)))</f>
        <v/>
      </c>
    </row>
    <row r="77">
      <c r="E77" s="17" t="str">
        <f t="array" ref="E77">iferror(index(dissected_fish!F:F,match(A77,dissected_fish!D:D,0)))</f>
        <v/>
      </c>
    </row>
    <row r="78">
      <c r="E78" s="17" t="str">
        <f t="array" ref="E78">iferror(index(dissected_fish!F:F,match(A78,dissected_fish!D:D,0)))</f>
        <v/>
      </c>
    </row>
    <row r="79">
      <c r="E79" s="17" t="str">
        <f t="array" ref="E79">iferror(index(dissected_fish!F:F,match(A79,dissected_fish!D:D,0)))</f>
        <v/>
      </c>
    </row>
    <row r="80">
      <c r="E80" s="17" t="str">
        <f t="array" ref="E80">iferror(index(dissected_fish!F:F,match(A80,dissected_fish!D:D,0)))</f>
        <v/>
      </c>
    </row>
    <row r="81">
      <c r="E81" s="17" t="str">
        <f t="array" ref="E81">iferror(index(dissected_fish!F:F,match(A81,dissected_fish!D:D,0)))</f>
        <v/>
      </c>
    </row>
    <row r="82">
      <c r="E82" s="17" t="str">
        <f t="array" ref="E82">iferror(index(dissected_fish!F:F,match(A82,dissected_fish!D:D,0)))</f>
        <v/>
      </c>
    </row>
    <row r="83">
      <c r="E83" s="17" t="str">
        <f t="array" ref="E83">iferror(index(dissected_fish!F:F,match(A83,dissected_fish!D:D,0)))</f>
        <v/>
      </c>
    </row>
    <row r="84">
      <c r="E84" s="17" t="str">
        <f t="array" ref="E84">iferror(index(dissected_fish!F:F,match(A84,dissected_fish!D:D,0)))</f>
        <v/>
      </c>
    </row>
    <row r="85">
      <c r="E85" s="17" t="str">
        <f t="array" ref="E85">iferror(index(dissected_fish!F:F,match(A85,dissected_fish!D:D,0)))</f>
        <v/>
      </c>
    </row>
    <row r="86">
      <c r="E86" s="17" t="str">
        <f t="array" ref="E86">iferror(index(dissected_fish!F:F,match(A86,dissected_fish!D:D,0)))</f>
        <v/>
      </c>
    </row>
    <row r="87">
      <c r="E87" s="17" t="str">
        <f t="array" ref="E87">iferror(index(dissected_fish!F:F,match(A87,dissected_fish!D:D,0)))</f>
        <v/>
      </c>
    </row>
    <row r="88">
      <c r="E88" s="17" t="str">
        <f t="array" ref="E88">iferror(index(dissected_fish!F:F,match(A88,dissected_fish!D:D,0)))</f>
        <v/>
      </c>
    </row>
    <row r="89">
      <c r="E89" s="17" t="str">
        <f t="array" ref="E89">iferror(index(dissected_fish!F:F,match(A89,dissected_fish!D:D,0)))</f>
        <v/>
      </c>
    </row>
    <row r="90">
      <c r="E90" s="17" t="str">
        <f t="array" ref="E90">iferror(index(dissected_fish!F:F,match(A90,dissected_fish!D:D,0)))</f>
        <v/>
      </c>
    </row>
    <row r="91">
      <c r="E91" s="17" t="str">
        <f t="array" ref="E91">iferror(index(dissected_fish!F:F,match(A91,dissected_fish!D:D,0)))</f>
        <v/>
      </c>
    </row>
    <row r="92">
      <c r="E92" s="17" t="str">
        <f t="array" ref="E92">iferror(index(dissected_fish!F:F,match(A92,dissected_fish!D:D,0)))</f>
        <v/>
      </c>
    </row>
    <row r="93">
      <c r="E93" s="17" t="str">
        <f t="array" ref="E93">iferror(index(dissected_fish!F:F,match(A93,dissected_fish!D:D,0)))</f>
        <v/>
      </c>
    </row>
    <row r="94">
      <c r="E94" s="17" t="str">
        <f t="array" ref="E94">iferror(index(dissected_fish!F:F,match(A94,dissected_fish!D:D,0)))</f>
        <v/>
      </c>
    </row>
    <row r="95">
      <c r="E95" s="17" t="str">
        <f t="array" ref="E95">iferror(index(dissected_fish!F:F,match(A95,dissected_fish!D:D,0)))</f>
        <v/>
      </c>
    </row>
    <row r="96">
      <c r="E96" s="17" t="str">
        <f t="array" ref="E96">iferror(index(dissected_fish!F:F,match(A96,dissected_fish!D:D,0)))</f>
        <v/>
      </c>
    </row>
    <row r="97">
      <c r="E97" s="17" t="str">
        <f t="array" ref="E97">iferror(index(dissected_fish!F:F,match(A97,dissected_fish!D:D,0)))</f>
        <v/>
      </c>
    </row>
    <row r="98">
      <c r="E98" s="17" t="str">
        <f t="array" ref="E98">iferror(index(dissected_fish!F:F,match(A98,dissected_fish!D:D,0)))</f>
        <v/>
      </c>
    </row>
    <row r="99">
      <c r="E99" s="17" t="str">
        <f t="array" ref="E99">iferror(index(dissected_fish!F:F,match(A99,dissected_fish!D:D,0)))</f>
        <v/>
      </c>
    </row>
    <row r="100">
      <c r="E100" s="17" t="str">
        <f t="array" ref="E100">iferror(index(dissected_fish!F:F,match(A100,dissected_fish!D:D,0)))</f>
        <v/>
      </c>
    </row>
    <row r="101">
      <c r="E101" s="17" t="str">
        <f t="array" ref="E101">iferror(index(dissected_fish!F:F,match(A101,dissected_fish!D:D,0)))</f>
        <v/>
      </c>
    </row>
    <row r="102">
      <c r="E102" s="17" t="str">
        <f t="array" ref="E102">iferror(index(dissected_fish!F:F,match(A102,dissected_fish!D:D,0)))</f>
        <v/>
      </c>
    </row>
    <row r="103">
      <c r="E103" s="17" t="str">
        <f t="array" ref="E103">iferror(index(dissected_fish!F:F,match(A103,dissected_fish!D:D,0)))</f>
        <v/>
      </c>
    </row>
    <row r="104">
      <c r="E104" s="17" t="str">
        <f t="array" ref="E104">iferror(index(dissected_fish!F:F,match(A104,dissected_fish!D:D,0)))</f>
        <v/>
      </c>
    </row>
    <row r="105">
      <c r="E105" s="17" t="str">
        <f t="array" ref="E105">iferror(index(dissected_fish!F:F,match(A105,dissected_fish!D:D,0)))</f>
        <v/>
      </c>
    </row>
    <row r="106">
      <c r="E106" s="17" t="str">
        <f t="array" ref="E106">iferror(index(dissected_fish!F:F,match(A106,dissected_fish!D:D,0)))</f>
        <v/>
      </c>
    </row>
    <row r="107">
      <c r="E107" s="17" t="str">
        <f t="array" ref="E107">iferror(index(dissected_fish!F:F,match(A107,dissected_fish!D:D,0)))</f>
        <v/>
      </c>
    </row>
    <row r="108">
      <c r="E108" s="17" t="str">
        <f t="array" ref="E108">iferror(index(dissected_fish!F:F,match(A108,dissected_fish!D:D,0)))</f>
        <v/>
      </c>
    </row>
    <row r="109">
      <c r="E109" s="17" t="str">
        <f t="array" ref="E109">iferror(index(dissected_fish!F:F,match(A109,dissected_fish!D:D,0)))</f>
        <v/>
      </c>
    </row>
    <row r="110">
      <c r="E110" s="17" t="str">
        <f t="array" ref="E110">iferror(index(dissected_fish!F:F,match(A110,dissected_fish!D:D,0)))</f>
        <v/>
      </c>
    </row>
    <row r="111">
      <c r="E111" s="17" t="str">
        <f t="array" ref="E111">iferror(index(dissected_fish!F:F,match(A111,dissected_fish!D:D,0)))</f>
        <v/>
      </c>
    </row>
    <row r="112">
      <c r="E112" s="17" t="str">
        <f t="array" ref="E112">iferror(index(dissected_fish!F:F,match(A112,dissected_fish!D:D,0)))</f>
        <v/>
      </c>
    </row>
    <row r="113">
      <c r="E113" s="17" t="str">
        <f t="array" ref="E113">iferror(index(dissected_fish!F:F,match(A113,dissected_fish!D:D,0)))</f>
        <v/>
      </c>
    </row>
    <row r="114">
      <c r="E114" s="17" t="str">
        <f t="array" ref="E114">iferror(index(dissected_fish!F:F,match(A114,dissected_fish!D:D,0)))</f>
        <v/>
      </c>
    </row>
    <row r="115">
      <c r="E115" s="17" t="str">
        <f t="array" ref="E115">iferror(index(dissected_fish!F:F,match(A115,dissected_fish!D:D,0)))</f>
        <v/>
      </c>
    </row>
    <row r="116">
      <c r="E116" s="17" t="str">
        <f t="array" ref="E116">iferror(index(dissected_fish!F:F,match(A116,dissected_fish!D:D,0)))</f>
        <v/>
      </c>
    </row>
    <row r="117">
      <c r="E117" s="17" t="str">
        <f t="array" ref="E117">iferror(index(dissected_fish!F:F,match(A117,dissected_fish!D:D,0)))</f>
        <v/>
      </c>
    </row>
    <row r="118">
      <c r="E118" s="17" t="str">
        <f t="array" ref="E118">iferror(index(dissected_fish!F:F,match(A118,dissected_fish!D:D,0)))</f>
        <v/>
      </c>
    </row>
    <row r="119">
      <c r="E119" s="17" t="str">
        <f t="array" ref="E119">iferror(index(dissected_fish!F:F,match(A119,dissected_fish!D:D,0)))</f>
        <v/>
      </c>
    </row>
    <row r="120">
      <c r="E120" s="17" t="str">
        <f t="array" ref="E120">iferror(index(dissected_fish!F:F,match(A120,dissected_fish!D:D,0)))</f>
        <v/>
      </c>
    </row>
    <row r="121">
      <c r="E121" s="17" t="str">
        <f t="array" ref="E121">iferror(index(dissected_fish!F:F,match(A121,dissected_fish!D:D,0)))</f>
        <v/>
      </c>
    </row>
    <row r="122">
      <c r="E122" s="17" t="str">
        <f t="array" ref="E122">iferror(index(dissected_fish!F:F,match(A122,dissected_fish!D:D,0)))</f>
        <v/>
      </c>
    </row>
    <row r="123">
      <c r="E123" s="17" t="str">
        <f t="array" ref="E123">iferror(index(dissected_fish!F:F,match(A123,dissected_fish!D:D,0)))</f>
        <v/>
      </c>
    </row>
    <row r="124">
      <c r="E124" s="17" t="str">
        <f t="array" ref="E124">iferror(index(dissected_fish!F:F,match(A124,dissected_fish!D:D,0)))</f>
        <v/>
      </c>
    </row>
    <row r="125">
      <c r="E125" s="17" t="str">
        <f t="array" ref="E125">iferror(index(dissected_fish!F:F,match(A125,dissected_fish!D:D,0)))</f>
        <v/>
      </c>
    </row>
    <row r="126">
      <c r="E126" s="17" t="str">
        <f t="array" ref="E126">iferror(index(dissected_fish!F:F,match(A126,dissected_fish!D:D,0)))</f>
        <v/>
      </c>
    </row>
    <row r="127">
      <c r="E127" s="17" t="str">
        <f t="array" ref="E127">iferror(index(dissected_fish!F:F,match(A127,dissected_fish!D:D,0)))</f>
        <v/>
      </c>
    </row>
    <row r="128">
      <c r="E128" s="17" t="str">
        <f t="array" ref="E128">iferror(index(dissected_fish!F:F,match(A128,dissected_fish!D:D,0)))</f>
        <v/>
      </c>
    </row>
    <row r="129">
      <c r="E129" s="17" t="str">
        <f t="array" ref="E129">iferror(index(dissected_fish!F:F,match(A129,dissected_fish!D:D,0)))</f>
        <v/>
      </c>
    </row>
    <row r="130">
      <c r="E130" s="17" t="str">
        <f t="array" ref="E130">iferror(index(dissected_fish!F:F,match(A130,dissected_fish!D:D,0)))</f>
        <v/>
      </c>
    </row>
    <row r="131">
      <c r="E131" s="17" t="str">
        <f t="array" ref="E131">iferror(index(dissected_fish!F:F,match(A131,dissected_fish!D:D,0)))</f>
        <v/>
      </c>
    </row>
    <row r="132">
      <c r="E132" s="17" t="str">
        <f t="array" ref="E132">iferror(index(dissected_fish!F:F,match(A132,dissected_fish!D:D,0)))</f>
        <v/>
      </c>
    </row>
    <row r="133">
      <c r="E133" s="17" t="str">
        <f t="array" ref="E133">iferror(index(dissected_fish!F:F,match(A133,dissected_fish!D:D,0)))</f>
        <v/>
      </c>
    </row>
    <row r="134">
      <c r="E134" s="17" t="str">
        <f t="array" ref="E134">iferror(index(dissected_fish!F:F,match(A134,dissected_fish!D:D,0)))</f>
        <v/>
      </c>
    </row>
    <row r="135">
      <c r="E135" s="17" t="str">
        <f t="array" ref="E135">iferror(index(dissected_fish!F:F,match(A135,dissected_fish!D:D,0)))</f>
        <v/>
      </c>
    </row>
    <row r="136">
      <c r="E136" s="17" t="str">
        <f t="array" ref="E136">iferror(index(dissected_fish!F:F,match(A136,dissected_fish!D:D,0)))</f>
        <v/>
      </c>
    </row>
    <row r="137">
      <c r="E137" s="17" t="str">
        <f t="array" ref="E137">iferror(index(dissected_fish!F:F,match(A137,dissected_fish!D:D,0)))</f>
        <v/>
      </c>
    </row>
    <row r="138">
      <c r="E138" s="17" t="str">
        <f t="array" ref="E138">iferror(index(dissected_fish!F:F,match(A138,dissected_fish!D:D,0)))</f>
        <v/>
      </c>
    </row>
    <row r="139">
      <c r="E139" s="17" t="str">
        <f t="array" ref="E139">iferror(index(dissected_fish!F:F,match(A139,dissected_fish!D:D,0)))</f>
        <v/>
      </c>
    </row>
    <row r="140">
      <c r="E140" s="17" t="str">
        <f t="array" ref="E140">iferror(index(dissected_fish!F:F,match(A140,dissected_fish!D:D,0)))</f>
        <v/>
      </c>
    </row>
    <row r="141">
      <c r="E141" s="17" t="str">
        <f t="array" ref="E141">iferror(index(dissected_fish!F:F,match(A141,dissected_fish!D:D,0)))</f>
        <v/>
      </c>
    </row>
    <row r="142">
      <c r="E142" s="17" t="str">
        <f t="array" ref="E142">iferror(index(dissected_fish!F:F,match(A142,dissected_fish!D:D,0)))</f>
        <v/>
      </c>
    </row>
    <row r="143">
      <c r="E143" s="17" t="str">
        <f t="array" ref="E143">iferror(index(dissected_fish!F:F,match(A143,dissected_fish!D:D,0)))</f>
        <v/>
      </c>
    </row>
    <row r="144">
      <c r="E144" s="17" t="str">
        <f t="array" ref="E144">iferror(index(dissected_fish!F:F,match(A144,dissected_fish!D:D,0)))</f>
        <v/>
      </c>
    </row>
    <row r="145">
      <c r="E145" s="17" t="str">
        <f t="array" ref="E145">iferror(index(dissected_fish!F:F,match(A145,dissected_fish!D:D,0)))</f>
        <v/>
      </c>
    </row>
    <row r="146">
      <c r="E146" s="17" t="str">
        <f t="array" ref="E146">iferror(index(dissected_fish!F:F,match(A146,dissected_fish!D:D,0)))</f>
        <v/>
      </c>
    </row>
    <row r="147">
      <c r="E147" s="17" t="str">
        <f t="array" ref="E147">iferror(index(dissected_fish!F:F,match(A147,dissected_fish!D:D,0)))</f>
        <v/>
      </c>
    </row>
    <row r="148">
      <c r="E148" s="17" t="str">
        <f t="array" ref="E148">iferror(index(dissected_fish!F:F,match(A148,dissected_fish!D:D,0)))</f>
        <v/>
      </c>
    </row>
    <row r="149">
      <c r="E149" s="17" t="str">
        <f t="array" ref="E149">iferror(index(dissected_fish!F:F,match(A149,dissected_fish!D:D,0)))</f>
        <v/>
      </c>
    </row>
    <row r="150">
      <c r="E150" s="17" t="str">
        <f t="array" ref="E150">iferror(index(dissected_fish!F:F,match(A150,dissected_fish!D:D,0)))</f>
        <v/>
      </c>
    </row>
    <row r="151">
      <c r="E151" s="17" t="str">
        <f t="array" ref="E151">iferror(index(dissected_fish!F:F,match(A151,dissected_fish!D:D,0)))</f>
        <v/>
      </c>
    </row>
    <row r="152">
      <c r="E152" s="17" t="str">
        <f t="array" ref="E152">iferror(index(dissected_fish!F:F,match(A152,dissected_fish!D:D,0)))</f>
        <v/>
      </c>
    </row>
    <row r="153">
      <c r="E153" s="17" t="str">
        <f t="array" ref="E153">iferror(index(dissected_fish!F:F,match(A153,dissected_fish!D:D,0)))</f>
        <v/>
      </c>
    </row>
    <row r="154">
      <c r="E154" s="17" t="str">
        <f t="array" ref="E154">iferror(index(dissected_fish!F:F,match(A154,dissected_fish!D:D,0)))</f>
        <v/>
      </c>
    </row>
    <row r="155">
      <c r="E155" s="17" t="str">
        <f t="array" ref="E155">iferror(index(dissected_fish!F:F,match(A155,dissected_fish!D:D,0)))</f>
        <v/>
      </c>
    </row>
    <row r="156">
      <c r="E156" s="17" t="str">
        <f t="array" ref="E156">iferror(index(dissected_fish!F:F,match(A156,dissected_fish!D:D,0)))</f>
        <v/>
      </c>
    </row>
    <row r="157">
      <c r="E157" s="17" t="str">
        <f t="array" ref="E157">iferror(index(dissected_fish!F:F,match(A157,dissected_fish!D:D,0)))</f>
        <v/>
      </c>
    </row>
    <row r="158">
      <c r="E158" s="17" t="str">
        <f t="array" ref="E158">iferror(index(dissected_fish!F:F,match(A158,dissected_fish!D:D,0)))</f>
        <v/>
      </c>
    </row>
    <row r="159">
      <c r="E159" s="17" t="str">
        <f t="array" ref="E159">iferror(index(dissected_fish!F:F,match(A159,dissected_fish!D:D,0)))</f>
        <v/>
      </c>
    </row>
    <row r="160">
      <c r="E160" s="17" t="str">
        <f t="array" ref="E160">iferror(index(dissected_fish!F:F,match(A160,dissected_fish!D:D,0)))</f>
        <v/>
      </c>
    </row>
    <row r="161">
      <c r="E161" s="17" t="str">
        <f t="array" ref="E161">iferror(index(dissected_fish!F:F,match(A161,dissected_fish!D:D,0)))</f>
        <v/>
      </c>
    </row>
    <row r="162">
      <c r="E162" s="17" t="str">
        <f t="array" ref="E162">iferror(index(dissected_fish!F:F,match(A162,dissected_fish!D:D,0)))</f>
        <v/>
      </c>
    </row>
    <row r="163">
      <c r="E163" s="17" t="str">
        <f t="array" ref="E163">iferror(index(dissected_fish!F:F,match(A163,dissected_fish!D:D,0)))</f>
        <v/>
      </c>
    </row>
    <row r="164">
      <c r="E164" s="17" t="str">
        <f t="array" ref="E164">iferror(index(dissected_fish!F:F,match(A164,dissected_fish!D:D,0)))</f>
        <v/>
      </c>
    </row>
    <row r="165">
      <c r="E165" s="17" t="str">
        <f t="array" ref="E165">iferror(index(dissected_fish!F:F,match(A165,dissected_fish!D:D,0)))</f>
        <v/>
      </c>
    </row>
    <row r="166">
      <c r="E166" s="17" t="str">
        <f t="array" ref="E166">iferror(index(dissected_fish!F:F,match(A166,dissected_fish!D:D,0)))</f>
        <v/>
      </c>
    </row>
    <row r="167">
      <c r="E167" s="17" t="str">
        <f t="array" ref="E167">iferror(index(dissected_fish!F:F,match(A167,dissected_fish!D:D,0)))</f>
        <v/>
      </c>
    </row>
    <row r="168">
      <c r="E168" s="17" t="str">
        <f t="array" ref="E168">iferror(index(dissected_fish!F:F,match(A168,dissected_fish!D:D,0)))</f>
        <v/>
      </c>
    </row>
    <row r="169">
      <c r="E169" s="17" t="str">
        <f t="array" ref="E169">iferror(index(dissected_fish!F:F,match(A169,dissected_fish!D:D,0)))</f>
        <v/>
      </c>
    </row>
    <row r="170">
      <c r="E170" s="17" t="str">
        <f t="array" ref="E170">iferror(index(dissected_fish!F:F,match(A170,dissected_fish!D:D,0)))</f>
        <v/>
      </c>
    </row>
    <row r="171">
      <c r="E171" s="17" t="str">
        <f t="array" ref="E171">iferror(index(dissected_fish!F:F,match(A171,dissected_fish!D:D,0)))</f>
        <v/>
      </c>
    </row>
    <row r="172">
      <c r="E172" s="17" t="str">
        <f t="array" ref="E172">iferror(index(dissected_fish!F:F,match(A172,dissected_fish!D:D,0)))</f>
        <v/>
      </c>
    </row>
    <row r="173">
      <c r="E173" s="17" t="str">
        <f t="array" ref="E173">iferror(index(dissected_fish!F:F,match(A173,dissected_fish!D:D,0)))</f>
        <v/>
      </c>
    </row>
    <row r="174">
      <c r="E174" s="17" t="str">
        <f t="array" ref="E174">iferror(index(dissected_fish!F:F,match(A174,dissected_fish!D:D,0)))</f>
        <v/>
      </c>
    </row>
    <row r="175">
      <c r="E175" s="17" t="str">
        <f t="array" ref="E175">iferror(index(dissected_fish!F:F,match(A175,dissected_fish!D:D,0)))</f>
        <v/>
      </c>
    </row>
    <row r="176">
      <c r="E176" s="17" t="str">
        <f t="array" ref="E176">iferror(index(dissected_fish!F:F,match(A176,dissected_fish!D:D,0)))</f>
        <v/>
      </c>
    </row>
    <row r="177">
      <c r="E177" s="17" t="str">
        <f t="array" ref="E177">iferror(index(dissected_fish!F:F,match(A177,dissected_fish!D:D,0)))</f>
        <v/>
      </c>
    </row>
    <row r="178">
      <c r="E178" s="17" t="str">
        <f t="array" ref="E178">iferror(index(dissected_fish!F:F,match(A178,dissected_fish!D:D,0)))</f>
        <v/>
      </c>
    </row>
    <row r="179">
      <c r="E179" s="17" t="str">
        <f t="array" ref="E179">iferror(index(dissected_fish!F:F,match(A179,dissected_fish!D:D,0)))</f>
        <v/>
      </c>
    </row>
    <row r="180">
      <c r="E180" s="17" t="str">
        <f t="array" ref="E180">iferror(index(dissected_fish!F:F,match(A180,dissected_fish!D:D,0)))</f>
        <v/>
      </c>
    </row>
    <row r="181">
      <c r="E181" s="17" t="str">
        <f t="array" ref="E181">iferror(index(dissected_fish!F:F,match(A181,dissected_fish!D:D,0)))</f>
        <v/>
      </c>
    </row>
    <row r="182">
      <c r="E182" s="17" t="str">
        <f t="array" ref="E182">iferror(index(dissected_fish!F:F,match(A182,dissected_fish!D:D,0)))</f>
        <v/>
      </c>
    </row>
    <row r="183">
      <c r="E183" s="17" t="str">
        <f t="array" ref="E183">iferror(index(dissected_fish!F:F,match(A183,dissected_fish!D:D,0)))</f>
        <v/>
      </c>
    </row>
    <row r="184">
      <c r="E184" s="17" t="str">
        <f t="array" ref="E184">iferror(index(dissected_fish!F:F,match(A184,dissected_fish!D:D,0)))</f>
        <v/>
      </c>
    </row>
    <row r="185">
      <c r="E185" s="17" t="str">
        <f t="array" ref="E185">iferror(index(dissected_fish!F:F,match(A185,dissected_fish!D:D,0)))</f>
        <v/>
      </c>
    </row>
    <row r="186">
      <c r="E186" s="17" t="str">
        <f t="array" ref="E186">iferror(index(dissected_fish!F:F,match(A186,dissected_fish!D:D,0)))</f>
        <v/>
      </c>
    </row>
    <row r="187">
      <c r="E187" s="17" t="str">
        <f t="array" ref="E187">iferror(index(dissected_fish!F:F,match(A187,dissected_fish!D:D,0)))</f>
        <v/>
      </c>
    </row>
    <row r="188">
      <c r="E188" s="17" t="str">
        <f t="array" ref="E188">iferror(index(dissected_fish!F:F,match(A188,dissected_fish!D:D,0)))</f>
        <v/>
      </c>
    </row>
    <row r="189">
      <c r="E189" s="17" t="str">
        <f t="array" ref="E189">iferror(index(dissected_fish!F:F,match(A189,dissected_fish!D:D,0)))</f>
        <v/>
      </c>
    </row>
    <row r="190">
      <c r="E190" s="17" t="str">
        <f t="array" ref="E190">iferror(index(dissected_fish!F:F,match(A190,dissected_fish!D:D,0)))</f>
        <v/>
      </c>
    </row>
    <row r="191">
      <c r="E191" s="17" t="str">
        <f t="array" ref="E191">iferror(index(dissected_fish!F:F,match(A191,dissected_fish!D:D,0)))</f>
        <v/>
      </c>
    </row>
    <row r="192">
      <c r="E192" s="17" t="str">
        <f t="array" ref="E192">iferror(index(dissected_fish!F:F,match(A192,dissected_fish!D:D,0)))</f>
        <v/>
      </c>
    </row>
    <row r="193">
      <c r="E193" s="17" t="str">
        <f t="array" ref="E193">iferror(index(dissected_fish!F:F,match(A193,dissected_fish!D:D,0)))</f>
        <v/>
      </c>
    </row>
    <row r="194">
      <c r="E194" s="17" t="str">
        <f t="array" ref="E194">iferror(index(dissected_fish!F:F,match(A194,dissected_fish!D:D,0)))</f>
        <v/>
      </c>
    </row>
    <row r="195">
      <c r="E195" s="17" t="str">
        <f t="array" ref="E195">iferror(index(dissected_fish!F:F,match(A195,dissected_fish!D:D,0)))</f>
        <v/>
      </c>
    </row>
    <row r="196">
      <c r="E196" s="17" t="str">
        <f t="array" ref="E196">iferror(index(dissected_fish!F:F,match(A196,dissected_fish!D:D,0)))</f>
        <v/>
      </c>
    </row>
    <row r="197">
      <c r="E197" s="17" t="str">
        <f t="array" ref="E197">iferror(index(dissected_fish!F:F,match(A197,dissected_fish!D:D,0)))</f>
        <v/>
      </c>
    </row>
    <row r="198">
      <c r="E198" s="17" t="str">
        <f t="array" ref="E198">iferror(index(dissected_fish!F:F,match(A198,dissected_fish!D:D,0)))</f>
        <v/>
      </c>
    </row>
    <row r="199">
      <c r="E199" s="17" t="str">
        <f t="array" ref="E199">iferror(index(dissected_fish!F:F,match(A199,dissected_fish!D:D,0)))</f>
        <v/>
      </c>
    </row>
    <row r="200">
      <c r="E200" s="17" t="str">
        <f t="array" ref="E200">iferror(index(dissected_fish!F:F,match(A200,dissected_fish!D:D,0)))</f>
        <v/>
      </c>
    </row>
    <row r="201">
      <c r="E201" s="17" t="str">
        <f t="array" ref="E201">iferror(index(dissected_fish!F:F,match(A201,dissected_fish!D:D,0)))</f>
        <v/>
      </c>
    </row>
    <row r="202">
      <c r="E202" s="17" t="str">
        <f t="array" ref="E202">iferror(index(dissected_fish!F:F,match(A202,dissected_fish!D:D,0)))</f>
        <v/>
      </c>
    </row>
    <row r="203">
      <c r="E203" s="17" t="str">
        <f t="array" ref="E203">iferror(index(dissected_fish!F:F,match(A203,dissected_fish!D:D,0)))</f>
        <v/>
      </c>
    </row>
    <row r="204">
      <c r="E204" s="17" t="str">
        <f t="array" ref="E204">iferror(index(dissected_fish!F:F,match(A204,dissected_fish!D:D,0)))</f>
        <v/>
      </c>
    </row>
    <row r="205">
      <c r="E205" s="17" t="str">
        <f t="array" ref="E205">iferror(index(dissected_fish!F:F,match(A205,dissected_fish!D:D,0)))</f>
        <v/>
      </c>
    </row>
    <row r="206">
      <c r="E206" s="17" t="str">
        <f t="array" ref="E206">iferror(index(dissected_fish!F:F,match(A206,dissected_fish!D:D,0)))</f>
        <v/>
      </c>
    </row>
    <row r="207">
      <c r="E207" s="17" t="str">
        <f t="array" ref="E207">iferror(index(dissected_fish!F:F,match(A207,dissected_fish!D:D,0)))</f>
        <v/>
      </c>
    </row>
    <row r="208">
      <c r="E208" s="17" t="str">
        <f t="array" ref="E208">iferror(index(dissected_fish!F:F,match(A208,dissected_fish!D:D,0)))</f>
        <v/>
      </c>
    </row>
    <row r="209">
      <c r="E209" s="17" t="str">
        <f t="array" ref="E209">iferror(index(dissected_fish!F:F,match(A209,dissected_fish!D:D,0)))</f>
        <v/>
      </c>
    </row>
    <row r="210">
      <c r="E210" s="17" t="str">
        <f t="array" ref="E210">iferror(index(dissected_fish!F:F,match(A210,dissected_fish!D:D,0)))</f>
        <v/>
      </c>
    </row>
    <row r="211">
      <c r="E211" s="17" t="str">
        <f t="array" ref="E211">iferror(index(dissected_fish!F:F,match(A211,dissected_fish!D:D,0)))</f>
        <v/>
      </c>
    </row>
    <row r="212">
      <c r="E212" s="17" t="str">
        <f t="array" ref="E212">iferror(index(dissected_fish!F:F,match(A212,dissected_fish!D:D,0)))</f>
        <v/>
      </c>
    </row>
    <row r="213">
      <c r="E213" s="17" t="str">
        <f t="array" ref="E213">iferror(index(dissected_fish!F:F,match(A213,dissected_fish!D:D,0)))</f>
        <v/>
      </c>
    </row>
    <row r="214">
      <c r="E214" s="17" t="str">
        <f t="array" ref="E214">iferror(index(dissected_fish!F:F,match(A214,dissected_fish!D:D,0)))</f>
        <v/>
      </c>
    </row>
    <row r="215">
      <c r="E215" s="17" t="str">
        <f t="array" ref="E215">iferror(index(dissected_fish!F:F,match(A215,dissected_fish!D:D,0)))</f>
        <v/>
      </c>
    </row>
    <row r="216">
      <c r="E216" s="17" t="str">
        <f t="array" ref="E216">iferror(index(dissected_fish!F:F,match(A216,dissected_fish!D:D,0)))</f>
        <v/>
      </c>
    </row>
    <row r="217">
      <c r="E217" s="17" t="str">
        <f t="array" ref="E217">iferror(index(dissected_fish!F:F,match(A217,dissected_fish!D:D,0)))</f>
        <v/>
      </c>
    </row>
    <row r="218">
      <c r="E218" s="17" t="str">
        <f t="array" ref="E218">iferror(index(dissected_fish!F:F,match(A218,dissected_fish!D:D,0)))</f>
        <v/>
      </c>
    </row>
    <row r="219">
      <c r="E219" s="17" t="str">
        <f t="array" ref="E219">iferror(index(dissected_fish!F:F,match(A219,dissected_fish!D:D,0)))</f>
        <v/>
      </c>
    </row>
    <row r="220">
      <c r="E220" s="17" t="str">
        <f t="array" ref="E220">iferror(index(dissected_fish!F:F,match(A220,dissected_fish!D:D,0)))</f>
        <v/>
      </c>
    </row>
    <row r="221">
      <c r="E221" s="17" t="str">
        <f t="array" ref="E221">iferror(index(dissected_fish!F:F,match(A221,dissected_fish!D:D,0)))</f>
        <v/>
      </c>
    </row>
    <row r="222">
      <c r="E222" s="17" t="str">
        <f t="array" ref="E222">iferror(index(dissected_fish!F:F,match(A222,dissected_fish!D:D,0)))</f>
        <v/>
      </c>
    </row>
    <row r="223">
      <c r="E223" s="17" t="str">
        <f t="array" ref="E223">iferror(index(dissected_fish!F:F,match(A223,dissected_fish!D:D,0)))</f>
        <v/>
      </c>
    </row>
    <row r="224">
      <c r="E224" s="17" t="str">
        <f t="array" ref="E224">iferror(index(dissected_fish!F:F,match(A224,dissected_fish!D:D,0)))</f>
        <v/>
      </c>
    </row>
    <row r="225">
      <c r="E225" s="17" t="str">
        <f t="array" ref="E225">iferror(index(dissected_fish!F:F,match(A225,dissected_fish!D:D,0)))</f>
        <v/>
      </c>
    </row>
    <row r="226">
      <c r="E226" s="17" t="str">
        <f t="array" ref="E226">iferror(index(dissected_fish!F:F,match(A226,dissected_fish!D:D,0)))</f>
        <v/>
      </c>
    </row>
    <row r="227">
      <c r="E227" s="17" t="str">
        <f t="array" ref="E227">iferror(index(dissected_fish!F:F,match(A227,dissected_fish!D:D,0)))</f>
        <v/>
      </c>
    </row>
    <row r="228">
      <c r="E228" s="17" t="str">
        <f t="array" ref="E228">iferror(index(dissected_fish!F:F,match(A228,dissected_fish!D:D,0)))</f>
        <v/>
      </c>
    </row>
    <row r="229">
      <c r="E229" s="17" t="str">
        <f t="array" ref="E229">iferror(index(dissected_fish!F:F,match(A229,dissected_fish!D:D,0)))</f>
        <v/>
      </c>
    </row>
    <row r="230">
      <c r="E230" s="17" t="str">
        <f t="array" ref="E230">iferror(index(dissected_fish!F:F,match(A230,dissected_fish!D:D,0)))</f>
        <v/>
      </c>
    </row>
    <row r="231">
      <c r="E231" s="17" t="str">
        <f t="array" ref="E231">iferror(index(dissected_fish!F:F,match(A231,dissected_fish!D:D,0)))</f>
        <v/>
      </c>
    </row>
    <row r="232">
      <c r="E232" s="17" t="str">
        <f t="array" ref="E232">iferror(index(dissected_fish!F:F,match(A232,dissected_fish!D:D,0)))</f>
        <v/>
      </c>
    </row>
    <row r="233">
      <c r="E233" s="17" t="str">
        <f t="array" ref="E233">iferror(index(dissected_fish!F:F,match(A233,dissected_fish!D:D,0)))</f>
        <v/>
      </c>
    </row>
    <row r="234">
      <c r="E234" s="17" t="str">
        <f t="array" ref="E234">iferror(index(dissected_fish!F:F,match(A234,dissected_fish!D:D,0)))</f>
        <v/>
      </c>
    </row>
    <row r="235">
      <c r="E235" s="17" t="str">
        <f t="array" ref="E235">iferror(index(dissected_fish!F:F,match(A235,dissected_fish!D:D,0)))</f>
        <v/>
      </c>
    </row>
    <row r="236">
      <c r="E236" s="17" t="str">
        <f t="array" ref="E236">iferror(index(dissected_fish!F:F,match(A236,dissected_fish!D:D,0)))</f>
        <v/>
      </c>
    </row>
    <row r="237">
      <c r="E237" s="17" t="str">
        <f t="array" ref="E237">iferror(index(dissected_fish!F:F,match(A237,dissected_fish!D:D,0)))</f>
        <v/>
      </c>
    </row>
    <row r="238">
      <c r="E238" s="17" t="str">
        <f t="array" ref="E238">iferror(index(dissected_fish!F:F,match(A238,dissected_fish!D:D,0)))</f>
        <v/>
      </c>
    </row>
    <row r="239">
      <c r="E239" s="17" t="str">
        <f t="array" ref="E239">iferror(index(dissected_fish!F:F,match(A239,dissected_fish!D:D,0)))</f>
        <v/>
      </c>
    </row>
    <row r="240">
      <c r="E240" s="17" t="str">
        <f t="array" ref="E240">iferror(index(dissected_fish!F:F,match(A240,dissected_fish!D:D,0)))</f>
        <v/>
      </c>
    </row>
    <row r="241">
      <c r="E241" s="17" t="str">
        <f t="array" ref="E241">iferror(index(dissected_fish!F:F,match(A241,dissected_fish!D:D,0)))</f>
        <v/>
      </c>
    </row>
    <row r="242">
      <c r="E242" s="17" t="str">
        <f t="array" ref="E242">iferror(index(dissected_fish!F:F,match(A242,dissected_fish!D:D,0)))</f>
        <v/>
      </c>
    </row>
    <row r="243">
      <c r="E243" s="17" t="str">
        <f t="array" ref="E243">iferror(index(dissected_fish!F:F,match(A243,dissected_fish!D:D,0)))</f>
        <v/>
      </c>
    </row>
    <row r="244">
      <c r="E244" s="17" t="str">
        <f t="array" ref="E244">iferror(index(dissected_fish!F:F,match(A244,dissected_fish!D:D,0)))</f>
        <v/>
      </c>
    </row>
    <row r="245">
      <c r="E245" s="17" t="str">
        <f t="array" ref="E245">iferror(index(dissected_fish!F:F,match(A245,dissected_fish!D:D,0)))</f>
        <v/>
      </c>
    </row>
    <row r="246">
      <c r="E246" s="17" t="str">
        <f t="array" ref="E246">iferror(index(dissected_fish!F:F,match(A246,dissected_fish!D:D,0)))</f>
        <v/>
      </c>
    </row>
    <row r="247">
      <c r="E247" s="17" t="str">
        <f t="array" ref="E247">iferror(index(dissected_fish!F:F,match(A247,dissected_fish!D:D,0)))</f>
        <v/>
      </c>
    </row>
    <row r="248">
      <c r="E248" s="17" t="str">
        <f t="array" ref="E248">iferror(index(dissected_fish!F:F,match(A248,dissected_fish!D:D,0)))</f>
        <v/>
      </c>
    </row>
    <row r="249">
      <c r="E249" s="17" t="str">
        <f t="array" ref="E249">iferror(index(dissected_fish!F:F,match(A249,dissected_fish!D:D,0)))</f>
        <v/>
      </c>
    </row>
    <row r="250">
      <c r="E250" s="17" t="str">
        <f t="array" ref="E250">iferror(index(dissected_fish!F:F,match(A250,dissected_fish!D:D,0)))</f>
        <v/>
      </c>
    </row>
    <row r="251">
      <c r="E251" s="17" t="str">
        <f t="array" ref="E251">iferror(index(dissected_fish!F:F,match(A251,dissected_fish!D:D,0)))</f>
        <v/>
      </c>
    </row>
    <row r="252">
      <c r="E252" s="17" t="str">
        <f t="array" ref="E252">iferror(index(dissected_fish!F:F,match(A252,dissected_fish!D:D,0)))</f>
        <v/>
      </c>
    </row>
    <row r="253">
      <c r="E253" s="17" t="str">
        <f t="array" ref="E253">iferror(index(dissected_fish!F:F,match(A253,dissected_fish!D:D,0)))</f>
        <v/>
      </c>
    </row>
    <row r="254">
      <c r="E254" s="17" t="str">
        <f t="array" ref="E254">iferror(index(dissected_fish!F:F,match(A254,dissected_fish!D:D,0)))</f>
        <v/>
      </c>
    </row>
    <row r="255">
      <c r="E255" s="17" t="str">
        <f t="array" ref="E255">iferror(index(dissected_fish!F:F,match(A255,dissected_fish!D:D,0)))</f>
        <v/>
      </c>
    </row>
    <row r="256">
      <c r="E256" s="17" t="str">
        <f t="array" ref="E256">iferror(index(dissected_fish!F:F,match(A256,dissected_fish!D:D,0)))</f>
        <v/>
      </c>
    </row>
    <row r="257">
      <c r="E257" s="17" t="str">
        <f t="array" ref="E257">iferror(index(dissected_fish!F:F,match(A257,dissected_fish!D:D,0)))</f>
        <v/>
      </c>
    </row>
    <row r="258">
      <c r="E258" s="17" t="str">
        <f t="array" ref="E258">iferror(index(dissected_fish!F:F,match(A258,dissected_fish!D:D,0)))</f>
        <v/>
      </c>
    </row>
    <row r="259">
      <c r="E259" s="17" t="str">
        <f t="array" ref="E259">iferror(index(dissected_fish!F:F,match(A259,dissected_fish!D:D,0)))</f>
        <v/>
      </c>
    </row>
    <row r="260">
      <c r="E260" s="17" t="str">
        <f t="array" ref="E260">iferror(index(dissected_fish!F:F,match(A260,dissected_fish!D:D,0)))</f>
        <v/>
      </c>
    </row>
    <row r="261">
      <c r="E261" s="17" t="str">
        <f t="array" ref="E261">iferror(index(dissected_fish!F:F,match(A261,dissected_fish!D:D,0)))</f>
        <v/>
      </c>
    </row>
    <row r="262">
      <c r="E262" s="17" t="str">
        <f t="array" ref="E262">iferror(index(dissected_fish!F:F,match(A262,dissected_fish!D:D,0)))</f>
        <v/>
      </c>
    </row>
    <row r="263">
      <c r="E263" s="17" t="str">
        <f t="array" ref="E263">iferror(index(dissected_fish!F:F,match(A263,dissected_fish!D:D,0)))</f>
        <v/>
      </c>
    </row>
    <row r="264">
      <c r="E264" s="17" t="str">
        <f t="array" ref="E264">iferror(index(dissected_fish!F:F,match(A264,dissected_fish!D:D,0)))</f>
        <v/>
      </c>
    </row>
    <row r="265">
      <c r="E265" s="17" t="str">
        <f t="array" ref="E265">iferror(index(dissected_fish!F:F,match(A265,dissected_fish!D:D,0)))</f>
        <v/>
      </c>
    </row>
    <row r="266">
      <c r="E266" s="17" t="str">
        <f t="array" ref="E266">iferror(index(dissected_fish!F:F,match(A266,dissected_fish!D:D,0)))</f>
        <v/>
      </c>
    </row>
    <row r="267">
      <c r="E267" s="17" t="str">
        <f t="array" ref="E267">iferror(index(dissected_fish!F:F,match(A267,dissected_fish!D:D,0)))</f>
        <v/>
      </c>
    </row>
    <row r="268">
      <c r="E268" s="17" t="str">
        <f t="array" ref="E268">iferror(index(dissected_fish!F:F,match(A268,dissected_fish!D:D,0)))</f>
        <v/>
      </c>
    </row>
    <row r="269">
      <c r="E269" s="17" t="str">
        <f t="array" ref="E269">iferror(index(dissected_fish!F:F,match(A269,dissected_fish!D:D,0)))</f>
        <v/>
      </c>
    </row>
    <row r="270">
      <c r="E270" s="17" t="str">
        <f t="array" ref="E270">iferror(index(dissected_fish!F:F,match(A270,dissected_fish!D:D,0)))</f>
        <v/>
      </c>
    </row>
    <row r="271">
      <c r="E271" s="17" t="str">
        <f t="array" ref="E271">iferror(index(dissected_fish!F:F,match(A271,dissected_fish!D:D,0)))</f>
        <v/>
      </c>
    </row>
    <row r="272">
      <c r="E272" s="17" t="str">
        <f t="array" ref="E272">iferror(index(dissected_fish!F:F,match(A272,dissected_fish!D:D,0)))</f>
        <v/>
      </c>
    </row>
    <row r="273">
      <c r="E273" s="17" t="str">
        <f t="array" ref="E273">iferror(index(dissected_fish!F:F,match(A273,dissected_fish!D:D,0)))</f>
        <v/>
      </c>
    </row>
    <row r="274">
      <c r="E274" s="17" t="str">
        <f t="array" ref="E274">iferror(index(dissected_fish!F:F,match(A274,dissected_fish!D:D,0)))</f>
        <v/>
      </c>
    </row>
    <row r="275">
      <c r="E275" s="17" t="str">
        <f t="array" ref="E275">iferror(index(dissected_fish!F:F,match(A275,dissected_fish!D:D,0)))</f>
        <v/>
      </c>
    </row>
    <row r="276">
      <c r="E276" s="17" t="str">
        <f t="array" ref="E276">iferror(index(dissected_fish!F:F,match(A276,dissected_fish!D:D,0)))</f>
        <v/>
      </c>
    </row>
    <row r="277">
      <c r="E277" s="17" t="str">
        <f t="array" ref="E277">iferror(index(dissected_fish!F:F,match(A277,dissected_fish!D:D,0)))</f>
        <v/>
      </c>
    </row>
    <row r="278">
      <c r="E278" s="17" t="str">
        <f t="array" ref="E278">iferror(index(dissected_fish!F:F,match(A278,dissected_fish!D:D,0)))</f>
        <v/>
      </c>
    </row>
    <row r="279">
      <c r="E279" s="17" t="str">
        <f t="array" ref="E279">iferror(index(dissected_fish!F:F,match(A279,dissected_fish!D:D,0)))</f>
        <v/>
      </c>
    </row>
    <row r="280">
      <c r="E280" s="17" t="str">
        <f t="array" ref="E280">iferror(index(dissected_fish!F:F,match(A280,dissected_fish!D:D,0)))</f>
        <v/>
      </c>
    </row>
    <row r="281">
      <c r="E281" s="17" t="str">
        <f t="array" ref="E281">iferror(index(dissected_fish!F:F,match(A281,dissected_fish!D:D,0)))</f>
        <v/>
      </c>
    </row>
    <row r="282">
      <c r="E282" s="17" t="str">
        <f t="array" ref="E282">iferror(index(dissected_fish!F:F,match(A282,dissected_fish!D:D,0)))</f>
        <v/>
      </c>
    </row>
    <row r="283">
      <c r="E283" s="17" t="str">
        <f t="array" ref="E283">iferror(index(dissected_fish!F:F,match(A283,dissected_fish!D:D,0)))</f>
        <v/>
      </c>
    </row>
    <row r="284">
      <c r="E284" s="17" t="str">
        <f t="array" ref="E284">iferror(index(dissected_fish!F:F,match(A284,dissected_fish!D:D,0)))</f>
        <v/>
      </c>
    </row>
    <row r="285">
      <c r="E285" s="17" t="str">
        <f t="array" ref="E285">iferror(index(dissected_fish!F:F,match(A285,dissected_fish!D:D,0)))</f>
        <v/>
      </c>
    </row>
    <row r="286">
      <c r="E286" s="17" t="str">
        <f t="array" ref="E286">iferror(index(dissected_fish!F:F,match(A286,dissected_fish!D:D,0)))</f>
        <v/>
      </c>
    </row>
    <row r="287">
      <c r="E287" s="17" t="str">
        <f t="array" ref="E287">iferror(index(dissected_fish!F:F,match(A287,dissected_fish!D:D,0)))</f>
        <v/>
      </c>
    </row>
    <row r="288">
      <c r="E288" s="17" t="str">
        <f t="array" ref="E288">iferror(index(dissected_fish!F:F,match(A288,dissected_fish!D:D,0)))</f>
        <v/>
      </c>
    </row>
    <row r="289">
      <c r="E289" s="17" t="str">
        <f t="array" ref="E289">iferror(index(dissected_fish!F:F,match(A289,dissected_fish!D:D,0)))</f>
        <v/>
      </c>
    </row>
    <row r="290">
      <c r="E290" s="17" t="str">
        <f t="array" ref="E290">iferror(index(dissected_fish!F:F,match(A290,dissected_fish!D:D,0)))</f>
        <v/>
      </c>
    </row>
    <row r="291">
      <c r="E291" s="17" t="str">
        <f t="array" ref="E291">iferror(index(dissected_fish!F:F,match(A291,dissected_fish!D:D,0)))</f>
        <v/>
      </c>
    </row>
    <row r="292">
      <c r="E292" s="17" t="str">
        <f t="array" ref="E292">iferror(index(dissected_fish!F:F,match(A292,dissected_fish!D:D,0)))</f>
        <v/>
      </c>
    </row>
    <row r="293">
      <c r="E293" s="17" t="str">
        <f t="array" ref="E293">iferror(index(dissected_fish!F:F,match(A293,dissected_fish!D:D,0)))</f>
        <v/>
      </c>
    </row>
    <row r="294">
      <c r="E294" s="17" t="str">
        <f t="array" ref="E294">iferror(index(dissected_fish!F:F,match(A294,dissected_fish!D:D,0)))</f>
        <v/>
      </c>
    </row>
    <row r="295">
      <c r="E295" s="17" t="str">
        <f t="array" ref="E295">iferror(index(dissected_fish!F:F,match(A295,dissected_fish!D:D,0)))</f>
        <v/>
      </c>
    </row>
    <row r="296">
      <c r="E296" s="17" t="str">
        <f t="array" ref="E296">iferror(index(dissected_fish!F:F,match(A296,dissected_fish!D:D,0)))</f>
        <v/>
      </c>
    </row>
    <row r="297">
      <c r="E297" s="17" t="str">
        <f t="array" ref="E297">iferror(index(dissected_fish!F:F,match(A297,dissected_fish!D:D,0)))</f>
        <v/>
      </c>
    </row>
    <row r="298">
      <c r="E298" s="17" t="str">
        <f t="array" ref="E298">iferror(index(dissected_fish!F:F,match(A298,dissected_fish!D:D,0)))</f>
        <v/>
      </c>
    </row>
    <row r="299">
      <c r="E299" s="17" t="str">
        <f t="array" ref="E299">iferror(index(dissected_fish!F:F,match(A299,dissected_fish!D:D,0)))</f>
        <v/>
      </c>
    </row>
    <row r="300">
      <c r="E300" s="17" t="str">
        <f t="array" ref="E300">iferror(index(dissected_fish!F:F,match(A300,dissected_fish!D:D,0)))</f>
        <v/>
      </c>
    </row>
    <row r="301">
      <c r="E301" s="17" t="str">
        <f t="array" ref="E301">iferror(index(dissected_fish!F:F,match(A301,dissected_fish!D:D,0)))</f>
        <v/>
      </c>
    </row>
    <row r="302">
      <c r="E302" s="17" t="str">
        <f t="array" ref="E302">iferror(index(dissected_fish!F:F,match(A302,dissected_fish!D:D,0)))</f>
        <v/>
      </c>
    </row>
    <row r="303">
      <c r="E303" s="17" t="str">
        <f t="array" ref="E303">iferror(index(dissected_fish!F:F,match(A303,dissected_fish!D:D,0)))</f>
        <v/>
      </c>
    </row>
    <row r="304">
      <c r="E304" s="17" t="str">
        <f t="array" ref="E304">iferror(index(dissected_fish!F:F,match(A304,dissected_fish!D:D,0)))</f>
        <v/>
      </c>
    </row>
    <row r="305">
      <c r="E305" s="17" t="str">
        <f t="array" ref="E305">iferror(index(dissected_fish!F:F,match(A305,dissected_fish!D:D,0)))</f>
        <v/>
      </c>
    </row>
    <row r="306">
      <c r="E306" s="17" t="str">
        <f t="array" ref="E306">iferror(index(dissected_fish!F:F,match(A306,dissected_fish!D:D,0)))</f>
        <v/>
      </c>
    </row>
    <row r="307">
      <c r="E307" s="17" t="str">
        <f t="array" ref="E307">iferror(index(dissected_fish!F:F,match(A307,dissected_fish!D:D,0)))</f>
        <v/>
      </c>
    </row>
    <row r="308">
      <c r="E308" s="17" t="str">
        <f t="array" ref="E308">iferror(index(dissected_fish!F:F,match(A308,dissected_fish!D:D,0)))</f>
        <v/>
      </c>
    </row>
    <row r="309">
      <c r="E309" s="17" t="str">
        <f t="array" ref="E309">iferror(index(dissected_fish!F:F,match(A309,dissected_fish!D:D,0)))</f>
        <v/>
      </c>
    </row>
    <row r="310">
      <c r="E310" s="17" t="str">
        <f t="array" ref="E310">iferror(index(dissected_fish!F:F,match(A310,dissected_fish!D:D,0)))</f>
        <v/>
      </c>
    </row>
    <row r="311">
      <c r="E311" s="17" t="str">
        <f t="array" ref="E311">iferror(index(dissected_fish!F:F,match(A311,dissected_fish!D:D,0)))</f>
        <v/>
      </c>
    </row>
    <row r="312">
      <c r="E312" s="17" t="str">
        <f t="array" ref="E312">iferror(index(dissected_fish!F:F,match(A312,dissected_fish!D:D,0)))</f>
        <v/>
      </c>
    </row>
    <row r="313">
      <c r="E313" s="17" t="str">
        <f t="array" ref="E313">iferror(index(dissected_fish!F:F,match(A313,dissected_fish!D:D,0)))</f>
        <v/>
      </c>
    </row>
    <row r="314">
      <c r="E314" s="17" t="str">
        <f t="array" ref="E314">iferror(index(dissected_fish!F:F,match(A314,dissected_fish!D:D,0)))</f>
        <v/>
      </c>
    </row>
    <row r="315">
      <c r="E315" s="17" t="str">
        <f t="array" ref="E315">iferror(index(dissected_fish!F:F,match(A315,dissected_fish!D:D,0)))</f>
        <v/>
      </c>
    </row>
    <row r="316">
      <c r="E316" s="17" t="str">
        <f t="array" ref="E316">iferror(index(dissected_fish!F:F,match(A316,dissected_fish!D:D,0)))</f>
        <v/>
      </c>
    </row>
    <row r="317">
      <c r="E317" s="17" t="str">
        <f t="array" ref="E317">iferror(index(dissected_fish!F:F,match(A317,dissected_fish!D:D,0)))</f>
        <v/>
      </c>
    </row>
    <row r="318">
      <c r="E318" s="17" t="str">
        <f t="array" ref="E318">iferror(index(dissected_fish!F:F,match(A318,dissected_fish!D:D,0)))</f>
        <v/>
      </c>
    </row>
    <row r="319">
      <c r="E319" s="17" t="str">
        <f t="array" ref="E319">iferror(index(dissected_fish!F:F,match(A319,dissected_fish!D:D,0)))</f>
        <v/>
      </c>
    </row>
    <row r="320">
      <c r="E320" s="17" t="str">
        <f t="array" ref="E320">iferror(index(dissected_fish!F:F,match(A320,dissected_fish!D:D,0)))</f>
        <v/>
      </c>
    </row>
    <row r="321">
      <c r="E321" s="17" t="str">
        <f t="array" ref="E321">iferror(index(dissected_fish!F:F,match(A321,dissected_fish!D:D,0)))</f>
        <v/>
      </c>
    </row>
    <row r="322">
      <c r="E322" s="17" t="str">
        <f t="array" ref="E322">iferror(index(dissected_fish!F:F,match(A322,dissected_fish!D:D,0)))</f>
        <v/>
      </c>
    </row>
    <row r="323">
      <c r="E323" s="17" t="str">
        <f t="array" ref="E323">iferror(index(dissected_fish!F:F,match(A323,dissected_fish!D:D,0)))</f>
        <v/>
      </c>
    </row>
    <row r="324">
      <c r="E324" s="17" t="str">
        <f t="array" ref="E324">iferror(index(dissected_fish!F:F,match(A324,dissected_fish!D:D,0)))</f>
        <v/>
      </c>
    </row>
    <row r="325">
      <c r="E325" s="17" t="str">
        <f t="array" ref="E325">iferror(index(dissected_fish!F:F,match(A325,dissected_fish!D:D,0)))</f>
        <v/>
      </c>
    </row>
    <row r="326">
      <c r="E326" s="17" t="str">
        <f t="array" ref="E326">iferror(index(dissected_fish!F:F,match(A326,dissected_fish!D:D,0)))</f>
        <v/>
      </c>
    </row>
    <row r="327">
      <c r="E327" s="17" t="str">
        <f t="array" ref="E327">iferror(index(dissected_fish!F:F,match(A327,dissected_fish!D:D,0)))</f>
        <v/>
      </c>
    </row>
    <row r="328">
      <c r="E328" s="17" t="str">
        <f t="array" ref="E328">iferror(index(dissected_fish!F:F,match(A328,dissected_fish!D:D,0)))</f>
        <v/>
      </c>
    </row>
    <row r="329">
      <c r="E329" s="17" t="str">
        <f t="array" ref="E329">iferror(index(dissected_fish!F:F,match(A329,dissected_fish!D:D,0)))</f>
        <v/>
      </c>
    </row>
    <row r="330">
      <c r="E330" s="17" t="str">
        <f t="array" ref="E330">iferror(index(dissected_fish!F:F,match(A330,dissected_fish!D:D,0)))</f>
        <v/>
      </c>
    </row>
    <row r="331">
      <c r="E331" s="17" t="str">
        <f t="array" ref="E331">iferror(index(dissected_fish!F:F,match(A331,dissected_fish!D:D,0)))</f>
        <v/>
      </c>
    </row>
    <row r="332">
      <c r="E332" s="17" t="str">
        <f t="array" ref="E332">iferror(index(dissected_fish!F:F,match(A332,dissected_fish!D:D,0)))</f>
        <v/>
      </c>
    </row>
    <row r="333">
      <c r="E333" s="17" t="str">
        <f t="array" ref="E333">iferror(index(dissected_fish!F:F,match(A333,dissected_fish!D:D,0)))</f>
        <v/>
      </c>
    </row>
    <row r="334">
      <c r="E334" s="17" t="str">
        <f t="array" ref="E334">iferror(index(dissected_fish!F:F,match(A334,dissected_fish!D:D,0)))</f>
        <v/>
      </c>
    </row>
    <row r="335">
      <c r="E335" s="17" t="str">
        <f t="array" ref="E335">iferror(index(dissected_fish!F:F,match(A335,dissected_fish!D:D,0)))</f>
        <v/>
      </c>
    </row>
    <row r="336">
      <c r="E336" s="17" t="str">
        <f t="array" ref="E336">iferror(index(dissected_fish!F:F,match(A336,dissected_fish!D:D,0)))</f>
        <v/>
      </c>
    </row>
    <row r="337">
      <c r="E337" s="17" t="str">
        <f t="array" ref="E337">iferror(index(dissected_fish!F:F,match(A337,dissected_fish!D:D,0)))</f>
        <v/>
      </c>
    </row>
    <row r="338">
      <c r="E338" s="17" t="str">
        <f t="array" ref="E338">iferror(index(dissected_fish!F:F,match(A338,dissected_fish!D:D,0)))</f>
        <v/>
      </c>
    </row>
    <row r="339">
      <c r="E339" s="17" t="str">
        <f t="array" ref="E339">iferror(index(dissected_fish!F:F,match(A339,dissected_fish!D:D,0)))</f>
        <v/>
      </c>
    </row>
    <row r="340">
      <c r="E340" s="17" t="str">
        <f t="array" ref="E340">iferror(index(dissected_fish!F:F,match(A340,dissected_fish!D:D,0)))</f>
        <v/>
      </c>
    </row>
    <row r="341">
      <c r="E341" s="17" t="str">
        <f t="array" ref="E341">iferror(index(dissected_fish!F:F,match(A341,dissected_fish!D:D,0)))</f>
        <v/>
      </c>
    </row>
    <row r="342">
      <c r="E342" s="17" t="str">
        <f t="array" ref="E342">iferror(index(dissected_fish!F:F,match(A342,dissected_fish!D:D,0)))</f>
        <v/>
      </c>
    </row>
    <row r="343">
      <c r="E343" s="17" t="str">
        <f t="array" ref="E343">iferror(index(dissected_fish!F:F,match(A343,dissected_fish!D:D,0)))</f>
        <v/>
      </c>
    </row>
    <row r="344">
      <c r="E344" s="17" t="str">
        <f t="array" ref="E344">iferror(index(dissected_fish!F:F,match(A344,dissected_fish!D:D,0)))</f>
        <v/>
      </c>
    </row>
    <row r="345">
      <c r="E345" s="17" t="str">
        <f t="array" ref="E345">iferror(index(dissected_fish!F:F,match(A345,dissected_fish!D:D,0)))</f>
        <v/>
      </c>
    </row>
    <row r="346">
      <c r="E346" s="17" t="str">
        <f t="array" ref="E346">iferror(index(dissected_fish!F:F,match(A346,dissected_fish!D:D,0)))</f>
        <v/>
      </c>
    </row>
    <row r="347">
      <c r="E347" s="17" t="str">
        <f t="array" ref="E347">iferror(index(dissected_fish!F:F,match(A347,dissected_fish!D:D,0)))</f>
        <v/>
      </c>
    </row>
    <row r="348">
      <c r="E348" s="17" t="str">
        <f t="array" ref="E348">iferror(index(dissected_fish!F:F,match(A348,dissected_fish!D:D,0)))</f>
        <v/>
      </c>
    </row>
    <row r="349">
      <c r="E349" s="17" t="str">
        <f t="array" ref="E349">iferror(index(dissected_fish!F:F,match(A349,dissected_fish!D:D,0)))</f>
        <v/>
      </c>
    </row>
    <row r="350">
      <c r="E350" s="17" t="str">
        <f t="array" ref="E350">iferror(index(dissected_fish!F:F,match(A350,dissected_fish!D:D,0)))</f>
        <v/>
      </c>
    </row>
    <row r="351">
      <c r="E351" s="17" t="str">
        <f t="array" ref="E351">iferror(index(dissected_fish!F:F,match(A351,dissected_fish!D:D,0)))</f>
        <v/>
      </c>
    </row>
    <row r="352">
      <c r="E352" s="17" t="str">
        <f t="array" ref="E352">iferror(index(dissected_fish!F:F,match(A352,dissected_fish!D:D,0)))</f>
        <v/>
      </c>
    </row>
    <row r="353">
      <c r="E353" s="17" t="str">
        <f t="array" ref="E353">iferror(index(dissected_fish!F:F,match(A353,dissected_fish!D:D,0)))</f>
        <v/>
      </c>
    </row>
    <row r="354">
      <c r="E354" s="17" t="str">
        <f t="array" ref="E354">iferror(index(dissected_fish!F:F,match(A354,dissected_fish!D:D,0)))</f>
        <v/>
      </c>
    </row>
    <row r="355">
      <c r="E355" s="17" t="str">
        <f t="array" ref="E355">iferror(index(dissected_fish!F:F,match(A355,dissected_fish!D:D,0)))</f>
        <v/>
      </c>
    </row>
    <row r="356">
      <c r="E356" s="17" t="str">
        <f t="array" ref="E356">iferror(index(dissected_fish!F:F,match(A356,dissected_fish!D:D,0)))</f>
        <v/>
      </c>
    </row>
    <row r="357">
      <c r="E357" s="17" t="str">
        <f t="array" ref="E357">iferror(index(dissected_fish!F:F,match(A357,dissected_fish!D:D,0)))</f>
        <v/>
      </c>
    </row>
    <row r="358">
      <c r="E358" s="17" t="str">
        <f t="array" ref="E358">iferror(index(dissected_fish!F:F,match(A358,dissected_fish!D:D,0)))</f>
        <v/>
      </c>
    </row>
    <row r="359">
      <c r="E359" s="17" t="str">
        <f t="array" ref="E359">iferror(index(dissected_fish!F:F,match(A359,dissected_fish!D:D,0)))</f>
        <v/>
      </c>
    </row>
    <row r="360">
      <c r="E360" s="17" t="str">
        <f t="array" ref="E360">iferror(index(dissected_fish!F:F,match(A360,dissected_fish!D:D,0)))</f>
        <v/>
      </c>
    </row>
    <row r="361">
      <c r="E361" s="17" t="str">
        <f t="array" ref="E361">iferror(index(dissected_fish!F:F,match(A361,dissected_fish!D:D,0)))</f>
        <v/>
      </c>
    </row>
    <row r="362">
      <c r="E362" s="17" t="str">
        <f t="array" ref="E362">iferror(index(dissected_fish!F:F,match(A362,dissected_fish!D:D,0)))</f>
        <v/>
      </c>
    </row>
    <row r="363">
      <c r="E363" s="17" t="str">
        <f t="array" ref="E363">iferror(index(dissected_fish!F:F,match(A363,dissected_fish!D:D,0)))</f>
        <v/>
      </c>
    </row>
    <row r="364">
      <c r="E364" s="17" t="str">
        <f t="array" ref="E364">iferror(index(dissected_fish!F:F,match(A364,dissected_fish!D:D,0)))</f>
        <v/>
      </c>
    </row>
    <row r="365">
      <c r="E365" s="17" t="str">
        <f t="array" ref="E365">iferror(index(dissected_fish!F:F,match(A365,dissected_fish!D:D,0)))</f>
        <v/>
      </c>
    </row>
    <row r="366">
      <c r="E366" s="17" t="str">
        <f t="array" ref="E366">iferror(index(dissected_fish!F:F,match(A366,dissected_fish!D:D,0)))</f>
        <v/>
      </c>
    </row>
    <row r="367">
      <c r="E367" s="17" t="str">
        <f t="array" ref="E367">iferror(index(dissected_fish!F:F,match(A367,dissected_fish!D:D,0)))</f>
        <v/>
      </c>
    </row>
    <row r="368">
      <c r="E368" s="17" t="str">
        <f t="array" ref="E368">iferror(index(dissected_fish!F:F,match(A368,dissected_fish!D:D,0)))</f>
        <v/>
      </c>
    </row>
    <row r="369">
      <c r="E369" s="17" t="str">
        <f t="array" ref="E369">iferror(index(dissected_fish!F:F,match(A369,dissected_fish!D:D,0)))</f>
        <v/>
      </c>
    </row>
    <row r="370">
      <c r="E370" s="17" t="str">
        <f t="array" ref="E370">iferror(index(dissected_fish!F:F,match(A370,dissected_fish!D:D,0)))</f>
        <v/>
      </c>
    </row>
    <row r="371">
      <c r="E371" s="17" t="str">
        <f t="array" ref="E371">iferror(index(dissected_fish!F:F,match(A371,dissected_fish!D:D,0)))</f>
        <v/>
      </c>
    </row>
    <row r="372">
      <c r="E372" s="17" t="str">
        <f t="array" ref="E372">iferror(index(dissected_fish!F:F,match(A372,dissected_fish!D:D,0)))</f>
        <v/>
      </c>
    </row>
    <row r="373">
      <c r="E373" s="17" t="str">
        <f t="array" ref="E373">iferror(index(dissected_fish!F:F,match(A373,dissected_fish!D:D,0)))</f>
        <v/>
      </c>
    </row>
    <row r="374">
      <c r="E374" s="17" t="str">
        <f t="array" ref="E374">iferror(index(dissected_fish!F:F,match(A374,dissected_fish!D:D,0)))</f>
        <v/>
      </c>
    </row>
    <row r="375">
      <c r="E375" s="17" t="str">
        <f t="array" ref="E375">iferror(index(dissected_fish!F:F,match(A375,dissected_fish!D:D,0)))</f>
        <v/>
      </c>
    </row>
    <row r="376">
      <c r="E376" s="17" t="str">
        <f t="array" ref="E376">iferror(index(dissected_fish!F:F,match(A376,dissected_fish!D:D,0)))</f>
        <v/>
      </c>
    </row>
    <row r="377">
      <c r="E377" s="17" t="str">
        <f t="array" ref="E377">iferror(index(dissected_fish!F:F,match(A377,dissected_fish!D:D,0)))</f>
        <v/>
      </c>
    </row>
    <row r="378">
      <c r="E378" s="17" t="str">
        <f t="array" ref="E378">iferror(index(dissected_fish!F:F,match(A378,dissected_fish!D:D,0)))</f>
        <v/>
      </c>
    </row>
    <row r="379">
      <c r="E379" s="17" t="str">
        <f t="array" ref="E379">iferror(index(dissected_fish!F:F,match(A379,dissected_fish!D:D,0)))</f>
        <v/>
      </c>
    </row>
    <row r="380">
      <c r="E380" s="17" t="str">
        <f t="array" ref="E380">iferror(index(dissected_fish!F:F,match(A380,dissected_fish!D:D,0)))</f>
        <v/>
      </c>
    </row>
    <row r="381">
      <c r="E381" s="17" t="str">
        <f t="array" ref="E381">iferror(index(dissected_fish!F:F,match(A381,dissected_fish!D:D,0)))</f>
        <v/>
      </c>
    </row>
    <row r="382">
      <c r="E382" s="17" t="str">
        <f t="array" ref="E382">iferror(index(dissected_fish!F:F,match(A382,dissected_fish!D:D,0)))</f>
        <v/>
      </c>
    </row>
    <row r="383">
      <c r="E383" s="17" t="str">
        <f t="array" ref="E383">iferror(index(dissected_fish!F:F,match(A383,dissected_fish!D:D,0)))</f>
        <v/>
      </c>
    </row>
    <row r="384">
      <c r="E384" s="17" t="str">
        <f t="array" ref="E384">iferror(index(dissected_fish!F:F,match(A384,dissected_fish!D:D,0)))</f>
        <v/>
      </c>
    </row>
    <row r="385">
      <c r="E385" s="17" t="str">
        <f t="array" ref="E385">iferror(index(dissected_fish!F:F,match(A385,dissected_fish!D:D,0)))</f>
        <v/>
      </c>
    </row>
    <row r="386">
      <c r="E386" s="17" t="str">
        <f t="array" ref="E386">iferror(index(dissected_fish!F:F,match(A386,dissected_fish!D:D,0)))</f>
        <v/>
      </c>
    </row>
    <row r="387">
      <c r="E387" s="17" t="str">
        <f t="array" ref="E387">iferror(index(dissected_fish!F:F,match(A387,dissected_fish!D:D,0)))</f>
        <v/>
      </c>
    </row>
    <row r="388">
      <c r="E388" s="17" t="str">
        <f t="array" ref="E388">iferror(index(dissected_fish!F:F,match(A388,dissected_fish!D:D,0)))</f>
        <v/>
      </c>
    </row>
    <row r="389">
      <c r="E389" s="17" t="str">
        <f t="array" ref="E389">iferror(index(dissected_fish!F:F,match(A389,dissected_fish!D:D,0)))</f>
        <v/>
      </c>
    </row>
    <row r="390">
      <c r="E390" s="17" t="str">
        <f t="array" ref="E390">iferror(index(dissected_fish!F:F,match(A390,dissected_fish!D:D,0)))</f>
        <v/>
      </c>
    </row>
    <row r="391">
      <c r="E391" s="17" t="str">
        <f t="array" ref="E391">iferror(index(dissected_fish!F:F,match(A391,dissected_fish!D:D,0)))</f>
        <v/>
      </c>
    </row>
    <row r="392">
      <c r="E392" s="17" t="str">
        <f t="array" ref="E392">iferror(index(dissected_fish!F:F,match(A392,dissected_fish!D:D,0)))</f>
        <v/>
      </c>
    </row>
    <row r="393">
      <c r="E393" s="17" t="str">
        <f t="array" ref="E393">iferror(index(dissected_fish!F:F,match(A393,dissected_fish!D:D,0)))</f>
        <v/>
      </c>
    </row>
    <row r="394">
      <c r="E394" s="17" t="str">
        <f t="array" ref="E394">iferror(index(dissected_fish!F:F,match(A394,dissected_fish!D:D,0)))</f>
        <v/>
      </c>
    </row>
    <row r="395">
      <c r="E395" s="17" t="str">
        <f t="array" ref="E395">iferror(index(dissected_fish!F:F,match(A395,dissected_fish!D:D,0)))</f>
        <v/>
      </c>
    </row>
    <row r="396">
      <c r="E396" s="17" t="str">
        <f t="array" ref="E396">iferror(index(dissected_fish!F:F,match(A396,dissected_fish!D:D,0)))</f>
        <v/>
      </c>
    </row>
    <row r="397">
      <c r="E397" s="17" t="str">
        <f t="array" ref="E397">iferror(index(dissected_fish!F:F,match(A397,dissected_fish!D:D,0)))</f>
        <v/>
      </c>
    </row>
    <row r="398">
      <c r="E398" s="17" t="str">
        <f t="array" ref="E398">iferror(index(dissected_fish!F:F,match(A398,dissected_fish!D:D,0)))</f>
        <v/>
      </c>
    </row>
    <row r="399">
      <c r="E399" s="17" t="str">
        <f t="array" ref="E399">iferror(index(dissected_fish!F:F,match(A399,dissected_fish!D:D,0)))</f>
        <v/>
      </c>
    </row>
    <row r="400">
      <c r="E400" s="17" t="str">
        <f t="array" ref="E400">iferror(index(dissected_fish!F:F,match(A400,dissected_fish!D:D,0)))</f>
        <v/>
      </c>
    </row>
    <row r="401">
      <c r="E401" s="17" t="str">
        <f t="array" ref="E401">iferror(index(dissected_fish!F:F,match(A401,dissected_fish!D:D,0)))</f>
        <v/>
      </c>
    </row>
    <row r="402">
      <c r="E402" s="17" t="str">
        <f t="array" ref="E402">iferror(index(dissected_fish!F:F,match(A402,dissected_fish!D:D,0)))</f>
        <v/>
      </c>
    </row>
    <row r="403">
      <c r="E403" s="17" t="str">
        <f t="array" ref="E403">iferror(index(dissected_fish!F:F,match(A403,dissected_fish!D:D,0)))</f>
        <v/>
      </c>
    </row>
    <row r="404">
      <c r="E404" s="17" t="str">
        <f t="array" ref="E404">iferror(index(dissected_fish!F:F,match(A404,dissected_fish!D:D,0)))</f>
        <v/>
      </c>
    </row>
    <row r="405">
      <c r="E405" s="17" t="str">
        <f t="array" ref="E405">iferror(index(dissected_fish!F:F,match(A405,dissected_fish!D:D,0)))</f>
        <v/>
      </c>
    </row>
    <row r="406">
      <c r="E406" s="17" t="str">
        <f t="array" ref="E406">iferror(index(dissected_fish!F:F,match(A406,dissected_fish!D:D,0)))</f>
        <v/>
      </c>
    </row>
    <row r="407">
      <c r="E407" s="17" t="str">
        <f t="array" ref="E407">iferror(index(dissected_fish!F:F,match(A407,dissected_fish!D:D,0)))</f>
        <v/>
      </c>
    </row>
    <row r="408">
      <c r="E408" s="17" t="str">
        <f t="array" ref="E408">iferror(index(dissected_fish!F:F,match(A408,dissected_fish!D:D,0)))</f>
        <v/>
      </c>
    </row>
    <row r="409">
      <c r="E409" s="17" t="str">
        <f t="array" ref="E409">iferror(index(dissected_fish!F:F,match(A409,dissected_fish!D:D,0)))</f>
        <v/>
      </c>
    </row>
    <row r="410">
      <c r="E410" s="17" t="str">
        <f t="array" ref="E410">iferror(index(dissected_fish!F:F,match(A410,dissected_fish!D:D,0)))</f>
        <v/>
      </c>
    </row>
    <row r="411">
      <c r="E411" s="17" t="str">
        <f t="array" ref="E411">iferror(index(dissected_fish!F:F,match(A411,dissected_fish!D:D,0)))</f>
        <v/>
      </c>
    </row>
    <row r="412">
      <c r="E412" s="17" t="str">
        <f t="array" ref="E412">iferror(index(dissected_fish!F:F,match(A412,dissected_fish!D:D,0)))</f>
        <v/>
      </c>
    </row>
    <row r="413">
      <c r="E413" s="17" t="str">
        <f t="array" ref="E413">iferror(index(dissected_fish!F:F,match(A413,dissected_fish!D:D,0)))</f>
        <v/>
      </c>
    </row>
    <row r="414">
      <c r="E414" s="17" t="str">
        <f t="array" ref="E414">iferror(index(dissected_fish!F:F,match(A414,dissected_fish!D:D,0)))</f>
        <v/>
      </c>
    </row>
    <row r="415">
      <c r="E415" s="17" t="str">
        <f t="array" ref="E415">iferror(index(dissected_fish!F:F,match(A415,dissected_fish!D:D,0)))</f>
        <v/>
      </c>
    </row>
    <row r="416">
      <c r="E416" s="17" t="str">
        <f t="array" ref="E416">iferror(index(dissected_fish!F:F,match(A416,dissected_fish!D:D,0)))</f>
        <v/>
      </c>
    </row>
    <row r="417">
      <c r="E417" s="17" t="str">
        <f t="array" ref="E417">iferror(index(dissected_fish!F:F,match(A417,dissected_fish!D:D,0)))</f>
        <v/>
      </c>
    </row>
    <row r="418">
      <c r="E418" s="17" t="str">
        <f t="array" ref="E418">iferror(index(dissected_fish!F:F,match(A418,dissected_fish!D:D,0)))</f>
        <v/>
      </c>
    </row>
    <row r="419">
      <c r="E419" s="17" t="str">
        <f t="array" ref="E419">iferror(index(dissected_fish!F:F,match(A419,dissected_fish!D:D,0)))</f>
        <v/>
      </c>
    </row>
    <row r="420">
      <c r="E420" s="17" t="str">
        <f t="array" ref="E420">iferror(index(dissected_fish!F:F,match(A420,dissected_fish!D:D,0)))</f>
        <v/>
      </c>
    </row>
    <row r="421">
      <c r="E421" s="17" t="str">
        <f t="array" ref="E421">iferror(index(dissected_fish!F:F,match(A421,dissected_fish!D:D,0)))</f>
        <v/>
      </c>
    </row>
    <row r="422">
      <c r="E422" s="17" t="str">
        <f t="array" ref="E422">iferror(index(dissected_fish!F:F,match(A422,dissected_fish!D:D,0)))</f>
        <v/>
      </c>
    </row>
    <row r="423">
      <c r="E423" s="17" t="str">
        <f t="array" ref="E423">iferror(index(dissected_fish!F:F,match(A423,dissected_fish!D:D,0)))</f>
        <v/>
      </c>
    </row>
    <row r="424">
      <c r="E424" s="17" t="str">
        <f t="array" ref="E424">iferror(index(dissected_fish!F:F,match(A424,dissected_fish!D:D,0)))</f>
        <v/>
      </c>
    </row>
    <row r="425">
      <c r="E425" s="17" t="str">
        <f t="array" ref="E425">iferror(index(dissected_fish!F:F,match(A425,dissected_fish!D:D,0)))</f>
        <v/>
      </c>
    </row>
    <row r="426">
      <c r="E426" s="17" t="str">
        <f t="array" ref="E426">iferror(index(dissected_fish!F:F,match(A426,dissected_fish!D:D,0)))</f>
        <v/>
      </c>
    </row>
    <row r="427">
      <c r="E427" s="17" t="str">
        <f t="array" ref="E427">iferror(index(dissected_fish!F:F,match(A427,dissected_fish!D:D,0)))</f>
        <v/>
      </c>
    </row>
    <row r="428">
      <c r="E428" s="17" t="str">
        <f t="array" ref="E428">iferror(index(dissected_fish!F:F,match(A428,dissected_fish!D:D,0)))</f>
        <v/>
      </c>
    </row>
    <row r="429">
      <c r="E429" s="17" t="str">
        <f t="array" ref="E429">iferror(index(dissected_fish!F:F,match(A429,dissected_fish!D:D,0)))</f>
        <v/>
      </c>
    </row>
    <row r="430">
      <c r="E430" s="17" t="str">
        <f t="array" ref="E430">iferror(index(dissected_fish!F:F,match(A430,dissected_fish!D:D,0)))</f>
        <v/>
      </c>
    </row>
    <row r="431">
      <c r="E431" s="17" t="str">
        <f t="array" ref="E431">iferror(index(dissected_fish!F:F,match(A431,dissected_fish!D:D,0)))</f>
        <v/>
      </c>
    </row>
    <row r="432">
      <c r="E432" s="17" t="str">
        <f t="array" ref="E432">iferror(index(dissected_fish!F:F,match(A432,dissected_fish!D:D,0)))</f>
        <v/>
      </c>
    </row>
    <row r="433">
      <c r="E433" s="17" t="str">
        <f t="array" ref="E433">iferror(index(dissected_fish!F:F,match(A433,dissected_fish!D:D,0)))</f>
        <v/>
      </c>
    </row>
    <row r="434">
      <c r="E434" s="17" t="str">
        <f t="array" ref="E434">iferror(index(dissected_fish!F:F,match(A434,dissected_fish!D:D,0)))</f>
        <v/>
      </c>
    </row>
    <row r="435">
      <c r="E435" s="17" t="str">
        <f t="array" ref="E435">iferror(index(dissected_fish!F:F,match(A435,dissected_fish!D:D,0)))</f>
        <v/>
      </c>
    </row>
    <row r="436">
      <c r="E436" s="17" t="str">
        <f t="array" ref="E436">iferror(index(dissected_fish!F:F,match(A436,dissected_fish!D:D,0)))</f>
        <v/>
      </c>
    </row>
    <row r="437">
      <c r="E437" s="17" t="str">
        <f t="array" ref="E437">iferror(index(dissected_fish!F:F,match(A437,dissected_fish!D:D,0)))</f>
        <v/>
      </c>
    </row>
    <row r="438">
      <c r="E438" s="17" t="str">
        <f t="array" ref="E438">iferror(index(dissected_fish!F:F,match(A438,dissected_fish!D:D,0)))</f>
        <v/>
      </c>
    </row>
    <row r="439">
      <c r="E439" s="17" t="str">
        <f t="array" ref="E439">iferror(index(dissected_fish!F:F,match(A439,dissected_fish!D:D,0)))</f>
        <v/>
      </c>
    </row>
    <row r="440">
      <c r="E440" s="17" t="str">
        <f t="array" ref="E440">iferror(index(dissected_fish!F:F,match(A440,dissected_fish!D:D,0)))</f>
        <v/>
      </c>
    </row>
    <row r="441">
      <c r="E441" s="17" t="str">
        <f t="array" ref="E441">iferror(index(dissected_fish!F:F,match(A441,dissected_fish!D:D,0)))</f>
        <v/>
      </c>
    </row>
    <row r="442">
      <c r="E442" s="17" t="str">
        <f t="array" ref="E442">iferror(index(dissected_fish!F:F,match(A442,dissected_fish!D:D,0)))</f>
        <v/>
      </c>
    </row>
    <row r="443">
      <c r="E443" s="17" t="str">
        <f t="array" ref="E443">iferror(index(dissected_fish!F:F,match(A443,dissected_fish!D:D,0)))</f>
        <v/>
      </c>
    </row>
    <row r="444">
      <c r="E444" s="17" t="str">
        <f t="array" ref="E444">iferror(index(dissected_fish!F:F,match(A444,dissected_fish!D:D,0)))</f>
        <v/>
      </c>
    </row>
    <row r="445">
      <c r="E445" s="17" t="str">
        <f t="array" ref="E445">iferror(index(dissected_fish!F:F,match(A445,dissected_fish!D:D,0)))</f>
        <v/>
      </c>
    </row>
    <row r="446">
      <c r="E446" s="17" t="str">
        <f t="array" ref="E446">iferror(index(dissected_fish!F:F,match(A446,dissected_fish!D:D,0)))</f>
        <v/>
      </c>
    </row>
    <row r="447">
      <c r="E447" s="17" t="str">
        <f t="array" ref="E447">iferror(index(dissected_fish!F:F,match(A447,dissected_fish!D:D,0)))</f>
        <v/>
      </c>
    </row>
    <row r="448">
      <c r="E448" s="17" t="str">
        <f t="array" ref="E448">iferror(index(dissected_fish!F:F,match(A448,dissected_fish!D:D,0)))</f>
        <v/>
      </c>
    </row>
    <row r="449">
      <c r="E449" s="17" t="str">
        <f t="array" ref="E449">iferror(index(dissected_fish!F:F,match(A449,dissected_fish!D:D,0)))</f>
        <v/>
      </c>
    </row>
    <row r="450">
      <c r="E450" s="17" t="str">
        <f t="array" ref="E450">iferror(index(dissected_fish!F:F,match(A450,dissected_fish!D:D,0)))</f>
        <v/>
      </c>
    </row>
    <row r="451">
      <c r="E451" s="17" t="str">
        <f t="array" ref="E451">iferror(index(dissected_fish!F:F,match(A451,dissected_fish!D:D,0)))</f>
        <v/>
      </c>
    </row>
    <row r="452">
      <c r="E452" s="17" t="str">
        <f t="array" ref="E452">iferror(index(dissected_fish!F:F,match(A452,dissected_fish!D:D,0)))</f>
        <v/>
      </c>
    </row>
    <row r="453">
      <c r="E453" s="17" t="str">
        <f t="array" ref="E453">iferror(index(dissected_fish!F:F,match(A453,dissected_fish!D:D,0)))</f>
        <v/>
      </c>
    </row>
    <row r="454">
      <c r="E454" s="17" t="str">
        <f t="array" ref="E454">iferror(index(dissected_fish!F:F,match(A454,dissected_fish!D:D,0)))</f>
        <v/>
      </c>
    </row>
    <row r="455">
      <c r="E455" s="17" t="str">
        <f t="array" ref="E455">iferror(index(dissected_fish!F:F,match(A455,dissected_fish!D:D,0)))</f>
        <v/>
      </c>
    </row>
    <row r="456">
      <c r="E456" s="17" t="str">
        <f t="array" ref="E456">iferror(index(dissected_fish!F:F,match(A456,dissected_fish!D:D,0)))</f>
        <v/>
      </c>
    </row>
    <row r="457">
      <c r="E457" s="17" t="str">
        <f t="array" ref="E457">iferror(index(dissected_fish!F:F,match(A457,dissected_fish!D:D,0)))</f>
        <v/>
      </c>
    </row>
    <row r="458">
      <c r="E458" s="17" t="str">
        <f t="array" ref="E458">iferror(index(dissected_fish!F:F,match(A458,dissected_fish!D:D,0)))</f>
        <v/>
      </c>
    </row>
    <row r="459">
      <c r="E459" s="17" t="str">
        <f t="array" ref="E459">iferror(index(dissected_fish!F:F,match(A459,dissected_fish!D:D,0)))</f>
        <v/>
      </c>
    </row>
    <row r="460">
      <c r="E460" s="17" t="str">
        <f t="array" ref="E460">iferror(index(dissected_fish!F:F,match(A460,dissected_fish!D:D,0)))</f>
        <v/>
      </c>
    </row>
    <row r="461">
      <c r="E461" s="17" t="str">
        <f t="array" ref="E461">iferror(index(dissected_fish!F:F,match(A461,dissected_fish!D:D,0)))</f>
        <v/>
      </c>
    </row>
    <row r="462">
      <c r="E462" s="17" t="str">
        <f t="array" ref="E462">iferror(index(dissected_fish!F:F,match(A462,dissected_fish!D:D,0)))</f>
        <v/>
      </c>
    </row>
    <row r="463">
      <c r="E463" s="17" t="str">
        <f t="array" ref="E463">iferror(index(dissected_fish!F:F,match(A463,dissected_fish!D:D,0)))</f>
        <v/>
      </c>
    </row>
    <row r="464">
      <c r="E464" s="17" t="str">
        <f t="array" ref="E464">iferror(index(dissected_fish!F:F,match(A464,dissected_fish!D:D,0)))</f>
        <v/>
      </c>
    </row>
    <row r="465">
      <c r="E465" s="17" t="str">
        <f t="array" ref="E465">iferror(index(dissected_fish!F:F,match(A465,dissected_fish!D:D,0)))</f>
        <v/>
      </c>
    </row>
    <row r="466">
      <c r="E466" s="17" t="str">
        <f t="array" ref="E466">iferror(index(dissected_fish!F:F,match(A466,dissected_fish!D:D,0)))</f>
        <v/>
      </c>
    </row>
    <row r="467">
      <c r="E467" s="17" t="str">
        <f t="array" ref="E467">iferror(index(dissected_fish!F:F,match(A467,dissected_fish!D:D,0)))</f>
        <v/>
      </c>
    </row>
    <row r="468">
      <c r="E468" s="17" t="str">
        <f t="array" ref="E468">iferror(index(dissected_fish!F:F,match(A468,dissected_fish!D:D,0)))</f>
        <v/>
      </c>
    </row>
    <row r="469">
      <c r="E469" s="17" t="str">
        <f t="array" ref="E469">iferror(index(dissected_fish!F:F,match(A469,dissected_fish!D:D,0)))</f>
        <v/>
      </c>
    </row>
    <row r="470">
      <c r="E470" s="17" t="str">
        <f t="array" ref="E470">iferror(index(dissected_fish!F:F,match(A470,dissected_fish!D:D,0)))</f>
        <v/>
      </c>
    </row>
    <row r="471">
      <c r="E471" s="17" t="str">
        <f t="array" ref="E471">iferror(index(dissected_fish!F:F,match(A471,dissected_fish!D:D,0)))</f>
        <v/>
      </c>
    </row>
    <row r="472">
      <c r="E472" s="17" t="str">
        <f t="array" ref="E472">iferror(index(dissected_fish!F:F,match(A472,dissected_fish!D:D,0)))</f>
        <v/>
      </c>
    </row>
    <row r="473">
      <c r="E473" s="17" t="str">
        <f t="array" ref="E473">iferror(index(dissected_fish!F:F,match(A473,dissected_fish!D:D,0)))</f>
        <v/>
      </c>
    </row>
    <row r="474">
      <c r="E474" s="17" t="str">
        <f t="array" ref="E474">iferror(index(dissected_fish!F:F,match(A474,dissected_fish!D:D,0)))</f>
        <v/>
      </c>
    </row>
    <row r="475">
      <c r="E475" s="17" t="str">
        <f t="array" ref="E475">iferror(index(dissected_fish!F:F,match(A475,dissected_fish!D:D,0)))</f>
        <v/>
      </c>
    </row>
    <row r="476">
      <c r="E476" s="17" t="str">
        <f t="array" ref="E476">iferror(index(dissected_fish!F:F,match(A476,dissected_fish!D:D,0)))</f>
        <v/>
      </c>
    </row>
    <row r="477">
      <c r="E477" s="17" t="str">
        <f t="array" ref="E477">iferror(index(dissected_fish!F:F,match(A477,dissected_fish!D:D,0)))</f>
        <v/>
      </c>
    </row>
    <row r="478">
      <c r="E478" s="17" t="str">
        <f t="array" ref="E478">iferror(index(dissected_fish!F:F,match(A478,dissected_fish!D:D,0)))</f>
        <v/>
      </c>
    </row>
    <row r="479">
      <c r="E479" s="17" t="str">
        <f t="array" ref="E479">iferror(index(dissected_fish!F:F,match(A479,dissected_fish!D:D,0)))</f>
        <v/>
      </c>
    </row>
    <row r="480">
      <c r="E480" s="17" t="str">
        <f t="array" ref="E480">iferror(index(dissected_fish!F:F,match(A480,dissected_fish!D:D,0)))</f>
        <v/>
      </c>
    </row>
    <row r="481">
      <c r="E481" s="17" t="str">
        <f t="array" ref="E481">iferror(index(dissected_fish!F:F,match(A481,dissected_fish!D:D,0)))</f>
        <v/>
      </c>
    </row>
    <row r="482">
      <c r="E482" s="17" t="str">
        <f t="array" ref="E482">iferror(index(dissected_fish!F:F,match(A482,dissected_fish!D:D,0)))</f>
        <v/>
      </c>
    </row>
    <row r="483">
      <c r="E483" s="17" t="str">
        <f t="array" ref="E483">iferror(index(dissected_fish!F:F,match(A483,dissected_fish!D:D,0)))</f>
        <v/>
      </c>
    </row>
    <row r="484">
      <c r="E484" s="17" t="str">
        <f t="array" ref="E484">iferror(index(dissected_fish!F:F,match(A484,dissected_fish!D:D,0)))</f>
        <v/>
      </c>
    </row>
    <row r="485">
      <c r="E485" s="17" t="str">
        <f t="array" ref="E485">iferror(index(dissected_fish!F:F,match(A485,dissected_fish!D:D,0)))</f>
        <v/>
      </c>
    </row>
    <row r="486">
      <c r="E486" s="17" t="str">
        <f t="array" ref="E486">iferror(index(dissected_fish!F:F,match(A486,dissected_fish!D:D,0)))</f>
        <v/>
      </c>
    </row>
    <row r="487">
      <c r="E487" s="17" t="str">
        <f t="array" ref="E487">iferror(index(dissected_fish!F:F,match(A487,dissected_fish!D:D,0)))</f>
        <v/>
      </c>
    </row>
    <row r="488">
      <c r="E488" s="17" t="str">
        <f t="array" ref="E488">iferror(index(dissected_fish!F:F,match(A488,dissected_fish!D:D,0)))</f>
        <v/>
      </c>
    </row>
    <row r="489">
      <c r="E489" s="17" t="str">
        <f t="array" ref="E489">iferror(index(dissected_fish!F:F,match(A489,dissected_fish!D:D,0)))</f>
        <v/>
      </c>
    </row>
    <row r="490">
      <c r="E490" s="17" t="str">
        <f t="array" ref="E490">iferror(index(dissected_fish!F:F,match(A490,dissected_fish!D:D,0)))</f>
        <v/>
      </c>
    </row>
    <row r="491">
      <c r="E491" s="17" t="str">
        <f t="array" ref="E491">iferror(index(dissected_fish!F:F,match(A491,dissected_fish!D:D,0)))</f>
        <v/>
      </c>
    </row>
    <row r="492">
      <c r="E492" s="17" t="str">
        <f t="array" ref="E492">iferror(index(dissected_fish!F:F,match(A492,dissected_fish!D:D,0)))</f>
        <v/>
      </c>
    </row>
    <row r="493">
      <c r="E493" s="17" t="str">
        <f t="array" ref="E493">iferror(index(dissected_fish!F:F,match(A493,dissected_fish!D:D,0)))</f>
        <v/>
      </c>
    </row>
    <row r="494">
      <c r="E494" s="17" t="str">
        <f t="array" ref="E494">iferror(index(dissected_fish!F:F,match(A494,dissected_fish!D:D,0)))</f>
        <v/>
      </c>
    </row>
    <row r="495">
      <c r="E495" s="17" t="str">
        <f t="array" ref="E495">iferror(index(dissected_fish!F:F,match(A495,dissected_fish!D:D,0)))</f>
        <v/>
      </c>
    </row>
    <row r="496">
      <c r="E496" s="17" t="str">
        <f t="array" ref="E496">iferror(index(dissected_fish!F:F,match(A496,dissected_fish!D:D,0)))</f>
        <v/>
      </c>
    </row>
    <row r="497">
      <c r="E497" s="17" t="str">
        <f t="array" ref="E497">iferror(index(dissected_fish!F:F,match(A497,dissected_fish!D:D,0)))</f>
        <v/>
      </c>
    </row>
    <row r="498">
      <c r="E498" s="17" t="str">
        <f t="array" ref="E498">iferror(index(dissected_fish!F:F,match(A498,dissected_fish!D:D,0)))</f>
        <v/>
      </c>
    </row>
    <row r="499">
      <c r="E499" s="17" t="str">
        <f t="array" ref="E499">iferror(index(dissected_fish!F:F,match(A499,dissected_fish!D:D,0)))</f>
        <v/>
      </c>
    </row>
    <row r="500">
      <c r="E500" s="17" t="str">
        <f t="array" ref="E500">iferror(index(dissected_fish!F:F,match(A500,dissected_fish!D:D,0)))</f>
        <v/>
      </c>
    </row>
    <row r="501">
      <c r="E501" s="17" t="str">
        <f t="array" ref="E501">iferror(index(dissected_fish!F:F,match(A501,dissected_fish!D:D,0)))</f>
        <v/>
      </c>
    </row>
    <row r="502">
      <c r="E502" s="17" t="str">
        <f t="array" ref="E502">iferror(index(dissected_fish!F:F,match(A502,dissected_fish!D:D,0)))</f>
        <v/>
      </c>
    </row>
    <row r="503">
      <c r="E503" s="17" t="str">
        <f t="array" ref="E503">iferror(index(dissected_fish!F:F,match(A503,dissected_fish!D:D,0)))</f>
        <v/>
      </c>
    </row>
    <row r="504">
      <c r="E504" s="17" t="str">
        <f t="array" ref="E504">iferror(index(dissected_fish!F:F,match(A504,dissected_fish!D:D,0)))</f>
        <v/>
      </c>
    </row>
    <row r="505">
      <c r="E505" s="17" t="str">
        <f t="array" ref="E505">iferror(index(dissected_fish!F:F,match(A505,dissected_fish!D:D,0)))</f>
        <v/>
      </c>
    </row>
    <row r="506">
      <c r="E506" s="17" t="str">
        <f t="array" ref="E506">iferror(index(dissected_fish!F:F,match(A506,dissected_fish!D:D,0)))</f>
        <v/>
      </c>
    </row>
    <row r="507">
      <c r="E507" s="17" t="str">
        <f t="array" ref="E507">iferror(index(dissected_fish!F:F,match(A507,dissected_fish!D:D,0)))</f>
        <v/>
      </c>
    </row>
    <row r="508">
      <c r="E508" s="17" t="str">
        <f t="array" ref="E508">iferror(index(dissected_fish!F:F,match(A508,dissected_fish!D:D,0)))</f>
        <v/>
      </c>
    </row>
    <row r="509">
      <c r="E509" s="17" t="str">
        <f t="array" ref="E509">iferror(index(dissected_fish!F:F,match(A509,dissected_fish!D:D,0)))</f>
        <v/>
      </c>
    </row>
    <row r="510">
      <c r="E510" s="17" t="str">
        <f t="array" ref="E510">iferror(index(dissected_fish!F:F,match(A510,dissected_fish!D:D,0)))</f>
        <v/>
      </c>
    </row>
    <row r="511">
      <c r="E511" s="17" t="str">
        <f t="array" ref="E511">iferror(index(dissected_fish!F:F,match(A511,dissected_fish!D:D,0)))</f>
        <v/>
      </c>
    </row>
    <row r="512">
      <c r="E512" s="17" t="str">
        <f t="array" ref="E512">iferror(index(dissected_fish!F:F,match(A512,dissected_fish!D:D,0)))</f>
        <v/>
      </c>
    </row>
    <row r="513">
      <c r="E513" s="17" t="str">
        <f t="array" ref="E513">iferror(index(dissected_fish!F:F,match(A513,dissected_fish!D:D,0)))</f>
        <v/>
      </c>
    </row>
    <row r="514">
      <c r="E514" s="17" t="str">
        <f t="array" ref="E514">iferror(index(dissected_fish!F:F,match(A514,dissected_fish!D:D,0)))</f>
        <v/>
      </c>
    </row>
    <row r="515">
      <c r="E515" s="17" t="str">
        <f t="array" ref="E515">iferror(index(dissected_fish!F:F,match(A515,dissected_fish!D:D,0)))</f>
        <v/>
      </c>
    </row>
    <row r="516">
      <c r="E516" s="17" t="str">
        <f t="array" ref="E516">iferror(index(dissected_fish!F:F,match(A516,dissected_fish!D:D,0)))</f>
        <v/>
      </c>
    </row>
    <row r="517">
      <c r="E517" s="17" t="str">
        <f t="array" ref="E517">iferror(index(dissected_fish!F:F,match(A517,dissected_fish!D:D,0)))</f>
        <v/>
      </c>
    </row>
    <row r="518">
      <c r="E518" s="17" t="str">
        <f t="array" ref="E518">iferror(index(dissected_fish!F:F,match(A518,dissected_fish!D:D,0)))</f>
        <v/>
      </c>
    </row>
    <row r="519">
      <c r="E519" s="17" t="str">
        <f t="array" ref="E519">iferror(index(dissected_fish!F:F,match(A519,dissected_fish!D:D,0)))</f>
        <v/>
      </c>
    </row>
    <row r="520">
      <c r="E520" s="17" t="str">
        <f t="array" ref="E520">iferror(index(dissected_fish!F:F,match(A520,dissected_fish!D:D,0)))</f>
        <v/>
      </c>
    </row>
    <row r="521">
      <c r="E521" s="17" t="str">
        <f t="array" ref="E521">iferror(index(dissected_fish!F:F,match(A521,dissected_fish!D:D,0)))</f>
        <v/>
      </c>
    </row>
    <row r="522">
      <c r="E522" s="17" t="str">
        <f t="array" ref="E522">iferror(index(dissected_fish!F:F,match(A522,dissected_fish!D:D,0)))</f>
        <v/>
      </c>
    </row>
    <row r="523">
      <c r="E523" s="17" t="str">
        <f t="array" ref="E523">iferror(index(dissected_fish!F:F,match(A523,dissected_fish!D:D,0)))</f>
        <v/>
      </c>
    </row>
    <row r="524">
      <c r="E524" s="17" t="str">
        <f t="array" ref="E524">iferror(index(dissected_fish!F:F,match(A524,dissected_fish!D:D,0)))</f>
        <v/>
      </c>
    </row>
    <row r="525">
      <c r="E525" s="17" t="str">
        <f t="array" ref="E525">iferror(index(dissected_fish!F:F,match(A525,dissected_fish!D:D,0)))</f>
        <v/>
      </c>
    </row>
    <row r="526">
      <c r="E526" s="17" t="str">
        <f t="array" ref="E526">iferror(index(dissected_fish!F:F,match(A526,dissected_fish!D:D,0)))</f>
        <v/>
      </c>
    </row>
    <row r="527">
      <c r="E527" s="17" t="str">
        <f t="array" ref="E527">iferror(index(dissected_fish!F:F,match(A527,dissected_fish!D:D,0)))</f>
        <v/>
      </c>
    </row>
    <row r="528">
      <c r="E528" s="17" t="str">
        <f t="array" ref="E528">iferror(index(dissected_fish!F:F,match(A528,dissected_fish!D:D,0)))</f>
        <v/>
      </c>
    </row>
    <row r="529">
      <c r="E529" s="17" t="str">
        <f t="array" ref="E529">iferror(index(dissected_fish!F:F,match(A529,dissected_fish!D:D,0)))</f>
        <v/>
      </c>
    </row>
    <row r="530">
      <c r="E530" s="17" t="str">
        <f t="array" ref="E530">iferror(index(dissected_fish!F:F,match(A530,dissected_fish!D:D,0)))</f>
        <v/>
      </c>
    </row>
    <row r="531">
      <c r="E531" s="17" t="str">
        <f t="array" ref="E531">iferror(index(dissected_fish!F:F,match(A531,dissected_fish!D:D,0)))</f>
        <v/>
      </c>
    </row>
    <row r="532">
      <c r="E532" s="17" t="str">
        <f t="array" ref="E532">iferror(index(dissected_fish!F:F,match(A532,dissected_fish!D:D,0)))</f>
        <v/>
      </c>
    </row>
    <row r="533">
      <c r="E533" s="17" t="str">
        <f t="array" ref="E533">iferror(index(dissected_fish!F:F,match(A533,dissected_fish!D:D,0)))</f>
        <v/>
      </c>
    </row>
    <row r="534">
      <c r="E534" s="17" t="str">
        <f t="array" ref="E534">iferror(index(dissected_fish!F:F,match(A534,dissected_fish!D:D,0)))</f>
        <v/>
      </c>
    </row>
    <row r="535">
      <c r="E535" s="17" t="str">
        <f t="array" ref="E535">iferror(index(dissected_fish!F:F,match(A535,dissected_fish!D:D,0)))</f>
        <v/>
      </c>
    </row>
    <row r="536">
      <c r="E536" s="17" t="str">
        <f t="array" ref="E536">iferror(index(dissected_fish!F:F,match(A536,dissected_fish!D:D,0)))</f>
        <v/>
      </c>
    </row>
    <row r="537">
      <c r="E537" s="17" t="str">
        <f t="array" ref="E537">iferror(index(dissected_fish!F:F,match(A537,dissected_fish!D:D,0)))</f>
        <v/>
      </c>
    </row>
    <row r="538">
      <c r="E538" s="17" t="str">
        <f t="array" ref="E538">iferror(index(dissected_fish!F:F,match(A538,dissected_fish!D:D,0)))</f>
        <v/>
      </c>
    </row>
    <row r="539">
      <c r="E539" s="17" t="str">
        <f t="array" ref="E539">iferror(index(dissected_fish!F:F,match(A539,dissected_fish!D:D,0)))</f>
        <v/>
      </c>
    </row>
    <row r="540">
      <c r="E540" s="17" t="str">
        <f t="array" ref="E540">iferror(index(dissected_fish!F:F,match(A540,dissected_fish!D:D,0)))</f>
        <v/>
      </c>
    </row>
    <row r="541">
      <c r="E541" s="17" t="str">
        <f t="array" ref="E541">iferror(index(dissected_fish!F:F,match(A541,dissected_fish!D:D,0)))</f>
        <v/>
      </c>
    </row>
    <row r="542">
      <c r="E542" s="17" t="str">
        <f t="array" ref="E542">iferror(index(dissected_fish!F:F,match(A542,dissected_fish!D:D,0)))</f>
        <v/>
      </c>
    </row>
    <row r="543">
      <c r="E543" s="17" t="str">
        <f t="array" ref="E543">iferror(index(dissected_fish!F:F,match(A543,dissected_fish!D:D,0)))</f>
        <v/>
      </c>
    </row>
    <row r="544">
      <c r="E544" s="17" t="str">
        <f t="array" ref="E544">iferror(index(dissected_fish!F:F,match(A544,dissected_fish!D:D,0)))</f>
        <v/>
      </c>
    </row>
    <row r="545">
      <c r="E545" s="17" t="str">
        <f t="array" ref="E545">iferror(index(dissected_fish!F:F,match(A545,dissected_fish!D:D,0)))</f>
        <v/>
      </c>
    </row>
    <row r="546">
      <c r="E546" s="17" t="str">
        <f t="array" ref="E546">iferror(index(dissected_fish!F:F,match(A546,dissected_fish!D:D,0)))</f>
        <v/>
      </c>
    </row>
    <row r="547">
      <c r="E547" s="17" t="str">
        <f t="array" ref="E547">iferror(index(dissected_fish!F:F,match(A547,dissected_fish!D:D,0)))</f>
        <v/>
      </c>
    </row>
    <row r="548">
      <c r="E548" s="17" t="str">
        <f t="array" ref="E548">iferror(index(dissected_fish!F:F,match(A548,dissected_fish!D:D,0)))</f>
        <v/>
      </c>
    </row>
    <row r="549">
      <c r="E549" s="17" t="str">
        <f t="array" ref="E549">iferror(index(dissected_fish!F:F,match(A549,dissected_fish!D:D,0)))</f>
        <v/>
      </c>
    </row>
    <row r="550">
      <c r="E550" s="17" t="str">
        <f t="array" ref="E550">iferror(index(dissected_fish!F:F,match(A550,dissected_fish!D:D,0)))</f>
        <v/>
      </c>
    </row>
    <row r="551">
      <c r="E551" s="17" t="str">
        <f t="array" ref="E551">iferror(index(dissected_fish!F:F,match(A551,dissected_fish!D:D,0)))</f>
        <v/>
      </c>
    </row>
    <row r="552">
      <c r="E552" s="17" t="str">
        <f t="array" ref="E552">iferror(index(dissected_fish!F:F,match(A552,dissected_fish!D:D,0)))</f>
        <v/>
      </c>
    </row>
    <row r="553">
      <c r="E553" s="17" t="str">
        <f t="array" ref="E553">iferror(index(dissected_fish!F:F,match(A553,dissected_fish!D:D,0)))</f>
        <v/>
      </c>
    </row>
    <row r="554">
      <c r="E554" s="17" t="str">
        <f t="array" ref="E554">iferror(index(dissected_fish!F:F,match(A554,dissected_fish!D:D,0)))</f>
        <v/>
      </c>
    </row>
    <row r="555">
      <c r="E555" s="17" t="str">
        <f t="array" ref="E555">iferror(index(dissected_fish!F:F,match(A555,dissected_fish!D:D,0)))</f>
        <v/>
      </c>
    </row>
    <row r="556">
      <c r="E556" s="17" t="str">
        <f t="array" ref="E556">iferror(index(dissected_fish!F:F,match(A556,dissected_fish!D:D,0)))</f>
        <v/>
      </c>
    </row>
    <row r="557">
      <c r="E557" s="17" t="str">
        <f t="array" ref="E557">iferror(index(dissected_fish!F:F,match(A557,dissected_fish!D:D,0)))</f>
        <v/>
      </c>
    </row>
    <row r="558">
      <c r="E558" s="17" t="str">
        <f t="array" ref="E558">iferror(index(dissected_fish!F:F,match(A558,dissected_fish!D:D,0)))</f>
        <v/>
      </c>
    </row>
    <row r="559">
      <c r="E559" s="17" t="str">
        <f t="array" ref="E559">iferror(index(dissected_fish!F:F,match(A559,dissected_fish!D:D,0)))</f>
        <v/>
      </c>
    </row>
    <row r="560">
      <c r="E560" s="17" t="str">
        <f t="array" ref="E560">iferror(index(dissected_fish!F:F,match(A560,dissected_fish!D:D,0)))</f>
        <v/>
      </c>
    </row>
    <row r="561">
      <c r="E561" s="17" t="str">
        <f t="array" ref="E561">iferror(index(dissected_fish!F:F,match(A561,dissected_fish!D:D,0)))</f>
        <v/>
      </c>
    </row>
    <row r="562">
      <c r="E562" s="17" t="str">
        <f t="array" ref="E562">iferror(index(dissected_fish!F:F,match(A562,dissected_fish!D:D,0)))</f>
        <v/>
      </c>
    </row>
    <row r="563">
      <c r="E563" s="17" t="str">
        <f t="array" ref="E563">iferror(index(dissected_fish!F:F,match(A563,dissected_fish!D:D,0)))</f>
        <v/>
      </c>
    </row>
    <row r="564">
      <c r="E564" s="17" t="str">
        <f t="array" ref="E564">iferror(index(dissected_fish!F:F,match(A564,dissected_fish!D:D,0)))</f>
        <v/>
      </c>
    </row>
    <row r="565">
      <c r="E565" s="17" t="str">
        <f t="array" ref="E565">iferror(index(dissected_fish!F:F,match(A565,dissected_fish!D:D,0)))</f>
        <v/>
      </c>
    </row>
    <row r="566">
      <c r="E566" s="17" t="str">
        <f t="array" ref="E566">iferror(index(dissected_fish!F:F,match(A566,dissected_fish!D:D,0)))</f>
        <v/>
      </c>
    </row>
    <row r="567">
      <c r="E567" s="17" t="str">
        <f t="array" ref="E567">iferror(index(dissected_fish!F:F,match(A567,dissected_fish!D:D,0)))</f>
        <v/>
      </c>
    </row>
    <row r="568">
      <c r="E568" s="17" t="str">
        <f t="array" ref="E568">iferror(index(dissected_fish!F:F,match(A568,dissected_fish!D:D,0)))</f>
        <v/>
      </c>
    </row>
    <row r="569">
      <c r="E569" s="17" t="str">
        <f t="array" ref="E569">iferror(index(dissected_fish!F:F,match(A569,dissected_fish!D:D,0)))</f>
        <v/>
      </c>
    </row>
    <row r="570">
      <c r="E570" s="17" t="str">
        <f t="array" ref="E570">iferror(index(dissected_fish!F:F,match(A570,dissected_fish!D:D,0)))</f>
        <v/>
      </c>
    </row>
    <row r="571">
      <c r="E571" s="17" t="str">
        <f t="array" ref="E571">iferror(index(dissected_fish!F:F,match(A571,dissected_fish!D:D,0)))</f>
        <v/>
      </c>
    </row>
    <row r="572">
      <c r="E572" s="17" t="str">
        <f t="array" ref="E572">iferror(index(dissected_fish!F:F,match(A572,dissected_fish!D:D,0)))</f>
        <v/>
      </c>
    </row>
    <row r="573">
      <c r="E573" s="17" t="str">
        <f t="array" ref="E573">iferror(index(dissected_fish!F:F,match(A573,dissected_fish!D:D,0)))</f>
        <v/>
      </c>
    </row>
    <row r="574">
      <c r="E574" s="17" t="str">
        <f t="array" ref="E574">iferror(index(dissected_fish!F:F,match(A574,dissected_fish!D:D,0)))</f>
        <v/>
      </c>
    </row>
    <row r="575">
      <c r="E575" s="17" t="str">
        <f t="array" ref="E575">iferror(index(dissected_fish!F:F,match(A575,dissected_fish!D:D,0)))</f>
        <v/>
      </c>
    </row>
    <row r="576">
      <c r="E576" s="17" t="str">
        <f t="array" ref="E576">iferror(index(dissected_fish!F:F,match(A576,dissected_fish!D:D,0)))</f>
        <v/>
      </c>
    </row>
    <row r="577">
      <c r="E577" s="17" t="str">
        <f t="array" ref="E577">iferror(index(dissected_fish!F:F,match(A577,dissected_fish!D:D,0)))</f>
        <v/>
      </c>
    </row>
    <row r="578">
      <c r="E578" s="17" t="str">
        <f t="array" ref="E578">iferror(index(dissected_fish!F:F,match(A578,dissected_fish!D:D,0)))</f>
        <v/>
      </c>
    </row>
    <row r="579">
      <c r="E579" s="17" t="str">
        <f t="array" ref="E579">iferror(index(dissected_fish!F:F,match(A579,dissected_fish!D:D,0)))</f>
        <v/>
      </c>
    </row>
    <row r="580">
      <c r="E580" s="17" t="str">
        <f t="array" ref="E580">iferror(index(dissected_fish!F:F,match(A580,dissected_fish!D:D,0)))</f>
        <v/>
      </c>
    </row>
    <row r="581">
      <c r="E581" s="17" t="str">
        <f t="array" ref="E581">iferror(index(dissected_fish!F:F,match(A581,dissected_fish!D:D,0)))</f>
        <v/>
      </c>
    </row>
    <row r="582">
      <c r="E582" s="17" t="str">
        <f t="array" ref="E582">iferror(index(dissected_fish!F:F,match(A582,dissected_fish!D:D,0)))</f>
        <v/>
      </c>
    </row>
    <row r="583">
      <c r="E583" s="17" t="str">
        <f t="array" ref="E583">iferror(index(dissected_fish!F:F,match(A583,dissected_fish!D:D,0)))</f>
        <v/>
      </c>
    </row>
    <row r="584">
      <c r="E584" s="17" t="str">
        <f t="array" ref="E584">iferror(index(dissected_fish!F:F,match(A584,dissected_fish!D:D,0)))</f>
        <v/>
      </c>
    </row>
    <row r="585">
      <c r="E585" s="17" t="str">
        <f t="array" ref="E585">iferror(index(dissected_fish!F:F,match(A585,dissected_fish!D:D,0)))</f>
        <v/>
      </c>
    </row>
    <row r="586">
      <c r="E586" s="17" t="str">
        <f t="array" ref="E586">iferror(index(dissected_fish!F:F,match(A586,dissected_fish!D:D,0)))</f>
        <v/>
      </c>
    </row>
    <row r="587">
      <c r="E587" s="17" t="str">
        <f t="array" ref="E587">iferror(index(dissected_fish!F:F,match(A587,dissected_fish!D:D,0)))</f>
        <v/>
      </c>
    </row>
    <row r="588">
      <c r="E588" s="17" t="str">
        <f t="array" ref="E588">iferror(index(dissected_fish!F:F,match(A588,dissected_fish!D:D,0)))</f>
        <v/>
      </c>
    </row>
    <row r="589">
      <c r="E589" s="17" t="str">
        <f t="array" ref="E589">iferror(index(dissected_fish!F:F,match(A589,dissected_fish!D:D,0)))</f>
        <v/>
      </c>
    </row>
    <row r="590">
      <c r="E590" s="17" t="str">
        <f t="array" ref="E590">iferror(index(dissected_fish!F:F,match(A590,dissected_fish!D:D,0)))</f>
        <v/>
      </c>
    </row>
    <row r="591">
      <c r="E591" s="17" t="str">
        <f t="array" ref="E591">iferror(index(dissected_fish!F:F,match(A591,dissected_fish!D:D,0)))</f>
        <v/>
      </c>
    </row>
    <row r="592">
      <c r="E592" s="17" t="str">
        <f t="array" ref="E592">iferror(index(dissected_fish!F:F,match(A592,dissected_fish!D:D,0)))</f>
        <v/>
      </c>
    </row>
    <row r="593">
      <c r="E593" s="17" t="str">
        <f t="array" ref="E593">iferror(index(dissected_fish!F:F,match(A593,dissected_fish!D:D,0)))</f>
        <v/>
      </c>
    </row>
    <row r="594">
      <c r="E594" s="17" t="str">
        <f t="array" ref="E594">iferror(index(dissected_fish!F:F,match(A594,dissected_fish!D:D,0)))</f>
        <v/>
      </c>
    </row>
    <row r="595">
      <c r="E595" s="17" t="str">
        <f t="array" ref="E595">iferror(index(dissected_fish!F:F,match(A595,dissected_fish!D:D,0)))</f>
        <v/>
      </c>
    </row>
    <row r="596">
      <c r="E596" s="17" t="str">
        <f t="array" ref="E596">iferror(index(dissected_fish!F:F,match(A596,dissected_fish!D:D,0)))</f>
        <v/>
      </c>
    </row>
    <row r="597">
      <c r="E597" s="17" t="str">
        <f t="array" ref="E597">iferror(index(dissected_fish!F:F,match(A597,dissected_fish!D:D,0)))</f>
        <v/>
      </c>
    </row>
    <row r="598">
      <c r="E598" s="17" t="str">
        <f t="array" ref="E598">iferror(index(dissected_fish!F:F,match(A598,dissected_fish!D:D,0)))</f>
        <v/>
      </c>
    </row>
    <row r="599">
      <c r="E599" s="17" t="str">
        <f t="array" ref="E599">iferror(index(dissected_fish!F:F,match(A599,dissected_fish!D:D,0)))</f>
        <v/>
      </c>
    </row>
    <row r="600">
      <c r="E600" s="17" t="str">
        <f t="array" ref="E600">iferror(index(dissected_fish!F:F,match(A600,dissected_fish!D:D,0)))</f>
        <v/>
      </c>
    </row>
    <row r="601">
      <c r="E601" s="17" t="str">
        <f t="array" ref="E601">iferror(index(dissected_fish!F:F,match(A601,dissected_fish!D:D,0)))</f>
        <v/>
      </c>
    </row>
    <row r="602">
      <c r="E602" s="17" t="str">
        <f t="array" ref="E602">iferror(index(dissected_fish!F:F,match(A602,dissected_fish!D:D,0)))</f>
        <v/>
      </c>
    </row>
    <row r="603">
      <c r="E603" s="17" t="str">
        <f t="array" ref="E603">iferror(index(dissected_fish!F:F,match(A603,dissected_fish!D:D,0)))</f>
        <v/>
      </c>
    </row>
    <row r="604">
      <c r="E604" s="17" t="str">
        <f t="array" ref="E604">iferror(index(dissected_fish!F:F,match(A604,dissected_fish!D:D,0)))</f>
        <v/>
      </c>
    </row>
    <row r="605">
      <c r="E605" s="17" t="str">
        <f t="array" ref="E605">iferror(index(dissected_fish!F:F,match(A605,dissected_fish!D:D,0)))</f>
        <v/>
      </c>
    </row>
    <row r="606">
      <c r="E606" s="17" t="str">
        <f t="array" ref="E606">iferror(index(dissected_fish!F:F,match(A606,dissected_fish!D:D,0)))</f>
        <v/>
      </c>
    </row>
    <row r="607">
      <c r="E607" s="17" t="str">
        <f t="array" ref="E607">iferror(index(dissected_fish!F:F,match(A607,dissected_fish!D:D,0)))</f>
        <v/>
      </c>
    </row>
    <row r="608">
      <c r="E608" s="17" t="str">
        <f t="array" ref="E608">iferror(index(dissected_fish!F:F,match(A608,dissected_fish!D:D,0)))</f>
        <v/>
      </c>
    </row>
    <row r="609">
      <c r="E609" s="17" t="str">
        <f t="array" ref="E609">iferror(index(dissected_fish!F:F,match(A609,dissected_fish!D:D,0)))</f>
        <v/>
      </c>
    </row>
    <row r="610">
      <c r="E610" s="17" t="str">
        <f t="array" ref="E610">iferror(index(dissected_fish!F:F,match(A610,dissected_fish!D:D,0)))</f>
        <v/>
      </c>
    </row>
    <row r="611">
      <c r="E611" s="17" t="str">
        <f t="array" ref="E611">iferror(index(dissected_fish!F:F,match(A611,dissected_fish!D:D,0)))</f>
        <v/>
      </c>
    </row>
    <row r="612">
      <c r="E612" s="17" t="str">
        <f t="array" ref="E612">iferror(index(dissected_fish!F:F,match(A612,dissected_fish!D:D,0)))</f>
        <v/>
      </c>
    </row>
    <row r="613">
      <c r="E613" s="17" t="str">
        <f t="array" ref="E613">iferror(index(dissected_fish!F:F,match(A613,dissected_fish!D:D,0)))</f>
        <v/>
      </c>
    </row>
    <row r="614">
      <c r="E614" s="17" t="str">
        <f t="array" ref="E614">iferror(index(dissected_fish!F:F,match(A614,dissected_fish!D:D,0)))</f>
        <v/>
      </c>
    </row>
    <row r="615">
      <c r="E615" s="17" t="str">
        <f t="array" ref="E615">iferror(index(dissected_fish!F:F,match(A615,dissected_fish!D:D,0)))</f>
        <v/>
      </c>
    </row>
    <row r="616">
      <c r="E616" s="17" t="str">
        <f t="array" ref="E616">iferror(index(dissected_fish!F:F,match(A616,dissected_fish!D:D,0)))</f>
        <v/>
      </c>
    </row>
    <row r="617">
      <c r="E617" s="17" t="str">
        <f t="array" ref="E617">iferror(index(dissected_fish!F:F,match(A617,dissected_fish!D:D,0)))</f>
        <v/>
      </c>
    </row>
    <row r="618">
      <c r="E618" s="17" t="str">
        <f t="array" ref="E618">iferror(index(dissected_fish!F:F,match(A618,dissected_fish!D:D,0)))</f>
        <v/>
      </c>
    </row>
    <row r="619">
      <c r="E619" s="17" t="str">
        <f t="array" ref="E619">iferror(index(dissected_fish!F:F,match(A619,dissected_fish!D:D,0)))</f>
        <v/>
      </c>
    </row>
    <row r="620">
      <c r="E620" s="17" t="str">
        <f t="array" ref="E620">iferror(index(dissected_fish!F:F,match(A620,dissected_fish!D:D,0)))</f>
        <v/>
      </c>
    </row>
    <row r="621">
      <c r="E621" s="17" t="str">
        <f t="array" ref="E621">iferror(index(dissected_fish!F:F,match(A621,dissected_fish!D:D,0)))</f>
        <v/>
      </c>
    </row>
    <row r="622">
      <c r="E622" s="17" t="str">
        <f t="array" ref="E622">iferror(index(dissected_fish!F:F,match(A622,dissected_fish!D:D,0)))</f>
        <v/>
      </c>
    </row>
    <row r="623">
      <c r="E623" s="17" t="str">
        <f t="array" ref="E623">iferror(index(dissected_fish!F:F,match(A623,dissected_fish!D:D,0)))</f>
        <v/>
      </c>
    </row>
    <row r="624">
      <c r="E624" s="17" t="str">
        <f t="array" ref="E624">iferror(index(dissected_fish!F:F,match(A624,dissected_fish!D:D,0)))</f>
        <v/>
      </c>
    </row>
    <row r="625">
      <c r="E625" s="17" t="str">
        <f t="array" ref="E625">iferror(index(dissected_fish!F:F,match(A625,dissected_fish!D:D,0)))</f>
        <v/>
      </c>
    </row>
    <row r="626">
      <c r="E626" s="17" t="str">
        <f t="array" ref="E626">iferror(index(dissected_fish!F:F,match(A626,dissected_fish!D:D,0)))</f>
        <v/>
      </c>
    </row>
    <row r="627">
      <c r="E627" s="17" t="str">
        <f t="array" ref="E627">iferror(index(dissected_fish!F:F,match(A627,dissected_fish!D:D,0)))</f>
        <v/>
      </c>
    </row>
    <row r="628">
      <c r="E628" s="17" t="str">
        <f t="array" ref="E628">iferror(index(dissected_fish!F:F,match(A628,dissected_fish!D:D,0)))</f>
        <v/>
      </c>
    </row>
    <row r="629">
      <c r="E629" s="17" t="str">
        <f t="array" ref="E629">iferror(index(dissected_fish!F:F,match(A629,dissected_fish!D:D,0)))</f>
        <v/>
      </c>
    </row>
    <row r="630">
      <c r="E630" s="17" t="str">
        <f t="array" ref="E630">iferror(index(dissected_fish!F:F,match(A630,dissected_fish!D:D,0)))</f>
        <v/>
      </c>
    </row>
    <row r="631">
      <c r="E631" s="17" t="str">
        <f t="array" ref="E631">iferror(index(dissected_fish!F:F,match(A631,dissected_fish!D:D,0)))</f>
        <v/>
      </c>
    </row>
    <row r="632">
      <c r="E632" s="17" t="str">
        <f t="array" ref="E632">iferror(index(dissected_fish!F:F,match(A632,dissected_fish!D:D,0)))</f>
        <v/>
      </c>
    </row>
    <row r="633">
      <c r="E633" s="17" t="str">
        <f t="array" ref="E633">iferror(index(dissected_fish!F:F,match(A633,dissected_fish!D:D,0)))</f>
        <v/>
      </c>
    </row>
    <row r="634">
      <c r="E634" s="17" t="str">
        <f t="array" ref="E634">iferror(index(dissected_fish!F:F,match(A634,dissected_fish!D:D,0)))</f>
        <v/>
      </c>
    </row>
    <row r="635">
      <c r="E635" s="17" t="str">
        <f t="array" ref="E635">iferror(index(dissected_fish!F:F,match(A635,dissected_fish!D:D,0)))</f>
        <v/>
      </c>
    </row>
    <row r="636">
      <c r="E636" s="17" t="str">
        <f t="array" ref="E636">iferror(index(dissected_fish!F:F,match(A636,dissected_fish!D:D,0)))</f>
        <v/>
      </c>
    </row>
    <row r="637">
      <c r="E637" s="17" t="str">
        <f t="array" ref="E637">iferror(index(dissected_fish!F:F,match(A637,dissected_fish!D:D,0)))</f>
        <v/>
      </c>
    </row>
    <row r="638">
      <c r="E638" s="17" t="str">
        <f t="array" ref="E638">iferror(index(dissected_fish!F:F,match(A638,dissected_fish!D:D,0)))</f>
        <v/>
      </c>
    </row>
    <row r="639">
      <c r="E639" s="17" t="str">
        <f t="array" ref="E639">iferror(index(dissected_fish!F:F,match(A639,dissected_fish!D:D,0)))</f>
        <v/>
      </c>
    </row>
    <row r="640">
      <c r="E640" s="17" t="str">
        <f t="array" ref="E640">iferror(index(dissected_fish!F:F,match(A640,dissected_fish!D:D,0)))</f>
        <v/>
      </c>
    </row>
    <row r="641">
      <c r="E641" s="17" t="str">
        <f t="array" ref="E641">iferror(index(dissected_fish!F:F,match(A641,dissected_fish!D:D,0)))</f>
        <v/>
      </c>
    </row>
    <row r="642">
      <c r="E642" s="17" t="str">
        <f t="array" ref="E642">iferror(index(dissected_fish!F:F,match(A642,dissected_fish!D:D,0)))</f>
        <v/>
      </c>
    </row>
    <row r="643">
      <c r="E643" s="17" t="str">
        <f t="array" ref="E643">iferror(index(dissected_fish!F:F,match(A643,dissected_fish!D:D,0)))</f>
        <v/>
      </c>
    </row>
    <row r="644">
      <c r="E644" s="17" t="str">
        <f t="array" ref="E644">iferror(index(dissected_fish!F:F,match(A644,dissected_fish!D:D,0)))</f>
        <v/>
      </c>
    </row>
    <row r="645">
      <c r="E645" s="17" t="str">
        <f t="array" ref="E645">iferror(index(dissected_fish!F:F,match(A645,dissected_fish!D:D,0)))</f>
        <v/>
      </c>
    </row>
    <row r="646">
      <c r="E646" s="17" t="str">
        <f t="array" ref="E646">iferror(index(dissected_fish!F:F,match(A646,dissected_fish!D:D,0)))</f>
        <v/>
      </c>
    </row>
    <row r="647">
      <c r="E647" s="17" t="str">
        <f t="array" ref="E647">iferror(index(dissected_fish!F:F,match(A647,dissected_fish!D:D,0)))</f>
        <v/>
      </c>
    </row>
    <row r="648">
      <c r="E648" s="17" t="str">
        <f t="array" ref="E648">iferror(index(dissected_fish!F:F,match(A648,dissected_fish!D:D,0)))</f>
        <v/>
      </c>
    </row>
    <row r="649">
      <c r="E649" s="17" t="str">
        <f t="array" ref="E649">iferror(index(dissected_fish!F:F,match(A649,dissected_fish!D:D,0)))</f>
        <v/>
      </c>
    </row>
    <row r="650">
      <c r="E650" s="17" t="str">
        <f t="array" ref="E650">iferror(index(dissected_fish!F:F,match(A650,dissected_fish!D:D,0)))</f>
        <v/>
      </c>
    </row>
    <row r="651">
      <c r="E651" s="17" t="str">
        <f t="array" ref="E651">iferror(index(dissected_fish!F:F,match(A651,dissected_fish!D:D,0)))</f>
        <v/>
      </c>
    </row>
    <row r="652">
      <c r="E652" s="17" t="str">
        <f t="array" ref="E652">iferror(index(dissected_fish!F:F,match(A652,dissected_fish!D:D,0)))</f>
        <v/>
      </c>
    </row>
    <row r="653">
      <c r="E653" s="17" t="str">
        <f t="array" ref="E653">iferror(index(dissected_fish!F:F,match(A653,dissected_fish!D:D,0)))</f>
        <v/>
      </c>
    </row>
    <row r="654">
      <c r="E654" s="17" t="str">
        <f t="array" ref="E654">iferror(index(dissected_fish!F:F,match(A654,dissected_fish!D:D,0)))</f>
        <v/>
      </c>
    </row>
    <row r="655">
      <c r="E655" s="17" t="str">
        <f t="array" ref="E655">iferror(index(dissected_fish!F:F,match(A655,dissected_fish!D:D,0)))</f>
        <v/>
      </c>
    </row>
    <row r="656">
      <c r="E656" s="17" t="str">
        <f t="array" ref="E656">iferror(index(dissected_fish!F:F,match(A656,dissected_fish!D:D,0)))</f>
        <v/>
      </c>
    </row>
    <row r="657">
      <c r="E657" s="17" t="str">
        <f t="array" ref="E657">iferror(index(dissected_fish!F:F,match(A657,dissected_fish!D:D,0)))</f>
        <v/>
      </c>
    </row>
    <row r="658">
      <c r="E658" s="17" t="str">
        <f t="array" ref="E658">iferror(index(dissected_fish!F:F,match(A658,dissected_fish!D:D,0)))</f>
        <v/>
      </c>
    </row>
    <row r="659">
      <c r="E659" s="17" t="str">
        <f t="array" ref="E659">iferror(index(dissected_fish!F:F,match(A659,dissected_fish!D:D,0)))</f>
        <v/>
      </c>
    </row>
    <row r="660">
      <c r="E660" s="17" t="str">
        <f t="array" ref="E660">iferror(index(dissected_fish!F:F,match(A660,dissected_fish!D:D,0)))</f>
        <v/>
      </c>
    </row>
    <row r="661">
      <c r="E661" s="17" t="str">
        <f t="array" ref="E661">iferror(index(dissected_fish!F:F,match(A661,dissected_fish!D:D,0)))</f>
        <v/>
      </c>
    </row>
    <row r="662">
      <c r="E662" s="17" t="str">
        <f t="array" ref="E662">iferror(index(dissected_fish!F:F,match(A662,dissected_fish!D:D,0)))</f>
        <v/>
      </c>
    </row>
    <row r="663">
      <c r="E663" s="17" t="str">
        <f t="array" ref="E663">iferror(index(dissected_fish!F:F,match(A663,dissected_fish!D:D,0)))</f>
        <v/>
      </c>
    </row>
    <row r="664">
      <c r="E664" s="17" t="str">
        <f t="array" ref="E664">iferror(index(dissected_fish!F:F,match(A664,dissected_fish!D:D,0)))</f>
        <v/>
      </c>
    </row>
    <row r="665">
      <c r="E665" s="17" t="str">
        <f t="array" ref="E665">iferror(index(dissected_fish!F:F,match(A665,dissected_fish!D:D,0)))</f>
        <v/>
      </c>
    </row>
    <row r="666">
      <c r="E666" s="17" t="str">
        <f t="array" ref="E666">iferror(index(dissected_fish!F:F,match(A666,dissected_fish!D:D,0)))</f>
        <v/>
      </c>
    </row>
    <row r="667">
      <c r="E667" s="17" t="str">
        <f t="array" ref="E667">iferror(index(dissected_fish!F:F,match(A667,dissected_fish!D:D,0)))</f>
        <v/>
      </c>
    </row>
    <row r="668">
      <c r="E668" s="17" t="str">
        <f t="array" ref="E668">iferror(index(dissected_fish!F:F,match(A668,dissected_fish!D:D,0)))</f>
        <v/>
      </c>
    </row>
    <row r="669">
      <c r="E669" s="17" t="str">
        <f t="array" ref="E669">iferror(index(dissected_fish!F:F,match(A669,dissected_fish!D:D,0)))</f>
        <v/>
      </c>
    </row>
    <row r="670">
      <c r="E670" s="17" t="str">
        <f t="array" ref="E670">iferror(index(dissected_fish!F:F,match(A670,dissected_fish!D:D,0)))</f>
        <v/>
      </c>
    </row>
    <row r="671">
      <c r="E671" s="17" t="str">
        <f t="array" ref="E671">iferror(index(dissected_fish!F:F,match(A671,dissected_fish!D:D,0)))</f>
        <v/>
      </c>
    </row>
    <row r="672">
      <c r="E672" s="17" t="str">
        <f t="array" ref="E672">iferror(index(dissected_fish!F:F,match(A672,dissected_fish!D:D,0)))</f>
        <v/>
      </c>
    </row>
    <row r="673">
      <c r="E673" s="17" t="str">
        <f t="array" ref="E673">iferror(index(dissected_fish!F:F,match(A673,dissected_fish!D:D,0)))</f>
        <v/>
      </c>
    </row>
    <row r="674">
      <c r="E674" s="17" t="str">
        <f t="array" ref="E674">iferror(index(dissected_fish!F:F,match(A674,dissected_fish!D:D,0)))</f>
        <v/>
      </c>
    </row>
    <row r="675">
      <c r="E675" s="17" t="str">
        <f t="array" ref="E675">iferror(index(dissected_fish!F:F,match(A675,dissected_fish!D:D,0)))</f>
        <v/>
      </c>
    </row>
    <row r="676">
      <c r="E676" s="17" t="str">
        <f t="array" ref="E676">iferror(index(dissected_fish!F:F,match(A676,dissected_fish!D:D,0)))</f>
        <v/>
      </c>
    </row>
    <row r="677">
      <c r="E677" s="17" t="str">
        <f t="array" ref="E677">iferror(index(dissected_fish!F:F,match(A677,dissected_fish!D:D,0)))</f>
        <v/>
      </c>
    </row>
    <row r="678">
      <c r="E678" s="17" t="str">
        <f t="array" ref="E678">iferror(index(dissected_fish!F:F,match(A678,dissected_fish!D:D,0)))</f>
        <v/>
      </c>
    </row>
    <row r="679">
      <c r="E679" s="17" t="str">
        <f t="array" ref="E679">iferror(index(dissected_fish!F:F,match(A679,dissected_fish!D:D,0)))</f>
        <v/>
      </c>
    </row>
    <row r="680">
      <c r="E680" s="17" t="str">
        <f t="array" ref="E680">iferror(index(dissected_fish!F:F,match(A680,dissected_fish!D:D,0)))</f>
        <v/>
      </c>
    </row>
    <row r="681">
      <c r="E681" s="17" t="str">
        <f t="array" ref="E681">iferror(index(dissected_fish!F:F,match(A681,dissected_fish!D:D,0)))</f>
        <v/>
      </c>
    </row>
    <row r="682">
      <c r="E682" s="17" t="str">
        <f t="array" ref="E682">iferror(index(dissected_fish!F:F,match(A682,dissected_fish!D:D,0)))</f>
        <v/>
      </c>
    </row>
    <row r="683">
      <c r="E683" s="17" t="str">
        <f t="array" ref="E683">iferror(index(dissected_fish!F:F,match(A683,dissected_fish!D:D,0)))</f>
        <v/>
      </c>
    </row>
    <row r="684">
      <c r="E684" s="17" t="str">
        <f t="array" ref="E684">iferror(index(dissected_fish!F:F,match(A684,dissected_fish!D:D,0)))</f>
        <v/>
      </c>
    </row>
    <row r="685">
      <c r="E685" s="17" t="str">
        <f t="array" ref="E685">iferror(index(dissected_fish!F:F,match(A685,dissected_fish!D:D,0)))</f>
        <v/>
      </c>
    </row>
    <row r="686">
      <c r="E686" s="17" t="str">
        <f t="array" ref="E686">iferror(index(dissected_fish!F:F,match(A686,dissected_fish!D:D,0)))</f>
        <v/>
      </c>
    </row>
    <row r="687">
      <c r="E687" s="17" t="str">
        <f t="array" ref="E687">iferror(index(dissected_fish!F:F,match(A687,dissected_fish!D:D,0)))</f>
        <v/>
      </c>
    </row>
    <row r="688">
      <c r="E688" s="17" t="str">
        <f t="array" ref="E688">iferror(index(dissected_fish!F:F,match(A688,dissected_fish!D:D,0)))</f>
        <v/>
      </c>
    </row>
    <row r="689">
      <c r="E689" s="17" t="str">
        <f t="array" ref="E689">iferror(index(dissected_fish!F:F,match(A689,dissected_fish!D:D,0)))</f>
        <v/>
      </c>
    </row>
    <row r="690">
      <c r="E690" s="17" t="str">
        <f t="array" ref="E690">iferror(index(dissected_fish!F:F,match(A690,dissected_fish!D:D,0)))</f>
        <v/>
      </c>
    </row>
    <row r="691">
      <c r="E691" s="17" t="str">
        <f t="array" ref="E691">iferror(index(dissected_fish!F:F,match(A691,dissected_fish!D:D,0)))</f>
        <v/>
      </c>
    </row>
    <row r="692">
      <c r="E692" s="17" t="str">
        <f t="array" ref="E692">iferror(index(dissected_fish!F:F,match(A692,dissected_fish!D:D,0)))</f>
        <v/>
      </c>
    </row>
    <row r="693">
      <c r="E693" s="17" t="str">
        <f t="array" ref="E693">iferror(index(dissected_fish!F:F,match(A693,dissected_fish!D:D,0)))</f>
        <v/>
      </c>
    </row>
    <row r="694">
      <c r="E694" s="17" t="str">
        <f t="array" ref="E694">iferror(index(dissected_fish!F:F,match(A694,dissected_fish!D:D,0)))</f>
        <v/>
      </c>
    </row>
    <row r="695">
      <c r="E695" s="17" t="str">
        <f t="array" ref="E695">iferror(index(dissected_fish!F:F,match(A695,dissected_fish!D:D,0)))</f>
        <v/>
      </c>
    </row>
    <row r="696">
      <c r="E696" s="17" t="str">
        <f t="array" ref="E696">iferror(index(dissected_fish!F:F,match(A696,dissected_fish!D:D,0)))</f>
        <v/>
      </c>
    </row>
    <row r="697">
      <c r="E697" s="17" t="str">
        <f t="array" ref="E697">iferror(index(dissected_fish!F:F,match(A697,dissected_fish!D:D,0)))</f>
        <v/>
      </c>
    </row>
    <row r="698">
      <c r="E698" s="17" t="str">
        <f t="array" ref="E698">iferror(index(dissected_fish!F:F,match(A698,dissected_fish!D:D,0)))</f>
        <v/>
      </c>
    </row>
    <row r="699">
      <c r="E699" s="17" t="str">
        <f t="array" ref="E699">iferror(index(dissected_fish!F:F,match(A699,dissected_fish!D:D,0)))</f>
        <v/>
      </c>
    </row>
    <row r="700">
      <c r="E700" s="17" t="str">
        <f t="array" ref="E700">iferror(index(dissected_fish!F:F,match(A700,dissected_fish!D:D,0)))</f>
        <v/>
      </c>
    </row>
    <row r="701">
      <c r="E701" s="17" t="str">
        <f t="array" ref="E701">iferror(index(dissected_fish!F:F,match(A701,dissected_fish!D:D,0)))</f>
        <v/>
      </c>
    </row>
    <row r="702">
      <c r="E702" s="17" t="str">
        <f t="array" ref="E702">iferror(index(dissected_fish!F:F,match(A702,dissected_fish!D:D,0)))</f>
        <v/>
      </c>
    </row>
    <row r="703">
      <c r="E703" s="17" t="str">
        <f t="array" ref="E703">iferror(index(dissected_fish!F:F,match(A703,dissected_fish!D:D,0)))</f>
        <v/>
      </c>
    </row>
    <row r="704">
      <c r="E704" s="17" t="str">
        <f t="array" ref="E704">iferror(index(dissected_fish!F:F,match(A704,dissected_fish!D:D,0)))</f>
        <v/>
      </c>
    </row>
    <row r="705">
      <c r="E705" s="17" t="str">
        <f t="array" ref="E705">iferror(index(dissected_fish!F:F,match(A705,dissected_fish!D:D,0)))</f>
        <v/>
      </c>
    </row>
    <row r="706">
      <c r="E706" s="17" t="str">
        <f t="array" ref="E706">iferror(index(dissected_fish!F:F,match(A706,dissected_fish!D:D,0)))</f>
        <v/>
      </c>
    </row>
    <row r="707">
      <c r="E707" s="17" t="str">
        <f t="array" ref="E707">iferror(index(dissected_fish!F:F,match(A707,dissected_fish!D:D,0)))</f>
        <v/>
      </c>
    </row>
    <row r="708">
      <c r="E708" s="17" t="str">
        <f t="array" ref="E708">iferror(index(dissected_fish!F:F,match(A708,dissected_fish!D:D,0)))</f>
        <v/>
      </c>
    </row>
    <row r="709">
      <c r="E709" s="17" t="str">
        <f t="array" ref="E709">iferror(index(dissected_fish!F:F,match(A709,dissected_fish!D:D,0)))</f>
        <v/>
      </c>
    </row>
    <row r="710">
      <c r="E710" s="17" t="str">
        <f t="array" ref="E710">iferror(index(dissected_fish!F:F,match(A710,dissected_fish!D:D,0)))</f>
        <v/>
      </c>
    </row>
    <row r="711">
      <c r="E711" s="17" t="str">
        <f t="array" ref="E711">iferror(index(dissected_fish!F:F,match(A711,dissected_fish!D:D,0)))</f>
        <v/>
      </c>
    </row>
    <row r="712">
      <c r="E712" s="17" t="str">
        <f t="array" ref="E712">iferror(index(dissected_fish!F:F,match(A712,dissected_fish!D:D,0)))</f>
        <v/>
      </c>
    </row>
    <row r="713">
      <c r="E713" s="17" t="str">
        <f t="array" ref="E713">iferror(index(dissected_fish!F:F,match(A713,dissected_fish!D:D,0)))</f>
        <v/>
      </c>
    </row>
    <row r="714">
      <c r="E714" s="17" t="str">
        <f t="array" ref="E714">iferror(index(dissected_fish!F:F,match(A714,dissected_fish!D:D,0)))</f>
        <v/>
      </c>
    </row>
    <row r="715">
      <c r="E715" s="17" t="str">
        <f t="array" ref="E715">iferror(index(dissected_fish!F:F,match(A715,dissected_fish!D:D,0)))</f>
        <v/>
      </c>
    </row>
    <row r="716">
      <c r="E716" s="17" t="str">
        <f t="array" ref="E716">iferror(index(dissected_fish!F:F,match(A716,dissected_fish!D:D,0)))</f>
        <v/>
      </c>
    </row>
    <row r="717">
      <c r="E717" s="17" t="str">
        <f t="array" ref="E717">iferror(index(dissected_fish!F:F,match(A717,dissected_fish!D:D,0)))</f>
        <v/>
      </c>
    </row>
    <row r="718">
      <c r="E718" s="17" t="str">
        <f t="array" ref="E718">iferror(index(dissected_fish!F:F,match(A718,dissected_fish!D:D,0)))</f>
        <v/>
      </c>
    </row>
    <row r="719">
      <c r="E719" s="17" t="str">
        <f t="array" ref="E719">iferror(index(dissected_fish!F:F,match(A719,dissected_fish!D:D,0)))</f>
        <v/>
      </c>
    </row>
    <row r="720">
      <c r="E720" s="17" t="str">
        <f t="array" ref="E720">iferror(index(dissected_fish!F:F,match(A720,dissected_fish!D:D,0)))</f>
        <v/>
      </c>
    </row>
    <row r="721">
      <c r="E721" s="17" t="str">
        <f t="array" ref="E721">iferror(index(dissected_fish!F:F,match(A721,dissected_fish!D:D,0)))</f>
        <v/>
      </c>
    </row>
    <row r="722">
      <c r="E722" s="17" t="str">
        <f t="array" ref="E722">iferror(index(dissected_fish!F:F,match(A722,dissected_fish!D:D,0)))</f>
        <v/>
      </c>
    </row>
    <row r="723">
      <c r="E723" s="17" t="str">
        <f t="array" ref="E723">iferror(index(dissected_fish!F:F,match(A723,dissected_fish!D:D,0)))</f>
        <v/>
      </c>
    </row>
    <row r="724">
      <c r="E724" s="17" t="str">
        <f t="array" ref="E724">iferror(index(dissected_fish!F:F,match(A724,dissected_fish!D:D,0)))</f>
        <v/>
      </c>
    </row>
    <row r="725">
      <c r="E725" s="17" t="str">
        <f t="array" ref="E725">iferror(index(dissected_fish!F:F,match(A725,dissected_fish!D:D,0)))</f>
        <v/>
      </c>
    </row>
    <row r="726">
      <c r="E726" s="17" t="str">
        <f t="array" ref="E726">iferror(index(dissected_fish!F:F,match(A726,dissected_fish!D:D,0)))</f>
        <v/>
      </c>
    </row>
    <row r="727">
      <c r="E727" s="17" t="str">
        <f t="array" ref="E727">iferror(index(dissected_fish!F:F,match(A727,dissected_fish!D:D,0)))</f>
        <v/>
      </c>
    </row>
    <row r="728">
      <c r="E728" s="17" t="str">
        <f t="array" ref="E728">iferror(index(dissected_fish!F:F,match(A728,dissected_fish!D:D,0)))</f>
        <v/>
      </c>
    </row>
    <row r="729">
      <c r="E729" s="17" t="str">
        <f t="array" ref="E729">iferror(index(dissected_fish!F:F,match(A729,dissected_fish!D:D,0)))</f>
        <v/>
      </c>
    </row>
    <row r="730">
      <c r="E730" s="17" t="str">
        <f t="array" ref="E730">iferror(index(dissected_fish!F:F,match(A730,dissected_fish!D:D,0)))</f>
        <v/>
      </c>
    </row>
    <row r="731">
      <c r="E731" s="17" t="str">
        <f t="array" ref="E731">iferror(index(dissected_fish!F:F,match(A731,dissected_fish!D:D,0)))</f>
        <v/>
      </c>
    </row>
    <row r="732">
      <c r="E732" s="17" t="str">
        <f t="array" ref="E732">iferror(index(dissected_fish!F:F,match(A732,dissected_fish!D:D,0)))</f>
        <v/>
      </c>
    </row>
    <row r="733">
      <c r="E733" s="17" t="str">
        <f t="array" ref="E733">iferror(index(dissected_fish!F:F,match(A733,dissected_fish!D:D,0)))</f>
        <v/>
      </c>
    </row>
    <row r="734">
      <c r="E734" s="17" t="str">
        <f t="array" ref="E734">iferror(index(dissected_fish!F:F,match(A734,dissected_fish!D:D,0)))</f>
        <v/>
      </c>
    </row>
    <row r="735">
      <c r="E735" s="17" t="str">
        <f t="array" ref="E735">iferror(index(dissected_fish!F:F,match(A735,dissected_fish!D:D,0)))</f>
        <v/>
      </c>
    </row>
    <row r="736">
      <c r="E736" s="17" t="str">
        <f t="array" ref="E736">iferror(index(dissected_fish!F:F,match(A736,dissected_fish!D:D,0)))</f>
        <v/>
      </c>
    </row>
    <row r="737">
      <c r="E737" s="17" t="str">
        <f t="array" ref="E737">iferror(index(dissected_fish!F:F,match(A737,dissected_fish!D:D,0)))</f>
        <v/>
      </c>
    </row>
    <row r="738">
      <c r="E738" s="17" t="str">
        <f t="array" ref="E738">iferror(index(dissected_fish!F:F,match(A738,dissected_fish!D:D,0)))</f>
        <v/>
      </c>
    </row>
    <row r="739">
      <c r="E739" s="17" t="str">
        <f t="array" ref="E739">iferror(index(dissected_fish!F:F,match(A739,dissected_fish!D:D,0)))</f>
        <v/>
      </c>
    </row>
    <row r="740">
      <c r="E740" s="17" t="str">
        <f t="array" ref="E740">iferror(index(dissected_fish!F:F,match(A740,dissected_fish!D:D,0)))</f>
        <v/>
      </c>
    </row>
    <row r="741">
      <c r="E741" s="17" t="str">
        <f t="array" ref="E741">iferror(index(dissected_fish!F:F,match(A741,dissected_fish!D:D,0)))</f>
        <v/>
      </c>
    </row>
    <row r="742">
      <c r="E742" s="17" t="str">
        <f t="array" ref="E742">iferror(index(dissected_fish!F:F,match(A742,dissected_fish!D:D,0)))</f>
        <v/>
      </c>
    </row>
    <row r="743">
      <c r="E743" s="17" t="str">
        <f t="array" ref="E743">iferror(index(dissected_fish!F:F,match(A743,dissected_fish!D:D,0)))</f>
        <v/>
      </c>
    </row>
    <row r="744">
      <c r="E744" s="17" t="str">
        <f t="array" ref="E744">iferror(index(dissected_fish!F:F,match(A744,dissected_fish!D:D,0)))</f>
        <v/>
      </c>
    </row>
    <row r="745">
      <c r="E745" s="17" t="str">
        <f t="array" ref="E745">iferror(index(dissected_fish!F:F,match(A745,dissected_fish!D:D,0)))</f>
        <v/>
      </c>
    </row>
    <row r="746">
      <c r="E746" s="17" t="str">
        <f t="array" ref="E746">iferror(index(dissected_fish!F:F,match(A746,dissected_fish!D:D,0)))</f>
        <v/>
      </c>
    </row>
    <row r="747">
      <c r="E747" s="17" t="str">
        <f t="array" ref="E747">iferror(index(dissected_fish!F:F,match(A747,dissected_fish!D:D,0)))</f>
        <v/>
      </c>
    </row>
    <row r="748">
      <c r="E748" s="17" t="str">
        <f t="array" ref="E748">iferror(index(dissected_fish!F:F,match(A748,dissected_fish!D:D,0)))</f>
        <v/>
      </c>
    </row>
    <row r="749">
      <c r="E749" s="17" t="str">
        <f t="array" ref="E749">iferror(index(dissected_fish!F:F,match(A749,dissected_fish!D:D,0)))</f>
        <v/>
      </c>
    </row>
    <row r="750">
      <c r="E750" s="17" t="str">
        <f t="array" ref="E750">iferror(index(dissected_fish!F:F,match(A750,dissected_fish!D:D,0)))</f>
        <v/>
      </c>
    </row>
    <row r="751">
      <c r="E751" s="17" t="str">
        <f t="array" ref="E751">iferror(index(dissected_fish!F:F,match(A751,dissected_fish!D:D,0)))</f>
        <v/>
      </c>
    </row>
    <row r="752">
      <c r="E752" s="17" t="str">
        <f t="array" ref="E752">iferror(index(dissected_fish!F:F,match(A752,dissected_fish!D:D,0)))</f>
        <v/>
      </c>
    </row>
    <row r="753">
      <c r="E753" s="17" t="str">
        <f t="array" ref="E753">iferror(index(dissected_fish!F:F,match(A753,dissected_fish!D:D,0)))</f>
        <v/>
      </c>
    </row>
    <row r="754">
      <c r="E754" s="17" t="str">
        <f t="array" ref="E754">iferror(index(dissected_fish!F:F,match(A754,dissected_fish!D:D,0)))</f>
        <v/>
      </c>
    </row>
    <row r="755">
      <c r="E755" s="17" t="str">
        <f t="array" ref="E755">iferror(index(dissected_fish!F:F,match(A755,dissected_fish!D:D,0)))</f>
        <v/>
      </c>
    </row>
    <row r="756">
      <c r="E756" s="17" t="str">
        <f t="array" ref="E756">iferror(index(dissected_fish!F:F,match(A756,dissected_fish!D:D,0)))</f>
        <v/>
      </c>
    </row>
    <row r="757">
      <c r="E757" s="17" t="str">
        <f t="array" ref="E757">iferror(index(dissected_fish!F:F,match(A757,dissected_fish!D:D,0)))</f>
        <v/>
      </c>
    </row>
    <row r="758">
      <c r="E758" s="17" t="str">
        <f t="array" ref="E758">iferror(index(dissected_fish!F:F,match(A758,dissected_fish!D:D,0)))</f>
        <v/>
      </c>
    </row>
    <row r="759">
      <c r="E759" s="17" t="str">
        <f t="array" ref="E759">iferror(index(dissected_fish!F:F,match(A759,dissected_fish!D:D,0)))</f>
        <v/>
      </c>
    </row>
    <row r="760">
      <c r="E760" s="17" t="str">
        <f t="array" ref="E760">iferror(index(dissected_fish!F:F,match(A760,dissected_fish!D:D,0)))</f>
        <v/>
      </c>
    </row>
    <row r="761">
      <c r="E761" s="17" t="str">
        <f t="array" ref="E761">iferror(index(dissected_fish!F:F,match(A761,dissected_fish!D:D,0)))</f>
        <v/>
      </c>
    </row>
    <row r="762">
      <c r="E762" s="17" t="str">
        <f t="array" ref="E762">iferror(index(dissected_fish!F:F,match(A762,dissected_fish!D:D,0)))</f>
        <v/>
      </c>
    </row>
    <row r="763">
      <c r="E763" s="17" t="str">
        <f t="array" ref="E763">iferror(index(dissected_fish!F:F,match(A763,dissected_fish!D:D,0)))</f>
        <v/>
      </c>
    </row>
    <row r="764">
      <c r="E764" s="17" t="str">
        <f t="array" ref="E764">iferror(index(dissected_fish!F:F,match(A764,dissected_fish!D:D,0)))</f>
        <v/>
      </c>
    </row>
    <row r="765">
      <c r="E765" s="17" t="str">
        <f t="array" ref="E765">iferror(index(dissected_fish!F:F,match(A765,dissected_fish!D:D,0)))</f>
        <v/>
      </c>
    </row>
    <row r="766">
      <c r="E766" s="17" t="str">
        <f t="array" ref="E766">iferror(index(dissected_fish!F:F,match(A766,dissected_fish!D:D,0)))</f>
        <v/>
      </c>
    </row>
    <row r="767">
      <c r="E767" s="17" t="str">
        <f t="array" ref="E767">iferror(index(dissected_fish!F:F,match(A767,dissected_fish!D:D,0)))</f>
        <v/>
      </c>
    </row>
    <row r="768">
      <c r="E768" s="17" t="str">
        <f t="array" ref="E768">iferror(index(dissected_fish!F:F,match(A768,dissected_fish!D:D,0)))</f>
        <v/>
      </c>
    </row>
    <row r="769">
      <c r="E769" s="17" t="str">
        <f t="array" ref="E769">iferror(index(dissected_fish!F:F,match(A769,dissected_fish!D:D,0)))</f>
        <v/>
      </c>
    </row>
    <row r="770">
      <c r="E770" s="17" t="str">
        <f t="array" ref="E770">iferror(index(dissected_fish!F:F,match(A770,dissected_fish!D:D,0)))</f>
        <v/>
      </c>
    </row>
    <row r="771">
      <c r="E771" s="17" t="str">
        <f t="array" ref="E771">iferror(index(dissected_fish!F:F,match(A771,dissected_fish!D:D,0)))</f>
        <v/>
      </c>
    </row>
    <row r="772">
      <c r="E772" s="17" t="str">
        <f t="array" ref="E772">iferror(index(dissected_fish!F:F,match(A772,dissected_fish!D:D,0)))</f>
        <v/>
      </c>
    </row>
    <row r="773">
      <c r="E773" s="17" t="str">
        <f t="array" ref="E773">iferror(index(dissected_fish!F:F,match(A773,dissected_fish!D:D,0)))</f>
        <v/>
      </c>
    </row>
    <row r="774">
      <c r="E774" s="17" t="str">
        <f t="array" ref="E774">iferror(index(dissected_fish!F:F,match(A774,dissected_fish!D:D,0)))</f>
        <v/>
      </c>
    </row>
    <row r="775">
      <c r="E775" s="17" t="str">
        <f t="array" ref="E775">iferror(index(dissected_fish!F:F,match(A775,dissected_fish!D:D,0)))</f>
        <v/>
      </c>
    </row>
    <row r="776">
      <c r="E776" s="17" t="str">
        <f t="array" ref="E776">iferror(index(dissected_fish!F:F,match(A776,dissected_fish!D:D,0)))</f>
        <v/>
      </c>
    </row>
    <row r="777">
      <c r="E777" s="17" t="str">
        <f t="array" ref="E777">iferror(index(dissected_fish!F:F,match(A777,dissected_fish!D:D,0)))</f>
        <v/>
      </c>
    </row>
    <row r="778">
      <c r="E778" s="17" t="str">
        <f t="array" ref="E778">iferror(index(dissected_fish!F:F,match(A778,dissected_fish!D:D,0)))</f>
        <v/>
      </c>
    </row>
    <row r="779">
      <c r="E779" s="17" t="str">
        <f t="array" ref="E779">iferror(index(dissected_fish!F:F,match(A779,dissected_fish!D:D,0)))</f>
        <v/>
      </c>
    </row>
    <row r="780">
      <c r="E780" s="17" t="str">
        <f t="array" ref="E780">iferror(index(dissected_fish!F:F,match(A780,dissected_fish!D:D,0)))</f>
        <v/>
      </c>
    </row>
    <row r="781">
      <c r="E781" s="17" t="str">
        <f t="array" ref="E781">iferror(index(dissected_fish!F:F,match(A781,dissected_fish!D:D,0)))</f>
        <v/>
      </c>
    </row>
    <row r="782">
      <c r="E782" s="17" t="str">
        <f t="array" ref="E782">iferror(index(dissected_fish!F:F,match(A782,dissected_fish!D:D,0)))</f>
        <v/>
      </c>
    </row>
    <row r="783">
      <c r="E783" s="17" t="str">
        <f t="array" ref="E783">iferror(index(dissected_fish!F:F,match(A783,dissected_fish!D:D,0)))</f>
        <v/>
      </c>
    </row>
    <row r="784">
      <c r="E784" s="17" t="str">
        <f t="array" ref="E784">iferror(index(dissected_fish!F:F,match(A784,dissected_fish!D:D,0)))</f>
        <v/>
      </c>
    </row>
    <row r="785">
      <c r="E785" s="17" t="str">
        <f t="array" ref="E785">iferror(index(dissected_fish!F:F,match(A785,dissected_fish!D:D,0)))</f>
        <v/>
      </c>
    </row>
    <row r="786">
      <c r="E786" s="17" t="str">
        <f t="array" ref="E786">iferror(index(dissected_fish!F:F,match(A786,dissected_fish!D:D,0)))</f>
        <v/>
      </c>
    </row>
    <row r="787">
      <c r="E787" s="17" t="str">
        <f t="array" ref="E787">iferror(index(dissected_fish!F:F,match(A787,dissected_fish!D:D,0)))</f>
        <v/>
      </c>
    </row>
    <row r="788">
      <c r="E788" s="17" t="str">
        <f t="array" ref="E788">iferror(index(dissected_fish!F:F,match(A788,dissected_fish!D:D,0)))</f>
        <v/>
      </c>
    </row>
    <row r="789">
      <c r="E789" s="17" t="str">
        <f t="array" ref="E789">iferror(index(dissected_fish!F:F,match(A789,dissected_fish!D:D,0)))</f>
        <v/>
      </c>
    </row>
    <row r="790">
      <c r="E790" s="17" t="str">
        <f t="array" ref="E790">iferror(index(dissected_fish!F:F,match(A790,dissected_fish!D:D,0)))</f>
        <v/>
      </c>
    </row>
    <row r="791">
      <c r="E791" s="17" t="str">
        <f t="array" ref="E791">iferror(index(dissected_fish!F:F,match(A791,dissected_fish!D:D,0)))</f>
        <v/>
      </c>
    </row>
    <row r="792">
      <c r="E792" s="17" t="str">
        <f t="array" ref="E792">iferror(index(dissected_fish!F:F,match(A792,dissected_fish!D:D,0)))</f>
        <v/>
      </c>
    </row>
    <row r="793">
      <c r="E793" s="17" t="str">
        <f t="array" ref="E793">iferror(index(dissected_fish!F:F,match(A793,dissected_fish!D:D,0)))</f>
        <v/>
      </c>
    </row>
    <row r="794">
      <c r="E794" s="17" t="str">
        <f t="array" ref="E794">iferror(index(dissected_fish!F:F,match(A794,dissected_fish!D:D,0)))</f>
        <v/>
      </c>
    </row>
    <row r="795">
      <c r="E795" s="17" t="str">
        <f t="array" ref="E795">iferror(index(dissected_fish!F:F,match(A795,dissected_fish!D:D,0)))</f>
        <v/>
      </c>
    </row>
    <row r="796">
      <c r="E796" s="17" t="str">
        <f t="array" ref="E796">iferror(index(dissected_fish!F:F,match(A796,dissected_fish!D:D,0)))</f>
        <v/>
      </c>
    </row>
    <row r="797">
      <c r="E797" s="17" t="str">
        <f t="array" ref="E797">iferror(index(dissected_fish!F:F,match(A797,dissected_fish!D:D,0)))</f>
        <v/>
      </c>
    </row>
    <row r="798">
      <c r="E798" s="17" t="str">
        <f t="array" ref="E798">iferror(index(dissected_fish!F:F,match(A798,dissected_fish!D:D,0)))</f>
        <v/>
      </c>
    </row>
    <row r="799">
      <c r="E799" s="17" t="str">
        <f t="array" ref="E799">iferror(index(dissected_fish!F:F,match(A799,dissected_fish!D:D,0)))</f>
        <v/>
      </c>
    </row>
    <row r="800">
      <c r="E800" s="17" t="str">
        <f t="array" ref="E800">iferror(index(dissected_fish!F:F,match(A800,dissected_fish!D:D,0)))</f>
        <v/>
      </c>
    </row>
    <row r="801">
      <c r="E801" s="17" t="str">
        <f t="array" ref="E801">iferror(index(dissected_fish!F:F,match(A801,dissected_fish!D:D,0)))</f>
        <v/>
      </c>
    </row>
    <row r="802">
      <c r="E802" s="17" t="str">
        <f t="array" ref="E802">iferror(index(dissected_fish!F:F,match(A802,dissected_fish!D:D,0)))</f>
        <v/>
      </c>
    </row>
    <row r="803">
      <c r="E803" s="17" t="str">
        <f t="array" ref="E803">iferror(index(dissected_fish!F:F,match(A803,dissected_fish!D:D,0)))</f>
        <v/>
      </c>
    </row>
    <row r="804">
      <c r="E804" s="17" t="str">
        <f t="array" ref="E804">iferror(index(dissected_fish!F:F,match(A804,dissected_fish!D:D,0)))</f>
        <v/>
      </c>
    </row>
    <row r="805">
      <c r="E805" s="17" t="str">
        <f t="array" ref="E805">iferror(index(dissected_fish!F:F,match(A805,dissected_fish!D:D,0)))</f>
        <v/>
      </c>
    </row>
    <row r="806">
      <c r="E806" s="17" t="str">
        <f t="array" ref="E806">iferror(index(dissected_fish!F:F,match(A806,dissected_fish!D:D,0)))</f>
        <v/>
      </c>
    </row>
    <row r="807">
      <c r="E807" s="17" t="str">
        <f t="array" ref="E807">iferror(index(dissected_fish!F:F,match(A807,dissected_fish!D:D,0)))</f>
        <v/>
      </c>
    </row>
    <row r="808">
      <c r="E808" s="17" t="str">
        <f t="array" ref="E808">iferror(index(dissected_fish!F:F,match(A808,dissected_fish!D:D,0)))</f>
        <v/>
      </c>
    </row>
    <row r="809">
      <c r="E809" s="17" t="str">
        <f t="array" ref="E809">iferror(index(dissected_fish!F:F,match(A809,dissected_fish!D:D,0)))</f>
        <v/>
      </c>
    </row>
    <row r="810">
      <c r="E810" s="17" t="str">
        <f t="array" ref="E810">iferror(index(dissected_fish!F:F,match(A810,dissected_fish!D:D,0)))</f>
        <v/>
      </c>
    </row>
    <row r="811">
      <c r="E811" s="17" t="str">
        <f t="array" ref="E811">iferror(index(dissected_fish!F:F,match(A811,dissected_fish!D:D,0)))</f>
        <v/>
      </c>
    </row>
    <row r="812">
      <c r="E812" s="17" t="str">
        <f t="array" ref="E812">iferror(index(dissected_fish!F:F,match(A812,dissected_fish!D:D,0)))</f>
        <v/>
      </c>
    </row>
    <row r="813">
      <c r="E813" s="17" t="str">
        <f t="array" ref="E813">iferror(index(dissected_fish!F:F,match(A813,dissected_fish!D:D,0)))</f>
        <v/>
      </c>
    </row>
    <row r="814">
      <c r="E814" s="17" t="str">
        <f t="array" ref="E814">iferror(index(dissected_fish!F:F,match(A814,dissected_fish!D:D,0)))</f>
        <v/>
      </c>
    </row>
    <row r="815">
      <c r="E815" s="17" t="str">
        <f t="array" ref="E815">iferror(index(dissected_fish!F:F,match(A815,dissected_fish!D:D,0)))</f>
        <v/>
      </c>
    </row>
    <row r="816">
      <c r="E816" s="17" t="str">
        <f t="array" ref="E816">iferror(index(dissected_fish!F:F,match(A816,dissected_fish!D:D,0)))</f>
        <v/>
      </c>
    </row>
    <row r="817">
      <c r="E817" s="17" t="str">
        <f t="array" ref="E817">iferror(index(dissected_fish!F:F,match(A817,dissected_fish!D:D,0)))</f>
        <v/>
      </c>
    </row>
    <row r="818">
      <c r="E818" s="17" t="str">
        <f t="array" ref="E818">iferror(index(dissected_fish!F:F,match(A818,dissected_fish!D:D,0)))</f>
        <v/>
      </c>
    </row>
    <row r="819">
      <c r="E819" s="17" t="str">
        <f t="array" ref="E819">iferror(index(dissected_fish!F:F,match(A819,dissected_fish!D:D,0)))</f>
        <v/>
      </c>
    </row>
    <row r="820">
      <c r="E820" s="17" t="str">
        <f t="array" ref="E820">iferror(index(dissected_fish!F:F,match(A820,dissected_fish!D:D,0)))</f>
        <v/>
      </c>
    </row>
    <row r="821">
      <c r="E821" s="17" t="str">
        <f t="array" ref="E821">iferror(index(dissected_fish!F:F,match(A821,dissected_fish!D:D,0)))</f>
        <v/>
      </c>
    </row>
    <row r="822">
      <c r="E822" s="17" t="str">
        <f t="array" ref="E822">iferror(index(dissected_fish!F:F,match(A822,dissected_fish!D:D,0)))</f>
        <v/>
      </c>
    </row>
    <row r="823">
      <c r="E823" s="17" t="str">
        <f t="array" ref="E823">iferror(index(dissected_fish!F:F,match(A823,dissected_fish!D:D,0)))</f>
        <v/>
      </c>
    </row>
    <row r="824">
      <c r="E824" s="17" t="str">
        <f t="array" ref="E824">iferror(index(dissected_fish!F:F,match(A824,dissected_fish!D:D,0)))</f>
        <v/>
      </c>
    </row>
    <row r="825">
      <c r="E825" s="17" t="str">
        <f t="array" ref="E825">iferror(index(dissected_fish!F:F,match(A825,dissected_fish!D:D,0)))</f>
        <v/>
      </c>
    </row>
    <row r="826">
      <c r="E826" s="17" t="str">
        <f t="array" ref="E826">iferror(index(dissected_fish!F:F,match(A826,dissected_fish!D:D,0)))</f>
        <v/>
      </c>
    </row>
    <row r="827">
      <c r="E827" s="17" t="str">
        <f t="array" ref="E827">iferror(index(dissected_fish!F:F,match(A827,dissected_fish!D:D,0)))</f>
        <v/>
      </c>
    </row>
    <row r="828">
      <c r="E828" s="17" t="str">
        <f t="array" ref="E828">iferror(index(dissected_fish!F:F,match(A828,dissected_fish!D:D,0)))</f>
        <v/>
      </c>
    </row>
    <row r="829">
      <c r="E829" s="17" t="str">
        <f t="array" ref="E829">iferror(index(dissected_fish!F:F,match(A829,dissected_fish!D:D,0)))</f>
        <v/>
      </c>
    </row>
    <row r="830">
      <c r="E830" s="17" t="str">
        <f t="array" ref="E830">iferror(index(dissected_fish!F:F,match(A830,dissected_fish!D:D,0)))</f>
        <v/>
      </c>
    </row>
    <row r="831">
      <c r="E831" s="17" t="str">
        <f t="array" ref="E831">iferror(index(dissected_fish!F:F,match(A831,dissected_fish!D:D,0)))</f>
        <v/>
      </c>
    </row>
    <row r="832">
      <c r="E832" s="17" t="str">
        <f t="array" ref="E832">iferror(index(dissected_fish!F:F,match(A832,dissected_fish!D:D,0)))</f>
        <v/>
      </c>
    </row>
    <row r="833">
      <c r="E833" s="17" t="str">
        <f t="array" ref="E833">iferror(index(dissected_fish!F:F,match(A833,dissected_fish!D:D,0)))</f>
        <v/>
      </c>
    </row>
    <row r="834">
      <c r="E834" s="17" t="str">
        <f t="array" ref="E834">iferror(index(dissected_fish!F:F,match(A834,dissected_fish!D:D,0)))</f>
        <v/>
      </c>
    </row>
    <row r="835">
      <c r="E835" s="17" t="str">
        <f t="array" ref="E835">iferror(index(dissected_fish!F:F,match(A835,dissected_fish!D:D,0)))</f>
        <v/>
      </c>
    </row>
    <row r="836">
      <c r="E836" s="17" t="str">
        <f t="array" ref="E836">iferror(index(dissected_fish!F:F,match(A836,dissected_fish!D:D,0)))</f>
        <v/>
      </c>
    </row>
    <row r="837">
      <c r="E837" s="17" t="str">
        <f t="array" ref="E837">iferror(index(dissected_fish!F:F,match(A837,dissected_fish!D:D,0)))</f>
        <v/>
      </c>
    </row>
    <row r="838">
      <c r="E838" s="17" t="str">
        <f t="array" ref="E838">iferror(index(dissected_fish!F:F,match(A838,dissected_fish!D:D,0)))</f>
        <v/>
      </c>
    </row>
    <row r="839">
      <c r="E839" s="17" t="str">
        <f t="array" ref="E839">iferror(index(dissected_fish!F:F,match(A839,dissected_fish!D:D,0)))</f>
        <v/>
      </c>
    </row>
    <row r="840">
      <c r="E840" s="17" t="str">
        <f t="array" ref="E840">iferror(index(dissected_fish!F:F,match(A840,dissected_fish!D:D,0)))</f>
        <v/>
      </c>
    </row>
    <row r="841">
      <c r="E841" s="17" t="str">
        <f t="array" ref="E841">iferror(index(dissected_fish!F:F,match(A841,dissected_fish!D:D,0)))</f>
        <v/>
      </c>
    </row>
    <row r="842">
      <c r="E842" s="17" t="str">
        <f t="array" ref="E842">iferror(index(dissected_fish!F:F,match(A842,dissected_fish!D:D,0)))</f>
        <v/>
      </c>
    </row>
    <row r="843">
      <c r="E843" s="17" t="str">
        <f t="array" ref="E843">iferror(index(dissected_fish!F:F,match(A843,dissected_fish!D:D,0)))</f>
        <v/>
      </c>
    </row>
    <row r="844">
      <c r="E844" s="17" t="str">
        <f t="array" ref="E844">iferror(index(dissected_fish!F:F,match(A844,dissected_fish!D:D,0)))</f>
        <v/>
      </c>
    </row>
    <row r="845">
      <c r="E845" s="17" t="str">
        <f t="array" ref="E845">iferror(index(dissected_fish!F:F,match(A845,dissected_fish!D:D,0)))</f>
        <v/>
      </c>
    </row>
    <row r="846">
      <c r="E846" s="17" t="str">
        <f t="array" ref="E846">iferror(index(dissected_fish!F:F,match(A846,dissected_fish!D:D,0)))</f>
        <v/>
      </c>
    </row>
    <row r="847">
      <c r="E847" s="17" t="str">
        <f t="array" ref="E847">iferror(index(dissected_fish!F:F,match(A847,dissected_fish!D:D,0)))</f>
        <v/>
      </c>
    </row>
    <row r="848">
      <c r="E848" s="17" t="str">
        <f t="array" ref="E848">iferror(index(dissected_fish!F:F,match(A848,dissected_fish!D:D,0)))</f>
        <v/>
      </c>
    </row>
    <row r="849">
      <c r="E849" s="17" t="str">
        <f t="array" ref="E849">iferror(index(dissected_fish!F:F,match(A849,dissected_fish!D:D,0)))</f>
        <v/>
      </c>
    </row>
    <row r="850">
      <c r="E850" s="17" t="str">
        <f t="array" ref="E850">iferror(index(dissected_fish!F:F,match(A850,dissected_fish!D:D,0)))</f>
        <v/>
      </c>
    </row>
    <row r="851">
      <c r="E851" s="17" t="str">
        <f t="array" ref="E851">iferror(index(dissected_fish!F:F,match(A851,dissected_fish!D:D,0)))</f>
        <v/>
      </c>
    </row>
    <row r="852">
      <c r="E852" s="17" t="str">
        <f t="array" ref="E852">iferror(index(dissected_fish!F:F,match(A852,dissected_fish!D:D,0)))</f>
        <v/>
      </c>
    </row>
    <row r="853">
      <c r="E853" s="17" t="str">
        <f t="array" ref="E853">iferror(index(dissected_fish!F:F,match(A853,dissected_fish!D:D,0)))</f>
        <v/>
      </c>
    </row>
    <row r="854">
      <c r="E854" s="17" t="str">
        <f t="array" ref="E854">iferror(index(dissected_fish!F:F,match(A854,dissected_fish!D:D,0)))</f>
        <v/>
      </c>
    </row>
    <row r="855">
      <c r="E855" s="17" t="str">
        <f t="array" ref="E855">iferror(index(dissected_fish!F:F,match(A855,dissected_fish!D:D,0)))</f>
        <v/>
      </c>
    </row>
    <row r="856">
      <c r="E856" s="17" t="str">
        <f t="array" ref="E856">iferror(index(dissected_fish!F:F,match(A856,dissected_fish!D:D,0)))</f>
        <v/>
      </c>
    </row>
    <row r="857">
      <c r="E857" s="17" t="str">
        <f t="array" ref="E857">iferror(index(dissected_fish!F:F,match(A857,dissected_fish!D:D,0)))</f>
        <v/>
      </c>
    </row>
    <row r="858">
      <c r="E858" s="17" t="str">
        <f t="array" ref="E858">iferror(index(dissected_fish!F:F,match(A858,dissected_fish!D:D,0)))</f>
        <v/>
      </c>
    </row>
    <row r="859">
      <c r="E859" s="17" t="str">
        <f t="array" ref="E859">iferror(index(dissected_fish!F:F,match(A859,dissected_fish!D:D,0)))</f>
        <v/>
      </c>
    </row>
    <row r="860">
      <c r="E860" s="17" t="str">
        <f t="array" ref="E860">iferror(index(dissected_fish!F:F,match(A860,dissected_fish!D:D,0)))</f>
        <v/>
      </c>
    </row>
    <row r="861">
      <c r="E861" s="17" t="str">
        <f t="array" ref="E861">iferror(index(dissected_fish!F:F,match(A861,dissected_fish!D:D,0)))</f>
        <v/>
      </c>
    </row>
    <row r="862">
      <c r="E862" s="17" t="str">
        <f t="array" ref="E862">iferror(index(dissected_fish!F:F,match(A862,dissected_fish!D:D,0)))</f>
        <v/>
      </c>
    </row>
    <row r="863">
      <c r="E863" s="17" t="str">
        <f t="array" ref="E863">iferror(index(dissected_fish!F:F,match(A863,dissected_fish!D:D,0)))</f>
        <v/>
      </c>
    </row>
    <row r="864">
      <c r="E864" s="17" t="str">
        <f t="array" ref="E864">iferror(index(dissected_fish!F:F,match(A864,dissected_fish!D:D,0)))</f>
        <v/>
      </c>
    </row>
    <row r="865">
      <c r="E865" s="17" t="str">
        <f t="array" ref="E865">iferror(index(dissected_fish!F:F,match(A865,dissected_fish!D:D,0)))</f>
        <v/>
      </c>
    </row>
    <row r="866">
      <c r="E866" s="17" t="str">
        <f t="array" ref="E866">iferror(index(dissected_fish!F:F,match(A866,dissected_fish!D:D,0)))</f>
        <v/>
      </c>
    </row>
    <row r="867">
      <c r="E867" s="17" t="str">
        <f t="array" ref="E867">iferror(index(dissected_fish!F:F,match(A867,dissected_fish!D:D,0)))</f>
        <v/>
      </c>
    </row>
    <row r="868">
      <c r="E868" s="17" t="str">
        <f t="array" ref="E868">iferror(index(dissected_fish!F:F,match(A868,dissected_fish!D:D,0)))</f>
        <v/>
      </c>
    </row>
    <row r="869">
      <c r="E869" s="17" t="str">
        <f t="array" ref="E869">iferror(index(dissected_fish!F:F,match(A869,dissected_fish!D:D,0)))</f>
        <v/>
      </c>
    </row>
    <row r="870">
      <c r="E870" s="17" t="str">
        <f t="array" ref="E870">iferror(index(dissected_fish!F:F,match(A870,dissected_fish!D:D,0)))</f>
        <v/>
      </c>
    </row>
    <row r="871">
      <c r="E871" s="17" t="str">
        <f t="array" ref="E871">iferror(index(dissected_fish!F:F,match(A871,dissected_fish!D:D,0)))</f>
        <v/>
      </c>
    </row>
    <row r="872">
      <c r="E872" s="17" t="str">
        <f t="array" ref="E872">iferror(index(dissected_fish!F:F,match(A872,dissected_fish!D:D,0)))</f>
        <v/>
      </c>
    </row>
    <row r="873">
      <c r="E873" s="17" t="str">
        <f t="array" ref="E873">iferror(index(dissected_fish!F:F,match(A873,dissected_fish!D:D,0)))</f>
        <v/>
      </c>
    </row>
    <row r="874">
      <c r="E874" s="17" t="str">
        <f t="array" ref="E874">iferror(index(dissected_fish!F:F,match(A874,dissected_fish!D:D,0)))</f>
        <v/>
      </c>
    </row>
    <row r="875">
      <c r="E875" s="17" t="str">
        <f t="array" ref="E875">iferror(index(dissected_fish!F:F,match(A875,dissected_fish!D:D,0)))</f>
        <v/>
      </c>
    </row>
    <row r="876">
      <c r="E876" s="17" t="str">
        <f t="array" ref="E876">iferror(index(dissected_fish!F:F,match(A876,dissected_fish!D:D,0)))</f>
        <v/>
      </c>
    </row>
    <row r="877">
      <c r="E877" s="17" t="str">
        <f t="array" ref="E877">iferror(index(dissected_fish!F:F,match(A877,dissected_fish!D:D,0)))</f>
        <v/>
      </c>
    </row>
    <row r="878">
      <c r="E878" s="17" t="str">
        <f t="array" ref="E878">iferror(index(dissected_fish!F:F,match(A878,dissected_fish!D:D,0)))</f>
        <v/>
      </c>
    </row>
    <row r="879">
      <c r="E879" s="17" t="str">
        <f t="array" ref="E879">iferror(index(dissected_fish!F:F,match(A879,dissected_fish!D:D,0)))</f>
        <v/>
      </c>
    </row>
    <row r="880">
      <c r="E880" s="17" t="str">
        <f t="array" ref="E880">iferror(index(dissected_fish!F:F,match(A880,dissected_fish!D:D,0)))</f>
        <v/>
      </c>
    </row>
    <row r="881">
      <c r="E881" s="17" t="str">
        <f t="array" ref="E881">iferror(index(dissected_fish!F:F,match(A881,dissected_fish!D:D,0)))</f>
        <v/>
      </c>
    </row>
    <row r="882">
      <c r="E882" s="17" t="str">
        <f t="array" ref="E882">iferror(index(dissected_fish!F:F,match(A882,dissected_fish!D:D,0)))</f>
        <v/>
      </c>
    </row>
    <row r="883">
      <c r="E883" s="17" t="str">
        <f t="array" ref="E883">iferror(index(dissected_fish!F:F,match(A883,dissected_fish!D:D,0)))</f>
        <v/>
      </c>
    </row>
    <row r="884">
      <c r="E884" s="17" t="str">
        <f t="array" ref="E884">iferror(index(dissected_fish!F:F,match(A884,dissected_fish!D:D,0)))</f>
        <v/>
      </c>
    </row>
    <row r="885">
      <c r="E885" s="17" t="str">
        <f t="array" ref="E885">iferror(index(dissected_fish!F:F,match(A885,dissected_fish!D:D,0)))</f>
        <v/>
      </c>
    </row>
    <row r="886">
      <c r="E886" s="17" t="str">
        <f t="array" ref="E886">iferror(index(dissected_fish!F:F,match(A886,dissected_fish!D:D,0)))</f>
        <v/>
      </c>
    </row>
    <row r="887">
      <c r="E887" s="17" t="str">
        <f t="array" ref="E887">iferror(index(dissected_fish!F:F,match(A887,dissected_fish!D:D,0)))</f>
        <v/>
      </c>
    </row>
    <row r="888">
      <c r="E888" s="17" t="str">
        <f t="array" ref="E888">iferror(index(dissected_fish!F:F,match(A888,dissected_fish!D:D,0)))</f>
        <v/>
      </c>
    </row>
    <row r="889">
      <c r="E889" s="17" t="str">
        <f t="array" ref="E889">iferror(index(dissected_fish!F:F,match(A889,dissected_fish!D:D,0)))</f>
        <v/>
      </c>
    </row>
    <row r="890">
      <c r="E890" s="17" t="str">
        <f t="array" ref="E890">iferror(index(dissected_fish!F:F,match(A890,dissected_fish!D:D,0)))</f>
        <v/>
      </c>
    </row>
    <row r="891">
      <c r="E891" s="17" t="str">
        <f t="array" ref="E891">iferror(index(dissected_fish!F:F,match(A891,dissected_fish!D:D,0)))</f>
        <v/>
      </c>
    </row>
    <row r="892">
      <c r="E892" s="17" t="str">
        <f t="array" ref="E892">iferror(index(dissected_fish!F:F,match(A892,dissected_fish!D:D,0)))</f>
        <v/>
      </c>
    </row>
    <row r="893">
      <c r="E893" s="17" t="str">
        <f t="array" ref="E893">iferror(index(dissected_fish!F:F,match(A893,dissected_fish!D:D,0)))</f>
        <v/>
      </c>
    </row>
    <row r="894">
      <c r="E894" s="17" t="str">
        <f t="array" ref="E894">iferror(index(dissected_fish!F:F,match(A894,dissected_fish!D:D,0)))</f>
        <v/>
      </c>
    </row>
    <row r="895">
      <c r="E895" s="17" t="str">
        <f t="array" ref="E895">iferror(index(dissected_fish!F:F,match(A895,dissected_fish!D:D,0)))</f>
        <v/>
      </c>
    </row>
    <row r="896">
      <c r="E896" s="17" t="str">
        <f t="array" ref="E896">iferror(index(dissected_fish!F:F,match(A896,dissected_fish!D:D,0)))</f>
        <v/>
      </c>
    </row>
    <row r="897">
      <c r="E897" s="17" t="str">
        <f t="array" ref="E897">iferror(index(dissected_fish!F:F,match(A897,dissected_fish!D:D,0)))</f>
        <v/>
      </c>
    </row>
    <row r="898">
      <c r="E898" s="17" t="str">
        <f t="array" ref="E898">iferror(index(dissected_fish!F:F,match(A898,dissected_fish!D:D,0)))</f>
        <v/>
      </c>
    </row>
    <row r="899">
      <c r="E899" s="17" t="str">
        <f t="array" ref="E899">iferror(index(dissected_fish!F:F,match(A899,dissected_fish!D:D,0)))</f>
        <v/>
      </c>
    </row>
    <row r="900">
      <c r="E900" s="17" t="str">
        <f t="array" ref="E900">iferror(index(dissected_fish!F:F,match(A900,dissected_fish!D:D,0)))</f>
        <v/>
      </c>
    </row>
    <row r="901">
      <c r="E901" s="17" t="str">
        <f t="array" ref="E901">iferror(index(dissected_fish!F:F,match(A901,dissected_fish!D:D,0)))</f>
        <v/>
      </c>
    </row>
    <row r="902">
      <c r="E902" s="17" t="str">
        <f t="array" ref="E902">iferror(index(dissected_fish!F:F,match(A902,dissected_fish!D:D,0)))</f>
        <v/>
      </c>
    </row>
    <row r="903">
      <c r="E903" s="17" t="str">
        <f t="array" ref="E903">iferror(index(dissected_fish!F:F,match(A903,dissected_fish!D:D,0)))</f>
        <v/>
      </c>
    </row>
    <row r="904">
      <c r="E904" s="17" t="str">
        <f t="array" ref="E904">iferror(index(dissected_fish!F:F,match(A904,dissected_fish!D:D,0)))</f>
        <v/>
      </c>
    </row>
    <row r="905">
      <c r="E905" s="17" t="str">
        <f t="array" ref="E905">iferror(index(dissected_fish!F:F,match(A905,dissected_fish!D:D,0)))</f>
        <v/>
      </c>
    </row>
    <row r="906">
      <c r="E906" s="17" t="str">
        <f t="array" ref="E906">iferror(index(dissected_fish!F:F,match(A906,dissected_fish!D:D,0)))</f>
        <v/>
      </c>
    </row>
    <row r="907">
      <c r="E907" s="17" t="str">
        <f t="array" ref="E907">iferror(index(dissected_fish!F:F,match(A907,dissected_fish!D:D,0)))</f>
        <v/>
      </c>
    </row>
    <row r="908">
      <c r="E908" s="17" t="str">
        <f t="array" ref="E908">iferror(index(dissected_fish!F:F,match(A908,dissected_fish!D:D,0)))</f>
        <v/>
      </c>
    </row>
    <row r="909">
      <c r="E909" s="17" t="str">
        <f t="array" ref="E909">iferror(index(dissected_fish!F:F,match(A909,dissected_fish!D:D,0)))</f>
        <v/>
      </c>
    </row>
    <row r="910">
      <c r="E910" s="17" t="str">
        <f t="array" ref="E910">iferror(index(dissected_fish!F:F,match(A910,dissected_fish!D:D,0)))</f>
        <v/>
      </c>
    </row>
    <row r="911">
      <c r="E911" s="17" t="str">
        <f t="array" ref="E911">iferror(index(dissected_fish!F:F,match(A911,dissected_fish!D:D,0)))</f>
        <v/>
      </c>
    </row>
    <row r="912">
      <c r="E912" s="17" t="str">
        <f t="array" ref="E912">iferror(index(dissected_fish!F:F,match(A912,dissected_fish!D:D,0)))</f>
        <v/>
      </c>
    </row>
    <row r="913">
      <c r="E913" s="17" t="str">
        <f t="array" ref="E913">iferror(index(dissected_fish!F:F,match(A913,dissected_fish!D:D,0)))</f>
        <v/>
      </c>
    </row>
    <row r="914">
      <c r="E914" s="17" t="str">
        <f t="array" ref="E914">iferror(index(dissected_fish!F:F,match(A914,dissected_fish!D:D,0)))</f>
        <v/>
      </c>
    </row>
    <row r="915">
      <c r="E915" s="17" t="str">
        <f t="array" ref="E915">iferror(index(dissected_fish!F:F,match(A915,dissected_fish!D:D,0)))</f>
        <v/>
      </c>
    </row>
    <row r="916">
      <c r="E916" s="17" t="str">
        <f t="array" ref="E916">iferror(index(dissected_fish!F:F,match(A916,dissected_fish!D:D,0)))</f>
        <v/>
      </c>
    </row>
    <row r="917">
      <c r="E917" s="17" t="str">
        <f t="array" ref="E917">iferror(index(dissected_fish!F:F,match(A917,dissected_fish!D:D,0)))</f>
        <v/>
      </c>
    </row>
    <row r="918">
      <c r="E918" s="17" t="str">
        <f t="array" ref="E918">iferror(index(dissected_fish!F:F,match(A918,dissected_fish!D:D,0)))</f>
        <v/>
      </c>
    </row>
    <row r="919">
      <c r="E919" s="17" t="str">
        <f t="array" ref="E919">iferror(index(dissected_fish!F:F,match(A919,dissected_fish!D:D,0)))</f>
        <v/>
      </c>
    </row>
    <row r="920">
      <c r="E920" s="17" t="str">
        <f t="array" ref="E920">iferror(index(dissected_fish!F:F,match(A920,dissected_fish!D:D,0)))</f>
        <v/>
      </c>
    </row>
    <row r="921">
      <c r="E921" s="17" t="str">
        <f t="array" ref="E921">iferror(index(dissected_fish!F:F,match(A921,dissected_fish!D:D,0)))</f>
        <v/>
      </c>
    </row>
    <row r="922">
      <c r="E922" s="17" t="str">
        <f t="array" ref="E922">iferror(index(dissected_fish!F:F,match(A922,dissected_fish!D:D,0)))</f>
        <v/>
      </c>
    </row>
    <row r="923">
      <c r="E923" s="17" t="str">
        <f t="array" ref="E923">iferror(index(dissected_fish!F:F,match(A923,dissected_fish!D:D,0)))</f>
        <v/>
      </c>
    </row>
    <row r="924">
      <c r="E924" s="17" t="str">
        <f t="array" ref="E924">iferror(index(dissected_fish!F:F,match(A924,dissected_fish!D:D,0)))</f>
        <v/>
      </c>
    </row>
    <row r="925">
      <c r="E925" s="17" t="str">
        <f t="array" ref="E925">iferror(index(dissected_fish!F:F,match(A925,dissected_fish!D:D,0)))</f>
        <v/>
      </c>
    </row>
    <row r="926">
      <c r="E926" s="17" t="str">
        <f t="array" ref="E926">iferror(index(dissected_fish!F:F,match(A926,dissected_fish!D:D,0)))</f>
        <v/>
      </c>
    </row>
    <row r="927">
      <c r="E927" s="17" t="str">
        <f t="array" ref="E927">iferror(index(dissected_fish!F:F,match(A927,dissected_fish!D:D,0)))</f>
        <v/>
      </c>
    </row>
    <row r="928">
      <c r="E928" s="17" t="str">
        <f t="array" ref="E928">iferror(index(dissected_fish!F:F,match(A928,dissected_fish!D:D,0)))</f>
        <v/>
      </c>
    </row>
    <row r="929">
      <c r="E929" s="17" t="str">
        <f t="array" ref="E929">iferror(index(dissected_fish!F:F,match(A929,dissected_fish!D:D,0)))</f>
        <v/>
      </c>
    </row>
    <row r="930">
      <c r="E930" s="17" t="str">
        <f t="array" ref="E930">iferror(index(dissected_fish!F:F,match(A930,dissected_fish!D:D,0)))</f>
        <v/>
      </c>
    </row>
    <row r="931">
      <c r="E931" s="17" t="str">
        <f t="array" ref="E931">iferror(index(dissected_fish!F:F,match(A931,dissected_fish!D:D,0)))</f>
        <v/>
      </c>
    </row>
    <row r="932">
      <c r="E932" s="17" t="str">
        <f t="array" ref="E932">iferror(index(dissected_fish!F:F,match(A932,dissected_fish!D:D,0)))</f>
        <v/>
      </c>
    </row>
    <row r="933">
      <c r="E933" s="17" t="str">
        <f t="array" ref="E933">iferror(index(dissected_fish!F:F,match(A933,dissected_fish!D:D,0)))</f>
        <v/>
      </c>
    </row>
    <row r="934">
      <c r="E934" s="17" t="str">
        <f t="array" ref="E934">iferror(index(dissected_fish!F:F,match(A934,dissected_fish!D:D,0)))</f>
        <v/>
      </c>
    </row>
    <row r="935">
      <c r="E935" s="17" t="str">
        <f t="array" ref="E935">iferror(index(dissected_fish!F:F,match(A935,dissected_fish!D:D,0)))</f>
        <v/>
      </c>
    </row>
    <row r="936">
      <c r="E936" s="17" t="str">
        <f t="array" ref="E936">iferror(index(dissected_fish!F:F,match(A936,dissected_fish!D:D,0)))</f>
        <v/>
      </c>
    </row>
    <row r="937">
      <c r="E937" s="17" t="str">
        <f t="array" ref="E937">iferror(index(dissected_fish!F:F,match(A937,dissected_fish!D:D,0)))</f>
        <v/>
      </c>
    </row>
    <row r="938">
      <c r="E938" s="17" t="str">
        <f t="array" ref="E938">iferror(index(dissected_fish!F:F,match(A938,dissected_fish!D:D,0)))</f>
        <v/>
      </c>
    </row>
    <row r="939">
      <c r="E939" s="17" t="str">
        <f t="array" ref="E939">iferror(index(dissected_fish!F:F,match(A939,dissected_fish!D:D,0)))</f>
        <v/>
      </c>
    </row>
    <row r="940">
      <c r="E940" s="17" t="str">
        <f t="array" ref="E940">iferror(index(dissected_fish!F:F,match(A940,dissected_fish!D:D,0)))</f>
        <v/>
      </c>
    </row>
    <row r="941">
      <c r="E941" s="17" t="str">
        <f t="array" ref="E941">iferror(index(dissected_fish!F:F,match(A941,dissected_fish!D:D,0)))</f>
        <v/>
      </c>
    </row>
    <row r="942">
      <c r="E942" s="17" t="str">
        <f t="array" ref="E942">iferror(index(dissected_fish!F:F,match(A942,dissected_fish!D:D,0)))</f>
        <v/>
      </c>
    </row>
    <row r="943">
      <c r="E943" s="17" t="str">
        <f t="array" ref="E943">iferror(index(dissected_fish!F:F,match(A943,dissected_fish!D:D,0)))</f>
        <v/>
      </c>
    </row>
    <row r="944">
      <c r="E944" s="17" t="str">
        <f t="array" ref="E944">iferror(index(dissected_fish!F:F,match(A944,dissected_fish!D:D,0)))</f>
        <v/>
      </c>
    </row>
    <row r="945">
      <c r="E945" s="17" t="str">
        <f t="array" ref="E945">iferror(index(dissected_fish!F:F,match(A945,dissected_fish!D:D,0)))</f>
        <v/>
      </c>
    </row>
    <row r="946">
      <c r="E946" s="17" t="str">
        <f t="array" ref="E946">iferror(index(dissected_fish!F:F,match(A946,dissected_fish!D:D,0)))</f>
        <v/>
      </c>
    </row>
    <row r="947">
      <c r="E947" s="17" t="str">
        <f t="array" ref="E947">iferror(index(dissected_fish!F:F,match(A947,dissected_fish!D:D,0)))</f>
        <v/>
      </c>
    </row>
    <row r="948">
      <c r="E948" s="17" t="str">
        <f t="array" ref="E948">iferror(index(dissected_fish!F:F,match(A948,dissected_fish!D:D,0)))</f>
        <v/>
      </c>
    </row>
    <row r="949">
      <c r="E949" s="17" t="str">
        <f t="array" ref="E949">iferror(index(dissected_fish!F:F,match(A949,dissected_fish!D:D,0)))</f>
        <v/>
      </c>
    </row>
    <row r="950">
      <c r="E950" s="17" t="str">
        <f t="array" ref="E950">iferror(index(dissected_fish!F:F,match(A950,dissected_fish!D:D,0)))</f>
        <v/>
      </c>
    </row>
    <row r="951">
      <c r="E951" s="17" t="str">
        <f t="array" ref="E951">iferror(index(dissected_fish!F:F,match(A951,dissected_fish!D:D,0)))</f>
        <v/>
      </c>
    </row>
    <row r="952">
      <c r="E952" s="17" t="str">
        <f t="array" ref="E952">iferror(index(dissected_fish!F:F,match(A952,dissected_fish!D:D,0)))</f>
        <v/>
      </c>
    </row>
    <row r="953">
      <c r="E953" s="17" t="str">
        <f t="array" ref="E953">iferror(index(dissected_fish!F:F,match(A953,dissected_fish!D:D,0)))</f>
        <v/>
      </c>
    </row>
    <row r="954">
      <c r="E954" s="17" t="str">
        <f t="array" ref="E954">iferror(index(dissected_fish!F:F,match(A954,dissected_fish!D:D,0)))</f>
        <v/>
      </c>
    </row>
    <row r="955">
      <c r="E955" s="17" t="str">
        <f t="array" ref="E955">iferror(index(dissected_fish!F:F,match(A955,dissected_fish!D:D,0)))</f>
        <v/>
      </c>
    </row>
    <row r="956">
      <c r="E956" s="17" t="str">
        <f t="array" ref="E956">iferror(index(dissected_fish!F:F,match(A956,dissected_fish!D:D,0)))</f>
        <v/>
      </c>
    </row>
    <row r="957">
      <c r="E957" s="17" t="str">
        <f t="array" ref="E957">iferror(index(dissected_fish!F:F,match(A957,dissected_fish!D:D,0)))</f>
        <v/>
      </c>
    </row>
    <row r="958">
      <c r="E958" s="17" t="str">
        <f t="array" ref="E958">iferror(index(dissected_fish!F:F,match(A958,dissected_fish!D:D,0)))</f>
        <v/>
      </c>
    </row>
    <row r="959">
      <c r="E959" s="17" t="str">
        <f t="array" ref="E959">iferror(index(dissected_fish!F:F,match(A959,dissected_fish!D:D,0)))</f>
        <v/>
      </c>
    </row>
    <row r="960">
      <c r="E960" s="17" t="str">
        <f t="array" ref="E960">iferror(index(dissected_fish!F:F,match(A960,dissected_fish!D:D,0)))</f>
        <v/>
      </c>
    </row>
    <row r="961">
      <c r="E961" s="17" t="str">
        <f t="array" ref="E961">iferror(index(dissected_fish!F:F,match(A961,dissected_fish!D:D,0)))</f>
        <v/>
      </c>
    </row>
    <row r="962">
      <c r="E962" s="17" t="str">
        <f t="array" ref="E962">iferror(index(dissected_fish!F:F,match(A962,dissected_fish!D:D,0)))</f>
        <v/>
      </c>
    </row>
    <row r="963">
      <c r="E963" s="17" t="str">
        <f t="array" ref="E963">iferror(index(dissected_fish!F:F,match(A963,dissected_fish!D:D,0)))</f>
        <v/>
      </c>
    </row>
    <row r="964">
      <c r="E964" s="17" t="str">
        <f t="array" ref="E964">iferror(index(dissected_fish!F:F,match(A964,dissected_fish!D:D,0)))</f>
        <v/>
      </c>
    </row>
    <row r="965">
      <c r="E965" s="17" t="str">
        <f t="array" ref="E965">iferror(index(dissected_fish!F:F,match(A965,dissected_fish!D:D,0)))</f>
        <v/>
      </c>
    </row>
    <row r="966">
      <c r="E966" s="17" t="str">
        <f t="array" ref="E966">iferror(index(dissected_fish!F:F,match(A966,dissected_fish!D:D,0)))</f>
        <v/>
      </c>
    </row>
    <row r="967">
      <c r="E967" s="17" t="str">
        <f t="array" ref="E967">iferror(index(dissected_fish!F:F,match(A967,dissected_fish!D:D,0)))</f>
        <v/>
      </c>
    </row>
    <row r="968">
      <c r="E968" s="17" t="str">
        <f t="array" ref="E968">iferror(index(dissected_fish!F:F,match(A968,dissected_fish!D:D,0)))</f>
        <v/>
      </c>
    </row>
    <row r="969">
      <c r="E969" s="17" t="str">
        <f t="array" ref="E969">iferror(index(dissected_fish!F:F,match(A969,dissected_fish!D:D,0)))</f>
        <v/>
      </c>
    </row>
    <row r="970">
      <c r="E970" s="17" t="str">
        <f t="array" ref="E970">iferror(index(dissected_fish!F:F,match(A970,dissected_fish!D:D,0)))</f>
        <v/>
      </c>
    </row>
    <row r="971">
      <c r="E971" s="17" t="str">
        <f t="array" ref="E971">iferror(index(dissected_fish!F:F,match(A971,dissected_fish!D:D,0)))</f>
        <v/>
      </c>
    </row>
    <row r="972">
      <c r="E972" s="17" t="str">
        <f t="array" ref="E972">iferror(index(dissected_fish!F:F,match(A972,dissected_fish!D:D,0)))</f>
        <v/>
      </c>
    </row>
    <row r="973">
      <c r="E973" s="17" t="str">
        <f t="array" ref="E973">iferror(index(dissected_fish!F:F,match(A973,dissected_fish!D:D,0)))</f>
        <v/>
      </c>
    </row>
    <row r="974">
      <c r="E974" s="17" t="str">
        <f t="array" ref="E974">iferror(index(dissected_fish!F:F,match(A974,dissected_fish!D:D,0)))</f>
        <v/>
      </c>
    </row>
    <row r="975">
      <c r="E975" s="17" t="str">
        <f t="array" ref="E975">iferror(index(dissected_fish!F:F,match(A975,dissected_fish!D:D,0)))</f>
        <v/>
      </c>
    </row>
    <row r="976">
      <c r="E976" s="17" t="str">
        <f t="array" ref="E976">iferror(index(dissected_fish!F:F,match(A976,dissected_fish!D:D,0)))</f>
        <v/>
      </c>
    </row>
    <row r="977">
      <c r="E977" s="17" t="str">
        <f t="array" ref="E977">iferror(index(dissected_fish!F:F,match(A977,dissected_fish!D:D,0)))</f>
        <v/>
      </c>
    </row>
    <row r="978">
      <c r="E978" s="17" t="str">
        <f t="array" ref="E978">iferror(index(dissected_fish!F:F,match(A978,dissected_fish!D:D,0)))</f>
        <v/>
      </c>
    </row>
    <row r="979">
      <c r="E979" s="17" t="str">
        <f t="array" ref="E979">iferror(index(dissected_fish!F:F,match(A979,dissected_fish!D:D,0)))</f>
        <v/>
      </c>
    </row>
    <row r="980">
      <c r="E980" s="17" t="str">
        <f t="array" ref="E980">iferror(index(dissected_fish!F:F,match(A980,dissected_fish!D:D,0)))</f>
        <v/>
      </c>
    </row>
    <row r="981">
      <c r="E981" s="17" t="str">
        <f t="array" ref="E981">iferror(index(dissected_fish!F:F,match(A981,dissected_fish!D:D,0)))</f>
        <v/>
      </c>
    </row>
    <row r="982">
      <c r="E982" s="17" t="str">
        <f t="array" ref="E982">iferror(index(dissected_fish!F:F,match(A982,dissected_fish!D:D,0)))</f>
        <v/>
      </c>
    </row>
    <row r="983">
      <c r="E983" s="17" t="str">
        <f t="array" ref="E983">iferror(index(dissected_fish!F:F,match(A983,dissected_fish!D:D,0)))</f>
        <v/>
      </c>
    </row>
    <row r="984">
      <c r="E984" s="17" t="str">
        <f t="array" ref="E984">iferror(index(dissected_fish!F:F,match(A984,dissected_fish!D:D,0)))</f>
        <v/>
      </c>
    </row>
    <row r="985">
      <c r="E985" s="17" t="str">
        <f t="array" ref="E985">iferror(index(dissected_fish!F:F,match(A985,dissected_fish!D:D,0)))</f>
        <v/>
      </c>
    </row>
    <row r="986">
      <c r="E986" s="17" t="str">
        <f t="array" ref="E986">iferror(index(dissected_fish!F:F,match(A986,dissected_fish!D:D,0)))</f>
        <v/>
      </c>
    </row>
    <row r="987">
      <c r="E987" s="17" t="str">
        <f t="array" ref="E987">iferror(index(dissected_fish!F:F,match(A987,dissected_fish!D:D,0)))</f>
        <v/>
      </c>
    </row>
    <row r="988">
      <c r="E988" s="17" t="str">
        <f t="array" ref="E988">iferror(index(dissected_fish!F:F,match(A988,dissected_fish!D:D,0)))</f>
        <v/>
      </c>
    </row>
    <row r="989">
      <c r="E989" s="17" t="str">
        <f t="array" ref="E989">iferror(index(dissected_fish!F:F,match(A989,dissected_fish!D:D,0)))</f>
        <v/>
      </c>
    </row>
    <row r="990">
      <c r="E990" s="17" t="str">
        <f t="array" ref="E990">iferror(index(dissected_fish!F:F,match(A990,dissected_fish!D:D,0)))</f>
        <v/>
      </c>
    </row>
    <row r="991">
      <c r="E991" s="17" t="str">
        <f t="array" ref="E991">iferror(index(dissected_fish!F:F,match(A991,dissected_fish!D:D,0)))</f>
        <v/>
      </c>
    </row>
    <row r="992">
      <c r="E992" s="17" t="str">
        <f t="array" ref="E992">iferror(index(dissected_fish!F:F,match(A992,dissected_fish!D:D,0)))</f>
        <v/>
      </c>
    </row>
    <row r="993">
      <c r="E993" s="17" t="str">
        <f t="array" ref="E993">iferror(index(dissected_fish!F:F,match(A993,dissected_fish!D:D,0)))</f>
        <v/>
      </c>
    </row>
    <row r="994">
      <c r="E994" s="17" t="str">
        <f t="array" ref="E994">iferror(index(dissected_fish!F:F,match(A994,dissected_fish!D:D,0)))</f>
        <v/>
      </c>
    </row>
    <row r="995">
      <c r="E995" s="17" t="str">
        <f t="array" ref="E995">iferror(index(dissected_fish!F:F,match(A995,dissected_fish!D:D,0)))</f>
        <v/>
      </c>
    </row>
    <row r="996">
      <c r="E996" s="17" t="str">
        <f t="array" ref="E996">iferror(index(dissected_fish!F:F,match(A996,dissected_fish!D:D,0)))</f>
        <v/>
      </c>
    </row>
    <row r="997">
      <c r="E997" s="17" t="str">
        <f t="array" ref="E997">iferror(index(dissected_fish!F:F,match(A997,dissected_fish!D:D,0)))</f>
        <v/>
      </c>
    </row>
    <row r="998">
      <c r="E998" s="17" t="str">
        <f t="array" ref="E998">iferror(index(dissected_fish!F:F,match(A998,dissected_fish!D:D,0)))</f>
        <v/>
      </c>
    </row>
    <row r="999">
      <c r="E999" s="17" t="str">
        <f t="array" ref="E999">iferror(index(dissected_fish!F:F,match(A999,dissected_fish!D:D,0)))</f>
        <v/>
      </c>
    </row>
    <row r="1000">
      <c r="E1000" s="17" t="str">
        <f t="array" ref="E1000">iferror(index(dissected_fish!F:F,match(A1000,dissected_fish!D:D,0)))</f>
        <v/>
      </c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6" max="6" width="20.71"/>
  </cols>
  <sheetData>
    <row r="1">
      <c r="A1" s="56" t="s">
        <v>8</v>
      </c>
      <c r="B1" s="56" t="s">
        <v>0</v>
      </c>
      <c r="C1" s="56" t="s">
        <v>2249</v>
      </c>
      <c r="D1" s="56" t="s">
        <v>2250</v>
      </c>
      <c r="E1" s="56" t="s">
        <v>29</v>
      </c>
      <c r="F1" s="56" t="s">
        <v>2278</v>
      </c>
    </row>
    <row r="2">
      <c r="A2" t="str">
        <f t="shared" ref="A2:A1691" si="1">mid(B2,2,5)</f>
        <v>16441</v>
      </c>
      <c r="B2" t="str">
        <f>IFERROR(__xludf.DUMMYFUNCTION("importrange(""https://docs.google.com/spreadsheets/d/1iRQCKMTznHbMeI9GunbsgPyb-rtWgwj-0IfxLw7NBJE/edit#gid=1226759033"",""fish_and_sealice_field_data!A2:D"")"),"U16441")</f>
        <v>U16441</v>
      </c>
      <c r="C2" t="str">
        <f>IFERROR(__xludf.DUMMYFUNCTION("""COMPUTED_VALUE"""),"PI")</f>
        <v>PI</v>
      </c>
      <c r="D2" t="str">
        <f>IFERROR(__xludf.DUMMYFUNCTION("""COMPUTED_VALUE"""),"DE506N1")</f>
        <v>DE506N1</v>
      </c>
      <c r="E2" t="str">
        <f>IFERROR(__xludf.DUMMYFUNCTION("""COMPUTED_VALUE"""),"P1045")</f>
        <v>P1045</v>
      </c>
      <c r="F2" t="str">
        <f t="array" ref="F2">if(iserror(index(fish_lab_data!C:C,match(B2,fish_lab_data!C:C,0))),"not dissected","dissected")</f>
        <v>dissected</v>
      </c>
    </row>
    <row r="3">
      <c r="A3" t="str">
        <f t="shared" si="1"/>
        <v>16442</v>
      </c>
      <c r="B3" t="str">
        <f>IFERROR(__xludf.DUMMYFUNCTION("""COMPUTED_VALUE"""),"U16442")</f>
        <v>U16442</v>
      </c>
      <c r="C3" t="str">
        <f>IFERROR(__xludf.DUMMYFUNCTION("""COMPUTED_VALUE"""),"PI")</f>
        <v>PI</v>
      </c>
      <c r="D3" t="str">
        <f>IFERROR(__xludf.DUMMYFUNCTION("""COMPUTED_VALUE"""),"DE506N1")</f>
        <v>DE506N1</v>
      </c>
      <c r="E3" t="str">
        <f>IFERROR(__xludf.DUMMYFUNCTION("""COMPUTED_VALUE"""),"P1045")</f>
        <v>P1045</v>
      </c>
      <c r="F3" t="str">
        <f t="array" ref="F3">if(iserror(index(fish_lab_data!C:C,match(B3,fish_lab_data!C:C,0))),"not dissected","dissected")</f>
        <v>dissected</v>
      </c>
    </row>
    <row r="4">
      <c r="A4" t="str">
        <f t="shared" si="1"/>
        <v>16443</v>
      </c>
      <c r="B4" t="str">
        <f>IFERROR(__xludf.DUMMYFUNCTION("""COMPUTED_VALUE"""),"U16443")</f>
        <v>U16443</v>
      </c>
      <c r="C4" t="str">
        <f>IFERROR(__xludf.DUMMYFUNCTION("""COMPUTED_VALUE"""),"PI")</f>
        <v>PI</v>
      </c>
      <c r="D4" t="str">
        <f>IFERROR(__xludf.DUMMYFUNCTION("""COMPUTED_VALUE"""),"DE506N1")</f>
        <v>DE506N1</v>
      </c>
      <c r="E4" t="str">
        <f>IFERROR(__xludf.DUMMYFUNCTION("""COMPUTED_VALUE"""),"P1045")</f>
        <v>P1045</v>
      </c>
      <c r="F4" t="str">
        <f t="array" ref="F4">if(iserror(index(fish_lab_data!C:C,match(B4,fish_lab_data!C:C,0))),"not dissected","dissected")</f>
        <v>dissected</v>
      </c>
    </row>
    <row r="5">
      <c r="A5" t="str">
        <f t="shared" si="1"/>
        <v>16444</v>
      </c>
      <c r="B5" t="str">
        <f>IFERROR(__xludf.DUMMYFUNCTION("""COMPUTED_VALUE"""),"U16444")</f>
        <v>U16444</v>
      </c>
      <c r="C5" t="str">
        <f>IFERROR(__xludf.DUMMYFUNCTION("""COMPUTED_VALUE"""),"PI")</f>
        <v>PI</v>
      </c>
      <c r="D5" t="str">
        <f>IFERROR(__xludf.DUMMYFUNCTION("""COMPUTED_VALUE"""),"DE506N1")</f>
        <v>DE506N1</v>
      </c>
      <c r="E5" t="str">
        <f>IFERROR(__xludf.DUMMYFUNCTION("""COMPUTED_VALUE"""),"P1045")</f>
        <v>P1045</v>
      </c>
      <c r="F5" t="str">
        <f t="array" ref="F5">if(iserror(index(fish_lab_data!C:C,match(B5,fish_lab_data!C:C,0))),"not dissected","dissected")</f>
        <v>dissected</v>
      </c>
    </row>
    <row r="6">
      <c r="A6" t="str">
        <f t="shared" si="1"/>
        <v>16445</v>
      </c>
      <c r="B6" t="str">
        <f>IFERROR(__xludf.DUMMYFUNCTION("""COMPUTED_VALUE"""),"U16445")</f>
        <v>U16445</v>
      </c>
      <c r="C6" t="str">
        <f>IFERROR(__xludf.DUMMYFUNCTION("""COMPUTED_VALUE"""),"PI")</f>
        <v>PI</v>
      </c>
      <c r="D6" t="str">
        <f>IFERROR(__xludf.DUMMYFUNCTION("""COMPUTED_VALUE"""),"DE506N1")</f>
        <v>DE506N1</v>
      </c>
      <c r="E6" t="str">
        <f>IFERROR(__xludf.DUMMYFUNCTION("""COMPUTED_VALUE"""),"P1045")</f>
        <v>P1045</v>
      </c>
      <c r="F6" t="str">
        <f t="array" ref="F6">if(iserror(index(fish_lab_data!C:C,match(B6,fish_lab_data!C:C,0))),"not dissected","dissected")</f>
        <v>dissected</v>
      </c>
    </row>
    <row r="7">
      <c r="A7" t="str">
        <f t="shared" si="1"/>
        <v>16446</v>
      </c>
      <c r="B7" t="str">
        <f>IFERROR(__xludf.DUMMYFUNCTION("""COMPUTED_VALUE"""),"U16446")</f>
        <v>U16446</v>
      </c>
      <c r="C7" t="str">
        <f>IFERROR(__xludf.DUMMYFUNCTION("""COMPUTED_VALUE"""),"PI")</f>
        <v>PI</v>
      </c>
      <c r="D7" t="str">
        <f>IFERROR(__xludf.DUMMYFUNCTION("""COMPUTED_VALUE"""),"DE506N1")</f>
        <v>DE506N1</v>
      </c>
      <c r="E7" t="str">
        <f>IFERROR(__xludf.DUMMYFUNCTION("""COMPUTED_VALUE"""),"P1045")</f>
        <v>P1045</v>
      </c>
      <c r="F7" t="str">
        <f t="array" ref="F7">if(iserror(index(fish_lab_data!C:C,match(B7,fish_lab_data!C:C,0))),"not dissected","dissected")</f>
        <v>dissected</v>
      </c>
    </row>
    <row r="8">
      <c r="A8" t="str">
        <f t="shared" si="1"/>
        <v>16447</v>
      </c>
      <c r="B8" t="str">
        <f>IFERROR(__xludf.DUMMYFUNCTION("""COMPUTED_VALUE"""),"U16447")</f>
        <v>U16447</v>
      </c>
      <c r="C8" t="str">
        <f>IFERROR(__xludf.DUMMYFUNCTION("""COMPUTED_VALUE"""),"PI")</f>
        <v>PI</v>
      </c>
      <c r="D8" t="str">
        <f>IFERROR(__xludf.DUMMYFUNCTION("""COMPUTED_VALUE"""),"DE506N1")</f>
        <v>DE506N1</v>
      </c>
      <c r="E8" t="str">
        <f>IFERROR(__xludf.DUMMYFUNCTION("""COMPUTED_VALUE"""),"P1045")</f>
        <v>P1045</v>
      </c>
      <c r="F8" t="str">
        <f t="array" ref="F8">if(iserror(index(fish_lab_data!C:C,match(B8,fish_lab_data!C:C,0))),"not dissected","dissected")</f>
        <v>dissected</v>
      </c>
    </row>
    <row r="9">
      <c r="A9" t="str">
        <f t="shared" si="1"/>
        <v>16448</v>
      </c>
      <c r="B9" t="str">
        <f>IFERROR(__xludf.DUMMYFUNCTION("""COMPUTED_VALUE"""),"U16448")</f>
        <v>U16448</v>
      </c>
      <c r="C9" t="str">
        <f>IFERROR(__xludf.DUMMYFUNCTION("""COMPUTED_VALUE"""),"PI")</f>
        <v>PI</v>
      </c>
      <c r="D9" t="str">
        <f>IFERROR(__xludf.DUMMYFUNCTION("""COMPUTED_VALUE"""),"DE506N1")</f>
        <v>DE506N1</v>
      </c>
      <c r="E9" t="str">
        <f>IFERROR(__xludf.DUMMYFUNCTION("""COMPUTED_VALUE"""),"P1045")</f>
        <v>P1045</v>
      </c>
      <c r="F9" t="str">
        <f t="array" ref="F9">if(iserror(index(fish_lab_data!C:C,match(B9,fish_lab_data!C:C,0))),"not dissected","dissected")</f>
        <v>dissected</v>
      </c>
    </row>
    <row r="10">
      <c r="A10" t="str">
        <f t="shared" si="1"/>
        <v>16449</v>
      </c>
      <c r="B10" t="str">
        <f>IFERROR(__xludf.DUMMYFUNCTION("""COMPUTED_VALUE"""),"U16449")</f>
        <v>U16449</v>
      </c>
      <c r="C10" t="str">
        <f>IFERROR(__xludf.DUMMYFUNCTION("""COMPUTED_VALUE"""),"PI")</f>
        <v>PI</v>
      </c>
      <c r="D10" t="str">
        <f>IFERROR(__xludf.DUMMYFUNCTION("""COMPUTED_VALUE"""),"DE506N1")</f>
        <v>DE506N1</v>
      </c>
      <c r="E10" t="str">
        <f>IFERROR(__xludf.DUMMYFUNCTION("""COMPUTED_VALUE"""),"P1045")</f>
        <v>P1045</v>
      </c>
      <c r="F10" t="str">
        <f t="array" ref="F10">if(iserror(index(fish_lab_data!C:C,match(B10,fish_lab_data!C:C,0))),"not dissected","dissected")</f>
        <v>dissected</v>
      </c>
    </row>
    <row r="11">
      <c r="A11" t="str">
        <f t="shared" si="1"/>
        <v>16450</v>
      </c>
      <c r="B11" t="str">
        <f>IFERROR(__xludf.DUMMYFUNCTION("""COMPUTED_VALUE"""),"U16450")</f>
        <v>U16450</v>
      </c>
      <c r="C11" t="str">
        <f>IFERROR(__xludf.DUMMYFUNCTION("""COMPUTED_VALUE"""),"PI")</f>
        <v>PI</v>
      </c>
      <c r="D11" t="str">
        <f>IFERROR(__xludf.DUMMYFUNCTION("""COMPUTED_VALUE"""),"DE506N1")</f>
        <v>DE506N1</v>
      </c>
      <c r="E11" t="str">
        <f>IFERROR(__xludf.DUMMYFUNCTION("""COMPUTED_VALUE"""),"P1045")</f>
        <v>P1045</v>
      </c>
      <c r="F11" t="str">
        <f t="array" ref="F11">if(iserror(index(fish_lab_data!C:C,match(B11,fish_lab_data!C:C,0))),"not dissected","dissected")</f>
        <v>dissected</v>
      </c>
    </row>
    <row r="12">
      <c r="A12" t="str">
        <f t="shared" si="1"/>
        <v>16431</v>
      </c>
      <c r="B12" t="str">
        <f>IFERROR(__xludf.DUMMYFUNCTION("""COMPUTED_VALUE"""),"U16431")</f>
        <v>U16431</v>
      </c>
      <c r="C12" t="str">
        <f>IFERROR(__xludf.DUMMYFUNCTION("""COMPUTED_VALUE"""),"CU")</f>
        <v>CU</v>
      </c>
      <c r="D12" t="str">
        <f>IFERROR(__xludf.DUMMYFUNCTION("""COMPUTED_VALUE"""),"DE506N1")</f>
        <v>DE506N1</v>
      </c>
      <c r="E12" t="str">
        <f>IFERROR(__xludf.DUMMYFUNCTION("""COMPUTED_VALUE"""),"P1044")</f>
        <v>P1044</v>
      </c>
      <c r="F12" t="str">
        <f t="array" ref="F12">if(iserror(index(fish_lab_data!C:C,match(B12,fish_lab_data!C:C,0))),"not dissected","dissected")</f>
        <v>dissected</v>
      </c>
    </row>
    <row r="13">
      <c r="A13" t="str">
        <f t="shared" si="1"/>
        <v>16432</v>
      </c>
      <c r="B13" t="str">
        <f>IFERROR(__xludf.DUMMYFUNCTION("""COMPUTED_VALUE"""),"U16432")</f>
        <v>U16432</v>
      </c>
      <c r="C13" t="str">
        <f>IFERROR(__xludf.DUMMYFUNCTION("""COMPUTED_VALUE"""),"CU")</f>
        <v>CU</v>
      </c>
      <c r="D13" t="str">
        <f>IFERROR(__xludf.DUMMYFUNCTION("""COMPUTED_VALUE"""),"DE506N1")</f>
        <v>DE506N1</v>
      </c>
      <c r="E13" t="str">
        <f>IFERROR(__xludf.DUMMYFUNCTION("""COMPUTED_VALUE"""),"P1044")</f>
        <v>P1044</v>
      </c>
      <c r="F13" t="str">
        <f t="array" ref="F13">if(iserror(index(fish_lab_data!C:C,match(B13,fish_lab_data!C:C,0))),"not dissected","dissected")</f>
        <v>dissected</v>
      </c>
    </row>
    <row r="14">
      <c r="A14" t="str">
        <f t="shared" si="1"/>
        <v>16433</v>
      </c>
      <c r="B14" t="str">
        <f>IFERROR(__xludf.DUMMYFUNCTION("""COMPUTED_VALUE"""),"U16433")</f>
        <v>U16433</v>
      </c>
      <c r="C14" t="str">
        <f>IFERROR(__xludf.DUMMYFUNCTION("""COMPUTED_VALUE"""),"CU")</f>
        <v>CU</v>
      </c>
      <c r="D14" t="str">
        <f>IFERROR(__xludf.DUMMYFUNCTION("""COMPUTED_VALUE"""),"DE506N1")</f>
        <v>DE506N1</v>
      </c>
      <c r="E14" t="str">
        <f>IFERROR(__xludf.DUMMYFUNCTION("""COMPUTED_VALUE"""),"P1044")</f>
        <v>P1044</v>
      </c>
      <c r="F14" t="str">
        <f t="array" ref="F14">if(iserror(index(fish_lab_data!C:C,match(B14,fish_lab_data!C:C,0))),"not dissected","dissected")</f>
        <v>dissected</v>
      </c>
    </row>
    <row r="15">
      <c r="A15" t="str">
        <f t="shared" si="1"/>
        <v>16434</v>
      </c>
      <c r="B15" t="str">
        <f>IFERROR(__xludf.DUMMYFUNCTION("""COMPUTED_VALUE"""),"U16434")</f>
        <v>U16434</v>
      </c>
      <c r="C15" t="str">
        <f>IFERROR(__xludf.DUMMYFUNCTION("""COMPUTED_VALUE"""),"CU")</f>
        <v>CU</v>
      </c>
      <c r="D15" t="str">
        <f>IFERROR(__xludf.DUMMYFUNCTION("""COMPUTED_VALUE"""),"DE506N1")</f>
        <v>DE506N1</v>
      </c>
      <c r="E15" t="str">
        <f>IFERROR(__xludf.DUMMYFUNCTION("""COMPUTED_VALUE"""),"P1044")</f>
        <v>P1044</v>
      </c>
      <c r="F15" t="str">
        <f t="array" ref="F15">if(iserror(index(fish_lab_data!C:C,match(B15,fish_lab_data!C:C,0))),"not dissected","dissected")</f>
        <v>dissected</v>
      </c>
    </row>
    <row r="16">
      <c r="A16" t="str">
        <f t="shared" si="1"/>
        <v>16435</v>
      </c>
      <c r="B16" t="str">
        <f>IFERROR(__xludf.DUMMYFUNCTION("""COMPUTED_VALUE"""),"U16435")</f>
        <v>U16435</v>
      </c>
      <c r="C16" t="str">
        <f>IFERROR(__xludf.DUMMYFUNCTION("""COMPUTED_VALUE"""),"CU")</f>
        <v>CU</v>
      </c>
      <c r="D16" t="str">
        <f>IFERROR(__xludf.DUMMYFUNCTION("""COMPUTED_VALUE"""),"DE506N1")</f>
        <v>DE506N1</v>
      </c>
      <c r="E16" t="str">
        <f>IFERROR(__xludf.DUMMYFUNCTION("""COMPUTED_VALUE"""),"P1044")</f>
        <v>P1044</v>
      </c>
      <c r="F16" t="str">
        <f t="array" ref="F16">if(iserror(index(fish_lab_data!C:C,match(B16,fish_lab_data!C:C,0))),"not dissected","dissected")</f>
        <v>dissected</v>
      </c>
    </row>
    <row r="17">
      <c r="A17" t="str">
        <f t="shared" si="1"/>
        <v>16436</v>
      </c>
      <c r="B17" t="str">
        <f>IFERROR(__xludf.DUMMYFUNCTION("""COMPUTED_VALUE"""),"U16436")</f>
        <v>U16436</v>
      </c>
      <c r="C17" t="str">
        <f>IFERROR(__xludf.DUMMYFUNCTION("""COMPUTED_VALUE"""),"CU")</f>
        <v>CU</v>
      </c>
      <c r="D17" t="str">
        <f>IFERROR(__xludf.DUMMYFUNCTION("""COMPUTED_VALUE"""),"DE506N1")</f>
        <v>DE506N1</v>
      </c>
      <c r="E17" t="str">
        <f>IFERROR(__xludf.DUMMYFUNCTION("""COMPUTED_VALUE"""),"P1044")</f>
        <v>P1044</v>
      </c>
      <c r="F17" t="str">
        <f t="array" ref="F17">if(iserror(index(fish_lab_data!C:C,match(B17,fish_lab_data!C:C,0))),"not dissected","dissected")</f>
        <v>dissected</v>
      </c>
    </row>
    <row r="18">
      <c r="A18" t="str">
        <f t="shared" si="1"/>
        <v>16437</v>
      </c>
      <c r="B18" t="str">
        <f>IFERROR(__xludf.DUMMYFUNCTION("""COMPUTED_VALUE"""),"U16437")</f>
        <v>U16437</v>
      </c>
      <c r="C18" t="str">
        <f>IFERROR(__xludf.DUMMYFUNCTION("""COMPUTED_VALUE"""),"CU")</f>
        <v>CU</v>
      </c>
      <c r="D18" t="str">
        <f>IFERROR(__xludf.DUMMYFUNCTION("""COMPUTED_VALUE"""),"DE506N1")</f>
        <v>DE506N1</v>
      </c>
      <c r="E18" t="str">
        <f>IFERROR(__xludf.DUMMYFUNCTION("""COMPUTED_VALUE"""),"P1044")</f>
        <v>P1044</v>
      </c>
      <c r="F18" t="str">
        <f t="array" ref="F18">if(iserror(index(fish_lab_data!C:C,match(B18,fish_lab_data!C:C,0))),"not dissected","dissected")</f>
        <v>dissected</v>
      </c>
    </row>
    <row r="19">
      <c r="A19" t="str">
        <f t="shared" si="1"/>
        <v>16438</v>
      </c>
      <c r="B19" t="str">
        <f>IFERROR(__xludf.DUMMYFUNCTION("""COMPUTED_VALUE"""),"U16438")</f>
        <v>U16438</v>
      </c>
      <c r="C19" t="str">
        <f>IFERROR(__xludf.DUMMYFUNCTION("""COMPUTED_VALUE"""),"CU")</f>
        <v>CU</v>
      </c>
      <c r="D19" t="str">
        <f>IFERROR(__xludf.DUMMYFUNCTION("""COMPUTED_VALUE"""),"DE506N1")</f>
        <v>DE506N1</v>
      </c>
      <c r="E19" t="str">
        <f>IFERROR(__xludf.DUMMYFUNCTION("""COMPUTED_VALUE"""),"P1044")</f>
        <v>P1044</v>
      </c>
      <c r="F19" t="str">
        <f t="array" ref="F19">if(iserror(index(fish_lab_data!C:C,match(B19,fish_lab_data!C:C,0))),"not dissected","dissected")</f>
        <v>dissected</v>
      </c>
    </row>
    <row r="20">
      <c r="A20" t="str">
        <f t="shared" si="1"/>
        <v>16439</v>
      </c>
      <c r="B20" t="str">
        <f>IFERROR(__xludf.DUMMYFUNCTION("""COMPUTED_VALUE"""),"U16439")</f>
        <v>U16439</v>
      </c>
      <c r="C20" t="str">
        <f>IFERROR(__xludf.DUMMYFUNCTION("""COMPUTED_VALUE"""),"CU")</f>
        <v>CU</v>
      </c>
      <c r="D20" t="str">
        <f>IFERROR(__xludf.DUMMYFUNCTION("""COMPUTED_VALUE"""),"DE506N1")</f>
        <v>DE506N1</v>
      </c>
      <c r="E20" t="str">
        <f>IFERROR(__xludf.DUMMYFUNCTION("""COMPUTED_VALUE"""),"P1044")</f>
        <v>P1044</v>
      </c>
      <c r="F20" t="str">
        <f t="array" ref="F20">if(iserror(index(fish_lab_data!C:C,match(B20,fish_lab_data!C:C,0))),"not dissected","dissected")</f>
        <v>dissected</v>
      </c>
    </row>
    <row r="21">
      <c r="A21" t="str">
        <f t="shared" si="1"/>
        <v>16440</v>
      </c>
      <c r="B21" t="str">
        <f>IFERROR(__xludf.DUMMYFUNCTION("""COMPUTED_VALUE"""),"U16440")</f>
        <v>U16440</v>
      </c>
      <c r="C21" t="str">
        <f>IFERROR(__xludf.DUMMYFUNCTION("""COMPUTED_VALUE"""),"CU")</f>
        <v>CU</v>
      </c>
      <c r="D21" t="str">
        <f>IFERROR(__xludf.DUMMYFUNCTION("""COMPUTED_VALUE"""),"DE506N1")</f>
        <v>DE506N1</v>
      </c>
      <c r="E21" t="str">
        <f>IFERROR(__xludf.DUMMYFUNCTION("""COMPUTED_VALUE"""),"P1044")</f>
        <v>P1044</v>
      </c>
      <c r="F21" t="str">
        <f t="array" ref="F21">if(iserror(index(fish_lab_data!C:C,match(B21,fish_lab_data!C:C,0))),"not dissected","dissected")</f>
        <v>dissected</v>
      </c>
    </row>
    <row r="22">
      <c r="A22" t="str">
        <f t="shared" si="1"/>
        <v>16421</v>
      </c>
      <c r="B22" t="str">
        <f>IFERROR(__xludf.DUMMYFUNCTION("""COMPUTED_VALUE"""),"U16421")</f>
        <v>U16421</v>
      </c>
      <c r="C22" t="str">
        <f>IFERROR(__xludf.DUMMYFUNCTION("""COMPUTED_VALUE"""),"CO")</f>
        <v>CO</v>
      </c>
      <c r="D22" t="str">
        <f>IFERROR(__xludf.DUMMYFUNCTION("""COMPUTED_VALUE"""),"DE506N1")</f>
        <v>DE506N1</v>
      </c>
      <c r="E22" t="str">
        <f>IFERROR(__xludf.DUMMYFUNCTION("""COMPUTED_VALUE"""),"P1043")</f>
        <v>P1043</v>
      </c>
      <c r="F22" t="str">
        <f t="array" ref="F22">if(iserror(index(fish_lab_data!C:C,match(B22,fish_lab_data!C:C,0))),"not dissected","dissected")</f>
        <v>dissected</v>
      </c>
    </row>
    <row r="23">
      <c r="A23" t="str">
        <f t="shared" si="1"/>
        <v>16422</v>
      </c>
      <c r="B23" t="str">
        <f>IFERROR(__xludf.DUMMYFUNCTION("""COMPUTED_VALUE"""),"U16422")</f>
        <v>U16422</v>
      </c>
      <c r="C23" t="str">
        <f>IFERROR(__xludf.DUMMYFUNCTION("""COMPUTED_VALUE"""),"CO")</f>
        <v>CO</v>
      </c>
      <c r="D23" t="str">
        <f>IFERROR(__xludf.DUMMYFUNCTION("""COMPUTED_VALUE"""),"DE506N1")</f>
        <v>DE506N1</v>
      </c>
      <c r="E23" t="str">
        <f>IFERROR(__xludf.DUMMYFUNCTION("""COMPUTED_VALUE"""),"P1043")</f>
        <v>P1043</v>
      </c>
      <c r="F23" t="str">
        <f t="array" ref="F23">if(iserror(index(fish_lab_data!C:C,match(B23,fish_lab_data!C:C,0))),"not dissected","dissected")</f>
        <v>dissected</v>
      </c>
    </row>
    <row r="24">
      <c r="A24" t="str">
        <f t="shared" si="1"/>
        <v>16491</v>
      </c>
      <c r="B24" t="str">
        <f>IFERROR(__xludf.DUMMYFUNCTION("""COMPUTED_VALUE"""),"U16491")</f>
        <v>U16491</v>
      </c>
      <c r="C24" t="str">
        <f>IFERROR(__xludf.DUMMYFUNCTION("""COMPUTED_VALUE"""),"CU")</f>
        <v>CU</v>
      </c>
      <c r="D24" t="str">
        <f>IFERROR(__xludf.DUMMYFUNCTION("""COMPUTED_VALUE"""),"DE510N1")</f>
        <v>DE510N1</v>
      </c>
      <c r="E24" t="str">
        <f>IFERROR(__xludf.DUMMYFUNCTION("""COMPUTED_VALUE"""),"P1050")</f>
        <v>P1050</v>
      </c>
      <c r="F24" t="str">
        <f t="array" ref="F24">if(iserror(index(fish_lab_data!C:C,match(B24,fish_lab_data!C:C,0))),"not dissected","dissected")</f>
        <v>dissected</v>
      </c>
    </row>
    <row r="25">
      <c r="A25" t="str">
        <f t="shared" si="1"/>
        <v>16492</v>
      </c>
      <c r="B25" t="str">
        <f>IFERROR(__xludf.DUMMYFUNCTION("""COMPUTED_VALUE"""),"U16492")</f>
        <v>U16492</v>
      </c>
      <c r="C25" t="str">
        <f>IFERROR(__xludf.DUMMYFUNCTION("""COMPUTED_VALUE"""),"CU")</f>
        <v>CU</v>
      </c>
      <c r="D25" t="str">
        <f>IFERROR(__xludf.DUMMYFUNCTION("""COMPUTED_VALUE"""),"DE510N1")</f>
        <v>DE510N1</v>
      </c>
      <c r="E25" t="str">
        <f>IFERROR(__xludf.DUMMYFUNCTION("""COMPUTED_VALUE"""),"P1050")</f>
        <v>P1050</v>
      </c>
      <c r="F25" t="str">
        <f t="array" ref="F25">if(iserror(index(fish_lab_data!C:C,match(B25,fish_lab_data!C:C,0))),"not dissected","dissected")</f>
        <v>dissected</v>
      </c>
    </row>
    <row r="26">
      <c r="A26" t="str">
        <f t="shared" si="1"/>
        <v>16493</v>
      </c>
      <c r="B26" t="str">
        <f>IFERROR(__xludf.DUMMYFUNCTION("""COMPUTED_VALUE"""),"U16493")</f>
        <v>U16493</v>
      </c>
      <c r="C26" t="str">
        <f>IFERROR(__xludf.DUMMYFUNCTION("""COMPUTED_VALUE"""),"CU")</f>
        <v>CU</v>
      </c>
      <c r="D26" t="str">
        <f>IFERROR(__xludf.DUMMYFUNCTION("""COMPUTED_VALUE"""),"DE510N1")</f>
        <v>DE510N1</v>
      </c>
      <c r="E26" t="str">
        <f>IFERROR(__xludf.DUMMYFUNCTION("""COMPUTED_VALUE"""),"P1050")</f>
        <v>P1050</v>
      </c>
      <c r="F26" t="str">
        <f t="array" ref="F26">if(iserror(index(fish_lab_data!C:C,match(B26,fish_lab_data!C:C,0))),"not dissected","dissected")</f>
        <v>dissected</v>
      </c>
    </row>
    <row r="27">
      <c r="A27" t="str">
        <f t="shared" si="1"/>
        <v>16494</v>
      </c>
      <c r="B27" t="str">
        <f>IFERROR(__xludf.DUMMYFUNCTION("""COMPUTED_VALUE"""),"U16494")</f>
        <v>U16494</v>
      </c>
      <c r="C27" t="str">
        <f>IFERROR(__xludf.DUMMYFUNCTION("""COMPUTED_VALUE"""),"CU")</f>
        <v>CU</v>
      </c>
      <c r="D27" t="str">
        <f>IFERROR(__xludf.DUMMYFUNCTION("""COMPUTED_VALUE"""),"DE510N1")</f>
        <v>DE510N1</v>
      </c>
      <c r="E27" t="str">
        <f>IFERROR(__xludf.DUMMYFUNCTION("""COMPUTED_VALUE"""),"P1050")</f>
        <v>P1050</v>
      </c>
      <c r="F27" t="str">
        <f t="array" ref="F27">if(iserror(index(fish_lab_data!C:C,match(B27,fish_lab_data!C:C,0))),"not dissected","dissected")</f>
        <v>dissected</v>
      </c>
    </row>
    <row r="28">
      <c r="A28" t="str">
        <f t="shared" si="1"/>
        <v>16495</v>
      </c>
      <c r="B28" t="str">
        <f>IFERROR(__xludf.DUMMYFUNCTION("""COMPUTED_VALUE"""),"U16495")</f>
        <v>U16495</v>
      </c>
      <c r="C28" t="str">
        <f>IFERROR(__xludf.DUMMYFUNCTION("""COMPUTED_VALUE"""),"CU")</f>
        <v>CU</v>
      </c>
      <c r="D28" t="str">
        <f>IFERROR(__xludf.DUMMYFUNCTION("""COMPUTED_VALUE"""),"DE510N1")</f>
        <v>DE510N1</v>
      </c>
      <c r="E28" t="str">
        <f>IFERROR(__xludf.DUMMYFUNCTION("""COMPUTED_VALUE"""),"P1050")</f>
        <v>P1050</v>
      </c>
      <c r="F28" t="str">
        <f t="array" ref="F28">if(iserror(index(fish_lab_data!C:C,match(B28,fish_lab_data!C:C,0))),"not dissected","dissected")</f>
        <v>dissected</v>
      </c>
    </row>
    <row r="29">
      <c r="A29" t="str">
        <f t="shared" si="1"/>
        <v>16496</v>
      </c>
      <c r="B29" t="str">
        <f>IFERROR(__xludf.DUMMYFUNCTION("""COMPUTED_VALUE"""),"U16496")</f>
        <v>U16496</v>
      </c>
      <c r="C29" t="str">
        <f>IFERROR(__xludf.DUMMYFUNCTION("""COMPUTED_VALUE"""),"CU")</f>
        <v>CU</v>
      </c>
      <c r="D29" t="str">
        <f>IFERROR(__xludf.DUMMYFUNCTION("""COMPUTED_VALUE"""),"DE510N1")</f>
        <v>DE510N1</v>
      </c>
      <c r="E29" t="str">
        <f>IFERROR(__xludf.DUMMYFUNCTION("""COMPUTED_VALUE"""),"P1050")</f>
        <v>P1050</v>
      </c>
      <c r="F29" t="str">
        <f t="array" ref="F29">if(iserror(index(fish_lab_data!C:C,match(B29,fish_lab_data!C:C,0))),"not dissected","dissected")</f>
        <v>dissected</v>
      </c>
    </row>
    <row r="30">
      <c r="A30" t="str">
        <f t="shared" si="1"/>
        <v>16497</v>
      </c>
      <c r="B30" t="str">
        <f>IFERROR(__xludf.DUMMYFUNCTION("""COMPUTED_VALUE"""),"U16497")</f>
        <v>U16497</v>
      </c>
      <c r="C30" t="str">
        <f>IFERROR(__xludf.DUMMYFUNCTION("""COMPUTED_VALUE"""),"CU")</f>
        <v>CU</v>
      </c>
      <c r="D30" t="str">
        <f>IFERROR(__xludf.DUMMYFUNCTION("""COMPUTED_VALUE"""),"DE510N1")</f>
        <v>DE510N1</v>
      </c>
      <c r="E30" t="str">
        <f>IFERROR(__xludf.DUMMYFUNCTION("""COMPUTED_VALUE"""),"P1050")</f>
        <v>P1050</v>
      </c>
      <c r="F30" t="str">
        <f t="array" ref="F30">if(iserror(index(fish_lab_data!C:C,match(B30,fish_lab_data!C:C,0))),"not dissected","dissected")</f>
        <v>dissected</v>
      </c>
    </row>
    <row r="31">
      <c r="A31" t="str">
        <f t="shared" si="1"/>
        <v>16498</v>
      </c>
      <c r="B31" t="str">
        <f>IFERROR(__xludf.DUMMYFUNCTION("""COMPUTED_VALUE"""),"U16498")</f>
        <v>U16498</v>
      </c>
      <c r="C31" t="str">
        <f>IFERROR(__xludf.DUMMYFUNCTION("""COMPUTED_VALUE"""),"CU")</f>
        <v>CU</v>
      </c>
      <c r="D31" t="str">
        <f>IFERROR(__xludf.DUMMYFUNCTION("""COMPUTED_VALUE"""),"DE510N1")</f>
        <v>DE510N1</v>
      </c>
      <c r="E31" t="str">
        <f>IFERROR(__xludf.DUMMYFUNCTION("""COMPUTED_VALUE"""),"P1050")</f>
        <v>P1050</v>
      </c>
      <c r="F31" t="str">
        <f t="array" ref="F31">if(iserror(index(fish_lab_data!C:C,match(B31,fish_lab_data!C:C,0))),"not dissected","dissected")</f>
        <v>dissected</v>
      </c>
    </row>
    <row r="32">
      <c r="A32" t="str">
        <f t="shared" si="1"/>
        <v>16499</v>
      </c>
      <c r="B32" t="str">
        <f>IFERROR(__xludf.DUMMYFUNCTION("""COMPUTED_VALUE"""),"U16499")</f>
        <v>U16499</v>
      </c>
      <c r="C32" t="str">
        <f>IFERROR(__xludf.DUMMYFUNCTION("""COMPUTED_VALUE"""),"CU")</f>
        <v>CU</v>
      </c>
      <c r="D32" t="str">
        <f>IFERROR(__xludf.DUMMYFUNCTION("""COMPUTED_VALUE"""),"DE510N1")</f>
        <v>DE510N1</v>
      </c>
      <c r="E32" t="str">
        <f>IFERROR(__xludf.DUMMYFUNCTION("""COMPUTED_VALUE"""),"P1050")</f>
        <v>P1050</v>
      </c>
      <c r="F32" t="str">
        <f t="array" ref="F32">if(iserror(index(fish_lab_data!C:C,match(B32,fish_lab_data!C:C,0))),"not dissected","dissected")</f>
        <v>dissected</v>
      </c>
    </row>
    <row r="33">
      <c r="A33" t="str">
        <f t="shared" si="1"/>
        <v>16500</v>
      </c>
      <c r="B33" t="str">
        <f>IFERROR(__xludf.DUMMYFUNCTION("""COMPUTED_VALUE"""),"U16500")</f>
        <v>U16500</v>
      </c>
      <c r="C33" t="str">
        <f>IFERROR(__xludf.DUMMYFUNCTION("""COMPUTED_VALUE"""),"CU")</f>
        <v>CU</v>
      </c>
      <c r="D33" t="str">
        <f>IFERROR(__xludf.DUMMYFUNCTION("""COMPUTED_VALUE"""),"DE510N1")</f>
        <v>DE510N1</v>
      </c>
      <c r="E33" t="str">
        <f>IFERROR(__xludf.DUMMYFUNCTION("""COMPUTED_VALUE"""),"P1050")</f>
        <v>P1050</v>
      </c>
      <c r="F33" t="str">
        <f t="array" ref="F33">if(iserror(index(fish_lab_data!C:C,match(B33,fish_lab_data!C:C,0))),"not dissected","dissected")</f>
        <v>dissected</v>
      </c>
    </row>
    <row r="34">
      <c r="A34" t="str">
        <f t="shared" si="1"/>
        <v>16051</v>
      </c>
      <c r="B34" t="str">
        <f>IFERROR(__xludf.DUMMYFUNCTION("""COMPUTED_VALUE"""),"U16051")</f>
        <v>U16051</v>
      </c>
      <c r="C34" t="str">
        <f>IFERROR(__xludf.DUMMYFUNCTION("""COMPUTED_VALUE"""),"PI")</f>
        <v>PI</v>
      </c>
      <c r="D34" t="str">
        <f>IFERROR(__xludf.DUMMYFUNCTION("""COMPUTED_VALUE"""),"DE510N1")</f>
        <v>DE510N1</v>
      </c>
      <c r="E34" t="str">
        <f>IFERROR(__xludf.DUMMYFUNCTION("""COMPUTED_VALUE"""),"P1006")</f>
        <v>P1006</v>
      </c>
      <c r="F34" t="str">
        <f t="array" ref="F34">if(iserror(index(fish_lab_data!C:C,match(B34,fish_lab_data!C:C,0))),"not dissected","dissected")</f>
        <v>dissected</v>
      </c>
    </row>
    <row r="35">
      <c r="A35" t="str">
        <f t="shared" si="1"/>
        <v>16052</v>
      </c>
      <c r="B35" t="str">
        <f>IFERROR(__xludf.DUMMYFUNCTION("""COMPUTED_VALUE"""),"U16052")</f>
        <v>U16052</v>
      </c>
      <c r="C35" t="str">
        <f>IFERROR(__xludf.DUMMYFUNCTION("""COMPUTED_VALUE"""),"PI")</f>
        <v>PI</v>
      </c>
      <c r="D35" t="str">
        <f>IFERROR(__xludf.DUMMYFUNCTION("""COMPUTED_VALUE"""),"DE510N1")</f>
        <v>DE510N1</v>
      </c>
      <c r="E35" t="str">
        <f>IFERROR(__xludf.DUMMYFUNCTION("""COMPUTED_VALUE"""),"P1006")</f>
        <v>P1006</v>
      </c>
      <c r="F35" t="str">
        <f t="array" ref="F35">if(iserror(index(fish_lab_data!C:C,match(B35,fish_lab_data!C:C,0))),"not dissected","dissected")</f>
        <v>dissected</v>
      </c>
    </row>
    <row r="36">
      <c r="A36" t="str">
        <f t="shared" si="1"/>
        <v>16053</v>
      </c>
      <c r="B36" t="str">
        <f>IFERROR(__xludf.DUMMYFUNCTION("""COMPUTED_VALUE"""),"U16053")</f>
        <v>U16053</v>
      </c>
      <c r="C36" t="str">
        <f>IFERROR(__xludf.DUMMYFUNCTION("""COMPUTED_VALUE"""),"PI")</f>
        <v>PI</v>
      </c>
      <c r="D36" t="str">
        <f>IFERROR(__xludf.DUMMYFUNCTION("""COMPUTED_VALUE"""),"DE510N1")</f>
        <v>DE510N1</v>
      </c>
      <c r="E36" t="str">
        <f>IFERROR(__xludf.DUMMYFUNCTION("""COMPUTED_VALUE"""),"P1006")</f>
        <v>P1006</v>
      </c>
      <c r="F36" t="str">
        <f t="array" ref="F36">if(iserror(index(fish_lab_data!C:C,match(B36,fish_lab_data!C:C,0))),"not dissected","dissected")</f>
        <v>dissected</v>
      </c>
    </row>
    <row r="37">
      <c r="A37" t="str">
        <f t="shared" si="1"/>
        <v>16054</v>
      </c>
      <c r="B37" t="str">
        <f>IFERROR(__xludf.DUMMYFUNCTION("""COMPUTED_VALUE"""),"U16054")</f>
        <v>U16054</v>
      </c>
      <c r="C37" t="str">
        <f>IFERROR(__xludf.DUMMYFUNCTION("""COMPUTED_VALUE"""),"PI")</f>
        <v>PI</v>
      </c>
      <c r="D37" t="str">
        <f>IFERROR(__xludf.DUMMYFUNCTION("""COMPUTED_VALUE"""),"DE510N1")</f>
        <v>DE510N1</v>
      </c>
      <c r="E37" t="str">
        <f>IFERROR(__xludf.DUMMYFUNCTION("""COMPUTED_VALUE"""),"P1006")</f>
        <v>P1006</v>
      </c>
      <c r="F37" t="str">
        <f t="array" ref="F37">if(iserror(index(fish_lab_data!C:C,match(B37,fish_lab_data!C:C,0))),"not dissected","dissected")</f>
        <v>dissected</v>
      </c>
    </row>
    <row r="38">
      <c r="A38" t="str">
        <f t="shared" si="1"/>
        <v>16055</v>
      </c>
      <c r="B38" t="str">
        <f>IFERROR(__xludf.DUMMYFUNCTION("""COMPUTED_VALUE"""),"U16055")</f>
        <v>U16055</v>
      </c>
      <c r="C38" t="str">
        <f>IFERROR(__xludf.DUMMYFUNCTION("""COMPUTED_VALUE"""),"PI")</f>
        <v>PI</v>
      </c>
      <c r="D38" t="str">
        <f>IFERROR(__xludf.DUMMYFUNCTION("""COMPUTED_VALUE"""),"DE510N1")</f>
        <v>DE510N1</v>
      </c>
      <c r="E38" t="str">
        <f>IFERROR(__xludf.DUMMYFUNCTION("""COMPUTED_VALUE"""),"P1006")</f>
        <v>P1006</v>
      </c>
      <c r="F38" t="str">
        <f t="array" ref="F38">if(iserror(index(fish_lab_data!C:C,match(B38,fish_lab_data!C:C,0))),"not dissected","dissected")</f>
        <v>dissected</v>
      </c>
    </row>
    <row r="39">
      <c r="A39" t="str">
        <f t="shared" si="1"/>
        <v>16056</v>
      </c>
      <c r="B39" t="str">
        <f>IFERROR(__xludf.DUMMYFUNCTION("""COMPUTED_VALUE"""),"U16056")</f>
        <v>U16056</v>
      </c>
      <c r="C39" t="str">
        <f>IFERROR(__xludf.DUMMYFUNCTION("""COMPUTED_VALUE"""),"PI")</f>
        <v>PI</v>
      </c>
      <c r="D39" t="str">
        <f>IFERROR(__xludf.DUMMYFUNCTION("""COMPUTED_VALUE"""),"DE510N1")</f>
        <v>DE510N1</v>
      </c>
      <c r="E39" t="str">
        <f>IFERROR(__xludf.DUMMYFUNCTION("""COMPUTED_VALUE"""),"P1006")</f>
        <v>P1006</v>
      </c>
      <c r="F39" t="str">
        <f t="array" ref="F39">if(iserror(index(fish_lab_data!C:C,match(B39,fish_lab_data!C:C,0))),"not dissected","dissected")</f>
        <v>dissected</v>
      </c>
    </row>
    <row r="40">
      <c r="A40" t="str">
        <f t="shared" si="1"/>
        <v>16057</v>
      </c>
      <c r="B40" t="str">
        <f>IFERROR(__xludf.DUMMYFUNCTION("""COMPUTED_VALUE"""),"U16057")</f>
        <v>U16057</v>
      </c>
      <c r="C40" t="str">
        <f>IFERROR(__xludf.DUMMYFUNCTION("""COMPUTED_VALUE"""),"PI")</f>
        <v>PI</v>
      </c>
      <c r="D40" t="str">
        <f>IFERROR(__xludf.DUMMYFUNCTION("""COMPUTED_VALUE"""),"DE510N1")</f>
        <v>DE510N1</v>
      </c>
      <c r="E40" t="str">
        <f>IFERROR(__xludf.DUMMYFUNCTION("""COMPUTED_VALUE"""),"P1006")</f>
        <v>P1006</v>
      </c>
      <c r="F40" t="str">
        <f t="array" ref="F40">if(iserror(index(fish_lab_data!C:C,match(B40,fish_lab_data!C:C,0))),"not dissected","dissected")</f>
        <v>dissected</v>
      </c>
    </row>
    <row r="41">
      <c r="A41" t="str">
        <f t="shared" si="1"/>
        <v>16058</v>
      </c>
      <c r="B41" t="str">
        <f>IFERROR(__xludf.DUMMYFUNCTION("""COMPUTED_VALUE"""),"U16058")</f>
        <v>U16058</v>
      </c>
      <c r="C41" t="str">
        <f>IFERROR(__xludf.DUMMYFUNCTION("""COMPUTED_VALUE"""),"PI")</f>
        <v>PI</v>
      </c>
      <c r="D41" t="str">
        <f>IFERROR(__xludf.DUMMYFUNCTION("""COMPUTED_VALUE"""),"DE510N1")</f>
        <v>DE510N1</v>
      </c>
      <c r="E41" t="str">
        <f>IFERROR(__xludf.DUMMYFUNCTION("""COMPUTED_VALUE"""),"P1006")</f>
        <v>P1006</v>
      </c>
      <c r="F41" t="str">
        <f t="array" ref="F41">if(iserror(index(fish_lab_data!C:C,match(B41,fish_lab_data!C:C,0))),"not dissected","dissected")</f>
        <v>dissected</v>
      </c>
    </row>
    <row r="42">
      <c r="A42" t="str">
        <f t="shared" si="1"/>
        <v>16059</v>
      </c>
      <c r="B42" t="str">
        <f>IFERROR(__xludf.DUMMYFUNCTION("""COMPUTED_VALUE"""),"U16059")</f>
        <v>U16059</v>
      </c>
      <c r="C42" t="str">
        <f>IFERROR(__xludf.DUMMYFUNCTION("""COMPUTED_VALUE"""),"PI")</f>
        <v>PI</v>
      </c>
      <c r="D42" t="str">
        <f>IFERROR(__xludf.DUMMYFUNCTION("""COMPUTED_VALUE"""),"DE510N1")</f>
        <v>DE510N1</v>
      </c>
      <c r="E42" t="str">
        <f>IFERROR(__xludf.DUMMYFUNCTION("""COMPUTED_VALUE"""),"P1006")</f>
        <v>P1006</v>
      </c>
      <c r="F42" t="str">
        <f t="array" ref="F42">if(iserror(index(fish_lab_data!C:C,match(B42,fish_lab_data!C:C,0))),"not dissected","dissected")</f>
        <v>dissected</v>
      </c>
    </row>
    <row r="43">
      <c r="A43" t="str">
        <f t="shared" si="1"/>
        <v>16060</v>
      </c>
      <c r="B43" t="str">
        <f>IFERROR(__xludf.DUMMYFUNCTION("""COMPUTED_VALUE"""),"U16060")</f>
        <v>U16060</v>
      </c>
      <c r="C43" t="str">
        <f>IFERROR(__xludf.DUMMYFUNCTION("""COMPUTED_VALUE"""),"PI")</f>
        <v>PI</v>
      </c>
      <c r="D43" t="str">
        <f>IFERROR(__xludf.DUMMYFUNCTION("""COMPUTED_VALUE"""),"DE510N1")</f>
        <v>DE510N1</v>
      </c>
      <c r="E43" t="str">
        <f>IFERROR(__xludf.DUMMYFUNCTION("""COMPUTED_VALUE"""),"P1006")</f>
        <v>P1006</v>
      </c>
      <c r="F43" t="str">
        <f t="array" ref="F43">if(iserror(index(fish_lab_data!C:C,match(B43,fish_lab_data!C:C,0))),"not dissected","dissected")</f>
        <v>dissected</v>
      </c>
    </row>
    <row r="44">
      <c r="A44" t="str">
        <f t="shared" si="1"/>
        <v>16001</v>
      </c>
      <c r="B44" t="str">
        <f>IFERROR(__xludf.DUMMYFUNCTION("""COMPUTED_VALUE"""),"U16001")</f>
        <v>U16001</v>
      </c>
      <c r="C44" t="str">
        <f>IFERROR(__xludf.DUMMYFUNCTION("""COMPUTED_VALUE"""),"PI")</f>
        <v>PI</v>
      </c>
      <c r="D44" t="str">
        <f>IFERROR(__xludf.DUMMYFUNCTION("""COMPUTED_VALUE"""),"DE516N2")</f>
        <v>DE516N2</v>
      </c>
      <c r="E44" t="str">
        <f>IFERROR(__xludf.DUMMYFUNCTION("""COMPUTED_VALUE"""),"P1001")</f>
        <v>P1001</v>
      </c>
      <c r="F44" t="str">
        <f t="array" ref="F44">if(iserror(index(fish_lab_data!C:C,match(B44,fish_lab_data!C:C,0))),"not dissected","dissected")</f>
        <v>dissected</v>
      </c>
    </row>
    <row r="45">
      <c r="A45" t="str">
        <f t="shared" si="1"/>
        <v>16002</v>
      </c>
      <c r="B45" t="str">
        <f>IFERROR(__xludf.DUMMYFUNCTION("""COMPUTED_VALUE"""),"U16002")</f>
        <v>U16002</v>
      </c>
      <c r="C45" t="str">
        <f>IFERROR(__xludf.DUMMYFUNCTION("""COMPUTED_VALUE"""),"PI")</f>
        <v>PI</v>
      </c>
      <c r="D45" t="str">
        <f>IFERROR(__xludf.DUMMYFUNCTION("""COMPUTED_VALUE"""),"DE516N2")</f>
        <v>DE516N2</v>
      </c>
      <c r="E45" t="str">
        <f>IFERROR(__xludf.DUMMYFUNCTION("""COMPUTED_VALUE"""),"P1001")</f>
        <v>P1001</v>
      </c>
      <c r="F45" t="str">
        <f t="array" ref="F45">if(iserror(index(fish_lab_data!C:C,match(B45,fish_lab_data!C:C,0))),"not dissected","dissected")</f>
        <v>dissected</v>
      </c>
    </row>
    <row r="46">
      <c r="A46" t="str">
        <f t="shared" si="1"/>
        <v>16003</v>
      </c>
      <c r="B46" t="str">
        <f>IFERROR(__xludf.DUMMYFUNCTION("""COMPUTED_VALUE"""),"U16003")</f>
        <v>U16003</v>
      </c>
      <c r="C46" t="str">
        <f>IFERROR(__xludf.DUMMYFUNCTION("""COMPUTED_VALUE"""),"PI")</f>
        <v>PI</v>
      </c>
      <c r="D46" t="str">
        <f>IFERROR(__xludf.DUMMYFUNCTION("""COMPUTED_VALUE"""),"DE516N2")</f>
        <v>DE516N2</v>
      </c>
      <c r="E46" t="str">
        <f>IFERROR(__xludf.DUMMYFUNCTION("""COMPUTED_VALUE"""),"P1001")</f>
        <v>P1001</v>
      </c>
      <c r="F46" t="str">
        <f t="array" ref="F46">if(iserror(index(fish_lab_data!C:C,match(B46,fish_lab_data!C:C,0))),"not dissected","dissected")</f>
        <v>dissected</v>
      </c>
    </row>
    <row r="47">
      <c r="A47" t="str">
        <f t="shared" si="1"/>
        <v>16004</v>
      </c>
      <c r="B47" t="str">
        <f>IFERROR(__xludf.DUMMYFUNCTION("""COMPUTED_VALUE"""),"U16004")</f>
        <v>U16004</v>
      </c>
      <c r="C47" t="str">
        <f>IFERROR(__xludf.DUMMYFUNCTION("""COMPUTED_VALUE"""),"PI")</f>
        <v>PI</v>
      </c>
      <c r="D47" t="str">
        <f>IFERROR(__xludf.DUMMYFUNCTION("""COMPUTED_VALUE"""),"DE516N2")</f>
        <v>DE516N2</v>
      </c>
      <c r="E47" t="str">
        <f>IFERROR(__xludf.DUMMYFUNCTION("""COMPUTED_VALUE"""),"P1001")</f>
        <v>P1001</v>
      </c>
      <c r="F47" t="str">
        <f t="array" ref="F47">if(iserror(index(fish_lab_data!C:C,match(B47,fish_lab_data!C:C,0))),"not dissected","dissected")</f>
        <v>dissected</v>
      </c>
    </row>
    <row r="48">
      <c r="A48" t="str">
        <f t="shared" si="1"/>
        <v>16005</v>
      </c>
      <c r="B48" t="str">
        <f>IFERROR(__xludf.DUMMYFUNCTION("""COMPUTED_VALUE"""),"U16005")</f>
        <v>U16005</v>
      </c>
      <c r="C48" t="str">
        <f>IFERROR(__xludf.DUMMYFUNCTION("""COMPUTED_VALUE"""),"PI")</f>
        <v>PI</v>
      </c>
      <c r="D48" t="str">
        <f>IFERROR(__xludf.DUMMYFUNCTION("""COMPUTED_VALUE"""),"DE516N2")</f>
        <v>DE516N2</v>
      </c>
      <c r="E48" t="str">
        <f>IFERROR(__xludf.DUMMYFUNCTION("""COMPUTED_VALUE"""),"P1001")</f>
        <v>P1001</v>
      </c>
      <c r="F48" t="str">
        <f t="array" ref="F48">if(iserror(index(fish_lab_data!C:C,match(B48,fish_lab_data!C:C,0))),"not dissected","dissected")</f>
        <v>dissected</v>
      </c>
    </row>
    <row r="49">
      <c r="A49" t="str">
        <f t="shared" si="1"/>
        <v>16006</v>
      </c>
      <c r="B49" t="str">
        <f>IFERROR(__xludf.DUMMYFUNCTION("""COMPUTED_VALUE"""),"U16006")</f>
        <v>U16006</v>
      </c>
      <c r="C49" t="str">
        <f>IFERROR(__xludf.DUMMYFUNCTION("""COMPUTED_VALUE"""),"PI")</f>
        <v>PI</v>
      </c>
      <c r="D49" t="str">
        <f>IFERROR(__xludf.DUMMYFUNCTION("""COMPUTED_VALUE"""),"DE516N2")</f>
        <v>DE516N2</v>
      </c>
      <c r="E49" t="str">
        <f>IFERROR(__xludf.DUMMYFUNCTION("""COMPUTED_VALUE"""),"P1001")</f>
        <v>P1001</v>
      </c>
      <c r="F49" t="str">
        <f t="array" ref="F49">if(iserror(index(fish_lab_data!C:C,match(B49,fish_lab_data!C:C,0))),"not dissected","dissected")</f>
        <v>dissected</v>
      </c>
    </row>
    <row r="50">
      <c r="A50" t="str">
        <f t="shared" si="1"/>
        <v>16007</v>
      </c>
      <c r="B50" t="str">
        <f>IFERROR(__xludf.DUMMYFUNCTION("""COMPUTED_VALUE"""),"U16007")</f>
        <v>U16007</v>
      </c>
      <c r="C50" t="str">
        <f>IFERROR(__xludf.DUMMYFUNCTION("""COMPUTED_VALUE"""),"PI")</f>
        <v>PI</v>
      </c>
      <c r="D50" t="str">
        <f>IFERROR(__xludf.DUMMYFUNCTION("""COMPUTED_VALUE"""),"DE516N2")</f>
        <v>DE516N2</v>
      </c>
      <c r="E50" t="str">
        <f>IFERROR(__xludf.DUMMYFUNCTION("""COMPUTED_VALUE"""),"P1001")</f>
        <v>P1001</v>
      </c>
      <c r="F50" t="str">
        <f t="array" ref="F50">if(iserror(index(fish_lab_data!C:C,match(B50,fish_lab_data!C:C,0))),"not dissected","dissected")</f>
        <v>dissected</v>
      </c>
    </row>
    <row r="51">
      <c r="A51" t="str">
        <f t="shared" si="1"/>
        <v>16008</v>
      </c>
      <c r="B51" t="str">
        <f>IFERROR(__xludf.DUMMYFUNCTION("""COMPUTED_VALUE"""),"U16008")</f>
        <v>U16008</v>
      </c>
      <c r="C51" t="str">
        <f>IFERROR(__xludf.DUMMYFUNCTION("""COMPUTED_VALUE"""),"PI")</f>
        <v>PI</v>
      </c>
      <c r="D51" t="str">
        <f>IFERROR(__xludf.DUMMYFUNCTION("""COMPUTED_VALUE"""),"DE516N2")</f>
        <v>DE516N2</v>
      </c>
      <c r="E51" t="str">
        <f>IFERROR(__xludf.DUMMYFUNCTION("""COMPUTED_VALUE"""),"P1001")</f>
        <v>P1001</v>
      </c>
      <c r="F51" t="str">
        <f t="array" ref="F51">if(iserror(index(fish_lab_data!C:C,match(B51,fish_lab_data!C:C,0))),"not dissected","dissected")</f>
        <v>dissected</v>
      </c>
    </row>
    <row r="52">
      <c r="A52" t="str">
        <f t="shared" si="1"/>
        <v>16009</v>
      </c>
      <c r="B52" t="str">
        <f>IFERROR(__xludf.DUMMYFUNCTION("""COMPUTED_VALUE"""),"U16009")</f>
        <v>U16009</v>
      </c>
      <c r="C52" t="str">
        <f>IFERROR(__xludf.DUMMYFUNCTION("""COMPUTED_VALUE"""),"PI")</f>
        <v>PI</v>
      </c>
      <c r="D52" t="str">
        <f>IFERROR(__xludf.DUMMYFUNCTION("""COMPUTED_VALUE"""),"DE516N2")</f>
        <v>DE516N2</v>
      </c>
      <c r="E52" t="str">
        <f>IFERROR(__xludf.DUMMYFUNCTION("""COMPUTED_VALUE"""),"P1001")</f>
        <v>P1001</v>
      </c>
      <c r="F52" t="str">
        <f t="array" ref="F52">if(iserror(index(fish_lab_data!C:C,match(B52,fish_lab_data!C:C,0))),"not dissected","dissected")</f>
        <v>dissected</v>
      </c>
    </row>
    <row r="53">
      <c r="A53" t="str">
        <f t="shared" si="1"/>
        <v>16010</v>
      </c>
      <c r="B53" t="str">
        <f>IFERROR(__xludf.DUMMYFUNCTION("""COMPUTED_VALUE"""),"U16010")</f>
        <v>U16010</v>
      </c>
      <c r="C53" t="str">
        <f>IFERROR(__xludf.DUMMYFUNCTION("""COMPUTED_VALUE"""),"PI")</f>
        <v>PI</v>
      </c>
      <c r="D53" t="str">
        <f>IFERROR(__xludf.DUMMYFUNCTION("""COMPUTED_VALUE"""),"DE516N2")</f>
        <v>DE516N2</v>
      </c>
      <c r="E53" t="str">
        <f>IFERROR(__xludf.DUMMYFUNCTION("""COMPUTED_VALUE"""),"P1001")</f>
        <v>P1001</v>
      </c>
      <c r="F53" t="str">
        <f t="array" ref="F53">if(iserror(index(fish_lab_data!C:C,match(B53,fish_lab_data!C:C,0))),"not dissected","dissected")</f>
        <v>dissected</v>
      </c>
    </row>
    <row r="54">
      <c r="A54" t="str">
        <f t="shared" si="1"/>
        <v>16101</v>
      </c>
      <c r="B54" t="str">
        <f>IFERROR(__xludf.DUMMYFUNCTION("""COMPUTED_VALUE"""),"U16101")</f>
        <v>U16101</v>
      </c>
      <c r="C54" t="str">
        <f>IFERROR(__xludf.DUMMYFUNCTION("""COMPUTED_VALUE"""),"CU")</f>
        <v>CU</v>
      </c>
      <c r="D54" t="str">
        <f>IFERROR(__xludf.DUMMYFUNCTION("""COMPUTED_VALUE"""),"DE516N2")</f>
        <v>DE516N2</v>
      </c>
      <c r="E54" t="str">
        <f>IFERROR(__xludf.DUMMYFUNCTION("""COMPUTED_VALUE"""),"P1011")</f>
        <v>P1011</v>
      </c>
      <c r="F54" t="str">
        <f t="array" ref="F54">if(iserror(index(fish_lab_data!C:C,match(B54,fish_lab_data!C:C,0))),"not dissected","dissected")</f>
        <v>dissected</v>
      </c>
    </row>
    <row r="55">
      <c r="A55" t="str">
        <f t="shared" si="1"/>
        <v>16102</v>
      </c>
      <c r="B55" t="str">
        <f>IFERROR(__xludf.DUMMYFUNCTION("""COMPUTED_VALUE"""),"U16102")</f>
        <v>U16102</v>
      </c>
      <c r="C55" t="str">
        <f>IFERROR(__xludf.DUMMYFUNCTION("""COMPUTED_VALUE"""),"CU")</f>
        <v>CU</v>
      </c>
      <c r="D55" t="str">
        <f>IFERROR(__xludf.DUMMYFUNCTION("""COMPUTED_VALUE"""),"DE516N2")</f>
        <v>DE516N2</v>
      </c>
      <c r="E55" t="str">
        <f>IFERROR(__xludf.DUMMYFUNCTION("""COMPUTED_VALUE"""),"P1011")</f>
        <v>P1011</v>
      </c>
      <c r="F55" t="str">
        <f t="array" ref="F55">if(iserror(index(fish_lab_data!C:C,match(B55,fish_lab_data!C:C,0))),"not dissected","dissected")</f>
        <v>dissected</v>
      </c>
    </row>
    <row r="56">
      <c r="A56" t="str">
        <f t="shared" si="1"/>
        <v>16103</v>
      </c>
      <c r="B56" t="str">
        <f>IFERROR(__xludf.DUMMYFUNCTION("""COMPUTED_VALUE"""),"U16103")</f>
        <v>U16103</v>
      </c>
      <c r="C56" t="str">
        <f>IFERROR(__xludf.DUMMYFUNCTION("""COMPUTED_VALUE"""),"CU")</f>
        <v>CU</v>
      </c>
      <c r="D56" t="str">
        <f>IFERROR(__xludf.DUMMYFUNCTION("""COMPUTED_VALUE"""),"DE516N2")</f>
        <v>DE516N2</v>
      </c>
      <c r="E56" t="str">
        <f>IFERROR(__xludf.DUMMYFUNCTION("""COMPUTED_VALUE"""),"P1011")</f>
        <v>P1011</v>
      </c>
      <c r="F56" t="str">
        <f t="array" ref="F56">if(iserror(index(fish_lab_data!C:C,match(B56,fish_lab_data!C:C,0))),"not dissected","dissected")</f>
        <v>dissected</v>
      </c>
    </row>
    <row r="57">
      <c r="A57" t="str">
        <f t="shared" si="1"/>
        <v>16104</v>
      </c>
      <c r="B57" t="str">
        <f>IFERROR(__xludf.DUMMYFUNCTION("""COMPUTED_VALUE"""),"U16104")</f>
        <v>U16104</v>
      </c>
      <c r="C57" t="str">
        <f>IFERROR(__xludf.DUMMYFUNCTION("""COMPUTED_VALUE"""),"CU")</f>
        <v>CU</v>
      </c>
      <c r="D57" t="str">
        <f>IFERROR(__xludf.DUMMYFUNCTION("""COMPUTED_VALUE"""),"DE516N2")</f>
        <v>DE516N2</v>
      </c>
      <c r="E57" t="str">
        <f>IFERROR(__xludf.DUMMYFUNCTION("""COMPUTED_VALUE"""),"P1011")</f>
        <v>P1011</v>
      </c>
      <c r="F57" t="str">
        <f t="array" ref="F57">if(iserror(index(fish_lab_data!C:C,match(B57,fish_lab_data!C:C,0))),"not dissected","dissected")</f>
        <v>dissected</v>
      </c>
    </row>
    <row r="58">
      <c r="A58" t="str">
        <f t="shared" si="1"/>
        <v>16105</v>
      </c>
      <c r="B58" t="str">
        <f>IFERROR(__xludf.DUMMYFUNCTION("""COMPUTED_VALUE"""),"U16105")</f>
        <v>U16105</v>
      </c>
      <c r="C58" t="str">
        <f>IFERROR(__xludf.DUMMYFUNCTION("""COMPUTED_VALUE"""),"CU")</f>
        <v>CU</v>
      </c>
      <c r="D58" t="str">
        <f>IFERROR(__xludf.DUMMYFUNCTION("""COMPUTED_VALUE"""),"DE516N2")</f>
        <v>DE516N2</v>
      </c>
      <c r="E58" t="str">
        <f>IFERROR(__xludf.DUMMYFUNCTION("""COMPUTED_VALUE"""),"P1011")</f>
        <v>P1011</v>
      </c>
      <c r="F58" t="str">
        <f t="array" ref="F58">if(iserror(index(fish_lab_data!C:C,match(B58,fish_lab_data!C:C,0))),"not dissected","dissected")</f>
        <v>dissected</v>
      </c>
    </row>
    <row r="59">
      <c r="A59" t="str">
        <f t="shared" si="1"/>
        <v>16106</v>
      </c>
      <c r="B59" t="str">
        <f>IFERROR(__xludf.DUMMYFUNCTION("""COMPUTED_VALUE"""),"U16106")</f>
        <v>U16106</v>
      </c>
      <c r="C59" t="str">
        <f>IFERROR(__xludf.DUMMYFUNCTION("""COMPUTED_VALUE"""),"CU")</f>
        <v>CU</v>
      </c>
      <c r="D59" t="str">
        <f>IFERROR(__xludf.DUMMYFUNCTION("""COMPUTED_VALUE"""),"DE516N2")</f>
        <v>DE516N2</v>
      </c>
      <c r="E59" t="str">
        <f>IFERROR(__xludf.DUMMYFUNCTION("""COMPUTED_VALUE"""),"P1011")</f>
        <v>P1011</v>
      </c>
      <c r="F59" t="str">
        <f t="array" ref="F59">if(iserror(index(fish_lab_data!C:C,match(B59,fish_lab_data!C:C,0))),"not dissected","dissected")</f>
        <v>dissected</v>
      </c>
    </row>
    <row r="60">
      <c r="A60" t="str">
        <f t="shared" si="1"/>
        <v>16107</v>
      </c>
      <c r="B60" t="str">
        <f>IFERROR(__xludf.DUMMYFUNCTION("""COMPUTED_VALUE"""),"U16107")</f>
        <v>U16107</v>
      </c>
      <c r="C60" t="str">
        <f>IFERROR(__xludf.DUMMYFUNCTION("""COMPUTED_VALUE"""),"CU")</f>
        <v>CU</v>
      </c>
      <c r="D60" t="str">
        <f>IFERROR(__xludf.DUMMYFUNCTION("""COMPUTED_VALUE"""),"DE516N2")</f>
        <v>DE516N2</v>
      </c>
      <c r="E60" t="str">
        <f>IFERROR(__xludf.DUMMYFUNCTION("""COMPUTED_VALUE"""),"P1011")</f>
        <v>P1011</v>
      </c>
      <c r="F60" t="str">
        <f t="array" ref="F60">if(iserror(index(fish_lab_data!C:C,match(B60,fish_lab_data!C:C,0))),"not dissected","dissected")</f>
        <v>dissected</v>
      </c>
    </row>
    <row r="61">
      <c r="A61" t="str">
        <f t="shared" si="1"/>
        <v>16091</v>
      </c>
      <c r="B61" t="str">
        <f>IFERROR(__xludf.DUMMYFUNCTION("""COMPUTED_VALUE"""),"U16091")</f>
        <v>U16091</v>
      </c>
      <c r="C61" t="str">
        <f>IFERROR(__xludf.DUMMYFUNCTION("""COMPUTED_VALUE"""),"CO")</f>
        <v>CO</v>
      </c>
      <c r="D61" t="str">
        <f>IFERROR(__xludf.DUMMYFUNCTION("""COMPUTED_VALUE"""),"DE516N2")</f>
        <v>DE516N2</v>
      </c>
      <c r="E61" t="str">
        <f>IFERROR(__xludf.DUMMYFUNCTION("""COMPUTED_VALUE"""),"P1010")</f>
        <v>P1010</v>
      </c>
      <c r="F61" t="str">
        <f t="array" ref="F61">if(iserror(index(fish_lab_data!C:C,match(B61,fish_lab_data!C:C,0))),"not dissected","dissected")</f>
        <v>dissected</v>
      </c>
    </row>
    <row r="62">
      <c r="A62" t="str">
        <f t="shared" si="1"/>
        <v>16092</v>
      </c>
      <c r="B62" t="str">
        <f>IFERROR(__xludf.DUMMYFUNCTION("""COMPUTED_VALUE"""),"U16092")</f>
        <v>U16092</v>
      </c>
      <c r="C62" t="str">
        <f>IFERROR(__xludf.DUMMYFUNCTION("""COMPUTED_VALUE"""),"CO")</f>
        <v>CO</v>
      </c>
      <c r="D62" t="str">
        <f>IFERROR(__xludf.DUMMYFUNCTION("""COMPUTED_VALUE"""),"DE516N2")</f>
        <v>DE516N2</v>
      </c>
      <c r="E62" t="str">
        <f>IFERROR(__xludf.DUMMYFUNCTION("""COMPUTED_VALUE"""),"P1010")</f>
        <v>P1010</v>
      </c>
      <c r="F62" t="str">
        <f t="array" ref="F62">if(iserror(index(fish_lab_data!C:C,match(B62,fish_lab_data!C:C,0))),"not dissected","dissected")</f>
        <v>dissected</v>
      </c>
    </row>
    <row r="63">
      <c r="A63" t="str">
        <f t="shared" si="1"/>
        <v>16093</v>
      </c>
      <c r="B63" t="str">
        <f>IFERROR(__xludf.DUMMYFUNCTION("""COMPUTED_VALUE"""),"U16093")</f>
        <v>U16093</v>
      </c>
      <c r="C63" t="str">
        <f>IFERROR(__xludf.DUMMYFUNCTION("""COMPUTED_VALUE"""),"CO")</f>
        <v>CO</v>
      </c>
      <c r="D63" t="str">
        <f>IFERROR(__xludf.DUMMYFUNCTION("""COMPUTED_VALUE"""),"DE516N2")</f>
        <v>DE516N2</v>
      </c>
      <c r="E63" t="str">
        <f>IFERROR(__xludf.DUMMYFUNCTION("""COMPUTED_VALUE"""),"P1010")</f>
        <v>P1010</v>
      </c>
      <c r="F63" t="str">
        <f t="array" ref="F63">if(iserror(index(fish_lab_data!C:C,match(B63,fish_lab_data!C:C,0))),"not dissected","dissected")</f>
        <v>dissected</v>
      </c>
    </row>
    <row r="64">
      <c r="A64" t="str">
        <f t="shared" si="1"/>
        <v>16094</v>
      </c>
      <c r="B64" t="str">
        <f>IFERROR(__xludf.DUMMYFUNCTION("""COMPUTED_VALUE"""),"U16094")</f>
        <v>U16094</v>
      </c>
      <c r="C64" t="str">
        <f>IFERROR(__xludf.DUMMYFUNCTION("""COMPUTED_VALUE"""),"CO")</f>
        <v>CO</v>
      </c>
      <c r="D64" t="str">
        <f>IFERROR(__xludf.DUMMYFUNCTION("""COMPUTED_VALUE"""),"DE516N2")</f>
        <v>DE516N2</v>
      </c>
      <c r="E64" t="str">
        <f>IFERROR(__xludf.DUMMYFUNCTION("""COMPUTED_VALUE"""),"P1010")</f>
        <v>P1010</v>
      </c>
      <c r="F64" t="str">
        <f t="array" ref="F64">if(iserror(index(fish_lab_data!C:C,match(B64,fish_lab_data!C:C,0))),"not dissected","dissected")</f>
        <v>dissected</v>
      </c>
    </row>
    <row r="65">
      <c r="A65" t="str">
        <f t="shared" si="1"/>
        <v>16095</v>
      </c>
      <c r="B65" t="str">
        <f>IFERROR(__xludf.DUMMYFUNCTION("""COMPUTED_VALUE"""),"U16095")</f>
        <v>U16095</v>
      </c>
      <c r="C65" t="str">
        <f>IFERROR(__xludf.DUMMYFUNCTION("""COMPUTED_VALUE"""),"CO")</f>
        <v>CO</v>
      </c>
      <c r="D65" t="str">
        <f>IFERROR(__xludf.DUMMYFUNCTION("""COMPUTED_VALUE"""),"DE516N2")</f>
        <v>DE516N2</v>
      </c>
      <c r="E65" t="str">
        <f>IFERROR(__xludf.DUMMYFUNCTION("""COMPUTED_VALUE"""),"P1010")</f>
        <v>P1010</v>
      </c>
      <c r="F65" t="str">
        <f t="array" ref="F65">if(iserror(index(fish_lab_data!C:C,match(B65,fish_lab_data!C:C,0))),"not dissected","dissected")</f>
        <v>dissected</v>
      </c>
    </row>
    <row r="66">
      <c r="A66" t="str">
        <f t="shared" si="1"/>
        <v>16096</v>
      </c>
      <c r="B66" t="str">
        <f>IFERROR(__xludf.DUMMYFUNCTION("""COMPUTED_VALUE"""),"U16096")</f>
        <v>U16096</v>
      </c>
      <c r="C66" t="str">
        <f>IFERROR(__xludf.DUMMYFUNCTION("""COMPUTED_VALUE"""),"CO")</f>
        <v>CO</v>
      </c>
      <c r="D66" t="str">
        <f>IFERROR(__xludf.DUMMYFUNCTION("""COMPUTED_VALUE"""),"DE516N2")</f>
        <v>DE516N2</v>
      </c>
      <c r="E66" t="str">
        <f>IFERROR(__xludf.DUMMYFUNCTION("""COMPUTED_VALUE"""),"P1010")</f>
        <v>P1010</v>
      </c>
      <c r="F66" t="str">
        <f t="array" ref="F66">if(iserror(index(fish_lab_data!C:C,match(B66,fish_lab_data!C:C,0))),"not dissected","dissected")</f>
        <v>dissected</v>
      </c>
    </row>
    <row r="67">
      <c r="A67" t="str">
        <f t="shared" si="1"/>
        <v>16097</v>
      </c>
      <c r="B67" t="str">
        <f>IFERROR(__xludf.DUMMYFUNCTION("""COMPUTED_VALUE"""),"U16097")</f>
        <v>U16097</v>
      </c>
      <c r="C67" t="str">
        <f>IFERROR(__xludf.DUMMYFUNCTION("""COMPUTED_VALUE"""),"CO")</f>
        <v>CO</v>
      </c>
      <c r="D67" t="str">
        <f>IFERROR(__xludf.DUMMYFUNCTION("""COMPUTED_VALUE"""),"DE516N2")</f>
        <v>DE516N2</v>
      </c>
      <c r="E67" t="str">
        <f>IFERROR(__xludf.DUMMYFUNCTION("""COMPUTED_VALUE"""),"P1010")</f>
        <v>P1010</v>
      </c>
      <c r="F67" t="str">
        <f t="array" ref="F67">if(iserror(index(fish_lab_data!C:C,match(B67,fish_lab_data!C:C,0))),"not dissected","dissected")</f>
        <v>dissected</v>
      </c>
    </row>
    <row r="68">
      <c r="A68" t="str">
        <f t="shared" si="1"/>
        <v>16098</v>
      </c>
      <c r="B68" t="str">
        <f>IFERROR(__xludf.DUMMYFUNCTION("""COMPUTED_VALUE"""),"U16098")</f>
        <v>U16098</v>
      </c>
      <c r="C68" t="str">
        <f>IFERROR(__xludf.DUMMYFUNCTION("""COMPUTED_VALUE"""),"CO")</f>
        <v>CO</v>
      </c>
      <c r="D68" t="str">
        <f>IFERROR(__xludf.DUMMYFUNCTION("""COMPUTED_VALUE"""),"DE516N2")</f>
        <v>DE516N2</v>
      </c>
      <c r="E68" t="str">
        <f>IFERROR(__xludf.DUMMYFUNCTION("""COMPUTED_VALUE"""),"P1010")</f>
        <v>P1010</v>
      </c>
      <c r="F68" t="str">
        <f t="array" ref="F68">if(iserror(index(fish_lab_data!C:C,match(B68,fish_lab_data!C:C,0))),"not dissected","dissected")</f>
        <v>dissected</v>
      </c>
    </row>
    <row r="69">
      <c r="A69" t="str">
        <f t="shared" si="1"/>
        <v>16099</v>
      </c>
      <c r="B69" t="str">
        <f>IFERROR(__xludf.DUMMYFUNCTION("""COMPUTED_VALUE"""),"U16099")</f>
        <v>U16099</v>
      </c>
      <c r="C69" t="str">
        <f>IFERROR(__xludf.DUMMYFUNCTION("""COMPUTED_VALUE"""),"CO")</f>
        <v>CO</v>
      </c>
      <c r="D69" t="str">
        <f>IFERROR(__xludf.DUMMYFUNCTION("""COMPUTED_VALUE"""),"DE516N2")</f>
        <v>DE516N2</v>
      </c>
      <c r="E69" t="str">
        <f>IFERROR(__xludf.DUMMYFUNCTION("""COMPUTED_VALUE"""),"P1010")</f>
        <v>P1010</v>
      </c>
      <c r="F69" t="str">
        <f t="array" ref="F69">if(iserror(index(fish_lab_data!C:C,match(B69,fish_lab_data!C:C,0))),"not dissected","dissected")</f>
        <v>dissected</v>
      </c>
    </row>
    <row r="70">
      <c r="A70" t="str">
        <f t="shared" si="1"/>
        <v>16100</v>
      </c>
      <c r="B70" t="str">
        <f>IFERROR(__xludf.DUMMYFUNCTION("""COMPUTED_VALUE"""),"U16100")</f>
        <v>U16100</v>
      </c>
      <c r="C70" t="str">
        <f>IFERROR(__xludf.DUMMYFUNCTION("""COMPUTED_VALUE"""),"CO")</f>
        <v>CO</v>
      </c>
      <c r="D70" t="str">
        <f>IFERROR(__xludf.DUMMYFUNCTION("""COMPUTED_VALUE"""),"DE516N2")</f>
        <v>DE516N2</v>
      </c>
      <c r="E70" t="str">
        <f>IFERROR(__xludf.DUMMYFUNCTION("""COMPUTED_VALUE"""),"P1010")</f>
        <v>P1010</v>
      </c>
      <c r="F70" t="str">
        <f t="array" ref="F70">if(iserror(index(fish_lab_data!C:C,match(B70,fish_lab_data!C:C,0))),"not dissected","dissected")</f>
        <v>dissected</v>
      </c>
    </row>
    <row r="71">
      <c r="A71" t="str">
        <f t="shared" si="1"/>
        <v>16071</v>
      </c>
      <c r="B71" t="str">
        <f>IFERROR(__xludf.DUMMYFUNCTION("""COMPUTED_VALUE"""),"U16071")</f>
        <v>U16071</v>
      </c>
      <c r="C71" t="str">
        <f>IFERROR(__xludf.DUMMYFUNCTION("""COMPUTED_VALUE"""),"CK")</f>
        <v>CK</v>
      </c>
      <c r="D71" t="str">
        <f>IFERROR(__xludf.DUMMYFUNCTION("""COMPUTED_VALUE"""),"DE516N2")</f>
        <v>DE516N2</v>
      </c>
      <c r="E71" t="str">
        <f>IFERROR(__xludf.DUMMYFUNCTION("""COMPUTED_VALUE"""),"P1008")</f>
        <v>P1008</v>
      </c>
      <c r="F71" t="str">
        <f t="array" ref="F71">if(iserror(index(fish_lab_data!C:C,match(B71,fish_lab_data!C:C,0))),"not dissected","dissected")</f>
        <v>dissected</v>
      </c>
    </row>
    <row r="72">
      <c r="A72" t="str">
        <f t="shared" si="1"/>
        <v>16781</v>
      </c>
      <c r="B72" t="str">
        <f>IFERROR(__xludf.DUMMYFUNCTION("""COMPUTED_VALUE"""),"U16781")</f>
        <v>U16781</v>
      </c>
      <c r="C72" t="str">
        <f>IFERROR(__xludf.DUMMYFUNCTION("""COMPUTED_VALUE"""),"SO")</f>
        <v>SO</v>
      </c>
      <c r="D72" t="str">
        <f>IFERROR(__xludf.DUMMYFUNCTION("""COMPUTED_VALUE"""),"JE402N1")</f>
        <v>JE402N1</v>
      </c>
      <c r="E72" t="str">
        <f>IFERROR(__xludf.DUMMYFUNCTION("""COMPUTED_VALUE"""),"P1079")</f>
        <v>P1079</v>
      </c>
      <c r="F72" t="str">
        <f t="array" ref="F72">if(iserror(index(fish_lab_data!C:C,match(B72,fish_lab_data!C:C,0))),"not dissected","dissected")</f>
        <v>dissected</v>
      </c>
    </row>
    <row r="73">
      <c r="A73" t="str">
        <f t="shared" si="1"/>
        <v>16782</v>
      </c>
      <c r="B73" t="str">
        <f>IFERROR(__xludf.DUMMYFUNCTION("""COMPUTED_VALUE"""),"U16782")</f>
        <v>U16782</v>
      </c>
      <c r="C73" t="str">
        <f>IFERROR(__xludf.DUMMYFUNCTION("""COMPUTED_VALUE"""),"SO")</f>
        <v>SO</v>
      </c>
      <c r="D73" t="str">
        <f>IFERROR(__xludf.DUMMYFUNCTION("""COMPUTED_VALUE"""),"JE402N1")</f>
        <v>JE402N1</v>
      </c>
      <c r="E73" t="str">
        <f>IFERROR(__xludf.DUMMYFUNCTION("""COMPUTED_VALUE"""),"P1079")</f>
        <v>P1079</v>
      </c>
      <c r="F73" t="str">
        <f t="array" ref="F73">if(iserror(index(fish_lab_data!C:C,match(B73,fish_lab_data!C:C,0))),"not dissected","dissected")</f>
        <v>dissected</v>
      </c>
    </row>
    <row r="74">
      <c r="A74" t="str">
        <f t="shared" si="1"/>
        <v>16783</v>
      </c>
      <c r="B74" t="str">
        <f>IFERROR(__xludf.DUMMYFUNCTION("""COMPUTED_VALUE"""),"U16783")</f>
        <v>U16783</v>
      </c>
      <c r="C74" t="str">
        <f>IFERROR(__xludf.DUMMYFUNCTION("""COMPUTED_VALUE"""),"SO")</f>
        <v>SO</v>
      </c>
      <c r="D74" t="str">
        <f>IFERROR(__xludf.DUMMYFUNCTION("""COMPUTED_VALUE"""),"JE402N1")</f>
        <v>JE402N1</v>
      </c>
      <c r="E74" t="str">
        <f>IFERROR(__xludf.DUMMYFUNCTION("""COMPUTED_VALUE"""),"P1079")</f>
        <v>P1079</v>
      </c>
      <c r="F74" t="str">
        <f t="array" ref="F74">if(iserror(index(fish_lab_data!C:C,match(B74,fish_lab_data!C:C,0))),"not dissected","dissected")</f>
        <v>dissected</v>
      </c>
    </row>
    <row r="75">
      <c r="A75" t="str">
        <f t="shared" si="1"/>
        <v>16061</v>
      </c>
      <c r="B75" t="str">
        <f>IFERROR(__xludf.DUMMYFUNCTION("""COMPUTED_VALUE"""),"U16061")</f>
        <v>U16061</v>
      </c>
      <c r="C75" t="str">
        <f>IFERROR(__xludf.DUMMYFUNCTION("""COMPUTED_VALUE"""),"SO")</f>
        <v>SO</v>
      </c>
      <c r="D75" t="str">
        <f>IFERROR(__xludf.DUMMYFUNCTION("""COMPUTED_VALUE"""),"DE517N2")</f>
        <v>DE517N2</v>
      </c>
      <c r="E75" t="str">
        <f>IFERROR(__xludf.DUMMYFUNCTION("""COMPUTED_VALUE"""),"P1007")</f>
        <v>P1007</v>
      </c>
      <c r="F75" t="str">
        <f t="array" ref="F75">if(iserror(index(fish_lab_data!C:C,match(B75,fish_lab_data!C:C,0))),"not dissected","dissected")</f>
        <v>dissected</v>
      </c>
    </row>
    <row r="76">
      <c r="A76" t="str">
        <f t="shared" si="1"/>
        <v>16062</v>
      </c>
      <c r="B76" t="str">
        <f>IFERROR(__xludf.DUMMYFUNCTION("""COMPUTED_VALUE"""),"U16062")</f>
        <v>U16062</v>
      </c>
      <c r="C76" t="str">
        <f>IFERROR(__xludf.DUMMYFUNCTION("""COMPUTED_VALUE"""),"SO")</f>
        <v>SO</v>
      </c>
      <c r="D76" t="str">
        <f>IFERROR(__xludf.DUMMYFUNCTION("""COMPUTED_VALUE"""),"DE517N2")</f>
        <v>DE517N2</v>
      </c>
      <c r="E76" t="str">
        <f>IFERROR(__xludf.DUMMYFUNCTION("""COMPUTED_VALUE"""),"P1007")</f>
        <v>P1007</v>
      </c>
      <c r="F76" t="str">
        <f t="array" ref="F76">if(iserror(index(fish_lab_data!C:C,match(B76,fish_lab_data!C:C,0))),"not dissected","dissected")</f>
        <v>dissected</v>
      </c>
    </row>
    <row r="77">
      <c r="A77" t="str">
        <f t="shared" si="1"/>
        <v>16063</v>
      </c>
      <c r="B77" t="str">
        <f>IFERROR(__xludf.DUMMYFUNCTION("""COMPUTED_VALUE"""),"U16063")</f>
        <v>U16063</v>
      </c>
      <c r="C77" t="str">
        <f>IFERROR(__xludf.DUMMYFUNCTION("""COMPUTED_VALUE"""),"SO")</f>
        <v>SO</v>
      </c>
      <c r="D77" t="str">
        <f>IFERROR(__xludf.DUMMYFUNCTION("""COMPUTED_VALUE"""),"DE517N2")</f>
        <v>DE517N2</v>
      </c>
      <c r="E77" t="str">
        <f>IFERROR(__xludf.DUMMYFUNCTION("""COMPUTED_VALUE"""),"P1007")</f>
        <v>P1007</v>
      </c>
      <c r="F77" t="str">
        <f t="array" ref="F77">if(iserror(index(fish_lab_data!C:C,match(B77,fish_lab_data!C:C,0))),"not dissected","dissected")</f>
        <v>dissected</v>
      </c>
    </row>
    <row r="78">
      <c r="A78" t="str">
        <f t="shared" si="1"/>
        <v>16064</v>
      </c>
      <c r="B78" t="str">
        <f>IFERROR(__xludf.DUMMYFUNCTION("""COMPUTED_VALUE"""),"U16064")</f>
        <v>U16064</v>
      </c>
      <c r="C78" t="str">
        <f>IFERROR(__xludf.DUMMYFUNCTION("""COMPUTED_VALUE"""),"SO")</f>
        <v>SO</v>
      </c>
      <c r="D78" t="str">
        <f>IFERROR(__xludf.DUMMYFUNCTION("""COMPUTED_VALUE"""),"DE517N2")</f>
        <v>DE517N2</v>
      </c>
      <c r="E78" t="str">
        <f>IFERROR(__xludf.DUMMYFUNCTION("""COMPUTED_VALUE"""),"P1007")</f>
        <v>P1007</v>
      </c>
      <c r="F78" t="str">
        <f t="array" ref="F78">if(iserror(index(fish_lab_data!C:C,match(B78,fish_lab_data!C:C,0))),"not dissected","dissected")</f>
        <v>dissected</v>
      </c>
    </row>
    <row r="79">
      <c r="A79" t="str">
        <f t="shared" si="1"/>
        <v>16065</v>
      </c>
      <c r="B79" t="str">
        <f>IFERROR(__xludf.DUMMYFUNCTION("""COMPUTED_VALUE"""),"U16065")</f>
        <v>U16065</v>
      </c>
      <c r="C79" t="str">
        <f>IFERROR(__xludf.DUMMYFUNCTION("""COMPUTED_VALUE"""),"SO")</f>
        <v>SO</v>
      </c>
      <c r="D79" t="str">
        <f>IFERROR(__xludf.DUMMYFUNCTION("""COMPUTED_VALUE"""),"DE517N2")</f>
        <v>DE517N2</v>
      </c>
      <c r="E79" t="str">
        <f>IFERROR(__xludf.DUMMYFUNCTION("""COMPUTED_VALUE"""),"P1007")</f>
        <v>P1007</v>
      </c>
      <c r="F79" t="str">
        <f t="array" ref="F79">if(iserror(index(fish_lab_data!C:C,match(B79,fish_lab_data!C:C,0))),"not dissected","dissected")</f>
        <v>dissected</v>
      </c>
    </row>
    <row r="80">
      <c r="A80" t="str">
        <f t="shared" si="1"/>
        <v>16066</v>
      </c>
      <c r="B80" t="str">
        <f>IFERROR(__xludf.DUMMYFUNCTION("""COMPUTED_VALUE"""),"U16066")</f>
        <v>U16066</v>
      </c>
      <c r="C80" t="str">
        <f>IFERROR(__xludf.DUMMYFUNCTION("""COMPUTED_VALUE"""),"SO")</f>
        <v>SO</v>
      </c>
      <c r="D80" t="str">
        <f>IFERROR(__xludf.DUMMYFUNCTION("""COMPUTED_VALUE"""),"DE517N2")</f>
        <v>DE517N2</v>
      </c>
      <c r="E80" t="str">
        <f>IFERROR(__xludf.DUMMYFUNCTION("""COMPUTED_VALUE"""),"P1007")</f>
        <v>P1007</v>
      </c>
      <c r="F80" t="str">
        <f t="array" ref="F80">if(iserror(index(fish_lab_data!C:C,match(B80,fish_lab_data!C:C,0))),"not dissected","dissected")</f>
        <v>dissected</v>
      </c>
    </row>
    <row r="81">
      <c r="A81" t="str">
        <f t="shared" si="1"/>
        <v>16067</v>
      </c>
      <c r="B81" t="str">
        <f>IFERROR(__xludf.DUMMYFUNCTION("""COMPUTED_VALUE"""),"U16067")</f>
        <v>U16067</v>
      </c>
      <c r="C81" t="str">
        <f>IFERROR(__xludf.DUMMYFUNCTION("""COMPUTED_VALUE"""),"SO")</f>
        <v>SO</v>
      </c>
      <c r="D81" t="str">
        <f>IFERROR(__xludf.DUMMYFUNCTION("""COMPUTED_VALUE"""),"DE517N2")</f>
        <v>DE517N2</v>
      </c>
      <c r="E81" t="str">
        <f>IFERROR(__xludf.DUMMYFUNCTION("""COMPUTED_VALUE"""),"P1007")</f>
        <v>P1007</v>
      </c>
      <c r="F81" t="str">
        <f t="array" ref="F81">if(iserror(index(fish_lab_data!C:C,match(B81,fish_lab_data!C:C,0))),"not dissected","dissected")</f>
        <v>dissected</v>
      </c>
    </row>
    <row r="82">
      <c r="A82" t="str">
        <f t="shared" si="1"/>
        <v>16068</v>
      </c>
      <c r="B82" t="str">
        <f>IFERROR(__xludf.DUMMYFUNCTION("""COMPUTED_VALUE"""),"U16068")</f>
        <v>U16068</v>
      </c>
      <c r="C82" t="str">
        <f>IFERROR(__xludf.DUMMYFUNCTION("""COMPUTED_VALUE"""),"SO")</f>
        <v>SO</v>
      </c>
      <c r="D82" t="str">
        <f>IFERROR(__xludf.DUMMYFUNCTION("""COMPUTED_VALUE"""),"DE517N2")</f>
        <v>DE517N2</v>
      </c>
      <c r="E82" t="str">
        <f>IFERROR(__xludf.DUMMYFUNCTION("""COMPUTED_VALUE"""),"P1007")</f>
        <v>P1007</v>
      </c>
      <c r="F82" t="str">
        <f t="array" ref="F82">if(iserror(index(fish_lab_data!C:C,match(B82,fish_lab_data!C:C,0))),"not dissected","dissected")</f>
        <v>dissected</v>
      </c>
    </row>
    <row r="83">
      <c r="A83" t="str">
        <f t="shared" si="1"/>
        <v>16069</v>
      </c>
      <c r="B83" t="str">
        <f>IFERROR(__xludf.DUMMYFUNCTION("""COMPUTED_VALUE"""),"U16069")</f>
        <v>U16069</v>
      </c>
      <c r="C83" t="str">
        <f>IFERROR(__xludf.DUMMYFUNCTION("""COMPUTED_VALUE"""),"SO")</f>
        <v>SO</v>
      </c>
      <c r="D83" t="str">
        <f>IFERROR(__xludf.DUMMYFUNCTION("""COMPUTED_VALUE"""),"DE517N2")</f>
        <v>DE517N2</v>
      </c>
      <c r="E83" t="str">
        <f>IFERROR(__xludf.DUMMYFUNCTION("""COMPUTED_VALUE"""),"P1007")</f>
        <v>P1007</v>
      </c>
      <c r="F83" t="str">
        <f t="array" ref="F83">if(iserror(index(fish_lab_data!C:C,match(B83,fish_lab_data!C:C,0))),"not dissected","dissected")</f>
        <v>dissected</v>
      </c>
    </row>
    <row r="84">
      <c r="A84" t="str">
        <f t="shared" si="1"/>
        <v>16070</v>
      </c>
      <c r="B84" t="str">
        <f>IFERROR(__xludf.DUMMYFUNCTION("""COMPUTED_VALUE"""),"U16070")</f>
        <v>U16070</v>
      </c>
      <c r="C84" t="str">
        <f>IFERROR(__xludf.DUMMYFUNCTION("""COMPUTED_VALUE"""),"SO")</f>
        <v>SO</v>
      </c>
      <c r="D84" t="str">
        <f>IFERROR(__xludf.DUMMYFUNCTION("""COMPUTED_VALUE"""),"DE517N2")</f>
        <v>DE517N2</v>
      </c>
      <c r="E84" t="str">
        <f>IFERROR(__xludf.DUMMYFUNCTION("""COMPUTED_VALUE"""),"P1007")</f>
        <v>P1007</v>
      </c>
      <c r="F84" t="str">
        <f t="array" ref="F84">if(iserror(index(fish_lab_data!C:C,match(B84,fish_lab_data!C:C,0))),"not dissected","dissected")</f>
        <v>dissected</v>
      </c>
    </row>
    <row r="85">
      <c r="A85" t="str">
        <f t="shared" si="1"/>
        <v>16111</v>
      </c>
      <c r="B85" t="str">
        <f>IFERROR(__xludf.DUMMYFUNCTION("""COMPUTED_VALUE"""),"U16111")</f>
        <v>U16111</v>
      </c>
      <c r="C85" t="str">
        <f>IFERROR(__xludf.DUMMYFUNCTION("""COMPUTED_VALUE"""),"CU")</f>
        <v>CU</v>
      </c>
      <c r="D85" t="str">
        <f>IFERROR(__xludf.DUMMYFUNCTION("""COMPUTED_VALUE"""),"DE517N2")</f>
        <v>DE517N2</v>
      </c>
      <c r="E85" t="str">
        <f>IFERROR(__xludf.DUMMYFUNCTION("""COMPUTED_VALUE"""),"P1012")</f>
        <v>P1012</v>
      </c>
      <c r="F85" t="str">
        <f t="array" ref="F85">if(iserror(index(fish_lab_data!C:C,match(B85,fish_lab_data!C:C,0))),"not dissected","dissected")</f>
        <v>dissected</v>
      </c>
    </row>
    <row r="86">
      <c r="A86" t="str">
        <f t="shared" si="1"/>
        <v>16112</v>
      </c>
      <c r="B86" t="str">
        <f>IFERROR(__xludf.DUMMYFUNCTION("""COMPUTED_VALUE"""),"U16112")</f>
        <v>U16112</v>
      </c>
      <c r="C86" t="str">
        <f>IFERROR(__xludf.DUMMYFUNCTION("""COMPUTED_VALUE"""),"CU")</f>
        <v>CU</v>
      </c>
      <c r="D86" t="str">
        <f>IFERROR(__xludf.DUMMYFUNCTION("""COMPUTED_VALUE"""),"DE517N2")</f>
        <v>DE517N2</v>
      </c>
      <c r="E86" t="str">
        <f>IFERROR(__xludf.DUMMYFUNCTION("""COMPUTED_VALUE"""),"P1012")</f>
        <v>P1012</v>
      </c>
      <c r="F86" t="str">
        <f t="array" ref="F86">if(iserror(index(fish_lab_data!C:C,match(B86,fish_lab_data!C:C,0))),"not dissected","dissected")</f>
        <v>dissected</v>
      </c>
    </row>
    <row r="87">
      <c r="A87" t="str">
        <f t="shared" si="1"/>
        <v>16113</v>
      </c>
      <c r="B87" t="str">
        <f>IFERROR(__xludf.DUMMYFUNCTION("""COMPUTED_VALUE"""),"U16113")</f>
        <v>U16113</v>
      </c>
      <c r="C87" t="str">
        <f>IFERROR(__xludf.DUMMYFUNCTION("""COMPUTED_VALUE"""),"CU")</f>
        <v>CU</v>
      </c>
      <c r="D87" t="str">
        <f>IFERROR(__xludf.DUMMYFUNCTION("""COMPUTED_VALUE"""),"DE517N2")</f>
        <v>DE517N2</v>
      </c>
      <c r="E87" t="str">
        <f>IFERROR(__xludf.DUMMYFUNCTION("""COMPUTED_VALUE"""),"P1012")</f>
        <v>P1012</v>
      </c>
      <c r="F87" t="str">
        <f t="array" ref="F87">if(iserror(index(fish_lab_data!C:C,match(B87,fish_lab_data!C:C,0))),"not dissected","dissected")</f>
        <v>dissected</v>
      </c>
    </row>
    <row r="88">
      <c r="A88" t="str">
        <f t="shared" si="1"/>
        <v>16114</v>
      </c>
      <c r="B88" t="str">
        <f>IFERROR(__xludf.DUMMYFUNCTION("""COMPUTED_VALUE"""),"U16114")</f>
        <v>U16114</v>
      </c>
      <c r="C88" t="str">
        <f>IFERROR(__xludf.DUMMYFUNCTION("""COMPUTED_VALUE"""),"CU")</f>
        <v>CU</v>
      </c>
      <c r="D88" t="str">
        <f>IFERROR(__xludf.DUMMYFUNCTION("""COMPUTED_VALUE"""),"DE517N2")</f>
        <v>DE517N2</v>
      </c>
      <c r="E88" t="str">
        <f>IFERROR(__xludf.DUMMYFUNCTION("""COMPUTED_VALUE"""),"P1012")</f>
        <v>P1012</v>
      </c>
      <c r="F88" t="str">
        <f t="array" ref="F88">if(iserror(index(fish_lab_data!C:C,match(B88,fish_lab_data!C:C,0))),"not dissected","dissected")</f>
        <v>dissected</v>
      </c>
    </row>
    <row r="89">
      <c r="A89" t="str">
        <f t="shared" si="1"/>
        <v>16115</v>
      </c>
      <c r="B89" t="str">
        <f>IFERROR(__xludf.DUMMYFUNCTION("""COMPUTED_VALUE"""),"U16115")</f>
        <v>U16115</v>
      </c>
      <c r="C89" t="str">
        <f>IFERROR(__xludf.DUMMYFUNCTION("""COMPUTED_VALUE"""),"CU")</f>
        <v>CU</v>
      </c>
      <c r="D89" t="str">
        <f>IFERROR(__xludf.DUMMYFUNCTION("""COMPUTED_VALUE"""),"DE517N2")</f>
        <v>DE517N2</v>
      </c>
      <c r="E89" t="str">
        <f>IFERROR(__xludf.DUMMYFUNCTION("""COMPUTED_VALUE"""),"P1012")</f>
        <v>P1012</v>
      </c>
      <c r="F89" t="str">
        <f t="array" ref="F89">if(iserror(index(fish_lab_data!C:C,match(B89,fish_lab_data!C:C,0))),"not dissected","dissected")</f>
        <v>dissected</v>
      </c>
    </row>
    <row r="90">
      <c r="A90" t="str">
        <f t="shared" si="1"/>
        <v>16116</v>
      </c>
      <c r="B90" t="str">
        <f>IFERROR(__xludf.DUMMYFUNCTION("""COMPUTED_VALUE"""),"U16116")</f>
        <v>U16116</v>
      </c>
      <c r="C90" t="str">
        <f>IFERROR(__xludf.DUMMYFUNCTION("""COMPUTED_VALUE"""),"CU")</f>
        <v>CU</v>
      </c>
      <c r="D90" t="str">
        <f>IFERROR(__xludf.DUMMYFUNCTION("""COMPUTED_VALUE"""),"DE517N2")</f>
        <v>DE517N2</v>
      </c>
      <c r="E90" t="str">
        <f>IFERROR(__xludf.DUMMYFUNCTION("""COMPUTED_VALUE"""),"P1012")</f>
        <v>P1012</v>
      </c>
      <c r="F90" t="str">
        <f t="array" ref="F90">if(iserror(index(fish_lab_data!C:C,match(B90,fish_lab_data!C:C,0))),"not dissected","dissected")</f>
        <v>dissected</v>
      </c>
    </row>
    <row r="91">
      <c r="A91" t="str">
        <f t="shared" si="1"/>
        <v>16117</v>
      </c>
      <c r="B91" t="str">
        <f>IFERROR(__xludf.DUMMYFUNCTION("""COMPUTED_VALUE"""),"U16117")</f>
        <v>U16117</v>
      </c>
      <c r="C91" t="str">
        <f>IFERROR(__xludf.DUMMYFUNCTION("""COMPUTED_VALUE"""),"CU")</f>
        <v>CU</v>
      </c>
      <c r="D91" t="str">
        <f>IFERROR(__xludf.DUMMYFUNCTION("""COMPUTED_VALUE"""),"DE517N2")</f>
        <v>DE517N2</v>
      </c>
      <c r="E91" t="str">
        <f>IFERROR(__xludf.DUMMYFUNCTION("""COMPUTED_VALUE"""),"P1012")</f>
        <v>P1012</v>
      </c>
      <c r="F91" t="str">
        <f t="array" ref="F91">if(iserror(index(fish_lab_data!C:C,match(B91,fish_lab_data!C:C,0))),"not dissected","dissected")</f>
        <v>dissected</v>
      </c>
    </row>
    <row r="92">
      <c r="A92" t="str">
        <f t="shared" si="1"/>
        <v>16118</v>
      </c>
      <c r="B92" t="str">
        <f>IFERROR(__xludf.DUMMYFUNCTION("""COMPUTED_VALUE"""),"U16118")</f>
        <v>U16118</v>
      </c>
      <c r="C92" t="str">
        <f>IFERROR(__xludf.DUMMYFUNCTION("""COMPUTED_VALUE"""),"CU")</f>
        <v>CU</v>
      </c>
      <c r="D92" t="str">
        <f>IFERROR(__xludf.DUMMYFUNCTION("""COMPUTED_VALUE"""),"DE517N2")</f>
        <v>DE517N2</v>
      </c>
      <c r="E92" t="str">
        <f>IFERROR(__xludf.DUMMYFUNCTION("""COMPUTED_VALUE"""),"P1012")</f>
        <v>P1012</v>
      </c>
      <c r="F92" t="str">
        <f t="array" ref="F92">if(iserror(index(fish_lab_data!C:C,match(B92,fish_lab_data!C:C,0))),"not dissected","dissected")</f>
        <v>dissected</v>
      </c>
    </row>
    <row r="93">
      <c r="A93" t="str">
        <f t="shared" si="1"/>
        <v>16481</v>
      </c>
      <c r="B93" t="str">
        <f>IFERROR(__xludf.DUMMYFUNCTION("""COMPUTED_VALUE"""),"U16481")</f>
        <v>U16481</v>
      </c>
      <c r="C93" t="str">
        <f>IFERROR(__xludf.DUMMYFUNCTION("""COMPUTED_VALUE"""),"PI")</f>
        <v>PI</v>
      </c>
      <c r="D93" t="str">
        <f>IFERROR(__xludf.DUMMYFUNCTION("""COMPUTED_VALUE"""),"DE517N2")</f>
        <v>DE517N2</v>
      </c>
      <c r="E93" t="str">
        <f>IFERROR(__xludf.DUMMYFUNCTION("""COMPUTED_VALUE"""),"P1049")</f>
        <v>P1049</v>
      </c>
      <c r="F93" t="str">
        <f t="array" ref="F93">if(iserror(index(fish_lab_data!C:C,match(B93,fish_lab_data!C:C,0))),"not dissected","dissected")</f>
        <v>dissected</v>
      </c>
    </row>
    <row r="94">
      <c r="A94" t="str">
        <f t="shared" si="1"/>
        <v>16482</v>
      </c>
      <c r="B94" t="str">
        <f>IFERROR(__xludf.DUMMYFUNCTION("""COMPUTED_VALUE"""),"U16482")</f>
        <v>U16482</v>
      </c>
      <c r="C94" t="str">
        <f>IFERROR(__xludf.DUMMYFUNCTION("""COMPUTED_VALUE"""),"PI")</f>
        <v>PI</v>
      </c>
      <c r="D94" t="str">
        <f>IFERROR(__xludf.DUMMYFUNCTION("""COMPUTED_VALUE"""),"DE517N2")</f>
        <v>DE517N2</v>
      </c>
      <c r="E94" t="str">
        <f>IFERROR(__xludf.DUMMYFUNCTION("""COMPUTED_VALUE"""),"P1049")</f>
        <v>P1049</v>
      </c>
      <c r="F94" t="str">
        <f t="array" ref="F94">if(iserror(index(fish_lab_data!C:C,match(B94,fish_lab_data!C:C,0))),"not dissected","dissected")</f>
        <v>dissected</v>
      </c>
    </row>
    <row r="95">
      <c r="A95" t="str">
        <f t="shared" si="1"/>
        <v>16483</v>
      </c>
      <c r="B95" t="str">
        <f>IFERROR(__xludf.DUMMYFUNCTION("""COMPUTED_VALUE"""),"U16483")</f>
        <v>U16483</v>
      </c>
      <c r="C95" t="str">
        <f>IFERROR(__xludf.DUMMYFUNCTION("""COMPUTED_VALUE"""),"PI")</f>
        <v>PI</v>
      </c>
      <c r="D95" t="str">
        <f>IFERROR(__xludf.DUMMYFUNCTION("""COMPUTED_VALUE"""),"DE517N2")</f>
        <v>DE517N2</v>
      </c>
      <c r="E95" t="str">
        <f>IFERROR(__xludf.DUMMYFUNCTION("""COMPUTED_VALUE"""),"P1049")</f>
        <v>P1049</v>
      </c>
      <c r="F95" t="str">
        <f t="array" ref="F95">if(iserror(index(fish_lab_data!C:C,match(B95,fish_lab_data!C:C,0))),"not dissected","dissected")</f>
        <v>dissected</v>
      </c>
    </row>
    <row r="96">
      <c r="A96" t="str">
        <f t="shared" si="1"/>
        <v>16484</v>
      </c>
      <c r="B96" t="str">
        <f>IFERROR(__xludf.DUMMYFUNCTION("""COMPUTED_VALUE"""),"U16484")</f>
        <v>U16484</v>
      </c>
      <c r="C96" t="str">
        <f>IFERROR(__xludf.DUMMYFUNCTION("""COMPUTED_VALUE"""),"PI")</f>
        <v>PI</v>
      </c>
      <c r="D96" t="str">
        <f>IFERROR(__xludf.DUMMYFUNCTION("""COMPUTED_VALUE"""),"DE517N2")</f>
        <v>DE517N2</v>
      </c>
      <c r="E96" t="str">
        <f>IFERROR(__xludf.DUMMYFUNCTION("""COMPUTED_VALUE"""),"P1049")</f>
        <v>P1049</v>
      </c>
      <c r="F96" t="str">
        <f t="array" ref="F96">if(iserror(index(fish_lab_data!C:C,match(B96,fish_lab_data!C:C,0))),"not dissected","dissected")</f>
        <v>dissected</v>
      </c>
    </row>
    <row r="97">
      <c r="A97" t="str">
        <f t="shared" si="1"/>
        <v>16485</v>
      </c>
      <c r="B97" t="str">
        <f>IFERROR(__xludf.DUMMYFUNCTION("""COMPUTED_VALUE"""),"U16485")</f>
        <v>U16485</v>
      </c>
      <c r="C97" t="str">
        <f>IFERROR(__xludf.DUMMYFUNCTION("""COMPUTED_VALUE"""),"PI")</f>
        <v>PI</v>
      </c>
      <c r="D97" t="str">
        <f>IFERROR(__xludf.DUMMYFUNCTION("""COMPUTED_VALUE"""),"DE517N2")</f>
        <v>DE517N2</v>
      </c>
      <c r="E97" t="str">
        <f>IFERROR(__xludf.DUMMYFUNCTION("""COMPUTED_VALUE"""),"P1049")</f>
        <v>P1049</v>
      </c>
      <c r="F97" t="str">
        <f t="array" ref="F97">if(iserror(index(fish_lab_data!C:C,match(B97,fish_lab_data!C:C,0))),"not dissected","dissected")</f>
        <v>dissected</v>
      </c>
    </row>
    <row r="98">
      <c r="A98" t="str">
        <f t="shared" si="1"/>
        <v>16486</v>
      </c>
      <c r="B98" t="str">
        <f>IFERROR(__xludf.DUMMYFUNCTION("""COMPUTED_VALUE"""),"U16486")</f>
        <v>U16486</v>
      </c>
      <c r="C98" t="str">
        <f>IFERROR(__xludf.DUMMYFUNCTION("""COMPUTED_VALUE"""),"PI")</f>
        <v>PI</v>
      </c>
      <c r="D98" t="str">
        <f>IFERROR(__xludf.DUMMYFUNCTION("""COMPUTED_VALUE"""),"DE517N2")</f>
        <v>DE517N2</v>
      </c>
      <c r="E98" t="str">
        <f>IFERROR(__xludf.DUMMYFUNCTION("""COMPUTED_VALUE"""),"P1049")</f>
        <v>P1049</v>
      </c>
      <c r="F98" t="str">
        <f t="array" ref="F98">if(iserror(index(fish_lab_data!C:C,match(B98,fish_lab_data!C:C,0))),"not dissected","dissected")</f>
        <v>dissected</v>
      </c>
    </row>
    <row r="99">
      <c r="A99" t="str">
        <f t="shared" si="1"/>
        <v>16487</v>
      </c>
      <c r="B99" t="str">
        <f>IFERROR(__xludf.DUMMYFUNCTION("""COMPUTED_VALUE"""),"U16487")</f>
        <v>U16487</v>
      </c>
      <c r="C99" t="str">
        <f>IFERROR(__xludf.DUMMYFUNCTION("""COMPUTED_VALUE"""),"PI")</f>
        <v>PI</v>
      </c>
      <c r="D99" t="str">
        <f>IFERROR(__xludf.DUMMYFUNCTION("""COMPUTED_VALUE"""),"DE517N2")</f>
        <v>DE517N2</v>
      </c>
      <c r="E99" t="str">
        <f>IFERROR(__xludf.DUMMYFUNCTION("""COMPUTED_VALUE"""),"P1049")</f>
        <v>P1049</v>
      </c>
      <c r="F99" t="str">
        <f t="array" ref="F99">if(iserror(index(fish_lab_data!C:C,match(B99,fish_lab_data!C:C,0))),"not dissected","dissected")</f>
        <v>dissected</v>
      </c>
    </row>
    <row r="100">
      <c r="A100" t="str">
        <f t="shared" si="1"/>
        <v>16488</v>
      </c>
      <c r="B100" t="str">
        <f>IFERROR(__xludf.DUMMYFUNCTION("""COMPUTED_VALUE"""),"U16488")</f>
        <v>U16488</v>
      </c>
      <c r="C100" t="str">
        <f>IFERROR(__xludf.DUMMYFUNCTION("""COMPUTED_VALUE"""),"PI")</f>
        <v>PI</v>
      </c>
      <c r="D100" t="str">
        <f>IFERROR(__xludf.DUMMYFUNCTION("""COMPUTED_VALUE"""),"DE517N2")</f>
        <v>DE517N2</v>
      </c>
      <c r="E100" t="str">
        <f>IFERROR(__xludf.DUMMYFUNCTION("""COMPUTED_VALUE"""),"P1049")</f>
        <v>P1049</v>
      </c>
      <c r="F100" t="str">
        <f t="array" ref="F100">if(iserror(index(fish_lab_data!C:C,match(B100,fish_lab_data!C:C,0))),"not dissected","dissected")</f>
        <v>dissected</v>
      </c>
    </row>
    <row r="101">
      <c r="A101" t="str">
        <f t="shared" si="1"/>
        <v>16489</v>
      </c>
      <c r="B101" t="str">
        <f>IFERROR(__xludf.DUMMYFUNCTION("""COMPUTED_VALUE"""),"U16489")</f>
        <v>U16489</v>
      </c>
      <c r="C101" t="str">
        <f>IFERROR(__xludf.DUMMYFUNCTION("""COMPUTED_VALUE"""),"PI")</f>
        <v>PI</v>
      </c>
      <c r="D101" t="str">
        <f>IFERROR(__xludf.DUMMYFUNCTION("""COMPUTED_VALUE"""),"DE517N2")</f>
        <v>DE517N2</v>
      </c>
      <c r="E101" t="str">
        <f>IFERROR(__xludf.DUMMYFUNCTION("""COMPUTED_VALUE"""),"P1049")</f>
        <v>P1049</v>
      </c>
      <c r="F101" t="str">
        <f t="array" ref="F101">if(iserror(index(fish_lab_data!C:C,match(B101,fish_lab_data!C:C,0))),"not dissected","dissected")</f>
        <v>dissected</v>
      </c>
    </row>
    <row r="102">
      <c r="A102" t="str">
        <f t="shared" si="1"/>
        <v>16490</v>
      </c>
      <c r="B102" t="str">
        <f>IFERROR(__xludf.DUMMYFUNCTION("""COMPUTED_VALUE"""),"U16490")</f>
        <v>U16490</v>
      </c>
      <c r="C102" t="str">
        <f>IFERROR(__xludf.DUMMYFUNCTION("""COMPUTED_VALUE"""),"PI")</f>
        <v>PI</v>
      </c>
      <c r="D102" t="str">
        <f>IFERROR(__xludf.DUMMYFUNCTION("""COMPUTED_VALUE"""),"DE517N2")</f>
        <v>DE517N2</v>
      </c>
      <c r="E102" t="str">
        <f>IFERROR(__xludf.DUMMYFUNCTION("""COMPUTED_VALUE"""),"P1049")</f>
        <v>P1049</v>
      </c>
      <c r="F102" t="str">
        <f t="array" ref="F102">if(iserror(index(fish_lab_data!C:C,match(B102,fish_lab_data!C:C,0))),"not dissected","dissected")</f>
        <v>dissected</v>
      </c>
    </row>
    <row r="103">
      <c r="A103" t="str">
        <f t="shared" si="1"/>
        <v>16191</v>
      </c>
      <c r="B103" t="str">
        <f>IFERROR(__xludf.DUMMYFUNCTION("""COMPUTED_VALUE"""),"U16191")</f>
        <v>U16191</v>
      </c>
      <c r="C103" t="str">
        <f>IFERROR(__xludf.DUMMYFUNCTION("""COMPUTED_VALUE"""),"SO")</f>
        <v>SO</v>
      </c>
      <c r="D103" t="str">
        <f>IFERROR(__xludf.DUMMYFUNCTION("""COMPUTED_VALUE"""),"DE517N2")</f>
        <v>DE517N2</v>
      </c>
      <c r="E103" t="str">
        <f>IFERROR(__xludf.DUMMYFUNCTION("""COMPUTED_VALUE"""),"P1020")</f>
        <v>P1020</v>
      </c>
      <c r="F103" t="str">
        <f t="array" ref="F103">if(iserror(index(fish_lab_data!C:C,match(B103,fish_lab_data!C:C,0))),"not dissected","dissected")</f>
        <v>dissected</v>
      </c>
    </row>
    <row r="104">
      <c r="A104" t="str">
        <f t="shared" si="1"/>
        <v>16192</v>
      </c>
      <c r="B104" t="str">
        <f>IFERROR(__xludf.DUMMYFUNCTION("""COMPUTED_VALUE"""),"U16192")</f>
        <v>U16192</v>
      </c>
      <c r="C104" t="str">
        <f>IFERROR(__xludf.DUMMYFUNCTION("""COMPUTED_VALUE"""),"SO")</f>
        <v>SO</v>
      </c>
      <c r="D104" t="str">
        <f>IFERROR(__xludf.DUMMYFUNCTION("""COMPUTED_VALUE"""),"DE517N2")</f>
        <v>DE517N2</v>
      </c>
      <c r="E104" t="str">
        <f>IFERROR(__xludf.DUMMYFUNCTION("""COMPUTED_VALUE"""),"P1020")</f>
        <v>P1020</v>
      </c>
      <c r="F104" t="str">
        <f t="array" ref="F104">if(iserror(index(fish_lab_data!C:C,match(B104,fish_lab_data!C:C,0))),"not dissected","dissected")</f>
        <v>dissected</v>
      </c>
    </row>
    <row r="105">
      <c r="A105" t="str">
        <f t="shared" si="1"/>
        <v>16193</v>
      </c>
      <c r="B105" t="str">
        <f>IFERROR(__xludf.DUMMYFUNCTION("""COMPUTED_VALUE"""),"U16193")</f>
        <v>U16193</v>
      </c>
      <c r="C105" t="str">
        <f>IFERROR(__xludf.DUMMYFUNCTION("""COMPUTED_VALUE"""),"SO")</f>
        <v>SO</v>
      </c>
      <c r="D105" t="str">
        <f>IFERROR(__xludf.DUMMYFUNCTION("""COMPUTED_VALUE"""),"DE517N2")</f>
        <v>DE517N2</v>
      </c>
      <c r="E105" t="str">
        <f>IFERROR(__xludf.DUMMYFUNCTION("""COMPUTED_VALUE"""),"P1020")</f>
        <v>P1020</v>
      </c>
      <c r="F105" t="str">
        <f t="array" ref="F105">if(iserror(index(fish_lab_data!C:C,match(B105,fish_lab_data!C:C,0))),"not dissected","dissected")</f>
        <v>dissected</v>
      </c>
    </row>
    <row r="106">
      <c r="A106" t="str">
        <f t="shared" si="1"/>
        <v>16194</v>
      </c>
      <c r="B106" t="str">
        <f>IFERROR(__xludf.DUMMYFUNCTION("""COMPUTED_VALUE"""),"U16194")</f>
        <v>U16194</v>
      </c>
      <c r="C106" t="str">
        <f>IFERROR(__xludf.DUMMYFUNCTION("""COMPUTED_VALUE"""),"SO")</f>
        <v>SO</v>
      </c>
      <c r="D106" t="str">
        <f>IFERROR(__xludf.DUMMYFUNCTION("""COMPUTED_VALUE"""),"DE517N2")</f>
        <v>DE517N2</v>
      </c>
      <c r="E106" t="str">
        <f>IFERROR(__xludf.DUMMYFUNCTION("""COMPUTED_VALUE"""),"P1020")</f>
        <v>P1020</v>
      </c>
      <c r="F106" t="str">
        <f t="array" ref="F106">if(iserror(index(fish_lab_data!C:C,match(B106,fish_lab_data!C:C,0))),"not dissected","dissected")</f>
        <v>dissected</v>
      </c>
    </row>
    <row r="107">
      <c r="A107" t="str">
        <f t="shared" si="1"/>
        <v>16195</v>
      </c>
      <c r="B107" t="str">
        <f>IFERROR(__xludf.DUMMYFUNCTION("""COMPUTED_VALUE"""),"U16195")</f>
        <v>U16195</v>
      </c>
      <c r="C107" t="str">
        <f>IFERROR(__xludf.DUMMYFUNCTION("""COMPUTED_VALUE"""),"SO")</f>
        <v>SO</v>
      </c>
      <c r="D107" t="str">
        <f>IFERROR(__xludf.DUMMYFUNCTION("""COMPUTED_VALUE"""),"DE517N2")</f>
        <v>DE517N2</v>
      </c>
      <c r="E107" t="str">
        <f>IFERROR(__xludf.DUMMYFUNCTION("""COMPUTED_VALUE"""),"P1020")</f>
        <v>P1020</v>
      </c>
      <c r="F107" t="str">
        <f t="array" ref="F107">if(iserror(index(fish_lab_data!C:C,match(B107,fish_lab_data!C:C,0))),"not dissected","dissected")</f>
        <v>dissected</v>
      </c>
    </row>
    <row r="108">
      <c r="A108" t="str">
        <f t="shared" si="1"/>
        <v>16196</v>
      </c>
      <c r="B108" t="str">
        <f>IFERROR(__xludf.DUMMYFUNCTION("""COMPUTED_VALUE"""),"U16196")</f>
        <v>U16196</v>
      </c>
      <c r="C108" t="str">
        <f>IFERROR(__xludf.DUMMYFUNCTION("""COMPUTED_VALUE"""),"SO")</f>
        <v>SO</v>
      </c>
      <c r="D108" t="str">
        <f>IFERROR(__xludf.DUMMYFUNCTION("""COMPUTED_VALUE"""),"DE517N2")</f>
        <v>DE517N2</v>
      </c>
      <c r="E108" t="str">
        <f>IFERROR(__xludf.DUMMYFUNCTION("""COMPUTED_VALUE"""),"P1020")</f>
        <v>P1020</v>
      </c>
      <c r="F108" t="str">
        <f t="array" ref="F108">if(iserror(index(fish_lab_data!C:C,match(B108,fish_lab_data!C:C,0))),"not dissected","dissected")</f>
        <v>dissected</v>
      </c>
    </row>
    <row r="109">
      <c r="A109" t="str">
        <f t="shared" si="1"/>
        <v>16197</v>
      </c>
      <c r="B109" t="str">
        <f>IFERROR(__xludf.DUMMYFUNCTION("""COMPUTED_VALUE"""),"U16197")</f>
        <v>U16197</v>
      </c>
      <c r="C109" t="str">
        <f>IFERROR(__xludf.DUMMYFUNCTION("""COMPUTED_VALUE"""),"SO")</f>
        <v>SO</v>
      </c>
      <c r="D109" t="str">
        <f>IFERROR(__xludf.DUMMYFUNCTION("""COMPUTED_VALUE"""),"DE517N2")</f>
        <v>DE517N2</v>
      </c>
      <c r="E109" t="str">
        <f>IFERROR(__xludf.DUMMYFUNCTION("""COMPUTED_VALUE"""),"P1020")</f>
        <v>P1020</v>
      </c>
      <c r="F109" t="str">
        <f t="array" ref="F109">if(iserror(index(fish_lab_data!C:C,match(B109,fish_lab_data!C:C,0))),"not dissected","dissected")</f>
        <v>dissected</v>
      </c>
    </row>
    <row r="110">
      <c r="A110" t="str">
        <f t="shared" si="1"/>
        <v>16198</v>
      </c>
      <c r="B110" t="str">
        <f>IFERROR(__xludf.DUMMYFUNCTION("""COMPUTED_VALUE"""),"U16198")</f>
        <v>U16198</v>
      </c>
      <c r="C110" t="str">
        <f>IFERROR(__xludf.DUMMYFUNCTION("""COMPUTED_VALUE"""),"SO")</f>
        <v>SO</v>
      </c>
      <c r="D110" t="str">
        <f>IFERROR(__xludf.DUMMYFUNCTION("""COMPUTED_VALUE"""),"DE517N2")</f>
        <v>DE517N2</v>
      </c>
      <c r="E110" t="str">
        <f>IFERROR(__xludf.DUMMYFUNCTION("""COMPUTED_VALUE"""),"P1020")</f>
        <v>P1020</v>
      </c>
      <c r="F110" t="str">
        <f t="array" ref="F110">if(iserror(index(fish_lab_data!C:C,match(B110,fish_lab_data!C:C,0))),"not dissected","dissected")</f>
        <v>dissected</v>
      </c>
    </row>
    <row r="111">
      <c r="A111" t="str">
        <f t="shared" si="1"/>
        <v>16199</v>
      </c>
      <c r="B111" t="str">
        <f>IFERROR(__xludf.DUMMYFUNCTION("""COMPUTED_VALUE"""),"U16199")</f>
        <v>U16199</v>
      </c>
      <c r="C111" t="str">
        <f>IFERROR(__xludf.DUMMYFUNCTION("""COMPUTED_VALUE"""),"SO")</f>
        <v>SO</v>
      </c>
      <c r="D111" t="str">
        <f>IFERROR(__xludf.DUMMYFUNCTION("""COMPUTED_VALUE"""),"DE517N2")</f>
        <v>DE517N2</v>
      </c>
      <c r="E111" t="str">
        <f>IFERROR(__xludf.DUMMYFUNCTION("""COMPUTED_VALUE"""),"P1020")</f>
        <v>P1020</v>
      </c>
      <c r="F111" t="str">
        <f t="array" ref="F111">if(iserror(index(fish_lab_data!C:C,match(B111,fish_lab_data!C:C,0))),"not dissected","dissected")</f>
        <v>dissected</v>
      </c>
    </row>
    <row r="112">
      <c r="A112" t="str">
        <f t="shared" si="1"/>
        <v>16200</v>
      </c>
      <c r="B112" t="str">
        <f>IFERROR(__xludf.DUMMYFUNCTION("""COMPUTED_VALUE"""),"U16200")</f>
        <v>U16200</v>
      </c>
      <c r="C112" t="str">
        <f>IFERROR(__xludf.DUMMYFUNCTION("""COMPUTED_VALUE"""),"SO")</f>
        <v>SO</v>
      </c>
      <c r="D112" t="str">
        <f>IFERROR(__xludf.DUMMYFUNCTION("""COMPUTED_VALUE"""),"DE517N2")</f>
        <v>DE517N2</v>
      </c>
      <c r="E112" t="str">
        <f>IFERROR(__xludf.DUMMYFUNCTION("""COMPUTED_VALUE"""),"P1020")</f>
        <v>P1020</v>
      </c>
      <c r="F112" t="str">
        <f t="array" ref="F112">if(iserror(index(fish_lab_data!C:C,match(B112,fish_lab_data!C:C,0))),"not dissected","dissected")</f>
        <v>dissected</v>
      </c>
    </row>
    <row r="113">
      <c r="A113" t="str">
        <f t="shared" si="1"/>
        <v>16251</v>
      </c>
      <c r="B113" t="str">
        <f>IFERROR(__xludf.DUMMYFUNCTION("""COMPUTED_VALUE"""),"U16251")</f>
        <v>U16251</v>
      </c>
      <c r="C113" t="str">
        <f>IFERROR(__xludf.DUMMYFUNCTION("""COMPUTED_VALUE"""),"SO")</f>
        <v>SO</v>
      </c>
      <c r="D113" t="str">
        <f>IFERROR(__xludf.DUMMYFUNCTION("""COMPUTED_VALUE"""),"DE517N2")</f>
        <v>DE517N2</v>
      </c>
      <c r="E113" t="str">
        <f>IFERROR(__xludf.DUMMYFUNCTION("""COMPUTED_VALUE"""),"P1026")</f>
        <v>P1026</v>
      </c>
      <c r="F113" t="str">
        <f t="array" ref="F113">if(iserror(index(fish_lab_data!C:C,match(B113,fish_lab_data!C:C,0))),"not dissected","dissected")</f>
        <v>dissected</v>
      </c>
    </row>
    <row r="114">
      <c r="A114" t="str">
        <f t="shared" si="1"/>
        <v>16252</v>
      </c>
      <c r="B114" t="str">
        <f>IFERROR(__xludf.DUMMYFUNCTION("""COMPUTED_VALUE"""),"U16252")</f>
        <v>U16252</v>
      </c>
      <c r="C114" t="str">
        <f>IFERROR(__xludf.DUMMYFUNCTION("""COMPUTED_VALUE"""),"SO")</f>
        <v>SO</v>
      </c>
      <c r="D114" t="str">
        <f>IFERROR(__xludf.DUMMYFUNCTION("""COMPUTED_VALUE"""),"DE517N2")</f>
        <v>DE517N2</v>
      </c>
      <c r="E114" t="str">
        <f>IFERROR(__xludf.DUMMYFUNCTION("""COMPUTED_VALUE"""),"P1026")</f>
        <v>P1026</v>
      </c>
      <c r="F114" t="str">
        <f t="array" ref="F114">if(iserror(index(fish_lab_data!C:C,match(B114,fish_lab_data!C:C,0))),"not dissected","dissected")</f>
        <v>dissected</v>
      </c>
    </row>
    <row r="115">
      <c r="A115" t="str">
        <f t="shared" si="1"/>
        <v>16253</v>
      </c>
      <c r="B115" t="str">
        <f>IFERROR(__xludf.DUMMYFUNCTION("""COMPUTED_VALUE"""),"U16253")</f>
        <v>U16253</v>
      </c>
      <c r="C115" t="str">
        <f>IFERROR(__xludf.DUMMYFUNCTION("""COMPUTED_VALUE"""),"SO")</f>
        <v>SO</v>
      </c>
      <c r="D115" t="str">
        <f>IFERROR(__xludf.DUMMYFUNCTION("""COMPUTED_VALUE"""),"DE517N2")</f>
        <v>DE517N2</v>
      </c>
      <c r="E115" t="str">
        <f>IFERROR(__xludf.DUMMYFUNCTION("""COMPUTED_VALUE"""),"P1026")</f>
        <v>P1026</v>
      </c>
      <c r="F115" t="str">
        <f t="array" ref="F115">if(iserror(index(fish_lab_data!C:C,match(B115,fish_lab_data!C:C,0))),"not dissected","dissected")</f>
        <v>dissected</v>
      </c>
    </row>
    <row r="116">
      <c r="A116" t="str">
        <f t="shared" si="1"/>
        <v>16254</v>
      </c>
      <c r="B116" t="str">
        <f>IFERROR(__xludf.DUMMYFUNCTION("""COMPUTED_VALUE"""),"U16254")</f>
        <v>U16254</v>
      </c>
      <c r="C116" t="str">
        <f>IFERROR(__xludf.DUMMYFUNCTION("""COMPUTED_VALUE"""),"SO")</f>
        <v>SO</v>
      </c>
      <c r="D116" t="str">
        <f>IFERROR(__xludf.DUMMYFUNCTION("""COMPUTED_VALUE"""),"DE517N2")</f>
        <v>DE517N2</v>
      </c>
      <c r="E116" t="str">
        <f>IFERROR(__xludf.DUMMYFUNCTION("""COMPUTED_VALUE"""),"P1026")</f>
        <v>P1026</v>
      </c>
      <c r="F116" t="str">
        <f t="array" ref="F116">if(iserror(index(fish_lab_data!C:C,match(B116,fish_lab_data!C:C,0))),"not dissected","dissected")</f>
        <v>dissected</v>
      </c>
    </row>
    <row r="117">
      <c r="A117" t="str">
        <f t="shared" si="1"/>
        <v>16255</v>
      </c>
      <c r="B117" t="str">
        <f>IFERROR(__xludf.DUMMYFUNCTION("""COMPUTED_VALUE"""),"U16255")</f>
        <v>U16255</v>
      </c>
      <c r="C117" t="str">
        <f>IFERROR(__xludf.DUMMYFUNCTION("""COMPUTED_VALUE"""),"SO")</f>
        <v>SO</v>
      </c>
      <c r="D117" t="str">
        <f>IFERROR(__xludf.DUMMYFUNCTION("""COMPUTED_VALUE"""),"DE517N2")</f>
        <v>DE517N2</v>
      </c>
      <c r="E117" t="str">
        <f>IFERROR(__xludf.DUMMYFUNCTION("""COMPUTED_VALUE"""),"P1026")</f>
        <v>P1026</v>
      </c>
      <c r="F117" t="str">
        <f t="array" ref="F117">if(iserror(index(fish_lab_data!C:C,match(B117,fish_lab_data!C:C,0))),"not dissected","dissected")</f>
        <v>dissected</v>
      </c>
    </row>
    <row r="118">
      <c r="A118" t="str">
        <f t="shared" si="1"/>
        <v>16256</v>
      </c>
      <c r="B118" t="str">
        <f>IFERROR(__xludf.DUMMYFUNCTION("""COMPUTED_VALUE"""),"U16256")</f>
        <v>U16256</v>
      </c>
      <c r="C118" t="str">
        <f>IFERROR(__xludf.DUMMYFUNCTION("""COMPUTED_VALUE"""),"SO")</f>
        <v>SO</v>
      </c>
      <c r="D118" t="str">
        <f>IFERROR(__xludf.DUMMYFUNCTION("""COMPUTED_VALUE"""),"DE517N2")</f>
        <v>DE517N2</v>
      </c>
      <c r="E118" t="str">
        <f>IFERROR(__xludf.DUMMYFUNCTION("""COMPUTED_VALUE"""),"P1026")</f>
        <v>P1026</v>
      </c>
      <c r="F118" t="str">
        <f t="array" ref="F118">if(iserror(index(fish_lab_data!C:C,match(B118,fish_lab_data!C:C,0))),"not dissected","dissected")</f>
        <v>dissected</v>
      </c>
    </row>
    <row r="119">
      <c r="A119" t="str">
        <f t="shared" si="1"/>
        <v>16257</v>
      </c>
      <c r="B119" t="str">
        <f>IFERROR(__xludf.DUMMYFUNCTION("""COMPUTED_VALUE"""),"U16257")</f>
        <v>U16257</v>
      </c>
      <c r="C119" t="str">
        <f>IFERROR(__xludf.DUMMYFUNCTION("""COMPUTED_VALUE"""),"SO")</f>
        <v>SO</v>
      </c>
      <c r="D119" t="str">
        <f>IFERROR(__xludf.DUMMYFUNCTION("""COMPUTED_VALUE"""),"DE517N2")</f>
        <v>DE517N2</v>
      </c>
      <c r="E119" t="str">
        <f>IFERROR(__xludf.DUMMYFUNCTION("""COMPUTED_VALUE"""),"P1026")</f>
        <v>P1026</v>
      </c>
      <c r="F119" t="str">
        <f t="array" ref="F119">if(iserror(index(fish_lab_data!C:C,match(B119,fish_lab_data!C:C,0))),"not dissected","dissected")</f>
        <v>dissected</v>
      </c>
    </row>
    <row r="120">
      <c r="A120" t="str">
        <f t="shared" si="1"/>
        <v>16258</v>
      </c>
      <c r="B120" t="str">
        <f>IFERROR(__xludf.DUMMYFUNCTION("""COMPUTED_VALUE"""),"U16258")</f>
        <v>U16258</v>
      </c>
      <c r="C120" t="str">
        <f>IFERROR(__xludf.DUMMYFUNCTION("""COMPUTED_VALUE"""),"SO")</f>
        <v>SO</v>
      </c>
      <c r="D120" t="str">
        <f>IFERROR(__xludf.DUMMYFUNCTION("""COMPUTED_VALUE"""),"DE517N2")</f>
        <v>DE517N2</v>
      </c>
      <c r="E120" t="str">
        <f>IFERROR(__xludf.DUMMYFUNCTION("""COMPUTED_VALUE"""),"P1026")</f>
        <v>P1026</v>
      </c>
      <c r="F120" t="str">
        <f t="array" ref="F120">if(iserror(index(fish_lab_data!C:C,match(B120,fish_lab_data!C:C,0))),"not dissected","dissected")</f>
        <v>dissected</v>
      </c>
    </row>
    <row r="121">
      <c r="A121" t="str">
        <f t="shared" si="1"/>
        <v>16259</v>
      </c>
      <c r="B121" t="str">
        <f>IFERROR(__xludf.DUMMYFUNCTION("""COMPUTED_VALUE"""),"U16259")</f>
        <v>U16259</v>
      </c>
      <c r="C121" t="str">
        <f>IFERROR(__xludf.DUMMYFUNCTION("""COMPUTED_VALUE"""),"SO")</f>
        <v>SO</v>
      </c>
      <c r="D121" t="str">
        <f>IFERROR(__xludf.DUMMYFUNCTION("""COMPUTED_VALUE"""),"DE517N2")</f>
        <v>DE517N2</v>
      </c>
      <c r="E121" t="str">
        <f>IFERROR(__xludf.DUMMYFUNCTION("""COMPUTED_VALUE"""),"P1026")</f>
        <v>P1026</v>
      </c>
      <c r="F121" t="str">
        <f t="array" ref="F121">if(iserror(index(fish_lab_data!C:C,match(B121,fish_lab_data!C:C,0))),"not dissected","dissected")</f>
        <v>dissected</v>
      </c>
    </row>
    <row r="122">
      <c r="A122" t="str">
        <f t="shared" si="1"/>
        <v>16260</v>
      </c>
      <c r="B122" t="str">
        <f>IFERROR(__xludf.DUMMYFUNCTION("""COMPUTED_VALUE"""),"U16260")</f>
        <v>U16260</v>
      </c>
      <c r="C122" t="str">
        <f>IFERROR(__xludf.DUMMYFUNCTION("""COMPUTED_VALUE"""),"SO")</f>
        <v>SO</v>
      </c>
      <c r="D122" t="str">
        <f>IFERROR(__xludf.DUMMYFUNCTION("""COMPUTED_VALUE"""),"DE517N2")</f>
        <v>DE517N2</v>
      </c>
      <c r="E122" t="str">
        <f>IFERROR(__xludf.DUMMYFUNCTION("""COMPUTED_VALUE"""),"P1026")</f>
        <v>P1026</v>
      </c>
      <c r="F122" t="str">
        <f t="array" ref="F122">if(iserror(index(fish_lab_data!C:C,match(B122,fish_lab_data!C:C,0))),"not dissected","dissected")</f>
        <v>not dissected</v>
      </c>
    </row>
    <row r="123">
      <c r="A123" t="str">
        <f t="shared" si="1"/>
        <v>16131</v>
      </c>
      <c r="B123" t="str">
        <f>IFERROR(__xludf.DUMMYFUNCTION("""COMPUTED_VALUE"""),"U16131")</f>
        <v>U16131</v>
      </c>
      <c r="C123" t="str">
        <f>IFERROR(__xludf.DUMMYFUNCTION("""COMPUTED_VALUE"""),"CO")</f>
        <v>CO</v>
      </c>
      <c r="D123" t="str">
        <f>IFERROR(__xludf.DUMMYFUNCTION("""COMPUTED_VALUE"""),"DE517N2")</f>
        <v>DE517N2</v>
      </c>
      <c r="E123" t="str">
        <f>IFERROR(__xludf.DUMMYFUNCTION("""COMPUTED_VALUE"""),"P1014")</f>
        <v>P1014</v>
      </c>
      <c r="F123" t="str">
        <f t="array" ref="F123">if(iserror(index(fish_lab_data!C:C,match(B123,fish_lab_data!C:C,0))),"not dissected","dissected")</f>
        <v>dissected</v>
      </c>
    </row>
    <row r="124">
      <c r="A124" t="str">
        <f t="shared" si="1"/>
        <v>16171</v>
      </c>
      <c r="B124" t="str">
        <f>IFERROR(__xludf.DUMMYFUNCTION("""COMPUTED_VALUE"""),"U16171")</f>
        <v>U16171</v>
      </c>
      <c r="C124" t="str">
        <f>IFERROR(__xludf.DUMMYFUNCTION("""COMPUTED_VALUE"""),"HE")</f>
        <v>HE</v>
      </c>
      <c r="D124" t="str">
        <f>IFERROR(__xludf.DUMMYFUNCTION("""COMPUTED_VALUE"""),"DE517N2")</f>
        <v>DE517N2</v>
      </c>
      <c r="E124" t="str">
        <f>IFERROR(__xludf.DUMMYFUNCTION("""COMPUTED_VALUE"""),"P1018")</f>
        <v>P1018</v>
      </c>
      <c r="F124" t="str">
        <f t="array" ref="F124">if(iserror(index(fish_lab_data!C:C,match(B124,fish_lab_data!C:C,0))),"not dissected","dissected")</f>
        <v>dissected</v>
      </c>
    </row>
    <row r="125">
      <c r="A125" t="str">
        <f t="shared" si="1"/>
        <v>16172</v>
      </c>
      <c r="B125" t="str">
        <f>IFERROR(__xludf.DUMMYFUNCTION("""COMPUTED_VALUE"""),"U16172")</f>
        <v>U16172</v>
      </c>
      <c r="C125" t="str">
        <f>IFERROR(__xludf.DUMMYFUNCTION("""COMPUTED_VALUE"""),"HE")</f>
        <v>HE</v>
      </c>
      <c r="D125" t="str">
        <f>IFERROR(__xludf.DUMMYFUNCTION("""COMPUTED_VALUE"""),"DE517N2")</f>
        <v>DE517N2</v>
      </c>
      <c r="E125" t="str">
        <f>IFERROR(__xludf.DUMMYFUNCTION("""COMPUTED_VALUE"""),"P1018")</f>
        <v>P1018</v>
      </c>
      <c r="F125" t="str">
        <f t="array" ref="F125">if(iserror(index(fish_lab_data!C:C,match(B125,fish_lab_data!C:C,0))),"not dissected","dissected")</f>
        <v>dissected</v>
      </c>
    </row>
    <row r="126">
      <c r="A126" t="str">
        <f t="shared" si="1"/>
        <v>16181</v>
      </c>
      <c r="B126" t="str">
        <f>IFERROR(__xludf.DUMMYFUNCTION("""COMPUTED_VALUE"""),"U16181")</f>
        <v>U16181</v>
      </c>
      <c r="C126" t="str">
        <f>IFERROR(__xludf.DUMMYFUNCTION("""COMPUTED_VALUE"""),"SO")</f>
        <v>SO</v>
      </c>
      <c r="D126" t="str">
        <f>IFERROR(__xludf.DUMMYFUNCTION("""COMPUTED_VALUE"""),"DE531N1")</f>
        <v>DE531N1</v>
      </c>
      <c r="E126" t="str">
        <f>IFERROR(__xludf.DUMMYFUNCTION("""COMPUTED_VALUE"""),"P1019")</f>
        <v>P1019</v>
      </c>
      <c r="F126" t="str">
        <f t="array" ref="F126">if(iserror(index(fish_lab_data!C:C,match(B126,fish_lab_data!C:C,0))),"not dissected","dissected")</f>
        <v>dissected</v>
      </c>
    </row>
    <row r="127">
      <c r="A127" t="str">
        <f t="shared" si="1"/>
        <v>16182</v>
      </c>
      <c r="B127" t="str">
        <f>IFERROR(__xludf.DUMMYFUNCTION("""COMPUTED_VALUE"""),"U16182")</f>
        <v>U16182</v>
      </c>
      <c r="C127" t="str">
        <f>IFERROR(__xludf.DUMMYFUNCTION("""COMPUTED_VALUE"""),"SO")</f>
        <v>SO</v>
      </c>
      <c r="D127" t="str">
        <f>IFERROR(__xludf.DUMMYFUNCTION("""COMPUTED_VALUE"""),"DE531N1")</f>
        <v>DE531N1</v>
      </c>
      <c r="E127" t="str">
        <f>IFERROR(__xludf.DUMMYFUNCTION("""COMPUTED_VALUE"""),"P1019")</f>
        <v>P1019</v>
      </c>
      <c r="F127" t="str">
        <f t="array" ref="F127">if(iserror(index(fish_lab_data!C:C,match(B127,fish_lab_data!C:C,0))),"not dissected","dissected")</f>
        <v>dissected</v>
      </c>
    </row>
    <row r="128">
      <c r="A128" t="str">
        <f t="shared" si="1"/>
        <v>16183</v>
      </c>
      <c r="B128" t="str">
        <f>IFERROR(__xludf.DUMMYFUNCTION("""COMPUTED_VALUE"""),"U16183")</f>
        <v>U16183</v>
      </c>
      <c r="C128" t="str">
        <f>IFERROR(__xludf.DUMMYFUNCTION("""COMPUTED_VALUE"""),"SO")</f>
        <v>SO</v>
      </c>
      <c r="D128" t="str">
        <f>IFERROR(__xludf.DUMMYFUNCTION("""COMPUTED_VALUE"""),"DE531N1")</f>
        <v>DE531N1</v>
      </c>
      <c r="E128" t="str">
        <f>IFERROR(__xludf.DUMMYFUNCTION("""COMPUTED_VALUE"""),"P1019")</f>
        <v>P1019</v>
      </c>
      <c r="F128" t="str">
        <f t="array" ref="F128">if(iserror(index(fish_lab_data!C:C,match(B128,fish_lab_data!C:C,0))),"not dissected","dissected")</f>
        <v>dissected</v>
      </c>
    </row>
    <row r="129">
      <c r="A129" t="str">
        <f t="shared" si="1"/>
        <v>16184</v>
      </c>
      <c r="B129" t="str">
        <f>IFERROR(__xludf.DUMMYFUNCTION("""COMPUTED_VALUE"""),"U16184")</f>
        <v>U16184</v>
      </c>
      <c r="C129" t="str">
        <f>IFERROR(__xludf.DUMMYFUNCTION("""COMPUTED_VALUE"""),"SO")</f>
        <v>SO</v>
      </c>
      <c r="D129" t="str">
        <f>IFERROR(__xludf.DUMMYFUNCTION("""COMPUTED_VALUE"""),"DE531N1")</f>
        <v>DE531N1</v>
      </c>
      <c r="E129" t="str">
        <f>IFERROR(__xludf.DUMMYFUNCTION("""COMPUTED_VALUE"""),"P1019")</f>
        <v>P1019</v>
      </c>
      <c r="F129" t="str">
        <f t="array" ref="F129">if(iserror(index(fish_lab_data!C:C,match(B129,fish_lab_data!C:C,0))),"not dissected","dissected")</f>
        <v>dissected</v>
      </c>
    </row>
    <row r="130">
      <c r="A130" t="str">
        <f t="shared" si="1"/>
        <v>16185</v>
      </c>
      <c r="B130" t="str">
        <f>IFERROR(__xludf.DUMMYFUNCTION("""COMPUTED_VALUE"""),"U16185")</f>
        <v>U16185</v>
      </c>
      <c r="C130" t="str">
        <f>IFERROR(__xludf.DUMMYFUNCTION("""COMPUTED_VALUE"""),"SO")</f>
        <v>SO</v>
      </c>
      <c r="D130" t="str">
        <f>IFERROR(__xludf.DUMMYFUNCTION("""COMPUTED_VALUE"""),"DE531N1")</f>
        <v>DE531N1</v>
      </c>
      <c r="E130" t="str">
        <f>IFERROR(__xludf.DUMMYFUNCTION("""COMPUTED_VALUE"""),"P1019")</f>
        <v>P1019</v>
      </c>
      <c r="F130" t="str">
        <f t="array" ref="F130">if(iserror(index(fish_lab_data!C:C,match(B130,fish_lab_data!C:C,0))),"not dissected","dissected")</f>
        <v>dissected</v>
      </c>
    </row>
    <row r="131">
      <c r="A131" t="str">
        <f t="shared" si="1"/>
        <v>16186</v>
      </c>
      <c r="B131" t="str">
        <f>IFERROR(__xludf.DUMMYFUNCTION("""COMPUTED_VALUE"""),"U16186")</f>
        <v>U16186</v>
      </c>
      <c r="C131" t="str">
        <f>IFERROR(__xludf.DUMMYFUNCTION("""COMPUTED_VALUE"""),"SO")</f>
        <v>SO</v>
      </c>
      <c r="D131" t="str">
        <f>IFERROR(__xludf.DUMMYFUNCTION("""COMPUTED_VALUE"""),"DE531N1")</f>
        <v>DE531N1</v>
      </c>
      <c r="E131" t="str">
        <f>IFERROR(__xludf.DUMMYFUNCTION("""COMPUTED_VALUE"""),"P1019")</f>
        <v>P1019</v>
      </c>
      <c r="F131" t="str">
        <f t="array" ref="F131">if(iserror(index(fish_lab_data!C:C,match(B131,fish_lab_data!C:C,0))),"not dissected","dissected")</f>
        <v>dissected</v>
      </c>
    </row>
    <row r="132">
      <c r="A132" t="str">
        <f t="shared" si="1"/>
        <v>16187</v>
      </c>
      <c r="B132" t="str">
        <f>IFERROR(__xludf.DUMMYFUNCTION("""COMPUTED_VALUE"""),"U16187")</f>
        <v>U16187</v>
      </c>
      <c r="C132" t="str">
        <f>IFERROR(__xludf.DUMMYFUNCTION("""COMPUTED_VALUE"""),"SO")</f>
        <v>SO</v>
      </c>
      <c r="D132" t="str">
        <f>IFERROR(__xludf.DUMMYFUNCTION("""COMPUTED_VALUE"""),"DE531N1")</f>
        <v>DE531N1</v>
      </c>
      <c r="E132" t="str">
        <f>IFERROR(__xludf.DUMMYFUNCTION("""COMPUTED_VALUE"""),"P1019")</f>
        <v>P1019</v>
      </c>
      <c r="F132" t="str">
        <f t="array" ref="F132">if(iserror(index(fish_lab_data!C:C,match(B132,fish_lab_data!C:C,0))),"not dissected","dissected")</f>
        <v>dissected</v>
      </c>
    </row>
    <row r="133">
      <c r="A133" t="str">
        <f t="shared" si="1"/>
        <v>16188</v>
      </c>
      <c r="B133" t="str">
        <f>IFERROR(__xludf.DUMMYFUNCTION("""COMPUTED_VALUE"""),"U16188")</f>
        <v>U16188</v>
      </c>
      <c r="C133" t="str">
        <f>IFERROR(__xludf.DUMMYFUNCTION("""COMPUTED_VALUE"""),"SO")</f>
        <v>SO</v>
      </c>
      <c r="D133" t="str">
        <f>IFERROR(__xludf.DUMMYFUNCTION("""COMPUTED_VALUE"""),"DE531N1")</f>
        <v>DE531N1</v>
      </c>
      <c r="E133" t="str">
        <f>IFERROR(__xludf.DUMMYFUNCTION("""COMPUTED_VALUE"""),"P1019")</f>
        <v>P1019</v>
      </c>
      <c r="F133" t="str">
        <f t="array" ref="F133">if(iserror(index(fish_lab_data!C:C,match(B133,fish_lab_data!C:C,0))),"not dissected","dissected")</f>
        <v>dissected</v>
      </c>
    </row>
    <row r="134">
      <c r="A134" t="str">
        <f t="shared" si="1"/>
        <v>16189</v>
      </c>
      <c r="B134" t="str">
        <f>IFERROR(__xludf.DUMMYFUNCTION("""COMPUTED_VALUE"""),"U16189")</f>
        <v>U16189</v>
      </c>
      <c r="C134" t="str">
        <f>IFERROR(__xludf.DUMMYFUNCTION("""COMPUTED_VALUE"""),"SO")</f>
        <v>SO</v>
      </c>
      <c r="D134" t="str">
        <f>IFERROR(__xludf.DUMMYFUNCTION("""COMPUTED_VALUE"""),"DE531N1")</f>
        <v>DE531N1</v>
      </c>
      <c r="E134" t="str">
        <f>IFERROR(__xludf.DUMMYFUNCTION("""COMPUTED_VALUE"""),"P1019")</f>
        <v>P1019</v>
      </c>
      <c r="F134" t="str">
        <f t="array" ref="F134">if(iserror(index(fish_lab_data!C:C,match(B134,fish_lab_data!C:C,0))),"not dissected","dissected")</f>
        <v>dissected</v>
      </c>
    </row>
    <row r="135">
      <c r="A135" t="str">
        <f t="shared" si="1"/>
        <v>16190</v>
      </c>
      <c r="B135" t="str">
        <f>IFERROR(__xludf.DUMMYFUNCTION("""COMPUTED_VALUE"""),"U16190")</f>
        <v>U16190</v>
      </c>
      <c r="C135" t="str">
        <f>IFERROR(__xludf.DUMMYFUNCTION("""COMPUTED_VALUE"""),"SO")</f>
        <v>SO</v>
      </c>
      <c r="D135" t="str">
        <f>IFERROR(__xludf.DUMMYFUNCTION("""COMPUTED_VALUE"""),"DE531N1")</f>
        <v>DE531N1</v>
      </c>
      <c r="E135" t="str">
        <f>IFERROR(__xludf.DUMMYFUNCTION("""COMPUTED_VALUE"""),"P1019")</f>
        <v>P1019</v>
      </c>
      <c r="F135" t="str">
        <f t="array" ref="F135">if(iserror(index(fish_lab_data!C:C,match(B135,fish_lab_data!C:C,0))),"not dissected","dissected")</f>
        <v>dissected</v>
      </c>
    </row>
    <row r="136">
      <c r="A136" t="str">
        <f t="shared" si="1"/>
        <v>16361</v>
      </c>
      <c r="B136" t="str">
        <f>IFERROR(__xludf.DUMMYFUNCTION("""COMPUTED_VALUE"""),"U16361")</f>
        <v>U16361</v>
      </c>
      <c r="C136" t="str">
        <f>IFERROR(__xludf.DUMMYFUNCTION("""COMPUTED_VALUE"""),"CU")</f>
        <v>CU</v>
      </c>
      <c r="D136" t="str">
        <f>IFERROR(__xludf.DUMMYFUNCTION("""COMPUTED_VALUE"""),"DE531N1")</f>
        <v>DE531N1</v>
      </c>
      <c r="E136" t="str">
        <f>IFERROR(__xludf.DUMMYFUNCTION("""COMPUTED_VALUE"""),"P1037")</f>
        <v>P1037</v>
      </c>
      <c r="F136" t="str">
        <f t="array" ref="F136">if(iserror(index(fish_lab_data!C:C,match(B136,fish_lab_data!C:C,0))),"not dissected","dissected")</f>
        <v>dissected</v>
      </c>
    </row>
    <row r="137">
      <c r="A137" t="str">
        <f t="shared" si="1"/>
        <v>16362</v>
      </c>
      <c r="B137" t="str">
        <f>IFERROR(__xludf.DUMMYFUNCTION("""COMPUTED_VALUE"""),"U16362")</f>
        <v>U16362</v>
      </c>
      <c r="C137" t="str">
        <f>IFERROR(__xludf.DUMMYFUNCTION("""COMPUTED_VALUE"""),"CU")</f>
        <v>CU</v>
      </c>
      <c r="D137" t="str">
        <f>IFERROR(__xludf.DUMMYFUNCTION("""COMPUTED_VALUE"""),"DE531N1")</f>
        <v>DE531N1</v>
      </c>
      <c r="E137" t="str">
        <f>IFERROR(__xludf.DUMMYFUNCTION("""COMPUTED_VALUE"""),"P1037")</f>
        <v>P1037</v>
      </c>
      <c r="F137" t="str">
        <f t="array" ref="F137">if(iserror(index(fish_lab_data!C:C,match(B137,fish_lab_data!C:C,0))),"not dissected","dissected")</f>
        <v>dissected</v>
      </c>
    </row>
    <row r="138">
      <c r="A138" t="str">
        <f t="shared" si="1"/>
        <v>16363</v>
      </c>
      <c r="B138" t="str">
        <f>IFERROR(__xludf.DUMMYFUNCTION("""COMPUTED_VALUE"""),"U16363")</f>
        <v>U16363</v>
      </c>
      <c r="C138" t="str">
        <f>IFERROR(__xludf.DUMMYFUNCTION("""COMPUTED_VALUE"""),"CU")</f>
        <v>CU</v>
      </c>
      <c r="D138" t="str">
        <f>IFERROR(__xludf.DUMMYFUNCTION("""COMPUTED_VALUE"""),"DE531N1")</f>
        <v>DE531N1</v>
      </c>
      <c r="E138" t="str">
        <f>IFERROR(__xludf.DUMMYFUNCTION("""COMPUTED_VALUE"""),"P1037")</f>
        <v>P1037</v>
      </c>
      <c r="F138" t="str">
        <f t="array" ref="F138">if(iserror(index(fish_lab_data!C:C,match(B138,fish_lab_data!C:C,0))),"not dissected","dissected")</f>
        <v>dissected</v>
      </c>
    </row>
    <row r="139">
      <c r="A139" t="str">
        <f t="shared" si="1"/>
        <v>16364</v>
      </c>
      <c r="B139" t="str">
        <f>IFERROR(__xludf.DUMMYFUNCTION("""COMPUTED_VALUE"""),"U16364")</f>
        <v>U16364</v>
      </c>
      <c r="C139" t="str">
        <f>IFERROR(__xludf.DUMMYFUNCTION("""COMPUTED_VALUE"""),"CU")</f>
        <v>CU</v>
      </c>
      <c r="D139" t="str">
        <f>IFERROR(__xludf.DUMMYFUNCTION("""COMPUTED_VALUE"""),"DE531N1")</f>
        <v>DE531N1</v>
      </c>
      <c r="E139" t="str">
        <f>IFERROR(__xludf.DUMMYFUNCTION("""COMPUTED_VALUE"""),"P1037")</f>
        <v>P1037</v>
      </c>
      <c r="F139" t="str">
        <f t="array" ref="F139">if(iserror(index(fish_lab_data!C:C,match(B139,fish_lab_data!C:C,0))),"not dissected","dissected")</f>
        <v>dissected</v>
      </c>
    </row>
    <row r="140">
      <c r="A140" t="str">
        <f t="shared" si="1"/>
        <v>16201</v>
      </c>
      <c r="B140" t="str">
        <f>IFERROR(__xludf.DUMMYFUNCTION("""COMPUTED_VALUE"""),"U16201")</f>
        <v>U16201</v>
      </c>
      <c r="C140" t="str">
        <f>IFERROR(__xludf.DUMMYFUNCTION("""COMPUTED_VALUE"""),"PI")</f>
        <v>PI</v>
      </c>
      <c r="D140" t="str">
        <f>IFERROR(__xludf.DUMMYFUNCTION("""COMPUTED_VALUE"""),"DE531N1")</f>
        <v>DE531N1</v>
      </c>
      <c r="E140" t="str">
        <f>IFERROR(__xludf.DUMMYFUNCTION("""COMPUTED_VALUE"""),"P1021")</f>
        <v>P1021</v>
      </c>
      <c r="F140" t="str">
        <f t="array" ref="F140">if(iserror(index(fish_lab_data!C:C,match(B140,fish_lab_data!C:C,0))),"not dissected","dissected")</f>
        <v>dissected</v>
      </c>
    </row>
    <row r="141">
      <c r="A141" t="str">
        <f t="shared" si="1"/>
        <v>16202</v>
      </c>
      <c r="B141" t="str">
        <f>IFERROR(__xludf.DUMMYFUNCTION("""COMPUTED_VALUE"""),"U16202")</f>
        <v>U16202</v>
      </c>
      <c r="C141" t="str">
        <f>IFERROR(__xludf.DUMMYFUNCTION("""COMPUTED_VALUE"""),"PI")</f>
        <v>PI</v>
      </c>
      <c r="D141" t="str">
        <f>IFERROR(__xludf.DUMMYFUNCTION("""COMPUTED_VALUE"""),"DE531N1")</f>
        <v>DE531N1</v>
      </c>
      <c r="E141" t="str">
        <f>IFERROR(__xludf.DUMMYFUNCTION("""COMPUTED_VALUE"""),"P1021")</f>
        <v>P1021</v>
      </c>
      <c r="F141" t="str">
        <f t="array" ref="F141">if(iserror(index(fish_lab_data!C:C,match(B141,fish_lab_data!C:C,0))),"not dissected","dissected")</f>
        <v>dissected</v>
      </c>
    </row>
    <row r="142">
      <c r="A142" t="str">
        <f t="shared" si="1"/>
        <v>16203</v>
      </c>
      <c r="B142" t="str">
        <f>IFERROR(__xludf.DUMMYFUNCTION("""COMPUTED_VALUE"""),"U16203")</f>
        <v>U16203</v>
      </c>
      <c r="C142" t="str">
        <f>IFERROR(__xludf.DUMMYFUNCTION("""COMPUTED_VALUE"""),"PI")</f>
        <v>PI</v>
      </c>
      <c r="D142" t="str">
        <f>IFERROR(__xludf.DUMMYFUNCTION("""COMPUTED_VALUE"""),"DE531N1")</f>
        <v>DE531N1</v>
      </c>
      <c r="E142" t="str">
        <f>IFERROR(__xludf.DUMMYFUNCTION("""COMPUTED_VALUE"""),"P1021")</f>
        <v>P1021</v>
      </c>
      <c r="F142" t="str">
        <f t="array" ref="F142">if(iserror(index(fish_lab_data!C:C,match(B142,fish_lab_data!C:C,0))),"not dissected","dissected")</f>
        <v>dissected</v>
      </c>
    </row>
    <row r="143">
      <c r="A143" t="str">
        <f t="shared" si="1"/>
        <v>16204</v>
      </c>
      <c r="B143" t="str">
        <f>IFERROR(__xludf.DUMMYFUNCTION("""COMPUTED_VALUE"""),"U16204")</f>
        <v>U16204</v>
      </c>
      <c r="C143" t="str">
        <f>IFERROR(__xludf.DUMMYFUNCTION("""COMPUTED_VALUE"""),"PI")</f>
        <v>PI</v>
      </c>
      <c r="D143" t="str">
        <f>IFERROR(__xludf.DUMMYFUNCTION("""COMPUTED_VALUE"""),"DE531N1")</f>
        <v>DE531N1</v>
      </c>
      <c r="E143" t="str">
        <f>IFERROR(__xludf.DUMMYFUNCTION("""COMPUTED_VALUE"""),"P1021")</f>
        <v>P1021</v>
      </c>
      <c r="F143" t="str">
        <f t="array" ref="F143">if(iserror(index(fish_lab_data!C:C,match(B143,fish_lab_data!C:C,0))),"not dissected","dissected")</f>
        <v>dissected</v>
      </c>
    </row>
    <row r="144">
      <c r="A144" t="str">
        <f t="shared" si="1"/>
        <v>16205</v>
      </c>
      <c r="B144" t="str">
        <f>IFERROR(__xludf.DUMMYFUNCTION("""COMPUTED_VALUE"""),"U16205")</f>
        <v>U16205</v>
      </c>
      <c r="C144" t="str">
        <f>IFERROR(__xludf.DUMMYFUNCTION("""COMPUTED_VALUE"""),"PI")</f>
        <v>PI</v>
      </c>
      <c r="D144" t="str">
        <f>IFERROR(__xludf.DUMMYFUNCTION("""COMPUTED_VALUE"""),"DE531N1")</f>
        <v>DE531N1</v>
      </c>
      <c r="E144" t="str">
        <f>IFERROR(__xludf.DUMMYFUNCTION("""COMPUTED_VALUE"""),"P1021")</f>
        <v>P1021</v>
      </c>
      <c r="F144" t="str">
        <f t="array" ref="F144">if(iserror(index(fish_lab_data!C:C,match(B144,fish_lab_data!C:C,0))),"not dissected","dissected")</f>
        <v>dissected</v>
      </c>
    </row>
    <row r="145">
      <c r="A145" t="str">
        <f t="shared" si="1"/>
        <v>16206</v>
      </c>
      <c r="B145" t="str">
        <f>IFERROR(__xludf.DUMMYFUNCTION("""COMPUTED_VALUE"""),"U16206")</f>
        <v>U16206</v>
      </c>
      <c r="C145" t="str">
        <f>IFERROR(__xludf.DUMMYFUNCTION("""COMPUTED_VALUE"""),"PI")</f>
        <v>PI</v>
      </c>
      <c r="D145" t="str">
        <f>IFERROR(__xludf.DUMMYFUNCTION("""COMPUTED_VALUE"""),"DE531N1")</f>
        <v>DE531N1</v>
      </c>
      <c r="E145" t="str">
        <f>IFERROR(__xludf.DUMMYFUNCTION("""COMPUTED_VALUE"""),"P1021")</f>
        <v>P1021</v>
      </c>
      <c r="F145" t="str">
        <f t="array" ref="F145">if(iserror(index(fish_lab_data!C:C,match(B145,fish_lab_data!C:C,0))),"not dissected","dissected")</f>
        <v>dissected</v>
      </c>
    </row>
    <row r="146">
      <c r="A146" t="str">
        <f t="shared" si="1"/>
        <v>16207</v>
      </c>
      <c r="B146" t="str">
        <f>IFERROR(__xludf.DUMMYFUNCTION("""COMPUTED_VALUE"""),"U16207")</f>
        <v>U16207</v>
      </c>
      <c r="C146" t="str">
        <f>IFERROR(__xludf.DUMMYFUNCTION("""COMPUTED_VALUE"""),"PI")</f>
        <v>PI</v>
      </c>
      <c r="D146" t="str">
        <f>IFERROR(__xludf.DUMMYFUNCTION("""COMPUTED_VALUE"""),"DE531N1")</f>
        <v>DE531N1</v>
      </c>
      <c r="E146" t="str">
        <f>IFERROR(__xludf.DUMMYFUNCTION("""COMPUTED_VALUE"""),"P1021")</f>
        <v>P1021</v>
      </c>
      <c r="F146" t="str">
        <f t="array" ref="F146">if(iserror(index(fish_lab_data!C:C,match(B146,fish_lab_data!C:C,0))),"not dissected","dissected")</f>
        <v>dissected</v>
      </c>
    </row>
    <row r="147">
      <c r="A147" t="str">
        <f t="shared" si="1"/>
        <v>16208</v>
      </c>
      <c r="B147" t="str">
        <f>IFERROR(__xludf.DUMMYFUNCTION("""COMPUTED_VALUE"""),"U16208")</f>
        <v>U16208</v>
      </c>
      <c r="C147" t="str">
        <f>IFERROR(__xludf.DUMMYFUNCTION("""COMPUTED_VALUE"""),"PI")</f>
        <v>PI</v>
      </c>
      <c r="D147" t="str">
        <f>IFERROR(__xludf.DUMMYFUNCTION("""COMPUTED_VALUE"""),"DE531N1")</f>
        <v>DE531N1</v>
      </c>
      <c r="E147" t="str">
        <f>IFERROR(__xludf.DUMMYFUNCTION("""COMPUTED_VALUE"""),"P1021")</f>
        <v>P1021</v>
      </c>
      <c r="F147" t="str">
        <f t="array" ref="F147">if(iserror(index(fish_lab_data!C:C,match(B147,fish_lab_data!C:C,0))),"not dissected","dissected")</f>
        <v>dissected</v>
      </c>
    </row>
    <row r="148">
      <c r="A148" t="str">
        <f t="shared" si="1"/>
        <v>16209</v>
      </c>
      <c r="B148" t="str">
        <f>IFERROR(__xludf.DUMMYFUNCTION("""COMPUTED_VALUE"""),"U16209")</f>
        <v>U16209</v>
      </c>
      <c r="C148" t="str">
        <f>IFERROR(__xludf.DUMMYFUNCTION("""COMPUTED_VALUE"""),"PI")</f>
        <v>PI</v>
      </c>
      <c r="D148" t="str">
        <f>IFERROR(__xludf.DUMMYFUNCTION("""COMPUTED_VALUE"""),"DE531N1")</f>
        <v>DE531N1</v>
      </c>
      <c r="E148" t="str">
        <f>IFERROR(__xludf.DUMMYFUNCTION("""COMPUTED_VALUE"""),"P1021")</f>
        <v>P1021</v>
      </c>
      <c r="F148" t="str">
        <f t="array" ref="F148">if(iserror(index(fish_lab_data!C:C,match(B148,fish_lab_data!C:C,0))),"not dissected","dissected")</f>
        <v>dissected</v>
      </c>
    </row>
    <row r="149">
      <c r="A149" t="str">
        <f t="shared" si="1"/>
        <v>16210</v>
      </c>
      <c r="B149" t="str">
        <f>IFERROR(__xludf.DUMMYFUNCTION("""COMPUTED_VALUE"""),"U16210")</f>
        <v>U16210</v>
      </c>
      <c r="C149" t="str">
        <f>IFERROR(__xludf.DUMMYFUNCTION("""COMPUTED_VALUE"""),"PI")</f>
        <v>PI</v>
      </c>
      <c r="D149" t="str">
        <f>IFERROR(__xludf.DUMMYFUNCTION("""COMPUTED_VALUE"""),"DE531N1")</f>
        <v>DE531N1</v>
      </c>
      <c r="E149" t="str">
        <f>IFERROR(__xludf.DUMMYFUNCTION("""COMPUTED_VALUE"""),"P1021")</f>
        <v>P1021</v>
      </c>
      <c r="F149" t="str">
        <f t="array" ref="F149">if(iserror(index(fish_lab_data!C:C,match(B149,fish_lab_data!C:C,0))),"not dissected","dissected")</f>
        <v>dissected</v>
      </c>
    </row>
    <row r="150">
      <c r="A150" t="str">
        <f t="shared" si="1"/>
        <v>16141</v>
      </c>
      <c r="B150" t="str">
        <f>IFERROR(__xludf.DUMMYFUNCTION("""COMPUTED_VALUE"""),"U16141")</f>
        <v>U16141</v>
      </c>
      <c r="C150" t="str">
        <f>IFERROR(__xludf.DUMMYFUNCTION("""COMPUTED_VALUE"""),"SO")</f>
        <v>SO</v>
      </c>
      <c r="D150" t="str">
        <f>IFERROR(__xludf.DUMMYFUNCTION("""COMPUTED_VALUE"""),"DE531N1")</f>
        <v>DE531N1</v>
      </c>
      <c r="E150" t="str">
        <f>IFERROR(__xludf.DUMMYFUNCTION("""COMPUTED_VALUE"""),"P1015")</f>
        <v>P1015</v>
      </c>
      <c r="F150" t="str">
        <f t="array" ref="F150">if(iserror(index(fish_lab_data!C:C,match(B150,fish_lab_data!C:C,0))),"not dissected","dissected")</f>
        <v>dissected</v>
      </c>
    </row>
    <row r="151">
      <c r="A151" t="str">
        <f t="shared" si="1"/>
        <v>16142</v>
      </c>
      <c r="B151" t="str">
        <f>IFERROR(__xludf.DUMMYFUNCTION("""COMPUTED_VALUE"""),"U16142")</f>
        <v>U16142</v>
      </c>
      <c r="C151" t="str">
        <f>IFERROR(__xludf.DUMMYFUNCTION("""COMPUTED_VALUE"""),"SO")</f>
        <v>SO</v>
      </c>
      <c r="D151" t="str">
        <f>IFERROR(__xludf.DUMMYFUNCTION("""COMPUTED_VALUE"""),"DE531N1")</f>
        <v>DE531N1</v>
      </c>
      <c r="E151" t="str">
        <f>IFERROR(__xludf.DUMMYFUNCTION("""COMPUTED_VALUE"""),"P1015")</f>
        <v>P1015</v>
      </c>
      <c r="F151" t="str">
        <f t="array" ref="F151">if(iserror(index(fish_lab_data!C:C,match(B151,fish_lab_data!C:C,0))),"not dissected","dissected")</f>
        <v>dissected</v>
      </c>
    </row>
    <row r="152">
      <c r="A152" t="str">
        <f t="shared" si="1"/>
        <v>16143</v>
      </c>
      <c r="B152" t="str">
        <f>IFERROR(__xludf.DUMMYFUNCTION("""COMPUTED_VALUE"""),"U16143")</f>
        <v>U16143</v>
      </c>
      <c r="C152" t="str">
        <f>IFERROR(__xludf.DUMMYFUNCTION("""COMPUTED_VALUE"""),"SO")</f>
        <v>SO</v>
      </c>
      <c r="D152" t="str">
        <f>IFERROR(__xludf.DUMMYFUNCTION("""COMPUTED_VALUE"""),"DE531N1")</f>
        <v>DE531N1</v>
      </c>
      <c r="E152" t="str">
        <f>IFERROR(__xludf.DUMMYFUNCTION("""COMPUTED_VALUE"""),"P1015")</f>
        <v>P1015</v>
      </c>
      <c r="F152" t="str">
        <f t="array" ref="F152">if(iserror(index(fish_lab_data!C:C,match(B152,fish_lab_data!C:C,0))),"not dissected","dissected")</f>
        <v>dissected</v>
      </c>
    </row>
    <row r="153">
      <c r="A153" t="str">
        <f t="shared" si="1"/>
        <v>16144</v>
      </c>
      <c r="B153" t="str">
        <f>IFERROR(__xludf.DUMMYFUNCTION("""COMPUTED_VALUE"""),"U16144")</f>
        <v>U16144</v>
      </c>
      <c r="C153" t="str">
        <f>IFERROR(__xludf.DUMMYFUNCTION("""COMPUTED_VALUE"""),"SO")</f>
        <v>SO</v>
      </c>
      <c r="D153" t="str">
        <f>IFERROR(__xludf.DUMMYFUNCTION("""COMPUTED_VALUE"""),"DE531N1")</f>
        <v>DE531N1</v>
      </c>
      <c r="E153" t="str">
        <f>IFERROR(__xludf.DUMMYFUNCTION("""COMPUTED_VALUE"""),"P1015")</f>
        <v>P1015</v>
      </c>
      <c r="F153" t="str">
        <f t="array" ref="F153">if(iserror(index(fish_lab_data!C:C,match(B153,fish_lab_data!C:C,0))),"not dissected","dissected")</f>
        <v>dissected</v>
      </c>
    </row>
    <row r="154">
      <c r="A154" t="str">
        <f t="shared" si="1"/>
        <v>16145</v>
      </c>
      <c r="B154" t="str">
        <f>IFERROR(__xludf.DUMMYFUNCTION("""COMPUTED_VALUE"""),"U16145")</f>
        <v>U16145</v>
      </c>
      <c r="C154" t="str">
        <f>IFERROR(__xludf.DUMMYFUNCTION("""COMPUTED_VALUE"""),"SO")</f>
        <v>SO</v>
      </c>
      <c r="D154" t="str">
        <f>IFERROR(__xludf.DUMMYFUNCTION("""COMPUTED_VALUE"""),"DE531N1")</f>
        <v>DE531N1</v>
      </c>
      <c r="E154" t="str">
        <f>IFERROR(__xludf.DUMMYFUNCTION("""COMPUTED_VALUE"""),"P1015")</f>
        <v>P1015</v>
      </c>
      <c r="F154" t="str">
        <f t="array" ref="F154">if(iserror(index(fish_lab_data!C:C,match(B154,fish_lab_data!C:C,0))),"not dissected","dissected")</f>
        <v>dissected</v>
      </c>
    </row>
    <row r="155">
      <c r="A155" t="str">
        <f t="shared" si="1"/>
        <v>16146</v>
      </c>
      <c r="B155" t="str">
        <f>IFERROR(__xludf.DUMMYFUNCTION("""COMPUTED_VALUE"""),"U16146")</f>
        <v>U16146</v>
      </c>
      <c r="C155" t="str">
        <f>IFERROR(__xludf.DUMMYFUNCTION("""COMPUTED_VALUE"""),"SO")</f>
        <v>SO</v>
      </c>
      <c r="D155" t="str">
        <f>IFERROR(__xludf.DUMMYFUNCTION("""COMPUTED_VALUE"""),"DE531N1")</f>
        <v>DE531N1</v>
      </c>
      <c r="E155" t="str">
        <f>IFERROR(__xludf.DUMMYFUNCTION("""COMPUTED_VALUE"""),"P1015")</f>
        <v>P1015</v>
      </c>
      <c r="F155" t="str">
        <f t="array" ref="F155">if(iserror(index(fish_lab_data!C:C,match(B155,fish_lab_data!C:C,0))),"not dissected","dissected")</f>
        <v>dissected</v>
      </c>
    </row>
    <row r="156">
      <c r="A156" t="str">
        <f t="shared" si="1"/>
        <v>16147</v>
      </c>
      <c r="B156" t="str">
        <f>IFERROR(__xludf.DUMMYFUNCTION("""COMPUTED_VALUE"""),"U16147")</f>
        <v>U16147</v>
      </c>
      <c r="C156" t="str">
        <f>IFERROR(__xludf.DUMMYFUNCTION("""COMPUTED_VALUE"""),"SO")</f>
        <v>SO</v>
      </c>
      <c r="D156" t="str">
        <f>IFERROR(__xludf.DUMMYFUNCTION("""COMPUTED_VALUE"""),"DE531N1")</f>
        <v>DE531N1</v>
      </c>
      <c r="E156" t="str">
        <f>IFERROR(__xludf.DUMMYFUNCTION("""COMPUTED_VALUE"""),"P1015")</f>
        <v>P1015</v>
      </c>
      <c r="F156" t="str">
        <f t="array" ref="F156">if(iserror(index(fish_lab_data!C:C,match(B156,fish_lab_data!C:C,0))),"not dissected","dissected")</f>
        <v>dissected</v>
      </c>
    </row>
    <row r="157">
      <c r="A157" t="str">
        <f t="shared" si="1"/>
        <v>16148</v>
      </c>
      <c r="B157" t="str">
        <f>IFERROR(__xludf.DUMMYFUNCTION("""COMPUTED_VALUE"""),"U16148")</f>
        <v>U16148</v>
      </c>
      <c r="C157" t="str">
        <f>IFERROR(__xludf.DUMMYFUNCTION("""COMPUTED_VALUE"""),"SO")</f>
        <v>SO</v>
      </c>
      <c r="D157" t="str">
        <f>IFERROR(__xludf.DUMMYFUNCTION("""COMPUTED_VALUE"""),"DE531N1")</f>
        <v>DE531N1</v>
      </c>
      <c r="E157" t="str">
        <f>IFERROR(__xludf.DUMMYFUNCTION("""COMPUTED_VALUE"""),"P1015")</f>
        <v>P1015</v>
      </c>
      <c r="F157" t="str">
        <f t="array" ref="F157">if(iserror(index(fish_lab_data!C:C,match(B157,fish_lab_data!C:C,0))),"not dissected","dissected")</f>
        <v>dissected</v>
      </c>
    </row>
    <row r="158">
      <c r="A158" t="str">
        <f t="shared" si="1"/>
        <v>16149</v>
      </c>
      <c r="B158" t="str">
        <f>IFERROR(__xludf.DUMMYFUNCTION("""COMPUTED_VALUE"""),"U16149")</f>
        <v>U16149</v>
      </c>
      <c r="C158" t="str">
        <f>IFERROR(__xludf.DUMMYFUNCTION("""COMPUTED_VALUE"""),"SO")</f>
        <v>SO</v>
      </c>
      <c r="D158" t="str">
        <f>IFERROR(__xludf.DUMMYFUNCTION("""COMPUTED_VALUE"""),"DE531N1")</f>
        <v>DE531N1</v>
      </c>
      <c r="E158" t="str">
        <f>IFERROR(__xludf.DUMMYFUNCTION("""COMPUTED_VALUE"""),"P1015")</f>
        <v>P1015</v>
      </c>
      <c r="F158" t="str">
        <f t="array" ref="F158">if(iserror(index(fish_lab_data!C:C,match(B158,fish_lab_data!C:C,0))),"not dissected","dissected")</f>
        <v>dissected</v>
      </c>
    </row>
    <row r="159">
      <c r="A159" t="str">
        <f t="shared" si="1"/>
        <v>16150</v>
      </c>
      <c r="B159" t="str">
        <f>IFERROR(__xludf.DUMMYFUNCTION("""COMPUTED_VALUE"""),"U16150")</f>
        <v>U16150</v>
      </c>
      <c r="C159" t="str">
        <f>IFERROR(__xludf.DUMMYFUNCTION("""COMPUTED_VALUE"""),"SO")</f>
        <v>SO</v>
      </c>
      <c r="D159" t="str">
        <f>IFERROR(__xludf.DUMMYFUNCTION("""COMPUTED_VALUE"""),"DE531N1")</f>
        <v>DE531N1</v>
      </c>
      <c r="E159" t="str">
        <f>IFERROR(__xludf.DUMMYFUNCTION("""COMPUTED_VALUE"""),"P1015")</f>
        <v>P1015</v>
      </c>
      <c r="F159" t="str">
        <f t="array" ref="F159">if(iserror(index(fish_lab_data!C:C,match(B159,fish_lab_data!C:C,0))),"not dissected","dissected")</f>
        <v>dissected</v>
      </c>
    </row>
    <row r="160">
      <c r="A160" t="str">
        <f t="shared" si="1"/>
        <v>16351</v>
      </c>
      <c r="B160" t="str">
        <f>IFERROR(__xludf.DUMMYFUNCTION("""COMPUTED_VALUE"""),"U16351")</f>
        <v>U16351</v>
      </c>
      <c r="C160" t="str">
        <f>IFERROR(__xludf.DUMMYFUNCTION("""COMPUTED_VALUE"""),"SO")</f>
        <v>SO</v>
      </c>
      <c r="D160" t="str">
        <f>IFERROR(__xludf.DUMMYFUNCTION("""COMPUTED_VALUE"""),"DE531N1")</f>
        <v>DE531N1</v>
      </c>
      <c r="E160" t="str">
        <f>IFERROR(__xludf.DUMMYFUNCTION("""COMPUTED_VALUE"""),"P1036")</f>
        <v>P1036</v>
      </c>
      <c r="F160" t="str">
        <f t="array" ref="F160">if(iserror(index(fish_lab_data!C:C,match(B160,fish_lab_data!C:C,0))),"not dissected","dissected")</f>
        <v>dissected</v>
      </c>
    </row>
    <row r="161">
      <c r="A161" t="str">
        <f t="shared" si="1"/>
        <v>16352</v>
      </c>
      <c r="B161" t="str">
        <f>IFERROR(__xludf.DUMMYFUNCTION("""COMPUTED_VALUE"""),"U16352")</f>
        <v>U16352</v>
      </c>
      <c r="C161" t="str">
        <f>IFERROR(__xludf.DUMMYFUNCTION("""COMPUTED_VALUE"""),"SO")</f>
        <v>SO</v>
      </c>
      <c r="D161" t="str">
        <f>IFERROR(__xludf.DUMMYFUNCTION("""COMPUTED_VALUE"""),"DE531N1")</f>
        <v>DE531N1</v>
      </c>
      <c r="E161" t="str">
        <f>IFERROR(__xludf.DUMMYFUNCTION("""COMPUTED_VALUE"""),"P1036")</f>
        <v>P1036</v>
      </c>
      <c r="F161" t="str">
        <f t="array" ref="F161">if(iserror(index(fish_lab_data!C:C,match(B161,fish_lab_data!C:C,0))),"not dissected","dissected")</f>
        <v>dissected</v>
      </c>
    </row>
    <row r="162">
      <c r="A162" t="str">
        <f t="shared" si="1"/>
        <v>16353</v>
      </c>
      <c r="B162" t="str">
        <f>IFERROR(__xludf.DUMMYFUNCTION("""COMPUTED_VALUE"""),"U16353")</f>
        <v>U16353</v>
      </c>
      <c r="C162" t="str">
        <f>IFERROR(__xludf.DUMMYFUNCTION("""COMPUTED_VALUE"""),"SO")</f>
        <v>SO</v>
      </c>
      <c r="D162" t="str">
        <f>IFERROR(__xludf.DUMMYFUNCTION("""COMPUTED_VALUE"""),"DE531N1")</f>
        <v>DE531N1</v>
      </c>
      <c r="E162" t="str">
        <f>IFERROR(__xludf.DUMMYFUNCTION("""COMPUTED_VALUE"""),"P1036")</f>
        <v>P1036</v>
      </c>
      <c r="F162" t="str">
        <f t="array" ref="F162">if(iserror(index(fish_lab_data!C:C,match(B162,fish_lab_data!C:C,0))),"not dissected","dissected")</f>
        <v>dissected</v>
      </c>
    </row>
    <row r="163">
      <c r="A163" t="str">
        <f t="shared" si="1"/>
        <v>16354</v>
      </c>
      <c r="B163" t="str">
        <f>IFERROR(__xludf.DUMMYFUNCTION("""COMPUTED_VALUE"""),"U16354")</f>
        <v>U16354</v>
      </c>
      <c r="C163" t="str">
        <f>IFERROR(__xludf.DUMMYFUNCTION("""COMPUTED_VALUE"""),"SO")</f>
        <v>SO</v>
      </c>
      <c r="D163" t="str">
        <f>IFERROR(__xludf.DUMMYFUNCTION("""COMPUTED_VALUE"""),"DE531N1")</f>
        <v>DE531N1</v>
      </c>
      <c r="E163" t="str">
        <f>IFERROR(__xludf.DUMMYFUNCTION("""COMPUTED_VALUE"""),"P1036")</f>
        <v>P1036</v>
      </c>
      <c r="F163" t="str">
        <f t="array" ref="F163">if(iserror(index(fish_lab_data!C:C,match(B163,fish_lab_data!C:C,0))),"not dissected","dissected")</f>
        <v>dissected</v>
      </c>
    </row>
    <row r="164">
      <c r="A164" t="str">
        <f t="shared" si="1"/>
        <v>16355</v>
      </c>
      <c r="B164" t="str">
        <f>IFERROR(__xludf.DUMMYFUNCTION("""COMPUTED_VALUE"""),"U16355")</f>
        <v>U16355</v>
      </c>
      <c r="C164" t="str">
        <f>IFERROR(__xludf.DUMMYFUNCTION("""COMPUTED_VALUE"""),"SO")</f>
        <v>SO</v>
      </c>
      <c r="D164" t="str">
        <f>IFERROR(__xludf.DUMMYFUNCTION("""COMPUTED_VALUE"""),"DE531N1")</f>
        <v>DE531N1</v>
      </c>
      <c r="E164" t="str">
        <f>IFERROR(__xludf.DUMMYFUNCTION("""COMPUTED_VALUE"""),"P1036")</f>
        <v>P1036</v>
      </c>
      <c r="F164" t="str">
        <f t="array" ref="F164">if(iserror(index(fish_lab_data!C:C,match(B164,fish_lab_data!C:C,0))),"not dissected","dissected")</f>
        <v>dissected</v>
      </c>
    </row>
    <row r="165">
      <c r="A165" t="str">
        <f t="shared" si="1"/>
        <v>16356</v>
      </c>
      <c r="B165" t="str">
        <f>IFERROR(__xludf.DUMMYFUNCTION("""COMPUTED_VALUE"""),"U16356")</f>
        <v>U16356</v>
      </c>
      <c r="C165" t="str">
        <f>IFERROR(__xludf.DUMMYFUNCTION("""COMPUTED_VALUE"""),"SO")</f>
        <v>SO</v>
      </c>
      <c r="D165" t="str">
        <f>IFERROR(__xludf.DUMMYFUNCTION("""COMPUTED_VALUE"""),"DE531N1")</f>
        <v>DE531N1</v>
      </c>
      <c r="E165" t="str">
        <f>IFERROR(__xludf.DUMMYFUNCTION("""COMPUTED_VALUE"""),"P1036")</f>
        <v>P1036</v>
      </c>
      <c r="F165" t="str">
        <f t="array" ref="F165">if(iserror(index(fish_lab_data!C:C,match(B165,fish_lab_data!C:C,0))),"not dissected","dissected")</f>
        <v>dissected</v>
      </c>
    </row>
    <row r="166">
      <c r="A166" t="str">
        <f t="shared" si="1"/>
        <v>16357</v>
      </c>
      <c r="B166" t="str">
        <f>IFERROR(__xludf.DUMMYFUNCTION("""COMPUTED_VALUE"""),"U16357")</f>
        <v>U16357</v>
      </c>
      <c r="C166" t="str">
        <f>IFERROR(__xludf.DUMMYFUNCTION("""COMPUTED_VALUE"""),"SO")</f>
        <v>SO</v>
      </c>
      <c r="D166" t="str">
        <f>IFERROR(__xludf.DUMMYFUNCTION("""COMPUTED_VALUE"""),"DE531N1")</f>
        <v>DE531N1</v>
      </c>
      <c r="E166" t="str">
        <f>IFERROR(__xludf.DUMMYFUNCTION("""COMPUTED_VALUE"""),"P1036")</f>
        <v>P1036</v>
      </c>
      <c r="F166" t="str">
        <f t="array" ref="F166">if(iserror(index(fish_lab_data!C:C,match(B166,fish_lab_data!C:C,0))),"not dissected","dissected")</f>
        <v>dissected</v>
      </c>
    </row>
    <row r="167">
      <c r="A167" t="str">
        <f t="shared" si="1"/>
        <v>16358</v>
      </c>
      <c r="B167" t="str">
        <f>IFERROR(__xludf.DUMMYFUNCTION("""COMPUTED_VALUE"""),"U16358")</f>
        <v>U16358</v>
      </c>
      <c r="C167" t="str">
        <f>IFERROR(__xludf.DUMMYFUNCTION("""COMPUTED_VALUE"""),"SO")</f>
        <v>SO</v>
      </c>
      <c r="D167" t="str">
        <f>IFERROR(__xludf.DUMMYFUNCTION("""COMPUTED_VALUE"""),"DE531N1")</f>
        <v>DE531N1</v>
      </c>
      <c r="E167" t="str">
        <f>IFERROR(__xludf.DUMMYFUNCTION("""COMPUTED_VALUE"""),"P1036")</f>
        <v>P1036</v>
      </c>
      <c r="F167" t="str">
        <f t="array" ref="F167">if(iserror(index(fish_lab_data!C:C,match(B167,fish_lab_data!C:C,0))),"not dissected","dissected")</f>
        <v>dissected</v>
      </c>
    </row>
    <row r="168">
      <c r="A168" t="str">
        <f t="shared" si="1"/>
        <v>16359</v>
      </c>
      <c r="B168" t="str">
        <f>IFERROR(__xludf.DUMMYFUNCTION("""COMPUTED_VALUE"""),"U16359")</f>
        <v>U16359</v>
      </c>
      <c r="C168" t="str">
        <f>IFERROR(__xludf.DUMMYFUNCTION("""COMPUTED_VALUE"""),"SO")</f>
        <v>SO</v>
      </c>
      <c r="D168" t="str">
        <f>IFERROR(__xludf.DUMMYFUNCTION("""COMPUTED_VALUE"""),"DE531N1")</f>
        <v>DE531N1</v>
      </c>
      <c r="E168" t="str">
        <f>IFERROR(__xludf.DUMMYFUNCTION("""COMPUTED_VALUE"""),"P1036")</f>
        <v>P1036</v>
      </c>
      <c r="F168" t="str">
        <f t="array" ref="F168">if(iserror(index(fish_lab_data!C:C,match(B168,fish_lab_data!C:C,0))),"not dissected","dissected")</f>
        <v>dissected</v>
      </c>
    </row>
    <row r="169">
      <c r="A169" t="str">
        <f t="shared" si="1"/>
        <v>16360</v>
      </c>
      <c r="B169" t="str">
        <f>IFERROR(__xludf.DUMMYFUNCTION("""COMPUTED_VALUE"""),"U16360")</f>
        <v>U16360</v>
      </c>
      <c r="C169" t="str">
        <f>IFERROR(__xludf.DUMMYFUNCTION("""COMPUTED_VALUE"""),"SO")</f>
        <v>SO</v>
      </c>
      <c r="D169" t="str">
        <f>IFERROR(__xludf.DUMMYFUNCTION("""COMPUTED_VALUE"""),"DE531N1")</f>
        <v>DE531N1</v>
      </c>
      <c r="E169" t="str">
        <f>IFERROR(__xludf.DUMMYFUNCTION("""COMPUTED_VALUE"""),"P1036")</f>
        <v>P1036</v>
      </c>
      <c r="F169" t="str">
        <f t="array" ref="F169">if(iserror(index(fish_lab_data!C:C,match(B169,fish_lab_data!C:C,0))),"not dissected","dissected")</f>
        <v>dissected</v>
      </c>
    </row>
    <row r="170">
      <c r="A170" t="str">
        <f t="shared" si="1"/>
        <v>16471</v>
      </c>
      <c r="B170" t="str">
        <f>IFERROR(__xludf.DUMMYFUNCTION("""COMPUTED_VALUE"""),"U16471")</f>
        <v>U16471</v>
      </c>
      <c r="C170" t="str">
        <f>IFERROR(__xludf.DUMMYFUNCTION("""COMPUTED_VALUE"""),"PI")</f>
        <v>PI</v>
      </c>
      <c r="D170" t="str">
        <f>IFERROR(__xludf.DUMMYFUNCTION("""COMPUTED_VALUE"""),"DE512N1")</f>
        <v>DE512N1</v>
      </c>
      <c r="E170" t="str">
        <f>IFERROR(__xludf.DUMMYFUNCTION("""COMPUTED_VALUE"""),"P1048")</f>
        <v>P1048</v>
      </c>
      <c r="F170" t="str">
        <f t="array" ref="F170">if(iserror(index(fish_lab_data!C:C,match(B170,fish_lab_data!C:C,0))),"not dissected","dissected")</f>
        <v>dissected</v>
      </c>
    </row>
    <row r="171">
      <c r="A171" t="str">
        <f t="shared" si="1"/>
        <v>16472</v>
      </c>
      <c r="B171" t="str">
        <f>IFERROR(__xludf.DUMMYFUNCTION("""COMPUTED_VALUE"""),"U16472")</f>
        <v>U16472</v>
      </c>
      <c r="C171" t="str">
        <f>IFERROR(__xludf.DUMMYFUNCTION("""COMPUTED_VALUE"""),"PI")</f>
        <v>PI</v>
      </c>
      <c r="D171" t="str">
        <f>IFERROR(__xludf.DUMMYFUNCTION("""COMPUTED_VALUE"""),"DE512N1")</f>
        <v>DE512N1</v>
      </c>
      <c r="E171" t="str">
        <f>IFERROR(__xludf.DUMMYFUNCTION("""COMPUTED_VALUE"""),"P1048")</f>
        <v>P1048</v>
      </c>
      <c r="F171" t="str">
        <f t="array" ref="F171">if(iserror(index(fish_lab_data!C:C,match(B171,fish_lab_data!C:C,0))),"not dissected","dissected")</f>
        <v>dissected</v>
      </c>
    </row>
    <row r="172">
      <c r="A172" t="str">
        <f t="shared" si="1"/>
        <v>16473</v>
      </c>
      <c r="B172" t="str">
        <f>IFERROR(__xludf.DUMMYFUNCTION("""COMPUTED_VALUE"""),"U16473")</f>
        <v>U16473</v>
      </c>
      <c r="C172" t="str">
        <f>IFERROR(__xludf.DUMMYFUNCTION("""COMPUTED_VALUE"""),"PI")</f>
        <v>PI</v>
      </c>
      <c r="D172" t="str">
        <f>IFERROR(__xludf.DUMMYFUNCTION("""COMPUTED_VALUE"""),"DE512N1")</f>
        <v>DE512N1</v>
      </c>
      <c r="E172" t="str">
        <f>IFERROR(__xludf.DUMMYFUNCTION("""COMPUTED_VALUE"""),"P1048")</f>
        <v>P1048</v>
      </c>
      <c r="F172" t="str">
        <f t="array" ref="F172">if(iserror(index(fish_lab_data!C:C,match(B172,fish_lab_data!C:C,0))),"not dissected","dissected")</f>
        <v>dissected</v>
      </c>
    </row>
    <row r="173">
      <c r="A173" t="str">
        <f t="shared" si="1"/>
        <v>16474</v>
      </c>
      <c r="B173" t="str">
        <f>IFERROR(__xludf.DUMMYFUNCTION("""COMPUTED_VALUE"""),"U16474")</f>
        <v>U16474</v>
      </c>
      <c r="C173" t="str">
        <f>IFERROR(__xludf.DUMMYFUNCTION("""COMPUTED_VALUE"""),"PI")</f>
        <v>PI</v>
      </c>
      <c r="D173" t="str">
        <f>IFERROR(__xludf.DUMMYFUNCTION("""COMPUTED_VALUE"""),"DE512N1")</f>
        <v>DE512N1</v>
      </c>
      <c r="E173" t="str">
        <f>IFERROR(__xludf.DUMMYFUNCTION("""COMPUTED_VALUE"""),"P1048")</f>
        <v>P1048</v>
      </c>
      <c r="F173" t="str">
        <f t="array" ref="F173">if(iserror(index(fish_lab_data!C:C,match(B173,fish_lab_data!C:C,0))),"not dissected","dissected")</f>
        <v>dissected</v>
      </c>
    </row>
    <row r="174">
      <c r="A174" t="str">
        <f t="shared" si="1"/>
        <v>16475</v>
      </c>
      <c r="B174" t="str">
        <f>IFERROR(__xludf.DUMMYFUNCTION("""COMPUTED_VALUE"""),"U16475")</f>
        <v>U16475</v>
      </c>
      <c r="C174" t="str">
        <f>IFERROR(__xludf.DUMMYFUNCTION("""COMPUTED_VALUE"""),"PI")</f>
        <v>PI</v>
      </c>
      <c r="D174" t="str">
        <f>IFERROR(__xludf.DUMMYFUNCTION("""COMPUTED_VALUE"""),"DE512N1")</f>
        <v>DE512N1</v>
      </c>
      <c r="E174" t="str">
        <f>IFERROR(__xludf.DUMMYFUNCTION("""COMPUTED_VALUE"""),"P1048")</f>
        <v>P1048</v>
      </c>
      <c r="F174" t="str">
        <f t="array" ref="F174">if(iserror(index(fish_lab_data!C:C,match(B174,fish_lab_data!C:C,0))),"not dissected","dissected")</f>
        <v>dissected</v>
      </c>
    </row>
    <row r="175">
      <c r="A175" t="str">
        <f t="shared" si="1"/>
        <v>16476</v>
      </c>
      <c r="B175" t="str">
        <f>IFERROR(__xludf.DUMMYFUNCTION("""COMPUTED_VALUE"""),"U16476")</f>
        <v>U16476</v>
      </c>
      <c r="C175" t="str">
        <f>IFERROR(__xludf.DUMMYFUNCTION("""COMPUTED_VALUE"""),"PI")</f>
        <v>PI</v>
      </c>
      <c r="D175" t="str">
        <f>IFERROR(__xludf.DUMMYFUNCTION("""COMPUTED_VALUE"""),"DE512N1")</f>
        <v>DE512N1</v>
      </c>
      <c r="E175" t="str">
        <f>IFERROR(__xludf.DUMMYFUNCTION("""COMPUTED_VALUE"""),"P1048")</f>
        <v>P1048</v>
      </c>
      <c r="F175" t="str">
        <f t="array" ref="F175">if(iserror(index(fish_lab_data!C:C,match(B175,fish_lab_data!C:C,0))),"not dissected","dissected")</f>
        <v>dissected</v>
      </c>
    </row>
    <row r="176">
      <c r="A176" t="str">
        <f t="shared" si="1"/>
        <v>16477</v>
      </c>
      <c r="B176" t="str">
        <f>IFERROR(__xludf.DUMMYFUNCTION("""COMPUTED_VALUE"""),"U16477")</f>
        <v>U16477</v>
      </c>
      <c r="C176" t="str">
        <f>IFERROR(__xludf.DUMMYFUNCTION("""COMPUTED_VALUE"""),"PI")</f>
        <v>PI</v>
      </c>
      <c r="D176" t="str">
        <f>IFERROR(__xludf.DUMMYFUNCTION("""COMPUTED_VALUE"""),"DE512N1")</f>
        <v>DE512N1</v>
      </c>
      <c r="E176" t="str">
        <f>IFERROR(__xludf.DUMMYFUNCTION("""COMPUTED_VALUE"""),"P1048")</f>
        <v>P1048</v>
      </c>
      <c r="F176" t="str">
        <f t="array" ref="F176">if(iserror(index(fish_lab_data!C:C,match(B176,fish_lab_data!C:C,0))),"not dissected","dissected")</f>
        <v>dissected</v>
      </c>
    </row>
    <row r="177">
      <c r="A177" t="str">
        <f t="shared" si="1"/>
        <v>16478</v>
      </c>
      <c r="B177" t="str">
        <f>IFERROR(__xludf.DUMMYFUNCTION("""COMPUTED_VALUE"""),"U16478")</f>
        <v>U16478</v>
      </c>
      <c r="C177" t="str">
        <f>IFERROR(__xludf.DUMMYFUNCTION("""COMPUTED_VALUE"""),"PI")</f>
        <v>PI</v>
      </c>
      <c r="D177" t="str">
        <f>IFERROR(__xludf.DUMMYFUNCTION("""COMPUTED_VALUE"""),"DE512N1")</f>
        <v>DE512N1</v>
      </c>
      <c r="E177" t="str">
        <f>IFERROR(__xludf.DUMMYFUNCTION("""COMPUTED_VALUE"""),"P1048")</f>
        <v>P1048</v>
      </c>
      <c r="F177" t="str">
        <f t="array" ref="F177">if(iserror(index(fish_lab_data!C:C,match(B177,fish_lab_data!C:C,0))),"not dissected","dissected")</f>
        <v>dissected</v>
      </c>
    </row>
    <row r="178">
      <c r="A178" t="str">
        <f t="shared" si="1"/>
        <v>16241</v>
      </c>
      <c r="B178" t="str">
        <f>IFERROR(__xludf.DUMMYFUNCTION("""COMPUTED_VALUE"""),"U16241")</f>
        <v>U16241</v>
      </c>
      <c r="C178" t="str">
        <f>IFERROR(__xludf.DUMMYFUNCTION("""COMPUTED_VALUE"""),"CU")</f>
        <v>CU</v>
      </c>
      <c r="D178" t="str">
        <f>IFERROR(__xludf.DUMMYFUNCTION("""COMPUTED_VALUE"""),"DE512N1")</f>
        <v>DE512N1</v>
      </c>
      <c r="E178" t="str">
        <f>IFERROR(__xludf.DUMMYFUNCTION("""COMPUTED_VALUE"""),"P1025")</f>
        <v>P1025</v>
      </c>
      <c r="F178" t="str">
        <f t="array" ref="F178">if(iserror(index(fish_lab_data!C:C,match(B178,fish_lab_data!C:C,0))),"not dissected","dissected")</f>
        <v>dissected</v>
      </c>
    </row>
    <row r="179">
      <c r="A179" t="str">
        <f t="shared" si="1"/>
        <v>16242</v>
      </c>
      <c r="B179" t="str">
        <f>IFERROR(__xludf.DUMMYFUNCTION("""COMPUTED_VALUE"""),"U16242")</f>
        <v>U16242</v>
      </c>
      <c r="C179" t="str">
        <f>IFERROR(__xludf.DUMMYFUNCTION("""COMPUTED_VALUE"""),"CU")</f>
        <v>CU</v>
      </c>
      <c r="D179" t="str">
        <f>IFERROR(__xludf.DUMMYFUNCTION("""COMPUTED_VALUE"""),"DE512N1")</f>
        <v>DE512N1</v>
      </c>
      <c r="E179" t="str">
        <f>IFERROR(__xludf.DUMMYFUNCTION("""COMPUTED_VALUE"""),"P1025")</f>
        <v>P1025</v>
      </c>
      <c r="F179" t="str">
        <f t="array" ref="F179">if(iserror(index(fish_lab_data!C:C,match(B179,fish_lab_data!C:C,0))),"not dissected","dissected")</f>
        <v>dissected</v>
      </c>
    </row>
    <row r="180">
      <c r="A180" t="str">
        <f t="shared" si="1"/>
        <v>16243</v>
      </c>
      <c r="B180" t="str">
        <f>IFERROR(__xludf.DUMMYFUNCTION("""COMPUTED_VALUE"""),"U16243")</f>
        <v>U16243</v>
      </c>
      <c r="C180" t="str">
        <f>IFERROR(__xludf.DUMMYFUNCTION("""COMPUTED_VALUE"""),"CU")</f>
        <v>CU</v>
      </c>
      <c r="D180" t="str">
        <f>IFERROR(__xludf.DUMMYFUNCTION("""COMPUTED_VALUE"""),"DE512N1")</f>
        <v>DE512N1</v>
      </c>
      <c r="E180" t="str">
        <f>IFERROR(__xludf.DUMMYFUNCTION("""COMPUTED_VALUE"""),"P1025")</f>
        <v>P1025</v>
      </c>
      <c r="F180" t="str">
        <f t="array" ref="F180">if(iserror(index(fish_lab_data!C:C,match(B180,fish_lab_data!C:C,0))),"not dissected","dissected")</f>
        <v>dissected</v>
      </c>
    </row>
    <row r="181">
      <c r="A181" t="str">
        <f t="shared" si="1"/>
        <v>16244</v>
      </c>
      <c r="B181" t="str">
        <f>IFERROR(__xludf.DUMMYFUNCTION("""COMPUTED_VALUE"""),"U16244")</f>
        <v>U16244</v>
      </c>
      <c r="C181" t="str">
        <f>IFERROR(__xludf.DUMMYFUNCTION("""COMPUTED_VALUE"""),"CU")</f>
        <v>CU</v>
      </c>
      <c r="D181" t="str">
        <f>IFERROR(__xludf.DUMMYFUNCTION("""COMPUTED_VALUE"""),"DE512N1")</f>
        <v>DE512N1</v>
      </c>
      <c r="E181" t="str">
        <f>IFERROR(__xludf.DUMMYFUNCTION("""COMPUTED_VALUE"""),"P1025")</f>
        <v>P1025</v>
      </c>
      <c r="F181" t="str">
        <f t="array" ref="F181">if(iserror(index(fish_lab_data!C:C,match(B181,fish_lab_data!C:C,0))),"not dissected","dissected")</f>
        <v>dissected</v>
      </c>
    </row>
    <row r="182">
      <c r="A182" t="str">
        <f t="shared" si="1"/>
        <v>16245</v>
      </c>
      <c r="B182" t="str">
        <f>IFERROR(__xludf.DUMMYFUNCTION("""COMPUTED_VALUE"""),"U16245")</f>
        <v>U16245</v>
      </c>
      <c r="C182" t="str">
        <f>IFERROR(__xludf.DUMMYFUNCTION("""COMPUTED_VALUE"""),"CU")</f>
        <v>CU</v>
      </c>
      <c r="D182" t="str">
        <f>IFERROR(__xludf.DUMMYFUNCTION("""COMPUTED_VALUE"""),"DE512N1")</f>
        <v>DE512N1</v>
      </c>
      <c r="E182" t="str">
        <f>IFERROR(__xludf.DUMMYFUNCTION("""COMPUTED_VALUE"""),"P1025")</f>
        <v>P1025</v>
      </c>
      <c r="F182" t="str">
        <f t="array" ref="F182">if(iserror(index(fish_lab_data!C:C,match(B182,fish_lab_data!C:C,0))),"not dissected","dissected")</f>
        <v>dissected</v>
      </c>
    </row>
    <row r="183">
      <c r="A183" t="str">
        <f t="shared" si="1"/>
        <v>16246</v>
      </c>
      <c r="B183" t="str">
        <f>IFERROR(__xludf.DUMMYFUNCTION("""COMPUTED_VALUE"""),"U16246")</f>
        <v>U16246</v>
      </c>
      <c r="C183" t="str">
        <f>IFERROR(__xludf.DUMMYFUNCTION("""COMPUTED_VALUE"""),"CU")</f>
        <v>CU</v>
      </c>
      <c r="D183" t="str">
        <f>IFERROR(__xludf.DUMMYFUNCTION("""COMPUTED_VALUE"""),"DE512N1")</f>
        <v>DE512N1</v>
      </c>
      <c r="E183" t="str">
        <f>IFERROR(__xludf.DUMMYFUNCTION("""COMPUTED_VALUE"""),"P1025")</f>
        <v>P1025</v>
      </c>
      <c r="F183" t="str">
        <f t="array" ref="F183">if(iserror(index(fish_lab_data!C:C,match(B183,fish_lab_data!C:C,0))),"not dissected","dissected")</f>
        <v>dissected</v>
      </c>
    </row>
    <row r="184">
      <c r="A184" t="str">
        <f t="shared" si="1"/>
        <v>16247</v>
      </c>
      <c r="B184" t="str">
        <f>IFERROR(__xludf.DUMMYFUNCTION("""COMPUTED_VALUE"""),"U16247")</f>
        <v>U16247</v>
      </c>
      <c r="C184" t="str">
        <f>IFERROR(__xludf.DUMMYFUNCTION("""COMPUTED_VALUE"""),"CU")</f>
        <v>CU</v>
      </c>
      <c r="D184" t="str">
        <f>IFERROR(__xludf.DUMMYFUNCTION("""COMPUTED_VALUE"""),"DE512N1")</f>
        <v>DE512N1</v>
      </c>
      <c r="E184" t="str">
        <f>IFERROR(__xludf.DUMMYFUNCTION("""COMPUTED_VALUE"""),"P1025")</f>
        <v>P1025</v>
      </c>
      <c r="F184" t="str">
        <f t="array" ref="F184">if(iserror(index(fish_lab_data!C:C,match(B184,fish_lab_data!C:C,0))),"not dissected","dissected")</f>
        <v>dissected</v>
      </c>
    </row>
    <row r="185">
      <c r="A185" t="str">
        <f t="shared" si="1"/>
        <v>16248</v>
      </c>
      <c r="B185" t="str">
        <f>IFERROR(__xludf.DUMMYFUNCTION("""COMPUTED_VALUE"""),"U16248")</f>
        <v>U16248</v>
      </c>
      <c r="C185" t="str">
        <f>IFERROR(__xludf.DUMMYFUNCTION("""COMPUTED_VALUE"""),"CU")</f>
        <v>CU</v>
      </c>
      <c r="D185" t="str">
        <f>IFERROR(__xludf.DUMMYFUNCTION("""COMPUTED_VALUE"""),"DE512N1")</f>
        <v>DE512N1</v>
      </c>
      <c r="E185" t="str">
        <f>IFERROR(__xludf.DUMMYFUNCTION("""COMPUTED_VALUE"""),"P1025")</f>
        <v>P1025</v>
      </c>
      <c r="F185" t="str">
        <f t="array" ref="F185">if(iserror(index(fish_lab_data!C:C,match(B185,fish_lab_data!C:C,0))),"not dissected","dissected")</f>
        <v>dissected</v>
      </c>
    </row>
    <row r="186">
      <c r="A186" t="str">
        <f t="shared" si="1"/>
        <v>16249</v>
      </c>
      <c r="B186" t="str">
        <f>IFERROR(__xludf.DUMMYFUNCTION("""COMPUTED_VALUE"""),"U16249")</f>
        <v>U16249</v>
      </c>
      <c r="C186" t="str">
        <f>IFERROR(__xludf.DUMMYFUNCTION("""COMPUTED_VALUE"""),"CU")</f>
        <v>CU</v>
      </c>
      <c r="D186" t="str">
        <f>IFERROR(__xludf.DUMMYFUNCTION("""COMPUTED_VALUE"""),"DE512N1")</f>
        <v>DE512N1</v>
      </c>
      <c r="E186" t="str">
        <f>IFERROR(__xludf.DUMMYFUNCTION("""COMPUTED_VALUE"""),"P1025")</f>
        <v>P1025</v>
      </c>
      <c r="F186" t="str">
        <f t="array" ref="F186">if(iserror(index(fish_lab_data!C:C,match(B186,fish_lab_data!C:C,0))),"not dissected","dissected")</f>
        <v>dissected</v>
      </c>
    </row>
    <row r="187">
      <c r="A187" t="str">
        <f t="shared" si="1"/>
        <v>16161</v>
      </c>
      <c r="B187" t="str">
        <f>IFERROR(__xludf.DUMMYFUNCTION("""COMPUTED_VALUE"""),"U16161")</f>
        <v>U16161</v>
      </c>
      <c r="C187" t="str">
        <f>IFERROR(__xludf.DUMMYFUNCTION("""COMPUTED_VALUE"""),"SO")</f>
        <v>SO</v>
      </c>
      <c r="D187" t="str">
        <f>IFERROR(__xludf.DUMMYFUNCTION("""COMPUTED_VALUE"""),"DE513N2")</f>
        <v>DE513N2</v>
      </c>
      <c r="E187" t="str">
        <f>IFERROR(__xludf.DUMMYFUNCTION("""COMPUTED_VALUE"""),"P1017")</f>
        <v>P1017</v>
      </c>
      <c r="F187" t="str">
        <f t="array" ref="F187">if(iserror(index(fish_lab_data!C:C,match(B187,fish_lab_data!C:C,0))),"not dissected","dissected")</f>
        <v>dissected</v>
      </c>
    </row>
    <row r="188">
      <c r="A188" t="str">
        <f t="shared" si="1"/>
        <v>16162</v>
      </c>
      <c r="B188" t="str">
        <f>IFERROR(__xludf.DUMMYFUNCTION("""COMPUTED_VALUE"""),"U16162")</f>
        <v>U16162</v>
      </c>
      <c r="C188" t="str">
        <f>IFERROR(__xludf.DUMMYFUNCTION("""COMPUTED_VALUE"""),"SO")</f>
        <v>SO</v>
      </c>
      <c r="D188" t="str">
        <f>IFERROR(__xludf.DUMMYFUNCTION("""COMPUTED_VALUE"""),"DE513N2")</f>
        <v>DE513N2</v>
      </c>
      <c r="E188" t="str">
        <f>IFERROR(__xludf.DUMMYFUNCTION("""COMPUTED_VALUE"""),"P1017")</f>
        <v>P1017</v>
      </c>
      <c r="F188" t="str">
        <f t="array" ref="F188">if(iserror(index(fish_lab_data!C:C,match(B188,fish_lab_data!C:C,0))),"not dissected","dissected")</f>
        <v>dissected</v>
      </c>
    </row>
    <row r="189">
      <c r="A189" t="str">
        <f t="shared" si="1"/>
        <v>16163</v>
      </c>
      <c r="B189" t="str">
        <f>IFERROR(__xludf.DUMMYFUNCTION("""COMPUTED_VALUE"""),"U16163")</f>
        <v>U16163</v>
      </c>
      <c r="C189" t="str">
        <f>IFERROR(__xludf.DUMMYFUNCTION("""COMPUTED_VALUE"""),"SO")</f>
        <v>SO</v>
      </c>
      <c r="D189" t="str">
        <f>IFERROR(__xludf.DUMMYFUNCTION("""COMPUTED_VALUE"""),"DE513N2")</f>
        <v>DE513N2</v>
      </c>
      <c r="E189" t="str">
        <f>IFERROR(__xludf.DUMMYFUNCTION("""COMPUTED_VALUE"""),"P1017")</f>
        <v>P1017</v>
      </c>
      <c r="F189" t="str">
        <f t="array" ref="F189">if(iserror(index(fish_lab_data!C:C,match(B189,fish_lab_data!C:C,0))),"not dissected","dissected")</f>
        <v>dissected</v>
      </c>
    </row>
    <row r="190">
      <c r="A190" t="str">
        <f t="shared" si="1"/>
        <v>16164</v>
      </c>
      <c r="B190" t="str">
        <f>IFERROR(__xludf.DUMMYFUNCTION("""COMPUTED_VALUE"""),"U16164")</f>
        <v>U16164</v>
      </c>
      <c r="C190" t="str">
        <f>IFERROR(__xludf.DUMMYFUNCTION("""COMPUTED_VALUE"""),"SO")</f>
        <v>SO</v>
      </c>
      <c r="D190" t="str">
        <f>IFERROR(__xludf.DUMMYFUNCTION("""COMPUTED_VALUE"""),"DE513N2")</f>
        <v>DE513N2</v>
      </c>
      <c r="E190" t="str">
        <f>IFERROR(__xludf.DUMMYFUNCTION("""COMPUTED_VALUE"""),"P1017")</f>
        <v>P1017</v>
      </c>
      <c r="F190" t="str">
        <f t="array" ref="F190">if(iserror(index(fish_lab_data!C:C,match(B190,fish_lab_data!C:C,0))),"not dissected","dissected")</f>
        <v>dissected</v>
      </c>
    </row>
    <row r="191">
      <c r="A191" t="str">
        <f t="shared" si="1"/>
        <v>16165</v>
      </c>
      <c r="B191" t="str">
        <f>IFERROR(__xludf.DUMMYFUNCTION("""COMPUTED_VALUE"""),"U16165")</f>
        <v>U16165</v>
      </c>
      <c r="C191" t="str">
        <f>IFERROR(__xludf.DUMMYFUNCTION("""COMPUTED_VALUE"""),"SO")</f>
        <v>SO</v>
      </c>
      <c r="D191" t="str">
        <f>IFERROR(__xludf.DUMMYFUNCTION("""COMPUTED_VALUE"""),"DE513N2")</f>
        <v>DE513N2</v>
      </c>
      <c r="E191" t="str">
        <f>IFERROR(__xludf.DUMMYFUNCTION("""COMPUTED_VALUE"""),"P1017")</f>
        <v>P1017</v>
      </c>
      <c r="F191" t="str">
        <f t="array" ref="F191">if(iserror(index(fish_lab_data!C:C,match(B191,fish_lab_data!C:C,0))),"not dissected","dissected")</f>
        <v>dissected</v>
      </c>
    </row>
    <row r="192">
      <c r="A192" t="str">
        <f t="shared" si="1"/>
        <v>16166</v>
      </c>
      <c r="B192" t="str">
        <f>IFERROR(__xludf.DUMMYFUNCTION("""COMPUTED_VALUE"""),"U16166")</f>
        <v>U16166</v>
      </c>
      <c r="C192" t="str">
        <f>IFERROR(__xludf.DUMMYFUNCTION("""COMPUTED_VALUE"""),"SO")</f>
        <v>SO</v>
      </c>
      <c r="D192" t="str">
        <f>IFERROR(__xludf.DUMMYFUNCTION("""COMPUTED_VALUE"""),"DE513N2")</f>
        <v>DE513N2</v>
      </c>
      <c r="E192" t="str">
        <f>IFERROR(__xludf.DUMMYFUNCTION("""COMPUTED_VALUE"""),"P1017")</f>
        <v>P1017</v>
      </c>
      <c r="F192" t="str">
        <f t="array" ref="F192">if(iserror(index(fish_lab_data!C:C,match(B192,fish_lab_data!C:C,0))),"not dissected","dissected")</f>
        <v>dissected</v>
      </c>
    </row>
    <row r="193">
      <c r="A193" t="str">
        <f t="shared" si="1"/>
        <v>16167</v>
      </c>
      <c r="B193" t="str">
        <f>IFERROR(__xludf.DUMMYFUNCTION("""COMPUTED_VALUE"""),"U16167")</f>
        <v>U16167</v>
      </c>
      <c r="C193" t="str">
        <f>IFERROR(__xludf.DUMMYFUNCTION("""COMPUTED_VALUE"""),"SO")</f>
        <v>SO</v>
      </c>
      <c r="D193" t="str">
        <f>IFERROR(__xludf.DUMMYFUNCTION("""COMPUTED_VALUE"""),"DE513N2")</f>
        <v>DE513N2</v>
      </c>
      <c r="E193" t="str">
        <f>IFERROR(__xludf.DUMMYFUNCTION("""COMPUTED_VALUE"""),"P1017")</f>
        <v>P1017</v>
      </c>
      <c r="F193" t="str">
        <f t="array" ref="F193">if(iserror(index(fish_lab_data!C:C,match(B193,fish_lab_data!C:C,0))),"not dissected","dissected")</f>
        <v>dissected</v>
      </c>
    </row>
    <row r="194">
      <c r="A194" t="str">
        <f t="shared" si="1"/>
        <v>16168</v>
      </c>
      <c r="B194" t="str">
        <f>IFERROR(__xludf.DUMMYFUNCTION("""COMPUTED_VALUE"""),"U16168")</f>
        <v>U16168</v>
      </c>
      <c r="C194" t="str">
        <f>IFERROR(__xludf.DUMMYFUNCTION("""COMPUTED_VALUE"""),"SO")</f>
        <v>SO</v>
      </c>
      <c r="D194" t="str">
        <f>IFERROR(__xludf.DUMMYFUNCTION("""COMPUTED_VALUE"""),"DE513N2")</f>
        <v>DE513N2</v>
      </c>
      <c r="E194" t="str">
        <f>IFERROR(__xludf.DUMMYFUNCTION("""COMPUTED_VALUE"""),"P1017")</f>
        <v>P1017</v>
      </c>
      <c r="F194" t="str">
        <f t="array" ref="F194">if(iserror(index(fish_lab_data!C:C,match(B194,fish_lab_data!C:C,0))),"not dissected","dissected")</f>
        <v>dissected</v>
      </c>
    </row>
    <row r="195">
      <c r="A195" t="str">
        <f t="shared" si="1"/>
        <v>16169</v>
      </c>
      <c r="B195" t="str">
        <f>IFERROR(__xludf.DUMMYFUNCTION("""COMPUTED_VALUE"""),"U16169")</f>
        <v>U16169</v>
      </c>
      <c r="C195" t="str">
        <f>IFERROR(__xludf.DUMMYFUNCTION("""COMPUTED_VALUE"""),"SO")</f>
        <v>SO</v>
      </c>
      <c r="D195" t="str">
        <f>IFERROR(__xludf.DUMMYFUNCTION("""COMPUTED_VALUE"""),"DE513N2")</f>
        <v>DE513N2</v>
      </c>
      <c r="E195" t="str">
        <f>IFERROR(__xludf.DUMMYFUNCTION("""COMPUTED_VALUE"""),"P1017")</f>
        <v>P1017</v>
      </c>
      <c r="F195" t="str">
        <f t="array" ref="F195">if(iserror(index(fish_lab_data!C:C,match(B195,fish_lab_data!C:C,0))),"not dissected","dissected")</f>
        <v>dissected</v>
      </c>
    </row>
    <row r="196">
      <c r="A196" t="str">
        <f t="shared" si="1"/>
        <v>16170</v>
      </c>
      <c r="B196" t="str">
        <f>IFERROR(__xludf.DUMMYFUNCTION("""COMPUTED_VALUE"""),"U16170")</f>
        <v>U16170</v>
      </c>
      <c r="C196" t="str">
        <f>IFERROR(__xludf.DUMMYFUNCTION("""COMPUTED_VALUE"""),"SO")</f>
        <v>SO</v>
      </c>
      <c r="D196" t="str">
        <f>IFERROR(__xludf.DUMMYFUNCTION("""COMPUTED_VALUE"""),"DE513N2")</f>
        <v>DE513N2</v>
      </c>
      <c r="E196" t="str">
        <f>IFERROR(__xludf.DUMMYFUNCTION("""COMPUTED_VALUE"""),"P1017")</f>
        <v>P1017</v>
      </c>
      <c r="F196" t="str">
        <f t="array" ref="F196">if(iserror(index(fish_lab_data!C:C,match(B196,fish_lab_data!C:C,0))),"not dissected","dissected")</f>
        <v>dissected</v>
      </c>
    </row>
    <row r="197">
      <c r="A197" t="str">
        <f t="shared" si="1"/>
        <v>16231</v>
      </c>
      <c r="B197" t="str">
        <f>IFERROR(__xludf.DUMMYFUNCTION("""COMPUTED_VALUE"""),"U16231")</f>
        <v>U16231</v>
      </c>
      <c r="C197" t="str">
        <f>IFERROR(__xludf.DUMMYFUNCTION("""COMPUTED_VALUE"""),"CU")</f>
        <v>CU</v>
      </c>
      <c r="D197" t="str">
        <f>IFERROR(__xludf.DUMMYFUNCTION("""COMPUTED_VALUE"""),"DE513N2")</f>
        <v>DE513N2</v>
      </c>
      <c r="E197" t="str">
        <f>IFERROR(__xludf.DUMMYFUNCTION("""COMPUTED_VALUE"""),"P1024")</f>
        <v>P1024</v>
      </c>
      <c r="F197" t="str">
        <f t="array" ref="F197">if(iserror(index(fish_lab_data!C:C,match(B197,fish_lab_data!C:C,0))),"not dissected","dissected")</f>
        <v>dissected</v>
      </c>
    </row>
    <row r="198">
      <c r="A198" t="str">
        <f t="shared" si="1"/>
        <v>16232</v>
      </c>
      <c r="B198" t="str">
        <f>IFERROR(__xludf.DUMMYFUNCTION("""COMPUTED_VALUE"""),"U16232")</f>
        <v>U16232</v>
      </c>
      <c r="C198" t="str">
        <f>IFERROR(__xludf.DUMMYFUNCTION("""COMPUTED_VALUE"""),"CU")</f>
        <v>CU</v>
      </c>
      <c r="D198" t="str">
        <f>IFERROR(__xludf.DUMMYFUNCTION("""COMPUTED_VALUE"""),"DE513N2")</f>
        <v>DE513N2</v>
      </c>
      <c r="E198" t="str">
        <f>IFERROR(__xludf.DUMMYFUNCTION("""COMPUTED_VALUE"""),"P1024")</f>
        <v>P1024</v>
      </c>
      <c r="F198" t="str">
        <f t="array" ref="F198">if(iserror(index(fish_lab_data!C:C,match(B198,fish_lab_data!C:C,0))),"not dissected","dissected")</f>
        <v>dissected</v>
      </c>
    </row>
    <row r="199">
      <c r="A199" t="str">
        <f t="shared" si="1"/>
        <v>16233</v>
      </c>
      <c r="B199" t="str">
        <f>IFERROR(__xludf.DUMMYFUNCTION("""COMPUTED_VALUE"""),"U16233")</f>
        <v>U16233</v>
      </c>
      <c r="C199" t="str">
        <f>IFERROR(__xludf.DUMMYFUNCTION("""COMPUTED_VALUE"""),"CU")</f>
        <v>CU</v>
      </c>
      <c r="D199" t="str">
        <f>IFERROR(__xludf.DUMMYFUNCTION("""COMPUTED_VALUE"""),"DE513N2")</f>
        <v>DE513N2</v>
      </c>
      <c r="E199" t="str">
        <f>IFERROR(__xludf.DUMMYFUNCTION("""COMPUTED_VALUE"""),"P1024")</f>
        <v>P1024</v>
      </c>
      <c r="F199" t="str">
        <f t="array" ref="F199">if(iserror(index(fish_lab_data!C:C,match(B199,fish_lab_data!C:C,0))),"not dissected","dissected")</f>
        <v>dissected</v>
      </c>
    </row>
    <row r="200">
      <c r="A200" t="str">
        <f t="shared" si="1"/>
        <v>16234</v>
      </c>
      <c r="B200" t="str">
        <f>IFERROR(__xludf.DUMMYFUNCTION("""COMPUTED_VALUE"""),"U16234")</f>
        <v>U16234</v>
      </c>
      <c r="C200" t="str">
        <f>IFERROR(__xludf.DUMMYFUNCTION("""COMPUTED_VALUE"""),"CU")</f>
        <v>CU</v>
      </c>
      <c r="D200" t="str">
        <f>IFERROR(__xludf.DUMMYFUNCTION("""COMPUTED_VALUE"""),"DE513N2")</f>
        <v>DE513N2</v>
      </c>
      <c r="E200" t="str">
        <f>IFERROR(__xludf.DUMMYFUNCTION("""COMPUTED_VALUE"""),"P1024")</f>
        <v>P1024</v>
      </c>
      <c r="F200" t="str">
        <f t="array" ref="F200">if(iserror(index(fish_lab_data!C:C,match(B200,fish_lab_data!C:C,0))),"not dissected","dissected")</f>
        <v>dissected</v>
      </c>
    </row>
    <row r="201">
      <c r="A201" t="str">
        <f t="shared" si="1"/>
        <v>16235</v>
      </c>
      <c r="B201" t="str">
        <f>IFERROR(__xludf.DUMMYFUNCTION("""COMPUTED_VALUE"""),"U16235")</f>
        <v>U16235</v>
      </c>
      <c r="C201" t="str">
        <f>IFERROR(__xludf.DUMMYFUNCTION("""COMPUTED_VALUE"""),"CU")</f>
        <v>CU</v>
      </c>
      <c r="D201" t="str">
        <f>IFERROR(__xludf.DUMMYFUNCTION("""COMPUTED_VALUE"""),"DE513N2")</f>
        <v>DE513N2</v>
      </c>
      <c r="E201" t="str">
        <f>IFERROR(__xludf.DUMMYFUNCTION("""COMPUTED_VALUE"""),"P1024")</f>
        <v>P1024</v>
      </c>
      <c r="F201" t="str">
        <f t="array" ref="F201">if(iserror(index(fish_lab_data!C:C,match(B201,fish_lab_data!C:C,0))),"not dissected","dissected")</f>
        <v>dissected</v>
      </c>
    </row>
    <row r="202">
      <c r="A202" t="str">
        <f t="shared" si="1"/>
        <v>16236</v>
      </c>
      <c r="B202" t="str">
        <f>IFERROR(__xludf.DUMMYFUNCTION("""COMPUTED_VALUE"""),"U16236")</f>
        <v>U16236</v>
      </c>
      <c r="C202" t="str">
        <f>IFERROR(__xludf.DUMMYFUNCTION("""COMPUTED_VALUE"""),"CU")</f>
        <v>CU</v>
      </c>
      <c r="D202" t="str">
        <f>IFERROR(__xludf.DUMMYFUNCTION("""COMPUTED_VALUE"""),"DE513N2")</f>
        <v>DE513N2</v>
      </c>
      <c r="E202" t="str">
        <f>IFERROR(__xludf.DUMMYFUNCTION("""COMPUTED_VALUE"""),"P1024")</f>
        <v>P1024</v>
      </c>
      <c r="F202" t="str">
        <f t="array" ref="F202">if(iserror(index(fish_lab_data!C:C,match(B202,fish_lab_data!C:C,0))),"not dissected","dissected")</f>
        <v>dissected</v>
      </c>
    </row>
    <row r="203">
      <c r="A203" t="str">
        <f t="shared" si="1"/>
        <v>16237</v>
      </c>
      <c r="B203" t="str">
        <f>IFERROR(__xludf.DUMMYFUNCTION("""COMPUTED_VALUE"""),"U16237")</f>
        <v>U16237</v>
      </c>
      <c r="C203" t="str">
        <f>IFERROR(__xludf.DUMMYFUNCTION("""COMPUTED_VALUE"""),"CU")</f>
        <v>CU</v>
      </c>
      <c r="D203" t="str">
        <f>IFERROR(__xludf.DUMMYFUNCTION("""COMPUTED_VALUE"""),"DE513N2")</f>
        <v>DE513N2</v>
      </c>
      <c r="E203" t="str">
        <f>IFERROR(__xludf.DUMMYFUNCTION("""COMPUTED_VALUE"""),"P1024")</f>
        <v>P1024</v>
      </c>
      <c r="F203" t="str">
        <f t="array" ref="F203">if(iserror(index(fish_lab_data!C:C,match(B203,fish_lab_data!C:C,0))),"not dissected","dissected")</f>
        <v>dissected</v>
      </c>
    </row>
    <row r="204">
      <c r="A204" t="str">
        <f t="shared" si="1"/>
        <v>16238</v>
      </c>
      <c r="B204" t="str">
        <f>IFERROR(__xludf.DUMMYFUNCTION("""COMPUTED_VALUE"""),"U16238")</f>
        <v>U16238</v>
      </c>
      <c r="C204" t="str">
        <f>IFERROR(__xludf.DUMMYFUNCTION("""COMPUTED_VALUE"""),"CU")</f>
        <v>CU</v>
      </c>
      <c r="D204" t="str">
        <f>IFERROR(__xludf.DUMMYFUNCTION("""COMPUTED_VALUE"""),"DE513N2")</f>
        <v>DE513N2</v>
      </c>
      <c r="E204" t="str">
        <f>IFERROR(__xludf.DUMMYFUNCTION("""COMPUTED_VALUE"""),"P1024")</f>
        <v>P1024</v>
      </c>
      <c r="F204" t="str">
        <f t="array" ref="F204">if(iserror(index(fish_lab_data!C:C,match(B204,fish_lab_data!C:C,0))),"not dissected","dissected")</f>
        <v>dissected</v>
      </c>
    </row>
    <row r="205">
      <c r="A205" t="str">
        <f t="shared" si="1"/>
        <v>16239</v>
      </c>
      <c r="B205" t="str">
        <f>IFERROR(__xludf.DUMMYFUNCTION("""COMPUTED_VALUE"""),"U16239")</f>
        <v>U16239</v>
      </c>
      <c r="C205" t="str">
        <f>IFERROR(__xludf.DUMMYFUNCTION("""COMPUTED_VALUE"""),"CU")</f>
        <v>CU</v>
      </c>
      <c r="D205" t="str">
        <f>IFERROR(__xludf.DUMMYFUNCTION("""COMPUTED_VALUE"""),"DE513N2")</f>
        <v>DE513N2</v>
      </c>
      <c r="E205" t="str">
        <f>IFERROR(__xludf.DUMMYFUNCTION("""COMPUTED_VALUE"""),"P1024")</f>
        <v>P1024</v>
      </c>
      <c r="F205" t="str">
        <f t="array" ref="F205">if(iserror(index(fish_lab_data!C:C,match(B205,fish_lab_data!C:C,0))),"not dissected","dissected")</f>
        <v>dissected</v>
      </c>
    </row>
    <row r="206">
      <c r="A206" t="str">
        <f t="shared" si="1"/>
        <v>16240</v>
      </c>
      <c r="B206" t="str">
        <f>IFERROR(__xludf.DUMMYFUNCTION("""COMPUTED_VALUE"""),"U16240")</f>
        <v>U16240</v>
      </c>
      <c r="C206" t="str">
        <f>IFERROR(__xludf.DUMMYFUNCTION("""COMPUTED_VALUE"""),"CU")</f>
        <v>CU</v>
      </c>
      <c r="D206" t="str">
        <f>IFERROR(__xludf.DUMMYFUNCTION("""COMPUTED_VALUE"""),"DE513N2")</f>
        <v>DE513N2</v>
      </c>
      <c r="E206" t="str">
        <f>IFERROR(__xludf.DUMMYFUNCTION("""COMPUTED_VALUE"""),"P1024")</f>
        <v>P1024</v>
      </c>
      <c r="F206" t="str">
        <f t="array" ref="F206">if(iserror(index(fish_lab_data!C:C,match(B206,fish_lab_data!C:C,0))),"not dissected","dissected")</f>
        <v>dissected</v>
      </c>
    </row>
    <row r="207">
      <c r="A207" t="str">
        <f t="shared" si="1"/>
        <v>16221</v>
      </c>
      <c r="B207" t="str">
        <f>IFERROR(__xludf.DUMMYFUNCTION("""COMPUTED_VALUE"""),"U16221")</f>
        <v>U16221</v>
      </c>
      <c r="C207" t="str">
        <f>IFERROR(__xludf.DUMMYFUNCTION("""COMPUTED_VALUE"""),"PI")</f>
        <v>PI</v>
      </c>
      <c r="D207" t="str">
        <f>IFERROR(__xludf.DUMMYFUNCTION("""COMPUTED_VALUE"""),"DE513N2")</f>
        <v>DE513N2</v>
      </c>
      <c r="E207" t="str">
        <f>IFERROR(__xludf.DUMMYFUNCTION("""COMPUTED_VALUE"""),"P1023")</f>
        <v>P1023</v>
      </c>
      <c r="F207" t="str">
        <f t="array" ref="F207">if(iserror(index(fish_lab_data!C:C,match(B207,fish_lab_data!C:C,0))),"not dissected","dissected")</f>
        <v>dissected</v>
      </c>
    </row>
    <row r="208">
      <c r="A208" t="str">
        <f t="shared" si="1"/>
        <v>16222</v>
      </c>
      <c r="B208" t="str">
        <f>IFERROR(__xludf.DUMMYFUNCTION("""COMPUTED_VALUE"""),"U16222")</f>
        <v>U16222</v>
      </c>
      <c r="C208" t="str">
        <f>IFERROR(__xludf.DUMMYFUNCTION("""COMPUTED_VALUE"""),"PI")</f>
        <v>PI</v>
      </c>
      <c r="D208" t="str">
        <f>IFERROR(__xludf.DUMMYFUNCTION("""COMPUTED_VALUE"""),"DE513N2")</f>
        <v>DE513N2</v>
      </c>
      <c r="E208" t="str">
        <f>IFERROR(__xludf.DUMMYFUNCTION("""COMPUTED_VALUE"""),"P1023")</f>
        <v>P1023</v>
      </c>
      <c r="F208" t="str">
        <f t="array" ref="F208">if(iserror(index(fish_lab_data!C:C,match(B208,fish_lab_data!C:C,0))),"not dissected","dissected")</f>
        <v>dissected</v>
      </c>
    </row>
    <row r="209">
      <c r="A209" t="str">
        <f t="shared" si="1"/>
        <v>16223</v>
      </c>
      <c r="B209" t="str">
        <f>IFERROR(__xludf.DUMMYFUNCTION("""COMPUTED_VALUE"""),"U16223")</f>
        <v>U16223</v>
      </c>
      <c r="C209" t="str">
        <f>IFERROR(__xludf.DUMMYFUNCTION("""COMPUTED_VALUE"""),"PI")</f>
        <v>PI</v>
      </c>
      <c r="D209" t="str">
        <f>IFERROR(__xludf.DUMMYFUNCTION("""COMPUTED_VALUE"""),"DE513N2")</f>
        <v>DE513N2</v>
      </c>
      <c r="E209" t="str">
        <f>IFERROR(__xludf.DUMMYFUNCTION("""COMPUTED_VALUE"""),"P1023")</f>
        <v>P1023</v>
      </c>
      <c r="F209" t="str">
        <f t="array" ref="F209">if(iserror(index(fish_lab_data!C:C,match(B209,fish_lab_data!C:C,0))),"not dissected","dissected")</f>
        <v>dissected</v>
      </c>
    </row>
    <row r="210">
      <c r="A210" t="str">
        <f t="shared" si="1"/>
        <v>16224</v>
      </c>
      <c r="B210" t="str">
        <f>IFERROR(__xludf.DUMMYFUNCTION("""COMPUTED_VALUE"""),"U16224")</f>
        <v>U16224</v>
      </c>
      <c r="C210" t="str">
        <f>IFERROR(__xludf.DUMMYFUNCTION("""COMPUTED_VALUE"""),"PI")</f>
        <v>PI</v>
      </c>
      <c r="D210" t="str">
        <f>IFERROR(__xludf.DUMMYFUNCTION("""COMPUTED_VALUE"""),"DE513N2")</f>
        <v>DE513N2</v>
      </c>
      <c r="E210" t="str">
        <f>IFERROR(__xludf.DUMMYFUNCTION("""COMPUTED_VALUE"""),"P1023")</f>
        <v>P1023</v>
      </c>
      <c r="F210" t="str">
        <f t="array" ref="F210">if(iserror(index(fish_lab_data!C:C,match(B210,fish_lab_data!C:C,0))),"not dissected","dissected")</f>
        <v>dissected</v>
      </c>
    </row>
    <row r="211">
      <c r="A211" t="str">
        <f t="shared" si="1"/>
        <v>16225</v>
      </c>
      <c r="B211" t="str">
        <f>IFERROR(__xludf.DUMMYFUNCTION("""COMPUTED_VALUE"""),"U16225")</f>
        <v>U16225</v>
      </c>
      <c r="C211" t="str">
        <f>IFERROR(__xludf.DUMMYFUNCTION("""COMPUTED_VALUE"""),"PI")</f>
        <v>PI</v>
      </c>
      <c r="D211" t="str">
        <f>IFERROR(__xludf.DUMMYFUNCTION("""COMPUTED_VALUE"""),"DE513N2")</f>
        <v>DE513N2</v>
      </c>
      <c r="E211" t="str">
        <f>IFERROR(__xludf.DUMMYFUNCTION("""COMPUTED_VALUE"""),"P1023")</f>
        <v>P1023</v>
      </c>
      <c r="F211" t="str">
        <f t="array" ref="F211">if(iserror(index(fish_lab_data!C:C,match(B211,fish_lab_data!C:C,0))),"not dissected","dissected")</f>
        <v>dissected</v>
      </c>
    </row>
    <row r="212">
      <c r="A212" t="str">
        <f t="shared" si="1"/>
        <v>16341</v>
      </c>
      <c r="B212" t="str">
        <f>IFERROR(__xludf.DUMMYFUNCTION("""COMPUTED_VALUE"""),"U16341")</f>
        <v>U16341</v>
      </c>
      <c r="C212" t="str">
        <f>IFERROR(__xludf.DUMMYFUNCTION("""COMPUTED_VALUE"""),"SO")</f>
        <v>SO</v>
      </c>
      <c r="D212" t="str">
        <f>IFERROR(__xludf.DUMMYFUNCTION("""COMPUTED_VALUE"""),"DE513N2")</f>
        <v>DE513N2</v>
      </c>
      <c r="E212" t="str">
        <f>IFERROR(__xludf.DUMMYFUNCTION("""COMPUTED_VALUE"""),"P1035")</f>
        <v>P1035</v>
      </c>
      <c r="F212" t="str">
        <f t="array" ref="F212">if(iserror(index(fish_lab_data!C:C,match(B212,fish_lab_data!C:C,0))),"not dissected","dissected")</f>
        <v>dissected</v>
      </c>
    </row>
    <row r="213">
      <c r="A213" t="str">
        <f t="shared" si="1"/>
        <v>16342</v>
      </c>
      <c r="B213" t="str">
        <f>IFERROR(__xludf.DUMMYFUNCTION("""COMPUTED_VALUE"""),"U16342")</f>
        <v>U16342</v>
      </c>
      <c r="C213" t="str">
        <f>IFERROR(__xludf.DUMMYFUNCTION("""COMPUTED_VALUE"""),"SO")</f>
        <v>SO</v>
      </c>
      <c r="D213" t="str">
        <f>IFERROR(__xludf.DUMMYFUNCTION("""COMPUTED_VALUE"""),"DE513N2")</f>
        <v>DE513N2</v>
      </c>
      <c r="E213" t="str">
        <f>IFERROR(__xludf.DUMMYFUNCTION("""COMPUTED_VALUE"""),"P1035")</f>
        <v>P1035</v>
      </c>
      <c r="F213" t="str">
        <f t="array" ref="F213">if(iserror(index(fish_lab_data!C:C,match(B213,fish_lab_data!C:C,0))),"not dissected","dissected")</f>
        <v>dissected</v>
      </c>
    </row>
    <row r="214">
      <c r="A214" t="str">
        <f t="shared" si="1"/>
        <v>16343</v>
      </c>
      <c r="B214" t="str">
        <f>IFERROR(__xludf.DUMMYFUNCTION("""COMPUTED_VALUE"""),"U16343")</f>
        <v>U16343</v>
      </c>
      <c r="C214" t="str">
        <f>IFERROR(__xludf.DUMMYFUNCTION("""COMPUTED_VALUE"""),"SO")</f>
        <v>SO</v>
      </c>
      <c r="D214" t="str">
        <f>IFERROR(__xludf.DUMMYFUNCTION("""COMPUTED_VALUE"""),"DE513N2")</f>
        <v>DE513N2</v>
      </c>
      <c r="E214" t="str">
        <f>IFERROR(__xludf.DUMMYFUNCTION("""COMPUTED_VALUE"""),"P1035")</f>
        <v>P1035</v>
      </c>
      <c r="F214" t="str">
        <f t="array" ref="F214">if(iserror(index(fish_lab_data!C:C,match(B214,fish_lab_data!C:C,0))),"not dissected","dissected")</f>
        <v>dissected</v>
      </c>
    </row>
    <row r="215">
      <c r="A215" t="str">
        <f t="shared" si="1"/>
        <v>16344</v>
      </c>
      <c r="B215" t="str">
        <f>IFERROR(__xludf.DUMMYFUNCTION("""COMPUTED_VALUE"""),"U16344")</f>
        <v>U16344</v>
      </c>
      <c r="C215" t="str">
        <f>IFERROR(__xludf.DUMMYFUNCTION("""COMPUTED_VALUE"""),"SO")</f>
        <v>SO</v>
      </c>
      <c r="D215" t="str">
        <f>IFERROR(__xludf.DUMMYFUNCTION("""COMPUTED_VALUE"""),"DE513N2")</f>
        <v>DE513N2</v>
      </c>
      <c r="E215" t="str">
        <f>IFERROR(__xludf.DUMMYFUNCTION("""COMPUTED_VALUE"""),"P1035")</f>
        <v>P1035</v>
      </c>
      <c r="F215" t="str">
        <f t="array" ref="F215">if(iserror(index(fish_lab_data!C:C,match(B215,fish_lab_data!C:C,0))),"not dissected","dissected")</f>
        <v>dissected</v>
      </c>
    </row>
    <row r="216">
      <c r="A216" t="str">
        <f t="shared" si="1"/>
        <v>16345</v>
      </c>
      <c r="B216" t="str">
        <f>IFERROR(__xludf.DUMMYFUNCTION("""COMPUTED_VALUE"""),"U16345")</f>
        <v>U16345</v>
      </c>
      <c r="C216" t="str">
        <f>IFERROR(__xludf.DUMMYFUNCTION("""COMPUTED_VALUE"""),"SO")</f>
        <v>SO</v>
      </c>
      <c r="D216" t="str">
        <f>IFERROR(__xludf.DUMMYFUNCTION("""COMPUTED_VALUE"""),"DE513N2")</f>
        <v>DE513N2</v>
      </c>
      <c r="E216" t="str">
        <f>IFERROR(__xludf.DUMMYFUNCTION("""COMPUTED_VALUE"""),"P1035")</f>
        <v>P1035</v>
      </c>
      <c r="F216" t="str">
        <f t="array" ref="F216">if(iserror(index(fish_lab_data!C:C,match(B216,fish_lab_data!C:C,0))),"not dissected","dissected")</f>
        <v>dissected</v>
      </c>
    </row>
    <row r="217">
      <c r="A217" t="str">
        <f t="shared" si="1"/>
        <v>16346</v>
      </c>
      <c r="B217" t="str">
        <f>IFERROR(__xludf.DUMMYFUNCTION("""COMPUTED_VALUE"""),"U16346")</f>
        <v>U16346</v>
      </c>
      <c r="C217" t="str">
        <f>IFERROR(__xludf.DUMMYFUNCTION("""COMPUTED_VALUE"""),"SO")</f>
        <v>SO</v>
      </c>
      <c r="D217" t="str">
        <f>IFERROR(__xludf.DUMMYFUNCTION("""COMPUTED_VALUE"""),"DE513N2")</f>
        <v>DE513N2</v>
      </c>
      <c r="E217" t="str">
        <f>IFERROR(__xludf.DUMMYFUNCTION("""COMPUTED_VALUE"""),"P1035")</f>
        <v>P1035</v>
      </c>
      <c r="F217" t="str">
        <f t="array" ref="F217">if(iserror(index(fish_lab_data!C:C,match(B217,fish_lab_data!C:C,0))),"not dissected","dissected")</f>
        <v>dissected</v>
      </c>
    </row>
    <row r="218">
      <c r="A218" t="str">
        <f t="shared" si="1"/>
        <v>16347</v>
      </c>
      <c r="B218" t="str">
        <f>IFERROR(__xludf.DUMMYFUNCTION("""COMPUTED_VALUE"""),"U16347")</f>
        <v>U16347</v>
      </c>
      <c r="C218" t="str">
        <f>IFERROR(__xludf.DUMMYFUNCTION("""COMPUTED_VALUE"""),"SO")</f>
        <v>SO</v>
      </c>
      <c r="D218" t="str">
        <f>IFERROR(__xludf.DUMMYFUNCTION("""COMPUTED_VALUE"""),"DE513N2")</f>
        <v>DE513N2</v>
      </c>
      <c r="E218" t="str">
        <f>IFERROR(__xludf.DUMMYFUNCTION("""COMPUTED_VALUE"""),"P1035")</f>
        <v>P1035</v>
      </c>
      <c r="F218" t="str">
        <f t="array" ref="F218">if(iserror(index(fish_lab_data!C:C,match(B218,fish_lab_data!C:C,0))),"not dissected","dissected")</f>
        <v>dissected</v>
      </c>
    </row>
    <row r="219">
      <c r="A219" t="str">
        <f t="shared" si="1"/>
        <v>16348</v>
      </c>
      <c r="B219" t="str">
        <f>IFERROR(__xludf.DUMMYFUNCTION("""COMPUTED_VALUE"""),"U16348")</f>
        <v>U16348</v>
      </c>
      <c r="C219" t="str">
        <f>IFERROR(__xludf.DUMMYFUNCTION("""COMPUTED_VALUE"""),"SO")</f>
        <v>SO</v>
      </c>
      <c r="D219" t="str">
        <f>IFERROR(__xludf.DUMMYFUNCTION("""COMPUTED_VALUE"""),"DE513N2")</f>
        <v>DE513N2</v>
      </c>
      <c r="E219" t="str">
        <f>IFERROR(__xludf.DUMMYFUNCTION("""COMPUTED_VALUE"""),"P1035")</f>
        <v>P1035</v>
      </c>
      <c r="F219" t="str">
        <f t="array" ref="F219">if(iserror(index(fish_lab_data!C:C,match(B219,fish_lab_data!C:C,0))),"not dissected","dissected")</f>
        <v>dissected</v>
      </c>
    </row>
    <row r="220">
      <c r="A220" t="str">
        <f t="shared" si="1"/>
        <v>16349</v>
      </c>
      <c r="B220" t="str">
        <f>IFERROR(__xludf.DUMMYFUNCTION("""COMPUTED_VALUE"""),"U16349")</f>
        <v>U16349</v>
      </c>
      <c r="C220" t="str">
        <f>IFERROR(__xludf.DUMMYFUNCTION("""COMPUTED_VALUE"""),"SO")</f>
        <v>SO</v>
      </c>
      <c r="D220" t="str">
        <f>IFERROR(__xludf.DUMMYFUNCTION("""COMPUTED_VALUE"""),"DE513N2")</f>
        <v>DE513N2</v>
      </c>
      <c r="E220" t="str">
        <f>IFERROR(__xludf.DUMMYFUNCTION("""COMPUTED_VALUE"""),"P1035")</f>
        <v>P1035</v>
      </c>
      <c r="F220" t="str">
        <f t="array" ref="F220">if(iserror(index(fish_lab_data!C:C,match(B220,fish_lab_data!C:C,0))),"not dissected","dissected")</f>
        <v>dissected</v>
      </c>
    </row>
    <row r="221">
      <c r="A221" t="str">
        <f t="shared" si="1"/>
        <v>16350</v>
      </c>
      <c r="B221" t="str">
        <f>IFERROR(__xludf.DUMMYFUNCTION("""COMPUTED_VALUE"""),"U16350")</f>
        <v>U16350</v>
      </c>
      <c r="C221" t="str">
        <f>IFERROR(__xludf.DUMMYFUNCTION("""COMPUTED_VALUE"""),"SO")</f>
        <v>SO</v>
      </c>
      <c r="D221" t="str">
        <f>IFERROR(__xludf.DUMMYFUNCTION("""COMPUTED_VALUE"""),"DE513N2")</f>
        <v>DE513N2</v>
      </c>
      <c r="E221" t="str">
        <f>IFERROR(__xludf.DUMMYFUNCTION("""COMPUTED_VALUE"""),"P1035")</f>
        <v>P1035</v>
      </c>
      <c r="F221" t="str">
        <f t="array" ref="F221">if(iserror(index(fish_lab_data!C:C,match(B221,fish_lab_data!C:C,0))),"not dissected","dissected")</f>
        <v>dissected</v>
      </c>
    </row>
    <row r="222">
      <c r="A222" t="str">
        <f t="shared" si="1"/>
        <v>16151</v>
      </c>
      <c r="B222" t="str">
        <f>IFERROR(__xludf.DUMMYFUNCTION("""COMPUTED_VALUE"""),"U16151")</f>
        <v>U16151</v>
      </c>
      <c r="C222" t="str">
        <f>IFERROR(__xludf.DUMMYFUNCTION("""COMPUTED_VALUE"""),"SO")</f>
        <v>SO</v>
      </c>
      <c r="D222" t="str">
        <f>IFERROR(__xludf.DUMMYFUNCTION("""COMPUTED_VALUE"""),"DE513N2")</f>
        <v>DE513N2</v>
      </c>
      <c r="E222" t="str">
        <f>IFERROR(__xludf.DUMMYFUNCTION("""COMPUTED_VALUE"""),"P1016")</f>
        <v>P1016</v>
      </c>
      <c r="F222" t="str">
        <f t="array" ref="F222">if(iserror(index(fish_lab_data!C:C,match(B222,fish_lab_data!C:C,0))),"not dissected","dissected")</f>
        <v>dissected</v>
      </c>
    </row>
    <row r="223">
      <c r="A223" t="str">
        <f t="shared" si="1"/>
        <v>16152</v>
      </c>
      <c r="B223" t="str">
        <f>IFERROR(__xludf.DUMMYFUNCTION("""COMPUTED_VALUE"""),"U16152")</f>
        <v>U16152</v>
      </c>
      <c r="C223" t="str">
        <f>IFERROR(__xludf.DUMMYFUNCTION("""COMPUTED_VALUE"""),"SO")</f>
        <v>SO</v>
      </c>
      <c r="D223" t="str">
        <f>IFERROR(__xludf.DUMMYFUNCTION("""COMPUTED_VALUE"""),"DE513N2")</f>
        <v>DE513N2</v>
      </c>
      <c r="E223" t="str">
        <f>IFERROR(__xludf.DUMMYFUNCTION("""COMPUTED_VALUE"""),"P1016")</f>
        <v>P1016</v>
      </c>
      <c r="F223" t="str">
        <f t="array" ref="F223">if(iserror(index(fish_lab_data!C:C,match(B223,fish_lab_data!C:C,0))),"not dissected","dissected")</f>
        <v>dissected</v>
      </c>
    </row>
    <row r="224">
      <c r="A224" t="str">
        <f t="shared" si="1"/>
        <v>16153</v>
      </c>
      <c r="B224" t="str">
        <f>IFERROR(__xludf.DUMMYFUNCTION("""COMPUTED_VALUE"""),"U16153")</f>
        <v>U16153</v>
      </c>
      <c r="C224" t="str">
        <f>IFERROR(__xludf.DUMMYFUNCTION("""COMPUTED_VALUE"""),"SO")</f>
        <v>SO</v>
      </c>
      <c r="D224" t="str">
        <f>IFERROR(__xludf.DUMMYFUNCTION("""COMPUTED_VALUE"""),"DE513N2")</f>
        <v>DE513N2</v>
      </c>
      <c r="E224" t="str">
        <f>IFERROR(__xludf.DUMMYFUNCTION("""COMPUTED_VALUE"""),"P1016")</f>
        <v>P1016</v>
      </c>
      <c r="F224" t="str">
        <f t="array" ref="F224">if(iserror(index(fish_lab_data!C:C,match(B224,fish_lab_data!C:C,0))),"not dissected","dissected")</f>
        <v>dissected</v>
      </c>
    </row>
    <row r="225">
      <c r="A225" t="str">
        <f t="shared" si="1"/>
        <v>16154</v>
      </c>
      <c r="B225" t="str">
        <f>IFERROR(__xludf.DUMMYFUNCTION("""COMPUTED_VALUE"""),"U16154")</f>
        <v>U16154</v>
      </c>
      <c r="C225" t="str">
        <f>IFERROR(__xludf.DUMMYFUNCTION("""COMPUTED_VALUE"""),"SO")</f>
        <v>SO</v>
      </c>
      <c r="D225" t="str">
        <f>IFERROR(__xludf.DUMMYFUNCTION("""COMPUTED_VALUE"""),"DE513N2")</f>
        <v>DE513N2</v>
      </c>
      <c r="E225" t="str">
        <f>IFERROR(__xludf.DUMMYFUNCTION("""COMPUTED_VALUE"""),"P1016")</f>
        <v>P1016</v>
      </c>
      <c r="F225" t="str">
        <f t="array" ref="F225">if(iserror(index(fish_lab_data!C:C,match(B225,fish_lab_data!C:C,0))),"not dissected","dissected")</f>
        <v>dissected</v>
      </c>
    </row>
    <row r="226">
      <c r="A226" t="str">
        <f t="shared" si="1"/>
        <v>16155</v>
      </c>
      <c r="B226" t="str">
        <f>IFERROR(__xludf.DUMMYFUNCTION("""COMPUTED_VALUE"""),"U16155")</f>
        <v>U16155</v>
      </c>
      <c r="C226" t="str">
        <f>IFERROR(__xludf.DUMMYFUNCTION("""COMPUTED_VALUE"""),"SO")</f>
        <v>SO</v>
      </c>
      <c r="D226" t="str">
        <f>IFERROR(__xludf.DUMMYFUNCTION("""COMPUTED_VALUE"""),"DE513N2")</f>
        <v>DE513N2</v>
      </c>
      <c r="E226" t="str">
        <f>IFERROR(__xludf.DUMMYFUNCTION("""COMPUTED_VALUE"""),"P1016")</f>
        <v>P1016</v>
      </c>
      <c r="F226" t="str">
        <f t="array" ref="F226">if(iserror(index(fish_lab_data!C:C,match(B226,fish_lab_data!C:C,0))),"not dissected","dissected")</f>
        <v>dissected</v>
      </c>
    </row>
    <row r="227">
      <c r="A227" t="str">
        <f t="shared" si="1"/>
        <v>16156</v>
      </c>
      <c r="B227" t="str">
        <f>IFERROR(__xludf.DUMMYFUNCTION("""COMPUTED_VALUE"""),"U16156")</f>
        <v>U16156</v>
      </c>
      <c r="C227" t="str">
        <f>IFERROR(__xludf.DUMMYFUNCTION("""COMPUTED_VALUE"""),"SO")</f>
        <v>SO</v>
      </c>
      <c r="D227" t="str">
        <f>IFERROR(__xludf.DUMMYFUNCTION("""COMPUTED_VALUE"""),"DE513N2")</f>
        <v>DE513N2</v>
      </c>
      <c r="E227" t="str">
        <f>IFERROR(__xludf.DUMMYFUNCTION("""COMPUTED_VALUE"""),"P1016")</f>
        <v>P1016</v>
      </c>
      <c r="F227" t="str">
        <f t="array" ref="F227">if(iserror(index(fish_lab_data!C:C,match(B227,fish_lab_data!C:C,0))),"not dissected","dissected")</f>
        <v>dissected</v>
      </c>
    </row>
    <row r="228">
      <c r="A228" t="str">
        <f t="shared" si="1"/>
        <v>16157</v>
      </c>
      <c r="B228" t="str">
        <f>IFERROR(__xludf.DUMMYFUNCTION("""COMPUTED_VALUE"""),"U16157")</f>
        <v>U16157</v>
      </c>
      <c r="C228" t="str">
        <f>IFERROR(__xludf.DUMMYFUNCTION("""COMPUTED_VALUE"""),"SO")</f>
        <v>SO</v>
      </c>
      <c r="D228" t="str">
        <f>IFERROR(__xludf.DUMMYFUNCTION("""COMPUTED_VALUE"""),"DE513N2")</f>
        <v>DE513N2</v>
      </c>
      <c r="E228" t="str">
        <f>IFERROR(__xludf.DUMMYFUNCTION("""COMPUTED_VALUE"""),"P1016")</f>
        <v>P1016</v>
      </c>
      <c r="F228" t="str">
        <f t="array" ref="F228">if(iserror(index(fish_lab_data!C:C,match(B228,fish_lab_data!C:C,0))),"not dissected","dissected")</f>
        <v>dissected</v>
      </c>
    </row>
    <row r="229">
      <c r="A229" t="str">
        <f t="shared" si="1"/>
        <v>16158</v>
      </c>
      <c r="B229" t="str">
        <f>IFERROR(__xludf.DUMMYFUNCTION("""COMPUTED_VALUE"""),"U16158")</f>
        <v>U16158</v>
      </c>
      <c r="C229" t="str">
        <f>IFERROR(__xludf.DUMMYFUNCTION("""COMPUTED_VALUE"""),"SO")</f>
        <v>SO</v>
      </c>
      <c r="D229" t="str">
        <f>IFERROR(__xludf.DUMMYFUNCTION("""COMPUTED_VALUE"""),"DE513N2")</f>
        <v>DE513N2</v>
      </c>
      <c r="E229" t="str">
        <f>IFERROR(__xludf.DUMMYFUNCTION("""COMPUTED_VALUE"""),"P1016")</f>
        <v>P1016</v>
      </c>
      <c r="F229" t="str">
        <f t="array" ref="F229">if(iserror(index(fish_lab_data!C:C,match(B229,fish_lab_data!C:C,0))),"not dissected","dissected")</f>
        <v>dissected</v>
      </c>
    </row>
    <row r="230">
      <c r="A230" t="str">
        <f t="shared" si="1"/>
        <v>16159</v>
      </c>
      <c r="B230" t="str">
        <f>IFERROR(__xludf.DUMMYFUNCTION("""COMPUTED_VALUE"""),"U16159")</f>
        <v>U16159</v>
      </c>
      <c r="C230" t="str">
        <f>IFERROR(__xludf.DUMMYFUNCTION("""COMPUTED_VALUE"""),"SO")</f>
        <v>SO</v>
      </c>
      <c r="D230" t="str">
        <f>IFERROR(__xludf.DUMMYFUNCTION("""COMPUTED_VALUE"""),"DE513N2")</f>
        <v>DE513N2</v>
      </c>
      <c r="E230" t="str">
        <f>IFERROR(__xludf.DUMMYFUNCTION("""COMPUTED_VALUE"""),"P1016")</f>
        <v>P1016</v>
      </c>
      <c r="F230" t="str">
        <f t="array" ref="F230">if(iserror(index(fish_lab_data!C:C,match(B230,fish_lab_data!C:C,0))),"not dissected","dissected")</f>
        <v>dissected</v>
      </c>
    </row>
    <row r="231">
      <c r="A231" t="str">
        <f t="shared" si="1"/>
        <v>16160</v>
      </c>
      <c r="B231" t="str">
        <f>IFERROR(__xludf.DUMMYFUNCTION("""COMPUTED_VALUE"""),"U16160")</f>
        <v>U16160</v>
      </c>
      <c r="C231" t="str">
        <f>IFERROR(__xludf.DUMMYFUNCTION("""COMPUTED_VALUE"""),"SO")</f>
        <v>SO</v>
      </c>
      <c r="D231" t="str">
        <f>IFERROR(__xludf.DUMMYFUNCTION("""COMPUTED_VALUE"""),"DE513N2")</f>
        <v>DE513N2</v>
      </c>
      <c r="E231" t="str">
        <f>IFERROR(__xludf.DUMMYFUNCTION("""COMPUTED_VALUE"""),"P1016")</f>
        <v>P1016</v>
      </c>
      <c r="F231" t="str">
        <f t="array" ref="F231">if(iserror(index(fish_lab_data!C:C,match(B231,fish_lab_data!C:C,0))),"not dissected","dissected")</f>
        <v>dissected</v>
      </c>
    </row>
    <row r="232">
      <c r="A232" t="str">
        <f t="shared" si="1"/>
        <v>16121</v>
      </c>
      <c r="B232" t="str">
        <f>IFERROR(__xludf.DUMMYFUNCTION("""COMPUTED_VALUE"""),"U16121")</f>
        <v>U16121</v>
      </c>
      <c r="C232" t="str">
        <f>IFERROR(__xludf.DUMMYFUNCTION("""COMPUTED_VALUE"""),"SO")</f>
        <v>SO</v>
      </c>
      <c r="D232" t="str">
        <f>IFERROR(__xludf.DUMMYFUNCTION("""COMPUTED_VALUE"""),"DE519N1")</f>
        <v>DE519N1</v>
      </c>
      <c r="E232" t="str">
        <f>IFERROR(__xludf.DUMMYFUNCTION("""COMPUTED_VALUE"""),"P1013")</f>
        <v>P1013</v>
      </c>
      <c r="F232" t="str">
        <f t="array" ref="F232">if(iserror(index(fish_lab_data!C:C,match(B232,fish_lab_data!C:C,0))),"not dissected","dissected")</f>
        <v>dissected</v>
      </c>
    </row>
    <row r="233">
      <c r="A233" t="str">
        <f t="shared" si="1"/>
        <v>16122</v>
      </c>
      <c r="B233" t="str">
        <f>IFERROR(__xludf.DUMMYFUNCTION("""COMPUTED_VALUE"""),"U16122")</f>
        <v>U16122</v>
      </c>
      <c r="C233" t="str">
        <f>IFERROR(__xludf.DUMMYFUNCTION("""COMPUTED_VALUE"""),"SO")</f>
        <v>SO</v>
      </c>
      <c r="D233" t="str">
        <f>IFERROR(__xludf.DUMMYFUNCTION("""COMPUTED_VALUE"""),"DE519N1")</f>
        <v>DE519N1</v>
      </c>
      <c r="E233" t="str">
        <f>IFERROR(__xludf.DUMMYFUNCTION("""COMPUTED_VALUE"""),"P1013")</f>
        <v>P1013</v>
      </c>
      <c r="F233" t="str">
        <f t="array" ref="F233">if(iserror(index(fish_lab_data!C:C,match(B233,fish_lab_data!C:C,0))),"not dissected","dissected")</f>
        <v>dissected</v>
      </c>
    </row>
    <row r="234">
      <c r="A234" t="str">
        <f t="shared" si="1"/>
        <v>16123</v>
      </c>
      <c r="B234" t="str">
        <f>IFERROR(__xludf.DUMMYFUNCTION("""COMPUTED_VALUE"""),"U16123")</f>
        <v>U16123</v>
      </c>
      <c r="C234" t="str">
        <f>IFERROR(__xludf.DUMMYFUNCTION("""COMPUTED_VALUE"""),"SO")</f>
        <v>SO</v>
      </c>
      <c r="D234" t="str">
        <f>IFERROR(__xludf.DUMMYFUNCTION("""COMPUTED_VALUE"""),"DE519N1")</f>
        <v>DE519N1</v>
      </c>
      <c r="E234" t="str">
        <f>IFERROR(__xludf.DUMMYFUNCTION("""COMPUTED_VALUE"""),"P1013")</f>
        <v>P1013</v>
      </c>
      <c r="F234" t="str">
        <f t="array" ref="F234">if(iserror(index(fish_lab_data!C:C,match(B234,fish_lab_data!C:C,0))),"not dissected","dissected")</f>
        <v>dissected</v>
      </c>
    </row>
    <row r="235">
      <c r="A235" t="str">
        <f t="shared" si="1"/>
        <v>16281</v>
      </c>
      <c r="B235" t="str">
        <f>IFERROR(__xludf.DUMMYFUNCTION("""COMPUTED_VALUE"""),"U16281")</f>
        <v>U16281</v>
      </c>
      <c r="C235" t="str">
        <f>IFERROR(__xludf.DUMMYFUNCTION("""COMPUTED_VALUE"""),"PI")</f>
        <v>PI</v>
      </c>
      <c r="D235" t="str">
        <f>IFERROR(__xludf.DUMMYFUNCTION("""COMPUTED_VALUE"""),"DE519N1")</f>
        <v>DE519N1</v>
      </c>
      <c r="E235" t="str">
        <f>IFERROR(__xludf.DUMMYFUNCTION("""COMPUTED_VALUE"""),"P1029")</f>
        <v>P1029</v>
      </c>
      <c r="F235" t="str">
        <f t="array" ref="F235">if(iserror(index(fish_lab_data!C:C,match(B235,fish_lab_data!C:C,0))),"not dissected","dissected")</f>
        <v>dissected</v>
      </c>
    </row>
    <row r="236">
      <c r="A236" t="str">
        <f t="shared" si="1"/>
        <v>16282</v>
      </c>
      <c r="B236" t="str">
        <f>IFERROR(__xludf.DUMMYFUNCTION("""COMPUTED_VALUE"""),"U16282")</f>
        <v>U16282</v>
      </c>
      <c r="C236" t="str">
        <f>IFERROR(__xludf.DUMMYFUNCTION("""COMPUTED_VALUE"""),"PI")</f>
        <v>PI</v>
      </c>
      <c r="D236" t="str">
        <f>IFERROR(__xludf.DUMMYFUNCTION("""COMPUTED_VALUE"""),"DE519N1")</f>
        <v>DE519N1</v>
      </c>
      <c r="E236" t="str">
        <f>IFERROR(__xludf.DUMMYFUNCTION("""COMPUTED_VALUE"""),"P1029")</f>
        <v>P1029</v>
      </c>
      <c r="F236" t="str">
        <f t="array" ref="F236">if(iserror(index(fish_lab_data!C:C,match(B236,fish_lab_data!C:C,0))),"not dissected","dissected")</f>
        <v>dissected</v>
      </c>
    </row>
    <row r="237">
      <c r="A237" t="str">
        <f t="shared" si="1"/>
        <v>16283</v>
      </c>
      <c r="B237" t="str">
        <f>IFERROR(__xludf.DUMMYFUNCTION("""COMPUTED_VALUE"""),"U16283")</f>
        <v>U16283</v>
      </c>
      <c r="C237" t="str">
        <f>IFERROR(__xludf.DUMMYFUNCTION("""COMPUTED_VALUE"""),"PI")</f>
        <v>PI</v>
      </c>
      <c r="D237" t="str">
        <f>IFERROR(__xludf.DUMMYFUNCTION("""COMPUTED_VALUE"""),"DE519N1")</f>
        <v>DE519N1</v>
      </c>
      <c r="E237" t="str">
        <f>IFERROR(__xludf.DUMMYFUNCTION("""COMPUTED_VALUE"""),"P1029")</f>
        <v>P1029</v>
      </c>
      <c r="F237" t="str">
        <f t="array" ref="F237">if(iserror(index(fish_lab_data!C:C,match(B237,fish_lab_data!C:C,0))),"not dissected","dissected")</f>
        <v>dissected</v>
      </c>
    </row>
    <row r="238">
      <c r="A238" t="str">
        <f t="shared" si="1"/>
        <v>16284</v>
      </c>
      <c r="B238" t="str">
        <f>IFERROR(__xludf.DUMMYFUNCTION("""COMPUTED_VALUE"""),"U16284")</f>
        <v>U16284</v>
      </c>
      <c r="C238" t="str">
        <f>IFERROR(__xludf.DUMMYFUNCTION("""COMPUTED_VALUE"""),"PI")</f>
        <v>PI</v>
      </c>
      <c r="D238" t="str">
        <f>IFERROR(__xludf.DUMMYFUNCTION("""COMPUTED_VALUE"""),"DE519N1")</f>
        <v>DE519N1</v>
      </c>
      <c r="E238" t="str">
        <f>IFERROR(__xludf.DUMMYFUNCTION("""COMPUTED_VALUE"""),"P1029")</f>
        <v>P1029</v>
      </c>
      <c r="F238" t="str">
        <f t="array" ref="F238">if(iserror(index(fish_lab_data!C:C,match(B238,fish_lab_data!C:C,0))),"not dissected","dissected")</f>
        <v>dissected</v>
      </c>
    </row>
    <row r="239">
      <c r="A239" t="str">
        <f t="shared" si="1"/>
        <v>16285</v>
      </c>
      <c r="B239" t="str">
        <f>IFERROR(__xludf.DUMMYFUNCTION("""COMPUTED_VALUE"""),"U16285")</f>
        <v>U16285</v>
      </c>
      <c r="C239" t="str">
        <f>IFERROR(__xludf.DUMMYFUNCTION("""COMPUTED_VALUE"""),"PI")</f>
        <v>PI</v>
      </c>
      <c r="D239" t="str">
        <f>IFERROR(__xludf.DUMMYFUNCTION("""COMPUTED_VALUE"""),"DE519N1")</f>
        <v>DE519N1</v>
      </c>
      <c r="E239" t="str">
        <f>IFERROR(__xludf.DUMMYFUNCTION("""COMPUTED_VALUE"""),"P1029")</f>
        <v>P1029</v>
      </c>
      <c r="F239" t="str">
        <f t="array" ref="F239">if(iserror(index(fish_lab_data!C:C,match(B239,fish_lab_data!C:C,0))),"not dissected","dissected")</f>
        <v>dissected</v>
      </c>
    </row>
    <row r="240">
      <c r="A240" t="str">
        <f t="shared" si="1"/>
        <v>16286</v>
      </c>
      <c r="B240" t="str">
        <f>IFERROR(__xludf.DUMMYFUNCTION("""COMPUTED_VALUE"""),"U16286")</f>
        <v>U16286</v>
      </c>
      <c r="C240" t="str">
        <f>IFERROR(__xludf.DUMMYFUNCTION("""COMPUTED_VALUE"""),"PI")</f>
        <v>PI</v>
      </c>
      <c r="D240" t="str">
        <f>IFERROR(__xludf.DUMMYFUNCTION("""COMPUTED_VALUE"""),"DE519N1")</f>
        <v>DE519N1</v>
      </c>
      <c r="E240" t="str">
        <f>IFERROR(__xludf.DUMMYFUNCTION("""COMPUTED_VALUE"""),"P1029")</f>
        <v>P1029</v>
      </c>
      <c r="F240" t="str">
        <f t="array" ref="F240">if(iserror(index(fish_lab_data!C:C,match(B240,fish_lab_data!C:C,0))),"not dissected","dissected")</f>
        <v>dissected</v>
      </c>
    </row>
    <row r="241">
      <c r="A241" t="str">
        <f t="shared" si="1"/>
        <v>16287</v>
      </c>
      <c r="B241" t="str">
        <f>IFERROR(__xludf.DUMMYFUNCTION("""COMPUTED_VALUE"""),"U16287")</f>
        <v>U16287</v>
      </c>
      <c r="C241" t="str">
        <f>IFERROR(__xludf.DUMMYFUNCTION("""COMPUTED_VALUE"""),"PI")</f>
        <v>PI</v>
      </c>
      <c r="D241" t="str">
        <f>IFERROR(__xludf.DUMMYFUNCTION("""COMPUTED_VALUE"""),"DE519N1")</f>
        <v>DE519N1</v>
      </c>
      <c r="E241" t="str">
        <f>IFERROR(__xludf.DUMMYFUNCTION("""COMPUTED_VALUE"""),"P1029")</f>
        <v>P1029</v>
      </c>
      <c r="F241" t="str">
        <f t="array" ref="F241">if(iserror(index(fish_lab_data!C:C,match(B241,fish_lab_data!C:C,0))),"not dissected","dissected")</f>
        <v>dissected</v>
      </c>
    </row>
    <row r="242">
      <c r="A242" t="str">
        <f t="shared" si="1"/>
        <v>16288</v>
      </c>
      <c r="B242" t="str">
        <f>IFERROR(__xludf.DUMMYFUNCTION("""COMPUTED_VALUE"""),"U16288")</f>
        <v>U16288</v>
      </c>
      <c r="C242" t="str">
        <f>IFERROR(__xludf.DUMMYFUNCTION("""COMPUTED_VALUE"""),"PI")</f>
        <v>PI</v>
      </c>
      <c r="D242" t="str">
        <f>IFERROR(__xludf.DUMMYFUNCTION("""COMPUTED_VALUE"""),"DE519N1")</f>
        <v>DE519N1</v>
      </c>
      <c r="E242" t="str">
        <f>IFERROR(__xludf.DUMMYFUNCTION("""COMPUTED_VALUE"""),"P1029")</f>
        <v>P1029</v>
      </c>
      <c r="F242" t="str">
        <f t="array" ref="F242">if(iserror(index(fish_lab_data!C:C,match(B242,fish_lab_data!C:C,0))),"not dissected","dissected")</f>
        <v>dissected</v>
      </c>
    </row>
    <row r="243">
      <c r="A243" t="str">
        <f t="shared" si="1"/>
        <v>16289</v>
      </c>
      <c r="B243" t="str">
        <f>IFERROR(__xludf.DUMMYFUNCTION("""COMPUTED_VALUE"""),"U16289")</f>
        <v>U16289</v>
      </c>
      <c r="C243" t="str">
        <f>IFERROR(__xludf.DUMMYFUNCTION("""COMPUTED_VALUE"""),"PI")</f>
        <v>PI</v>
      </c>
      <c r="D243" t="str">
        <f>IFERROR(__xludf.DUMMYFUNCTION("""COMPUTED_VALUE"""),"DE519N1")</f>
        <v>DE519N1</v>
      </c>
      <c r="E243" t="str">
        <f>IFERROR(__xludf.DUMMYFUNCTION("""COMPUTED_VALUE"""),"P1029")</f>
        <v>P1029</v>
      </c>
      <c r="F243" t="str">
        <f t="array" ref="F243">if(iserror(index(fish_lab_data!C:C,match(B243,fish_lab_data!C:C,0))),"not dissected","dissected")</f>
        <v>dissected</v>
      </c>
    </row>
    <row r="244">
      <c r="A244" t="str">
        <f t="shared" si="1"/>
        <v>16290</v>
      </c>
      <c r="B244" t="str">
        <f>IFERROR(__xludf.DUMMYFUNCTION("""COMPUTED_VALUE"""),"U16290")</f>
        <v>U16290</v>
      </c>
      <c r="C244" t="str">
        <f>IFERROR(__xludf.DUMMYFUNCTION("""COMPUTED_VALUE"""),"PI")</f>
        <v>PI</v>
      </c>
      <c r="D244" t="str">
        <f>IFERROR(__xludf.DUMMYFUNCTION("""COMPUTED_VALUE"""),"DE519N1")</f>
        <v>DE519N1</v>
      </c>
      <c r="E244" t="str">
        <f>IFERROR(__xludf.DUMMYFUNCTION("""COMPUTED_VALUE"""),"P1029")</f>
        <v>P1029</v>
      </c>
      <c r="F244" t="str">
        <f t="array" ref="F244">if(iserror(index(fish_lab_data!C:C,match(B244,fish_lab_data!C:C,0))),"not dissected","dissected")</f>
        <v>dissected</v>
      </c>
    </row>
    <row r="245">
      <c r="A245" t="str">
        <f t="shared" si="1"/>
        <v>16461</v>
      </c>
      <c r="B245" t="str">
        <f>IFERROR(__xludf.DUMMYFUNCTION("""COMPUTED_VALUE"""),"U16461")</f>
        <v>U16461</v>
      </c>
      <c r="C245" t="str">
        <f>IFERROR(__xludf.DUMMYFUNCTION("""COMPUTED_VALUE"""),"CU")</f>
        <v>CU</v>
      </c>
      <c r="D245" t="str">
        <f>IFERROR(__xludf.DUMMYFUNCTION("""COMPUTED_VALUE"""),"DE519N1")</f>
        <v>DE519N1</v>
      </c>
      <c r="E245" t="str">
        <f>IFERROR(__xludf.DUMMYFUNCTION("""COMPUTED_VALUE"""),"P1047")</f>
        <v>P1047</v>
      </c>
      <c r="F245" t="str">
        <f t="array" ref="F245">if(iserror(index(fish_lab_data!C:C,match(B245,fish_lab_data!C:C,0))),"not dissected","dissected")</f>
        <v>dissected</v>
      </c>
    </row>
    <row r="246">
      <c r="A246" t="str">
        <f t="shared" si="1"/>
        <v>16462</v>
      </c>
      <c r="B246" t="str">
        <f>IFERROR(__xludf.DUMMYFUNCTION("""COMPUTED_VALUE"""),"U16462")</f>
        <v>U16462</v>
      </c>
      <c r="C246" t="str">
        <f>IFERROR(__xludf.DUMMYFUNCTION("""COMPUTED_VALUE"""),"CU")</f>
        <v>CU</v>
      </c>
      <c r="D246" t="str">
        <f>IFERROR(__xludf.DUMMYFUNCTION("""COMPUTED_VALUE"""),"DE519N1")</f>
        <v>DE519N1</v>
      </c>
      <c r="E246" t="str">
        <f>IFERROR(__xludf.DUMMYFUNCTION("""COMPUTED_VALUE"""),"P1047")</f>
        <v>P1047</v>
      </c>
      <c r="F246" t="str">
        <f t="array" ref="F246">if(iserror(index(fish_lab_data!C:C,match(B246,fish_lab_data!C:C,0))),"not dissected","dissected")</f>
        <v>dissected</v>
      </c>
    </row>
    <row r="247">
      <c r="A247" t="str">
        <f t="shared" si="1"/>
        <v>16463</v>
      </c>
      <c r="B247" t="str">
        <f>IFERROR(__xludf.DUMMYFUNCTION("""COMPUTED_VALUE"""),"U16463")</f>
        <v>U16463</v>
      </c>
      <c r="C247" t="str">
        <f>IFERROR(__xludf.DUMMYFUNCTION("""COMPUTED_VALUE"""),"CU")</f>
        <v>CU</v>
      </c>
      <c r="D247" t="str">
        <f>IFERROR(__xludf.DUMMYFUNCTION("""COMPUTED_VALUE"""),"DE519N1")</f>
        <v>DE519N1</v>
      </c>
      <c r="E247" t="str">
        <f>IFERROR(__xludf.DUMMYFUNCTION("""COMPUTED_VALUE"""),"P1047")</f>
        <v>P1047</v>
      </c>
      <c r="F247" t="str">
        <f t="array" ref="F247">if(iserror(index(fish_lab_data!C:C,match(B247,fish_lab_data!C:C,0))),"not dissected","dissected")</f>
        <v>dissected</v>
      </c>
    </row>
    <row r="248">
      <c r="A248" t="str">
        <f t="shared" si="1"/>
        <v>16464</v>
      </c>
      <c r="B248" t="str">
        <f>IFERROR(__xludf.DUMMYFUNCTION("""COMPUTED_VALUE"""),"U16464")</f>
        <v>U16464</v>
      </c>
      <c r="C248" t="str">
        <f>IFERROR(__xludf.DUMMYFUNCTION("""COMPUTED_VALUE"""),"CU")</f>
        <v>CU</v>
      </c>
      <c r="D248" t="str">
        <f>IFERROR(__xludf.DUMMYFUNCTION("""COMPUTED_VALUE"""),"DE519N1")</f>
        <v>DE519N1</v>
      </c>
      <c r="E248" t="str">
        <f>IFERROR(__xludf.DUMMYFUNCTION("""COMPUTED_VALUE"""),"P1047")</f>
        <v>P1047</v>
      </c>
      <c r="F248" t="str">
        <f t="array" ref="F248">if(iserror(index(fish_lab_data!C:C,match(B248,fish_lab_data!C:C,0))),"not dissected","dissected")</f>
        <v>dissected</v>
      </c>
    </row>
    <row r="249">
      <c r="A249" t="str">
        <f t="shared" si="1"/>
        <v>16465</v>
      </c>
      <c r="B249" t="str">
        <f>IFERROR(__xludf.DUMMYFUNCTION("""COMPUTED_VALUE"""),"U16465")</f>
        <v>U16465</v>
      </c>
      <c r="C249" t="str">
        <f>IFERROR(__xludf.DUMMYFUNCTION("""COMPUTED_VALUE"""),"CU")</f>
        <v>CU</v>
      </c>
      <c r="D249" t="str">
        <f>IFERROR(__xludf.DUMMYFUNCTION("""COMPUTED_VALUE"""),"DE519N1")</f>
        <v>DE519N1</v>
      </c>
      <c r="E249" t="str">
        <f>IFERROR(__xludf.DUMMYFUNCTION("""COMPUTED_VALUE"""),"P1047")</f>
        <v>P1047</v>
      </c>
      <c r="F249" t="str">
        <f t="array" ref="F249">if(iserror(index(fish_lab_data!C:C,match(B249,fish_lab_data!C:C,0))),"not dissected","dissected")</f>
        <v>dissected</v>
      </c>
    </row>
    <row r="250">
      <c r="A250" t="str">
        <f t="shared" si="1"/>
        <v>16466</v>
      </c>
      <c r="B250" t="str">
        <f>IFERROR(__xludf.DUMMYFUNCTION("""COMPUTED_VALUE"""),"U16466")</f>
        <v>U16466</v>
      </c>
      <c r="C250" t="str">
        <f>IFERROR(__xludf.DUMMYFUNCTION("""COMPUTED_VALUE"""),"CU")</f>
        <v>CU</v>
      </c>
      <c r="D250" t="str">
        <f>IFERROR(__xludf.DUMMYFUNCTION("""COMPUTED_VALUE"""),"DE519N1")</f>
        <v>DE519N1</v>
      </c>
      <c r="E250" t="str">
        <f>IFERROR(__xludf.DUMMYFUNCTION("""COMPUTED_VALUE"""),"P1047")</f>
        <v>P1047</v>
      </c>
      <c r="F250" t="str">
        <f t="array" ref="F250">if(iserror(index(fish_lab_data!C:C,match(B250,fish_lab_data!C:C,0))),"not dissected","dissected")</f>
        <v>dissected</v>
      </c>
    </row>
    <row r="251">
      <c r="A251" t="str">
        <f t="shared" si="1"/>
        <v>16467</v>
      </c>
      <c r="B251" t="str">
        <f>IFERROR(__xludf.DUMMYFUNCTION("""COMPUTED_VALUE"""),"U16467")</f>
        <v>U16467</v>
      </c>
      <c r="C251" t="str">
        <f>IFERROR(__xludf.DUMMYFUNCTION("""COMPUTED_VALUE"""),"CU")</f>
        <v>CU</v>
      </c>
      <c r="D251" t="str">
        <f>IFERROR(__xludf.DUMMYFUNCTION("""COMPUTED_VALUE"""),"DE519N1")</f>
        <v>DE519N1</v>
      </c>
      <c r="E251" t="str">
        <f>IFERROR(__xludf.DUMMYFUNCTION("""COMPUTED_VALUE"""),"P1047")</f>
        <v>P1047</v>
      </c>
      <c r="F251" t="str">
        <f t="array" ref="F251">if(iserror(index(fish_lab_data!C:C,match(B251,fish_lab_data!C:C,0))),"not dissected","dissected")</f>
        <v>dissected</v>
      </c>
    </row>
    <row r="252">
      <c r="A252" t="str">
        <f t="shared" si="1"/>
        <v>16468</v>
      </c>
      <c r="B252" t="str">
        <f>IFERROR(__xludf.DUMMYFUNCTION("""COMPUTED_VALUE"""),"U16468")</f>
        <v>U16468</v>
      </c>
      <c r="C252" t="str">
        <f>IFERROR(__xludf.DUMMYFUNCTION("""COMPUTED_VALUE"""),"CU")</f>
        <v>CU</v>
      </c>
      <c r="D252" t="str">
        <f>IFERROR(__xludf.DUMMYFUNCTION("""COMPUTED_VALUE"""),"DE519N1")</f>
        <v>DE519N1</v>
      </c>
      <c r="E252" t="str">
        <f>IFERROR(__xludf.DUMMYFUNCTION("""COMPUTED_VALUE"""),"P1047")</f>
        <v>P1047</v>
      </c>
      <c r="F252" t="str">
        <f t="array" ref="F252">if(iserror(index(fish_lab_data!C:C,match(B252,fish_lab_data!C:C,0))),"not dissected","dissected")</f>
        <v>dissected</v>
      </c>
    </row>
    <row r="253">
      <c r="A253" t="str">
        <f t="shared" si="1"/>
        <v>16469</v>
      </c>
      <c r="B253" t="str">
        <f>IFERROR(__xludf.DUMMYFUNCTION("""COMPUTED_VALUE"""),"U16469")</f>
        <v>U16469</v>
      </c>
      <c r="C253" t="str">
        <f>IFERROR(__xludf.DUMMYFUNCTION("""COMPUTED_VALUE"""),"CU")</f>
        <v>CU</v>
      </c>
      <c r="D253" t="str">
        <f>IFERROR(__xludf.DUMMYFUNCTION("""COMPUTED_VALUE"""),"DE519N1")</f>
        <v>DE519N1</v>
      </c>
      <c r="E253" t="str">
        <f>IFERROR(__xludf.DUMMYFUNCTION("""COMPUTED_VALUE"""),"P1047")</f>
        <v>P1047</v>
      </c>
      <c r="F253" t="str">
        <f t="array" ref="F253">if(iserror(index(fish_lab_data!C:C,match(B253,fish_lab_data!C:C,0))),"not dissected","dissected")</f>
        <v>dissected</v>
      </c>
    </row>
    <row r="254">
      <c r="A254" t="str">
        <f t="shared" si="1"/>
        <v>16470</v>
      </c>
      <c r="B254" t="str">
        <f>IFERROR(__xludf.DUMMYFUNCTION("""COMPUTED_VALUE"""),"U16470")</f>
        <v>U16470</v>
      </c>
      <c r="C254" t="str">
        <f>IFERROR(__xludf.DUMMYFUNCTION("""COMPUTED_VALUE"""),"CU")</f>
        <v>CU</v>
      </c>
      <c r="D254" t="str">
        <f>IFERROR(__xludf.DUMMYFUNCTION("""COMPUTED_VALUE"""),"DE519N1")</f>
        <v>DE519N1</v>
      </c>
      <c r="E254" t="str">
        <f>IFERROR(__xludf.DUMMYFUNCTION("""COMPUTED_VALUE"""),"P1047")</f>
        <v>P1047</v>
      </c>
      <c r="F254" t="str">
        <f t="array" ref="F254">if(iserror(index(fish_lab_data!C:C,match(B254,fish_lab_data!C:C,0))),"not dissected","dissected")</f>
        <v>dissected</v>
      </c>
    </row>
    <row r="255">
      <c r="A255" t="str">
        <f t="shared" si="1"/>
        <v>16451</v>
      </c>
      <c r="B255" t="str">
        <f>IFERROR(__xludf.DUMMYFUNCTION("""COMPUTED_VALUE"""),"U16451")</f>
        <v>U16451</v>
      </c>
      <c r="C255" t="str">
        <f>IFERROR(__xludf.DUMMYFUNCTION("""COMPUTED_VALUE"""),"SO")</f>
        <v>SO</v>
      </c>
      <c r="D255" t="str">
        <f>IFERROR(__xludf.DUMMYFUNCTION("""COMPUTED_VALUE"""),"DE514N1")</f>
        <v>DE514N1</v>
      </c>
      <c r="E255" t="str">
        <f>IFERROR(__xludf.DUMMYFUNCTION("""COMPUTED_VALUE"""),"P1046")</f>
        <v>P1046</v>
      </c>
      <c r="F255" t="str">
        <f t="array" ref="F255">if(iserror(index(fish_lab_data!C:C,match(B255,fish_lab_data!C:C,0))),"not dissected","dissected")</f>
        <v>dissected</v>
      </c>
    </row>
    <row r="256">
      <c r="A256" t="str">
        <f t="shared" si="1"/>
        <v>16452</v>
      </c>
      <c r="B256" t="str">
        <f>IFERROR(__xludf.DUMMYFUNCTION("""COMPUTED_VALUE"""),"U16452")</f>
        <v>U16452</v>
      </c>
      <c r="C256" t="str">
        <f>IFERROR(__xludf.DUMMYFUNCTION("""COMPUTED_VALUE"""),"SO")</f>
        <v>SO</v>
      </c>
      <c r="D256" t="str">
        <f>IFERROR(__xludf.DUMMYFUNCTION("""COMPUTED_VALUE"""),"DE514N1")</f>
        <v>DE514N1</v>
      </c>
      <c r="E256" t="str">
        <f>IFERROR(__xludf.DUMMYFUNCTION("""COMPUTED_VALUE"""),"P1046")</f>
        <v>P1046</v>
      </c>
      <c r="F256" t="str">
        <f t="array" ref="F256">if(iserror(index(fish_lab_data!C:C,match(B256,fish_lab_data!C:C,0))),"not dissected","dissected")</f>
        <v>dissected</v>
      </c>
    </row>
    <row r="257">
      <c r="A257" t="str">
        <f t="shared" si="1"/>
        <v>16453</v>
      </c>
      <c r="B257" t="str">
        <f>IFERROR(__xludf.DUMMYFUNCTION("""COMPUTED_VALUE"""),"U16453")</f>
        <v>U16453</v>
      </c>
      <c r="C257" t="str">
        <f>IFERROR(__xludf.DUMMYFUNCTION("""COMPUTED_VALUE"""),"SO")</f>
        <v>SO</v>
      </c>
      <c r="D257" t="str">
        <f>IFERROR(__xludf.DUMMYFUNCTION("""COMPUTED_VALUE"""),"DE514N1")</f>
        <v>DE514N1</v>
      </c>
      <c r="E257" t="str">
        <f>IFERROR(__xludf.DUMMYFUNCTION("""COMPUTED_VALUE"""),"P1046")</f>
        <v>P1046</v>
      </c>
      <c r="F257" t="str">
        <f t="array" ref="F257">if(iserror(index(fish_lab_data!C:C,match(B257,fish_lab_data!C:C,0))),"not dissected","dissected")</f>
        <v>dissected</v>
      </c>
    </row>
    <row r="258">
      <c r="A258" t="str">
        <f t="shared" si="1"/>
        <v>16454</v>
      </c>
      <c r="B258" t="str">
        <f>IFERROR(__xludf.DUMMYFUNCTION("""COMPUTED_VALUE"""),"U16454")</f>
        <v>U16454</v>
      </c>
      <c r="C258" t="str">
        <f>IFERROR(__xludf.DUMMYFUNCTION("""COMPUTED_VALUE"""),"SO")</f>
        <v>SO</v>
      </c>
      <c r="D258" t="str">
        <f>IFERROR(__xludf.DUMMYFUNCTION("""COMPUTED_VALUE"""),"DE514N1")</f>
        <v>DE514N1</v>
      </c>
      <c r="E258" t="str">
        <f>IFERROR(__xludf.DUMMYFUNCTION("""COMPUTED_VALUE"""),"P1046")</f>
        <v>P1046</v>
      </c>
      <c r="F258" t="str">
        <f t="array" ref="F258">if(iserror(index(fish_lab_data!C:C,match(B258,fish_lab_data!C:C,0))),"not dissected","dissected")</f>
        <v>dissected</v>
      </c>
    </row>
    <row r="259">
      <c r="A259" t="str">
        <f t="shared" si="1"/>
        <v>16401</v>
      </c>
      <c r="B259" t="str">
        <f>IFERROR(__xludf.DUMMYFUNCTION("""COMPUTED_VALUE"""),"U16401")</f>
        <v>U16401</v>
      </c>
      <c r="C259" t="str">
        <f>IFERROR(__xludf.DUMMYFUNCTION("""COMPUTED_VALUE"""),"PI")</f>
        <v>PI</v>
      </c>
      <c r="D259" t="str">
        <f>IFERROR(__xludf.DUMMYFUNCTION("""COMPUTED_VALUE"""),"DE514N1")</f>
        <v>DE514N1</v>
      </c>
      <c r="E259" t="str">
        <f>IFERROR(__xludf.DUMMYFUNCTION("""COMPUTED_VALUE"""),"P1041")</f>
        <v>P1041</v>
      </c>
      <c r="F259" t="str">
        <f t="array" ref="F259">if(iserror(index(fish_lab_data!C:C,match(B259,fish_lab_data!C:C,0))),"not dissected","dissected")</f>
        <v>dissected</v>
      </c>
    </row>
    <row r="260">
      <c r="A260" t="str">
        <f t="shared" si="1"/>
        <v>16402</v>
      </c>
      <c r="B260" t="str">
        <f>IFERROR(__xludf.DUMMYFUNCTION("""COMPUTED_VALUE"""),"U16402")</f>
        <v>U16402</v>
      </c>
      <c r="C260" t="str">
        <f>IFERROR(__xludf.DUMMYFUNCTION("""COMPUTED_VALUE"""),"PI")</f>
        <v>PI</v>
      </c>
      <c r="D260" t="str">
        <f>IFERROR(__xludf.DUMMYFUNCTION("""COMPUTED_VALUE"""),"DE514N1")</f>
        <v>DE514N1</v>
      </c>
      <c r="E260" t="str">
        <f>IFERROR(__xludf.DUMMYFUNCTION("""COMPUTED_VALUE"""),"P1041")</f>
        <v>P1041</v>
      </c>
      <c r="F260" t="str">
        <f t="array" ref="F260">if(iserror(index(fish_lab_data!C:C,match(B260,fish_lab_data!C:C,0))),"not dissected","dissected")</f>
        <v>dissected</v>
      </c>
    </row>
    <row r="261">
      <c r="A261" t="str">
        <f t="shared" si="1"/>
        <v>16403</v>
      </c>
      <c r="B261" t="str">
        <f>IFERROR(__xludf.DUMMYFUNCTION("""COMPUTED_VALUE"""),"U16403")</f>
        <v>U16403</v>
      </c>
      <c r="C261" t="str">
        <f>IFERROR(__xludf.DUMMYFUNCTION("""COMPUTED_VALUE"""),"PI")</f>
        <v>PI</v>
      </c>
      <c r="D261" t="str">
        <f>IFERROR(__xludf.DUMMYFUNCTION("""COMPUTED_VALUE"""),"DE514N1")</f>
        <v>DE514N1</v>
      </c>
      <c r="E261" t="str">
        <f>IFERROR(__xludf.DUMMYFUNCTION("""COMPUTED_VALUE"""),"P1041")</f>
        <v>P1041</v>
      </c>
      <c r="F261" t="str">
        <f t="array" ref="F261">if(iserror(index(fish_lab_data!C:C,match(B261,fish_lab_data!C:C,0))),"not dissected","dissected")</f>
        <v>dissected</v>
      </c>
    </row>
    <row r="262">
      <c r="A262" t="str">
        <f t="shared" si="1"/>
        <v>16404</v>
      </c>
      <c r="B262" t="str">
        <f>IFERROR(__xludf.DUMMYFUNCTION("""COMPUTED_VALUE"""),"U16404")</f>
        <v>U16404</v>
      </c>
      <c r="C262" t="str">
        <f>IFERROR(__xludf.DUMMYFUNCTION("""COMPUTED_VALUE"""),"PI")</f>
        <v>PI</v>
      </c>
      <c r="D262" t="str">
        <f>IFERROR(__xludf.DUMMYFUNCTION("""COMPUTED_VALUE"""),"DE514N1")</f>
        <v>DE514N1</v>
      </c>
      <c r="E262" t="str">
        <f>IFERROR(__xludf.DUMMYFUNCTION("""COMPUTED_VALUE"""),"P1041")</f>
        <v>P1041</v>
      </c>
      <c r="F262" t="str">
        <f t="array" ref="F262">if(iserror(index(fish_lab_data!C:C,match(B262,fish_lab_data!C:C,0))),"not dissected","dissected")</f>
        <v>dissected</v>
      </c>
    </row>
    <row r="263">
      <c r="A263" t="str">
        <f t="shared" si="1"/>
        <v>16405</v>
      </c>
      <c r="B263" t="str">
        <f>IFERROR(__xludf.DUMMYFUNCTION("""COMPUTED_VALUE"""),"U16405")</f>
        <v>U16405</v>
      </c>
      <c r="C263" t="str">
        <f>IFERROR(__xludf.DUMMYFUNCTION("""COMPUTED_VALUE"""),"PI")</f>
        <v>PI</v>
      </c>
      <c r="D263" t="str">
        <f>IFERROR(__xludf.DUMMYFUNCTION("""COMPUTED_VALUE"""),"DE514N1")</f>
        <v>DE514N1</v>
      </c>
      <c r="E263" t="str">
        <f>IFERROR(__xludf.DUMMYFUNCTION("""COMPUTED_VALUE"""),"P1041")</f>
        <v>P1041</v>
      </c>
      <c r="F263" t="str">
        <f t="array" ref="F263">if(iserror(index(fish_lab_data!C:C,match(B263,fish_lab_data!C:C,0))),"not dissected","dissected")</f>
        <v>dissected</v>
      </c>
    </row>
    <row r="264">
      <c r="A264" t="str">
        <f t="shared" si="1"/>
        <v>16406</v>
      </c>
      <c r="B264" t="str">
        <f>IFERROR(__xludf.DUMMYFUNCTION("""COMPUTED_VALUE"""),"U16406")</f>
        <v>U16406</v>
      </c>
      <c r="C264" t="str">
        <f>IFERROR(__xludf.DUMMYFUNCTION("""COMPUTED_VALUE"""),"PI")</f>
        <v>PI</v>
      </c>
      <c r="D264" t="str">
        <f>IFERROR(__xludf.DUMMYFUNCTION("""COMPUTED_VALUE"""),"DE514N1")</f>
        <v>DE514N1</v>
      </c>
      <c r="E264" t="str">
        <f>IFERROR(__xludf.DUMMYFUNCTION("""COMPUTED_VALUE"""),"P1041")</f>
        <v>P1041</v>
      </c>
      <c r="F264" t="str">
        <f t="array" ref="F264">if(iserror(index(fish_lab_data!C:C,match(B264,fish_lab_data!C:C,0))),"not dissected","dissected")</f>
        <v>dissected</v>
      </c>
    </row>
    <row r="265">
      <c r="A265" t="str">
        <f t="shared" si="1"/>
        <v>16407</v>
      </c>
      <c r="B265" t="str">
        <f>IFERROR(__xludf.DUMMYFUNCTION("""COMPUTED_VALUE"""),"U16407")</f>
        <v>U16407</v>
      </c>
      <c r="C265" t="str">
        <f>IFERROR(__xludf.DUMMYFUNCTION("""COMPUTED_VALUE"""),"PI")</f>
        <v>PI</v>
      </c>
      <c r="D265" t="str">
        <f>IFERROR(__xludf.DUMMYFUNCTION("""COMPUTED_VALUE"""),"DE514N1")</f>
        <v>DE514N1</v>
      </c>
      <c r="E265" t="str">
        <f>IFERROR(__xludf.DUMMYFUNCTION("""COMPUTED_VALUE"""),"P1041")</f>
        <v>P1041</v>
      </c>
      <c r="F265" t="str">
        <f t="array" ref="F265">if(iserror(index(fish_lab_data!C:C,match(B265,fish_lab_data!C:C,0))),"not dissected","dissected")</f>
        <v>dissected</v>
      </c>
    </row>
    <row r="266">
      <c r="A266" t="str">
        <f t="shared" si="1"/>
        <v>16408</v>
      </c>
      <c r="B266" t="str">
        <f>IFERROR(__xludf.DUMMYFUNCTION("""COMPUTED_VALUE"""),"U16408")</f>
        <v>U16408</v>
      </c>
      <c r="C266" t="str">
        <f>IFERROR(__xludf.DUMMYFUNCTION("""COMPUTED_VALUE"""),"PI")</f>
        <v>PI</v>
      </c>
      <c r="D266" t="str">
        <f>IFERROR(__xludf.DUMMYFUNCTION("""COMPUTED_VALUE"""),"DE514N1")</f>
        <v>DE514N1</v>
      </c>
      <c r="E266" t="str">
        <f>IFERROR(__xludf.DUMMYFUNCTION("""COMPUTED_VALUE"""),"P1041")</f>
        <v>P1041</v>
      </c>
      <c r="F266" t="str">
        <f t="array" ref="F266">if(iserror(index(fish_lab_data!C:C,match(B266,fish_lab_data!C:C,0))),"not dissected","dissected")</f>
        <v>dissected</v>
      </c>
    </row>
    <row r="267">
      <c r="A267" t="str">
        <f t="shared" si="1"/>
        <v>16409</v>
      </c>
      <c r="B267" t="str">
        <f>IFERROR(__xludf.DUMMYFUNCTION("""COMPUTED_VALUE"""),"U16409")</f>
        <v>U16409</v>
      </c>
      <c r="C267" t="str">
        <f>IFERROR(__xludf.DUMMYFUNCTION("""COMPUTED_VALUE"""),"PI")</f>
        <v>PI</v>
      </c>
      <c r="D267" t="str">
        <f>IFERROR(__xludf.DUMMYFUNCTION("""COMPUTED_VALUE"""),"DE514N1")</f>
        <v>DE514N1</v>
      </c>
      <c r="E267" t="str">
        <f>IFERROR(__xludf.DUMMYFUNCTION("""COMPUTED_VALUE"""),"P1041")</f>
        <v>P1041</v>
      </c>
      <c r="F267" t="str">
        <f t="array" ref="F267">if(iserror(index(fish_lab_data!C:C,match(B267,fish_lab_data!C:C,0))),"not dissected","dissected")</f>
        <v>dissected</v>
      </c>
    </row>
    <row r="268">
      <c r="A268" t="str">
        <f t="shared" si="1"/>
        <v>16410</v>
      </c>
      <c r="B268" t="str">
        <f>IFERROR(__xludf.DUMMYFUNCTION("""COMPUTED_VALUE"""),"U16410")</f>
        <v>U16410</v>
      </c>
      <c r="C268" t="str">
        <f>IFERROR(__xludf.DUMMYFUNCTION("""COMPUTED_VALUE"""),"PI")</f>
        <v>PI</v>
      </c>
      <c r="D268" t="str">
        <f>IFERROR(__xludf.DUMMYFUNCTION("""COMPUTED_VALUE"""),"DE514N1")</f>
        <v>DE514N1</v>
      </c>
      <c r="E268" t="str">
        <f>IFERROR(__xludf.DUMMYFUNCTION("""COMPUTED_VALUE"""),"P1041")</f>
        <v>P1041</v>
      </c>
      <c r="F268" t="str">
        <f t="array" ref="F268">if(iserror(index(fish_lab_data!C:C,match(B268,fish_lab_data!C:C,0))),"not dissected","dissected")</f>
        <v>dissected</v>
      </c>
    </row>
    <row r="269">
      <c r="A269" t="str">
        <f t="shared" si="1"/>
        <v>16081</v>
      </c>
      <c r="B269" t="str">
        <f>IFERROR(__xludf.DUMMYFUNCTION("""COMPUTED_VALUE"""),"U16081")</f>
        <v>U16081</v>
      </c>
      <c r="C269" t="str">
        <f>IFERROR(__xludf.DUMMYFUNCTION("""COMPUTED_VALUE"""),"CU")</f>
        <v>CU</v>
      </c>
      <c r="D269" t="str">
        <f>IFERROR(__xludf.DUMMYFUNCTION("""COMPUTED_VALUE"""),"DE514N1")</f>
        <v>DE514N1</v>
      </c>
      <c r="E269" t="str">
        <f>IFERROR(__xludf.DUMMYFUNCTION("""COMPUTED_VALUE"""),"P1009")</f>
        <v>P1009</v>
      </c>
      <c r="F269" t="str">
        <f t="array" ref="F269">if(iserror(index(fish_lab_data!C:C,match(B269,fish_lab_data!C:C,0))),"not dissected","dissected")</f>
        <v>dissected</v>
      </c>
    </row>
    <row r="270">
      <c r="A270" t="str">
        <f t="shared" si="1"/>
        <v>16082</v>
      </c>
      <c r="B270" t="str">
        <f>IFERROR(__xludf.DUMMYFUNCTION("""COMPUTED_VALUE"""),"U16082")</f>
        <v>U16082</v>
      </c>
      <c r="C270" t="str">
        <f>IFERROR(__xludf.DUMMYFUNCTION("""COMPUTED_VALUE"""),"CU")</f>
        <v>CU</v>
      </c>
      <c r="D270" t="str">
        <f>IFERROR(__xludf.DUMMYFUNCTION("""COMPUTED_VALUE"""),"DE514N1")</f>
        <v>DE514N1</v>
      </c>
      <c r="E270" t="str">
        <f>IFERROR(__xludf.DUMMYFUNCTION("""COMPUTED_VALUE"""),"P1009")</f>
        <v>P1009</v>
      </c>
      <c r="F270" t="str">
        <f t="array" ref="F270">if(iserror(index(fish_lab_data!C:C,match(B270,fish_lab_data!C:C,0))),"not dissected","dissected")</f>
        <v>dissected</v>
      </c>
    </row>
    <row r="271">
      <c r="A271" t="str">
        <f t="shared" si="1"/>
        <v>16083</v>
      </c>
      <c r="B271" t="str">
        <f>IFERROR(__xludf.DUMMYFUNCTION("""COMPUTED_VALUE"""),"U16083")</f>
        <v>U16083</v>
      </c>
      <c r="C271" t="str">
        <f>IFERROR(__xludf.DUMMYFUNCTION("""COMPUTED_VALUE"""),"CU")</f>
        <v>CU</v>
      </c>
      <c r="D271" t="str">
        <f>IFERROR(__xludf.DUMMYFUNCTION("""COMPUTED_VALUE"""),"DE514N1")</f>
        <v>DE514N1</v>
      </c>
      <c r="E271" t="str">
        <f>IFERROR(__xludf.DUMMYFUNCTION("""COMPUTED_VALUE"""),"P1009")</f>
        <v>P1009</v>
      </c>
      <c r="F271" t="str">
        <f t="array" ref="F271">if(iserror(index(fish_lab_data!C:C,match(B271,fish_lab_data!C:C,0))),"not dissected","dissected")</f>
        <v>dissected</v>
      </c>
    </row>
    <row r="272">
      <c r="A272" t="str">
        <f t="shared" si="1"/>
        <v>16084</v>
      </c>
      <c r="B272" t="str">
        <f>IFERROR(__xludf.DUMMYFUNCTION("""COMPUTED_VALUE"""),"U16084")</f>
        <v>U16084</v>
      </c>
      <c r="C272" t="str">
        <f>IFERROR(__xludf.DUMMYFUNCTION("""COMPUTED_VALUE"""),"CU")</f>
        <v>CU</v>
      </c>
      <c r="D272" t="str">
        <f>IFERROR(__xludf.DUMMYFUNCTION("""COMPUTED_VALUE"""),"DE514N1")</f>
        <v>DE514N1</v>
      </c>
      <c r="E272" t="str">
        <f>IFERROR(__xludf.DUMMYFUNCTION("""COMPUTED_VALUE"""),"P1009")</f>
        <v>P1009</v>
      </c>
      <c r="F272" t="str">
        <f t="array" ref="F272">if(iserror(index(fish_lab_data!C:C,match(B272,fish_lab_data!C:C,0))),"not dissected","dissected")</f>
        <v>dissected</v>
      </c>
    </row>
    <row r="273">
      <c r="A273" t="str">
        <f t="shared" si="1"/>
        <v>16085</v>
      </c>
      <c r="B273" t="str">
        <f>IFERROR(__xludf.DUMMYFUNCTION("""COMPUTED_VALUE"""),"U16085")</f>
        <v>U16085</v>
      </c>
      <c r="C273" t="str">
        <f>IFERROR(__xludf.DUMMYFUNCTION("""COMPUTED_VALUE"""),"CU")</f>
        <v>CU</v>
      </c>
      <c r="D273" t="str">
        <f>IFERROR(__xludf.DUMMYFUNCTION("""COMPUTED_VALUE"""),"DE514N1")</f>
        <v>DE514N1</v>
      </c>
      <c r="E273" t="str">
        <f>IFERROR(__xludf.DUMMYFUNCTION("""COMPUTED_VALUE"""),"P1009")</f>
        <v>P1009</v>
      </c>
      <c r="F273" t="str">
        <f t="array" ref="F273">if(iserror(index(fish_lab_data!C:C,match(B273,fish_lab_data!C:C,0))),"not dissected","dissected")</f>
        <v>dissected</v>
      </c>
    </row>
    <row r="274">
      <c r="A274" t="str">
        <f t="shared" si="1"/>
        <v>16086</v>
      </c>
      <c r="B274" t="str">
        <f>IFERROR(__xludf.DUMMYFUNCTION("""COMPUTED_VALUE"""),"U16086")</f>
        <v>U16086</v>
      </c>
      <c r="C274" t="str">
        <f>IFERROR(__xludf.DUMMYFUNCTION("""COMPUTED_VALUE"""),"CU")</f>
        <v>CU</v>
      </c>
      <c r="D274" t="str">
        <f>IFERROR(__xludf.DUMMYFUNCTION("""COMPUTED_VALUE"""),"DE514N1")</f>
        <v>DE514N1</v>
      </c>
      <c r="E274" t="str">
        <f>IFERROR(__xludf.DUMMYFUNCTION("""COMPUTED_VALUE"""),"P1009")</f>
        <v>P1009</v>
      </c>
      <c r="F274" t="str">
        <f t="array" ref="F274">if(iserror(index(fish_lab_data!C:C,match(B274,fish_lab_data!C:C,0))),"not dissected","dissected")</f>
        <v>dissected</v>
      </c>
    </row>
    <row r="275">
      <c r="A275" t="str">
        <f t="shared" si="1"/>
        <v>16087</v>
      </c>
      <c r="B275" t="str">
        <f>IFERROR(__xludf.DUMMYFUNCTION("""COMPUTED_VALUE"""),"U16087")</f>
        <v>U16087</v>
      </c>
      <c r="C275" t="str">
        <f>IFERROR(__xludf.DUMMYFUNCTION("""COMPUTED_VALUE"""),"CU")</f>
        <v>CU</v>
      </c>
      <c r="D275" t="str">
        <f>IFERROR(__xludf.DUMMYFUNCTION("""COMPUTED_VALUE"""),"DE514N1")</f>
        <v>DE514N1</v>
      </c>
      <c r="E275" t="str">
        <f>IFERROR(__xludf.DUMMYFUNCTION("""COMPUTED_VALUE"""),"P1009")</f>
        <v>P1009</v>
      </c>
      <c r="F275" t="str">
        <f t="array" ref="F275">if(iserror(index(fish_lab_data!C:C,match(B275,fish_lab_data!C:C,0))),"not dissected","dissected")</f>
        <v>dissected</v>
      </c>
    </row>
    <row r="276">
      <c r="A276" t="str">
        <f t="shared" si="1"/>
        <v>16088</v>
      </c>
      <c r="B276" t="str">
        <f>IFERROR(__xludf.DUMMYFUNCTION("""COMPUTED_VALUE"""),"U16088")</f>
        <v>U16088</v>
      </c>
      <c r="C276" t="str">
        <f>IFERROR(__xludf.DUMMYFUNCTION("""COMPUTED_VALUE"""),"CU")</f>
        <v>CU</v>
      </c>
      <c r="D276" t="str">
        <f>IFERROR(__xludf.DUMMYFUNCTION("""COMPUTED_VALUE"""),"DE514N1")</f>
        <v>DE514N1</v>
      </c>
      <c r="E276" t="str">
        <f>IFERROR(__xludf.DUMMYFUNCTION("""COMPUTED_VALUE"""),"P1009")</f>
        <v>P1009</v>
      </c>
      <c r="F276" t="str">
        <f t="array" ref="F276">if(iserror(index(fish_lab_data!C:C,match(B276,fish_lab_data!C:C,0))),"not dissected","dissected")</f>
        <v>dissected</v>
      </c>
    </row>
    <row r="277">
      <c r="A277" t="str">
        <f t="shared" si="1"/>
        <v>16089</v>
      </c>
      <c r="B277" t="str">
        <f>IFERROR(__xludf.DUMMYFUNCTION("""COMPUTED_VALUE"""),"U16089")</f>
        <v>U16089</v>
      </c>
      <c r="C277" t="str">
        <f>IFERROR(__xludf.DUMMYFUNCTION("""COMPUTED_VALUE"""),"CU")</f>
        <v>CU</v>
      </c>
      <c r="D277" t="str">
        <f>IFERROR(__xludf.DUMMYFUNCTION("""COMPUTED_VALUE"""),"DE514N1")</f>
        <v>DE514N1</v>
      </c>
      <c r="E277" t="str">
        <f>IFERROR(__xludf.DUMMYFUNCTION("""COMPUTED_VALUE"""),"P1009")</f>
        <v>P1009</v>
      </c>
      <c r="F277" t="str">
        <f t="array" ref="F277">if(iserror(index(fish_lab_data!C:C,match(B277,fish_lab_data!C:C,0))),"not dissected","dissected")</f>
        <v>dissected</v>
      </c>
    </row>
    <row r="278">
      <c r="A278" t="str">
        <f t="shared" si="1"/>
        <v>16090</v>
      </c>
      <c r="B278" t="str">
        <f>IFERROR(__xludf.DUMMYFUNCTION("""COMPUTED_VALUE"""),"U16090")</f>
        <v>U16090</v>
      </c>
      <c r="C278" t="str">
        <f>IFERROR(__xludf.DUMMYFUNCTION("""COMPUTED_VALUE"""),"CU")</f>
        <v>CU</v>
      </c>
      <c r="D278" t="str">
        <f>IFERROR(__xludf.DUMMYFUNCTION("""COMPUTED_VALUE"""),"DE514N1")</f>
        <v>DE514N1</v>
      </c>
      <c r="E278" t="str">
        <f>IFERROR(__xludf.DUMMYFUNCTION("""COMPUTED_VALUE"""),"P1009")</f>
        <v>P1009</v>
      </c>
      <c r="F278" t="str">
        <f t="array" ref="F278">if(iserror(index(fish_lab_data!C:C,match(B278,fish_lab_data!C:C,0))),"not dissected","dissected")</f>
        <v>dissected</v>
      </c>
    </row>
    <row r="279">
      <c r="A279" t="str">
        <f t="shared" si="1"/>
        <v>16331</v>
      </c>
      <c r="B279" t="str">
        <f>IFERROR(__xludf.DUMMYFUNCTION("""COMPUTED_VALUE"""),"U16331")</f>
        <v>U16331</v>
      </c>
      <c r="C279" t="str">
        <f>IFERROR(__xludf.DUMMYFUNCTION("""COMPUTED_VALUE"""),"CK")</f>
        <v>CK</v>
      </c>
      <c r="D279" t="str">
        <f>IFERROR(__xludf.DUMMYFUNCTION("""COMPUTED_VALUE"""),"DE514N1")</f>
        <v>DE514N1</v>
      </c>
      <c r="E279" t="str">
        <f>IFERROR(__xludf.DUMMYFUNCTION("""COMPUTED_VALUE"""),"P1034")</f>
        <v>P1034</v>
      </c>
      <c r="F279" t="str">
        <f t="array" ref="F279">if(iserror(index(fish_lab_data!C:C,match(B279,fish_lab_data!C:C,0))),"not dissected","dissected")</f>
        <v>dissected</v>
      </c>
    </row>
    <row r="280">
      <c r="A280" t="str">
        <f t="shared" si="1"/>
        <v>16771</v>
      </c>
      <c r="B280" t="str">
        <f>IFERROR(__xludf.DUMMYFUNCTION("""COMPUTED_VALUE"""),"U16771")</f>
        <v>U16771</v>
      </c>
      <c r="C280" t="str">
        <f>IFERROR(__xludf.DUMMYFUNCTION("""COMPUTED_VALUE"""),"CO")</f>
        <v>CO</v>
      </c>
      <c r="D280" t="str">
        <f>IFERROR(__xludf.DUMMYFUNCTION("""COMPUTED_VALUE"""),"JE402N1")</f>
        <v>JE402N1</v>
      </c>
      <c r="E280" t="str">
        <f>IFERROR(__xludf.DUMMYFUNCTION("""COMPUTED_VALUE"""),"P1078")</f>
        <v>P1078</v>
      </c>
      <c r="F280" t="str">
        <f t="array" ref="F280">if(iserror(index(fish_lab_data!C:C,match(B280,fish_lab_data!C:C,0))),"not dissected","dissected")</f>
        <v>dissected</v>
      </c>
    </row>
    <row r="281">
      <c r="A281" t="str">
        <f t="shared" si="1"/>
        <v>16772</v>
      </c>
      <c r="B281" t="str">
        <f>IFERROR(__xludf.DUMMYFUNCTION("""COMPUTED_VALUE"""),"U16772")</f>
        <v>U16772</v>
      </c>
      <c r="C281" t="str">
        <f>IFERROR(__xludf.DUMMYFUNCTION("""COMPUTED_VALUE"""),"CO")</f>
        <v>CO</v>
      </c>
      <c r="D281" t="str">
        <f>IFERROR(__xludf.DUMMYFUNCTION("""COMPUTED_VALUE"""),"JE402N1")</f>
        <v>JE402N1</v>
      </c>
      <c r="E281" t="str">
        <f>IFERROR(__xludf.DUMMYFUNCTION("""COMPUTED_VALUE"""),"P1078")</f>
        <v>P1078</v>
      </c>
      <c r="F281" t="str">
        <f t="array" ref="F281">if(iserror(index(fish_lab_data!C:C,match(B281,fish_lab_data!C:C,0))),"not dissected","dissected")</f>
        <v>dissected</v>
      </c>
    </row>
    <row r="282">
      <c r="A282" t="str">
        <f t="shared" si="1"/>
        <v>16773</v>
      </c>
      <c r="B282" t="str">
        <f>IFERROR(__xludf.DUMMYFUNCTION("""COMPUTED_VALUE"""),"U16773")</f>
        <v>U16773</v>
      </c>
      <c r="C282" t="str">
        <f>IFERROR(__xludf.DUMMYFUNCTION("""COMPUTED_VALUE"""),"CO")</f>
        <v>CO</v>
      </c>
      <c r="D282" t="str">
        <f>IFERROR(__xludf.DUMMYFUNCTION("""COMPUTED_VALUE"""),"JE402N1")</f>
        <v>JE402N1</v>
      </c>
      <c r="E282" t="str">
        <f>IFERROR(__xludf.DUMMYFUNCTION("""COMPUTED_VALUE"""),"P1078")</f>
        <v>P1078</v>
      </c>
      <c r="F282" t="str">
        <f t="array" ref="F282">if(iserror(index(fish_lab_data!C:C,match(B282,fish_lab_data!C:C,0))),"not dissected","dissected")</f>
        <v>dissected</v>
      </c>
    </row>
    <row r="283">
      <c r="A283" t="str">
        <f t="shared" si="1"/>
        <v>16774</v>
      </c>
      <c r="B283" t="str">
        <f>IFERROR(__xludf.DUMMYFUNCTION("""COMPUTED_VALUE"""),"U16774")</f>
        <v>U16774</v>
      </c>
      <c r="C283" t="str">
        <f>IFERROR(__xludf.DUMMYFUNCTION("""COMPUTED_VALUE"""),"CO")</f>
        <v>CO</v>
      </c>
      <c r="D283" t="str">
        <f>IFERROR(__xludf.DUMMYFUNCTION("""COMPUTED_VALUE"""),"JE402N1")</f>
        <v>JE402N1</v>
      </c>
      <c r="E283" t="str">
        <f>IFERROR(__xludf.DUMMYFUNCTION("""COMPUTED_VALUE"""),"P1078")</f>
        <v>P1078</v>
      </c>
      <c r="F283" t="str">
        <f t="array" ref="F283">if(iserror(index(fish_lab_data!C:C,match(B283,fish_lab_data!C:C,0))),"not dissected","dissected")</f>
        <v>dissected</v>
      </c>
    </row>
    <row r="284">
      <c r="A284" t="str">
        <f t="shared" si="1"/>
        <v>16775</v>
      </c>
      <c r="B284" t="str">
        <f>IFERROR(__xludf.DUMMYFUNCTION("""COMPUTED_VALUE"""),"U16775")</f>
        <v>U16775</v>
      </c>
      <c r="C284" t="str">
        <f>IFERROR(__xludf.DUMMYFUNCTION("""COMPUTED_VALUE"""),"CO")</f>
        <v>CO</v>
      </c>
      <c r="D284" t="str">
        <f>IFERROR(__xludf.DUMMYFUNCTION("""COMPUTED_VALUE"""),"JE402N1")</f>
        <v>JE402N1</v>
      </c>
      <c r="E284" t="str">
        <f>IFERROR(__xludf.DUMMYFUNCTION("""COMPUTED_VALUE"""),"P1078")</f>
        <v>P1078</v>
      </c>
      <c r="F284" t="str">
        <f t="array" ref="F284">if(iserror(index(fish_lab_data!C:C,match(B284,fish_lab_data!C:C,0))),"not dissected","dissected")</f>
        <v>dissected</v>
      </c>
    </row>
    <row r="285">
      <c r="A285" t="str">
        <f t="shared" si="1"/>
        <v>16776</v>
      </c>
      <c r="B285" t="str">
        <f>IFERROR(__xludf.DUMMYFUNCTION("""COMPUTED_VALUE"""),"U16776")</f>
        <v>U16776</v>
      </c>
      <c r="C285" t="str">
        <f>IFERROR(__xludf.DUMMYFUNCTION("""COMPUTED_VALUE"""),"CO")</f>
        <v>CO</v>
      </c>
      <c r="D285" t="str">
        <f>IFERROR(__xludf.DUMMYFUNCTION("""COMPUTED_VALUE"""),"JE402N1")</f>
        <v>JE402N1</v>
      </c>
      <c r="E285" t="str">
        <f>IFERROR(__xludf.DUMMYFUNCTION("""COMPUTED_VALUE"""),"P1078")</f>
        <v>P1078</v>
      </c>
      <c r="F285" t="str">
        <f t="array" ref="F285">if(iserror(index(fish_lab_data!C:C,match(B285,fish_lab_data!C:C,0))),"not dissected","dissected")</f>
        <v>dissected</v>
      </c>
    </row>
    <row r="286">
      <c r="A286" t="str">
        <f t="shared" si="1"/>
        <v>16777</v>
      </c>
      <c r="B286" t="str">
        <f>IFERROR(__xludf.DUMMYFUNCTION("""COMPUTED_VALUE"""),"U16777")</f>
        <v>U16777</v>
      </c>
      <c r="C286" t="str">
        <f>IFERROR(__xludf.DUMMYFUNCTION("""COMPUTED_VALUE"""),"CO")</f>
        <v>CO</v>
      </c>
      <c r="D286" t="str">
        <f>IFERROR(__xludf.DUMMYFUNCTION("""COMPUTED_VALUE"""),"JE402N1")</f>
        <v>JE402N1</v>
      </c>
      <c r="E286" t="str">
        <f>IFERROR(__xludf.DUMMYFUNCTION("""COMPUTED_VALUE"""),"P1078")</f>
        <v>P1078</v>
      </c>
      <c r="F286" t="str">
        <f t="array" ref="F286">if(iserror(index(fish_lab_data!C:C,match(B286,fish_lab_data!C:C,0))),"not dissected","dissected")</f>
        <v>dissected</v>
      </c>
    </row>
    <row r="287">
      <c r="A287" t="str">
        <f t="shared" si="1"/>
        <v>16778</v>
      </c>
      <c r="B287" t="str">
        <f>IFERROR(__xludf.DUMMYFUNCTION("""COMPUTED_VALUE"""),"U16778")</f>
        <v>U16778</v>
      </c>
      <c r="C287" t="str">
        <f>IFERROR(__xludf.DUMMYFUNCTION("""COMPUTED_VALUE"""),"CO")</f>
        <v>CO</v>
      </c>
      <c r="D287" t="str">
        <f>IFERROR(__xludf.DUMMYFUNCTION("""COMPUTED_VALUE"""),"JE402N1")</f>
        <v>JE402N1</v>
      </c>
      <c r="E287" t="str">
        <f>IFERROR(__xludf.DUMMYFUNCTION("""COMPUTED_VALUE"""),"P1078")</f>
        <v>P1078</v>
      </c>
      <c r="F287" t="str">
        <f t="array" ref="F287">if(iserror(index(fish_lab_data!C:C,match(B287,fish_lab_data!C:C,0))),"not dissected","dissected")</f>
        <v>dissected</v>
      </c>
    </row>
    <row r="288">
      <c r="A288" t="str">
        <f t="shared" si="1"/>
        <v>16779</v>
      </c>
      <c r="B288" t="str">
        <f>IFERROR(__xludf.DUMMYFUNCTION("""COMPUTED_VALUE"""),"U16779")</f>
        <v>U16779</v>
      </c>
      <c r="C288" t="str">
        <f>IFERROR(__xludf.DUMMYFUNCTION("""COMPUTED_VALUE"""),"CO")</f>
        <v>CO</v>
      </c>
      <c r="D288" t="str">
        <f>IFERROR(__xludf.DUMMYFUNCTION("""COMPUTED_VALUE"""),"JE402N1")</f>
        <v>JE402N1</v>
      </c>
      <c r="E288" t="str">
        <f>IFERROR(__xludf.DUMMYFUNCTION("""COMPUTED_VALUE"""),"P1078")</f>
        <v>P1078</v>
      </c>
      <c r="F288" t="str">
        <f t="array" ref="F288">if(iserror(index(fish_lab_data!C:C,match(B288,fish_lab_data!C:C,0))),"not dissected","dissected")</f>
        <v>dissected</v>
      </c>
    </row>
    <row r="289">
      <c r="A289" t="str">
        <f t="shared" si="1"/>
        <v>16780</v>
      </c>
      <c r="B289" t="str">
        <f>IFERROR(__xludf.DUMMYFUNCTION("""COMPUTED_VALUE"""),"U16780")</f>
        <v>U16780</v>
      </c>
      <c r="C289" t="str">
        <f>IFERROR(__xludf.DUMMYFUNCTION("""COMPUTED_VALUE"""),"CO")</f>
        <v>CO</v>
      </c>
      <c r="D289" t="str">
        <f>IFERROR(__xludf.DUMMYFUNCTION("""COMPUTED_VALUE"""),"JE402N1")</f>
        <v>JE402N1</v>
      </c>
      <c r="E289" t="str">
        <f>IFERROR(__xludf.DUMMYFUNCTION("""COMPUTED_VALUE"""),"P1078")</f>
        <v>P1078</v>
      </c>
      <c r="F289" t="str">
        <f t="array" ref="F289">if(iserror(index(fish_lab_data!C:C,match(B289,fish_lab_data!C:C,0))),"not dissected","dissected")</f>
        <v>dissected</v>
      </c>
    </row>
    <row r="290">
      <c r="A290" t="str">
        <f t="shared" si="1"/>
        <v>16851</v>
      </c>
      <c r="B290" t="str">
        <f>IFERROR(__xludf.DUMMYFUNCTION("""COMPUTED_VALUE"""),"U16851")</f>
        <v>U16851</v>
      </c>
      <c r="C290" t="str">
        <f>IFERROR(__xludf.DUMMYFUNCTION("""COMPUTED_VALUE"""),"HE")</f>
        <v>HE</v>
      </c>
      <c r="D290" t="str">
        <f>IFERROR(__xludf.DUMMYFUNCTION("""COMPUTED_VALUE"""),"JE402N1")</f>
        <v>JE402N1</v>
      </c>
      <c r="E290" t="str">
        <f>IFERROR(__xludf.DUMMYFUNCTION("""COMPUTED_VALUE"""),"P1086")</f>
        <v>P1086</v>
      </c>
      <c r="F290" t="str">
        <f t="array" ref="F290">if(iserror(index(fish_lab_data!C:C,match(B290,fish_lab_data!C:C,0))),"not dissected","dissected")</f>
        <v>dissected</v>
      </c>
    </row>
    <row r="291">
      <c r="A291" t="str">
        <f t="shared" si="1"/>
        <v>16852</v>
      </c>
      <c r="B291" t="str">
        <f>IFERROR(__xludf.DUMMYFUNCTION("""COMPUTED_VALUE"""),"U16852")</f>
        <v>U16852</v>
      </c>
      <c r="C291" t="str">
        <f>IFERROR(__xludf.DUMMYFUNCTION("""COMPUTED_VALUE"""),"HE")</f>
        <v>HE</v>
      </c>
      <c r="D291" t="str">
        <f>IFERROR(__xludf.DUMMYFUNCTION("""COMPUTED_VALUE"""),"JE402N1")</f>
        <v>JE402N1</v>
      </c>
      <c r="E291" t="str">
        <f>IFERROR(__xludf.DUMMYFUNCTION("""COMPUTED_VALUE"""),"P1086")</f>
        <v>P1086</v>
      </c>
      <c r="F291" t="str">
        <f t="array" ref="F291">if(iserror(index(fish_lab_data!C:C,match(B291,fish_lab_data!C:C,0))),"not dissected","dissected")</f>
        <v>dissected</v>
      </c>
    </row>
    <row r="292">
      <c r="A292" t="str">
        <f t="shared" si="1"/>
        <v>16853</v>
      </c>
      <c r="B292" t="str">
        <f>IFERROR(__xludf.DUMMYFUNCTION("""COMPUTED_VALUE"""),"U16853")</f>
        <v>U16853</v>
      </c>
      <c r="C292" t="str">
        <f>IFERROR(__xludf.DUMMYFUNCTION("""COMPUTED_VALUE"""),"HE")</f>
        <v>HE</v>
      </c>
      <c r="D292" t="str">
        <f>IFERROR(__xludf.DUMMYFUNCTION("""COMPUTED_VALUE"""),"JE402N1")</f>
        <v>JE402N1</v>
      </c>
      <c r="E292" t="str">
        <f>IFERROR(__xludf.DUMMYFUNCTION("""COMPUTED_VALUE"""),"P1086")</f>
        <v>P1086</v>
      </c>
      <c r="F292" t="str">
        <f t="array" ref="F292">if(iserror(index(fish_lab_data!C:C,match(B292,fish_lab_data!C:C,0))),"not dissected","dissected")</f>
        <v>dissected</v>
      </c>
    </row>
    <row r="293">
      <c r="A293" t="str">
        <f t="shared" si="1"/>
        <v>16854</v>
      </c>
      <c r="B293" t="str">
        <f>IFERROR(__xludf.DUMMYFUNCTION("""COMPUTED_VALUE"""),"U16854")</f>
        <v>U16854</v>
      </c>
      <c r="C293" t="str">
        <f>IFERROR(__xludf.DUMMYFUNCTION("""COMPUTED_VALUE"""),"HE")</f>
        <v>HE</v>
      </c>
      <c r="D293" t="str">
        <f>IFERROR(__xludf.DUMMYFUNCTION("""COMPUTED_VALUE"""),"JE402N1")</f>
        <v>JE402N1</v>
      </c>
      <c r="E293" t="str">
        <f>IFERROR(__xludf.DUMMYFUNCTION("""COMPUTED_VALUE"""),"P1086")</f>
        <v>P1086</v>
      </c>
      <c r="F293" t="str">
        <f t="array" ref="F293">if(iserror(index(fish_lab_data!C:C,match(B293,fish_lab_data!C:C,0))),"not dissected","dissected")</f>
        <v>dissected</v>
      </c>
    </row>
    <row r="294">
      <c r="A294" t="str">
        <f t="shared" si="1"/>
        <v>16855</v>
      </c>
      <c r="B294" t="str">
        <f>IFERROR(__xludf.DUMMYFUNCTION("""COMPUTED_VALUE"""),"U16855")</f>
        <v>U16855</v>
      </c>
      <c r="C294" t="str">
        <f>IFERROR(__xludf.DUMMYFUNCTION("""COMPUTED_VALUE"""),"HE")</f>
        <v>HE</v>
      </c>
      <c r="D294" t="str">
        <f>IFERROR(__xludf.DUMMYFUNCTION("""COMPUTED_VALUE"""),"JE402N1")</f>
        <v>JE402N1</v>
      </c>
      <c r="E294" t="str">
        <f>IFERROR(__xludf.DUMMYFUNCTION("""COMPUTED_VALUE"""),"P1086")</f>
        <v>P1086</v>
      </c>
      <c r="F294" t="str">
        <f t="array" ref="F294">if(iserror(index(fish_lab_data!C:C,match(B294,fish_lab_data!C:C,0))),"not dissected","dissected")</f>
        <v>dissected</v>
      </c>
    </row>
    <row r="295">
      <c r="A295" t="str">
        <f t="shared" si="1"/>
        <v>16371</v>
      </c>
      <c r="B295" t="str">
        <f>IFERROR(__xludf.DUMMYFUNCTION("""COMPUTED_VALUE"""),"U16371")</f>
        <v>U16371</v>
      </c>
      <c r="C295" t="str">
        <f>IFERROR(__xludf.DUMMYFUNCTION("""COMPUTED_VALUE"""),"HE")</f>
        <v>HE</v>
      </c>
      <c r="D295" t="str">
        <f>IFERROR(__xludf.DUMMYFUNCTION("""COMPUTED_VALUE"""),"DE531N1")</f>
        <v>DE531N1</v>
      </c>
      <c r="E295" t="str">
        <f>IFERROR(__xludf.DUMMYFUNCTION("""COMPUTED_VALUE"""),"P1038")</f>
        <v>P1038</v>
      </c>
      <c r="F295" t="str">
        <f t="array" ref="F295">if(iserror(index(fish_lab_data!C:C,match(B295,fish_lab_data!C:C,0))),"not dissected","dissected")</f>
        <v>dissected</v>
      </c>
    </row>
    <row r="296">
      <c r="A296" t="str">
        <f t="shared" si="1"/>
        <v>16372</v>
      </c>
      <c r="B296" t="str">
        <f>IFERROR(__xludf.DUMMYFUNCTION("""COMPUTED_VALUE"""),"U16372")</f>
        <v>U16372</v>
      </c>
      <c r="C296" t="str">
        <f>IFERROR(__xludf.DUMMYFUNCTION("""COMPUTED_VALUE"""),"HE")</f>
        <v>HE</v>
      </c>
      <c r="D296" t="str">
        <f>IFERROR(__xludf.DUMMYFUNCTION("""COMPUTED_VALUE"""),"DE531N1")</f>
        <v>DE531N1</v>
      </c>
      <c r="E296" t="str">
        <f>IFERROR(__xludf.DUMMYFUNCTION("""COMPUTED_VALUE"""),"P1038")</f>
        <v>P1038</v>
      </c>
      <c r="F296" t="str">
        <f t="array" ref="F296">if(iserror(index(fish_lab_data!C:C,match(B296,fish_lab_data!C:C,0))),"not dissected","dissected")</f>
        <v>dissected</v>
      </c>
    </row>
    <row r="297">
      <c r="A297" t="str">
        <f t="shared" si="1"/>
        <v>16511</v>
      </c>
      <c r="B297" t="str">
        <f>IFERROR(__xludf.DUMMYFUNCTION("""COMPUTED_VALUE"""),"U16511")</f>
        <v>U16511</v>
      </c>
      <c r="C297" t="str">
        <f>IFERROR(__xludf.DUMMYFUNCTION("""COMPUTED_VALUE"""),"SO")</f>
        <v>SO</v>
      </c>
      <c r="D297" t="str">
        <f>IFERROR(__xludf.DUMMYFUNCTION("""COMPUTED_VALUE"""),"JE417N1")</f>
        <v>JE417N1</v>
      </c>
      <c r="E297" t="str">
        <f>IFERROR(__xludf.DUMMYFUNCTION("""COMPUTED_VALUE"""),"P1052")</f>
        <v>P1052</v>
      </c>
      <c r="F297" t="str">
        <f t="array" ref="F297">if(iserror(index(fish_lab_data!C:C,match(B297,fish_lab_data!C:C,0))),"not dissected","dissected")</f>
        <v>dissected</v>
      </c>
    </row>
    <row r="298">
      <c r="A298" t="str">
        <f t="shared" si="1"/>
        <v>16512</v>
      </c>
      <c r="B298" t="str">
        <f>IFERROR(__xludf.DUMMYFUNCTION("""COMPUTED_VALUE"""),"U16512")</f>
        <v>U16512</v>
      </c>
      <c r="C298" t="str">
        <f>IFERROR(__xludf.DUMMYFUNCTION("""COMPUTED_VALUE"""),"SO")</f>
        <v>SO</v>
      </c>
      <c r="D298" t="str">
        <f>IFERROR(__xludf.DUMMYFUNCTION("""COMPUTED_VALUE"""),"JE417N1")</f>
        <v>JE417N1</v>
      </c>
      <c r="E298" t="str">
        <f>IFERROR(__xludf.DUMMYFUNCTION("""COMPUTED_VALUE"""),"P1052")</f>
        <v>P1052</v>
      </c>
      <c r="F298" t="str">
        <f t="array" ref="F298">if(iserror(index(fish_lab_data!C:C,match(B298,fish_lab_data!C:C,0))),"not dissected","dissected")</f>
        <v>dissected</v>
      </c>
    </row>
    <row r="299">
      <c r="A299" t="str">
        <f t="shared" si="1"/>
        <v>16513</v>
      </c>
      <c r="B299" t="str">
        <f>IFERROR(__xludf.DUMMYFUNCTION("""COMPUTED_VALUE"""),"U16513")</f>
        <v>U16513</v>
      </c>
      <c r="C299" t="str">
        <f>IFERROR(__xludf.DUMMYFUNCTION("""COMPUTED_VALUE"""),"SO")</f>
        <v>SO</v>
      </c>
      <c r="D299" t="str">
        <f>IFERROR(__xludf.DUMMYFUNCTION("""COMPUTED_VALUE"""),"JE417N1")</f>
        <v>JE417N1</v>
      </c>
      <c r="E299" t="str">
        <f>IFERROR(__xludf.DUMMYFUNCTION("""COMPUTED_VALUE"""),"P1052")</f>
        <v>P1052</v>
      </c>
      <c r="F299" t="str">
        <f t="array" ref="F299">if(iserror(index(fish_lab_data!C:C,match(B299,fish_lab_data!C:C,0))),"not dissected","dissected")</f>
        <v>dissected</v>
      </c>
    </row>
    <row r="300">
      <c r="A300" t="str">
        <f t="shared" si="1"/>
        <v>16514</v>
      </c>
      <c r="B300" t="str">
        <f>IFERROR(__xludf.DUMMYFUNCTION("""COMPUTED_VALUE"""),"U16514")</f>
        <v>U16514</v>
      </c>
      <c r="C300" t="str">
        <f>IFERROR(__xludf.DUMMYFUNCTION("""COMPUTED_VALUE"""),"SO")</f>
        <v>SO</v>
      </c>
      <c r="D300" t="str">
        <f>IFERROR(__xludf.DUMMYFUNCTION("""COMPUTED_VALUE"""),"JE417N1")</f>
        <v>JE417N1</v>
      </c>
      <c r="E300" t="str">
        <f>IFERROR(__xludf.DUMMYFUNCTION("""COMPUTED_VALUE"""),"P1052")</f>
        <v>P1052</v>
      </c>
      <c r="F300" t="str">
        <f t="array" ref="F300">if(iserror(index(fish_lab_data!C:C,match(B300,fish_lab_data!C:C,0))),"not dissected","dissected")</f>
        <v>dissected</v>
      </c>
    </row>
    <row r="301">
      <c r="A301" t="str">
        <f t="shared" si="1"/>
        <v>16515</v>
      </c>
      <c r="B301" t="str">
        <f>IFERROR(__xludf.DUMMYFUNCTION("""COMPUTED_VALUE"""),"U16515")</f>
        <v>U16515</v>
      </c>
      <c r="C301" t="str">
        <f>IFERROR(__xludf.DUMMYFUNCTION("""COMPUTED_VALUE"""),"SO")</f>
        <v>SO</v>
      </c>
      <c r="D301" t="str">
        <f>IFERROR(__xludf.DUMMYFUNCTION("""COMPUTED_VALUE"""),"JE417N1")</f>
        <v>JE417N1</v>
      </c>
      <c r="E301" t="str">
        <f>IFERROR(__xludf.DUMMYFUNCTION("""COMPUTED_VALUE"""),"P1052")</f>
        <v>P1052</v>
      </c>
      <c r="F301" t="str">
        <f t="array" ref="F301">if(iserror(index(fish_lab_data!C:C,match(B301,fish_lab_data!C:C,0))),"not dissected","dissected")</f>
        <v>dissected</v>
      </c>
    </row>
    <row r="302">
      <c r="A302" t="str">
        <f t="shared" si="1"/>
        <v>16516</v>
      </c>
      <c r="B302" t="str">
        <f>IFERROR(__xludf.DUMMYFUNCTION("""COMPUTED_VALUE"""),"U16516")</f>
        <v>U16516</v>
      </c>
      <c r="C302" t="str">
        <f>IFERROR(__xludf.DUMMYFUNCTION("""COMPUTED_VALUE"""),"SO")</f>
        <v>SO</v>
      </c>
      <c r="D302" t="str">
        <f>IFERROR(__xludf.DUMMYFUNCTION("""COMPUTED_VALUE"""),"JE417N1")</f>
        <v>JE417N1</v>
      </c>
      <c r="E302" t="str">
        <f>IFERROR(__xludf.DUMMYFUNCTION("""COMPUTED_VALUE"""),"P1052")</f>
        <v>P1052</v>
      </c>
      <c r="F302" t="str">
        <f t="array" ref="F302">if(iserror(index(fish_lab_data!C:C,match(B302,fish_lab_data!C:C,0))),"not dissected","dissected")</f>
        <v>dissected</v>
      </c>
    </row>
    <row r="303">
      <c r="A303" t="str">
        <f t="shared" si="1"/>
        <v>16517</v>
      </c>
      <c r="B303" t="str">
        <f>IFERROR(__xludf.DUMMYFUNCTION("""COMPUTED_VALUE"""),"U16517")</f>
        <v>U16517</v>
      </c>
      <c r="C303" t="str">
        <f>IFERROR(__xludf.DUMMYFUNCTION("""COMPUTED_VALUE"""),"SO")</f>
        <v>SO</v>
      </c>
      <c r="D303" t="str">
        <f>IFERROR(__xludf.DUMMYFUNCTION("""COMPUTED_VALUE"""),"JE417N1")</f>
        <v>JE417N1</v>
      </c>
      <c r="E303" t="str">
        <f>IFERROR(__xludf.DUMMYFUNCTION("""COMPUTED_VALUE"""),"P1052")</f>
        <v>P1052</v>
      </c>
      <c r="F303" t="str">
        <f t="array" ref="F303">if(iserror(index(fish_lab_data!C:C,match(B303,fish_lab_data!C:C,0))),"not dissected","dissected")</f>
        <v>dissected</v>
      </c>
    </row>
    <row r="304">
      <c r="A304" t="str">
        <f t="shared" si="1"/>
        <v>16518</v>
      </c>
      <c r="B304" t="str">
        <f>IFERROR(__xludf.DUMMYFUNCTION("""COMPUTED_VALUE"""),"U16518")</f>
        <v>U16518</v>
      </c>
      <c r="C304" t="str">
        <f>IFERROR(__xludf.DUMMYFUNCTION("""COMPUTED_VALUE"""),"SO")</f>
        <v>SO</v>
      </c>
      <c r="D304" t="str">
        <f>IFERROR(__xludf.DUMMYFUNCTION("""COMPUTED_VALUE"""),"JE417N1")</f>
        <v>JE417N1</v>
      </c>
      <c r="E304" t="str">
        <f>IFERROR(__xludf.DUMMYFUNCTION("""COMPUTED_VALUE"""),"P1052")</f>
        <v>P1052</v>
      </c>
      <c r="F304" t="str">
        <f t="array" ref="F304">if(iserror(index(fish_lab_data!C:C,match(B304,fish_lab_data!C:C,0))),"not dissected","dissected")</f>
        <v>dissected</v>
      </c>
    </row>
    <row r="305">
      <c r="A305" t="str">
        <f t="shared" si="1"/>
        <v>16519</v>
      </c>
      <c r="B305" t="str">
        <f>IFERROR(__xludf.DUMMYFUNCTION("""COMPUTED_VALUE"""),"U16519")</f>
        <v>U16519</v>
      </c>
      <c r="C305" t="str">
        <f>IFERROR(__xludf.DUMMYFUNCTION("""COMPUTED_VALUE"""),"SO")</f>
        <v>SO</v>
      </c>
      <c r="D305" t="str">
        <f>IFERROR(__xludf.DUMMYFUNCTION("""COMPUTED_VALUE"""),"JE417N1")</f>
        <v>JE417N1</v>
      </c>
      <c r="E305" t="str">
        <f>IFERROR(__xludf.DUMMYFUNCTION("""COMPUTED_VALUE"""),"P1052")</f>
        <v>P1052</v>
      </c>
      <c r="F305" t="str">
        <f t="array" ref="F305">if(iserror(index(fish_lab_data!C:C,match(B305,fish_lab_data!C:C,0))),"not dissected","dissected")</f>
        <v>dissected</v>
      </c>
    </row>
    <row r="306">
      <c r="A306" t="str">
        <f t="shared" si="1"/>
        <v>16520</v>
      </c>
      <c r="B306" t="str">
        <f>IFERROR(__xludf.DUMMYFUNCTION("""COMPUTED_VALUE"""),"U16520")</f>
        <v>U16520</v>
      </c>
      <c r="C306" t="str">
        <f>IFERROR(__xludf.DUMMYFUNCTION("""COMPUTED_VALUE"""),"SO")</f>
        <v>SO</v>
      </c>
      <c r="D306" t="str">
        <f>IFERROR(__xludf.DUMMYFUNCTION("""COMPUTED_VALUE"""),"JE417N1")</f>
        <v>JE417N1</v>
      </c>
      <c r="E306" t="str">
        <f>IFERROR(__xludf.DUMMYFUNCTION("""COMPUTED_VALUE"""),"P1052")</f>
        <v>P1052</v>
      </c>
      <c r="F306" t="str">
        <f t="array" ref="F306">if(iserror(index(fish_lab_data!C:C,match(B306,fish_lab_data!C:C,0))),"not dissected","dissected")</f>
        <v>dissected</v>
      </c>
    </row>
    <row r="307">
      <c r="A307" t="str">
        <f t="shared" si="1"/>
        <v>16671</v>
      </c>
      <c r="B307" t="str">
        <f>IFERROR(__xludf.DUMMYFUNCTION("""COMPUTED_VALUE"""),"U16671")</f>
        <v>U16671</v>
      </c>
      <c r="C307" t="str">
        <f>IFERROR(__xludf.DUMMYFUNCTION("""COMPUTED_VALUE"""),"PI")</f>
        <v>PI</v>
      </c>
      <c r="D307" t="str">
        <f>IFERROR(__xludf.DUMMYFUNCTION("""COMPUTED_VALUE"""),"JE417N1")</f>
        <v>JE417N1</v>
      </c>
      <c r="E307" t="str">
        <f>IFERROR(__xludf.DUMMYFUNCTION("""COMPUTED_VALUE"""),"P1068")</f>
        <v>P1068</v>
      </c>
      <c r="F307" t="str">
        <f t="array" ref="F307">if(iserror(index(fish_lab_data!C:C,match(B307,fish_lab_data!C:C,0))),"not dissected","dissected")</f>
        <v>dissected</v>
      </c>
    </row>
    <row r="308">
      <c r="A308" t="str">
        <f t="shared" si="1"/>
        <v>16672</v>
      </c>
      <c r="B308" t="str">
        <f>IFERROR(__xludf.DUMMYFUNCTION("""COMPUTED_VALUE"""),"U16672")</f>
        <v>U16672</v>
      </c>
      <c r="C308" t="str">
        <f>IFERROR(__xludf.DUMMYFUNCTION("""COMPUTED_VALUE"""),"PI")</f>
        <v>PI</v>
      </c>
      <c r="D308" t="str">
        <f>IFERROR(__xludf.DUMMYFUNCTION("""COMPUTED_VALUE"""),"JE417N1")</f>
        <v>JE417N1</v>
      </c>
      <c r="E308" t="str">
        <f>IFERROR(__xludf.DUMMYFUNCTION("""COMPUTED_VALUE"""),"P1068")</f>
        <v>P1068</v>
      </c>
      <c r="F308" t="str">
        <f t="array" ref="F308">if(iserror(index(fish_lab_data!C:C,match(B308,fish_lab_data!C:C,0))),"not dissected","dissected")</f>
        <v>dissected</v>
      </c>
    </row>
    <row r="309">
      <c r="A309" t="str">
        <f t="shared" si="1"/>
        <v>16673</v>
      </c>
      <c r="B309" t="str">
        <f>IFERROR(__xludf.DUMMYFUNCTION("""COMPUTED_VALUE"""),"U16673")</f>
        <v>U16673</v>
      </c>
      <c r="C309" t="str">
        <f>IFERROR(__xludf.DUMMYFUNCTION("""COMPUTED_VALUE"""),"PI")</f>
        <v>PI</v>
      </c>
      <c r="D309" t="str">
        <f>IFERROR(__xludf.DUMMYFUNCTION("""COMPUTED_VALUE"""),"JE417N1")</f>
        <v>JE417N1</v>
      </c>
      <c r="E309" t="str">
        <f>IFERROR(__xludf.DUMMYFUNCTION("""COMPUTED_VALUE"""),"P1068")</f>
        <v>P1068</v>
      </c>
      <c r="F309" t="str">
        <f t="array" ref="F309">if(iserror(index(fish_lab_data!C:C,match(B309,fish_lab_data!C:C,0))),"not dissected","dissected")</f>
        <v>dissected</v>
      </c>
    </row>
    <row r="310">
      <c r="A310" t="str">
        <f t="shared" si="1"/>
        <v>16674</v>
      </c>
      <c r="B310" t="str">
        <f>IFERROR(__xludf.DUMMYFUNCTION("""COMPUTED_VALUE"""),"U16674")</f>
        <v>U16674</v>
      </c>
      <c r="C310" t="str">
        <f>IFERROR(__xludf.DUMMYFUNCTION("""COMPUTED_VALUE"""),"PI")</f>
        <v>PI</v>
      </c>
      <c r="D310" t="str">
        <f>IFERROR(__xludf.DUMMYFUNCTION("""COMPUTED_VALUE"""),"JE417N1")</f>
        <v>JE417N1</v>
      </c>
      <c r="E310" t="str">
        <f>IFERROR(__xludf.DUMMYFUNCTION("""COMPUTED_VALUE"""),"P1068")</f>
        <v>P1068</v>
      </c>
      <c r="F310" t="str">
        <f t="array" ref="F310">if(iserror(index(fish_lab_data!C:C,match(B310,fish_lab_data!C:C,0))),"not dissected","dissected")</f>
        <v>dissected</v>
      </c>
    </row>
    <row r="311">
      <c r="A311" t="str">
        <f t="shared" si="1"/>
        <v>16675</v>
      </c>
      <c r="B311" t="str">
        <f>IFERROR(__xludf.DUMMYFUNCTION("""COMPUTED_VALUE"""),"U16675")</f>
        <v>U16675</v>
      </c>
      <c r="C311" t="str">
        <f>IFERROR(__xludf.DUMMYFUNCTION("""COMPUTED_VALUE"""),"PI")</f>
        <v>PI</v>
      </c>
      <c r="D311" t="str">
        <f>IFERROR(__xludf.DUMMYFUNCTION("""COMPUTED_VALUE"""),"JE417N1")</f>
        <v>JE417N1</v>
      </c>
      <c r="E311" t="str">
        <f>IFERROR(__xludf.DUMMYFUNCTION("""COMPUTED_VALUE"""),"P1068")</f>
        <v>P1068</v>
      </c>
      <c r="F311" t="str">
        <f t="array" ref="F311">if(iserror(index(fish_lab_data!C:C,match(B311,fish_lab_data!C:C,0))),"not dissected","dissected")</f>
        <v>dissected</v>
      </c>
    </row>
    <row r="312">
      <c r="A312" t="str">
        <f t="shared" si="1"/>
        <v>16676</v>
      </c>
      <c r="B312" t="str">
        <f>IFERROR(__xludf.DUMMYFUNCTION("""COMPUTED_VALUE"""),"U16676")</f>
        <v>U16676</v>
      </c>
      <c r="C312" t="str">
        <f>IFERROR(__xludf.DUMMYFUNCTION("""COMPUTED_VALUE"""),"PI")</f>
        <v>PI</v>
      </c>
      <c r="D312" t="str">
        <f>IFERROR(__xludf.DUMMYFUNCTION("""COMPUTED_VALUE"""),"JE417N1")</f>
        <v>JE417N1</v>
      </c>
      <c r="E312" t="str">
        <f>IFERROR(__xludf.DUMMYFUNCTION("""COMPUTED_VALUE"""),"P1068")</f>
        <v>P1068</v>
      </c>
      <c r="F312" t="str">
        <f t="array" ref="F312">if(iserror(index(fish_lab_data!C:C,match(B312,fish_lab_data!C:C,0))),"not dissected","dissected")</f>
        <v>dissected</v>
      </c>
    </row>
    <row r="313">
      <c r="A313" t="str">
        <f t="shared" si="1"/>
        <v>16677</v>
      </c>
      <c r="B313" t="str">
        <f>IFERROR(__xludf.DUMMYFUNCTION("""COMPUTED_VALUE"""),"U16677")</f>
        <v>U16677</v>
      </c>
      <c r="C313" t="str">
        <f>IFERROR(__xludf.DUMMYFUNCTION("""COMPUTED_VALUE"""),"PI")</f>
        <v>PI</v>
      </c>
      <c r="D313" t="str">
        <f>IFERROR(__xludf.DUMMYFUNCTION("""COMPUTED_VALUE"""),"JE417N1")</f>
        <v>JE417N1</v>
      </c>
      <c r="E313" t="str">
        <f>IFERROR(__xludf.DUMMYFUNCTION("""COMPUTED_VALUE"""),"P1068")</f>
        <v>P1068</v>
      </c>
      <c r="F313" t="str">
        <f t="array" ref="F313">if(iserror(index(fish_lab_data!C:C,match(B313,fish_lab_data!C:C,0))),"not dissected","dissected")</f>
        <v>dissected</v>
      </c>
    </row>
    <row r="314">
      <c r="A314" t="str">
        <f t="shared" si="1"/>
        <v>16678</v>
      </c>
      <c r="B314" t="str">
        <f>IFERROR(__xludf.DUMMYFUNCTION("""COMPUTED_VALUE"""),"U16678")</f>
        <v>U16678</v>
      </c>
      <c r="C314" t="str">
        <f>IFERROR(__xludf.DUMMYFUNCTION("""COMPUTED_VALUE"""),"PI")</f>
        <v>PI</v>
      </c>
      <c r="D314" t="str">
        <f>IFERROR(__xludf.DUMMYFUNCTION("""COMPUTED_VALUE"""),"JE417N1")</f>
        <v>JE417N1</v>
      </c>
      <c r="E314" t="str">
        <f>IFERROR(__xludf.DUMMYFUNCTION("""COMPUTED_VALUE"""),"P1068")</f>
        <v>P1068</v>
      </c>
      <c r="F314" t="str">
        <f t="array" ref="F314">if(iserror(index(fish_lab_data!C:C,match(B314,fish_lab_data!C:C,0))),"not dissected","dissected")</f>
        <v>dissected</v>
      </c>
    </row>
    <row r="315">
      <c r="A315" t="str">
        <f t="shared" si="1"/>
        <v>16679</v>
      </c>
      <c r="B315" t="str">
        <f>IFERROR(__xludf.DUMMYFUNCTION("""COMPUTED_VALUE"""),"U16679")</f>
        <v>U16679</v>
      </c>
      <c r="C315" t="str">
        <f>IFERROR(__xludf.DUMMYFUNCTION("""COMPUTED_VALUE"""),"PI")</f>
        <v>PI</v>
      </c>
      <c r="D315" t="str">
        <f>IFERROR(__xludf.DUMMYFUNCTION("""COMPUTED_VALUE"""),"JE417N1")</f>
        <v>JE417N1</v>
      </c>
      <c r="E315" t="str">
        <f>IFERROR(__xludf.DUMMYFUNCTION("""COMPUTED_VALUE"""),"P1068")</f>
        <v>P1068</v>
      </c>
      <c r="F315" t="str">
        <f t="array" ref="F315">if(iserror(index(fish_lab_data!C:C,match(B315,fish_lab_data!C:C,0))),"not dissected","dissected")</f>
        <v>dissected</v>
      </c>
    </row>
    <row r="316">
      <c r="A316" t="str">
        <f t="shared" si="1"/>
        <v>16680</v>
      </c>
      <c r="B316" t="str">
        <f>IFERROR(__xludf.DUMMYFUNCTION("""COMPUTED_VALUE"""),"U16680")</f>
        <v>U16680</v>
      </c>
      <c r="C316" t="str">
        <f>IFERROR(__xludf.DUMMYFUNCTION("""COMPUTED_VALUE"""),"PI")</f>
        <v>PI</v>
      </c>
      <c r="D316" t="str">
        <f>IFERROR(__xludf.DUMMYFUNCTION("""COMPUTED_VALUE"""),"JE417N1")</f>
        <v>JE417N1</v>
      </c>
      <c r="E316" t="str">
        <f>IFERROR(__xludf.DUMMYFUNCTION("""COMPUTED_VALUE"""),"P1068")</f>
        <v>P1068</v>
      </c>
      <c r="F316" t="str">
        <f t="array" ref="F316">if(iserror(index(fish_lab_data!C:C,match(B316,fish_lab_data!C:C,0))),"not dissected","dissected")</f>
        <v>dissected</v>
      </c>
    </row>
    <row r="317">
      <c r="A317" t="str">
        <f t="shared" si="1"/>
        <v>16601</v>
      </c>
      <c r="B317" t="str">
        <f>IFERROR(__xludf.DUMMYFUNCTION("""COMPUTED_VALUE"""),"U16601")</f>
        <v>U16601</v>
      </c>
      <c r="C317" t="str">
        <f>IFERROR(__xludf.DUMMYFUNCTION("""COMPUTED_VALUE"""),"CU")</f>
        <v>CU</v>
      </c>
      <c r="D317" t="str">
        <f>IFERROR(__xludf.DUMMYFUNCTION("""COMPUTED_VALUE"""),"JE417N1")</f>
        <v>JE417N1</v>
      </c>
      <c r="E317" t="str">
        <f>IFERROR(__xludf.DUMMYFUNCTION("""COMPUTED_VALUE"""),"P1061")</f>
        <v>P1061</v>
      </c>
      <c r="F317" t="str">
        <f t="array" ref="F317">if(iserror(index(fish_lab_data!C:C,match(B317,fish_lab_data!C:C,0))),"not dissected","dissected")</f>
        <v>dissected</v>
      </c>
    </row>
    <row r="318">
      <c r="A318" t="str">
        <f t="shared" si="1"/>
        <v>16602</v>
      </c>
      <c r="B318" t="str">
        <f>IFERROR(__xludf.DUMMYFUNCTION("""COMPUTED_VALUE"""),"U16602")</f>
        <v>U16602</v>
      </c>
      <c r="C318" t="str">
        <f>IFERROR(__xludf.DUMMYFUNCTION("""COMPUTED_VALUE"""),"CU")</f>
        <v>CU</v>
      </c>
      <c r="D318" t="str">
        <f>IFERROR(__xludf.DUMMYFUNCTION("""COMPUTED_VALUE"""),"JE417N1")</f>
        <v>JE417N1</v>
      </c>
      <c r="E318" t="str">
        <f>IFERROR(__xludf.DUMMYFUNCTION("""COMPUTED_VALUE"""),"P1061")</f>
        <v>P1061</v>
      </c>
      <c r="F318" t="str">
        <f t="array" ref="F318">if(iserror(index(fish_lab_data!C:C,match(B318,fish_lab_data!C:C,0))),"not dissected","dissected")</f>
        <v>dissected</v>
      </c>
    </row>
    <row r="319">
      <c r="A319" t="str">
        <f t="shared" si="1"/>
        <v>16603</v>
      </c>
      <c r="B319" t="str">
        <f>IFERROR(__xludf.DUMMYFUNCTION("""COMPUTED_VALUE"""),"U16603")</f>
        <v>U16603</v>
      </c>
      <c r="C319" t="str">
        <f>IFERROR(__xludf.DUMMYFUNCTION("""COMPUTED_VALUE"""),"CU")</f>
        <v>CU</v>
      </c>
      <c r="D319" t="str">
        <f>IFERROR(__xludf.DUMMYFUNCTION("""COMPUTED_VALUE"""),"JE417N1")</f>
        <v>JE417N1</v>
      </c>
      <c r="E319" t="str">
        <f>IFERROR(__xludf.DUMMYFUNCTION("""COMPUTED_VALUE"""),"P1061")</f>
        <v>P1061</v>
      </c>
      <c r="F319" t="str">
        <f t="array" ref="F319">if(iserror(index(fish_lab_data!C:C,match(B319,fish_lab_data!C:C,0))),"not dissected","dissected")</f>
        <v>dissected</v>
      </c>
    </row>
    <row r="320">
      <c r="A320" t="str">
        <f t="shared" si="1"/>
        <v>16604</v>
      </c>
      <c r="B320" t="str">
        <f>IFERROR(__xludf.DUMMYFUNCTION("""COMPUTED_VALUE"""),"U16604")</f>
        <v>U16604</v>
      </c>
      <c r="C320" t="str">
        <f>IFERROR(__xludf.DUMMYFUNCTION("""COMPUTED_VALUE"""),"CU")</f>
        <v>CU</v>
      </c>
      <c r="D320" t="str">
        <f>IFERROR(__xludf.DUMMYFUNCTION("""COMPUTED_VALUE"""),"JE417N1")</f>
        <v>JE417N1</v>
      </c>
      <c r="E320" t="str">
        <f>IFERROR(__xludf.DUMMYFUNCTION("""COMPUTED_VALUE"""),"P1061")</f>
        <v>P1061</v>
      </c>
      <c r="F320" t="str">
        <f t="array" ref="F320">if(iserror(index(fish_lab_data!C:C,match(B320,fish_lab_data!C:C,0))),"not dissected","dissected")</f>
        <v>dissected</v>
      </c>
    </row>
    <row r="321">
      <c r="A321" t="str">
        <f t="shared" si="1"/>
        <v>16605</v>
      </c>
      <c r="B321" t="str">
        <f>IFERROR(__xludf.DUMMYFUNCTION("""COMPUTED_VALUE"""),"U16605")</f>
        <v>U16605</v>
      </c>
      <c r="C321" t="str">
        <f>IFERROR(__xludf.DUMMYFUNCTION("""COMPUTED_VALUE"""),"CU")</f>
        <v>CU</v>
      </c>
      <c r="D321" t="str">
        <f>IFERROR(__xludf.DUMMYFUNCTION("""COMPUTED_VALUE"""),"JE417N1")</f>
        <v>JE417N1</v>
      </c>
      <c r="E321" t="str">
        <f>IFERROR(__xludf.DUMMYFUNCTION("""COMPUTED_VALUE"""),"P1061")</f>
        <v>P1061</v>
      </c>
      <c r="F321" t="str">
        <f t="array" ref="F321">if(iserror(index(fish_lab_data!C:C,match(B321,fish_lab_data!C:C,0))),"not dissected","dissected")</f>
        <v>dissected</v>
      </c>
    </row>
    <row r="322">
      <c r="A322" t="str">
        <f t="shared" si="1"/>
        <v>16606</v>
      </c>
      <c r="B322" t="str">
        <f>IFERROR(__xludf.DUMMYFUNCTION("""COMPUTED_VALUE"""),"U16606")</f>
        <v>U16606</v>
      </c>
      <c r="C322" t="str">
        <f>IFERROR(__xludf.DUMMYFUNCTION("""COMPUTED_VALUE"""),"CU")</f>
        <v>CU</v>
      </c>
      <c r="D322" t="str">
        <f>IFERROR(__xludf.DUMMYFUNCTION("""COMPUTED_VALUE"""),"JE417N1")</f>
        <v>JE417N1</v>
      </c>
      <c r="E322" t="str">
        <f>IFERROR(__xludf.DUMMYFUNCTION("""COMPUTED_VALUE"""),"P1061")</f>
        <v>P1061</v>
      </c>
      <c r="F322" t="str">
        <f t="array" ref="F322">if(iserror(index(fish_lab_data!C:C,match(B322,fish_lab_data!C:C,0))),"not dissected","dissected")</f>
        <v>dissected</v>
      </c>
    </row>
    <row r="323">
      <c r="A323" t="str">
        <f t="shared" si="1"/>
        <v>16607</v>
      </c>
      <c r="B323" t="str">
        <f>IFERROR(__xludf.DUMMYFUNCTION("""COMPUTED_VALUE"""),"U16607")</f>
        <v>U16607</v>
      </c>
      <c r="C323" t="str">
        <f>IFERROR(__xludf.DUMMYFUNCTION("""COMPUTED_VALUE"""),"CU")</f>
        <v>CU</v>
      </c>
      <c r="D323" t="str">
        <f>IFERROR(__xludf.DUMMYFUNCTION("""COMPUTED_VALUE"""),"JE417N1")</f>
        <v>JE417N1</v>
      </c>
      <c r="E323" t="str">
        <f>IFERROR(__xludf.DUMMYFUNCTION("""COMPUTED_VALUE"""),"P1061")</f>
        <v>P1061</v>
      </c>
      <c r="F323" t="str">
        <f t="array" ref="F323">if(iserror(index(fish_lab_data!C:C,match(B323,fish_lab_data!C:C,0))),"not dissected","dissected")</f>
        <v>dissected</v>
      </c>
    </row>
    <row r="324">
      <c r="A324" t="str">
        <f t="shared" si="1"/>
        <v>16608</v>
      </c>
      <c r="B324" t="str">
        <f>IFERROR(__xludf.DUMMYFUNCTION("""COMPUTED_VALUE"""),"U16608")</f>
        <v>U16608</v>
      </c>
      <c r="C324" t="str">
        <f>IFERROR(__xludf.DUMMYFUNCTION("""COMPUTED_VALUE"""),"CU")</f>
        <v>CU</v>
      </c>
      <c r="D324" t="str">
        <f>IFERROR(__xludf.DUMMYFUNCTION("""COMPUTED_VALUE"""),"JE417N1")</f>
        <v>JE417N1</v>
      </c>
      <c r="E324" t="str">
        <f>IFERROR(__xludf.DUMMYFUNCTION("""COMPUTED_VALUE"""),"P1061")</f>
        <v>P1061</v>
      </c>
      <c r="F324" t="str">
        <f t="array" ref="F324">if(iserror(index(fish_lab_data!C:C,match(B324,fish_lab_data!C:C,0))),"not dissected","dissected")</f>
        <v>dissected</v>
      </c>
    </row>
    <row r="325">
      <c r="A325" t="str">
        <f t="shared" si="1"/>
        <v>16609</v>
      </c>
      <c r="B325" t="str">
        <f>IFERROR(__xludf.DUMMYFUNCTION("""COMPUTED_VALUE"""),"U16609")</f>
        <v>U16609</v>
      </c>
      <c r="C325" t="str">
        <f>IFERROR(__xludf.DUMMYFUNCTION("""COMPUTED_VALUE"""),"CU")</f>
        <v>CU</v>
      </c>
      <c r="D325" t="str">
        <f>IFERROR(__xludf.DUMMYFUNCTION("""COMPUTED_VALUE"""),"JE417N1")</f>
        <v>JE417N1</v>
      </c>
      <c r="E325" t="str">
        <f>IFERROR(__xludf.DUMMYFUNCTION("""COMPUTED_VALUE"""),"P1061")</f>
        <v>P1061</v>
      </c>
      <c r="F325" t="str">
        <f t="array" ref="F325">if(iserror(index(fish_lab_data!C:C,match(B325,fish_lab_data!C:C,0))),"not dissected","dissected")</f>
        <v>dissected</v>
      </c>
    </row>
    <row r="326">
      <c r="A326" t="str">
        <f t="shared" si="1"/>
        <v>16610</v>
      </c>
      <c r="B326" t="str">
        <f>IFERROR(__xludf.DUMMYFUNCTION("""COMPUTED_VALUE"""),"U16610")</f>
        <v>U16610</v>
      </c>
      <c r="C326" t="str">
        <f>IFERROR(__xludf.DUMMYFUNCTION("""COMPUTED_VALUE"""),"CU")</f>
        <v>CU</v>
      </c>
      <c r="D326" t="str">
        <f>IFERROR(__xludf.DUMMYFUNCTION("""COMPUTED_VALUE"""),"JE417N1")</f>
        <v>JE417N1</v>
      </c>
      <c r="E326" t="str">
        <f>IFERROR(__xludf.DUMMYFUNCTION("""COMPUTED_VALUE"""),"P1061")</f>
        <v>P1061</v>
      </c>
      <c r="F326" t="str">
        <f t="array" ref="F326">if(iserror(index(fish_lab_data!C:C,match(B326,fish_lab_data!C:C,0))),"not dissected","dissected")</f>
        <v>dissected</v>
      </c>
    </row>
    <row r="327">
      <c r="A327" t="str">
        <f t="shared" si="1"/>
        <v>16971</v>
      </c>
      <c r="B327" t="str">
        <f>IFERROR(__xludf.DUMMYFUNCTION("""COMPUTED_VALUE"""),"U16971")</f>
        <v>U16971</v>
      </c>
      <c r="C327" t="str">
        <f>IFERROR(__xludf.DUMMYFUNCTION("""COMPUTED_VALUE"""),"SO")</f>
        <v>SO</v>
      </c>
      <c r="D327" t="str">
        <f>IFERROR(__xludf.DUMMYFUNCTION("""COMPUTED_VALUE"""),"JE417N1")</f>
        <v>JE417N1</v>
      </c>
      <c r="E327" t="str">
        <f>IFERROR(__xludf.DUMMYFUNCTION("""COMPUTED_VALUE"""),"P1098")</f>
        <v>P1098</v>
      </c>
      <c r="F327" t="str">
        <f t="array" ref="F327">if(iserror(index(fish_lab_data!C:C,match(B327,fish_lab_data!C:C,0))),"not dissected","dissected")</f>
        <v>dissected</v>
      </c>
    </row>
    <row r="328">
      <c r="A328" t="str">
        <f t="shared" si="1"/>
        <v>16972</v>
      </c>
      <c r="B328" t="str">
        <f>IFERROR(__xludf.DUMMYFUNCTION("""COMPUTED_VALUE"""),"U16972")</f>
        <v>U16972</v>
      </c>
      <c r="C328" t="str">
        <f>IFERROR(__xludf.DUMMYFUNCTION("""COMPUTED_VALUE"""),"SO")</f>
        <v>SO</v>
      </c>
      <c r="D328" t="str">
        <f>IFERROR(__xludf.DUMMYFUNCTION("""COMPUTED_VALUE"""),"JE417N1")</f>
        <v>JE417N1</v>
      </c>
      <c r="E328" t="str">
        <f>IFERROR(__xludf.DUMMYFUNCTION("""COMPUTED_VALUE"""),"P1098")</f>
        <v>P1098</v>
      </c>
      <c r="F328" t="str">
        <f t="array" ref="F328">if(iserror(index(fish_lab_data!C:C,match(B328,fish_lab_data!C:C,0))),"not dissected","dissected")</f>
        <v>dissected</v>
      </c>
    </row>
    <row r="329">
      <c r="A329" t="str">
        <f t="shared" si="1"/>
        <v>16973</v>
      </c>
      <c r="B329" t="str">
        <f>IFERROR(__xludf.DUMMYFUNCTION("""COMPUTED_VALUE"""),"U16973")</f>
        <v>U16973</v>
      </c>
      <c r="C329" t="str">
        <f>IFERROR(__xludf.DUMMYFUNCTION("""COMPUTED_VALUE"""),"SO")</f>
        <v>SO</v>
      </c>
      <c r="D329" t="str">
        <f>IFERROR(__xludf.DUMMYFUNCTION("""COMPUTED_VALUE"""),"JE417N1")</f>
        <v>JE417N1</v>
      </c>
      <c r="E329" t="str">
        <f>IFERROR(__xludf.DUMMYFUNCTION("""COMPUTED_VALUE"""),"P1098")</f>
        <v>P1098</v>
      </c>
      <c r="F329" t="str">
        <f t="array" ref="F329">if(iserror(index(fish_lab_data!C:C,match(B329,fish_lab_data!C:C,0))),"not dissected","dissected")</f>
        <v>dissected</v>
      </c>
    </row>
    <row r="330">
      <c r="A330" t="str">
        <f t="shared" si="1"/>
        <v>16974</v>
      </c>
      <c r="B330" t="str">
        <f>IFERROR(__xludf.DUMMYFUNCTION("""COMPUTED_VALUE"""),"U16974")</f>
        <v>U16974</v>
      </c>
      <c r="C330" t="str">
        <f>IFERROR(__xludf.DUMMYFUNCTION("""COMPUTED_VALUE"""),"SO")</f>
        <v>SO</v>
      </c>
      <c r="D330" t="str">
        <f>IFERROR(__xludf.DUMMYFUNCTION("""COMPUTED_VALUE"""),"JE417N1")</f>
        <v>JE417N1</v>
      </c>
      <c r="E330" t="str">
        <f>IFERROR(__xludf.DUMMYFUNCTION("""COMPUTED_VALUE"""),"P1098")</f>
        <v>P1098</v>
      </c>
      <c r="F330" t="str">
        <f t="array" ref="F330">if(iserror(index(fish_lab_data!C:C,match(B330,fish_lab_data!C:C,0))),"not dissected","dissected")</f>
        <v>dissected</v>
      </c>
    </row>
    <row r="331">
      <c r="A331" t="str">
        <f t="shared" si="1"/>
        <v>16975</v>
      </c>
      <c r="B331" t="str">
        <f>IFERROR(__xludf.DUMMYFUNCTION("""COMPUTED_VALUE"""),"U16975")</f>
        <v>U16975</v>
      </c>
      <c r="C331" t="str">
        <f>IFERROR(__xludf.DUMMYFUNCTION("""COMPUTED_VALUE"""),"SO")</f>
        <v>SO</v>
      </c>
      <c r="D331" t="str">
        <f>IFERROR(__xludf.DUMMYFUNCTION("""COMPUTED_VALUE"""),"JE417N1")</f>
        <v>JE417N1</v>
      </c>
      <c r="E331" t="str">
        <f>IFERROR(__xludf.DUMMYFUNCTION("""COMPUTED_VALUE"""),"P1098")</f>
        <v>P1098</v>
      </c>
      <c r="F331" t="str">
        <f t="array" ref="F331">if(iserror(index(fish_lab_data!C:C,match(B331,fish_lab_data!C:C,0))),"not dissected","dissected")</f>
        <v>dissected</v>
      </c>
    </row>
    <row r="332">
      <c r="A332" t="str">
        <f t="shared" si="1"/>
        <v>16976</v>
      </c>
      <c r="B332" t="str">
        <f>IFERROR(__xludf.DUMMYFUNCTION("""COMPUTED_VALUE"""),"U16976")</f>
        <v>U16976</v>
      </c>
      <c r="C332" t="str">
        <f>IFERROR(__xludf.DUMMYFUNCTION("""COMPUTED_VALUE"""),"SO")</f>
        <v>SO</v>
      </c>
      <c r="D332" t="str">
        <f>IFERROR(__xludf.DUMMYFUNCTION("""COMPUTED_VALUE"""),"JE417N1")</f>
        <v>JE417N1</v>
      </c>
      <c r="E332" t="str">
        <f>IFERROR(__xludf.DUMMYFUNCTION("""COMPUTED_VALUE"""),"P1098")</f>
        <v>P1098</v>
      </c>
      <c r="F332" t="str">
        <f t="array" ref="F332">if(iserror(index(fish_lab_data!C:C,match(B332,fish_lab_data!C:C,0))),"not dissected","dissected")</f>
        <v>dissected</v>
      </c>
    </row>
    <row r="333">
      <c r="A333" t="str">
        <f t="shared" si="1"/>
        <v>16977</v>
      </c>
      <c r="B333" t="str">
        <f>IFERROR(__xludf.DUMMYFUNCTION("""COMPUTED_VALUE"""),"U16977")</f>
        <v>U16977</v>
      </c>
      <c r="C333" t="str">
        <f>IFERROR(__xludf.DUMMYFUNCTION("""COMPUTED_VALUE"""),"SO")</f>
        <v>SO</v>
      </c>
      <c r="D333" t="str">
        <f>IFERROR(__xludf.DUMMYFUNCTION("""COMPUTED_VALUE"""),"JE417N1")</f>
        <v>JE417N1</v>
      </c>
      <c r="E333" t="str">
        <f>IFERROR(__xludf.DUMMYFUNCTION("""COMPUTED_VALUE"""),"P1098")</f>
        <v>P1098</v>
      </c>
      <c r="F333" t="str">
        <f t="array" ref="F333">if(iserror(index(fish_lab_data!C:C,match(B333,fish_lab_data!C:C,0))),"not dissected","dissected")</f>
        <v>dissected</v>
      </c>
    </row>
    <row r="334">
      <c r="A334" t="str">
        <f t="shared" si="1"/>
        <v>16978</v>
      </c>
      <c r="B334" t="str">
        <f>IFERROR(__xludf.DUMMYFUNCTION("""COMPUTED_VALUE"""),"U16978")</f>
        <v>U16978</v>
      </c>
      <c r="C334" t="str">
        <f>IFERROR(__xludf.DUMMYFUNCTION("""COMPUTED_VALUE"""),"SO")</f>
        <v>SO</v>
      </c>
      <c r="D334" t="str">
        <f>IFERROR(__xludf.DUMMYFUNCTION("""COMPUTED_VALUE"""),"JE417N1")</f>
        <v>JE417N1</v>
      </c>
      <c r="E334" t="str">
        <f>IFERROR(__xludf.DUMMYFUNCTION("""COMPUTED_VALUE"""),"P1098")</f>
        <v>P1098</v>
      </c>
      <c r="F334" t="str">
        <f t="array" ref="F334">if(iserror(index(fish_lab_data!C:C,match(B334,fish_lab_data!C:C,0))),"not dissected","dissected")</f>
        <v>dissected</v>
      </c>
    </row>
    <row r="335">
      <c r="A335" t="str">
        <f t="shared" si="1"/>
        <v>16979</v>
      </c>
      <c r="B335" t="str">
        <f>IFERROR(__xludf.DUMMYFUNCTION("""COMPUTED_VALUE"""),"U16979")</f>
        <v>U16979</v>
      </c>
      <c r="C335" t="str">
        <f>IFERROR(__xludf.DUMMYFUNCTION("""COMPUTED_VALUE"""),"SO")</f>
        <v>SO</v>
      </c>
      <c r="D335" t="str">
        <f>IFERROR(__xludf.DUMMYFUNCTION("""COMPUTED_VALUE"""),"JE417N1")</f>
        <v>JE417N1</v>
      </c>
      <c r="E335" t="str">
        <f>IFERROR(__xludf.DUMMYFUNCTION("""COMPUTED_VALUE"""),"P1098")</f>
        <v>P1098</v>
      </c>
      <c r="F335" t="str">
        <f t="array" ref="F335">if(iserror(index(fish_lab_data!C:C,match(B335,fish_lab_data!C:C,0))),"not dissected","dissected")</f>
        <v>dissected</v>
      </c>
    </row>
    <row r="336">
      <c r="A336" t="str">
        <f t="shared" si="1"/>
        <v>16980</v>
      </c>
      <c r="B336" t="str">
        <f>IFERROR(__xludf.DUMMYFUNCTION("""COMPUTED_VALUE"""),"U16980")</f>
        <v>U16980</v>
      </c>
      <c r="C336" t="str">
        <f>IFERROR(__xludf.DUMMYFUNCTION("""COMPUTED_VALUE"""),"SO")</f>
        <v>SO</v>
      </c>
      <c r="D336" t="str">
        <f>IFERROR(__xludf.DUMMYFUNCTION("""COMPUTED_VALUE"""),"JE417N1")</f>
        <v>JE417N1</v>
      </c>
      <c r="E336" t="str">
        <f>IFERROR(__xludf.DUMMYFUNCTION("""COMPUTED_VALUE"""),"P1098")</f>
        <v>P1098</v>
      </c>
      <c r="F336" t="str">
        <f t="array" ref="F336">if(iserror(index(fish_lab_data!C:C,match(B336,fish_lab_data!C:C,0))),"not dissected","dissected")</f>
        <v>dissected</v>
      </c>
    </row>
    <row r="337">
      <c r="A337" t="str">
        <f t="shared" si="1"/>
        <v>16841</v>
      </c>
      <c r="B337" t="str">
        <f>IFERROR(__xludf.DUMMYFUNCTION("""COMPUTED_VALUE"""),"U16841")</f>
        <v>U16841</v>
      </c>
      <c r="C337" t="str">
        <f>IFERROR(__xludf.DUMMYFUNCTION("""COMPUTED_VALUE"""),"CO")</f>
        <v>CO</v>
      </c>
      <c r="D337" t="str">
        <f>IFERROR(__xludf.DUMMYFUNCTION("""COMPUTED_VALUE"""),"JE417N1")</f>
        <v>JE417N1</v>
      </c>
      <c r="E337" t="str">
        <f>IFERROR(__xludf.DUMMYFUNCTION("""COMPUTED_VALUE"""),"P1085")</f>
        <v>P1085</v>
      </c>
      <c r="F337" t="str">
        <f t="array" ref="F337">if(iserror(index(fish_lab_data!C:C,match(B337,fish_lab_data!C:C,0))),"not dissected","dissected")</f>
        <v>dissected</v>
      </c>
    </row>
    <row r="338">
      <c r="A338" t="str">
        <f t="shared" si="1"/>
        <v>16842</v>
      </c>
      <c r="B338" t="str">
        <f>IFERROR(__xludf.DUMMYFUNCTION("""COMPUTED_VALUE"""),"U16842")</f>
        <v>U16842</v>
      </c>
      <c r="C338" t="str">
        <f>IFERROR(__xludf.DUMMYFUNCTION("""COMPUTED_VALUE"""),"CO")</f>
        <v>CO</v>
      </c>
      <c r="D338" t="str">
        <f>IFERROR(__xludf.DUMMYFUNCTION("""COMPUTED_VALUE"""),"JE417N1")</f>
        <v>JE417N1</v>
      </c>
      <c r="E338" t="str">
        <f>IFERROR(__xludf.DUMMYFUNCTION("""COMPUTED_VALUE"""),"P1085")</f>
        <v>P1085</v>
      </c>
      <c r="F338" t="str">
        <f t="array" ref="F338">if(iserror(index(fish_lab_data!C:C,match(B338,fish_lab_data!C:C,0))),"not dissected","dissected")</f>
        <v>dissected</v>
      </c>
    </row>
    <row r="339">
      <c r="A339" t="str">
        <f t="shared" si="1"/>
        <v>16843</v>
      </c>
      <c r="B339" t="str">
        <f>IFERROR(__xludf.DUMMYFUNCTION("""COMPUTED_VALUE"""),"U16843")</f>
        <v>U16843</v>
      </c>
      <c r="C339" t="str">
        <f>IFERROR(__xludf.DUMMYFUNCTION("""COMPUTED_VALUE"""),"CO")</f>
        <v>CO</v>
      </c>
      <c r="D339" t="str">
        <f>IFERROR(__xludf.DUMMYFUNCTION("""COMPUTED_VALUE"""),"JE417N1")</f>
        <v>JE417N1</v>
      </c>
      <c r="E339" t="str">
        <f>IFERROR(__xludf.DUMMYFUNCTION("""COMPUTED_VALUE"""),"P1085")</f>
        <v>P1085</v>
      </c>
      <c r="F339" t="str">
        <f t="array" ref="F339">if(iserror(index(fish_lab_data!C:C,match(B339,fish_lab_data!C:C,0))),"not dissected","dissected")</f>
        <v>dissected</v>
      </c>
    </row>
    <row r="340">
      <c r="A340" t="str">
        <f t="shared" si="1"/>
        <v>16844</v>
      </c>
      <c r="B340" t="str">
        <f>IFERROR(__xludf.DUMMYFUNCTION("""COMPUTED_VALUE"""),"U16844")</f>
        <v>U16844</v>
      </c>
      <c r="C340" t="str">
        <f>IFERROR(__xludf.DUMMYFUNCTION("""COMPUTED_VALUE"""),"CO")</f>
        <v>CO</v>
      </c>
      <c r="D340" t="str">
        <f>IFERROR(__xludf.DUMMYFUNCTION("""COMPUTED_VALUE"""),"JE417N1")</f>
        <v>JE417N1</v>
      </c>
      <c r="E340" t="str">
        <f>IFERROR(__xludf.DUMMYFUNCTION("""COMPUTED_VALUE"""),"P1085")</f>
        <v>P1085</v>
      </c>
      <c r="F340" t="str">
        <f t="array" ref="F340">if(iserror(index(fish_lab_data!C:C,match(B340,fish_lab_data!C:C,0))),"not dissected","dissected")</f>
        <v>dissected</v>
      </c>
    </row>
    <row r="341">
      <c r="A341" t="str">
        <f t="shared" si="1"/>
        <v>16845</v>
      </c>
      <c r="B341" t="str">
        <f>IFERROR(__xludf.DUMMYFUNCTION("""COMPUTED_VALUE"""),"U16845")</f>
        <v>U16845</v>
      </c>
      <c r="C341" t="str">
        <f>IFERROR(__xludf.DUMMYFUNCTION("""COMPUTED_VALUE"""),"CO")</f>
        <v>CO</v>
      </c>
      <c r="D341" t="str">
        <f>IFERROR(__xludf.DUMMYFUNCTION("""COMPUTED_VALUE"""),"JE417N1")</f>
        <v>JE417N1</v>
      </c>
      <c r="E341" t="str">
        <f>IFERROR(__xludf.DUMMYFUNCTION("""COMPUTED_VALUE"""),"P1085")</f>
        <v>P1085</v>
      </c>
      <c r="F341" t="str">
        <f t="array" ref="F341">if(iserror(index(fish_lab_data!C:C,match(B341,fish_lab_data!C:C,0))),"not dissected","dissected")</f>
        <v>dissected</v>
      </c>
    </row>
    <row r="342">
      <c r="A342" t="str">
        <f t="shared" si="1"/>
        <v>16846</v>
      </c>
      <c r="B342" t="str">
        <f>IFERROR(__xludf.DUMMYFUNCTION("""COMPUTED_VALUE"""),"U16846")</f>
        <v>U16846</v>
      </c>
      <c r="C342" t="str">
        <f>IFERROR(__xludf.DUMMYFUNCTION("""COMPUTED_VALUE"""),"CO")</f>
        <v>CO</v>
      </c>
      <c r="D342" t="str">
        <f>IFERROR(__xludf.DUMMYFUNCTION("""COMPUTED_VALUE"""),"JE417N1")</f>
        <v>JE417N1</v>
      </c>
      <c r="E342" t="str">
        <f>IFERROR(__xludf.DUMMYFUNCTION("""COMPUTED_VALUE"""),"P1085")</f>
        <v>P1085</v>
      </c>
      <c r="F342" t="str">
        <f t="array" ref="F342">if(iserror(index(fish_lab_data!C:C,match(B342,fish_lab_data!C:C,0))),"not dissected","dissected")</f>
        <v>dissected</v>
      </c>
    </row>
    <row r="343">
      <c r="A343" t="str">
        <f t="shared" si="1"/>
        <v>16847</v>
      </c>
      <c r="B343" t="str">
        <f>IFERROR(__xludf.DUMMYFUNCTION("""COMPUTED_VALUE"""),"U16847")</f>
        <v>U16847</v>
      </c>
      <c r="C343" t="str">
        <f>IFERROR(__xludf.DUMMYFUNCTION("""COMPUTED_VALUE"""),"CO")</f>
        <v>CO</v>
      </c>
      <c r="D343" t="str">
        <f>IFERROR(__xludf.DUMMYFUNCTION("""COMPUTED_VALUE"""),"JE417N1")</f>
        <v>JE417N1</v>
      </c>
      <c r="E343" t="str">
        <f>IFERROR(__xludf.DUMMYFUNCTION("""COMPUTED_VALUE"""),"P1085")</f>
        <v>P1085</v>
      </c>
      <c r="F343" t="str">
        <f t="array" ref="F343">if(iserror(index(fish_lab_data!C:C,match(B343,fish_lab_data!C:C,0))),"not dissected","dissected")</f>
        <v>dissected</v>
      </c>
    </row>
    <row r="344">
      <c r="A344" t="str">
        <f t="shared" si="1"/>
        <v>16848</v>
      </c>
      <c r="B344" t="str">
        <f>IFERROR(__xludf.DUMMYFUNCTION("""COMPUTED_VALUE"""),"U16848")</f>
        <v>U16848</v>
      </c>
      <c r="C344" t="str">
        <f>IFERROR(__xludf.DUMMYFUNCTION("""COMPUTED_VALUE"""),"CO")</f>
        <v>CO</v>
      </c>
      <c r="D344" t="str">
        <f>IFERROR(__xludf.DUMMYFUNCTION("""COMPUTED_VALUE"""),"JE417N1")</f>
        <v>JE417N1</v>
      </c>
      <c r="E344" t="str">
        <f>IFERROR(__xludf.DUMMYFUNCTION("""COMPUTED_VALUE"""),"P1085")</f>
        <v>P1085</v>
      </c>
      <c r="F344" t="str">
        <f t="array" ref="F344">if(iserror(index(fish_lab_data!C:C,match(B344,fish_lab_data!C:C,0))),"not dissected","dissected")</f>
        <v>dissected</v>
      </c>
    </row>
    <row r="345">
      <c r="A345" t="str">
        <f t="shared" si="1"/>
        <v>16849</v>
      </c>
      <c r="B345" t="str">
        <f>IFERROR(__xludf.DUMMYFUNCTION("""COMPUTED_VALUE"""),"U16849")</f>
        <v>U16849</v>
      </c>
      <c r="C345" t="str">
        <f>IFERROR(__xludf.DUMMYFUNCTION("""COMPUTED_VALUE"""),"CO")</f>
        <v>CO</v>
      </c>
      <c r="D345" t="str">
        <f>IFERROR(__xludf.DUMMYFUNCTION("""COMPUTED_VALUE"""),"JE417N1")</f>
        <v>JE417N1</v>
      </c>
      <c r="E345" t="str">
        <f>IFERROR(__xludf.DUMMYFUNCTION("""COMPUTED_VALUE"""),"P1085")</f>
        <v>P1085</v>
      </c>
      <c r="F345" t="str">
        <f t="array" ref="F345">if(iserror(index(fish_lab_data!C:C,match(B345,fish_lab_data!C:C,0))),"not dissected","dissected")</f>
        <v>dissected</v>
      </c>
    </row>
    <row r="346">
      <c r="A346" t="str">
        <f t="shared" si="1"/>
        <v>16850</v>
      </c>
      <c r="B346" t="str">
        <f>IFERROR(__xludf.DUMMYFUNCTION("""COMPUTED_VALUE"""),"U16850")</f>
        <v>U16850</v>
      </c>
      <c r="C346" t="str">
        <f>IFERROR(__xludf.DUMMYFUNCTION("""COMPUTED_VALUE"""),"CO")</f>
        <v>CO</v>
      </c>
      <c r="D346" t="str">
        <f>IFERROR(__xludf.DUMMYFUNCTION("""COMPUTED_VALUE"""),"JE417N1")</f>
        <v>JE417N1</v>
      </c>
      <c r="E346" t="str">
        <f>IFERROR(__xludf.DUMMYFUNCTION("""COMPUTED_VALUE"""),"P1085")</f>
        <v>P1085</v>
      </c>
      <c r="F346" t="str">
        <f t="array" ref="F346">if(iserror(index(fish_lab_data!C:C,match(B346,fish_lab_data!C:C,0))),"not dissected","dissected")</f>
        <v>dissected</v>
      </c>
    </row>
    <row r="347">
      <c r="A347" t="str">
        <f t="shared" si="1"/>
        <v>16991</v>
      </c>
      <c r="B347" t="str">
        <f>IFERROR(__xludf.DUMMYFUNCTION("""COMPUTED_VALUE"""),"U16991")</f>
        <v>U16991</v>
      </c>
      <c r="C347" t="str">
        <f>IFERROR(__xludf.DUMMYFUNCTION("""COMPUTED_VALUE"""),"SO")</f>
        <v>SO</v>
      </c>
      <c r="D347" t="str">
        <f>IFERROR(__xludf.DUMMYFUNCTION("""COMPUTED_VALUE"""),"JE417N1")</f>
        <v>JE417N1</v>
      </c>
      <c r="E347" t="str">
        <f>IFERROR(__xludf.DUMMYFUNCTION("""COMPUTED_VALUE"""),"P1100")</f>
        <v>P1100</v>
      </c>
      <c r="F347" t="str">
        <f t="array" ref="F347">if(iserror(index(fish_lab_data!C:C,match(B347,fish_lab_data!C:C,0))),"not dissected","dissected")</f>
        <v>dissected</v>
      </c>
    </row>
    <row r="348">
      <c r="A348" t="str">
        <f t="shared" si="1"/>
        <v>16992</v>
      </c>
      <c r="B348" t="str">
        <f>IFERROR(__xludf.DUMMYFUNCTION("""COMPUTED_VALUE"""),"U16992")</f>
        <v>U16992</v>
      </c>
      <c r="C348" t="str">
        <f>IFERROR(__xludf.DUMMYFUNCTION("""COMPUTED_VALUE"""),"SO")</f>
        <v>SO</v>
      </c>
      <c r="D348" t="str">
        <f>IFERROR(__xludf.DUMMYFUNCTION("""COMPUTED_VALUE"""),"JE417N1")</f>
        <v>JE417N1</v>
      </c>
      <c r="E348" t="str">
        <f>IFERROR(__xludf.DUMMYFUNCTION("""COMPUTED_VALUE"""),"P1100")</f>
        <v>P1100</v>
      </c>
      <c r="F348" t="str">
        <f t="array" ref="F348">if(iserror(index(fish_lab_data!C:C,match(B348,fish_lab_data!C:C,0))),"not dissected","dissected")</f>
        <v>dissected</v>
      </c>
    </row>
    <row r="349">
      <c r="A349" t="str">
        <f t="shared" si="1"/>
        <v>16993</v>
      </c>
      <c r="B349" t="str">
        <f>IFERROR(__xludf.DUMMYFUNCTION("""COMPUTED_VALUE"""),"U16993")</f>
        <v>U16993</v>
      </c>
      <c r="C349" t="str">
        <f>IFERROR(__xludf.DUMMYFUNCTION("""COMPUTED_VALUE"""),"SO")</f>
        <v>SO</v>
      </c>
      <c r="D349" t="str">
        <f>IFERROR(__xludf.DUMMYFUNCTION("""COMPUTED_VALUE"""),"JE417N1")</f>
        <v>JE417N1</v>
      </c>
      <c r="E349" t="str">
        <f>IFERROR(__xludf.DUMMYFUNCTION("""COMPUTED_VALUE"""),"P1100")</f>
        <v>P1100</v>
      </c>
      <c r="F349" t="str">
        <f t="array" ref="F349">if(iserror(index(fish_lab_data!C:C,match(B349,fish_lab_data!C:C,0))),"not dissected","dissected")</f>
        <v>dissected</v>
      </c>
    </row>
    <row r="350">
      <c r="A350" t="str">
        <f t="shared" si="1"/>
        <v>16994</v>
      </c>
      <c r="B350" t="str">
        <f>IFERROR(__xludf.DUMMYFUNCTION("""COMPUTED_VALUE"""),"U16994")</f>
        <v>U16994</v>
      </c>
      <c r="C350" t="str">
        <f>IFERROR(__xludf.DUMMYFUNCTION("""COMPUTED_VALUE"""),"SO")</f>
        <v>SO</v>
      </c>
      <c r="D350" t="str">
        <f>IFERROR(__xludf.DUMMYFUNCTION("""COMPUTED_VALUE"""),"JE417N1")</f>
        <v>JE417N1</v>
      </c>
      <c r="E350" t="str">
        <f>IFERROR(__xludf.DUMMYFUNCTION("""COMPUTED_VALUE"""),"P1100")</f>
        <v>P1100</v>
      </c>
      <c r="F350" t="str">
        <f t="array" ref="F350">if(iserror(index(fish_lab_data!C:C,match(B350,fish_lab_data!C:C,0))),"not dissected","dissected")</f>
        <v>dissected</v>
      </c>
    </row>
    <row r="351">
      <c r="A351" t="str">
        <f t="shared" si="1"/>
        <v>16995</v>
      </c>
      <c r="B351" t="str">
        <f>IFERROR(__xludf.DUMMYFUNCTION("""COMPUTED_VALUE"""),"U16995")</f>
        <v>U16995</v>
      </c>
      <c r="C351" t="str">
        <f>IFERROR(__xludf.DUMMYFUNCTION("""COMPUTED_VALUE"""),"SO")</f>
        <v>SO</v>
      </c>
      <c r="D351" t="str">
        <f>IFERROR(__xludf.DUMMYFUNCTION("""COMPUTED_VALUE"""),"JE417N1")</f>
        <v>JE417N1</v>
      </c>
      <c r="E351" t="str">
        <f>IFERROR(__xludf.DUMMYFUNCTION("""COMPUTED_VALUE"""),"P1100")</f>
        <v>P1100</v>
      </c>
      <c r="F351" t="str">
        <f t="array" ref="F351">if(iserror(index(fish_lab_data!C:C,match(B351,fish_lab_data!C:C,0))),"not dissected","dissected")</f>
        <v>dissected</v>
      </c>
    </row>
    <row r="352">
      <c r="A352" t="str">
        <f t="shared" si="1"/>
        <v>16996</v>
      </c>
      <c r="B352" t="str">
        <f>IFERROR(__xludf.DUMMYFUNCTION("""COMPUTED_VALUE"""),"U16996")</f>
        <v>U16996</v>
      </c>
      <c r="C352" t="str">
        <f>IFERROR(__xludf.DUMMYFUNCTION("""COMPUTED_VALUE"""),"SO")</f>
        <v>SO</v>
      </c>
      <c r="D352" t="str">
        <f>IFERROR(__xludf.DUMMYFUNCTION("""COMPUTED_VALUE"""),"JE417N1")</f>
        <v>JE417N1</v>
      </c>
      <c r="E352" t="str">
        <f>IFERROR(__xludf.DUMMYFUNCTION("""COMPUTED_VALUE"""),"P1100")</f>
        <v>P1100</v>
      </c>
      <c r="F352" t="str">
        <f t="array" ref="F352">if(iserror(index(fish_lab_data!C:C,match(B352,fish_lab_data!C:C,0))),"not dissected","dissected")</f>
        <v>dissected</v>
      </c>
    </row>
    <row r="353">
      <c r="A353" t="str">
        <f t="shared" si="1"/>
        <v>16997</v>
      </c>
      <c r="B353" t="str">
        <f>IFERROR(__xludf.DUMMYFUNCTION("""COMPUTED_VALUE"""),"U16997")</f>
        <v>U16997</v>
      </c>
      <c r="C353" t="str">
        <f>IFERROR(__xludf.DUMMYFUNCTION("""COMPUTED_VALUE"""),"SO")</f>
        <v>SO</v>
      </c>
      <c r="D353" t="str">
        <f>IFERROR(__xludf.DUMMYFUNCTION("""COMPUTED_VALUE"""),"JE417N1")</f>
        <v>JE417N1</v>
      </c>
      <c r="E353" t="str">
        <f>IFERROR(__xludf.DUMMYFUNCTION("""COMPUTED_VALUE"""),"P1100")</f>
        <v>P1100</v>
      </c>
      <c r="F353" t="str">
        <f t="array" ref="F353">if(iserror(index(fish_lab_data!C:C,match(B353,fish_lab_data!C:C,0))),"not dissected","dissected")</f>
        <v>dissected</v>
      </c>
    </row>
    <row r="354">
      <c r="A354" t="str">
        <f t="shared" si="1"/>
        <v>16998</v>
      </c>
      <c r="B354" t="str">
        <f>IFERROR(__xludf.DUMMYFUNCTION("""COMPUTED_VALUE"""),"U16998")</f>
        <v>U16998</v>
      </c>
      <c r="C354" t="str">
        <f>IFERROR(__xludf.DUMMYFUNCTION("""COMPUTED_VALUE"""),"SO")</f>
        <v>SO</v>
      </c>
      <c r="D354" t="str">
        <f>IFERROR(__xludf.DUMMYFUNCTION("""COMPUTED_VALUE"""),"JE417N1")</f>
        <v>JE417N1</v>
      </c>
      <c r="E354" t="str">
        <f>IFERROR(__xludf.DUMMYFUNCTION("""COMPUTED_VALUE"""),"P1100")</f>
        <v>P1100</v>
      </c>
      <c r="F354" t="str">
        <f t="array" ref="F354">if(iserror(index(fish_lab_data!C:C,match(B354,fish_lab_data!C:C,0))),"not dissected","dissected")</f>
        <v>dissected</v>
      </c>
    </row>
    <row r="355">
      <c r="A355" t="str">
        <f t="shared" si="1"/>
        <v>16999</v>
      </c>
      <c r="B355" t="str">
        <f>IFERROR(__xludf.DUMMYFUNCTION("""COMPUTED_VALUE"""),"U16999")</f>
        <v>U16999</v>
      </c>
      <c r="C355" t="str">
        <f>IFERROR(__xludf.DUMMYFUNCTION("""COMPUTED_VALUE"""),"SO")</f>
        <v>SO</v>
      </c>
      <c r="D355" t="str">
        <f>IFERROR(__xludf.DUMMYFUNCTION("""COMPUTED_VALUE"""),"JE417N1")</f>
        <v>JE417N1</v>
      </c>
      <c r="E355" t="str">
        <f>IFERROR(__xludf.DUMMYFUNCTION("""COMPUTED_VALUE"""),"P1100")</f>
        <v>P1100</v>
      </c>
      <c r="F355" t="str">
        <f t="array" ref="F355">if(iserror(index(fish_lab_data!C:C,match(B355,fish_lab_data!C:C,0))),"not dissected","dissected")</f>
        <v>dissected</v>
      </c>
    </row>
    <row r="356">
      <c r="A356" t="str">
        <f t="shared" si="1"/>
        <v>17000</v>
      </c>
      <c r="B356" t="str">
        <f>IFERROR(__xludf.DUMMYFUNCTION("""COMPUTED_VALUE"""),"U17000")</f>
        <v>U17000</v>
      </c>
      <c r="C356" t="str">
        <f>IFERROR(__xludf.DUMMYFUNCTION("""COMPUTED_VALUE"""),"SO")</f>
        <v>SO</v>
      </c>
      <c r="D356" t="str">
        <f>IFERROR(__xludf.DUMMYFUNCTION("""COMPUTED_VALUE"""),"JE417N1")</f>
        <v>JE417N1</v>
      </c>
      <c r="E356" t="str">
        <f>IFERROR(__xludf.DUMMYFUNCTION("""COMPUTED_VALUE"""),"P1100")</f>
        <v>P1100</v>
      </c>
      <c r="F356" t="str">
        <f t="array" ref="F356">if(iserror(index(fish_lab_data!C:C,match(B356,fish_lab_data!C:C,0))),"not dissected","dissected")</f>
        <v>dissected</v>
      </c>
    </row>
    <row r="357">
      <c r="A357" t="str">
        <f t="shared" si="1"/>
        <v>16881</v>
      </c>
      <c r="B357" t="str">
        <f>IFERROR(__xludf.DUMMYFUNCTION("""COMPUTED_VALUE"""),"U16881")</f>
        <v>U16881</v>
      </c>
      <c r="C357" t="str">
        <f>IFERROR(__xludf.DUMMYFUNCTION("""COMPUTED_VALUE"""),"SO")</f>
        <v>SO</v>
      </c>
      <c r="D357" t="str">
        <f>IFERROR(__xludf.DUMMYFUNCTION("""COMPUTED_VALUE"""),"JE418N1")</f>
        <v>JE418N1</v>
      </c>
      <c r="E357" t="str">
        <f>IFERROR(__xludf.DUMMYFUNCTION("""COMPUTED_VALUE"""),"P1089")</f>
        <v>P1089</v>
      </c>
      <c r="F357" t="str">
        <f t="array" ref="F357">if(iserror(index(fish_lab_data!C:C,match(B357,fish_lab_data!C:C,0))),"not dissected","dissected")</f>
        <v>dissected</v>
      </c>
    </row>
    <row r="358">
      <c r="A358" t="str">
        <f t="shared" si="1"/>
        <v>16882</v>
      </c>
      <c r="B358" t="str">
        <f>IFERROR(__xludf.DUMMYFUNCTION("""COMPUTED_VALUE"""),"U16882")</f>
        <v>U16882</v>
      </c>
      <c r="C358" t="str">
        <f>IFERROR(__xludf.DUMMYFUNCTION("""COMPUTED_VALUE"""),"SO")</f>
        <v>SO</v>
      </c>
      <c r="D358" t="str">
        <f>IFERROR(__xludf.DUMMYFUNCTION("""COMPUTED_VALUE"""),"JE418N1")</f>
        <v>JE418N1</v>
      </c>
      <c r="E358" t="str">
        <f>IFERROR(__xludf.DUMMYFUNCTION("""COMPUTED_VALUE"""),"P1089")</f>
        <v>P1089</v>
      </c>
      <c r="F358" t="str">
        <f t="array" ref="F358">if(iserror(index(fish_lab_data!C:C,match(B358,fish_lab_data!C:C,0))),"not dissected","dissected")</f>
        <v>dissected</v>
      </c>
    </row>
    <row r="359">
      <c r="A359" t="str">
        <f t="shared" si="1"/>
        <v>16883</v>
      </c>
      <c r="B359" t="str">
        <f>IFERROR(__xludf.DUMMYFUNCTION("""COMPUTED_VALUE"""),"U16883")</f>
        <v>U16883</v>
      </c>
      <c r="C359" t="str">
        <f>IFERROR(__xludf.DUMMYFUNCTION("""COMPUTED_VALUE"""),"SO")</f>
        <v>SO</v>
      </c>
      <c r="D359" t="str">
        <f>IFERROR(__xludf.DUMMYFUNCTION("""COMPUTED_VALUE"""),"JE418N1")</f>
        <v>JE418N1</v>
      </c>
      <c r="E359" t="str">
        <f>IFERROR(__xludf.DUMMYFUNCTION("""COMPUTED_VALUE"""),"P1089")</f>
        <v>P1089</v>
      </c>
      <c r="F359" t="str">
        <f t="array" ref="F359">if(iserror(index(fish_lab_data!C:C,match(B359,fish_lab_data!C:C,0))),"not dissected","dissected")</f>
        <v>dissected</v>
      </c>
    </row>
    <row r="360">
      <c r="A360" t="str">
        <f t="shared" si="1"/>
        <v>16884</v>
      </c>
      <c r="B360" t="str">
        <f>IFERROR(__xludf.DUMMYFUNCTION("""COMPUTED_VALUE"""),"U16884")</f>
        <v>U16884</v>
      </c>
      <c r="C360" t="str">
        <f>IFERROR(__xludf.DUMMYFUNCTION("""COMPUTED_VALUE"""),"SO")</f>
        <v>SO</v>
      </c>
      <c r="D360" t="str">
        <f>IFERROR(__xludf.DUMMYFUNCTION("""COMPUTED_VALUE"""),"JE418N1")</f>
        <v>JE418N1</v>
      </c>
      <c r="E360" t="str">
        <f>IFERROR(__xludf.DUMMYFUNCTION("""COMPUTED_VALUE"""),"P1089")</f>
        <v>P1089</v>
      </c>
      <c r="F360" t="str">
        <f t="array" ref="F360">if(iserror(index(fish_lab_data!C:C,match(B360,fish_lab_data!C:C,0))),"not dissected","dissected")</f>
        <v>dissected</v>
      </c>
    </row>
    <row r="361">
      <c r="A361" t="str">
        <f t="shared" si="1"/>
        <v>16885</v>
      </c>
      <c r="B361" t="str">
        <f>IFERROR(__xludf.DUMMYFUNCTION("""COMPUTED_VALUE"""),"U16885")</f>
        <v>U16885</v>
      </c>
      <c r="C361" t="str">
        <f>IFERROR(__xludf.DUMMYFUNCTION("""COMPUTED_VALUE"""),"SO")</f>
        <v>SO</v>
      </c>
      <c r="D361" t="str">
        <f>IFERROR(__xludf.DUMMYFUNCTION("""COMPUTED_VALUE"""),"JE418N1")</f>
        <v>JE418N1</v>
      </c>
      <c r="E361" t="str">
        <f>IFERROR(__xludf.DUMMYFUNCTION("""COMPUTED_VALUE"""),"P1089")</f>
        <v>P1089</v>
      </c>
      <c r="F361" t="str">
        <f t="array" ref="F361">if(iserror(index(fish_lab_data!C:C,match(B361,fish_lab_data!C:C,0))),"not dissected","dissected")</f>
        <v>dissected</v>
      </c>
    </row>
    <row r="362">
      <c r="A362" t="str">
        <f t="shared" si="1"/>
        <v>16886</v>
      </c>
      <c r="B362" t="str">
        <f>IFERROR(__xludf.DUMMYFUNCTION("""COMPUTED_VALUE"""),"U16886")</f>
        <v>U16886</v>
      </c>
      <c r="C362" t="str">
        <f>IFERROR(__xludf.DUMMYFUNCTION("""COMPUTED_VALUE"""),"SO")</f>
        <v>SO</v>
      </c>
      <c r="D362" t="str">
        <f>IFERROR(__xludf.DUMMYFUNCTION("""COMPUTED_VALUE"""),"JE418N1")</f>
        <v>JE418N1</v>
      </c>
      <c r="E362" t="str">
        <f>IFERROR(__xludf.DUMMYFUNCTION("""COMPUTED_VALUE"""),"P1089")</f>
        <v>P1089</v>
      </c>
      <c r="F362" t="str">
        <f t="array" ref="F362">if(iserror(index(fish_lab_data!C:C,match(B362,fish_lab_data!C:C,0))),"not dissected","dissected")</f>
        <v>dissected</v>
      </c>
    </row>
    <row r="363">
      <c r="A363" t="str">
        <f t="shared" si="1"/>
        <v>16887</v>
      </c>
      <c r="B363" t="str">
        <f>IFERROR(__xludf.DUMMYFUNCTION("""COMPUTED_VALUE"""),"U16887")</f>
        <v>U16887</v>
      </c>
      <c r="C363" t="str">
        <f>IFERROR(__xludf.DUMMYFUNCTION("""COMPUTED_VALUE"""),"SO")</f>
        <v>SO</v>
      </c>
      <c r="D363" t="str">
        <f>IFERROR(__xludf.DUMMYFUNCTION("""COMPUTED_VALUE"""),"JE418N1")</f>
        <v>JE418N1</v>
      </c>
      <c r="E363" t="str">
        <f>IFERROR(__xludf.DUMMYFUNCTION("""COMPUTED_VALUE"""),"P1089")</f>
        <v>P1089</v>
      </c>
      <c r="F363" t="str">
        <f t="array" ref="F363">if(iserror(index(fish_lab_data!C:C,match(B363,fish_lab_data!C:C,0))),"not dissected","dissected")</f>
        <v>dissected</v>
      </c>
    </row>
    <row r="364">
      <c r="A364" t="str">
        <f t="shared" si="1"/>
        <v>16888</v>
      </c>
      <c r="B364" t="str">
        <f>IFERROR(__xludf.DUMMYFUNCTION("""COMPUTED_VALUE"""),"U16888")</f>
        <v>U16888</v>
      </c>
      <c r="C364" t="str">
        <f>IFERROR(__xludf.DUMMYFUNCTION("""COMPUTED_VALUE"""),"SO")</f>
        <v>SO</v>
      </c>
      <c r="D364" t="str">
        <f>IFERROR(__xludf.DUMMYFUNCTION("""COMPUTED_VALUE"""),"JE418N1")</f>
        <v>JE418N1</v>
      </c>
      <c r="E364" t="str">
        <f>IFERROR(__xludf.DUMMYFUNCTION("""COMPUTED_VALUE"""),"P1089")</f>
        <v>P1089</v>
      </c>
      <c r="F364" t="str">
        <f t="array" ref="F364">if(iserror(index(fish_lab_data!C:C,match(B364,fish_lab_data!C:C,0))),"not dissected","dissected")</f>
        <v>dissected</v>
      </c>
    </row>
    <row r="365">
      <c r="A365" t="str">
        <f t="shared" si="1"/>
        <v>16889</v>
      </c>
      <c r="B365" t="str">
        <f>IFERROR(__xludf.DUMMYFUNCTION("""COMPUTED_VALUE"""),"U16889")</f>
        <v>U16889</v>
      </c>
      <c r="C365" t="str">
        <f>IFERROR(__xludf.DUMMYFUNCTION("""COMPUTED_VALUE"""),"SO")</f>
        <v>SO</v>
      </c>
      <c r="D365" t="str">
        <f>IFERROR(__xludf.DUMMYFUNCTION("""COMPUTED_VALUE"""),"JE418N1")</f>
        <v>JE418N1</v>
      </c>
      <c r="E365" t="str">
        <f>IFERROR(__xludf.DUMMYFUNCTION("""COMPUTED_VALUE"""),"P1089")</f>
        <v>P1089</v>
      </c>
      <c r="F365" t="str">
        <f t="array" ref="F365">if(iserror(index(fish_lab_data!C:C,match(B365,fish_lab_data!C:C,0))),"not dissected","dissected")</f>
        <v>dissected</v>
      </c>
    </row>
    <row r="366">
      <c r="A366" t="str">
        <f t="shared" si="1"/>
        <v>16890</v>
      </c>
      <c r="B366" t="str">
        <f>IFERROR(__xludf.DUMMYFUNCTION("""COMPUTED_VALUE"""),"U16890")</f>
        <v>U16890</v>
      </c>
      <c r="C366" t="str">
        <f>IFERROR(__xludf.DUMMYFUNCTION("""COMPUTED_VALUE"""),"SO")</f>
        <v>SO</v>
      </c>
      <c r="D366" t="str">
        <f>IFERROR(__xludf.DUMMYFUNCTION("""COMPUTED_VALUE"""),"JE418N1")</f>
        <v>JE418N1</v>
      </c>
      <c r="E366" t="str">
        <f>IFERROR(__xludf.DUMMYFUNCTION("""COMPUTED_VALUE"""),"P1089")</f>
        <v>P1089</v>
      </c>
      <c r="F366" t="str">
        <f t="array" ref="F366">if(iserror(index(fish_lab_data!C:C,match(B366,fish_lab_data!C:C,0))),"not dissected","dissected")</f>
        <v>dissected</v>
      </c>
    </row>
    <row r="367">
      <c r="A367" t="str">
        <f t="shared" si="1"/>
        <v>16731</v>
      </c>
      <c r="B367" t="str">
        <f>IFERROR(__xludf.DUMMYFUNCTION("""COMPUTED_VALUE"""),"U16731")</f>
        <v>U16731</v>
      </c>
      <c r="C367" t="str">
        <f>IFERROR(__xludf.DUMMYFUNCTION("""COMPUTED_VALUE"""),"PI")</f>
        <v>PI</v>
      </c>
      <c r="D367" t="str">
        <f>IFERROR(__xludf.DUMMYFUNCTION("""COMPUTED_VALUE"""),"JE418N1")</f>
        <v>JE418N1</v>
      </c>
      <c r="E367" t="str">
        <f>IFERROR(__xludf.DUMMYFUNCTION("""COMPUTED_VALUE"""),"P1074")</f>
        <v>P1074</v>
      </c>
      <c r="F367" t="str">
        <f t="array" ref="F367">if(iserror(index(fish_lab_data!C:C,match(B367,fish_lab_data!C:C,0))),"not dissected","dissected")</f>
        <v>dissected</v>
      </c>
    </row>
    <row r="368">
      <c r="A368" t="str">
        <f t="shared" si="1"/>
        <v>16732</v>
      </c>
      <c r="B368" t="str">
        <f>IFERROR(__xludf.DUMMYFUNCTION("""COMPUTED_VALUE"""),"U16732")</f>
        <v>U16732</v>
      </c>
      <c r="C368" t="str">
        <f>IFERROR(__xludf.DUMMYFUNCTION("""COMPUTED_VALUE"""),"PI")</f>
        <v>PI</v>
      </c>
      <c r="D368" t="str">
        <f>IFERROR(__xludf.DUMMYFUNCTION("""COMPUTED_VALUE"""),"JE418N1")</f>
        <v>JE418N1</v>
      </c>
      <c r="E368" t="str">
        <f>IFERROR(__xludf.DUMMYFUNCTION("""COMPUTED_VALUE"""),"P1074")</f>
        <v>P1074</v>
      </c>
      <c r="F368" t="str">
        <f t="array" ref="F368">if(iserror(index(fish_lab_data!C:C,match(B368,fish_lab_data!C:C,0))),"not dissected","dissected")</f>
        <v>dissected</v>
      </c>
    </row>
    <row r="369">
      <c r="A369" t="str">
        <f t="shared" si="1"/>
        <v>16733</v>
      </c>
      <c r="B369" t="str">
        <f>IFERROR(__xludf.DUMMYFUNCTION("""COMPUTED_VALUE"""),"U16733")</f>
        <v>U16733</v>
      </c>
      <c r="C369" t="str">
        <f>IFERROR(__xludf.DUMMYFUNCTION("""COMPUTED_VALUE"""),"PI")</f>
        <v>PI</v>
      </c>
      <c r="D369" t="str">
        <f>IFERROR(__xludf.DUMMYFUNCTION("""COMPUTED_VALUE"""),"JE418N1")</f>
        <v>JE418N1</v>
      </c>
      <c r="E369" t="str">
        <f>IFERROR(__xludf.DUMMYFUNCTION("""COMPUTED_VALUE"""),"P1074")</f>
        <v>P1074</v>
      </c>
      <c r="F369" t="str">
        <f t="array" ref="F369">if(iserror(index(fish_lab_data!C:C,match(B369,fish_lab_data!C:C,0))),"not dissected","dissected")</f>
        <v>dissected</v>
      </c>
    </row>
    <row r="370">
      <c r="A370" t="str">
        <f t="shared" si="1"/>
        <v>16734</v>
      </c>
      <c r="B370" t="str">
        <f>IFERROR(__xludf.DUMMYFUNCTION("""COMPUTED_VALUE"""),"U16734")</f>
        <v>U16734</v>
      </c>
      <c r="C370" t="str">
        <f>IFERROR(__xludf.DUMMYFUNCTION("""COMPUTED_VALUE"""),"PI")</f>
        <v>PI</v>
      </c>
      <c r="D370" t="str">
        <f>IFERROR(__xludf.DUMMYFUNCTION("""COMPUTED_VALUE"""),"JE418N1")</f>
        <v>JE418N1</v>
      </c>
      <c r="E370" t="str">
        <f>IFERROR(__xludf.DUMMYFUNCTION("""COMPUTED_VALUE"""),"P1074")</f>
        <v>P1074</v>
      </c>
      <c r="F370" t="str">
        <f t="array" ref="F370">if(iserror(index(fish_lab_data!C:C,match(B370,fish_lab_data!C:C,0))),"not dissected","dissected")</f>
        <v>dissected</v>
      </c>
    </row>
    <row r="371">
      <c r="A371" t="str">
        <f t="shared" si="1"/>
        <v>16735</v>
      </c>
      <c r="B371" t="str">
        <f>IFERROR(__xludf.DUMMYFUNCTION("""COMPUTED_VALUE"""),"U16735")</f>
        <v>U16735</v>
      </c>
      <c r="C371" t="str">
        <f>IFERROR(__xludf.DUMMYFUNCTION("""COMPUTED_VALUE"""),"PI")</f>
        <v>PI</v>
      </c>
      <c r="D371" t="str">
        <f>IFERROR(__xludf.DUMMYFUNCTION("""COMPUTED_VALUE"""),"JE418N1")</f>
        <v>JE418N1</v>
      </c>
      <c r="E371" t="str">
        <f>IFERROR(__xludf.DUMMYFUNCTION("""COMPUTED_VALUE"""),"P1074")</f>
        <v>P1074</v>
      </c>
      <c r="F371" t="str">
        <f t="array" ref="F371">if(iserror(index(fish_lab_data!C:C,match(B371,fish_lab_data!C:C,0))),"not dissected","dissected")</f>
        <v>dissected</v>
      </c>
    </row>
    <row r="372">
      <c r="A372" t="str">
        <f t="shared" si="1"/>
        <v>16736</v>
      </c>
      <c r="B372" t="str">
        <f>IFERROR(__xludf.DUMMYFUNCTION("""COMPUTED_VALUE"""),"U16736")</f>
        <v>U16736</v>
      </c>
      <c r="C372" t="str">
        <f>IFERROR(__xludf.DUMMYFUNCTION("""COMPUTED_VALUE"""),"PI")</f>
        <v>PI</v>
      </c>
      <c r="D372" t="str">
        <f>IFERROR(__xludf.DUMMYFUNCTION("""COMPUTED_VALUE"""),"JE418N1")</f>
        <v>JE418N1</v>
      </c>
      <c r="E372" t="str">
        <f>IFERROR(__xludf.DUMMYFUNCTION("""COMPUTED_VALUE"""),"P1074")</f>
        <v>P1074</v>
      </c>
      <c r="F372" t="str">
        <f t="array" ref="F372">if(iserror(index(fish_lab_data!C:C,match(B372,fish_lab_data!C:C,0))),"not dissected","dissected")</f>
        <v>dissected</v>
      </c>
    </row>
    <row r="373">
      <c r="A373" t="str">
        <f t="shared" si="1"/>
        <v>16737</v>
      </c>
      <c r="B373" t="str">
        <f>IFERROR(__xludf.DUMMYFUNCTION("""COMPUTED_VALUE"""),"U16737")</f>
        <v>U16737</v>
      </c>
      <c r="C373" t="str">
        <f>IFERROR(__xludf.DUMMYFUNCTION("""COMPUTED_VALUE"""),"PI")</f>
        <v>PI</v>
      </c>
      <c r="D373" t="str">
        <f>IFERROR(__xludf.DUMMYFUNCTION("""COMPUTED_VALUE"""),"JE418N1")</f>
        <v>JE418N1</v>
      </c>
      <c r="E373" t="str">
        <f>IFERROR(__xludf.DUMMYFUNCTION("""COMPUTED_VALUE"""),"P1074")</f>
        <v>P1074</v>
      </c>
      <c r="F373" t="str">
        <f t="array" ref="F373">if(iserror(index(fish_lab_data!C:C,match(B373,fish_lab_data!C:C,0))),"not dissected","dissected")</f>
        <v>dissected</v>
      </c>
    </row>
    <row r="374">
      <c r="A374" t="str">
        <f t="shared" si="1"/>
        <v>16738</v>
      </c>
      <c r="B374" t="str">
        <f>IFERROR(__xludf.DUMMYFUNCTION("""COMPUTED_VALUE"""),"U16738")</f>
        <v>U16738</v>
      </c>
      <c r="C374" t="str">
        <f>IFERROR(__xludf.DUMMYFUNCTION("""COMPUTED_VALUE"""),"PI")</f>
        <v>PI</v>
      </c>
      <c r="D374" t="str">
        <f>IFERROR(__xludf.DUMMYFUNCTION("""COMPUTED_VALUE"""),"JE418N1")</f>
        <v>JE418N1</v>
      </c>
      <c r="E374" t="str">
        <f>IFERROR(__xludf.DUMMYFUNCTION("""COMPUTED_VALUE"""),"P1074")</f>
        <v>P1074</v>
      </c>
      <c r="F374" t="str">
        <f t="array" ref="F374">if(iserror(index(fish_lab_data!C:C,match(B374,fish_lab_data!C:C,0))),"not dissected","dissected")</f>
        <v>dissected</v>
      </c>
    </row>
    <row r="375">
      <c r="A375" t="str">
        <f t="shared" si="1"/>
        <v>16739</v>
      </c>
      <c r="B375" t="str">
        <f>IFERROR(__xludf.DUMMYFUNCTION("""COMPUTED_VALUE"""),"U16739")</f>
        <v>U16739</v>
      </c>
      <c r="C375" t="str">
        <f>IFERROR(__xludf.DUMMYFUNCTION("""COMPUTED_VALUE"""),"PI")</f>
        <v>PI</v>
      </c>
      <c r="D375" t="str">
        <f>IFERROR(__xludf.DUMMYFUNCTION("""COMPUTED_VALUE"""),"JE418N1")</f>
        <v>JE418N1</v>
      </c>
      <c r="E375" t="str">
        <f>IFERROR(__xludf.DUMMYFUNCTION("""COMPUTED_VALUE"""),"P1074")</f>
        <v>P1074</v>
      </c>
      <c r="F375" t="str">
        <f t="array" ref="F375">if(iserror(index(fish_lab_data!C:C,match(B375,fish_lab_data!C:C,0))),"not dissected","dissected")</f>
        <v>dissected</v>
      </c>
    </row>
    <row r="376">
      <c r="A376" t="str">
        <f t="shared" si="1"/>
        <v>16740</v>
      </c>
      <c r="B376" t="str">
        <f>IFERROR(__xludf.DUMMYFUNCTION("""COMPUTED_VALUE"""),"U16740")</f>
        <v>U16740</v>
      </c>
      <c r="C376" t="str">
        <f>IFERROR(__xludf.DUMMYFUNCTION("""COMPUTED_VALUE"""),"PI")</f>
        <v>PI</v>
      </c>
      <c r="D376" t="str">
        <f>IFERROR(__xludf.DUMMYFUNCTION("""COMPUTED_VALUE"""),"JE418N1")</f>
        <v>JE418N1</v>
      </c>
      <c r="E376" t="str">
        <f>IFERROR(__xludf.DUMMYFUNCTION("""COMPUTED_VALUE"""),"P1074")</f>
        <v>P1074</v>
      </c>
      <c r="F376" t="str">
        <f t="array" ref="F376">if(iserror(index(fish_lab_data!C:C,match(B376,fish_lab_data!C:C,0))),"not dissected","dissected")</f>
        <v>dissected</v>
      </c>
    </row>
    <row r="377">
      <c r="A377" t="str">
        <f t="shared" si="1"/>
        <v>16981</v>
      </c>
      <c r="B377" t="str">
        <f>IFERROR(__xludf.DUMMYFUNCTION("""COMPUTED_VALUE"""),"U16981")</f>
        <v>U16981</v>
      </c>
      <c r="C377" t="str">
        <f>IFERROR(__xludf.DUMMYFUNCTION("""COMPUTED_VALUE"""),"CU")</f>
        <v>CU</v>
      </c>
      <c r="D377" t="str">
        <f>IFERROR(__xludf.DUMMYFUNCTION("""COMPUTED_VALUE"""),"JE418N1")</f>
        <v>JE418N1</v>
      </c>
      <c r="E377" t="str">
        <f>IFERROR(__xludf.DUMMYFUNCTION("""COMPUTED_VALUE"""),"P1099")</f>
        <v>P1099</v>
      </c>
      <c r="F377" t="str">
        <f t="array" ref="F377">if(iserror(index(fish_lab_data!C:C,match(B377,fish_lab_data!C:C,0))),"not dissected","dissected")</f>
        <v>dissected</v>
      </c>
    </row>
    <row r="378">
      <c r="A378" t="str">
        <f t="shared" si="1"/>
        <v>16982</v>
      </c>
      <c r="B378" t="str">
        <f>IFERROR(__xludf.DUMMYFUNCTION("""COMPUTED_VALUE"""),"U16982")</f>
        <v>U16982</v>
      </c>
      <c r="C378" t="str">
        <f>IFERROR(__xludf.DUMMYFUNCTION("""COMPUTED_VALUE"""),"CU")</f>
        <v>CU</v>
      </c>
      <c r="D378" t="str">
        <f>IFERROR(__xludf.DUMMYFUNCTION("""COMPUTED_VALUE"""),"JE418N1")</f>
        <v>JE418N1</v>
      </c>
      <c r="E378" t="str">
        <f>IFERROR(__xludf.DUMMYFUNCTION("""COMPUTED_VALUE"""),"P1099")</f>
        <v>P1099</v>
      </c>
      <c r="F378" t="str">
        <f t="array" ref="F378">if(iserror(index(fish_lab_data!C:C,match(B378,fish_lab_data!C:C,0))),"not dissected","dissected")</f>
        <v>dissected</v>
      </c>
    </row>
    <row r="379">
      <c r="A379" t="str">
        <f t="shared" si="1"/>
        <v>16983</v>
      </c>
      <c r="B379" t="str">
        <f>IFERROR(__xludf.DUMMYFUNCTION("""COMPUTED_VALUE"""),"U16983")</f>
        <v>U16983</v>
      </c>
      <c r="C379" t="str">
        <f>IFERROR(__xludf.DUMMYFUNCTION("""COMPUTED_VALUE"""),"CU")</f>
        <v>CU</v>
      </c>
      <c r="D379" t="str">
        <f>IFERROR(__xludf.DUMMYFUNCTION("""COMPUTED_VALUE"""),"JE418N1")</f>
        <v>JE418N1</v>
      </c>
      <c r="E379" t="str">
        <f>IFERROR(__xludf.DUMMYFUNCTION("""COMPUTED_VALUE"""),"P1099")</f>
        <v>P1099</v>
      </c>
      <c r="F379" t="str">
        <f t="array" ref="F379">if(iserror(index(fish_lab_data!C:C,match(B379,fish_lab_data!C:C,0))),"not dissected","dissected")</f>
        <v>dissected</v>
      </c>
    </row>
    <row r="380">
      <c r="A380" t="str">
        <f t="shared" si="1"/>
        <v>16984</v>
      </c>
      <c r="B380" t="str">
        <f>IFERROR(__xludf.DUMMYFUNCTION("""COMPUTED_VALUE"""),"U16984")</f>
        <v>U16984</v>
      </c>
      <c r="C380" t="str">
        <f>IFERROR(__xludf.DUMMYFUNCTION("""COMPUTED_VALUE"""),"CU")</f>
        <v>CU</v>
      </c>
      <c r="D380" t="str">
        <f>IFERROR(__xludf.DUMMYFUNCTION("""COMPUTED_VALUE"""),"JE418N1")</f>
        <v>JE418N1</v>
      </c>
      <c r="E380" t="str">
        <f>IFERROR(__xludf.DUMMYFUNCTION("""COMPUTED_VALUE"""),"P1099")</f>
        <v>P1099</v>
      </c>
      <c r="F380" t="str">
        <f t="array" ref="F380">if(iserror(index(fish_lab_data!C:C,match(B380,fish_lab_data!C:C,0))),"not dissected","dissected")</f>
        <v>dissected</v>
      </c>
    </row>
    <row r="381">
      <c r="A381" t="str">
        <f t="shared" si="1"/>
        <v>16985</v>
      </c>
      <c r="B381" t="str">
        <f>IFERROR(__xludf.DUMMYFUNCTION("""COMPUTED_VALUE"""),"U16985")</f>
        <v>U16985</v>
      </c>
      <c r="C381" t="str">
        <f>IFERROR(__xludf.DUMMYFUNCTION("""COMPUTED_VALUE"""),"CU")</f>
        <v>CU</v>
      </c>
      <c r="D381" t="str">
        <f>IFERROR(__xludf.DUMMYFUNCTION("""COMPUTED_VALUE"""),"JE418N1")</f>
        <v>JE418N1</v>
      </c>
      <c r="E381" t="str">
        <f>IFERROR(__xludf.DUMMYFUNCTION("""COMPUTED_VALUE"""),"P1099")</f>
        <v>P1099</v>
      </c>
      <c r="F381" t="str">
        <f t="array" ref="F381">if(iserror(index(fish_lab_data!C:C,match(B381,fish_lab_data!C:C,0))),"not dissected","dissected")</f>
        <v>dissected</v>
      </c>
    </row>
    <row r="382">
      <c r="A382" t="str">
        <f t="shared" si="1"/>
        <v>16986</v>
      </c>
      <c r="B382" t="str">
        <f>IFERROR(__xludf.DUMMYFUNCTION("""COMPUTED_VALUE"""),"U16986")</f>
        <v>U16986</v>
      </c>
      <c r="C382" t="str">
        <f>IFERROR(__xludf.DUMMYFUNCTION("""COMPUTED_VALUE"""),"CU")</f>
        <v>CU</v>
      </c>
      <c r="D382" t="str">
        <f>IFERROR(__xludf.DUMMYFUNCTION("""COMPUTED_VALUE"""),"JE418N1")</f>
        <v>JE418N1</v>
      </c>
      <c r="E382" t="str">
        <f>IFERROR(__xludf.DUMMYFUNCTION("""COMPUTED_VALUE"""),"P1099")</f>
        <v>P1099</v>
      </c>
      <c r="F382" t="str">
        <f t="array" ref="F382">if(iserror(index(fish_lab_data!C:C,match(B382,fish_lab_data!C:C,0))),"not dissected","dissected")</f>
        <v>dissected</v>
      </c>
    </row>
    <row r="383">
      <c r="A383" t="str">
        <f t="shared" si="1"/>
        <v>16987</v>
      </c>
      <c r="B383" t="str">
        <f>IFERROR(__xludf.DUMMYFUNCTION("""COMPUTED_VALUE"""),"U16987")</f>
        <v>U16987</v>
      </c>
      <c r="C383" t="str">
        <f>IFERROR(__xludf.DUMMYFUNCTION("""COMPUTED_VALUE"""),"CU")</f>
        <v>CU</v>
      </c>
      <c r="D383" t="str">
        <f>IFERROR(__xludf.DUMMYFUNCTION("""COMPUTED_VALUE"""),"JE418N1")</f>
        <v>JE418N1</v>
      </c>
      <c r="E383" t="str">
        <f>IFERROR(__xludf.DUMMYFUNCTION("""COMPUTED_VALUE"""),"P1099")</f>
        <v>P1099</v>
      </c>
      <c r="F383" t="str">
        <f t="array" ref="F383">if(iserror(index(fish_lab_data!C:C,match(B383,fish_lab_data!C:C,0))),"not dissected","dissected")</f>
        <v>dissected</v>
      </c>
    </row>
    <row r="384">
      <c r="A384" t="str">
        <f t="shared" si="1"/>
        <v>16988</v>
      </c>
      <c r="B384" t="str">
        <f>IFERROR(__xludf.DUMMYFUNCTION("""COMPUTED_VALUE"""),"U16988")</f>
        <v>U16988</v>
      </c>
      <c r="C384" t="str">
        <f>IFERROR(__xludf.DUMMYFUNCTION("""COMPUTED_VALUE"""),"CU")</f>
        <v>CU</v>
      </c>
      <c r="D384" t="str">
        <f>IFERROR(__xludf.DUMMYFUNCTION("""COMPUTED_VALUE"""),"JE418N1")</f>
        <v>JE418N1</v>
      </c>
      <c r="E384" t="str">
        <f>IFERROR(__xludf.DUMMYFUNCTION("""COMPUTED_VALUE"""),"P1099")</f>
        <v>P1099</v>
      </c>
      <c r="F384" t="str">
        <f t="array" ref="F384">if(iserror(index(fish_lab_data!C:C,match(B384,fish_lab_data!C:C,0))),"not dissected","dissected")</f>
        <v>dissected</v>
      </c>
    </row>
    <row r="385">
      <c r="A385" t="str">
        <f t="shared" si="1"/>
        <v>16989</v>
      </c>
      <c r="B385" t="str">
        <f>IFERROR(__xludf.DUMMYFUNCTION("""COMPUTED_VALUE"""),"U16989")</f>
        <v>U16989</v>
      </c>
      <c r="C385" t="str">
        <f>IFERROR(__xludf.DUMMYFUNCTION("""COMPUTED_VALUE"""),"CU")</f>
        <v>CU</v>
      </c>
      <c r="D385" t="str">
        <f>IFERROR(__xludf.DUMMYFUNCTION("""COMPUTED_VALUE"""),"JE418N1")</f>
        <v>JE418N1</v>
      </c>
      <c r="E385" t="str">
        <f>IFERROR(__xludf.DUMMYFUNCTION("""COMPUTED_VALUE"""),"P1099")</f>
        <v>P1099</v>
      </c>
      <c r="F385" t="str">
        <f t="array" ref="F385">if(iserror(index(fish_lab_data!C:C,match(B385,fish_lab_data!C:C,0))),"not dissected","dissected")</f>
        <v>dissected</v>
      </c>
    </row>
    <row r="386">
      <c r="A386" t="str">
        <f t="shared" si="1"/>
        <v>16990</v>
      </c>
      <c r="B386" t="str">
        <f>IFERROR(__xludf.DUMMYFUNCTION("""COMPUTED_VALUE"""),"U16990")</f>
        <v>U16990</v>
      </c>
      <c r="C386" t="str">
        <f>IFERROR(__xludf.DUMMYFUNCTION("""COMPUTED_VALUE"""),"CU")</f>
        <v>CU</v>
      </c>
      <c r="D386" t="str">
        <f>IFERROR(__xludf.DUMMYFUNCTION("""COMPUTED_VALUE"""),"JE418N1")</f>
        <v>JE418N1</v>
      </c>
      <c r="E386" t="str">
        <f>IFERROR(__xludf.DUMMYFUNCTION("""COMPUTED_VALUE"""),"P1099")</f>
        <v>P1099</v>
      </c>
      <c r="F386" t="str">
        <f t="array" ref="F386">if(iserror(index(fish_lab_data!C:C,match(B386,fish_lab_data!C:C,0))),"not dissected","dissected")</f>
        <v>dissected</v>
      </c>
    </row>
    <row r="387">
      <c r="A387" t="str">
        <f t="shared" si="1"/>
        <v>16501</v>
      </c>
      <c r="B387" t="str">
        <f>IFERROR(__xludf.DUMMYFUNCTION("""COMPUTED_VALUE"""),"U16501")</f>
        <v>U16501</v>
      </c>
      <c r="C387" t="str">
        <f>IFERROR(__xludf.DUMMYFUNCTION("""COMPUTED_VALUE"""),"SO")</f>
        <v>SO</v>
      </c>
      <c r="D387" t="str">
        <f>IFERROR(__xludf.DUMMYFUNCTION("""COMPUTED_VALUE"""),"JE418N1")</f>
        <v>JE418N1</v>
      </c>
      <c r="E387" t="str">
        <f>IFERROR(__xludf.DUMMYFUNCTION("""COMPUTED_VALUE"""),"P1051")</f>
        <v>P1051</v>
      </c>
      <c r="F387" t="str">
        <f t="array" ref="F387">if(iserror(index(fish_lab_data!C:C,match(B387,fish_lab_data!C:C,0))),"not dissected","dissected")</f>
        <v>dissected</v>
      </c>
    </row>
    <row r="388">
      <c r="A388" t="str">
        <f t="shared" si="1"/>
        <v>16502</v>
      </c>
      <c r="B388" t="str">
        <f>IFERROR(__xludf.DUMMYFUNCTION("""COMPUTED_VALUE"""),"U16502")</f>
        <v>U16502</v>
      </c>
      <c r="C388" t="str">
        <f>IFERROR(__xludf.DUMMYFUNCTION("""COMPUTED_VALUE"""),"SO")</f>
        <v>SO</v>
      </c>
      <c r="D388" t="str">
        <f>IFERROR(__xludf.DUMMYFUNCTION("""COMPUTED_VALUE"""),"JE418N1")</f>
        <v>JE418N1</v>
      </c>
      <c r="E388" t="str">
        <f>IFERROR(__xludf.DUMMYFUNCTION("""COMPUTED_VALUE"""),"P1051")</f>
        <v>P1051</v>
      </c>
      <c r="F388" t="str">
        <f t="array" ref="F388">if(iserror(index(fish_lab_data!C:C,match(B388,fish_lab_data!C:C,0))),"not dissected","dissected")</f>
        <v>dissected</v>
      </c>
    </row>
    <row r="389">
      <c r="A389" t="str">
        <f t="shared" si="1"/>
        <v>16503</v>
      </c>
      <c r="B389" t="str">
        <f>IFERROR(__xludf.DUMMYFUNCTION("""COMPUTED_VALUE"""),"U16503")</f>
        <v>U16503</v>
      </c>
      <c r="C389" t="str">
        <f>IFERROR(__xludf.DUMMYFUNCTION("""COMPUTED_VALUE"""),"SO")</f>
        <v>SO</v>
      </c>
      <c r="D389" t="str">
        <f>IFERROR(__xludf.DUMMYFUNCTION("""COMPUTED_VALUE"""),"JE418N1")</f>
        <v>JE418N1</v>
      </c>
      <c r="E389" t="str">
        <f>IFERROR(__xludf.DUMMYFUNCTION("""COMPUTED_VALUE"""),"P1051")</f>
        <v>P1051</v>
      </c>
      <c r="F389" t="str">
        <f t="array" ref="F389">if(iserror(index(fish_lab_data!C:C,match(B389,fish_lab_data!C:C,0))),"not dissected","dissected")</f>
        <v>dissected</v>
      </c>
    </row>
    <row r="390">
      <c r="A390" t="str">
        <f t="shared" si="1"/>
        <v>16504</v>
      </c>
      <c r="B390" t="str">
        <f>IFERROR(__xludf.DUMMYFUNCTION("""COMPUTED_VALUE"""),"U16504")</f>
        <v>U16504</v>
      </c>
      <c r="C390" t="str">
        <f>IFERROR(__xludf.DUMMYFUNCTION("""COMPUTED_VALUE"""),"SO")</f>
        <v>SO</v>
      </c>
      <c r="D390" t="str">
        <f>IFERROR(__xludf.DUMMYFUNCTION("""COMPUTED_VALUE"""),"JE418N1")</f>
        <v>JE418N1</v>
      </c>
      <c r="E390" t="str">
        <f>IFERROR(__xludf.DUMMYFUNCTION("""COMPUTED_VALUE"""),"P1051")</f>
        <v>P1051</v>
      </c>
      <c r="F390" t="str">
        <f t="array" ref="F390">if(iserror(index(fish_lab_data!C:C,match(B390,fish_lab_data!C:C,0))),"not dissected","dissected")</f>
        <v>dissected</v>
      </c>
    </row>
    <row r="391">
      <c r="A391" t="str">
        <f t="shared" si="1"/>
        <v>16505</v>
      </c>
      <c r="B391" t="str">
        <f>IFERROR(__xludf.DUMMYFUNCTION("""COMPUTED_VALUE"""),"U16505")</f>
        <v>U16505</v>
      </c>
      <c r="C391" t="str">
        <f>IFERROR(__xludf.DUMMYFUNCTION("""COMPUTED_VALUE"""),"SO")</f>
        <v>SO</v>
      </c>
      <c r="D391" t="str">
        <f>IFERROR(__xludf.DUMMYFUNCTION("""COMPUTED_VALUE"""),"JE418N1")</f>
        <v>JE418N1</v>
      </c>
      <c r="E391" t="str">
        <f>IFERROR(__xludf.DUMMYFUNCTION("""COMPUTED_VALUE"""),"P1051")</f>
        <v>P1051</v>
      </c>
      <c r="F391" t="str">
        <f t="array" ref="F391">if(iserror(index(fish_lab_data!C:C,match(B391,fish_lab_data!C:C,0))),"not dissected","dissected")</f>
        <v>dissected</v>
      </c>
    </row>
    <row r="392">
      <c r="A392" t="str">
        <f t="shared" si="1"/>
        <v>16506</v>
      </c>
      <c r="B392" t="str">
        <f>IFERROR(__xludf.DUMMYFUNCTION("""COMPUTED_VALUE"""),"U16506")</f>
        <v>U16506</v>
      </c>
      <c r="C392" t="str">
        <f>IFERROR(__xludf.DUMMYFUNCTION("""COMPUTED_VALUE"""),"SO")</f>
        <v>SO</v>
      </c>
      <c r="D392" t="str">
        <f>IFERROR(__xludf.DUMMYFUNCTION("""COMPUTED_VALUE"""),"JE418N1")</f>
        <v>JE418N1</v>
      </c>
      <c r="E392" t="str">
        <f>IFERROR(__xludf.DUMMYFUNCTION("""COMPUTED_VALUE"""),"P1051")</f>
        <v>P1051</v>
      </c>
      <c r="F392" t="str">
        <f t="array" ref="F392">if(iserror(index(fish_lab_data!C:C,match(B392,fish_lab_data!C:C,0))),"not dissected","dissected")</f>
        <v>dissected</v>
      </c>
    </row>
    <row r="393">
      <c r="A393" t="str">
        <f t="shared" si="1"/>
        <v>16507</v>
      </c>
      <c r="B393" t="str">
        <f>IFERROR(__xludf.DUMMYFUNCTION("""COMPUTED_VALUE"""),"U16507")</f>
        <v>U16507</v>
      </c>
      <c r="C393" t="str">
        <f>IFERROR(__xludf.DUMMYFUNCTION("""COMPUTED_VALUE"""),"SO")</f>
        <v>SO</v>
      </c>
      <c r="D393" t="str">
        <f>IFERROR(__xludf.DUMMYFUNCTION("""COMPUTED_VALUE"""),"JE418N1")</f>
        <v>JE418N1</v>
      </c>
      <c r="E393" t="str">
        <f>IFERROR(__xludf.DUMMYFUNCTION("""COMPUTED_VALUE"""),"P1051")</f>
        <v>P1051</v>
      </c>
      <c r="F393" t="str">
        <f t="array" ref="F393">if(iserror(index(fish_lab_data!C:C,match(B393,fish_lab_data!C:C,0))),"not dissected","dissected")</f>
        <v>dissected</v>
      </c>
    </row>
    <row r="394">
      <c r="A394" t="str">
        <f t="shared" si="1"/>
        <v>16508</v>
      </c>
      <c r="B394" t="str">
        <f>IFERROR(__xludf.DUMMYFUNCTION("""COMPUTED_VALUE"""),"U16508")</f>
        <v>U16508</v>
      </c>
      <c r="C394" t="str">
        <f>IFERROR(__xludf.DUMMYFUNCTION("""COMPUTED_VALUE"""),"SO")</f>
        <v>SO</v>
      </c>
      <c r="D394" t="str">
        <f>IFERROR(__xludf.DUMMYFUNCTION("""COMPUTED_VALUE"""),"JE418N1")</f>
        <v>JE418N1</v>
      </c>
      <c r="E394" t="str">
        <f>IFERROR(__xludf.DUMMYFUNCTION("""COMPUTED_VALUE"""),"P1051")</f>
        <v>P1051</v>
      </c>
      <c r="F394" t="str">
        <f t="array" ref="F394">if(iserror(index(fish_lab_data!C:C,match(B394,fish_lab_data!C:C,0))),"not dissected","dissected")</f>
        <v>dissected</v>
      </c>
    </row>
    <row r="395">
      <c r="A395" t="str">
        <f t="shared" si="1"/>
        <v>16509</v>
      </c>
      <c r="B395" t="str">
        <f>IFERROR(__xludf.DUMMYFUNCTION("""COMPUTED_VALUE"""),"U16509")</f>
        <v>U16509</v>
      </c>
      <c r="C395" t="str">
        <f>IFERROR(__xludf.DUMMYFUNCTION("""COMPUTED_VALUE"""),"SO")</f>
        <v>SO</v>
      </c>
      <c r="D395" t="str">
        <f>IFERROR(__xludf.DUMMYFUNCTION("""COMPUTED_VALUE"""),"JE418N1")</f>
        <v>JE418N1</v>
      </c>
      <c r="E395" t="str">
        <f>IFERROR(__xludf.DUMMYFUNCTION("""COMPUTED_VALUE"""),"P1051")</f>
        <v>P1051</v>
      </c>
      <c r="F395" t="str">
        <f t="array" ref="F395">if(iserror(index(fish_lab_data!C:C,match(B395,fish_lab_data!C:C,0))),"not dissected","dissected")</f>
        <v>dissected</v>
      </c>
    </row>
    <row r="396">
      <c r="A396" t="str">
        <f t="shared" si="1"/>
        <v>16510</v>
      </c>
      <c r="B396" t="str">
        <f>IFERROR(__xludf.DUMMYFUNCTION("""COMPUTED_VALUE"""),"U16510")</f>
        <v>U16510</v>
      </c>
      <c r="C396" t="str">
        <f>IFERROR(__xludf.DUMMYFUNCTION("""COMPUTED_VALUE"""),"SO")</f>
        <v>SO</v>
      </c>
      <c r="D396" t="str">
        <f>IFERROR(__xludf.DUMMYFUNCTION("""COMPUTED_VALUE"""),"JE418N1")</f>
        <v>JE418N1</v>
      </c>
      <c r="E396" t="str">
        <f>IFERROR(__xludf.DUMMYFUNCTION("""COMPUTED_VALUE"""),"P1051")</f>
        <v>P1051</v>
      </c>
      <c r="F396" t="str">
        <f t="array" ref="F396">if(iserror(index(fish_lab_data!C:C,match(B396,fish_lab_data!C:C,0))),"not dissected","dissected")</f>
        <v>dissected</v>
      </c>
    </row>
    <row r="397">
      <c r="A397" t="str">
        <f t="shared" si="1"/>
        <v>16541</v>
      </c>
      <c r="B397" t="str">
        <f>IFERROR(__xludf.DUMMYFUNCTION("""COMPUTED_VALUE"""),"U16541")</f>
        <v>U16541</v>
      </c>
      <c r="C397" t="str">
        <f>IFERROR(__xludf.DUMMYFUNCTION("""COMPUTED_VALUE"""),"SO")</f>
        <v>SO</v>
      </c>
      <c r="D397" t="str">
        <f>IFERROR(__xludf.DUMMYFUNCTION("""COMPUTED_VALUE"""),"JE418N1")</f>
        <v>JE418N1</v>
      </c>
      <c r="E397" t="str">
        <f>IFERROR(__xludf.DUMMYFUNCTION("""COMPUTED_VALUE"""),"P1055")</f>
        <v>P1055</v>
      </c>
      <c r="F397" t="str">
        <f t="array" ref="F397">if(iserror(index(fish_lab_data!C:C,match(B397,fish_lab_data!C:C,0))),"not dissected","dissected")</f>
        <v>dissected</v>
      </c>
    </row>
    <row r="398">
      <c r="A398" t="str">
        <f t="shared" si="1"/>
        <v>16542</v>
      </c>
      <c r="B398" t="str">
        <f>IFERROR(__xludf.DUMMYFUNCTION("""COMPUTED_VALUE"""),"U16542")</f>
        <v>U16542</v>
      </c>
      <c r="C398" t="str">
        <f>IFERROR(__xludf.DUMMYFUNCTION("""COMPUTED_VALUE"""),"SO")</f>
        <v>SO</v>
      </c>
      <c r="D398" t="str">
        <f>IFERROR(__xludf.DUMMYFUNCTION("""COMPUTED_VALUE"""),"JE418N1")</f>
        <v>JE418N1</v>
      </c>
      <c r="E398" t="str">
        <f>IFERROR(__xludf.DUMMYFUNCTION("""COMPUTED_VALUE"""),"P1055")</f>
        <v>P1055</v>
      </c>
      <c r="F398" t="str">
        <f t="array" ref="F398">if(iserror(index(fish_lab_data!C:C,match(B398,fish_lab_data!C:C,0))),"not dissected","dissected")</f>
        <v>dissected</v>
      </c>
    </row>
    <row r="399">
      <c r="A399" t="str">
        <f t="shared" si="1"/>
        <v>16543</v>
      </c>
      <c r="B399" t="str">
        <f>IFERROR(__xludf.DUMMYFUNCTION("""COMPUTED_VALUE"""),"U16543")</f>
        <v>U16543</v>
      </c>
      <c r="C399" t="str">
        <f>IFERROR(__xludf.DUMMYFUNCTION("""COMPUTED_VALUE"""),"SO")</f>
        <v>SO</v>
      </c>
      <c r="D399" t="str">
        <f>IFERROR(__xludf.DUMMYFUNCTION("""COMPUTED_VALUE"""),"JE418N1")</f>
        <v>JE418N1</v>
      </c>
      <c r="E399" t="str">
        <f>IFERROR(__xludf.DUMMYFUNCTION("""COMPUTED_VALUE"""),"P1055")</f>
        <v>P1055</v>
      </c>
      <c r="F399" t="str">
        <f t="array" ref="F399">if(iserror(index(fish_lab_data!C:C,match(B399,fish_lab_data!C:C,0))),"not dissected","dissected")</f>
        <v>dissected</v>
      </c>
    </row>
    <row r="400">
      <c r="A400" t="str">
        <f t="shared" si="1"/>
        <v>16544</v>
      </c>
      <c r="B400" t="str">
        <f>IFERROR(__xludf.DUMMYFUNCTION("""COMPUTED_VALUE"""),"U16544")</f>
        <v>U16544</v>
      </c>
      <c r="C400" t="str">
        <f>IFERROR(__xludf.DUMMYFUNCTION("""COMPUTED_VALUE"""),"SO")</f>
        <v>SO</v>
      </c>
      <c r="D400" t="str">
        <f>IFERROR(__xludf.DUMMYFUNCTION("""COMPUTED_VALUE"""),"JE418N1")</f>
        <v>JE418N1</v>
      </c>
      <c r="E400" t="str">
        <f>IFERROR(__xludf.DUMMYFUNCTION("""COMPUTED_VALUE"""),"P1055")</f>
        <v>P1055</v>
      </c>
      <c r="F400" t="str">
        <f t="array" ref="F400">if(iserror(index(fish_lab_data!C:C,match(B400,fish_lab_data!C:C,0))),"not dissected","dissected")</f>
        <v>dissected</v>
      </c>
    </row>
    <row r="401">
      <c r="A401" t="str">
        <f t="shared" si="1"/>
        <v>16545</v>
      </c>
      <c r="B401" t="str">
        <f>IFERROR(__xludf.DUMMYFUNCTION("""COMPUTED_VALUE"""),"U16545")</f>
        <v>U16545</v>
      </c>
      <c r="C401" t="str">
        <f>IFERROR(__xludf.DUMMYFUNCTION("""COMPUTED_VALUE"""),"SO")</f>
        <v>SO</v>
      </c>
      <c r="D401" t="str">
        <f>IFERROR(__xludf.DUMMYFUNCTION("""COMPUTED_VALUE"""),"JE418N1")</f>
        <v>JE418N1</v>
      </c>
      <c r="E401" t="str">
        <f>IFERROR(__xludf.DUMMYFUNCTION("""COMPUTED_VALUE"""),"P1055")</f>
        <v>P1055</v>
      </c>
      <c r="F401" t="str">
        <f t="array" ref="F401">if(iserror(index(fish_lab_data!C:C,match(B401,fish_lab_data!C:C,0))),"not dissected","dissected")</f>
        <v>dissected</v>
      </c>
    </row>
    <row r="402">
      <c r="A402" t="str">
        <f t="shared" si="1"/>
        <v>16546</v>
      </c>
      <c r="B402" t="str">
        <f>IFERROR(__xludf.DUMMYFUNCTION("""COMPUTED_VALUE"""),"U16546")</f>
        <v>U16546</v>
      </c>
      <c r="C402" t="str">
        <f>IFERROR(__xludf.DUMMYFUNCTION("""COMPUTED_VALUE"""),"SO")</f>
        <v>SO</v>
      </c>
      <c r="D402" t="str">
        <f>IFERROR(__xludf.DUMMYFUNCTION("""COMPUTED_VALUE"""),"JE418N1")</f>
        <v>JE418N1</v>
      </c>
      <c r="E402" t="str">
        <f>IFERROR(__xludf.DUMMYFUNCTION("""COMPUTED_VALUE"""),"P1055")</f>
        <v>P1055</v>
      </c>
      <c r="F402" t="str">
        <f t="array" ref="F402">if(iserror(index(fish_lab_data!C:C,match(B402,fish_lab_data!C:C,0))),"not dissected","dissected")</f>
        <v>dissected</v>
      </c>
    </row>
    <row r="403">
      <c r="A403" t="str">
        <f t="shared" si="1"/>
        <v>16547</v>
      </c>
      <c r="B403" t="str">
        <f>IFERROR(__xludf.DUMMYFUNCTION("""COMPUTED_VALUE"""),"U16547")</f>
        <v>U16547</v>
      </c>
      <c r="C403" t="str">
        <f>IFERROR(__xludf.DUMMYFUNCTION("""COMPUTED_VALUE"""),"SO")</f>
        <v>SO</v>
      </c>
      <c r="D403" t="str">
        <f>IFERROR(__xludf.DUMMYFUNCTION("""COMPUTED_VALUE"""),"JE418N1")</f>
        <v>JE418N1</v>
      </c>
      <c r="E403" t="str">
        <f>IFERROR(__xludf.DUMMYFUNCTION("""COMPUTED_VALUE"""),"P1055")</f>
        <v>P1055</v>
      </c>
      <c r="F403" t="str">
        <f t="array" ref="F403">if(iserror(index(fish_lab_data!C:C,match(B403,fish_lab_data!C:C,0))),"not dissected","dissected")</f>
        <v>dissected</v>
      </c>
    </row>
    <row r="404">
      <c r="A404" t="str">
        <f t="shared" si="1"/>
        <v>16548</v>
      </c>
      <c r="B404" t="str">
        <f>IFERROR(__xludf.DUMMYFUNCTION("""COMPUTED_VALUE"""),"U16548")</f>
        <v>U16548</v>
      </c>
      <c r="C404" t="str">
        <f>IFERROR(__xludf.DUMMYFUNCTION("""COMPUTED_VALUE"""),"SO")</f>
        <v>SO</v>
      </c>
      <c r="D404" t="str">
        <f>IFERROR(__xludf.DUMMYFUNCTION("""COMPUTED_VALUE"""),"JE418N1")</f>
        <v>JE418N1</v>
      </c>
      <c r="E404" t="str">
        <f>IFERROR(__xludf.DUMMYFUNCTION("""COMPUTED_VALUE"""),"P1055")</f>
        <v>P1055</v>
      </c>
      <c r="F404" t="str">
        <f t="array" ref="F404">if(iserror(index(fish_lab_data!C:C,match(B404,fish_lab_data!C:C,0))),"not dissected","dissected")</f>
        <v>dissected</v>
      </c>
    </row>
    <row r="405">
      <c r="A405" t="str">
        <f t="shared" si="1"/>
        <v>16549</v>
      </c>
      <c r="B405" t="str">
        <f>IFERROR(__xludf.DUMMYFUNCTION("""COMPUTED_VALUE"""),"U16549")</f>
        <v>U16549</v>
      </c>
      <c r="C405" t="str">
        <f>IFERROR(__xludf.DUMMYFUNCTION("""COMPUTED_VALUE"""),"SO")</f>
        <v>SO</v>
      </c>
      <c r="D405" t="str">
        <f>IFERROR(__xludf.DUMMYFUNCTION("""COMPUTED_VALUE"""),"JE418N1")</f>
        <v>JE418N1</v>
      </c>
      <c r="E405" t="str">
        <f>IFERROR(__xludf.DUMMYFUNCTION("""COMPUTED_VALUE"""),"P1055")</f>
        <v>P1055</v>
      </c>
      <c r="F405" t="str">
        <f t="array" ref="F405">if(iserror(index(fish_lab_data!C:C,match(B405,fish_lab_data!C:C,0))),"not dissected","dissected")</f>
        <v>dissected</v>
      </c>
    </row>
    <row r="406">
      <c r="A406" t="str">
        <f t="shared" si="1"/>
        <v>16550</v>
      </c>
      <c r="B406" t="str">
        <f>IFERROR(__xludf.DUMMYFUNCTION("""COMPUTED_VALUE"""),"U16550")</f>
        <v>U16550</v>
      </c>
      <c r="C406" t="str">
        <f>IFERROR(__xludf.DUMMYFUNCTION("""COMPUTED_VALUE"""),"SO")</f>
        <v>SO</v>
      </c>
      <c r="D406" t="str">
        <f>IFERROR(__xludf.DUMMYFUNCTION("""COMPUTED_VALUE"""),"JE418N1")</f>
        <v>JE418N1</v>
      </c>
      <c r="E406" t="str">
        <f>IFERROR(__xludf.DUMMYFUNCTION("""COMPUTED_VALUE"""),"P1055")</f>
        <v>P1055</v>
      </c>
      <c r="F406" t="str">
        <f t="array" ref="F406">if(iserror(index(fish_lab_data!C:C,match(B406,fish_lab_data!C:C,0))),"not dissected","dissected")</f>
        <v>dissected</v>
      </c>
    </row>
    <row r="407">
      <c r="A407" t="str">
        <f t="shared" si="1"/>
        <v>16721</v>
      </c>
      <c r="B407" t="str">
        <f>IFERROR(__xludf.DUMMYFUNCTION("""COMPUTED_VALUE"""),"U16721")</f>
        <v>U16721</v>
      </c>
      <c r="C407" t="str">
        <f>IFERROR(__xludf.DUMMYFUNCTION("""COMPUTED_VALUE"""),"CO")</f>
        <v>CO</v>
      </c>
      <c r="D407" t="str">
        <f>IFERROR(__xludf.DUMMYFUNCTION("""COMPUTED_VALUE"""),"JE418N1")</f>
        <v>JE418N1</v>
      </c>
      <c r="E407" t="str">
        <f>IFERROR(__xludf.DUMMYFUNCTION("""COMPUTED_VALUE"""),"P1073")</f>
        <v>P1073</v>
      </c>
      <c r="F407" t="str">
        <f t="array" ref="F407">if(iserror(index(fish_lab_data!C:C,match(B407,fish_lab_data!C:C,0))),"not dissected","dissected")</f>
        <v>dissected</v>
      </c>
    </row>
    <row r="408">
      <c r="A408" t="str">
        <f t="shared" si="1"/>
        <v>16591</v>
      </c>
      <c r="B408" t="str">
        <f>IFERROR(__xludf.DUMMYFUNCTION("""COMPUTED_VALUE"""),"U16591")</f>
        <v>U16591</v>
      </c>
      <c r="C408" t="str">
        <f>IFERROR(__xludf.DUMMYFUNCTION("""COMPUTED_VALUE"""),"HE")</f>
        <v>HE</v>
      </c>
      <c r="D408" t="str">
        <f>IFERROR(__xludf.DUMMYFUNCTION("""COMPUTED_VALUE"""),"JE418N1")</f>
        <v>JE418N1</v>
      </c>
      <c r="E408" t="str">
        <f>IFERROR(__xludf.DUMMYFUNCTION("""COMPUTED_VALUE"""),"P1060")</f>
        <v>P1060</v>
      </c>
      <c r="F408" t="str">
        <f t="array" ref="F408">if(iserror(index(fish_lab_data!C:C,match(B408,fish_lab_data!C:C,0))),"not dissected","dissected")</f>
        <v>dissected</v>
      </c>
    </row>
    <row r="409">
      <c r="A409" t="str">
        <f t="shared" si="1"/>
        <v>16592</v>
      </c>
      <c r="B409" t="str">
        <f>IFERROR(__xludf.DUMMYFUNCTION("""COMPUTED_VALUE"""),"U16592")</f>
        <v>U16592</v>
      </c>
      <c r="C409" t="str">
        <f>IFERROR(__xludf.DUMMYFUNCTION("""COMPUTED_VALUE"""),"HE")</f>
        <v>HE</v>
      </c>
      <c r="D409" t="str">
        <f>IFERROR(__xludf.DUMMYFUNCTION("""COMPUTED_VALUE"""),"JE418N1")</f>
        <v>JE418N1</v>
      </c>
      <c r="E409" t="str">
        <f>IFERROR(__xludf.DUMMYFUNCTION("""COMPUTED_VALUE"""),"P1060")</f>
        <v>P1060</v>
      </c>
      <c r="F409" t="str">
        <f t="array" ref="F409">if(iserror(index(fish_lab_data!C:C,match(B409,fish_lab_data!C:C,0))),"not dissected","dissected")</f>
        <v>dissected</v>
      </c>
    </row>
    <row r="410">
      <c r="A410" t="str">
        <f t="shared" si="1"/>
        <v>16593</v>
      </c>
      <c r="B410" t="str">
        <f>IFERROR(__xludf.DUMMYFUNCTION("""COMPUTED_VALUE"""),"U16593")</f>
        <v>U16593</v>
      </c>
      <c r="C410" t="str">
        <f>IFERROR(__xludf.DUMMYFUNCTION("""COMPUTED_VALUE"""),"HE")</f>
        <v>HE</v>
      </c>
      <c r="D410" t="str">
        <f>IFERROR(__xludf.DUMMYFUNCTION("""COMPUTED_VALUE"""),"JE418N1")</f>
        <v>JE418N1</v>
      </c>
      <c r="E410" t="str">
        <f>IFERROR(__xludf.DUMMYFUNCTION("""COMPUTED_VALUE"""),"P1060")</f>
        <v>P1060</v>
      </c>
      <c r="F410" t="str">
        <f t="array" ref="F410">if(iserror(index(fish_lab_data!C:C,match(B410,fish_lab_data!C:C,0))),"not dissected","dissected")</f>
        <v>dissected</v>
      </c>
    </row>
    <row r="411">
      <c r="A411" t="str">
        <f t="shared" si="1"/>
        <v>16594</v>
      </c>
      <c r="B411" t="str">
        <f>IFERROR(__xludf.DUMMYFUNCTION("""COMPUTED_VALUE"""),"U16594")</f>
        <v>U16594</v>
      </c>
      <c r="C411" t="str">
        <f>IFERROR(__xludf.DUMMYFUNCTION("""COMPUTED_VALUE"""),"HE")</f>
        <v>HE</v>
      </c>
      <c r="D411" t="str">
        <f>IFERROR(__xludf.DUMMYFUNCTION("""COMPUTED_VALUE"""),"JE418N1")</f>
        <v>JE418N1</v>
      </c>
      <c r="E411" t="str">
        <f>IFERROR(__xludf.DUMMYFUNCTION("""COMPUTED_VALUE"""),"P1060")</f>
        <v>P1060</v>
      </c>
      <c r="F411" t="str">
        <f t="array" ref="F411">if(iserror(index(fish_lab_data!C:C,match(B411,fish_lab_data!C:C,0))),"not dissected","dissected")</f>
        <v>dissected</v>
      </c>
    </row>
    <row r="412">
      <c r="A412" t="str">
        <f t="shared" si="1"/>
        <v>16595</v>
      </c>
      <c r="B412" t="str">
        <f>IFERROR(__xludf.DUMMYFUNCTION("""COMPUTED_VALUE"""),"U16595")</f>
        <v>U16595</v>
      </c>
      <c r="C412" t="str">
        <f>IFERROR(__xludf.DUMMYFUNCTION("""COMPUTED_VALUE"""),"HE")</f>
        <v>HE</v>
      </c>
      <c r="D412" t="str">
        <f>IFERROR(__xludf.DUMMYFUNCTION("""COMPUTED_VALUE"""),"JE418N1")</f>
        <v>JE418N1</v>
      </c>
      <c r="E412" t="str">
        <f>IFERROR(__xludf.DUMMYFUNCTION("""COMPUTED_VALUE"""),"P1060")</f>
        <v>P1060</v>
      </c>
      <c r="F412" t="str">
        <f t="array" ref="F412">if(iserror(index(fish_lab_data!C:C,match(B412,fish_lab_data!C:C,0))),"not dissected","dissected")</f>
        <v>dissected</v>
      </c>
    </row>
    <row r="413">
      <c r="A413" t="str">
        <f t="shared" si="1"/>
        <v>16291</v>
      </c>
      <c r="B413" t="str">
        <f>IFERROR(__xludf.DUMMYFUNCTION("""COMPUTED_VALUE"""),"U16291")</f>
        <v>U16291</v>
      </c>
      <c r="C413" t="str">
        <f>IFERROR(__xludf.DUMMYFUNCTION("""COMPUTED_VALUE"""),"SO")</f>
        <v>SO</v>
      </c>
      <c r="D413" t="str">
        <f>IFERROR(__xludf.DUMMYFUNCTION("""COMPUTED_VALUE"""),"DE520N3")</f>
        <v>DE520N3</v>
      </c>
      <c r="E413" t="str">
        <f>IFERROR(__xludf.DUMMYFUNCTION("""COMPUTED_VALUE"""),"P1030")</f>
        <v>P1030</v>
      </c>
      <c r="F413" t="str">
        <f t="array" ref="F413">if(iserror(index(fish_lab_data!C:C,match(B413,fish_lab_data!C:C,0))),"not dissected","dissected")</f>
        <v>dissected</v>
      </c>
    </row>
    <row r="414">
      <c r="A414" t="str">
        <f t="shared" si="1"/>
        <v>16292</v>
      </c>
      <c r="B414" t="str">
        <f>IFERROR(__xludf.DUMMYFUNCTION("""COMPUTED_VALUE"""),"U16292")</f>
        <v>U16292</v>
      </c>
      <c r="C414" t="str">
        <f>IFERROR(__xludf.DUMMYFUNCTION("""COMPUTED_VALUE"""),"SO")</f>
        <v>SO</v>
      </c>
      <c r="D414" t="str">
        <f>IFERROR(__xludf.DUMMYFUNCTION("""COMPUTED_VALUE"""),"DE520N3")</f>
        <v>DE520N3</v>
      </c>
      <c r="E414" t="str">
        <f>IFERROR(__xludf.DUMMYFUNCTION("""COMPUTED_VALUE"""),"P1030")</f>
        <v>P1030</v>
      </c>
      <c r="F414" t="str">
        <f t="array" ref="F414">if(iserror(index(fish_lab_data!C:C,match(B414,fish_lab_data!C:C,0))),"not dissected","dissected")</f>
        <v>dissected</v>
      </c>
    </row>
    <row r="415">
      <c r="A415" t="str">
        <f t="shared" si="1"/>
        <v>16293</v>
      </c>
      <c r="B415" t="str">
        <f>IFERROR(__xludf.DUMMYFUNCTION("""COMPUTED_VALUE"""),"U16293")</f>
        <v>U16293</v>
      </c>
      <c r="C415" t="str">
        <f>IFERROR(__xludf.DUMMYFUNCTION("""COMPUTED_VALUE"""),"SO")</f>
        <v>SO</v>
      </c>
      <c r="D415" t="str">
        <f>IFERROR(__xludf.DUMMYFUNCTION("""COMPUTED_VALUE"""),"DE520N3")</f>
        <v>DE520N3</v>
      </c>
      <c r="E415" t="str">
        <f>IFERROR(__xludf.DUMMYFUNCTION("""COMPUTED_VALUE"""),"P1030")</f>
        <v>P1030</v>
      </c>
      <c r="F415" t="str">
        <f t="array" ref="F415">if(iserror(index(fish_lab_data!C:C,match(B415,fish_lab_data!C:C,0))),"not dissected","dissected")</f>
        <v>dissected</v>
      </c>
    </row>
    <row r="416">
      <c r="A416" t="str">
        <f t="shared" si="1"/>
        <v>16294</v>
      </c>
      <c r="B416" t="str">
        <f>IFERROR(__xludf.DUMMYFUNCTION("""COMPUTED_VALUE"""),"U16294")</f>
        <v>U16294</v>
      </c>
      <c r="C416" t="str">
        <f>IFERROR(__xludf.DUMMYFUNCTION("""COMPUTED_VALUE"""),"SO")</f>
        <v>SO</v>
      </c>
      <c r="D416" t="str">
        <f>IFERROR(__xludf.DUMMYFUNCTION("""COMPUTED_VALUE"""),"DE520N3")</f>
        <v>DE520N3</v>
      </c>
      <c r="E416" t="str">
        <f>IFERROR(__xludf.DUMMYFUNCTION("""COMPUTED_VALUE"""),"P1030")</f>
        <v>P1030</v>
      </c>
      <c r="F416" t="str">
        <f t="array" ref="F416">if(iserror(index(fish_lab_data!C:C,match(B416,fish_lab_data!C:C,0))),"not dissected","dissected")</f>
        <v>dissected</v>
      </c>
    </row>
    <row r="417">
      <c r="A417" t="str">
        <f t="shared" si="1"/>
        <v>16295</v>
      </c>
      <c r="B417" t="str">
        <f>IFERROR(__xludf.DUMMYFUNCTION("""COMPUTED_VALUE"""),"U16295")</f>
        <v>U16295</v>
      </c>
      <c r="C417" t="str">
        <f>IFERROR(__xludf.DUMMYFUNCTION("""COMPUTED_VALUE"""),"SO")</f>
        <v>SO</v>
      </c>
      <c r="D417" t="str">
        <f>IFERROR(__xludf.DUMMYFUNCTION("""COMPUTED_VALUE"""),"DE520N3")</f>
        <v>DE520N3</v>
      </c>
      <c r="E417" t="str">
        <f>IFERROR(__xludf.DUMMYFUNCTION("""COMPUTED_VALUE"""),"P1030")</f>
        <v>P1030</v>
      </c>
      <c r="F417" t="str">
        <f t="array" ref="F417">if(iserror(index(fish_lab_data!C:C,match(B417,fish_lab_data!C:C,0))),"not dissected","dissected")</f>
        <v>dissected</v>
      </c>
    </row>
    <row r="418">
      <c r="A418" t="str">
        <f t="shared" si="1"/>
        <v>16296</v>
      </c>
      <c r="B418" t="str">
        <f>IFERROR(__xludf.DUMMYFUNCTION("""COMPUTED_VALUE"""),"U16296")</f>
        <v>U16296</v>
      </c>
      <c r="C418" t="str">
        <f>IFERROR(__xludf.DUMMYFUNCTION("""COMPUTED_VALUE"""),"SO")</f>
        <v>SO</v>
      </c>
      <c r="D418" t="str">
        <f>IFERROR(__xludf.DUMMYFUNCTION("""COMPUTED_VALUE"""),"DE520N3")</f>
        <v>DE520N3</v>
      </c>
      <c r="E418" t="str">
        <f>IFERROR(__xludf.DUMMYFUNCTION("""COMPUTED_VALUE"""),"P1030")</f>
        <v>P1030</v>
      </c>
      <c r="F418" t="str">
        <f t="array" ref="F418">if(iserror(index(fish_lab_data!C:C,match(B418,fish_lab_data!C:C,0))),"not dissected","dissected")</f>
        <v>dissected</v>
      </c>
    </row>
    <row r="419">
      <c r="A419" t="str">
        <f t="shared" si="1"/>
        <v>16297</v>
      </c>
      <c r="B419" t="str">
        <f>IFERROR(__xludf.DUMMYFUNCTION("""COMPUTED_VALUE"""),"U16297")</f>
        <v>U16297</v>
      </c>
      <c r="C419" t="str">
        <f>IFERROR(__xludf.DUMMYFUNCTION("""COMPUTED_VALUE"""),"SO")</f>
        <v>SO</v>
      </c>
      <c r="D419" t="str">
        <f>IFERROR(__xludf.DUMMYFUNCTION("""COMPUTED_VALUE"""),"DE520N3")</f>
        <v>DE520N3</v>
      </c>
      <c r="E419" t="str">
        <f>IFERROR(__xludf.DUMMYFUNCTION("""COMPUTED_VALUE"""),"P1030")</f>
        <v>P1030</v>
      </c>
      <c r="F419" t="str">
        <f t="array" ref="F419">if(iserror(index(fish_lab_data!C:C,match(B419,fish_lab_data!C:C,0))),"not dissected","dissected")</f>
        <v>dissected</v>
      </c>
    </row>
    <row r="420">
      <c r="A420" t="str">
        <f t="shared" si="1"/>
        <v>16298</v>
      </c>
      <c r="B420" t="str">
        <f>IFERROR(__xludf.DUMMYFUNCTION("""COMPUTED_VALUE"""),"U16298")</f>
        <v>U16298</v>
      </c>
      <c r="C420" t="str">
        <f>IFERROR(__xludf.DUMMYFUNCTION("""COMPUTED_VALUE"""),"SO")</f>
        <v>SO</v>
      </c>
      <c r="D420" t="str">
        <f>IFERROR(__xludf.DUMMYFUNCTION("""COMPUTED_VALUE"""),"DE520N3")</f>
        <v>DE520N3</v>
      </c>
      <c r="E420" t="str">
        <f>IFERROR(__xludf.DUMMYFUNCTION("""COMPUTED_VALUE"""),"P1030")</f>
        <v>P1030</v>
      </c>
      <c r="F420" t="str">
        <f t="array" ref="F420">if(iserror(index(fish_lab_data!C:C,match(B420,fish_lab_data!C:C,0))),"not dissected","dissected")</f>
        <v>dissected</v>
      </c>
    </row>
    <row r="421">
      <c r="A421" t="str">
        <f t="shared" si="1"/>
        <v>16031</v>
      </c>
      <c r="B421" t="str">
        <f>IFERROR(__xludf.DUMMYFUNCTION("""COMPUTED_VALUE"""),"U16031")</f>
        <v>U16031</v>
      </c>
      <c r="C421" t="str">
        <f>IFERROR(__xludf.DUMMYFUNCTION("""COMPUTED_VALUE"""),"PI")</f>
        <v>PI</v>
      </c>
      <c r="D421" t="str">
        <f>IFERROR(__xludf.DUMMYFUNCTION("""COMPUTED_VALUE"""),"DE520N3")</f>
        <v>DE520N3</v>
      </c>
      <c r="E421" t="str">
        <f>IFERROR(__xludf.DUMMYFUNCTION("""COMPUTED_VALUE"""),"P1004")</f>
        <v>P1004</v>
      </c>
      <c r="F421" t="str">
        <f t="array" ref="F421">if(iserror(index(fish_lab_data!C:C,match(B421,fish_lab_data!C:C,0))),"not dissected","dissected")</f>
        <v>dissected</v>
      </c>
    </row>
    <row r="422">
      <c r="A422" t="str">
        <f t="shared" si="1"/>
        <v>16032</v>
      </c>
      <c r="B422" t="str">
        <f>IFERROR(__xludf.DUMMYFUNCTION("""COMPUTED_VALUE"""),"U16032")</f>
        <v>U16032</v>
      </c>
      <c r="C422" t="str">
        <f>IFERROR(__xludf.DUMMYFUNCTION("""COMPUTED_VALUE"""),"PI")</f>
        <v>PI</v>
      </c>
      <c r="D422" t="str">
        <f>IFERROR(__xludf.DUMMYFUNCTION("""COMPUTED_VALUE"""),"DE520N3")</f>
        <v>DE520N3</v>
      </c>
      <c r="E422" t="str">
        <f>IFERROR(__xludf.DUMMYFUNCTION("""COMPUTED_VALUE"""),"P1004")</f>
        <v>P1004</v>
      </c>
      <c r="F422" t="str">
        <f t="array" ref="F422">if(iserror(index(fish_lab_data!C:C,match(B422,fish_lab_data!C:C,0))),"not dissected","dissected")</f>
        <v>dissected</v>
      </c>
    </row>
    <row r="423">
      <c r="A423" t="str">
        <f t="shared" si="1"/>
        <v>16033</v>
      </c>
      <c r="B423" t="str">
        <f>IFERROR(__xludf.DUMMYFUNCTION("""COMPUTED_VALUE"""),"U16033")</f>
        <v>U16033</v>
      </c>
      <c r="C423" t="str">
        <f>IFERROR(__xludf.DUMMYFUNCTION("""COMPUTED_VALUE"""),"PI")</f>
        <v>PI</v>
      </c>
      <c r="D423" t="str">
        <f>IFERROR(__xludf.DUMMYFUNCTION("""COMPUTED_VALUE"""),"DE520N3")</f>
        <v>DE520N3</v>
      </c>
      <c r="E423" t="str">
        <f>IFERROR(__xludf.DUMMYFUNCTION("""COMPUTED_VALUE"""),"P1004")</f>
        <v>P1004</v>
      </c>
      <c r="F423" t="str">
        <f t="array" ref="F423">if(iserror(index(fish_lab_data!C:C,match(B423,fish_lab_data!C:C,0))),"not dissected","dissected")</f>
        <v>dissected</v>
      </c>
    </row>
    <row r="424">
      <c r="A424" t="str">
        <f t="shared" si="1"/>
        <v>16034</v>
      </c>
      <c r="B424" t="str">
        <f>IFERROR(__xludf.DUMMYFUNCTION("""COMPUTED_VALUE"""),"U16034")</f>
        <v>U16034</v>
      </c>
      <c r="C424" t="str">
        <f>IFERROR(__xludf.DUMMYFUNCTION("""COMPUTED_VALUE"""),"PI")</f>
        <v>PI</v>
      </c>
      <c r="D424" t="str">
        <f>IFERROR(__xludf.DUMMYFUNCTION("""COMPUTED_VALUE"""),"DE520N3")</f>
        <v>DE520N3</v>
      </c>
      <c r="E424" t="str">
        <f>IFERROR(__xludf.DUMMYFUNCTION("""COMPUTED_VALUE"""),"P1004")</f>
        <v>P1004</v>
      </c>
      <c r="F424" t="str">
        <f t="array" ref="F424">if(iserror(index(fish_lab_data!C:C,match(B424,fish_lab_data!C:C,0))),"not dissected","dissected")</f>
        <v>dissected</v>
      </c>
    </row>
    <row r="425">
      <c r="A425" t="str">
        <f t="shared" si="1"/>
        <v>16035</v>
      </c>
      <c r="B425" t="str">
        <f>IFERROR(__xludf.DUMMYFUNCTION("""COMPUTED_VALUE"""),"U16035")</f>
        <v>U16035</v>
      </c>
      <c r="C425" t="str">
        <f>IFERROR(__xludf.DUMMYFUNCTION("""COMPUTED_VALUE"""),"PI")</f>
        <v>PI</v>
      </c>
      <c r="D425" t="str">
        <f>IFERROR(__xludf.DUMMYFUNCTION("""COMPUTED_VALUE"""),"DE520N3")</f>
        <v>DE520N3</v>
      </c>
      <c r="E425" t="str">
        <f>IFERROR(__xludf.DUMMYFUNCTION("""COMPUTED_VALUE"""),"P1004")</f>
        <v>P1004</v>
      </c>
      <c r="F425" t="str">
        <f t="array" ref="F425">if(iserror(index(fish_lab_data!C:C,match(B425,fish_lab_data!C:C,0))),"not dissected","dissected")</f>
        <v>dissected</v>
      </c>
    </row>
    <row r="426">
      <c r="A426" t="str">
        <f t="shared" si="1"/>
        <v>16036</v>
      </c>
      <c r="B426" t="str">
        <f>IFERROR(__xludf.DUMMYFUNCTION("""COMPUTED_VALUE"""),"U16036")</f>
        <v>U16036</v>
      </c>
      <c r="C426" t="str">
        <f>IFERROR(__xludf.DUMMYFUNCTION("""COMPUTED_VALUE"""),"PI")</f>
        <v>PI</v>
      </c>
      <c r="D426" t="str">
        <f>IFERROR(__xludf.DUMMYFUNCTION("""COMPUTED_VALUE"""),"DE520N3")</f>
        <v>DE520N3</v>
      </c>
      <c r="E426" t="str">
        <f>IFERROR(__xludf.DUMMYFUNCTION("""COMPUTED_VALUE"""),"P1004")</f>
        <v>P1004</v>
      </c>
      <c r="F426" t="str">
        <f t="array" ref="F426">if(iserror(index(fish_lab_data!C:C,match(B426,fish_lab_data!C:C,0))),"not dissected","dissected")</f>
        <v>dissected</v>
      </c>
    </row>
    <row r="427">
      <c r="A427" t="str">
        <f t="shared" si="1"/>
        <v>16037</v>
      </c>
      <c r="B427" t="str">
        <f>IFERROR(__xludf.DUMMYFUNCTION("""COMPUTED_VALUE"""),"U16037")</f>
        <v>U16037</v>
      </c>
      <c r="C427" t="str">
        <f>IFERROR(__xludf.DUMMYFUNCTION("""COMPUTED_VALUE"""),"PI")</f>
        <v>PI</v>
      </c>
      <c r="D427" t="str">
        <f>IFERROR(__xludf.DUMMYFUNCTION("""COMPUTED_VALUE"""),"DE520N3")</f>
        <v>DE520N3</v>
      </c>
      <c r="E427" t="str">
        <f>IFERROR(__xludf.DUMMYFUNCTION("""COMPUTED_VALUE"""),"P1004")</f>
        <v>P1004</v>
      </c>
      <c r="F427" t="str">
        <f t="array" ref="F427">if(iserror(index(fish_lab_data!C:C,match(B427,fish_lab_data!C:C,0))),"not dissected","dissected")</f>
        <v>dissected</v>
      </c>
    </row>
    <row r="428">
      <c r="A428" t="str">
        <f t="shared" si="1"/>
        <v>16038</v>
      </c>
      <c r="B428" t="str">
        <f>IFERROR(__xludf.DUMMYFUNCTION("""COMPUTED_VALUE"""),"U16038")</f>
        <v>U16038</v>
      </c>
      <c r="C428" t="str">
        <f>IFERROR(__xludf.DUMMYFUNCTION("""COMPUTED_VALUE"""),"PI")</f>
        <v>PI</v>
      </c>
      <c r="D428" t="str">
        <f>IFERROR(__xludf.DUMMYFUNCTION("""COMPUTED_VALUE"""),"DE520N3")</f>
        <v>DE520N3</v>
      </c>
      <c r="E428" t="str">
        <f>IFERROR(__xludf.DUMMYFUNCTION("""COMPUTED_VALUE"""),"P1004")</f>
        <v>P1004</v>
      </c>
      <c r="F428" t="str">
        <f t="array" ref="F428">if(iserror(index(fish_lab_data!C:C,match(B428,fish_lab_data!C:C,0))),"not dissected","dissected")</f>
        <v>dissected</v>
      </c>
    </row>
    <row r="429">
      <c r="A429" t="str">
        <f t="shared" si="1"/>
        <v>16039</v>
      </c>
      <c r="B429" t="str">
        <f>IFERROR(__xludf.DUMMYFUNCTION("""COMPUTED_VALUE"""),"U16039")</f>
        <v>U16039</v>
      </c>
      <c r="C429" t="str">
        <f>IFERROR(__xludf.DUMMYFUNCTION("""COMPUTED_VALUE"""),"PI")</f>
        <v>PI</v>
      </c>
      <c r="D429" t="str">
        <f>IFERROR(__xludf.DUMMYFUNCTION("""COMPUTED_VALUE"""),"DE520N3")</f>
        <v>DE520N3</v>
      </c>
      <c r="E429" t="str">
        <f>IFERROR(__xludf.DUMMYFUNCTION("""COMPUTED_VALUE"""),"P1004")</f>
        <v>P1004</v>
      </c>
      <c r="F429" t="str">
        <f t="array" ref="F429">if(iserror(index(fish_lab_data!C:C,match(B429,fish_lab_data!C:C,0))),"not dissected","dissected")</f>
        <v>dissected</v>
      </c>
    </row>
    <row r="430">
      <c r="A430" t="str">
        <f t="shared" si="1"/>
        <v>16040</v>
      </c>
      <c r="B430" t="str">
        <f>IFERROR(__xludf.DUMMYFUNCTION("""COMPUTED_VALUE"""),"U16040")</f>
        <v>U16040</v>
      </c>
      <c r="C430" t="str">
        <f>IFERROR(__xludf.DUMMYFUNCTION("""COMPUTED_VALUE"""),"PI")</f>
        <v>PI</v>
      </c>
      <c r="D430" t="str">
        <f>IFERROR(__xludf.DUMMYFUNCTION("""COMPUTED_VALUE"""),"DE520N3")</f>
        <v>DE520N3</v>
      </c>
      <c r="E430" t="str">
        <f>IFERROR(__xludf.DUMMYFUNCTION("""COMPUTED_VALUE"""),"P1004")</f>
        <v>P1004</v>
      </c>
      <c r="F430" t="str">
        <f t="array" ref="F430">if(iserror(index(fish_lab_data!C:C,match(B430,fish_lab_data!C:C,0))),"not dissected","dissected")</f>
        <v>dissected</v>
      </c>
    </row>
    <row r="431">
      <c r="A431" t="str">
        <f t="shared" si="1"/>
        <v>16261</v>
      </c>
      <c r="B431" t="str">
        <f>IFERROR(__xludf.DUMMYFUNCTION("""COMPUTED_VALUE"""),"U16261")</f>
        <v>U16261</v>
      </c>
      <c r="C431" t="str">
        <f>IFERROR(__xludf.DUMMYFUNCTION("""COMPUTED_VALUE"""),"CU")</f>
        <v>CU</v>
      </c>
      <c r="D431" t="str">
        <f>IFERROR(__xludf.DUMMYFUNCTION("""COMPUTED_VALUE"""),"DE520N3")</f>
        <v>DE520N3</v>
      </c>
      <c r="E431" t="str">
        <f>IFERROR(__xludf.DUMMYFUNCTION("""COMPUTED_VALUE"""),"P1027")</f>
        <v>P1027</v>
      </c>
      <c r="F431" t="str">
        <f t="array" ref="F431">if(iserror(index(fish_lab_data!C:C,match(B431,fish_lab_data!C:C,0))),"not dissected","dissected")</f>
        <v>dissected</v>
      </c>
    </row>
    <row r="432">
      <c r="A432" t="str">
        <f t="shared" si="1"/>
        <v>16262</v>
      </c>
      <c r="B432" t="str">
        <f>IFERROR(__xludf.DUMMYFUNCTION("""COMPUTED_VALUE"""),"U16262")</f>
        <v>U16262</v>
      </c>
      <c r="C432" t="str">
        <f>IFERROR(__xludf.DUMMYFUNCTION("""COMPUTED_VALUE"""),"CU")</f>
        <v>CU</v>
      </c>
      <c r="D432" t="str">
        <f>IFERROR(__xludf.DUMMYFUNCTION("""COMPUTED_VALUE"""),"DE520N3")</f>
        <v>DE520N3</v>
      </c>
      <c r="E432" t="str">
        <f>IFERROR(__xludf.DUMMYFUNCTION("""COMPUTED_VALUE"""),"P1027")</f>
        <v>P1027</v>
      </c>
      <c r="F432" t="str">
        <f t="array" ref="F432">if(iserror(index(fish_lab_data!C:C,match(B432,fish_lab_data!C:C,0))),"not dissected","dissected")</f>
        <v>dissected</v>
      </c>
    </row>
    <row r="433">
      <c r="A433" t="str">
        <f t="shared" si="1"/>
        <v>16263</v>
      </c>
      <c r="B433" t="str">
        <f>IFERROR(__xludf.DUMMYFUNCTION("""COMPUTED_VALUE"""),"U16263")</f>
        <v>U16263</v>
      </c>
      <c r="C433" t="str">
        <f>IFERROR(__xludf.DUMMYFUNCTION("""COMPUTED_VALUE"""),"CU")</f>
        <v>CU</v>
      </c>
      <c r="D433" t="str">
        <f>IFERROR(__xludf.DUMMYFUNCTION("""COMPUTED_VALUE"""),"DE520N3")</f>
        <v>DE520N3</v>
      </c>
      <c r="E433" t="str">
        <f>IFERROR(__xludf.DUMMYFUNCTION("""COMPUTED_VALUE"""),"P1027")</f>
        <v>P1027</v>
      </c>
      <c r="F433" t="str">
        <f t="array" ref="F433">if(iserror(index(fish_lab_data!C:C,match(B433,fish_lab_data!C:C,0))),"not dissected","dissected")</f>
        <v>dissected</v>
      </c>
    </row>
    <row r="434">
      <c r="A434" t="str">
        <f t="shared" si="1"/>
        <v>16264</v>
      </c>
      <c r="B434" t="str">
        <f>IFERROR(__xludf.DUMMYFUNCTION("""COMPUTED_VALUE"""),"U16264")</f>
        <v>U16264</v>
      </c>
      <c r="C434" t="str">
        <f>IFERROR(__xludf.DUMMYFUNCTION("""COMPUTED_VALUE"""),"CU")</f>
        <v>CU</v>
      </c>
      <c r="D434" t="str">
        <f>IFERROR(__xludf.DUMMYFUNCTION("""COMPUTED_VALUE"""),"DE520N3")</f>
        <v>DE520N3</v>
      </c>
      <c r="E434" t="str">
        <f>IFERROR(__xludf.DUMMYFUNCTION("""COMPUTED_VALUE"""),"P1027")</f>
        <v>P1027</v>
      </c>
      <c r="F434" t="str">
        <f t="array" ref="F434">if(iserror(index(fish_lab_data!C:C,match(B434,fish_lab_data!C:C,0))),"not dissected","dissected")</f>
        <v>dissected</v>
      </c>
    </row>
    <row r="435">
      <c r="A435" t="str">
        <f t="shared" si="1"/>
        <v>16265</v>
      </c>
      <c r="B435" t="str">
        <f>IFERROR(__xludf.DUMMYFUNCTION("""COMPUTED_VALUE"""),"U16265")</f>
        <v>U16265</v>
      </c>
      <c r="C435" t="str">
        <f>IFERROR(__xludf.DUMMYFUNCTION("""COMPUTED_VALUE"""),"CU")</f>
        <v>CU</v>
      </c>
      <c r="D435" t="str">
        <f>IFERROR(__xludf.DUMMYFUNCTION("""COMPUTED_VALUE"""),"DE520N3")</f>
        <v>DE520N3</v>
      </c>
      <c r="E435" t="str">
        <f>IFERROR(__xludf.DUMMYFUNCTION("""COMPUTED_VALUE"""),"P1027")</f>
        <v>P1027</v>
      </c>
      <c r="F435" t="str">
        <f t="array" ref="F435">if(iserror(index(fish_lab_data!C:C,match(B435,fish_lab_data!C:C,0))),"not dissected","dissected")</f>
        <v>dissected</v>
      </c>
    </row>
    <row r="436">
      <c r="A436" t="str">
        <f t="shared" si="1"/>
        <v>16266</v>
      </c>
      <c r="B436" t="str">
        <f>IFERROR(__xludf.DUMMYFUNCTION("""COMPUTED_VALUE"""),"U16266")</f>
        <v>U16266</v>
      </c>
      <c r="C436" t="str">
        <f>IFERROR(__xludf.DUMMYFUNCTION("""COMPUTED_VALUE"""),"CU")</f>
        <v>CU</v>
      </c>
      <c r="D436" t="str">
        <f>IFERROR(__xludf.DUMMYFUNCTION("""COMPUTED_VALUE"""),"DE520N3")</f>
        <v>DE520N3</v>
      </c>
      <c r="E436" t="str">
        <f>IFERROR(__xludf.DUMMYFUNCTION("""COMPUTED_VALUE"""),"P1027")</f>
        <v>P1027</v>
      </c>
      <c r="F436" t="str">
        <f t="array" ref="F436">if(iserror(index(fish_lab_data!C:C,match(B436,fish_lab_data!C:C,0))),"not dissected","dissected")</f>
        <v>dissected</v>
      </c>
    </row>
    <row r="437">
      <c r="A437" t="str">
        <f t="shared" si="1"/>
        <v>16267</v>
      </c>
      <c r="B437" t="str">
        <f>IFERROR(__xludf.DUMMYFUNCTION("""COMPUTED_VALUE"""),"U16267")</f>
        <v>U16267</v>
      </c>
      <c r="C437" t="str">
        <f>IFERROR(__xludf.DUMMYFUNCTION("""COMPUTED_VALUE"""),"CU")</f>
        <v>CU</v>
      </c>
      <c r="D437" t="str">
        <f>IFERROR(__xludf.DUMMYFUNCTION("""COMPUTED_VALUE"""),"DE520N3")</f>
        <v>DE520N3</v>
      </c>
      <c r="E437" t="str">
        <f>IFERROR(__xludf.DUMMYFUNCTION("""COMPUTED_VALUE"""),"P1027")</f>
        <v>P1027</v>
      </c>
      <c r="F437" t="str">
        <f t="array" ref="F437">if(iserror(index(fish_lab_data!C:C,match(B437,fish_lab_data!C:C,0))),"not dissected","dissected")</f>
        <v>dissected</v>
      </c>
    </row>
    <row r="438">
      <c r="A438" t="str">
        <f t="shared" si="1"/>
        <v>16268</v>
      </c>
      <c r="B438" t="str">
        <f>IFERROR(__xludf.DUMMYFUNCTION("""COMPUTED_VALUE"""),"U16268")</f>
        <v>U16268</v>
      </c>
      <c r="C438" t="str">
        <f>IFERROR(__xludf.DUMMYFUNCTION("""COMPUTED_VALUE"""),"CU")</f>
        <v>CU</v>
      </c>
      <c r="D438" t="str">
        <f>IFERROR(__xludf.DUMMYFUNCTION("""COMPUTED_VALUE"""),"DE520N3")</f>
        <v>DE520N3</v>
      </c>
      <c r="E438" t="str">
        <f>IFERROR(__xludf.DUMMYFUNCTION("""COMPUTED_VALUE"""),"P1027")</f>
        <v>P1027</v>
      </c>
      <c r="F438" t="str">
        <f t="array" ref="F438">if(iserror(index(fish_lab_data!C:C,match(B438,fish_lab_data!C:C,0))),"not dissected","dissected")</f>
        <v>dissected</v>
      </c>
    </row>
    <row r="439">
      <c r="A439" t="str">
        <f t="shared" si="1"/>
        <v>16269</v>
      </c>
      <c r="B439" t="str">
        <f>IFERROR(__xludf.DUMMYFUNCTION("""COMPUTED_VALUE"""),"U16269")</f>
        <v>U16269</v>
      </c>
      <c r="C439" t="str">
        <f>IFERROR(__xludf.DUMMYFUNCTION("""COMPUTED_VALUE"""),"CU")</f>
        <v>CU</v>
      </c>
      <c r="D439" t="str">
        <f>IFERROR(__xludf.DUMMYFUNCTION("""COMPUTED_VALUE"""),"DE520N3")</f>
        <v>DE520N3</v>
      </c>
      <c r="E439" t="str">
        <f>IFERROR(__xludf.DUMMYFUNCTION("""COMPUTED_VALUE"""),"P1027")</f>
        <v>P1027</v>
      </c>
      <c r="F439" t="str">
        <f t="array" ref="F439">if(iserror(index(fish_lab_data!C:C,match(B439,fish_lab_data!C:C,0))),"not dissected","dissected")</f>
        <v>dissected</v>
      </c>
    </row>
    <row r="440">
      <c r="A440" t="str">
        <f t="shared" si="1"/>
        <v>16270</v>
      </c>
      <c r="B440" t="str">
        <f>IFERROR(__xludf.DUMMYFUNCTION("""COMPUTED_VALUE"""),"U16270")</f>
        <v>U16270</v>
      </c>
      <c r="C440" t="str">
        <f>IFERROR(__xludf.DUMMYFUNCTION("""COMPUTED_VALUE"""),"CU")</f>
        <v>CU</v>
      </c>
      <c r="D440" t="str">
        <f>IFERROR(__xludf.DUMMYFUNCTION("""COMPUTED_VALUE"""),"DE520N3")</f>
        <v>DE520N3</v>
      </c>
      <c r="E440" t="str">
        <f>IFERROR(__xludf.DUMMYFUNCTION("""COMPUTED_VALUE"""),"P1027")</f>
        <v>P1027</v>
      </c>
      <c r="F440" t="str">
        <f t="array" ref="F440">if(iserror(index(fish_lab_data!C:C,match(B440,fish_lab_data!C:C,0))),"not dissected","dissected")</f>
        <v>dissected</v>
      </c>
    </row>
    <row r="441">
      <c r="A441" t="str">
        <f t="shared" si="1"/>
        <v>17091</v>
      </c>
      <c r="B441" t="str">
        <f>IFERROR(__xludf.DUMMYFUNCTION("""COMPUTED_VALUE"""),"U17091")</f>
        <v>U17091</v>
      </c>
      <c r="C441" t="str">
        <f>IFERROR(__xludf.DUMMYFUNCTION("""COMPUTED_VALUE"""),"SO")</f>
        <v>SO</v>
      </c>
      <c r="D441" t="str">
        <f>IFERROR(__xludf.DUMMYFUNCTION("""COMPUTED_VALUE"""),"DE521N1")</f>
        <v>DE521N1</v>
      </c>
      <c r="E441" t="str">
        <f>IFERROR(__xludf.DUMMYFUNCTION("""COMPUTED_VALUE"""),"P1110")</f>
        <v>P1110</v>
      </c>
      <c r="F441" t="str">
        <f t="array" ref="F441">if(iserror(index(fish_lab_data!C:C,match(B441,fish_lab_data!C:C,0))),"not dissected","dissected")</f>
        <v>dissected</v>
      </c>
    </row>
    <row r="442">
      <c r="A442" t="str">
        <f t="shared" si="1"/>
        <v>17092</v>
      </c>
      <c r="B442" t="str">
        <f>IFERROR(__xludf.DUMMYFUNCTION("""COMPUTED_VALUE"""),"U17092")</f>
        <v>U17092</v>
      </c>
      <c r="C442" t="str">
        <f>IFERROR(__xludf.DUMMYFUNCTION("""COMPUTED_VALUE"""),"SO")</f>
        <v>SO</v>
      </c>
      <c r="D442" t="str">
        <f>IFERROR(__xludf.DUMMYFUNCTION("""COMPUTED_VALUE"""),"DE521N1")</f>
        <v>DE521N1</v>
      </c>
      <c r="E442" t="str">
        <f>IFERROR(__xludf.DUMMYFUNCTION("""COMPUTED_VALUE"""),"P1110")</f>
        <v>P1110</v>
      </c>
      <c r="F442" t="str">
        <f t="array" ref="F442">if(iserror(index(fish_lab_data!C:C,match(B442,fish_lab_data!C:C,0))),"not dissected","dissected")</f>
        <v>dissected</v>
      </c>
    </row>
    <row r="443">
      <c r="A443" t="str">
        <f t="shared" si="1"/>
        <v>17093</v>
      </c>
      <c r="B443" t="str">
        <f>IFERROR(__xludf.DUMMYFUNCTION("""COMPUTED_VALUE"""),"U17093")</f>
        <v>U17093</v>
      </c>
      <c r="C443" t="str">
        <f>IFERROR(__xludf.DUMMYFUNCTION("""COMPUTED_VALUE"""),"SO")</f>
        <v>SO</v>
      </c>
      <c r="D443" t="str">
        <f>IFERROR(__xludf.DUMMYFUNCTION("""COMPUTED_VALUE"""),"DE521N1")</f>
        <v>DE521N1</v>
      </c>
      <c r="E443" t="str">
        <f>IFERROR(__xludf.DUMMYFUNCTION("""COMPUTED_VALUE"""),"P1110")</f>
        <v>P1110</v>
      </c>
      <c r="F443" t="str">
        <f t="array" ref="F443">if(iserror(index(fish_lab_data!C:C,match(B443,fish_lab_data!C:C,0))),"not dissected","dissected")</f>
        <v>dissected</v>
      </c>
    </row>
    <row r="444">
      <c r="A444" t="str">
        <f t="shared" si="1"/>
        <v>17094</v>
      </c>
      <c r="B444" t="str">
        <f>IFERROR(__xludf.DUMMYFUNCTION("""COMPUTED_VALUE"""),"U17094")</f>
        <v>U17094</v>
      </c>
      <c r="C444" t="str">
        <f>IFERROR(__xludf.DUMMYFUNCTION("""COMPUTED_VALUE"""),"SO")</f>
        <v>SO</v>
      </c>
      <c r="D444" t="str">
        <f>IFERROR(__xludf.DUMMYFUNCTION("""COMPUTED_VALUE"""),"DE521N1")</f>
        <v>DE521N1</v>
      </c>
      <c r="E444" t="str">
        <f>IFERROR(__xludf.DUMMYFUNCTION("""COMPUTED_VALUE"""),"P1110")</f>
        <v>P1110</v>
      </c>
      <c r="F444" t="str">
        <f t="array" ref="F444">if(iserror(index(fish_lab_data!C:C,match(B444,fish_lab_data!C:C,0))),"not dissected","dissected")</f>
        <v>dissected</v>
      </c>
    </row>
    <row r="445">
      <c r="A445" t="str">
        <f t="shared" si="1"/>
        <v>17095</v>
      </c>
      <c r="B445" t="str">
        <f>IFERROR(__xludf.DUMMYFUNCTION("""COMPUTED_VALUE"""),"U17095")</f>
        <v>U17095</v>
      </c>
      <c r="C445" t="str">
        <f>IFERROR(__xludf.DUMMYFUNCTION("""COMPUTED_VALUE"""),"SO")</f>
        <v>SO</v>
      </c>
      <c r="D445" t="str">
        <f>IFERROR(__xludf.DUMMYFUNCTION("""COMPUTED_VALUE"""),"DE521N1")</f>
        <v>DE521N1</v>
      </c>
      <c r="E445" t="str">
        <f>IFERROR(__xludf.DUMMYFUNCTION("""COMPUTED_VALUE"""),"P1110")</f>
        <v>P1110</v>
      </c>
      <c r="F445" t="str">
        <f t="array" ref="F445">if(iserror(index(fish_lab_data!C:C,match(B445,fish_lab_data!C:C,0))),"not dissected","dissected")</f>
        <v>dissected</v>
      </c>
    </row>
    <row r="446">
      <c r="A446" t="str">
        <f t="shared" si="1"/>
        <v>17096</v>
      </c>
      <c r="B446" t="str">
        <f>IFERROR(__xludf.DUMMYFUNCTION("""COMPUTED_VALUE"""),"U17096")</f>
        <v>U17096</v>
      </c>
      <c r="C446" t="str">
        <f>IFERROR(__xludf.DUMMYFUNCTION("""COMPUTED_VALUE"""),"SO")</f>
        <v>SO</v>
      </c>
      <c r="D446" t="str">
        <f>IFERROR(__xludf.DUMMYFUNCTION("""COMPUTED_VALUE"""),"DE521N1")</f>
        <v>DE521N1</v>
      </c>
      <c r="E446" t="str">
        <f>IFERROR(__xludf.DUMMYFUNCTION("""COMPUTED_VALUE"""),"P1110")</f>
        <v>P1110</v>
      </c>
      <c r="F446" t="str">
        <f t="array" ref="F446">if(iserror(index(fish_lab_data!C:C,match(B446,fish_lab_data!C:C,0))),"not dissected","dissected")</f>
        <v>dissected</v>
      </c>
    </row>
    <row r="447">
      <c r="A447" t="str">
        <f t="shared" si="1"/>
        <v>17097</v>
      </c>
      <c r="B447" t="str">
        <f>IFERROR(__xludf.DUMMYFUNCTION("""COMPUTED_VALUE"""),"U17097")</f>
        <v>U17097</v>
      </c>
      <c r="C447" t="str">
        <f>IFERROR(__xludf.DUMMYFUNCTION("""COMPUTED_VALUE"""),"SO")</f>
        <v>SO</v>
      </c>
      <c r="D447" t="str">
        <f>IFERROR(__xludf.DUMMYFUNCTION("""COMPUTED_VALUE"""),"DE521N1")</f>
        <v>DE521N1</v>
      </c>
      <c r="E447" t="str">
        <f>IFERROR(__xludf.DUMMYFUNCTION("""COMPUTED_VALUE"""),"P1110")</f>
        <v>P1110</v>
      </c>
      <c r="F447" t="str">
        <f t="array" ref="F447">if(iserror(index(fish_lab_data!C:C,match(B447,fish_lab_data!C:C,0))),"not dissected","dissected")</f>
        <v>dissected</v>
      </c>
    </row>
    <row r="448">
      <c r="A448" t="str">
        <f t="shared" si="1"/>
        <v>17098</v>
      </c>
      <c r="B448" t="str">
        <f>IFERROR(__xludf.DUMMYFUNCTION("""COMPUTED_VALUE"""),"U17098")</f>
        <v>U17098</v>
      </c>
      <c r="C448" t="str">
        <f>IFERROR(__xludf.DUMMYFUNCTION("""COMPUTED_VALUE"""),"SO")</f>
        <v>SO</v>
      </c>
      <c r="D448" t="str">
        <f>IFERROR(__xludf.DUMMYFUNCTION("""COMPUTED_VALUE"""),"DE521N1")</f>
        <v>DE521N1</v>
      </c>
      <c r="E448" t="str">
        <f>IFERROR(__xludf.DUMMYFUNCTION("""COMPUTED_VALUE"""),"P1110")</f>
        <v>P1110</v>
      </c>
      <c r="F448" t="str">
        <f t="array" ref="F448">if(iserror(index(fish_lab_data!C:C,match(B448,fish_lab_data!C:C,0))),"not dissected","dissected")</f>
        <v>dissected</v>
      </c>
    </row>
    <row r="449">
      <c r="A449" t="str">
        <f t="shared" si="1"/>
        <v>17099</v>
      </c>
      <c r="B449" t="str">
        <f>IFERROR(__xludf.DUMMYFUNCTION("""COMPUTED_VALUE"""),"U17099")</f>
        <v>U17099</v>
      </c>
      <c r="C449" t="str">
        <f>IFERROR(__xludf.DUMMYFUNCTION("""COMPUTED_VALUE"""),"SO")</f>
        <v>SO</v>
      </c>
      <c r="D449" t="str">
        <f>IFERROR(__xludf.DUMMYFUNCTION("""COMPUTED_VALUE"""),"DE521N1")</f>
        <v>DE521N1</v>
      </c>
      <c r="E449" t="str">
        <f>IFERROR(__xludf.DUMMYFUNCTION("""COMPUTED_VALUE"""),"P1110")</f>
        <v>P1110</v>
      </c>
      <c r="F449" t="str">
        <f t="array" ref="F449">if(iserror(index(fish_lab_data!C:C,match(B449,fish_lab_data!C:C,0))),"not dissected","dissected")</f>
        <v>dissected</v>
      </c>
    </row>
    <row r="450">
      <c r="A450" t="str">
        <f t="shared" si="1"/>
        <v>17100</v>
      </c>
      <c r="B450" t="str">
        <f>IFERROR(__xludf.DUMMYFUNCTION("""COMPUTED_VALUE"""),"U17100")</f>
        <v>U17100</v>
      </c>
      <c r="C450" t="str">
        <f>IFERROR(__xludf.DUMMYFUNCTION("""COMPUTED_VALUE"""),"SO")</f>
        <v>SO</v>
      </c>
      <c r="D450" t="str">
        <f>IFERROR(__xludf.DUMMYFUNCTION("""COMPUTED_VALUE"""),"DE521N1")</f>
        <v>DE521N1</v>
      </c>
      <c r="E450" t="str">
        <f>IFERROR(__xludf.DUMMYFUNCTION("""COMPUTED_VALUE"""),"P1110")</f>
        <v>P1110</v>
      </c>
      <c r="F450" t="str">
        <f t="array" ref="F450">if(iserror(index(fish_lab_data!C:C,match(B450,fish_lab_data!C:C,0))),"not dissected","dissected")</f>
        <v>dissected</v>
      </c>
    </row>
    <row r="451">
      <c r="A451" t="str">
        <f t="shared" si="1"/>
        <v>17101</v>
      </c>
      <c r="B451" t="str">
        <f>IFERROR(__xludf.DUMMYFUNCTION("""COMPUTED_VALUE"""),"U17101")</f>
        <v>U17101</v>
      </c>
      <c r="C451" t="str">
        <f>IFERROR(__xludf.DUMMYFUNCTION("""COMPUTED_VALUE"""),"PI")</f>
        <v>PI</v>
      </c>
      <c r="D451" t="str">
        <f>IFERROR(__xludf.DUMMYFUNCTION("""COMPUTED_VALUE"""),"DE521N1")</f>
        <v>DE521N1</v>
      </c>
      <c r="E451" t="str">
        <f>IFERROR(__xludf.DUMMYFUNCTION("""COMPUTED_VALUE"""),"P1111")</f>
        <v>P1111</v>
      </c>
      <c r="F451" t="str">
        <f t="array" ref="F451">if(iserror(index(fish_lab_data!C:C,match(B451,fish_lab_data!C:C,0))),"not dissected","dissected")</f>
        <v>dissected</v>
      </c>
    </row>
    <row r="452">
      <c r="A452" t="str">
        <f t="shared" si="1"/>
        <v>17102</v>
      </c>
      <c r="B452" t="str">
        <f>IFERROR(__xludf.DUMMYFUNCTION("""COMPUTED_VALUE"""),"U17102")</f>
        <v>U17102</v>
      </c>
      <c r="C452" t="str">
        <f>IFERROR(__xludf.DUMMYFUNCTION("""COMPUTED_VALUE"""),"PI")</f>
        <v>PI</v>
      </c>
      <c r="D452" t="str">
        <f>IFERROR(__xludf.DUMMYFUNCTION("""COMPUTED_VALUE"""),"DE521N1")</f>
        <v>DE521N1</v>
      </c>
      <c r="E452" t="str">
        <f>IFERROR(__xludf.DUMMYFUNCTION("""COMPUTED_VALUE"""),"P1111")</f>
        <v>P1111</v>
      </c>
      <c r="F452" t="str">
        <f t="array" ref="F452">if(iserror(index(fish_lab_data!C:C,match(B452,fish_lab_data!C:C,0))),"not dissected","dissected")</f>
        <v>dissected</v>
      </c>
    </row>
    <row r="453">
      <c r="A453" t="str">
        <f t="shared" si="1"/>
        <v>17103</v>
      </c>
      <c r="B453" t="str">
        <f>IFERROR(__xludf.DUMMYFUNCTION("""COMPUTED_VALUE"""),"U17103")</f>
        <v>U17103</v>
      </c>
      <c r="C453" t="str">
        <f>IFERROR(__xludf.DUMMYFUNCTION("""COMPUTED_VALUE"""),"PI")</f>
        <v>PI</v>
      </c>
      <c r="D453" t="str">
        <f>IFERROR(__xludf.DUMMYFUNCTION("""COMPUTED_VALUE"""),"DE521N1")</f>
        <v>DE521N1</v>
      </c>
      <c r="E453" t="str">
        <f>IFERROR(__xludf.DUMMYFUNCTION("""COMPUTED_VALUE"""),"P1111")</f>
        <v>P1111</v>
      </c>
      <c r="F453" t="str">
        <f t="array" ref="F453">if(iserror(index(fish_lab_data!C:C,match(B453,fish_lab_data!C:C,0))),"not dissected","dissected")</f>
        <v>dissected</v>
      </c>
    </row>
    <row r="454">
      <c r="A454" t="str">
        <f t="shared" si="1"/>
        <v>17104</v>
      </c>
      <c r="B454" t="str">
        <f>IFERROR(__xludf.DUMMYFUNCTION("""COMPUTED_VALUE"""),"U17104")</f>
        <v>U17104</v>
      </c>
      <c r="C454" t="str">
        <f>IFERROR(__xludf.DUMMYFUNCTION("""COMPUTED_VALUE"""),"PI")</f>
        <v>PI</v>
      </c>
      <c r="D454" t="str">
        <f>IFERROR(__xludf.DUMMYFUNCTION("""COMPUTED_VALUE"""),"DE521N1")</f>
        <v>DE521N1</v>
      </c>
      <c r="E454" t="str">
        <f>IFERROR(__xludf.DUMMYFUNCTION("""COMPUTED_VALUE"""),"P1111")</f>
        <v>P1111</v>
      </c>
      <c r="F454" t="str">
        <f t="array" ref="F454">if(iserror(index(fish_lab_data!C:C,match(B454,fish_lab_data!C:C,0))),"not dissected","dissected")</f>
        <v>dissected</v>
      </c>
    </row>
    <row r="455">
      <c r="A455" t="str">
        <f t="shared" si="1"/>
        <v>17105</v>
      </c>
      <c r="B455" t="str">
        <f>IFERROR(__xludf.DUMMYFUNCTION("""COMPUTED_VALUE"""),"U17105")</f>
        <v>U17105</v>
      </c>
      <c r="C455" t="str">
        <f>IFERROR(__xludf.DUMMYFUNCTION("""COMPUTED_VALUE"""),"PI")</f>
        <v>PI</v>
      </c>
      <c r="D455" t="str">
        <f>IFERROR(__xludf.DUMMYFUNCTION("""COMPUTED_VALUE"""),"DE521N1")</f>
        <v>DE521N1</v>
      </c>
      <c r="E455" t="str">
        <f>IFERROR(__xludf.DUMMYFUNCTION("""COMPUTED_VALUE"""),"P1111")</f>
        <v>P1111</v>
      </c>
      <c r="F455" t="str">
        <f t="array" ref="F455">if(iserror(index(fish_lab_data!C:C,match(B455,fish_lab_data!C:C,0))),"not dissected","dissected")</f>
        <v>dissected</v>
      </c>
    </row>
    <row r="456">
      <c r="A456" t="str">
        <f t="shared" si="1"/>
        <v>17106</v>
      </c>
      <c r="B456" t="str">
        <f>IFERROR(__xludf.DUMMYFUNCTION("""COMPUTED_VALUE"""),"U17106")</f>
        <v>U17106</v>
      </c>
      <c r="C456" t="str">
        <f>IFERROR(__xludf.DUMMYFUNCTION("""COMPUTED_VALUE"""),"PI")</f>
        <v>PI</v>
      </c>
      <c r="D456" t="str">
        <f>IFERROR(__xludf.DUMMYFUNCTION("""COMPUTED_VALUE"""),"DE521N1")</f>
        <v>DE521N1</v>
      </c>
      <c r="E456" t="str">
        <f>IFERROR(__xludf.DUMMYFUNCTION("""COMPUTED_VALUE"""),"P1111")</f>
        <v>P1111</v>
      </c>
      <c r="F456" t="str">
        <f t="array" ref="F456">if(iserror(index(fish_lab_data!C:C,match(B456,fish_lab_data!C:C,0))),"not dissected","dissected")</f>
        <v>dissected</v>
      </c>
    </row>
    <row r="457">
      <c r="A457" t="str">
        <f t="shared" si="1"/>
        <v>17107</v>
      </c>
      <c r="B457" t="str">
        <f>IFERROR(__xludf.DUMMYFUNCTION("""COMPUTED_VALUE"""),"U17107")</f>
        <v>U17107</v>
      </c>
      <c r="C457" t="str">
        <f>IFERROR(__xludf.DUMMYFUNCTION("""COMPUTED_VALUE"""),"PI")</f>
        <v>PI</v>
      </c>
      <c r="D457" t="str">
        <f>IFERROR(__xludf.DUMMYFUNCTION("""COMPUTED_VALUE"""),"DE521N1")</f>
        <v>DE521N1</v>
      </c>
      <c r="E457" t="str">
        <f>IFERROR(__xludf.DUMMYFUNCTION("""COMPUTED_VALUE"""),"P1111")</f>
        <v>P1111</v>
      </c>
      <c r="F457" t="str">
        <f t="array" ref="F457">if(iserror(index(fish_lab_data!C:C,match(B457,fish_lab_data!C:C,0))),"not dissected","dissected")</f>
        <v>dissected</v>
      </c>
    </row>
    <row r="458">
      <c r="A458" t="str">
        <f t="shared" si="1"/>
        <v>17108</v>
      </c>
      <c r="B458" t="str">
        <f>IFERROR(__xludf.DUMMYFUNCTION("""COMPUTED_VALUE"""),"U17108")</f>
        <v>U17108</v>
      </c>
      <c r="C458" t="str">
        <f>IFERROR(__xludf.DUMMYFUNCTION("""COMPUTED_VALUE"""),"PI")</f>
        <v>PI</v>
      </c>
      <c r="D458" t="str">
        <f>IFERROR(__xludf.DUMMYFUNCTION("""COMPUTED_VALUE"""),"DE521N1")</f>
        <v>DE521N1</v>
      </c>
      <c r="E458" t="str">
        <f>IFERROR(__xludf.DUMMYFUNCTION("""COMPUTED_VALUE"""),"P1111")</f>
        <v>P1111</v>
      </c>
      <c r="F458" t="str">
        <f t="array" ref="F458">if(iserror(index(fish_lab_data!C:C,match(B458,fish_lab_data!C:C,0))),"not dissected","dissected")</f>
        <v>dissected</v>
      </c>
    </row>
    <row r="459">
      <c r="A459" t="str">
        <f t="shared" si="1"/>
        <v>17109</v>
      </c>
      <c r="B459" t="str">
        <f>IFERROR(__xludf.DUMMYFUNCTION("""COMPUTED_VALUE"""),"U17109")</f>
        <v>U17109</v>
      </c>
      <c r="C459" t="str">
        <f>IFERROR(__xludf.DUMMYFUNCTION("""COMPUTED_VALUE"""),"PI")</f>
        <v>PI</v>
      </c>
      <c r="D459" t="str">
        <f>IFERROR(__xludf.DUMMYFUNCTION("""COMPUTED_VALUE"""),"DE521N1")</f>
        <v>DE521N1</v>
      </c>
      <c r="E459" t="str">
        <f>IFERROR(__xludf.DUMMYFUNCTION("""COMPUTED_VALUE"""),"P1111")</f>
        <v>P1111</v>
      </c>
      <c r="F459" t="str">
        <f t="array" ref="F459">if(iserror(index(fish_lab_data!C:C,match(B459,fish_lab_data!C:C,0))),"not dissected","dissected")</f>
        <v>dissected</v>
      </c>
    </row>
    <row r="460">
      <c r="A460" t="str">
        <f t="shared" si="1"/>
        <v>17110</v>
      </c>
      <c r="B460" t="str">
        <f>IFERROR(__xludf.DUMMYFUNCTION("""COMPUTED_VALUE"""),"U17110")</f>
        <v>U17110</v>
      </c>
      <c r="C460" t="str">
        <f>IFERROR(__xludf.DUMMYFUNCTION("""COMPUTED_VALUE"""),"PI")</f>
        <v>PI</v>
      </c>
      <c r="D460" t="str">
        <f>IFERROR(__xludf.DUMMYFUNCTION("""COMPUTED_VALUE"""),"DE521N1")</f>
        <v>DE521N1</v>
      </c>
      <c r="E460" t="str">
        <f>IFERROR(__xludf.DUMMYFUNCTION("""COMPUTED_VALUE"""),"P1111")</f>
        <v>P1111</v>
      </c>
      <c r="F460" t="str">
        <f t="array" ref="F460">if(iserror(index(fish_lab_data!C:C,match(B460,fish_lab_data!C:C,0))),"not dissected","dissected")</f>
        <v>dissected</v>
      </c>
    </row>
    <row r="461">
      <c r="A461" t="str">
        <f t="shared" si="1"/>
        <v>17111</v>
      </c>
      <c r="B461" t="str">
        <f>IFERROR(__xludf.DUMMYFUNCTION("""COMPUTED_VALUE"""),"U17111")</f>
        <v>U17111</v>
      </c>
      <c r="C461" t="str">
        <f>IFERROR(__xludf.DUMMYFUNCTION("""COMPUTED_VALUE"""),"CU")</f>
        <v>CU</v>
      </c>
      <c r="D461" t="str">
        <f>IFERROR(__xludf.DUMMYFUNCTION("""COMPUTED_VALUE"""),"DE521N1")</f>
        <v>DE521N1</v>
      </c>
      <c r="E461" t="str">
        <f>IFERROR(__xludf.DUMMYFUNCTION("""COMPUTED_VALUE"""),"P1112")</f>
        <v>P1112</v>
      </c>
      <c r="F461" t="str">
        <f t="array" ref="F461">if(iserror(index(fish_lab_data!C:C,match(B461,fish_lab_data!C:C,0))),"not dissected","dissected")</f>
        <v>dissected</v>
      </c>
    </row>
    <row r="462">
      <c r="A462" t="str">
        <f t="shared" si="1"/>
        <v>17112</v>
      </c>
      <c r="B462" t="str">
        <f>IFERROR(__xludf.DUMMYFUNCTION("""COMPUTED_VALUE"""),"U17112")</f>
        <v>U17112</v>
      </c>
      <c r="C462" t="str">
        <f>IFERROR(__xludf.DUMMYFUNCTION("""COMPUTED_VALUE"""),"CU")</f>
        <v>CU</v>
      </c>
      <c r="D462" t="str">
        <f>IFERROR(__xludf.DUMMYFUNCTION("""COMPUTED_VALUE"""),"DE521N1")</f>
        <v>DE521N1</v>
      </c>
      <c r="E462" t="str">
        <f>IFERROR(__xludf.DUMMYFUNCTION("""COMPUTED_VALUE"""),"P1112")</f>
        <v>P1112</v>
      </c>
      <c r="F462" t="str">
        <f t="array" ref="F462">if(iserror(index(fish_lab_data!C:C,match(B462,fish_lab_data!C:C,0))),"not dissected","dissected")</f>
        <v>dissected</v>
      </c>
    </row>
    <row r="463">
      <c r="A463" t="str">
        <f t="shared" si="1"/>
        <v>17113</v>
      </c>
      <c r="B463" t="str">
        <f>IFERROR(__xludf.DUMMYFUNCTION("""COMPUTED_VALUE"""),"U17113")</f>
        <v>U17113</v>
      </c>
      <c r="C463" t="str">
        <f>IFERROR(__xludf.DUMMYFUNCTION("""COMPUTED_VALUE"""),"CU")</f>
        <v>CU</v>
      </c>
      <c r="D463" t="str">
        <f>IFERROR(__xludf.DUMMYFUNCTION("""COMPUTED_VALUE"""),"DE521N1")</f>
        <v>DE521N1</v>
      </c>
      <c r="E463" t="str">
        <f>IFERROR(__xludf.DUMMYFUNCTION("""COMPUTED_VALUE"""),"P1112")</f>
        <v>P1112</v>
      </c>
      <c r="F463" t="str">
        <f t="array" ref="F463">if(iserror(index(fish_lab_data!C:C,match(B463,fish_lab_data!C:C,0))),"not dissected","dissected")</f>
        <v>dissected</v>
      </c>
    </row>
    <row r="464">
      <c r="A464" t="str">
        <f t="shared" si="1"/>
        <v>17114</v>
      </c>
      <c r="B464" t="str">
        <f>IFERROR(__xludf.DUMMYFUNCTION("""COMPUTED_VALUE"""),"U17114")</f>
        <v>U17114</v>
      </c>
      <c r="C464" t="str">
        <f>IFERROR(__xludf.DUMMYFUNCTION("""COMPUTED_VALUE"""),"CU")</f>
        <v>CU</v>
      </c>
      <c r="D464" t="str">
        <f>IFERROR(__xludf.DUMMYFUNCTION("""COMPUTED_VALUE"""),"DE521N1")</f>
        <v>DE521N1</v>
      </c>
      <c r="E464" t="str">
        <f>IFERROR(__xludf.DUMMYFUNCTION("""COMPUTED_VALUE"""),"P1112")</f>
        <v>P1112</v>
      </c>
      <c r="F464" t="str">
        <f t="array" ref="F464">if(iserror(index(fish_lab_data!C:C,match(B464,fish_lab_data!C:C,0))),"not dissected","dissected")</f>
        <v>dissected</v>
      </c>
    </row>
    <row r="465">
      <c r="A465" t="str">
        <f t="shared" si="1"/>
        <v>17115</v>
      </c>
      <c r="B465" t="str">
        <f>IFERROR(__xludf.DUMMYFUNCTION("""COMPUTED_VALUE"""),"U17115")</f>
        <v>U17115</v>
      </c>
      <c r="C465" t="str">
        <f>IFERROR(__xludf.DUMMYFUNCTION("""COMPUTED_VALUE"""),"CU")</f>
        <v>CU</v>
      </c>
      <c r="D465" t="str">
        <f>IFERROR(__xludf.DUMMYFUNCTION("""COMPUTED_VALUE"""),"DE521N1")</f>
        <v>DE521N1</v>
      </c>
      <c r="E465" t="str">
        <f>IFERROR(__xludf.DUMMYFUNCTION("""COMPUTED_VALUE"""),"P1112")</f>
        <v>P1112</v>
      </c>
      <c r="F465" t="str">
        <f t="array" ref="F465">if(iserror(index(fish_lab_data!C:C,match(B465,fish_lab_data!C:C,0))),"not dissected","dissected")</f>
        <v>dissected</v>
      </c>
    </row>
    <row r="466">
      <c r="A466" t="str">
        <f t="shared" si="1"/>
        <v>17116</v>
      </c>
      <c r="B466" t="str">
        <f>IFERROR(__xludf.DUMMYFUNCTION("""COMPUTED_VALUE"""),"U17116")</f>
        <v>U17116</v>
      </c>
      <c r="C466" t="str">
        <f>IFERROR(__xludf.DUMMYFUNCTION("""COMPUTED_VALUE"""),"CU")</f>
        <v>CU</v>
      </c>
      <c r="D466" t="str">
        <f>IFERROR(__xludf.DUMMYFUNCTION("""COMPUTED_VALUE"""),"DE521N1")</f>
        <v>DE521N1</v>
      </c>
      <c r="E466" t="str">
        <f>IFERROR(__xludf.DUMMYFUNCTION("""COMPUTED_VALUE"""),"P1112")</f>
        <v>P1112</v>
      </c>
      <c r="F466" t="str">
        <f t="array" ref="F466">if(iserror(index(fish_lab_data!C:C,match(B466,fish_lab_data!C:C,0))),"not dissected","dissected")</f>
        <v>dissected</v>
      </c>
    </row>
    <row r="467">
      <c r="A467" t="str">
        <f t="shared" si="1"/>
        <v>17117</v>
      </c>
      <c r="B467" t="str">
        <f>IFERROR(__xludf.DUMMYFUNCTION("""COMPUTED_VALUE"""),"U17117")</f>
        <v>U17117</v>
      </c>
      <c r="C467" t="str">
        <f>IFERROR(__xludf.DUMMYFUNCTION("""COMPUTED_VALUE"""),"CU")</f>
        <v>CU</v>
      </c>
      <c r="D467" t="str">
        <f>IFERROR(__xludf.DUMMYFUNCTION("""COMPUTED_VALUE"""),"DE521N1")</f>
        <v>DE521N1</v>
      </c>
      <c r="E467" t="str">
        <f>IFERROR(__xludf.DUMMYFUNCTION("""COMPUTED_VALUE"""),"P1112")</f>
        <v>P1112</v>
      </c>
      <c r="F467" t="str">
        <f t="array" ref="F467">if(iserror(index(fish_lab_data!C:C,match(B467,fish_lab_data!C:C,0))),"not dissected","dissected")</f>
        <v>dissected</v>
      </c>
    </row>
    <row r="468">
      <c r="A468" t="str">
        <f t="shared" si="1"/>
        <v>17118</v>
      </c>
      <c r="B468" t="str">
        <f>IFERROR(__xludf.DUMMYFUNCTION("""COMPUTED_VALUE"""),"U17118")</f>
        <v>U17118</v>
      </c>
      <c r="C468" t="str">
        <f>IFERROR(__xludf.DUMMYFUNCTION("""COMPUTED_VALUE"""),"CU")</f>
        <v>CU</v>
      </c>
      <c r="D468" t="str">
        <f>IFERROR(__xludf.DUMMYFUNCTION("""COMPUTED_VALUE"""),"DE521N1")</f>
        <v>DE521N1</v>
      </c>
      <c r="E468" t="str">
        <f>IFERROR(__xludf.DUMMYFUNCTION("""COMPUTED_VALUE"""),"P1112")</f>
        <v>P1112</v>
      </c>
      <c r="F468" t="str">
        <f t="array" ref="F468">if(iserror(index(fish_lab_data!C:C,match(B468,fish_lab_data!C:C,0))),"not dissected","dissected")</f>
        <v>dissected</v>
      </c>
    </row>
    <row r="469">
      <c r="A469" t="str">
        <f t="shared" si="1"/>
        <v>17119</v>
      </c>
      <c r="B469" t="str">
        <f>IFERROR(__xludf.DUMMYFUNCTION("""COMPUTED_VALUE"""),"U17119")</f>
        <v>U17119</v>
      </c>
      <c r="C469" t="str">
        <f>IFERROR(__xludf.DUMMYFUNCTION("""COMPUTED_VALUE"""),"CU")</f>
        <v>CU</v>
      </c>
      <c r="D469" t="str">
        <f>IFERROR(__xludf.DUMMYFUNCTION("""COMPUTED_VALUE"""),"DE521N1")</f>
        <v>DE521N1</v>
      </c>
      <c r="E469" t="str">
        <f>IFERROR(__xludf.DUMMYFUNCTION("""COMPUTED_VALUE"""),"P1112")</f>
        <v>P1112</v>
      </c>
      <c r="F469" t="str">
        <f t="array" ref="F469">if(iserror(index(fish_lab_data!C:C,match(B469,fish_lab_data!C:C,0))),"not dissected","dissected")</f>
        <v>dissected</v>
      </c>
    </row>
    <row r="470">
      <c r="A470" t="str">
        <f t="shared" si="1"/>
        <v>17120</v>
      </c>
      <c r="B470" t="str">
        <f>IFERROR(__xludf.DUMMYFUNCTION("""COMPUTED_VALUE"""),"U17120")</f>
        <v>U17120</v>
      </c>
      <c r="C470" t="str">
        <f>IFERROR(__xludf.DUMMYFUNCTION("""COMPUTED_VALUE"""),"CU")</f>
        <v>CU</v>
      </c>
      <c r="D470" t="str">
        <f>IFERROR(__xludf.DUMMYFUNCTION("""COMPUTED_VALUE"""),"DE521N1")</f>
        <v>DE521N1</v>
      </c>
      <c r="E470" t="str">
        <f>IFERROR(__xludf.DUMMYFUNCTION("""COMPUTED_VALUE"""),"P1112")</f>
        <v>P1112</v>
      </c>
      <c r="F470" t="str">
        <f t="array" ref="F470">if(iserror(index(fish_lab_data!C:C,match(B470,fish_lab_data!C:C,0))),"not dissected","dissected")</f>
        <v>dissected</v>
      </c>
    </row>
    <row r="471">
      <c r="A471" t="str">
        <f t="shared" si="1"/>
        <v>16011</v>
      </c>
      <c r="B471" t="str">
        <f>IFERROR(__xludf.DUMMYFUNCTION("""COMPUTED_VALUE"""),"U16011")</f>
        <v>U16011</v>
      </c>
      <c r="C471" t="str">
        <f>IFERROR(__xludf.DUMMYFUNCTION("""COMPUTED_VALUE"""),"SO")</f>
        <v>SO</v>
      </c>
      <c r="D471" t="str">
        <f>IFERROR(__xludf.DUMMYFUNCTION("""COMPUTED_VALUE"""),"DE521N1")</f>
        <v>DE521N1</v>
      </c>
      <c r="E471" t="str">
        <f>IFERROR(__xludf.DUMMYFUNCTION("""COMPUTED_VALUE"""),"P1002")</f>
        <v>P1002</v>
      </c>
      <c r="F471" t="str">
        <f t="array" ref="F471">if(iserror(index(fish_lab_data!C:C,match(B471,fish_lab_data!C:C,0))),"not dissected","dissected")</f>
        <v>dissected</v>
      </c>
    </row>
    <row r="472">
      <c r="A472" t="str">
        <f t="shared" si="1"/>
        <v>16012</v>
      </c>
      <c r="B472" t="str">
        <f>IFERROR(__xludf.DUMMYFUNCTION("""COMPUTED_VALUE"""),"U16012")</f>
        <v>U16012</v>
      </c>
      <c r="C472" t="str">
        <f>IFERROR(__xludf.DUMMYFUNCTION("""COMPUTED_VALUE"""),"SO")</f>
        <v>SO</v>
      </c>
      <c r="D472" t="str">
        <f>IFERROR(__xludf.DUMMYFUNCTION("""COMPUTED_VALUE"""),"DE521N1")</f>
        <v>DE521N1</v>
      </c>
      <c r="E472" t="str">
        <f>IFERROR(__xludf.DUMMYFUNCTION("""COMPUTED_VALUE"""),"P1002")</f>
        <v>P1002</v>
      </c>
      <c r="F472" t="str">
        <f t="array" ref="F472">if(iserror(index(fish_lab_data!C:C,match(B472,fish_lab_data!C:C,0))),"not dissected","dissected")</f>
        <v>dissected</v>
      </c>
    </row>
    <row r="473">
      <c r="A473" t="str">
        <f t="shared" si="1"/>
        <v>16013</v>
      </c>
      <c r="B473" t="str">
        <f>IFERROR(__xludf.DUMMYFUNCTION("""COMPUTED_VALUE"""),"U16013")</f>
        <v>U16013</v>
      </c>
      <c r="C473" t="str">
        <f>IFERROR(__xludf.DUMMYFUNCTION("""COMPUTED_VALUE"""),"SO")</f>
        <v>SO</v>
      </c>
      <c r="D473" t="str">
        <f>IFERROR(__xludf.DUMMYFUNCTION("""COMPUTED_VALUE"""),"DE521N1")</f>
        <v>DE521N1</v>
      </c>
      <c r="E473" t="str">
        <f>IFERROR(__xludf.DUMMYFUNCTION("""COMPUTED_VALUE"""),"P1002")</f>
        <v>P1002</v>
      </c>
      <c r="F473" t="str">
        <f t="array" ref="F473">if(iserror(index(fish_lab_data!C:C,match(B473,fish_lab_data!C:C,0))),"not dissected","dissected")</f>
        <v>dissected</v>
      </c>
    </row>
    <row r="474">
      <c r="A474" t="str">
        <f t="shared" si="1"/>
        <v>16014</v>
      </c>
      <c r="B474" t="str">
        <f>IFERROR(__xludf.DUMMYFUNCTION("""COMPUTED_VALUE"""),"U16014")</f>
        <v>U16014</v>
      </c>
      <c r="C474" t="str">
        <f>IFERROR(__xludf.DUMMYFUNCTION("""COMPUTED_VALUE"""),"SO")</f>
        <v>SO</v>
      </c>
      <c r="D474" t="str">
        <f>IFERROR(__xludf.DUMMYFUNCTION("""COMPUTED_VALUE"""),"DE521N1")</f>
        <v>DE521N1</v>
      </c>
      <c r="E474" t="str">
        <f>IFERROR(__xludf.DUMMYFUNCTION("""COMPUTED_VALUE"""),"P1002")</f>
        <v>P1002</v>
      </c>
      <c r="F474" t="str">
        <f t="array" ref="F474">if(iserror(index(fish_lab_data!C:C,match(B474,fish_lab_data!C:C,0))),"not dissected","dissected")</f>
        <v>dissected</v>
      </c>
    </row>
    <row r="475">
      <c r="A475" t="str">
        <f t="shared" si="1"/>
        <v>16015</v>
      </c>
      <c r="B475" t="str">
        <f>IFERROR(__xludf.DUMMYFUNCTION("""COMPUTED_VALUE"""),"U16015")</f>
        <v>U16015</v>
      </c>
      <c r="C475" t="str">
        <f>IFERROR(__xludf.DUMMYFUNCTION("""COMPUTED_VALUE"""),"SO")</f>
        <v>SO</v>
      </c>
      <c r="D475" t="str">
        <f>IFERROR(__xludf.DUMMYFUNCTION("""COMPUTED_VALUE"""),"DE521N1")</f>
        <v>DE521N1</v>
      </c>
      <c r="E475" t="str">
        <f>IFERROR(__xludf.DUMMYFUNCTION("""COMPUTED_VALUE"""),"P1002")</f>
        <v>P1002</v>
      </c>
      <c r="F475" t="str">
        <f t="array" ref="F475">if(iserror(index(fish_lab_data!C:C,match(B475,fish_lab_data!C:C,0))),"not dissected","dissected")</f>
        <v>dissected</v>
      </c>
    </row>
    <row r="476">
      <c r="A476" t="str">
        <f t="shared" si="1"/>
        <v>16016</v>
      </c>
      <c r="B476" t="str">
        <f>IFERROR(__xludf.DUMMYFUNCTION("""COMPUTED_VALUE"""),"U16016")</f>
        <v>U16016</v>
      </c>
      <c r="C476" t="str">
        <f>IFERROR(__xludf.DUMMYFUNCTION("""COMPUTED_VALUE"""),"SO")</f>
        <v>SO</v>
      </c>
      <c r="D476" t="str">
        <f>IFERROR(__xludf.DUMMYFUNCTION("""COMPUTED_VALUE"""),"DE521N1")</f>
        <v>DE521N1</v>
      </c>
      <c r="E476" t="str">
        <f>IFERROR(__xludf.DUMMYFUNCTION("""COMPUTED_VALUE"""),"P1002")</f>
        <v>P1002</v>
      </c>
      <c r="F476" t="str">
        <f t="array" ref="F476">if(iserror(index(fish_lab_data!C:C,match(B476,fish_lab_data!C:C,0))),"not dissected","dissected")</f>
        <v>dissected</v>
      </c>
    </row>
    <row r="477">
      <c r="A477" t="str">
        <f t="shared" si="1"/>
        <v>16017</v>
      </c>
      <c r="B477" t="str">
        <f>IFERROR(__xludf.DUMMYFUNCTION("""COMPUTED_VALUE"""),"U16017")</f>
        <v>U16017</v>
      </c>
      <c r="C477" t="str">
        <f>IFERROR(__xludf.DUMMYFUNCTION("""COMPUTED_VALUE"""),"SO")</f>
        <v>SO</v>
      </c>
      <c r="D477" t="str">
        <f>IFERROR(__xludf.DUMMYFUNCTION("""COMPUTED_VALUE"""),"DE521N1")</f>
        <v>DE521N1</v>
      </c>
      <c r="E477" t="str">
        <f>IFERROR(__xludf.DUMMYFUNCTION("""COMPUTED_VALUE"""),"P1002")</f>
        <v>P1002</v>
      </c>
      <c r="F477" t="str">
        <f t="array" ref="F477">if(iserror(index(fish_lab_data!C:C,match(B477,fish_lab_data!C:C,0))),"not dissected","dissected")</f>
        <v>dissected</v>
      </c>
    </row>
    <row r="478">
      <c r="A478" t="str">
        <f t="shared" si="1"/>
        <v>16018</v>
      </c>
      <c r="B478" t="str">
        <f>IFERROR(__xludf.DUMMYFUNCTION("""COMPUTED_VALUE"""),"U16018")</f>
        <v>U16018</v>
      </c>
      <c r="C478" t="str">
        <f>IFERROR(__xludf.DUMMYFUNCTION("""COMPUTED_VALUE"""),"SO")</f>
        <v>SO</v>
      </c>
      <c r="D478" t="str">
        <f>IFERROR(__xludf.DUMMYFUNCTION("""COMPUTED_VALUE"""),"DE521N1")</f>
        <v>DE521N1</v>
      </c>
      <c r="E478" t="str">
        <f>IFERROR(__xludf.DUMMYFUNCTION("""COMPUTED_VALUE"""),"P1002")</f>
        <v>P1002</v>
      </c>
      <c r="F478" t="str">
        <f t="array" ref="F478">if(iserror(index(fish_lab_data!C:C,match(B478,fish_lab_data!C:C,0))),"not dissected","dissected")</f>
        <v>dissected</v>
      </c>
    </row>
    <row r="479">
      <c r="A479" t="str">
        <f t="shared" si="1"/>
        <v>16019</v>
      </c>
      <c r="B479" t="str">
        <f>IFERROR(__xludf.DUMMYFUNCTION("""COMPUTED_VALUE"""),"U16019")</f>
        <v>U16019</v>
      </c>
      <c r="C479" t="str">
        <f>IFERROR(__xludf.DUMMYFUNCTION("""COMPUTED_VALUE"""),"SO")</f>
        <v>SO</v>
      </c>
      <c r="D479" t="str">
        <f>IFERROR(__xludf.DUMMYFUNCTION("""COMPUTED_VALUE"""),"DE521N1")</f>
        <v>DE521N1</v>
      </c>
      <c r="E479" t="str">
        <f>IFERROR(__xludf.DUMMYFUNCTION("""COMPUTED_VALUE"""),"P1002")</f>
        <v>P1002</v>
      </c>
      <c r="F479" t="str">
        <f t="array" ref="F479">if(iserror(index(fish_lab_data!C:C,match(B479,fish_lab_data!C:C,0))),"not dissected","dissected")</f>
        <v>dissected</v>
      </c>
    </row>
    <row r="480">
      <c r="A480" t="str">
        <f t="shared" si="1"/>
        <v>16020</v>
      </c>
      <c r="B480" t="str">
        <f>IFERROR(__xludf.DUMMYFUNCTION("""COMPUTED_VALUE"""),"U16020")</f>
        <v>U16020</v>
      </c>
      <c r="C480" t="str">
        <f>IFERROR(__xludf.DUMMYFUNCTION("""COMPUTED_VALUE"""),"SO")</f>
        <v>SO</v>
      </c>
      <c r="D480" t="str">
        <f>IFERROR(__xludf.DUMMYFUNCTION("""COMPUTED_VALUE"""),"DE521N1")</f>
        <v>DE521N1</v>
      </c>
      <c r="E480" t="str">
        <f>IFERROR(__xludf.DUMMYFUNCTION("""COMPUTED_VALUE"""),"P1002")</f>
        <v>P1002</v>
      </c>
      <c r="F480" t="str">
        <f t="array" ref="F480">if(iserror(index(fish_lab_data!C:C,match(B480,fish_lab_data!C:C,0))),"not dissected","dissected")</f>
        <v>dissected</v>
      </c>
    </row>
    <row r="481">
      <c r="A481" t="str">
        <f t="shared" si="1"/>
        <v>16021</v>
      </c>
      <c r="B481" t="str">
        <f>IFERROR(__xludf.DUMMYFUNCTION("""COMPUTED_VALUE"""),"U16021")</f>
        <v>U16021</v>
      </c>
      <c r="C481" t="str">
        <f>IFERROR(__xludf.DUMMYFUNCTION("""COMPUTED_VALUE"""),"SO")</f>
        <v>SO</v>
      </c>
      <c r="D481" t="str">
        <f>IFERROR(__xludf.DUMMYFUNCTION("""COMPUTED_VALUE"""),"DE521N1")</f>
        <v>DE521N1</v>
      </c>
      <c r="E481" t="str">
        <f>IFERROR(__xludf.DUMMYFUNCTION("""COMPUTED_VALUE"""),"P1003")</f>
        <v>P1003</v>
      </c>
      <c r="F481" t="str">
        <f t="array" ref="F481">if(iserror(index(fish_lab_data!C:C,match(B481,fish_lab_data!C:C,0))),"not dissected","dissected")</f>
        <v>dissected</v>
      </c>
    </row>
    <row r="482">
      <c r="A482" t="str">
        <f t="shared" si="1"/>
        <v>16022</v>
      </c>
      <c r="B482" t="str">
        <f>IFERROR(__xludf.DUMMYFUNCTION("""COMPUTED_VALUE"""),"U16022")</f>
        <v>U16022</v>
      </c>
      <c r="C482" t="str">
        <f>IFERROR(__xludf.DUMMYFUNCTION("""COMPUTED_VALUE"""),"SO")</f>
        <v>SO</v>
      </c>
      <c r="D482" t="str">
        <f>IFERROR(__xludf.DUMMYFUNCTION("""COMPUTED_VALUE"""),"DE521N1")</f>
        <v>DE521N1</v>
      </c>
      <c r="E482" t="str">
        <f>IFERROR(__xludf.DUMMYFUNCTION("""COMPUTED_VALUE"""),"P1003")</f>
        <v>P1003</v>
      </c>
      <c r="F482" t="str">
        <f t="array" ref="F482">if(iserror(index(fish_lab_data!C:C,match(B482,fish_lab_data!C:C,0))),"not dissected","dissected")</f>
        <v>dissected</v>
      </c>
    </row>
    <row r="483">
      <c r="A483" t="str">
        <f t="shared" si="1"/>
        <v>16023</v>
      </c>
      <c r="B483" t="str">
        <f>IFERROR(__xludf.DUMMYFUNCTION("""COMPUTED_VALUE"""),"U16023")</f>
        <v>U16023</v>
      </c>
      <c r="C483" t="str">
        <f>IFERROR(__xludf.DUMMYFUNCTION("""COMPUTED_VALUE"""),"SO")</f>
        <v>SO</v>
      </c>
      <c r="D483" t="str">
        <f>IFERROR(__xludf.DUMMYFUNCTION("""COMPUTED_VALUE"""),"DE521N1")</f>
        <v>DE521N1</v>
      </c>
      <c r="E483" t="str">
        <f>IFERROR(__xludf.DUMMYFUNCTION("""COMPUTED_VALUE"""),"P1003")</f>
        <v>P1003</v>
      </c>
      <c r="F483" t="str">
        <f t="array" ref="F483">if(iserror(index(fish_lab_data!C:C,match(B483,fish_lab_data!C:C,0))),"not dissected","dissected")</f>
        <v>dissected</v>
      </c>
    </row>
    <row r="484">
      <c r="A484" t="str">
        <f t="shared" si="1"/>
        <v>16024</v>
      </c>
      <c r="B484" t="str">
        <f>IFERROR(__xludf.DUMMYFUNCTION("""COMPUTED_VALUE"""),"U16024")</f>
        <v>U16024</v>
      </c>
      <c r="C484" t="str">
        <f>IFERROR(__xludf.DUMMYFUNCTION("""COMPUTED_VALUE"""),"SO")</f>
        <v>SO</v>
      </c>
      <c r="D484" t="str">
        <f>IFERROR(__xludf.DUMMYFUNCTION("""COMPUTED_VALUE"""),"DE521N1")</f>
        <v>DE521N1</v>
      </c>
      <c r="E484" t="str">
        <f>IFERROR(__xludf.DUMMYFUNCTION("""COMPUTED_VALUE"""),"P1003")</f>
        <v>P1003</v>
      </c>
      <c r="F484" t="str">
        <f t="array" ref="F484">if(iserror(index(fish_lab_data!C:C,match(B484,fish_lab_data!C:C,0))),"not dissected","dissected")</f>
        <v>dissected</v>
      </c>
    </row>
    <row r="485">
      <c r="A485" t="str">
        <f t="shared" si="1"/>
        <v>16211</v>
      </c>
      <c r="B485" t="str">
        <f>IFERROR(__xludf.DUMMYFUNCTION("""COMPUTED_VALUE"""),"U16211")</f>
        <v>U16211</v>
      </c>
      <c r="C485" t="str">
        <f>IFERROR(__xludf.DUMMYFUNCTION("""COMPUTED_VALUE"""),"HE")</f>
        <v>HE</v>
      </c>
      <c r="D485" t="str">
        <f>IFERROR(__xludf.DUMMYFUNCTION("""COMPUTED_VALUE"""),"DE521N1")</f>
        <v>DE521N1</v>
      </c>
      <c r="E485" t="str">
        <f>IFERROR(__xludf.DUMMYFUNCTION("""COMPUTED_VALUE"""),"P1022")</f>
        <v>P1022</v>
      </c>
      <c r="F485" t="str">
        <f t="array" ref="F485">if(iserror(index(fish_lab_data!C:C,match(B485,fish_lab_data!C:C,0))),"not dissected","dissected")</f>
        <v>dissected</v>
      </c>
    </row>
    <row r="486">
      <c r="A486" t="str">
        <f t="shared" si="1"/>
        <v>16212</v>
      </c>
      <c r="B486" t="str">
        <f>IFERROR(__xludf.DUMMYFUNCTION("""COMPUTED_VALUE"""),"U16212")</f>
        <v>U16212</v>
      </c>
      <c r="C486" t="str">
        <f>IFERROR(__xludf.DUMMYFUNCTION("""COMPUTED_VALUE"""),"HE")</f>
        <v>HE</v>
      </c>
      <c r="D486" t="str">
        <f>IFERROR(__xludf.DUMMYFUNCTION("""COMPUTED_VALUE"""),"DE521N1")</f>
        <v>DE521N1</v>
      </c>
      <c r="E486" t="str">
        <f>IFERROR(__xludf.DUMMYFUNCTION("""COMPUTED_VALUE"""),"P1022")</f>
        <v>P1022</v>
      </c>
      <c r="F486" t="str">
        <f t="array" ref="F486">if(iserror(index(fish_lab_data!C:C,match(B486,fish_lab_data!C:C,0))),"not dissected","dissected")</f>
        <v>dissected</v>
      </c>
    </row>
    <row r="487">
      <c r="A487" t="str">
        <f t="shared" si="1"/>
        <v>16213</v>
      </c>
      <c r="B487" t="str">
        <f>IFERROR(__xludf.DUMMYFUNCTION("""COMPUTED_VALUE"""),"U16213")</f>
        <v>U16213</v>
      </c>
      <c r="C487" t="str">
        <f>IFERROR(__xludf.DUMMYFUNCTION("""COMPUTED_VALUE"""),"HE")</f>
        <v>HE</v>
      </c>
      <c r="D487" t="str">
        <f>IFERROR(__xludf.DUMMYFUNCTION("""COMPUTED_VALUE"""),"DE521N1")</f>
        <v>DE521N1</v>
      </c>
      <c r="E487" t="str">
        <f>IFERROR(__xludf.DUMMYFUNCTION("""COMPUTED_VALUE"""),"P1022")</f>
        <v>P1022</v>
      </c>
      <c r="F487" t="str">
        <f t="array" ref="F487">if(iserror(index(fish_lab_data!C:C,match(B487,fish_lab_data!C:C,0))),"not dissected","dissected")</f>
        <v>dissected</v>
      </c>
    </row>
    <row r="488">
      <c r="A488" t="str">
        <f t="shared" si="1"/>
        <v>16214</v>
      </c>
      <c r="B488" t="str">
        <f>IFERROR(__xludf.DUMMYFUNCTION("""COMPUTED_VALUE"""),"U16214")</f>
        <v>U16214</v>
      </c>
      <c r="C488" t="str">
        <f>IFERROR(__xludf.DUMMYFUNCTION("""COMPUTED_VALUE"""),"HE")</f>
        <v>HE</v>
      </c>
      <c r="D488" t="str">
        <f>IFERROR(__xludf.DUMMYFUNCTION("""COMPUTED_VALUE"""),"DE521N1")</f>
        <v>DE521N1</v>
      </c>
      <c r="E488" t="str">
        <f>IFERROR(__xludf.DUMMYFUNCTION("""COMPUTED_VALUE"""),"P1022")</f>
        <v>P1022</v>
      </c>
      <c r="F488" t="str">
        <f t="array" ref="F488">if(iserror(index(fish_lab_data!C:C,match(B488,fish_lab_data!C:C,0))),"not dissected","dissected")</f>
        <v>dissected</v>
      </c>
    </row>
    <row r="489">
      <c r="A489" t="str">
        <f t="shared" si="1"/>
        <v>16215</v>
      </c>
      <c r="B489" t="str">
        <f>IFERROR(__xludf.DUMMYFUNCTION("""COMPUTED_VALUE"""),"U16215")</f>
        <v>U16215</v>
      </c>
      <c r="C489" t="str">
        <f>IFERROR(__xludf.DUMMYFUNCTION("""COMPUTED_VALUE"""),"HE")</f>
        <v>HE</v>
      </c>
      <c r="D489" t="str">
        <f>IFERROR(__xludf.DUMMYFUNCTION("""COMPUTED_VALUE"""),"DE521N1")</f>
        <v>DE521N1</v>
      </c>
      <c r="E489" t="str">
        <f>IFERROR(__xludf.DUMMYFUNCTION("""COMPUTED_VALUE"""),"P1022")</f>
        <v>P1022</v>
      </c>
      <c r="F489" t="str">
        <f t="array" ref="F489">if(iserror(index(fish_lab_data!C:C,match(B489,fish_lab_data!C:C,0))),"not dissected","dissected")</f>
        <v>dissected</v>
      </c>
    </row>
    <row r="490">
      <c r="A490" t="str">
        <f t="shared" si="1"/>
        <v>16216</v>
      </c>
      <c r="B490" t="str">
        <f>IFERROR(__xludf.DUMMYFUNCTION("""COMPUTED_VALUE"""),"U16216")</f>
        <v>U16216</v>
      </c>
      <c r="C490" t="str">
        <f>IFERROR(__xludf.DUMMYFUNCTION("""COMPUTED_VALUE"""),"HE")</f>
        <v>HE</v>
      </c>
      <c r="D490" t="str">
        <f>IFERROR(__xludf.DUMMYFUNCTION("""COMPUTED_VALUE"""),"DE521N1")</f>
        <v>DE521N1</v>
      </c>
      <c r="E490" t="str">
        <f>IFERROR(__xludf.DUMMYFUNCTION("""COMPUTED_VALUE"""),"P1022")</f>
        <v>P1022</v>
      </c>
      <c r="F490" t="str">
        <f t="array" ref="F490">if(iserror(index(fish_lab_data!C:C,match(B490,fish_lab_data!C:C,0))),"not dissected","dissected")</f>
        <v>dissected</v>
      </c>
    </row>
    <row r="491">
      <c r="A491" t="str">
        <f t="shared" si="1"/>
        <v>16801</v>
      </c>
      <c r="B491" t="str">
        <f>IFERROR(__xludf.DUMMYFUNCTION("""COMPUTED_VALUE"""),"U16801")</f>
        <v>U16801</v>
      </c>
      <c r="C491" t="str">
        <f>IFERROR(__xludf.DUMMYFUNCTION("""COMPUTED_VALUE"""),"SO")</f>
        <v>SO</v>
      </c>
      <c r="D491" t="str">
        <f>IFERROR(__xludf.DUMMYFUNCTION("""COMPUTED_VALUE"""),"JE414N1")</f>
        <v>JE414N1</v>
      </c>
      <c r="E491" t="str">
        <f>IFERROR(__xludf.DUMMYFUNCTION("""COMPUTED_VALUE"""),"P1081")</f>
        <v>P1081</v>
      </c>
      <c r="F491" t="str">
        <f t="array" ref="F491">if(iserror(index(fish_lab_data!C:C,match(B491,fish_lab_data!C:C,0))),"not dissected","dissected")</f>
        <v>dissected</v>
      </c>
    </row>
    <row r="492">
      <c r="A492" t="str">
        <f t="shared" si="1"/>
        <v>16802</v>
      </c>
      <c r="B492" t="str">
        <f>IFERROR(__xludf.DUMMYFUNCTION("""COMPUTED_VALUE"""),"U16802")</f>
        <v>U16802</v>
      </c>
      <c r="C492" t="str">
        <f>IFERROR(__xludf.DUMMYFUNCTION("""COMPUTED_VALUE"""),"SO")</f>
        <v>SO</v>
      </c>
      <c r="D492" t="str">
        <f>IFERROR(__xludf.DUMMYFUNCTION("""COMPUTED_VALUE"""),"JE414N1")</f>
        <v>JE414N1</v>
      </c>
      <c r="E492" t="str">
        <f>IFERROR(__xludf.DUMMYFUNCTION("""COMPUTED_VALUE"""),"P1081")</f>
        <v>P1081</v>
      </c>
      <c r="F492" t="str">
        <f t="array" ref="F492">if(iserror(index(fish_lab_data!C:C,match(B492,fish_lab_data!C:C,0))),"not dissected","dissected")</f>
        <v>dissected</v>
      </c>
    </row>
    <row r="493">
      <c r="A493" t="str">
        <f t="shared" si="1"/>
        <v>16803</v>
      </c>
      <c r="B493" t="str">
        <f>IFERROR(__xludf.DUMMYFUNCTION("""COMPUTED_VALUE"""),"U16803")</f>
        <v>U16803</v>
      </c>
      <c r="C493" t="str">
        <f>IFERROR(__xludf.DUMMYFUNCTION("""COMPUTED_VALUE"""),"SO")</f>
        <v>SO</v>
      </c>
      <c r="D493" t="str">
        <f>IFERROR(__xludf.DUMMYFUNCTION("""COMPUTED_VALUE"""),"JE414N1")</f>
        <v>JE414N1</v>
      </c>
      <c r="E493" t="str">
        <f>IFERROR(__xludf.DUMMYFUNCTION("""COMPUTED_VALUE"""),"P1081")</f>
        <v>P1081</v>
      </c>
      <c r="F493" t="str">
        <f t="array" ref="F493">if(iserror(index(fish_lab_data!C:C,match(B493,fish_lab_data!C:C,0))),"not dissected","dissected")</f>
        <v>dissected</v>
      </c>
    </row>
    <row r="494">
      <c r="A494" t="str">
        <f t="shared" si="1"/>
        <v>16804</v>
      </c>
      <c r="B494" t="str">
        <f>IFERROR(__xludf.DUMMYFUNCTION("""COMPUTED_VALUE"""),"U16804")</f>
        <v>U16804</v>
      </c>
      <c r="C494" t="str">
        <f>IFERROR(__xludf.DUMMYFUNCTION("""COMPUTED_VALUE"""),"SO")</f>
        <v>SO</v>
      </c>
      <c r="D494" t="str">
        <f>IFERROR(__xludf.DUMMYFUNCTION("""COMPUTED_VALUE"""),"JE414N1")</f>
        <v>JE414N1</v>
      </c>
      <c r="E494" t="str">
        <f>IFERROR(__xludf.DUMMYFUNCTION("""COMPUTED_VALUE"""),"P1081")</f>
        <v>P1081</v>
      </c>
      <c r="F494" t="str">
        <f t="array" ref="F494">if(iserror(index(fish_lab_data!C:C,match(B494,fish_lab_data!C:C,0))),"not dissected","dissected")</f>
        <v>dissected</v>
      </c>
    </row>
    <row r="495">
      <c r="A495" t="str">
        <f t="shared" si="1"/>
        <v>16805</v>
      </c>
      <c r="B495" t="str">
        <f>IFERROR(__xludf.DUMMYFUNCTION("""COMPUTED_VALUE"""),"U16805")</f>
        <v>U16805</v>
      </c>
      <c r="C495" t="str">
        <f>IFERROR(__xludf.DUMMYFUNCTION("""COMPUTED_VALUE"""),"SO")</f>
        <v>SO</v>
      </c>
      <c r="D495" t="str">
        <f>IFERROR(__xludf.DUMMYFUNCTION("""COMPUTED_VALUE"""),"JE414N1")</f>
        <v>JE414N1</v>
      </c>
      <c r="E495" t="str">
        <f>IFERROR(__xludf.DUMMYFUNCTION("""COMPUTED_VALUE"""),"P1081")</f>
        <v>P1081</v>
      </c>
      <c r="F495" t="str">
        <f t="array" ref="F495">if(iserror(index(fish_lab_data!C:C,match(B495,fish_lab_data!C:C,0))),"not dissected","dissected")</f>
        <v>dissected</v>
      </c>
    </row>
    <row r="496">
      <c r="A496" t="str">
        <f t="shared" si="1"/>
        <v>16806</v>
      </c>
      <c r="B496" t="str">
        <f>IFERROR(__xludf.DUMMYFUNCTION("""COMPUTED_VALUE"""),"U16806")</f>
        <v>U16806</v>
      </c>
      <c r="C496" t="str">
        <f>IFERROR(__xludf.DUMMYFUNCTION("""COMPUTED_VALUE"""),"SO")</f>
        <v>SO</v>
      </c>
      <c r="D496" t="str">
        <f>IFERROR(__xludf.DUMMYFUNCTION("""COMPUTED_VALUE"""),"JE414N1")</f>
        <v>JE414N1</v>
      </c>
      <c r="E496" t="str">
        <f>IFERROR(__xludf.DUMMYFUNCTION("""COMPUTED_VALUE"""),"P1081")</f>
        <v>P1081</v>
      </c>
      <c r="F496" t="str">
        <f t="array" ref="F496">if(iserror(index(fish_lab_data!C:C,match(B496,fish_lab_data!C:C,0))),"not dissected","dissected")</f>
        <v>dissected</v>
      </c>
    </row>
    <row r="497">
      <c r="A497" t="str">
        <f t="shared" si="1"/>
        <v>16807</v>
      </c>
      <c r="B497" t="str">
        <f>IFERROR(__xludf.DUMMYFUNCTION("""COMPUTED_VALUE"""),"U16807")</f>
        <v>U16807</v>
      </c>
      <c r="C497" t="str">
        <f>IFERROR(__xludf.DUMMYFUNCTION("""COMPUTED_VALUE"""),"SO")</f>
        <v>SO</v>
      </c>
      <c r="D497" t="str">
        <f>IFERROR(__xludf.DUMMYFUNCTION("""COMPUTED_VALUE"""),"JE414N1")</f>
        <v>JE414N1</v>
      </c>
      <c r="E497" t="str">
        <f>IFERROR(__xludf.DUMMYFUNCTION("""COMPUTED_VALUE"""),"P1081")</f>
        <v>P1081</v>
      </c>
      <c r="F497" t="str">
        <f t="array" ref="F497">if(iserror(index(fish_lab_data!C:C,match(B497,fish_lab_data!C:C,0))),"not dissected","dissected")</f>
        <v>dissected</v>
      </c>
    </row>
    <row r="498">
      <c r="A498" t="str">
        <f t="shared" si="1"/>
        <v>16808</v>
      </c>
      <c r="B498" t="str">
        <f>IFERROR(__xludf.DUMMYFUNCTION("""COMPUTED_VALUE"""),"U16808")</f>
        <v>U16808</v>
      </c>
      <c r="C498" t="str">
        <f>IFERROR(__xludf.DUMMYFUNCTION("""COMPUTED_VALUE"""),"SO")</f>
        <v>SO</v>
      </c>
      <c r="D498" t="str">
        <f>IFERROR(__xludf.DUMMYFUNCTION("""COMPUTED_VALUE"""),"JE414N1")</f>
        <v>JE414N1</v>
      </c>
      <c r="E498" t="str">
        <f>IFERROR(__xludf.DUMMYFUNCTION("""COMPUTED_VALUE"""),"P1081")</f>
        <v>P1081</v>
      </c>
      <c r="F498" t="str">
        <f t="array" ref="F498">if(iserror(index(fish_lab_data!C:C,match(B498,fish_lab_data!C:C,0))),"not dissected","dissected")</f>
        <v>dissected</v>
      </c>
    </row>
    <row r="499">
      <c r="A499" t="str">
        <f t="shared" si="1"/>
        <v>16809</v>
      </c>
      <c r="B499" t="str">
        <f>IFERROR(__xludf.DUMMYFUNCTION("""COMPUTED_VALUE"""),"U16809")</f>
        <v>U16809</v>
      </c>
      <c r="C499" t="str">
        <f>IFERROR(__xludf.DUMMYFUNCTION("""COMPUTED_VALUE"""),"SO")</f>
        <v>SO</v>
      </c>
      <c r="D499" t="str">
        <f>IFERROR(__xludf.DUMMYFUNCTION("""COMPUTED_VALUE"""),"JE414N1")</f>
        <v>JE414N1</v>
      </c>
      <c r="E499" t="str">
        <f>IFERROR(__xludf.DUMMYFUNCTION("""COMPUTED_VALUE"""),"P1081")</f>
        <v>P1081</v>
      </c>
      <c r="F499" t="str">
        <f t="array" ref="F499">if(iserror(index(fish_lab_data!C:C,match(B499,fish_lab_data!C:C,0))),"not dissected","dissected")</f>
        <v>dissected</v>
      </c>
    </row>
    <row r="500">
      <c r="A500" t="str">
        <f t="shared" si="1"/>
        <v>16810</v>
      </c>
      <c r="B500" t="str">
        <f>IFERROR(__xludf.DUMMYFUNCTION("""COMPUTED_VALUE"""),"U16810")</f>
        <v>U16810</v>
      </c>
      <c r="C500" t="str">
        <f>IFERROR(__xludf.DUMMYFUNCTION("""COMPUTED_VALUE"""),"SO")</f>
        <v>SO</v>
      </c>
      <c r="D500" t="str">
        <f>IFERROR(__xludf.DUMMYFUNCTION("""COMPUTED_VALUE"""),"JE414N1")</f>
        <v>JE414N1</v>
      </c>
      <c r="E500" t="str">
        <f>IFERROR(__xludf.DUMMYFUNCTION("""COMPUTED_VALUE"""),"P1081")</f>
        <v>P1081</v>
      </c>
      <c r="F500" t="str">
        <f t="array" ref="F500">if(iserror(index(fish_lab_data!C:C,match(B500,fish_lab_data!C:C,0))),"not dissected","dissected")</f>
        <v>dissected</v>
      </c>
    </row>
    <row r="501">
      <c r="A501" t="str">
        <f t="shared" si="1"/>
        <v>16651</v>
      </c>
      <c r="B501" t="str">
        <f>IFERROR(__xludf.DUMMYFUNCTION("""COMPUTED_VALUE"""),"U16651")</f>
        <v>U16651</v>
      </c>
      <c r="C501" t="str">
        <f>IFERROR(__xludf.DUMMYFUNCTION("""COMPUTED_VALUE"""),"PI")</f>
        <v>PI</v>
      </c>
      <c r="D501" t="str">
        <f>IFERROR(__xludf.DUMMYFUNCTION("""COMPUTED_VALUE"""),"JE414N1")</f>
        <v>JE414N1</v>
      </c>
      <c r="E501" t="str">
        <f>IFERROR(__xludf.DUMMYFUNCTION("""COMPUTED_VALUE"""),"P1066")</f>
        <v>P1066</v>
      </c>
      <c r="F501" t="str">
        <f t="array" ref="F501">if(iserror(index(fish_lab_data!C:C,match(B501,fish_lab_data!C:C,0))),"not dissected","dissected")</f>
        <v>dissected</v>
      </c>
    </row>
    <row r="502">
      <c r="A502" t="str">
        <f t="shared" si="1"/>
        <v>16652</v>
      </c>
      <c r="B502" t="str">
        <f>IFERROR(__xludf.DUMMYFUNCTION("""COMPUTED_VALUE"""),"U16652")</f>
        <v>U16652</v>
      </c>
      <c r="C502" t="str">
        <f>IFERROR(__xludf.DUMMYFUNCTION("""COMPUTED_VALUE"""),"PI")</f>
        <v>PI</v>
      </c>
      <c r="D502" t="str">
        <f>IFERROR(__xludf.DUMMYFUNCTION("""COMPUTED_VALUE"""),"JE414N1")</f>
        <v>JE414N1</v>
      </c>
      <c r="E502" t="str">
        <f>IFERROR(__xludf.DUMMYFUNCTION("""COMPUTED_VALUE"""),"P1066")</f>
        <v>P1066</v>
      </c>
      <c r="F502" t="str">
        <f t="array" ref="F502">if(iserror(index(fish_lab_data!C:C,match(B502,fish_lab_data!C:C,0))),"not dissected","dissected")</f>
        <v>dissected</v>
      </c>
    </row>
    <row r="503">
      <c r="A503" t="str">
        <f t="shared" si="1"/>
        <v>16653</v>
      </c>
      <c r="B503" t="str">
        <f>IFERROR(__xludf.DUMMYFUNCTION("""COMPUTED_VALUE"""),"U16653")</f>
        <v>U16653</v>
      </c>
      <c r="C503" t="str">
        <f>IFERROR(__xludf.DUMMYFUNCTION("""COMPUTED_VALUE"""),"PI")</f>
        <v>PI</v>
      </c>
      <c r="D503" t="str">
        <f>IFERROR(__xludf.DUMMYFUNCTION("""COMPUTED_VALUE"""),"JE414N1")</f>
        <v>JE414N1</v>
      </c>
      <c r="E503" t="str">
        <f>IFERROR(__xludf.DUMMYFUNCTION("""COMPUTED_VALUE"""),"P1066")</f>
        <v>P1066</v>
      </c>
      <c r="F503" t="str">
        <f t="array" ref="F503">if(iserror(index(fish_lab_data!C:C,match(B503,fish_lab_data!C:C,0))),"not dissected","dissected")</f>
        <v>dissected</v>
      </c>
    </row>
    <row r="504">
      <c r="A504" t="str">
        <f t="shared" si="1"/>
        <v>16654</v>
      </c>
      <c r="B504" t="str">
        <f>IFERROR(__xludf.DUMMYFUNCTION("""COMPUTED_VALUE"""),"U16654")</f>
        <v>U16654</v>
      </c>
      <c r="C504" t="str">
        <f>IFERROR(__xludf.DUMMYFUNCTION("""COMPUTED_VALUE"""),"PI")</f>
        <v>PI</v>
      </c>
      <c r="D504" t="str">
        <f>IFERROR(__xludf.DUMMYFUNCTION("""COMPUTED_VALUE"""),"JE414N1")</f>
        <v>JE414N1</v>
      </c>
      <c r="E504" t="str">
        <f>IFERROR(__xludf.DUMMYFUNCTION("""COMPUTED_VALUE"""),"P1066")</f>
        <v>P1066</v>
      </c>
      <c r="F504" t="str">
        <f t="array" ref="F504">if(iserror(index(fish_lab_data!C:C,match(B504,fish_lab_data!C:C,0))),"not dissected","dissected")</f>
        <v>dissected</v>
      </c>
    </row>
    <row r="505">
      <c r="A505" t="str">
        <f t="shared" si="1"/>
        <v>16655</v>
      </c>
      <c r="B505" t="str">
        <f>IFERROR(__xludf.DUMMYFUNCTION("""COMPUTED_VALUE"""),"U16655")</f>
        <v>U16655</v>
      </c>
      <c r="C505" t="str">
        <f>IFERROR(__xludf.DUMMYFUNCTION("""COMPUTED_VALUE"""),"PI")</f>
        <v>PI</v>
      </c>
      <c r="D505" t="str">
        <f>IFERROR(__xludf.DUMMYFUNCTION("""COMPUTED_VALUE"""),"JE414N1")</f>
        <v>JE414N1</v>
      </c>
      <c r="E505" t="str">
        <f>IFERROR(__xludf.DUMMYFUNCTION("""COMPUTED_VALUE"""),"P1066")</f>
        <v>P1066</v>
      </c>
      <c r="F505" t="str">
        <f t="array" ref="F505">if(iserror(index(fish_lab_data!C:C,match(B505,fish_lab_data!C:C,0))),"not dissected","dissected")</f>
        <v>dissected</v>
      </c>
    </row>
    <row r="506">
      <c r="A506" t="str">
        <f t="shared" si="1"/>
        <v>16656</v>
      </c>
      <c r="B506" t="str">
        <f>IFERROR(__xludf.DUMMYFUNCTION("""COMPUTED_VALUE"""),"U16656")</f>
        <v>U16656</v>
      </c>
      <c r="C506" t="str">
        <f>IFERROR(__xludf.DUMMYFUNCTION("""COMPUTED_VALUE"""),"PI")</f>
        <v>PI</v>
      </c>
      <c r="D506" t="str">
        <f>IFERROR(__xludf.DUMMYFUNCTION("""COMPUTED_VALUE"""),"JE414N1")</f>
        <v>JE414N1</v>
      </c>
      <c r="E506" t="str">
        <f>IFERROR(__xludf.DUMMYFUNCTION("""COMPUTED_VALUE"""),"P1066")</f>
        <v>P1066</v>
      </c>
      <c r="F506" t="str">
        <f t="array" ref="F506">if(iserror(index(fish_lab_data!C:C,match(B506,fish_lab_data!C:C,0))),"not dissected","dissected")</f>
        <v>dissected</v>
      </c>
    </row>
    <row r="507">
      <c r="A507" t="str">
        <f t="shared" si="1"/>
        <v>16657</v>
      </c>
      <c r="B507" t="str">
        <f>IFERROR(__xludf.DUMMYFUNCTION("""COMPUTED_VALUE"""),"U16657")</f>
        <v>U16657</v>
      </c>
      <c r="C507" t="str">
        <f>IFERROR(__xludf.DUMMYFUNCTION("""COMPUTED_VALUE"""),"PI")</f>
        <v>PI</v>
      </c>
      <c r="D507" t="str">
        <f>IFERROR(__xludf.DUMMYFUNCTION("""COMPUTED_VALUE"""),"JE414N1")</f>
        <v>JE414N1</v>
      </c>
      <c r="E507" t="str">
        <f>IFERROR(__xludf.DUMMYFUNCTION("""COMPUTED_VALUE"""),"P1066")</f>
        <v>P1066</v>
      </c>
      <c r="F507" t="str">
        <f t="array" ref="F507">if(iserror(index(fish_lab_data!C:C,match(B507,fish_lab_data!C:C,0))),"not dissected","dissected")</f>
        <v>dissected</v>
      </c>
    </row>
    <row r="508">
      <c r="A508" t="str">
        <f t="shared" si="1"/>
        <v>16658</v>
      </c>
      <c r="B508" t="str">
        <f>IFERROR(__xludf.DUMMYFUNCTION("""COMPUTED_VALUE"""),"U16658")</f>
        <v>U16658</v>
      </c>
      <c r="C508" t="str">
        <f>IFERROR(__xludf.DUMMYFUNCTION("""COMPUTED_VALUE"""),"PI")</f>
        <v>PI</v>
      </c>
      <c r="D508" t="str">
        <f>IFERROR(__xludf.DUMMYFUNCTION("""COMPUTED_VALUE"""),"JE414N1")</f>
        <v>JE414N1</v>
      </c>
      <c r="E508" t="str">
        <f>IFERROR(__xludf.DUMMYFUNCTION("""COMPUTED_VALUE"""),"P1066")</f>
        <v>P1066</v>
      </c>
      <c r="F508" t="str">
        <f t="array" ref="F508">if(iserror(index(fish_lab_data!C:C,match(B508,fish_lab_data!C:C,0))),"not dissected","dissected")</f>
        <v>dissected</v>
      </c>
    </row>
    <row r="509">
      <c r="A509" t="str">
        <f t="shared" si="1"/>
        <v>16659</v>
      </c>
      <c r="B509" t="str">
        <f>IFERROR(__xludf.DUMMYFUNCTION("""COMPUTED_VALUE"""),"U16659")</f>
        <v>U16659</v>
      </c>
      <c r="C509" t="str">
        <f>IFERROR(__xludf.DUMMYFUNCTION("""COMPUTED_VALUE"""),"PI")</f>
        <v>PI</v>
      </c>
      <c r="D509" t="str">
        <f>IFERROR(__xludf.DUMMYFUNCTION("""COMPUTED_VALUE"""),"JE414N1")</f>
        <v>JE414N1</v>
      </c>
      <c r="E509" t="str">
        <f>IFERROR(__xludf.DUMMYFUNCTION("""COMPUTED_VALUE"""),"P1066")</f>
        <v>P1066</v>
      </c>
      <c r="F509" t="str">
        <f t="array" ref="F509">if(iserror(index(fish_lab_data!C:C,match(B509,fish_lab_data!C:C,0))),"not dissected","dissected")</f>
        <v>dissected</v>
      </c>
    </row>
    <row r="510">
      <c r="A510" t="str">
        <f t="shared" si="1"/>
        <v>16660</v>
      </c>
      <c r="B510" t="str">
        <f>IFERROR(__xludf.DUMMYFUNCTION("""COMPUTED_VALUE"""),"U16660")</f>
        <v>U16660</v>
      </c>
      <c r="C510" t="str">
        <f>IFERROR(__xludf.DUMMYFUNCTION("""COMPUTED_VALUE"""),"PI")</f>
        <v>PI</v>
      </c>
      <c r="D510" t="str">
        <f>IFERROR(__xludf.DUMMYFUNCTION("""COMPUTED_VALUE"""),"JE414N1")</f>
        <v>JE414N1</v>
      </c>
      <c r="E510" t="str">
        <f>IFERROR(__xludf.DUMMYFUNCTION("""COMPUTED_VALUE"""),"P1066")</f>
        <v>P1066</v>
      </c>
      <c r="F510" t="str">
        <f t="array" ref="F510">if(iserror(index(fish_lab_data!C:C,match(B510,fish_lab_data!C:C,0))),"not dissected","dissected")</f>
        <v>dissected</v>
      </c>
    </row>
    <row r="511">
      <c r="A511" t="str">
        <f t="shared" si="1"/>
        <v>16521</v>
      </c>
      <c r="B511" t="str">
        <f>IFERROR(__xludf.DUMMYFUNCTION("""COMPUTED_VALUE"""),"U16521")</f>
        <v>U16521</v>
      </c>
      <c r="C511" t="str">
        <f>IFERROR(__xludf.DUMMYFUNCTION("""COMPUTED_VALUE"""),"CU")</f>
        <v>CU</v>
      </c>
      <c r="D511" t="str">
        <f>IFERROR(__xludf.DUMMYFUNCTION("""COMPUTED_VALUE"""),"JE414N1")</f>
        <v>JE414N1</v>
      </c>
      <c r="E511" t="str">
        <f>IFERROR(__xludf.DUMMYFUNCTION("""COMPUTED_VALUE"""),"P1053")</f>
        <v>P1053</v>
      </c>
      <c r="F511" t="str">
        <f t="array" ref="F511">if(iserror(index(fish_lab_data!C:C,match(B511,fish_lab_data!C:C,0))),"not dissected","dissected")</f>
        <v>dissected</v>
      </c>
    </row>
    <row r="512">
      <c r="A512" t="str">
        <f t="shared" si="1"/>
        <v>16522</v>
      </c>
      <c r="B512" t="str">
        <f>IFERROR(__xludf.DUMMYFUNCTION("""COMPUTED_VALUE"""),"U16522")</f>
        <v>U16522</v>
      </c>
      <c r="C512" t="str">
        <f>IFERROR(__xludf.DUMMYFUNCTION("""COMPUTED_VALUE"""),"CU")</f>
        <v>CU</v>
      </c>
      <c r="D512" t="str">
        <f>IFERROR(__xludf.DUMMYFUNCTION("""COMPUTED_VALUE"""),"JE414N1")</f>
        <v>JE414N1</v>
      </c>
      <c r="E512" t="str">
        <f>IFERROR(__xludf.DUMMYFUNCTION("""COMPUTED_VALUE"""),"P1053")</f>
        <v>P1053</v>
      </c>
      <c r="F512" t="str">
        <f t="array" ref="F512">if(iserror(index(fish_lab_data!C:C,match(B512,fish_lab_data!C:C,0))),"not dissected","dissected")</f>
        <v>dissected</v>
      </c>
    </row>
    <row r="513">
      <c r="A513" t="str">
        <f t="shared" si="1"/>
        <v>16523</v>
      </c>
      <c r="B513" t="str">
        <f>IFERROR(__xludf.DUMMYFUNCTION("""COMPUTED_VALUE"""),"U16523")</f>
        <v>U16523</v>
      </c>
      <c r="C513" t="str">
        <f>IFERROR(__xludf.DUMMYFUNCTION("""COMPUTED_VALUE"""),"CU")</f>
        <v>CU</v>
      </c>
      <c r="D513" t="str">
        <f>IFERROR(__xludf.DUMMYFUNCTION("""COMPUTED_VALUE"""),"JE414N1")</f>
        <v>JE414N1</v>
      </c>
      <c r="E513" t="str">
        <f>IFERROR(__xludf.DUMMYFUNCTION("""COMPUTED_VALUE"""),"P1053")</f>
        <v>P1053</v>
      </c>
      <c r="F513" t="str">
        <f t="array" ref="F513">if(iserror(index(fish_lab_data!C:C,match(B513,fish_lab_data!C:C,0))),"not dissected","dissected")</f>
        <v>dissected</v>
      </c>
    </row>
    <row r="514">
      <c r="A514" t="str">
        <f t="shared" si="1"/>
        <v>16524</v>
      </c>
      <c r="B514" t="str">
        <f>IFERROR(__xludf.DUMMYFUNCTION("""COMPUTED_VALUE"""),"U16524")</f>
        <v>U16524</v>
      </c>
      <c r="C514" t="str">
        <f>IFERROR(__xludf.DUMMYFUNCTION("""COMPUTED_VALUE"""),"CU")</f>
        <v>CU</v>
      </c>
      <c r="D514" t="str">
        <f>IFERROR(__xludf.DUMMYFUNCTION("""COMPUTED_VALUE"""),"JE414N1")</f>
        <v>JE414N1</v>
      </c>
      <c r="E514" t="str">
        <f>IFERROR(__xludf.DUMMYFUNCTION("""COMPUTED_VALUE"""),"P1053")</f>
        <v>P1053</v>
      </c>
      <c r="F514" t="str">
        <f t="array" ref="F514">if(iserror(index(fish_lab_data!C:C,match(B514,fish_lab_data!C:C,0))),"not dissected","dissected")</f>
        <v>dissected</v>
      </c>
    </row>
    <row r="515">
      <c r="A515" t="str">
        <f t="shared" si="1"/>
        <v>16525</v>
      </c>
      <c r="B515" t="str">
        <f>IFERROR(__xludf.DUMMYFUNCTION("""COMPUTED_VALUE"""),"U16525")</f>
        <v>U16525</v>
      </c>
      <c r="C515" t="str">
        <f>IFERROR(__xludf.DUMMYFUNCTION("""COMPUTED_VALUE"""),"CU")</f>
        <v>CU</v>
      </c>
      <c r="D515" t="str">
        <f>IFERROR(__xludf.DUMMYFUNCTION("""COMPUTED_VALUE"""),"JE414N1")</f>
        <v>JE414N1</v>
      </c>
      <c r="E515" t="str">
        <f>IFERROR(__xludf.DUMMYFUNCTION("""COMPUTED_VALUE"""),"P1053")</f>
        <v>P1053</v>
      </c>
      <c r="F515" t="str">
        <f t="array" ref="F515">if(iserror(index(fish_lab_data!C:C,match(B515,fish_lab_data!C:C,0))),"not dissected","dissected")</f>
        <v>dissected</v>
      </c>
    </row>
    <row r="516">
      <c r="A516" t="str">
        <f t="shared" si="1"/>
        <v>16526</v>
      </c>
      <c r="B516" t="str">
        <f>IFERROR(__xludf.DUMMYFUNCTION("""COMPUTED_VALUE"""),"U16526")</f>
        <v>U16526</v>
      </c>
      <c r="C516" t="str">
        <f>IFERROR(__xludf.DUMMYFUNCTION("""COMPUTED_VALUE"""),"CU")</f>
        <v>CU</v>
      </c>
      <c r="D516" t="str">
        <f>IFERROR(__xludf.DUMMYFUNCTION("""COMPUTED_VALUE"""),"JE414N1")</f>
        <v>JE414N1</v>
      </c>
      <c r="E516" t="str">
        <f>IFERROR(__xludf.DUMMYFUNCTION("""COMPUTED_VALUE"""),"P1053")</f>
        <v>P1053</v>
      </c>
      <c r="F516" t="str">
        <f t="array" ref="F516">if(iserror(index(fish_lab_data!C:C,match(B516,fish_lab_data!C:C,0))),"not dissected","dissected")</f>
        <v>dissected</v>
      </c>
    </row>
    <row r="517">
      <c r="A517" t="str">
        <f t="shared" si="1"/>
        <v>16527</v>
      </c>
      <c r="B517" t="str">
        <f>IFERROR(__xludf.DUMMYFUNCTION("""COMPUTED_VALUE"""),"U16527")</f>
        <v>U16527</v>
      </c>
      <c r="C517" t="str">
        <f>IFERROR(__xludf.DUMMYFUNCTION("""COMPUTED_VALUE"""),"CU")</f>
        <v>CU</v>
      </c>
      <c r="D517" t="str">
        <f>IFERROR(__xludf.DUMMYFUNCTION("""COMPUTED_VALUE"""),"JE414N1")</f>
        <v>JE414N1</v>
      </c>
      <c r="E517" t="str">
        <f>IFERROR(__xludf.DUMMYFUNCTION("""COMPUTED_VALUE"""),"P1053")</f>
        <v>P1053</v>
      </c>
      <c r="F517" t="str">
        <f t="array" ref="F517">if(iserror(index(fish_lab_data!C:C,match(B517,fish_lab_data!C:C,0))),"not dissected","dissected")</f>
        <v>dissected</v>
      </c>
    </row>
    <row r="518">
      <c r="A518" t="str">
        <f t="shared" si="1"/>
        <v>16528</v>
      </c>
      <c r="B518" t="str">
        <f>IFERROR(__xludf.DUMMYFUNCTION("""COMPUTED_VALUE"""),"U16528")</f>
        <v>U16528</v>
      </c>
      <c r="C518" t="str">
        <f>IFERROR(__xludf.DUMMYFUNCTION("""COMPUTED_VALUE"""),"CU")</f>
        <v>CU</v>
      </c>
      <c r="D518" t="str">
        <f>IFERROR(__xludf.DUMMYFUNCTION("""COMPUTED_VALUE"""),"JE414N1")</f>
        <v>JE414N1</v>
      </c>
      <c r="E518" t="str">
        <f>IFERROR(__xludf.DUMMYFUNCTION("""COMPUTED_VALUE"""),"P1053")</f>
        <v>P1053</v>
      </c>
      <c r="F518" t="str">
        <f t="array" ref="F518">if(iserror(index(fish_lab_data!C:C,match(B518,fish_lab_data!C:C,0))),"not dissected","dissected")</f>
        <v>dissected</v>
      </c>
    </row>
    <row r="519">
      <c r="A519" t="str">
        <f t="shared" si="1"/>
        <v>16529</v>
      </c>
      <c r="B519" t="str">
        <f>IFERROR(__xludf.DUMMYFUNCTION("""COMPUTED_VALUE"""),"U16529")</f>
        <v>U16529</v>
      </c>
      <c r="C519" t="str">
        <f>IFERROR(__xludf.DUMMYFUNCTION("""COMPUTED_VALUE"""),"CU")</f>
        <v>CU</v>
      </c>
      <c r="D519" t="str">
        <f>IFERROR(__xludf.DUMMYFUNCTION("""COMPUTED_VALUE"""),"JE414N1")</f>
        <v>JE414N1</v>
      </c>
      <c r="E519" t="str">
        <f>IFERROR(__xludf.DUMMYFUNCTION("""COMPUTED_VALUE"""),"P1053")</f>
        <v>P1053</v>
      </c>
      <c r="F519" t="str">
        <f t="array" ref="F519">if(iserror(index(fish_lab_data!C:C,match(B519,fish_lab_data!C:C,0))),"not dissected","dissected")</f>
        <v>dissected</v>
      </c>
    </row>
    <row r="520">
      <c r="A520" t="str">
        <f t="shared" si="1"/>
        <v>16530</v>
      </c>
      <c r="B520" t="str">
        <f>IFERROR(__xludf.DUMMYFUNCTION("""COMPUTED_VALUE"""),"U16530")</f>
        <v>U16530</v>
      </c>
      <c r="C520" t="str">
        <f>IFERROR(__xludf.DUMMYFUNCTION("""COMPUTED_VALUE"""),"CU")</f>
        <v>CU</v>
      </c>
      <c r="D520" t="str">
        <f>IFERROR(__xludf.DUMMYFUNCTION("""COMPUTED_VALUE"""),"JE414N1")</f>
        <v>JE414N1</v>
      </c>
      <c r="E520" t="str">
        <f>IFERROR(__xludf.DUMMYFUNCTION("""COMPUTED_VALUE"""),"P1053")</f>
        <v>P1053</v>
      </c>
      <c r="F520" t="str">
        <f t="array" ref="F520">if(iserror(index(fish_lab_data!C:C,match(B520,fish_lab_data!C:C,0))),"not dissected","dissected")</f>
        <v>dissected</v>
      </c>
    </row>
    <row r="521">
      <c r="A521" t="str">
        <f t="shared" si="1"/>
        <v>16711</v>
      </c>
      <c r="B521" t="str">
        <f>IFERROR(__xludf.DUMMYFUNCTION("""COMPUTED_VALUE"""),"U16711")</f>
        <v>U16711</v>
      </c>
      <c r="C521" t="str">
        <f>IFERROR(__xludf.DUMMYFUNCTION("""COMPUTED_VALUE"""),"SO")</f>
        <v>SO</v>
      </c>
      <c r="D521" t="str">
        <f>IFERROR(__xludf.DUMMYFUNCTION("""COMPUTED_VALUE"""),"JE414N1")</f>
        <v>JE414N1</v>
      </c>
      <c r="E521" t="str">
        <f>IFERROR(__xludf.DUMMYFUNCTION("""COMPUTED_VALUE"""),"P1072")</f>
        <v>P1072</v>
      </c>
      <c r="F521" t="str">
        <f t="array" ref="F521">if(iserror(index(fish_lab_data!C:C,match(B521,fish_lab_data!C:C,0))),"not dissected","dissected")</f>
        <v>dissected</v>
      </c>
    </row>
    <row r="522">
      <c r="A522" t="str">
        <f t="shared" si="1"/>
        <v>16712</v>
      </c>
      <c r="B522" t="str">
        <f>IFERROR(__xludf.DUMMYFUNCTION("""COMPUTED_VALUE"""),"U16712")</f>
        <v>U16712</v>
      </c>
      <c r="C522" t="str">
        <f>IFERROR(__xludf.DUMMYFUNCTION("""COMPUTED_VALUE"""),"SO")</f>
        <v>SO</v>
      </c>
      <c r="D522" t="str">
        <f>IFERROR(__xludf.DUMMYFUNCTION("""COMPUTED_VALUE"""),"JE414N1")</f>
        <v>JE414N1</v>
      </c>
      <c r="E522" t="str">
        <f>IFERROR(__xludf.DUMMYFUNCTION("""COMPUTED_VALUE"""),"P1072")</f>
        <v>P1072</v>
      </c>
      <c r="F522" t="str">
        <f t="array" ref="F522">if(iserror(index(fish_lab_data!C:C,match(B522,fish_lab_data!C:C,0))),"not dissected","dissected")</f>
        <v>dissected</v>
      </c>
    </row>
    <row r="523">
      <c r="A523" t="str">
        <f t="shared" si="1"/>
        <v>16713</v>
      </c>
      <c r="B523" t="str">
        <f>IFERROR(__xludf.DUMMYFUNCTION("""COMPUTED_VALUE"""),"U16713")</f>
        <v>U16713</v>
      </c>
      <c r="C523" t="str">
        <f>IFERROR(__xludf.DUMMYFUNCTION("""COMPUTED_VALUE"""),"SO")</f>
        <v>SO</v>
      </c>
      <c r="D523" t="str">
        <f>IFERROR(__xludf.DUMMYFUNCTION("""COMPUTED_VALUE"""),"JE414N1")</f>
        <v>JE414N1</v>
      </c>
      <c r="E523" t="str">
        <f>IFERROR(__xludf.DUMMYFUNCTION("""COMPUTED_VALUE"""),"P1072")</f>
        <v>P1072</v>
      </c>
      <c r="F523" t="str">
        <f t="array" ref="F523">if(iserror(index(fish_lab_data!C:C,match(B523,fish_lab_data!C:C,0))),"not dissected","dissected")</f>
        <v>dissected</v>
      </c>
    </row>
    <row r="524">
      <c r="A524" t="str">
        <f t="shared" si="1"/>
        <v>16714</v>
      </c>
      <c r="B524" t="str">
        <f>IFERROR(__xludf.DUMMYFUNCTION("""COMPUTED_VALUE"""),"U16714")</f>
        <v>U16714</v>
      </c>
      <c r="C524" t="str">
        <f>IFERROR(__xludf.DUMMYFUNCTION("""COMPUTED_VALUE"""),"SO")</f>
        <v>SO</v>
      </c>
      <c r="D524" t="str">
        <f>IFERROR(__xludf.DUMMYFUNCTION("""COMPUTED_VALUE"""),"JE414N1")</f>
        <v>JE414N1</v>
      </c>
      <c r="E524" t="str">
        <f>IFERROR(__xludf.DUMMYFUNCTION("""COMPUTED_VALUE"""),"P1072")</f>
        <v>P1072</v>
      </c>
      <c r="F524" t="str">
        <f t="array" ref="F524">if(iserror(index(fish_lab_data!C:C,match(B524,fish_lab_data!C:C,0))),"not dissected","dissected")</f>
        <v>dissected</v>
      </c>
    </row>
    <row r="525">
      <c r="A525" t="str">
        <f t="shared" si="1"/>
        <v>16715</v>
      </c>
      <c r="B525" t="str">
        <f>IFERROR(__xludf.DUMMYFUNCTION("""COMPUTED_VALUE"""),"U16715")</f>
        <v>U16715</v>
      </c>
      <c r="C525" t="str">
        <f>IFERROR(__xludf.DUMMYFUNCTION("""COMPUTED_VALUE"""),"SO")</f>
        <v>SO</v>
      </c>
      <c r="D525" t="str">
        <f>IFERROR(__xludf.DUMMYFUNCTION("""COMPUTED_VALUE"""),"JE414N1")</f>
        <v>JE414N1</v>
      </c>
      <c r="E525" t="str">
        <f>IFERROR(__xludf.DUMMYFUNCTION("""COMPUTED_VALUE"""),"P1072")</f>
        <v>P1072</v>
      </c>
      <c r="F525" t="str">
        <f t="array" ref="F525">if(iserror(index(fish_lab_data!C:C,match(B525,fish_lab_data!C:C,0))),"not dissected","dissected")</f>
        <v>dissected</v>
      </c>
    </row>
    <row r="526">
      <c r="A526" t="str">
        <f t="shared" si="1"/>
        <v>16716</v>
      </c>
      <c r="B526" t="str">
        <f>IFERROR(__xludf.DUMMYFUNCTION("""COMPUTED_VALUE"""),"U16716")</f>
        <v>U16716</v>
      </c>
      <c r="C526" t="str">
        <f>IFERROR(__xludf.DUMMYFUNCTION("""COMPUTED_VALUE"""),"SO")</f>
        <v>SO</v>
      </c>
      <c r="D526" t="str">
        <f>IFERROR(__xludf.DUMMYFUNCTION("""COMPUTED_VALUE"""),"JE414N1")</f>
        <v>JE414N1</v>
      </c>
      <c r="E526" t="str">
        <f>IFERROR(__xludf.DUMMYFUNCTION("""COMPUTED_VALUE"""),"P1072")</f>
        <v>P1072</v>
      </c>
      <c r="F526" t="str">
        <f t="array" ref="F526">if(iserror(index(fish_lab_data!C:C,match(B526,fish_lab_data!C:C,0))),"not dissected","dissected")</f>
        <v>dissected</v>
      </c>
    </row>
    <row r="527">
      <c r="A527" t="str">
        <f t="shared" si="1"/>
        <v>16717</v>
      </c>
      <c r="B527" t="str">
        <f>IFERROR(__xludf.DUMMYFUNCTION("""COMPUTED_VALUE"""),"U16717")</f>
        <v>U16717</v>
      </c>
      <c r="C527" t="str">
        <f>IFERROR(__xludf.DUMMYFUNCTION("""COMPUTED_VALUE"""),"SO")</f>
        <v>SO</v>
      </c>
      <c r="D527" t="str">
        <f>IFERROR(__xludf.DUMMYFUNCTION("""COMPUTED_VALUE"""),"JE414N1")</f>
        <v>JE414N1</v>
      </c>
      <c r="E527" t="str">
        <f>IFERROR(__xludf.DUMMYFUNCTION("""COMPUTED_VALUE"""),"P1072")</f>
        <v>P1072</v>
      </c>
      <c r="F527" t="str">
        <f t="array" ref="F527">if(iserror(index(fish_lab_data!C:C,match(B527,fish_lab_data!C:C,0))),"not dissected","dissected")</f>
        <v>dissected</v>
      </c>
    </row>
    <row r="528">
      <c r="A528" t="str">
        <f t="shared" si="1"/>
        <v>16718</v>
      </c>
      <c r="B528" t="str">
        <f>IFERROR(__xludf.DUMMYFUNCTION("""COMPUTED_VALUE"""),"U16718")</f>
        <v>U16718</v>
      </c>
      <c r="C528" t="str">
        <f>IFERROR(__xludf.DUMMYFUNCTION("""COMPUTED_VALUE"""),"SO")</f>
        <v>SO</v>
      </c>
      <c r="D528" t="str">
        <f>IFERROR(__xludf.DUMMYFUNCTION("""COMPUTED_VALUE"""),"JE414N1")</f>
        <v>JE414N1</v>
      </c>
      <c r="E528" t="str">
        <f>IFERROR(__xludf.DUMMYFUNCTION("""COMPUTED_VALUE"""),"P1072")</f>
        <v>P1072</v>
      </c>
      <c r="F528" t="str">
        <f t="array" ref="F528">if(iserror(index(fish_lab_data!C:C,match(B528,fish_lab_data!C:C,0))),"not dissected","dissected")</f>
        <v>dissected</v>
      </c>
    </row>
    <row r="529">
      <c r="A529" t="str">
        <f t="shared" si="1"/>
        <v>16719</v>
      </c>
      <c r="B529" t="str">
        <f>IFERROR(__xludf.DUMMYFUNCTION("""COMPUTED_VALUE"""),"U16719")</f>
        <v>U16719</v>
      </c>
      <c r="C529" t="str">
        <f>IFERROR(__xludf.DUMMYFUNCTION("""COMPUTED_VALUE"""),"SO")</f>
        <v>SO</v>
      </c>
      <c r="D529" t="str">
        <f>IFERROR(__xludf.DUMMYFUNCTION("""COMPUTED_VALUE"""),"JE414N1")</f>
        <v>JE414N1</v>
      </c>
      <c r="E529" t="str">
        <f>IFERROR(__xludf.DUMMYFUNCTION("""COMPUTED_VALUE"""),"P1072")</f>
        <v>P1072</v>
      </c>
      <c r="F529" t="str">
        <f t="array" ref="F529">if(iserror(index(fish_lab_data!C:C,match(B529,fish_lab_data!C:C,0))),"not dissected","dissected")</f>
        <v>dissected</v>
      </c>
    </row>
    <row r="530">
      <c r="A530" t="str">
        <f t="shared" si="1"/>
        <v>16720</v>
      </c>
      <c r="B530" t="str">
        <f>IFERROR(__xludf.DUMMYFUNCTION("""COMPUTED_VALUE"""),"U16720")</f>
        <v>U16720</v>
      </c>
      <c r="C530" t="str">
        <f>IFERROR(__xludf.DUMMYFUNCTION("""COMPUTED_VALUE"""),"SO")</f>
        <v>SO</v>
      </c>
      <c r="D530" t="str">
        <f>IFERROR(__xludf.DUMMYFUNCTION("""COMPUTED_VALUE"""),"JE414N1")</f>
        <v>JE414N1</v>
      </c>
      <c r="E530" t="str">
        <f>IFERROR(__xludf.DUMMYFUNCTION("""COMPUTED_VALUE"""),"P1072")</f>
        <v>P1072</v>
      </c>
      <c r="F530" t="str">
        <f t="array" ref="F530">if(iserror(index(fish_lab_data!C:C,match(B530,fish_lab_data!C:C,0))),"not dissected","dissected")</f>
        <v>dissected</v>
      </c>
    </row>
    <row r="531">
      <c r="A531" t="str">
        <f t="shared" si="1"/>
        <v>16661</v>
      </c>
      <c r="B531" t="str">
        <f>IFERROR(__xludf.DUMMYFUNCTION("""COMPUTED_VALUE"""),"U16661")</f>
        <v>U16661</v>
      </c>
      <c r="C531" t="str">
        <f>IFERROR(__xludf.DUMMYFUNCTION("""COMPUTED_VALUE"""),"SO")</f>
        <v>SO</v>
      </c>
      <c r="D531" t="str">
        <f>IFERROR(__xludf.DUMMYFUNCTION("""COMPUTED_VALUE"""),"JE414N1")</f>
        <v>JE414N1</v>
      </c>
      <c r="E531" t="str">
        <f>IFERROR(__xludf.DUMMYFUNCTION("""COMPUTED_VALUE"""),"P1067")</f>
        <v>P1067</v>
      </c>
      <c r="F531" t="str">
        <f t="array" ref="F531">if(iserror(index(fish_lab_data!C:C,match(B531,fish_lab_data!C:C,0))),"not dissected","dissected")</f>
        <v>dissected</v>
      </c>
    </row>
    <row r="532">
      <c r="A532" t="str">
        <f t="shared" si="1"/>
        <v>16662</v>
      </c>
      <c r="B532" t="str">
        <f>IFERROR(__xludf.DUMMYFUNCTION("""COMPUTED_VALUE"""),"U16662")</f>
        <v>U16662</v>
      </c>
      <c r="C532" t="str">
        <f>IFERROR(__xludf.DUMMYFUNCTION("""COMPUTED_VALUE"""),"SO")</f>
        <v>SO</v>
      </c>
      <c r="D532" t="str">
        <f>IFERROR(__xludf.DUMMYFUNCTION("""COMPUTED_VALUE"""),"JE414N1")</f>
        <v>JE414N1</v>
      </c>
      <c r="E532" t="str">
        <f>IFERROR(__xludf.DUMMYFUNCTION("""COMPUTED_VALUE"""),"P1067")</f>
        <v>P1067</v>
      </c>
      <c r="F532" t="str">
        <f t="array" ref="F532">if(iserror(index(fish_lab_data!C:C,match(B532,fish_lab_data!C:C,0))),"not dissected","dissected")</f>
        <v>dissected</v>
      </c>
    </row>
    <row r="533">
      <c r="A533" t="str">
        <f t="shared" si="1"/>
        <v>16663</v>
      </c>
      <c r="B533" t="str">
        <f>IFERROR(__xludf.DUMMYFUNCTION("""COMPUTED_VALUE"""),"U16663")</f>
        <v>U16663</v>
      </c>
      <c r="C533" t="str">
        <f>IFERROR(__xludf.DUMMYFUNCTION("""COMPUTED_VALUE"""),"SO")</f>
        <v>SO</v>
      </c>
      <c r="D533" t="str">
        <f>IFERROR(__xludf.DUMMYFUNCTION("""COMPUTED_VALUE"""),"JE414N1")</f>
        <v>JE414N1</v>
      </c>
      <c r="E533" t="str">
        <f>IFERROR(__xludf.DUMMYFUNCTION("""COMPUTED_VALUE"""),"P1067")</f>
        <v>P1067</v>
      </c>
      <c r="F533" t="str">
        <f t="array" ref="F533">if(iserror(index(fish_lab_data!C:C,match(B533,fish_lab_data!C:C,0))),"not dissected","dissected")</f>
        <v>dissected</v>
      </c>
    </row>
    <row r="534">
      <c r="A534" t="str">
        <f t="shared" si="1"/>
        <v>16664</v>
      </c>
      <c r="B534" t="str">
        <f>IFERROR(__xludf.DUMMYFUNCTION("""COMPUTED_VALUE"""),"U16664")</f>
        <v>U16664</v>
      </c>
      <c r="C534" t="str">
        <f>IFERROR(__xludf.DUMMYFUNCTION("""COMPUTED_VALUE"""),"SO")</f>
        <v>SO</v>
      </c>
      <c r="D534" t="str">
        <f>IFERROR(__xludf.DUMMYFUNCTION("""COMPUTED_VALUE"""),"JE414N1")</f>
        <v>JE414N1</v>
      </c>
      <c r="E534" t="str">
        <f>IFERROR(__xludf.DUMMYFUNCTION("""COMPUTED_VALUE"""),"P1067")</f>
        <v>P1067</v>
      </c>
      <c r="F534" t="str">
        <f t="array" ref="F534">if(iserror(index(fish_lab_data!C:C,match(B534,fish_lab_data!C:C,0))),"not dissected","dissected")</f>
        <v>dissected</v>
      </c>
    </row>
    <row r="535">
      <c r="A535" t="str">
        <f t="shared" si="1"/>
        <v>16665</v>
      </c>
      <c r="B535" t="str">
        <f>IFERROR(__xludf.DUMMYFUNCTION("""COMPUTED_VALUE"""),"U16665")</f>
        <v>U16665</v>
      </c>
      <c r="C535" t="str">
        <f>IFERROR(__xludf.DUMMYFUNCTION("""COMPUTED_VALUE"""),"SO")</f>
        <v>SO</v>
      </c>
      <c r="D535" t="str">
        <f>IFERROR(__xludf.DUMMYFUNCTION("""COMPUTED_VALUE"""),"JE414N1")</f>
        <v>JE414N1</v>
      </c>
      <c r="E535" t="str">
        <f>IFERROR(__xludf.DUMMYFUNCTION("""COMPUTED_VALUE"""),"P1067")</f>
        <v>P1067</v>
      </c>
      <c r="F535" t="str">
        <f t="array" ref="F535">if(iserror(index(fish_lab_data!C:C,match(B535,fish_lab_data!C:C,0))),"not dissected","dissected")</f>
        <v>dissected</v>
      </c>
    </row>
    <row r="536">
      <c r="A536" t="str">
        <f t="shared" si="1"/>
        <v>16666</v>
      </c>
      <c r="B536" t="str">
        <f>IFERROR(__xludf.DUMMYFUNCTION("""COMPUTED_VALUE"""),"U16666")</f>
        <v>U16666</v>
      </c>
      <c r="C536" t="str">
        <f>IFERROR(__xludf.DUMMYFUNCTION("""COMPUTED_VALUE"""),"SO")</f>
        <v>SO</v>
      </c>
      <c r="D536" t="str">
        <f>IFERROR(__xludf.DUMMYFUNCTION("""COMPUTED_VALUE"""),"JE414N1")</f>
        <v>JE414N1</v>
      </c>
      <c r="E536" t="str">
        <f>IFERROR(__xludf.DUMMYFUNCTION("""COMPUTED_VALUE"""),"P1067")</f>
        <v>P1067</v>
      </c>
      <c r="F536" t="str">
        <f t="array" ref="F536">if(iserror(index(fish_lab_data!C:C,match(B536,fish_lab_data!C:C,0))),"not dissected","dissected")</f>
        <v>dissected</v>
      </c>
    </row>
    <row r="537">
      <c r="A537" t="str">
        <f t="shared" si="1"/>
        <v>16667</v>
      </c>
      <c r="B537" t="str">
        <f>IFERROR(__xludf.DUMMYFUNCTION("""COMPUTED_VALUE"""),"U16667")</f>
        <v>U16667</v>
      </c>
      <c r="C537" t="str">
        <f>IFERROR(__xludf.DUMMYFUNCTION("""COMPUTED_VALUE"""),"SO")</f>
        <v>SO</v>
      </c>
      <c r="D537" t="str">
        <f>IFERROR(__xludf.DUMMYFUNCTION("""COMPUTED_VALUE"""),"JE414N1")</f>
        <v>JE414N1</v>
      </c>
      <c r="E537" t="str">
        <f>IFERROR(__xludf.DUMMYFUNCTION("""COMPUTED_VALUE"""),"P1067")</f>
        <v>P1067</v>
      </c>
      <c r="F537" t="str">
        <f t="array" ref="F537">if(iserror(index(fish_lab_data!C:C,match(B537,fish_lab_data!C:C,0))),"not dissected","dissected")</f>
        <v>dissected</v>
      </c>
    </row>
    <row r="538">
      <c r="A538" t="str">
        <f t="shared" si="1"/>
        <v>16668</v>
      </c>
      <c r="B538" t="str">
        <f>IFERROR(__xludf.DUMMYFUNCTION("""COMPUTED_VALUE"""),"U16668")</f>
        <v>U16668</v>
      </c>
      <c r="C538" t="str">
        <f>IFERROR(__xludf.DUMMYFUNCTION("""COMPUTED_VALUE"""),"SO")</f>
        <v>SO</v>
      </c>
      <c r="D538" t="str">
        <f>IFERROR(__xludf.DUMMYFUNCTION("""COMPUTED_VALUE"""),"JE414N1")</f>
        <v>JE414N1</v>
      </c>
      <c r="E538" t="str">
        <f>IFERROR(__xludf.DUMMYFUNCTION("""COMPUTED_VALUE"""),"P1067")</f>
        <v>P1067</v>
      </c>
      <c r="F538" t="str">
        <f t="array" ref="F538">if(iserror(index(fish_lab_data!C:C,match(B538,fish_lab_data!C:C,0))),"not dissected","dissected")</f>
        <v>dissected</v>
      </c>
    </row>
    <row r="539">
      <c r="A539" t="str">
        <f t="shared" si="1"/>
        <v>16669</v>
      </c>
      <c r="B539" t="str">
        <f>IFERROR(__xludf.DUMMYFUNCTION("""COMPUTED_VALUE"""),"U16669")</f>
        <v>U16669</v>
      </c>
      <c r="C539" t="str">
        <f>IFERROR(__xludf.DUMMYFUNCTION("""COMPUTED_VALUE"""),"SO")</f>
        <v>SO</v>
      </c>
      <c r="D539" t="str">
        <f>IFERROR(__xludf.DUMMYFUNCTION("""COMPUTED_VALUE"""),"JE414N1")</f>
        <v>JE414N1</v>
      </c>
      <c r="E539" t="str">
        <f>IFERROR(__xludf.DUMMYFUNCTION("""COMPUTED_VALUE"""),"P1067")</f>
        <v>P1067</v>
      </c>
      <c r="F539" t="str">
        <f t="array" ref="F539">if(iserror(index(fish_lab_data!C:C,match(B539,fish_lab_data!C:C,0))),"not dissected","dissected")</f>
        <v>dissected</v>
      </c>
    </row>
    <row r="540">
      <c r="A540" t="str">
        <f t="shared" si="1"/>
        <v>16670</v>
      </c>
      <c r="B540" t="str">
        <f>IFERROR(__xludf.DUMMYFUNCTION("""COMPUTED_VALUE"""),"U16670")</f>
        <v>U16670</v>
      </c>
      <c r="C540" t="str">
        <f>IFERROR(__xludf.DUMMYFUNCTION("""COMPUTED_VALUE"""),"SO")</f>
        <v>SO</v>
      </c>
      <c r="D540" t="str">
        <f>IFERROR(__xludf.DUMMYFUNCTION("""COMPUTED_VALUE"""),"JE414N1")</f>
        <v>JE414N1</v>
      </c>
      <c r="E540" t="str">
        <f>IFERROR(__xludf.DUMMYFUNCTION("""COMPUTED_VALUE"""),"P1067")</f>
        <v>P1067</v>
      </c>
      <c r="F540" t="str">
        <f t="array" ref="F540">if(iserror(index(fish_lab_data!C:C,match(B540,fish_lab_data!C:C,0))),"not dissected","dissected")</f>
        <v>dissected</v>
      </c>
    </row>
    <row r="541">
      <c r="A541" t="str">
        <f t="shared" si="1"/>
        <v>16861</v>
      </c>
      <c r="B541" t="str">
        <f>IFERROR(__xludf.DUMMYFUNCTION("""COMPUTED_VALUE"""),"U16861")</f>
        <v>U16861</v>
      </c>
      <c r="C541" t="str">
        <f>IFERROR(__xludf.DUMMYFUNCTION("""COMPUTED_VALUE"""),"CO")</f>
        <v>CO</v>
      </c>
      <c r="D541" t="str">
        <f>IFERROR(__xludf.DUMMYFUNCTION("""COMPUTED_VALUE"""),"JE414N1")</f>
        <v>JE414N1</v>
      </c>
      <c r="E541" t="str">
        <f>IFERROR(__xludf.DUMMYFUNCTION("""COMPUTED_VALUE"""),"P1087")</f>
        <v>P1087</v>
      </c>
      <c r="F541" t="str">
        <f t="array" ref="F541">if(iserror(index(fish_lab_data!C:C,match(B541,fish_lab_data!C:C,0))),"not dissected","dissected")</f>
        <v>dissected</v>
      </c>
    </row>
    <row r="542">
      <c r="A542" t="str">
        <f t="shared" si="1"/>
        <v>16862</v>
      </c>
      <c r="B542" t="str">
        <f>IFERROR(__xludf.DUMMYFUNCTION("""COMPUTED_VALUE"""),"U16862")</f>
        <v>U16862</v>
      </c>
      <c r="C542" t="str">
        <f>IFERROR(__xludf.DUMMYFUNCTION("""COMPUTED_VALUE"""),"CO")</f>
        <v>CO</v>
      </c>
      <c r="D542" t="str">
        <f>IFERROR(__xludf.DUMMYFUNCTION("""COMPUTED_VALUE"""),"JE414N1")</f>
        <v>JE414N1</v>
      </c>
      <c r="E542" t="str">
        <f>IFERROR(__xludf.DUMMYFUNCTION("""COMPUTED_VALUE"""),"P1087")</f>
        <v>P1087</v>
      </c>
      <c r="F542" t="str">
        <f t="array" ref="F542">if(iserror(index(fish_lab_data!C:C,match(B542,fish_lab_data!C:C,0))),"not dissected","dissected")</f>
        <v>dissected</v>
      </c>
    </row>
    <row r="543">
      <c r="A543" t="str">
        <f t="shared" si="1"/>
        <v>16863</v>
      </c>
      <c r="B543" t="str">
        <f>IFERROR(__xludf.DUMMYFUNCTION("""COMPUTED_VALUE"""),"U16863")</f>
        <v>U16863</v>
      </c>
      <c r="C543" t="str">
        <f>IFERROR(__xludf.DUMMYFUNCTION("""COMPUTED_VALUE"""),"CO")</f>
        <v>CO</v>
      </c>
      <c r="D543" t="str">
        <f>IFERROR(__xludf.DUMMYFUNCTION("""COMPUTED_VALUE"""),"JE414N1")</f>
        <v>JE414N1</v>
      </c>
      <c r="E543" t="str">
        <f>IFERROR(__xludf.DUMMYFUNCTION("""COMPUTED_VALUE"""),"P1087")</f>
        <v>P1087</v>
      </c>
      <c r="F543" t="str">
        <f t="array" ref="F543">if(iserror(index(fish_lab_data!C:C,match(B543,fish_lab_data!C:C,0))),"not dissected","dissected")</f>
        <v>dissected</v>
      </c>
    </row>
    <row r="544">
      <c r="A544" t="str">
        <f t="shared" si="1"/>
        <v>17231</v>
      </c>
      <c r="B544" t="str">
        <f>IFERROR(__xludf.DUMMYFUNCTION("""COMPUTED_VALUE"""),"U17231")</f>
        <v>U17231</v>
      </c>
      <c r="C544" t="str">
        <f>IFERROR(__xludf.DUMMYFUNCTION("""COMPUTED_VALUE"""),"SO")</f>
        <v>SO</v>
      </c>
      <c r="D544" t="str">
        <f>IFERROR(__xludf.DUMMYFUNCTION("""COMPUTED_VALUE"""),"DE522N1")</f>
        <v>DE522N1</v>
      </c>
      <c r="E544" t="str">
        <f>IFERROR(__xludf.DUMMYFUNCTION("""COMPUTED_VALUE"""),"P1124")</f>
        <v>P1124</v>
      </c>
      <c r="F544" t="str">
        <f t="array" ref="F544">if(iserror(index(fish_lab_data!C:C,match(B544,fish_lab_data!C:C,0))),"not dissected","dissected")</f>
        <v>dissected</v>
      </c>
    </row>
    <row r="545">
      <c r="A545" t="str">
        <f t="shared" si="1"/>
        <v>17232</v>
      </c>
      <c r="B545" t="str">
        <f>IFERROR(__xludf.DUMMYFUNCTION("""COMPUTED_VALUE"""),"U17232")</f>
        <v>U17232</v>
      </c>
      <c r="C545" t="str">
        <f>IFERROR(__xludf.DUMMYFUNCTION("""COMPUTED_VALUE"""),"SO")</f>
        <v>SO</v>
      </c>
      <c r="D545" t="str">
        <f>IFERROR(__xludf.DUMMYFUNCTION("""COMPUTED_VALUE"""),"DE522N1")</f>
        <v>DE522N1</v>
      </c>
      <c r="E545" t="str">
        <f>IFERROR(__xludf.DUMMYFUNCTION("""COMPUTED_VALUE"""),"P1124")</f>
        <v>P1124</v>
      </c>
      <c r="F545" t="str">
        <f t="array" ref="F545">if(iserror(index(fish_lab_data!C:C,match(B545,fish_lab_data!C:C,0))),"not dissected","dissected")</f>
        <v>dissected</v>
      </c>
    </row>
    <row r="546">
      <c r="A546" t="str">
        <f t="shared" si="1"/>
        <v>17233</v>
      </c>
      <c r="B546" t="str">
        <f>IFERROR(__xludf.DUMMYFUNCTION("""COMPUTED_VALUE"""),"U17233")</f>
        <v>U17233</v>
      </c>
      <c r="C546" t="str">
        <f>IFERROR(__xludf.DUMMYFUNCTION("""COMPUTED_VALUE"""),"SO")</f>
        <v>SO</v>
      </c>
      <c r="D546" t="str">
        <f>IFERROR(__xludf.DUMMYFUNCTION("""COMPUTED_VALUE"""),"DE522N1")</f>
        <v>DE522N1</v>
      </c>
      <c r="E546" t="str">
        <f>IFERROR(__xludf.DUMMYFUNCTION("""COMPUTED_VALUE"""),"P1124")</f>
        <v>P1124</v>
      </c>
      <c r="F546" t="str">
        <f t="array" ref="F546">if(iserror(index(fish_lab_data!C:C,match(B546,fish_lab_data!C:C,0))),"not dissected","dissected")</f>
        <v>dissected</v>
      </c>
    </row>
    <row r="547">
      <c r="A547" t="str">
        <f t="shared" si="1"/>
        <v>17234</v>
      </c>
      <c r="B547" t="str">
        <f>IFERROR(__xludf.DUMMYFUNCTION("""COMPUTED_VALUE"""),"U17234")</f>
        <v>U17234</v>
      </c>
      <c r="C547" t="str">
        <f>IFERROR(__xludf.DUMMYFUNCTION("""COMPUTED_VALUE"""),"SO")</f>
        <v>SO</v>
      </c>
      <c r="D547" t="str">
        <f>IFERROR(__xludf.DUMMYFUNCTION("""COMPUTED_VALUE"""),"DE522N1")</f>
        <v>DE522N1</v>
      </c>
      <c r="E547" t="str">
        <f>IFERROR(__xludf.DUMMYFUNCTION("""COMPUTED_VALUE"""),"P1124")</f>
        <v>P1124</v>
      </c>
      <c r="F547" t="str">
        <f t="array" ref="F547">if(iserror(index(fish_lab_data!C:C,match(B547,fish_lab_data!C:C,0))),"not dissected","dissected")</f>
        <v>dissected</v>
      </c>
    </row>
    <row r="548">
      <c r="A548" t="str">
        <f t="shared" si="1"/>
        <v>17235</v>
      </c>
      <c r="B548" t="str">
        <f>IFERROR(__xludf.DUMMYFUNCTION("""COMPUTED_VALUE"""),"U17235")</f>
        <v>U17235</v>
      </c>
      <c r="C548" t="str">
        <f>IFERROR(__xludf.DUMMYFUNCTION("""COMPUTED_VALUE"""),"SO")</f>
        <v>SO</v>
      </c>
      <c r="D548" t="str">
        <f>IFERROR(__xludf.DUMMYFUNCTION("""COMPUTED_VALUE"""),"DE522N1")</f>
        <v>DE522N1</v>
      </c>
      <c r="E548" t="str">
        <f>IFERROR(__xludf.DUMMYFUNCTION("""COMPUTED_VALUE"""),"P1124")</f>
        <v>P1124</v>
      </c>
      <c r="F548" t="str">
        <f t="array" ref="F548">if(iserror(index(fish_lab_data!C:C,match(B548,fish_lab_data!C:C,0))),"not dissected","dissected")</f>
        <v>dissected</v>
      </c>
    </row>
    <row r="549">
      <c r="A549" t="str">
        <f t="shared" si="1"/>
        <v>17236</v>
      </c>
      <c r="B549" t="str">
        <f>IFERROR(__xludf.DUMMYFUNCTION("""COMPUTED_VALUE"""),"U17236")</f>
        <v>U17236</v>
      </c>
      <c r="C549" t="str">
        <f>IFERROR(__xludf.DUMMYFUNCTION("""COMPUTED_VALUE"""),"SO")</f>
        <v>SO</v>
      </c>
      <c r="D549" t="str">
        <f>IFERROR(__xludf.DUMMYFUNCTION("""COMPUTED_VALUE"""),"DE522N1")</f>
        <v>DE522N1</v>
      </c>
      <c r="E549" t="str">
        <f>IFERROR(__xludf.DUMMYFUNCTION("""COMPUTED_VALUE"""),"P1124")</f>
        <v>P1124</v>
      </c>
      <c r="F549" t="str">
        <f t="array" ref="F549">if(iserror(index(fish_lab_data!C:C,match(B549,fish_lab_data!C:C,0))),"not dissected","dissected")</f>
        <v>dissected</v>
      </c>
    </row>
    <row r="550">
      <c r="A550" t="str">
        <f t="shared" si="1"/>
        <v>17237</v>
      </c>
      <c r="B550" t="str">
        <f>IFERROR(__xludf.DUMMYFUNCTION("""COMPUTED_VALUE"""),"U17237")</f>
        <v>U17237</v>
      </c>
      <c r="C550" t="str">
        <f>IFERROR(__xludf.DUMMYFUNCTION("""COMPUTED_VALUE"""),"SO")</f>
        <v>SO</v>
      </c>
      <c r="D550" t="str">
        <f>IFERROR(__xludf.DUMMYFUNCTION("""COMPUTED_VALUE"""),"DE522N1")</f>
        <v>DE522N1</v>
      </c>
      <c r="E550" t="str">
        <f>IFERROR(__xludf.DUMMYFUNCTION("""COMPUTED_VALUE"""),"P1124")</f>
        <v>P1124</v>
      </c>
      <c r="F550" t="str">
        <f t="array" ref="F550">if(iserror(index(fish_lab_data!C:C,match(B550,fish_lab_data!C:C,0))),"not dissected","dissected")</f>
        <v>dissected</v>
      </c>
    </row>
    <row r="551">
      <c r="A551" t="str">
        <f t="shared" si="1"/>
        <v>17238</v>
      </c>
      <c r="B551" t="str">
        <f>IFERROR(__xludf.DUMMYFUNCTION("""COMPUTED_VALUE"""),"U17238")</f>
        <v>U17238</v>
      </c>
      <c r="C551" t="str">
        <f>IFERROR(__xludf.DUMMYFUNCTION("""COMPUTED_VALUE"""),"SO")</f>
        <v>SO</v>
      </c>
      <c r="D551" t="str">
        <f>IFERROR(__xludf.DUMMYFUNCTION("""COMPUTED_VALUE"""),"DE522N1")</f>
        <v>DE522N1</v>
      </c>
      <c r="E551" t="str">
        <f>IFERROR(__xludf.DUMMYFUNCTION("""COMPUTED_VALUE"""),"P1124")</f>
        <v>P1124</v>
      </c>
      <c r="F551" t="str">
        <f t="array" ref="F551">if(iserror(index(fish_lab_data!C:C,match(B551,fish_lab_data!C:C,0))),"not dissected","dissected")</f>
        <v>dissected</v>
      </c>
    </row>
    <row r="552">
      <c r="A552" t="str">
        <f t="shared" si="1"/>
        <v>17239</v>
      </c>
      <c r="B552" t="str">
        <f>IFERROR(__xludf.DUMMYFUNCTION("""COMPUTED_VALUE"""),"U17239")</f>
        <v>U17239</v>
      </c>
      <c r="C552" t="str">
        <f>IFERROR(__xludf.DUMMYFUNCTION("""COMPUTED_VALUE"""),"SO")</f>
        <v>SO</v>
      </c>
      <c r="D552" t="str">
        <f>IFERROR(__xludf.DUMMYFUNCTION("""COMPUTED_VALUE"""),"DE522N1")</f>
        <v>DE522N1</v>
      </c>
      <c r="E552" t="str">
        <f>IFERROR(__xludf.DUMMYFUNCTION("""COMPUTED_VALUE"""),"P1124")</f>
        <v>P1124</v>
      </c>
      <c r="F552" t="str">
        <f t="array" ref="F552">if(iserror(index(fish_lab_data!C:C,match(B552,fish_lab_data!C:C,0))),"not dissected","dissected")</f>
        <v>dissected</v>
      </c>
    </row>
    <row r="553">
      <c r="A553" t="str">
        <f t="shared" si="1"/>
        <v>17240</v>
      </c>
      <c r="B553" t="str">
        <f>IFERROR(__xludf.DUMMYFUNCTION("""COMPUTED_VALUE"""),"U17240")</f>
        <v>U17240</v>
      </c>
      <c r="C553" t="str">
        <f>IFERROR(__xludf.DUMMYFUNCTION("""COMPUTED_VALUE"""),"SO")</f>
        <v>SO</v>
      </c>
      <c r="D553" t="str">
        <f>IFERROR(__xludf.DUMMYFUNCTION("""COMPUTED_VALUE"""),"DE522N1")</f>
        <v>DE522N1</v>
      </c>
      <c r="E553" t="str">
        <f>IFERROR(__xludf.DUMMYFUNCTION("""COMPUTED_VALUE"""),"P1124")</f>
        <v>P1124</v>
      </c>
      <c r="F553" t="str">
        <f t="array" ref="F553">if(iserror(index(fish_lab_data!C:C,match(B553,fish_lab_data!C:C,0))),"not dissected","dissected")</f>
        <v>dissected</v>
      </c>
    </row>
    <row r="554">
      <c r="A554" t="str">
        <f t="shared" si="1"/>
        <v>17251</v>
      </c>
      <c r="B554" t="str">
        <f>IFERROR(__xludf.DUMMYFUNCTION("""COMPUTED_VALUE"""),"U17251")</f>
        <v>U17251</v>
      </c>
      <c r="C554" t="str">
        <f>IFERROR(__xludf.DUMMYFUNCTION("""COMPUTED_VALUE"""),"PI")</f>
        <v>PI</v>
      </c>
      <c r="D554" t="str">
        <f>IFERROR(__xludf.DUMMYFUNCTION("""COMPUTED_VALUE"""),"DE522N1")</f>
        <v>DE522N1</v>
      </c>
      <c r="E554" t="str">
        <f>IFERROR(__xludf.DUMMYFUNCTION("""COMPUTED_VALUE"""),"P1126")</f>
        <v>P1126</v>
      </c>
      <c r="F554" t="str">
        <f t="array" ref="F554">if(iserror(index(fish_lab_data!C:C,match(B554,fish_lab_data!C:C,0))),"not dissected","dissected")</f>
        <v>dissected</v>
      </c>
    </row>
    <row r="555">
      <c r="A555" t="str">
        <f t="shared" si="1"/>
        <v>17252</v>
      </c>
      <c r="B555" t="str">
        <f>IFERROR(__xludf.DUMMYFUNCTION("""COMPUTED_VALUE"""),"U17252")</f>
        <v>U17252</v>
      </c>
      <c r="C555" t="str">
        <f>IFERROR(__xludf.DUMMYFUNCTION("""COMPUTED_VALUE"""),"PI")</f>
        <v>PI</v>
      </c>
      <c r="D555" t="str">
        <f>IFERROR(__xludf.DUMMYFUNCTION("""COMPUTED_VALUE"""),"DE522N1")</f>
        <v>DE522N1</v>
      </c>
      <c r="E555" t="str">
        <f>IFERROR(__xludf.DUMMYFUNCTION("""COMPUTED_VALUE"""),"P1126")</f>
        <v>P1126</v>
      </c>
      <c r="F555" t="str">
        <f t="array" ref="F555">if(iserror(index(fish_lab_data!C:C,match(B555,fish_lab_data!C:C,0))),"not dissected","dissected")</f>
        <v>dissected</v>
      </c>
    </row>
    <row r="556">
      <c r="A556" t="str">
        <f t="shared" si="1"/>
        <v>17253</v>
      </c>
      <c r="B556" t="str">
        <f>IFERROR(__xludf.DUMMYFUNCTION("""COMPUTED_VALUE"""),"U17253")</f>
        <v>U17253</v>
      </c>
      <c r="C556" t="str">
        <f>IFERROR(__xludf.DUMMYFUNCTION("""COMPUTED_VALUE"""),"PI")</f>
        <v>PI</v>
      </c>
      <c r="D556" t="str">
        <f>IFERROR(__xludf.DUMMYFUNCTION("""COMPUTED_VALUE"""),"DE522N1")</f>
        <v>DE522N1</v>
      </c>
      <c r="E556" t="str">
        <f>IFERROR(__xludf.DUMMYFUNCTION("""COMPUTED_VALUE"""),"P1126")</f>
        <v>P1126</v>
      </c>
      <c r="F556" t="str">
        <f t="array" ref="F556">if(iserror(index(fish_lab_data!C:C,match(B556,fish_lab_data!C:C,0))),"not dissected","dissected")</f>
        <v>dissected</v>
      </c>
    </row>
    <row r="557">
      <c r="A557" t="str">
        <f t="shared" si="1"/>
        <v>17254</v>
      </c>
      <c r="B557" t="str">
        <f>IFERROR(__xludf.DUMMYFUNCTION("""COMPUTED_VALUE"""),"U17254")</f>
        <v>U17254</v>
      </c>
      <c r="C557" t="str">
        <f>IFERROR(__xludf.DUMMYFUNCTION("""COMPUTED_VALUE"""),"PI")</f>
        <v>PI</v>
      </c>
      <c r="D557" t="str">
        <f>IFERROR(__xludf.DUMMYFUNCTION("""COMPUTED_VALUE"""),"DE522N1")</f>
        <v>DE522N1</v>
      </c>
      <c r="E557" t="str">
        <f>IFERROR(__xludf.DUMMYFUNCTION("""COMPUTED_VALUE"""),"P1126")</f>
        <v>P1126</v>
      </c>
      <c r="F557" t="str">
        <f t="array" ref="F557">if(iserror(index(fish_lab_data!C:C,match(B557,fish_lab_data!C:C,0))),"not dissected","dissected")</f>
        <v>dissected</v>
      </c>
    </row>
    <row r="558">
      <c r="A558" t="str">
        <f t="shared" si="1"/>
        <v>17255</v>
      </c>
      <c r="B558" t="str">
        <f>IFERROR(__xludf.DUMMYFUNCTION("""COMPUTED_VALUE"""),"U17255")</f>
        <v>U17255</v>
      </c>
      <c r="C558" t="str">
        <f>IFERROR(__xludf.DUMMYFUNCTION("""COMPUTED_VALUE"""),"PI")</f>
        <v>PI</v>
      </c>
      <c r="D558" t="str">
        <f>IFERROR(__xludf.DUMMYFUNCTION("""COMPUTED_VALUE"""),"DE522N1")</f>
        <v>DE522N1</v>
      </c>
      <c r="E558" t="str">
        <f>IFERROR(__xludf.DUMMYFUNCTION("""COMPUTED_VALUE"""),"P1126")</f>
        <v>P1126</v>
      </c>
      <c r="F558" t="str">
        <f t="array" ref="F558">if(iserror(index(fish_lab_data!C:C,match(B558,fish_lab_data!C:C,0))),"not dissected","dissected")</f>
        <v>dissected</v>
      </c>
    </row>
    <row r="559">
      <c r="A559" t="str">
        <f t="shared" si="1"/>
        <v>17256</v>
      </c>
      <c r="B559" t="str">
        <f>IFERROR(__xludf.DUMMYFUNCTION("""COMPUTED_VALUE"""),"U17256")</f>
        <v>U17256</v>
      </c>
      <c r="C559" t="str">
        <f>IFERROR(__xludf.DUMMYFUNCTION("""COMPUTED_VALUE"""),"PI")</f>
        <v>PI</v>
      </c>
      <c r="D559" t="str">
        <f>IFERROR(__xludf.DUMMYFUNCTION("""COMPUTED_VALUE"""),"DE522N1")</f>
        <v>DE522N1</v>
      </c>
      <c r="E559" t="str">
        <f>IFERROR(__xludf.DUMMYFUNCTION("""COMPUTED_VALUE"""),"P1126")</f>
        <v>P1126</v>
      </c>
      <c r="F559" t="str">
        <f t="array" ref="F559">if(iserror(index(fish_lab_data!C:C,match(B559,fish_lab_data!C:C,0))),"not dissected","dissected")</f>
        <v>dissected</v>
      </c>
    </row>
    <row r="560">
      <c r="A560" t="str">
        <f t="shared" si="1"/>
        <v>17257</v>
      </c>
      <c r="B560" t="str">
        <f>IFERROR(__xludf.DUMMYFUNCTION("""COMPUTED_VALUE"""),"U17257")</f>
        <v>U17257</v>
      </c>
      <c r="C560" t="str">
        <f>IFERROR(__xludf.DUMMYFUNCTION("""COMPUTED_VALUE"""),"PI")</f>
        <v>PI</v>
      </c>
      <c r="D560" t="str">
        <f>IFERROR(__xludf.DUMMYFUNCTION("""COMPUTED_VALUE"""),"DE522N1")</f>
        <v>DE522N1</v>
      </c>
      <c r="E560" t="str">
        <f>IFERROR(__xludf.DUMMYFUNCTION("""COMPUTED_VALUE"""),"P1126")</f>
        <v>P1126</v>
      </c>
      <c r="F560" t="str">
        <f t="array" ref="F560">if(iserror(index(fish_lab_data!C:C,match(B560,fish_lab_data!C:C,0))),"not dissected","dissected")</f>
        <v>dissected</v>
      </c>
    </row>
    <row r="561">
      <c r="A561" t="str">
        <f t="shared" si="1"/>
        <v>17258</v>
      </c>
      <c r="B561" t="str">
        <f>IFERROR(__xludf.DUMMYFUNCTION("""COMPUTED_VALUE"""),"U17258")</f>
        <v>U17258</v>
      </c>
      <c r="C561" t="str">
        <f>IFERROR(__xludf.DUMMYFUNCTION("""COMPUTED_VALUE"""),"PI")</f>
        <v>PI</v>
      </c>
      <c r="D561" t="str">
        <f>IFERROR(__xludf.DUMMYFUNCTION("""COMPUTED_VALUE"""),"DE522N1")</f>
        <v>DE522N1</v>
      </c>
      <c r="E561" t="str">
        <f>IFERROR(__xludf.DUMMYFUNCTION("""COMPUTED_VALUE"""),"P1126")</f>
        <v>P1126</v>
      </c>
      <c r="F561" t="str">
        <f t="array" ref="F561">if(iserror(index(fish_lab_data!C:C,match(B561,fish_lab_data!C:C,0))),"not dissected","dissected")</f>
        <v>dissected</v>
      </c>
    </row>
    <row r="562">
      <c r="A562" t="str">
        <f t="shared" si="1"/>
        <v>17259</v>
      </c>
      <c r="B562" t="str">
        <f>IFERROR(__xludf.DUMMYFUNCTION("""COMPUTED_VALUE"""),"U17259")</f>
        <v>U17259</v>
      </c>
      <c r="C562" t="str">
        <f>IFERROR(__xludf.DUMMYFUNCTION("""COMPUTED_VALUE"""),"PI")</f>
        <v>PI</v>
      </c>
      <c r="D562" t="str">
        <f>IFERROR(__xludf.DUMMYFUNCTION("""COMPUTED_VALUE"""),"DE522N1")</f>
        <v>DE522N1</v>
      </c>
      <c r="E562" t="str">
        <f>IFERROR(__xludf.DUMMYFUNCTION("""COMPUTED_VALUE"""),"P1126")</f>
        <v>P1126</v>
      </c>
      <c r="F562" t="str">
        <f t="array" ref="F562">if(iserror(index(fish_lab_data!C:C,match(B562,fish_lab_data!C:C,0))),"not dissected","dissected")</f>
        <v>dissected</v>
      </c>
    </row>
    <row r="563">
      <c r="A563" t="str">
        <f t="shared" si="1"/>
        <v>17260</v>
      </c>
      <c r="B563" t="str">
        <f>IFERROR(__xludf.DUMMYFUNCTION("""COMPUTED_VALUE"""),"U17260")</f>
        <v>U17260</v>
      </c>
      <c r="C563" t="str">
        <f>IFERROR(__xludf.DUMMYFUNCTION("""COMPUTED_VALUE"""),"PI")</f>
        <v>PI</v>
      </c>
      <c r="D563" t="str">
        <f>IFERROR(__xludf.DUMMYFUNCTION("""COMPUTED_VALUE"""),"DE522N1")</f>
        <v>DE522N1</v>
      </c>
      <c r="E563" t="str">
        <f>IFERROR(__xludf.DUMMYFUNCTION("""COMPUTED_VALUE"""),"P1126")</f>
        <v>P1126</v>
      </c>
      <c r="F563" t="str">
        <f t="array" ref="F563">if(iserror(index(fish_lab_data!C:C,match(B563,fish_lab_data!C:C,0))),"not dissected","dissected")</f>
        <v>dissected</v>
      </c>
    </row>
    <row r="564">
      <c r="A564" t="str">
        <f t="shared" si="1"/>
        <v>17081</v>
      </c>
      <c r="B564" t="str">
        <f>IFERROR(__xludf.DUMMYFUNCTION("""COMPUTED_VALUE"""),"U17081")</f>
        <v>U17081</v>
      </c>
      <c r="C564" t="str">
        <f>IFERROR(__xludf.DUMMYFUNCTION("""COMPUTED_VALUE"""),"CU")</f>
        <v>CU</v>
      </c>
      <c r="D564" t="str">
        <f>IFERROR(__xludf.DUMMYFUNCTION("""COMPUTED_VALUE"""),"DE522N1")</f>
        <v>DE522N1</v>
      </c>
      <c r="E564" t="str">
        <f>IFERROR(__xludf.DUMMYFUNCTION("""COMPUTED_VALUE"""),"P1109")</f>
        <v>P1109</v>
      </c>
      <c r="F564" t="str">
        <f t="array" ref="F564">if(iserror(index(fish_lab_data!C:C,match(B564,fish_lab_data!C:C,0))),"not dissected","dissected")</f>
        <v>dissected</v>
      </c>
    </row>
    <row r="565">
      <c r="A565" t="str">
        <f t="shared" si="1"/>
        <v>17082</v>
      </c>
      <c r="B565" t="str">
        <f>IFERROR(__xludf.DUMMYFUNCTION("""COMPUTED_VALUE"""),"U17082")</f>
        <v>U17082</v>
      </c>
      <c r="C565" t="str">
        <f>IFERROR(__xludf.DUMMYFUNCTION("""COMPUTED_VALUE"""),"CU")</f>
        <v>CU</v>
      </c>
      <c r="D565" t="str">
        <f>IFERROR(__xludf.DUMMYFUNCTION("""COMPUTED_VALUE"""),"DE522N1")</f>
        <v>DE522N1</v>
      </c>
      <c r="E565" t="str">
        <f>IFERROR(__xludf.DUMMYFUNCTION("""COMPUTED_VALUE"""),"P1109")</f>
        <v>P1109</v>
      </c>
      <c r="F565" t="str">
        <f t="array" ref="F565">if(iserror(index(fish_lab_data!C:C,match(B565,fish_lab_data!C:C,0))),"not dissected","dissected")</f>
        <v>dissected</v>
      </c>
    </row>
    <row r="566">
      <c r="A566" t="str">
        <f t="shared" si="1"/>
        <v>17083</v>
      </c>
      <c r="B566" t="str">
        <f>IFERROR(__xludf.DUMMYFUNCTION("""COMPUTED_VALUE"""),"U17083")</f>
        <v>U17083</v>
      </c>
      <c r="C566" t="str">
        <f>IFERROR(__xludf.DUMMYFUNCTION("""COMPUTED_VALUE"""),"CU")</f>
        <v>CU</v>
      </c>
      <c r="D566" t="str">
        <f>IFERROR(__xludf.DUMMYFUNCTION("""COMPUTED_VALUE"""),"DE522N1")</f>
        <v>DE522N1</v>
      </c>
      <c r="E566" t="str">
        <f>IFERROR(__xludf.DUMMYFUNCTION("""COMPUTED_VALUE"""),"P1109")</f>
        <v>P1109</v>
      </c>
      <c r="F566" t="str">
        <f t="array" ref="F566">if(iserror(index(fish_lab_data!C:C,match(B566,fish_lab_data!C:C,0))),"not dissected","dissected")</f>
        <v>dissected</v>
      </c>
    </row>
    <row r="567">
      <c r="A567" t="str">
        <f t="shared" si="1"/>
        <v>17084</v>
      </c>
      <c r="B567" t="str">
        <f>IFERROR(__xludf.DUMMYFUNCTION("""COMPUTED_VALUE"""),"U17084")</f>
        <v>U17084</v>
      </c>
      <c r="C567" t="str">
        <f>IFERROR(__xludf.DUMMYFUNCTION("""COMPUTED_VALUE"""),"CU")</f>
        <v>CU</v>
      </c>
      <c r="D567" t="str">
        <f>IFERROR(__xludf.DUMMYFUNCTION("""COMPUTED_VALUE"""),"DE522N1")</f>
        <v>DE522N1</v>
      </c>
      <c r="E567" t="str">
        <f>IFERROR(__xludf.DUMMYFUNCTION("""COMPUTED_VALUE"""),"P1109")</f>
        <v>P1109</v>
      </c>
      <c r="F567" t="str">
        <f t="array" ref="F567">if(iserror(index(fish_lab_data!C:C,match(B567,fish_lab_data!C:C,0))),"not dissected","dissected")</f>
        <v>dissected</v>
      </c>
    </row>
    <row r="568">
      <c r="A568" t="str">
        <f t="shared" si="1"/>
        <v>17085</v>
      </c>
      <c r="B568" t="str">
        <f>IFERROR(__xludf.DUMMYFUNCTION("""COMPUTED_VALUE"""),"U17085")</f>
        <v>U17085</v>
      </c>
      <c r="C568" t="str">
        <f>IFERROR(__xludf.DUMMYFUNCTION("""COMPUTED_VALUE"""),"CU")</f>
        <v>CU</v>
      </c>
      <c r="D568" t="str">
        <f>IFERROR(__xludf.DUMMYFUNCTION("""COMPUTED_VALUE"""),"DE522N1")</f>
        <v>DE522N1</v>
      </c>
      <c r="E568" t="str">
        <f>IFERROR(__xludf.DUMMYFUNCTION("""COMPUTED_VALUE"""),"P1109")</f>
        <v>P1109</v>
      </c>
      <c r="F568" t="str">
        <f t="array" ref="F568">if(iserror(index(fish_lab_data!C:C,match(B568,fish_lab_data!C:C,0))),"not dissected","dissected")</f>
        <v>dissected</v>
      </c>
    </row>
    <row r="569">
      <c r="A569" t="str">
        <f t="shared" si="1"/>
        <v>17086</v>
      </c>
      <c r="B569" t="str">
        <f>IFERROR(__xludf.DUMMYFUNCTION("""COMPUTED_VALUE"""),"U17086")</f>
        <v>U17086</v>
      </c>
      <c r="C569" t="str">
        <f>IFERROR(__xludf.DUMMYFUNCTION("""COMPUTED_VALUE"""),"CU")</f>
        <v>CU</v>
      </c>
      <c r="D569" t="str">
        <f>IFERROR(__xludf.DUMMYFUNCTION("""COMPUTED_VALUE"""),"DE522N1")</f>
        <v>DE522N1</v>
      </c>
      <c r="E569" t="str">
        <f>IFERROR(__xludf.DUMMYFUNCTION("""COMPUTED_VALUE"""),"P1109")</f>
        <v>P1109</v>
      </c>
      <c r="F569" t="str">
        <f t="array" ref="F569">if(iserror(index(fish_lab_data!C:C,match(B569,fish_lab_data!C:C,0))),"not dissected","dissected")</f>
        <v>dissected</v>
      </c>
    </row>
    <row r="570">
      <c r="A570" t="str">
        <f t="shared" si="1"/>
        <v>17087</v>
      </c>
      <c r="B570" t="str">
        <f>IFERROR(__xludf.DUMMYFUNCTION("""COMPUTED_VALUE"""),"U17087")</f>
        <v>U17087</v>
      </c>
      <c r="C570" t="str">
        <f>IFERROR(__xludf.DUMMYFUNCTION("""COMPUTED_VALUE"""),"CU")</f>
        <v>CU</v>
      </c>
      <c r="D570" t="str">
        <f>IFERROR(__xludf.DUMMYFUNCTION("""COMPUTED_VALUE"""),"DE522N1")</f>
        <v>DE522N1</v>
      </c>
      <c r="E570" t="str">
        <f>IFERROR(__xludf.DUMMYFUNCTION("""COMPUTED_VALUE"""),"P1109")</f>
        <v>P1109</v>
      </c>
      <c r="F570" t="str">
        <f t="array" ref="F570">if(iserror(index(fish_lab_data!C:C,match(B570,fish_lab_data!C:C,0))),"not dissected","dissected")</f>
        <v>dissected</v>
      </c>
    </row>
    <row r="571">
      <c r="A571" t="str">
        <f t="shared" si="1"/>
        <v>17088</v>
      </c>
      <c r="B571" t="str">
        <f>IFERROR(__xludf.DUMMYFUNCTION("""COMPUTED_VALUE"""),"U17088")</f>
        <v>U17088</v>
      </c>
      <c r="C571" t="str">
        <f>IFERROR(__xludf.DUMMYFUNCTION("""COMPUTED_VALUE"""),"CU")</f>
        <v>CU</v>
      </c>
      <c r="D571" t="str">
        <f>IFERROR(__xludf.DUMMYFUNCTION("""COMPUTED_VALUE"""),"DE522N1")</f>
        <v>DE522N1</v>
      </c>
      <c r="E571" t="str">
        <f>IFERROR(__xludf.DUMMYFUNCTION("""COMPUTED_VALUE"""),"P1109")</f>
        <v>P1109</v>
      </c>
      <c r="F571" t="str">
        <f t="array" ref="F571">if(iserror(index(fish_lab_data!C:C,match(B571,fish_lab_data!C:C,0))),"not dissected","dissected")</f>
        <v>dissected</v>
      </c>
    </row>
    <row r="572">
      <c r="A572" t="str">
        <f t="shared" si="1"/>
        <v>17089</v>
      </c>
      <c r="B572" t="str">
        <f>IFERROR(__xludf.DUMMYFUNCTION("""COMPUTED_VALUE"""),"U17089")</f>
        <v>U17089</v>
      </c>
      <c r="C572" t="str">
        <f>IFERROR(__xludf.DUMMYFUNCTION("""COMPUTED_VALUE"""),"CU")</f>
        <v>CU</v>
      </c>
      <c r="D572" t="str">
        <f>IFERROR(__xludf.DUMMYFUNCTION("""COMPUTED_VALUE"""),"DE522N1")</f>
        <v>DE522N1</v>
      </c>
      <c r="E572" t="str">
        <f>IFERROR(__xludf.DUMMYFUNCTION("""COMPUTED_VALUE"""),"P1109")</f>
        <v>P1109</v>
      </c>
      <c r="F572" t="str">
        <f t="array" ref="F572">if(iserror(index(fish_lab_data!C:C,match(B572,fish_lab_data!C:C,0))),"not dissected","dissected")</f>
        <v>dissected</v>
      </c>
    </row>
    <row r="573">
      <c r="A573" t="str">
        <f t="shared" si="1"/>
        <v>17090</v>
      </c>
      <c r="B573" t="str">
        <f>IFERROR(__xludf.DUMMYFUNCTION("""COMPUTED_VALUE"""),"U17090")</f>
        <v>U17090</v>
      </c>
      <c r="C573" t="str">
        <f>IFERROR(__xludf.DUMMYFUNCTION("""COMPUTED_VALUE"""),"CU")</f>
        <v>CU</v>
      </c>
      <c r="D573" t="str">
        <f>IFERROR(__xludf.DUMMYFUNCTION("""COMPUTED_VALUE"""),"DE522N1")</f>
        <v>DE522N1</v>
      </c>
      <c r="E573" t="str">
        <f>IFERROR(__xludf.DUMMYFUNCTION("""COMPUTED_VALUE"""),"P1109")</f>
        <v>P1109</v>
      </c>
      <c r="F573" t="str">
        <f t="array" ref="F573">if(iserror(index(fish_lab_data!C:C,match(B573,fish_lab_data!C:C,0))),"not dissected","dissected")</f>
        <v>dissected</v>
      </c>
    </row>
    <row r="574">
      <c r="A574" t="str">
        <f t="shared" si="1"/>
        <v>17261</v>
      </c>
      <c r="B574" t="str">
        <f>IFERROR(__xludf.DUMMYFUNCTION("""COMPUTED_VALUE"""),"U17261")</f>
        <v>U17261</v>
      </c>
      <c r="C574" t="str">
        <f>IFERROR(__xludf.DUMMYFUNCTION("""COMPUTED_VALUE"""),"SO")</f>
        <v>SO</v>
      </c>
      <c r="D574" t="str">
        <f>IFERROR(__xludf.DUMMYFUNCTION("""COMPUTED_VALUE"""),"DE522N1")</f>
        <v>DE522N1</v>
      </c>
      <c r="E574" t="str">
        <f>IFERROR(__xludf.DUMMYFUNCTION("""COMPUTED_VALUE"""),"P1127")</f>
        <v>P1127</v>
      </c>
      <c r="F574" t="str">
        <f t="array" ref="F574">if(iserror(index(fish_lab_data!C:C,match(B574,fish_lab_data!C:C,0))),"not dissected","dissected")</f>
        <v>dissected</v>
      </c>
    </row>
    <row r="575">
      <c r="A575" t="str">
        <f t="shared" si="1"/>
        <v>17262</v>
      </c>
      <c r="B575" t="str">
        <f>IFERROR(__xludf.DUMMYFUNCTION("""COMPUTED_VALUE"""),"U17262")</f>
        <v>U17262</v>
      </c>
      <c r="C575" t="str">
        <f>IFERROR(__xludf.DUMMYFUNCTION("""COMPUTED_VALUE"""),"SO")</f>
        <v>SO</v>
      </c>
      <c r="D575" t="str">
        <f>IFERROR(__xludf.DUMMYFUNCTION("""COMPUTED_VALUE"""),"DE522N1")</f>
        <v>DE522N1</v>
      </c>
      <c r="E575" t="str">
        <f>IFERROR(__xludf.DUMMYFUNCTION("""COMPUTED_VALUE"""),"P1127")</f>
        <v>P1127</v>
      </c>
      <c r="F575" t="str">
        <f t="array" ref="F575">if(iserror(index(fish_lab_data!C:C,match(B575,fish_lab_data!C:C,0))),"not dissected","dissected")</f>
        <v>dissected</v>
      </c>
    </row>
    <row r="576">
      <c r="A576" t="str">
        <f t="shared" si="1"/>
        <v>17263</v>
      </c>
      <c r="B576" t="str">
        <f>IFERROR(__xludf.DUMMYFUNCTION("""COMPUTED_VALUE"""),"U17263")</f>
        <v>U17263</v>
      </c>
      <c r="C576" t="str">
        <f>IFERROR(__xludf.DUMMYFUNCTION("""COMPUTED_VALUE"""),"SO")</f>
        <v>SO</v>
      </c>
      <c r="D576" t="str">
        <f>IFERROR(__xludf.DUMMYFUNCTION("""COMPUTED_VALUE"""),"DE522N1")</f>
        <v>DE522N1</v>
      </c>
      <c r="E576" t="str">
        <f>IFERROR(__xludf.DUMMYFUNCTION("""COMPUTED_VALUE"""),"P1127")</f>
        <v>P1127</v>
      </c>
      <c r="F576" t="str">
        <f t="array" ref="F576">if(iserror(index(fish_lab_data!C:C,match(B576,fish_lab_data!C:C,0))),"not dissected","dissected")</f>
        <v>dissected</v>
      </c>
    </row>
    <row r="577">
      <c r="A577" t="str">
        <f t="shared" si="1"/>
        <v>17264</v>
      </c>
      <c r="B577" t="str">
        <f>IFERROR(__xludf.DUMMYFUNCTION("""COMPUTED_VALUE"""),"U17264")</f>
        <v>U17264</v>
      </c>
      <c r="C577" t="str">
        <f>IFERROR(__xludf.DUMMYFUNCTION("""COMPUTED_VALUE"""),"SO")</f>
        <v>SO</v>
      </c>
      <c r="D577" t="str">
        <f>IFERROR(__xludf.DUMMYFUNCTION("""COMPUTED_VALUE"""),"DE522N1")</f>
        <v>DE522N1</v>
      </c>
      <c r="E577" t="str">
        <f>IFERROR(__xludf.DUMMYFUNCTION("""COMPUTED_VALUE"""),"P1127")</f>
        <v>P1127</v>
      </c>
      <c r="F577" t="str">
        <f t="array" ref="F577">if(iserror(index(fish_lab_data!C:C,match(B577,fish_lab_data!C:C,0))),"not dissected","dissected")</f>
        <v>dissected</v>
      </c>
    </row>
    <row r="578">
      <c r="A578" t="str">
        <f t="shared" si="1"/>
        <v>17265</v>
      </c>
      <c r="B578" t="str">
        <f>IFERROR(__xludf.DUMMYFUNCTION("""COMPUTED_VALUE"""),"U17265")</f>
        <v>U17265</v>
      </c>
      <c r="C578" t="str">
        <f>IFERROR(__xludf.DUMMYFUNCTION("""COMPUTED_VALUE"""),"SO")</f>
        <v>SO</v>
      </c>
      <c r="D578" t="str">
        <f>IFERROR(__xludf.DUMMYFUNCTION("""COMPUTED_VALUE"""),"DE522N1")</f>
        <v>DE522N1</v>
      </c>
      <c r="E578" t="str">
        <f>IFERROR(__xludf.DUMMYFUNCTION("""COMPUTED_VALUE"""),"P1127")</f>
        <v>P1127</v>
      </c>
      <c r="F578" t="str">
        <f t="array" ref="F578">if(iserror(index(fish_lab_data!C:C,match(B578,fish_lab_data!C:C,0))),"not dissected","dissected")</f>
        <v>dissected</v>
      </c>
    </row>
    <row r="579">
      <c r="A579" t="str">
        <f t="shared" si="1"/>
        <v>17266</v>
      </c>
      <c r="B579" t="str">
        <f>IFERROR(__xludf.DUMMYFUNCTION("""COMPUTED_VALUE"""),"U17266")</f>
        <v>U17266</v>
      </c>
      <c r="C579" t="str">
        <f>IFERROR(__xludf.DUMMYFUNCTION("""COMPUTED_VALUE"""),"SO")</f>
        <v>SO</v>
      </c>
      <c r="D579" t="str">
        <f>IFERROR(__xludf.DUMMYFUNCTION("""COMPUTED_VALUE"""),"DE522N1")</f>
        <v>DE522N1</v>
      </c>
      <c r="E579" t="str">
        <f>IFERROR(__xludf.DUMMYFUNCTION("""COMPUTED_VALUE"""),"P1127")</f>
        <v>P1127</v>
      </c>
      <c r="F579" t="str">
        <f t="array" ref="F579">if(iserror(index(fish_lab_data!C:C,match(B579,fish_lab_data!C:C,0))),"not dissected","dissected")</f>
        <v>dissected</v>
      </c>
    </row>
    <row r="580">
      <c r="A580" t="str">
        <f t="shared" si="1"/>
        <v>17267</v>
      </c>
      <c r="B580" t="str">
        <f>IFERROR(__xludf.DUMMYFUNCTION("""COMPUTED_VALUE"""),"U17267")</f>
        <v>U17267</v>
      </c>
      <c r="C580" t="str">
        <f>IFERROR(__xludf.DUMMYFUNCTION("""COMPUTED_VALUE"""),"SO")</f>
        <v>SO</v>
      </c>
      <c r="D580" t="str">
        <f>IFERROR(__xludf.DUMMYFUNCTION("""COMPUTED_VALUE"""),"DE522N1")</f>
        <v>DE522N1</v>
      </c>
      <c r="E580" t="str">
        <f>IFERROR(__xludf.DUMMYFUNCTION("""COMPUTED_VALUE"""),"P1127")</f>
        <v>P1127</v>
      </c>
      <c r="F580" t="str">
        <f t="array" ref="F580">if(iserror(index(fish_lab_data!C:C,match(B580,fish_lab_data!C:C,0))),"not dissected","dissected")</f>
        <v>dissected</v>
      </c>
    </row>
    <row r="581">
      <c r="A581" t="str">
        <f t="shared" si="1"/>
        <v>17268</v>
      </c>
      <c r="B581" t="str">
        <f>IFERROR(__xludf.DUMMYFUNCTION("""COMPUTED_VALUE"""),"U17268")</f>
        <v>U17268</v>
      </c>
      <c r="C581" t="str">
        <f>IFERROR(__xludf.DUMMYFUNCTION("""COMPUTED_VALUE"""),"SO")</f>
        <v>SO</v>
      </c>
      <c r="D581" t="str">
        <f>IFERROR(__xludf.DUMMYFUNCTION("""COMPUTED_VALUE"""),"DE522N1")</f>
        <v>DE522N1</v>
      </c>
      <c r="E581" t="str">
        <f>IFERROR(__xludf.DUMMYFUNCTION("""COMPUTED_VALUE"""),"P1127")</f>
        <v>P1127</v>
      </c>
      <c r="F581" t="str">
        <f t="array" ref="F581">if(iserror(index(fish_lab_data!C:C,match(B581,fish_lab_data!C:C,0))),"not dissected","dissected")</f>
        <v>dissected</v>
      </c>
    </row>
    <row r="582">
      <c r="A582" t="str">
        <f t="shared" si="1"/>
        <v>17269</v>
      </c>
      <c r="B582" t="str">
        <f>IFERROR(__xludf.DUMMYFUNCTION("""COMPUTED_VALUE"""),"U17269")</f>
        <v>U17269</v>
      </c>
      <c r="C582" t="str">
        <f>IFERROR(__xludf.DUMMYFUNCTION("""COMPUTED_VALUE"""),"SO")</f>
        <v>SO</v>
      </c>
      <c r="D582" t="str">
        <f>IFERROR(__xludf.DUMMYFUNCTION("""COMPUTED_VALUE"""),"DE522N1")</f>
        <v>DE522N1</v>
      </c>
      <c r="E582" t="str">
        <f>IFERROR(__xludf.DUMMYFUNCTION("""COMPUTED_VALUE"""),"P1127")</f>
        <v>P1127</v>
      </c>
      <c r="F582" t="str">
        <f t="array" ref="F582">if(iserror(index(fish_lab_data!C:C,match(B582,fish_lab_data!C:C,0))),"not dissected","dissected")</f>
        <v>dissected</v>
      </c>
    </row>
    <row r="583">
      <c r="A583" t="str">
        <f t="shared" si="1"/>
        <v>17270</v>
      </c>
      <c r="B583" t="str">
        <f>IFERROR(__xludf.DUMMYFUNCTION("""COMPUTED_VALUE"""),"U17270")</f>
        <v>U17270</v>
      </c>
      <c r="C583" t="str">
        <f>IFERROR(__xludf.DUMMYFUNCTION("""COMPUTED_VALUE"""),"SO")</f>
        <v>SO</v>
      </c>
      <c r="D583" t="str">
        <f>IFERROR(__xludf.DUMMYFUNCTION("""COMPUTED_VALUE"""),"DE522N1")</f>
        <v>DE522N1</v>
      </c>
      <c r="E583" t="str">
        <f>IFERROR(__xludf.DUMMYFUNCTION("""COMPUTED_VALUE"""),"P1127")</f>
        <v>P1127</v>
      </c>
      <c r="F583" t="str">
        <f t="array" ref="F583">if(iserror(index(fish_lab_data!C:C,match(B583,fish_lab_data!C:C,0))),"not dissected","dissected")</f>
        <v>dissected</v>
      </c>
    </row>
    <row r="584">
      <c r="A584" t="str">
        <f t="shared" si="1"/>
        <v>17271</v>
      </c>
      <c r="B584" t="str">
        <f>IFERROR(__xludf.DUMMYFUNCTION("""COMPUTED_VALUE"""),"U17271")</f>
        <v>U17271</v>
      </c>
      <c r="C584" t="str">
        <f>IFERROR(__xludf.DUMMYFUNCTION("""COMPUTED_VALUE"""),"SO")</f>
        <v>SO</v>
      </c>
      <c r="D584" t="str">
        <f>IFERROR(__xludf.DUMMYFUNCTION("""COMPUTED_VALUE"""),"DE522N1")</f>
        <v>DE522N1</v>
      </c>
      <c r="E584" t="str">
        <f>IFERROR(__xludf.DUMMYFUNCTION("""COMPUTED_VALUE"""),"P1128")</f>
        <v>P1128</v>
      </c>
      <c r="F584" t="str">
        <f t="array" ref="F584">if(iserror(index(fish_lab_data!C:C,match(B584,fish_lab_data!C:C,0))),"not dissected","dissected")</f>
        <v>dissected</v>
      </c>
    </row>
    <row r="585">
      <c r="A585" t="str">
        <f t="shared" si="1"/>
        <v>17272</v>
      </c>
      <c r="B585" t="str">
        <f>IFERROR(__xludf.DUMMYFUNCTION("""COMPUTED_VALUE"""),"U17272")</f>
        <v>U17272</v>
      </c>
      <c r="C585" t="str">
        <f>IFERROR(__xludf.DUMMYFUNCTION("""COMPUTED_VALUE"""),"SO")</f>
        <v>SO</v>
      </c>
      <c r="D585" t="str">
        <f>IFERROR(__xludf.DUMMYFUNCTION("""COMPUTED_VALUE"""),"DE522N1")</f>
        <v>DE522N1</v>
      </c>
      <c r="E585" t="str">
        <f>IFERROR(__xludf.DUMMYFUNCTION("""COMPUTED_VALUE"""),"P1128")</f>
        <v>P1128</v>
      </c>
      <c r="F585" t="str">
        <f t="array" ref="F585">if(iserror(index(fish_lab_data!C:C,match(B585,fish_lab_data!C:C,0))),"not dissected","dissected")</f>
        <v>dissected</v>
      </c>
    </row>
    <row r="586">
      <c r="A586" t="str">
        <f t="shared" si="1"/>
        <v>17273</v>
      </c>
      <c r="B586" t="str">
        <f>IFERROR(__xludf.DUMMYFUNCTION("""COMPUTED_VALUE"""),"U17273")</f>
        <v>U17273</v>
      </c>
      <c r="C586" t="str">
        <f>IFERROR(__xludf.DUMMYFUNCTION("""COMPUTED_VALUE"""),"SO")</f>
        <v>SO</v>
      </c>
      <c r="D586" t="str">
        <f>IFERROR(__xludf.DUMMYFUNCTION("""COMPUTED_VALUE"""),"DE522N1")</f>
        <v>DE522N1</v>
      </c>
      <c r="E586" t="str">
        <f>IFERROR(__xludf.DUMMYFUNCTION("""COMPUTED_VALUE"""),"P1128")</f>
        <v>P1128</v>
      </c>
      <c r="F586" t="str">
        <f t="array" ref="F586">if(iserror(index(fish_lab_data!C:C,match(B586,fish_lab_data!C:C,0))),"not dissected","dissected")</f>
        <v>dissected</v>
      </c>
    </row>
    <row r="587">
      <c r="A587" t="str">
        <f t="shared" si="1"/>
        <v>17274</v>
      </c>
      <c r="B587" t="str">
        <f>IFERROR(__xludf.DUMMYFUNCTION("""COMPUTED_VALUE"""),"U17274")</f>
        <v>U17274</v>
      </c>
      <c r="C587" t="str">
        <f>IFERROR(__xludf.DUMMYFUNCTION("""COMPUTED_VALUE"""),"SO")</f>
        <v>SO</v>
      </c>
      <c r="D587" t="str">
        <f>IFERROR(__xludf.DUMMYFUNCTION("""COMPUTED_VALUE"""),"DE522N1")</f>
        <v>DE522N1</v>
      </c>
      <c r="E587" t="str">
        <f>IFERROR(__xludf.DUMMYFUNCTION("""COMPUTED_VALUE"""),"P1128")</f>
        <v>P1128</v>
      </c>
      <c r="F587" t="str">
        <f t="array" ref="F587">if(iserror(index(fish_lab_data!C:C,match(B587,fish_lab_data!C:C,0))),"not dissected","dissected")</f>
        <v>dissected</v>
      </c>
    </row>
    <row r="588">
      <c r="A588" t="str">
        <f t="shared" si="1"/>
        <v>17275</v>
      </c>
      <c r="B588" t="str">
        <f>IFERROR(__xludf.DUMMYFUNCTION("""COMPUTED_VALUE"""),"U17275")</f>
        <v>U17275</v>
      </c>
      <c r="C588" t="str">
        <f>IFERROR(__xludf.DUMMYFUNCTION("""COMPUTED_VALUE"""),"SO")</f>
        <v>SO</v>
      </c>
      <c r="D588" t="str">
        <f>IFERROR(__xludf.DUMMYFUNCTION("""COMPUTED_VALUE"""),"DE522N1")</f>
        <v>DE522N1</v>
      </c>
      <c r="E588" t="str">
        <f>IFERROR(__xludf.DUMMYFUNCTION("""COMPUTED_VALUE"""),"P1128")</f>
        <v>P1128</v>
      </c>
      <c r="F588" t="str">
        <f t="array" ref="F588">if(iserror(index(fish_lab_data!C:C,match(B588,fish_lab_data!C:C,0))),"not dissected","dissected")</f>
        <v>dissected</v>
      </c>
    </row>
    <row r="589">
      <c r="A589" t="str">
        <f t="shared" si="1"/>
        <v>17276</v>
      </c>
      <c r="B589" t="str">
        <f>IFERROR(__xludf.DUMMYFUNCTION("""COMPUTED_VALUE"""),"U17276")</f>
        <v>U17276</v>
      </c>
      <c r="C589" t="str">
        <f>IFERROR(__xludf.DUMMYFUNCTION("""COMPUTED_VALUE"""),"SO")</f>
        <v>SO</v>
      </c>
      <c r="D589" t="str">
        <f>IFERROR(__xludf.DUMMYFUNCTION("""COMPUTED_VALUE"""),"DE522N1")</f>
        <v>DE522N1</v>
      </c>
      <c r="E589" t="str">
        <f>IFERROR(__xludf.DUMMYFUNCTION("""COMPUTED_VALUE"""),"P1128")</f>
        <v>P1128</v>
      </c>
      <c r="F589" t="str">
        <f t="array" ref="F589">if(iserror(index(fish_lab_data!C:C,match(B589,fish_lab_data!C:C,0))),"not dissected","dissected")</f>
        <v>dissected</v>
      </c>
    </row>
    <row r="590">
      <c r="A590" t="str">
        <f t="shared" si="1"/>
        <v>17277</v>
      </c>
      <c r="B590" t="str">
        <f>IFERROR(__xludf.DUMMYFUNCTION("""COMPUTED_VALUE"""),"U17277")</f>
        <v>U17277</v>
      </c>
      <c r="C590" t="str">
        <f>IFERROR(__xludf.DUMMYFUNCTION("""COMPUTED_VALUE"""),"SO")</f>
        <v>SO</v>
      </c>
      <c r="D590" t="str">
        <f>IFERROR(__xludf.DUMMYFUNCTION("""COMPUTED_VALUE"""),"DE522N1")</f>
        <v>DE522N1</v>
      </c>
      <c r="E590" t="str">
        <f>IFERROR(__xludf.DUMMYFUNCTION("""COMPUTED_VALUE"""),"P1128")</f>
        <v>P1128</v>
      </c>
      <c r="F590" t="str">
        <f t="array" ref="F590">if(iserror(index(fish_lab_data!C:C,match(B590,fish_lab_data!C:C,0))),"not dissected","dissected")</f>
        <v>dissected</v>
      </c>
    </row>
    <row r="591">
      <c r="A591" t="str">
        <f t="shared" si="1"/>
        <v>17278</v>
      </c>
      <c r="B591" t="str">
        <f>IFERROR(__xludf.DUMMYFUNCTION("""COMPUTED_VALUE"""),"U17278")</f>
        <v>U17278</v>
      </c>
      <c r="C591" t="str">
        <f>IFERROR(__xludf.DUMMYFUNCTION("""COMPUTED_VALUE"""),"SO")</f>
        <v>SO</v>
      </c>
      <c r="D591" t="str">
        <f>IFERROR(__xludf.DUMMYFUNCTION("""COMPUTED_VALUE"""),"DE522N1")</f>
        <v>DE522N1</v>
      </c>
      <c r="E591" t="str">
        <f>IFERROR(__xludf.DUMMYFUNCTION("""COMPUTED_VALUE"""),"P1128")</f>
        <v>P1128</v>
      </c>
      <c r="F591" t="str">
        <f t="array" ref="F591">if(iserror(index(fish_lab_data!C:C,match(B591,fish_lab_data!C:C,0))),"not dissected","dissected")</f>
        <v>dissected</v>
      </c>
    </row>
    <row r="592">
      <c r="A592" t="str">
        <f t="shared" si="1"/>
        <v>17279</v>
      </c>
      <c r="B592" t="str">
        <f>IFERROR(__xludf.DUMMYFUNCTION("""COMPUTED_VALUE"""),"U17279")</f>
        <v>U17279</v>
      </c>
      <c r="C592" t="str">
        <f>IFERROR(__xludf.DUMMYFUNCTION("""COMPUTED_VALUE"""),"SO")</f>
        <v>SO</v>
      </c>
      <c r="D592" t="str">
        <f>IFERROR(__xludf.DUMMYFUNCTION("""COMPUTED_VALUE"""),"DE522N1")</f>
        <v>DE522N1</v>
      </c>
      <c r="E592" t="str">
        <f>IFERROR(__xludf.DUMMYFUNCTION("""COMPUTED_VALUE"""),"P1128")</f>
        <v>P1128</v>
      </c>
      <c r="F592" t="str">
        <f t="array" ref="F592">if(iserror(index(fish_lab_data!C:C,match(B592,fish_lab_data!C:C,0))),"not dissected","dissected")</f>
        <v>dissected</v>
      </c>
    </row>
    <row r="593">
      <c r="A593" t="str">
        <f t="shared" si="1"/>
        <v>17280</v>
      </c>
      <c r="B593" t="str">
        <f>IFERROR(__xludf.DUMMYFUNCTION("""COMPUTED_VALUE"""),"U17280")</f>
        <v>U17280</v>
      </c>
      <c r="C593" t="str">
        <f>IFERROR(__xludf.DUMMYFUNCTION("""COMPUTED_VALUE"""),"SO")</f>
        <v>SO</v>
      </c>
      <c r="D593" t="str">
        <f>IFERROR(__xludf.DUMMYFUNCTION("""COMPUTED_VALUE"""),"DE522N1")</f>
        <v>DE522N1</v>
      </c>
      <c r="E593" t="str">
        <f>IFERROR(__xludf.DUMMYFUNCTION("""COMPUTED_VALUE"""),"P1128")</f>
        <v>P1128</v>
      </c>
      <c r="F593" t="str">
        <f t="array" ref="F593">if(iserror(index(fish_lab_data!C:C,match(B593,fish_lab_data!C:C,0))),"not dissected","dissected")</f>
        <v>dissected</v>
      </c>
    </row>
    <row r="594">
      <c r="A594" t="str">
        <f t="shared" si="1"/>
        <v>17241</v>
      </c>
      <c r="B594" t="str">
        <f>IFERROR(__xludf.DUMMYFUNCTION("""COMPUTED_VALUE"""),"U17241")</f>
        <v>U17241</v>
      </c>
      <c r="C594" t="str">
        <f>IFERROR(__xludf.DUMMYFUNCTION("""COMPUTED_VALUE"""),"HE")</f>
        <v>HE</v>
      </c>
      <c r="D594" t="str">
        <f>IFERROR(__xludf.DUMMYFUNCTION("""COMPUTED_VALUE"""),"DE522N1")</f>
        <v>DE522N1</v>
      </c>
      <c r="E594" t="str">
        <f>IFERROR(__xludf.DUMMYFUNCTION("""COMPUTED_VALUE"""),"P1125")</f>
        <v>P1125</v>
      </c>
      <c r="F594" t="str">
        <f t="array" ref="F594">if(iserror(index(fish_lab_data!C:C,match(B594,fish_lab_data!C:C,0))),"not dissected","dissected")</f>
        <v>dissected</v>
      </c>
    </row>
    <row r="595">
      <c r="A595" t="str">
        <f t="shared" si="1"/>
        <v>17242</v>
      </c>
      <c r="B595" t="str">
        <f>IFERROR(__xludf.DUMMYFUNCTION("""COMPUTED_VALUE"""),"U17242")</f>
        <v>U17242</v>
      </c>
      <c r="C595" t="str">
        <f>IFERROR(__xludf.DUMMYFUNCTION("""COMPUTED_VALUE"""),"HE")</f>
        <v>HE</v>
      </c>
      <c r="D595" t="str">
        <f>IFERROR(__xludf.DUMMYFUNCTION("""COMPUTED_VALUE"""),"DE522N1")</f>
        <v>DE522N1</v>
      </c>
      <c r="E595" t="str">
        <f>IFERROR(__xludf.DUMMYFUNCTION("""COMPUTED_VALUE"""),"P1125")</f>
        <v>P1125</v>
      </c>
      <c r="F595" t="str">
        <f t="array" ref="F595">if(iserror(index(fish_lab_data!C:C,match(B595,fish_lab_data!C:C,0))),"not dissected","dissected")</f>
        <v>dissected</v>
      </c>
    </row>
    <row r="596">
      <c r="A596" t="str">
        <f t="shared" si="1"/>
        <v>17243</v>
      </c>
      <c r="B596" t="str">
        <f>IFERROR(__xludf.DUMMYFUNCTION("""COMPUTED_VALUE"""),"U17243")</f>
        <v>U17243</v>
      </c>
      <c r="C596" t="str">
        <f>IFERROR(__xludf.DUMMYFUNCTION("""COMPUTED_VALUE"""),"HE")</f>
        <v>HE</v>
      </c>
      <c r="D596" t="str">
        <f>IFERROR(__xludf.DUMMYFUNCTION("""COMPUTED_VALUE"""),"DE522N1")</f>
        <v>DE522N1</v>
      </c>
      <c r="E596" t="str">
        <f>IFERROR(__xludf.DUMMYFUNCTION("""COMPUTED_VALUE"""),"P1125")</f>
        <v>P1125</v>
      </c>
      <c r="F596" t="str">
        <f t="array" ref="F596">if(iserror(index(fish_lab_data!C:C,match(B596,fish_lab_data!C:C,0))),"not dissected","dissected")</f>
        <v>dissected</v>
      </c>
    </row>
    <row r="597">
      <c r="A597" t="str">
        <f t="shared" si="1"/>
        <v>17244</v>
      </c>
      <c r="B597" t="str">
        <f>IFERROR(__xludf.DUMMYFUNCTION("""COMPUTED_VALUE"""),"U17244")</f>
        <v>U17244</v>
      </c>
      <c r="C597" t="str">
        <f>IFERROR(__xludf.DUMMYFUNCTION("""COMPUTED_VALUE"""),"HE")</f>
        <v>HE</v>
      </c>
      <c r="D597" t="str">
        <f>IFERROR(__xludf.DUMMYFUNCTION("""COMPUTED_VALUE"""),"DE522N1")</f>
        <v>DE522N1</v>
      </c>
      <c r="E597" t="str">
        <f>IFERROR(__xludf.DUMMYFUNCTION("""COMPUTED_VALUE"""),"P1125")</f>
        <v>P1125</v>
      </c>
      <c r="F597" t="str">
        <f t="array" ref="F597">if(iserror(index(fish_lab_data!C:C,match(B597,fish_lab_data!C:C,0))),"not dissected","dissected")</f>
        <v>dissected</v>
      </c>
    </row>
    <row r="598">
      <c r="A598" t="str">
        <f t="shared" si="1"/>
        <v>17245</v>
      </c>
      <c r="B598" t="str">
        <f>IFERROR(__xludf.DUMMYFUNCTION("""COMPUTED_VALUE"""),"U17245")</f>
        <v>U17245</v>
      </c>
      <c r="C598" t="str">
        <f>IFERROR(__xludf.DUMMYFUNCTION("""COMPUTED_VALUE"""),"HE")</f>
        <v>HE</v>
      </c>
      <c r="D598" t="str">
        <f>IFERROR(__xludf.DUMMYFUNCTION("""COMPUTED_VALUE"""),"DE522N1")</f>
        <v>DE522N1</v>
      </c>
      <c r="E598" t="str">
        <f>IFERROR(__xludf.DUMMYFUNCTION("""COMPUTED_VALUE"""),"P1125")</f>
        <v>P1125</v>
      </c>
      <c r="F598" t="str">
        <f t="array" ref="F598">if(iserror(index(fish_lab_data!C:C,match(B598,fish_lab_data!C:C,0))),"not dissected","dissected")</f>
        <v>dissected</v>
      </c>
    </row>
    <row r="599">
      <c r="A599" t="str">
        <f t="shared" si="1"/>
        <v>17246</v>
      </c>
      <c r="B599" t="str">
        <f>IFERROR(__xludf.DUMMYFUNCTION("""COMPUTED_VALUE"""),"U17246")</f>
        <v>U17246</v>
      </c>
      <c r="C599" t="str">
        <f>IFERROR(__xludf.DUMMYFUNCTION("""COMPUTED_VALUE"""),"HE")</f>
        <v>HE</v>
      </c>
      <c r="D599" t="str">
        <f>IFERROR(__xludf.DUMMYFUNCTION("""COMPUTED_VALUE"""),"DE522N1")</f>
        <v>DE522N1</v>
      </c>
      <c r="E599" t="str">
        <f>IFERROR(__xludf.DUMMYFUNCTION("""COMPUTED_VALUE"""),"P1125")</f>
        <v>P1125</v>
      </c>
      <c r="F599" t="str">
        <f t="array" ref="F599">if(iserror(index(fish_lab_data!C:C,match(B599,fish_lab_data!C:C,0))),"not dissected","dissected")</f>
        <v>dissected</v>
      </c>
    </row>
    <row r="600">
      <c r="A600" t="str">
        <f t="shared" si="1"/>
        <v>17247</v>
      </c>
      <c r="B600" t="str">
        <f>IFERROR(__xludf.DUMMYFUNCTION("""COMPUTED_VALUE"""),"U17247")</f>
        <v>U17247</v>
      </c>
      <c r="C600" t="str">
        <f>IFERROR(__xludf.DUMMYFUNCTION("""COMPUTED_VALUE"""),"HE")</f>
        <v>HE</v>
      </c>
      <c r="D600" t="str">
        <f>IFERROR(__xludf.DUMMYFUNCTION("""COMPUTED_VALUE"""),"DE522N1")</f>
        <v>DE522N1</v>
      </c>
      <c r="E600" t="str">
        <f>IFERROR(__xludf.DUMMYFUNCTION("""COMPUTED_VALUE"""),"P1125")</f>
        <v>P1125</v>
      </c>
      <c r="F600" t="str">
        <f t="array" ref="F600">if(iserror(index(fish_lab_data!C:C,match(B600,fish_lab_data!C:C,0))),"not dissected","dissected")</f>
        <v>dissected</v>
      </c>
    </row>
    <row r="601">
      <c r="A601" t="str">
        <f t="shared" si="1"/>
        <v>17248</v>
      </c>
      <c r="B601" t="str">
        <f>IFERROR(__xludf.DUMMYFUNCTION("""COMPUTED_VALUE"""),"U17248")</f>
        <v>U17248</v>
      </c>
      <c r="C601" t="str">
        <f>IFERROR(__xludf.DUMMYFUNCTION("""COMPUTED_VALUE"""),"HE")</f>
        <v>HE</v>
      </c>
      <c r="D601" t="str">
        <f>IFERROR(__xludf.DUMMYFUNCTION("""COMPUTED_VALUE"""),"DE522N1")</f>
        <v>DE522N1</v>
      </c>
      <c r="E601" t="str">
        <f>IFERROR(__xludf.DUMMYFUNCTION("""COMPUTED_VALUE"""),"P1125")</f>
        <v>P1125</v>
      </c>
      <c r="F601" t="str">
        <f t="array" ref="F601">if(iserror(index(fish_lab_data!C:C,match(B601,fish_lab_data!C:C,0))),"not dissected","dissected")</f>
        <v>dissected</v>
      </c>
    </row>
    <row r="602">
      <c r="A602" t="str">
        <f t="shared" si="1"/>
        <v>17249</v>
      </c>
      <c r="B602" t="str">
        <f>IFERROR(__xludf.DUMMYFUNCTION("""COMPUTED_VALUE"""),"U17249")</f>
        <v>U17249</v>
      </c>
      <c r="C602" t="str">
        <f>IFERROR(__xludf.DUMMYFUNCTION("""COMPUTED_VALUE"""),"HE")</f>
        <v>HE</v>
      </c>
      <c r="D602" t="str">
        <f>IFERROR(__xludf.DUMMYFUNCTION("""COMPUTED_VALUE"""),"DE522N1")</f>
        <v>DE522N1</v>
      </c>
      <c r="E602" t="str">
        <f>IFERROR(__xludf.DUMMYFUNCTION("""COMPUTED_VALUE"""),"P1125")</f>
        <v>P1125</v>
      </c>
      <c r="F602" t="str">
        <f t="array" ref="F602">if(iserror(index(fish_lab_data!C:C,match(B602,fish_lab_data!C:C,0))),"not dissected","dissected")</f>
        <v>dissected</v>
      </c>
    </row>
    <row r="603">
      <c r="A603" t="str">
        <f t="shared" si="1"/>
        <v>17250</v>
      </c>
      <c r="B603" t="str">
        <f>IFERROR(__xludf.DUMMYFUNCTION("""COMPUTED_VALUE"""),"U17250")</f>
        <v>U17250</v>
      </c>
      <c r="C603" t="str">
        <f>IFERROR(__xludf.DUMMYFUNCTION("""COMPUTED_VALUE"""),"HE")</f>
        <v>HE</v>
      </c>
      <c r="D603" t="str">
        <f>IFERROR(__xludf.DUMMYFUNCTION("""COMPUTED_VALUE"""),"DE522N1")</f>
        <v>DE522N1</v>
      </c>
      <c r="E603" t="str">
        <f>IFERROR(__xludf.DUMMYFUNCTION("""COMPUTED_VALUE"""),"P1125")</f>
        <v>P1125</v>
      </c>
      <c r="F603" t="str">
        <f t="array" ref="F603">if(iserror(index(fish_lab_data!C:C,match(B603,fish_lab_data!C:C,0))),"not dissected","dissected")</f>
        <v>dissected</v>
      </c>
    </row>
    <row r="604">
      <c r="A604" t="str">
        <f t="shared" si="1"/>
        <v>17421</v>
      </c>
      <c r="B604" t="str">
        <f>IFERROR(__xludf.DUMMYFUNCTION("""COMPUTED_VALUE"""),"U17421")</f>
        <v>U17421</v>
      </c>
      <c r="C604" t="str">
        <f>IFERROR(__xludf.DUMMYFUNCTION("""COMPUTED_VALUE"""),"SO")</f>
        <v>SO</v>
      </c>
      <c r="D604" t="str">
        <f>IFERROR(__xludf.DUMMYFUNCTION("""COMPUTED_VALUE"""),"DE523N3")</f>
        <v>DE523N3</v>
      </c>
      <c r="E604" t="str">
        <f>IFERROR(__xludf.DUMMYFUNCTION("""COMPUTED_VALUE"""),"P1143")</f>
        <v>P1143</v>
      </c>
      <c r="F604" t="str">
        <f t="array" ref="F604">if(iserror(index(fish_lab_data!C:C,match(B604,fish_lab_data!C:C,0))),"not dissected","dissected")</f>
        <v>dissected</v>
      </c>
    </row>
    <row r="605">
      <c r="A605" t="str">
        <f t="shared" si="1"/>
        <v>17422</v>
      </c>
      <c r="B605" t="str">
        <f>IFERROR(__xludf.DUMMYFUNCTION("""COMPUTED_VALUE"""),"U17422")</f>
        <v>U17422</v>
      </c>
      <c r="C605" t="str">
        <f>IFERROR(__xludf.DUMMYFUNCTION("""COMPUTED_VALUE"""),"SO")</f>
        <v>SO</v>
      </c>
      <c r="D605" t="str">
        <f>IFERROR(__xludf.DUMMYFUNCTION("""COMPUTED_VALUE"""),"DE523N3")</f>
        <v>DE523N3</v>
      </c>
      <c r="E605" t="str">
        <f>IFERROR(__xludf.DUMMYFUNCTION("""COMPUTED_VALUE"""),"P1143")</f>
        <v>P1143</v>
      </c>
      <c r="F605" t="str">
        <f t="array" ref="F605">if(iserror(index(fish_lab_data!C:C,match(B605,fish_lab_data!C:C,0))),"not dissected","dissected")</f>
        <v>dissected</v>
      </c>
    </row>
    <row r="606">
      <c r="A606" t="str">
        <f t="shared" si="1"/>
        <v>17423</v>
      </c>
      <c r="B606" t="str">
        <f>IFERROR(__xludf.DUMMYFUNCTION("""COMPUTED_VALUE"""),"U17423")</f>
        <v>U17423</v>
      </c>
      <c r="C606" t="str">
        <f>IFERROR(__xludf.DUMMYFUNCTION("""COMPUTED_VALUE"""),"SO")</f>
        <v>SO</v>
      </c>
      <c r="D606" t="str">
        <f>IFERROR(__xludf.DUMMYFUNCTION("""COMPUTED_VALUE"""),"DE523N3")</f>
        <v>DE523N3</v>
      </c>
      <c r="E606" t="str">
        <f>IFERROR(__xludf.DUMMYFUNCTION("""COMPUTED_VALUE"""),"P1143")</f>
        <v>P1143</v>
      </c>
      <c r="F606" t="str">
        <f t="array" ref="F606">if(iserror(index(fish_lab_data!C:C,match(B606,fish_lab_data!C:C,0))),"not dissected","dissected")</f>
        <v>dissected</v>
      </c>
    </row>
    <row r="607">
      <c r="A607" t="str">
        <f t="shared" si="1"/>
        <v>17424</v>
      </c>
      <c r="B607" t="str">
        <f>IFERROR(__xludf.DUMMYFUNCTION("""COMPUTED_VALUE"""),"U17424")</f>
        <v>U17424</v>
      </c>
      <c r="C607" t="str">
        <f>IFERROR(__xludf.DUMMYFUNCTION("""COMPUTED_VALUE"""),"SO")</f>
        <v>SO</v>
      </c>
      <c r="D607" t="str">
        <f>IFERROR(__xludf.DUMMYFUNCTION("""COMPUTED_VALUE"""),"DE523N3")</f>
        <v>DE523N3</v>
      </c>
      <c r="E607" t="str">
        <f>IFERROR(__xludf.DUMMYFUNCTION("""COMPUTED_VALUE"""),"P1143")</f>
        <v>P1143</v>
      </c>
      <c r="F607" t="str">
        <f t="array" ref="F607">if(iserror(index(fish_lab_data!C:C,match(B607,fish_lab_data!C:C,0))),"not dissected","dissected")</f>
        <v>dissected</v>
      </c>
    </row>
    <row r="608">
      <c r="A608" t="str">
        <f t="shared" si="1"/>
        <v>17425</v>
      </c>
      <c r="B608" t="str">
        <f>IFERROR(__xludf.DUMMYFUNCTION("""COMPUTED_VALUE"""),"U17425")</f>
        <v>U17425</v>
      </c>
      <c r="C608" t="str">
        <f>IFERROR(__xludf.DUMMYFUNCTION("""COMPUTED_VALUE"""),"SO")</f>
        <v>SO</v>
      </c>
      <c r="D608" t="str">
        <f>IFERROR(__xludf.DUMMYFUNCTION("""COMPUTED_VALUE"""),"DE523N3")</f>
        <v>DE523N3</v>
      </c>
      <c r="E608" t="str">
        <f>IFERROR(__xludf.DUMMYFUNCTION("""COMPUTED_VALUE"""),"P1143")</f>
        <v>P1143</v>
      </c>
      <c r="F608" t="str">
        <f t="array" ref="F608">if(iserror(index(fish_lab_data!C:C,match(B608,fish_lab_data!C:C,0))),"not dissected","dissected")</f>
        <v>dissected</v>
      </c>
    </row>
    <row r="609">
      <c r="A609" t="str">
        <f t="shared" si="1"/>
        <v>17426</v>
      </c>
      <c r="B609" t="str">
        <f>IFERROR(__xludf.DUMMYFUNCTION("""COMPUTED_VALUE"""),"U17426")</f>
        <v>U17426</v>
      </c>
      <c r="C609" t="str">
        <f>IFERROR(__xludf.DUMMYFUNCTION("""COMPUTED_VALUE"""),"SO")</f>
        <v>SO</v>
      </c>
      <c r="D609" t="str">
        <f>IFERROR(__xludf.DUMMYFUNCTION("""COMPUTED_VALUE"""),"DE523N3")</f>
        <v>DE523N3</v>
      </c>
      <c r="E609" t="str">
        <f>IFERROR(__xludf.DUMMYFUNCTION("""COMPUTED_VALUE"""),"P1143")</f>
        <v>P1143</v>
      </c>
      <c r="F609" t="str">
        <f t="array" ref="F609">if(iserror(index(fish_lab_data!C:C,match(B609,fish_lab_data!C:C,0))),"not dissected","dissected")</f>
        <v>dissected</v>
      </c>
    </row>
    <row r="610">
      <c r="A610" t="str">
        <f t="shared" si="1"/>
        <v>17427</v>
      </c>
      <c r="B610" t="str">
        <f>IFERROR(__xludf.DUMMYFUNCTION("""COMPUTED_VALUE"""),"U17427")</f>
        <v>U17427</v>
      </c>
      <c r="C610" t="str">
        <f>IFERROR(__xludf.DUMMYFUNCTION("""COMPUTED_VALUE"""),"SO")</f>
        <v>SO</v>
      </c>
      <c r="D610" t="str">
        <f>IFERROR(__xludf.DUMMYFUNCTION("""COMPUTED_VALUE"""),"DE523N3")</f>
        <v>DE523N3</v>
      </c>
      <c r="E610" t="str">
        <f>IFERROR(__xludf.DUMMYFUNCTION("""COMPUTED_VALUE"""),"P1143")</f>
        <v>P1143</v>
      </c>
      <c r="F610" t="str">
        <f t="array" ref="F610">if(iserror(index(fish_lab_data!C:C,match(B610,fish_lab_data!C:C,0))),"not dissected","dissected")</f>
        <v>dissected</v>
      </c>
    </row>
    <row r="611">
      <c r="A611" t="str">
        <f t="shared" si="1"/>
        <v>17428</v>
      </c>
      <c r="B611" t="str">
        <f>IFERROR(__xludf.DUMMYFUNCTION("""COMPUTED_VALUE"""),"U17428")</f>
        <v>U17428</v>
      </c>
      <c r="C611" t="str">
        <f>IFERROR(__xludf.DUMMYFUNCTION("""COMPUTED_VALUE"""),"SO")</f>
        <v>SO</v>
      </c>
      <c r="D611" t="str">
        <f>IFERROR(__xludf.DUMMYFUNCTION("""COMPUTED_VALUE"""),"DE523N3")</f>
        <v>DE523N3</v>
      </c>
      <c r="E611" t="str">
        <f>IFERROR(__xludf.DUMMYFUNCTION("""COMPUTED_VALUE"""),"P1143")</f>
        <v>P1143</v>
      </c>
      <c r="F611" t="str">
        <f t="array" ref="F611">if(iserror(index(fish_lab_data!C:C,match(B611,fish_lab_data!C:C,0))),"not dissected","dissected")</f>
        <v>dissected</v>
      </c>
    </row>
    <row r="612">
      <c r="A612" t="str">
        <f t="shared" si="1"/>
        <v>17429</v>
      </c>
      <c r="B612" t="str">
        <f>IFERROR(__xludf.DUMMYFUNCTION("""COMPUTED_VALUE"""),"U17429")</f>
        <v>U17429</v>
      </c>
      <c r="C612" t="str">
        <f>IFERROR(__xludf.DUMMYFUNCTION("""COMPUTED_VALUE"""),"SO")</f>
        <v>SO</v>
      </c>
      <c r="D612" t="str">
        <f>IFERROR(__xludf.DUMMYFUNCTION("""COMPUTED_VALUE"""),"DE523N3")</f>
        <v>DE523N3</v>
      </c>
      <c r="E612" t="str">
        <f>IFERROR(__xludf.DUMMYFUNCTION("""COMPUTED_VALUE"""),"P1143")</f>
        <v>P1143</v>
      </c>
      <c r="F612" t="str">
        <f t="array" ref="F612">if(iserror(index(fish_lab_data!C:C,match(B612,fish_lab_data!C:C,0))),"not dissected","dissected")</f>
        <v>dissected</v>
      </c>
    </row>
    <row r="613">
      <c r="A613" t="str">
        <f t="shared" si="1"/>
        <v>17430</v>
      </c>
      <c r="B613" t="str">
        <f>IFERROR(__xludf.DUMMYFUNCTION("""COMPUTED_VALUE"""),"U17430")</f>
        <v>U17430</v>
      </c>
      <c r="C613" t="str">
        <f>IFERROR(__xludf.DUMMYFUNCTION("""COMPUTED_VALUE"""),"SO")</f>
        <v>SO</v>
      </c>
      <c r="D613" t="str">
        <f>IFERROR(__xludf.DUMMYFUNCTION("""COMPUTED_VALUE"""),"DE523N3")</f>
        <v>DE523N3</v>
      </c>
      <c r="E613" t="str">
        <f>IFERROR(__xludf.DUMMYFUNCTION("""COMPUTED_VALUE"""),"P1143")</f>
        <v>P1143</v>
      </c>
      <c r="F613" t="str">
        <f t="array" ref="F613">if(iserror(index(fish_lab_data!C:C,match(B613,fish_lab_data!C:C,0))),"not dissected","dissected")</f>
        <v>dissected</v>
      </c>
    </row>
    <row r="614">
      <c r="A614" t="str">
        <f t="shared" si="1"/>
        <v>17201</v>
      </c>
      <c r="B614" t="str">
        <f>IFERROR(__xludf.DUMMYFUNCTION("""COMPUTED_VALUE"""),"U17201")</f>
        <v>U17201</v>
      </c>
      <c r="C614" t="str">
        <f>IFERROR(__xludf.DUMMYFUNCTION("""COMPUTED_VALUE"""),"PI")</f>
        <v>PI</v>
      </c>
      <c r="D614" t="str">
        <f>IFERROR(__xludf.DUMMYFUNCTION("""COMPUTED_VALUE"""),"DE523N3")</f>
        <v>DE523N3</v>
      </c>
      <c r="E614" t="str">
        <f>IFERROR(__xludf.DUMMYFUNCTION("""COMPUTED_VALUE"""),"P1121")</f>
        <v>P1121</v>
      </c>
      <c r="F614" t="str">
        <f t="array" ref="F614">if(iserror(index(fish_lab_data!C:C,match(B614,fish_lab_data!C:C,0))),"not dissected","dissected")</f>
        <v>dissected</v>
      </c>
    </row>
    <row r="615">
      <c r="A615" t="str">
        <f t="shared" si="1"/>
        <v>17202</v>
      </c>
      <c r="B615" t="str">
        <f>IFERROR(__xludf.DUMMYFUNCTION("""COMPUTED_VALUE"""),"U17202")</f>
        <v>U17202</v>
      </c>
      <c r="C615" t="str">
        <f>IFERROR(__xludf.DUMMYFUNCTION("""COMPUTED_VALUE"""),"PI")</f>
        <v>PI</v>
      </c>
      <c r="D615" t="str">
        <f>IFERROR(__xludf.DUMMYFUNCTION("""COMPUTED_VALUE"""),"DE523N3")</f>
        <v>DE523N3</v>
      </c>
      <c r="E615" t="str">
        <f>IFERROR(__xludf.DUMMYFUNCTION("""COMPUTED_VALUE"""),"P1121")</f>
        <v>P1121</v>
      </c>
      <c r="F615" t="str">
        <f t="array" ref="F615">if(iserror(index(fish_lab_data!C:C,match(B615,fish_lab_data!C:C,0))),"not dissected","dissected")</f>
        <v>dissected</v>
      </c>
    </row>
    <row r="616">
      <c r="A616" t="str">
        <f t="shared" si="1"/>
        <v>17203</v>
      </c>
      <c r="B616" t="str">
        <f>IFERROR(__xludf.DUMMYFUNCTION("""COMPUTED_VALUE"""),"U17203")</f>
        <v>U17203</v>
      </c>
      <c r="C616" t="str">
        <f>IFERROR(__xludf.DUMMYFUNCTION("""COMPUTED_VALUE"""),"PI")</f>
        <v>PI</v>
      </c>
      <c r="D616" t="str">
        <f>IFERROR(__xludf.DUMMYFUNCTION("""COMPUTED_VALUE"""),"DE523N3")</f>
        <v>DE523N3</v>
      </c>
      <c r="E616" t="str">
        <f>IFERROR(__xludf.DUMMYFUNCTION("""COMPUTED_VALUE"""),"P1121")</f>
        <v>P1121</v>
      </c>
      <c r="F616" t="str">
        <f t="array" ref="F616">if(iserror(index(fish_lab_data!C:C,match(B616,fish_lab_data!C:C,0))),"not dissected","dissected")</f>
        <v>dissected</v>
      </c>
    </row>
    <row r="617">
      <c r="A617" t="str">
        <f t="shared" si="1"/>
        <v>17204</v>
      </c>
      <c r="B617" t="str">
        <f>IFERROR(__xludf.DUMMYFUNCTION("""COMPUTED_VALUE"""),"U17204")</f>
        <v>U17204</v>
      </c>
      <c r="C617" t="str">
        <f>IFERROR(__xludf.DUMMYFUNCTION("""COMPUTED_VALUE"""),"PI")</f>
        <v>PI</v>
      </c>
      <c r="D617" t="str">
        <f>IFERROR(__xludf.DUMMYFUNCTION("""COMPUTED_VALUE"""),"DE523N3")</f>
        <v>DE523N3</v>
      </c>
      <c r="E617" t="str">
        <f>IFERROR(__xludf.DUMMYFUNCTION("""COMPUTED_VALUE"""),"P1121")</f>
        <v>P1121</v>
      </c>
      <c r="F617" t="str">
        <f t="array" ref="F617">if(iserror(index(fish_lab_data!C:C,match(B617,fish_lab_data!C:C,0))),"not dissected","dissected")</f>
        <v>dissected</v>
      </c>
    </row>
    <row r="618">
      <c r="A618" t="str">
        <f t="shared" si="1"/>
        <v>17205</v>
      </c>
      <c r="B618" t="str">
        <f>IFERROR(__xludf.DUMMYFUNCTION("""COMPUTED_VALUE"""),"U17205")</f>
        <v>U17205</v>
      </c>
      <c r="C618" t="str">
        <f>IFERROR(__xludf.DUMMYFUNCTION("""COMPUTED_VALUE"""),"PI")</f>
        <v>PI</v>
      </c>
      <c r="D618" t="str">
        <f>IFERROR(__xludf.DUMMYFUNCTION("""COMPUTED_VALUE"""),"DE523N3")</f>
        <v>DE523N3</v>
      </c>
      <c r="E618" t="str">
        <f>IFERROR(__xludf.DUMMYFUNCTION("""COMPUTED_VALUE"""),"P1121")</f>
        <v>P1121</v>
      </c>
      <c r="F618" t="str">
        <f t="array" ref="F618">if(iserror(index(fish_lab_data!C:C,match(B618,fish_lab_data!C:C,0))),"not dissected","dissected")</f>
        <v>dissected</v>
      </c>
    </row>
    <row r="619">
      <c r="A619" t="str">
        <f t="shared" si="1"/>
        <v>17206</v>
      </c>
      <c r="B619" t="str">
        <f>IFERROR(__xludf.DUMMYFUNCTION("""COMPUTED_VALUE"""),"U17206")</f>
        <v>U17206</v>
      </c>
      <c r="C619" t="str">
        <f>IFERROR(__xludf.DUMMYFUNCTION("""COMPUTED_VALUE"""),"PI")</f>
        <v>PI</v>
      </c>
      <c r="D619" t="str">
        <f>IFERROR(__xludf.DUMMYFUNCTION("""COMPUTED_VALUE"""),"DE523N3")</f>
        <v>DE523N3</v>
      </c>
      <c r="E619" t="str">
        <f>IFERROR(__xludf.DUMMYFUNCTION("""COMPUTED_VALUE"""),"P1121")</f>
        <v>P1121</v>
      </c>
      <c r="F619" t="str">
        <f t="array" ref="F619">if(iserror(index(fish_lab_data!C:C,match(B619,fish_lab_data!C:C,0))),"not dissected","dissected")</f>
        <v>dissected</v>
      </c>
    </row>
    <row r="620">
      <c r="A620" t="str">
        <f t="shared" si="1"/>
        <v>17207</v>
      </c>
      <c r="B620" t="str">
        <f>IFERROR(__xludf.DUMMYFUNCTION("""COMPUTED_VALUE"""),"U17207")</f>
        <v>U17207</v>
      </c>
      <c r="C620" t="str">
        <f>IFERROR(__xludf.DUMMYFUNCTION("""COMPUTED_VALUE"""),"PI")</f>
        <v>PI</v>
      </c>
      <c r="D620" t="str">
        <f>IFERROR(__xludf.DUMMYFUNCTION("""COMPUTED_VALUE"""),"DE523N3")</f>
        <v>DE523N3</v>
      </c>
      <c r="E620" t="str">
        <f>IFERROR(__xludf.DUMMYFUNCTION("""COMPUTED_VALUE"""),"P1121")</f>
        <v>P1121</v>
      </c>
      <c r="F620" t="str">
        <f t="array" ref="F620">if(iserror(index(fish_lab_data!C:C,match(B620,fish_lab_data!C:C,0))),"not dissected","dissected")</f>
        <v>dissected</v>
      </c>
    </row>
    <row r="621">
      <c r="A621" t="str">
        <f t="shared" si="1"/>
        <v>17208</v>
      </c>
      <c r="B621" t="str">
        <f>IFERROR(__xludf.DUMMYFUNCTION("""COMPUTED_VALUE"""),"U17208")</f>
        <v>U17208</v>
      </c>
      <c r="C621" t="str">
        <f>IFERROR(__xludf.DUMMYFUNCTION("""COMPUTED_VALUE"""),"PI")</f>
        <v>PI</v>
      </c>
      <c r="D621" t="str">
        <f>IFERROR(__xludf.DUMMYFUNCTION("""COMPUTED_VALUE"""),"DE523N3")</f>
        <v>DE523N3</v>
      </c>
      <c r="E621" t="str">
        <f>IFERROR(__xludf.DUMMYFUNCTION("""COMPUTED_VALUE"""),"P1121")</f>
        <v>P1121</v>
      </c>
      <c r="F621" t="str">
        <f t="array" ref="F621">if(iserror(index(fish_lab_data!C:C,match(B621,fish_lab_data!C:C,0))),"not dissected","dissected")</f>
        <v>dissected</v>
      </c>
    </row>
    <row r="622">
      <c r="A622" t="str">
        <f t="shared" si="1"/>
        <v>17209</v>
      </c>
      <c r="B622" t="str">
        <f>IFERROR(__xludf.DUMMYFUNCTION("""COMPUTED_VALUE"""),"U17209")</f>
        <v>U17209</v>
      </c>
      <c r="C622" t="str">
        <f>IFERROR(__xludf.DUMMYFUNCTION("""COMPUTED_VALUE"""),"PI")</f>
        <v>PI</v>
      </c>
      <c r="D622" t="str">
        <f>IFERROR(__xludf.DUMMYFUNCTION("""COMPUTED_VALUE"""),"DE523N3")</f>
        <v>DE523N3</v>
      </c>
      <c r="E622" t="str">
        <f>IFERROR(__xludf.DUMMYFUNCTION("""COMPUTED_VALUE"""),"P1121")</f>
        <v>P1121</v>
      </c>
      <c r="F622" t="str">
        <f t="array" ref="F622">if(iserror(index(fish_lab_data!C:C,match(B622,fish_lab_data!C:C,0))),"not dissected","dissected")</f>
        <v>dissected</v>
      </c>
    </row>
    <row r="623">
      <c r="A623" t="str">
        <f t="shared" si="1"/>
        <v>17210</v>
      </c>
      <c r="B623" t="str">
        <f>IFERROR(__xludf.DUMMYFUNCTION("""COMPUTED_VALUE"""),"U17210")</f>
        <v>U17210</v>
      </c>
      <c r="C623" t="str">
        <f>IFERROR(__xludf.DUMMYFUNCTION("""COMPUTED_VALUE"""),"PI")</f>
        <v>PI</v>
      </c>
      <c r="D623" t="str">
        <f>IFERROR(__xludf.DUMMYFUNCTION("""COMPUTED_VALUE"""),"DE523N3")</f>
        <v>DE523N3</v>
      </c>
      <c r="E623" t="str">
        <f>IFERROR(__xludf.DUMMYFUNCTION("""COMPUTED_VALUE"""),"P1121")</f>
        <v>P1121</v>
      </c>
      <c r="F623" t="str">
        <f t="array" ref="F623">if(iserror(index(fish_lab_data!C:C,match(B623,fish_lab_data!C:C,0))),"not dissected","dissected")</f>
        <v>dissected</v>
      </c>
    </row>
    <row r="624">
      <c r="A624" t="str">
        <f t="shared" si="1"/>
        <v>17211</v>
      </c>
      <c r="B624" t="str">
        <f>IFERROR(__xludf.DUMMYFUNCTION("""COMPUTED_VALUE"""),"U17211")</f>
        <v>U17211</v>
      </c>
      <c r="C624" t="str">
        <f>IFERROR(__xludf.DUMMYFUNCTION("""COMPUTED_VALUE"""),"CU")</f>
        <v>CU</v>
      </c>
      <c r="D624" t="str">
        <f>IFERROR(__xludf.DUMMYFUNCTION("""COMPUTED_VALUE"""),"DE523N3")</f>
        <v>DE523N3</v>
      </c>
      <c r="E624" t="str">
        <f>IFERROR(__xludf.DUMMYFUNCTION("""COMPUTED_VALUE"""),"P1122")</f>
        <v>P1122</v>
      </c>
      <c r="F624" t="str">
        <f t="array" ref="F624">if(iserror(index(fish_lab_data!C:C,match(B624,fish_lab_data!C:C,0))),"not dissected","dissected")</f>
        <v>dissected</v>
      </c>
    </row>
    <row r="625">
      <c r="A625" t="str">
        <f t="shared" si="1"/>
        <v>17212</v>
      </c>
      <c r="B625" t="str">
        <f>IFERROR(__xludf.DUMMYFUNCTION("""COMPUTED_VALUE"""),"U17212")</f>
        <v>U17212</v>
      </c>
      <c r="C625" t="str">
        <f>IFERROR(__xludf.DUMMYFUNCTION("""COMPUTED_VALUE"""),"CU")</f>
        <v>CU</v>
      </c>
      <c r="D625" t="str">
        <f>IFERROR(__xludf.DUMMYFUNCTION("""COMPUTED_VALUE"""),"DE523N3")</f>
        <v>DE523N3</v>
      </c>
      <c r="E625" t="str">
        <f>IFERROR(__xludf.DUMMYFUNCTION("""COMPUTED_VALUE"""),"P1122")</f>
        <v>P1122</v>
      </c>
      <c r="F625" t="str">
        <f t="array" ref="F625">if(iserror(index(fish_lab_data!C:C,match(B625,fish_lab_data!C:C,0))),"not dissected","dissected")</f>
        <v>dissected</v>
      </c>
    </row>
    <row r="626">
      <c r="A626" t="str">
        <f t="shared" si="1"/>
        <v>17213</v>
      </c>
      <c r="B626" t="str">
        <f>IFERROR(__xludf.DUMMYFUNCTION("""COMPUTED_VALUE"""),"U17213")</f>
        <v>U17213</v>
      </c>
      <c r="C626" t="str">
        <f>IFERROR(__xludf.DUMMYFUNCTION("""COMPUTED_VALUE"""),"CU")</f>
        <v>CU</v>
      </c>
      <c r="D626" t="str">
        <f>IFERROR(__xludf.DUMMYFUNCTION("""COMPUTED_VALUE"""),"DE523N3")</f>
        <v>DE523N3</v>
      </c>
      <c r="E626" t="str">
        <f>IFERROR(__xludf.DUMMYFUNCTION("""COMPUTED_VALUE"""),"P1122")</f>
        <v>P1122</v>
      </c>
      <c r="F626" t="str">
        <f t="array" ref="F626">if(iserror(index(fish_lab_data!C:C,match(B626,fish_lab_data!C:C,0))),"not dissected","dissected")</f>
        <v>dissected</v>
      </c>
    </row>
    <row r="627">
      <c r="A627" t="str">
        <f t="shared" si="1"/>
        <v>17214</v>
      </c>
      <c r="B627" t="str">
        <f>IFERROR(__xludf.DUMMYFUNCTION("""COMPUTED_VALUE"""),"U17214")</f>
        <v>U17214</v>
      </c>
      <c r="C627" t="str">
        <f>IFERROR(__xludf.DUMMYFUNCTION("""COMPUTED_VALUE"""),"CU")</f>
        <v>CU</v>
      </c>
      <c r="D627" t="str">
        <f>IFERROR(__xludf.DUMMYFUNCTION("""COMPUTED_VALUE"""),"DE523N3")</f>
        <v>DE523N3</v>
      </c>
      <c r="E627" t="str">
        <f>IFERROR(__xludf.DUMMYFUNCTION("""COMPUTED_VALUE"""),"P1122")</f>
        <v>P1122</v>
      </c>
      <c r="F627" t="str">
        <f t="array" ref="F627">if(iserror(index(fish_lab_data!C:C,match(B627,fish_lab_data!C:C,0))),"not dissected","dissected")</f>
        <v>dissected</v>
      </c>
    </row>
    <row r="628">
      <c r="A628" t="str">
        <f t="shared" si="1"/>
        <v>17215</v>
      </c>
      <c r="B628" t="str">
        <f>IFERROR(__xludf.DUMMYFUNCTION("""COMPUTED_VALUE"""),"U17215")</f>
        <v>U17215</v>
      </c>
      <c r="C628" t="str">
        <f>IFERROR(__xludf.DUMMYFUNCTION("""COMPUTED_VALUE"""),"CU")</f>
        <v>CU</v>
      </c>
      <c r="D628" t="str">
        <f>IFERROR(__xludf.DUMMYFUNCTION("""COMPUTED_VALUE"""),"DE523N3")</f>
        <v>DE523N3</v>
      </c>
      <c r="E628" t="str">
        <f>IFERROR(__xludf.DUMMYFUNCTION("""COMPUTED_VALUE"""),"P1122")</f>
        <v>P1122</v>
      </c>
      <c r="F628" t="str">
        <f t="array" ref="F628">if(iserror(index(fish_lab_data!C:C,match(B628,fish_lab_data!C:C,0))),"not dissected","dissected")</f>
        <v>dissected</v>
      </c>
    </row>
    <row r="629">
      <c r="A629" t="str">
        <f t="shared" si="1"/>
        <v>17216</v>
      </c>
      <c r="B629" t="str">
        <f>IFERROR(__xludf.DUMMYFUNCTION("""COMPUTED_VALUE"""),"U17216")</f>
        <v>U17216</v>
      </c>
      <c r="C629" t="str">
        <f>IFERROR(__xludf.DUMMYFUNCTION("""COMPUTED_VALUE"""),"CU")</f>
        <v>CU</v>
      </c>
      <c r="D629" t="str">
        <f>IFERROR(__xludf.DUMMYFUNCTION("""COMPUTED_VALUE"""),"DE523N3")</f>
        <v>DE523N3</v>
      </c>
      <c r="E629" t="str">
        <f>IFERROR(__xludf.DUMMYFUNCTION("""COMPUTED_VALUE"""),"P1122")</f>
        <v>P1122</v>
      </c>
      <c r="F629" t="str">
        <f t="array" ref="F629">if(iserror(index(fish_lab_data!C:C,match(B629,fish_lab_data!C:C,0))),"not dissected","dissected")</f>
        <v>dissected</v>
      </c>
    </row>
    <row r="630">
      <c r="A630" t="str">
        <f t="shared" si="1"/>
        <v>17217</v>
      </c>
      <c r="B630" t="str">
        <f>IFERROR(__xludf.DUMMYFUNCTION("""COMPUTED_VALUE"""),"U17217")</f>
        <v>U17217</v>
      </c>
      <c r="C630" t="str">
        <f>IFERROR(__xludf.DUMMYFUNCTION("""COMPUTED_VALUE"""),"CU")</f>
        <v>CU</v>
      </c>
      <c r="D630" t="str">
        <f>IFERROR(__xludf.DUMMYFUNCTION("""COMPUTED_VALUE"""),"DE523N3")</f>
        <v>DE523N3</v>
      </c>
      <c r="E630" t="str">
        <f>IFERROR(__xludf.DUMMYFUNCTION("""COMPUTED_VALUE"""),"P1122")</f>
        <v>P1122</v>
      </c>
      <c r="F630" t="str">
        <f t="array" ref="F630">if(iserror(index(fish_lab_data!C:C,match(B630,fish_lab_data!C:C,0))),"not dissected","dissected")</f>
        <v>dissected</v>
      </c>
    </row>
    <row r="631">
      <c r="A631" t="str">
        <f t="shared" si="1"/>
        <v>17218</v>
      </c>
      <c r="B631" t="str">
        <f>IFERROR(__xludf.DUMMYFUNCTION("""COMPUTED_VALUE"""),"U17218")</f>
        <v>U17218</v>
      </c>
      <c r="C631" t="str">
        <f>IFERROR(__xludf.DUMMYFUNCTION("""COMPUTED_VALUE"""),"CU")</f>
        <v>CU</v>
      </c>
      <c r="D631" t="str">
        <f>IFERROR(__xludf.DUMMYFUNCTION("""COMPUTED_VALUE"""),"DE523N3")</f>
        <v>DE523N3</v>
      </c>
      <c r="E631" t="str">
        <f>IFERROR(__xludf.DUMMYFUNCTION("""COMPUTED_VALUE"""),"P1122")</f>
        <v>P1122</v>
      </c>
      <c r="F631" t="str">
        <f t="array" ref="F631">if(iserror(index(fish_lab_data!C:C,match(B631,fish_lab_data!C:C,0))),"not dissected","dissected")</f>
        <v>dissected</v>
      </c>
    </row>
    <row r="632">
      <c r="A632" t="str">
        <f t="shared" si="1"/>
        <v>17219</v>
      </c>
      <c r="B632" t="str">
        <f>IFERROR(__xludf.DUMMYFUNCTION("""COMPUTED_VALUE"""),"U17219")</f>
        <v>U17219</v>
      </c>
      <c r="C632" t="str">
        <f>IFERROR(__xludf.DUMMYFUNCTION("""COMPUTED_VALUE"""),"CU")</f>
        <v>CU</v>
      </c>
      <c r="D632" t="str">
        <f>IFERROR(__xludf.DUMMYFUNCTION("""COMPUTED_VALUE"""),"DE523N3")</f>
        <v>DE523N3</v>
      </c>
      <c r="E632" t="str">
        <f>IFERROR(__xludf.DUMMYFUNCTION("""COMPUTED_VALUE"""),"P1122")</f>
        <v>P1122</v>
      </c>
      <c r="F632" t="str">
        <f t="array" ref="F632">if(iserror(index(fish_lab_data!C:C,match(B632,fish_lab_data!C:C,0))),"not dissected","dissected")</f>
        <v>dissected</v>
      </c>
    </row>
    <row r="633">
      <c r="A633" t="str">
        <f t="shared" si="1"/>
        <v>17220</v>
      </c>
      <c r="B633" t="str">
        <f>IFERROR(__xludf.DUMMYFUNCTION("""COMPUTED_VALUE"""),"U17220")</f>
        <v>U17220</v>
      </c>
      <c r="C633" t="str">
        <f>IFERROR(__xludf.DUMMYFUNCTION("""COMPUTED_VALUE"""),"CU")</f>
        <v>CU</v>
      </c>
      <c r="D633" t="str">
        <f>IFERROR(__xludf.DUMMYFUNCTION("""COMPUTED_VALUE"""),"DE523N3")</f>
        <v>DE523N3</v>
      </c>
      <c r="E633" t="str">
        <f>IFERROR(__xludf.DUMMYFUNCTION("""COMPUTED_VALUE"""),"P1122")</f>
        <v>P1122</v>
      </c>
      <c r="F633" t="str">
        <f t="array" ref="F633">if(iserror(index(fish_lab_data!C:C,match(B633,fish_lab_data!C:C,0))),"not dissected","dissected")</f>
        <v>dissected</v>
      </c>
    </row>
    <row r="634">
      <c r="A634" t="str">
        <f t="shared" si="1"/>
        <v>17191</v>
      </c>
      <c r="B634" t="str">
        <f>IFERROR(__xludf.DUMMYFUNCTION("""COMPUTED_VALUE"""),"U17191")</f>
        <v>U17191</v>
      </c>
      <c r="C634" t="str">
        <f>IFERROR(__xludf.DUMMYFUNCTION("""COMPUTED_VALUE"""),"SO")</f>
        <v>SO</v>
      </c>
      <c r="D634" t="str">
        <f>IFERROR(__xludf.DUMMYFUNCTION("""COMPUTED_VALUE"""),"DE523N3")</f>
        <v>DE523N3</v>
      </c>
      <c r="E634" t="str">
        <f>IFERROR(__xludf.DUMMYFUNCTION("""COMPUTED_VALUE"""),"P1120")</f>
        <v>P1120</v>
      </c>
      <c r="F634" t="str">
        <f t="array" ref="F634">if(iserror(index(fish_lab_data!C:C,match(B634,fish_lab_data!C:C,0))),"not dissected","dissected")</f>
        <v>dissected</v>
      </c>
    </row>
    <row r="635">
      <c r="A635" t="str">
        <f t="shared" si="1"/>
        <v>17192</v>
      </c>
      <c r="B635" t="str">
        <f>IFERROR(__xludf.DUMMYFUNCTION("""COMPUTED_VALUE"""),"U17192")</f>
        <v>U17192</v>
      </c>
      <c r="C635" t="str">
        <f>IFERROR(__xludf.DUMMYFUNCTION("""COMPUTED_VALUE"""),"SO")</f>
        <v>SO</v>
      </c>
      <c r="D635" t="str">
        <f>IFERROR(__xludf.DUMMYFUNCTION("""COMPUTED_VALUE"""),"DE523N3")</f>
        <v>DE523N3</v>
      </c>
      <c r="E635" t="str">
        <f>IFERROR(__xludf.DUMMYFUNCTION("""COMPUTED_VALUE"""),"P1120")</f>
        <v>P1120</v>
      </c>
      <c r="F635" t="str">
        <f t="array" ref="F635">if(iserror(index(fish_lab_data!C:C,match(B635,fish_lab_data!C:C,0))),"not dissected","dissected")</f>
        <v>dissected</v>
      </c>
    </row>
    <row r="636">
      <c r="A636" t="str">
        <f t="shared" si="1"/>
        <v>17193</v>
      </c>
      <c r="B636" t="str">
        <f>IFERROR(__xludf.DUMMYFUNCTION("""COMPUTED_VALUE"""),"U17193")</f>
        <v>U17193</v>
      </c>
      <c r="C636" t="str">
        <f>IFERROR(__xludf.DUMMYFUNCTION("""COMPUTED_VALUE"""),"SO")</f>
        <v>SO</v>
      </c>
      <c r="D636" t="str">
        <f>IFERROR(__xludf.DUMMYFUNCTION("""COMPUTED_VALUE"""),"DE523N3")</f>
        <v>DE523N3</v>
      </c>
      <c r="E636" t="str">
        <f>IFERROR(__xludf.DUMMYFUNCTION("""COMPUTED_VALUE"""),"P1120")</f>
        <v>P1120</v>
      </c>
      <c r="F636" t="str">
        <f t="array" ref="F636">if(iserror(index(fish_lab_data!C:C,match(B636,fish_lab_data!C:C,0))),"not dissected","dissected")</f>
        <v>dissected</v>
      </c>
    </row>
    <row r="637">
      <c r="A637" t="str">
        <f t="shared" si="1"/>
        <v>17194</v>
      </c>
      <c r="B637" t="str">
        <f>IFERROR(__xludf.DUMMYFUNCTION("""COMPUTED_VALUE"""),"U17194")</f>
        <v>U17194</v>
      </c>
      <c r="C637" t="str">
        <f>IFERROR(__xludf.DUMMYFUNCTION("""COMPUTED_VALUE"""),"SO")</f>
        <v>SO</v>
      </c>
      <c r="D637" t="str">
        <f>IFERROR(__xludf.DUMMYFUNCTION("""COMPUTED_VALUE"""),"DE523N3")</f>
        <v>DE523N3</v>
      </c>
      <c r="E637" t="str">
        <f>IFERROR(__xludf.DUMMYFUNCTION("""COMPUTED_VALUE"""),"P1120")</f>
        <v>P1120</v>
      </c>
      <c r="F637" t="str">
        <f t="array" ref="F637">if(iserror(index(fish_lab_data!C:C,match(B637,fish_lab_data!C:C,0))),"not dissected","dissected")</f>
        <v>dissected</v>
      </c>
    </row>
    <row r="638">
      <c r="A638" t="str">
        <f t="shared" si="1"/>
        <v>17195</v>
      </c>
      <c r="B638" t="str">
        <f>IFERROR(__xludf.DUMMYFUNCTION("""COMPUTED_VALUE"""),"U17195")</f>
        <v>U17195</v>
      </c>
      <c r="C638" t="str">
        <f>IFERROR(__xludf.DUMMYFUNCTION("""COMPUTED_VALUE"""),"SO")</f>
        <v>SO</v>
      </c>
      <c r="D638" t="str">
        <f>IFERROR(__xludf.DUMMYFUNCTION("""COMPUTED_VALUE"""),"DE523N3")</f>
        <v>DE523N3</v>
      </c>
      <c r="E638" t="str">
        <f>IFERROR(__xludf.DUMMYFUNCTION("""COMPUTED_VALUE"""),"P1120")</f>
        <v>P1120</v>
      </c>
      <c r="F638" t="str">
        <f t="array" ref="F638">if(iserror(index(fish_lab_data!C:C,match(B638,fish_lab_data!C:C,0))),"not dissected","dissected")</f>
        <v>dissected</v>
      </c>
    </row>
    <row r="639">
      <c r="A639" t="str">
        <f t="shared" si="1"/>
        <v>17196</v>
      </c>
      <c r="B639" t="str">
        <f>IFERROR(__xludf.DUMMYFUNCTION("""COMPUTED_VALUE"""),"U17196")</f>
        <v>U17196</v>
      </c>
      <c r="C639" t="str">
        <f>IFERROR(__xludf.DUMMYFUNCTION("""COMPUTED_VALUE"""),"SO")</f>
        <v>SO</v>
      </c>
      <c r="D639" t="str">
        <f>IFERROR(__xludf.DUMMYFUNCTION("""COMPUTED_VALUE"""),"DE523N3")</f>
        <v>DE523N3</v>
      </c>
      <c r="E639" t="str">
        <f>IFERROR(__xludf.DUMMYFUNCTION("""COMPUTED_VALUE"""),"P1120")</f>
        <v>P1120</v>
      </c>
      <c r="F639" t="str">
        <f t="array" ref="F639">if(iserror(index(fish_lab_data!C:C,match(B639,fish_lab_data!C:C,0))),"not dissected","dissected")</f>
        <v>dissected</v>
      </c>
    </row>
    <row r="640">
      <c r="A640" t="str">
        <f t="shared" si="1"/>
        <v>17197</v>
      </c>
      <c r="B640" t="str">
        <f>IFERROR(__xludf.DUMMYFUNCTION("""COMPUTED_VALUE"""),"U17197")</f>
        <v>U17197</v>
      </c>
      <c r="C640" t="str">
        <f>IFERROR(__xludf.DUMMYFUNCTION("""COMPUTED_VALUE"""),"SO")</f>
        <v>SO</v>
      </c>
      <c r="D640" t="str">
        <f>IFERROR(__xludf.DUMMYFUNCTION("""COMPUTED_VALUE"""),"DE523N3")</f>
        <v>DE523N3</v>
      </c>
      <c r="E640" t="str">
        <f>IFERROR(__xludf.DUMMYFUNCTION("""COMPUTED_VALUE"""),"P1120")</f>
        <v>P1120</v>
      </c>
      <c r="F640" t="str">
        <f t="array" ref="F640">if(iserror(index(fish_lab_data!C:C,match(B640,fish_lab_data!C:C,0))),"not dissected","dissected")</f>
        <v>dissected</v>
      </c>
    </row>
    <row r="641">
      <c r="A641" t="str">
        <f t="shared" si="1"/>
        <v>17198</v>
      </c>
      <c r="B641" t="str">
        <f>IFERROR(__xludf.DUMMYFUNCTION("""COMPUTED_VALUE"""),"U17198")</f>
        <v>U17198</v>
      </c>
      <c r="C641" t="str">
        <f>IFERROR(__xludf.DUMMYFUNCTION("""COMPUTED_VALUE"""),"SO")</f>
        <v>SO</v>
      </c>
      <c r="D641" t="str">
        <f>IFERROR(__xludf.DUMMYFUNCTION("""COMPUTED_VALUE"""),"DE523N3")</f>
        <v>DE523N3</v>
      </c>
      <c r="E641" t="str">
        <f>IFERROR(__xludf.DUMMYFUNCTION("""COMPUTED_VALUE"""),"P1120")</f>
        <v>P1120</v>
      </c>
      <c r="F641" t="str">
        <f t="array" ref="F641">if(iserror(index(fish_lab_data!C:C,match(B641,fish_lab_data!C:C,0))),"not dissected","dissected")</f>
        <v>dissected</v>
      </c>
    </row>
    <row r="642">
      <c r="A642" t="str">
        <f t="shared" si="1"/>
        <v>17199</v>
      </c>
      <c r="B642" t="str">
        <f>IFERROR(__xludf.DUMMYFUNCTION("""COMPUTED_VALUE"""),"U17199")</f>
        <v>U17199</v>
      </c>
      <c r="C642" t="str">
        <f>IFERROR(__xludf.DUMMYFUNCTION("""COMPUTED_VALUE"""),"SO")</f>
        <v>SO</v>
      </c>
      <c r="D642" t="str">
        <f>IFERROR(__xludf.DUMMYFUNCTION("""COMPUTED_VALUE"""),"DE523N3")</f>
        <v>DE523N3</v>
      </c>
      <c r="E642" t="str">
        <f>IFERROR(__xludf.DUMMYFUNCTION("""COMPUTED_VALUE"""),"P1120")</f>
        <v>P1120</v>
      </c>
      <c r="F642" t="str">
        <f t="array" ref="F642">if(iserror(index(fish_lab_data!C:C,match(B642,fish_lab_data!C:C,0))),"not dissected","dissected")</f>
        <v>dissected</v>
      </c>
    </row>
    <row r="643">
      <c r="A643" t="str">
        <f t="shared" si="1"/>
        <v>17200</v>
      </c>
      <c r="B643" t="str">
        <f>IFERROR(__xludf.DUMMYFUNCTION("""COMPUTED_VALUE"""),"U17200")</f>
        <v>U17200</v>
      </c>
      <c r="C643" t="str">
        <f>IFERROR(__xludf.DUMMYFUNCTION("""COMPUTED_VALUE"""),"SO")</f>
        <v>SO</v>
      </c>
      <c r="D643" t="str">
        <f>IFERROR(__xludf.DUMMYFUNCTION("""COMPUTED_VALUE"""),"DE523N3")</f>
        <v>DE523N3</v>
      </c>
      <c r="E643" t="str">
        <f>IFERROR(__xludf.DUMMYFUNCTION("""COMPUTED_VALUE"""),"P1120")</f>
        <v>P1120</v>
      </c>
      <c r="F643" t="str">
        <f t="array" ref="F643">if(iserror(index(fish_lab_data!C:C,match(B643,fish_lab_data!C:C,0))),"not dissected","dissected")</f>
        <v>dissected</v>
      </c>
    </row>
    <row r="644">
      <c r="A644" t="str">
        <f t="shared" si="1"/>
        <v>17411</v>
      </c>
      <c r="B644" t="str">
        <f>IFERROR(__xludf.DUMMYFUNCTION("""COMPUTED_VALUE"""),"U17411")</f>
        <v>U17411</v>
      </c>
      <c r="C644" t="str">
        <f>IFERROR(__xludf.DUMMYFUNCTION("""COMPUTED_VALUE"""),"SO")</f>
        <v>SO</v>
      </c>
      <c r="D644" t="str">
        <f>IFERROR(__xludf.DUMMYFUNCTION("""COMPUTED_VALUE"""),"DE523N3")</f>
        <v>DE523N3</v>
      </c>
      <c r="E644" t="str">
        <f>IFERROR(__xludf.DUMMYFUNCTION("""COMPUTED_VALUE"""),"P1142")</f>
        <v>P1142</v>
      </c>
      <c r="F644" t="str">
        <f t="array" ref="F644">if(iserror(index(fish_lab_data!C:C,match(B644,fish_lab_data!C:C,0))),"not dissected","dissected")</f>
        <v>dissected</v>
      </c>
    </row>
    <row r="645">
      <c r="A645" t="str">
        <f t="shared" si="1"/>
        <v>17412</v>
      </c>
      <c r="B645" t="str">
        <f>IFERROR(__xludf.DUMMYFUNCTION("""COMPUTED_VALUE"""),"U17412")</f>
        <v>U17412</v>
      </c>
      <c r="C645" t="str">
        <f>IFERROR(__xludf.DUMMYFUNCTION("""COMPUTED_VALUE"""),"SO")</f>
        <v>SO</v>
      </c>
      <c r="D645" t="str">
        <f>IFERROR(__xludf.DUMMYFUNCTION("""COMPUTED_VALUE"""),"DE523N3")</f>
        <v>DE523N3</v>
      </c>
      <c r="E645" t="str">
        <f>IFERROR(__xludf.DUMMYFUNCTION("""COMPUTED_VALUE"""),"P1142")</f>
        <v>P1142</v>
      </c>
      <c r="F645" t="str">
        <f t="array" ref="F645">if(iserror(index(fish_lab_data!C:C,match(B645,fish_lab_data!C:C,0))),"not dissected","dissected")</f>
        <v>dissected</v>
      </c>
    </row>
    <row r="646">
      <c r="A646" t="str">
        <f t="shared" si="1"/>
        <v>17413</v>
      </c>
      <c r="B646" t="str">
        <f>IFERROR(__xludf.DUMMYFUNCTION("""COMPUTED_VALUE"""),"U17413")</f>
        <v>U17413</v>
      </c>
      <c r="C646" t="str">
        <f>IFERROR(__xludf.DUMMYFUNCTION("""COMPUTED_VALUE"""),"SO")</f>
        <v>SO</v>
      </c>
      <c r="D646" t="str">
        <f>IFERROR(__xludf.DUMMYFUNCTION("""COMPUTED_VALUE"""),"DE523N3")</f>
        <v>DE523N3</v>
      </c>
      <c r="E646" t="str">
        <f>IFERROR(__xludf.DUMMYFUNCTION("""COMPUTED_VALUE"""),"P1142")</f>
        <v>P1142</v>
      </c>
      <c r="F646" t="str">
        <f t="array" ref="F646">if(iserror(index(fish_lab_data!C:C,match(B646,fish_lab_data!C:C,0))),"not dissected","dissected")</f>
        <v>dissected</v>
      </c>
    </row>
    <row r="647">
      <c r="A647" t="str">
        <f t="shared" si="1"/>
        <v>17414</v>
      </c>
      <c r="B647" t="str">
        <f>IFERROR(__xludf.DUMMYFUNCTION("""COMPUTED_VALUE"""),"U17414")</f>
        <v>U17414</v>
      </c>
      <c r="C647" t="str">
        <f>IFERROR(__xludf.DUMMYFUNCTION("""COMPUTED_VALUE"""),"SO")</f>
        <v>SO</v>
      </c>
      <c r="D647" t="str">
        <f>IFERROR(__xludf.DUMMYFUNCTION("""COMPUTED_VALUE"""),"DE523N3")</f>
        <v>DE523N3</v>
      </c>
      <c r="E647" t="str">
        <f>IFERROR(__xludf.DUMMYFUNCTION("""COMPUTED_VALUE"""),"P1142")</f>
        <v>P1142</v>
      </c>
      <c r="F647" t="str">
        <f t="array" ref="F647">if(iserror(index(fish_lab_data!C:C,match(B647,fish_lab_data!C:C,0))),"not dissected","dissected")</f>
        <v>dissected</v>
      </c>
    </row>
    <row r="648">
      <c r="A648" t="str">
        <f t="shared" si="1"/>
        <v>17415</v>
      </c>
      <c r="B648" t="str">
        <f>IFERROR(__xludf.DUMMYFUNCTION("""COMPUTED_VALUE"""),"U17415")</f>
        <v>U17415</v>
      </c>
      <c r="C648" t="str">
        <f>IFERROR(__xludf.DUMMYFUNCTION("""COMPUTED_VALUE"""),"SO")</f>
        <v>SO</v>
      </c>
      <c r="D648" t="str">
        <f>IFERROR(__xludf.DUMMYFUNCTION("""COMPUTED_VALUE"""),"DE523N3")</f>
        <v>DE523N3</v>
      </c>
      <c r="E648" t="str">
        <f>IFERROR(__xludf.DUMMYFUNCTION("""COMPUTED_VALUE"""),"P1142")</f>
        <v>P1142</v>
      </c>
      <c r="F648" t="str">
        <f t="array" ref="F648">if(iserror(index(fish_lab_data!C:C,match(B648,fish_lab_data!C:C,0))),"not dissected","dissected")</f>
        <v>dissected</v>
      </c>
    </row>
    <row r="649">
      <c r="A649" t="str">
        <f t="shared" si="1"/>
        <v>17416</v>
      </c>
      <c r="B649" t="str">
        <f>IFERROR(__xludf.DUMMYFUNCTION("""COMPUTED_VALUE"""),"U17416")</f>
        <v>U17416</v>
      </c>
      <c r="C649" t="str">
        <f>IFERROR(__xludf.DUMMYFUNCTION("""COMPUTED_VALUE"""),"SO")</f>
        <v>SO</v>
      </c>
      <c r="D649" t="str">
        <f>IFERROR(__xludf.DUMMYFUNCTION("""COMPUTED_VALUE"""),"DE523N3")</f>
        <v>DE523N3</v>
      </c>
      <c r="E649" t="str">
        <f>IFERROR(__xludf.DUMMYFUNCTION("""COMPUTED_VALUE"""),"P1142")</f>
        <v>P1142</v>
      </c>
      <c r="F649" t="str">
        <f t="array" ref="F649">if(iserror(index(fish_lab_data!C:C,match(B649,fish_lab_data!C:C,0))),"not dissected","dissected")</f>
        <v>dissected</v>
      </c>
    </row>
    <row r="650">
      <c r="A650" t="str">
        <f t="shared" si="1"/>
        <v>16561</v>
      </c>
      <c r="B650" t="str">
        <f>IFERROR(__xludf.DUMMYFUNCTION("""COMPUTED_VALUE"""),"U16561")</f>
        <v>U16561</v>
      </c>
      <c r="C650" t="str">
        <f>IFERROR(__xludf.DUMMYFUNCTION("""COMPUTED_VALUE"""),"SO")</f>
        <v>SO</v>
      </c>
      <c r="D650" t="str">
        <f>IFERROR(__xludf.DUMMYFUNCTION("""COMPUTED_VALUE"""),"JE415N2")</f>
        <v>JE415N2</v>
      </c>
      <c r="E650" t="str">
        <f>IFERROR(__xludf.DUMMYFUNCTION("""COMPUTED_VALUE"""),"P1057")</f>
        <v>P1057</v>
      </c>
      <c r="F650" s="9" t="s">
        <v>2304</v>
      </c>
    </row>
    <row r="651">
      <c r="A651" t="str">
        <f t="shared" si="1"/>
        <v>16562</v>
      </c>
      <c r="B651" t="str">
        <f>IFERROR(__xludf.DUMMYFUNCTION("""COMPUTED_VALUE"""),"U16562")</f>
        <v>U16562</v>
      </c>
      <c r="C651" t="str">
        <f>IFERROR(__xludf.DUMMYFUNCTION("""COMPUTED_VALUE"""),"SO")</f>
        <v>SO</v>
      </c>
      <c r="D651" t="str">
        <f>IFERROR(__xludf.DUMMYFUNCTION("""COMPUTED_VALUE"""),"JE415N2")</f>
        <v>JE415N2</v>
      </c>
      <c r="E651" t="str">
        <f>IFERROR(__xludf.DUMMYFUNCTION("""COMPUTED_VALUE"""),"P1057")</f>
        <v>P1057</v>
      </c>
      <c r="F651" s="9" t="s">
        <v>2304</v>
      </c>
    </row>
    <row r="652">
      <c r="A652" t="str">
        <f t="shared" si="1"/>
        <v>16563</v>
      </c>
      <c r="B652" t="str">
        <f>IFERROR(__xludf.DUMMYFUNCTION("""COMPUTED_VALUE"""),"U16563")</f>
        <v>U16563</v>
      </c>
      <c r="C652" t="str">
        <f>IFERROR(__xludf.DUMMYFUNCTION("""COMPUTED_VALUE"""),"SO")</f>
        <v>SO</v>
      </c>
      <c r="D652" t="str">
        <f>IFERROR(__xludf.DUMMYFUNCTION("""COMPUTED_VALUE"""),"JE415N2")</f>
        <v>JE415N2</v>
      </c>
      <c r="E652" t="str">
        <f>IFERROR(__xludf.DUMMYFUNCTION("""COMPUTED_VALUE"""),"P1057")</f>
        <v>P1057</v>
      </c>
      <c r="F652" s="9" t="s">
        <v>2304</v>
      </c>
    </row>
    <row r="653">
      <c r="A653" t="str">
        <f t="shared" si="1"/>
        <v>16564</v>
      </c>
      <c r="B653" t="str">
        <f>IFERROR(__xludf.DUMMYFUNCTION("""COMPUTED_VALUE"""),"U16564")</f>
        <v>U16564</v>
      </c>
      <c r="C653" t="str">
        <f>IFERROR(__xludf.DUMMYFUNCTION("""COMPUTED_VALUE"""),"SO")</f>
        <v>SO</v>
      </c>
      <c r="D653" t="str">
        <f>IFERROR(__xludf.DUMMYFUNCTION("""COMPUTED_VALUE"""),"JE415N2")</f>
        <v>JE415N2</v>
      </c>
      <c r="E653" t="str">
        <f>IFERROR(__xludf.DUMMYFUNCTION("""COMPUTED_VALUE"""),"P1057")</f>
        <v>P1057</v>
      </c>
      <c r="F653" s="9" t="s">
        <v>2304</v>
      </c>
    </row>
    <row r="654">
      <c r="A654" t="str">
        <f t="shared" si="1"/>
        <v>16565</v>
      </c>
      <c r="B654" t="str">
        <f>IFERROR(__xludf.DUMMYFUNCTION("""COMPUTED_VALUE"""),"U16565")</f>
        <v>U16565</v>
      </c>
      <c r="C654" t="str">
        <f>IFERROR(__xludf.DUMMYFUNCTION("""COMPUTED_VALUE"""),"SO")</f>
        <v>SO</v>
      </c>
      <c r="D654" t="str">
        <f>IFERROR(__xludf.DUMMYFUNCTION("""COMPUTED_VALUE"""),"JE415N2")</f>
        <v>JE415N2</v>
      </c>
      <c r="E654" t="str">
        <f>IFERROR(__xludf.DUMMYFUNCTION("""COMPUTED_VALUE"""),"P1057")</f>
        <v>P1057</v>
      </c>
      <c r="F654" s="9" t="s">
        <v>2304</v>
      </c>
    </row>
    <row r="655">
      <c r="A655" t="str">
        <f t="shared" si="1"/>
        <v>16566</v>
      </c>
      <c r="B655" t="str">
        <f>IFERROR(__xludf.DUMMYFUNCTION("""COMPUTED_VALUE"""),"U16566")</f>
        <v>U16566</v>
      </c>
      <c r="C655" t="str">
        <f>IFERROR(__xludf.DUMMYFUNCTION("""COMPUTED_VALUE"""),"SO")</f>
        <v>SO</v>
      </c>
      <c r="D655" t="str">
        <f>IFERROR(__xludf.DUMMYFUNCTION("""COMPUTED_VALUE"""),"JE415N2")</f>
        <v>JE415N2</v>
      </c>
      <c r="E655" t="str">
        <f>IFERROR(__xludf.DUMMYFUNCTION("""COMPUTED_VALUE"""),"P1057")</f>
        <v>P1057</v>
      </c>
      <c r="F655" s="9" t="s">
        <v>2304</v>
      </c>
    </row>
    <row r="656">
      <c r="A656" t="str">
        <f t="shared" si="1"/>
        <v>16567</v>
      </c>
      <c r="B656" t="str">
        <f>IFERROR(__xludf.DUMMYFUNCTION("""COMPUTED_VALUE"""),"U16567")</f>
        <v>U16567</v>
      </c>
      <c r="C656" t="str">
        <f>IFERROR(__xludf.DUMMYFUNCTION("""COMPUTED_VALUE"""),"SO")</f>
        <v>SO</v>
      </c>
      <c r="D656" t="str">
        <f>IFERROR(__xludf.DUMMYFUNCTION("""COMPUTED_VALUE"""),"JE415N2")</f>
        <v>JE415N2</v>
      </c>
      <c r="E656" t="str">
        <f>IFERROR(__xludf.DUMMYFUNCTION("""COMPUTED_VALUE"""),"P1057")</f>
        <v>P1057</v>
      </c>
      <c r="F656" s="9" t="s">
        <v>2304</v>
      </c>
    </row>
    <row r="657">
      <c r="A657" t="str">
        <f t="shared" si="1"/>
        <v>16568</v>
      </c>
      <c r="B657" t="str">
        <f>IFERROR(__xludf.DUMMYFUNCTION("""COMPUTED_VALUE"""),"U16568")</f>
        <v>U16568</v>
      </c>
      <c r="C657" t="str">
        <f>IFERROR(__xludf.DUMMYFUNCTION("""COMPUTED_VALUE"""),"SO")</f>
        <v>SO</v>
      </c>
      <c r="D657" t="str">
        <f>IFERROR(__xludf.DUMMYFUNCTION("""COMPUTED_VALUE"""),"JE415N2")</f>
        <v>JE415N2</v>
      </c>
      <c r="E657" t="str">
        <f>IFERROR(__xludf.DUMMYFUNCTION("""COMPUTED_VALUE"""),"P1057")</f>
        <v>P1057</v>
      </c>
      <c r="F657" s="9" t="s">
        <v>2304</v>
      </c>
    </row>
    <row r="658">
      <c r="A658" t="str">
        <f t="shared" si="1"/>
        <v>16811</v>
      </c>
      <c r="B658" t="str">
        <f>IFERROR(__xludf.DUMMYFUNCTION("""COMPUTED_VALUE"""),"U16811")</f>
        <v>U16811</v>
      </c>
      <c r="C658" t="str">
        <f>IFERROR(__xludf.DUMMYFUNCTION("""COMPUTED_VALUE"""),"PI")</f>
        <v>PI</v>
      </c>
      <c r="D658" t="str">
        <f>IFERROR(__xludf.DUMMYFUNCTION("""COMPUTED_VALUE"""),"JE415N2")</f>
        <v>JE415N2</v>
      </c>
      <c r="E658" t="str">
        <f>IFERROR(__xludf.DUMMYFUNCTION("""COMPUTED_VALUE"""),"P1082")</f>
        <v>P1082</v>
      </c>
      <c r="F658" t="str">
        <f t="array" ref="F658">if(iserror(index(fish_lab_data!C:C,match(B658,fish_lab_data!C:C,0))),"not dissected","dissected")</f>
        <v>dissected</v>
      </c>
    </row>
    <row r="659">
      <c r="A659" t="str">
        <f t="shared" si="1"/>
        <v>16812</v>
      </c>
      <c r="B659" t="str">
        <f>IFERROR(__xludf.DUMMYFUNCTION("""COMPUTED_VALUE"""),"U16812")</f>
        <v>U16812</v>
      </c>
      <c r="C659" t="str">
        <f>IFERROR(__xludf.DUMMYFUNCTION("""COMPUTED_VALUE"""),"PI")</f>
        <v>PI</v>
      </c>
      <c r="D659" t="str">
        <f>IFERROR(__xludf.DUMMYFUNCTION("""COMPUTED_VALUE"""),"JE415N2")</f>
        <v>JE415N2</v>
      </c>
      <c r="E659" t="str">
        <f>IFERROR(__xludf.DUMMYFUNCTION("""COMPUTED_VALUE"""),"P1082")</f>
        <v>P1082</v>
      </c>
      <c r="F659" t="str">
        <f t="array" ref="F659">if(iserror(index(fish_lab_data!C:C,match(B659,fish_lab_data!C:C,0))),"not dissected","dissected")</f>
        <v>dissected</v>
      </c>
    </row>
    <row r="660">
      <c r="A660" t="str">
        <f t="shared" si="1"/>
        <v>16813</v>
      </c>
      <c r="B660" t="str">
        <f>IFERROR(__xludf.DUMMYFUNCTION("""COMPUTED_VALUE"""),"U16813")</f>
        <v>U16813</v>
      </c>
      <c r="C660" t="str">
        <f>IFERROR(__xludf.DUMMYFUNCTION("""COMPUTED_VALUE"""),"PI")</f>
        <v>PI</v>
      </c>
      <c r="D660" t="str">
        <f>IFERROR(__xludf.DUMMYFUNCTION("""COMPUTED_VALUE"""),"JE415N2")</f>
        <v>JE415N2</v>
      </c>
      <c r="E660" t="str">
        <f>IFERROR(__xludf.DUMMYFUNCTION("""COMPUTED_VALUE"""),"P1082")</f>
        <v>P1082</v>
      </c>
      <c r="F660" t="str">
        <f t="array" ref="F660">if(iserror(index(fish_lab_data!C:C,match(B660,fish_lab_data!C:C,0))),"not dissected","dissected")</f>
        <v>dissected</v>
      </c>
    </row>
    <row r="661">
      <c r="A661" t="str">
        <f t="shared" si="1"/>
        <v>16814</v>
      </c>
      <c r="B661" t="str">
        <f>IFERROR(__xludf.DUMMYFUNCTION("""COMPUTED_VALUE"""),"U16814")</f>
        <v>U16814</v>
      </c>
      <c r="C661" t="str">
        <f>IFERROR(__xludf.DUMMYFUNCTION("""COMPUTED_VALUE"""),"PI")</f>
        <v>PI</v>
      </c>
      <c r="D661" t="str">
        <f>IFERROR(__xludf.DUMMYFUNCTION("""COMPUTED_VALUE"""),"JE415N2")</f>
        <v>JE415N2</v>
      </c>
      <c r="E661" t="str">
        <f>IFERROR(__xludf.DUMMYFUNCTION("""COMPUTED_VALUE"""),"P1082")</f>
        <v>P1082</v>
      </c>
      <c r="F661" t="str">
        <f t="array" ref="F661">if(iserror(index(fish_lab_data!C:C,match(B661,fish_lab_data!C:C,0))),"not dissected","dissected")</f>
        <v>dissected</v>
      </c>
    </row>
    <row r="662">
      <c r="A662" t="str">
        <f t="shared" si="1"/>
        <v>16815</v>
      </c>
      <c r="B662" t="str">
        <f>IFERROR(__xludf.DUMMYFUNCTION("""COMPUTED_VALUE"""),"U16815")</f>
        <v>U16815</v>
      </c>
      <c r="C662" t="str">
        <f>IFERROR(__xludf.DUMMYFUNCTION("""COMPUTED_VALUE"""),"PI")</f>
        <v>PI</v>
      </c>
      <c r="D662" t="str">
        <f>IFERROR(__xludf.DUMMYFUNCTION("""COMPUTED_VALUE"""),"JE415N2")</f>
        <v>JE415N2</v>
      </c>
      <c r="E662" t="str">
        <f>IFERROR(__xludf.DUMMYFUNCTION("""COMPUTED_VALUE"""),"P1082")</f>
        <v>P1082</v>
      </c>
      <c r="F662" t="str">
        <f t="array" ref="F662">if(iserror(index(fish_lab_data!C:C,match(B662,fish_lab_data!C:C,0))),"not dissected","dissected")</f>
        <v>dissected</v>
      </c>
    </row>
    <row r="663">
      <c r="A663" t="str">
        <f t="shared" si="1"/>
        <v>16816</v>
      </c>
      <c r="B663" t="str">
        <f>IFERROR(__xludf.DUMMYFUNCTION("""COMPUTED_VALUE"""),"U16816")</f>
        <v>U16816</v>
      </c>
      <c r="C663" t="str">
        <f>IFERROR(__xludf.DUMMYFUNCTION("""COMPUTED_VALUE"""),"PI")</f>
        <v>PI</v>
      </c>
      <c r="D663" t="str">
        <f>IFERROR(__xludf.DUMMYFUNCTION("""COMPUTED_VALUE"""),"JE415N2")</f>
        <v>JE415N2</v>
      </c>
      <c r="E663" t="str">
        <f>IFERROR(__xludf.DUMMYFUNCTION("""COMPUTED_VALUE"""),"P1082")</f>
        <v>P1082</v>
      </c>
      <c r="F663" t="str">
        <f t="array" ref="F663">if(iserror(index(fish_lab_data!C:C,match(B663,fish_lab_data!C:C,0))),"not dissected","dissected")</f>
        <v>dissected</v>
      </c>
    </row>
    <row r="664">
      <c r="A664" t="str">
        <f t="shared" si="1"/>
        <v>16817</v>
      </c>
      <c r="B664" t="str">
        <f>IFERROR(__xludf.DUMMYFUNCTION("""COMPUTED_VALUE"""),"U16817")</f>
        <v>U16817</v>
      </c>
      <c r="C664" t="str">
        <f>IFERROR(__xludf.DUMMYFUNCTION("""COMPUTED_VALUE"""),"PI")</f>
        <v>PI</v>
      </c>
      <c r="D664" t="str">
        <f>IFERROR(__xludf.DUMMYFUNCTION("""COMPUTED_VALUE"""),"JE415N2")</f>
        <v>JE415N2</v>
      </c>
      <c r="E664" t="str">
        <f>IFERROR(__xludf.DUMMYFUNCTION("""COMPUTED_VALUE"""),"P1082")</f>
        <v>P1082</v>
      </c>
      <c r="F664" t="str">
        <f t="array" ref="F664">if(iserror(index(fish_lab_data!C:C,match(B664,fish_lab_data!C:C,0))),"not dissected","dissected")</f>
        <v>dissected</v>
      </c>
    </row>
    <row r="665">
      <c r="A665" t="str">
        <f t="shared" si="1"/>
        <v>16818</v>
      </c>
      <c r="B665" t="str">
        <f>IFERROR(__xludf.DUMMYFUNCTION("""COMPUTED_VALUE"""),"U16818")</f>
        <v>U16818</v>
      </c>
      <c r="C665" t="str">
        <f>IFERROR(__xludf.DUMMYFUNCTION("""COMPUTED_VALUE"""),"PI")</f>
        <v>PI</v>
      </c>
      <c r="D665" t="str">
        <f>IFERROR(__xludf.DUMMYFUNCTION("""COMPUTED_VALUE"""),"JE415N2")</f>
        <v>JE415N2</v>
      </c>
      <c r="E665" t="str">
        <f>IFERROR(__xludf.DUMMYFUNCTION("""COMPUTED_VALUE"""),"P1082")</f>
        <v>P1082</v>
      </c>
      <c r="F665" t="str">
        <f t="array" ref="F665">if(iserror(index(fish_lab_data!C:C,match(B665,fish_lab_data!C:C,0))),"not dissected","dissected")</f>
        <v>dissected</v>
      </c>
    </row>
    <row r="666">
      <c r="A666" t="str">
        <f t="shared" si="1"/>
        <v>16819</v>
      </c>
      <c r="B666" t="str">
        <f>IFERROR(__xludf.DUMMYFUNCTION("""COMPUTED_VALUE"""),"U16819")</f>
        <v>U16819</v>
      </c>
      <c r="C666" t="str">
        <f>IFERROR(__xludf.DUMMYFUNCTION("""COMPUTED_VALUE"""),"PI")</f>
        <v>PI</v>
      </c>
      <c r="D666" t="str">
        <f>IFERROR(__xludf.DUMMYFUNCTION("""COMPUTED_VALUE"""),"JE415N2")</f>
        <v>JE415N2</v>
      </c>
      <c r="E666" t="str">
        <f>IFERROR(__xludf.DUMMYFUNCTION("""COMPUTED_VALUE"""),"P1082")</f>
        <v>P1082</v>
      </c>
      <c r="F666" t="str">
        <f t="array" ref="F666">if(iserror(index(fish_lab_data!C:C,match(B666,fish_lab_data!C:C,0))),"not dissected","dissected")</f>
        <v>dissected</v>
      </c>
    </row>
    <row r="667">
      <c r="A667" t="str">
        <f t="shared" si="1"/>
        <v>16820</v>
      </c>
      <c r="B667" t="str">
        <f>IFERROR(__xludf.DUMMYFUNCTION("""COMPUTED_VALUE"""),"U16820")</f>
        <v>U16820</v>
      </c>
      <c r="C667" t="str">
        <f>IFERROR(__xludf.DUMMYFUNCTION("""COMPUTED_VALUE"""),"PI")</f>
        <v>PI</v>
      </c>
      <c r="D667" t="str">
        <f>IFERROR(__xludf.DUMMYFUNCTION("""COMPUTED_VALUE"""),"JE415N2")</f>
        <v>JE415N2</v>
      </c>
      <c r="E667" t="str">
        <f>IFERROR(__xludf.DUMMYFUNCTION("""COMPUTED_VALUE"""),"P1082")</f>
        <v>P1082</v>
      </c>
      <c r="F667" t="str">
        <f t="array" ref="F667">if(iserror(index(fish_lab_data!C:C,match(B667,fish_lab_data!C:C,0))),"not dissected","dissected")</f>
        <v>dissected</v>
      </c>
    </row>
    <row r="668">
      <c r="A668" t="str">
        <f t="shared" si="1"/>
        <v>16831</v>
      </c>
      <c r="B668" t="str">
        <f>IFERROR(__xludf.DUMMYFUNCTION("""COMPUTED_VALUE"""),"U16831")</f>
        <v>U16831</v>
      </c>
      <c r="C668" t="str">
        <f>IFERROR(__xludf.DUMMYFUNCTION("""COMPUTED_VALUE"""),"CU")</f>
        <v>CU</v>
      </c>
      <c r="D668" t="str">
        <f>IFERROR(__xludf.DUMMYFUNCTION("""COMPUTED_VALUE"""),"JE415N2")</f>
        <v>JE415N2</v>
      </c>
      <c r="E668" t="str">
        <f>IFERROR(__xludf.DUMMYFUNCTION("""COMPUTED_VALUE"""),"P1084")</f>
        <v>P1084</v>
      </c>
      <c r="F668" t="str">
        <f t="array" ref="F668">if(iserror(index(fish_lab_data!C:C,match(B668,fish_lab_data!C:C,0))),"not dissected","dissected")</f>
        <v>dissected</v>
      </c>
    </row>
    <row r="669">
      <c r="A669" t="str">
        <f t="shared" si="1"/>
        <v>16832</v>
      </c>
      <c r="B669" t="str">
        <f>IFERROR(__xludf.DUMMYFUNCTION("""COMPUTED_VALUE"""),"U16832")</f>
        <v>U16832</v>
      </c>
      <c r="C669" t="str">
        <f>IFERROR(__xludf.DUMMYFUNCTION("""COMPUTED_VALUE"""),"CU")</f>
        <v>CU</v>
      </c>
      <c r="D669" t="str">
        <f>IFERROR(__xludf.DUMMYFUNCTION("""COMPUTED_VALUE"""),"JE415N2")</f>
        <v>JE415N2</v>
      </c>
      <c r="E669" t="str">
        <f>IFERROR(__xludf.DUMMYFUNCTION("""COMPUTED_VALUE"""),"P1084")</f>
        <v>P1084</v>
      </c>
      <c r="F669" t="str">
        <f t="array" ref="F669">if(iserror(index(fish_lab_data!C:C,match(B669,fish_lab_data!C:C,0))),"not dissected","dissected")</f>
        <v>dissected</v>
      </c>
    </row>
    <row r="670">
      <c r="A670" t="str">
        <f t="shared" si="1"/>
        <v>16833</v>
      </c>
      <c r="B670" t="str">
        <f>IFERROR(__xludf.DUMMYFUNCTION("""COMPUTED_VALUE"""),"U16833")</f>
        <v>U16833</v>
      </c>
      <c r="C670" t="str">
        <f>IFERROR(__xludf.DUMMYFUNCTION("""COMPUTED_VALUE"""),"CU")</f>
        <v>CU</v>
      </c>
      <c r="D670" t="str">
        <f>IFERROR(__xludf.DUMMYFUNCTION("""COMPUTED_VALUE"""),"JE415N2")</f>
        <v>JE415N2</v>
      </c>
      <c r="E670" t="str">
        <f>IFERROR(__xludf.DUMMYFUNCTION("""COMPUTED_VALUE"""),"P1084")</f>
        <v>P1084</v>
      </c>
      <c r="F670" t="str">
        <f t="array" ref="F670">if(iserror(index(fish_lab_data!C:C,match(B670,fish_lab_data!C:C,0))),"not dissected","dissected")</f>
        <v>dissected</v>
      </c>
    </row>
    <row r="671">
      <c r="A671" t="str">
        <f t="shared" si="1"/>
        <v>16834</v>
      </c>
      <c r="B671" t="str">
        <f>IFERROR(__xludf.DUMMYFUNCTION("""COMPUTED_VALUE"""),"U16834")</f>
        <v>U16834</v>
      </c>
      <c r="C671" t="str">
        <f>IFERROR(__xludf.DUMMYFUNCTION("""COMPUTED_VALUE"""),"CU")</f>
        <v>CU</v>
      </c>
      <c r="D671" t="str">
        <f>IFERROR(__xludf.DUMMYFUNCTION("""COMPUTED_VALUE"""),"JE415N2")</f>
        <v>JE415N2</v>
      </c>
      <c r="E671" t="str">
        <f>IFERROR(__xludf.DUMMYFUNCTION("""COMPUTED_VALUE"""),"P1084")</f>
        <v>P1084</v>
      </c>
      <c r="F671" t="str">
        <f t="array" ref="F671">if(iserror(index(fish_lab_data!C:C,match(B671,fish_lab_data!C:C,0))),"not dissected","dissected")</f>
        <v>dissected</v>
      </c>
    </row>
    <row r="672">
      <c r="A672" t="str">
        <f t="shared" si="1"/>
        <v>16835</v>
      </c>
      <c r="B672" t="str">
        <f>IFERROR(__xludf.DUMMYFUNCTION("""COMPUTED_VALUE"""),"U16835")</f>
        <v>U16835</v>
      </c>
      <c r="C672" t="str">
        <f>IFERROR(__xludf.DUMMYFUNCTION("""COMPUTED_VALUE"""),"CU")</f>
        <v>CU</v>
      </c>
      <c r="D672" t="str">
        <f>IFERROR(__xludf.DUMMYFUNCTION("""COMPUTED_VALUE"""),"JE415N2")</f>
        <v>JE415N2</v>
      </c>
      <c r="E672" t="str">
        <f>IFERROR(__xludf.DUMMYFUNCTION("""COMPUTED_VALUE"""),"P1084")</f>
        <v>P1084</v>
      </c>
      <c r="F672" t="str">
        <f t="array" ref="F672">if(iserror(index(fish_lab_data!C:C,match(B672,fish_lab_data!C:C,0))),"not dissected","dissected")</f>
        <v>dissected</v>
      </c>
    </row>
    <row r="673">
      <c r="A673" t="str">
        <f t="shared" si="1"/>
        <v>16836</v>
      </c>
      <c r="B673" t="str">
        <f>IFERROR(__xludf.DUMMYFUNCTION("""COMPUTED_VALUE"""),"U16836")</f>
        <v>U16836</v>
      </c>
      <c r="C673" t="str">
        <f>IFERROR(__xludf.DUMMYFUNCTION("""COMPUTED_VALUE"""),"CU")</f>
        <v>CU</v>
      </c>
      <c r="D673" t="str">
        <f>IFERROR(__xludf.DUMMYFUNCTION("""COMPUTED_VALUE"""),"JE415N2")</f>
        <v>JE415N2</v>
      </c>
      <c r="E673" t="str">
        <f>IFERROR(__xludf.DUMMYFUNCTION("""COMPUTED_VALUE"""),"P1084")</f>
        <v>P1084</v>
      </c>
      <c r="F673" t="str">
        <f t="array" ref="F673">if(iserror(index(fish_lab_data!C:C,match(B673,fish_lab_data!C:C,0))),"not dissected","dissected")</f>
        <v>dissected</v>
      </c>
    </row>
    <row r="674">
      <c r="A674" t="str">
        <f t="shared" si="1"/>
        <v>16837</v>
      </c>
      <c r="B674" t="str">
        <f>IFERROR(__xludf.DUMMYFUNCTION("""COMPUTED_VALUE"""),"U16837")</f>
        <v>U16837</v>
      </c>
      <c r="C674" t="str">
        <f>IFERROR(__xludf.DUMMYFUNCTION("""COMPUTED_VALUE"""),"CU")</f>
        <v>CU</v>
      </c>
      <c r="D674" t="str">
        <f>IFERROR(__xludf.DUMMYFUNCTION("""COMPUTED_VALUE"""),"JE415N2")</f>
        <v>JE415N2</v>
      </c>
      <c r="E674" t="str">
        <f>IFERROR(__xludf.DUMMYFUNCTION("""COMPUTED_VALUE"""),"P1084")</f>
        <v>P1084</v>
      </c>
      <c r="F674" t="str">
        <f t="array" ref="F674">if(iserror(index(fish_lab_data!C:C,match(B674,fish_lab_data!C:C,0))),"not dissected","dissected")</f>
        <v>dissected</v>
      </c>
    </row>
    <row r="675">
      <c r="A675" t="str">
        <f t="shared" si="1"/>
        <v>16838</v>
      </c>
      <c r="B675" t="str">
        <f>IFERROR(__xludf.DUMMYFUNCTION("""COMPUTED_VALUE"""),"U16838")</f>
        <v>U16838</v>
      </c>
      <c r="C675" t="str">
        <f>IFERROR(__xludf.DUMMYFUNCTION("""COMPUTED_VALUE"""),"CU")</f>
        <v>CU</v>
      </c>
      <c r="D675" t="str">
        <f>IFERROR(__xludf.DUMMYFUNCTION("""COMPUTED_VALUE"""),"JE415N2")</f>
        <v>JE415N2</v>
      </c>
      <c r="E675" t="str">
        <f>IFERROR(__xludf.DUMMYFUNCTION("""COMPUTED_VALUE"""),"P1084")</f>
        <v>P1084</v>
      </c>
      <c r="F675" t="str">
        <f t="array" ref="F675">if(iserror(index(fish_lab_data!C:C,match(B675,fish_lab_data!C:C,0))),"not dissected","dissected")</f>
        <v>dissected</v>
      </c>
    </row>
    <row r="676">
      <c r="A676" t="str">
        <f t="shared" si="1"/>
        <v>16839</v>
      </c>
      <c r="B676" t="str">
        <f>IFERROR(__xludf.DUMMYFUNCTION("""COMPUTED_VALUE"""),"U16839")</f>
        <v>U16839</v>
      </c>
      <c r="C676" t="str">
        <f>IFERROR(__xludf.DUMMYFUNCTION("""COMPUTED_VALUE"""),"CU")</f>
        <v>CU</v>
      </c>
      <c r="D676" t="str">
        <f>IFERROR(__xludf.DUMMYFUNCTION("""COMPUTED_VALUE"""),"JE415N2")</f>
        <v>JE415N2</v>
      </c>
      <c r="E676" t="str">
        <f>IFERROR(__xludf.DUMMYFUNCTION("""COMPUTED_VALUE"""),"P1084")</f>
        <v>P1084</v>
      </c>
      <c r="F676" t="str">
        <f t="array" ref="F676">if(iserror(index(fish_lab_data!C:C,match(B676,fish_lab_data!C:C,0))),"not dissected","dissected")</f>
        <v>dissected</v>
      </c>
    </row>
    <row r="677">
      <c r="A677" t="str">
        <f t="shared" si="1"/>
        <v>16840</v>
      </c>
      <c r="B677" t="str">
        <f>IFERROR(__xludf.DUMMYFUNCTION("""COMPUTED_VALUE"""),"U16840")</f>
        <v>U16840</v>
      </c>
      <c r="C677" t="str">
        <f>IFERROR(__xludf.DUMMYFUNCTION("""COMPUTED_VALUE"""),"CU")</f>
        <v>CU</v>
      </c>
      <c r="D677" t="str">
        <f>IFERROR(__xludf.DUMMYFUNCTION("""COMPUTED_VALUE"""),"JE415N2")</f>
        <v>JE415N2</v>
      </c>
      <c r="E677" t="str">
        <f>IFERROR(__xludf.DUMMYFUNCTION("""COMPUTED_VALUE"""),"P1084")</f>
        <v>P1084</v>
      </c>
      <c r="F677" t="str">
        <f t="array" ref="F677">if(iserror(index(fish_lab_data!C:C,match(B677,fish_lab_data!C:C,0))),"not dissected","dissected")</f>
        <v>dissected</v>
      </c>
    </row>
    <row r="678">
      <c r="A678" t="str">
        <f t="shared" si="1"/>
        <v>17471</v>
      </c>
      <c r="B678" t="str">
        <f>IFERROR(__xludf.DUMMYFUNCTION("""COMPUTED_VALUE"""),"U17471")</f>
        <v>U17471</v>
      </c>
      <c r="C678" t="str">
        <f>IFERROR(__xludf.DUMMYFUNCTION("""COMPUTED_VALUE"""),"PI")</f>
        <v>PI</v>
      </c>
      <c r="D678" t="str">
        <f>IFERROR(__xludf.DUMMYFUNCTION("""COMPUTED_VALUE"""),"DE525N1")</f>
        <v>DE525N1</v>
      </c>
      <c r="E678" t="str">
        <f>IFERROR(__xludf.DUMMYFUNCTION("""COMPUTED_VALUE"""),"P1148")</f>
        <v>P1148</v>
      </c>
      <c r="F678" t="str">
        <f t="array" ref="F678">if(iserror(index(fish_lab_data!C:C,match(B678,fish_lab_data!C:C,0))),"not dissected","dissected")</f>
        <v>dissected</v>
      </c>
    </row>
    <row r="679">
      <c r="A679" t="str">
        <f t="shared" si="1"/>
        <v>17472</v>
      </c>
      <c r="B679" t="str">
        <f>IFERROR(__xludf.DUMMYFUNCTION("""COMPUTED_VALUE"""),"U17472")</f>
        <v>U17472</v>
      </c>
      <c r="C679" t="str">
        <f>IFERROR(__xludf.DUMMYFUNCTION("""COMPUTED_VALUE"""),"PI")</f>
        <v>PI</v>
      </c>
      <c r="D679" t="str">
        <f>IFERROR(__xludf.DUMMYFUNCTION("""COMPUTED_VALUE"""),"DE525N1")</f>
        <v>DE525N1</v>
      </c>
      <c r="E679" t="str">
        <f>IFERROR(__xludf.DUMMYFUNCTION("""COMPUTED_VALUE"""),"P1148")</f>
        <v>P1148</v>
      </c>
      <c r="F679" t="str">
        <f t="array" ref="F679">if(iserror(index(fish_lab_data!C:C,match(B679,fish_lab_data!C:C,0))),"not dissected","dissected")</f>
        <v>dissected</v>
      </c>
    </row>
    <row r="680">
      <c r="A680" t="str">
        <f t="shared" si="1"/>
        <v>17473</v>
      </c>
      <c r="B680" t="str">
        <f>IFERROR(__xludf.DUMMYFUNCTION("""COMPUTED_VALUE"""),"U17473")</f>
        <v>U17473</v>
      </c>
      <c r="C680" t="str">
        <f>IFERROR(__xludf.DUMMYFUNCTION("""COMPUTED_VALUE"""),"PI")</f>
        <v>PI</v>
      </c>
      <c r="D680" t="str">
        <f>IFERROR(__xludf.DUMMYFUNCTION("""COMPUTED_VALUE"""),"DE525N1")</f>
        <v>DE525N1</v>
      </c>
      <c r="E680" t="str">
        <f>IFERROR(__xludf.DUMMYFUNCTION("""COMPUTED_VALUE"""),"P1148")</f>
        <v>P1148</v>
      </c>
      <c r="F680" t="str">
        <f t="array" ref="F680">if(iserror(index(fish_lab_data!C:C,match(B680,fish_lab_data!C:C,0))),"not dissected","dissected")</f>
        <v>dissected</v>
      </c>
    </row>
    <row r="681">
      <c r="A681" t="str">
        <f t="shared" si="1"/>
        <v>17474</v>
      </c>
      <c r="B681" t="str">
        <f>IFERROR(__xludf.DUMMYFUNCTION("""COMPUTED_VALUE"""),"U17474")</f>
        <v>U17474</v>
      </c>
      <c r="C681" t="str">
        <f>IFERROR(__xludf.DUMMYFUNCTION("""COMPUTED_VALUE"""),"PI")</f>
        <v>PI</v>
      </c>
      <c r="D681" t="str">
        <f>IFERROR(__xludf.DUMMYFUNCTION("""COMPUTED_VALUE"""),"DE525N1")</f>
        <v>DE525N1</v>
      </c>
      <c r="E681" t="str">
        <f>IFERROR(__xludf.DUMMYFUNCTION("""COMPUTED_VALUE"""),"P1148")</f>
        <v>P1148</v>
      </c>
      <c r="F681" t="str">
        <f t="array" ref="F681">if(iserror(index(fish_lab_data!C:C,match(B681,fish_lab_data!C:C,0))),"not dissected","dissected")</f>
        <v>dissected</v>
      </c>
    </row>
    <row r="682">
      <c r="A682" t="str">
        <f t="shared" si="1"/>
        <v>17475</v>
      </c>
      <c r="B682" t="str">
        <f>IFERROR(__xludf.DUMMYFUNCTION("""COMPUTED_VALUE"""),"U17475")</f>
        <v>U17475</v>
      </c>
      <c r="C682" t="str">
        <f>IFERROR(__xludf.DUMMYFUNCTION("""COMPUTED_VALUE"""),"PI")</f>
        <v>PI</v>
      </c>
      <c r="D682" t="str">
        <f>IFERROR(__xludf.DUMMYFUNCTION("""COMPUTED_VALUE"""),"DE525N1")</f>
        <v>DE525N1</v>
      </c>
      <c r="E682" t="str">
        <f>IFERROR(__xludf.DUMMYFUNCTION("""COMPUTED_VALUE"""),"P1148")</f>
        <v>P1148</v>
      </c>
      <c r="F682" t="str">
        <f t="array" ref="F682">if(iserror(index(fish_lab_data!C:C,match(B682,fish_lab_data!C:C,0))),"not dissected","dissected")</f>
        <v>dissected</v>
      </c>
    </row>
    <row r="683">
      <c r="A683" t="str">
        <f t="shared" si="1"/>
        <v>17476</v>
      </c>
      <c r="B683" t="str">
        <f>IFERROR(__xludf.DUMMYFUNCTION("""COMPUTED_VALUE"""),"U17476")</f>
        <v>U17476</v>
      </c>
      <c r="C683" t="str">
        <f>IFERROR(__xludf.DUMMYFUNCTION("""COMPUTED_VALUE"""),"PI")</f>
        <v>PI</v>
      </c>
      <c r="D683" t="str">
        <f>IFERROR(__xludf.DUMMYFUNCTION("""COMPUTED_VALUE"""),"DE525N1")</f>
        <v>DE525N1</v>
      </c>
      <c r="E683" t="str">
        <f>IFERROR(__xludf.DUMMYFUNCTION("""COMPUTED_VALUE"""),"P1148")</f>
        <v>P1148</v>
      </c>
      <c r="F683" t="str">
        <f t="array" ref="F683">if(iserror(index(fish_lab_data!C:C,match(B683,fish_lab_data!C:C,0))),"not dissected","dissected")</f>
        <v>dissected</v>
      </c>
    </row>
    <row r="684">
      <c r="A684" t="str">
        <f t="shared" si="1"/>
        <v>17477</v>
      </c>
      <c r="B684" t="str">
        <f>IFERROR(__xludf.DUMMYFUNCTION("""COMPUTED_VALUE"""),"U17477")</f>
        <v>U17477</v>
      </c>
      <c r="C684" t="str">
        <f>IFERROR(__xludf.DUMMYFUNCTION("""COMPUTED_VALUE"""),"PI")</f>
        <v>PI</v>
      </c>
      <c r="D684" t="str">
        <f>IFERROR(__xludf.DUMMYFUNCTION("""COMPUTED_VALUE"""),"DE525N1")</f>
        <v>DE525N1</v>
      </c>
      <c r="E684" t="str">
        <f>IFERROR(__xludf.DUMMYFUNCTION("""COMPUTED_VALUE"""),"P1148")</f>
        <v>P1148</v>
      </c>
      <c r="F684" t="str">
        <f t="array" ref="F684">if(iserror(index(fish_lab_data!C:C,match(B684,fish_lab_data!C:C,0))),"not dissected","dissected")</f>
        <v>dissected</v>
      </c>
    </row>
    <row r="685">
      <c r="A685" t="str">
        <f t="shared" si="1"/>
        <v>17478</v>
      </c>
      <c r="B685" t="str">
        <f>IFERROR(__xludf.DUMMYFUNCTION("""COMPUTED_VALUE"""),"U17478")</f>
        <v>U17478</v>
      </c>
      <c r="C685" t="str">
        <f>IFERROR(__xludf.DUMMYFUNCTION("""COMPUTED_VALUE"""),"PI")</f>
        <v>PI</v>
      </c>
      <c r="D685" t="str">
        <f>IFERROR(__xludf.DUMMYFUNCTION("""COMPUTED_VALUE"""),"DE525N1")</f>
        <v>DE525N1</v>
      </c>
      <c r="E685" t="str">
        <f>IFERROR(__xludf.DUMMYFUNCTION("""COMPUTED_VALUE"""),"P1148")</f>
        <v>P1148</v>
      </c>
      <c r="F685" t="str">
        <f t="array" ref="F685">if(iserror(index(fish_lab_data!C:C,match(B685,fish_lab_data!C:C,0))),"not dissected","dissected")</f>
        <v>dissected</v>
      </c>
    </row>
    <row r="686">
      <c r="A686" t="str">
        <f t="shared" si="1"/>
        <v>17479</v>
      </c>
      <c r="B686" t="str">
        <f>IFERROR(__xludf.DUMMYFUNCTION("""COMPUTED_VALUE"""),"U17479")</f>
        <v>U17479</v>
      </c>
      <c r="C686" t="str">
        <f>IFERROR(__xludf.DUMMYFUNCTION("""COMPUTED_VALUE"""),"PI")</f>
        <v>PI</v>
      </c>
      <c r="D686" t="str">
        <f>IFERROR(__xludf.DUMMYFUNCTION("""COMPUTED_VALUE"""),"DE525N1")</f>
        <v>DE525N1</v>
      </c>
      <c r="E686" t="str">
        <f>IFERROR(__xludf.DUMMYFUNCTION("""COMPUTED_VALUE"""),"P1148")</f>
        <v>P1148</v>
      </c>
      <c r="F686" t="str">
        <f t="array" ref="F686">if(iserror(index(fish_lab_data!C:C,match(B686,fish_lab_data!C:C,0))),"not dissected","dissected")</f>
        <v>dissected</v>
      </c>
    </row>
    <row r="687">
      <c r="A687" t="str">
        <f t="shared" si="1"/>
        <v>17480</v>
      </c>
      <c r="B687" t="str">
        <f>IFERROR(__xludf.DUMMYFUNCTION("""COMPUTED_VALUE"""),"U17480")</f>
        <v>U17480</v>
      </c>
      <c r="C687" t="str">
        <f>IFERROR(__xludf.DUMMYFUNCTION("""COMPUTED_VALUE"""),"PI")</f>
        <v>PI</v>
      </c>
      <c r="D687" t="str">
        <f>IFERROR(__xludf.DUMMYFUNCTION("""COMPUTED_VALUE"""),"DE525N1")</f>
        <v>DE525N1</v>
      </c>
      <c r="E687" t="str">
        <f>IFERROR(__xludf.DUMMYFUNCTION("""COMPUTED_VALUE"""),"P1148")</f>
        <v>P1148</v>
      </c>
      <c r="F687" t="str">
        <f t="array" ref="F687">if(iserror(index(fish_lab_data!C:C,match(B687,fish_lab_data!C:C,0))),"not dissected","dissected")</f>
        <v>dissected</v>
      </c>
    </row>
    <row r="688">
      <c r="A688" t="str">
        <f t="shared" si="1"/>
        <v>17321</v>
      </c>
      <c r="B688" t="str">
        <f>IFERROR(__xludf.DUMMYFUNCTION("""COMPUTED_VALUE"""),"U17321")</f>
        <v>U17321</v>
      </c>
      <c r="C688" t="str">
        <f>IFERROR(__xludf.DUMMYFUNCTION("""COMPUTED_VALUE"""),"CU")</f>
        <v>CU</v>
      </c>
      <c r="D688" t="str">
        <f>IFERROR(__xludf.DUMMYFUNCTION("""COMPUTED_VALUE"""),"DE525N1")</f>
        <v>DE525N1</v>
      </c>
      <c r="E688" t="str">
        <f>IFERROR(__xludf.DUMMYFUNCTION("""COMPUTED_VALUE"""),"P1133")</f>
        <v>P1133</v>
      </c>
      <c r="F688" t="str">
        <f t="array" ref="F688">if(iserror(index(fish_lab_data!C:C,match(B688,fish_lab_data!C:C,0))),"not dissected","dissected")</f>
        <v>dissected</v>
      </c>
    </row>
    <row r="689">
      <c r="A689" t="str">
        <f t="shared" si="1"/>
        <v>17322</v>
      </c>
      <c r="B689" t="str">
        <f>IFERROR(__xludf.DUMMYFUNCTION("""COMPUTED_VALUE"""),"U17322")</f>
        <v>U17322</v>
      </c>
      <c r="C689" t="str">
        <f>IFERROR(__xludf.DUMMYFUNCTION("""COMPUTED_VALUE"""),"CU")</f>
        <v>CU</v>
      </c>
      <c r="D689" t="str">
        <f>IFERROR(__xludf.DUMMYFUNCTION("""COMPUTED_VALUE"""),"DE525N1")</f>
        <v>DE525N1</v>
      </c>
      <c r="E689" t="str">
        <f>IFERROR(__xludf.DUMMYFUNCTION("""COMPUTED_VALUE"""),"P1133")</f>
        <v>P1133</v>
      </c>
      <c r="F689" t="str">
        <f t="array" ref="F689">if(iserror(index(fish_lab_data!C:C,match(B689,fish_lab_data!C:C,0))),"not dissected","dissected")</f>
        <v>dissected</v>
      </c>
    </row>
    <row r="690">
      <c r="A690" t="str">
        <f t="shared" si="1"/>
        <v>17323</v>
      </c>
      <c r="B690" t="str">
        <f>IFERROR(__xludf.DUMMYFUNCTION("""COMPUTED_VALUE"""),"U17323")</f>
        <v>U17323</v>
      </c>
      <c r="C690" t="str">
        <f>IFERROR(__xludf.DUMMYFUNCTION("""COMPUTED_VALUE"""),"CU")</f>
        <v>CU</v>
      </c>
      <c r="D690" t="str">
        <f>IFERROR(__xludf.DUMMYFUNCTION("""COMPUTED_VALUE"""),"DE525N1")</f>
        <v>DE525N1</v>
      </c>
      <c r="E690" t="str">
        <f>IFERROR(__xludf.DUMMYFUNCTION("""COMPUTED_VALUE"""),"P1133")</f>
        <v>P1133</v>
      </c>
      <c r="F690" t="str">
        <f t="array" ref="F690">if(iserror(index(fish_lab_data!C:C,match(B690,fish_lab_data!C:C,0))),"not dissected","dissected")</f>
        <v>dissected</v>
      </c>
    </row>
    <row r="691">
      <c r="A691" t="str">
        <f t="shared" si="1"/>
        <v>17324</v>
      </c>
      <c r="B691" t="str">
        <f>IFERROR(__xludf.DUMMYFUNCTION("""COMPUTED_VALUE"""),"U17324")</f>
        <v>U17324</v>
      </c>
      <c r="C691" t="str">
        <f>IFERROR(__xludf.DUMMYFUNCTION("""COMPUTED_VALUE"""),"CU")</f>
        <v>CU</v>
      </c>
      <c r="D691" t="str">
        <f>IFERROR(__xludf.DUMMYFUNCTION("""COMPUTED_VALUE"""),"DE525N1")</f>
        <v>DE525N1</v>
      </c>
      <c r="E691" t="str">
        <f>IFERROR(__xludf.DUMMYFUNCTION("""COMPUTED_VALUE"""),"P1133")</f>
        <v>P1133</v>
      </c>
      <c r="F691" t="str">
        <f t="array" ref="F691">if(iserror(index(fish_lab_data!C:C,match(B691,fish_lab_data!C:C,0))),"not dissected","dissected")</f>
        <v>dissected</v>
      </c>
    </row>
    <row r="692">
      <c r="A692" t="str">
        <f t="shared" si="1"/>
        <v>17325</v>
      </c>
      <c r="B692" t="str">
        <f>IFERROR(__xludf.DUMMYFUNCTION("""COMPUTED_VALUE"""),"U17325")</f>
        <v>U17325</v>
      </c>
      <c r="C692" t="str">
        <f>IFERROR(__xludf.DUMMYFUNCTION("""COMPUTED_VALUE"""),"CU")</f>
        <v>CU</v>
      </c>
      <c r="D692" t="str">
        <f>IFERROR(__xludf.DUMMYFUNCTION("""COMPUTED_VALUE"""),"DE525N1")</f>
        <v>DE525N1</v>
      </c>
      <c r="E692" t="str">
        <f>IFERROR(__xludf.DUMMYFUNCTION("""COMPUTED_VALUE"""),"P1133")</f>
        <v>P1133</v>
      </c>
      <c r="F692" t="str">
        <f t="array" ref="F692">if(iserror(index(fish_lab_data!C:C,match(B692,fish_lab_data!C:C,0))),"not dissected","dissected")</f>
        <v>dissected</v>
      </c>
    </row>
    <row r="693">
      <c r="A693" t="str">
        <f t="shared" si="1"/>
        <v>17326</v>
      </c>
      <c r="B693" t="str">
        <f>IFERROR(__xludf.DUMMYFUNCTION("""COMPUTED_VALUE"""),"U17326")</f>
        <v>U17326</v>
      </c>
      <c r="C693" t="str">
        <f>IFERROR(__xludf.DUMMYFUNCTION("""COMPUTED_VALUE"""),"CU")</f>
        <v>CU</v>
      </c>
      <c r="D693" t="str">
        <f>IFERROR(__xludf.DUMMYFUNCTION("""COMPUTED_VALUE"""),"DE525N1")</f>
        <v>DE525N1</v>
      </c>
      <c r="E693" t="str">
        <f>IFERROR(__xludf.DUMMYFUNCTION("""COMPUTED_VALUE"""),"P1133")</f>
        <v>P1133</v>
      </c>
      <c r="F693" t="str">
        <f t="array" ref="F693">if(iserror(index(fish_lab_data!C:C,match(B693,fish_lab_data!C:C,0))),"not dissected","dissected")</f>
        <v>dissected</v>
      </c>
    </row>
    <row r="694">
      <c r="A694" t="str">
        <f t="shared" si="1"/>
        <v>17327</v>
      </c>
      <c r="B694" t="str">
        <f>IFERROR(__xludf.DUMMYFUNCTION("""COMPUTED_VALUE"""),"U17327")</f>
        <v>U17327</v>
      </c>
      <c r="C694" t="str">
        <f>IFERROR(__xludf.DUMMYFUNCTION("""COMPUTED_VALUE"""),"CU")</f>
        <v>CU</v>
      </c>
      <c r="D694" t="str">
        <f>IFERROR(__xludf.DUMMYFUNCTION("""COMPUTED_VALUE"""),"DE525N1")</f>
        <v>DE525N1</v>
      </c>
      <c r="E694" t="str">
        <f>IFERROR(__xludf.DUMMYFUNCTION("""COMPUTED_VALUE"""),"P1133")</f>
        <v>P1133</v>
      </c>
      <c r="F694" t="str">
        <f t="array" ref="F694">if(iserror(index(fish_lab_data!C:C,match(B694,fish_lab_data!C:C,0))),"not dissected","dissected")</f>
        <v>dissected</v>
      </c>
    </row>
    <row r="695">
      <c r="A695" t="str">
        <f t="shared" si="1"/>
        <v>17328</v>
      </c>
      <c r="B695" t="str">
        <f>IFERROR(__xludf.DUMMYFUNCTION("""COMPUTED_VALUE"""),"U17328")</f>
        <v>U17328</v>
      </c>
      <c r="C695" t="str">
        <f>IFERROR(__xludf.DUMMYFUNCTION("""COMPUTED_VALUE"""),"CU")</f>
        <v>CU</v>
      </c>
      <c r="D695" t="str">
        <f>IFERROR(__xludf.DUMMYFUNCTION("""COMPUTED_VALUE"""),"DE525N1")</f>
        <v>DE525N1</v>
      </c>
      <c r="E695" t="str">
        <f>IFERROR(__xludf.DUMMYFUNCTION("""COMPUTED_VALUE"""),"P1133")</f>
        <v>P1133</v>
      </c>
      <c r="F695" t="str">
        <f t="array" ref="F695">if(iserror(index(fish_lab_data!C:C,match(B695,fish_lab_data!C:C,0))),"not dissected","dissected")</f>
        <v>dissected</v>
      </c>
    </row>
    <row r="696">
      <c r="A696" t="str">
        <f t="shared" si="1"/>
        <v>17329</v>
      </c>
      <c r="B696" t="str">
        <f>IFERROR(__xludf.DUMMYFUNCTION("""COMPUTED_VALUE"""),"U17329")</f>
        <v>U17329</v>
      </c>
      <c r="C696" t="str">
        <f>IFERROR(__xludf.DUMMYFUNCTION("""COMPUTED_VALUE"""),"CU")</f>
        <v>CU</v>
      </c>
      <c r="D696" t="str">
        <f>IFERROR(__xludf.DUMMYFUNCTION("""COMPUTED_VALUE"""),"DE525N1")</f>
        <v>DE525N1</v>
      </c>
      <c r="E696" t="str">
        <f>IFERROR(__xludf.DUMMYFUNCTION("""COMPUTED_VALUE"""),"P1133")</f>
        <v>P1133</v>
      </c>
      <c r="F696" t="str">
        <f t="array" ref="F696">if(iserror(index(fish_lab_data!C:C,match(B696,fish_lab_data!C:C,0))),"not dissected","dissected")</f>
        <v>dissected</v>
      </c>
    </row>
    <row r="697">
      <c r="A697" t="str">
        <f t="shared" si="1"/>
        <v>17330</v>
      </c>
      <c r="B697" t="str">
        <f>IFERROR(__xludf.DUMMYFUNCTION("""COMPUTED_VALUE"""),"U17330")</f>
        <v>U17330</v>
      </c>
      <c r="C697" t="str">
        <f>IFERROR(__xludf.DUMMYFUNCTION("""COMPUTED_VALUE"""),"CU")</f>
        <v>CU</v>
      </c>
      <c r="D697" t="str">
        <f>IFERROR(__xludf.DUMMYFUNCTION("""COMPUTED_VALUE"""),"DE525N1")</f>
        <v>DE525N1</v>
      </c>
      <c r="E697" t="str">
        <f>IFERROR(__xludf.DUMMYFUNCTION("""COMPUTED_VALUE"""),"P1133")</f>
        <v>P1133</v>
      </c>
      <c r="F697" t="str">
        <f t="array" ref="F697">if(iserror(index(fish_lab_data!C:C,match(B697,fish_lab_data!C:C,0))),"not dissected","dissected")</f>
        <v>dissected</v>
      </c>
    </row>
    <row r="698">
      <c r="A698" t="str">
        <f t="shared" si="1"/>
        <v>17291</v>
      </c>
      <c r="B698" t="str">
        <f>IFERROR(__xludf.DUMMYFUNCTION("""COMPUTED_VALUE"""),"U17291")</f>
        <v>U17291</v>
      </c>
      <c r="C698" t="str">
        <f>IFERROR(__xludf.DUMMYFUNCTION("""COMPUTED_VALUE"""),"SO")</f>
        <v>SO</v>
      </c>
      <c r="D698" t="str">
        <f>IFERROR(__xludf.DUMMYFUNCTION("""COMPUTED_VALUE"""),"DE526N1")</f>
        <v>DE526N1</v>
      </c>
      <c r="E698" t="str">
        <f>IFERROR(__xludf.DUMMYFUNCTION("""COMPUTED_VALUE"""),"P1130")</f>
        <v>P1130</v>
      </c>
      <c r="F698" t="str">
        <f t="array" ref="F698">if(iserror(index(fish_lab_data!C:C,match(B698,fish_lab_data!C:C,0))),"not dissected","dissected")</f>
        <v>dissected</v>
      </c>
    </row>
    <row r="699">
      <c r="A699" t="str">
        <f t="shared" si="1"/>
        <v>17301</v>
      </c>
      <c r="B699" t="str">
        <f>IFERROR(__xludf.DUMMYFUNCTION("""COMPUTED_VALUE"""),"U17301")</f>
        <v>U17301</v>
      </c>
      <c r="C699" t="str">
        <f>IFERROR(__xludf.DUMMYFUNCTION("""COMPUTED_VALUE"""),"PI")</f>
        <v>PI</v>
      </c>
      <c r="D699" t="str">
        <f>IFERROR(__xludf.DUMMYFUNCTION("""COMPUTED_VALUE"""),"DE526N1")</f>
        <v>DE526N1</v>
      </c>
      <c r="E699" t="str">
        <f>IFERROR(__xludf.DUMMYFUNCTION("""COMPUTED_VALUE"""),"P1131")</f>
        <v>P1131</v>
      </c>
      <c r="F699" t="str">
        <f t="array" ref="F699">if(iserror(index(fish_lab_data!C:C,match(B699,fish_lab_data!C:C,0))),"not dissected","dissected")</f>
        <v>dissected</v>
      </c>
    </row>
    <row r="700">
      <c r="A700" t="str">
        <f t="shared" si="1"/>
        <v>17302</v>
      </c>
      <c r="B700" t="str">
        <f>IFERROR(__xludf.DUMMYFUNCTION("""COMPUTED_VALUE"""),"U17302")</f>
        <v>U17302</v>
      </c>
      <c r="C700" t="str">
        <f>IFERROR(__xludf.DUMMYFUNCTION("""COMPUTED_VALUE"""),"PI")</f>
        <v>PI</v>
      </c>
      <c r="D700" t="str">
        <f>IFERROR(__xludf.DUMMYFUNCTION("""COMPUTED_VALUE"""),"DE526N1")</f>
        <v>DE526N1</v>
      </c>
      <c r="E700" t="str">
        <f>IFERROR(__xludf.DUMMYFUNCTION("""COMPUTED_VALUE"""),"P1131")</f>
        <v>P1131</v>
      </c>
      <c r="F700" t="str">
        <f t="array" ref="F700">if(iserror(index(fish_lab_data!C:C,match(B700,fish_lab_data!C:C,0))),"not dissected","dissected")</f>
        <v>dissected</v>
      </c>
    </row>
    <row r="701">
      <c r="A701" t="str">
        <f t="shared" si="1"/>
        <v>17303</v>
      </c>
      <c r="B701" t="str">
        <f>IFERROR(__xludf.DUMMYFUNCTION("""COMPUTED_VALUE"""),"U17303")</f>
        <v>U17303</v>
      </c>
      <c r="C701" t="str">
        <f>IFERROR(__xludf.DUMMYFUNCTION("""COMPUTED_VALUE"""),"PI")</f>
        <v>PI</v>
      </c>
      <c r="D701" t="str">
        <f>IFERROR(__xludf.DUMMYFUNCTION("""COMPUTED_VALUE"""),"DE526N1")</f>
        <v>DE526N1</v>
      </c>
      <c r="E701" t="str">
        <f>IFERROR(__xludf.DUMMYFUNCTION("""COMPUTED_VALUE"""),"P1131")</f>
        <v>P1131</v>
      </c>
      <c r="F701" t="str">
        <f t="array" ref="F701">if(iserror(index(fish_lab_data!C:C,match(B701,fish_lab_data!C:C,0))),"not dissected","dissected")</f>
        <v>dissected</v>
      </c>
    </row>
    <row r="702">
      <c r="A702" t="str">
        <f t="shared" si="1"/>
        <v>17304</v>
      </c>
      <c r="B702" t="str">
        <f>IFERROR(__xludf.DUMMYFUNCTION("""COMPUTED_VALUE"""),"U17304")</f>
        <v>U17304</v>
      </c>
      <c r="C702" t="str">
        <f>IFERROR(__xludf.DUMMYFUNCTION("""COMPUTED_VALUE"""),"PI")</f>
        <v>PI</v>
      </c>
      <c r="D702" t="str">
        <f>IFERROR(__xludf.DUMMYFUNCTION("""COMPUTED_VALUE"""),"DE526N1")</f>
        <v>DE526N1</v>
      </c>
      <c r="E702" t="str">
        <f>IFERROR(__xludf.DUMMYFUNCTION("""COMPUTED_VALUE"""),"P1131")</f>
        <v>P1131</v>
      </c>
      <c r="F702" t="str">
        <f t="array" ref="F702">if(iserror(index(fish_lab_data!C:C,match(B702,fish_lab_data!C:C,0))),"not dissected","dissected")</f>
        <v>dissected</v>
      </c>
    </row>
    <row r="703">
      <c r="A703" t="str">
        <f t="shared" si="1"/>
        <v>17305</v>
      </c>
      <c r="B703" t="str">
        <f>IFERROR(__xludf.DUMMYFUNCTION("""COMPUTED_VALUE"""),"U17305")</f>
        <v>U17305</v>
      </c>
      <c r="C703" t="str">
        <f>IFERROR(__xludf.DUMMYFUNCTION("""COMPUTED_VALUE"""),"PI")</f>
        <v>PI</v>
      </c>
      <c r="D703" t="str">
        <f>IFERROR(__xludf.DUMMYFUNCTION("""COMPUTED_VALUE"""),"DE526N1")</f>
        <v>DE526N1</v>
      </c>
      <c r="E703" t="str">
        <f>IFERROR(__xludf.DUMMYFUNCTION("""COMPUTED_VALUE"""),"P1131")</f>
        <v>P1131</v>
      </c>
      <c r="F703" t="str">
        <f t="array" ref="F703">if(iserror(index(fish_lab_data!C:C,match(B703,fish_lab_data!C:C,0))),"not dissected","dissected")</f>
        <v>dissected</v>
      </c>
    </row>
    <row r="704">
      <c r="A704" t="str">
        <f t="shared" si="1"/>
        <v>17306</v>
      </c>
      <c r="B704" t="str">
        <f>IFERROR(__xludf.DUMMYFUNCTION("""COMPUTED_VALUE"""),"U17306")</f>
        <v>U17306</v>
      </c>
      <c r="C704" t="str">
        <f>IFERROR(__xludf.DUMMYFUNCTION("""COMPUTED_VALUE"""),"PI")</f>
        <v>PI</v>
      </c>
      <c r="D704" t="str">
        <f>IFERROR(__xludf.DUMMYFUNCTION("""COMPUTED_VALUE"""),"DE526N1")</f>
        <v>DE526N1</v>
      </c>
      <c r="E704" t="str">
        <f>IFERROR(__xludf.DUMMYFUNCTION("""COMPUTED_VALUE"""),"P1131")</f>
        <v>P1131</v>
      </c>
      <c r="F704" t="str">
        <f t="array" ref="F704">if(iserror(index(fish_lab_data!C:C,match(B704,fish_lab_data!C:C,0))),"not dissected","dissected")</f>
        <v>dissected</v>
      </c>
    </row>
    <row r="705">
      <c r="A705" t="str">
        <f t="shared" si="1"/>
        <v>17307</v>
      </c>
      <c r="B705" t="str">
        <f>IFERROR(__xludf.DUMMYFUNCTION("""COMPUTED_VALUE"""),"U17307")</f>
        <v>U17307</v>
      </c>
      <c r="C705" t="str">
        <f>IFERROR(__xludf.DUMMYFUNCTION("""COMPUTED_VALUE"""),"PI")</f>
        <v>PI</v>
      </c>
      <c r="D705" t="str">
        <f>IFERROR(__xludf.DUMMYFUNCTION("""COMPUTED_VALUE"""),"DE526N1")</f>
        <v>DE526N1</v>
      </c>
      <c r="E705" t="str">
        <f>IFERROR(__xludf.DUMMYFUNCTION("""COMPUTED_VALUE"""),"P1131")</f>
        <v>P1131</v>
      </c>
      <c r="F705" t="str">
        <f t="array" ref="F705">if(iserror(index(fish_lab_data!C:C,match(B705,fish_lab_data!C:C,0))),"not dissected","dissected")</f>
        <v>dissected</v>
      </c>
    </row>
    <row r="706">
      <c r="A706" t="str">
        <f t="shared" si="1"/>
        <v>17308</v>
      </c>
      <c r="B706" t="str">
        <f>IFERROR(__xludf.DUMMYFUNCTION("""COMPUTED_VALUE"""),"U17308")</f>
        <v>U17308</v>
      </c>
      <c r="C706" t="str">
        <f>IFERROR(__xludf.DUMMYFUNCTION("""COMPUTED_VALUE"""),"PI")</f>
        <v>PI</v>
      </c>
      <c r="D706" t="str">
        <f>IFERROR(__xludf.DUMMYFUNCTION("""COMPUTED_VALUE"""),"DE526N1")</f>
        <v>DE526N1</v>
      </c>
      <c r="E706" t="str">
        <f>IFERROR(__xludf.DUMMYFUNCTION("""COMPUTED_VALUE"""),"P1131")</f>
        <v>P1131</v>
      </c>
      <c r="F706" t="str">
        <f t="array" ref="F706">if(iserror(index(fish_lab_data!C:C,match(B706,fish_lab_data!C:C,0))),"not dissected","dissected")</f>
        <v>dissected</v>
      </c>
    </row>
    <row r="707">
      <c r="A707" t="str">
        <f t="shared" si="1"/>
        <v>17309</v>
      </c>
      <c r="B707" t="str">
        <f>IFERROR(__xludf.DUMMYFUNCTION("""COMPUTED_VALUE"""),"U17309")</f>
        <v>U17309</v>
      </c>
      <c r="C707" t="str">
        <f>IFERROR(__xludf.DUMMYFUNCTION("""COMPUTED_VALUE"""),"PI")</f>
        <v>PI</v>
      </c>
      <c r="D707" t="str">
        <f>IFERROR(__xludf.DUMMYFUNCTION("""COMPUTED_VALUE"""),"DE526N1")</f>
        <v>DE526N1</v>
      </c>
      <c r="E707" t="str">
        <f>IFERROR(__xludf.DUMMYFUNCTION("""COMPUTED_VALUE"""),"P1131")</f>
        <v>P1131</v>
      </c>
      <c r="F707" t="str">
        <f t="array" ref="F707">if(iserror(index(fish_lab_data!C:C,match(B707,fish_lab_data!C:C,0))),"not dissected","dissected")</f>
        <v>dissected</v>
      </c>
    </row>
    <row r="708">
      <c r="A708" t="str">
        <f t="shared" si="1"/>
        <v>17310</v>
      </c>
      <c r="B708" t="str">
        <f>IFERROR(__xludf.DUMMYFUNCTION("""COMPUTED_VALUE"""),"U17310")</f>
        <v>U17310</v>
      </c>
      <c r="C708" t="str">
        <f>IFERROR(__xludf.DUMMYFUNCTION("""COMPUTED_VALUE"""),"PI")</f>
        <v>PI</v>
      </c>
      <c r="D708" t="str">
        <f>IFERROR(__xludf.DUMMYFUNCTION("""COMPUTED_VALUE"""),"DE526N1")</f>
        <v>DE526N1</v>
      </c>
      <c r="E708" t="str">
        <f>IFERROR(__xludf.DUMMYFUNCTION("""COMPUTED_VALUE"""),"P1131")</f>
        <v>P1131</v>
      </c>
      <c r="F708" t="str">
        <f t="array" ref="F708">if(iserror(index(fish_lab_data!C:C,match(B708,fish_lab_data!C:C,0))),"not dissected","dissected")</f>
        <v>dissected</v>
      </c>
    </row>
    <row r="709">
      <c r="A709" t="str">
        <f t="shared" si="1"/>
        <v>17311</v>
      </c>
      <c r="B709" t="str">
        <f>IFERROR(__xludf.DUMMYFUNCTION("""COMPUTED_VALUE"""),"U17311")</f>
        <v>U17311</v>
      </c>
      <c r="C709" t="str">
        <f>IFERROR(__xludf.DUMMYFUNCTION("""COMPUTED_VALUE"""),"CU")</f>
        <v>CU</v>
      </c>
      <c r="D709" t="str">
        <f>IFERROR(__xludf.DUMMYFUNCTION("""COMPUTED_VALUE"""),"DE526N1")</f>
        <v>DE526N1</v>
      </c>
      <c r="E709" t="str">
        <f>IFERROR(__xludf.DUMMYFUNCTION("""COMPUTED_VALUE"""),"P1132")</f>
        <v>P1132</v>
      </c>
      <c r="F709" t="str">
        <f t="array" ref="F709">if(iserror(index(fish_lab_data!C:C,match(B709,fish_lab_data!C:C,0))),"not dissected","dissected")</f>
        <v>dissected</v>
      </c>
    </row>
    <row r="710">
      <c r="A710" t="str">
        <f t="shared" si="1"/>
        <v>17312</v>
      </c>
      <c r="B710" t="str">
        <f>IFERROR(__xludf.DUMMYFUNCTION("""COMPUTED_VALUE"""),"U17312")</f>
        <v>U17312</v>
      </c>
      <c r="C710" t="str">
        <f>IFERROR(__xludf.DUMMYFUNCTION("""COMPUTED_VALUE"""),"CU")</f>
        <v>CU</v>
      </c>
      <c r="D710" t="str">
        <f>IFERROR(__xludf.DUMMYFUNCTION("""COMPUTED_VALUE"""),"DE526N1")</f>
        <v>DE526N1</v>
      </c>
      <c r="E710" t="str">
        <f>IFERROR(__xludf.DUMMYFUNCTION("""COMPUTED_VALUE"""),"P1132")</f>
        <v>P1132</v>
      </c>
      <c r="F710" t="str">
        <f t="array" ref="F710">if(iserror(index(fish_lab_data!C:C,match(B710,fish_lab_data!C:C,0))),"not dissected","dissected")</f>
        <v>dissected</v>
      </c>
    </row>
    <row r="711">
      <c r="A711" t="str">
        <f t="shared" si="1"/>
        <v>17313</v>
      </c>
      <c r="B711" t="str">
        <f>IFERROR(__xludf.DUMMYFUNCTION("""COMPUTED_VALUE"""),"U17313")</f>
        <v>U17313</v>
      </c>
      <c r="C711" t="str">
        <f>IFERROR(__xludf.DUMMYFUNCTION("""COMPUTED_VALUE"""),"CU")</f>
        <v>CU</v>
      </c>
      <c r="D711" t="str">
        <f>IFERROR(__xludf.DUMMYFUNCTION("""COMPUTED_VALUE"""),"DE526N1")</f>
        <v>DE526N1</v>
      </c>
      <c r="E711" t="str">
        <f>IFERROR(__xludf.DUMMYFUNCTION("""COMPUTED_VALUE"""),"P1132")</f>
        <v>P1132</v>
      </c>
      <c r="F711" t="str">
        <f t="array" ref="F711">if(iserror(index(fish_lab_data!C:C,match(B711,fish_lab_data!C:C,0))),"not dissected","dissected")</f>
        <v>dissected</v>
      </c>
    </row>
    <row r="712">
      <c r="A712" t="str">
        <f t="shared" si="1"/>
        <v>17314</v>
      </c>
      <c r="B712" t="str">
        <f>IFERROR(__xludf.DUMMYFUNCTION("""COMPUTED_VALUE"""),"U17314")</f>
        <v>U17314</v>
      </c>
      <c r="C712" t="str">
        <f>IFERROR(__xludf.DUMMYFUNCTION("""COMPUTED_VALUE"""),"CU")</f>
        <v>CU</v>
      </c>
      <c r="D712" t="str">
        <f>IFERROR(__xludf.DUMMYFUNCTION("""COMPUTED_VALUE"""),"DE526N1")</f>
        <v>DE526N1</v>
      </c>
      <c r="E712" t="str">
        <f>IFERROR(__xludf.DUMMYFUNCTION("""COMPUTED_VALUE"""),"P1132")</f>
        <v>P1132</v>
      </c>
      <c r="F712" t="str">
        <f t="array" ref="F712">if(iserror(index(fish_lab_data!C:C,match(B712,fish_lab_data!C:C,0))),"not dissected","dissected")</f>
        <v>dissected</v>
      </c>
    </row>
    <row r="713">
      <c r="A713" t="str">
        <f t="shared" si="1"/>
        <v>17315</v>
      </c>
      <c r="B713" t="str">
        <f>IFERROR(__xludf.DUMMYFUNCTION("""COMPUTED_VALUE"""),"U17315")</f>
        <v>U17315</v>
      </c>
      <c r="C713" t="str">
        <f>IFERROR(__xludf.DUMMYFUNCTION("""COMPUTED_VALUE"""),"CU")</f>
        <v>CU</v>
      </c>
      <c r="D713" t="str">
        <f>IFERROR(__xludf.DUMMYFUNCTION("""COMPUTED_VALUE"""),"DE526N1")</f>
        <v>DE526N1</v>
      </c>
      <c r="E713" t="str">
        <f>IFERROR(__xludf.DUMMYFUNCTION("""COMPUTED_VALUE"""),"P1132")</f>
        <v>P1132</v>
      </c>
      <c r="F713" t="str">
        <f t="array" ref="F713">if(iserror(index(fish_lab_data!C:C,match(B713,fish_lab_data!C:C,0))),"not dissected","dissected")</f>
        <v>dissected</v>
      </c>
    </row>
    <row r="714">
      <c r="A714" t="str">
        <f t="shared" si="1"/>
        <v>17316</v>
      </c>
      <c r="B714" t="str">
        <f>IFERROR(__xludf.DUMMYFUNCTION("""COMPUTED_VALUE"""),"U17316")</f>
        <v>U17316</v>
      </c>
      <c r="C714" t="str">
        <f>IFERROR(__xludf.DUMMYFUNCTION("""COMPUTED_VALUE"""),"CU")</f>
        <v>CU</v>
      </c>
      <c r="D714" t="str">
        <f>IFERROR(__xludf.DUMMYFUNCTION("""COMPUTED_VALUE"""),"DE526N1")</f>
        <v>DE526N1</v>
      </c>
      <c r="E714" t="str">
        <f>IFERROR(__xludf.DUMMYFUNCTION("""COMPUTED_VALUE"""),"P1132")</f>
        <v>P1132</v>
      </c>
      <c r="F714" t="str">
        <f t="array" ref="F714">if(iserror(index(fish_lab_data!C:C,match(B714,fish_lab_data!C:C,0))),"not dissected","dissected")</f>
        <v>dissected</v>
      </c>
    </row>
    <row r="715">
      <c r="A715" t="str">
        <f t="shared" si="1"/>
        <v>17317</v>
      </c>
      <c r="B715" t="str">
        <f>IFERROR(__xludf.DUMMYFUNCTION("""COMPUTED_VALUE"""),"U17317")</f>
        <v>U17317</v>
      </c>
      <c r="C715" t="str">
        <f>IFERROR(__xludf.DUMMYFUNCTION("""COMPUTED_VALUE"""),"CU")</f>
        <v>CU</v>
      </c>
      <c r="D715" t="str">
        <f>IFERROR(__xludf.DUMMYFUNCTION("""COMPUTED_VALUE"""),"DE526N1")</f>
        <v>DE526N1</v>
      </c>
      <c r="E715" t="str">
        <f>IFERROR(__xludf.DUMMYFUNCTION("""COMPUTED_VALUE"""),"P1132")</f>
        <v>P1132</v>
      </c>
      <c r="F715" t="str">
        <f t="array" ref="F715">if(iserror(index(fish_lab_data!C:C,match(B715,fish_lab_data!C:C,0))),"not dissected","dissected")</f>
        <v>dissected</v>
      </c>
    </row>
    <row r="716">
      <c r="A716" t="str">
        <f t="shared" si="1"/>
        <v>17318</v>
      </c>
      <c r="B716" t="str">
        <f>IFERROR(__xludf.DUMMYFUNCTION("""COMPUTED_VALUE"""),"U17318")</f>
        <v>U17318</v>
      </c>
      <c r="C716" t="str">
        <f>IFERROR(__xludf.DUMMYFUNCTION("""COMPUTED_VALUE"""),"CU")</f>
        <v>CU</v>
      </c>
      <c r="D716" t="str">
        <f>IFERROR(__xludf.DUMMYFUNCTION("""COMPUTED_VALUE"""),"DE526N1")</f>
        <v>DE526N1</v>
      </c>
      <c r="E716" t="str">
        <f>IFERROR(__xludf.DUMMYFUNCTION("""COMPUTED_VALUE"""),"P1132")</f>
        <v>P1132</v>
      </c>
      <c r="F716" t="str">
        <f t="array" ref="F716">if(iserror(index(fish_lab_data!C:C,match(B716,fish_lab_data!C:C,0))),"not dissected","dissected")</f>
        <v>dissected</v>
      </c>
    </row>
    <row r="717">
      <c r="A717" t="str">
        <f t="shared" si="1"/>
        <v>17319</v>
      </c>
      <c r="B717" t="str">
        <f>IFERROR(__xludf.DUMMYFUNCTION("""COMPUTED_VALUE"""),"U17319")</f>
        <v>U17319</v>
      </c>
      <c r="C717" t="str">
        <f>IFERROR(__xludf.DUMMYFUNCTION("""COMPUTED_VALUE"""),"CU")</f>
        <v>CU</v>
      </c>
      <c r="D717" t="str">
        <f>IFERROR(__xludf.DUMMYFUNCTION("""COMPUTED_VALUE"""),"DE526N1")</f>
        <v>DE526N1</v>
      </c>
      <c r="E717" t="str">
        <f>IFERROR(__xludf.DUMMYFUNCTION("""COMPUTED_VALUE"""),"P1132")</f>
        <v>P1132</v>
      </c>
      <c r="F717" t="str">
        <f t="array" ref="F717">if(iserror(index(fish_lab_data!C:C,match(B717,fish_lab_data!C:C,0))),"not dissected","dissected")</f>
        <v>dissected</v>
      </c>
    </row>
    <row r="718">
      <c r="A718" t="str">
        <f t="shared" si="1"/>
        <v>17320</v>
      </c>
      <c r="B718" t="str">
        <f>IFERROR(__xludf.DUMMYFUNCTION("""COMPUTED_VALUE"""),"U17320")</f>
        <v>U17320</v>
      </c>
      <c r="C718" t="str">
        <f>IFERROR(__xludf.DUMMYFUNCTION("""COMPUTED_VALUE"""),"CU")</f>
        <v>CU</v>
      </c>
      <c r="D718" t="str">
        <f>IFERROR(__xludf.DUMMYFUNCTION("""COMPUTED_VALUE"""),"DE526N1")</f>
        <v>DE526N1</v>
      </c>
      <c r="E718" t="str">
        <f>IFERROR(__xludf.DUMMYFUNCTION("""COMPUTED_VALUE"""),"P1132")</f>
        <v>P1132</v>
      </c>
      <c r="F718" t="str">
        <f t="array" ref="F718">if(iserror(index(fish_lab_data!C:C,match(B718,fish_lab_data!C:C,0))),"not dissected","dissected")</f>
        <v>dissected</v>
      </c>
    </row>
    <row r="719">
      <c r="A719" t="str">
        <f t="shared" si="1"/>
        <v>17061</v>
      </c>
      <c r="B719" t="str">
        <f>IFERROR(__xludf.DUMMYFUNCTION("""COMPUTED_VALUE"""),"U17061")</f>
        <v>U17061</v>
      </c>
      <c r="C719" t="str">
        <f>IFERROR(__xludf.DUMMYFUNCTION("""COMPUTED_VALUE"""),"CK")</f>
        <v>CK</v>
      </c>
      <c r="D719" t="str">
        <f>IFERROR(__xludf.DUMMYFUNCTION("""COMPUTED_VALUE"""),"DE526N1")</f>
        <v>DE526N1</v>
      </c>
      <c r="E719" t="str">
        <f>IFERROR(__xludf.DUMMYFUNCTION("""COMPUTED_VALUE"""),"P1107")</f>
        <v>P1107</v>
      </c>
      <c r="F719" t="str">
        <f t="array" ref="F719">if(iserror(index(fish_lab_data!C:C,match(B719,fish_lab_data!C:C,0))),"not dissected","dissected")</f>
        <v>dissected</v>
      </c>
    </row>
    <row r="720">
      <c r="A720" t="str">
        <f t="shared" si="1"/>
        <v>16701</v>
      </c>
      <c r="B720" t="str">
        <f>IFERROR(__xludf.DUMMYFUNCTION("""COMPUTED_VALUE"""),"U16701")</f>
        <v>U16701</v>
      </c>
      <c r="C720" t="str">
        <f>IFERROR(__xludf.DUMMYFUNCTION("""COMPUTED_VALUE"""),"SO")</f>
        <v>SO</v>
      </c>
      <c r="D720" t="str">
        <f>IFERROR(__xludf.DUMMYFUNCTION("""COMPUTED_VALUE"""),"JE419N1")</f>
        <v>JE419N1</v>
      </c>
      <c r="E720" t="str">
        <f>IFERROR(__xludf.DUMMYFUNCTION("""COMPUTED_VALUE"""),"P1071")</f>
        <v>P1071</v>
      </c>
      <c r="F720" t="str">
        <f t="array" ref="F720">if(iserror(index(fish_lab_data!C:C,match(B720,fish_lab_data!C:C,0))),"not dissected","dissected")</f>
        <v>dissected</v>
      </c>
    </row>
    <row r="721">
      <c r="A721" t="str">
        <f t="shared" si="1"/>
        <v>16702</v>
      </c>
      <c r="B721" t="str">
        <f>IFERROR(__xludf.DUMMYFUNCTION("""COMPUTED_VALUE"""),"U16702")</f>
        <v>U16702</v>
      </c>
      <c r="C721" t="str">
        <f>IFERROR(__xludf.DUMMYFUNCTION("""COMPUTED_VALUE"""),"SO")</f>
        <v>SO</v>
      </c>
      <c r="D721" t="str">
        <f>IFERROR(__xludf.DUMMYFUNCTION("""COMPUTED_VALUE"""),"JE419N1")</f>
        <v>JE419N1</v>
      </c>
      <c r="E721" t="str">
        <f>IFERROR(__xludf.DUMMYFUNCTION("""COMPUTED_VALUE"""),"P1071")</f>
        <v>P1071</v>
      </c>
      <c r="F721" t="str">
        <f t="array" ref="F721">if(iserror(index(fish_lab_data!C:C,match(B721,fish_lab_data!C:C,0))),"not dissected","dissected")</f>
        <v>dissected</v>
      </c>
    </row>
    <row r="722">
      <c r="A722" t="str">
        <f t="shared" si="1"/>
        <v>16703</v>
      </c>
      <c r="B722" t="str">
        <f>IFERROR(__xludf.DUMMYFUNCTION("""COMPUTED_VALUE"""),"U16703")</f>
        <v>U16703</v>
      </c>
      <c r="C722" t="str">
        <f>IFERROR(__xludf.DUMMYFUNCTION("""COMPUTED_VALUE"""),"SO")</f>
        <v>SO</v>
      </c>
      <c r="D722" t="str">
        <f>IFERROR(__xludf.DUMMYFUNCTION("""COMPUTED_VALUE"""),"JE419N1")</f>
        <v>JE419N1</v>
      </c>
      <c r="E722" t="str">
        <f>IFERROR(__xludf.DUMMYFUNCTION("""COMPUTED_VALUE"""),"P1071")</f>
        <v>P1071</v>
      </c>
      <c r="F722" t="str">
        <f t="array" ref="F722">if(iserror(index(fish_lab_data!C:C,match(B722,fish_lab_data!C:C,0))),"not dissected","dissected")</f>
        <v>dissected</v>
      </c>
    </row>
    <row r="723">
      <c r="A723" t="str">
        <f t="shared" si="1"/>
        <v>16704</v>
      </c>
      <c r="B723" t="str">
        <f>IFERROR(__xludf.DUMMYFUNCTION("""COMPUTED_VALUE"""),"U16704")</f>
        <v>U16704</v>
      </c>
      <c r="C723" t="str">
        <f>IFERROR(__xludf.DUMMYFUNCTION("""COMPUTED_VALUE"""),"SO")</f>
        <v>SO</v>
      </c>
      <c r="D723" t="str">
        <f>IFERROR(__xludf.DUMMYFUNCTION("""COMPUTED_VALUE"""),"JE419N1")</f>
        <v>JE419N1</v>
      </c>
      <c r="E723" t="str">
        <f>IFERROR(__xludf.DUMMYFUNCTION("""COMPUTED_VALUE"""),"P1071")</f>
        <v>P1071</v>
      </c>
      <c r="F723" t="str">
        <f t="array" ref="F723">if(iserror(index(fish_lab_data!C:C,match(B723,fish_lab_data!C:C,0))),"not dissected","dissected")</f>
        <v>dissected</v>
      </c>
    </row>
    <row r="724">
      <c r="A724" t="str">
        <f t="shared" si="1"/>
        <v>16705</v>
      </c>
      <c r="B724" t="str">
        <f>IFERROR(__xludf.DUMMYFUNCTION("""COMPUTED_VALUE"""),"U16705")</f>
        <v>U16705</v>
      </c>
      <c r="C724" t="str">
        <f>IFERROR(__xludf.DUMMYFUNCTION("""COMPUTED_VALUE"""),"SO")</f>
        <v>SO</v>
      </c>
      <c r="D724" t="str">
        <f>IFERROR(__xludf.DUMMYFUNCTION("""COMPUTED_VALUE"""),"JE419N1")</f>
        <v>JE419N1</v>
      </c>
      <c r="E724" t="str">
        <f>IFERROR(__xludf.DUMMYFUNCTION("""COMPUTED_VALUE"""),"P1071")</f>
        <v>P1071</v>
      </c>
      <c r="F724" t="str">
        <f t="array" ref="F724">if(iserror(index(fish_lab_data!C:C,match(B724,fish_lab_data!C:C,0))),"not dissected","dissected")</f>
        <v>dissected</v>
      </c>
    </row>
    <row r="725">
      <c r="A725" t="str">
        <f t="shared" si="1"/>
        <v>16706</v>
      </c>
      <c r="B725" t="str">
        <f>IFERROR(__xludf.DUMMYFUNCTION("""COMPUTED_VALUE"""),"U16706")</f>
        <v>U16706</v>
      </c>
      <c r="C725" t="str">
        <f>IFERROR(__xludf.DUMMYFUNCTION("""COMPUTED_VALUE"""),"SO")</f>
        <v>SO</v>
      </c>
      <c r="D725" t="str">
        <f>IFERROR(__xludf.DUMMYFUNCTION("""COMPUTED_VALUE"""),"JE419N1")</f>
        <v>JE419N1</v>
      </c>
      <c r="E725" t="str">
        <f>IFERROR(__xludf.DUMMYFUNCTION("""COMPUTED_VALUE"""),"P1071")</f>
        <v>P1071</v>
      </c>
      <c r="F725" t="str">
        <f t="array" ref="F725">if(iserror(index(fish_lab_data!C:C,match(B725,fish_lab_data!C:C,0))),"not dissected","dissected")</f>
        <v>dissected</v>
      </c>
    </row>
    <row r="726">
      <c r="A726" t="str">
        <f t="shared" si="1"/>
        <v>16707</v>
      </c>
      <c r="B726" t="str">
        <f>IFERROR(__xludf.DUMMYFUNCTION("""COMPUTED_VALUE"""),"U16707")</f>
        <v>U16707</v>
      </c>
      <c r="C726" t="str">
        <f>IFERROR(__xludf.DUMMYFUNCTION("""COMPUTED_VALUE"""),"SO")</f>
        <v>SO</v>
      </c>
      <c r="D726" t="str">
        <f>IFERROR(__xludf.DUMMYFUNCTION("""COMPUTED_VALUE"""),"JE419N1")</f>
        <v>JE419N1</v>
      </c>
      <c r="E726" t="str">
        <f>IFERROR(__xludf.DUMMYFUNCTION("""COMPUTED_VALUE"""),"P1071")</f>
        <v>P1071</v>
      </c>
      <c r="F726" t="str">
        <f t="array" ref="F726">if(iserror(index(fish_lab_data!C:C,match(B726,fish_lab_data!C:C,0))),"not dissected","dissected")</f>
        <v>dissected</v>
      </c>
    </row>
    <row r="727">
      <c r="A727" t="str">
        <f t="shared" si="1"/>
        <v>16708</v>
      </c>
      <c r="B727" t="str">
        <f>IFERROR(__xludf.DUMMYFUNCTION("""COMPUTED_VALUE"""),"U16708")</f>
        <v>U16708</v>
      </c>
      <c r="C727" t="str">
        <f>IFERROR(__xludf.DUMMYFUNCTION("""COMPUTED_VALUE"""),"SO")</f>
        <v>SO</v>
      </c>
      <c r="D727" t="str">
        <f>IFERROR(__xludf.DUMMYFUNCTION("""COMPUTED_VALUE"""),"JE419N1")</f>
        <v>JE419N1</v>
      </c>
      <c r="E727" t="str">
        <f>IFERROR(__xludf.DUMMYFUNCTION("""COMPUTED_VALUE"""),"P1071")</f>
        <v>P1071</v>
      </c>
      <c r="F727" t="str">
        <f t="array" ref="F727">if(iserror(index(fish_lab_data!C:C,match(B727,fish_lab_data!C:C,0))),"not dissected","dissected")</f>
        <v>dissected</v>
      </c>
    </row>
    <row r="728">
      <c r="A728" t="str">
        <f t="shared" si="1"/>
        <v>16709</v>
      </c>
      <c r="B728" t="str">
        <f>IFERROR(__xludf.DUMMYFUNCTION("""COMPUTED_VALUE"""),"U16709")</f>
        <v>U16709</v>
      </c>
      <c r="C728" t="str">
        <f>IFERROR(__xludf.DUMMYFUNCTION("""COMPUTED_VALUE"""),"SO")</f>
        <v>SO</v>
      </c>
      <c r="D728" t="str">
        <f>IFERROR(__xludf.DUMMYFUNCTION("""COMPUTED_VALUE"""),"JE419N1")</f>
        <v>JE419N1</v>
      </c>
      <c r="E728" t="str">
        <f>IFERROR(__xludf.DUMMYFUNCTION("""COMPUTED_VALUE"""),"P1071")</f>
        <v>P1071</v>
      </c>
      <c r="F728" t="str">
        <f t="array" ref="F728">if(iserror(index(fish_lab_data!C:C,match(B728,fish_lab_data!C:C,0))),"not dissected","dissected")</f>
        <v>dissected</v>
      </c>
    </row>
    <row r="729">
      <c r="A729" t="str">
        <f t="shared" si="1"/>
        <v>16710</v>
      </c>
      <c r="B729" t="str">
        <f>IFERROR(__xludf.DUMMYFUNCTION("""COMPUTED_VALUE"""),"U16710")</f>
        <v>U16710</v>
      </c>
      <c r="C729" t="str">
        <f>IFERROR(__xludf.DUMMYFUNCTION("""COMPUTED_VALUE"""),"SO")</f>
        <v>SO</v>
      </c>
      <c r="D729" t="str">
        <f>IFERROR(__xludf.DUMMYFUNCTION("""COMPUTED_VALUE"""),"JE419N1")</f>
        <v>JE419N1</v>
      </c>
      <c r="E729" t="str">
        <f>IFERROR(__xludf.DUMMYFUNCTION("""COMPUTED_VALUE"""),"P1071")</f>
        <v>P1071</v>
      </c>
      <c r="F729" t="str">
        <f t="array" ref="F729">if(iserror(index(fish_lab_data!C:C,match(B729,fish_lab_data!C:C,0))),"not dissected","dissected")</f>
        <v>dissected</v>
      </c>
    </row>
    <row r="730">
      <c r="A730" t="str">
        <f t="shared" si="1"/>
        <v>16571</v>
      </c>
      <c r="B730" t="str">
        <f>IFERROR(__xludf.DUMMYFUNCTION("""COMPUTED_VALUE"""),"U16571")</f>
        <v>U16571</v>
      </c>
      <c r="C730" t="str">
        <f>IFERROR(__xludf.DUMMYFUNCTION("""COMPUTED_VALUE"""),"PI")</f>
        <v>PI</v>
      </c>
      <c r="D730" t="str">
        <f>IFERROR(__xludf.DUMMYFUNCTION("""COMPUTED_VALUE"""),"JE419N1")</f>
        <v>JE419N1</v>
      </c>
      <c r="E730" t="str">
        <f>IFERROR(__xludf.DUMMYFUNCTION("""COMPUTED_VALUE"""),"P1058")</f>
        <v>P1058</v>
      </c>
      <c r="F730" t="str">
        <f t="array" ref="F730">if(iserror(index(fish_lab_data!C:C,match(B730,fish_lab_data!C:C,0))),"not dissected","dissected")</f>
        <v>dissected</v>
      </c>
    </row>
    <row r="731">
      <c r="A731" t="str">
        <f t="shared" si="1"/>
        <v>16572</v>
      </c>
      <c r="B731" t="str">
        <f>IFERROR(__xludf.DUMMYFUNCTION("""COMPUTED_VALUE"""),"U16572")</f>
        <v>U16572</v>
      </c>
      <c r="C731" t="str">
        <f>IFERROR(__xludf.DUMMYFUNCTION("""COMPUTED_VALUE"""),"PI")</f>
        <v>PI</v>
      </c>
      <c r="D731" t="str">
        <f>IFERROR(__xludf.DUMMYFUNCTION("""COMPUTED_VALUE"""),"JE419N1")</f>
        <v>JE419N1</v>
      </c>
      <c r="E731" t="str">
        <f>IFERROR(__xludf.DUMMYFUNCTION("""COMPUTED_VALUE"""),"P1058")</f>
        <v>P1058</v>
      </c>
      <c r="F731" t="str">
        <f t="array" ref="F731">if(iserror(index(fish_lab_data!C:C,match(B731,fish_lab_data!C:C,0))),"not dissected","dissected")</f>
        <v>dissected</v>
      </c>
    </row>
    <row r="732">
      <c r="A732" t="str">
        <f t="shared" si="1"/>
        <v>16573</v>
      </c>
      <c r="B732" t="str">
        <f>IFERROR(__xludf.DUMMYFUNCTION("""COMPUTED_VALUE"""),"U16573")</f>
        <v>U16573</v>
      </c>
      <c r="C732" t="str">
        <f>IFERROR(__xludf.DUMMYFUNCTION("""COMPUTED_VALUE"""),"PI")</f>
        <v>PI</v>
      </c>
      <c r="D732" t="str">
        <f>IFERROR(__xludf.DUMMYFUNCTION("""COMPUTED_VALUE"""),"JE419N1")</f>
        <v>JE419N1</v>
      </c>
      <c r="E732" t="str">
        <f>IFERROR(__xludf.DUMMYFUNCTION("""COMPUTED_VALUE"""),"P1058")</f>
        <v>P1058</v>
      </c>
      <c r="F732" t="str">
        <f t="array" ref="F732">if(iserror(index(fish_lab_data!C:C,match(B732,fish_lab_data!C:C,0))),"not dissected","dissected")</f>
        <v>dissected</v>
      </c>
    </row>
    <row r="733">
      <c r="A733" t="str">
        <f t="shared" si="1"/>
        <v>16574</v>
      </c>
      <c r="B733" t="str">
        <f>IFERROR(__xludf.DUMMYFUNCTION("""COMPUTED_VALUE"""),"U16574")</f>
        <v>U16574</v>
      </c>
      <c r="C733" t="str">
        <f>IFERROR(__xludf.DUMMYFUNCTION("""COMPUTED_VALUE"""),"PI")</f>
        <v>PI</v>
      </c>
      <c r="D733" t="str">
        <f>IFERROR(__xludf.DUMMYFUNCTION("""COMPUTED_VALUE"""),"JE419N1")</f>
        <v>JE419N1</v>
      </c>
      <c r="E733" t="str">
        <f>IFERROR(__xludf.DUMMYFUNCTION("""COMPUTED_VALUE"""),"P1058")</f>
        <v>P1058</v>
      </c>
      <c r="F733" t="str">
        <f t="array" ref="F733">if(iserror(index(fish_lab_data!C:C,match(B733,fish_lab_data!C:C,0))),"not dissected","dissected")</f>
        <v>dissected</v>
      </c>
    </row>
    <row r="734">
      <c r="A734" t="str">
        <f t="shared" si="1"/>
        <v>16575</v>
      </c>
      <c r="B734" t="str">
        <f>IFERROR(__xludf.DUMMYFUNCTION("""COMPUTED_VALUE"""),"U16575")</f>
        <v>U16575</v>
      </c>
      <c r="C734" t="str">
        <f>IFERROR(__xludf.DUMMYFUNCTION("""COMPUTED_VALUE"""),"PI")</f>
        <v>PI</v>
      </c>
      <c r="D734" t="str">
        <f>IFERROR(__xludf.DUMMYFUNCTION("""COMPUTED_VALUE"""),"JE419N1")</f>
        <v>JE419N1</v>
      </c>
      <c r="E734" t="str">
        <f>IFERROR(__xludf.DUMMYFUNCTION("""COMPUTED_VALUE"""),"P1058")</f>
        <v>P1058</v>
      </c>
      <c r="F734" t="str">
        <f t="array" ref="F734">if(iserror(index(fish_lab_data!C:C,match(B734,fish_lab_data!C:C,0))),"not dissected","dissected")</f>
        <v>dissected</v>
      </c>
    </row>
    <row r="735">
      <c r="A735" t="str">
        <f t="shared" si="1"/>
        <v>16576</v>
      </c>
      <c r="B735" t="str">
        <f>IFERROR(__xludf.DUMMYFUNCTION("""COMPUTED_VALUE"""),"U16576")</f>
        <v>U16576</v>
      </c>
      <c r="C735" t="str">
        <f>IFERROR(__xludf.DUMMYFUNCTION("""COMPUTED_VALUE"""),"PI")</f>
        <v>PI</v>
      </c>
      <c r="D735" t="str">
        <f>IFERROR(__xludf.DUMMYFUNCTION("""COMPUTED_VALUE"""),"JE419N1")</f>
        <v>JE419N1</v>
      </c>
      <c r="E735" t="str">
        <f>IFERROR(__xludf.DUMMYFUNCTION("""COMPUTED_VALUE"""),"P1058")</f>
        <v>P1058</v>
      </c>
      <c r="F735" t="str">
        <f t="array" ref="F735">if(iserror(index(fish_lab_data!C:C,match(B735,fish_lab_data!C:C,0))),"not dissected","dissected")</f>
        <v>dissected</v>
      </c>
    </row>
    <row r="736">
      <c r="A736" t="str">
        <f t="shared" si="1"/>
        <v>16577</v>
      </c>
      <c r="B736" t="str">
        <f>IFERROR(__xludf.DUMMYFUNCTION("""COMPUTED_VALUE"""),"U16577")</f>
        <v>U16577</v>
      </c>
      <c r="C736" t="str">
        <f>IFERROR(__xludf.DUMMYFUNCTION("""COMPUTED_VALUE"""),"PI")</f>
        <v>PI</v>
      </c>
      <c r="D736" t="str">
        <f>IFERROR(__xludf.DUMMYFUNCTION("""COMPUTED_VALUE"""),"JE419N1")</f>
        <v>JE419N1</v>
      </c>
      <c r="E736" t="str">
        <f>IFERROR(__xludf.DUMMYFUNCTION("""COMPUTED_VALUE"""),"P1058")</f>
        <v>P1058</v>
      </c>
      <c r="F736" t="str">
        <f t="array" ref="F736">if(iserror(index(fish_lab_data!C:C,match(B736,fish_lab_data!C:C,0))),"not dissected","dissected")</f>
        <v>dissected</v>
      </c>
    </row>
    <row r="737">
      <c r="A737" t="str">
        <f t="shared" si="1"/>
        <v>16578</v>
      </c>
      <c r="B737" t="str">
        <f>IFERROR(__xludf.DUMMYFUNCTION("""COMPUTED_VALUE"""),"U16578")</f>
        <v>U16578</v>
      </c>
      <c r="C737" t="str">
        <f>IFERROR(__xludf.DUMMYFUNCTION("""COMPUTED_VALUE"""),"PI")</f>
        <v>PI</v>
      </c>
      <c r="D737" t="str">
        <f>IFERROR(__xludf.DUMMYFUNCTION("""COMPUTED_VALUE"""),"JE419N1")</f>
        <v>JE419N1</v>
      </c>
      <c r="E737" t="str">
        <f>IFERROR(__xludf.DUMMYFUNCTION("""COMPUTED_VALUE"""),"P1058")</f>
        <v>P1058</v>
      </c>
      <c r="F737" t="str">
        <f t="array" ref="F737">if(iserror(index(fish_lab_data!C:C,match(B737,fish_lab_data!C:C,0))),"not dissected","dissected")</f>
        <v>dissected</v>
      </c>
    </row>
    <row r="738">
      <c r="A738" t="str">
        <f t="shared" si="1"/>
        <v>16579</v>
      </c>
      <c r="B738" t="str">
        <f>IFERROR(__xludf.DUMMYFUNCTION("""COMPUTED_VALUE"""),"U16579")</f>
        <v>U16579</v>
      </c>
      <c r="C738" t="str">
        <f>IFERROR(__xludf.DUMMYFUNCTION("""COMPUTED_VALUE"""),"PI")</f>
        <v>PI</v>
      </c>
      <c r="D738" t="str">
        <f>IFERROR(__xludf.DUMMYFUNCTION("""COMPUTED_VALUE"""),"JE419N1")</f>
        <v>JE419N1</v>
      </c>
      <c r="E738" t="str">
        <f>IFERROR(__xludf.DUMMYFUNCTION("""COMPUTED_VALUE"""),"P1058")</f>
        <v>P1058</v>
      </c>
      <c r="F738" t="str">
        <f t="array" ref="F738">if(iserror(index(fish_lab_data!C:C,match(B738,fish_lab_data!C:C,0))),"not dissected","dissected")</f>
        <v>dissected</v>
      </c>
    </row>
    <row r="739">
      <c r="A739" t="str">
        <f t="shared" si="1"/>
        <v>16580</v>
      </c>
      <c r="B739" t="str">
        <f>IFERROR(__xludf.DUMMYFUNCTION("""COMPUTED_VALUE"""),"U16580")</f>
        <v>U16580</v>
      </c>
      <c r="C739" t="str">
        <f>IFERROR(__xludf.DUMMYFUNCTION("""COMPUTED_VALUE"""),"PI")</f>
        <v>PI</v>
      </c>
      <c r="D739" t="str">
        <f>IFERROR(__xludf.DUMMYFUNCTION("""COMPUTED_VALUE"""),"JE419N1")</f>
        <v>JE419N1</v>
      </c>
      <c r="E739" t="str">
        <f>IFERROR(__xludf.DUMMYFUNCTION("""COMPUTED_VALUE"""),"P1058")</f>
        <v>P1058</v>
      </c>
      <c r="F739" t="str">
        <f t="array" ref="F739">if(iserror(index(fish_lab_data!C:C,match(B739,fish_lab_data!C:C,0))),"not dissected","dissected")</f>
        <v>dissected</v>
      </c>
    </row>
    <row r="740">
      <c r="A740" t="str">
        <f t="shared" si="1"/>
        <v>16641</v>
      </c>
      <c r="B740" t="str">
        <f>IFERROR(__xludf.DUMMYFUNCTION("""COMPUTED_VALUE"""),"U16641")</f>
        <v>U16641</v>
      </c>
      <c r="C740" t="str">
        <f>IFERROR(__xludf.DUMMYFUNCTION("""COMPUTED_VALUE"""),"CU")</f>
        <v>CU</v>
      </c>
      <c r="D740" t="str">
        <f>IFERROR(__xludf.DUMMYFUNCTION("""COMPUTED_VALUE"""),"JE419N1")</f>
        <v>JE419N1</v>
      </c>
      <c r="E740" t="str">
        <f>IFERROR(__xludf.DUMMYFUNCTION("""COMPUTED_VALUE"""),"P1065")</f>
        <v>P1065</v>
      </c>
      <c r="F740" t="str">
        <f t="array" ref="F740">if(iserror(index(fish_lab_data!C:C,match(B740,fish_lab_data!C:C,0))),"not dissected","dissected")</f>
        <v>dissected</v>
      </c>
    </row>
    <row r="741">
      <c r="A741" t="str">
        <f t="shared" si="1"/>
        <v>16642</v>
      </c>
      <c r="B741" t="str">
        <f>IFERROR(__xludf.DUMMYFUNCTION("""COMPUTED_VALUE"""),"U16642")</f>
        <v>U16642</v>
      </c>
      <c r="C741" t="str">
        <f>IFERROR(__xludf.DUMMYFUNCTION("""COMPUTED_VALUE"""),"CU")</f>
        <v>CU</v>
      </c>
      <c r="D741" t="str">
        <f>IFERROR(__xludf.DUMMYFUNCTION("""COMPUTED_VALUE"""),"JE419N1")</f>
        <v>JE419N1</v>
      </c>
      <c r="E741" t="str">
        <f>IFERROR(__xludf.DUMMYFUNCTION("""COMPUTED_VALUE"""),"P1065")</f>
        <v>P1065</v>
      </c>
      <c r="F741" t="str">
        <f t="array" ref="F741">if(iserror(index(fish_lab_data!C:C,match(B741,fish_lab_data!C:C,0))),"not dissected","dissected")</f>
        <v>dissected</v>
      </c>
    </row>
    <row r="742">
      <c r="A742" t="str">
        <f t="shared" si="1"/>
        <v>16643</v>
      </c>
      <c r="B742" t="str">
        <f>IFERROR(__xludf.DUMMYFUNCTION("""COMPUTED_VALUE"""),"U16643")</f>
        <v>U16643</v>
      </c>
      <c r="C742" t="str">
        <f>IFERROR(__xludf.DUMMYFUNCTION("""COMPUTED_VALUE"""),"CU")</f>
        <v>CU</v>
      </c>
      <c r="D742" t="str">
        <f>IFERROR(__xludf.DUMMYFUNCTION("""COMPUTED_VALUE"""),"JE419N1")</f>
        <v>JE419N1</v>
      </c>
      <c r="E742" t="str">
        <f>IFERROR(__xludf.DUMMYFUNCTION("""COMPUTED_VALUE"""),"P1065")</f>
        <v>P1065</v>
      </c>
      <c r="F742" t="str">
        <f t="array" ref="F742">if(iserror(index(fish_lab_data!C:C,match(B742,fish_lab_data!C:C,0))),"not dissected","dissected")</f>
        <v>dissected</v>
      </c>
    </row>
    <row r="743">
      <c r="A743" t="str">
        <f t="shared" si="1"/>
        <v>16644</v>
      </c>
      <c r="B743" t="str">
        <f>IFERROR(__xludf.DUMMYFUNCTION("""COMPUTED_VALUE"""),"U16644")</f>
        <v>U16644</v>
      </c>
      <c r="C743" t="str">
        <f>IFERROR(__xludf.DUMMYFUNCTION("""COMPUTED_VALUE"""),"CU")</f>
        <v>CU</v>
      </c>
      <c r="D743" t="str">
        <f>IFERROR(__xludf.DUMMYFUNCTION("""COMPUTED_VALUE"""),"JE419N1")</f>
        <v>JE419N1</v>
      </c>
      <c r="E743" t="str">
        <f>IFERROR(__xludf.DUMMYFUNCTION("""COMPUTED_VALUE"""),"P1065")</f>
        <v>P1065</v>
      </c>
      <c r="F743" t="str">
        <f t="array" ref="F743">if(iserror(index(fish_lab_data!C:C,match(B743,fish_lab_data!C:C,0))),"not dissected","dissected")</f>
        <v>dissected</v>
      </c>
    </row>
    <row r="744">
      <c r="A744" t="str">
        <f t="shared" si="1"/>
        <v>16645</v>
      </c>
      <c r="B744" t="str">
        <f>IFERROR(__xludf.DUMMYFUNCTION("""COMPUTED_VALUE"""),"U16645")</f>
        <v>U16645</v>
      </c>
      <c r="C744" t="str">
        <f>IFERROR(__xludf.DUMMYFUNCTION("""COMPUTED_VALUE"""),"CU")</f>
        <v>CU</v>
      </c>
      <c r="D744" t="str">
        <f>IFERROR(__xludf.DUMMYFUNCTION("""COMPUTED_VALUE"""),"JE419N1")</f>
        <v>JE419N1</v>
      </c>
      <c r="E744" t="str">
        <f>IFERROR(__xludf.DUMMYFUNCTION("""COMPUTED_VALUE"""),"P1065")</f>
        <v>P1065</v>
      </c>
      <c r="F744" t="str">
        <f t="array" ref="F744">if(iserror(index(fish_lab_data!C:C,match(B744,fish_lab_data!C:C,0))),"not dissected","dissected")</f>
        <v>dissected</v>
      </c>
    </row>
    <row r="745">
      <c r="A745" t="str">
        <f t="shared" si="1"/>
        <v>16646</v>
      </c>
      <c r="B745" t="str">
        <f>IFERROR(__xludf.DUMMYFUNCTION("""COMPUTED_VALUE"""),"U16646")</f>
        <v>U16646</v>
      </c>
      <c r="C745" t="str">
        <f>IFERROR(__xludf.DUMMYFUNCTION("""COMPUTED_VALUE"""),"CU")</f>
        <v>CU</v>
      </c>
      <c r="D745" t="str">
        <f>IFERROR(__xludf.DUMMYFUNCTION("""COMPUTED_VALUE"""),"JE419N1")</f>
        <v>JE419N1</v>
      </c>
      <c r="E745" t="str">
        <f>IFERROR(__xludf.DUMMYFUNCTION("""COMPUTED_VALUE"""),"P1065")</f>
        <v>P1065</v>
      </c>
      <c r="F745" t="str">
        <f t="array" ref="F745">if(iserror(index(fish_lab_data!C:C,match(B745,fish_lab_data!C:C,0))),"not dissected","dissected")</f>
        <v>dissected</v>
      </c>
    </row>
    <row r="746">
      <c r="A746" t="str">
        <f t="shared" si="1"/>
        <v>16647</v>
      </c>
      <c r="B746" t="str">
        <f>IFERROR(__xludf.DUMMYFUNCTION("""COMPUTED_VALUE"""),"U16647")</f>
        <v>U16647</v>
      </c>
      <c r="C746" t="str">
        <f>IFERROR(__xludf.DUMMYFUNCTION("""COMPUTED_VALUE"""),"CU")</f>
        <v>CU</v>
      </c>
      <c r="D746" t="str">
        <f>IFERROR(__xludf.DUMMYFUNCTION("""COMPUTED_VALUE"""),"JE419N1")</f>
        <v>JE419N1</v>
      </c>
      <c r="E746" t="str">
        <f>IFERROR(__xludf.DUMMYFUNCTION("""COMPUTED_VALUE"""),"P1065")</f>
        <v>P1065</v>
      </c>
      <c r="F746" t="str">
        <f t="array" ref="F746">if(iserror(index(fish_lab_data!C:C,match(B746,fish_lab_data!C:C,0))),"not dissected","dissected")</f>
        <v>dissected</v>
      </c>
    </row>
    <row r="747">
      <c r="A747" t="str">
        <f t="shared" si="1"/>
        <v>16648</v>
      </c>
      <c r="B747" t="str">
        <f>IFERROR(__xludf.DUMMYFUNCTION("""COMPUTED_VALUE"""),"U16648")</f>
        <v>U16648</v>
      </c>
      <c r="C747" t="str">
        <f>IFERROR(__xludf.DUMMYFUNCTION("""COMPUTED_VALUE"""),"CU")</f>
        <v>CU</v>
      </c>
      <c r="D747" t="str">
        <f>IFERROR(__xludf.DUMMYFUNCTION("""COMPUTED_VALUE"""),"JE419N1")</f>
        <v>JE419N1</v>
      </c>
      <c r="E747" t="str">
        <f>IFERROR(__xludf.DUMMYFUNCTION("""COMPUTED_VALUE"""),"P1065")</f>
        <v>P1065</v>
      </c>
      <c r="F747" t="str">
        <f t="array" ref="F747">if(iserror(index(fish_lab_data!C:C,match(B747,fish_lab_data!C:C,0))),"not dissected","dissected")</f>
        <v>dissected</v>
      </c>
    </row>
    <row r="748">
      <c r="A748" t="str">
        <f t="shared" si="1"/>
        <v>16649</v>
      </c>
      <c r="B748" t="str">
        <f>IFERROR(__xludf.DUMMYFUNCTION("""COMPUTED_VALUE"""),"U16649")</f>
        <v>U16649</v>
      </c>
      <c r="C748" t="str">
        <f>IFERROR(__xludf.DUMMYFUNCTION("""COMPUTED_VALUE"""),"CU")</f>
        <v>CU</v>
      </c>
      <c r="D748" t="str">
        <f>IFERROR(__xludf.DUMMYFUNCTION("""COMPUTED_VALUE"""),"JE419N1")</f>
        <v>JE419N1</v>
      </c>
      <c r="E748" t="str">
        <f>IFERROR(__xludf.DUMMYFUNCTION("""COMPUTED_VALUE"""),"P1065")</f>
        <v>P1065</v>
      </c>
      <c r="F748" t="str">
        <f t="array" ref="F748">if(iserror(index(fish_lab_data!C:C,match(B748,fish_lab_data!C:C,0))),"not dissected","dissected")</f>
        <v>dissected</v>
      </c>
    </row>
    <row r="749">
      <c r="A749" t="str">
        <f t="shared" si="1"/>
        <v>16650</v>
      </c>
      <c r="B749" t="str">
        <f>IFERROR(__xludf.DUMMYFUNCTION("""COMPUTED_VALUE"""),"U16650")</f>
        <v>U16650</v>
      </c>
      <c r="C749" t="str">
        <f>IFERROR(__xludf.DUMMYFUNCTION("""COMPUTED_VALUE"""),"CU")</f>
        <v>CU</v>
      </c>
      <c r="D749" t="str">
        <f>IFERROR(__xludf.DUMMYFUNCTION("""COMPUTED_VALUE"""),"JE419N1")</f>
        <v>JE419N1</v>
      </c>
      <c r="E749" t="str">
        <f>IFERROR(__xludf.DUMMYFUNCTION("""COMPUTED_VALUE"""),"P1065")</f>
        <v>P1065</v>
      </c>
      <c r="F749" t="str">
        <f t="array" ref="F749">if(iserror(index(fish_lab_data!C:C,match(B749,fish_lab_data!C:C,0))),"not dissected","dissected")</f>
        <v>dissected</v>
      </c>
    </row>
    <row r="750">
      <c r="A750" t="str">
        <f t="shared" si="1"/>
        <v>16621</v>
      </c>
      <c r="B750" t="str">
        <f>IFERROR(__xludf.DUMMYFUNCTION("""COMPUTED_VALUE"""),"U16621")</f>
        <v>U16621</v>
      </c>
      <c r="C750" t="str">
        <f>IFERROR(__xludf.DUMMYFUNCTION("""COMPUTED_VALUE"""),"SO")</f>
        <v>SO</v>
      </c>
      <c r="D750" t="str">
        <f>IFERROR(__xludf.DUMMYFUNCTION("""COMPUTED_VALUE"""),"JE419N1")</f>
        <v>JE419N1</v>
      </c>
      <c r="E750" t="str">
        <f>IFERROR(__xludf.DUMMYFUNCTION("""COMPUTED_VALUE"""),"P1063")</f>
        <v>P1063</v>
      </c>
      <c r="F750" t="str">
        <f t="array" ref="F750">if(iserror(index(fish_lab_data!C:C,match(B750,fish_lab_data!C:C,0))),"not dissected","dissected")</f>
        <v>dissected</v>
      </c>
    </row>
    <row r="751">
      <c r="A751" t="str">
        <f t="shared" si="1"/>
        <v>16622</v>
      </c>
      <c r="B751" t="str">
        <f>IFERROR(__xludf.DUMMYFUNCTION("""COMPUTED_VALUE"""),"U16622")</f>
        <v>U16622</v>
      </c>
      <c r="C751" t="str">
        <f>IFERROR(__xludf.DUMMYFUNCTION("""COMPUTED_VALUE"""),"SO")</f>
        <v>SO</v>
      </c>
      <c r="D751" t="str">
        <f>IFERROR(__xludf.DUMMYFUNCTION("""COMPUTED_VALUE"""),"JE419N1")</f>
        <v>JE419N1</v>
      </c>
      <c r="E751" t="str">
        <f>IFERROR(__xludf.DUMMYFUNCTION("""COMPUTED_VALUE"""),"P1063")</f>
        <v>P1063</v>
      </c>
      <c r="F751" t="str">
        <f t="array" ref="F751">if(iserror(index(fish_lab_data!C:C,match(B751,fish_lab_data!C:C,0))),"not dissected","dissected")</f>
        <v>dissected</v>
      </c>
    </row>
    <row r="752">
      <c r="A752" t="str">
        <f t="shared" si="1"/>
        <v>16623</v>
      </c>
      <c r="B752" t="str">
        <f>IFERROR(__xludf.DUMMYFUNCTION("""COMPUTED_VALUE"""),"U16623")</f>
        <v>U16623</v>
      </c>
      <c r="C752" t="str">
        <f>IFERROR(__xludf.DUMMYFUNCTION("""COMPUTED_VALUE"""),"SO")</f>
        <v>SO</v>
      </c>
      <c r="D752" t="str">
        <f>IFERROR(__xludf.DUMMYFUNCTION("""COMPUTED_VALUE"""),"JE419N1")</f>
        <v>JE419N1</v>
      </c>
      <c r="E752" t="str">
        <f>IFERROR(__xludf.DUMMYFUNCTION("""COMPUTED_VALUE"""),"P1063")</f>
        <v>P1063</v>
      </c>
      <c r="F752" t="str">
        <f t="array" ref="F752">if(iserror(index(fish_lab_data!C:C,match(B752,fish_lab_data!C:C,0))),"not dissected","dissected")</f>
        <v>dissected</v>
      </c>
    </row>
    <row r="753">
      <c r="A753" t="str">
        <f t="shared" si="1"/>
        <v>16624</v>
      </c>
      <c r="B753" t="str">
        <f>IFERROR(__xludf.DUMMYFUNCTION("""COMPUTED_VALUE"""),"U16624")</f>
        <v>U16624</v>
      </c>
      <c r="C753" t="str">
        <f>IFERROR(__xludf.DUMMYFUNCTION("""COMPUTED_VALUE"""),"SO")</f>
        <v>SO</v>
      </c>
      <c r="D753" t="str">
        <f>IFERROR(__xludf.DUMMYFUNCTION("""COMPUTED_VALUE"""),"JE419N1")</f>
        <v>JE419N1</v>
      </c>
      <c r="E753" t="str">
        <f>IFERROR(__xludf.DUMMYFUNCTION("""COMPUTED_VALUE"""),"P1063")</f>
        <v>P1063</v>
      </c>
      <c r="F753" t="str">
        <f t="array" ref="F753">if(iserror(index(fish_lab_data!C:C,match(B753,fish_lab_data!C:C,0))),"not dissected","dissected")</f>
        <v>dissected</v>
      </c>
    </row>
    <row r="754">
      <c r="A754" t="str">
        <f t="shared" si="1"/>
        <v>16625</v>
      </c>
      <c r="B754" t="str">
        <f>IFERROR(__xludf.DUMMYFUNCTION("""COMPUTED_VALUE"""),"U16625")</f>
        <v>U16625</v>
      </c>
      <c r="C754" t="str">
        <f>IFERROR(__xludf.DUMMYFUNCTION("""COMPUTED_VALUE"""),"SO")</f>
        <v>SO</v>
      </c>
      <c r="D754" t="str">
        <f>IFERROR(__xludf.DUMMYFUNCTION("""COMPUTED_VALUE"""),"JE419N1")</f>
        <v>JE419N1</v>
      </c>
      <c r="E754" t="str">
        <f>IFERROR(__xludf.DUMMYFUNCTION("""COMPUTED_VALUE"""),"P1063")</f>
        <v>P1063</v>
      </c>
      <c r="F754" t="str">
        <f t="array" ref="F754">if(iserror(index(fish_lab_data!C:C,match(B754,fish_lab_data!C:C,0))),"not dissected","dissected")</f>
        <v>dissected</v>
      </c>
    </row>
    <row r="755">
      <c r="A755" t="str">
        <f t="shared" si="1"/>
        <v>16626</v>
      </c>
      <c r="B755" t="str">
        <f>IFERROR(__xludf.DUMMYFUNCTION("""COMPUTED_VALUE"""),"U16626")</f>
        <v>U16626</v>
      </c>
      <c r="C755" t="str">
        <f>IFERROR(__xludf.DUMMYFUNCTION("""COMPUTED_VALUE"""),"SO")</f>
        <v>SO</v>
      </c>
      <c r="D755" t="str">
        <f>IFERROR(__xludf.DUMMYFUNCTION("""COMPUTED_VALUE"""),"JE419N1")</f>
        <v>JE419N1</v>
      </c>
      <c r="E755" t="str">
        <f>IFERROR(__xludf.DUMMYFUNCTION("""COMPUTED_VALUE"""),"P1063")</f>
        <v>P1063</v>
      </c>
      <c r="F755" t="str">
        <f t="array" ref="F755">if(iserror(index(fish_lab_data!C:C,match(B755,fish_lab_data!C:C,0))),"not dissected","dissected")</f>
        <v>dissected</v>
      </c>
    </row>
    <row r="756">
      <c r="A756" t="str">
        <f t="shared" si="1"/>
        <v>17151</v>
      </c>
      <c r="B756" t="str">
        <f>IFERROR(__xludf.DUMMYFUNCTION("""COMPUTED_VALUE"""),"U17151")</f>
        <v>U17151</v>
      </c>
      <c r="C756" t="str">
        <f>IFERROR(__xludf.DUMMYFUNCTION("""COMPUTED_VALUE"""),"PI")</f>
        <v>PI</v>
      </c>
      <c r="D756" t="str">
        <f>IFERROR(__xludf.DUMMYFUNCTION("""COMPUTED_VALUE"""),"DE527N3")</f>
        <v>DE527N3</v>
      </c>
      <c r="E756" t="str">
        <f>IFERROR(__xludf.DUMMYFUNCTION("""COMPUTED_VALUE"""),"P1116")</f>
        <v>P1116</v>
      </c>
      <c r="F756" t="str">
        <f t="array" ref="F756">if(iserror(index(fish_lab_data!C:C,match(B756,fish_lab_data!C:C,0))),"not dissected","dissected")</f>
        <v>dissected</v>
      </c>
    </row>
    <row r="757">
      <c r="A757" t="str">
        <f t="shared" si="1"/>
        <v>17152</v>
      </c>
      <c r="B757" t="str">
        <f>IFERROR(__xludf.DUMMYFUNCTION("""COMPUTED_VALUE"""),"U17152")</f>
        <v>U17152</v>
      </c>
      <c r="C757" t="str">
        <f>IFERROR(__xludf.DUMMYFUNCTION("""COMPUTED_VALUE"""),"PI")</f>
        <v>PI</v>
      </c>
      <c r="D757" t="str">
        <f>IFERROR(__xludf.DUMMYFUNCTION("""COMPUTED_VALUE"""),"DE527N3")</f>
        <v>DE527N3</v>
      </c>
      <c r="E757" t="str">
        <f>IFERROR(__xludf.DUMMYFUNCTION("""COMPUTED_VALUE"""),"P1116")</f>
        <v>P1116</v>
      </c>
      <c r="F757" t="str">
        <f t="array" ref="F757">if(iserror(index(fish_lab_data!C:C,match(B757,fish_lab_data!C:C,0))),"not dissected","dissected")</f>
        <v>dissected</v>
      </c>
    </row>
    <row r="758">
      <c r="A758" t="str">
        <f t="shared" si="1"/>
        <v>17153</v>
      </c>
      <c r="B758" t="str">
        <f>IFERROR(__xludf.DUMMYFUNCTION("""COMPUTED_VALUE"""),"U17153")</f>
        <v>U17153</v>
      </c>
      <c r="C758" t="str">
        <f>IFERROR(__xludf.DUMMYFUNCTION("""COMPUTED_VALUE"""),"PI")</f>
        <v>PI</v>
      </c>
      <c r="D758" t="str">
        <f>IFERROR(__xludf.DUMMYFUNCTION("""COMPUTED_VALUE"""),"DE527N3")</f>
        <v>DE527N3</v>
      </c>
      <c r="E758" t="str">
        <f>IFERROR(__xludf.DUMMYFUNCTION("""COMPUTED_VALUE"""),"P1116")</f>
        <v>P1116</v>
      </c>
      <c r="F758" t="str">
        <f t="array" ref="F758">if(iserror(index(fish_lab_data!C:C,match(B758,fish_lab_data!C:C,0))),"not dissected","dissected")</f>
        <v>dissected</v>
      </c>
    </row>
    <row r="759">
      <c r="A759" t="str">
        <f t="shared" si="1"/>
        <v>17154</v>
      </c>
      <c r="B759" t="str">
        <f>IFERROR(__xludf.DUMMYFUNCTION("""COMPUTED_VALUE"""),"U17154")</f>
        <v>U17154</v>
      </c>
      <c r="C759" t="str">
        <f>IFERROR(__xludf.DUMMYFUNCTION("""COMPUTED_VALUE"""),"PI")</f>
        <v>PI</v>
      </c>
      <c r="D759" t="str">
        <f>IFERROR(__xludf.DUMMYFUNCTION("""COMPUTED_VALUE"""),"DE527N3")</f>
        <v>DE527N3</v>
      </c>
      <c r="E759" t="str">
        <f>IFERROR(__xludf.DUMMYFUNCTION("""COMPUTED_VALUE"""),"P1116")</f>
        <v>P1116</v>
      </c>
      <c r="F759" t="str">
        <f t="array" ref="F759">if(iserror(index(fish_lab_data!C:C,match(B759,fish_lab_data!C:C,0))),"not dissected","dissected")</f>
        <v>dissected</v>
      </c>
    </row>
    <row r="760">
      <c r="A760" t="str">
        <f t="shared" si="1"/>
        <v>17155</v>
      </c>
      <c r="B760" t="str">
        <f>IFERROR(__xludf.DUMMYFUNCTION("""COMPUTED_VALUE"""),"U17155")</f>
        <v>U17155</v>
      </c>
      <c r="C760" t="str">
        <f>IFERROR(__xludf.DUMMYFUNCTION("""COMPUTED_VALUE"""),"PI")</f>
        <v>PI</v>
      </c>
      <c r="D760" t="str">
        <f>IFERROR(__xludf.DUMMYFUNCTION("""COMPUTED_VALUE"""),"DE527N3")</f>
        <v>DE527N3</v>
      </c>
      <c r="E760" t="str">
        <f>IFERROR(__xludf.DUMMYFUNCTION("""COMPUTED_VALUE"""),"P1116")</f>
        <v>P1116</v>
      </c>
      <c r="F760" t="str">
        <f t="array" ref="F760">if(iserror(index(fish_lab_data!C:C,match(B760,fish_lab_data!C:C,0))),"not dissected","dissected")</f>
        <v>dissected</v>
      </c>
    </row>
    <row r="761">
      <c r="A761" t="str">
        <f t="shared" si="1"/>
        <v>17156</v>
      </c>
      <c r="B761" t="str">
        <f>IFERROR(__xludf.DUMMYFUNCTION("""COMPUTED_VALUE"""),"U17156")</f>
        <v>U17156</v>
      </c>
      <c r="C761" t="str">
        <f>IFERROR(__xludf.DUMMYFUNCTION("""COMPUTED_VALUE"""),"PI")</f>
        <v>PI</v>
      </c>
      <c r="D761" t="str">
        <f>IFERROR(__xludf.DUMMYFUNCTION("""COMPUTED_VALUE"""),"DE527N3")</f>
        <v>DE527N3</v>
      </c>
      <c r="E761" t="str">
        <f>IFERROR(__xludf.DUMMYFUNCTION("""COMPUTED_VALUE"""),"P1116")</f>
        <v>P1116</v>
      </c>
      <c r="F761" t="str">
        <f t="array" ref="F761">if(iserror(index(fish_lab_data!C:C,match(B761,fish_lab_data!C:C,0))),"not dissected","dissected")</f>
        <v>dissected</v>
      </c>
    </row>
    <row r="762">
      <c r="A762" t="str">
        <f t="shared" si="1"/>
        <v>17157</v>
      </c>
      <c r="B762" t="str">
        <f>IFERROR(__xludf.DUMMYFUNCTION("""COMPUTED_VALUE"""),"U17157")</f>
        <v>U17157</v>
      </c>
      <c r="C762" t="str">
        <f>IFERROR(__xludf.DUMMYFUNCTION("""COMPUTED_VALUE"""),"PI")</f>
        <v>PI</v>
      </c>
      <c r="D762" t="str">
        <f>IFERROR(__xludf.DUMMYFUNCTION("""COMPUTED_VALUE"""),"DE527N3")</f>
        <v>DE527N3</v>
      </c>
      <c r="E762" t="str">
        <f>IFERROR(__xludf.DUMMYFUNCTION("""COMPUTED_VALUE"""),"P1116")</f>
        <v>P1116</v>
      </c>
      <c r="F762" t="str">
        <f t="array" ref="F762">if(iserror(index(fish_lab_data!C:C,match(B762,fish_lab_data!C:C,0))),"not dissected","dissected")</f>
        <v>dissected</v>
      </c>
    </row>
    <row r="763">
      <c r="A763" t="str">
        <f t="shared" si="1"/>
        <v>17158</v>
      </c>
      <c r="B763" t="str">
        <f>IFERROR(__xludf.DUMMYFUNCTION("""COMPUTED_VALUE"""),"U17158")</f>
        <v>U17158</v>
      </c>
      <c r="C763" t="str">
        <f>IFERROR(__xludf.DUMMYFUNCTION("""COMPUTED_VALUE"""),"PI")</f>
        <v>PI</v>
      </c>
      <c r="D763" t="str">
        <f>IFERROR(__xludf.DUMMYFUNCTION("""COMPUTED_VALUE"""),"DE527N3")</f>
        <v>DE527N3</v>
      </c>
      <c r="E763" t="str">
        <f>IFERROR(__xludf.DUMMYFUNCTION("""COMPUTED_VALUE"""),"P1116")</f>
        <v>P1116</v>
      </c>
      <c r="F763" t="str">
        <f t="array" ref="F763">if(iserror(index(fish_lab_data!C:C,match(B763,fish_lab_data!C:C,0))),"not dissected","dissected")</f>
        <v>dissected</v>
      </c>
    </row>
    <row r="764">
      <c r="A764" t="str">
        <f t="shared" si="1"/>
        <v>17159</v>
      </c>
      <c r="B764" t="str">
        <f>IFERROR(__xludf.DUMMYFUNCTION("""COMPUTED_VALUE"""),"U17159")</f>
        <v>U17159</v>
      </c>
      <c r="C764" t="str">
        <f>IFERROR(__xludf.DUMMYFUNCTION("""COMPUTED_VALUE"""),"PI")</f>
        <v>PI</v>
      </c>
      <c r="D764" t="str">
        <f>IFERROR(__xludf.DUMMYFUNCTION("""COMPUTED_VALUE"""),"DE527N3")</f>
        <v>DE527N3</v>
      </c>
      <c r="E764" t="str">
        <f>IFERROR(__xludf.DUMMYFUNCTION("""COMPUTED_VALUE"""),"P1116")</f>
        <v>P1116</v>
      </c>
      <c r="F764" t="str">
        <f t="array" ref="F764">if(iserror(index(fish_lab_data!C:C,match(B764,fish_lab_data!C:C,0))),"not dissected","dissected")</f>
        <v>dissected</v>
      </c>
    </row>
    <row r="765">
      <c r="A765" t="str">
        <f t="shared" si="1"/>
        <v>17160</v>
      </c>
      <c r="B765" t="str">
        <f>IFERROR(__xludf.DUMMYFUNCTION("""COMPUTED_VALUE"""),"U17160")</f>
        <v>U17160</v>
      </c>
      <c r="C765" t="str">
        <f>IFERROR(__xludf.DUMMYFUNCTION("""COMPUTED_VALUE"""),"PI")</f>
        <v>PI</v>
      </c>
      <c r="D765" t="str">
        <f>IFERROR(__xludf.DUMMYFUNCTION("""COMPUTED_VALUE"""),"DE527N3")</f>
        <v>DE527N3</v>
      </c>
      <c r="E765" t="str">
        <f>IFERROR(__xludf.DUMMYFUNCTION("""COMPUTED_VALUE"""),"P1116")</f>
        <v>P1116</v>
      </c>
      <c r="F765" t="str">
        <f t="array" ref="F765">if(iserror(index(fish_lab_data!C:C,match(B765,fish_lab_data!C:C,0))),"not dissected","dissected")</f>
        <v>dissected</v>
      </c>
    </row>
    <row r="766">
      <c r="A766" t="str">
        <f t="shared" si="1"/>
        <v>17141</v>
      </c>
      <c r="B766" t="str">
        <f>IFERROR(__xludf.DUMMYFUNCTION("""COMPUTED_VALUE"""),"U17141")</f>
        <v>U17141</v>
      </c>
      <c r="C766" t="str">
        <f>IFERROR(__xludf.DUMMYFUNCTION("""COMPUTED_VALUE"""),"CU")</f>
        <v>CU</v>
      </c>
      <c r="D766" t="str">
        <f>IFERROR(__xludf.DUMMYFUNCTION("""COMPUTED_VALUE"""),"DE527N3")</f>
        <v>DE527N3</v>
      </c>
      <c r="E766" t="str">
        <f>IFERROR(__xludf.DUMMYFUNCTION("""COMPUTED_VALUE"""),"P1115")</f>
        <v>P1115</v>
      </c>
      <c r="F766" t="str">
        <f t="array" ref="F766">if(iserror(index(fish_lab_data!C:C,match(B766,fish_lab_data!C:C,0))),"not dissected","dissected")</f>
        <v>dissected</v>
      </c>
    </row>
    <row r="767">
      <c r="A767" t="str">
        <f t="shared" si="1"/>
        <v>17142</v>
      </c>
      <c r="B767" t="str">
        <f>IFERROR(__xludf.DUMMYFUNCTION("""COMPUTED_VALUE"""),"U17142")</f>
        <v>U17142</v>
      </c>
      <c r="C767" t="str">
        <f>IFERROR(__xludf.DUMMYFUNCTION("""COMPUTED_VALUE"""),"CU")</f>
        <v>CU</v>
      </c>
      <c r="D767" t="str">
        <f>IFERROR(__xludf.DUMMYFUNCTION("""COMPUTED_VALUE"""),"DE527N3")</f>
        <v>DE527N3</v>
      </c>
      <c r="E767" t="str">
        <f>IFERROR(__xludf.DUMMYFUNCTION("""COMPUTED_VALUE"""),"P1115")</f>
        <v>P1115</v>
      </c>
      <c r="F767" t="str">
        <f t="array" ref="F767">if(iserror(index(fish_lab_data!C:C,match(B767,fish_lab_data!C:C,0))),"not dissected","dissected")</f>
        <v>dissected</v>
      </c>
    </row>
    <row r="768">
      <c r="A768" t="str">
        <f t="shared" si="1"/>
        <v>17143</v>
      </c>
      <c r="B768" t="str">
        <f>IFERROR(__xludf.DUMMYFUNCTION("""COMPUTED_VALUE"""),"U17143")</f>
        <v>U17143</v>
      </c>
      <c r="C768" t="str">
        <f>IFERROR(__xludf.DUMMYFUNCTION("""COMPUTED_VALUE"""),"CU")</f>
        <v>CU</v>
      </c>
      <c r="D768" t="str">
        <f>IFERROR(__xludf.DUMMYFUNCTION("""COMPUTED_VALUE"""),"DE527N3")</f>
        <v>DE527N3</v>
      </c>
      <c r="E768" t="str">
        <f>IFERROR(__xludf.DUMMYFUNCTION("""COMPUTED_VALUE"""),"P1115")</f>
        <v>P1115</v>
      </c>
      <c r="F768" t="str">
        <f t="array" ref="F768">if(iserror(index(fish_lab_data!C:C,match(B768,fish_lab_data!C:C,0))),"not dissected","dissected")</f>
        <v>dissected</v>
      </c>
    </row>
    <row r="769">
      <c r="A769" t="str">
        <f t="shared" si="1"/>
        <v>17144</v>
      </c>
      <c r="B769" t="str">
        <f>IFERROR(__xludf.DUMMYFUNCTION("""COMPUTED_VALUE"""),"U17144")</f>
        <v>U17144</v>
      </c>
      <c r="C769" t="str">
        <f>IFERROR(__xludf.DUMMYFUNCTION("""COMPUTED_VALUE"""),"CU")</f>
        <v>CU</v>
      </c>
      <c r="D769" t="str">
        <f>IFERROR(__xludf.DUMMYFUNCTION("""COMPUTED_VALUE"""),"DE527N3")</f>
        <v>DE527N3</v>
      </c>
      <c r="E769" t="str">
        <f>IFERROR(__xludf.DUMMYFUNCTION("""COMPUTED_VALUE"""),"P1115")</f>
        <v>P1115</v>
      </c>
      <c r="F769" t="str">
        <f t="array" ref="F769">if(iserror(index(fish_lab_data!C:C,match(B769,fish_lab_data!C:C,0))),"not dissected","dissected")</f>
        <v>dissected</v>
      </c>
    </row>
    <row r="770">
      <c r="A770" t="str">
        <f t="shared" si="1"/>
        <v>17145</v>
      </c>
      <c r="B770" t="str">
        <f>IFERROR(__xludf.DUMMYFUNCTION("""COMPUTED_VALUE"""),"U17145")</f>
        <v>U17145</v>
      </c>
      <c r="C770" t="str">
        <f>IFERROR(__xludf.DUMMYFUNCTION("""COMPUTED_VALUE"""),"CU")</f>
        <v>CU</v>
      </c>
      <c r="D770" t="str">
        <f>IFERROR(__xludf.DUMMYFUNCTION("""COMPUTED_VALUE"""),"DE527N3")</f>
        <v>DE527N3</v>
      </c>
      <c r="E770" t="str">
        <f>IFERROR(__xludf.DUMMYFUNCTION("""COMPUTED_VALUE"""),"P1115")</f>
        <v>P1115</v>
      </c>
      <c r="F770" t="str">
        <f t="array" ref="F770">if(iserror(index(fish_lab_data!C:C,match(B770,fish_lab_data!C:C,0))),"not dissected","dissected")</f>
        <v>dissected</v>
      </c>
    </row>
    <row r="771">
      <c r="A771" t="str">
        <f t="shared" si="1"/>
        <v>17146</v>
      </c>
      <c r="B771" t="str">
        <f>IFERROR(__xludf.DUMMYFUNCTION("""COMPUTED_VALUE"""),"U17146")</f>
        <v>U17146</v>
      </c>
      <c r="C771" t="str">
        <f>IFERROR(__xludf.DUMMYFUNCTION("""COMPUTED_VALUE"""),"CU")</f>
        <v>CU</v>
      </c>
      <c r="D771" t="str">
        <f>IFERROR(__xludf.DUMMYFUNCTION("""COMPUTED_VALUE"""),"DE527N3")</f>
        <v>DE527N3</v>
      </c>
      <c r="E771" t="str">
        <f>IFERROR(__xludf.DUMMYFUNCTION("""COMPUTED_VALUE"""),"P1115")</f>
        <v>P1115</v>
      </c>
      <c r="F771" t="str">
        <f t="array" ref="F771">if(iserror(index(fish_lab_data!C:C,match(B771,fish_lab_data!C:C,0))),"not dissected","dissected")</f>
        <v>dissected</v>
      </c>
    </row>
    <row r="772">
      <c r="A772" t="str">
        <f t="shared" si="1"/>
        <v>17147</v>
      </c>
      <c r="B772" t="str">
        <f>IFERROR(__xludf.DUMMYFUNCTION("""COMPUTED_VALUE"""),"U17147")</f>
        <v>U17147</v>
      </c>
      <c r="C772" t="str">
        <f>IFERROR(__xludf.DUMMYFUNCTION("""COMPUTED_VALUE"""),"CU")</f>
        <v>CU</v>
      </c>
      <c r="D772" t="str">
        <f>IFERROR(__xludf.DUMMYFUNCTION("""COMPUTED_VALUE"""),"DE527N3")</f>
        <v>DE527N3</v>
      </c>
      <c r="E772" t="str">
        <f>IFERROR(__xludf.DUMMYFUNCTION("""COMPUTED_VALUE"""),"P1115")</f>
        <v>P1115</v>
      </c>
      <c r="F772" t="str">
        <f t="array" ref="F772">if(iserror(index(fish_lab_data!C:C,match(B772,fish_lab_data!C:C,0))),"not dissected","dissected")</f>
        <v>dissected</v>
      </c>
    </row>
    <row r="773">
      <c r="A773" t="str">
        <f t="shared" si="1"/>
        <v>17148</v>
      </c>
      <c r="B773" t="str">
        <f>IFERROR(__xludf.DUMMYFUNCTION("""COMPUTED_VALUE"""),"U17148")</f>
        <v>U17148</v>
      </c>
      <c r="C773" t="str">
        <f>IFERROR(__xludf.DUMMYFUNCTION("""COMPUTED_VALUE"""),"CU")</f>
        <v>CU</v>
      </c>
      <c r="D773" t="str">
        <f>IFERROR(__xludf.DUMMYFUNCTION("""COMPUTED_VALUE"""),"DE527N3")</f>
        <v>DE527N3</v>
      </c>
      <c r="E773" t="str">
        <f>IFERROR(__xludf.DUMMYFUNCTION("""COMPUTED_VALUE"""),"P1115")</f>
        <v>P1115</v>
      </c>
      <c r="F773" t="str">
        <f t="array" ref="F773">if(iserror(index(fish_lab_data!C:C,match(B773,fish_lab_data!C:C,0))),"not dissected","dissected")</f>
        <v>dissected</v>
      </c>
    </row>
    <row r="774">
      <c r="A774" t="str">
        <f t="shared" si="1"/>
        <v>17149</v>
      </c>
      <c r="B774" t="str">
        <f>IFERROR(__xludf.DUMMYFUNCTION("""COMPUTED_VALUE"""),"U17149")</f>
        <v>U17149</v>
      </c>
      <c r="C774" t="str">
        <f>IFERROR(__xludf.DUMMYFUNCTION("""COMPUTED_VALUE"""),"CU")</f>
        <v>CU</v>
      </c>
      <c r="D774" t="str">
        <f>IFERROR(__xludf.DUMMYFUNCTION("""COMPUTED_VALUE"""),"DE527N3")</f>
        <v>DE527N3</v>
      </c>
      <c r="E774" t="str">
        <f>IFERROR(__xludf.DUMMYFUNCTION("""COMPUTED_VALUE"""),"P1115")</f>
        <v>P1115</v>
      </c>
      <c r="F774" t="str">
        <f t="array" ref="F774">if(iserror(index(fish_lab_data!C:C,match(B774,fish_lab_data!C:C,0))),"not dissected","dissected")</f>
        <v>dissected</v>
      </c>
    </row>
    <row r="775">
      <c r="A775" t="str">
        <f t="shared" si="1"/>
        <v>17150</v>
      </c>
      <c r="B775" t="str">
        <f>IFERROR(__xludf.DUMMYFUNCTION("""COMPUTED_VALUE"""),"U17150")</f>
        <v>U17150</v>
      </c>
      <c r="C775" t="str">
        <f>IFERROR(__xludf.DUMMYFUNCTION("""COMPUTED_VALUE"""),"CU")</f>
        <v>CU</v>
      </c>
      <c r="D775" t="str">
        <f>IFERROR(__xludf.DUMMYFUNCTION("""COMPUTED_VALUE"""),"DE527N3")</f>
        <v>DE527N3</v>
      </c>
      <c r="E775" t="str">
        <f>IFERROR(__xludf.DUMMYFUNCTION("""COMPUTED_VALUE"""),"P1115")</f>
        <v>P1115</v>
      </c>
      <c r="F775" t="str">
        <f t="array" ref="F775">if(iserror(index(fish_lab_data!C:C,match(B775,fish_lab_data!C:C,0))),"not dissected","dissected")</f>
        <v>dissected</v>
      </c>
    </row>
    <row r="776">
      <c r="A776" t="str">
        <f t="shared" si="1"/>
        <v>16411</v>
      </c>
      <c r="B776" t="str">
        <f>IFERROR(__xludf.DUMMYFUNCTION("""COMPUTED_VALUE"""),"U16411")</f>
        <v>U16411</v>
      </c>
      <c r="C776" t="str">
        <f>IFERROR(__xludf.DUMMYFUNCTION("""COMPUTED_VALUE"""),"PI")</f>
        <v>PI</v>
      </c>
      <c r="D776" t="str">
        <f>IFERROR(__xludf.DUMMYFUNCTION("""COMPUTED_VALUE"""),"DE530N2")</f>
        <v>DE530N2</v>
      </c>
      <c r="E776" t="str">
        <f>IFERROR(__xludf.DUMMYFUNCTION("""COMPUTED_VALUE"""),"P1042")</f>
        <v>P1042</v>
      </c>
      <c r="F776" t="str">
        <f t="array" ref="F776">if(iserror(index(fish_lab_data!C:C,match(B776,fish_lab_data!C:C,0))),"not dissected","dissected")</f>
        <v>dissected</v>
      </c>
    </row>
    <row r="777">
      <c r="A777" t="str">
        <f t="shared" si="1"/>
        <v>16412</v>
      </c>
      <c r="B777" t="str">
        <f>IFERROR(__xludf.DUMMYFUNCTION("""COMPUTED_VALUE"""),"U16412")</f>
        <v>U16412</v>
      </c>
      <c r="C777" t="str">
        <f>IFERROR(__xludf.DUMMYFUNCTION("""COMPUTED_VALUE"""),"PI")</f>
        <v>PI</v>
      </c>
      <c r="D777" t="str">
        <f>IFERROR(__xludf.DUMMYFUNCTION("""COMPUTED_VALUE"""),"DE530N2")</f>
        <v>DE530N2</v>
      </c>
      <c r="E777" t="str">
        <f>IFERROR(__xludf.DUMMYFUNCTION("""COMPUTED_VALUE"""),"P1042")</f>
        <v>P1042</v>
      </c>
      <c r="F777" t="str">
        <f t="array" ref="F777">if(iserror(index(fish_lab_data!C:C,match(B777,fish_lab_data!C:C,0))),"not dissected","dissected")</f>
        <v>dissected</v>
      </c>
    </row>
    <row r="778">
      <c r="A778" t="str">
        <f t="shared" si="1"/>
        <v>16413</v>
      </c>
      <c r="B778" t="str">
        <f>IFERROR(__xludf.DUMMYFUNCTION("""COMPUTED_VALUE"""),"U16413")</f>
        <v>U16413</v>
      </c>
      <c r="C778" t="str">
        <f>IFERROR(__xludf.DUMMYFUNCTION("""COMPUTED_VALUE"""),"PI")</f>
        <v>PI</v>
      </c>
      <c r="D778" t="str">
        <f>IFERROR(__xludf.DUMMYFUNCTION("""COMPUTED_VALUE"""),"DE530N2")</f>
        <v>DE530N2</v>
      </c>
      <c r="E778" t="str">
        <f>IFERROR(__xludf.DUMMYFUNCTION("""COMPUTED_VALUE"""),"P1042")</f>
        <v>P1042</v>
      </c>
      <c r="F778" t="str">
        <f t="array" ref="F778">if(iserror(index(fish_lab_data!C:C,match(B778,fish_lab_data!C:C,0))),"not dissected","dissected")</f>
        <v>dissected</v>
      </c>
    </row>
    <row r="779">
      <c r="A779" t="str">
        <f t="shared" si="1"/>
        <v>16414</v>
      </c>
      <c r="B779" t="str">
        <f>IFERROR(__xludf.DUMMYFUNCTION("""COMPUTED_VALUE"""),"U16414")</f>
        <v>U16414</v>
      </c>
      <c r="C779" t="str">
        <f>IFERROR(__xludf.DUMMYFUNCTION("""COMPUTED_VALUE"""),"PI")</f>
        <v>PI</v>
      </c>
      <c r="D779" t="str">
        <f>IFERROR(__xludf.DUMMYFUNCTION("""COMPUTED_VALUE"""),"DE530N2")</f>
        <v>DE530N2</v>
      </c>
      <c r="E779" t="str">
        <f>IFERROR(__xludf.DUMMYFUNCTION("""COMPUTED_VALUE"""),"P1042")</f>
        <v>P1042</v>
      </c>
      <c r="F779" t="str">
        <f t="array" ref="F779">if(iserror(index(fish_lab_data!C:C,match(B779,fish_lab_data!C:C,0))),"not dissected","dissected")</f>
        <v>dissected</v>
      </c>
    </row>
    <row r="780">
      <c r="A780" t="str">
        <f t="shared" si="1"/>
        <v>16415</v>
      </c>
      <c r="B780" t="str">
        <f>IFERROR(__xludf.DUMMYFUNCTION("""COMPUTED_VALUE"""),"U16415")</f>
        <v>U16415</v>
      </c>
      <c r="C780" t="str">
        <f>IFERROR(__xludf.DUMMYFUNCTION("""COMPUTED_VALUE"""),"PI")</f>
        <v>PI</v>
      </c>
      <c r="D780" t="str">
        <f>IFERROR(__xludf.DUMMYFUNCTION("""COMPUTED_VALUE"""),"DE530N2")</f>
        <v>DE530N2</v>
      </c>
      <c r="E780" t="str">
        <f>IFERROR(__xludf.DUMMYFUNCTION("""COMPUTED_VALUE"""),"P1042")</f>
        <v>P1042</v>
      </c>
      <c r="F780" t="str">
        <f t="array" ref="F780">if(iserror(index(fish_lab_data!C:C,match(B780,fish_lab_data!C:C,0))),"not dissected","dissected")</f>
        <v>dissected</v>
      </c>
    </row>
    <row r="781">
      <c r="A781" t="str">
        <f t="shared" si="1"/>
        <v>16416</v>
      </c>
      <c r="B781" t="str">
        <f>IFERROR(__xludf.DUMMYFUNCTION("""COMPUTED_VALUE"""),"U16416")</f>
        <v>U16416</v>
      </c>
      <c r="C781" t="str">
        <f>IFERROR(__xludf.DUMMYFUNCTION("""COMPUTED_VALUE"""),"PI")</f>
        <v>PI</v>
      </c>
      <c r="D781" t="str">
        <f>IFERROR(__xludf.DUMMYFUNCTION("""COMPUTED_VALUE"""),"DE530N2")</f>
        <v>DE530N2</v>
      </c>
      <c r="E781" t="str">
        <f>IFERROR(__xludf.DUMMYFUNCTION("""COMPUTED_VALUE"""),"P1042")</f>
        <v>P1042</v>
      </c>
      <c r="F781" t="str">
        <f t="array" ref="F781">if(iserror(index(fish_lab_data!C:C,match(B781,fish_lab_data!C:C,0))),"not dissected","dissected")</f>
        <v>dissected</v>
      </c>
    </row>
    <row r="782">
      <c r="A782" t="str">
        <f t="shared" si="1"/>
        <v>16417</v>
      </c>
      <c r="B782" t="str">
        <f>IFERROR(__xludf.DUMMYFUNCTION("""COMPUTED_VALUE"""),"U16417")</f>
        <v>U16417</v>
      </c>
      <c r="C782" t="str">
        <f>IFERROR(__xludf.DUMMYFUNCTION("""COMPUTED_VALUE"""),"PI")</f>
        <v>PI</v>
      </c>
      <c r="D782" t="str">
        <f>IFERROR(__xludf.DUMMYFUNCTION("""COMPUTED_VALUE"""),"DE530N2")</f>
        <v>DE530N2</v>
      </c>
      <c r="E782" t="str">
        <f>IFERROR(__xludf.DUMMYFUNCTION("""COMPUTED_VALUE"""),"P1042")</f>
        <v>P1042</v>
      </c>
      <c r="F782" t="str">
        <f t="array" ref="F782">if(iserror(index(fish_lab_data!C:C,match(B782,fish_lab_data!C:C,0))),"not dissected","dissected")</f>
        <v>dissected</v>
      </c>
    </row>
    <row r="783">
      <c r="A783" t="str">
        <f t="shared" si="1"/>
        <v>16418</v>
      </c>
      <c r="B783" t="str">
        <f>IFERROR(__xludf.DUMMYFUNCTION("""COMPUTED_VALUE"""),"U16418")</f>
        <v>U16418</v>
      </c>
      <c r="C783" t="str">
        <f>IFERROR(__xludf.DUMMYFUNCTION("""COMPUTED_VALUE"""),"PI")</f>
        <v>PI</v>
      </c>
      <c r="D783" t="str">
        <f>IFERROR(__xludf.DUMMYFUNCTION("""COMPUTED_VALUE"""),"DE530N2")</f>
        <v>DE530N2</v>
      </c>
      <c r="E783" t="str">
        <f>IFERROR(__xludf.DUMMYFUNCTION("""COMPUTED_VALUE"""),"P1042")</f>
        <v>P1042</v>
      </c>
      <c r="F783" t="str">
        <f t="array" ref="F783">if(iserror(index(fish_lab_data!C:C,match(B783,fish_lab_data!C:C,0))),"not dissected","dissected")</f>
        <v>dissected</v>
      </c>
    </row>
    <row r="784">
      <c r="A784" t="str">
        <f t="shared" si="1"/>
        <v>16419</v>
      </c>
      <c r="B784" t="str">
        <f>IFERROR(__xludf.DUMMYFUNCTION("""COMPUTED_VALUE"""),"U16419")</f>
        <v>U16419</v>
      </c>
      <c r="C784" t="str">
        <f>IFERROR(__xludf.DUMMYFUNCTION("""COMPUTED_VALUE"""),"PI")</f>
        <v>PI</v>
      </c>
      <c r="D784" t="str">
        <f>IFERROR(__xludf.DUMMYFUNCTION("""COMPUTED_VALUE"""),"DE530N2")</f>
        <v>DE530N2</v>
      </c>
      <c r="E784" t="str">
        <f>IFERROR(__xludf.DUMMYFUNCTION("""COMPUTED_VALUE"""),"P1042")</f>
        <v>P1042</v>
      </c>
      <c r="F784" t="str">
        <f t="array" ref="F784">if(iserror(index(fish_lab_data!C:C,match(B784,fish_lab_data!C:C,0))),"not dissected","dissected")</f>
        <v>dissected</v>
      </c>
    </row>
    <row r="785">
      <c r="A785" t="str">
        <f t="shared" si="1"/>
        <v>16420</v>
      </c>
      <c r="B785" t="str">
        <f>IFERROR(__xludf.DUMMYFUNCTION("""COMPUTED_VALUE"""),"U16420")</f>
        <v>U16420</v>
      </c>
      <c r="C785" t="str">
        <f>IFERROR(__xludf.DUMMYFUNCTION("""COMPUTED_VALUE"""),"PI")</f>
        <v>PI</v>
      </c>
      <c r="D785" t="str">
        <f>IFERROR(__xludf.DUMMYFUNCTION("""COMPUTED_VALUE"""),"DE530N2")</f>
        <v>DE530N2</v>
      </c>
      <c r="E785" t="str">
        <f>IFERROR(__xludf.DUMMYFUNCTION("""COMPUTED_VALUE"""),"P1042")</f>
        <v>P1042</v>
      </c>
      <c r="F785" t="str">
        <f t="array" ref="F785">if(iserror(index(fish_lab_data!C:C,match(B785,fish_lab_data!C:C,0))),"not dissected","dissected")</f>
        <v>dissected</v>
      </c>
    </row>
    <row r="786">
      <c r="A786" t="str">
        <f t="shared" si="1"/>
        <v>17051</v>
      </c>
      <c r="B786" t="str">
        <f>IFERROR(__xludf.DUMMYFUNCTION("""COMPUTED_VALUE"""),"U17051")</f>
        <v>U17051</v>
      </c>
      <c r="C786" t="str">
        <f>IFERROR(__xludf.DUMMYFUNCTION("""COMPUTED_VALUE"""),"CU")</f>
        <v>CU</v>
      </c>
      <c r="D786" t="str">
        <f>IFERROR(__xludf.DUMMYFUNCTION("""COMPUTED_VALUE"""),"DE530N2")</f>
        <v>DE530N2</v>
      </c>
      <c r="E786" t="str">
        <f>IFERROR(__xludf.DUMMYFUNCTION("""COMPUTED_VALUE"""),"P1106")</f>
        <v>P1106</v>
      </c>
      <c r="F786" t="str">
        <f t="array" ref="F786">if(iserror(index(fish_lab_data!C:C,match(B786,fish_lab_data!C:C,0))),"not dissected","dissected")</f>
        <v>dissected</v>
      </c>
    </row>
    <row r="787">
      <c r="A787" t="str">
        <f t="shared" si="1"/>
        <v>17052</v>
      </c>
      <c r="B787" t="str">
        <f>IFERROR(__xludf.DUMMYFUNCTION("""COMPUTED_VALUE"""),"U17052")</f>
        <v>U17052</v>
      </c>
      <c r="C787" t="str">
        <f>IFERROR(__xludf.DUMMYFUNCTION("""COMPUTED_VALUE"""),"CU")</f>
        <v>CU</v>
      </c>
      <c r="D787" t="str">
        <f>IFERROR(__xludf.DUMMYFUNCTION("""COMPUTED_VALUE"""),"DE530N2")</f>
        <v>DE530N2</v>
      </c>
      <c r="E787" t="str">
        <f>IFERROR(__xludf.DUMMYFUNCTION("""COMPUTED_VALUE"""),"P1106")</f>
        <v>P1106</v>
      </c>
      <c r="F787" t="str">
        <f t="array" ref="F787">if(iserror(index(fish_lab_data!C:C,match(B787,fish_lab_data!C:C,0))),"not dissected","dissected")</f>
        <v>dissected</v>
      </c>
    </row>
    <row r="788">
      <c r="A788" t="str">
        <f t="shared" si="1"/>
        <v>17053</v>
      </c>
      <c r="B788" t="str">
        <f>IFERROR(__xludf.DUMMYFUNCTION("""COMPUTED_VALUE"""),"U17053")</f>
        <v>U17053</v>
      </c>
      <c r="C788" t="str">
        <f>IFERROR(__xludf.DUMMYFUNCTION("""COMPUTED_VALUE"""),"CU")</f>
        <v>CU</v>
      </c>
      <c r="D788" t="str">
        <f>IFERROR(__xludf.DUMMYFUNCTION("""COMPUTED_VALUE"""),"DE530N2")</f>
        <v>DE530N2</v>
      </c>
      <c r="E788" t="str">
        <f>IFERROR(__xludf.DUMMYFUNCTION("""COMPUTED_VALUE"""),"P1106")</f>
        <v>P1106</v>
      </c>
      <c r="F788" t="str">
        <f t="array" ref="F788">if(iserror(index(fish_lab_data!C:C,match(B788,fish_lab_data!C:C,0))),"not dissected","dissected")</f>
        <v>dissected</v>
      </c>
    </row>
    <row r="789">
      <c r="A789" t="str">
        <f t="shared" si="1"/>
        <v>17054</v>
      </c>
      <c r="B789" t="str">
        <f>IFERROR(__xludf.DUMMYFUNCTION("""COMPUTED_VALUE"""),"U17054")</f>
        <v>U17054</v>
      </c>
      <c r="C789" t="str">
        <f>IFERROR(__xludf.DUMMYFUNCTION("""COMPUTED_VALUE"""),"CU")</f>
        <v>CU</v>
      </c>
      <c r="D789" t="str">
        <f>IFERROR(__xludf.DUMMYFUNCTION("""COMPUTED_VALUE"""),"DE530N2")</f>
        <v>DE530N2</v>
      </c>
      <c r="E789" t="str">
        <f>IFERROR(__xludf.DUMMYFUNCTION("""COMPUTED_VALUE"""),"P1106")</f>
        <v>P1106</v>
      </c>
      <c r="F789" t="str">
        <f t="array" ref="F789">if(iserror(index(fish_lab_data!C:C,match(B789,fish_lab_data!C:C,0))),"not dissected","dissected")</f>
        <v>dissected</v>
      </c>
    </row>
    <row r="790">
      <c r="A790" t="str">
        <f t="shared" si="1"/>
        <v>17055</v>
      </c>
      <c r="B790" t="str">
        <f>IFERROR(__xludf.DUMMYFUNCTION("""COMPUTED_VALUE"""),"U17055")</f>
        <v>U17055</v>
      </c>
      <c r="C790" t="str">
        <f>IFERROR(__xludf.DUMMYFUNCTION("""COMPUTED_VALUE"""),"CU")</f>
        <v>CU</v>
      </c>
      <c r="D790" t="str">
        <f>IFERROR(__xludf.DUMMYFUNCTION("""COMPUTED_VALUE"""),"DE530N2")</f>
        <v>DE530N2</v>
      </c>
      <c r="E790" t="str">
        <f>IFERROR(__xludf.DUMMYFUNCTION("""COMPUTED_VALUE"""),"P1106")</f>
        <v>P1106</v>
      </c>
      <c r="F790" t="str">
        <f t="array" ref="F790">if(iserror(index(fish_lab_data!C:C,match(B790,fish_lab_data!C:C,0))),"not dissected","dissected")</f>
        <v>dissected</v>
      </c>
    </row>
    <row r="791">
      <c r="A791" t="str">
        <f t="shared" si="1"/>
        <v>17056</v>
      </c>
      <c r="B791" t="str">
        <f>IFERROR(__xludf.DUMMYFUNCTION("""COMPUTED_VALUE"""),"U17056")</f>
        <v>U17056</v>
      </c>
      <c r="C791" t="str">
        <f>IFERROR(__xludf.DUMMYFUNCTION("""COMPUTED_VALUE"""),"CU")</f>
        <v>CU</v>
      </c>
      <c r="D791" t="str">
        <f>IFERROR(__xludf.DUMMYFUNCTION("""COMPUTED_VALUE"""),"DE530N2")</f>
        <v>DE530N2</v>
      </c>
      <c r="E791" t="str">
        <f>IFERROR(__xludf.DUMMYFUNCTION("""COMPUTED_VALUE"""),"P1106")</f>
        <v>P1106</v>
      </c>
      <c r="F791" t="str">
        <f t="array" ref="F791">if(iserror(index(fish_lab_data!C:C,match(B791,fish_lab_data!C:C,0))),"not dissected","dissected")</f>
        <v>dissected</v>
      </c>
    </row>
    <row r="792">
      <c r="A792" t="str">
        <f t="shared" si="1"/>
        <v>17057</v>
      </c>
      <c r="B792" t="str">
        <f>IFERROR(__xludf.DUMMYFUNCTION("""COMPUTED_VALUE"""),"U17057")</f>
        <v>U17057</v>
      </c>
      <c r="C792" t="str">
        <f>IFERROR(__xludf.DUMMYFUNCTION("""COMPUTED_VALUE"""),"CU")</f>
        <v>CU</v>
      </c>
      <c r="D792" t="str">
        <f>IFERROR(__xludf.DUMMYFUNCTION("""COMPUTED_VALUE"""),"DE530N2")</f>
        <v>DE530N2</v>
      </c>
      <c r="E792" t="str">
        <f>IFERROR(__xludf.DUMMYFUNCTION("""COMPUTED_VALUE"""),"P1106")</f>
        <v>P1106</v>
      </c>
      <c r="F792" t="str">
        <f t="array" ref="F792">if(iserror(index(fish_lab_data!C:C,match(B792,fish_lab_data!C:C,0))),"not dissected","dissected")</f>
        <v>dissected</v>
      </c>
    </row>
    <row r="793">
      <c r="A793" t="str">
        <f t="shared" si="1"/>
        <v>17058</v>
      </c>
      <c r="B793" t="str">
        <f>IFERROR(__xludf.DUMMYFUNCTION("""COMPUTED_VALUE"""),"U17058")</f>
        <v>U17058</v>
      </c>
      <c r="C793" t="str">
        <f>IFERROR(__xludf.DUMMYFUNCTION("""COMPUTED_VALUE"""),"CU")</f>
        <v>CU</v>
      </c>
      <c r="D793" t="str">
        <f>IFERROR(__xludf.DUMMYFUNCTION("""COMPUTED_VALUE"""),"DE530N2")</f>
        <v>DE530N2</v>
      </c>
      <c r="E793" t="str">
        <f>IFERROR(__xludf.DUMMYFUNCTION("""COMPUTED_VALUE"""),"P1106")</f>
        <v>P1106</v>
      </c>
      <c r="F793" t="str">
        <f t="array" ref="F793">if(iserror(index(fish_lab_data!C:C,match(B793,fish_lab_data!C:C,0))),"not dissected","dissected")</f>
        <v>dissected</v>
      </c>
    </row>
    <row r="794">
      <c r="A794" t="str">
        <f t="shared" si="1"/>
        <v>17059</v>
      </c>
      <c r="B794" t="str">
        <f>IFERROR(__xludf.DUMMYFUNCTION("""COMPUTED_VALUE"""),"U17059")</f>
        <v>U17059</v>
      </c>
      <c r="C794" t="str">
        <f>IFERROR(__xludf.DUMMYFUNCTION("""COMPUTED_VALUE"""),"CU")</f>
        <v>CU</v>
      </c>
      <c r="D794" t="str">
        <f>IFERROR(__xludf.DUMMYFUNCTION("""COMPUTED_VALUE"""),"DE530N2")</f>
        <v>DE530N2</v>
      </c>
      <c r="E794" t="str">
        <f>IFERROR(__xludf.DUMMYFUNCTION("""COMPUTED_VALUE"""),"P1106")</f>
        <v>P1106</v>
      </c>
      <c r="F794" t="str">
        <f t="array" ref="F794">if(iserror(index(fish_lab_data!C:C,match(B794,fish_lab_data!C:C,0))),"not dissected","dissected")</f>
        <v>dissected</v>
      </c>
    </row>
    <row r="795">
      <c r="A795" t="str">
        <f t="shared" si="1"/>
        <v>17060</v>
      </c>
      <c r="B795" t="str">
        <f>IFERROR(__xludf.DUMMYFUNCTION("""COMPUTED_VALUE"""),"U17060")</f>
        <v>U17060</v>
      </c>
      <c r="C795" t="str">
        <f>IFERROR(__xludf.DUMMYFUNCTION("""COMPUTED_VALUE"""),"CU")</f>
        <v>CU</v>
      </c>
      <c r="D795" t="str">
        <f>IFERROR(__xludf.DUMMYFUNCTION("""COMPUTED_VALUE"""),"DE530N2")</f>
        <v>DE530N2</v>
      </c>
      <c r="E795" t="str">
        <f>IFERROR(__xludf.DUMMYFUNCTION("""COMPUTED_VALUE"""),"P1106")</f>
        <v>P1106</v>
      </c>
      <c r="F795" t="str">
        <f t="array" ref="F795">if(iserror(index(fish_lab_data!C:C,match(B795,fish_lab_data!C:C,0))),"not dissected","dissected")</f>
        <v>dissected</v>
      </c>
    </row>
    <row r="796">
      <c r="A796" t="str">
        <f t="shared" si="1"/>
        <v>16381</v>
      </c>
      <c r="B796" t="str">
        <f>IFERROR(__xludf.DUMMYFUNCTION("""COMPUTED_VALUE"""),"U16381")</f>
        <v>U16381</v>
      </c>
      <c r="C796" t="str">
        <f>IFERROR(__xludf.DUMMYFUNCTION("""COMPUTED_VALUE"""),"CK")</f>
        <v>CK</v>
      </c>
      <c r="D796" t="str">
        <f>IFERROR(__xludf.DUMMYFUNCTION("""COMPUTED_VALUE"""),"DE530N2")</f>
        <v>DE530N2</v>
      </c>
      <c r="E796" t="str">
        <f>IFERROR(__xludf.DUMMYFUNCTION("""COMPUTED_VALUE"""),"P1039")</f>
        <v>P1039</v>
      </c>
      <c r="F796" t="str">
        <f t="array" ref="F796">if(iserror(index(fish_lab_data!C:C,match(B796,fish_lab_data!C:C,0))),"not dissected","dissected")</f>
        <v>dissected</v>
      </c>
    </row>
    <row r="797">
      <c r="A797" t="str">
        <f t="shared" si="1"/>
        <v>16751</v>
      </c>
      <c r="B797" t="str">
        <f>IFERROR(__xludf.DUMMYFUNCTION("""COMPUTED_VALUE"""),"U16751")</f>
        <v>U16751</v>
      </c>
      <c r="C797" t="str">
        <f>IFERROR(__xludf.DUMMYFUNCTION("""COMPUTED_VALUE"""),"SO")</f>
        <v>SO</v>
      </c>
      <c r="D797" t="str">
        <f>IFERROR(__xludf.DUMMYFUNCTION("""COMPUTED_VALUE"""),"JE420N1")</f>
        <v>JE420N1</v>
      </c>
      <c r="E797" t="str">
        <f>IFERROR(__xludf.DUMMYFUNCTION("""COMPUTED_VALUE"""),"P1076")</f>
        <v>P1076</v>
      </c>
      <c r="F797" t="str">
        <f t="array" ref="F797">if(iserror(index(fish_lab_data!C:C,match(B797,fish_lab_data!C:C,0))),"not dissected","dissected")</f>
        <v>dissected</v>
      </c>
    </row>
    <row r="798">
      <c r="A798" t="str">
        <f t="shared" si="1"/>
        <v>16752</v>
      </c>
      <c r="B798" t="str">
        <f>IFERROR(__xludf.DUMMYFUNCTION("""COMPUTED_VALUE"""),"U16752")</f>
        <v>U16752</v>
      </c>
      <c r="C798" t="str">
        <f>IFERROR(__xludf.DUMMYFUNCTION("""COMPUTED_VALUE"""),"SO")</f>
        <v>SO</v>
      </c>
      <c r="D798" t="str">
        <f>IFERROR(__xludf.DUMMYFUNCTION("""COMPUTED_VALUE"""),"JE420N1")</f>
        <v>JE420N1</v>
      </c>
      <c r="E798" t="str">
        <f>IFERROR(__xludf.DUMMYFUNCTION("""COMPUTED_VALUE"""),"P1076")</f>
        <v>P1076</v>
      </c>
      <c r="F798" t="str">
        <f t="array" ref="F798">if(iserror(index(fish_lab_data!C:C,match(B798,fish_lab_data!C:C,0))),"not dissected","dissected")</f>
        <v>dissected</v>
      </c>
    </row>
    <row r="799">
      <c r="A799" t="str">
        <f t="shared" si="1"/>
        <v>16753</v>
      </c>
      <c r="B799" t="str">
        <f>IFERROR(__xludf.DUMMYFUNCTION("""COMPUTED_VALUE"""),"U16753")</f>
        <v>U16753</v>
      </c>
      <c r="C799" t="str">
        <f>IFERROR(__xludf.DUMMYFUNCTION("""COMPUTED_VALUE"""),"SO")</f>
        <v>SO</v>
      </c>
      <c r="D799" t="str">
        <f>IFERROR(__xludf.DUMMYFUNCTION("""COMPUTED_VALUE"""),"JE420N1")</f>
        <v>JE420N1</v>
      </c>
      <c r="E799" t="str">
        <f>IFERROR(__xludf.DUMMYFUNCTION("""COMPUTED_VALUE"""),"P1076")</f>
        <v>P1076</v>
      </c>
      <c r="F799" t="str">
        <f t="array" ref="F799">if(iserror(index(fish_lab_data!C:C,match(B799,fish_lab_data!C:C,0))),"not dissected","dissected")</f>
        <v>dissected</v>
      </c>
    </row>
    <row r="800">
      <c r="A800" t="str">
        <f t="shared" si="1"/>
        <v>16754</v>
      </c>
      <c r="B800" t="str">
        <f>IFERROR(__xludf.DUMMYFUNCTION("""COMPUTED_VALUE"""),"U16754")</f>
        <v>U16754</v>
      </c>
      <c r="C800" t="str">
        <f>IFERROR(__xludf.DUMMYFUNCTION("""COMPUTED_VALUE"""),"SO")</f>
        <v>SO</v>
      </c>
      <c r="D800" t="str">
        <f>IFERROR(__xludf.DUMMYFUNCTION("""COMPUTED_VALUE"""),"JE420N1")</f>
        <v>JE420N1</v>
      </c>
      <c r="E800" t="str">
        <f>IFERROR(__xludf.DUMMYFUNCTION("""COMPUTED_VALUE"""),"P1076")</f>
        <v>P1076</v>
      </c>
      <c r="F800" t="str">
        <f t="array" ref="F800">if(iserror(index(fish_lab_data!C:C,match(B800,fish_lab_data!C:C,0))),"not dissected","dissected")</f>
        <v>dissected</v>
      </c>
    </row>
    <row r="801">
      <c r="A801" t="str">
        <f t="shared" si="1"/>
        <v>16755</v>
      </c>
      <c r="B801" t="str">
        <f>IFERROR(__xludf.DUMMYFUNCTION("""COMPUTED_VALUE"""),"U16755")</f>
        <v>U16755</v>
      </c>
      <c r="C801" t="str">
        <f>IFERROR(__xludf.DUMMYFUNCTION("""COMPUTED_VALUE"""),"SO")</f>
        <v>SO</v>
      </c>
      <c r="D801" t="str">
        <f>IFERROR(__xludf.DUMMYFUNCTION("""COMPUTED_VALUE"""),"JE420N1")</f>
        <v>JE420N1</v>
      </c>
      <c r="E801" t="str">
        <f>IFERROR(__xludf.DUMMYFUNCTION("""COMPUTED_VALUE"""),"P1076")</f>
        <v>P1076</v>
      </c>
      <c r="F801" t="str">
        <f t="array" ref="F801">if(iserror(index(fish_lab_data!C:C,match(B801,fish_lab_data!C:C,0))),"not dissected","dissected")</f>
        <v>dissected</v>
      </c>
    </row>
    <row r="802">
      <c r="A802" t="str">
        <f t="shared" si="1"/>
        <v>16756</v>
      </c>
      <c r="B802" t="str">
        <f>IFERROR(__xludf.DUMMYFUNCTION("""COMPUTED_VALUE"""),"U16756")</f>
        <v>U16756</v>
      </c>
      <c r="C802" t="str">
        <f>IFERROR(__xludf.DUMMYFUNCTION("""COMPUTED_VALUE"""),"SO")</f>
        <v>SO</v>
      </c>
      <c r="D802" t="str">
        <f>IFERROR(__xludf.DUMMYFUNCTION("""COMPUTED_VALUE"""),"JE420N1")</f>
        <v>JE420N1</v>
      </c>
      <c r="E802" t="str">
        <f>IFERROR(__xludf.DUMMYFUNCTION("""COMPUTED_VALUE"""),"P1076")</f>
        <v>P1076</v>
      </c>
      <c r="F802" t="str">
        <f t="array" ref="F802">if(iserror(index(fish_lab_data!C:C,match(B802,fish_lab_data!C:C,0))),"not dissected","dissected")</f>
        <v>dissected</v>
      </c>
    </row>
    <row r="803">
      <c r="A803" t="str">
        <f t="shared" si="1"/>
        <v>16757</v>
      </c>
      <c r="B803" t="str">
        <f>IFERROR(__xludf.DUMMYFUNCTION("""COMPUTED_VALUE"""),"U16757")</f>
        <v>U16757</v>
      </c>
      <c r="C803" t="str">
        <f>IFERROR(__xludf.DUMMYFUNCTION("""COMPUTED_VALUE"""),"SO")</f>
        <v>SO</v>
      </c>
      <c r="D803" t="str">
        <f>IFERROR(__xludf.DUMMYFUNCTION("""COMPUTED_VALUE"""),"JE420N1")</f>
        <v>JE420N1</v>
      </c>
      <c r="E803" t="str">
        <f>IFERROR(__xludf.DUMMYFUNCTION("""COMPUTED_VALUE"""),"P1076")</f>
        <v>P1076</v>
      </c>
      <c r="F803" t="str">
        <f t="array" ref="F803">if(iserror(index(fish_lab_data!C:C,match(B803,fish_lab_data!C:C,0))),"not dissected","dissected")</f>
        <v>dissected</v>
      </c>
    </row>
    <row r="804">
      <c r="A804" t="str">
        <f t="shared" si="1"/>
        <v>16758</v>
      </c>
      <c r="B804" t="str">
        <f>IFERROR(__xludf.DUMMYFUNCTION("""COMPUTED_VALUE"""),"U16758")</f>
        <v>U16758</v>
      </c>
      <c r="C804" t="str">
        <f>IFERROR(__xludf.DUMMYFUNCTION("""COMPUTED_VALUE"""),"SO")</f>
        <v>SO</v>
      </c>
      <c r="D804" t="str">
        <f>IFERROR(__xludf.DUMMYFUNCTION("""COMPUTED_VALUE"""),"JE420N1")</f>
        <v>JE420N1</v>
      </c>
      <c r="E804" t="str">
        <f>IFERROR(__xludf.DUMMYFUNCTION("""COMPUTED_VALUE"""),"P1076")</f>
        <v>P1076</v>
      </c>
      <c r="F804" t="str">
        <f t="array" ref="F804">if(iserror(index(fish_lab_data!C:C,match(B804,fish_lab_data!C:C,0))),"not dissected","dissected")</f>
        <v>dissected</v>
      </c>
    </row>
    <row r="805">
      <c r="A805" t="str">
        <f t="shared" si="1"/>
        <v>16871</v>
      </c>
      <c r="B805" t="str">
        <f>IFERROR(__xludf.DUMMYFUNCTION("""COMPUTED_VALUE"""),"U16871")</f>
        <v>U16871</v>
      </c>
      <c r="C805" t="str">
        <f>IFERROR(__xludf.DUMMYFUNCTION("""COMPUTED_VALUE"""),"PI")</f>
        <v>PI</v>
      </c>
      <c r="D805" t="str">
        <f>IFERROR(__xludf.DUMMYFUNCTION("""COMPUTED_VALUE"""),"JE420N1")</f>
        <v>JE420N1</v>
      </c>
      <c r="E805" t="str">
        <f>IFERROR(__xludf.DUMMYFUNCTION("""COMPUTED_VALUE"""),"P1088")</f>
        <v>P1088</v>
      </c>
      <c r="F805" t="str">
        <f t="array" ref="F805">if(iserror(index(fish_lab_data!C:C,match(B805,fish_lab_data!C:C,0))),"not dissected","dissected")</f>
        <v>dissected</v>
      </c>
    </row>
    <row r="806">
      <c r="A806" t="str">
        <f t="shared" si="1"/>
        <v>16872</v>
      </c>
      <c r="B806" t="str">
        <f>IFERROR(__xludf.DUMMYFUNCTION("""COMPUTED_VALUE"""),"U16872")</f>
        <v>U16872</v>
      </c>
      <c r="C806" t="str">
        <f>IFERROR(__xludf.DUMMYFUNCTION("""COMPUTED_VALUE"""),"PI")</f>
        <v>PI</v>
      </c>
      <c r="D806" t="str">
        <f>IFERROR(__xludf.DUMMYFUNCTION("""COMPUTED_VALUE"""),"JE420N1")</f>
        <v>JE420N1</v>
      </c>
      <c r="E806" t="str">
        <f>IFERROR(__xludf.DUMMYFUNCTION("""COMPUTED_VALUE"""),"P1088")</f>
        <v>P1088</v>
      </c>
      <c r="F806" t="str">
        <f t="array" ref="F806">if(iserror(index(fish_lab_data!C:C,match(B806,fish_lab_data!C:C,0))),"not dissected","dissected")</f>
        <v>dissected</v>
      </c>
    </row>
    <row r="807">
      <c r="A807" t="str">
        <f t="shared" si="1"/>
        <v>16873</v>
      </c>
      <c r="B807" t="str">
        <f>IFERROR(__xludf.DUMMYFUNCTION("""COMPUTED_VALUE"""),"U16873")</f>
        <v>U16873</v>
      </c>
      <c r="C807" t="str">
        <f>IFERROR(__xludf.DUMMYFUNCTION("""COMPUTED_VALUE"""),"PI")</f>
        <v>PI</v>
      </c>
      <c r="D807" t="str">
        <f>IFERROR(__xludf.DUMMYFUNCTION("""COMPUTED_VALUE"""),"JE420N1")</f>
        <v>JE420N1</v>
      </c>
      <c r="E807" t="str">
        <f>IFERROR(__xludf.DUMMYFUNCTION("""COMPUTED_VALUE"""),"P1088")</f>
        <v>P1088</v>
      </c>
      <c r="F807" t="str">
        <f t="array" ref="F807">if(iserror(index(fish_lab_data!C:C,match(B807,fish_lab_data!C:C,0))),"not dissected","dissected")</f>
        <v>dissected</v>
      </c>
    </row>
    <row r="808">
      <c r="A808" t="str">
        <f t="shared" si="1"/>
        <v>16874</v>
      </c>
      <c r="B808" t="str">
        <f>IFERROR(__xludf.DUMMYFUNCTION("""COMPUTED_VALUE"""),"U16874")</f>
        <v>U16874</v>
      </c>
      <c r="C808" t="str">
        <f>IFERROR(__xludf.DUMMYFUNCTION("""COMPUTED_VALUE"""),"PI")</f>
        <v>PI</v>
      </c>
      <c r="D808" t="str">
        <f>IFERROR(__xludf.DUMMYFUNCTION("""COMPUTED_VALUE"""),"JE420N1")</f>
        <v>JE420N1</v>
      </c>
      <c r="E808" t="str">
        <f>IFERROR(__xludf.DUMMYFUNCTION("""COMPUTED_VALUE"""),"P1088")</f>
        <v>P1088</v>
      </c>
      <c r="F808" t="str">
        <f t="array" ref="F808">if(iserror(index(fish_lab_data!C:C,match(B808,fish_lab_data!C:C,0))),"not dissected","dissected")</f>
        <v>dissected</v>
      </c>
    </row>
    <row r="809">
      <c r="A809" t="str">
        <f t="shared" si="1"/>
        <v>16875</v>
      </c>
      <c r="B809" t="str">
        <f>IFERROR(__xludf.DUMMYFUNCTION("""COMPUTED_VALUE"""),"U16875")</f>
        <v>U16875</v>
      </c>
      <c r="C809" t="str">
        <f>IFERROR(__xludf.DUMMYFUNCTION("""COMPUTED_VALUE"""),"PI")</f>
        <v>PI</v>
      </c>
      <c r="D809" t="str">
        <f>IFERROR(__xludf.DUMMYFUNCTION("""COMPUTED_VALUE"""),"JE420N1")</f>
        <v>JE420N1</v>
      </c>
      <c r="E809" t="str">
        <f>IFERROR(__xludf.DUMMYFUNCTION("""COMPUTED_VALUE"""),"P1088")</f>
        <v>P1088</v>
      </c>
      <c r="F809" t="str">
        <f t="array" ref="F809">if(iserror(index(fish_lab_data!C:C,match(B809,fish_lab_data!C:C,0))),"not dissected","dissected")</f>
        <v>dissected</v>
      </c>
    </row>
    <row r="810">
      <c r="A810" t="str">
        <f t="shared" si="1"/>
        <v>16876</v>
      </c>
      <c r="B810" t="str">
        <f>IFERROR(__xludf.DUMMYFUNCTION("""COMPUTED_VALUE"""),"U16876")</f>
        <v>U16876</v>
      </c>
      <c r="C810" t="str">
        <f>IFERROR(__xludf.DUMMYFUNCTION("""COMPUTED_VALUE"""),"PI")</f>
        <v>PI</v>
      </c>
      <c r="D810" t="str">
        <f>IFERROR(__xludf.DUMMYFUNCTION("""COMPUTED_VALUE"""),"JE420N1")</f>
        <v>JE420N1</v>
      </c>
      <c r="E810" t="str">
        <f>IFERROR(__xludf.DUMMYFUNCTION("""COMPUTED_VALUE"""),"P1088")</f>
        <v>P1088</v>
      </c>
      <c r="F810" t="str">
        <f t="array" ref="F810">if(iserror(index(fish_lab_data!C:C,match(B810,fish_lab_data!C:C,0))),"not dissected","dissected")</f>
        <v>dissected</v>
      </c>
    </row>
    <row r="811">
      <c r="A811" t="str">
        <f t="shared" si="1"/>
        <v>16877</v>
      </c>
      <c r="B811" t="str">
        <f>IFERROR(__xludf.DUMMYFUNCTION("""COMPUTED_VALUE"""),"U16877")</f>
        <v>U16877</v>
      </c>
      <c r="C811" t="str">
        <f>IFERROR(__xludf.DUMMYFUNCTION("""COMPUTED_VALUE"""),"PI")</f>
        <v>PI</v>
      </c>
      <c r="D811" t="str">
        <f>IFERROR(__xludf.DUMMYFUNCTION("""COMPUTED_VALUE"""),"JE420N1")</f>
        <v>JE420N1</v>
      </c>
      <c r="E811" t="str">
        <f>IFERROR(__xludf.DUMMYFUNCTION("""COMPUTED_VALUE"""),"P1088")</f>
        <v>P1088</v>
      </c>
      <c r="F811" t="str">
        <f t="array" ref="F811">if(iserror(index(fish_lab_data!C:C,match(B811,fish_lab_data!C:C,0))),"not dissected","dissected")</f>
        <v>dissected</v>
      </c>
    </row>
    <row r="812">
      <c r="A812" t="str">
        <f t="shared" si="1"/>
        <v>16878</v>
      </c>
      <c r="B812" t="str">
        <f>IFERROR(__xludf.DUMMYFUNCTION("""COMPUTED_VALUE"""),"U16878")</f>
        <v>U16878</v>
      </c>
      <c r="C812" t="str">
        <f>IFERROR(__xludf.DUMMYFUNCTION("""COMPUTED_VALUE"""),"PI")</f>
        <v>PI</v>
      </c>
      <c r="D812" t="str">
        <f>IFERROR(__xludf.DUMMYFUNCTION("""COMPUTED_VALUE"""),"JE420N1")</f>
        <v>JE420N1</v>
      </c>
      <c r="E812" t="str">
        <f>IFERROR(__xludf.DUMMYFUNCTION("""COMPUTED_VALUE"""),"P1088")</f>
        <v>P1088</v>
      </c>
      <c r="F812" t="str">
        <f t="array" ref="F812">if(iserror(index(fish_lab_data!C:C,match(B812,fish_lab_data!C:C,0))),"not dissected","dissected")</f>
        <v>dissected</v>
      </c>
    </row>
    <row r="813">
      <c r="A813" t="str">
        <f t="shared" si="1"/>
        <v>16879</v>
      </c>
      <c r="B813" t="str">
        <f>IFERROR(__xludf.DUMMYFUNCTION("""COMPUTED_VALUE"""),"U16879")</f>
        <v>U16879</v>
      </c>
      <c r="C813" t="str">
        <f>IFERROR(__xludf.DUMMYFUNCTION("""COMPUTED_VALUE"""),"PI")</f>
        <v>PI</v>
      </c>
      <c r="D813" t="str">
        <f>IFERROR(__xludf.DUMMYFUNCTION("""COMPUTED_VALUE"""),"JE420N1")</f>
        <v>JE420N1</v>
      </c>
      <c r="E813" t="str">
        <f>IFERROR(__xludf.DUMMYFUNCTION("""COMPUTED_VALUE"""),"P1088")</f>
        <v>P1088</v>
      </c>
      <c r="F813" t="str">
        <f t="array" ref="F813">if(iserror(index(fish_lab_data!C:C,match(B813,fish_lab_data!C:C,0))),"not dissected","dissected")</f>
        <v>dissected</v>
      </c>
    </row>
    <row r="814">
      <c r="A814" t="str">
        <f t="shared" si="1"/>
        <v>16880</v>
      </c>
      <c r="B814" t="str">
        <f>IFERROR(__xludf.DUMMYFUNCTION("""COMPUTED_VALUE"""),"U16880")</f>
        <v>U16880</v>
      </c>
      <c r="C814" t="str">
        <f>IFERROR(__xludf.DUMMYFUNCTION("""COMPUTED_VALUE"""),"PI")</f>
        <v>PI</v>
      </c>
      <c r="D814" t="str">
        <f>IFERROR(__xludf.DUMMYFUNCTION("""COMPUTED_VALUE"""),"JE420N1")</f>
        <v>JE420N1</v>
      </c>
      <c r="E814" t="str">
        <f>IFERROR(__xludf.DUMMYFUNCTION("""COMPUTED_VALUE"""),"P1088")</f>
        <v>P1088</v>
      </c>
      <c r="F814" t="str">
        <f t="array" ref="F814">if(iserror(index(fish_lab_data!C:C,match(B814,fish_lab_data!C:C,0))),"not dissected","dissected")</f>
        <v>dissected</v>
      </c>
    </row>
    <row r="815">
      <c r="A815" t="str">
        <f t="shared" si="1"/>
        <v>16821</v>
      </c>
      <c r="B815" t="str">
        <f>IFERROR(__xludf.DUMMYFUNCTION("""COMPUTED_VALUE"""),"U16821")</f>
        <v>U16821</v>
      </c>
      <c r="C815" t="str">
        <f>IFERROR(__xludf.DUMMYFUNCTION("""COMPUTED_VALUE"""),"CU")</f>
        <v>CU</v>
      </c>
      <c r="D815" t="str">
        <f>IFERROR(__xludf.DUMMYFUNCTION("""COMPUTED_VALUE"""),"JE420N1")</f>
        <v>JE420N1</v>
      </c>
      <c r="E815" t="str">
        <f>IFERROR(__xludf.DUMMYFUNCTION("""COMPUTED_VALUE"""),"P1083")</f>
        <v>P1083</v>
      </c>
      <c r="F815" t="str">
        <f t="array" ref="F815">if(iserror(index(fish_lab_data!C:C,match(B815,fish_lab_data!C:C,0))),"not dissected","dissected")</f>
        <v>dissected</v>
      </c>
    </row>
    <row r="816">
      <c r="A816" t="str">
        <f t="shared" si="1"/>
        <v>16822</v>
      </c>
      <c r="B816" t="str">
        <f>IFERROR(__xludf.DUMMYFUNCTION("""COMPUTED_VALUE"""),"U16822")</f>
        <v>U16822</v>
      </c>
      <c r="C816" t="str">
        <f>IFERROR(__xludf.DUMMYFUNCTION("""COMPUTED_VALUE"""),"CU")</f>
        <v>CU</v>
      </c>
      <c r="D816" t="str">
        <f>IFERROR(__xludf.DUMMYFUNCTION("""COMPUTED_VALUE"""),"JE420N1")</f>
        <v>JE420N1</v>
      </c>
      <c r="E816" t="str">
        <f>IFERROR(__xludf.DUMMYFUNCTION("""COMPUTED_VALUE"""),"P1083")</f>
        <v>P1083</v>
      </c>
      <c r="F816" t="str">
        <f t="array" ref="F816">if(iserror(index(fish_lab_data!C:C,match(B816,fish_lab_data!C:C,0))),"not dissected","dissected")</f>
        <v>dissected</v>
      </c>
    </row>
    <row r="817">
      <c r="A817" t="str">
        <f t="shared" si="1"/>
        <v>16823</v>
      </c>
      <c r="B817" t="str">
        <f>IFERROR(__xludf.DUMMYFUNCTION("""COMPUTED_VALUE"""),"U16823")</f>
        <v>U16823</v>
      </c>
      <c r="C817" t="str">
        <f>IFERROR(__xludf.DUMMYFUNCTION("""COMPUTED_VALUE"""),"CU")</f>
        <v>CU</v>
      </c>
      <c r="D817" t="str">
        <f>IFERROR(__xludf.DUMMYFUNCTION("""COMPUTED_VALUE"""),"JE420N1")</f>
        <v>JE420N1</v>
      </c>
      <c r="E817" t="str">
        <f>IFERROR(__xludf.DUMMYFUNCTION("""COMPUTED_VALUE"""),"P1083")</f>
        <v>P1083</v>
      </c>
      <c r="F817" t="str">
        <f t="array" ref="F817">if(iserror(index(fish_lab_data!C:C,match(B817,fish_lab_data!C:C,0))),"not dissected","dissected")</f>
        <v>dissected</v>
      </c>
    </row>
    <row r="818">
      <c r="A818" t="str">
        <f t="shared" si="1"/>
        <v>16824</v>
      </c>
      <c r="B818" t="str">
        <f>IFERROR(__xludf.DUMMYFUNCTION("""COMPUTED_VALUE"""),"U16824")</f>
        <v>U16824</v>
      </c>
      <c r="C818" t="str">
        <f>IFERROR(__xludf.DUMMYFUNCTION("""COMPUTED_VALUE"""),"CU")</f>
        <v>CU</v>
      </c>
      <c r="D818" t="str">
        <f>IFERROR(__xludf.DUMMYFUNCTION("""COMPUTED_VALUE"""),"JE420N1")</f>
        <v>JE420N1</v>
      </c>
      <c r="E818" t="str">
        <f>IFERROR(__xludf.DUMMYFUNCTION("""COMPUTED_VALUE"""),"P1083")</f>
        <v>P1083</v>
      </c>
      <c r="F818" t="str">
        <f t="array" ref="F818">if(iserror(index(fish_lab_data!C:C,match(B818,fish_lab_data!C:C,0))),"not dissected","dissected")</f>
        <v>dissected</v>
      </c>
    </row>
    <row r="819">
      <c r="A819" t="str">
        <f t="shared" si="1"/>
        <v>16825</v>
      </c>
      <c r="B819" t="str">
        <f>IFERROR(__xludf.DUMMYFUNCTION("""COMPUTED_VALUE"""),"U16825")</f>
        <v>U16825</v>
      </c>
      <c r="C819" t="str">
        <f>IFERROR(__xludf.DUMMYFUNCTION("""COMPUTED_VALUE"""),"CU")</f>
        <v>CU</v>
      </c>
      <c r="D819" t="str">
        <f>IFERROR(__xludf.DUMMYFUNCTION("""COMPUTED_VALUE"""),"JE420N1")</f>
        <v>JE420N1</v>
      </c>
      <c r="E819" t="str">
        <f>IFERROR(__xludf.DUMMYFUNCTION("""COMPUTED_VALUE"""),"P1083")</f>
        <v>P1083</v>
      </c>
      <c r="F819" t="str">
        <f t="array" ref="F819">if(iserror(index(fish_lab_data!C:C,match(B819,fish_lab_data!C:C,0))),"not dissected","dissected")</f>
        <v>dissected</v>
      </c>
    </row>
    <row r="820">
      <c r="A820" t="str">
        <f t="shared" si="1"/>
        <v>16826</v>
      </c>
      <c r="B820" t="str">
        <f>IFERROR(__xludf.DUMMYFUNCTION("""COMPUTED_VALUE"""),"U16826")</f>
        <v>U16826</v>
      </c>
      <c r="C820" t="str">
        <f>IFERROR(__xludf.DUMMYFUNCTION("""COMPUTED_VALUE"""),"CU")</f>
        <v>CU</v>
      </c>
      <c r="D820" t="str">
        <f>IFERROR(__xludf.DUMMYFUNCTION("""COMPUTED_VALUE"""),"JE420N1")</f>
        <v>JE420N1</v>
      </c>
      <c r="E820" t="str">
        <f>IFERROR(__xludf.DUMMYFUNCTION("""COMPUTED_VALUE"""),"P1083")</f>
        <v>P1083</v>
      </c>
      <c r="F820" t="str">
        <f t="array" ref="F820">if(iserror(index(fish_lab_data!C:C,match(B820,fish_lab_data!C:C,0))),"not dissected","dissected")</f>
        <v>dissected</v>
      </c>
    </row>
    <row r="821">
      <c r="A821" t="str">
        <f t="shared" si="1"/>
        <v>16827</v>
      </c>
      <c r="B821" t="str">
        <f>IFERROR(__xludf.DUMMYFUNCTION("""COMPUTED_VALUE"""),"U16827")</f>
        <v>U16827</v>
      </c>
      <c r="C821" t="str">
        <f>IFERROR(__xludf.DUMMYFUNCTION("""COMPUTED_VALUE"""),"CU")</f>
        <v>CU</v>
      </c>
      <c r="D821" t="str">
        <f>IFERROR(__xludf.DUMMYFUNCTION("""COMPUTED_VALUE"""),"JE420N1")</f>
        <v>JE420N1</v>
      </c>
      <c r="E821" t="str">
        <f>IFERROR(__xludf.DUMMYFUNCTION("""COMPUTED_VALUE"""),"P1083")</f>
        <v>P1083</v>
      </c>
      <c r="F821" t="str">
        <f t="array" ref="F821">if(iserror(index(fish_lab_data!C:C,match(B821,fish_lab_data!C:C,0))),"not dissected","dissected")</f>
        <v>dissected</v>
      </c>
    </row>
    <row r="822">
      <c r="A822" t="str">
        <f t="shared" si="1"/>
        <v>16828</v>
      </c>
      <c r="B822" t="str">
        <f>IFERROR(__xludf.DUMMYFUNCTION("""COMPUTED_VALUE"""),"U16828")</f>
        <v>U16828</v>
      </c>
      <c r="C822" t="str">
        <f>IFERROR(__xludf.DUMMYFUNCTION("""COMPUTED_VALUE"""),"CU")</f>
        <v>CU</v>
      </c>
      <c r="D822" t="str">
        <f>IFERROR(__xludf.DUMMYFUNCTION("""COMPUTED_VALUE"""),"JE420N1")</f>
        <v>JE420N1</v>
      </c>
      <c r="E822" t="str">
        <f>IFERROR(__xludf.DUMMYFUNCTION("""COMPUTED_VALUE"""),"P1083")</f>
        <v>P1083</v>
      </c>
      <c r="F822" t="str">
        <f t="array" ref="F822">if(iserror(index(fish_lab_data!C:C,match(B822,fish_lab_data!C:C,0))),"not dissected","dissected")</f>
        <v>dissected</v>
      </c>
    </row>
    <row r="823">
      <c r="A823" t="str">
        <f t="shared" si="1"/>
        <v>16829</v>
      </c>
      <c r="B823" t="str">
        <f>IFERROR(__xludf.DUMMYFUNCTION("""COMPUTED_VALUE"""),"U16829")</f>
        <v>U16829</v>
      </c>
      <c r="C823" t="str">
        <f>IFERROR(__xludf.DUMMYFUNCTION("""COMPUTED_VALUE"""),"CU")</f>
        <v>CU</v>
      </c>
      <c r="D823" t="str">
        <f>IFERROR(__xludf.DUMMYFUNCTION("""COMPUTED_VALUE"""),"JE420N1")</f>
        <v>JE420N1</v>
      </c>
      <c r="E823" t="str">
        <f>IFERROR(__xludf.DUMMYFUNCTION("""COMPUTED_VALUE"""),"P1083")</f>
        <v>P1083</v>
      </c>
      <c r="F823" t="str">
        <f t="array" ref="F823">if(iserror(index(fish_lab_data!C:C,match(B823,fish_lab_data!C:C,0))),"not dissected","dissected")</f>
        <v>dissected</v>
      </c>
    </row>
    <row r="824">
      <c r="A824" t="str">
        <f t="shared" si="1"/>
        <v>16830</v>
      </c>
      <c r="B824" t="str">
        <f>IFERROR(__xludf.DUMMYFUNCTION("""COMPUTED_VALUE"""),"U16830")</f>
        <v>U16830</v>
      </c>
      <c r="C824" t="str">
        <f>IFERROR(__xludf.DUMMYFUNCTION("""COMPUTED_VALUE"""),"CU")</f>
        <v>CU</v>
      </c>
      <c r="D824" t="str">
        <f>IFERROR(__xludf.DUMMYFUNCTION("""COMPUTED_VALUE"""),"JE420N1")</f>
        <v>JE420N1</v>
      </c>
      <c r="E824" t="str">
        <f>IFERROR(__xludf.DUMMYFUNCTION("""COMPUTED_VALUE"""),"P1083")</f>
        <v>P1083</v>
      </c>
      <c r="F824" t="str">
        <f t="array" ref="F824">if(iserror(index(fish_lab_data!C:C,match(B824,fish_lab_data!C:C,0))),"not dissected","dissected")</f>
        <v>dissected</v>
      </c>
    </row>
    <row r="825">
      <c r="A825" t="str">
        <f t="shared" si="1"/>
        <v>17351</v>
      </c>
      <c r="B825" t="str">
        <f>IFERROR(__xludf.DUMMYFUNCTION("""COMPUTED_VALUE"""),"U17351")</f>
        <v>U17351</v>
      </c>
      <c r="C825" t="str">
        <f>IFERROR(__xludf.DUMMYFUNCTION("""COMPUTED_VALUE"""),"SO")</f>
        <v>SO</v>
      </c>
      <c r="D825" t="str">
        <f>IFERROR(__xludf.DUMMYFUNCTION("""COMPUTED_VALUE"""),"DE532N3")</f>
        <v>DE532N3</v>
      </c>
      <c r="E825" t="str">
        <f>IFERROR(__xludf.DUMMYFUNCTION("""COMPUTED_VALUE"""),"P1136")</f>
        <v>P1136</v>
      </c>
      <c r="F825" t="str">
        <f t="array" ref="F825">if(iserror(index(fish_lab_data!C:C,match(B825,fish_lab_data!C:C,0))),"not dissected","dissected")</f>
        <v>dissected</v>
      </c>
    </row>
    <row r="826">
      <c r="A826" t="str">
        <f t="shared" si="1"/>
        <v>17352</v>
      </c>
      <c r="B826" t="str">
        <f>IFERROR(__xludf.DUMMYFUNCTION("""COMPUTED_VALUE"""),"U17352")</f>
        <v>U17352</v>
      </c>
      <c r="C826" t="str">
        <f>IFERROR(__xludf.DUMMYFUNCTION("""COMPUTED_VALUE"""),"SO")</f>
        <v>SO</v>
      </c>
      <c r="D826" t="str">
        <f>IFERROR(__xludf.DUMMYFUNCTION("""COMPUTED_VALUE"""),"DE532N3")</f>
        <v>DE532N3</v>
      </c>
      <c r="E826" t="str">
        <f>IFERROR(__xludf.DUMMYFUNCTION("""COMPUTED_VALUE"""),"P1136")</f>
        <v>P1136</v>
      </c>
      <c r="F826" t="str">
        <f t="array" ref="F826">if(iserror(index(fish_lab_data!C:C,match(B826,fish_lab_data!C:C,0))),"not dissected","dissected")</f>
        <v>dissected</v>
      </c>
    </row>
    <row r="827">
      <c r="A827" t="str">
        <f t="shared" si="1"/>
        <v>17353</v>
      </c>
      <c r="B827" t="str">
        <f>IFERROR(__xludf.DUMMYFUNCTION("""COMPUTED_VALUE"""),"U17353")</f>
        <v>U17353</v>
      </c>
      <c r="C827" t="str">
        <f>IFERROR(__xludf.DUMMYFUNCTION("""COMPUTED_VALUE"""),"SO")</f>
        <v>SO</v>
      </c>
      <c r="D827" t="str">
        <f>IFERROR(__xludf.DUMMYFUNCTION("""COMPUTED_VALUE"""),"DE532N3")</f>
        <v>DE532N3</v>
      </c>
      <c r="E827" t="str">
        <f>IFERROR(__xludf.DUMMYFUNCTION("""COMPUTED_VALUE"""),"P1136")</f>
        <v>P1136</v>
      </c>
      <c r="F827" t="str">
        <f t="array" ref="F827">if(iserror(index(fish_lab_data!C:C,match(B827,fish_lab_data!C:C,0))),"not dissected","dissected")</f>
        <v>dissected</v>
      </c>
    </row>
    <row r="828">
      <c r="A828" t="str">
        <f t="shared" si="1"/>
        <v>17354</v>
      </c>
      <c r="B828" t="str">
        <f>IFERROR(__xludf.DUMMYFUNCTION("""COMPUTED_VALUE"""),"U17354")</f>
        <v>U17354</v>
      </c>
      <c r="C828" t="str">
        <f>IFERROR(__xludf.DUMMYFUNCTION("""COMPUTED_VALUE"""),"SO")</f>
        <v>SO</v>
      </c>
      <c r="D828" t="str">
        <f>IFERROR(__xludf.DUMMYFUNCTION("""COMPUTED_VALUE"""),"DE532N3")</f>
        <v>DE532N3</v>
      </c>
      <c r="E828" t="str">
        <f>IFERROR(__xludf.DUMMYFUNCTION("""COMPUTED_VALUE"""),"P1136")</f>
        <v>P1136</v>
      </c>
      <c r="F828" t="str">
        <f t="array" ref="F828">if(iserror(index(fish_lab_data!C:C,match(B828,fish_lab_data!C:C,0))),"not dissected","dissected")</f>
        <v>dissected</v>
      </c>
    </row>
    <row r="829">
      <c r="A829" t="str">
        <f t="shared" si="1"/>
        <v>17355</v>
      </c>
      <c r="B829" t="str">
        <f>IFERROR(__xludf.DUMMYFUNCTION("""COMPUTED_VALUE"""),"U17355")</f>
        <v>U17355</v>
      </c>
      <c r="C829" t="str">
        <f>IFERROR(__xludf.DUMMYFUNCTION("""COMPUTED_VALUE"""),"SO")</f>
        <v>SO</v>
      </c>
      <c r="D829" t="str">
        <f>IFERROR(__xludf.DUMMYFUNCTION("""COMPUTED_VALUE"""),"DE532N3")</f>
        <v>DE532N3</v>
      </c>
      <c r="E829" t="str">
        <f>IFERROR(__xludf.DUMMYFUNCTION("""COMPUTED_VALUE"""),"P1136")</f>
        <v>P1136</v>
      </c>
      <c r="F829" t="str">
        <f t="array" ref="F829">if(iserror(index(fish_lab_data!C:C,match(B829,fish_lab_data!C:C,0))),"not dissected","dissected")</f>
        <v>dissected</v>
      </c>
    </row>
    <row r="830">
      <c r="A830" t="str">
        <f t="shared" si="1"/>
        <v>17356</v>
      </c>
      <c r="B830" t="str">
        <f>IFERROR(__xludf.DUMMYFUNCTION("""COMPUTED_VALUE"""),"U17356")</f>
        <v>U17356</v>
      </c>
      <c r="C830" t="str">
        <f>IFERROR(__xludf.DUMMYFUNCTION("""COMPUTED_VALUE"""),"SO")</f>
        <v>SO</v>
      </c>
      <c r="D830" t="str">
        <f>IFERROR(__xludf.DUMMYFUNCTION("""COMPUTED_VALUE"""),"DE532N3")</f>
        <v>DE532N3</v>
      </c>
      <c r="E830" t="str">
        <f>IFERROR(__xludf.DUMMYFUNCTION("""COMPUTED_VALUE"""),"P1136")</f>
        <v>P1136</v>
      </c>
      <c r="F830" t="str">
        <f t="array" ref="F830">if(iserror(index(fish_lab_data!C:C,match(B830,fish_lab_data!C:C,0))),"not dissected","dissected")</f>
        <v>dissected</v>
      </c>
    </row>
    <row r="831">
      <c r="A831" t="str">
        <f t="shared" si="1"/>
        <v>17357</v>
      </c>
      <c r="B831" t="str">
        <f>IFERROR(__xludf.DUMMYFUNCTION("""COMPUTED_VALUE"""),"U17357")</f>
        <v>U17357</v>
      </c>
      <c r="C831" t="str">
        <f>IFERROR(__xludf.DUMMYFUNCTION("""COMPUTED_VALUE"""),"SO")</f>
        <v>SO</v>
      </c>
      <c r="D831" t="str">
        <f>IFERROR(__xludf.DUMMYFUNCTION("""COMPUTED_VALUE"""),"DE532N3")</f>
        <v>DE532N3</v>
      </c>
      <c r="E831" t="str">
        <f>IFERROR(__xludf.DUMMYFUNCTION("""COMPUTED_VALUE"""),"P1136")</f>
        <v>P1136</v>
      </c>
      <c r="F831" t="str">
        <f t="array" ref="F831">if(iserror(index(fish_lab_data!C:C,match(B831,fish_lab_data!C:C,0))),"not dissected","dissected")</f>
        <v>dissected</v>
      </c>
    </row>
    <row r="832">
      <c r="A832" t="str">
        <f t="shared" si="1"/>
        <v>17358</v>
      </c>
      <c r="B832" t="str">
        <f>IFERROR(__xludf.DUMMYFUNCTION("""COMPUTED_VALUE"""),"U17358")</f>
        <v>U17358</v>
      </c>
      <c r="C832" t="str">
        <f>IFERROR(__xludf.DUMMYFUNCTION("""COMPUTED_VALUE"""),"SO")</f>
        <v>SO</v>
      </c>
      <c r="D832" t="str">
        <f>IFERROR(__xludf.DUMMYFUNCTION("""COMPUTED_VALUE"""),"DE532N3")</f>
        <v>DE532N3</v>
      </c>
      <c r="E832" t="str">
        <f>IFERROR(__xludf.DUMMYFUNCTION("""COMPUTED_VALUE"""),"P1136")</f>
        <v>P1136</v>
      </c>
      <c r="F832" t="str">
        <f t="array" ref="F832">if(iserror(index(fish_lab_data!C:C,match(B832,fish_lab_data!C:C,0))),"not dissected","dissected")</f>
        <v>dissected</v>
      </c>
    </row>
    <row r="833">
      <c r="A833" t="str">
        <f t="shared" si="1"/>
        <v>17359</v>
      </c>
      <c r="B833" t="str">
        <f>IFERROR(__xludf.DUMMYFUNCTION("""COMPUTED_VALUE"""),"U17359")</f>
        <v>U17359</v>
      </c>
      <c r="C833" t="str">
        <f>IFERROR(__xludf.DUMMYFUNCTION("""COMPUTED_VALUE"""),"SO")</f>
        <v>SO</v>
      </c>
      <c r="D833" t="str">
        <f>IFERROR(__xludf.DUMMYFUNCTION("""COMPUTED_VALUE"""),"DE532N3")</f>
        <v>DE532N3</v>
      </c>
      <c r="E833" t="str">
        <f>IFERROR(__xludf.DUMMYFUNCTION("""COMPUTED_VALUE"""),"P1136")</f>
        <v>P1136</v>
      </c>
      <c r="F833" t="str">
        <f t="array" ref="F833">if(iserror(index(fish_lab_data!C:C,match(B833,fish_lab_data!C:C,0))),"not dissected","dissected")</f>
        <v>dissected</v>
      </c>
    </row>
    <row r="834">
      <c r="A834" t="str">
        <f t="shared" si="1"/>
        <v>17360</v>
      </c>
      <c r="B834" t="str">
        <f>IFERROR(__xludf.DUMMYFUNCTION("""COMPUTED_VALUE"""),"U17360")</f>
        <v>U17360</v>
      </c>
      <c r="C834" t="str">
        <f>IFERROR(__xludf.DUMMYFUNCTION("""COMPUTED_VALUE"""),"SO")</f>
        <v>SO</v>
      </c>
      <c r="D834" t="str">
        <f>IFERROR(__xludf.DUMMYFUNCTION("""COMPUTED_VALUE"""),"DE532N3")</f>
        <v>DE532N3</v>
      </c>
      <c r="E834" t="str">
        <f>IFERROR(__xludf.DUMMYFUNCTION("""COMPUTED_VALUE"""),"P1136")</f>
        <v>P1136</v>
      </c>
      <c r="F834" t="str">
        <f t="array" ref="F834">if(iserror(index(fish_lab_data!C:C,match(B834,fish_lab_data!C:C,0))),"not dissected","dissected")</f>
        <v>dissected</v>
      </c>
    </row>
    <row r="835">
      <c r="A835" t="str">
        <f t="shared" si="1"/>
        <v>17451</v>
      </c>
      <c r="B835" t="str">
        <f>IFERROR(__xludf.DUMMYFUNCTION("""COMPUTED_VALUE"""),"U17451")</f>
        <v>U17451</v>
      </c>
      <c r="C835" t="str">
        <f>IFERROR(__xludf.DUMMYFUNCTION("""COMPUTED_VALUE"""),"PI")</f>
        <v>PI</v>
      </c>
      <c r="D835" t="str">
        <f>IFERROR(__xludf.DUMMYFUNCTION("""COMPUTED_VALUE"""),"DE532N3")</f>
        <v>DE532N3</v>
      </c>
      <c r="E835" t="str">
        <f>IFERROR(__xludf.DUMMYFUNCTION("""COMPUTED_VALUE"""),"P1146")</f>
        <v>P1146</v>
      </c>
      <c r="F835" t="str">
        <f t="array" ref="F835">if(iserror(index(fish_lab_data!C:C,match(B835,fish_lab_data!C:C,0))),"not dissected","dissected")</f>
        <v>dissected</v>
      </c>
    </row>
    <row r="836">
      <c r="A836" t="str">
        <f t="shared" si="1"/>
        <v>17452</v>
      </c>
      <c r="B836" t="str">
        <f>IFERROR(__xludf.DUMMYFUNCTION("""COMPUTED_VALUE"""),"U17452")</f>
        <v>U17452</v>
      </c>
      <c r="C836" t="str">
        <f>IFERROR(__xludf.DUMMYFUNCTION("""COMPUTED_VALUE"""),"PI")</f>
        <v>PI</v>
      </c>
      <c r="D836" t="str">
        <f>IFERROR(__xludf.DUMMYFUNCTION("""COMPUTED_VALUE"""),"DE532N3")</f>
        <v>DE532N3</v>
      </c>
      <c r="E836" t="str">
        <f>IFERROR(__xludf.DUMMYFUNCTION("""COMPUTED_VALUE"""),"P1146")</f>
        <v>P1146</v>
      </c>
      <c r="F836" t="str">
        <f t="array" ref="F836">if(iserror(index(fish_lab_data!C:C,match(B836,fish_lab_data!C:C,0))),"not dissected","dissected")</f>
        <v>dissected</v>
      </c>
    </row>
    <row r="837">
      <c r="A837" t="str">
        <f t="shared" si="1"/>
        <v>17453</v>
      </c>
      <c r="B837" t="str">
        <f>IFERROR(__xludf.DUMMYFUNCTION("""COMPUTED_VALUE"""),"U17453")</f>
        <v>U17453</v>
      </c>
      <c r="C837" t="str">
        <f>IFERROR(__xludf.DUMMYFUNCTION("""COMPUTED_VALUE"""),"PI")</f>
        <v>PI</v>
      </c>
      <c r="D837" t="str">
        <f>IFERROR(__xludf.DUMMYFUNCTION("""COMPUTED_VALUE"""),"DE532N3")</f>
        <v>DE532N3</v>
      </c>
      <c r="E837" t="str">
        <f>IFERROR(__xludf.DUMMYFUNCTION("""COMPUTED_VALUE"""),"P1146")</f>
        <v>P1146</v>
      </c>
      <c r="F837" t="str">
        <f t="array" ref="F837">if(iserror(index(fish_lab_data!C:C,match(B837,fish_lab_data!C:C,0))),"not dissected","dissected")</f>
        <v>dissected</v>
      </c>
    </row>
    <row r="838">
      <c r="A838" t="str">
        <f t="shared" si="1"/>
        <v>17454</v>
      </c>
      <c r="B838" t="str">
        <f>IFERROR(__xludf.DUMMYFUNCTION("""COMPUTED_VALUE"""),"U17454")</f>
        <v>U17454</v>
      </c>
      <c r="C838" t="str">
        <f>IFERROR(__xludf.DUMMYFUNCTION("""COMPUTED_VALUE"""),"PI")</f>
        <v>PI</v>
      </c>
      <c r="D838" t="str">
        <f>IFERROR(__xludf.DUMMYFUNCTION("""COMPUTED_VALUE"""),"DE532N3")</f>
        <v>DE532N3</v>
      </c>
      <c r="E838" t="str">
        <f>IFERROR(__xludf.DUMMYFUNCTION("""COMPUTED_VALUE"""),"P1146")</f>
        <v>P1146</v>
      </c>
      <c r="F838" t="str">
        <f t="array" ref="F838">if(iserror(index(fish_lab_data!C:C,match(B838,fish_lab_data!C:C,0))),"not dissected","dissected")</f>
        <v>dissected</v>
      </c>
    </row>
    <row r="839">
      <c r="A839" t="str">
        <f t="shared" si="1"/>
        <v>17455</v>
      </c>
      <c r="B839" t="str">
        <f>IFERROR(__xludf.DUMMYFUNCTION("""COMPUTED_VALUE"""),"U17455")</f>
        <v>U17455</v>
      </c>
      <c r="C839" t="str">
        <f>IFERROR(__xludf.DUMMYFUNCTION("""COMPUTED_VALUE"""),"PI")</f>
        <v>PI</v>
      </c>
      <c r="D839" t="str">
        <f>IFERROR(__xludf.DUMMYFUNCTION("""COMPUTED_VALUE"""),"DE532N3")</f>
        <v>DE532N3</v>
      </c>
      <c r="E839" t="str">
        <f>IFERROR(__xludf.DUMMYFUNCTION("""COMPUTED_VALUE"""),"P1146")</f>
        <v>P1146</v>
      </c>
      <c r="F839" t="str">
        <f t="array" ref="F839">if(iserror(index(fish_lab_data!C:C,match(B839,fish_lab_data!C:C,0))),"not dissected","dissected")</f>
        <v>dissected</v>
      </c>
    </row>
    <row r="840">
      <c r="A840" t="str">
        <f t="shared" si="1"/>
        <v>17456</v>
      </c>
      <c r="B840" t="str">
        <f>IFERROR(__xludf.DUMMYFUNCTION("""COMPUTED_VALUE"""),"U17456")</f>
        <v>U17456</v>
      </c>
      <c r="C840" t="str">
        <f>IFERROR(__xludf.DUMMYFUNCTION("""COMPUTED_VALUE"""),"PI")</f>
        <v>PI</v>
      </c>
      <c r="D840" t="str">
        <f>IFERROR(__xludf.DUMMYFUNCTION("""COMPUTED_VALUE"""),"DE532N3")</f>
        <v>DE532N3</v>
      </c>
      <c r="E840" t="str">
        <f>IFERROR(__xludf.DUMMYFUNCTION("""COMPUTED_VALUE"""),"P1146")</f>
        <v>P1146</v>
      </c>
      <c r="F840" t="str">
        <f t="array" ref="F840">if(iserror(index(fish_lab_data!C:C,match(B840,fish_lab_data!C:C,0))),"not dissected","dissected")</f>
        <v>dissected</v>
      </c>
    </row>
    <row r="841">
      <c r="A841" t="str">
        <f t="shared" si="1"/>
        <v>17457</v>
      </c>
      <c r="B841" t="str">
        <f>IFERROR(__xludf.DUMMYFUNCTION("""COMPUTED_VALUE"""),"U17457")</f>
        <v>U17457</v>
      </c>
      <c r="C841" t="str">
        <f>IFERROR(__xludf.DUMMYFUNCTION("""COMPUTED_VALUE"""),"PI")</f>
        <v>PI</v>
      </c>
      <c r="D841" t="str">
        <f>IFERROR(__xludf.DUMMYFUNCTION("""COMPUTED_VALUE"""),"DE532N3")</f>
        <v>DE532N3</v>
      </c>
      <c r="E841" t="str">
        <f>IFERROR(__xludf.DUMMYFUNCTION("""COMPUTED_VALUE"""),"P1146")</f>
        <v>P1146</v>
      </c>
      <c r="F841" t="str">
        <f t="array" ref="F841">if(iserror(index(fish_lab_data!C:C,match(B841,fish_lab_data!C:C,0))),"not dissected","dissected")</f>
        <v>dissected</v>
      </c>
    </row>
    <row r="842">
      <c r="A842" t="str">
        <f t="shared" si="1"/>
        <v>17458</v>
      </c>
      <c r="B842" t="str">
        <f>IFERROR(__xludf.DUMMYFUNCTION("""COMPUTED_VALUE"""),"U17458")</f>
        <v>U17458</v>
      </c>
      <c r="C842" t="str">
        <f>IFERROR(__xludf.DUMMYFUNCTION("""COMPUTED_VALUE"""),"PI")</f>
        <v>PI</v>
      </c>
      <c r="D842" t="str">
        <f>IFERROR(__xludf.DUMMYFUNCTION("""COMPUTED_VALUE"""),"DE532N3")</f>
        <v>DE532N3</v>
      </c>
      <c r="E842" t="str">
        <f>IFERROR(__xludf.DUMMYFUNCTION("""COMPUTED_VALUE"""),"P1146")</f>
        <v>P1146</v>
      </c>
      <c r="F842" t="str">
        <f t="array" ref="F842">if(iserror(index(fish_lab_data!C:C,match(B842,fish_lab_data!C:C,0))),"not dissected","dissected")</f>
        <v>dissected</v>
      </c>
    </row>
    <row r="843">
      <c r="A843" t="str">
        <f t="shared" si="1"/>
        <v>17459</v>
      </c>
      <c r="B843" t="str">
        <f>IFERROR(__xludf.DUMMYFUNCTION("""COMPUTED_VALUE"""),"U17459")</f>
        <v>U17459</v>
      </c>
      <c r="C843" t="str">
        <f>IFERROR(__xludf.DUMMYFUNCTION("""COMPUTED_VALUE"""),"PI")</f>
        <v>PI</v>
      </c>
      <c r="D843" t="str">
        <f>IFERROR(__xludf.DUMMYFUNCTION("""COMPUTED_VALUE"""),"DE532N3")</f>
        <v>DE532N3</v>
      </c>
      <c r="E843" t="str">
        <f>IFERROR(__xludf.DUMMYFUNCTION("""COMPUTED_VALUE"""),"P1146")</f>
        <v>P1146</v>
      </c>
      <c r="F843" t="str">
        <f t="array" ref="F843">if(iserror(index(fish_lab_data!C:C,match(B843,fish_lab_data!C:C,0))),"not dissected","dissected")</f>
        <v>dissected</v>
      </c>
    </row>
    <row r="844">
      <c r="A844" t="str">
        <f t="shared" si="1"/>
        <v>17460</v>
      </c>
      <c r="B844" t="str">
        <f>IFERROR(__xludf.DUMMYFUNCTION("""COMPUTED_VALUE"""),"U17460")</f>
        <v>U17460</v>
      </c>
      <c r="C844" t="str">
        <f>IFERROR(__xludf.DUMMYFUNCTION("""COMPUTED_VALUE"""),"PI")</f>
        <v>PI</v>
      </c>
      <c r="D844" t="str">
        <f>IFERROR(__xludf.DUMMYFUNCTION("""COMPUTED_VALUE"""),"DE532N3")</f>
        <v>DE532N3</v>
      </c>
      <c r="E844" t="str">
        <f>IFERROR(__xludf.DUMMYFUNCTION("""COMPUTED_VALUE"""),"P1146")</f>
        <v>P1146</v>
      </c>
      <c r="F844" t="str">
        <f t="array" ref="F844">if(iserror(index(fish_lab_data!C:C,match(B844,fish_lab_data!C:C,0))),"not dissected","dissected")</f>
        <v>dissected</v>
      </c>
    </row>
    <row r="845">
      <c r="A845" t="str">
        <f t="shared" si="1"/>
        <v>17021</v>
      </c>
      <c r="B845" t="str">
        <f>IFERROR(__xludf.DUMMYFUNCTION("""COMPUTED_VALUE"""),"U17021")</f>
        <v>U17021</v>
      </c>
      <c r="C845" t="str">
        <f>IFERROR(__xludf.DUMMYFUNCTION("""COMPUTED_VALUE"""),"CU")</f>
        <v>CU</v>
      </c>
      <c r="D845" t="str">
        <f>IFERROR(__xludf.DUMMYFUNCTION("""COMPUTED_VALUE"""),"DE532N3")</f>
        <v>DE532N3</v>
      </c>
      <c r="E845" t="str">
        <f>IFERROR(__xludf.DUMMYFUNCTION("""COMPUTED_VALUE"""),"P1103")</f>
        <v>P1103</v>
      </c>
      <c r="F845" t="str">
        <f t="array" ref="F845">if(iserror(index(fish_lab_data!C:C,match(B845,fish_lab_data!C:C,0))),"not dissected","dissected")</f>
        <v>dissected</v>
      </c>
    </row>
    <row r="846">
      <c r="A846" t="str">
        <f t="shared" si="1"/>
        <v>17022</v>
      </c>
      <c r="B846" t="str">
        <f>IFERROR(__xludf.DUMMYFUNCTION("""COMPUTED_VALUE"""),"U17022")</f>
        <v>U17022</v>
      </c>
      <c r="C846" t="str">
        <f>IFERROR(__xludf.DUMMYFUNCTION("""COMPUTED_VALUE"""),"CU")</f>
        <v>CU</v>
      </c>
      <c r="D846" t="str">
        <f>IFERROR(__xludf.DUMMYFUNCTION("""COMPUTED_VALUE"""),"DE532N3")</f>
        <v>DE532N3</v>
      </c>
      <c r="E846" t="str">
        <f>IFERROR(__xludf.DUMMYFUNCTION("""COMPUTED_VALUE"""),"P1103")</f>
        <v>P1103</v>
      </c>
      <c r="F846" t="str">
        <f t="array" ref="F846">if(iserror(index(fish_lab_data!C:C,match(B846,fish_lab_data!C:C,0))),"not dissected","dissected")</f>
        <v>dissected</v>
      </c>
    </row>
    <row r="847">
      <c r="A847" t="str">
        <f t="shared" si="1"/>
        <v>17023</v>
      </c>
      <c r="B847" t="str">
        <f>IFERROR(__xludf.DUMMYFUNCTION("""COMPUTED_VALUE"""),"U17023")</f>
        <v>U17023</v>
      </c>
      <c r="C847" t="str">
        <f>IFERROR(__xludf.DUMMYFUNCTION("""COMPUTED_VALUE"""),"CU")</f>
        <v>CU</v>
      </c>
      <c r="D847" t="str">
        <f>IFERROR(__xludf.DUMMYFUNCTION("""COMPUTED_VALUE"""),"DE532N3")</f>
        <v>DE532N3</v>
      </c>
      <c r="E847" t="str">
        <f>IFERROR(__xludf.DUMMYFUNCTION("""COMPUTED_VALUE"""),"P1103")</f>
        <v>P1103</v>
      </c>
      <c r="F847" t="str">
        <f t="array" ref="F847">if(iserror(index(fish_lab_data!C:C,match(B847,fish_lab_data!C:C,0))),"not dissected","dissected")</f>
        <v>dissected</v>
      </c>
    </row>
    <row r="848">
      <c r="A848" t="str">
        <f t="shared" si="1"/>
        <v>17024</v>
      </c>
      <c r="B848" t="str">
        <f>IFERROR(__xludf.DUMMYFUNCTION("""COMPUTED_VALUE"""),"U17024")</f>
        <v>U17024</v>
      </c>
      <c r="C848" t="str">
        <f>IFERROR(__xludf.DUMMYFUNCTION("""COMPUTED_VALUE"""),"CU")</f>
        <v>CU</v>
      </c>
      <c r="D848" t="str">
        <f>IFERROR(__xludf.DUMMYFUNCTION("""COMPUTED_VALUE"""),"DE532N3")</f>
        <v>DE532N3</v>
      </c>
      <c r="E848" t="str">
        <f>IFERROR(__xludf.DUMMYFUNCTION("""COMPUTED_VALUE"""),"P1103")</f>
        <v>P1103</v>
      </c>
      <c r="F848" t="str">
        <f t="array" ref="F848">if(iserror(index(fish_lab_data!C:C,match(B848,fish_lab_data!C:C,0))),"not dissected","dissected")</f>
        <v>dissected</v>
      </c>
    </row>
    <row r="849">
      <c r="A849" t="str">
        <f t="shared" si="1"/>
        <v>17025</v>
      </c>
      <c r="B849" t="str">
        <f>IFERROR(__xludf.DUMMYFUNCTION("""COMPUTED_VALUE"""),"U17025")</f>
        <v>U17025</v>
      </c>
      <c r="C849" t="str">
        <f>IFERROR(__xludf.DUMMYFUNCTION("""COMPUTED_VALUE"""),"CU")</f>
        <v>CU</v>
      </c>
      <c r="D849" t="str">
        <f>IFERROR(__xludf.DUMMYFUNCTION("""COMPUTED_VALUE"""),"DE532N3")</f>
        <v>DE532N3</v>
      </c>
      <c r="E849" t="str">
        <f>IFERROR(__xludf.DUMMYFUNCTION("""COMPUTED_VALUE"""),"P1103")</f>
        <v>P1103</v>
      </c>
      <c r="F849" t="str">
        <f t="array" ref="F849">if(iserror(index(fish_lab_data!C:C,match(B849,fish_lab_data!C:C,0))),"not dissected","dissected")</f>
        <v>dissected</v>
      </c>
    </row>
    <row r="850">
      <c r="A850" t="str">
        <f t="shared" si="1"/>
        <v>17026</v>
      </c>
      <c r="B850" t="str">
        <f>IFERROR(__xludf.DUMMYFUNCTION("""COMPUTED_VALUE"""),"U17026")</f>
        <v>U17026</v>
      </c>
      <c r="C850" t="str">
        <f>IFERROR(__xludf.DUMMYFUNCTION("""COMPUTED_VALUE"""),"CU")</f>
        <v>CU</v>
      </c>
      <c r="D850" t="str">
        <f>IFERROR(__xludf.DUMMYFUNCTION("""COMPUTED_VALUE"""),"DE532N3")</f>
        <v>DE532N3</v>
      </c>
      <c r="E850" t="str">
        <f>IFERROR(__xludf.DUMMYFUNCTION("""COMPUTED_VALUE"""),"P1103")</f>
        <v>P1103</v>
      </c>
      <c r="F850" t="str">
        <f t="array" ref="F850">if(iserror(index(fish_lab_data!C:C,match(B850,fish_lab_data!C:C,0))),"not dissected","dissected")</f>
        <v>dissected</v>
      </c>
    </row>
    <row r="851">
      <c r="A851" t="str">
        <f t="shared" si="1"/>
        <v>17027</v>
      </c>
      <c r="B851" t="str">
        <f>IFERROR(__xludf.DUMMYFUNCTION("""COMPUTED_VALUE"""),"U17027")</f>
        <v>U17027</v>
      </c>
      <c r="C851" t="str">
        <f>IFERROR(__xludf.DUMMYFUNCTION("""COMPUTED_VALUE"""),"CU")</f>
        <v>CU</v>
      </c>
      <c r="D851" t="str">
        <f>IFERROR(__xludf.DUMMYFUNCTION("""COMPUTED_VALUE"""),"DE532N3")</f>
        <v>DE532N3</v>
      </c>
      <c r="E851" t="str">
        <f>IFERROR(__xludf.DUMMYFUNCTION("""COMPUTED_VALUE"""),"P1103")</f>
        <v>P1103</v>
      </c>
      <c r="F851" t="str">
        <f t="array" ref="F851">if(iserror(index(fish_lab_data!C:C,match(B851,fish_lab_data!C:C,0))),"not dissected","dissected")</f>
        <v>dissected</v>
      </c>
    </row>
    <row r="852">
      <c r="A852" t="str">
        <f t="shared" si="1"/>
        <v>17028</v>
      </c>
      <c r="B852" t="str">
        <f>IFERROR(__xludf.DUMMYFUNCTION("""COMPUTED_VALUE"""),"U17028")</f>
        <v>U17028</v>
      </c>
      <c r="C852" t="str">
        <f>IFERROR(__xludf.DUMMYFUNCTION("""COMPUTED_VALUE"""),"CU")</f>
        <v>CU</v>
      </c>
      <c r="D852" t="str">
        <f>IFERROR(__xludf.DUMMYFUNCTION("""COMPUTED_VALUE"""),"DE532N3")</f>
        <v>DE532N3</v>
      </c>
      <c r="E852" t="str">
        <f>IFERROR(__xludf.DUMMYFUNCTION("""COMPUTED_VALUE"""),"P1103")</f>
        <v>P1103</v>
      </c>
      <c r="F852" t="str">
        <f t="array" ref="F852">if(iserror(index(fish_lab_data!C:C,match(B852,fish_lab_data!C:C,0))),"not dissected","dissected")</f>
        <v>dissected</v>
      </c>
    </row>
    <row r="853">
      <c r="A853" t="str">
        <f t="shared" si="1"/>
        <v>17029</v>
      </c>
      <c r="B853" t="str">
        <f>IFERROR(__xludf.DUMMYFUNCTION("""COMPUTED_VALUE"""),"U17029")</f>
        <v>U17029</v>
      </c>
      <c r="C853" t="str">
        <f>IFERROR(__xludf.DUMMYFUNCTION("""COMPUTED_VALUE"""),"CU")</f>
        <v>CU</v>
      </c>
      <c r="D853" t="str">
        <f>IFERROR(__xludf.DUMMYFUNCTION("""COMPUTED_VALUE"""),"DE532N3")</f>
        <v>DE532N3</v>
      </c>
      <c r="E853" t="str">
        <f>IFERROR(__xludf.DUMMYFUNCTION("""COMPUTED_VALUE"""),"P1103")</f>
        <v>P1103</v>
      </c>
      <c r="F853" t="str">
        <f t="array" ref="F853">if(iserror(index(fish_lab_data!C:C,match(B853,fish_lab_data!C:C,0))),"not dissected","dissected")</f>
        <v>dissected</v>
      </c>
    </row>
    <row r="854">
      <c r="A854" t="str">
        <f t="shared" si="1"/>
        <v>17030</v>
      </c>
      <c r="B854" t="str">
        <f>IFERROR(__xludf.DUMMYFUNCTION("""COMPUTED_VALUE"""),"U17030")</f>
        <v>U17030</v>
      </c>
      <c r="C854" t="str">
        <f>IFERROR(__xludf.DUMMYFUNCTION("""COMPUTED_VALUE"""),"CU")</f>
        <v>CU</v>
      </c>
      <c r="D854" t="str">
        <f>IFERROR(__xludf.DUMMYFUNCTION("""COMPUTED_VALUE"""),"DE532N3")</f>
        <v>DE532N3</v>
      </c>
      <c r="E854" t="str">
        <f>IFERROR(__xludf.DUMMYFUNCTION("""COMPUTED_VALUE"""),"P1103")</f>
        <v>P1103</v>
      </c>
      <c r="F854" t="str">
        <f t="array" ref="F854">if(iserror(index(fish_lab_data!C:C,match(B854,fish_lab_data!C:C,0))),"not dissected","dissected")</f>
        <v>dissected</v>
      </c>
    </row>
    <row r="855">
      <c r="A855" t="str">
        <f t="shared" si="1"/>
        <v>17171</v>
      </c>
      <c r="B855" t="str">
        <f>IFERROR(__xludf.DUMMYFUNCTION("""COMPUTED_VALUE"""),"U17171")</f>
        <v>U17171</v>
      </c>
      <c r="C855" t="str">
        <f>IFERROR(__xludf.DUMMYFUNCTION("""COMPUTED_VALUE"""),"HE")</f>
        <v>HE</v>
      </c>
      <c r="D855" t="str">
        <f>IFERROR(__xludf.DUMMYFUNCTION("""COMPUTED_VALUE"""),"DE532N3")</f>
        <v>DE532N3</v>
      </c>
      <c r="E855" t="str">
        <f>IFERROR(__xludf.DUMMYFUNCTION("""COMPUTED_VALUE"""),"P1118")</f>
        <v>P1118</v>
      </c>
      <c r="F855" t="str">
        <f t="array" ref="F855">if(iserror(index(fish_lab_data!C:C,match(B855,fish_lab_data!C:C,0))),"not dissected","dissected")</f>
        <v>dissected</v>
      </c>
    </row>
    <row r="856">
      <c r="A856" t="str">
        <f t="shared" si="1"/>
        <v>17172</v>
      </c>
      <c r="B856" t="str">
        <f>IFERROR(__xludf.DUMMYFUNCTION("""COMPUTED_VALUE"""),"U17172")</f>
        <v>U17172</v>
      </c>
      <c r="C856" t="str">
        <f>IFERROR(__xludf.DUMMYFUNCTION("""COMPUTED_VALUE"""),"HE")</f>
        <v>HE</v>
      </c>
      <c r="D856" t="str">
        <f>IFERROR(__xludf.DUMMYFUNCTION("""COMPUTED_VALUE"""),"DE532N3")</f>
        <v>DE532N3</v>
      </c>
      <c r="E856" t="str">
        <f>IFERROR(__xludf.DUMMYFUNCTION("""COMPUTED_VALUE"""),"P1118")</f>
        <v>P1118</v>
      </c>
      <c r="F856" t="str">
        <f t="array" ref="F856">if(iserror(index(fish_lab_data!C:C,match(B856,fish_lab_data!C:C,0))),"not dissected","dissected")</f>
        <v>dissected</v>
      </c>
    </row>
    <row r="857">
      <c r="A857" t="str">
        <f t="shared" si="1"/>
        <v>17173</v>
      </c>
      <c r="B857" t="str">
        <f>IFERROR(__xludf.DUMMYFUNCTION("""COMPUTED_VALUE"""),"U17173")</f>
        <v>U17173</v>
      </c>
      <c r="C857" t="str">
        <f>IFERROR(__xludf.DUMMYFUNCTION("""COMPUTED_VALUE"""),"HE")</f>
        <v>HE</v>
      </c>
      <c r="D857" t="str">
        <f>IFERROR(__xludf.DUMMYFUNCTION("""COMPUTED_VALUE"""),"DE532N3")</f>
        <v>DE532N3</v>
      </c>
      <c r="E857" t="str">
        <f>IFERROR(__xludf.DUMMYFUNCTION("""COMPUTED_VALUE"""),"P1118")</f>
        <v>P1118</v>
      </c>
      <c r="F857" t="str">
        <f t="array" ref="F857">if(iserror(index(fish_lab_data!C:C,match(B857,fish_lab_data!C:C,0))),"not dissected","dissected")</f>
        <v>dissected</v>
      </c>
    </row>
    <row r="858">
      <c r="A858" t="str">
        <f t="shared" si="1"/>
        <v>17174</v>
      </c>
      <c r="B858" t="str">
        <f>IFERROR(__xludf.DUMMYFUNCTION("""COMPUTED_VALUE"""),"U17174")</f>
        <v>U17174</v>
      </c>
      <c r="C858" t="str">
        <f>IFERROR(__xludf.DUMMYFUNCTION("""COMPUTED_VALUE"""),"HE")</f>
        <v>HE</v>
      </c>
      <c r="D858" t="str">
        <f>IFERROR(__xludf.DUMMYFUNCTION("""COMPUTED_VALUE"""),"DE532N3")</f>
        <v>DE532N3</v>
      </c>
      <c r="E858" t="str">
        <f>IFERROR(__xludf.DUMMYFUNCTION("""COMPUTED_VALUE"""),"P1118")</f>
        <v>P1118</v>
      </c>
      <c r="F858" t="str">
        <f t="array" ref="F858">if(iserror(index(fish_lab_data!C:C,match(B858,fish_lab_data!C:C,0))),"not dissected","dissected")</f>
        <v>dissected</v>
      </c>
    </row>
    <row r="859">
      <c r="A859" t="str">
        <f t="shared" si="1"/>
        <v>17175</v>
      </c>
      <c r="B859" t="str">
        <f>IFERROR(__xludf.DUMMYFUNCTION("""COMPUTED_VALUE"""),"U17175")</f>
        <v>U17175</v>
      </c>
      <c r="C859" t="str">
        <f>IFERROR(__xludf.DUMMYFUNCTION("""COMPUTED_VALUE"""),"HE")</f>
        <v>HE</v>
      </c>
      <c r="D859" t="str">
        <f>IFERROR(__xludf.DUMMYFUNCTION("""COMPUTED_VALUE"""),"DE532N3")</f>
        <v>DE532N3</v>
      </c>
      <c r="E859" t="str">
        <f>IFERROR(__xludf.DUMMYFUNCTION("""COMPUTED_VALUE"""),"P1118")</f>
        <v>P1118</v>
      </c>
      <c r="F859" t="str">
        <f t="array" ref="F859">if(iserror(index(fish_lab_data!C:C,match(B859,fish_lab_data!C:C,0))),"not dissected","dissected")</f>
        <v>dissected</v>
      </c>
    </row>
    <row r="860">
      <c r="A860" t="str">
        <f t="shared" si="1"/>
        <v>17176</v>
      </c>
      <c r="B860" t="str">
        <f>IFERROR(__xludf.DUMMYFUNCTION("""COMPUTED_VALUE"""),"U17176")</f>
        <v>U17176</v>
      </c>
      <c r="C860" t="str">
        <f>IFERROR(__xludf.DUMMYFUNCTION("""COMPUTED_VALUE"""),"HE")</f>
        <v>HE</v>
      </c>
      <c r="D860" t="str">
        <f>IFERROR(__xludf.DUMMYFUNCTION("""COMPUTED_VALUE"""),"DE532N3")</f>
        <v>DE532N3</v>
      </c>
      <c r="E860" t="str">
        <f>IFERROR(__xludf.DUMMYFUNCTION("""COMPUTED_VALUE"""),"P1118")</f>
        <v>P1118</v>
      </c>
      <c r="F860" t="str">
        <f t="array" ref="F860">if(iserror(index(fish_lab_data!C:C,match(B860,fish_lab_data!C:C,0))),"not dissected","dissected")</f>
        <v>dissected</v>
      </c>
    </row>
    <row r="861">
      <c r="A861" t="str">
        <f t="shared" si="1"/>
        <v>17177</v>
      </c>
      <c r="B861" t="str">
        <f>IFERROR(__xludf.DUMMYFUNCTION("""COMPUTED_VALUE"""),"U17177")</f>
        <v>U17177</v>
      </c>
      <c r="C861" t="str">
        <f>IFERROR(__xludf.DUMMYFUNCTION("""COMPUTED_VALUE"""),"HE")</f>
        <v>HE</v>
      </c>
      <c r="D861" t="str">
        <f>IFERROR(__xludf.DUMMYFUNCTION("""COMPUTED_VALUE"""),"DE532N3")</f>
        <v>DE532N3</v>
      </c>
      <c r="E861" t="str">
        <f>IFERROR(__xludf.DUMMYFUNCTION("""COMPUTED_VALUE"""),"P1118")</f>
        <v>P1118</v>
      </c>
      <c r="F861" t="str">
        <f t="array" ref="F861">if(iserror(index(fish_lab_data!C:C,match(B861,fish_lab_data!C:C,0))),"not dissected","dissected")</f>
        <v>dissected</v>
      </c>
    </row>
    <row r="862">
      <c r="A862" t="str">
        <f t="shared" si="1"/>
        <v>17178</v>
      </c>
      <c r="B862" t="str">
        <f>IFERROR(__xludf.DUMMYFUNCTION("""COMPUTED_VALUE"""),"U17178")</f>
        <v>U17178</v>
      </c>
      <c r="C862" t="str">
        <f>IFERROR(__xludf.DUMMYFUNCTION("""COMPUTED_VALUE"""),"HE")</f>
        <v>HE</v>
      </c>
      <c r="D862" t="str">
        <f>IFERROR(__xludf.DUMMYFUNCTION("""COMPUTED_VALUE"""),"DE532N3")</f>
        <v>DE532N3</v>
      </c>
      <c r="E862" t="str">
        <f>IFERROR(__xludf.DUMMYFUNCTION("""COMPUTED_VALUE"""),"P1118")</f>
        <v>P1118</v>
      </c>
      <c r="F862" t="str">
        <f t="array" ref="F862">if(iserror(index(fish_lab_data!C:C,match(B862,fish_lab_data!C:C,0))),"not dissected","dissected")</f>
        <v>dissected</v>
      </c>
    </row>
    <row r="863">
      <c r="A863" t="str">
        <f t="shared" si="1"/>
        <v>17179</v>
      </c>
      <c r="B863" t="str">
        <f>IFERROR(__xludf.DUMMYFUNCTION("""COMPUTED_VALUE"""),"U17179")</f>
        <v>U17179</v>
      </c>
      <c r="C863" t="str">
        <f>IFERROR(__xludf.DUMMYFUNCTION("""COMPUTED_VALUE"""),"HE")</f>
        <v>HE</v>
      </c>
      <c r="D863" t="str">
        <f>IFERROR(__xludf.DUMMYFUNCTION("""COMPUTED_VALUE"""),"DE532N3")</f>
        <v>DE532N3</v>
      </c>
      <c r="E863" t="str">
        <f>IFERROR(__xludf.DUMMYFUNCTION("""COMPUTED_VALUE"""),"P1118")</f>
        <v>P1118</v>
      </c>
      <c r="F863" t="str">
        <f t="array" ref="F863">if(iserror(index(fish_lab_data!C:C,match(B863,fish_lab_data!C:C,0))),"not dissected","dissected")</f>
        <v>dissected</v>
      </c>
    </row>
    <row r="864">
      <c r="A864" t="str">
        <f t="shared" si="1"/>
        <v>16891</v>
      </c>
      <c r="B864" t="str">
        <f>IFERROR(__xludf.DUMMYFUNCTION("""COMPUTED_VALUE"""),"U16891")</f>
        <v>U16891</v>
      </c>
      <c r="C864" t="str">
        <f>IFERROR(__xludf.DUMMYFUNCTION("""COMPUTED_VALUE"""),"SO")</f>
        <v>SO</v>
      </c>
      <c r="D864" t="str">
        <f>IFERROR(__xludf.DUMMYFUNCTION("""COMPUTED_VALUE"""),"JE421N1")</f>
        <v>JE421N1</v>
      </c>
      <c r="E864" t="str">
        <f>IFERROR(__xludf.DUMMYFUNCTION("""COMPUTED_VALUE"""),"P1090")</f>
        <v>P1090</v>
      </c>
      <c r="F864" t="str">
        <f t="array" ref="F864">if(iserror(index(fish_lab_data!C:C,match(B864,fish_lab_data!C:C,0))),"not dissected","dissected")</f>
        <v>dissected</v>
      </c>
    </row>
    <row r="865">
      <c r="A865" t="str">
        <f t="shared" si="1"/>
        <v>16892</v>
      </c>
      <c r="B865" t="str">
        <f>IFERROR(__xludf.DUMMYFUNCTION("""COMPUTED_VALUE"""),"U16892")</f>
        <v>U16892</v>
      </c>
      <c r="C865" t="str">
        <f>IFERROR(__xludf.DUMMYFUNCTION("""COMPUTED_VALUE"""),"SO")</f>
        <v>SO</v>
      </c>
      <c r="D865" t="str">
        <f>IFERROR(__xludf.DUMMYFUNCTION("""COMPUTED_VALUE"""),"JE421N1")</f>
        <v>JE421N1</v>
      </c>
      <c r="E865" t="str">
        <f>IFERROR(__xludf.DUMMYFUNCTION("""COMPUTED_VALUE"""),"P1090")</f>
        <v>P1090</v>
      </c>
      <c r="F865" t="str">
        <f t="array" ref="F865">if(iserror(index(fish_lab_data!C:C,match(B865,fish_lab_data!C:C,0))),"not dissected","dissected")</f>
        <v>dissected</v>
      </c>
    </row>
    <row r="866">
      <c r="A866" t="str">
        <f t="shared" si="1"/>
        <v>16893</v>
      </c>
      <c r="B866" t="str">
        <f>IFERROR(__xludf.DUMMYFUNCTION("""COMPUTED_VALUE"""),"U16893")</f>
        <v>U16893</v>
      </c>
      <c r="C866" t="str">
        <f>IFERROR(__xludf.DUMMYFUNCTION("""COMPUTED_VALUE"""),"SO")</f>
        <v>SO</v>
      </c>
      <c r="D866" t="str">
        <f>IFERROR(__xludf.DUMMYFUNCTION("""COMPUTED_VALUE"""),"JE421N1")</f>
        <v>JE421N1</v>
      </c>
      <c r="E866" t="str">
        <f>IFERROR(__xludf.DUMMYFUNCTION("""COMPUTED_VALUE"""),"P1090")</f>
        <v>P1090</v>
      </c>
      <c r="F866" t="str">
        <f t="array" ref="F866">if(iserror(index(fish_lab_data!C:C,match(B866,fish_lab_data!C:C,0))),"not dissected","dissected")</f>
        <v>dissected</v>
      </c>
    </row>
    <row r="867">
      <c r="A867" t="str">
        <f t="shared" si="1"/>
        <v>16894</v>
      </c>
      <c r="B867" t="str">
        <f>IFERROR(__xludf.DUMMYFUNCTION("""COMPUTED_VALUE"""),"U16894")</f>
        <v>U16894</v>
      </c>
      <c r="C867" t="str">
        <f>IFERROR(__xludf.DUMMYFUNCTION("""COMPUTED_VALUE"""),"SO")</f>
        <v>SO</v>
      </c>
      <c r="D867" t="str">
        <f>IFERROR(__xludf.DUMMYFUNCTION("""COMPUTED_VALUE"""),"JE421N1")</f>
        <v>JE421N1</v>
      </c>
      <c r="E867" t="str">
        <f>IFERROR(__xludf.DUMMYFUNCTION("""COMPUTED_VALUE"""),"P1090")</f>
        <v>P1090</v>
      </c>
      <c r="F867" t="str">
        <f t="array" ref="F867">if(iserror(index(fish_lab_data!C:C,match(B867,fish_lab_data!C:C,0))),"not dissected","dissected")</f>
        <v>dissected</v>
      </c>
    </row>
    <row r="868">
      <c r="A868" t="str">
        <f t="shared" si="1"/>
        <v>16895</v>
      </c>
      <c r="B868" t="str">
        <f>IFERROR(__xludf.DUMMYFUNCTION("""COMPUTED_VALUE"""),"U16895")</f>
        <v>U16895</v>
      </c>
      <c r="C868" t="str">
        <f>IFERROR(__xludf.DUMMYFUNCTION("""COMPUTED_VALUE"""),"SO")</f>
        <v>SO</v>
      </c>
      <c r="D868" t="str">
        <f>IFERROR(__xludf.DUMMYFUNCTION("""COMPUTED_VALUE"""),"JE421N1")</f>
        <v>JE421N1</v>
      </c>
      <c r="E868" t="str">
        <f>IFERROR(__xludf.DUMMYFUNCTION("""COMPUTED_VALUE"""),"P1090")</f>
        <v>P1090</v>
      </c>
      <c r="F868" t="str">
        <f t="array" ref="F868">if(iserror(index(fish_lab_data!C:C,match(B868,fish_lab_data!C:C,0))),"not dissected","dissected")</f>
        <v>dissected</v>
      </c>
    </row>
    <row r="869">
      <c r="A869" t="str">
        <f t="shared" si="1"/>
        <v>16896</v>
      </c>
      <c r="B869" t="str">
        <f>IFERROR(__xludf.DUMMYFUNCTION("""COMPUTED_VALUE"""),"U16896")</f>
        <v>U16896</v>
      </c>
      <c r="C869" t="str">
        <f>IFERROR(__xludf.DUMMYFUNCTION("""COMPUTED_VALUE"""),"SO")</f>
        <v>SO</v>
      </c>
      <c r="D869" t="str">
        <f>IFERROR(__xludf.DUMMYFUNCTION("""COMPUTED_VALUE"""),"JE421N1")</f>
        <v>JE421N1</v>
      </c>
      <c r="E869" t="str">
        <f>IFERROR(__xludf.DUMMYFUNCTION("""COMPUTED_VALUE"""),"P1090")</f>
        <v>P1090</v>
      </c>
      <c r="F869" t="str">
        <f t="array" ref="F869">if(iserror(index(fish_lab_data!C:C,match(B869,fish_lab_data!C:C,0))),"not dissected","dissected")</f>
        <v>dissected</v>
      </c>
    </row>
    <row r="870">
      <c r="A870" t="str">
        <f t="shared" si="1"/>
        <v>16897</v>
      </c>
      <c r="B870" t="str">
        <f>IFERROR(__xludf.DUMMYFUNCTION("""COMPUTED_VALUE"""),"U16897")</f>
        <v>U16897</v>
      </c>
      <c r="C870" t="str">
        <f>IFERROR(__xludf.DUMMYFUNCTION("""COMPUTED_VALUE"""),"SO")</f>
        <v>SO</v>
      </c>
      <c r="D870" t="str">
        <f>IFERROR(__xludf.DUMMYFUNCTION("""COMPUTED_VALUE"""),"JE421N1")</f>
        <v>JE421N1</v>
      </c>
      <c r="E870" t="str">
        <f>IFERROR(__xludf.DUMMYFUNCTION("""COMPUTED_VALUE"""),"P1090")</f>
        <v>P1090</v>
      </c>
      <c r="F870" t="str">
        <f t="array" ref="F870">if(iserror(index(fish_lab_data!C:C,match(B870,fish_lab_data!C:C,0))),"not dissected","dissected")</f>
        <v>dissected</v>
      </c>
    </row>
    <row r="871">
      <c r="A871" t="str">
        <f t="shared" si="1"/>
        <v>16898</v>
      </c>
      <c r="B871" t="str">
        <f>IFERROR(__xludf.DUMMYFUNCTION("""COMPUTED_VALUE"""),"U16898")</f>
        <v>U16898</v>
      </c>
      <c r="C871" t="str">
        <f>IFERROR(__xludf.DUMMYFUNCTION("""COMPUTED_VALUE"""),"SO")</f>
        <v>SO</v>
      </c>
      <c r="D871" t="str">
        <f>IFERROR(__xludf.DUMMYFUNCTION("""COMPUTED_VALUE"""),"JE421N1")</f>
        <v>JE421N1</v>
      </c>
      <c r="E871" t="str">
        <f>IFERROR(__xludf.DUMMYFUNCTION("""COMPUTED_VALUE"""),"P1090")</f>
        <v>P1090</v>
      </c>
      <c r="F871" t="str">
        <f t="array" ref="F871">if(iserror(index(fish_lab_data!C:C,match(B871,fish_lab_data!C:C,0))),"not dissected","dissected")</f>
        <v>dissected</v>
      </c>
    </row>
    <row r="872">
      <c r="A872" t="str">
        <f t="shared" si="1"/>
        <v>16899</v>
      </c>
      <c r="B872" t="str">
        <f>IFERROR(__xludf.DUMMYFUNCTION("""COMPUTED_VALUE"""),"U16899")</f>
        <v>U16899</v>
      </c>
      <c r="C872" t="str">
        <f>IFERROR(__xludf.DUMMYFUNCTION("""COMPUTED_VALUE"""),"SO")</f>
        <v>SO</v>
      </c>
      <c r="D872" t="str">
        <f>IFERROR(__xludf.DUMMYFUNCTION("""COMPUTED_VALUE"""),"JE421N1")</f>
        <v>JE421N1</v>
      </c>
      <c r="E872" t="str">
        <f>IFERROR(__xludf.DUMMYFUNCTION("""COMPUTED_VALUE"""),"P1090")</f>
        <v>P1090</v>
      </c>
      <c r="F872" t="str">
        <f t="array" ref="F872">if(iserror(index(fish_lab_data!C:C,match(B872,fish_lab_data!C:C,0))),"not dissected","dissected")</f>
        <v>dissected</v>
      </c>
    </row>
    <row r="873">
      <c r="A873" t="str">
        <f t="shared" si="1"/>
        <v>16900</v>
      </c>
      <c r="B873" t="str">
        <f>IFERROR(__xludf.DUMMYFUNCTION("""COMPUTED_VALUE"""),"U16900")</f>
        <v>U16900</v>
      </c>
      <c r="C873" t="str">
        <f>IFERROR(__xludf.DUMMYFUNCTION("""COMPUTED_VALUE"""),"SO")</f>
        <v>SO</v>
      </c>
      <c r="D873" t="str">
        <f>IFERROR(__xludf.DUMMYFUNCTION("""COMPUTED_VALUE"""),"JE421N1")</f>
        <v>JE421N1</v>
      </c>
      <c r="E873" t="str">
        <f>IFERROR(__xludf.DUMMYFUNCTION("""COMPUTED_VALUE"""),"P1090")</f>
        <v>P1090</v>
      </c>
      <c r="F873" t="str">
        <f t="array" ref="F873">if(iserror(index(fish_lab_data!C:C,match(B873,fish_lab_data!C:C,0))),"not dissected","dissected")</f>
        <v>dissected</v>
      </c>
    </row>
    <row r="874">
      <c r="A874" t="str">
        <f t="shared" si="1"/>
        <v>16741</v>
      </c>
      <c r="B874" t="str">
        <f>IFERROR(__xludf.DUMMYFUNCTION("""COMPUTED_VALUE"""),"U16741")</f>
        <v>U16741</v>
      </c>
      <c r="C874" t="str">
        <f>IFERROR(__xludf.DUMMYFUNCTION("""COMPUTED_VALUE"""),"PI")</f>
        <v>PI</v>
      </c>
      <c r="D874" t="str">
        <f>IFERROR(__xludf.DUMMYFUNCTION("""COMPUTED_VALUE"""),"JE421N1")</f>
        <v>JE421N1</v>
      </c>
      <c r="E874" t="str">
        <f>IFERROR(__xludf.DUMMYFUNCTION("""COMPUTED_VALUE"""),"P1075")</f>
        <v>P1075</v>
      </c>
      <c r="F874" t="str">
        <f t="array" ref="F874">if(iserror(index(fish_lab_data!C:C,match(B874,fish_lab_data!C:C,0))),"not dissected","dissected")</f>
        <v>dissected</v>
      </c>
    </row>
    <row r="875">
      <c r="A875" t="str">
        <f t="shared" si="1"/>
        <v>16742</v>
      </c>
      <c r="B875" t="str">
        <f>IFERROR(__xludf.DUMMYFUNCTION("""COMPUTED_VALUE"""),"U16742")</f>
        <v>U16742</v>
      </c>
      <c r="C875" t="str">
        <f>IFERROR(__xludf.DUMMYFUNCTION("""COMPUTED_VALUE"""),"PI")</f>
        <v>PI</v>
      </c>
      <c r="D875" t="str">
        <f>IFERROR(__xludf.DUMMYFUNCTION("""COMPUTED_VALUE"""),"JE421N1")</f>
        <v>JE421N1</v>
      </c>
      <c r="E875" t="str">
        <f>IFERROR(__xludf.DUMMYFUNCTION("""COMPUTED_VALUE"""),"P1075")</f>
        <v>P1075</v>
      </c>
      <c r="F875" t="str">
        <f t="array" ref="F875">if(iserror(index(fish_lab_data!C:C,match(B875,fish_lab_data!C:C,0))),"not dissected","dissected")</f>
        <v>dissected</v>
      </c>
    </row>
    <row r="876">
      <c r="A876" t="str">
        <f t="shared" si="1"/>
        <v>16743</v>
      </c>
      <c r="B876" t="str">
        <f>IFERROR(__xludf.DUMMYFUNCTION("""COMPUTED_VALUE"""),"U16743")</f>
        <v>U16743</v>
      </c>
      <c r="C876" t="str">
        <f>IFERROR(__xludf.DUMMYFUNCTION("""COMPUTED_VALUE"""),"PI")</f>
        <v>PI</v>
      </c>
      <c r="D876" t="str">
        <f>IFERROR(__xludf.DUMMYFUNCTION("""COMPUTED_VALUE"""),"JE421N1")</f>
        <v>JE421N1</v>
      </c>
      <c r="E876" t="str">
        <f>IFERROR(__xludf.DUMMYFUNCTION("""COMPUTED_VALUE"""),"P1075")</f>
        <v>P1075</v>
      </c>
      <c r="F876" t="str">
        <f t="array" ref="F876">if(iserror(index(fish_lab_data!C:C,match(B876,fish_lab_data!C:C,0))),"not dissected","dissected")</f>
        <v>dissected</v>
      </c>
    </row>
    <row r="877">
      <c r="A877" t="str">
        <f t="shared" si="1"/>
        <v>16744</v>
      </c>
      <c r="B877" t="str">
        <f>IFERROR(__xludf.DUMMYFUNCTION("""COMPUTED_VALUE"""),"U16744")</f>
        <v>U16744</v>
      </c>
      <c r="C877" t="str">
        <f>IFERROR(__xludf.DUMMYFUNCTION("""COMPUTED_VALUE"""),"PI")</f>
        <v>PI</v>
      </c>
      <c r="D877" t="str">
        <f>IFERROR(__xludf.DUMMYFUNCTION("""COMPUTED_VALUE"""),"JE421N1")</f>
        <v>JE421N1</v>
      </c>
      <c r="E877" t="str">
        <f>IFERROR(__xludf.DUMMYFUNCTION("""COMPUTED_VALUE"""),"P1075")</f>
        <v>P1075</v>
      </c>
      <c r="F877" t="str">
        <f t="array" ref="F877">if(iserror(index(fish_lab_data!C:C,match(B877,fish_lab_data!C:C,0))),"not dissected","dissected")</f>
        <v>dissected</v>
      </c>
    </row>
    <row r="878">
      <c r="A878" t="str">
        <f t="shared" si="1"/>
        <v>16745</v>
      </c>
      <c r="B878" t="str">
        <f>IFERROR(__xludf.DUMMYFUNCTION("""COMPUTED_VALUE"""),"U16745")</f>
        <v>U16745</v>
      </c>
      <c r="C878" t="str">
        <f>IFERROR(__xludf.DUMMYFUNCTION("""COMPUTED_VALUE"""),"PI")</f>
        <v>PI</v>
      </c>
      <c r="D878" t="str">
        <f>IFERROR(__xludf.DUMMYFUNCTION("""COMPUTED_VALUE"""),"JE421N1")</f>
        <v>JE421N1</v>
      </c>
      <c r="E878" t="str">
        <f>IFERROR(__xludf.DUMMYFUNCTION("""COMPUTED_VALUE"""),"P1075")</f>
        <v>P1075</v>
      </c>
      <c r="F878" t="str">
        <f t="array" ref="F878">if(iserror(index(fish_lab_data!C:C,match(B878,fish_lab_data!C:C,0))),"not dissected","dissected")</f>
        <v>dissected</v>
      </c>
    </row>
    <row r="879">
      <c r="A879" t="str">
        <f t="shared" si="1"/>
        <v>16746</v>
      </c>
      <c r="B879" t="str">
        <f>IFERROR(__xludf.DUMMYFUNCTION("""COMPUTED_VALUE"""),"U16746")</f>
        <v>U16746</v>
      </c>
      <c r="C879" t="str">
        <f>IFERROR(__xludf.DUMMYFUNCTION("""COMPUTED_VALUE"""),"PI")</f>
        <v>PI</v>
      </c>
      <c r="D879" t="str">
        <f>IFERROR(__xludf.DUMMYFUNCTION("""COMPUTED_VALUE"""),"JE421N1")</f>
        <v>JE421N1</v>
      </c>
      <c r="E879" t="str">
        <f>IFERROR(__xludf.DUMMYFUNCTION("""COMPUTED_VALUE"""),"P1075")</f>
        <v>P1075</v>
      </c>
      <c r="F879" t="str">
        <f t="array" ref="F879">if(iserror(index(fish_lab_data!C:C,match(B879,fish_lab_data!C:C,0))),"not dissected","dissected")</f>
        <v>dissected</v>
      </c>
    </row>
    <row r="880">
      <c r="A880" t="str">
        <f t="shared" si="1"/>
        <v>16747</v>
      </c>
      <c r="B880" t="str">
        <f>IFERROR(__xludf.DUMMYFUNCTION("""COMPUTED_VALUE"""),"U16747")</f>
        <v>U16747</v>
      </c>
      <c r="C880" t="str">
        <f>IFERROR(__xludf.DUMMYFUNCTION("""COMPUTED_VALUE"""),"PI")</f>
        <v>PI</v>
      </c>
      <c r="D880" t="str">
        <f>IFERROR(__xludf.DUMMYFUNCTION("""COMPUTED_VALUE"""),"JE421N1")</f>
        <v>JE421N1</v>
      </c>
      <c r="E880" t="str">
        <f>IFERROR(__xludf.DUMMYFUNCTION("""COMPUTED_VALUE"""),"P1075")</f>
        <v>P1075</v>
      </c>
      <c r="F880" t="str">
        <f t="array" ref="F880">if(iserror(index(fish_lab_data!C:C,match(B880,fish_lab_data!C:C,0))),"not dissected","dissected")</f>
        <v>dissected</v>
      </c>
    </row>
    <row r="881">
      <c r="A881" t="str">
        <f t="shared" si="1"/>
        <v>16748</v>
      </c>
      <c r="B881" t="str">
        <f>IFERROR(__xludf.DUMMYFUNCTION("""COMPUTED_VALUE"""),"U16748")</f>
        <v>U16748</v>
      </c>
      <c r="C881" t="str">
        <f>IFERROR(__xludf.DUMMYFUNCTION("""COMPUTED_VALUE"""),"PI")</f>
        <v>PI</v>
      </c>
      <c r="D881" t="str">
        <f>IFERROR(__xludf.DUMMYFUNCTION("""COMPUTED_VALUE"""),"JE421N1")</f>
        <v>JE421N1</v>
      </c>
      <c r="E881" t="str">
        <f>IFERROR(__xludf.DUMMYFUNCTION("""COMPUTED_VALUE"""),"P1075")</f>
        <v>P1075</v>
      </c>
      <c r="F881" t="str">
        <f t="array" ref="F881">if(iserror(index(fish_lab_data!C:C,match(B881,fish_lab_data!C:C,0))),"not dissected","dissected")</f>
        <v>dissected</v>
      </c>
    </row>
    <row r="882">
      <c r="A882" t="str">
        <f t="shared" si="1"/>
        <v>16749</v>
      </c>
      <c r="B882" t="str">
        <f>IFERROR(__xludf.DUMMYFUNCTION("""COMPUTED_VALUE"""),"U16749")</f>
        <v>U16749</v>
      </c>
      <c r="C882" t="str">
        <f>IFERROR(__xludf.DUMMYFUNCTION("""COMPUTED_VALUE"""),"PI")</f>
        <v>PI</v>
      </c>
      <c r="D882" t="str">
        <f>IFERROR(__xludf.DUMMYFUNCTION("""COMPUTED_VALUE"""),"JE421N1")</f>
        <v>JE421N1</v>
      </c>
      <c r="E882" t="str">
        <f>IFERROR(__xludf.DUMMYFUNCTION("""COMPUTED_VALUE"""),"P1075")</f>
        <v>P1075</v>
      </c>
      <c r="F882" t="str">
        <f t="array" ref="F882">if(iserror(index(fish_lab_data!C:C,match(B882,fish_lab_data!C:C,0))),"not dissected","dissected")</f>
        <v>dissected</v>
      </c>
    </row>
    <row r="883">
      <c r="A883" t="str">
        <f t="shared" si="1"/>
        <v>16750</v>
      </c>
      <c r="B883" t="str">
        <f>IFERROR(__xludf.DUMMYFUNCTION("""COMPUTED_VALUE"""),"U16750")</f>
        <v>U16750</v>
      </c>
      <c r="C883" t="str">
        <f>IFERROR(__xludf.DUMMYFUNCTION("""COMPUTED_VALUE"""),"PI")</f>
        <v>PI</v>
      </c>
      <c r="D883" t="str">
        <f>IFERROR(__xludf.DUMMYFUNCTION("""COMPUTED_VALUE"""),"JE421N1")</f>
        <v>JE421N1</v>
      </c>
      <c r="E883" t="str">
        <f>IFERROR(__xludf.DUMMYFUNCTION("""COMPUTED_VALUE"""),"P1075")</f>
        <v>P1075</v>
      </c>
      <c r="F883" t="str">
        <f t="array" ref="F883">if(iserror(index(fish_lab_data!C:C,match(B883,fish_lab_data!C:C,0))),"not dissected","dissected")</f>
        <v>dissected</v>
      </c>
    </row>
    <row r="884">
      <c r="A884" t="str">
        <f t="shared" si="1"/>
        <v>16941</v>
      </c>
      <c r="B884" t="str">
        <f>IFERROR(__xludf.DUMMYFUNCTION("""COMPUTED_VALUE"""),"U16941")</f>
        <v>U16941</v>
      </c>
      <c r="C884" t="str">
        <f>IFERROR(__xludf.DUMMYFUNCTION("""COMPUTED_VALUE"""),"CU")</f>
        <v>CU</v>
      </c>
      <c r="D884" t="str">
        <f>IFERROR(__xludf.DUMMYFUNCTION("""COMPUTED_VALUE"""),"JE421N1")</f>
        <v>JE421N1</v>
      </c>
      <c r="E884" t="str">
        <f>IFERROR(__xludf.DUMMYFUNCTION("""COMPUTED_VALUE"""),"P1095")</f>
        <v>P1095</v>
      </c>
      <c r="F884" t="str">
        <f t="array" ref="F884">if(iserror(index(fish_lab_data!C:C,match(B884,fish_lab_data!C:C,0))),"not dissected","dissected")</f>
        <v>dissected</v>
      </c>
    </row>
    <row r="885">
      <c r="A885" t="str">
        <f t="shared" si="1"/>
        <v>16942</v>
      </c>
      <c r="B885" t="str">
        <f>IFERROR(__xludf.DUMMYFUNCTION("""COMPUTED_VALUE"""),"U16942")</f>
        <v>U16942</v>
      </c>
      <c r="C885" t="str">
        <f>IFERROR(__xludf.DUMMYFUNCTION("""COMPUTED_VALUE"""),"CU")</f>
        <v>CU</v>
      </c>
      <c r="D885" t="str">
        <f>IFERROR(__xludf.DUMMYFUNCTION("""COMPUTED_VALUE"""),"JE421N1")</f>
        <v>JE421N1</v>
      </c>
      <c r="E885" t="str">
        <f>IFERROR(__xludf.DUMMYFUNCTION("""COMPUTED_VALUE"""),"P1095")</f>
        <v>P1095</v>
      </c>
      <c r="F885" t="str">
        <f t="array" ref="F885">if(iserror(index(fish_lab_data!C:C,match(B885,fish_lab_data!C:C,0))),"not dissected","dissected")</f>
        <v>dissected</v>
      </c>
    </row>
    <row r="886">
      <c r="A886" t="str">
        <f t="shared" si="1"/>
        <v>16943</v>
      </c>
      <c r="B886" t="str">
        <f>IFERROR(__xludf.DUMMYFUNCTION("""COMPUTED_VALUE"""),"U16943")</f>
        <v>U16943</v>
      </c>
      <c r="C886" t="str">
        <f>IFERROR(__xludf.DUMMYFUNCTION("""COMPUTED_VALUE"""),"CU")</f>
        <v>CU</v>
      </c>
      <c r="D886" t="str">
        <f>IFERROR(__xludf.DUMMYFUNCTION("""COMPUTED_VALUE"""),"JE421N1")</f>
        <v>JE421N1</v>
      </c>
      <c r="E886" t="str">
        <f>IFERROR(__xludf.DUMMYFUNCTION("""COMPUTED_VALUE"""),"P1095")</f>
        <v>P1095</v>
      </c>
      <c r="F886" t="str">
        <f t="array" ref="F886">if(iserror(index(fish_lab_data!C:C,match(B886,fish_lab_data!C:C,0))),"not dissected","dissected")</f>
        <v>dissected</v>
      </c>
    </row>
    <row r="887">
      <c r="A887" t="str">
        <f t="shared" si="1"/>
        <v>16944</v>
      </c>
      <c r="B887" t="str">
        <f>IFERROR(__xludf.DUMMYFUNCTION("""COMPUTED_VALUE"""),"U16944")</f>
        <v>U16944</v>
      </c>
      <c r="C887" t="str">
        <f>IFERROR(__xludf.DUMMYFUNCTION("""COMPUTED_VALUE"""),"CU")</f>
        <v>CU</v>
      </c>
      <c r="D887" t="str">
        <f>IFERROR(__xludf.DUMMYFUNCTION("""COMPUTED_VALUE"""),"JE421N1")</f>
        <v>JE421N1</v>
      </c>
      <c r="E887" t="str">
        <f>IFERROR(__xludf.DUMMYFUNCTION("""COMPUTED_VALUE"""),"P1095")</f>
        <v>P1095</v>
      </c>
      <c r="F887" t="str">
        <f t="array" ref="F887">if(iserror(index(fish_lab_data!C:C,match(B887,fish_lab_data!C:C,0))),"not dissected","dissected")</f>
        <v>dissected</v>
      </c>
    </row>
    <row r="888">
      <c r="A888" t="str">
        <f t="shared" si="1"/>
        <v>16945</v>
      </c>
      <c r="B888" t="str">
        <f>IFERROR(__xludf.DUMMYFUNCTION("""COMPUTED_VALUE"""),"U16945")</f>
        <v>U16945</v>
      </c>
      <c r="C888" t="str">
        <f>IFERROR(__xludf.DUMMYFUNCTION("""COMPUTED_VALUE"""),"CU")</f>
        <v>CU</v>
      </c>
      <c r="D888" t="str">
        <f>IFERROR(__xludf.DUMMYFUNCTION("""COMPUTED_VALUE"""),"JE421N1")</f>
        <v>JE421N1</v>
      </c>
      <c r="E888" t="str">
        <f>IFERROR(__xludf.DUMMYFUNCTION("""COMPUTED_VALUE"""),"P1095")</f>
        <v>P1095</v>
      </c>
      <c r="F888" t="str">
        <f t="array" ref="F888">if(iserror(index(fish_lab_data!C:C,match(B888,fish_lab_data!C:C,0))),"not dissected","dissected")</f>
        <v>dissected</v>
      </c>
    </row>
    <row r="889">
      <c r="A889" t="str">
        <f t="shared" si="1"/>
        <v>16946</v>
      </c>
      <c r="B889" t="str">
        <f>IFERROR(__xludf.DUMMYFUNCTION("""COMPUTED_VALUE"""),"U16946")</f>
        <v>U16946</v>
      </c>
      <c r="C889" t="str">
        <f>IFERROR(__xludf.DUMMYFUNCTION("""COMPUTED_VALUE"""),"CU")</f>
        <v>CU</v>
      </c>
      <c r="D889" t="str">
        <f>IFERROR(__xludf.DUMMYFUNCTION("""COMPUTED_VALUE"""),"JE421N1")</f>
        <v>JE421N1</v>
      </c>
      <c r="E889" t="str">
        <f>IFERROR(__xludf.DUMMYFUNCTION("""COMPUTED_VALUE"""),"P1095")</f>
        <v>P1095</v>
      </c>
      <c r="F889" t="str">
        <f t="array" ref="F889">if(iserror(index(fish_lab_data!C:C,match(B889,fish_lab_data!C:C,0))),"not dissected","dissected")</f>
        <v>dissected</v>
      </c>
    </row>
    <row r="890">
      <c r="A890" t="str">
        <f t="shared" si="1"/>
        <v>16947</v>
      </c>
      <c r="B890" t="str">
        <f>IFERROR(__xludf.DUMMYFUNCTION("""COMPUTED_VALUE"""),"U16947")</f>
        <v>U16947</v>
      </c>
      <c r="C890" t="str">
        <f>IFERROR(__xludf.DUMMYFUNCTION("""COMPUTED_VALUE"""),"CU")</f>
        <v>CU</v>
      </c>
      <c r="D890" t="str">
        <f>IFERROR(__xludf.DUMMYFUNCTION("""COMPUTED_VALUE"""),"JE421N1")</f>
        <v>JE421N1</v>
      </c>
      <c r="E890" t="str">
        <f>IFERROR(__xludf.DUMMYFUNCTION("""COMPUTED_VALUE"""),"P1095")</f>
        <v>P1095</v>
      </c>
      <c r="F890" t="str">
        <f t="array" ref="F890">if(iserror(index(fish_lab_data!C:C,match(B890,fish_lab_data!C:C,0))),"not dissected","dissected")</f>
        <v>dissected</v>
      </c>
    </row>
    <row r="891">
      <c r="A891" t="str">
        <f t="shared" si="1"/>
        <v>16948</v>
      </c>
      <c r="B891" t="str">
        <f>IFERROR(__xludf.DUMMYFUNCTION("""COMPUTED_VALUE"""),"U16948")</f>
        <v>U16948</v>
      </c>
      <c r="C891" t="str">
        <f>IFERROR(__xludf.DUMMYFUNCTION("""COMPUTED_VALUE"""),"CU")</f>
        <v>CU</v>
      </c>
      <c r="D891" t="str">
        <f>IFERROR(__xludf.DUMMYFUNCTION("""COMPUTED_VALUE"""),"JE421N1")</f>
        <v>JE421N1</v>
      </c>
      <c r="E891" t="str">
        <f>IFERROR(__xludf.DUMMYFUNCTION("""COMPUTED_VALUE"""),"P1095")</f>
        <v>P1095</v>
      </c>
      <c r="F891" t="str">
        <f t="array" ref="F891">if(iserror(index(fish_lab_data!C:C,match(B891,fish_lab_data!C:C,0))),"not dissected","dissected")</f>
        <v>dissected</v>
      </c>
    </row>
    <row r="892">
      <c r="A892" t="str">
        <f t="shared" si="1"/>
        <v>16949</v>
      </c>
      <c r="B892" t="str">
        <f>IFERROR(__xludf.DUMMYFUNCTION("""COMPUTED_VALUE"""),"U16949")</f>
        <v>U16949</v>
      </c>
      <c r="C892" t="str">
        <f>IFERROR(__xludf.DUMMYFUNCTION("""COMPUTED_VALUE"""),"CU")</f>
        <v>CU</v>
      </c>
      <c r="D892" t="str">
        <f>IFERROR(__xludf.DUMMYFUNCTION("""COMPUTED_VALUE"""),"JE421N1")</f>
        <v>JE421N1</v>
      </c>
      <c r="E892" t="str">
        <f>IFERROR(__xludf.DUMMYFUNCTION("""COMPUTED_VALUE"""),"P1095")</f>
        <v>P1095</v>
      </c>
      <c r="F892" t="str">
        <f t="array" ref="F892">if(iserror(index(fish_lab_data!C:C,match(B892,fish_lab_data!C:C,0))),"not dissected","dissected")</f>
        <v>dissected</v>
      </c>
    </row>
    <row r="893">
      <c r="A893" t="str">
        <f t="shared" si="1"/>
        <v>16950</v>
      </c>
      <c r="B893" t="str">
        <f>IFERROR(__xludf.DUMMYFUNCTION("""COMPUTED_VALUE"""),"U16950")</f>
        <v>U16950</v>
      </c>
      <c r="C893" t="str">
        <f>IFERROR(__xludf.DUMMYFUNCTION("""COMPUTED_VALUE"""),"CU")</f>
        <v>CU</v>
      </c>
      <c r="D893" t="str">
        <f>IFERROR(__xludf.DUMMYFUNCTION("""COMPUTED_VALUE"""),"JE421N1")</f>
        <v>JE421N1</v>
      </c>
      <c r="E893" t="str">
        <f>IFERROR(__xludf.DUMMYFUNCTION("""COMPUTED_VALUE"""),"P1095")</f>
        <v>P1095</v>
      </c>
      <c r="F893" t="str">
        <f t="array" ref="F893">if(iserror(index(fish_lab_data!C:C,match(B893,fish_lab_data!C:C,0))),"not dissected","dissected")</f>
        <v>dissected</v>
      </c>
    </row>
    <row r="894">
      <c r="A894" t="str">
        <f t="shared" si="1"/>
        <v>16761</v>
      </c>
      <c r="B894" t="str">
        <f>IFERROR(__xludf.DUMMYFUNCTION("""COMPUTED_VALUE"""),"U16761")</f>
        <v>U16761</v>
      </c>
      <c r="C894" t="str">
        <f>IFERROR(__xludf.DUMMYFUNCTION("""COMPUTED_VALUE"""),"SO")</f>
        <v>SO</v>
      </c>
      <c r="D894" t="str">
        <f>IFERROR(__xludf.DUMMYFUNCTION("""COMPUTED_VALUE"""),"JE421N1")</f>
        <v>JE421N1</v>
      </c>
      <c r="E894" t="str">
        <f>IFERROR(__xludf.DUMMYFUNCTION("""COMPUTED_VALUE"""),"P1077")</f>
        <v>P1077</v>
      </c>
      <c r="F894" t="str">
        <f t="array" ref="F894">if(iserror(index(fish_lab_data!C:C,match(B894,fish_lab_data!C:C,0))),"not dissected","dissected")</f>
        <v>dissected</v>
      </c>
    </row>
    <row r="895">
      <c r="A895" t="str">
        <f t="shared" si="1"/>
        <v>16762</v>
      </c>
      <c r="B895" t="str">
        <f>IFERROR(__xludf.DUMMYFUNCTION("""COMPUTED_VALUE"""),"U16762")</f>
        <v>U16762</v>
      </c>
      <c r="C895" t="str">
        <f>IFERROR(__xludf.DUMMYFUNCTION("""COMPUTED_VALUE"""),"SO")</f>
        <v>SO</v>
      </c>
      <c r="D895" t="str">
        <f>IFERROR(__xludf.DUMMYFUNCTION("""COMPUTED_VALUE"""),"JE421N1")</f>
        <v>JE421N1</v>
      </c>
      <c r="E895" t="str">
        <f>IFERROR(__xludf.DUMMYFUNCTION("""COMPUTED_VALUE"""),"P1077")</f>
        <v>P1077</v>
      </c>
      <c r="F895" t="str">
        <f t="array" ref="F895">if(iserror(index(fish_lab_data!C:C,match(B895,fish_lab_data!C:C,0))),"not dissected","dissected")</f>
        <v>dissected</v>
      </c>
    </row>
    <row r="896">
      <c r="A896" t="str">
        <f t="shared" si="1"/>
        <v>16763</v>
      </c>
      <c r="B896" t="str">
        <f>IFERROR(__xludf.DUMMYFUNCTION("""COMPUTED_VALUE"""),"U16763")</f>
        <v>U16763</v>
      </c>
      <c r="C896" t="str">
        <f>IFERROR(__xludf.DUMMYFUNCTION("""COMPUTED_VALUE"""),"SO")</f>
        <v>SO</v>
      </c>
      <c r="D896" t="str">
        <f>IFERROR(__xludf.DUMMYFUNCTION("""COMPUTED_VALUE"""),"JE421N1")</f>
        <v>JE421N1</v>
      </c>
      <c r="E896" t="str">
        <f>IFERROR(__xludf.DUMMYFUNCTION("""COMPUTED_VALUE"""),"P1077")</f>
        <v>P1077</v>
      </c>
      <c r="F896" t="str">
        <f t="array" ref="F896">if(iserror(index(fish_lab_data!C:C,match(B896,fish_lab_data!C:C,0))),"not dissected","dissected")</f>
        <v>dissected</v>
      </c>
    </row>
    <row r="897">
      <c r="A897" t="str">
        <f t="shared" si="1"/>
        <v>16764</v>
      </c>
      <c r="B897" t="str">
        <f>IFERROR(__xludf.DUMMYFUNCTION("""COMPUTED_VALUE"""),"U16764")</f>
        <v>U16764</v>
      </c>
      <c r="C897" t="str">
        <f>IFERROR(__xludf.DUMMYFUNCTION("""COMPUTED_VALUE"""),"SO")</f>
        <v>SO</v>
      </c>
      <c r="D897" t="str">
        <f>IFERROR(__xludf.DUMMYFUNCTION("""COMPUTED_VALUE"""),"JE421N1")</f>
        <v>JE421N1</v>
      </c>
      <c r="E897" t="str">
        <f>IFERROR(__xludf.DUMMYFUNCTION("""COMPUTED_VALUE"""),"P1077")</f>
        <v>P1077</v>
      </c>
      <c r="F897" t="str">
        <f t="array" ref="F897">if(iserror(index(fish_lab_data!C:C,match(B897,fish_lab_data!C:C,0))),"not dissected","dissected")</f>
        <v>dissected</v>
      </c>
    </row>
    <row r="898">
      <c r="A898" t="str">
        <f t="shared" si="1"/>
        <v>16765</v>
      </c>
      <c r="B898" t="str">
        <f>IFERROR(__xludf.DUMMYFUNCTION("""COMPUTED_VALUE"""),"U16765")</f>
        <v>U16765</v>
      </c>
      <c r="C898" t="str">
        <f>IFERROR(__xludf.DUMMYFUNCTION("""COMPUTED_VALUE"""),"SO")</f>
        <v>SO</v>
      </c>
      <c r="D898" t="str">
        <f>IFERROR(__xludf.DUMMYFUNCTION("""COMPUTED_VALUE"""),"JE421N1")</f>
        <v>JE421N1</v>
      </c>
      <c r="E898" t="str">
        <f>IFERROR(__xludf.DUMMYFUNCTION("""COMPUTED_VALUE"""),"P1077")</f>
        <v>P1077</v>
      </c>
      <c r="F898" t="str">
        <f t="array" ref="F898">if(iserror(index(fish_lab_data!C:C,match(B898,fish_lab_data!C:C,0))),"not dissected","dissected")</f>
        <v>dissected</v>
      </c>
    </row>
    <row r="899">
      <c r="A899" t="str">
        <f t="shared" si="1"/>
        <v>16766</v>
      </c>
      <c r="B899" t="str">
        <f>IFERROR(__xludf.DUMMYFUNCTION("""COMPUTED_VALUE"""),"U16766")</f>
        <v>U16766</v>
      </c>
      <c r="C899" t="str">
        <f>IFERROR(__xludf.DUMMYFUNCTION("""COMPUTED_VALUE"""),"SO")</f>
        <v>SO</v>
      </c>
      <c r="D899" t="str">
        <f>IFERROR(__xludf.DUMMYFUNCTION("""COMPUTED_VALUE"""),"JE421N1")</f>
        <v>JE421N1</v>
      </c>
      <c r="E899" t="str">
        <f>IFERROR(__xludf.DUMMYFUNCTION("""COMPUTED_VALUE"""),"P1077")</f>
        <v>P1077</v>
      </c>
      <c r="F899" t="str">
        <f t="array" ref="F899">if(iserror(index(fish_lab_data!C:C,match(B899,fish_lab_data!C:C,0))),"not dissected","dissected")</f>
        <v>dissected</v>
      </c>
    </row>
    <row r="900">
      <c r="A900" t="str">
        <f t="shared" si="1"/>
        <v>16767</v>
      </c>
      <c r="B900" t="str">
        <f>IFERROR(__xludf.DUMMYFUNCTION("""COMPUTED_VALUE"""),"U16767")</f>
        <v>U16767</v>
      </c>
      <c r="C900" t="str">
        <f>IFERROR(__xludf.DUMMYFUNCTION("""COMPUTED_VALUE"""),"SO")</f>
        <v>SO</v>
      </c>
      <c r="D900" t="str">
        <f>IFERROR(__xludf.DUMMYFUNCTION("""COMPUTED_VALUE"""),"JE421N1")</f>
        <v>JE421N1</v>
      </c>
      <c r="E900" t="str">
        <f>IFERROR(__xludf.DUMMYFUNCTION("""COMPUTED_VALUE"""),"P1077")</f>
        <v>P1077</v>
      </c>
      <c r="F900" t="str">
        <f t="array" ref="F900">if(iserror(index(fish_lab_data!C:C,match(B900,fish_lab_data!C:C,0))),"not dissected","dissected")</f>
        <v>dissected</v>
      </c>
    </row>
    <row r="901">
      <c r="A901" t="str">
        <f t="shared" si="1"/>
        <v>16791</v>
      </c>
      <c r="B901" t="str">
        <f>IFERROR(__xludf.DUMMYFUNCTION("""COMPUTED_VALUE"""),"U16791")</f>
        <v>U16791</v>
      </c>
      <c r="C901" t="str">
        <f>IFERROR(__xludf.DUMMYFUNCTION("""COMPUTED_VALUE"""),"SO")</f>
        <v>SO</v>
      </c>
      <c r="D901" t="str">
        <f>IFERROR(__xludf.DUMMYFUNCTION("""COMPUTED_VALUE"""),"JE421N2")</f>
        <v>JE421N2</v>
      </c>
      <c r="E901" t="str">
        <f>IFERROR(__xludf.DUMMYFUNCTION("""COMPUTED_VALUE"""),"P1080")</f>
        <v>P1080</v>
      </c>
      <c r="F901" t="str">
        <f t="array" ref="F901">if(iserror(index(fish_lab_data!C:C,match(B901,fish_lab_data!C:C,0))),"not dissected","dissected")</f>
        <v>dissected</v>
      </c>
    </row>
    <row r="902">
      <c r="A902" t="str">
        <f t="shared" si="1"/>
        <v>16792</v>
      </c>
      <c r="B902" t="str">
        <f>IFERROR(__xludf.DUMMYFUNCTION("""COMPUTED_VALUE"""),"U16792")</f>
        <v>U16792</v>
      </c>
      <c r="C902" t="str">
        <f>IFERROR(__xludf.DUMMYFUNCTION("""COMPUTED_VALUE"""),"SO")</f>
        <v>SO</v>
      </c>
      <c r="D902" t="str">
        <f>IFERROR(__xludf.DUMMYFUNCTION("""COMPUTED_VALUE"""),"JE421N2")</f>
        <v>JE421N2</v>
      </c>
      <c r="E902" t="str">
        <f>IFERROR(__xludf.DUMMYFUNCTION("""COMPUTED_VALUE"""),"P1080")</f>
        <v>P1080</v>
      </c>
      <c r="F902" t="str">
        <f t="array" ref="F902">if(iserror(index(fish_lab_data!C:C,match(B902,fish_lab_data!C:C,0))),"not dissected","dissected")</f>
        <v>dissected</v>
      </c>
    </row>
    <row r="903">
      <c r="A903" t="str">
        <f t="shared" si="1"/>
        <v>16793</v>
      </c>
      <c r="B903" t="str">
        <f>IFERROR(__xludf.DUMMYFUNCTION("""COMPUTED_VALUE"""),"U16793")</f>
        <v>U16793</v>
      </c>
      <c r="C903" t="str">
        <f>IFERROR(__xludf.DUMMYFUNCTION("""COMPUTED_VALUE"""),"SO")</f>
        <v>SO</v>
      </c>
      <c r="D903" t="str">
        <f>IFERROR(__xludf.DUMMYFUNCTION("""COMPUTED_VALUE"""),"JE421N2")</f>
        <v>JE421N2</v>
      </c>
      <c r="E903" t="str">
        <f>IFERROR(__xludf.DUMMYFUNCTION("""COMPUTED_VALUE"""),"P1080")</f>
        <v>P1080</v>
      </c>
      <c r="F903" t="str">
        <f t="array" ref="F903">if(iserror(index(fish_lab_data!C:C,match(B903,fish_lab_data!C:C,0))),"not dissected","dissected")</f>
        <v>dissected</v>
      </c>
    </row>
    <row r="904">
      <c r="A904" t="str">
        <f t="shared" si="1"/>
        <v>16794</v>
      </c>
      <c r="B904" t="str">
        <f>IFERROR(__xludf.DUMMYFUNCTION("""COMPUTED_VALUE"""),"U16794")</f>
        <v>U16794</v>
      </c>
      <c r="C904" t="str">
        <f>IFERROR(__xludf.DUMMYFUNCTION("""COMPUTED_VALUE"""),"SO")</f>
        <v>SO</v>
      </c>
      <c r="D904" t="str">
        <f>IFERROR(__xludf.DUMMYFUNCTION("""COMPUTED_VALUE"""),"JE421N2")</f>
        <v>JE421N2</v>
      </c>
      <c r="E904" t="str">
        <f>IFERROR(__xludf.DUMMYFUNCTION("""COMPUTED_VALUE"""),"P1080")</f>
        <v>P1080</v>
      </c>
      <c r="F904" t="str">
        <f t="array" ref="F904">if(iserror(index(fish_lab_data!C:C,match(B904,fish_lab_data!C:C,0))),"not dissected","dissected")</f>
        <v>dissected</v>
      </c>
    </row>
    <row r="905">
      <c r="A905" t="str">
        <f t="shared" si="1"/>
        <v>16795</v>
      </c>
      <c r="B905" t="str">
        <f>IFERROR(__xludf.DUMMYFUNCTION("""COMPUTED_VALUE"""),"U16795")</f>
        <v>U16795</v>
      </c>
      <c r="C905" t="str">
        <f>IFERROR(__xludf.DUMMYFUNCTION("""COMPUTED_VALUE"""),"SO")</f>
        <v>SO</v>
      </c>
      <c r="D905" t="str">
        <f>IFERROR(__xludf.DUMMYFUNCTION("""COMPUTED_VALUE"""),"JE421N2")</f>
        <v>JE421N2</v>
      </c>
      <c r="E905" t="str">
        <f>IFERROR(__xludf.DUMMYFUNCTION("""COMPUTED_VALUE"""),"P1080")</f>
        <v>P1080</v>
      </c>
      <c r="F905" t="str">
        <f t="array" ref="F905">if(iserror(index(fish_lab_data!C:C,match(B905,fish_lab_data!C:C,0))),"not dissected","dissected")</f>
        <v>dissected</v>
      </c>
    </row>
    <row r="906">
      <c r="A906" t="str">
        <f t="shared" si="1"/>
        <v>16796</v>
      </c>
      <c r="B906" t="str">
        <f>IFERROR(__xludf.DUMMYFUNCTION("""COMPUTED_VALUE"""),"U16796")</f>
        <v>U16796</v>
      </c>
      <c r="C906" t="str">
        <f>IFERROR(__xludf.DUMMYFUNCTION("""COMPUTED_VALUE"""),"SO")</f>
        <v>SO</v>
      </c>
      <c r="D906" t="str">
        <f>IFERROR(__xludf.DUMMYFUNCTION("""COMPUTED_VALUE"""),"JE421N2")</f>
        <v>JE421N2</v>
      </c>
      <c r="E906" t="str">
        <f>IFERROR(__xludf.DUMMYFUNCTION("""COMPUTED_VALUE"""),"P1080")</f>
        <v>P1080</v>
      </c>
      <c r="F906" t="str">
        <f t="array" ref="F906">if(iserror(index(fish_lab_data!C:C,match(B906,fish_lab_data!C:C,0))),"not dissected","dissected")</f>
        <v>dissected</v>
      </c>
    </row>
    <row r="907">
      <c r="A907" t="str">
        <f t="shared" si="1"/>
        <v>16797</v>
      </c>
      <c r="B907" t="str">
        <f>IFERROR(__xludf.DUMMYFUNCTION("""COMPUTED_VALUE"""),"U16797")</f>
        <v>U16797</v>
      </c>
      <c r="C907" t="str">
        <f>IFERROR(__xludf.DUMMYFUNCTION("""COMPUTED_VALUE"""),"SO")</f>
        <v>SO</v>
      </c>
      <c r="D907" t="str">
        <f>IFERROR(__xludf.DUMMYFUNCTION("""COMPUTED_VALUE"""),"JE421N2")</f>
        <v>JE421N2</v>
      </c>
      <c r="E907" t="str">
        <f>IFERROR(__xludf.DUMMYFUNCTION("""COMPUTED_VALUE"""),"P1080")</f>
        <v>P1080</v>
      </c>
      <c r="F907" t="str">
        <f t="array" ref="F907">if(iserror(index(fish_lab_data!C:C,match(B907,fish_lab_data!C:C,0))),"not dissected","dissected")</f>
        <v>dissected</v>
      </c>
    </row>
    <row r="908">
      <c r="A908" t="str">
        <f t="shared" si="1"/>
        <v>16798</v>
      </c>
      <c r="B908" t="str">
        <f>IFERROR(__xludf.DUMMYFUNCTION("""COMPUTED_VALUE"""),"U16798")</f>
        <v>U16798</v>
      </c>
      <c r="C908" t="str">
        <f>IFERROR(__xludf.DUMMYFUNCTION("""COMPUTED_VALUE"""),"SO")</f>
        <v>SO</v>
      </c>
      <c r="D908" t="str">
        <f>IFERROR(__xludf.DUMMYFUNCTION("""COMPUTED_VALUE"""),"JE421N2")</f>
        <v>JE421N2</v>
      </c>
      <c r="E908" t="str">
        <f>IFERROR(__xludf.DUMMYFUNCTION("""COMPUTED_VALUE"""),"P1080")</f>
        <v>P1080</v>
      </c>
      <c r="F908" t="str">
        <f t="array" ref="F908">if(iserror(index(fish_lab_data!C:C,match(B908,fish_lab_data!C:C,0))),"not dissected","dissected")</f>
        <v>dissected</v>
      </c>
    </row>
    <row r="909">
      <c r="A909" t="str">
        <f t="shared" si="1"/>
        <v>16799</v>
      </c>
      <c r="B909" t="str">
        <f>IFERROR(__xludf.DUMMYFUNCTION("""COMPUTED_VALUE"""),"U16799")</f>
        <v>U16799</v>
      </c>
      <c r="C909" t="str">
        <f>IFERROR(__xludf.DUMMYFUNCTION("""COMPUTED_VALUE"""),"SO")</f>
        <v>SO</v>
      </c>
      <c r="D909" t="str">
        <f>IFERROR(__xludf.DUMMYFUNCTION("""COMPUTED_VALUE"""),"JE421N2")</f>
        <v>JE421N2</v>
      </c>
      <c r="E909" t="str">
        <f>IFERROR(__xludf.DUMMYFUNCTION("""COMPUTED_VALUE"""),"P1080")</f>
        <v>P1080</v>
      </c>
      <c r="F909" t="str">
        <f t="array" ref="F909">if(iserror(index(fish_lab_data!C:C,match(B909,fish_lab_data!C:C,0))),"not dissected","dissected")</f>
        <v>dissected</v>
      </c>
    </row>
    <row r="910">
      <c r="A910" t="str">
        <f t="shared" si="1"/>
        <v>16800</v>
      </c>
      <c r="B910" t="str">
        <f>IFERROR(__xludf.DUMMYFUNCTION("""COMPUTED_VALUE"""),"U16800")</f>
        <v>U16800</v>
      </c>
      <c r="C910" t="str">
        <f>IFERROR(__xludf.DUMMYFUNCTION("""COMPUTED_VALUE"""),"SO")</f>
        <v>SO</v>
      </c>
      <c r="D910" t="str">
        <f>IFERROR(__xludf.DUMMYFUNCTION("""COMPUTED_VALUE"""),"JE421N2")</f>
        <v>JE421N2</v>
      </c>
      <c r="E910" t="str">
        <f>IFERROR(__xludf.DUMMYFUNCTION("""COMPUTED_VALUE"""),"P1080")</f>
        <v>P1080</v>
      </c>
      <c r="F910" t="str">
        <f t="array" ref="F910">if(iserror(index(fish_lab_data!C:C,match(B910,fish_lab_data!C:C,0))),"not dissected","dissected")</f>
        <v>dissected</v>
      </c>
    </row>
    <row r="911">
      <c r="A911" t="str">
        <f t="shared" si="1"/>
        <v>16921</v>
      </c>
      <c r="B911" t="str">
        <f>IFERROR(__xludf.DUMMYFUNCTION("""COMPUTED_VALUE"""),"U16921")</f>
        <v>U16921</v>
      </c>
      <c r="C911" t="str">
        <f>IFERROR(__xludf.DUMMYFUNCTION("""COMPUTED_VALUE"""),"SO")</f>
        <v>SO</v>
      </c>
      <c r="D911" t="str">
        <f>IFERROR(__xludf.DUMMYFUNCTION("""COMPUTED_VALUE"""),"JE421N2")</f>
        <v>JE421N2</v>
      </c>
      <c r="E911" t="str">
        <f>IFERROR(__xludf.DUMMYFUNCTION("""COMPUTED_VALUE"""),"P1093")</f>
        <v>P1093</v>
      </c>
      <c r="F911" t="str">
        <f t="array" ref="F911">if(iserror(index(fish_lab_data!C:C,match(B911,fish_lab_data!C:C,0))),"not dissected","dissected")</f>
        <v>dissected</v>
      </c>
    </row>
    <row r="912">
      <c r="A912" t="str">
        <f t="shared" si="1"/>
        <v>16922</v>
      </c>
      <c r="B912" t="str">
        <f>IFERROR(__xludf.DUMMYFUNCTION("""COMPUTED_VALUE"""),"U16922")</f>
        <v>U16922</v>
      </c>
      <c r="C912" t="str">
        <f>IFERROR(__xludf.DUMMYFUNCTION("""COMPUTED_VALUE"""),"SO")</f>
        <v>SO</v>
      </c>
      <c r="D912" t="str">
        <f>IFERROR(__xludf.DUMMYFUNCTION("""COMPUTED_VALUE"""),"JE421N2")</f>
        <v>JE421N2</v>
      </c>
      <c r="E912" t="str">
        <f>IFERROR(__xludf.DUMMYFUNCTION("""COMPUTED_VALUE"""),"P1093")</f>
        <v>P1093</v>
      </c>
      <c r="F912" t="str">
        <f t="array" ref="F912">if(iserror(index(fish_lab_data!C:C,match(B912,fish_lab_data!C:C,0))),"not dissected","dissected")</f>
        <v>dissected</v>
      </c>
    </row>
    <row r="913">
      <c r="A913" t="str">
        <f t="shared" si="1"/>
        <v>16923</v>
      </c>
      <c r="B913" t="str">
        <f>IFERROR(__xludf.DUMMYFUNCTION("""COMPUTED_VALUE"""),"U16923")</f>
        <v>U16923</v>
      </c>
      <c r="C913" t="str">
        <f>IFERROR(__xludf.DUMMYFUNCTION("""COMPUTED_VALUE"""),"SO")</f>
        <v>SO</v>
      </c>
      <c r="D913" t="str">
        <f>IFERROR(__xludf.DUMMYFUNCTION("""COMPUTED_VALUE"""),"JE421N2")</f>
        <v>JE421N2</v>
      </c>
      <c r="E913" t="str">
        <f>IFERROR(__xludf.DUMMYFUNCTION("""COMPUTED_VALUE"""),"P1093")</f>
        <v>P1093</v>
      </c>
      <c r="F913" t="str">
        <f t="array" ref="F913">if(iserror(index(fish_lab_data!C:C,match(B913,fish_lab_data!C:C,0))),"not dissected","dissected")</f>
        <v>dissected</v>
      </c>
    </row>
    <row r="914">
      <c r="A914" t="str">
        <f t="shared" si="1"/>
        <v>16631</v>
      </c>
      <c r="B914" t="str">
        <f>IFERROR(__xludf.DUMMYFUNCTION("""COMPUTED_VALUE"""),"U16631")</f>
        <v>U16631</v>
      </c>
      <c r="C914" t="str">
        <f>IFERROR(__xludf.DUMMYFUNCTION("""COMPUTED_VALUE"""),"HE")</f>
        <v>HE</v>
      </c>
      <c r="D914" t="str">
        <f>IFERROR(__xludf.DUMMYFUNCTION("""COMPUTED_VALUE"""),"JE421N1")</f>
        <v>JE421N1</v>
      </c>
      <c r="E914" t="str">
        <f>IFERROR(__xludf.DUMMYFUNCTION("""COMPUTED_VALUE"""),"P1064")</f>
        <v>P1064</v>
      </c>
      <c r="F914" t="str">
        <f t="array" ref="F914">if(iserror(index(fish_lab_data!C:C,match(B914,fish_lab_data!C:C,0))),"not dissected","dissected")</f>
        <v>dissected</v>
      </c>
    </row>
    <row r="915">
      <c r="A915" t="str">
        <f t="shared" si="1"/>
        <v>16632</v>
      </c>
      <c r="B915" t="str">
        <f>IFERROR(__xludf.DUMMYFUNCTION("""COMPUTED_VALUE"""),"U16632")</f>
        <v>U16632</v>
      </c>
      <c r="C915" t="str">
        <f>IFERROR(__xludf.DUMMYFUNCTION("""COMPUTED_VALUE"""),"HE")</f>
        <v>HE</v>
      </c>
      <c r="D915" t="str">
        <f>IFERROR(__xludf.DUMMYFUNCTION("""COMPUTED_VALUE"""),"JE421N1")</f>
        <v>JE421N1</v>
      </c>
      <c r="E915" t="str">
        <f>IFERROR(__xludf.DUMMYFUNCTION("""COMPUTED_VALUE"""),"P1064")</f>
        <v>P1064</v>
      </c>
      <c r="F915" t="str">
        <f t="array" ref="F915">if(iserror(index(fish_lab_data!C:C,match(B915,fish_lab_data!C:C,0))),"not dissected","dissected")</f>
        <v>dissected</v>
      </c>
    </row>
    <row r="916">
      <c r="A916" t="str">
        <f t="shared" si="1"/>
        <v>16633</v>
      </c>
      <c r="B916" t="str">
        <f>IFERROR(__xludf.DUMMYFUNCTION("""COMPUTED_VALUE"""),"U16633")</f>
        <v>U16633</v>
      </c>
      <c r="C916" t="str">
        <f>IFERROR(__xludf.DUMMYFUNCTION("""COMPUTED_VALUE"""),"HE")</f>
        <v>HE</v>
      </c>
      <c r="D916" t="str">
        <f>IFERROR(__xludf.DUMMYFUNCTION("""COMPUTED_VALUE"""),"JE421N1")</f>
        <v>JE421N1</v>
      </c>
      <c r="E916" t="str">
        <f>IFERROR(__xludf.DUMMYFUNCTION("""COMPUTED_VALUE"""),"P1064")</f>
        <v>P1064</v>
      </c>
      <c r="F916" t="str">
        <f t="array" ref="F916">if(iserror(index(fish_lab_data!C:C,match(B916,fish_lab_data!C:C,0))),"not dissected","dissected")</f>
        <v>dissected</v>
      </c>
    </row>
    <row r="917">
      <c r="A917" t="str">
        <f t="shared" si="1"/>
        <v>16634</v>
      </c>
      <c r="B917" t="str">
        <f>IFERROR(__xludf.DUMMYFUNCTION("""COMPUTED_VALUE"""),"U16634")</f>
        <v>U16634</v>
      </c>
      <c r="C917" t="str">
        <f>IFERROR(__xludf.DUMMYFUNCTION("""COMPUTED_VALUE"""),"HE")</f>
        <v>HE</v>
      </c>
      <c r="D917" t="str">
        <f>IFERROR(__xludf.DUMMYFUNCTION("""COMPUTED_VALUE"""),"JE421N1")</f>
        <v>JE421N1</v>
      </c>
      <c r="E917" t="str">
        <f>IFERROR(__xludf.DUMMYFUNCTION("""COMPUTED_VALUE"""),"P1064")</f>
        <v>P1064</v>
      </c>
      <c r="F917" t="str">
        <f t="array" ref="F917">if(iserror(index(fish_lab_data!C:C,match(B917,fish_lab_data!C:C,0))),"not dissected","dissected")</f>
        <v>dissected</v>
      </c>
    </row>
    <row r="918">
      <c r="A918" t="str">
        <f t="shared" si="1"/>
        <v>16635</v>
      </c>
      <c r="B918" t="str">
        <f>IFERROR(__xludf.DUMMYFUNCTION("""COMPUTED_VALUE"""),"U16635")</f>
        <v>U16635</v>
      </c>
      <c r="C918" t="str">
        <f>IFERROR(__xludf.DUMMYFUNCTION("""COMPUTED_VALUE"""),"HE")</f>
        <v>HE</v>
      </c>
      <c r="D918" t="str">
        <f>IFERROR(__xludf.DUMMYFUNCTION("""COMPUTED_VALUE"""),"JE421N1")</f>
        <v>JE421N1</v>
      </c>
      <c r="E918" t="str">
        <f>IFERROR(__xludf.DUMMYFUNCTION("""COMPUTED_VALUE"""),"P1064")</f>
        <v>P1064</v>
      </c>
      <c r="F918" t="str">
        <f t="array" ref="F918">if(iserror(index(fish_lab_data!C:C,match(B918,fish_lab_data!C:C,0))),"not dissected","dissected")</f>
        <v>dissected</v>
      </c>
    </row>
    <row r="919">
      <c r="A919" t="str">
        <f t="shared" si="1"/>
        <v>16636</v>
      </c>
      <c r="B919" t="str">
        <f>IFERROR(__xludf.DUMMYFUNCTION("""COMPUTED_VALUE"""),"U16636")</f>
        <v>U16636</v>
      </c>
      <c r="C919" t="str">
        <f>IFERROR(__xludf.DUMMYFUNCTION("""COMPUTED_VALUE"""),"HE")</f>
        <v>HE</v>
      </c>
      <c r="D919" t="str">
        <f>IFERROR(__xludf.DUMMYFUNCTION("""COMPUTED_VALUE"""),"JE421N1")</f>
        <v>JE421N1</v>
      </c>
      <c r="E919" t="str">
        <f>IFERROR(__xludf.DUMMYFUNCTION("""COMPUTED_VALUE"""),"P1064")</f>
        <v>P1064</v>
      </c>
      <c r="F919" t="str">
        <f t="array" ref="F919">if(iserror(index(fish_lab_data!C:C,match(B919,fish_lab_data!C:C,0))),"not dissected","dissected")</f>
        <v>dissected</v>
      </c>
    </row>
    <row r="920">
      <c r="A920" t="str">
        <f t="shared" si="1"/>
        <v>16637</v>
      </c>
      <c r="B920" t="str">
        <f>IFERROR(__xludf.DUMMYFUNCTION("""COMPUTED_VALUE"""),"U16637")</f>
        <v>U16637</v>
      </c>
      <c r="C920" t="str">
        <f>IFERROR(__xludf.DUMMYFUNCTION("""COMPUTED_VALUE"""),"HE")</f>
        <v>HE</v>
      </c>
      <c r="D920" t="str">
        <f>IFERROR(__xludf.DUMMYFUNCTION("""COMPUTED_VALUE"""),"JE421N1")</f>
        <v>JE421N1</v>
      </c>
      <c r="E920" t="str">
        <f>IFERROR(__xludf.DUMMYFUNCTION("""COMPUTED_VALUE"""),"P1064")</f>
        <v>P1064</v>
      </c>
      <c r="F920" t="str">
        <f t="array" ref="F920">if(iserror(index(fish_lab_data!C:C,match(B920,fish_lab_data!C:C,0))),"not dissected","dissected")</f>
        <v>dissected</v>
      </c>
    </row>
    <row r="921">
      <c r="A921" t="str">
        <f t="shared" si="1"/>
        <v>16638</v>
      </c>
      <c r="B921" t="str">
        <f>IFERROR(__xludf.DUMMYFUNCTION("""COMPUTED_VALUE"""),"U16638")</f>
        <v>U16638</v>
      </c>
      <c r="C921" t="str">
        <f>IFERROR(__xludf.DUMMYFUNCTION("""COMPUTED_VALUE"""),"HE")</f>
        <v>HE</v>
      </c>
      <c r="D921" t="str">
        <f>IFERROR(__xludf.DUMMYFUNCTION("""COMPUTED_VALUE"""),"JE421N1")</f>
        <v>JE421N1</v>
      </c>
      <c r="E921" t="str">
        <f>IFERROR(__xludf.DUMMYFUNCTION("""COMPUTED_VALUE"""),"P1064")</f>
        <v>P1064</v>
      </c>
      <c r="F921" t="str">
        <f t="array" ref="F921">if(iserror(index(fish_lab_data!C:C,match(B921,fish_lab_data!C:C,0))),"not dissected","dissected")</f>
        <v>dissected</v>
      </c>
    </row>
    <row r="922">
      <c r="A922" t="str">
        <f t="shared" si="1"/>
        <v>16639</v>
      </c>
      <c r="B922" t="str">
        <f>IFERROR(__xludf.DUMMYFUNCTION("""COMPUTED_VALUE"""),"U16639")</f>
        <v>U16639</v>
      </c>
      <c r="C922" t="str">
        <f>IFERROR(__xludf.DUMMYFUNCTION("""COMPUTED_VALUE"""),"HE")</f>
        <v>HE</v>
      </c>
      <c r="D922" t="str">
        <f>IFERROR(__xludf.DUMMYFUNCTION("""COMPUTED_VALUE"""),"JE421N1")</f>
        <v>JE421N1</v>
      </c>
      <c r="E922" t="str">
        <f>IFERROR(__xludf.DUMMYFUNCTION("""COMPUTED_VALUE"""),"P1064")</f>
        <v>P1064</v>
      </c>
      <c r="F922" t="str">
        <f t="array" ref="F922">if(iserror(index(fish_lab_data!C:C,match(B922,fish_lab_data!C:C,0))),"not dissected","dissected")</f>
        <v>dissected</v>
      </c>
    </row>
    <row r="923">
      <c r="A923" t="str">
        <f t="shared" si="1"/>
        <v>16640</v>
      </c>
      <c r="B923" t="str">
        <f>IFERROR(__xludf.DUMMYFUNCTION("""COMPUTED_VALUE"""),"U16640")</f>
        <v>U16640</v>
      </c>
      <c r="C923" t="str">
        <f>IFERROR(__xludf.DUMMYFUNCTION("""COMPUTED_VALUE"""),"HE")</f>
        <v>HE</v>
      </c>
      <c r="D923" t="str">
        <f>IFERROR(__xludf.DUMMYFUNCTION("""COMPUTED_VALUE"""),"JE421N1")</f>
        <v>JE421N1</v>
      </c>
      <c r="E923" t="str">
        <f>IFERROR(__xludf.DUMMYFUNCTION("""COMPUTED_VALUE"""),"P1064")</f>
        <v>P1064</v>
      </c>
      <c r="F923" t="str">
        <f t="array" ref="F923">if(iserror(index(fish_lab_data!C:C,match(B923,fish_lab_data!C:C,0))),"not dissected","dissected")</f>
        <v>dissected</v>
      </c>
    </row>
    <row r="924">
      <c r="A924" t="str">
        <f t="shared" si="1"/>
        <v>16951</v>
      </c>
      <c r="B924" t="str">
        <f>IFERROR(__xludf.DUMMYFUNCTION("""COMPUTED_VALUE"""),"U16951")</f>
        <v>U16951</v>
      </c>
      <c r="C924" t="str">
        <f>IFERROR(__xludf.DUMMYFUNCTION("""COMPUTED_VALUE"""),"SO")</f>
        <v>SO</v>
      </c>
      <c r="D924" t="str">
        <f>IFERROR(__xludf.DUMMYFUNCTION("""COMPUTED_VALUE"""),"JE422N1")</f>
        <v>JE422N1</v>
      </c>
      <c r="E924" t="str">
        <f>IFERROR(__xludf.DUMMYFUNCTION("""COMPUTED_VALUE"""),"P1096")</f>
        <v>P1096</v>
      </c>
      <c r="F924" t="str">
        <f t="array" ref="F924">if(iserror(index(fish_lab_data!C:C,match(B924,fish_lab_data!C:C,0))),"not dissected","dissected")</f>
        <v>dissected</v>
      </c>
    </row>
    <row r="925">
      <c r="A925" t="str">
        <f t="shared" si="1"/>
        <v>16952</v>
      </c>
      <c r="B925" t="str">
        <f>IFERROR(__xludf.DUMMYFUNCTION("""COMPUTED_VALUE"""),"U16952")</f>
        <v>U16952</v>
      </c>
      <c r="C925" t="str">
        <f>IFERROR(__xludf.DUMMYFUNCTION("""COMPUTED_VALUE"""),"SO")</f>
        <v>SO</v>
      </c>
      <c r="D925" t="str">
        <f>IFERROR(__xludf.DUMMYFUNCTION("""COMPUTED_VALUE"""),"JE422N1")</f>
        <v>JE422N1</v>
      </c>
      <c r="E925" t="str">
        <f>IFERROR(__xludf.DUMMYFUNCTION("""COMPUTED_VALUE"""),"P1096")</f>
        <v>P1096</v>
      </c>
      <c r="F925" t="str">
        <f t="array" ref="F925">if(iserror(index(fish_lab_data!C:C,match(B925,fish_lab_data!C:C,0))),"not dissected","dissected")</f>
        <v>dissected</v>
      </c>
    </row>
    <row r="926">
      <c r="A926" t="str">
        <f t="shared" si="1"/>
        <v>16953</v>
      </c>
      <c r="B926" t="str">
        <f>IFERROR(__xludf.DUMMYFUNCTION("""COMPUTED_VALUE"""),"U16953")</f>
        <v>U16953</v>
      </c>
      <c r="C926" t="str">
        <f>IFERROR(__xludf.DUMMYFUNCTION("""COMPUTED_VALUE"""),"SO")</f>
        <v>SO</v>
      </c>
      <c r="D926" t="str">
        <f>IFERROR(__xludf.DUMMYFUNCTION("""COMPUTED_VALUE"""),"JE422N1")</f>
        <v>JE422N1</v>
      </c>
      <c r="E926" t="str">
        <f>IFERROR(__xludf.DUMMYFUNCTION("""COMPUTED_VALUE"""),"P1096")</f>
        <v>P1096</v>
      </c>
      <c r="F926" t="str">
        <f t="array" ref="F926">if(iserror(index(fish_lab_data!C:C,match(B926,fish_lab_data!C:C,0))),"not dissected","dissected")</f>
        <v>dissected</v>
      </c>
    </row>
    <row r="927">
      <c r="A927" t="str">
        <f t="shared" si="1"/>
        <v>16954</v>
      </c>
      <c r="B927" t="str">
        <f>IFERROR(__xludf.DUMMYFUNCTION("""COMPUTED_VALUE"""),"U16954")</f>
        <v>U16954</v>
      </c>
      <c r="C927" t="str">
        <f>IFERROR(__xludf.DUMMYFUNCTION("""COMPUTED_VALUE"""),"SO")</f>
        <v>SO</v>
      </c>
      <c r="D927" t="str">
        <f>IFERROR(__xludf.DUMMYFUNCTION("""COMPUTED_VALUE"""),"JE422N1")</f>
        <v>JE422N1</v>
      </c>
      <c r="E927" t="str">
        <f>IFERROR(__xludf.DUMMYFUNCTION("""COMPUTED_VALUE"""),"P1096")</f>
        <v>P1096</v>
      </c>
      <c r="F927" t="str">
        <f t="array" ref="F927">if(iserror(index(fish_lab_data!C:C,match(B927,fish_lab_data!C:C,0))),"not dissected","dissected")</f>
        <v>dissected</v>
      </c>
    </row>
    <row r="928">
      <c r="A928" t="str">
        <f t="shared" si="1"/>
        <v>16955</v>
      </c>
      <c r="B928" t="str">
        <f>IFERROR(__xludf.DUMMYFUNCTION("""COMPUTED_VALUE"""),"U16955")</f>
        <v>U16955</v>
      </c>
      <c r="C928" t="str">
        <f>IFERROR(__xludf.DUMMYFUNCTION("""COMPUTED_VALUE"""),"SO")</f>
        <v>SO</v>
      </c>
      <c r="D928" t="str">
        <f>IFERROR(__xludf.DUMMYFUNCTION("""COMPUTED_VALUE"""),"JE422N1")</f>
        <v>JE422N1</v>
      </c>
      <c r="E928" t="str">
        <f>IFERROR(__xludf.DUMMYFUNCTION("""COMPUTED_VALUE"""),"P1096")</f>
        <v>P1096</v>
      </c>
      <c r="F928" t="str">
        <f t="array" ref="F928">if(iserror(index(fish_lab_data!C:C,match(B928,fish_lab_data!C:C,0))),"not dissected","dissected")</f>
        <v>dissected</v>
      </c>
    </row>
    <row r="929">
      <c r="A929" t="str">
        <f t="shared" si="1"/>
        <v>16581</v>
      </c>
      <c r="B929" t="str">
        <f>IFERROR(__xludf.DUMMYFUNCTION("""COMPUTED_VALUE"""),"U16581")</f>
        <v>U16581</v>
      </c>
      <c r="C929" t="str">
        <f>IFERROR(__xludf.DUMMYFUNCTION("""COMPUTED_VALUE"""),"SO")</f>
        <v>SO</v>
      </c>
      <c r="D929" t="str">
        <f>IFERROR(__xludf.DUMMYFUNCTION("""COMPUTED_VALUE"""),"JE422N2")</f>
        <v>JE422N2</v>
      </c>
      <c r="E929" t="str">
        <f>IFERROR(__xludf.DUMMYFUNCTION("""COMPUTED_VALUE"""),"P1059")</f>
        <v>P1059</v>
      </c>
      <c r="F929" t="str">
        <f t="array" ref="F929">if(iserror(index(fish_lab_data!C:C,match(B929,fish_lab_data!C:C,0))),"not dissected","dissected")</f>
        <v>dissected</v>
      </c>
    </row>
    <row r="930">
      <c r="A930" t="str">
        <f t="shared" si="1"/>
        <v>16582</v>
      </c>
      <c r="B930" t="str">
        <f>IFERROR(__xludf.DUMMYFUNCTION("""COMPUTED_VALUE"""),"U16582")</f>
        <v>U16582</v>
      </c>
      <c r="C930" t="str">
        <f>IFERROR(__xludf.DUMMYFUNCTION("""COMPUTED_VALUE"""),"SO")</f>
        <v>SO</v>
      </c>
      <c r="D930" t="str">
        <f>IFERROR(__xludf.DUMMYFUNCTION("""COMPUTED_VALUE"""),"JE422N2")</f>
        <v>JE422N2</v>
      </c>
      <c r="E930" t="str">
        <f>IFERROR(__xludf.DUMMYFUNCTION("""COMPUTED_VALUE"""),"P1059")</f>
        <v>P1059</v>
      </c>
      <c r="F930" t="str">
        <f t="array" ref="F930">if(iserror(index(fish_lab_data!C:C,match(B930,fish_lab_data!C:C,0))),"not dissected","dissected")</f>
        <v>dissected</v>
      </c>
    </row>
    <row r="931">
      <c r="A931" t="str">
        <f t="shared" si="1"/>
        <v>16583</v>
      </c>
      <c r="B931" t="str">
        <f>IFERROR(__xludf.DUMMYFUNCTION("""COMPUTED_VALUE"""),"U16583")</f>
        <v>U16583</v>
      </c>
      <c r="C931" t="str">
        <f>IFERROR(__xludf.DUMMYFUNCTION("""COMPUTED_VALUE"""),"SO")</f>
        <v>SO</v>
      </c>
      <c r="D931" t="str">
        <f>IFERROR(__xludf.DUMMYFUNCTION("""COMPUTED_VALUE"""),"JE422N2")</f>
        <v>JE422N2</v>
      </c>
      <c r="E931" t="str">
        <f>IFERROR(__xludf.DUMMYFUNCTION("""COMPUTED_VALUE"""),"P1059")</f>
        <v>P1059</v>
      </c>
      <c r="F931" t="str">
        <f t="array" ref="F931">if(iserror(index(fish_lab_data!C:C,match(B931,fish_lab_data!C:C,0))),"not dissected","dissected")</f>
        <v>dissected</v>
      </c>
    </row>
    <row r="932">
      <c r="A932" t="str">
        <f t="shared" si="1"/>
        <v>16584</v>
      </c>
      <c r="B932" t="str">
        <f>IFERROR(__xludf.DUMMYFUNCTION("""COMPUTED_VALUE"""),"U16584")</f>
        <v>U16584</v>
      </c>
      <c r="C932" t="str">
        <f>IFERROR(__xludf.DUMMYFUNCTION("""COMPUTED_VALUE"""),"SO")</f>
        <v>SO</v>
      </c>
      <c r="D932" t="str">
        <f>IFERROR(__xludf.DUMMYFUNCTION("""COMPUTED_VALUE"""),"JE422N2")</f>
        <v>JE422N2</v>
      </c>
      <c r="E932" t="str">
        <f>IFERROR(__xludf.DUMMYFUNCTION("""COMPUTED_VALUE"""),"P1059")</f>
        <v>P1059</v>
      </c>
      <c r="F932" t="str">
        <f t="array" ref="F932">if(iserror(index(fish_lab_data!C:C,match(B932,fish_lab_data!C:C,0))),"not dissected","dissected")</f>
        <v>dissected</v>
      </c>
    </row>
    <row r="933">
      <c r="A933" t="str">
        <f t="shared" si="1"/>
        <v>16585</v>
      </c>
      <c r="B933" t="str">
        <f>IFERROR(__xludf.DUMMYFUNCTION("""COMPUTED_VALUE"""),"U16585")</f>
        <v>U16585</v>
      </c>
      <c r="C933" t="str">
        <f>IFERROR(__xludf.DUMMYFUNCTION("""COMPUTED_VALUE"""),"SO")</f>
        <v>SO</v>
      </c>
      <c r="D933" t="str">
        <f>IFERROR(__xludf.DUMMYFUNCTION("""COMPUTED_VALUE"""),"JE422N2")</f>
        <v>JE422N2</v>
      </c>
      <c r="E933" t="str">
        <f>IFERROR(__xludf.DUMMYFUNCTION("""COMPUTED_VALUE"""),"P1059")</f>
        <v>P1059</v>
      </c>
      <c r="F933" t="str">
        <f t="array" ref="F933">if(iserror(index(fish_lab_data!C:C,match(B933,fish_lab_data!C:C,0))),"not dissected","dissected")</f>
        <v>dissected</v>
      </c>
    </row>
    <row r="934">
      <c r="A934" t="str">
        <f t="shared" si="1"/>
        <v>16611</v>
      </c>
      <c r="B934" t="str">
        <f>IFERROR(__xludf.DUMMYFUNCTION("""COMPUTED_VALUE"""),"U16611")</f>
        <v>U16611</v>
      </c>
      <c r="C934" t="str">
        <f>IFERROR(__xludf.DUMMYFUNCTION("""COMPUTED_VALUE"""),"PI")</f>
        <v>PI</v>
      </c>
      <c r="D934" t="str">
        <f>IFERROR(__xludf.DUMMYFUNCTION("""COMPUTED_VALUE"""),"JE422N1")</f>
        <v>JE422N1</v>
      </c>
      <c r="E934" t="str">
        <f>IFERROR(__xludf.DUMMYFUNCTION("""COMPUTED_VALUE"""),"P1062")</f>
        <v>P1062</v>
      </c>
      <c r="F934" t="str">
        <f t="array" ref="F934">if(iserror(index(fish_lab_data!C:C,match(B934,fish_lab_data!C:C,0))),"not dissected","dissected")</f>
        <v>dissected</v>
      </c>
    </row>
    <row r="935">
      <c r="A935" t="str">
        <f t="shared" si="1"/>
        <v>16612</v>
      </c>
      <c r="B935" t="str">
        <f>IFERROR(__xludf.DUMMYFUNCTION("""COMPUTED_VALUE"""),"U16612")</f>
        <v>U16612</v>
      </c>
      <c r="C935" t="str">
        <f>IFERROR(__xludf.DUMMYFUNCTION("""COMPUTED_VALUE"""),"PI")</f>
        <v>PI</v>
      </c>
      <c r="D935" t="str">
        <f>IFERROR(__xludf.DUMMYFUNCTION("""COMPUTED_VALUE"""),"JE422N1")</f>
        <v>JE422N1</v>
      </c>
      <c r="E935" t="str">
        <f>IFERROR(__xludf.DUMMYFUNCTION("""COMPUTED_VALUE"""),"P1062")</f>
        <v>P1062</v>
      </c>
      <c r="F935" t="str">
        <f t="array" ref="F935">if(iserror(index(fish_lab_data!C:C,match(B935,fish_lab_data!C:C,0))),"not dissected","dissected")</f>
        <v>dissected</v>
      </c>
    </row>
    <row r="936">
      <c r="A936" t="str">
        <f t="shared" si="1"/>
        <v>16613</v>
      </c>
      <c r="B936" t="str">
        <f>IFERROR(__xludf.DUMMYFUNCTION("""COMPUTED_VALUE"""),"U16613")</f>
        <v>U16613</v>
      </c>
      <c r="C936" t="str">
        <f>IFERROR(__xludf.DUMMYFUNCTION("""COMPUTED_VALUE"""),"PI")</f>
        <v>PI</v>
      </c>
      <c r="D936" t="str">
        <f>IFERROR(__xludf.DUMMYFUNCTION("""COMPUTED_VALUE"""),"JE422N1")</f>
        <v>JE422N1</v>
      </c>
      <c r="E936" t="str">
        <f>IFERROR(__xludf.DUMMYFUNCTION("""COMPUTED_VALUE"""),"P1062")</f>
        <v>P1062</v>
      </c>
      <c r="F936" t="str">
        <f t="array" ref="F936">if(iserror(index(fish_lab_data!C:C,match(B936,fish_lab_data!C:C,0))),"not dissected","dissected")</f>
        <v>dissected</v>
      </c>
    </row>
    <row r="937">
      <c r="A937" t="str">
        <f t="shared" si="1"/>
        <v>16614</v>
      </c>
      <c r="B937" t="str">
        <f>IFERROR(__xludf.DUMMYFUNCTION("""COMPUTED_VALUE"""),"U16614")</f>
        <v>U16614</v>
      </c>
      <c r="C937" t="str">
        <f>IFERROR(__xludf.DUMMYFUNCTION("""COMPUTED_VALUE"""),"PI")</f>
        <v>PI</v>
      </c>
      <c r="D937" t="str">
        <f>IFERROR(__xludf.DUMMYFUNCTION("""COMPUTED_VALUE"""),"JE422N1")</f>
        <v>JE422N1</v>
      </c>
      <c r="E937" t="str">
        <f>IFERROR(__xludf.DUMMYFUNCTION("""COMPUTED_VALUE"""),"P1062")</f>
        <v>P1062</v>
      </c>
      <c r="F937" t="str">
        <f t="array" ref="F937">if(iserror(index(fish_lab_data!C:C,match(B937,fish_lab_data!C:C,0))),"not dissected","dissected")</f>
        <v>dissected</v>
      </c>
    </row>
    <row r="938">
      <c r="A938" t="str">
        <f t="shared" si="1"/>
        <v>16615</v>
      </c>
      <c r="B938" t="str">
        <f>IFERROR(__xludf.DUMMYFUNCTION("""COMPUTED_VALUE"""),"U16615")</f>
        <v>U16615</v>
      </c>
      <c r="C938" t="str">
        <f>IFERROR(__xludf.DUMMYFUNCTION("""COMPUTED_VALUE"""),"PI")</f>
        <v>PI</v>
      </c>
      <c r="D938" t="str">
        <f>IFERROR(__xludf.DUMMYFUNCTION("""COMPUTED_VALUE"""),"JE422N1")</f>
        <v>JE422N1</v>
      </c>
      <c r="E938" t="str">
        <f>IFERROR(__xludf.DUMMYFUNCTION("""COMPUTED_VALUE"""),"P1062")</f>
        <v>P1062</v>
      </c>
      <c r="F938" t="str">
        <f t="array" ref="F938">if(iserror(index(fish_lab_data!C:C,match(B938,fish_lab_data!C:C,0))),"not dissected","dissected")</f>
        <v>dissected</v>
      </c>
    </row>
    <row r="939">
      <c r="A939" t="str">
        <f t="shared" si="1"/>
        <v>16616</v>
      </c>
      <c r="B939" t="str">
        <f>IFERROR(__xludf.DUMMYFUNCTION("""COMPUTED_VALUE"""),"U16616")</f>
        <v>U16616</v>
      </c>
      <c r="C939" t="str">
        <f>IFERROR(__xludf.DUMMYFUNCTION("""COMPUTED_VALUE"""),"PI")</f>
        <v>PI</v>
      </c>
      <c r="D939" t="str">
        <f>IFERROR(__xludf.DUMMYFUNCTION("""COMPUTED_VALUE"""),"JE422N1")</f>
        <v>JE422N1</v>
      </c>
      <c r="E939" t="str">
        <f>IFERROR(__xludf.DUMMYFUNCTION("""COMPUTED_VALUE"""),"P1062")</f>
        <v>P1062</v>
      </c>
      <c r="F939" t="str">
        <f t="array" ref="F939">if(iserror(index(fish_lab_data!C:C,match(B939,fish_lab_data!C:C,0))),"not dissected","dissected")</f>
        <v>dissected</v>
      </c>
    </row>
    <row r="940">
      <c r="A940" t="str">
        <f t="shared" si="1"/>
        <v>16617</v>
      </c>
      <c r="B940" t="str">
        <f>IFERROR(__xludf.DUMMYFUNCTION("""COMPUTED_VALUE"""),"U16617")</f>
        <v>U16617</v>
      </c>
      <c r="C940" t="str">
        <f>IFERROR(__xludf.DUMMYFUNCTION("""COMPUTED_VALUE"""),"PI")</f>
        <v>PI</v>
      </c>
      <c r="D940" t="str">
        <f>IFERROR(__xludf.DUMMYFUNCTION("""COMPUTED_VALUE"""),"JE422N1")</f>
        <v>JE422N1</v>
      </c>
      <c r="E940" t="str">
        <f>IFERROR(__xludf.DUMMYFUNCTION("""COMPUTED_VALUE"""),"P1062")</f>
        <v>P1062</v>
      </c>
      <c r="F940" t="str">
        <f t="array" ref="F940">if(iserror(index(fish_lab_data!C:C,match(B940,fish_lab_data!C:C,0))),"not dissected","dissected")</f>
        <v>dissected</v>
      </c>
    </row>
    <row r="941">
      <c r="A941" t="str">
        <f t="shared" si="1"/>
        <v>16618</v>
      </c>
      <c r="B941" t="str">
        <f>IFERROR(__xludf.DUMMYFUNCTION("""COMPUTED_VALUE"""),"U16618")</f>
        <v>U16618</v>
      </c>
      <c r="C941" t="str">
        <f>IFERROR(__xludf.DUMMYFUNCTION("""COMPUTED_VALUE"""),"PI")</f>
        <v>PI</v>
      </c>
      <c r="D941" t="str">
        <f>IFERROR(__xludf.DUMMYFUNCTION("""COMPUTED_VALUE"""),"JE422N1")</f>
        <v>JE422N1</v>
      </c>
      <c r="E941" t="str">
        <f>IFERROR(__xludf.DUMMYFUNCTION("""COMPUTED_VALUE"""),"P1062")</f>
        <v>P1062</v>
      </c>
      <c r="F941" t="str">
        <f t="array" ref="F941">if(iserror(index(fish_lab_data!C:C,match(B941,fish_lab_data!C:C,0))),"not dissected","dissected")</f>
        <v>dissected</v>
      </c>
    </row>
    <row r="942">
      <c r="A942" t="str">
        <f t="shared" si="1"/>
        <v>16619</v>
      </c>
      <c r="B942" t="str">
        <f>IFERROR(__xludf.DUMMYFUNCTION("""COMPUTED_VALUE"""),"U16619")</f>
        <v>U16619</v>
      </c>
      <c r="C942" t="str">
        <f>IFERROR(__xludf.DUMMYFUNCTION("""COMPUTED_VALUE"""),"PI")</f>
        <v>PI</v>
      </c>
      <c r="D942" t="str">
        <f>IFERROR(__xludf.DUMMYFUNCTION("""COMPUTED_VALUE"""),"JE422N1")</f>
        <v>JE422N1</v>
      </c>
      <c r="E942" t="str">
        <f>IFERROR(__xludf.DUMMYFUNCTION("""COMPUTED_VALUE"""),"P1062")</f>
        <v>P1062</v>
      </c>
      <c r="F942" t="str">
        <f t="array" ref="F942">if(iserror(index(fish_lab_data!C:C,match(B942,fish_lab_data!C:C,0))),"not dissected","dissected")</f>
        <v>dissected</v>
      </c>
    </row>
    <row r="943">
      <c r="A943" t="str">
        <f t="shared" si="1"/>
        <v>16620</v>
      </c>
      <c r="B943" t="str">
        <f>IFERROR(__xludf.DUMMYFUNCTION("""COMPUTED_VALUE"""),"U16620")</f>
        <v>U16620</v>
      </c>
      <c r="C943" t="str">
        <f>IFERROR(__xludf.DUMMYFUNCTION("""COMPUTED_VALUE"""),"PI")</f>
        <v>PI</v>
      </c>
      <c r="D943" t="str">
        <f>IFERROR(__xludf.DUMMYFUNCTION("""COMPUTED_VALUE"""),"JE422N1")</f>
        <v>JE422N1</v>
      </c>
      <c r="E943" t="str">
        <f>IFERROR(__xludf.DUMMYFUNCTION("""COMPUTED_VALUE"""),"P1062")</f>
        <v>P1062</v>
      </c>
      <c r="F943" t="str">
        <f t="array" ref="F943">if(iserror(index(fish_lab_data!C:C,match(B943,fish_lab_data!C:C,0))),"not dissected","dissected")</f>
        <v>dissected</v>
      </c>
    </row>
    <row r="944">
      <c r="A944" t="str">
        <f t="shared" si="1"/>
        <v>16911</v>
      </c>
      <c r="B944" t="str">
        <f>IFERROR(__xludf.DUMMYFUNCTION("""COMPUTED_VALUE"""),"U16911")</f>
        <v>U16911</v>
      </c>
      <c r="C944" t="str">
        <f>IFERROR(__xludf.DUMMYFUNCTION("""COMPUTED_VALUE"""),"CU")</f>
        <v>CU</v>
      </c>
      <c r="D944" t="str">
        <f>IFERROR(__xludf.DUMMYFUNCTION("""COMPUTED_VALUE"""),"JE422N1")</f>
        <v>JE422N1</v>
      </c>
      <c r="E944" t="str">
        <f>IFERROR(__xludf.DUMMYFUNCTION("""COMPUTED_VALUE"""),"P1092")</f>
        <v>P1092</v>
      </c>
      <c r="F944" t="str">
        <f t="array" ref="F944">if(iserror(index(fish_lab_data!C:C,match(B944,fish_lab_data!C:C,0))),"not dissected","dissected")</f>
        <v>dissected</v>
      </c>
    </row>
    <row r="945">
      <c r="A945" t="str">
        <f t="shared" si="1"/>
        <v>16912</v>
      </c>
      <c r="B945" t="str">
        <f>IFERROR(__xludf.DUMMYFUNCTION("""COMPUTED_VALUE"""),"U16912")</f>
        <v>U16912</v>
      </c>
      <c r="C945" t="str">
        <f>IFERROR(__xludf.DUMMYFUNCTION("""COMPUTED_VALUE"""),"CU")</f>
        <v>CU</v>
      </c>
      <c r="D945" t="str">
        <f>IFERROR(__xludf.DUMMYFUNCTION("""COMPUTED_VALUE"""),"JE422N1")</f>
        <v>JE422N1</v>
      </c>
      <c r="E945" t="str">
        <f>IFERROR(__xludf.DUMMYFUNCTION("""COMPUTED_VALUE"""),"P1092")</f>
        <v>P1092</v>
      </c>
      <c r="F945" t="str">
        <f t="array" ref="F945">if(iserror(index(fish_lab_data!C:C,match(B945,fish_lab_data!C:C,0))),"not dissected","dissected")</f>
        <v>dissected</v>
      </c>
    </row>
    <row r="946">
      <c r="A946" t="str">
        <f t="shared" si="1"/>
        <v>16913</v>
      </c>
      <c r="B946" t="str">
        <f>IFERROR(__xludf.DUMMYFUNCTION("""COMPUTED_VALUE"""),"U16913")</f>
        <v>U16913</v>
      </c>
      <c r="C946" t="str">
        <f>IFERROR(__xludf.DUMMYFUNCTION("""COMPUTED_VALUE"""),"CU")</f>
        <v>CU</v>
      </c>
      <c r="D946" t="str">
        <f>IFERROR(__xludf.DUMMYFUNCTION("""COMPUTED_VALUE"""),"JE422N1")</f>
        <v>JE422N1</v>
      </c>
      <c r="E946" t="str">
        <f>IFERROR(__xludf.DUMMYFUNCTION("""COMPUTED_VALUE"""),"P1092")</f>
        <v>P1092</v>
      </c>
      <c r="F946" t="str">
        <f t="array" ref="F946">if(iserror(index(fish_lab_data!C:C,match(B946,fish_lab_data!C:C,0))),"not dissected","dissected")</f>
        <v>dissected</v>
      </c>
    </row>
    <row r="947">
      <c r="A947" t="str">
        <f t="shared" si="1"/>
        <v>16914</v>
      </c>
      <c r="B947" t="str">
        <f>IFERROR(__xludf.DUMMYFUNCTION("""COMPUTED_VALUE"""),"U16914")</f>
        <v>U16914</v>
      </c>
      <c r="C947" t="str">
        <f>IFERROR(__xludf.DUMMYFUNCTION("""COMPUTED_VALUE"""),"CU")</f>
        <v>CU</v>
      </c>
      <c r="D947" t="str">
        <f>IFERROR(__xludf.DUMMYFUNCTION("""COMPUTED_VALUE"""),"JE422N1")</f>
        <v>JE422N1</v>
      </c>
      <c r="E947" t="str">
        <f>IFERROR(__xludf.DUMMYFUNCTION("""COMPUTED_VALUE"""),"P1092")</f>
        <v>P1092</v>
      </c>
      <c r="F947" t="str">
        <f t="array" ref="F947">if(iserror(index(fish_lab_data!C:C,match(B947,fish_lab_data!C:C,0))),"not dissected","dissected")</f>
        <v>dissected</v>
      </c>
    </row>
    <row r="948">
      <c r="A948" t="str">
        <f t="shared" si="1"/>
        <v>16915</v>
      </c>
      <c r="B948" t="str">
        <f>IFERROR(__xludf.DUMMYFUNCTION("""COMPUTED_VALUE"""),"U16915")</f>
        <v>U16915</v>
      </c>
      <c r="C948" t="str">
        <f>IFERROR(__xludf.DUMMYFUNCTION("""COMPUTED_VALUE"""),"CU")</f>
        <v>CU</v>
      </c>
      <c r="D948" t="str">
        <f>IFERROR(__xludf.DUMMYFUNCTION("""COMPUTED_VALUE"""),"JE422N1")</f>
        <v>JE422N1</v>
      </c>
      <c r="E948" t="str">
        <f>IFERROR(__xludf.DUMMYFUNCTION("""COMPUTED_VALUE"""),"P1092")</f>
        <v>P1092</v>
      </c>
      <c r="F948" t="str">
        <f t="array" ref="F948">if(iserror(index(fish_lab_data!C:C,match(B948,fish_lab_data!C:C,0))),"not dissected","dissected")</f>
        <v>dissected</v>
      </c>
    </row>
    <row r="949">
      <c r="A949" t="str">
        <f t="shared" si="1"/>
        <v>16916</v>
      </c>
      <c r="B949" t="str">
        <f>IFERROR(__xludf.DUMMYFUNCTION("""COMPUTED_VALUE"""),"U16916")</f>
        <v>U16916</v>
      </c>
      <c r="C949" t="str">
        <f>IFERROR(__xludf.DUMMYFUNCTION("""COMPUTED_VALUE"""),"CU")</f>
        <v>CU</v>
      </c>
      <c r="D949" t="str">
        <f>IFERROR(__xludf.DUMMYFUNCTION("""COMPUTED_VALUE"""),"JE422N1")</f>
        <v>JE422N1</v>
      </c>
      <c r="E949" t="str">
        <f>IFERROR(__xludf.DUMMYFUNCTION("""COMPUTED_VALUE"""),"P1092")</f>
        <v>P1092</v>
      </c>
      <c r="F949" t="str">
        <f t="array" ref="F949">if(iserror(index(fish_lab_data!C:C,match(B949,fish_lab_data!C:C,0))),"not dissected","dissected")</f>
        <v>dissected</v>
      </c>
    </row>
    <row r="950">
      <c r="A950" t="str">
        <f t="shared" si="1"/>
        <v>16917</v>
      </c>
      <c r="B950" t="str">
        <f>IFERROR(__xludf.DUMMYFUNCTION("""COMPUTED_VALUE"""),"U16917")</f>
        <v>U16917</v>
      </c>
      <c r="C950" t="str">
        <f>IFERROR(__xludf.DUMMYFUNCTION("""COMPUTED_VALUE"""),"CU")</f>
        <v>CU</v>
      </c>
      <c r="D950" t="str">
        <f>IFERROR(__xludf.DUMMYFUNCTION("""COMPUTED_VALUE"""),"JE422N1")</f>
        <v>JE422N1</v>
      </c>
      <c r="E950" t="str">
        <f>IFERROR(__xludf.DUMMYFUNCTION("""COMPUTED_VALUE"""),"P1092")</f>
        <v>P1092</v>
      </c>
      <c r="F950" t="str">
        <f t="array" ref="F950">if(iserror(index(fish_lab_data!C:C,match(B950,fish_lab_data!C:C,0))),"not dissected","dissected")</f>
        <v>dissected</v>
      </c>
    </row>
    <row r="951">
      <c r="A951" t="str">
        <f t="shared" si="1"/>
        <v>16918</v>
      </c>
      <c r="B951" t="str">
        <f>IFERROR(__xludf.DUMMYFUNCTION("""COMPUTED_VALUE"""),"U16918")</f>
        <v>U16918</v>
      </c>
      <c r="C951" t="str">
        <f>IFERROR(__xludf.DUMMYFUNCTION("""COMPUTED_VALUE"""),"CU")</f>
        <v>CU</v>
      </c>
      <c r="D951" t="str">
        <f>IFERROR(__xludf.DUMMYFUNCTION("""COMPUTED_VALUE"""),"JE422N1")</f>
        <v>JE422N1</v>
      </c>
      <c r="E951" t="str">
        <f>IFERROR(__xludf.DUMMYFUNCTION("""COMPUTED_VALUE"""),"P1092")</f>
        <v>P1092</v>
      </c>
      <c r="F951" t="str">
        <f t="array" ref="F951">if(iserror(index(fish_lab_data!C:C,match(B951,fish_lab_data!C:C,0))),"not dissected","dissected")</f>
        <v>dissected</v>
      </c>
    </row>
    <row r="952">
      <c r="A952" t="str">
        <f t="shared" si="1"/>
        <v>16919</v>
      </c>
      <c r="B952" t="str">
        <f>IFERROR(__xludf.DUMMYFUNCTION("""COMPUTED_VALUE"""),"U16919")</f>
        <v>U16919</v>
      </c>
      <c r="C952" t="str">
        <f>IFERROR(__xludf.DUMMYFUNCTION("""COMPUTED_VALUE"""),"CU")</f>
        <v>CU</v>
      </c>
      <c r="D952" t="str">
        <f>IFERROR(__xludf.DUMMYFUNCTION("""COMPUTED_VALUE"""),"JE422N1")</f>
        <v>JE422N1</v>
      </c>
      <c r="E952" t="str">
        <f>IFERROR(__xludf.DUMMYFUNCTION("""COMPUTED_VALUE"""),"P1092")</f>
        <v>P1092</v>
      </c>
      <c r="F952" t="str">
        <f t="array" ref="F952">if(iserror(index(fish_lab_data!C:C,match(B952,fish_lab_data!C:C,0))),"not dissected","dissected")</f>
        <v>dissected</v>
      </c>
    </row>
    <row r="953">
      <c r="A953" t="str">
        <f t="shared" si="1"/>
        <v>16920</v>
      </c>
      <c r="B953" t="str">
        <f>IFERROR(__xludf.DUMMYFUNCTION("""COMPUTED_VALUE"""),"U16920")</f>
        <v>U16920</v>
      </c>
      <c r="C953" t="str">
        <f>IFERROR(__xludf.DUMMYFUNCTION("""COMPUTED_VALUE"""),"CU")</f>
        <v>CU</v>
      </c>
      <c r="D953" t="str">
        <f>IFERROR(__xludf.DUMMYFUNCTION("""COMPUTED_VALUE"""),"JE422N1")</f>
        <v>JE422N1</v>
      </c>
      <c r="E953" t="str">
        <f>IFERROR(__xludf.DUMMYFUNCTION("""COMPUTED_VALUE"""),"P1092")</f>
        <v>P1092</v>
      </c>
      <c r="F953" t="str">
        <f t="array" ref="F953">if(iserror(index(fish_lab_data!C:C,match(B953,fish_lab_data!C:C,0))),"not dissected","dissected")</f>
        <v>dissected</v>
      </c>
    </row>
    <row r="954">
      <c r="A954" t="str">
        <f t="shared" si="1"/>
        <v>16931</v>
      </c>
      <c r="B954" t="str">
        <f>IFERROR(__xludf.DUMMYFUNCTION("""COMPUTED_VALUE"""),"U16931")</f>
        <v>U16931</v>
      </c>
      <c r="C954" t="str">
        <f>IFERROR(__xludf.DUMMYFUNCTION("""COMPUTED_VALUE"""),"SO")</f>
        <v>SO</v>
      </c>
      <c r="D954" t="str">
        <f>IFERROR(__xludf.DUMMYFUNCTION("""COMPUTED_VALUE"""),"JE422N2")</f>
        <v>JE422N2</v>
      </c>
      <c r="E954" t="str">
        <f>IFERROR(__xludf.DUMMYFUNCTION("""COMPUTED_VALUE"""),"P1094")</f>
        <v>P1094</v>
      </c>
      <c r="F954" t="str">
        <f t="array" ref="F954">if(iserror(index(fish_lab_data!C:C,match(B954,fish_lab_data!C:C,0))),"not dissected","dissected")</f>
        <v>dissected</v>
      </c>
    </row>
    <row r="955">
      <c r="A955" t="str">
        <f t="shared" si="1"/>
        <v>16932</v>
      </c>
      <c r="B955" t="str">
        <f>IFERROR(__xludf.DUMMYFUNCTION("""COMPUTED_VALUE"""),"U16932")</f>
        <v>U16932</v>
      </c>
      <c r="C955" t="str">
        <f>IFERROR(__xludf.DUMMYFUNCTION("""COMPUTED_VALUE"""),"SO")</f>
        <v>SO</v>
      </c>
      <c r="D955" t="str">
        <f>IFERROR(__xludf.DUMMYFUNCTION("""COMPUTED_VALUE"""),"JE422N2")</f>
        <v>JE422N2</v>
      </c>
      <c r="E955" t="str">
        <f>IFERROR(__xludf.DUMMYFUNCTION("""COMPUTED_VALUE"""),"P1094")</f>
        <v>P1094</v>
      </c>
      <c r="F955" t="str">
        <f t="array" ref="F955">if(iserror(index(fish_lab_data!C:C,match(B955,fish_lab_data!C:C,0))),"not dissected","dissected")</f>
        <v>dissected</v>
      </c>
    </row>
    <row r="956">
      <c r="A956" t="str">
        <f t="shared" si="1"/>
        <v>16933</v>
      </c>
      <c r="B956" t="str">
        <f>IFERROR(__xludf.DUMMYFUNCTION("""COMPUTED_VALUE"""),"U16933")</f>
        <v>U16933</v>
      </c>
      <c r="C956" t="str">
        <f>IFERROR(__xludf.DUMMYFUNCTION("""COMPUTED_VALUE"""),"SO")</f>
        <v>SO</v>
      </c>
      <c r="D956" t="str">
        <f>IFERROR(__xludf.DUMMYFUNCTION("""COMPUTED_VALUE"""),"JE422N2")</f>
        <v>JE422N2</v>
      </c>
      <c r="E956" t="str">
        <f>IFERROR(__xludf.DUMMYFUNCTION("""COMPUTED_VALUE"""),"P1094")</f>
        <v>P1094</v>
      </c>
      <c r="F956" t="str">
        <f t="array" ref="F956">if(iserror(index(fish_lab_data!C:C,match(B956,fish_lab_data!C:C,0))),"not dissected","dissected")</f>
        <v>dissected</v>
      </c>
    </row>
    <row r="957">
      <c r="A957" t="str">
        <f t="shared" si="1"/>
        <v>16934</v>
      </c>
      <c r="B957" t="str">
        <f>IFERROR(__xludf.DUMMYFUNCTION("""COMPUTED_VALUE"""),"U16934")</f>
        <v>U16934</v>
      </c>
      <c r="C957" t="str">
        <f>IFERROR(__xludf.DUMMYFUNCTION("""COMPUTED_VALUE"""),"SO")</f>
        <v>SO</v>
      </c>
      <c r="D957" t="str">
        <f>IFERROR(__xludf.DUMMYFUNCTION("""COMPUTED_VALUE"""),"JE422N2")</f>
        <v>JE422N2</v>
      </c>
      <c r="E957" t="str">
        <f>IFERROR(__xludf.DUMMYFUNCTION("""COMPUTED_VALUE"""),"P1094")</f>
        <v>P1094</v>
      </c>
      <c r="F957" t="str">
        <f t="array" ref="F957">if(iserror(index(fish_lab_data!C:C,match(B957,fish_lab_data!C:C,0))),"not dissected","dissected")</f>
        <v>dissected</v>
      </c>
    </row>
    <row r="958">
      <c r="A958" t="str">
        <f t="shared" si="1"/>
        <v>16935</v>
      </c>
      <c r="B958" t="str">
        <f>IFERROR(__xludf.DUMMYFUNCTION("""COMPUTED_VALUE"""),"U16935")</f>
        <v>U16935</v>
      </c>
      <c r="C958" t="str">
        <f>IFERROR(__xludf.DUMMYFUNCTION("""COMPUTED_VALUE"""),"SO")</f>
        <v>SO</v>
      </c>
      <c r="D958" t="str">
        <f>IFERROR(__xludf.DUMMYFUNCTION("""COMPUTED_VALUE"""),"JE422N2")</f>
        <v>JE422N2</v>
      </c>
      <c r="E958" t="str">
        <f>IFERROR(__xludf.DUMMYFUNCTION("""COMPUTED_VALUE"""),"P1094")</f>
        <v>P1094</v>
      </c>
      <c r="F958" t="str">
        <f t="array" ref="F958">if(iserror(index(fish_lab_data!C:C,match(B958,fish_lab_data!C:C,0))),"not dissected","dissected")</f>
        <v>dissected</v>
      </c>
    </row>
    <row r="959">
      <c r="A959" t="str">
        <f t="shared" si="1"/>
        <v>16936</v>
      </c>
      <c r="B959" t="str">
        <f>IFERROR(__xludf.DUMMYFUNCTION("""COMPUTED_VALUE"""),"U16936")</f>
        <v>U16936</v>
      </c>
      <c r="C959" t="str">
        <f>IFERROR(__xludf.DUMMYFUNCTION("""COMPUTED_VALUE"""),"SO")</f>
        <v>SO</v>
      </c>
      <c r="D959" t="str">
        <f>IFERROR(__xludf.DUMMYFUNCTION("""COMPUTED_VALUE"""),"JE422N2")</f>
        <v>JE422N2</v>
      </c>
      <c r="E959" t="str">
        <f>IFERROR(__xludf.DUMMYFUNCTION("""COMPUTED_VALUE"""),"P1094")</f>
        <v>P1094</v>
      </c>
      <c r="F959" t="str">
        <f t="array" ref="F959">if(iserror(index(fish_lab_data!C:C,match(B959,fish_lab_data!C:C,0))),"not dissected","dissected")</f>
        <v>dissected</v>
      </c>
    </row>
    <row r="960">
      <c r="A960" t="str">
        <f t="shared" si="1"/>
        <v>16937</v>
      </c>
      <c r="B960" t="str">
        <f>IFERROR(__xludf.DUMMYFUNCTION("""COMPUTED_VALUE"""),"U16937")</f>
        <v>U16937</v>
      </c>
      <c r="C960" t="str">
        <f>IFERROR(__xludf.DUMMYFUNCTION("""COMPUTED_VALUE"""),"SO")</f>
        <v>SO</v>
      </c>
      <c r="D960" t="str">
        <f>IFERROR(__xludf.DUMMYFUNCTION("""COMPUTED_VALUE"""),"JE422N2")</f>
        <v>JE422N2</v>
      </c>
      <c r="E960" t="str">
        <f>IFERROR(__xludf.DUMMYFUNCTION("""COMPUTED_VALUE"""),"P1094")</f>
        <v>P1094</v>
      </c>
      <c r="F960" t="str">
        <f t="array" ref="F960">if(iserror(index(fish_lab_data!C:C,match(B960,fish_lab_data!C:C,0))),"not dissected","dissected")</f>
        <v>dissected</v>
      </c>
    </row>
    <row r="961">
      <c r="A961" t="str">
        <f t="shared" si="1"/>
        <v>16531</v>
      </c>
      <c r="B961" t="str">
        <f>IFERROR(__xludf.DUMMYFUNCTION("""COMPUTED_VALUE"""),"U16531")</f>
        <v>U16531</v>
      </c>
      <c r="C961" t="str">
        <f>IFERROR(__xludf.DUMMYFUNCTION("""COMPUTED_VALUE"""),"HE")</f>
        <v>HE</v>
      </c>
      <c r="D961" t="str">
        <f>IFERROR(__xludf.DUMMYFUNCTION("""COMPUTED_VALUE"""),"JE422N2")</f>
        <v>JE422N2</v>
      </c>
      <c r="E961" t="str">
        <f>IFERROR(__xludf.DUMMYFUNCTION("""COMPUTED_VALUE"""),"P1054")</f>
        <v>P1054</v>
      </c>
      <c r="F961" t="str">
        <f t="array" ref="F961">if(iserror(index(fish_lab_data!C:C,match(B961,fish_lab_data!C:C,0))),"not dissected","dissected")</f>
        <v>dissected</v>
      </c>
    </row>
    <row r="962">
      <c r="A962" t="str">
        <f t="shared" si="1"/>
        <v>16691</v>
      </c>
      <c r="B962" t="str">
        <f>IFERROR(__xludf.DUMMYFUNCTION("""COMPUTED_VALUE"""),"U16691")</f>
        <v>U16691</v>
      </c>
      <c r="C962" t="str">
        <f>IFERROR(__xludf.DUMMYFUNCTION("""COMPUTED_VALUE"""),"CO")</f>
        <v>CO</v>
      </c>
      <c r="D962" t="str">
        <f>IFERROR(__xludf.DUMMYFUNCTION("""COMPUTED_VALUE"""),"JE422N1")</f>
        <v>JE422N1</v>
      </c>
      <c r="E962" t="str">
        <f>IFERROR(__xludf.DUMMYFUNCTION("""COMPUTED_VALUE"""),"P1070")</f>
        <v>P1070</v>
      </c>
      <c r="F962" t="str">
        <f t="array" ref="F962">if(iserror(index(fish_lab_data!C:C,match(B962,fish_lab_data!C:C,0))),"not dissected","dissected")</f>
        <v>dissected</v>
      </c>
    </row>
    <row r="963">
      <c r="A963" t="str">
        <f t="shared" si="1"/>
        <v>17891</v>
      </c>
      <c r="B963" t="str">
        <f>IFERROR(__xludf.DUMMYFUNCTION("""COMPUTED_VALUE"""),"U17891")</f>
        <v>U17891</v>
      </c>
      <c r="C963" t="str">
        <f>IFERROR(__xludf.DUMMYFUNCTION("""COMPUTED_VALUE"""),"SO")</f>
        <v>SO</v>
      </c>
      <c r="D963" t="str">
        <f>IFERROR(__xludf.DUMMYFUNCTION("""COMPUTED_VALUE"""),"JE423N1")</f>
        <v>JE423N1</v>
      </c>
      <c r="E963" t="str">
        <f>IFERROR(__xludf.DUMMYFUNCTION("""COMPUTED_VALUE"""),"P1190")</f>
        <v>P1190</v>
      </c>
      <c r="F963" t="str">
        <f t="array" ref="F963">if(iserror(index(fish_lab_data!C:C,match(B963,fish_lab_data!C:C,0))),"not dissected","dissected")</f>
        <v>dissected</v>
      </c>
    </row>
    <row r="964">
      <c r="A964" t="str">
        <f t="shared" si="1"/>
        <v>17941</v>
      </c>
      <c r="B964" t="str">
        <f>IFERROR(__xludf.DUMMYFUNCTION("""COMPUTED_VALUE"""),"U17941")</f>
        <v>U17941</v>
      </c>
      <c r="C964" t="str">
        <f>IFERROR(__xludf.DUMMYFUNCTION("""COMPUTED_VALUE"""),"SO")</f>
        <v>SO</v>
      </c>
      <c r="D964" t="str">
        <f>IFERROR(__xludf.DUMMYFUNCTION("""COMPUTED_VALUE"""),"JE423N2")</f>
        <v>JE423N2</v>
      </c>
      <c r="E964" t="str">
        <f>IFERROR(__xludf.DUMMYFUNCTION("""COMPUTED_VALUE"""),"P1195")</f>
        <v>P1195</v>
      </c>
      <c r="F964" t="str">
        <f t="array" ref="F964">if(iserror(index(fish_lab_data!C:C,match(B964,fish_lab_data!C:C,0))),"not dissected","dissected")</f>
        <v>dissected</v>
      </c>
    </row>
    <row r="965">
      <c r="A965" t="str">
        <f t="shared" si="1"/>
        <v>17942</v>
      </c>
      <c r="B965" t="str">
        <f>IFERROR(__xludf.DUMMYFUNCTION("""COMPUTED_VALUE"""),"U17942")</f>
        <v>U17942</v>
      </c>
      <c r="C965" t="str">
        <f>IFERROR(__xludf.DUMMYFUNCTION("""COMPUTED_VALUE"""),"SO")</f>
        <v>SO</v>
      </c>
      <c r="D965" t="str">
        <f>IFERROR(__xludf.DUMMYFUNCTION("""COMPUTED_VALUE"""),"JE423N2")</f>
        <v>JE423N2</v>
      </c>
      <c r="E965" t="str">
        <f>IFERROR(__xludf.DUMMYFUNCTION("""COMPUTED_VALUE"""),"P1195")</f>
        <v>P1195</v>
      </c>
      <c r="F965" t="str">
        <f t="array" ref="F965">if(iserror(index(fish_lab_data!C:C,match(B965,fish_lab_data!C:C,0))),"not dissected","dissected")</f>
        <v>dissected</v>
      </c>
    </row>
    <row r="966">
      <c r="A966" t="str">
        <f t="shared" si="1"/>
        <v>17943</v>
      </c>
      <c r="B966" t="str">
        <f>IFERROR(__xludf.DUMMYFUNCTION("""COMPUTED_VALUE"""),"U17943")</f>
        <v>U17943</v>
      </c>
      <c r="C966" t="str">
        <f>IFERROR(__xludf.DUMMYFUNCTION("""COMPUTED_VALUE"""),"SO")</f>
        <v>SO</v>
      </c>
      <c r="D966" t="str">
        <f>IFERROR(__xludf.DUMMYFUNCTION("""COMPUTED_VALUE"""),"JE423N2")</f>
        <v>JE423N2</v>
      </c>
      <c r="E966" t="str">
        <f>IFERROR(__xludf.DUMMYFUNCTION("""COMPUTED_VALUE"""),"P1195")</f>
        <v>P1195</v>
      </c>
      <c r="F966" t="str">
        <f t="array" ref="F966">if(iserror(index(fish_lab_data!C:C,match(B966,fish_lab_data!C:C,0))),"not dissected","dissected")</f>
        <v>dissected</v>
      </c>
    </row>
    <row r="967">
      <c r="A967" t="str">
        <f t="shared" si="1"/>
        <v>17944</v>
      </c>
      <c r="B967" t="str">
        <f>IFERROR(__xludf.DUMMYFUNCTION("""COMPUTED_VALUE"""),"U17944")</f>
        <v>U17944</v>
      </c>
      <c r="C967" t="str">
        <f>IFERROR(__xludf.DUMMYFUNCTION("""COMPUTED_VALUE"""),"SO")</f>
        <v>SO</v>
      </c>
      <c r="D967" t="str">
        <f>IFERROR(__xludf.DUMMYFUNCTION("""COMPUTED_VALUE"""),"JE423N2")</f>
        <v>JE423N2</v>
      </c>
      <c r="E967" t="str">
        <f>IFERROR(__xludf.DUMMYFUNCTION("""COMPUTED_VALUE"""),"P1195")</f>
        <v>P1195</v>
      </c>
      <c r="F967" t="str">
        <f t="array" ref="F967">if(iserror(index(fish_lab_data!C:C,match(B967,fish_lab_data!C:C,0))),"not dissected","dissected")</f>
        <v>dissected</v>
      </c>
    </row>
    <row r="968">
      <c r="A968" t="str">
        <f t="shared" si="1"/>
        <v>17931</v>
      </c>
      <c r="B968" t="str">
        <f>IFERROR(__xludf.DUMMYFUNCTION("""COMPUTED_VALUE"""),"U17931")</f>
        <v>U17931</v>
      </c>
      <c r="C968" t="str">
        <f>IFERROR(__xludf.DUMMYFUNCTION("""COMPUTED_VALUE"""),"PI")</f>
        <v>PI</v>
      </c>
      <c r="D968" t="str">
        <f>IFERROR(__xludf.DUMMYFUNCTION("""COMPUTED_VALUE"""),"JE423N1")</f>
        <v>JE423N1</v>
      </c>
      <c r="E968" t="str">
        <f>IFERROR(__xludf.DUMMYFUNCTION("""COMPUTED_VALUE"""),"P1194")</f>
        <v>P1194</v>
      </c>
      <c r="F968" t="str">
        <f t="array" ref="F968">if(iserror(index(fish_lab_data!C:C,match(B968,fish_lab_data!C:C,0))),"not dissected","dissected")</f>
        <v>dissected</v>
      </c>
    </row>
    <row r="969">
      <c r="A969" t="str">
        <f t="shared" si="1"/>
        <v>17932</v>
      </c>
      <c r="B969" t="str">
        <f>IFERROR(__xludf.DUMMYFUNCTION("""COMPUTED_VALUE"""),"U17932")</f>
        <v>U17932</v>
      </c>
      <c r="C969" t="str">
        <f>IFERROR(__xludf.DUMMYFUNCTION("""COMPUTED_VALUE"""),"PI")</f>
        <v>PI</v>
      </c>
      <c r="D969" t="str">
        <f>IFERROR(__xludf.DUMMYFUNCTION("""COMPUTED_VALUE"""),"JE423N1")</f>
        <v>JE423N1</v>
      </c>
      <c r="E969" t="str">
        <f>IFERROR(__xludf.DUMMYFUNCTION("""COMPUTED_VALUE"""),"P1194")</f>
        <v>P1194</v>
      </c>
      <c r="F969" t="str">
        <f t="array" ref="F969">if(iserror(index(fish_lab_data!C:C,match(B969,fish_lab_data!C:C,0))),"not dissected","dissected")</f>
        <v>dissected</v>
      </c>
    </row>
    <row r="970">
      <c r="A970" t="str">
        <f t="shared" si="1"/>
        <v>17933</v>
      </c>
      <c r="B970" t="str">
        <f>IFERROR(__xludf.DUMMYFUNCTION("""COMPUTED_VALUE"""),"U17933")</f>
        <v>U17933</v>
      </c>
      <c r="C970" t="str">
        <f>IFERROR(__xludf.DUMMYFUNCTION("""COMPUTED_VALUE"""),"PI")</f>
        <v>PI</v>
      </c>
      <c r="D970" t="str">
        <f>IFERROR(__xludf.DUMMYFUNCTION("""COMPUTED_VALUE"""),"JE423N1")</f>
        <v>JE423N1</v>
      </c>
      <c r="E970" t="str">
        <f>IFERROR(__xludf.DUMMYFUNCTION("""COMPUTED_VALUE"""),"P1194")</f>
        <v>P1194</v>
      </c>
      <c r="F970" t="str">
        <f t="array" ref="F970">if(iserror(index(fish_lab_data!C:C,match(B970,fish_lab_data!C:C,0))),"not dissected","dissected")</f>
        <v>dissected</v>
      </c>
    </row>
    <row r="971">
      <c r="A971" t="str">
        <f t="shared" si="1"/>
        <v>17934</v>
      </c>
      <c r="B971" t="str">
        <f>IFERROR(__xludf.DUMMYFUNCTION("""COMPUTED_VALUE"""),"U17934")</f>
        <v>U17934</v>
      </c>
      <c r="C971" t="str">
        <f>IFERROR(__xludf.DUMMYFUNCTION("""COMPUTED_VALUE"""),"PI")</f>
        <v>PI</v>
      </c>
      <c r="D971" t="str">
        <f>IFERROR(__xludf.DUMMYFUNCTION("""COMPUTED_VALUE"""),"JE423N1")</f>
        <v>JE423N1</v>
      </c>
      <c r="E971" t="str">
        <f>IFERROR(__xludf.DUMMYFUNCTION("""COMPUTED_VALUE"""),"P1194")</f>
        <v>P1194</v>
      </c>
      <c r="F971" t="str">
        <f t="array" ref="F971">if(iserror(index(fish_lab_data!C:C,match(B971,fish_lab_data!C:C,0))),"not dissected","dissected")</f>
        <v>dissected</v>
      </c>
    </row>
    <row r="972">
      <c r="A972" t="str">
        <f t="shared" si="1"/>
        <v>17935</v>
      </c>
      <c r="B972" t="str">
        <f>IFERROR(__xludf.DUMMYFUNCTION("""COMPUTED_VALUE"""),"U17935")</f>
        <v>U17935</v>
      </c>
      <c r="C972" t="str">
        <f>IFERROR(__xludf.DUMMYFUNCTION("""COMPUTED_VALUE"""),"PI")</f>
        <v>PI</v>
      </c>
      <c r="D972" t="str">
        <f>IFERROR(__xludf.DUMMYFUNCTION("""COMPUTED_VALUE"""),"JE423N1")</f>
        <v>JE423N1</v>
      </c>
      <c r="E972" t="str">
        <f>IFERROR(__xludf.DUMMYFUNCTION("""COMPUTED_VALUE"""),"P1194")</f>
        <v>P1194</v>
      </c>
      <c r="F972" t="str">
        <f t="array" ref="F972">if(iserror(index(fish_lab_data!C:C,match(B972,fish_lab_data!C:C,0))),"not dissected","dissected")</f>
        <v>dissected</v>
      </c>
    </row>
    <row r="973">
      <c r="A973" t="str">
        <f t="shared" si="1"/>
        <v>17936</v>
      </c>
      <c r="B973" t="str">
        <f>IFERROR(__xludf.DUMMYFUNCTION("""COMPUTED_VALUE"""),"U17936")</f>
        <v>U17936</v>
      </c>
      <c r="C973" t="str">
        <f>IFERROR(__xludf.DUMMYFUNCTION("""COMPUTED_VALUE"""),"PI")</f>
        <v>PI</v>
      </c>
      <c r="D973" t="str">
        <f>IFERROR(__xludf.DUMMYFUNCTION("""COMPUTED_VALUE"""),"JE423N1")</f>
        <v>JE423N1</v>
      </c>
      <c r="E973" t="str">
        <f>IFERROR(__xludf.DUMMYFUNCTION("""COMPUTED_VALUE"""),"P1194")</f>
        <v>P1194</v>
      </c>
      <c r="F973" t="str">
        <f t="array" ref="F973">if(iserror(index(fish_lab_data!C:C,match(B973,fish_lab_data!C:C,0))),"not dissected","dissected")</f>
        <v>dissected</v>
      </c>
    </row>
    <row r="974">
      <c r="A974" t="str">
        <f t="shared" si="1"/>
        <v>17937</v>
      </c>
      <c r="B974" t="str">
        <f>IFERROR(__xludf.DUMMYFUNCTION("""COMPUTED_VALUE"""),"U17937")</f>
        <v>U17937</v>
      </c>
      <c r="C974" t="str">
        <f>IFERROR(__xludf.DUMMYFUNCTION("""COMPUTED_VALUE"""),"PI")</f>
        <v>PI</v>
      </c>
      <c r="D974" t="str">
        <f>IFERROR(__xludf.DUMMYFUNCTION("""COMPUTED_VALUE"""),"JE423N1")</f>
        <v>JE423N1</v>
      </c>
      <c r="E974" t="str">
        <f>IFERROR(__xludf.DUMMYFUNCTION("""COMPUTED_VALUE"""),"P1194")</f>
        <v>P1194</v>
      </c>
      <c r="F974" t="str">
        <f t="array" ref="F974">if(iserror(index(fish_lab_data!C:C,match(B974,fish_lab_data!C:C,0))),"not dissected","dissected")</f>
        <v>dissected</v>
      </c>
    </row>
    <row r="975">
      <c r="A975" t="str">
        <f t="shared" si="1"/>
        <v>17938</v>
      </c>
      <c r="B975" t="str">
        <f>IFERROR(__xludf.DUMMYFUNCTION("""COMPUTED_VALUE"""),"U17938")</f>
        <v>U17938</v>
      </c>
      <c r="C975" t="str">
        <f>IFERROR(__xludf.DUMMYFUNCTION("""COMPUTED_VALUE"""),"PI")</f>
        <v>PI</v>
      </c>
      <c r="D975" t="str">
        <f>IFERROR(__xludf.DUMMYFUNCTION("""COMPUTED_VALUE"""),"JE423N1")</f>
        <v>JE423N1</v>
      </c>
      <c r="E975" t="str">
        <f>IFERROR(__xludf.DUMMYFUNCTION("""COMPUTED_VALUE"""),"P1194")</f>
        <v>P1194</v>
      </c>
      <c r="F975" t="str">
        <f t="array" ref="F975">if(iserror(index(fish_lab_data!C:C,match(B975,fish_lab_data!C:C,0))),"not dissected","dissected")</f>
        <v>dissected</v>
      </c>
    </row>
    <row r="976">
      <c r="A976" t="str">
        <f t="shared" si="1"/>
        <v>17939</v>
      </c>
      <c r="B976" t="str">
        <f>IFERROR(__xludf.DUMMYFUNCTION("""COMPUTED_VALUE"""),"U17939")</f>
        <v>U17939</v>
      </c>
      <c r="C976" t="str">
        <f>IFERROR(__xludf.DUMMYFUNCTION("""COMPUTED_VALUE"""),"PI")</f>
        <v>PI</v>
      </c>
      <c r="D976" t="str">
        <f>IFERROR(__xludf.DUMMYFUNCTION("""COMPUTED_VALUE"""),"JE423N1")</f>
        <v>JE423N1</v>
      </c>
      <c r="E976" t="str">
        <f>IFERROR(__xludf.DUMMYFUNCTION("""COMPUTED_VALUE"""),"P1194")</f>
        <v>P1194</v>
      </c>
      <c r="F976" t="str">
        <f t="array" ref="F976">if(iserror(index(fish_lab_data!C:C,match(B976,fish_lab_data!C:C,0))),"not dissected","dissected")</f>
        <v>dissected</v>
      </c>
    </row>
    <row r="977">
      <c r="A977" t="str">
        <f t="shared" si="1"/>
        <v>17940</v>
      </c>
      <c r="B977" t="str">
        <f>IFERROR(__xludf.DUMMYFUNCTION("""COMPUTED_VALUE"""),"U17940")</f>
        <v>U17940</v>
      </c>
      <c r="C977" t="str">
        <f>IFERROR(__xludf.DUMMYFUNCTION("""COMPUTED_VALUE"""),"PI")</f>
        <v>PI</v>
      </c>
      <c r="D977" t="str">
        <f>IFERROR(__xludf.DUMMYFUNCTION("""COMPUTED_VALUE"""),"JE423N1")</f>
        <v>JE423N1</v>
      </c>
      <c r="E977" t="str">
        <f>IFERROR(__xludf.DUMMYFUNCTION("""COMPUTED_VALUE"""),"P1194")</f>
        <v>P1194</v>
      </c>
      <c r="F977" t="str">
        <f t="array" ref="F977">if(iserror(index(fish_lab_data!C:C,match(B977,fish_lab_data!C:C,0))),"not dissected","dissected")</f>
        <v>dissected</v>
      </c>
    </row>
    <row r="978">
      <c r="A978" t="str">
        <f t="shared" si="1"/>
        <v>17731</v>
      </c>
      <c r="B978" t="str">
        <f>IFERROR(__xludf.DUMMYFUNCTION("""COMPUTED_VALUE"""),"U17731")</f>
        <v>U17731</v>
      </c>
      <c r="C978" t="str">
        <f>IFERROR(__xludf.DUMMYFUNCTION("""COMPUTED_VALUE"""),"CU")</f>
        <v>CU</v>
      </c>
      <c r="D978" t="str">
        <f>IFERROR(__xludf.DUMMYFUNCTION("""COMPUTED_VALUE"""),"JE423N2")</f>
        <v>JE423N2</v>
      </c>
      <c r="E978" t="str">
        <f>IFERROR(__xludf.DUMMYFUNCTION("""COMPUTED_VALUE"""),"P1174")</f>
        <v>P1174</v>
      </c>
      <c r="F978" t="str">
        <f t="array" ref="F978">if(iserror(index(fish_lab_data!C:C,match(B978,fish_lab_data!C:C,0))),"not dissected","dissected")</f>
        <v>dissected</v>
      </c>
    </row>
    <row r="979">
      <c r="A979" t="str">
        <f t="shared" si="1"/>
        <v>17732</v>
      </c>
      <c r="B979" t="str">
        <f>IFERROR(__xludf.DUMMYFUNCTION("""COMPUTED_VALUE"""),"U17732")</f>
        <v>U17732</v>
      </c>
      <c r="C979" t="str">
        <f>IFERROR(__xludf.DUMMYFUNCTION("""COMPUTED_VALUE"""),"CU")</f>
        <v>CU</v>
      </c>
      <c r="D979" t="str">
        <f>IFERROR(__xludf.DUMMYFUNCTION("""COMPUTED_VALUE"""),"JE423N2")</f>
        <v>JE423N2</v>
      </c>
      <c r="E979" t="str">
        <f>IFERROR(__xludf.DUMMYFUNCTION("""COMPUTED_VALUE"""),"P1174")</f>
        <v>P1174</v>
      </c>
      <c r="F979" t="str">
        <f t="array" ref="F979">if(iserror(index(fish_lab_data!C:C,match(B979,fish_lab_data!C:C,0))),"not dissected","dissected")</f>
        <v>dissected</v>
      </c>
    </row>
    <row r="980">
      <c r="A980" t="str">
        <f t="shared" si="1"/>
        <v>17733</v>
      </c>
      <c r="B980" t="str">
        <f>IFERROR(__xludf.DUMMYFUNCTION("""COMPUTED_VALUE"""),"U17733")</f>
        <v>U17733</v>
      </c>
      <c r="C980" t="str">
        <f>IFERROR(__xludf.DUMMYFUNCTION("""COMPUTED_VALUE"""),"CU")</f>
        <v>CU</v>
      </c>
      <c r="D980" t="str">
        <f>IFERROR(__xludf.DUMMYFUNCTION("""COMPUTED_VALUE"""),"JE423N2")</f>
        <v>JE423N2</v>
      </c>
      <c r="E980" t="str">
        <f>IFERROR(__xludf.DUMMYFUNCTION("""COMPUTED_VALUE"""),"P1174")</f>
        <v>P1174</v>
      </c>
      <c r="F980" t="str">
        <f t="array" ref="F980">if(iserror(index(fish_lab_data!C:C,match(B980,fish_lab_data!C:C,0))),"not dissected","dissected")</f>
        <v>dissected</v>
      </c>
    </row>
    <row r="981">
      <c r="A981" t="str">
        <f t="shared" si="1"/>
        <v>17734</v>
      </c>
      <c r="B981" t="str">
        <f>IFERROR(__xludf.DUMMYFUNCTION("""COMPUTED_VALUE"""),"U17734")</f>
        <v>U17734</v>
      </c>
      <c r="C981" t="str">
        <f>IFERROR(__xludf.DUMMYFUNCTION("""COMPUTED_VALUE"""),"CU")</f>
        <v>CU</v>
      </c>
      <c r="D981" t="str">
        <f>IFERROR(__xludf.DUMMYFUNCTION("""COMPUTED_VALUE"""),"JE423N2")</f>
        <v>JE423N2</v>
      </c>
      <c r="E981" t="str">
        <f>IFERROR(__xludf.DUMMYFUNCTION("""COMPUTED_VALUE"""),"P1174")</f>
        <v>P1174</v>
      </c>
      <c r="F981" t="str">
        <f t="array" ref="F981">if(iserror(index(fish_lab_data!C:C,match(B981,fish_lab_data!C:C,0))),"not dissected","dissected")</f>
        <v>dissected</v>
      </c>
    </row>
    <row r="982">
      <c r="A982" t="str">
        <f t="shared" si="1"/>
        <v>17735</v>
      </c>
      <c r="B982" t="str">
        <f>IFERROR(__xludf.DUMMYFUNCTION("""COMPUTED_VALUE"""),"U17735")</f>
        <v>U17735</v>
      </c>
      <c r="C982" t="str">
        <f>IFERROR(__xludf.DUMMYFUNCTION("""COMPUTED_VALUE"""),"CU")</f>
        <v>CU</v>
      </c>
      <c r="D982" t="str">
        <f>IFERROR(__xludf.DUMMYFUNCTION("""COMPUTED_VALUE"""),"JE423N2")</f>
        <v>JE423N2</v>
      </c>
      <c r="E982" t="str">
        <f>IFERROR(__xludf.DUMMYFUNCTION("""COMPUTED_VALUE"""),"P1174")</f>
        <v>P1174</v>
      </c>
      <c r="F982" t="str">
        <f t="array" ref="F982">if(iserror(index(fish_lab_data!C:C,match(B982,fish_lab_data!C:C,0))),"not dissected","dissected")</f>
        <v>dissected</v>
      </c>
    </row>
    <row r="983">
      <c r="A983" t="str">
        <f t="shared" si="1"/>
        <v>17736</v>
      </c>
      <c r="B983" t="str">
        <f>IFERROR(__xludf.DUMMYFUNCTION("""COMPUTED_VALUE"""),"U17736")</f>
        <v>U17736</v>
      </c>
      <c r="C983" t="str">
        <f>IFERROR(__xludf.DUMMYFUNCTION("""COMPUTED_VALUE"""),"CU")</f>
        <v>CU</v>
      </c>
      <c r="D983" t="str">
        <f>IFERROR(__xludf.DUMMYFUNCTION("""COMPUTED_VALUE"""),"JE423N2")</f>
        <v>JE423N2</v>
      </c>
      <c r="E983" t="str">
        <f>IFERROR(__xludf.DUMMYFUNCTION("""COMPUTED_VALUE"""),"P1174")</f>
        <v>P1174</v>
      </c>
      <c r="F983" t="str">
        <f t="array" ref="F983">if(iserror(index(fish_lab_data!C:C,match(B983,fish_lab_data!C:C,0))),"not dissected","dissected")</f>
        <v>dissected</v>
      </c>
    </row>
    <row r="984">
      <c r="A984" t="str">
        <f t="shared" si="1"/>
        <v>17737</v>
      </c>
      <c r="B984" t="str">
        <f>IFERROR(__xludf.DUMMYFUNCTION("""COMPUTED_VALUE"""),"U17737")</f>
        <v>U17737</v>
      </c>
      <c r="C984" t="str">
        <f>IFERROR(__xludf.DUMMYFUNCTION("""COMPUTED_VALUE"""),"CU")</f>
        <v>CU</v>
      </c>
      <c r="D984" t="str">
        <f>IFERROR(__xludf.DUMMYFUNCTION("""COMPUTED_VALUE"""),"JE423N2")</f>
        <v>JE423N2</v>
      </c>
      <c r="E984" t="str">
        <f>IFERROR(__xludf.DUMMYFUNCTION("""COMPUTED_VALUE"""),"P1174")</f>
        <v>P1174</v>
      </c>
      <c r="F984" t="str">
        <f t="array" ref="F984">if(iserror(index(fish_lab_data!C:C,match(B984,fish_lab_data!C:C,0))),"not dissected","dissected")</f>
        <v>dissected</v>
      </c>
    </row>
    <row r="985">
      <c r="A985" t="str">
        <f t="shared" si="1"/>
        <v>17738</v>
      </c>
      <c r="B985" t="str">
        <f>IFERROR(__xludf.DUMMYFUNCTION("""COMPUTED_VALUE"""),"U17738")</f>
        <v>U17738</v>
      </c>
      <c r="C985" t="str">
        <f>IFERROR(__xludf.DUMMYFUNCTION("""COMPUTED_VALUE"""),"CU")</f>
        <v>CU</v>
      </c>
      <c r="D985" t="str">
        <f>IFERROR(__xludf.DUMMYFUNCTION("""COMPUTED_VALUE"""),"JE423N2")</f>
        <v>JE423N2</v>
      </c>
      <c r="E985" t="str">
        <f>IFERROR(__xludf.DUMMYFUNCTION("""COMPUTED_VALUE"""),"P1174")</f>
        <v>P1174</v>
      </c>
      <c r="F985" t="str">
        <f t="array" ref="F985">if(iserror(index(fish_lab_data!C:C,match(B985,fish_lab_data!C:C,0))),"not dissected","dissected")</f>
        <v>dissected</v>
      </c>
    </row>
    <row r="986">
      <c r="A986" t="str">
        <f t="shared" si="1"/>
        <v>17739</v>
      </c>
      <c r="B986" t="str">
        <f>IFERROR(__xludf.DUMMYFUNCTION("""COMPUTED_VALUE"""),"U17739")</f>
        <v>U17739</v>
      </c>
      <c r="C986" t="str">
        <f>IFERROR(__xludf.DUMMYFUNCTION("""COMPUTED_VALUE"""),"CU")</f>
        <v>CU</v>
      </c>
      <c r="D986" t="str">
        <f>IFERROR(__xludf.DUMMYFUNCTION("""COMPUTED_VALUE"""),"JE423N2")</f>
        <v>JE423N2</v>
      </c>
      <c r="E986" t="str">
        <f>IFERROR(__xludf.DUMMYFUNCTION("""COMPUTED_VALUE"""),"P1174")</f>
        <v>P1174</v>
      </c>
      <c r="F986" t="str">
        <f t="array" ref="F986">if(iserror(index(fish_lab_data!C:C,match(B986,fish_lab_data!C:C,0))),"not dissected","dissected")</f>
        <v>dissected</v>
      </c>
    </row>
    <row r="987">
      <c r="A987" t="str">
        <f t="shared" si="1"/>
        <v>17740</v>
      </c>
      <c r="B987" t="str">
        <f>IFERROR(__xludf.DUMMYFUNCTION("""COMPUTED_VALUE"""),"U17740")</f>
        <v>U17740</v>
      </c>
      <c r="C987" t="str">
        <f>IFERROR(__xludf.DUMMYFUNCTION("""COMPUTED_VALUE"""),"CU")</f>
        <v>CU</v>
      </c>
      <c r="D987" t="str">
        <f>IFERROR(__xludf.DUMMYFUNCTION("""COMPUTED_VALUE"""),"JE423N2")</f>
        <v>JE423N2</v>
      </c>
      <c r="E987" t="str">
        <f>IFERROR(__xludf.DUMMYFUNCTION("""COMPUTED_VALUE"""),"P1174")</f>
        <v>P1174</v>
      </c>
      <c r="F987" t="str">
        <f t="array" ref="F987">if(iserror(index(fish_lab_data!C:C,match(B987,fish_lab_data!C:C,0))),"not dissected","dissected")</f>
        <v>dissected</v>
      </c>
    </row>
    <row r="988">
      <c r="A988" t="str">
        <f t="shared" si="1"/>
        <v>17841</v>
      </c>
      <c r="B988" t="str">
        <f>IFERROR(__xludf.DUMMYFUNCTION("""COMPUTED_VALUE"""),"U17841")</f>
        <v>U17841</v>
      </c>
      <c r="C988" t="str">
        <f>IFERROR(__xludf.DUMMYFUNCTION("""COMPUTED_VALUE"""),"CK")</f>
        <v>CK</v>
      </c>
      <c r="D988" t="str">
        <f>IFERROR(__xludf.DUMMYFUNCTION("""COMPUTED_VALUE"""),"JE423N2")</f>
        <v>JE423N2</v>
      </c>
      <c r="E988" t="str">
        <f>IFERROR(__xludf.DUMMYFUNCTION("""COMPUTED_VALUE"""),"P1185")</f>
        <v>P1185</v>
      </c>
      <c r="F988" t="str">
        <f t="array" ref="F988">if(iserror(index(fish_lab_data!C:C,match(B988,fish_lab_data!C:C,0))),"not dissected","dissected")</f>
        <v>dissected</v>
      </c>
    </row>
    <row r="989">
      <c r="A989" t="str">
        <f t="shared" si="1"/>
        <v>17461</v>
      </c>
      <c r="B989" t="str">
        <f>IFERROR(__xludf.DUMMYFUNCTION("""COMPUTED_VALUE"""),"U17461")</f>
        <v>U17461</v>
      </c>
      <c r="C989" t="str">
        <f>IFERROR(__xludf.DUMMYFUNCTION("""COMPUTED_VALUE"""),"PI")</f>
        <v>PI</v>
      </c>
      <c r="D989" t="str">
        <f>IFERROR(__xludf.DUMMYFUNCTION("""COMPUTED_VALUE"""),"DE533N2")</f>
        <v>DE533N2</v>
      </c>
      <c r="E989" t="str">
        <f>IFERROR(__xludf.DUMMYFUNCTION("""COMPUTED_VALUE"""),"P1147")</f>
        <v>P1147</v>
      </c>
      <c r="F989" t="str">
        <f t="array" ref="F989">if(iserror(index(fish_lab_data!C:C,match(B989,fish_lab_data!C:C,0))),"not dissected","dissected")</f>
        <v>dissected</v>
      </c>
    </row>
    <row r="990">
      <c r="A990" t="str">
        <f t="shared" si="1"/>
        <v>17462</v>
      </c>
      <c r="B990" t="str">
        <f>IFERROR(__xludf.DUMMYFUNCTION("""COMPUTED_VALUE"""),"U17462")</f>
        <v>U17462</v>
      </c>
      <c r="C990" t="str">
        <f>IFERROR(__xludf.DUMMYFUNCTION("""COMPUTED_VALUE"""),"PI")</f>
        <v>PI</v>
      </c>
      <c r="D990" t="str">
        <f>IFERROR(__xludf.DUMMYFUNCTION("""COMPUTED_VALUE"""),"DE533N2")</f>
        <v>DE533N2</v>
      </c>
      <c r="E990" t="str">
        <f>IFERROR(__xludf.DUMMYFUNCTION("""COMPUTED_VALUE"""),"P1147")</f>
        <v>P1147</v>
      </c>
      <c r="F990" t="str">
        <f t="array" ref="F990">if(iserror(index(fish_lab_data!C:C,match(B990,fish_lab_data!C:C,0))),"not dissected","dissected")</f>
        <v>dissected</v>
      </c>
    </row>
    <row r="991">
      <c r="A991" t="str">
        <f t="shared" si="1"/>
        <v>17463</v>
      </c>
      <c r="B991" t="str">
        <f>IFERROR(__xludf.DUMMYFUNCTION("""COMPUTED_VALUE"""),"U17463")</f>
        <v>U17463</v>
      </c>
      <c r="C991" t="str">
        <f>IFERROR(__xludf.DUMMYFUNCTION("""COMPUTED_VALUE"""),"PI")</f>
        <v>PI</v>
      </c>
      <c r="D991" t="str">
        <f>IFERROR(__xludf.DUMMYFUNCTION("""COMPUTED_VALUE"""),"DE533N2")</f>
        <v>DE533N2</v>
      </c>
      <c r="E991" t="str">
        <f>IFERROR(__xludf.DUMMYFUNCTION("""COMPUTED_VALUE"""),"P1147")</f>
        <v>P1147</v>
      </c>
      <c r="F991" t="str">
        <f t="array" ref="F991">if(iserror(index(fish_lab_data!C:C,match(B991,fish_lab_data!C:C,0))),"not dissected","dissected")</f>
        <v>dissected</v>
      </c>
    </row>
    <row r="992">
      <c r="A992" t="str">
        <f t="shared" si="1"/>
        <v>17464</v>
      </c>
      <c r="B992" t="str">
        <f>IFERROR(__xludf.DUMMYFUNCTION("""COMPUTED_VALUE"""),"U17464")</f>
        <v>U17464</v>
      </c>
      <c r="C992" t="str">
        <f>IFERROR(__xludf.DUMMYFUNCTION("""COMPUTED_VALUE"""),"PI")</f>
        <v>PI</v>
      </c>
      <c r="D992" t="str">
        <f>IFERROR(__xludf.DUMMYFUNCTION("""COMPUTED_VALUE"""),"DE533N2")</f>
        <v>DE533N2</v>
      </c>
      <c r="E992" t="str">
        <f>IFERROR(__xludf.DUMMYFUNCTION("""COMPUTED_VALUE"""),"P1147")</f>
        <v>P1147</v>
      </c>
      <c r="F992" t="str">
        <f t="array" ref="F992">if(iserror(index(fish_lab_data!C:C,match(B992,fish_lab_data!C:C,0))),"not dissected","dissected")</f>
        <v>dissected</v>
      </c>
    </row>
    <row r="993">
      <c r="A993" t="str">
        <f t="shared" si="1"/>
        <v>17465</v>
      </c>
      <c r="B993" t="str">
        <f>IFERROR(__xludf.DUMMYFUNCTION("""COMPUTED_VALUE"""),"U17465")</f>
        <v>U17465</v>
      </c>
      <c r="C993" t="str">
        <f>IFERROR(__xludf.DUMMYFUNCTION("""COMPUTED_VALUE"""),"PI")</f>
        <v>PI</v>
      </c>
      <c r="D993" t="str">
        <f>IFERROR(__xludf.DUMMYFUNCTION("""COMPUTED_VALUE"""),"DE533N2")</f>
        <v>DE533N2</v>
      </c>
      <c r="E993" t="str">
        <f>IFERROR(__xludf.DUMMYFUNCTION("""COMPUTED_VALUE"""),"P1147")</f>
        <v>P1147</v>
      </c>
      <c r="F993" t="str">
        <f t="array" ref="F993">if(iserror(index(fish_lab_data!C:C,match(B993,fish_lab_data!C:C,0))),"not dissected","dissected")</f>
        <v>dissected</v>
      </c>
    </row>
    <row r="994">
      <c r="A994" t="str">
        <f t="shared" si="1"/>
        <v>17466</v>
      </c>
      <c r="B994" t="str">
        <f>IFERROR(__xludf.DUMMYFUNCTION("""COMPUTED_VALUE"""),"U17466")</f>
        <v>U17466</v>
      </c>
      <c r="C994" t="str">
        <f>IFERROR(__xludf.DUMMYFUNCTION("""COMPUTED_VALUE"""),"PI")</f>
        <v>PI</v>
      </c>
      <c r="D994" t="str">
        <f>IFERROR(__xludf.DUMMYFUNCTION("""COMPUTED_VALUE"""),"DE533N2")</f>
        <v>DE533N2</v>
      </c>
      <c r="E994" t="str">
        <f>IFERROR(__xludf.DUMMYFUNCTION("""COMPUTED_VALUE"""),"P1147")</f>
        <v>P1147</v>
      </c>
      <c r="F994" t="str">
        <f t="array" ref="F994">if(iserror(index(fish_lab_data!C:C,match(B994,fish_lab_data!C:C,0))),"not dissected","dissected")</f>
        <v>dissected</v>
      </c>
    </row>
    <row r="995">
      <c r="A995" t="str">
        <f t="shared" si="1"/>
        <v>17467</v>
      </c>
      <c r="B995" t="str">
        <f>IFERROR(__xludf.DUMMYFUNCTION("""COMPUTED_VALUE"""),"U17467")</f>
        <v>U17467</v>
      </c>
      <c r="C995" t="str">
        <f>IFERROR(__xludf.DUMMYFUNCTION("""COMPUTED_VALUE"""),"PI")</f>
        <v>PI</v>
      </c>
      <c r="D995" t="str">
        <f>IFERROR(__xludf.DUMMYFUNCTION("""COMPUTED_VALUE"""),"DE533N2")</f>
        <v>DE533N2</v>
      </c>
      <c r="E995" t="str">
        <f>IFERROR(__xludf.DUMMYFUNCTION("""COMPUTED_VALUE"""),"P1147")</f>
        <v>P1147</v>
      </c>
      <c r="F995" t="str">
        <f t="array" ref="F995">if(iserror(index(fish_lab_data!C:C,match(B995,fish_lab_data!C:C,0))),"not dissected","dissected")</f>
        <v>dissected</v>
      </c>
    </row>
    <row r="996">
      <c r="A996" t="str">
        <f t="shared" si="1"/>
        <v>17468</v>
      </c>
      <c r="B996" t="str">
        <f>IFERROR(__xludf.DUMMYFUNCTION("""COMPUTED_VALUE"""),"U17468")</f>
        <v>U17468</v>
      </c>
      <c r="C996" t="str">
        <f>IFERROR(__xludf.DUMMYFUNCTION("""COMPUTED_VALUE"""),"PI")</f>
        <v>PI</v>
      </c>
      <c r="D996" t="str">
        <f>IFERROR(__xludf.DUMMYFUNCTION("""COMPUTED_VALUE"""),"DE533N2")</f>
        <v>DE533N2</v>
      </c>
      <c r="E996" t="str">
        <f>IFERROR(__xludf.DUMMYFUNCTION("""COMPUTED_VALUE"""),"P1147")</f>
        <v>P1147</v>
      </c>
      <c r="F996" t="str">
        <f t="array" ref="F996">if(iserror(index(fish_lab_data!C:C,match(B996,fish_lab_data!C:C,0))),"not dissected","dissected")</f>
        <v>dissected</v>
      </c>
    </row>
    <row r="997">
      <c r="A997" t="str">
        <f t="shared" si="1"/>
        <v>17469</v>
      </c>
      <c r="B997" t="str">
        <f>IFERROR(__xludf.DUMMYFUNCTION("""COMPUTED_VALUE"""),"U17469")</f>
        <v>U17469</v>
      </c>
      <c r="C997" t="str">
        <f>IFERROR(__xludf.DUMMYFUNCTION("""COMPUTED_VALUE"""),"PI")</f>
        <v>PI</v>
      </c>
      <c r="D997" t="str">
        <f>IFERROR(__xludf.DUMMYFUNCTION("""COMPUTED_VALUE"""),"DE533N2")</f>
        <v>DE533N2</v>
      </c>
      <c r="E997" t="str">
        <f>IFERROR(__xludf.DUMMYFUNCTION("""COMPUTED_VALUE"""),"P1147")</f>
        <v>P1147</v>
      </c>
      <c r="F997" t="str">
        <f t="array" ref="F997">if(iserror(index(fish_lab_data!C:C,match(B997,fish_lab_data!C:C,0))),"not dissected","dissected")</f>
        <v>dissected</v>
      </c>
    </row>
    <row r="998">
      <c r="A998" t="str">
        <f t="shared" si="1"/>
        <v>17470</v>
      </c>
      <c r="B998" t="str">
        <f>IFERROR(__xludf.DUMMYFUNCTION("""COMPUTED_VALUE"""),"U17470")</f>
        <v>U17470</v>
      </c>
      <c r="C998" t="str">
        <f>IFERROR(__xludf.DUMMYFUNCTION("""COMPUTED_VALUE"""),"PI")</f>
        <v>PI</v>
      </c>
      <c r="D998" t="str">
        <f>IFERROR(__xludf.DUMMYFUNCTION("""COMPUTED_VALUE"""),"DE533N2")</f>
        <v>DE533N2</v>
      </c>
      <c r="E998" t="str">
        <f>IFERROR(__xludf.DUMMYFUNCTION("""COMPUTED_VALUE"""),"P1147")</f>
        <v>P1147</v>
      </c>
      <c r="F998" t="str">
        <f t="array" ref="F998">if(iserror(index(fish_lab_data!C:C,match(B998,fish_lab_data!C:C,0))),"not dissected","dissected")</f>
        <v>dissected</v>
      </c>
    </row>
    <row r="999">
      <c r="A999" t="str">
        <f t="shared" si="1"/>
        <v>17161</v>
      </c>
      <c r="B999" t="str">
        <f>IFERROR(__xludf.DUMMYFUNCTION("""COMPUTED_VALUE"""),"U17161")</f>
        <v>U17161</v>
      </c>
      <c r="C999" t="str">
        <f>IFERROR(__xludf.DUMMYFUNCTION("""COMPUTED_VALUE"""),"CU")</f>
        <v>CU</v>
      </c>
      <c r="D999" t="str">
        <f>IFERROR(__xludf.DUMMYFUNCTION("""COMPUTED_VALUE"""),"DE533N2")</f>
        <v>DE533N2</v>
      </c>
      <c r="E999" t="str">
        <f>IFERROR(__xludf.DUMMYFUNCTION("""COMPUTED_VALUE"""),"P1117")</f>
        <v>P1117</v>
      </c>
      <c r="F999" t="str">
        <f t="array" ref="F999">if(iserror(index(fish_lab_data!C:C,match(B999,fish_lab_data!C:C,0))),"not dissected","dissected")</f>
        <v>dissected</v>
      </c>
    </row>
    <row r="1000">
      <c r="A1000" t="str">
        <f t="shared" si="1"/>
        <v>17162</v>
      </c>
      <c r="B1000" t="str">
        <f>IFERROR(__xludf.DUMMYFUNCTION("""COMPUTED_VALUE"""),"U17162")</f>
        <v>U17162</v>
      </c>
      <c r="C1000" t="str">
        <f>IFERROR(__xludf.DUMMYFUNCTION("""COMPUTED_VALUE"""),"CU")</f>
        <v>CU</v>
      </c>
      <c r="D1000" t="str">
        <f>IFERROR(__xludf.DUMMYFUNCTION("""COMPUTED_VALUE"""),"DE533N2")</f>
        <v>DE533N2</v>
      </c>
      <c r="E1000" t="str">
        <f>IFERROR(__xludf.DUMMYFUNCTION("""COMPUTED_VALUE"""),"P1117")</f>
        <v>P1117</v>
      </c>
      <c r="F1000" t="str">
        <f t="array" ref="F1000">if(iserror(index(fish_lab_data!C:C,match(B1000,fish_lab_data!C:C,0))),"not dissected","dissected")</f>
        <v>dissected</v>
      </c>
    </row>
    <row r="1001">
      <c r="A1001" t="str">
        <f t="shared" si="1"/>
        <v>17163</v>
      </c>
      <c r="B1001" t="str">
        <f>IFERROR(__xludf.DUMMYFUNCTION("""COMPUTED_VALUE"""),"U17163")</f>
        <v>U17163</v>
      </c>
      <c r="C1001" t="str">
        <f>IFERROR(__xludf.DUMMYFUNCTION("""COMPUTED_VALUE"""),"CU")</f>
        <v>CU</v>
      </c>
      <c r="D1001" t="str">
        <f>IFERROR(__xludf.DUMMYFUNCTION("""COMPUTED_VALUE"""),"DE533N2")</f>
        <v>DE533N2</v>
      </c>
      <c r="E1001" t="str">
        <f>IFERROR(__xludf.DUMMYFUNCTION("""COMPUTED_VALUE"""),"P1117")</f>
        <v>P1117</v>
      </c>
      <c r="F1001" t="str">
        <f t="array" ref="F1001">if(iserror(index(fish_lab_data!C:C,match(B1001,fish_lab_data!C:C,0))),"not dissected","dissected")</f>
        <v>dissected</v>
      </c>
    </row>
    <row r="1002">
      <c r="A1002" t="str">
        <f t="shared" si="1"/>
        <v>17164</v>
      </c>
      <c r="B1002" t="str">
        <f>IFERROR(__xludf.DUMMYFUNCTION("""COMPUTED_VALUE"""),"U17164")</f>
        <v>U17164</v>
      </c>
      <c r="C1002" t="str">
        <f>IFERROR(__xludf.DUMMYFUNCTION("""COMPUTED_VALUE"""),"CU")</f>
        <v>CU</v>
      </c>
      <c r="D1002" t="str">
        <f>IFERROR(__xludf.DUMMYFUNCTION("""COMPUTED_VALUE"""),"DE533N2")</f>
        <v>DE533N2</v>
      </c>
      <c r="E1002" t="str">
        <f>IFERROR(__xludf.DUMMYFUNCTION("""COMPUTED_VALUE"""),"P1117")</f>
        <v>P1117</v>
      </c>
      <c r="F1002" t="str">
        <f t="array" ref="F1002">if(iserror(index(fish_lab_data!C:C,match(B1002,fish_lab_data!C:C,0))),"not dissected","dissected")</f>
        <v>dissected</v>
      </c>
    </row>
    <row r="1003">
      <c r="A1003" t="str">
        <f t="shared" si="1"/>
        <v>17165</v>
      </c>
      <c r="B1003" t="str">
        <f>IFERROR(__xludf.DUMMYFUNCTION("""COMPUTED_VALUE"""),"U17165")</f>
        <v>U17165</v>
      </c>
      <c r="C1003" t="str">
        <f>IFERROR(__xludf.DUMMYFUNCTION("""COMPUTED_VALUE"""),"CU")</f>
        <v>CU</v>
      </c>
      <c r="D1003" t="str">
        <f>IFERROR(__xludf.DUMMYFUNCTION("""COMPUTED_VALUE"""),"DE533N2")</f>
        <v>DE533N2</v>
      </c>
      <c r="E1003" t="str">
        <f>IFERROR(__xludf.DUMMYFUNCTION("""COMPUTED_VALUE"""),"P1117")</f>
        <v>P1117</v>
      </c>
      <c r="F1003" t="str">
        <f t="array" ref="F1003">if(iserror(index(fish_lab_data!C:C,match(B1003,fish_lab_data!C:C,0))),"not dissected","dissected")</f>
        <v>dissected</v>
      </c>
    </row>
    <row r="1004">
      <c r="A1004" t="str">
        <f t="shared" si="1"/>
        <v>17166</v>
      </c>
      <c r="B1004" t="str">
        <f>IFERROR(__xludf.DUMMYFUNCTION("""COMPUTED_VALUE"""),"U17166")</f>
        <v>U17166</v>
      </c>
      <c r="C1004" t="str">
        <f>IFERROR(__xludf.DUMMYFUNCTION("""COMPUTED_VALUE"""),"CU")</f>
        <v>CU</v>
      </c>
      <c r="D1004" t="str">
        <f>IFERROR(__xludf.DUMMYFUNCTION("""COMPUTED_VALUE"""),"DE533N2")</f>
        <v>DE533N2</v>
      </c>
      <c r="E1004" t="str">
        <f>IFERROR(__xludf.DUMMYFUNCTION("""COMPUTED_VALUE"""),"P1117")</f>
        <v>P1117</v>
      </c>
      <c r="F1004" t="str">
        <f t="array" ref="F1004">if(iserror(index(fish_lab_data!C:C,match(B1004,fish_lab_data!C:C,0))),"not dissected","dissected")</f>
        <v>dissected</v>
      </c>
    </row>
    <row r="1005">
      <c r="A1005" t="str">
        <f t="shared" si="1"/>
        <v>17167</v>
      </c>
      <c r="B1005" t="str">
        <f>IFERROR(__xludf.DUMMYFUNCTION("""COMPUTED_VALUE"""),"U17167")</f>
        <v>U17167</v>
      </c>
      <c r="C1005" t="str">
        <f>IFERROR(__xludf.DUMMYFUNCTION("""COMPUTED_VALUE"""),"CU")</f>
        <v>CU</v>
      </c>
      <c r="D1005" t="str">
        <f>IFERROR(__xludf.DUMMYFUNCTION("""COMPUTED_VALUE"""),"DE533N2")</f>
        <v>DE533N2</v>
      </c>
      <c r="E1005" t="str">
        <f>IFERROR(__xludf.DUMMYFUNCTION("""COMPUTED_VALUE"""),"P1117")</f>
        <v>P1117</v>
      </c>
      <c r="F1005" t="str">
        <f t="array" ref="F1005">if(iserror(index(fish_lab_data!C:C,match(B1005,fish_lab_data!C:C,0))),"not dissected","dissected")</f>
        <v>dissected</v>
      </c>
    </row>
    <row r="1006">
      <c r="A1006" t="str">
        <f t="shared" si="1"/>
        <v>17168</v>
      </c>
      <c r="B1006" t="str">
        <f>IFERROR(__xludf.DUMMYFUNCTION("""COMPUTED_VALUE"""),"U17168")</f>
        <v>U17168</v>
      </c>
      <c r="C1006" t="str">
        <f>IFERROR(__xludf.DUMMYFUNCTION("""COMPUTED_VALUE"""),"CU")</f>
        <v>CU</v>
      </c>
      <c r="D1006" t="str">
        <f>IFERROR(__xludf.DUMMYFUNCTION("""COMPUTED_VALUE"""),"DE533N2")</f>
        <v>DE533N2</v>
      </c>
      <c r="E1006" t="str">
        <f>IFERROR(__xludf.DUMMYFUNCTION("""COMPUTED_VALUE"""),"P1117")</f>
        <v>P1117</v>
      </c>
      <c r="F1006" t="str">
        <f t="array" ref="F1006">if(iserror(index(fish_lab_data!C:C,match(B1006,fish_lab_data!C:C,0))),"not dissected","dissected")</f>
        <v>dissected</v>
      </c>
    </row>
    <row r="1007">
      <c r="A1007" t="str">
        <f t="shared" si="1"/>
        <v>17169</v>
      </c>
      <c r="B1007" t="str">
        <f>IFERROR(__xludf.DUMMYFUNCTION("""COMPUTED_VALUE"""),"U17169")</f>
        <v>U17169</v>
      </c>
      <c r="C1007" t="str">
        <f>IFERROR(__xludf.DUMMYFUNCTION("""COMPUTED_VALUE"""),"CU")</f>
        <v>CU</v>
      </c>
      <c r="D1007" t="str">
        <f>IFERROR(__xludf.DUMMYFUNCTION("""COMPUTED_VALUE"""),"DE533N2")</f>
        <v>DE533N2</v>
      </c>
      <c r="E1007" t="str">
        <f>IFERROR(__xludf.DUMMYFUNCTION("""COMPUTED_VALUE"""),"P1117")</f>
        <v>P1117</v>
      </c>
      <c r="F1007" t="str">
        <f t="array" ref="F1007">if(iserror(index(fish_lab_data!C:C,match(B1007,fish_lab_data!C:C,0))),"not dissected","dissected")</f>
        <v>dissected</v>
      </c>
    </row>
    <row r="1008">
      <c r="A1008" t="str">
        <f t="shared" si="1"/>
        <v>17170</v>
      </c>
      <c r="B1008" t="str">
        <f>IFERROR(__xludf.DUMMYFUNCTION("""COMPUTED_VALUE"""),"U17170")</f>
        <v>U17170</v>
      </c>
      <c r="C1008" t="str">
        <f>IFERROR(__xludf.DUMMYFUNCTION("""COMPUTED_VALUE"""),"CU")</f>
        <v>CU</v>
      </c>
      <c r="D1008" t="str">
        <f>IFERROR(__xludf.DUMMYFUNCTION("""COMPUTED_VALUE"""),"DE533N2")</f>
        <v>DE533N2</v>
      </c>
      <c r="E1008" t="str">
        <f>IFERROR(__xludf.DUMMYFUNCTION("""COMPUTED_VALUE"""),"P1117")</f>
        <v>P1117</v>
      </c>
      <c r="F1008" t="str">
        <f t="array" ref="F1008">if(iserror(index(fish_lab_data!C:C,match(B1008,fish_lab_data!C:C,0))),"not dissected","dissected")</f>
        <v>dissected</v>
      </c>
    </row>
    <row r="1009">
      <c r="A1009" t="str">
        <f t="shared" si="1"/>
        <v>17041</v>
      </c>
      <c r="B1009" t="str">
        <f>IFERROR(__xludf.DUMMYFUNCTION("""COMPUTED_VALUE"""),"U17041")</f>
        <v>U17041</v>
      </c>
      <c r="C1009" t="str">
        <f>IFERROR(__xludf.DUMMYFUNCTION("""COMPUTED_VALUE"""),"SO")</f>
        <v>SO</v>
      </c>
      <c r="D1009" t="str">
        <f>IFERROR(__xludf.DUMMYFUNCTION("""COMPUTED_VALUE"""),"DE534N2")</f>
        <v>DE534N2</v>
      </c>
      <c r="E1009" t="str">
        <f>IFERROR(__xludf.DUMMYFUNCTION("""COMPUTED_VALUE"""),"P1105")</f>
        <v>P1105</v>
      </c>
      <c r="F1009" t="str">
        <f t="array" ref="F1009">if(iserror(index(fish_lab_data!C:C,match(B1009,fish_lab_data!C:C,0))),"not dissected","dissected")</f>
        <v>dissected</v>
      </c>
    </row>
    <row r="1010">
      <c r="A1010" t="str">
        <f t="shared" si="1"/>
        <v>17181</v>
      </c>
      <c r="B1010" t="str">
        <f>IFERROR(__xludf.DUMMYFUNCTION("""COMPUTED_VALUE"""),"U17181")</f>
        <v>U17181</v>
      </c>
      <c r="C1010" t="str">
        <f>IFERROR(__xludf.DUMMYFUNCTION("""COMPUTED_VALUE"""),"PI")</f>
        <v>PI</v>
      </c>
      <c r="D1010" t="str">
        <f>IFERROR(__xludf.DUMMYFUNCTION("""COMPUTED_VALUE"""),"DE534N2")</f>
        <v>DE534N2</v>
      </c>
      <c r="E1010" t="str">
        <f>IFERROR(__xludf.DUMMYFUNCTION("""COMPUTED_VALUE"""),"P1119")</f>
        <v>P1119</v>
      </c>
      <c r="F1010" t="str">
        <f t="array" ref="F1010">if(iserror(index(fish_lab_data!C:C,match(B1010,fish_lab_data!C:C,0))),"not dissected","dissected")</f>
        <v>dissected</v>
      </c>
    </row>
    <row r="1011">
      <c r="A1011" t="str">
        <f t="shared" si="1"/>
        <v>17182</v>
      </c>
      <c r="B1011" t="str">
        <f>IFERROR(__xludf.DUMMYFUNCTION("""COMPUTED_VALUE"""),"U17182")</f>
        <v>U17182</v>
      </c>
      <c r="C1011" t="str">
        <f>IFERROR(__xludf.DUMMYFUNCTION("""COMPUTED_VALUE"""),"PI")</f>
        <v>PI</v>
      </c>
      <c r="D1011" t="str">
        <f>IFERROR(__xludf.DUMMYFUNCTION("""COMPUTED_VALUE"""),"DE534N2")</f>
        <v>DE534N2</v>
      </c>
      <c r="E1011" t="str">
        <f>IFERROR(__xludf.DUMMYFUNCTION("""COMPUTED_VALUE"""),"P1119")</f>
        <v>P1119</v>
      </c>
      <c r="F1011" t="str">
        <f t="array" ref="F1011">if(iserror(index(fish_lab_data!C:C,match(B1011,fish_lab_data!C:C,0))),"not dissected","dissected")</f>
        <v>dissected</v>
      </c>
    </row>
    <row r="1012">
      <c r="A1012" t="str">
        <f t="shared" si="1"/>
        <v>17183</v>
      </c>
      <c r="B1012" t="str">
        <f>IFERROR(__xludf.DUMMYFUNCTION("""COMPUTED_VALUE"""),"U17183")</f>
        <v>U17183</v>
      </c>
      <c r="C1012" t="str">
        <f>IFERROR(__xludf.DUMMYFUNCTION("""COMPUTED_VALUE"""),"PI")</f>
        <v>PI</v>
      </c>
      <c r="D1012" t="str">
        <f>IFERROR(__xludf.DUMMYFUNCTION("""COMPUTED_VALUE"""),"DE534N2")</f>
        <v>DE534N2</v>
      </c>
      <c r="E1012" t="str">
        <f>IFERROR(__xludf.DUMMYFUNCTION("""COMPUTED_VALUE"""),"P1119")</f>
        <v>P1119</v>
      </c>
      <c r="F1012" t="str">
        <f t="array" ref="F1012">if(iserror(index(fish_lab_data!C:C,match(B1012,fish_lab_data!C:C,0))),"not dissected","dissected")</f>
        <v>dissected</v>
      </c>
    </row>
    <row r="1013">
      <c r="A1013" t="str">
        <f t="shared" si="1"/>
        <v>17184</v>
      </c>
      <c r="B1013" t="str">
        <f>IFERROR(__xludf.DUMMYFUNCTION("""COMPUTED_VALUE"""),"U17184")</f>
        <v>U17184</v>
      </c>
      <c r="C1013" t="str">
        <f>IFERROR(__xludf.DUMMYFUNCTION("""COMPUTED_VALUE"""),"PI")</f>
        <v>PI</v>
      </c>
      <c r="D1013" t="str">
        <f>IFERROR(__xludf.DUMMYFUNCTION("""COMPUTED_VALUE"""),"DE534N2")</f>
        <v>DE534N2</v>
      </c>
      <c r="E1013" t="str">
        <f>IFERROR(__xludf.DUMMYFUNCTION("""COMPUTED_VALUE"""),"P1119")</f>
        <v>P1119</v>
      </c>
      <c r="F1013" t="str">
        <f t="array" ref="F1013">if(iserror(index(fish_lab_data!C:C,match(B1013,fish_lab_data!C:C,0))),"not dissected","dissected")</f>
        <v>dissected</v>
      </c>
    </row>
    <row r="1014">
      <c r="A1014" t="str">
        <f t="shared" si="1"/>
        <v>17185</v>
      </c>
      <c r="B1014" t="str">
        <f>IFERROR(__xludf.DUMMYFUNCTION("""COMPUTED_VALUE"""),"U17185")</f>
        <v>U17185</v>
      </c>
      <c r="C1014" t="str">
        <f>IFERROR(__xludf.DUMMYFUNCTION("""COMPUTED_VALUE"""),"PI")</f>
        <v>PI</v>
      </c>
      <c r="D1014" t="str">
        <f>IFERROR(__xludf.DUMMYFUNCTION("""COMPUTED_VALUE"""),"DE534N2")</f>
        <v>DE534N2</v>
      </c>
      <c r="E1014" t="str">
        <f>IFERROR(__xludf.DUMMYFUNCTION("""COMPUTED_VALUE"""),"P1119")</f>
        <v>P1119</v>
      </c>
      <c r="F1014" t="str">
        <f t="array" ref="F1014">if(iserror(index(fish_lab_data!C:C,match(B1014,fish_lab_data!C:C,0))),"not dissected","dissected")</f>
        <v>dissected</v>
      </c>
    </row>
    <row r="1015">
      <c r="A1015" t="str">
        <f t="shared" si="1"/>
        <v>17186</v>
      </c>
      <c r="B1015" t="str">
        <f>IFERROR(__xludf.DUMMYFUNCTION("""COMPUTED_VALUE"""),"U17186")</f>
        <v>U17186</v>
      </c>
      <c r="C1015" t="str">
        <f>IFERROR(__xludf.DUMMYFUNCTION("""COMPUTED_VALUE"""),"PI")</f>
        <v>PI</v>
      </c>
      <c r="D1015" t="str">
        <f>IFERROR(__xludf.DUMMYFUNCTION("""COMPUTED_VALUE"""),"DE534N2")</f>
        <v>DE534N2</v>
      </c>
      <c r="E1015" t="str">
        <f>IFERROR(__xludf.DUMMYFUNCTION("""COMPUTED_VALUE"""),"P1119")</f>
        <v>P1119</v>
      </c>
      <c r="F1015" t="str">
        <f t="array" ref="F1015">if(iserror(index(fish_lab_data!C:C,match(B1015,fish_lab_data!C:C,0))),"not dissected","dissected")</f>
        <v>dissected</v>
      </c>
    </row>
    <row r="1016">
      <c r="A1016" t="str">
        <f t="shared" si="1"/>
        <v>17187</v>
      </c>
      <c r="B1016" t="str">
        <f>IFERROR(__xludf.DUMMYFUNCTION("""COMPUTED_VALUE"""),"U17187")</f>
        <v>U17187</v>
      </c>
      <c r="C1016" t="str">
        <f>IFERROR(__xludf.DUMMYFUNCTION("""COMPUTED_VALUE"""),"PI")</f>
        <v>PI</v>
      </c>
      <c r="D1016" t="str">
        <f>IFERROR(__xludf.DUMMYFUNCTION("""COMPUTED_VALUE"""),"DE534N2")</f>
        <v>DE534N2</v>
      </c>
      <c r="E1016" t="str">
        <f>IFERROR(__xludf.DUMMYFUNCTION("""COMPUTED_VALUE"""),"P1119")</f>
        <v>P1119</v>
      </c>
      <c r="F1016" t="str">
        <f t="array" ref="F1016">if(iserror(index(fish_lab_data!C:C,match(B1016,fish_lab_data!C:C,0))),"not dissected","dissected")</f>
        <v>dissected</v>
      </c>
    </row>
    <row r="1017">
      <c r="A1017" t="str">
        <f t="shared" si="1"/>
        <v>17188</v>
      </c>
      <c r="B1017" t="str">
        <f>IFERROR(__xludf.DUMMYFUNCTION("""COMPUTED_VALUE"""),"U17188")</f>
        <v>U17188</v>
      </c>
      <c r="C1017" t="str">
        <f>IFERROR(__xludf.DUMMYFUNCTION("""COMPUTED_VALUE"""),"PI")</f>
        <v>PI</v>
      </c>
      <c r="D1017" t="str">
        <f>IFERROR(__xludf.DUMMYFUNCTION("""COMPUTED_VALUE"""),"DE534N2")</f>
        <v>DE534N2</v>
      </c>
      <c r="E1017" t="str">
        <f>IFERROR(__xludf.DUMMYFUNCTION("""COMPUTED_VALUE"""),"P1119")</f>
        <v>P1119</v>
      </c>
      <c r="F1017" t="str">
        <f t="array" ref="F1017">if(iserror(index(fish_lab_data!C:C,match(B1017,fish_lab_data!C:C,0))),"not dissected","dissected")</f>
        <v>dissected</v>
      </c>
    </row>
    <row r="1018">
      <c r="A1018" t="str">
        <f t="shared" si="1"/>
        <v>17189</v>
      </c>
      <c r="B1018" t="str">
        <f>IFERROR(__xludf.DUMMYFUNCTION("""COMPUTED_VALUE"""),"U17189")</f>
        <v>U17189</v>
      </c>
      <c r="C1018" t="str">
        <f>IFERROR(__xludf.DUMMYFUNCTION("""COMPUTED_VALUE"""),"PI")</f>
        <v>PI</v>
      </c>
      <c r="D1018" t="str">
        <f>IFERROR(__xludf.DUMMYFUNCTION("""COMPUTED_VALUE"""),"DE534N2")</f>
        <v>DE534N2</v>
      </c>
      <c r="E1018" t="str">
        <f>IFERROR(__xludf.DUMMYFUNCTION("""COMPUTED_VALUE"""),"P1119")</f>
        <v>P1119</v>
      </c>
      <c r="F1018" t="str">
        <f t="array" ref="F1018">if(iserror(index(fish_lab_data!C:C,match(B1018,fish_lab_data!C:C,0))),"not dissected","dissected")</f>
        <v>dissected</v>
      </c>
    </row>
    <row r="1019">
      <c r="A1019" t="str">
        <f t="shared" si="1"/>
        <v>17190</v>
      </c>
      <c r="B1019" t="str">
        <f>IFERROR(__xludf.DUMMYFUNCTION("""COMPUTED_VALUE"""),"U17190")</f>
        <v>U17190</v>
      </c>
      <c r="C1019" t="str">
        <f>IFERROR(__xludf.DUMMYFUNCTION("""COMPUTED_VALUE"""),"PI")</f>
        <v>PI</v>
      </c>
      <c r="D1019" t="str">
        <f>IFERROR(__xludf.DUMMYFUNCTION("""COMPUTED_VALUE"""),"DE534N2")</f>
        <v>DE534N2</v>
      </c>
      <c r="E1019" t="str">
        <f>IFERROR(__xludf.DUMMYFUNCTION("""COMPUTED_VALUE"""),"P1119")</f>
        <v>P1119</v>
      </c>
      <c r="F1019" t="str">
        <f t="array" ref="F1019">if(iserror(index(fish_lab_data!C:C,match(B1019,fish_lab_data!C:C,0))),"not dissected","dissected")</f>
        <v>dissected</v>
      </c>
    </row>
    <row r="1020">
      <c r="A1020" t="str">
        <f t="shared" si="1"/>
        <v>17381</v>
      </c>
      <c r="B1020" t="str">
        <f>IFERROR(__xludf.DUMMYFUNCTION("""COMPUTED_VALUE"""),"U17381")</f>
        <v>U17381</v>
      </c>
      <c r="C1020" t="str">
        <f>IFERROR(__xludf.DUMMYFUNCTION("""COMPUTED_VALUE"""),"CU")</f>
        <v>CU</v>
      </c>
      <c r="D1020" t="str">
        <f>IFERROR(__xludf.DUMMYFUNCTION("""COMPUTED_VALUE"""),"DE534N2")</f>
        <v>DE534N2</v>
      </c>
      <c r="E1020" t="str">
        <f>IFERROR(__xludf.DUMMYFUNCTION("""COMPUTED_VALUE"""),"P1139")</f>
        <v>P1139</v>
      </c>
      <c r="F1020" t="str">
        <f t="array" ref="F1020">if(iserror(index(fish_lab_data!C:C,match(B1020,fish_lab_data!C:C,0))),"not dissected","dissected")</f>
        <v>dissected</v>
      </c>
    </row>
    <row r="1021">
      <c r="A1021" t="str">
        <f t="shared" si="1"/>
        <v>17382</v>
      </c>
      <c r="B1021" t="str">
        <f>IFERROR(__xludf.DUMMYFUNCTION("""COMPUTED_VALUE"""),"U17382")</f>
        <v>U17382</v>
      </c>
      <c r="C1021" t="str">
        <f>IFERROR(__xludf.DUMMYFUNCTION("""COMPUTED_VALUE"""),"CU")</f>
        <v>CU</v>
      </c>
      <c r="D1021" t="str">
        <f>IFERROR(__xludf.DUMMYFUNCTION("""COMPUTED_VALUE"""),"DE534N2")</f>
        <v>DE534N2</v>
      </c>
      <c r="E1021" t="str">
        <f>IFERROR(__xludf.DUMMYFUNCTION("""COMPUTED_VALUE"""),"P1139")</f>
        <v>P1139</v>
      </c>
      <c r="F1021" t="str">
        <f t="array" ref="F1021">if(iserror(index(fish_lab_data!C:C,match(B1021,fish_lab_data!C:C,0))),"not dissected","dissected")</f>
        <v>dissected</v>
      </c>
    </row>
    <row r="1022">
      <c r="A1022" t="str">
        <f t="shared" si="1"/>
        <v>17383</v>
      </c>
      <c r="B1022" t="str">
        <f>IFERROR(__xludf.DUMMYFUNCTION("""COMPUTED_VALUE"""),"U17383")</f>
        <v>U17383</v>
      </c>
      <c r="C1022" t="str">
        <f>IFERROR(__xludf.DUMMYFUNCTION("""COMPUTED_VALUE"""),"CU")</f>
        <v>CU</v>
      </c>
      <c r="D1022" t="str">
        <f>IFERROR(__xludf.DUMMYFUNCTION("""COMPUTED_VALUE"""),"DE534N2")</f>
        <v>DE534N2</v>
      </c>
      <c r="E1022" t="str">
        <f>IFERROR(__xludf.DUMMYFUNCTION("""COMPUTED_VALUE"""),"P1139")</f>
        <v>P1139</v>
      </c>
      <c r="F1022" t="str">
        <f t="array" ref="F1022">if(iserror(index(fish_lab_data!C:C,match(B1022,fish_lab_data!C:C,0))),"not dissected","dissected")</f>
        <v>dissected</v>
      </c>
    </row>
    <row r="1023">
      <c r="A1023" t="str">
        <f t="shared" si="1"/>
        <v>17384</v>
      </c>
      <c r="B1023" t="str">
        <f>IFERROR(__xludf.DUMMYFUNCTION("""COMPUTED_VALUE"""),"U17384")</f>
        <v>U17384</v>
      </c>
      <c r="C1023" t="str">
        <f>IFERROR(__xludf.DUMMYFUNCTION("""COMPUTED_VALUE"""),"CU")</f>
        <v>CU</v>
      </c>
      <c r="D1023" t="str">
        <f>IFERROR(__xludf.DUMMYFUNCTION("""COMPUTED_VALUE"""),"DE534N2")</f>
        <v>DE534N2</v>
      </c>
      <c r="E1023" t="str">
        <f>IFERROR(__xludf.DUMMYFUNCTION("""COMPUTED_VALUE"""),"P1139")</f>
        <v>P1139</v>
      </c>
      <c r="F1023" t="str">
        <f t="array" ref="F1023">if(iserror(index(fish_lab_data!C:C,match(B1023,fish_lab_data!C:C,0))),"not dissected","dissected")</f>
        <v>dissected</v>
      </c>
    </row>
    <row r="1024">
      <c r="A1024" t="str">
        <f t="shared" si="1"/>
        <v>17385</v>
      </c>
      <c r="B1024" t="str">
        <f>IFERROR(__xludf.DUMMYFUNCTION("""COMPUTED_VALUE"""),"U17385")</f>
        <v>U17385</v>
      </c>
      <c r="C1024" t="str">
        <f>IFERROR(__xludf.DUMMYFUNCTION("""COMPUTED_VALUE"""),"CU")</f>
        <v>CU</v>
      </c>
      <c r="D1024" t="str">
        <f>IFERROR(__xludf.DUMMYFUNCTION("""COMPUTED_VALUE"""),"DE534N2")</f>
        <v>DE534N2</v>
      </c>
      <c r="E1024" t="str">
        <f>IFERROR(__xludf.DUMMYFUNCTION("""COMPUTED_VALUE"""),"P1139")</f>
        <v>P1139</v>
      </c>
      <c r="F1024" t="str">
        <f t="array" ref="F1024">if(iserror(index(fish_lab_data!C:C,match(B1024,fish_lab_data!C:C,0))),"not dissected","dissected")</f>
        <v>dissected</v>
      </c>
    </row>
    <row r="1025">
      <c r="A1025" t="str">
        <f t="shared" si="1"/>
        <v>17386</v>
      </c>
      <c r="B1025" t="str">
        <f>IFERROR(__xludf.DUMMYFUNCTION("""COMPUTED_VALUE"""),"U17386")</f>
        <v>U17386</v>
      </c>
      <c r="C1025" t="str">
        <f>IFERROR(__xludf.DUMMYFUNCTION("""COMPUTED_VALUE"""),"CU")</f>
        <v>CU</v>
      </c>
      <c r="D1025" t="str">
        <f>IFERROR(__xludf.DUMMYFUNCTION("""COMPUTED_VALUE"""),"DE534N2")</f>
        <v>DE534N2</v>
      </c>
      <c r="E1025" t="str">
        <f>IFERROR(__xludf.DUMMYFUNCTION("""COMPUTED_VALUE"""),"P1139")</f>
        <v>P1139</v>
      </c>
      <c r="F1025" t="str">
        <f t="array" ref="F1025">if(iserror(index(fish_lab_data!C:C,match(B1025,fish_lab_data!C:C,0))),"not dissected","dissected")</f>
        <v>dissected</v>
      </c>
    </row>
    <row r="1026">
      <c r="A1026" t="str">
        <f t="shared" si="1"/>
        <v>17387</v>
      </c>
      <c r="B1026" t="str">
        <f>IFERROR(__xludf.DUMMYFUNCTION("""COMPUTED_VALUE"""),"U17387")</f>
        <v>U17387</v>
      </c>
      <c r="C1026" t="str">
        <f>IFERROR(__xludf.DUMMYFUNCTION("""COMPUTED_VALUE"""),"CU")</f>
        <v>CU</v>
      </c>
      <c r="D1026" t="str">
        <f>IFERROR(__xludf.DUMMYFUNCTION("""COMPUTED_VALUE"""),"DE534N2")</f>
        <v>DE534N2</v>
      </c>
      <c r="E1026" t="str">
        <f>IFERROR(__xludf.DUMMYFUNCTION("""COMPUTED_VALUE"""),"P1139")</f>
        <v>P1139</v>
      </c>
      <c r="F1026" t="str">
        <f t="array" ref="F1026">if(iserror(index(fish_lab_data!C:C,match(B1026,fish_lab_data!C:C,0))),"not dissected","dissected")</f>
        <v>dissected</v>
      </c>
    </row>
    <row r="1027">
      <c r="A1027" t="str">
        <f t="shared" si="1"/>
        <v>17388</v>
      </c>
      <c r="B1027" t="str">
        <f>IFERROR(__xludf.DUMMYFUNCTION("""COMPUTED_VALUE"""),"U17388")</f>
        <v>U17388</v>
      </c>
      <c r="C1027" t="str">
        <f>IFERROR(__xludf.DUMMYFUNCTION("""COMPUTED_VALUE"""),"CU")</f>
        <v>CU</v>
      </c>
      <c r="D1027" t="str">
        <f>IFERROR(__xludf.DUMMYFUNCTION("""COMPUTED_VALUE"""),"DE534N2")</f>
        <v>DE534N2</v>
      </c>
      <c r="E1027" t="str">
        <f>IFERROR(__xludf.DUMMYFUNCTION("""COMPUTED_VALUE"""),"P1139")</f>
        <v>P1139</v>
      </c>
      <c r="F1027" t="str">
        <f t="array" ref="F1027">if(iserror(index(fish_lab_data!C:C,match(B1027,fish_lab_data!C:C,0))),"not dissected","dissected")</f>
        <v>dissected</v>
      </c>
    </row>
    <row r="1028">
      <c r="A1028" t="str">
        <f t="shared" si="1"/>
        <v>17389</v>
      </c>
      <c r="B1028" t="str">
        <f>IFERROR(__xludf.DUMMYFUNCTION("""COMPUTED_VALUE"""),"U17389")</f>
        <v>U17389</v>
      </c>
      <c r="C1028" t="str">
        <f>IFERROR(__xludf.DUMMYFUNCTION("""COMPUTED_VALUE"""),"CU")</f>
        <v>CU</v>
      </c>
      <c r="D1028" t="str">
        <f>IFERROR(__xludf.DUMMYFUNCTION("""COMPUTED_VALUE"""),"DE534N2")</f>
        <v>DE534N2</v>
      </c>
      <c r="E1028" t="str">
        <f>IFERROR(__xludf.DUMMYFUNCTION("""COMPUTED_VALUE"""),"P1139")</f>
        <v>P1139</v>
      </c>
      <c r="F1028" t="str">
        <f t="array" ref="F1028">if(iserror(index(fish_lab_data!C:C,match(B1028,fish_lab_data!C:C,0))),"not dissected","dissected")</f>
        <v>dissected</v>
      </c>
    </row>
    <row r="1029">
      <c r="A1029" t="str">
        <f t="shared" si="1"/>
        <v>17390</v>
      </c>
      <c r="B1029" t="str">
        <f>IFERROR(__xludf.DUMMYFUNCTION("""COMPUTED_VALUE"""),"U17390")</f>
        <v>U17390</v>
      </c>
      <c r="C1029" t="str">
        <f>IFERROR(__xludf.DUMMYFUNCTION("""COMPUTED_VALUE"""),"CU")</f>
        <v>CU</v>
      </c>
      <c r="D1029" t="str">
        <f>IFERROR(__xludf.DUMMYFUNCTION("""COMPUTED_VALUE"""),"DE534N2")</f>
        <v>DE534N2</v>
      </c>
      <c r="E1029" t="str">
        <f>IFERROR(__xludf.DUMMYFUNCTION("""COMPUTED_VALUE"""),"P1139")</f>
        <v>P1139</v>
      </c>
      <c r="F1029" t="str">
        <f t="array" ref="F1029">if(iserror(index(fish_lab_data!C:C,match(B1029,fish_lab_data!C:C,0))),"not dissected","dissected")</f>
        <v>dissected</v>
      </c>
    </row>
    <row r="1030">
      <c r="A1030" t="str">
        <f t="shared" si="1"/>
        <v>17481</v>
      </c>
      <c r="B1030" t="str">
        <f>IFERROR(__xludf.DUMMYFUNCTION("""COMPUTED_VALUE"""),"U17481")</f>
        <v>U17481</v>
      </c>
      <c r="C1030" t="str">
        <f>IFERROR(__xludf.DUMMYFUNCTION("""COMPUTED_VALUE"""),"CK")</f>
        <v>CK</v>
      </c>
      <c r="D1030" t="str">
        <f>IFERROR(__xludf.DUMMYFUNCTION("""COMPUTED_VALUE"""),"DE534N2")</f>
        <v>DE534N2</v>
      </c>
      <c r="E1030" t="str">
        <f>IFERROR(__xludf.DUMMYFUNCTION("""COMPUTED_VALUE"""),"P1149")</f>
        <v>P1149</v>
      </c>
      <c r="F1030" t="str">
        <f t="array" ref="F1030">if(iserror(index(fish_lab_data!C:C,match(B1030,fish_lab_data!C:C,0))),"not dissected","dissected")</f>
        <v>dissected</v>
      </c>
    </row>
    <row r="1031">
      <c r="A1031" t="str">
        <f t="shared" si="1"/>
        <v>17371</v>
      </c>
      <c r="B1031" t="str">
        <f>IFERROR(__xludf.DUMMYFUNCTION("""COMPUTED_VALUE"""),"U17371")</f>
        <v>U17371</v>
      </c>
      <c r="C1031" t="str">
        <f>IFERROR(__xludf.DUMMYFUNCTION("""COMPUTED_VALUE"""),"PI")</f>
        <v>PI</v>
      </c>
      <c r="D1031" t="str">
        <f>IFERROR(__xludf.DUMMYFUNCTION("""COMPUTED_VALUE"""),"DE535N1")</f>
        <v>DE535N1</v>
      </c>
      <c r="E1031" t="str">
        <f>IFERROR(__xludf.DUMMYFUNCTION("""COMPUTED_VALUE"""),"P1138")</f>
        <v>P1138</v>
      </c>
      <c r="F1031" t="str">
        <f t="array" ref="F1031">if(iserror(index(fish_lab_data!C:C,match(B1031,fish_lab_data!C:C,0))),"not dissected","dissected")</f>
        <v>dissected</v>
      </c>
    </row>
    <row r="1032">
      <c r="A1032" t="str">
        <f t="shared" si="1"/>
        <v>17372</v>
      </c>
      <c r="B1032" t="str">
        <f>IFERROR(__xludf.DUMMYFUNCTION("""COMPUTED_VALUE"""),"U17372")</f>
        <v>U17372</v>
      </c>
      <c r="C1032" t="str">
        <f>IFERROR(__xludf.DUMMYFUNCTION("""COMPUTED_VALUE"""),"PI")</f>
        <v>PI</v>
      </c>
      <c r="D1032" t="str">
        <f>IFERROR(__xludf.DUMMYFUNCTION("""COMPUTED_VALUE"""),"DE535N1")</f>
        <v>DE535N1</v>
      </c>
      <c r="E1032" t="str">
        <f>IFERROR(__xludf.DUMMYFUNCTION("""COMPUTED_VALUE"""),"P1138")</f>
        <v>P1138</v>
      </c>
      <c r="F1032" t="str">
        <f t="array" ref="F1032">if(iserror(index(fish_lab_data!C:C,match(B1032,fish_lab_data!C:C,0))),"not dissected","dissected")</f>
        <v>dissected</v>
      </c>
    </row>
    <row r="1033">
      <c r="A1033" t="str">
        <f t="shared" si="1"/>
        <v>17373</v>
      </c>
      <c r="B1033" t="str">
        <f>IFERROR(__xludf.DUMMYFUNCTION("""COMPUTED_VALUE"""),"U17373")</f>
        <v>U17373</v>
      </c>
      <c r="C1033" t="str">
        <f>IFERROR(__xludf.DUMMYFUNCTION("""COMPUTED_VALUE"""),"PI")</f>
        <v>PI</v>
      </c>
      <c r="D1033" t="str">
        <f>IFERROR(__xludf.DUMMYFUNCTION("""COMPUTED_VALUE"""),"DE535N1")</f>
        <v>DE535N1</v>
      </c>
      <c r="E1033" t="str">
        <f>IFERROR(__xludf.DUMMYFUNCTION("""COMPUTED_VALUE"""),"P1138")</f>
        <v>P1138</v>
      </c>
      <c r="F1033" t="str">
        <f t="array" ref="F1033">if(iserror(index(fish_lab_data!C:C,match(B1033,fish_lab_data!C:C,0))),"not dissected","dissected")</f>
        <v>dissected</v>
      </c>
    </row>
    <row r="1034">
      <c r="A1034" t="str">
        <f t="shared" si="1"/>
        <v>17374</v>
      </c>
      <c r="B1034" t="str">
        <f>IFERROR(__xludf.DUMMYFUNCTION("""COMPUTED_VALUE"""),"U17374")</f>
        <v>U17374</v>
      </c>
      <c r="C1034" t="str">
        <f>IFERROR(__xludf.DUMMYFUNCTION("""COMPUTED_VALUE"""),"PI")</f>
        <v>PI</v>
      </c>
      <c r="D1034" t="str">
        <f>IFERROR(__xludf.DUMMYFUNCTION("""COMPUTED_VALUE"""),"DE535N1")</f>
        <v>DE535N1</v>
      </c>
      <c r="E1034" t="str">
        <f>IFERROR(__xludf.DUMMYFUNCTION("""COMPUTED_VALUE"""),"P1138")</f>
        <v>P1138</v>
      </c>
      <c r="F1034" t="str">
        <f t="array" ref="F1034">if(iserror(index(fish_lab_data!C:C,match(B1034,fish_lab_data!C:C,0))),"not dissected","dissected")</f>
        <v>dissected</v>
      </c>
    </row>
    <row r="1035">
      <c r="A1035" t="str">
        <f t="shared" si="1"/>
        <v>17375</v>
      </c>
      <c r="B1035" t="str">
        <f>IFERROR(__xludf.DUMMYFUNCTION("""COMPUTED_VALUE"""),"U17375")</f>
        <v>U17375</v>
      </c>
      <c r="C1035" t="str">
        <f>IFERROR(__xludf.DUMMYFUNCTION("""COMPUTED_VALUE"""),"PI")</f>
        <v>PI</v>
      </c>
      <c r="D1035" t="str">
        <f>IFERROR(__xludf.DUMMYFUNCTION("""COMPUTED_VALUE"""),"DE535N1")</f>
        <v>DE535N1</v>
      </c>
      <c r="E1035" t="str">
        <f>IFERROR(__xludf.DUMMYFUNCTION("""COMPUTED_VALUE"""),"P1138")</f>
        <v>P1138</v>
      </c>
      <c r="F1035" t="str">
        <f t="array" ref="F1035">if(iserror(index(fish_lab_data!C:C,match(B1035,fish_lab_data!C:C,0))),"not dissected","dissected")</f>
        <v>dissected</v>
      </c>
    </row>
    <row r="1036">
      <c r="A1036" t="str">
        <f t="shared" si="1"/>
        <v>17376</v>
      </c>
      <c r="B1036" t="str">
        <f>IFERROR(__xludf.DUMMYFUNCTION("""COMPUTED_VALUE"""),"U17376")</f>
        <v>U17376</v>
      </c>
      <c r="C1036" t="str">
        <f>IFERROR(__xludf.DUMMYFUNCTION("""COMPUTED_VALUE"""),"PI")</f>
        <v>PI</v>
      </c>
      <c r="D1036" t="str">
        <f>IFERROR(__xludf.DUMMYFUNCTION("""COMPUTED_VALUE"""),"DE535N1")</f>
        <v>DE535N1</v>
      </c>
      <c r="E1036" t="str">
        <f>IFERROR(__xludf.DUMMYFUNCTION("""COMPUTED_VALUE"""),"P1138")</f>
        <v>P1138</v>
      </c>
      <c r="F1036" t="str">
        <f t="array" ref="F1036">if(iserror(index(fish_lab_data!C:C,match(B1036,fish_lab_data!C:C,0))),"not dissected","dissected")</f>
        <v>dissected</v>
      </c>
    </row>
    <row r="1037">
      <c r="A1037" t="str">
        <f t="shared" si="1"/>
        <v>17377</v>
      </c>
      <c r="B1037" t="str">
        <f>IFERROR(__xludf.DUMMYFUNCTION("""COMPUTED_VALUE"""),"U17377")</f>
        <v>U17377</v>
      </c>
      <c r="C1037" t="str">
        <f>IFERROR(__xludf.DUMMYFUNCTION("""COMPUTED_VALUE"""),"PI")</f>
        <v>PI</v>
      </c>
      <c r="D1037" t="str">
        <f>IFERROR(__xludf.DUMMYFUNCTION("""COMPUTED_VALUE"""),"DE535N1")</f>
        <v>DE535N1</v>
      </c>
      <c r="E1037" t="str">
        <f>IFERROR(__xludf.DUMMYFUNCTION("""COMPUTED_VALUE"""),"P1138")</f>
        <v>P1138</v>
      </c>
      <c r="F1037" t="str">
        <f t="array" ref="F1037">if(iserror(index(fish_lab_data!C:C,match(B1037,fish_lab_data!C:C,0))),"not dissected","dissected")</f>
        <v>dissected</v>
      </c>
    </row>
    <row r="1038">
      <c r="A1038" t="str">
        <f t="shared" si="1"/>
        <v>17378</v>
      </c>
      <c r="B1038" t="str">
        <f>IFERROR(__xludf.DUMMYFUNCTION("""COMPUTED_VALUE"""),"U17378")</f>
        <v>U17378</v>
      </c>
      <c r="C1038" t="str">
        <f>IFERROR(__xludf.DUMMYFUNCTION("""COMPUTED_VALUE"""),"PI")</f>
        <v>PI</v>
      </c>
      <c r="D1038" t="str">
        <f>IFERROR(__xludf.DUMMYFUNCTION("""COMPUTED_VALUE"""),"DE535N1")</f>
        <v>DE535N1</v>
      </c>
      <c r="E1038" t="str">
        <f>IFERROR(__xludf.DUMMYFUNCTION("""COMPUTED_VALUE"""),"P1138")</f>
        <v>P1138</v>
      </c>
      <c r="F1038" t="str">
        <f t="array" ref="F1038">if(iserror(index(fish_lab_data!C:C,match(B1038,fish_lab_data!C:C,0))),"not dissected","dissected")</f>
        <v>dissected</v>
      </c>
    </row>
    <row r="1039">
      <c r="A1039" t="str">
        <f t="shared" si="1"/>
        <v>17379</v>
      </c>
      <c r="B1039" t="str">
        <f>IFERROR(__xludf.DUMMYFUNCTION("""COMPUTED_VALUE"""),"U17379")</f>
        <v>U17379</v>
      </c>
      <c r="C1039" t="str">
        <f>IFERROR(__xludf.DUMMYFUNCTION("""COMPUTED_VALUE"""),"PI")</f>
        <v>PI</v>
      </c>
      <c r="D1039" t="str">
        <f>IFERROR(__xludf.DUMMYFUNCTION("""COMPUTED_VALUE"""),"DE535N1")</f>
        <v>DE535N1</v>
      </c>
      <c r="E1039" t="str">
        <f>IFERROR(__xludf.DUMMYFUNCTION("""COMPUTED_VALUE"""),"P1138")</f>
        <v>P1138</v>
      </c>
      <c r="F1039" t="str">
        <f t="array" ref="F1039">if(iserror(index(fish_lab_data!C:C,match(B1039,fish_lab_data!C:C,0))),"not dissected","dissected")</f>
        <v>dissected</v>
      </c>
    </row>
    <row r="1040">
      <c r="A1040" t="str">
        <f t="shared" si="1"/>
        <v>17380</v>
      </c>
      <c r="B1040" t="str">
        <f>IFERROR(__xludf.DUMMYFUNCTION("""COMPUTED_VALUE"""),"U17380")</f>
        <v>U17380</v>
      </c>
      <c r="C1040" t="str">
        <f>IFERROR(__xludf.DUMMYFUNCTION("""COMPUTED_VALUE"""),"PI")</f>
        <v>PI</v>
      </c>
      <c r="D1040" t="str">
        <f>IFERROR(__xludf.DUMMYFUNCTION("""COMPUTED_VALUE"""),"DE535N1")</f>
        <v>DE535N1</v>
      </c>
      <c r="E1040" t="str">
        <f>IFERROR(__xludf.DUMMYFUNCTION("""COMPUTED_VALUE"""),"P1138")</f>
        <v>P1138</v>
      </c>
      <c r="F1040" t="str">
        <f t="array" ref="F1040">if(iserror(index(fish_lab_data!C:C,match(B1040,fish_lab_data!C:C,0))),"not dissected","dissected")</f>
        <v>dissected</v>
      </c>
    </row>
    <row r="1041">
      <c r="A1041" t="str">
        <f t="shared" si="1"/>
        <v>17341</v>
      </c>
      <c r="B1041" t="str">
        <f>IFERROR(__xludf.DUMMYFUNCTION("""COMPUTED_VALUE"""),"U17341")</f>
        <v>U17341</v>
      </c>
      <c r="C1041" t="str">
        <f>IFERROR(__xludf.DUMMYFUNCTION("""COMPUTED_VALUE"""),"CU")</f>
        <v>CU</v>
      </c>
      <c r="D1041" t="str">
        <f>IFERROR(__xludf.DUMMYFUNCTION("""COMPUTED_VALUE"""),"DE535N1")</f>
        <v>DE535N1</v>
      </c>
      <c r="E1041" t="str">
        <f>IFERROR(__xludf.DUMMYFUNCTION("""COMPUTED_VALUE"""),"P1135")</f>
        <v>P1135</v>
      </c>
      <c r="F1041" t="str">
        <f t="array" ref="F1041">if(iserror(index(fish_lab_data!C:C,match(B1041,fish_lab_data!C:C,0))),"not dissected","dissected")</f>
        <v>dissected</v>
      </c>
    </row>
    <row r="1042">
      <c r="A1042" t="str">
        <f t="shared" si="1"/>
        <v>17342</v>
      </c>
      <c r="B1042" t="str">
        <f>IFERROR(__xludf.DUMMYFUNCTION("""COMPUTED_VALUE"""),"U17342")</f>
        <v>U17342</v>
      </c>
      <c r="C1042" t="str">
        <f>IFERROR(__xludf.DUMMYFUNCTION("""COMPUTED_VALUE"""),"CU")</f>
        <v>CU</v>
      </c>
      <c r="D1042" t="str">
        <f>IFERROR(__xludf.DUMMYFUNCTION("""COMPUTED_VALUE"""),"DE535N1")</f>
        <v>DE535N1</v>
      </c>
      <c r="E1042" t="str">
        <f>IFERROR(__xludf.DUMMYFUNCTION("""COMPUTED_VALUE"""),"P1135")</f>
        <v>P1135</v>
      </c>
      <c r="F1042" t="str">
        <f t="array" ref="F1042">if(iserror(index(fish_lab_data!C:C,match(B1042,fish_lab_data!C:C,0))),"not dissected","dissected")</f>
        <v>dissected</v>
      </c>
    </row>
    <row r="1043">
      <c r="A1043" t="str">
        <f t="shared" si="1"/>
        <v>17343</v>
      </c>
      <c r="B1043" t="str">
        <f>IFERROR(__xludf.DUMMYFUNCTION("""COMPUTED_VALUE"""),"U17343")</f>
        <v>U17343</v>
      </c>
      <c r="C1043" t="str">
        <f>IFERROR(__xludf.DUMMYFUNCTION("""COMPUTED_VALUE"""),"CU")</f>
        <v>CU</v>
      </c>
      <c r="D1043" t="str">
        <f>IFERROR(__xludf.DUMMYFUNCTION("""COMPUTED_VALUE"""),"DE535N1")</f>
        <v>DE535N1</v>
      </c>
      <c r="E1043" t="str">
        <f>IFERROR(__xludf.DUMMYFUNCTION("""COMPUTED_VALUE"""),"P1135")</f>
        <v>P1135</v>
      </c>
      <c r="F1043" t="str">
        <f t="array" ref="F1043">if(iserror(index(fish_lab_data!C:C,match(B1043,fish_lab_data!C:C,0))),"not dissected","dissected")</f>
        <v>dissected</v>
      </c>
    </row>
    <row r="1044">
      <c r="A1044" t="str">
        <f t="shared" si="1"/>
        <v>17344</v>
      </c>
      <c r="B1044" t="str">
        <f>IFERROR(__xludf.DUMMYFUNCTION("""COMPUTED_VALUE"""),"U17344")</f>
        <v>U17344</v>
      </c>
      <c r="C1044" t="str">
        <f>IFERROR(__xludf.DUMMYFUNCTION("""COMPUTED_VALUE"""),"CU")</f>
        <v>CU</v>
      </c>
      <c r="D1044" t="str">
        <f>IFERROR(__xludf.DUMMYFUNCTION("""COMPUTED_VALUE"""),"DE535N1")</f>
        <v>DE535N1</v>
      </c>
      <c r="E1044" t="str">
        <f>IFERROR(__xludf.DUMMYFUNCTION("""COMPUTED_VALUE"""),"P1135")</f>
        <v>P1135</v>
      </c>
      <c r="F1044" t="str">
        <f t="array" ref="F1044">if(iserror(index(fish_lab_data!C:C,match(B1044,fish_lab_data!C:C,0))),"not dissected","dissected")</f>
        <v>dissected</v>
      </c>
    </row>
    <row r="1045">
      <c r="A1045" t="str">
        <f t="shared" si="1"/>
        <v>17345</v>
      </c>
      <c r="B1045" t="str">
        <f>IFERROR(__xludf.DUMMYFUNCTION("""COMPUTED_VALUE"""),"U17345")</f>
        <v>U17345</v>
      </c>
      <c r="C1045" t="str">
        <f>IFERROR(__xludf.DUMMYFUNCTION("""COMPUTED_VALUE"""),"CU")</f>
        <v>CU</v>
      </c>
      <c r="D1045" t="str">
        <f>IFERROR(__xludf.DUMMYFUNCTION("""COMPUTED_VALUE"""),"DE535N1")</f>
        <v>DE535N1</v>
      </c>
      <c r="E1045" t="str">
        <f>IFERROR(__xludf.DUMMYFUNCTION("""COMPUTED_VALUE"""),"P1135")</f>
        <v>P1135</v>
      </c>
      <c r="F1045" t="str">
        <f t="array" ref="F1045">if(iserror(index(fish_lab_data!C:C,match(B1045,fish_lab_data!C:C,0))),"not dissected","dissected")</f>
        <v>dissected</v>
      </c>
    </row>
    <row r="1046">
      <c r="A1046" t="str">
        <f t="shared" si="1"/>
        <v>17346</v>
      </c>
      <c r="B1046" t="str">
        <f>IFERROR(__xludf.DUMMYFUNCTION("""COMPUTED_VALUE"""),"U17346")</f>
        <v>U17346</v>
      </c>
      <c r="C1046" t="str">
        <f>IFERROR(__xludf.DUMMYFUNCTION("""COMPUTED_VALUE"""),"CU")</f>
        <v>CU</v>
      </c>
      <c r="D1046" t="str">
        <f>IFERROR(__xludf.DUMMYFUNCTION("""COMPUTED_VALUE"""),"DE535N1")</f>
        <v>DE535N1</v>
      </c>
      <c r="E1046" t="str">
        <f>IFERROR(__xludf.DUMMYFUNCTION("""COMPUTED_VALUE"""),"P1135")</f>
        <v>P1135</v>
      </c>
      <c r="F1046" t="str">
        <f t="array" ref="F1046">if(iserror(index(fish_lab_data!C:C,match(B1046,fish_lab_data!C:C,0))),"not dissected","dissected")</f>
        <v>dissected</v>
      </c>
    </row>
    <row r="1047">
      <c r="A1047" t="str">
        <f t="shared" si="1"/>
        <v>17347</v>
      </c>
      <c r="B1047" t="str">
        <f>IFERROR(__xludf.DUMMYFUNCTION("""COMPUTED_VALUE"""),"U17347")</f>
        <v>U17347</v>
      </c>
      <c r="C1047" t="str">
        <f>IFERROR(__xludf.DUMMYFUNCTION("""COMPUTED_VALUE"""),"CU")</f>
        <v>CU</v>
      </c>
      <c r="D1047" t="str">
        <f>IFERROR(__xludf.DUMMYFUNCTION("""COMPUTED_VALUE"""),"DE535N1")</f>
        <v>DE535N1</v>
      </c>
      <c r="E1047" t="str">
        <f>IFERROR(__xludf.DUMMYFUNCTION("""COMPUTED_VALUE"""),"P1135")</f>
        <v>P1135</v>
      </c>
      <c r="F1047" t="str">
        <f t="array" ref="F1047">if(iserror(index(fish_lab_data!C:C,match(B1047,fish_lab_data!C:C,0))),"not dissected","dissected")</f>
        <v>dissected</v>
      </c>
    </row>
    <row r="1048">
      <c r="A1048" t="str">
        <f t="shared" si="1"/>
        <v>17348</v>
      </c>
      <c r="B1048" t="str">
        <f>IFERROR(__xludf.DUMMYFUNCTION("""COMPUTED_VALUE"""),"U17348")</f>
        <v>U17348</v>
      </c>
      <c r="C1048" t="str">
        <f>IFERROR(__xludf.DUMMYFUNCTION("""COMPUTED_VALUE"""),"CU")</f>
        <v>CU</v>
      </c>
      <c r="D1048" t="str">
        <f>IFERROR(__xludf.DUMMYFUNCTION("""COMPUTED_VALUE"""),"DE535N1")</f>
        <v>DE535N1</v>
      </c>
      <c r="E1048" t="str">
        <f>IFERROR(__xludf.DUMMYFUNCTION("""COMPUTED_VALUE"""),"P1135")</f>
        <v>P1135</v>
      </c>
      <c r="F1048" t="str">
        <f t="array" ref="F1048">if(iserror(index(fish_lab_data!C:C,match(B1048,fish_lab_data!C:C,0))),"not dissected","dissected")</f>
        <v>dissected</v>
      </c>
    </row>
    <row r="1049">
      <c r="A1049" t="str">
        <f t="shared" si="1"/>
        <v>17349</v>
      </c>
      <c r="B1049" t="str">
        <f>IFERROR(__xludf.DUMMYFUNCTION("""COMPUTED_VALUE"""),"U17349")</f>
        <v>U17349</v>
      </c>
      <c r="C1049" t="str">
        <f>IFERROR(__xludf.DUMMYFUNCTION("""COMPUTED_VALUE"""),"CU")</f>
        <v>CU</v>
      </c>
      <c r="D1049" t="str">
        <f>IFERROR(__xludf.DUMMYFUNCTION("""COMPUTED_VALUE"""),"DE535N1")</f>
        <v>DE535N1</v>
      </c>
      <c r="E1049" t="str">
        <f>IFERROR(__xludf.DUMMYFUNCTION("""COMPUTED_VALUE"""),"P1135")</f>
        <v>P1135</v>
      </c>
      <c r="F1049" t="str">
        <f t="array" ref="F1049">if(iserror(index(fish_lab_data!C:C,match(B1049,fish_lab_data!C:C,0))),"not dissected","dissected")</f>
        <v>dissected</v>
      </c>
    </row>
    <row r="1050">
      <c r="A1050" t="str">
        <f t="shared" si="1"/>
        <v>17350</v>
      </c>
      <c r="B1050" t="str">
        <f>IFERROR(__xludf.DUMMYFUNCTION("""COMPUTED_VALUE"""),"U17350")</f>
        <v>U17350</v>
      </c>
      <c r="C1050" t="str">
        <f>IFERROR(__xludf.DUMMYFUNCTION("""COMPUTED_VALUE"""),"CU")</f>
        <v>CU</v>
      </c>
      <c r="D1050" t="str">
        <f>IFERROR(__xludf.DUMMYFUNCTION("""COMPUTED_VALUE"""),"DE535N1")</f>
        <v>DE535N1</v>
      </c>
      <c r="E1050" t="str">
        <f>IFERROR(__xludf.DUMMYFUNCTION("""COMPUTED_VALUE"""),"P1135")</f>
        <v>P1135</v>
      </c>
      <c r="F1050" t="str">
        <f t="array" ref="F1050">if(iserror(index(fish_lab_data!C:C,match(B1050,fish_lab_data!C:C,0))),"not dissected","dissected")</f>
        <v>dissected</v>
      </c>
    </row>
    <row r="1051">
      <c r="A1051" t="str">
        <f t="shared" si="1"/>
        <v>17071</v>
      </c>
      <c r="B1051" t="str">
        <f>IFERROR(__xludf.DUMMYFUNCTION("""COMPUTED_VALUE"""),"U17071")</f>
        <v>U17071</v>
      </c>
      <c r="C1051" t="str">
        <f>IFERROR(__xludf.DUMMYFUNCTION("""COMPUTED_VALUE"""),"SO")</f>
        <v>SO</v>
      </c>
      <c r="D1051" t="str">
        <f>IFERROR(__xludf.DUMMYFUNCTION("""COMPUTED_VALUE"""),"DE536N1")</f>
        <v>DE536N1</v>
      </c>
      <c r="E1051" t="str">
        <f>IFERROR(__xludf.DUMMYFUNCTION("""COMPUTED_VALUE"""),"P1108")</f>
        <v>P1108</v>
      </c>
      <c r="F1051" t="str">
        <f t="array" ref="F1051">if(iserror(index(fish_lab_data!C:C,match(B1051,fish_lab_data!C:C,0))),"not dissected","dissected")</f>
        <v>dissected</v>
      </c>
    </row>
    <row r="1052">
      <c r="A1052" t="str">
        <f t="shared" si="1"/>
        <v>17072</v>
      </c>
      <c r="B1052" t="str">
        <f>IFERROR(__xludf.DUMMYFUNCTION("""COMPUTED_VALUE"""),"U17072")</f>
        <v>U17072</v>
      </c>
      <c r="C1052" t="str">
        <f>IFERROR(__xludf.DUMMYFUNCTION("""COMPUTED_VALUE"""),"SO")</f>
        <v>SO</v>
      </c>
      <c r="D1052" t="str">
        <f>IFERROR(__xludf.DUMMYFUNCTION("""COMPUTED_VALUE"""),"DE536N1")</f>
        <v>DE536N1</v>
      </c>
      <c r="E1052" t="str">
        <f>IFERROR(__xludf.DUMMYFUNCTION("""COMPUTED_VALUE"""),"P1108")</f>
        <v>P1108</v>
      </c>
      <c r="F1052" t="str">
        <f t="array" ref="F1052">if(iserror(index(fish_lab_data!C:C,match(B1052,fish_lab_data!C:C,0))),"not dissected","dissected")</f>
        <v>dissected</v>
      </c>
    </row>
    <row r="1053">
      <c r="A1053" t="str">
        <f t="shared" si="1"/>
        <v>17391</v>
      </c>
      <c r="B1053" t="str">
        <f>IFERROR(__xludf.DUMMYFUNCTION("""COMPUTED_VALUE"""),"U17391")</f>
        <v>U17391</v>
      </c>
      <c r="C1053" t="str">
        <f>IFERROR(__xludf.DUMMYFUNCTION("""COMPUTED_VALUE"""),"CU")</f>
        <v>CU</v>
      </c>
      <c r="D1053" t="str">
        <f>IFERROR(__xludf.DUMMYFUNCTION("""COMPUTED_VALUE"""),"DE536N1")</f>
        <v>DE536N1</v>
      </c>
      <c r="E1053" t="str">
        <f>IFERROR(__xludf.DUMMYFUNCTION("""COMPUTED_VALUE"""),"P1140")</f>
        <v>P1140</v>
      </c>
      <c r="F1053" t="str">
        <f t="array" ref="F1053">if(iserror(index(fish_lab_data!C:C,match(B1053,fish_lab_data!C:C,0))),"not dissected","dissected")</f>
        <v>dissected</v>
      </c>
    </row>
    <row r="1054">
      <c r="A1054" t="str">
        <f t="shared" si="1"/>
        <v>16041</v>
      </c>
      <c r="B1054" t="str">
        <f>IFERROR(__xludf.DUMMYFUNCTION("""COMPUTED_VALUE"""),"U16041")</f>
        <v>U16041</v>
      </c>
      <c r="C1054" t="str">
        <f>IFERROR(__xludf.DUMMYFUNCTION("""COMPUTED_VALUE"""),"PI")</f>
        <v>PI</v>
      </c>
      <c r="D1054" t="str">
        <f>IFERROR(__xludf.DUMMYFUNCTION("""COMPUTED_VALUE"""),"DE537N1")</f>
        <v>DE537N1</v>
      </c>
      <c r="E1054" t="str">
        <f>IFERROR(__xludf.DUMMYFUNCTION("""COMPUTED_VALUE"""),"P1005")</f>
        <v>P1005</v>
      </c>
      <c r="F1054" t="str">
        <f t="array" ref="F1054">if(iserror(index(fish_lab_data!C:C,match(B1054,fish_lab_data!C:C,0))),"not dissected","dissected")</f>
        <v>dissected</v>
      </c>
    </row>
    <row r="1055">
      <c r="A1055" t="str">
        <f t="shared" si="1"/>
        <v>16042</v>
      </c>
      <c r="B1055" t="str">
        <f>IFERROR(__xludf.DUMMYFUNCTION("""COMPUTED_VALUE"""),"U16042")</f>
        <v>U16042</v>
      </c>
      <c r="C1055" t="str">
        <f>IFERROR(__xludf.DUMMYFUNCTION("""COMPUTED_VALUE"""),"PI")</f>
        <v>PI</v>
      </c>
      <c r="D1055" t="str">
        <f>IFERROR(__xludf.DUMMYFUNCTION("""COMPUTED_VALUE"""),"DE537N1")</f>
        <v>DE537N1</v>
      </c>
      <c r="E1055" t="str">
        <f>IFERROR(__xludf.DUMMYFUNCTION("""COMPUTED_VALUE"""),"P1005")</f>
        <v>P1005</v>
      </c>
      <c r="F1055" t="str">
        <f t="array" ref="F1055">if(iserror(index(fish_lab_data!C:C,match(B1055,fish_lab_data!C:C,0))),"not dissected","dissected")</f>
        <v>dissected</v>
      </c>
    </row>
    <row r="1056">
      <c r="A1056" t="str">
        <f t="shared" si="1"/>
        <v>16043</v>
      </c>
      <c r="B1056" t="str">
        <f>IFERROR(__xludf.DUMMYFUNCTION("""COMPUTED_VALUE"""),"U16043")</f>
        <v>U16043</v>
      </c>
      <c r="C1056" t="str">
        <f>IFERROR(__xludf.DUMMYFUNCTION("""COMPUTED_VALUE"""),"PI")</f>
        <v>PI</v>
      </c>
      <c r="D1056" t="str">
        <f>IFERROR(__xludf.DUMMYFUNCTION("""COMPUTED_VALUE"""),"DE537N1")</f>
        <v>DE537N1</v>
      </c>
      <c r="E1056" t="str">
        <f>IFERROR(__xludf.DUMMYFUNCTION("""COMPUTED_VALUE"""),"P1005")</f>
        <v>P1005</v>
      </c>
      <c r="F1056" t="str">
        <f t="array" ref="F1056">if(iserror(index(fish_lab_data!C:C,match(B1056,fish_lab_data!C:C,0))),"not dissected","dissected")</f>
        <v>dissected</v>
      </c>
    </row>
    <row r="1057">
      <c r="A1057" t="str">
        <f t="shared" si="1"/>
        <v>16044</v>
      </c>
      <c r="B1057" t="str">
        <f>IFERROR(__xludf.DUMMYFUNCTION("""COMPUTED_VALUE"""),"U16044")</f>
        <v>U16044</v>
      </c>
      <c r="C1057" t="str">
        <f>IFERROR(__xludf.DUMMYFUNCTION("""COMPUTED_VALUE"""),"PI")</f>
        <v>PI</v>
      </c>
      <c r="D1057" t="str">
        <f>IFERROR(__xludf.DUMMYFUNCTION("""COMPUTED_VALUE"""),"DE537N1")</f>
        <v>DE537N1</v>
      </c>
      <c r="E1057" t="str">
        <f>IFERROR(__xludf.DUMMYFUNCTION("""COMPUTED_VALUE"""),"P1005")</f>
        <v>P1005</v>
      </c>
      <c r="F1057" t="str">
        <f t="array" ref="F1057">if(iserror(index(fish_lab_data!C:C,match(B1057,fish_lab_data!C:C,0))),"not dissected","dissected")</f>
        <v>dissected</v>
      </c>
    </row>
    <row r="1058">
      <c r="A1058" t="str">
        <f t="shared" si="1"/>
        <v>16045</v>
      </c>
      <c r="B1058" t="str">
        <f>IFERROR(__xludf.DUMMYFUNCTION("""COMPUTED_VALUE"""),"U16045")</f>
        <v>U16045</v>
      </c>
      <c r="C1058" t="str">
        <f>IFERROR(__xludf.DUMMYFUNCTION("""COMPUTED_VALUE"""),"PI")</f>
        <v>PI</v>
      </c>
      <c r="D1058" t="str">
        <f>IFERROR(__xludf.DUMMYFUNCTION("""COMPUTED_VALUE"""),"DE537N1")</f>
        <v>DE537N1</v>
      </c>
      <c r="E1058" t="str">
        <f>IFERROR(__xludf.DUMMYFUNCTION("""COMPUTED_VALUE"""),"P1005")</f>
        <v>P1005</v>
      </c>
      <c r="F1058" t="str">
        <f t="array" ref="F1058">if(iserror(index(fish_lab_data!C:C,match(B1058,fish_lab_data!C:C,0))),"not dissected","dissected")</f>
        <v>dissected</v>
      </c>
    </row>
    <row r="1059">
      <c r="A1059" t="str">
        <f t="shared" si="1"/>
        <v>16046</v>
      </c>
      <c r="B1059" t="str">
        <f>IFERROR(__xludf.DUMMYFUNCTION("""COMPUTED_VALUE"""),"U16046")</f>
        <v>U16046</v>
      </c>
      <c r="C1059" t="str">
        <f>IFERROR(__xludf.DUMMYFUNCTION("""COMPUTED_VALUE"""),"PI")</f>
        <v>PI</v>
      </c>
      <c r="D1059" t="str">
        <f>IFERROR(__xludf.DUMMYFUNCTION("""COMPUTED_VALUE"""),"DE537N1")</f>
        <v>DE537N1</v>
      </c>
      <c r="E1059" t="str">
        <f>IFERROR(__xludf.DUMMYFUNCTION("""COMPUTED_VALUE"""),"P1005")</f>
        <v>P1005</v>
      </c>
      <c r="F1059" t="str">
        <f t="array" ref="F1059">if(iserror(index(fish_lab_data!C:C,match(B1059,fish_lab_data!C:C,0))),"not dissected","dissected")</f>
        <v>dissected</v>
      </c>
    </row>
    <row r="1060">
      <c r="A1060" t="str">
        <f t="shared" si="1"/>
        <v>16047</v>
      </c>
      <c r="B1060" t="str">
        <f>IFERROR(__xludf.DUMMYFUNCTION("""COMPUTED_VALUE"""),"U16047")</f>
        <v>U16047</v>
      </c>
      <c r="C1060" t="str">
        <f>IFERROR(__xludf.DUMMYFUNCTION("""COMPUTED_VALUE"""),"PI")</f>
        <v>PI</v>
      </c>
      <c r="D1060" t="str">
        <f>IFERROR(__xludf.DUMMYFUNCTION("""COMPUTED_VALUE"""),"DE537N1")</f>
        <v>DE537N1</v>
      </c>
      <c r="E1060" t="str">
        <f>IFERROR(__xludf.DUMMYFUNCTION("""COMPUTED_VALUE"""),"P1005")</f>
        <v>P1005</v>
      </c>
      <c r="F1060" t="str">
        <f t="array" ref="F1060">if(iserror(index(fish_lab_data!C:C,match(B1060,fish_lab_data!C:C,0))),"not dissected","dissected")</f>
        <v>dissected</v>
      </c>
    </row>
    <row r="1061">
      <c r="A1061" t="str">
        <f t="shared" si="1"/>
        <v>16048</v>
      </c>
      <c r="B1061" t="str">
        <f>IFERROR(__xludf.DUMMYFUNCTION("""COMPUTED_VALUE"""),"U16048")</f>
        <v>U16048</v>
      </c>
      <c r="C1061" t="str">
        <f>IFERROR(__xludf.DUMMYFUNCTION("""COMPUTED_VALUE"""),"PI")</f>
        <v>PI</v>
      </c>
      <c r="D1061" t="str">
        <f>IFERROR(__xludf.DUMMYFUNCTION("""COMPUTED_VALUE"""),"DE537N1")</f>
        <v>DE537N1</v>
      </c>
      <c r="E1061" t="str">
        <f>IFERROR(__xludf.DUMMYFUNCTION("""COMPUTED_VALUE"""),"P1005")</f>
        <v>P1005</v>
      </c>
      <c r="F1061" t="str">
        <f t="array" ref="F1061">if(iserror(index(fish_lab_data!C:C,match(B1061,fish_lab_data!C:C,0))),"not dissected","dissected")</f>
        <v>dissected</v>
      </c>
    </row>
    <row r="1062">
      <c r="A1062" t="str">
        <f t="shared" si="1"/>
        <v>16049</v>
      </c>
      <c r="B1062" t="str">
        <f>IFERROR(__xludf.DUMMYFUNCTION("""COMPUTED_VALUE"""),"U16049")</f>
        <v>U16049</v>
      </c>
      <c r="C1062" t="str">
        <f>IFERROR(__xludf.DUMMYFUNCTION("""COMPUTED_VALUE"""),"PI")</f>
        <v>PI</v>
      </c>
      <c r="D1062" t="str">
        <f>IFERROR(__xludf.DUMMYFUNCTION("""COMPUTED_VALUE"""),"DE537N1")</f>
        <v>DE537N1</v>
      </c>
      <c r="E1062" t="str">
        <f>IFERROR(__xludf.DUMMYFUNCTION("""COMPUTED_VALUE"""),"P1005")</f>
        <v>P1005</v>
      </c>
      <c r="F1062" t="str">
        <f t="array" ref="F1062">if(iserror(index(fish_lab_data!C:C,match(B1062,fish_lab_data!C:C,0))),"not dissected","dissected")</f>
        <v>dissected</v>
      </c>
    </row>
    <row r="1063">
      <c r="A1063" t="str">
        <f t="shared" si="1"/>
        <v>16050</v>
      </c>
      <c r="B1063" t="str">
        <f>IFERROR(__xludf.DUMMYFUNCTION("""COMPUTED_VALUE"""),"U16050")</f>
        <v>U16050</v>
      </c>
      <c r="C1063" t="str">
        <f>IFERROR(__xludf.DUMMYFUNCTION("""COMPUTED_VALUE"""),"PI")</f>
        <v>PI</v>
      </c>
      <c r="D1063" t="str">
        <f>IFERROR(__xludf.DUMMYFUNCTION("""COMPUTED_VALUE"""),"DE537N1")</f>
        <v>DE537N1</v>
      </c>
      <c r="E1063" t="str">
        <f>IFERROR(__xludf.DUMMYFUNCTION("""COMPUTED_VALUE"""),"P1005")</f>
        <v>P1005</v>
      </c>
      <c r="F1063" t="str">
        <f t="array" ref="F1063">if(iserror(index(fish_lab_data!C:C,match(B1063,fish_lab_data!C:C,0))),"not dissected","dissected")</f>
        <v>dissected</v>
      </c>
    </row>
    <row r="1064">
      <c r="A1064" t="str">
        <f t="shared" si="1"/>
        <v>16391</v>
      </c>
      <c r="B1064" t="str">
        <f>IFERROR(__xludf.DUMMYFUNCTION("""COMPUTED_VALUE"""),"U16391")</f>
        <v>U16391</v>
      </c>
      <c r="C1064" t="str">
        <f>IFERROR(__xludf.DUMMYFUNCTION("""COMPUTED_VALUE"""),"CU")</f>
        <v>CU</v>
      </c>
      <c r="D1064" t="str">
        <f>IFERROR(__xludf.DUMMYFUNCTION("""COMPUTED_VALUE"""),"DE537N1")</f>
        <v>DE537N1</v>
      </c>
      <c r="E1064" t="str">
        <f>IFERROR(__xludf.DUMMYFUNCTION("""COMPUTED_VALUE"""),"P1040")</f>
        <v>P1040</v>
      </c>
      <c r="F1064" t="str">
        <f t="array" ref="F1064">if(iserror(index(fish_lab_data!C:C,match(B1064,fish_lab_data!C:C,0))),"not dissected","dissected")</f>
        <v>dissected</v>
      </c>
    </row>
    <row r="1065">
      <c r="A1065" t="str">
        <f t="shared" si="1"/>
        <v>16901</v>
      </c>
      <c r="B1065" t="str">
        <f>IFERROR(__xludf.DUMMYFUNCTION("""COMPUTED_VALUE"""),"U16901")</f>
        <v>U16901</v>
      </c>
      <c r="C1065" t="str">
        <f>IFERROR(__xludf.DUMMYFUNCTION("""COMPUTED_VALUE"""),"SO")</f>
        <v>SO</v>
      </c>
      <c r="D1065" t="str">
        <f>IFERROR(__xludf.DUMMYFUNCTION("""COMPUTED_VALUE"""),"JE426N1")</f>
        <v>JE426N1</v>
      </c>
      <c r="E1065" t="str">
        <f>IFERROR(__xludf.DUMMYFUNCTION("""COMPUTED_VALUE"""),"P1091")</f>
        <v>P1091</v>
      </c>
      <c r="F1065" t="str">
        <f t="array" ref="F1065">if(iserror(index(fish_lab_data!C:C,match(B1065,fish_lab_data!C:C,0))),"not dissected","dissected")</f>
        <v>dissected</v>
      </c>
    </row>
    <row r="1066">
      <c r="A1066" t="str">
        <f t="shared" si="1"/>
        <v>17551</v>
      </c>
      <c r="B1066" t="str">
        <f>IFERROR(__xludf.DUMMYFUNCTION("""COMPUTED_VALUE"""),"U17551")</f>
        <v>U17551</v>
      </c>
      <c r="C1066" t="str">
        <f>IFERROR(__xludf.DUMMYFUNCTION("""COMPUTED_VALUE"""),"PI")</f>
        <v>PI</v>
      </c>
      <c r="D1066" t="str">
        <f>IFERROR(__xludf.DUMMYFUNCTION("""COMPUTED_VALUE"""),"JE426N1")</f>
        <v>JE426N1</v>
      </c>
      <c r="E1066" t="str">
        <f>IFERROR(__xludf.DUMMYFUNCTION("""COMPUTED_VALUE"""),"P1156")</f>
        <v>P1156</v>
      </c>
      <c r="F1066" t="str">
        <f t="array" ref="F1066">if(iserror(index(fish_lab_data!C:C,match(B1066,fish_lab_data!C:C,0))),"not dissected","dissected")</f>
        <v>dissected</v>
      </c>
    </row>
    <row r="1067">
      <c r="A1067" t="str">
        <f t="shared" si="1"/>
        <v>17552</v>
      </c>
      <c r="B1067" t="str">
        <f>IFERROR(__xludf.DUMMYFUNCTION("""COMPUTED_VALUE"""),"U17552")</f>
        <v>U17552</v>
      </c>
      <c r="C1067" t="str">
        <f>IFERROR(__xludf.DUMMYFUNCTION("""COMPUTED_VALUE"""),"PI")</f>
        <v>PI</v>
      </c>
      <c r="D1067" t="str">
        <f>IFERROR(__xludf.DUMMYFUNCTION("""COMPUTED_VALUE"""),"JE426N1")</f>
        <v>JE426N1</v>
      </c>
      <c r="E1067" t="str">
        <f>IFERROR(__xludf.DUMMYFUNCTION("""COMPUTED_VALUE"""),"P1156")</f>
        <v>P1156</v>
      </c>
      <c r="F1067" t="str">
        <f t="array" ref="F1067">if(iserror(index(fish_lab_data!C:C,match(B1067,fish_lab_data!C:C,0))),"not dissected","dissected")</f>
        <v>dissected</v>
      </c>
    </row>
    <row r="1068">
      <c r="A1068" t="str">
        <f t="shared" si="1"/>
        <v>17553</v>
      </c>
      <c r="B1068" t="str">
        <f>IFERROR(__xludf.DUMMYFUNCTION("""COMPUTED_VALUE"""),"U17553")</f>
        <v>U17553</v>
      </c>
      <c r="C1068" t="str">
        <f>IFERROR(__xludf.DUMMYFUNCTION("""COMPUTED_VALUE"""),"PI")</f>
        <v>PI</v>
      </c>
      <c r="D1068" t="str">
        <f>IFERROR(__xludf.DUMMYFUNCTION("""COMPUTED_VALUE"""),"JE426N1")</f>
        <v>JE426N1</v>
      </c>
      <c r="E1068" t="str">
        <f>IFERROR(__xludf.DUMMYFUNCTION("""COMPUTED_VALUE"""),"P1156")</f>
        <v>P1156</v>
      </c>
      <c r="F1068" t="str">
        <f t="array" ref="F1068">if(iserror(index(fish_lab_data!C:C,match(B1068,fish_lab_data!C:C,0))),"not dissected","dissected")</f>
        <v>dissected</v>
      </c>
    </row>
    <row r="1069">
      <c r="A1069" t="str">
        <f t="shared" si="1"/>
        <v>17554</v>
      </c>
      <c r="B1069" t="str">
        <f>IFERROR(__xludf.DUMMYFUNCTION("""COMPUTED_VALUE"""),"U17554")</f>
        <v>U17554</v>
      </c>
      <c r="C1069" t="str">
        <f>IFERROR(__xludf.DUMMYFUNCTION("""COMPUTED_VALUE"""),"PI")</f>
        <v>PI</v>
      </c>
      <c r="D1069" t="str">
        <f>IFERROR(__xludf.DUMMYFUNCTION("""COMPUTED_VALUE"""),"JE426N1")</f>
        <v>JE426N1</v>
      </c>
      <c r="E1069" t="str">
        <f>IFERROR(__xludf.DUMMYFUNCTION("""COMPUTED_VALUE"""),"P1156")</f>
        <v>P1156</v>
      </c>
      <c r="F1069" t="str">
        <f t="array" ref="F1069">if(iserror(index(fish_lab_data!C:C,match(B1069,fish_lab_data!C:C,0))),"not dissected","dissected")</f>
        <v>dissected</v>
      </c>
    </row>
    <row r="1070">
      <c r="A1070" t="str">
        <f t="shared" si="1"/>
        <v>17555</v>
      </c>
      <c r="B1070" t="str">
        <f>IFERROR(__xludf.DUMMYFUNCTION("""COMPUTED_VALUE"""),"U17555")</f>
        <v>U17555</v>
      </c>
      <c r="C1070" t="str">
        <f>IFERROR(__xludf.DUMMYFUNCTION("""COMPUTED_VALUE"""),"PI")</f>
        <v>PI</v>
      </c>
      <c r="D1070" t="str">
        <f>IFERROR(__xludf.DUMMYFUNCTION("""COMPUTED_VALUE"""),"JE426N1")</f>
        <v>JE426N1</v>
      </c>
      <c r="E1070" t="str">
        <f>IFERROR(__xludf.DUMMYFUNCTION("""COMPUTED_VALUE"""),"P1156")</f>
        <v>P1156</v>
      </c>
      <c r="F1070" t="str">
        <f t="array" ref="F1070">if(iserror(index(fish_lab_data!C:C,match(B1070,fish_lab_data!C:C,0))),"not dissected","dissected")</f>
        <v>dissected</v>
      </c>
    </row>
    <row r="1071">
      <c r="A1071" t="str">
        <f t="shared" si="1"/>
        <v>17556</v>
      </c>
      <c r="B1071" t="str">
        <f>IFERROR(__xludf.DUMMYFUNCTION("""COMPUTED_VALUE"""),"U17556")</f>
        <v>U17556</v>
      </c>
      <c r="C1071" t="str">
        <f>IFERROR(__xludf.DUMMYFUNCTION("""COMPUTED_VALUE"""),"PI")</f>
        <v>PI</v>
      </c>
      <c r="D1071" t="str">
        <f>IFERROR(__xludf.DUMMYFUNCTION("""COMPUTED_VALUE"""),"JE426N1")</f>
        <v>JE426N1</v>
      </c>
      <c r="E1071" t="str">
        <f>IFERROR(__xludf.DUMMYFUNCTION("""COMPUTED_VALUE"""),"P1156")</f>
        <v>P1156</v>
      </c>
      <c r="F1071" t="str">
        <f t="array" ref="F1071">if(iserror(index(fish_lab_data!C:C,match(B1071,fish_lab_data!C:C,0))),"not dissected","dissected")</f>
        <v>dissected</v>
      </c>
    </row>
    <row r="1072">
      <c r="A1072" t="str">
        <f t="shared" si="1"/>
        <v>17557</v>
      </c>
      <c r="B1072" t="str">
        <f>IFERROR(__xludf.DUMMYFUNCTION("""COMPUTED_VALUE"""),"U17557")</f>
        <v>U17557</v>
      </c>
      <c r="C1072" t="str">
        <f>IFERROR(__xludf.DUMMYFUNCTION("""COMPUTED_VALUE"""),"PI")</f>
        <v>PI</v>
      </c>
      <c r="D1072" t="str">
        <f>IFERROR(__xludf.DUMMYFUNCTION("""COMPUTED_VALUE"""),"JE426N1")</f>
        <v>JE426N1</v>
      </c>
      <c r="E1072" t="str">
        <f>IFERROR(__xludf.DUMMYFUNCTION("""COMPUTED_VALUE"""),"P1156")</f>
        <v>P1156</v>
      </c>
      <c r="F1072" t="str">
        <f t="array" ref="F1072">if(iserror(index(fish_lab_data!C:C,match(B1072,fish_lab_data!C:C,0))),"not dissected","dissected")</f>
        <v>dissected</v>
      </c>
    </row>
    <row r="1073">
      <c r="A1073" t="str">
        <f t="shared" si="1"/>
        <v>17558</v>
      </c>
      <c r="B1073" t="str">
        <f>IFERROR(__xludf.DUMMYFUNCTION("""COMPUTED_VALUE"""),"U17558")</f>
        <v>U17558</v>
      </c>
      <c r="C1073" t="str">
        <f>IFERROR(__xludf.DUMMYFUNCTION("""COMPUTED_VALUE"""),"PI")</f>
        <v>PI</v>
      </c>
      <c r="D1073" t="str">
        <f>IFERROR(__xludf.DUMMYFUNCTION("""COMPUTED_VALUE"""),"JE426N1")</f>
        <v>JE426N1</v>
      </c>
      <c r="E1073" t="str">
        <f>IFERROR(__xludf.DUMMYFUNCTION("""COMPUTED_VALUE"""),"P1156")</f>
        <v>P1156</v>
      </c>
      <c r="F1073" t="str">
        <f t="array" ref="F1073">if(iserror(index(fish_lab_data!C:C,match(B1073,fish_lab_data!C:C,0))),"not dissected","dissected")</f>
        <v>dissected</v>
      </c>
    </row>
    <row r="1074">
      <c r="A1074" t="str">
        <f t="shared" si="1"/>
        <v>17559</v>
      </c>
      <c r="B1074" t="str">
        <f>IFERROR(__xludf.DUMMYFUNCTION("""COMPUTED_VALUE"""),"U17559")</f>
        <v>U17559</v>
      </c>
      <c r="C1074" t="str">
        <f>IFERROR(__xludf.DUMMYFUNCTION("""COMPUTED_VALUE"""),"PI")</f>
        <v>PI</v>
      </c>
      <c r="D1074" t="str">
        <f>IFERROR(__xludf.DUMMYFUNCTION("""COMPUTED_VALUE"""),"JE426N1")</f>
        <v>JE426N1</v>
      </c>
      <c r="E1074" t="str">
        <f>IFERROR(__xludf.DUMMYFUNCTION("""COMPUTED_VALUE"""),"P1156")</f>
        <v>P1156</v>
      </c>
      <c r="F1074" t="str">
        <f t="array" ref="F1074">if(iserror(index(fish_lab_data!C:C,match(B1074,fish_lab_data!C:C,0))),"not dissected","dissected")</f>
        <v>dissected</v>
      </c>
    </row>
    <row r="1075">
      <c r="A1075" t="str">
        <f t="shared" si="1"/>
        <v>17560</v>
      </c>
      <c r="B1075" t="str">
        <f>IFERROR(__xludf.DUMMYFUNCTION("""COMPUTED_VALUE"""),"U17560")</f>
        <v>U17560</v>
      </c>
      <c r="C1075" t="str">
        <f>IFERROR(__xludf.DUMMYFUNCTION("""COMPUTED_VALUE"""),"PI")</f>
        <v>PI</v>
      </c>
      <c r="D1075" t="str">
        <f>IFERROR(__xludf.DUMMYFUNCTION("""COMPUTED_VALUE"""),"JE426N1")</f>
        <v>JE426N1</v>
      </c>
      <c r="E1075" t="str">
        <f>IFERROR(__xludf.DUMMYFUNCTION("""COMPUTED_VALUE"""),"P1156")</f>
        <v>P1156</v>
      </c>
      <c r="F1075" t="str">
        <f t="array" ref="F1075">if(iserror(index(fish_lab_data!C:C,match(B1075,fish_lab_data!C:C,0))),"not dissected","dissected")</f>
        <v>dissected</v>
      </c>
    </row>
    <row r="1076">
      <c r="A1076" t="str">
        <f t="shared" si="1"/>
        <v>17631</v>
      </c>
      <c r="B1076" t="str">
        <f>IFERROR(__xludf.DUMMYFUNCTION("""COMPUTED_VALUE"""),"U17631")</f>
        <v>U17631</v>
      </c>
      <c r="C1076" t="str">
        <f>IFERROR(__xludf.DUMMYFUNCTION("""COMPUTED_VALUE"""),"CU")</f>
        <v>CU</v>
      </c>
      <c r="D1076" t="str">
        <f>IFERROR(__xludf.DUMMYFUNCTION("""COMPUTED_VALUE"""),"JE426N1")</f>
        <v>JE426N1</v>
      </c>
      <c r="E1076" t="str">
        <f>IFERROR(__xludf.DUMMYFUNCTION("""COMPUTED_VALUE"""),"P1164")</f>
        <v>P1164</v>
      </c>
      <c r="F1076" t="str">
        <f t="array" ref="F1076">if(iserror(index(fish_lab_data!C:C,match(B1076,fish_lab_data!C:C,0))),"not dissected","dissected")</f>
        <v>dissected</v>
      </c>
    </row>
    <row r="1077">
      <c r="A1077" t="str">
        <f t="shared" si="1"/>
        <v>17632</v>
      </c>
      <c r="B1077" t="str">
        <f>IFERROR(__xludf.DUMMYFUNCTION("""COMPUTED_VALUE"""),"U17632")</f>
        <v>U17632</v>
      </c>
      <c r="C1077" t="str">
        <f>IFERROR(__xludf.DUMMYFUNCTION("""COMPUTED_VALUE"""),"CU")</f>
        <v>CU</v>
      </c>
      <c r="D1077" t="str">
        <f>IFERROR(__xludf.DUMMYFUNCTION("""COMPUTED_VALUE"""),"JE426N1")</f>
        <v>JE426N1</v>
      </c>
      <c r="E1077" t="str">
        <f>IFERROR(__xludf.DUMMYFUNCTION("""COMPUTED_VALUE"""),"P1164")</f>
        <v>P1164</v>
      </c>
      <c r="F1077" t="str">
        <f t="array" ref="F1077">if(iserror(index(fish_lab_data!C:C,match(B1077,fish_lab_data!C:C,0))),"not dissected","dissected")</f>
        <v>dissected</v>
      </c>
    </row>
    <row r="1078">
      <c r="A1078" t="str">
        <f t="shared" si="1"/>
        <v>17633</v>
      </c>
      <c r="B1078" t="str">
        <f>IFERROR(__xludf.DUMMYFUNCTION("""COMPUTED_VALUE"""),"U17633")</f>
        <v>U17633</v>
      </c>
      <c r="C1078" t="str">
        <f>IFERROR(__xludf.DUMMYFUNCTION("""COMPUTED_VALUE"""),"CU")</f>
        <v>CU</v>
      </c>
      <c r="D1078" t="str">
        <f>IFERROR(__xludf.DUMMYFUNCTION("""COMPUTED_VALUE"""),"JE426N1")</f>
        <v>JE426N1</v>
      </c>
      <c r="E1078" t="str">
        <f>IFERROR(__xludf.DUMMYFUNCTION("""COMPUTED_VALUE"""),"P1164")</f>
        <v>P1164</v>
      </c>
      <c r="F1078" t="str">
        <f t="array" ref="F1078">if(iserror(index(fish_lab_data!C:C,match(B1078,fish_lab_data!C:C,0))),"not dissected","dissected")</f>
        <v>dissected</v>
      </c>
    </row>
    <row r="1079">
      <c r="A1079" t="str">
        <f t="shared" si="1"/>
        <v>17634</v>
      </c>
      <c r="B1079" t="str">
        <f>IFERROR(__xludf.DUMMYFUNCTION("""COMPUTED_VALUE"""),"U17634")</f>
        <v>U17634</v>
      </c>
      <c r="C1079" t="str">
        <f>IFERROR(__xludf.DUMMYFUNCTION("""COMPUTED_VALUE"""),"CU")</f>
        <v>CU</v>
      </c>
      <c r="D1079" t="str">
        <f>IFERROR(__xludf.DUMMYFUNCTION("""COMPUTED_VALUE"""),"JE426N1")</f>
        <v>JE426N1</v>
      </c>
      <c r="E1079" t="str">
        <f>IFERROR(__xludf.DUMMYFUNCTION("""COMPUTED_VALUE"""),"P1164")</f>
        <v>P1164</v>
      </c>
      <c r="F1079" t="str">
        <f t="array" ref="F1079">if(iserror(index(fish_lab_data!C:C,match(B1079,fish_lab_data!C:C,0))),"not dissected","dissected")</f>
        <v>dissected</v>
      </c>
    </row>
    <row r="1080">
      <c r="A1080" t="str">
        <f t="shared" si="1"/>
        <v>17635</v>
      </c>
      <c r="B1080" t="str">
        <f>IFERROR(__xludf.DUMMYFUNCTION("""COMPUTED_VALUE"""),"U17635")</f>
        <v>U17635</v>
      </c>
      <c r="C1080" t="str">
        <f>IFERROR(__xludf.DUMMYFUNCTION("""COMPUTED_VALUE"""),"CU")</f>
        <v>CU</v>
      </c>
      <c r="D1080" t="str">
        <f>IFERROR(__xludf.DUMMYFUNCTION("""COMPUTED_VALUE"""),"JE426N1")</f>
        <v>JE426N1</v>
      </c>
      <c r="E1080" t="str">
        <f>IFERROR(__xludf.DUMMYFUNCTION("""COMPUTED_VALUE"""),"P1164")</f>
        <v>P1164</v>
      </c>
      <c r="F1080" t="str">
        <f t="array" ref="F1080">if(iserror(index(fish_lab_data!C:C,match(B1080,fish_lab_data!C:C,0))),"not dissected","dissected")</f>
        <v>dissected</v>
      </c>
    </row>
    <row r="1081">
      <c r="A1081" t="str">
        <f t="shared" si="1"/>
        <v>17636</v>
      </c>
      <c r="B1081" t="str">
        <f>IFERROR(__xludf.DUMMYFUNCTION("""COMPUTED_VALUE"""),"U17636")</f>
        <v>U17636</v>
      </c>
      <c r="C1081" t="str">
        <f>IFERROR(__xludf.DUMMYFUNCTION("""COMPUTED_VALUE"""),"CU")</f>
        <v>CU</v>
      </c>
      <c r="D1081" t="str">
        <f>IFERROR(__xludf.DUMMYFUNCTION("""COMPUTED_VALUE"""),"JE426N1")</f>
        <v>JE426N1</v>
      </c>
      <c r="E1081" t="str">
        <f>IFERROR(__xludf.DUMMYFUNCTION("""COMPUTED_VALUE"""),"P1164")</f>
        <v>P1164</v>
      </c>
      <c r="F1081" t="str">
        <f t="array" ref="F1081">if(iserror(index(fish_lab_data!C:C,match(B1081,fish_lab_data!C:C,0))),"not dissected","dissected")</f>
        <v>dissected</v>
      </c>
    </row>
    <row r="1082">
      <c r="A1082" t="str">
        <f t="shared" si="1"/>
        <v>17637</v>
      </c>
      <c r="B1082" t="str">
        <f>IFERROR(__xludf.DUMMYFUNCTION("""COMPUTED_VALUE"""),"U17637")</f>
        <v>U17637</v>
      </c>
      <c r="C1082" t="str">
        <f>IFERROR(__xludf.DUMMYFUNCTION("""COMPUTED_VALUE"""),"CU")</f>
        <v>CU</v>
      </c>
      <c r="D1082" t="str">
        <f>IFERROR(__xludf.DUMMYFUNCTION("""COMPUTED_VALUE"""),"JE426N1")</f>
        <v>JE426N1</v>
      </c>
      <c r="E1082" t="str">
        <f>IFERROR(__xludf.DUMMYFUNCTION("""COMPUTED_VALUE"""),"P1164")</f>
        <v>P1164</v>
      </c>
      <c r="F1082" t="str">
        <f t="array" ref="F1082">if(iserror(index(fish_lab_data!C:C,match(B1082,fish_lab_data!C:C,0))),"not dissected","dissected")</f>
        <v>dissected</v>
      </c>
    </row>
    <row r="1083">
      <c r="A1083" t="str">
        <f t="shared" si="1"/>
        <v>17638</v>
      </c>
      <c r="B1083" t="str">
        <f>IFERROR(__xludf.DUMMYFUNCTION("""COMPUTED_VALUE"""),"U17638")</f>
        <v>U17638</v>
      </c>
      <c r="C1083" t="str">
        <f>IFERROR(__xludf.DUMMYFUNCTION("""COMPUTED_VALUE"""),"CU")</f>
        <v>CU</v>
      </c>
      <c r="D1083" t="str">
        <f>IFERROR(__xludf.DUMMYFUNCTION("""COMPUTED_VALUE"""),"JE426N1")</f>
        <v>JE426N1</v>
      </c>
      <c r="E1083" t="str">
        <f>IFERROR(__xludf.DUMMYFUNCTION("""COMPUTED_VALUE"""),"P1164")</f>
        <v>P1164</v>
      </c>
      <c r="F1083" t="str">
        <f t="array" ref="F1083">if(iserror(index(fish_lab_data!C:C,match(B1083,fish_lab_data!C:C,0))),"not dissected","dissected")</f>
        <v>dissected</v>
      </c>
    </row>
    <row r="1084">
      <c r="A1084" t="str">
        <f t="shared" si="1"/>
        <v>17639</v>
      </c>
      <c r="B1084" t="str">
        <f>IFERROR(__xludf.DUMMYFUNCTION("""COMPUTED_VALUE"""),"U17639")</f>
        <v>U17639</v>
      </c>
      <c r="C1084" t="str">
        <f>IFERROR(__xludf.DUMMYFUNCTION("""COMPUTED_VALUE"""),"CU")</f>
        <v>CU</v>
      </c>
      <c r="D1084" t="str">
        <f>IFERROR(__xludf.DUMMYFUNCTION("""COMPUTED_VALUE"""),"JE426N1")</f>
        <v>JE426N1</v>
      </c>
      <c r="E1084" t="str">
        <f>IFERROR(__xludf.DUMMYFUNCTION("""COMPUTED_VALUE"""),"P1164")</f>
        <v>P1164</v>
      </c>
      <c r="F1084" t="str">
        <f t="array" ref="F1084">if(iserror(index(fish_lab_data!C:C,match(B1084,fish_lab_data!C:C,0))),"not dissected","dissected")</f>
        <v>dissected</v>
      </c>
    </row>
    <row r="1085">
      <c r="A1085" t="str">
        <f t="shared" si="1"/>
        <v>17640</v>
      </c>
      <c r="B1085" t="str">
        <f>IFERROR(__xludf.DUMMYFUNCTION("""COMPUTED_VALUE"""),"U17640")</f>
        <v>U17640</v>
      </c>
      <c r="C1085" t="str">
        <f>IFERROR(__xludf.DUMMYFUNCTION("""COMPUTED_VALUE"""),"CU")</f>
        <v>CU</v>
      </c>
      <c r="D1085" t="str">
        <f>IFERROR(__xludf.DUMMYFUNCTION("""COMPUTED_VALUE"""),"JE426N1")</f>
        <v>JE426N1</v>
      </c>
      <c r="E1085" t="str">
        <f>IFERROR(__xludf.DUMMYFUNCTION("""COMPUTED_VALUE"""),"P1164")</f>
        <v>P1164</v>
      </c>
      <c r="F1085" t="str">
        <f t="array" ref="F1085">if(iserror(index(fish_lab_data!C:C,match(B1085,fish_lab_data!C:C,0))),"not dissected","dissected")</f>
        <v>dissected</v>
      </c>
    </row>
    <row r="1086">
      <c r="A1086" t="str">
        <f t="shared" si="1"/>
        <v>17641</v>
      </c>
      <c r="B1086" t="str">
        <f>IFERROR(__xludf.DUMMYFUNCTION("""COMPUTED_VALUE"""),"U17641")</f>
        <v>U17641</v>
      </c>
      <c r="C1086" t="str">
        <f>IFERROR(__xludf.DUMMYFUNCTION("""COMPUTED_VALUE"""),"HE")</f>
        <v>HE</v>
      </c>
      <c r="D1086" t="str">
        <f>IFERROR(__xludf.DUMMYFUNCTION("""COMPUTED_VALUE"""),"JE426N1")</f>
        <v>JE426N1</v>
      </c>
      <c r="E1086" t="str">
        <f>IFERROR(__xludf.DUMMYFUNCTION("""COMPUTED_VALUE"""),"P1165")</f>
        <v>P1165</v>
      </c>
      <c r="F1086" t="str">
        <f t="array" ref="F1086">if(iserror(index(fish_lab_data!C:C,match(B1086,fish_lab_data!C:C,0))),"not dissected","dissected")</f>
        <v>dissected</v>
      </c>
    </row>
    <row r="1087">
      <c r="A1087" t="str">
        <f t="shared" si="1"/>
        <v>17491</v>
      </c>
      <c r="B1087" t="str">
        <f>IFERROR(__xludf.DUMMYFUNCTION("""COMPUTED_VALUE"""),"U17491")</f>
        <v>U17491</v>
      </c>
      <c r="C1087" t="str">
        <f>IFERROR(__xludf.DUMMYFUNCTION("""COMPUTED_VALUE"""),"PI")</f>
        <v>PI</v>
      </c>
      <c r="D1087" t="str">
        <f>IFERROR(__xludf.DUMMYFUNCTION("""COMPUTED_VALUE"""),"DE538N2")</f>
        <v>DE538N2</v>
      </c>
      <c r="E1087" t="str">
        <f>IFERROR(__xludf.DUMMYFUNCTION("""COMPUTED_VALUE"""),"P1150")</f>
        <v>P1150</v>
      </c>
      <c r="F1087" t="str">
        <f t="array" ref="F1087">if(iserror(index(fish_lab_data!C:C,match(B1087,fish_lab_data!C:C,0))),"not dissected","dissected")</f>
        <v>dissected</v>
      </c>
    </row>
    <row r="1088">
      <c r="A1088" t="str">
        <f t="shared" si="1"/>
        <v>17492</v>
      </c>
      <c r="B1088" t="str">
        <f>IFERROR(__xludf.DUMMYFUNCTION("""COMPUTED_VALUE"""),"U17492")</f>
        <v>U17492</v>
      </c>
      <c r="C1088" t="str">
        <f>IFERROR(__xludf.DUMMYFUNCTION("""COMPUTED_VALUE"""),"PI")</f>
        <v>PI</v>
      </c>
      <c r="D1088" t="str">
        <f>IFERROR(__xludf.DUMMYFUNCTION("""COMPUTED_VALUE"""),"DE538N2")</f>
        <v>DE538N2</v>
      </c>
      <c r="E1088" t="str">
        <f>IFERROR(__xludf.DUMMYFUNCTION("""COMPUTED_VALUE"""),"P1150")</f>
        <v>P1150</v>
      </c>
      <c r="F1088" t="str">
        <f t="array" ref="F1088">if(iserror(index(fish_lab_data!C:C,match(B1088,fish_lab_data!C:C,0))),"not dissected","dissected")</f>
        <v>dissected</v>
      </c>
    </row>
    <row r="1089">
      <c r="A1089" t="str">
        <f t="shared" si="1"/>
        <v>17493</v>
      </c>
      <c r="B1089" t="str">
        <f>IFERROR(__xludf.DUMMYFUNCTION("""COMPUTED_VALUE"""),"U17493")</f>
        <v>U17493</v>
      </c>
      <c r="C1089" t="str">
        <f>IFERROR(__xludf.DUMMYFUNCTION("""COMPUTED_VALUE"""),"PI")</f>
        <v>PI</v>
      </c>
      <c r="D1089" t="str">
        <f>IFERROR(__xludf.DUMMYFUNCTION("""COMPUTED_VALUE"""),"DE538N2")</f>
        <v>DE538N2</v>
      </c>
      <c r="E1089" t="str">
        <f>IFERROR(__xludf.DUMMYFUNCTION("""COMPUTED_VALUE"""),"P1150")</f>
        <v>P1150</v>
      </c>
      <c r="F1089" t="str">
        <f t="array" ref="F1089">if(iserror(index(fish_lab_data!C:C,match(B1089,fish_lab_data!C:C,0))),"not dissected","dissected")</f>
        <v>dissected</v>
      </c>
    </row>
    <row r="1090">
      <c r="A1090" t="str">
        <f t="shared" si="1"/>
        <v>17494</v>
      </c>
      <c r="B1090" t="str">
        <f>IFERROR(__xludf.DUMMYFUNCTION("""COMPUTED_VALUE"""),"U17494")</f>
        <v>U17494</v>
      </c>
      <c r="C1090" t="str">
        <f>IFERROR(__xludf.DUMMYFUNCTION("""COMPUTED_VALUE"""),"PI")</f>
        <v>PI</v>
      </c>
      <c r="D1090" t="str">
        <f>IFERROR(__xludf.DUMMYFUNCTION("""COMPUTED_VALUE"""),"DE538N2")</f>
        <v>DE538N2</v>
      </c>
      <c r="E1090" t="str">
        <f>IFERROR(__xludf.DUMMYFUNCTION("""COMPUTED_VALUE"""),"P1150")</f>
        <v>P1150</v>
      </c>
      <c r="F1090" t="str">
        <f t="array" ref="F1090">if(iserror(index(fish_lab_data!C:C,match(B1090,fish_lab_data!C:C,0))),"not dissected","dissected")</f>
        <v>dissected</v>
      </c>
    </row>
    <row r="1091">
      <c r="A1091" t="str">
        <f t="shared" si="1"/>
        <v>17495</v>
      </c>
      <c r="B1091" t="str">
        <f>IFERROR(__xludf.DUMMYFUNCTION("""COMPUTED_VALUE"""),"U17495")</f>
        <v>U17495</v>
      </c>
      <c r="C1091" t="str">
        <f>IFERROR(__xludf.DUMMYFUNCTION("""COMPUTED_VALUE"""),"PI")</f>
        <v>PI</v>
      </c>
      <c r="D1091" t="str">
        <f>IFERROR(__xludf.DUMMYFUNCTION("""COMPUTED_VALUE"""),"DE538N2")</f>
        <v>DE538N2</v>
      </c>
      <c r="E1091" t="str">
        <f>IFERROR(__xludf.DUMMYFUNCTION("""COMPUTED_VALUE"""),"P1150")</f>
        <v>P1150</v>
      </c>
      <c r="F1091" t="str">
        <f t="array" ref="F1091">if(iserror(index(fish_lab_data!C:C,match(B1091,fish_lab_data!C:C,0))),"not dissected","dissected")</f>
        <v>dissected</v>
      </c>
    </row>
    <row r="1092">
      <c r="A1092" t="str">
        <f t="shared" si="1"/>
        <v>17496</v>
      </c>
      <c r="B1092" t="str">
        <f>IFERROR(__xludf.DUMMYFUNCTION("""COMPUTED_VALUE"""),"U17496")</f>
        <v>U17496</v>
      </c>
      <c r="C1092" t="str">
        <f>IFERROR(__xludf.DUMMYFUNCTION("""COMPUTED_VALUE"""),"PI")</f>
        <v>PI</v>
      </c>
      <c r="D1092" t="str">
        <f>IFERROR(__xludf.DUMMYFUNCTION("""COMPUTED_VALUE"""),"DE538N2")</f>
        <v>DE538N2</v>
      </c>
      <c r="E1092" t="str">
        <f>IFERROR(__xludf.DUMMYFUNCTION("""COMPUTED_VALUE"""),"P1150")</f>
        <v>P1150</v>
      </c>
      <c r="F1092" t="str">
        <f t="array" ref="F1092">if(iserror(index(fish_lab_data!C:C,match(B1092,fish_lab_data!C:C,0))),"not dissected","dissected")</f>
        <v>dissected</v>
      </c>
    </row>
    <row r="1093">
      <c r="A1093" t="str">
        <f t="shared" si="1"/>
        <v>17011</v>
      </c>
      <c r="B1093" t="str">
        <f>IFERROR(__xludf.DUMMYFUNCTION("""COMPUTED_VALUE"""),"U17011")</f>
        <v>U17011</v>
      </c>
      <c r="C1093" t="str">
        <f>IFERROR(__xludf.DUMMYFUNCTION("""COMPUTED_VALUE"""),"CU")</f>
        <v>CU</v>
      </c>
      <c r="D1093" t="str">
        <f>IFERROR(__xludf.DUMMYFUNCTION("""COMPUTED_VALUE"""),"DE538N2")</f>
        <v>DE538N2</v>
      </c>
      <c r="E1093" t="str">
        <f>IFERROR(__xludf.DUMMYFUNCTION("""COMPUTED_VALUE"""),"P1102")</f>
        <v>P1102</v>
      </c>
      <c r="F1093" t="str">
        <f t="array" ref="F1093">if(iserror(index(fish_lab_data!C:C,match(B1093,fish_lab_data!C:C,0))),"not dissected","dissected")</f>
        <v>dissected</v>
      </c>
    </row>
    <row r="1094">
      <c r="A1094" t="str">
        <f t="shared" si="1"/>
        <v>17431</v>
      </c>
      <c r="B1094" t="str">
        <f>IFERROR(__xludf.DUMMYFUNCTION("""COMPUTED_VALUE"""),"U17431")</f>
        <v>U17431</v>
      </c>
      <c r="C1094" t="str">
        <f>IFERROR(__xludf.DUMMYFUNCTION("""COMPUTED_VALUE"""),"HE")</f>
        <v>HE</v>
      </c>
      <c r="D1094" t="str">
        <f>IFERROR(__xludf.DUMMYFUNCTION("""COMPUTED_VALUE"""),"DE538N2")</f>
        <v>DE538N2</v>
      </c>
      <c r="E1094" t="str">
        <f>IFERROR(__xludf.DUMMYFUNCTION("""COMPUTED_VALUE"""),"P1144")</f>
        <v>P1144</v>
      </c>
      <c r="F1094" t="str">
        <f t="array" ref="F1094">if(iserror(index(fish_lab_data!C:C,match(B1094,fish_lab_data!C:C,0))),"not dissected","dissected")</f>
        <v>dissected</v>
      </c>
    </row>
    <row r="1095">
      <c r="A1095" t="str">
        <f t="shared" si="1"/>
        <v>16311</v>
      </c>
      <c r="B1095" t="str">
        <f>IFERROR(__xludf.DUMMYFUNCTION("""COMPUTED_VALUE"""),"U16311")</f>
        <v>U16311</v>
      </c>
      <c r="C1095" t="str">
        <f>IFERROR(__xludf.DUMMYFUNCTION("""COMPUTED_VALUE"""),"CK")</f>
        <v>CK</v>
      </c>
      <c r="D1095" t="str">
        <f>IFERROR(__xludf.DUMMYFUNCTION("""COMPUTED_VALUE"""),"DE538N2")</f>
        <v>DE538N2</v>
      </c>
      <c r="E1095" t="str">
        <f>IFERROR(__xludf.DUMMYFUNCTION("""COMPUTED_VALUE"""),"P1032")</f>
        <v>P1032</v>
      </c>
      <c r="F1095" t="str">
        <f t="array" ref="F1095">if(iserror(index(fish_lab_data!C:C,match(B1095,fish_lab_data!C:C,0))),"not dissected","dissected")</f>
        <v>dissected</v>
      </c>
    </row>
    <row r="1096">
      <c r="A1096" t="str">
        <f t="shared" si="1"/>
        <v>16312</v>
      </c>
      <c r="B1096" t="str">
        <f>IFERROR(__xludf.DUMMYFUNCTION("""COMPUTED_VALUE"""),"U16312")</f>
        <v>U16312</v>
      </c>
      <c r="C1096" t="str">
        <f>IFERROR(__xludf.DUMMYFUNCTION("""COMPUTED_VALUE"""),"CK")</f>
        <v>CK</v>
      </c>
      <c r="D1096" t="str">
        <f>IFERROR(__xludf.DUMMYFUNCTION("""COMPUTED_VALUE"""),"DE538N2")</f>
        <v>DE538N2</v>
      </c>
      <c r="E1096" t="str">
        <f>IFERROR(__xludf.DUMMYFUNCTION("""COMPUTED_VALUE"""),"P1032")</f>
        <v>P1032</v>
      </c>
      <c r="F1096" t="str">
        <f t="array" ref="F1096">if(iserror(index(fish_lab_data!C:C,match(B1096,fish_lab_data!C:C,0))),"not dissected","dissected")</f>
        <v>dissected</v>
      </c>
    </row>
    <row r="1097">
      <c r="A1097" t="str">
        <f t="shared" si="1"/>
        <v>17681</v>
      </c>
      <c r="B1097" t="str">
        <f>IFERROR(__xludf.DUMMYFUNCTION("""COMPUTED_VALUE"""),"U17681")</f>
        <v>U17681</v>
      </c>
      <c r="C1097" t="str">
        <f>IFERROR(__xludf.DUMMYFUNCTION("""COMPUTED_VALUE"""),"PI")</f>
        <v>PI</v>
      </c>
      <c r="D1097" t="str">
        <f>IFERROR(__xludf.DUMMYFUNCTION("""COMPUTED_VALUE"""),"JE427N1")</f>
        <v>JE427N1</v>
      </c>
      <c r="E1097" t="str">
        <f>IFERROR(__xludf.DUMMYFUNCTION("""COMPUTED_VALUE"""),"P1169")</f>
        <v>P1169</v>
      </c>
      <c r="F1097" t="str">
        <f t="array" ref="F1097">if(iserror(index(fish_lab_data!C:C,match(B1097,fish_lab_data!C:C,0))),"not dissected","dissected")</f>
        <v>dissected</v>
      </c>
    </row>
    <row r="1098">
      <c r="A1098" t="str">
        <f t="shared" si="1"/>
        <v>17682</v>
      </c>
      <c r="B1098" t="str">
        <f>IFERROR(__xludf.DUMMYFUNCTION("""COMPUTED_VALUE"""),"U17682")</f>
        <v>U17682</v>
      </c>
      <c r="C1098" t="str">
        <f>IFERROR(__xludf.DUMMYFUNCTION("""COMPUTED_VALUE"""),"PI")</f>
        <v>PI</v>
      </c>
      <c r="D1098" t="str">
        <f>IFERROR(__xludf.DUMMYFUNCTION("""COMPUTED_VALUE"""),"JE427N1")</f>
        <v>JE427N1</v>
      </c>
      <c r="E1098" t="str">
        <f>IFERROR(__xludf.DUMMYFUNCTION("""COMPUTED_VALUE"""),"P1169")</f>
        <v>P1169</v>
      </c>
      <c r="F1098" t="str">
        <f t="array" ref="F1098">if(iserror(index(fish_lab_data!C:C,match(B1098,fish_lab_data!C:C,0))),"not dissected","dissected")</f>
        <v>dissected</v>
      </c>
    </row>
    <row r="1099">
      <c r="A1099" t="str">
        <f t="shared" si="1"/>
        <v>17683</v>
      </c>
      <c r="B1099" t="str">
        <f>IFERROR(__xludf.DUMMYFUNCTION("""COMPUTED_VALUE"""),"U17683")</f>
        <v>U17683</v>
      </c>
      <c r="C1099" t="str">
        <f>IFERROR(__xludf.DUMMYFUNCTION("""COMPUTED_VALUE"""),"PI")</f>
        <v>PI</v>
      </c>
      <c r="D1099" t="str">
        <f>IFERROR(__xludf.DUMMYFUNCTION("""COMPUTED_VALUE"""),"JE427N1")</f>
        <v>JE427N1</v>
      </c>
      <c r="E1099" t="str">
        <f>IFERROR(__xludf.DUMMYFUNCTION("""COMPUTED_VALUE"""),"P1169")</f>
        <v>P1169</v>
      </c>
      <c r="F1099" t="str">
        <f t="array" ref="F1099">if(iserror(index(fish_lab_data!C:C,match(B1099,fish_lab_data!C:C,0))),"not dissected","dissected")</f>
        <v>dissected</v>
      </c>
    </row>
    <row r="1100">
      <c r="A1100" t="str">
        <f t="shared" si="1"/>
        <v>17684</v>
      </c>
      <c r="B1100" t="str">
        <f>IFERROR(__xludf.DUMMYFUNCTION("""COMPUTED_VALUE"""),"U17684")</f>
        <v>U17684</v>
      </c>
      <c r="C1100" t="str">
        <f>IFERROR(__xludf.DUMMYFUNCTION("""COMPUTED_VALUE"""),"PI")</f>
        <v>PI</v>
      </c>
      <c r="D1100" t="str">
        <f>IFERROR(__xludf.DUMMYFUNCTION("""COMPUTED_VALUE"""),"JE427N1")</f>
        <v>JE427N1</v>
      </c>
      <c r="E1100" t="str">
        <f>IFERROR(__xludf.DUMMYFUNCTION("""COMPUTED_VALUE"""),"P1169")</f>
        <v>P1169</v>
      </c>
      <c r="F1100" t="str">
        <f t="array" ref="F1100">if(iserror(index(fish_lab_data!C:C,match(B1100,fish_lab_data!C:C,0))),"not dissected","dissected")</f>
        <v>dissected</v>
      </c>
    </row>
    <row r="1101">
      <c r="A1101" t="str">
        <f t="shared" si="1"/>
        <v>17685</v>
      </c>
      <c r="B1101" t="str">
        <f>IFERROR(__xludf.DUMMYFUNCTION("""COMPUTED_VALUE"""),"U17685")</f>
        <v>U17685</v>
      </c>
      <c r="C1101" t="str">
        <f>IFERROR(__xludf.DUMMYFUNCTION("""COMPUTED_VALUE"""),"PI")</f>
        <v>PI</v>
      </c>
      <c r="D1101" t="str">
        <f>IFERROR(__xludf.DUMMYFUNCTION("""COMPUTED_VALUE"""),"JE427N1")</f>
        <v>JE427N1</v>
      </c>
      <c r="E1101" t="str">
        <f>IFERROR(__xludf.DUMMYFUNCTION("""COMPUTED_VALUE"""),"P1169")</f>
        <v>P1169</v>
      </c>
      <c r="F1101" t="str">
        <f t="array" ref="F1101">if(iserror(index(fish_lab_data!C:C,match(B1101,fish_lab_data!C:C,0))),"not dissected","dissected")</f>
        <v>dissected</v>
      </c>
    </row>
    <row r="1102">
      <c r="A1102" t="str">
        <f t="shared" si="1"/>
        <v>17686</v>
      </c>
      <c r="B1102" t="str">
        <f>IFERROR(__xludf.DUMMYFUNCTION("""COMPUTED_VALUE"""),"U17686")</f>
        <v>U17686</v>
      </c>
      <c r="C1102" t="str">
        <f>IFERROR(__xludf.DUMMYFUNCTION("""COMPUTED_VALUE"""),"PI")</f>
        <v>PI</v>
      </c>
      <c r="D1102" t="str">
        <f>IFERROR(__xludf.DUMMYFUNCTION("""COMPUTED_VALUE"""),"JE427N1")</f>
        <v>JE427N1</v>
      </c>
      <c r="E1102" t="str">
        <f>IFERROR(__xludf.DUMMYFUNCTION("""COMPUTED_VALUE"""),"P1169")</f>
        <v>P1169</v>
      </c>
      <c r="F1102" t="str">
        <f t="array" ref="F1102">if(iserror(index(fish_lab_data!C:C,match(B1102,fish_lab_data!C:C,0))),"not dissected","dissected")</f>
        <v>dissected</v>
      </c>
    </row>
    <row r="1103">
      <c r="A1103" t="str">
        <f t="shared" si="1"/>
        <v>17687</v>
      </c>
      <c r="B1103" t="str">
        <f>IFERROR(__xludf.DUMMYFUNCTION("""COMPUTED_VALUE"""),"U17687")</f>
        <v>U17687</v>
      </c>
      <c r="C1103" t="str">
        <f>IFERROR(__xludf.DUMMYFUNCTION("""COMPUTED_VALUE"""),"PI")</f>
        <v>PI</v>
      </c>
      <c r="D1103" t="str">
        <f>IFERROR(__xludf.DUMMYFUNCTION("""COMPUTED_VALUE"""),"JE427N1")</f>
        <v>JE427N1</v>
      </c>
      <c r="E1103" t="str">
        <f>IFERROR(__xludf.DUMMYFUNCTION("""COMPUTED_VALUE"""),"P1169")</f>
        <v>P1169</v>
      </c>
      <c r="F1103" t="str">
        <f t="array" ref="F1103">if(iserror(index(fish_lab_data!C:C,match(B1103,fish_lab_data!C:C,0))),"not dissected","dissected")</f>
        <v>dissected</v>
      </c>
    </row>
    <row r="1104">
      <c r="A1104" t="str">
        <f t="shared" si="1"/>
        <v>17688</v>
      </c>
      <c r="B1104" t="str">
        <f>IFERROR(__xludf.DUMMYFUNCTION("""COMPUTED_VALUE"""),"U17688")</f>
        <v>U17688</v>
      </c>
      <c r="C1104" t="str">
        <f>IFERROR(__xludf.DUMMYFUNCTION("""COMPUTED_VALUE"""),"PI")</f>
        <v>PI</v>
      </c>
      <c r="D1104" t="str">
        <f>IFERROR(__xludf.DUMMYFUNCTION("""COMPUTED_VALUE"""),"JE427N1")</f>
        <v>JE427N1</v>
      </c>
      <c r="E1104" t="str">
        <f>IFERROR(__xludf.DUMMYFUNCTION("""COMPUTED_VALUE"""),"P1169")</f>
        <v>P1169</v>
      </c>
      <c r="F1104" t="str">
        <f t="array" ref="F1104">if(iserror(index(fish_lab_data!C:C,match(B1104,fish_lab_data!C:C,0))),"not dissected","dissected")</f>
        <v>dissected</v>
      </c>
    </row>
    <row r="1105">
      <c r="A1105" t="str">
        <f t="shared" si="1"/>
        <v>17689</v>
      </c>
      <c r="B1105" t="str">
        <f>IFERROR(__xludf.DUMMYFUNCTION("""COMPUTED_VALUE"""),"U17689")</f>
        <v>U17689</v>
      </c>
      <c r="C1105" t="str">
        <f>IFERROR(__xludf.DUMMYFUNCTION("""COMPUTED_VALUE"""),"PI")</f>
        <v>PI</v>
      </c>
      <c r="D1105" t="str">
        <f>IFERROR(__xludf.DUMMYFUNCTION("""COMPUTED_VALUE"""),"JE427N1")</f>
        <v>JE427N1</v>
      </c>
      <c r="E1105" t="str">
        <f>IFERROR(__xludf.DUMMYFUNCTION("""COMPUTED_VALUE"""),"P1169")</f>
        <v>P1169</v>
      </c>
      <c r="F1105" t="str">
        <f t="array" ref="F1105">if(iserror(index(fish_lab_data!C:C,match(B1105,fish_lab_data!C:C,0))),"not dissected","dissected")</f>
        <v>dissected</v>
      </c>
    </row>
    <row r="1106">
      <c r="A1106" t="str">
        <f t="shared" si="1"/>
        <v>17690</v>
      </c>
      <c r="B1106" t="str">
        <f>IFERROR(__xludf.DUMMYFUNCTION("""COMPUTED_VALUE"""),"U17690")</f>
        <v>U17690</v>
      </c>
      <c r="C1106" t="str">
        <f>IFERROR(__xludf.DUMMYFUNCTION("""COMPUTED_VALUE"""),"PI")</f>
        <v>PI</v>
      </c>
      <c r="D1106" t="str">
        <f>IFERROR(__xludf.DUMMYFUNCTION("""COMPUTED_VALUE"""),"JE427N1")</f>
        <v>JE427N1</v>
      </c>
      <c r="E1106" t="str">
        <f>IFERROR(__xludf.DUMMYFUNCTION("""COMPUTED_VALUE"""),"P1169")</f>
        <v>P1169</v>
      </c>
      <c r="F1106" t="str">
        <f t="array" ref="F1106">if(iserror(index(fish_lab_data!C:C,match(B1106,fish_lab_data!C:C,0))),"not dissected","dissected")</f>
        <v>dissected</v>
      </c>
    </row>
    <row r="1107">
      <c r="A1107" t="str">
        <f t="shared" si="1"/>
        <v>17561</v>
      </c>
      <c r="B1107" t="str">
        <f>IFERROR(__xludf.DUMMYFUNCTION("""COMPUTED_VALUE"""),"U17561")</f>
        <v>U17561</v>
      </c>
      <c r="C1107" t="str">
        <f>IFERROR(__xludf.DUMMYFUNCTION("""COMPUTED_VALUE"""),"CU")</f>
        <v>CU</v>
      </c>
      <c r="D1107" t="str">
        <f>IFERROR(__xludf.DUMMYFUNCTION("""COMPUTED_VALUE"""),"JE427N1")</f>
        <v>JE427N1</v>
      </c>
      <c r="E1107" t="str">
        <f>IFERROR(__xludf.DUMMYFUNCTION("""COMPUTED_VALUE"""),"P1157")</f>
        <v>P1157</v>
      </c>
      <c r="F1107" t="str">
        <f t="array" ref="F1107">if(iserror(index(fish_lab_data!C:C,match(B1107,fish_lab_data!C:C,0))),"not dissected","dissected")</f>
        <v>dissected</v>
      </c>
    </row>
    <row r="1108">
      <c r="A1108" t="str">
        <f t="shared" si="1"/>
        <v>17562</v>
      </c>
      <c r="B1108" t="str">
        <f>IFERROR(__xludf.DUMMYFUNCTION("""COMPUTED_VALUE"""),"U17562")</f>
        <v>U17562</v>
      </c>
      <c r="C1108" t="str">
        <f>IFERROR(__xludf.DUMMYFUNCTION("""COMPUTED_VALUE"""),"CU")</f>
        <v>CU</v>
      </c>
      <c r="D1108" t="str">
        <f>IFERROR(__xludf.DUMMYFUNCTION("""COMPUTED_VALUE"""),"JE427N1")</f>
        <v>JE427N1</v>
      </c>
      <c r="E1108" t="str">
        <f>IFERROR(__xludf.DUMMYFUNCTION("""COMPUTED_VALUE"""),"P1157")</f>
        <v>P1157</v>
      </c>
      <c r="F1108" t="str">
        <f t="array" ref="F1108">if(iserror(index(fish_lab_data!C:C,match(B1108,fish_lab_data!C:C,0))),"not dissected","dissected")</f>
        <v>dissected</v>
      </c>
    </row>
    <row r="1109">
      <c r="A1109" t="str">
        <f t="shared" si="1"/>
        <v>17563</v>
      </c>
      <c r="B1109" t="str">
        <f>IFERROR(__xludf.DUMMYFUNCTION("""COMPUTED_VALUE"""),"U17563")</f>
        <v>U17563</v>
      </c>
      <c r="C1109" t="str">
        <f>IFERROR(__xludf.DUMMYFUNCTION("""COMPUTED_VALUE"""),"CU")</f>
        <v>CU</v>
      </c>
      <c r="D1109" t="str">
        <f>IFERROR(__xludf.DUMMYFUNCTION("""COMPUTED_VALUE"""),"JE427N1")</f>
        <v>JE427N1</v>
      </c>
      <c r="E1109" t="str">
        <f>IFERROR(__xludf.DUMMYFUNCTION("""COMPUTED_VALUE"""),"P1157")</f>
        <v>P1157</v>
      </c>
      <c r="F1109" t="str">
        <f t="array" ref="F1109">if(iserror(index(fish_lab_data!C:C,match(B1109,fish_lab_data!C:C,0))),"not dissected","dissected")</f>
        <v>dissected</v>
      </c>
    </row>
    <row r="1110">
      <c r="A1110" t="str">
        <f t="shared" si="1"/>
        <v>17564</v>
      </c>
      <c r="B1110" t="str">
        <f>IFERROR(__xludf.DUMMYFUNCTION("""COMPUTED_VALUE"""),"U17564")</f>
        <v>U17564</v>
      </c>
      <c r="C1110" t="str">
        <f>IFERROR(__xludf.DUMMYFUNCTION("""COMPUTED_VALUE"""),"CU")</f>
        <v>CU</v>
      </c>
      <c r="D1110" t="str">
        <f>IFERROR(__xludf.DUMMYFUNCTION("""COMPUTED_VALUE"""),"JE427N1")</f>
        <v>JE427N1</v>
      </c>
      <c r="E1110" t="str">
        <f>IFERROR(__xludf.DUMMYFUNCTION("""COMPUTED_VALUE"""),"P1157")</f>
        <v>P1157</v>
      </c>
      <c r="F1110" t="str">
        <f t="array" ref="F1110">if(iserror(index(fish_lab_data!C:C,match(B1110,fish_lab_data!C:C,0))),"not dissected","dissected")</f>
        <v>dissected</v>
      </c>
    </row>
    <row r="1111">
      <c r="A1111" t="str">
        <f t="shared" si="1"/>
        <v>17565</v>
      </c>
      <c r="B1111" t="str">
        <f>IFERROR(__xludf.DUMMYFUNCTION("""COMPUTED_VALUE"""),"U17565")</f>
        <v>U17565</v>
      </c>
      <c r="C1111" t="str">
        <f>IFERROR(__xludf.DUMMYFUNCTION("""COMPUTED_VALUE"""),"CU")</f>
        <v>CU</v>
      </c>
      <c r="D1111" t="str">
        <f>IFERROR(__xludf.DUMMYFUNCTION("""COMPUTED_VALUE"""),"JE427N1")</f>
        <v>JE427N1</v>
      </c>
      <c r="E1111" t="str">
        <f>IFERROR(__xludf.DUMMYFUNCTION("""COMPUTED_VALUE"""),"P1157")</f>
        <v>P1157</v>
      </c>
      <c r="F1111" t="str">
        <f t="array" ref="F1111">if(iserror(index(fish_lab_data!C:C,match(B1111,fish_lab_data!C:C,0))),"not dissected","dissected")</f>
        <v>dissected</v>
      </c>
    </row>
    <row r="1112">
      <c r="A1112" t="str">
        <f t="shared" si="1"/>
        <v>17566</v>
      </c>
      <c r="B1112" t="str">
        <f>IFERROR(__xludf.DUMMYFUNCTION("""COMPUTED_VALUE"""),"U17566")</f>
        <v>U17566</v>
      </c>
      <c r="C1112" t="str">
        <f>IFERROR(__xludf.DUMMYFUNCTION("""COMPUTED_VALUE"""),"CU")</f>
        <v>CU</v>
      </c>
      <c r="D1112" t="str">
        <f>IFERROR(__xludf.DUMMYFUNCTION("""COMPUTED_VALUE"""),"JE427N1")</f>
        <v>JE427N1</v>
      </c>
      <c r="E1112" t="str">
        <f>IFERROR(__xludf.DUMMYFUNCTION("""COMPUTED_VALUE"""),"P1157")</f>
        <v>P1157</v>
      </c>
      <c r="F1112" t="str">
        <f t="array" ref="F1112">if(iserror(index(fish_lab_data!C:C,match(B1112,fish_lab_data!C:C,0))),"not dissected","dissected")</f>
        <v>dissected</v>
      </c>
    </row>
    <row r="1113">
      <c r="A1113" t="str">
        <f t="shared" si="1"/>
        <v>17567</v>
      </c>
      <c r="B1113" t="str">
        <f>IFERROR(__xludf.DUMMYFUNCTION("""COMPUTED_VALUE"""),"U17567")</f>
        <v>U17567</v>
      </c>
      <c r="C1113" t="str">
        <f>IFERROR(__xludf.DUMMYFUNCTION("""COMPUTED_VALUE"""),"CU")</f>
        <v>CU</v>
      </c>
      <c r="D1113" t="str">
        <f>IFERROR(__xludf.DUMMYFUNCTION("""COMPUTED_VALUE"""),"JE427N1")</f>
        <v>JE427N1</v>
      </c>
      <c r="E1113" t="str">
        <f>IFERROR(__xludf.DUMMYFUNCTION("""COMPUTED_VALUE"""),"P1157")</f>
        <v>P1157</v>
      </c>
      <c r="F1113" t="str">
        <f t="array" ref="F1113">if(iserror(index(fish_lab_data!C:C,match(B1113,fish_lab_data!C:C,0))),"not dissected","dissected")</f>
        <v>dissected</v>
      </c>
    </row>
    <row r="1114">
      <c r="A1114" t="str">
        <f t="shared" si="1"/>
        <v>17568</v>
      </c>
      <c r="B1114" t="str">
        <f>IFERROR(__xludf.DUMMYFUNCTION("""COMPUTED_VALUE"""),"U17568")</f>
        <v>U17568</v>
      </c>
      <c r="C1114" t="str">
        <f>IFERROR(__xludf.DUMMYFUNCTION("""COMPUTED_VALUE"""),"CU")</f>
        <v>CU</v>
      </c>
      <c r="D1114" t="str">
        <f>IFERROR(__xludf.DUMMYFUNCTION("""COMPUTED_VALUE"""),"JE427N1")</f>
        <v>JE427N1</v>
      </c>
      <c r="E1114" t="str">
        <f>IFERROR(__xludf.DUMMYFUNCTION("""COMPUTED_VALUE"""),"P1157")</f>
        <v>P1157</v>
      </c>
      <c r="F1114" t="str">
        <f t="array" ref="F1114">if(iserror(index(fish_lab_data!C:C,match(B1114,fish_lab_data!C:C,0))),"not dissected","dissected")</f>
        <v>dissected</v>
      </c>
    </row>
    <row r="1115">
      <c r="A1115" t="str">
        <f t="shared" si="1"/>
        <v>17569</v>
      </c>
      <c r="B1115" t="str">
        <f>IFERROR(__xludf.DUMMYFUNCTION("""COMPUTED_VALUE"""),"U17569")</f>
        <v>U17569</v>
      </c>
      <c r="C1115" t="str">
        <f>IFERROR(__xludf.DUMMYFUNCTION("""COMPUTED_VALUE"""),"CU")</f>
        <v>CU</v>
      </c>
      <c r="D1115" t="str">
        <f>IFERROR(__xludf.DUMMYFUNCTION("""COMPUTED_VALUE"""),"JE427N1")</f>
        <v>JE427N1</v>
      </c>
      <c r="E1115" t="str">
        <f>IFERROR(__xludf.DUMMYFUNCTION("""COMPUTED_VALUE"""),"P1157")</f>
        <v>P1157</v>
      </c>
      <c r="F1115" t="str">
        <f t="array" ref="F1115">if(iserror(index(fish_lab_data!C:C,match(B1115,fish_lab_data!C:C,0))),"not dissected","dissected")</f>
        <v>dissected</v>
      </c>
    </row>
    <row r="1116">
      <c r="A1116" t="str">
        <f t="shared" si="1"/>
        <v>17570</v>
      </c>
      <c r="B1116" t="str">
        <f>IFERROR(__xludf.DUMMYFUNCTION("""COMPUTED_VALUE"""),"U17570")</f>
        <v>U17570</v>
      </c>
      <c r="C1116" t="str">
        <f>IFERROR(__xludf.DUMMYFUNCTION("""COMPUTED_VALUE"""),"CU")</f>
        <v>CU</v>
      </c>
      <c r="D1116" t="str">
        <f>IFERROR(__xludf.DUMMYFUNCTION("""COMPUTED_VALUE"""),"JE427N1")</f>
        <v>JE427N1</v>
      </c>
      <c r="E1116" t="str">
        <f>IFERROR(__xludf.DUMMYFUNCTION("""COMPUTED_VALUE"""),"P1157")</f>
        <v>P1157</v>
      </c>
      <c r="F1116" t="str">
        <f t="array" ref="F1116">if(iserror(index(fish_lab_data!C:C,match(B1116,fish_lab_data!C:C,0))),"not dissected","dissected")</f>
        <v>dissected</v>
      </c>
    </row>
    <row r="1117">
      <c r="A1117" t="str">
        <f t="shared" si="1"/>
        <v>17281</v>
      </c>
      <c r="B1117" t="str">
        <f>IFERROR(__xludf.DUMMYFUNCTION("""COMPUTED_VALUE"""),"U17281")</f>
        <v>U17281</v>
      </c>
      <c r="C1117" t="str">
        <f>IFERROR(__xludf.DUMMYFUNCTION("""COMPUTED_VALUE"""),"PI")</f>
        <v>PI</v>
      </c>
      <c r="D1117" t="str">
        <f>IFERROR(__xludf.DUMMYFUNCTION("""COMPUTED_VALUE"""),"DE539N2")</f>
        <v>DE539N2</v>
      </c>
      <c r="E1117" t="str">
        <f>IFERROR(__xludf.DUMMYFUNCTION("""COMPUTED_VALUE"""),"P1129")</f>
        <v>P1129</v>
      </c>
      <c r="F1117" t="str">
        <f t="array" ref="F1117">if(iserror(index(fish_lab_data!C:C,match(B1117,fish_lab_data!C:C,0))),"not dissected","dissected")</f>
        <v>dissected</v>
      </c>
    </row>
    <row r="1118">
      <c r="A1118" t="str">
        <f t="shared" si="1"/>
        <v>17282</v>
      </c>
      <c r="B1118" t="str">
        <f>IFERROR(__xludf.DUMMYFUNCTION("""COMPUTED_VALUE"""),"U17282")</f>
        <v>U17282</v>
      </c>
      <c r="C1118" t="str">
        <f>IFERROR(__xludf.DUMMYFUNCTION("""COMPUTED_VALUE"""),"PI")</f>
        <v>PI</v>
      </c>
      <c r="D1118" t="str">
        <f>IFERROR(__xludf.DUMMYFUNCTION("""COMPUTED_VALUE"""),"DE539N2")</f>
        <v>DE539N2</v>
      </c>
      <c r="E1118" t="str">
        <f>IFERROR(__xludf.DUMMYFUNCTION("""COMPUTED_VALUE"""),"P1129")</f>
        <v>P1129</v>
      </c>
      <c r="F1118" t="str">
        <f t="array" ref="F1118">if(iserror(index(fish_lab_data!C:C,match(B1118,fish_lab_data!C:C,0))),"not dissected","dissected")</f>
        <v>dissected</v>
      </c>
    </row>
    <row r="1119">
      <c r="A1119" t="str">
        <f t="shared" si="1"/>
        <v>17283</v>
      </c>
      <c r="B1119" t="str">
        <f>IFERROR(__xludf.DUMMYFUNCTION("""COMPUTED_VALUE"""),"U17283")</f>
        <v>U17283</v>
      </c>
      <c r="C1119" t="str">
        <f>IFERROR(__xludf.DUMMYFUNCTION("""COMPUTED_VALUE"""),"PI")</f>
        <v>PI</v>
      </c>
      <c r="D1119" t="str">
        <f>IFERROR(__xludf.DUMMYFUNCTION("""COMPUTED_VALUE"""),"DE539N2")</f>
        <v>DE539N2</v>
      </c>
      <c r="E1119" t="str">
        <f>IFERROR(__xludf.DUMMYFUNCTION("""COMPUTED_VALUE"""),"P1129")</f>
        <v>P1129</v>
      </c>
      <c r="F1119" t="str">
        <f t="array" ref="F1119">if(iserror(index(fish_lab_data!C:C,match(B1119,fish_lab_data!C:C,0))),"not dissected","dissected")</f>
        <v>dissected</v>
      </c>
    </row>
    <row r="1120">
      <c r="A1120" t="str">
        <f t="shared" si="1"/>
        <v>17284</v>
      </c>
      <c r="B1120" t="str">
        <f>IFERROR(__xludf.DUMMYFUNCTION("""COMPUTED_VALUE"""),"U17284")</f>
        <v>U17284</v>
      </c>
      <c r="C1120" t="str">
        <f>IFERROR(__xludf.DUMMYFUNCTION("""COMPUTED_VALUE"""),"PI")</f>
        <v>PI</v>
      </c>
      <c r="D1120" t="str">
        <f>IFERROR(__xludf.DUMMYFUNCTION("""COMPUTED_VALUE"""),"DE539N2")</f>
        <v>DE539N2</v>
      </c>
      <c r="E1120" t="str">
        <f>IFERROR(__xludf.DUMMYFUNCTION("""COMPUTED_VALUE"""),"P1129")</f>
        <v>P1129</v>
      </c>
      <c r="F1120" t="str">
        <f t="array" ref="F1120">if(iserror(index(fish_lab_data!C:C,match(B1120,fish_lab_data!C:C,0))),"not dissected","dissected")</f>
        <v>dissected</v>
      </c>
    </row>
    <row r="1121">
      <c r="A1121" t="str">
        <f t="shared" si="1"/>
        <v>17285</v>
      </c>
      <c r="B1121" t="str">
        <f>IFERROR(__xludf.DUMMYFUNCTION("""COMPUTED_VALUE"""),"U17285")</f>
        <v>U17285</v>
      </c>
      <c r="C1121" t="str">
        <f>IFERROR(__xludf.DUMMYFUNCTION("""COMPUTED_VALUE"""),"PI")</f>
        <v>PI</v>
      </c>
      <c r="D1121" t="str">
        <f>IFERROR(__xludf.DUMMYFUNCTION("""COMPUTED_VALUE"""),"DE539N2")</f>
        <v>DE539N2</v>
      </c>
      <c r="E1121" t="str">
        <f>IFERROR(__xludf.DUMMYFUNCTION("""COMPUTED_VALUE"""),"P1129")</f>
        <v>P1129</v>
      </c>
      <c r="F1121" t="str">
        <f t="array" ref="F1121">if(iserror(index(fish_lab_data!C:C,match(B1121,fish_lab_data!C:C,0))),"not dissected","dissected")</f>
        <v>dissected</v>
      </c>
    </row>
    <row r="1122">
      <c r="A1122" t="str">
        <f t="shared" si="1"/>
        <v>17286</v>
      </c>
      <c r="B1122" t="str">
        <f>IFERROR(__xludf.DUMMYFUNCTION("""COMPUTED_VALUE"""),"U17286")</f>
        <v>U17286</v>
      </c>
      <c r="C1122" t="str">
        <f>IFERROR(__xludf.DUMMYFUNCTION("""COMPUTED_VALUE"""),"PI")</f>
        <v>PI</v>
      </c>
      <c r="D1122" t="str">
        <f>IFERROR(__xludf.DUMMYFUNCTION("""COMPUTED_VALUE"""),"DE539N2")</f>
        <v>DE539N2</v>
      </c>
      <c r="E1122" t="str">
        <f>IFERROR(__xludf.DUMMYFUNCTION("""COMPUTED_VALUE"""),"P1129")</f>
        <v>P1129</v>
      </c>
      <c r="F1122" t="str">
        <f t="array" ref="F1122">if(iserror(index(fish_lab_data!C:C,match(B1122,fish_lab_data!C:C,0))),"not dissected","dissected")</f>
        <v>dissected</v>
      </c>
    </row>
    <row r="1123">
      <c r="A1123" t="str">
        <f t="shared" si="1"/>
        <v>17287</v>
      </c>
      <c r="B1123" t="str">
        <f>IFERROR(__xludf.DUMMYFUNCTION("""COMPUTED_VALUE"""),"U17287")</f>
        <v>U17287</v>
      </c>
      <c r="C1123" t="str">
        <f>IFERROR(__xludf.DUMMYFUNCTION("""COMPUTED_VALUE"""),"PI")</f>
        <v>PI</v>
      </c>
      <c r="D1123" t="str">
        <f>IFERROR(__xludf.DUMMYFUNCTION("""COMPUTED_VALUE"""),"DE539N2")</f>
        <v>DE539N2</v>
      </c>
      <c r="E1123" t="str">
        <f>IFERROR(__xludf.DUMMYFUNCTION("""COMPUTED_VALUE"""),"P1129")</f>
        <v>P1129</v>
      </c>
      <c r="F1123" t="str">
        <f t="array" ref="F1123">if(iserror(index(fish_lab_data!C:C,match(B1123,fish_lab_data!C:C,0))),"not dissected","dissected")</f>
        <v>dissected</v>
      </c>
    </row>
    <row r="1124">
      <c r="A1124" t="str">
        <f t="shared" si="1"/>
        <v>17288</v>
      </c>
      <c r="B1124" t="str">
        <f>IFERROR(__xludf.DUMMYFUNCTION("""COMPUTED_VALUE"""),"U17288")</f>
        <v>U17288</v>
      </c>
      <c r="C1124" t="str">
        <f>IFERROR(__xludf.DUMMYFUNCTION("""COMPUTED_VALUE"""),"PI")</f>
        <v>PI</v>
      </c>
      <c r="D1124" t="str">
        <f>IFERROR(__xludf.DUMMYFUNCTION("""COMPUTED_VALUE"""),"DE539N2")</f>
        <v>DE539N2</v>
      </c>
      <c r="E1124" t="str">
        <f>IFERROR(__xludf.DUMMYFUNCTION("""COMPUTED_VALUE"""),"P1129")</f>
        <v>P1129</v>
      </c>
      <c r="F1124" t="str">
        <f t="array" ref="F1124">if(iserror(index(fish_lab_data!C:C,match(B1124,fish_lab_data!C:C,0))),"not dissected","dissected")</f>
        <v>dissected</v>
      </c>
    </row>
    <row r="1125">
      <c r="A1125" t="str">
        <f t="shared" si="1"/>
        <v>17289</v>
      </c>
      <c r="B1125" t="str">
        <f>IFERROR(__xludf.DUMMYFUNCTION("""COMPUTED_VALUE"""),"U17289")</f>
        <v>U17289</v>
      </c>
      <c r="C1125" t="str">
        <f>IFERROR(__xludf.DUMMYFUNCTION("""COMPUTED_VALUE"""),"PI")</f>
        <v>PI</v>
      </c>
      <c r="D1125" t="str">
        <f>IFERROR(__xludf.DUMMYFUNCTION("""COMPUTED_VALUE"""),"DE539N2")</f>
        <v>DE539N2</v>
      </c>
      <c r="E1125" t="str">
        <f>IFERROR(__xludf.DUMMYFUNCTION("""COMPUTED_VALUE"""),"P1129")</f>
        <v>P1129</v>
      </c>
      <c r="F1125" t="str">
        <f t="array" ref="F1125">if(iserror(index(fish_lab_data!C:C,match(B1125,fish_lab_data!C:C,0))),"not dissected","dissected")</f>
        <v>dissected</v>
      </c>
    </row>
    <row r="1126">
      <c r="A1126" t="str">
        <f t="shared" si="1"/>
        <v>17290</v>
      </c>
      <c r="B1126" t="str">
        <f>IFERROR(__xludf.DUMMYFUNCTION("""COMPUTED_VALUE"""),"U17290")</f>
        <v>U17290</v>
      </c>
      <c r="C1126" t="str">
        <f>IFERROR(__xludf.DUMMYFUNCTION("""COMPUTED_VALUE"""),"PI")</f>
        <v>PI</v>
      </c>
      <c r="D1126" t="str">
        <f>IFERROR(__xludf.DUMMYFUNCTION("""COMPUTED_VALUE"""),"DE539N2")</f>
        <v>DE539N2</v>
      </c>
      <c r="E1126" t="str">
        <f>IFERROR(__xludf.DUMMYFUNCTION("""COMPUTED_VALUE"""),"P1129")</f>
        <v>P1129</v>
      </c>
      <c r="F1126" t="str">
        <f t="array" ref="F1126">if(iserror(index(fish_lab_data!C:C,match(B1126,fish_lab_data!C:C,0))),"not dissected","dissected")</f>
        <v>dissected</v>
      </c>
    </row>
    <row r="1127">
      <c r="A1127" t="str">
        <f t="shared" si="1"/>
        <v>17441</v>
      </c>
      <c r="B1127" t="str">
        <f>IFERROR(__xludf.DUMMYFUNCTION("""COMPUTED_VALUE"""),"U17441")</f>
        <v>U17441</v>
      </c>
      <c r="C1127" t="str">
        <f>IFERROR(__xludf.DUMMYFUNCTION("""COMPUTED_VALUE"""),"CU")</f>
        <v>CU</v>
      </c>
      <c r="D1127" t="str">
        <f>IFERROR(__xludf.DUMMYFUNCTION("""COMPUTED_VALUE"""),"DE539N2")</f>
        <v>DE539N2</v>
      </c>
      <c r="E1127" t="str">
        <f>IFERROR(__xludf.DUMMYFUNCTION("""COMPUTED_VALUE"""),"P1145")</f>
        <v>P1145</v>
      </c>
      <c r="F1127" t="str">
        <f t="array" ref="F1127">if(iserror(index(fish_lab_data!C:C,match(B1127,fish_lab_data!C:C,0))),"not dissected","dissected")</f>
        <v>dissected</v>
      </c>
    </row>
    <row r="1128">
      <c r="A1128" t="str">
        <f t="shared" si="1"/>
        <v>17442</v>
      </c>
      <c r="B1128" t="str">
        <f>IFERROR(__xludf.DUMMYFUNCTION("""COMPUTED_VALUE"""),"U17442")</f>
        <v>U17442</v>
      </c>
      <c r="C1128" t="str">
        <f>IFERROR(__xludf.DUMMYFUNCTION("""COMPUTED_VALUE"""),"CU")</f>
        <v>CU</v>
      </c>
      <c r="D1128" t="str">
        <f>IFERROR(__xludf.DUMMYFUNCTION("""COMPUTED_VALUE"""),"DE539N2")</f>
        <v>DE539N2</v>
      </c>
      <c r="E1128" t="str">
        <f>IFERROR(__xludf.DUMMYFUNCTION("""COMPUTED_VALUE"""),"P1145")</f>
        <v>P1145</v>
      </c>
      <c r="F1128" t="str">
        <f t="array" ref="F1128">if(iserror(index(fish_lab_data!C:C,match(B1128,fish_lab_data!C:C,0))),"not dissected","dissected")</f>
        <v>dissected</v>
      </c>
    </row>
    <row r="1129">
      <c r="A1129" t="str">
        <f t="shared" si="1"/>
        <v>17443</v>
      </c>
      <c r="B1129" t="str">
        <f>IFERROR(__xludf.DUMMYFUNCTION("""COMPUTED_VALUE"""),"U17443")</f>
        <v>U17443</v>
      </c>
      <c r="C1129" t="str">
        <f>IFERROR(__xludf.DUMMYFUNCTION("""COMPUTED_VALUE"""),"CU")</f>
        <v>CU</v>
      </c>
      <c r="D1129" t="str">
        <f>IFERROR(__xludf.DUMMYFUNCTION("""COMPUTED_VALUE"""),"DE539N2")</f>
        <v>DE539N2</v>
      </c>
      <c r="E1129" t="str">
        <f>IFERROR(__xludf.DUMMYFUNCTION("""COMPUTED_VALUE"""),"P1145")</f>
        <v>P1145</v>
      </c>
      <c r="F1129" t="str">
        <f t="array" ref="F1129">if(iserror(index(fish_lab_data!C:C,match(B1129,fish_lab_data!C:C,0))),"not dissected","dissected")</f>
        <v>dissected</v>
      </c>
    </row>
    <row r="1130">
      <c r="A1130" t="str">
        <f t="shared" si="1"/>
        <v>17444</v>
      </c>
      <c r="B1130" t="str">
        <f>IFERROR(__xludf.DUMMYFUNCTION("""COMPUTED_VALUE"""),"U17444")</f>
        <v>U17444</v>
      </c>
      <c r="C1130" t="str">
        <f>IFERROR(__xludf.DUMMYFUNCTION("""COMPUTED_VALUE"""),"CU")</f>
        <v>CU</v>
      </c>
      <c r="D1130" t="str">
        <f>IFERROR(__xludf.DUMMYFUNCTION("""COMPUTED_VALUE"""),"DE539N2")</f>
        <v>DE539N2</v>
      </c>
      <c r="E1130" t="str">
        <f>IFERROR(__xludf.DUMMYFUNCTION("""COMPUTED_VALUE"""),"P1145")</f>
        <v>P1145</v>
      </c>
      <c r="F1130" t="str">
        <f t="array" ref="F1130">if(iserror(index(fish_lab_data!C:C,match(B1130,fish_lab_data!C:C,0))),"not dissected","dissected")</f>
        <v>dissected</v>
      </c>
    </row>
    <row r="1131">
      <c r="A1131" t="str">
        <f t="shared" si="1"/>
        <v>17445</v>
      </c>
      <c r="B1131" t="str">
        <f>IFERROR(__xludf.DUMMYFUNCTION("""COMPUTED_VALUE"""),"U17445")</f>
        <v>U17445</v>
      </c>
      <c r="C1131" t="str">
        <f>IFERROR(__xludf.DUMMYFUNCTION("""COMPUTED_VALUE"""),"CU")</f>
        <v>CU</v>
      </c>
      <c r="D1131" t="str">
        <f>IFERROR(__xludf.DUMMYFUNCTION("""COMPUTED_VALUE"""),"DE539N2")</f>
        <v>DE539N2</v>
      </c>
      <c r="E1131" t="str">
        <f>IFERROR(__xludf.DUMMYFUNCTION("""COMPUTED_VALUE"""),"P1145")</f>
        <v>P1145</v>
      </c>
      <c r="F1131" t="str">
        <f t="array" ref="F1131">if(iserror(index(fish_lab_data!C:C,match(B1131,fish_lab_data!C:C,0))),"not dissected","dissected")</f>
        <v>dissected</v>
      </c>
    </row>
    <row r="1132">
      <c r="A1132" t="str">
        <f t="shared" si="1"/>
        <v>17446</v>
      </c>
      <c r="B1132" t="str">
        <f>IFERROR(__xludf.DUMMYFUNCTION("""COMPUTED_VALUE"""),"U17446")</f>
        <v>U17446</v>
      </c>
      <c r="C1132" t="str">
        <f>IFERROR(__xludf.DUMMYFUNCTION("""COMPUTED_VALUE"""),"CU")</f>
        <v>CU</v>
      </c>
      <c r="D1132" t="str">
        <f>IFERROR(__xludf.DUMMYFUNCTION("""COMPUTED_VALUE"""),"DE539N2")</f>
        <v>DE539N2</v>
      </c>
      <c r="E1132" t="str">
        <f>IFERROR(__xludf.DUMMYFUNCTION("""COMPUTED_VALUE"""),"P1145")</f>
        <v>P1145</v>
      </c>
      <c r="F1132" t="str">
        <f t="array" ref="F1132">if(iserror(index(fish_lab_data!C:C,match(B1132,fish_lab_data!C:C,0))),"not dissected","dissected")</f>
        <v>dissected</v>
      </c>
    </row>
    <row r="1133">
      <c r="A1133" t="str">
        <f t="shared" si="1"/>
        <v>17447</v>
      </c>
      <c r="B1133" t="str">
        <f>IFERROR(__xludf.DUMMYFUNCTION("""COMPUTED_VALUE"""),"U17447")</f>
        <v>U17447</v>
      </c>
      <c r="C1133" t="str">
        <f>IFERROR(__xludf.DUMMYFUNCTION("""COMPUTED_VALUE"""),"CU")</f>
        <v>CU</v>
      </c>
      <c r="D1133" t="str">
        <f>IFERROR(__xludf.DUMMYFUNCTION("""COMPUTED_VALUE"""),"DE539N2")</f>
        <v>DE539N2</v>
      </c>
      <c r="E1133" t="str">
        <f>IFERROR(__xludf.DUMMYFUNCTION("""COMPUTED_VALUE"""),"P1145")</f>
        <v>P1145</v>
      </c>
      <c r="F1133" t="str">
        <f t="array" ref="F1133">if(iserror(index(fish_lab_data!C:C,match(B1133,fish_lab_data!C:C,0))),"not dissected","dissected")</f>
        <v>dissected</v>
      </c>
    </row>
    <row r="1134">
      <c r="A1134" t="str">
        <f t="shared" si="1"/>
        <v>17448</v>
      </c>
      <c r="B1134" t="str">
        <f>IFERROR(__xludf.DUMMYFUNCTION("""COMPUTED_VALUE"""),"U17448")</f>
        <v>U17448</v>
      </c>
      <c r="C1134" t="str">
        <f>IFERROR(__xludf.DUMMYFUNCTION("""COMPUTED_VALUE"""),"CU")</f>
        <v>CU</v>
      </c>
      <c r="D1134" t="str">
        <f>IFERROR(__xludf.DUMMYFUNCTION("""COMPUTED_VALUE"""),"DE539N2")</f>
        <v>DE539N2</v>
      </c>
      <c r="E1134" t="str">
        <f>IFERROR(__xludf.DUMMYFUNCTION("""COMPUTED_VALUE"""),"P1145")</f>
        <v>P1145</v>
      </c>
      <c r="F1134" t="str">
        <f t="array" ref="F1134">if(iserror(index(fish_lab_data!C:C,match(B1134,fish_lab_data!C:C,0))),"not dissected","dissected")</f>
        <v>dissected</v>
      </c>
    </row>
    <row r="1135">
      <c r="A1135" t="str">
        <f t="shared" si="1"/>
        <v>17449</v>
      </c>
      <c r="B1135" t="str">
        <f>IFERROR(__xludf.DUMMYFUNCTION("""COMPUTED_VALUE"""),"U17449")</f>
        <v>U17449</v>
      </c>
      <c r="C1135" t="str">
        <f>IFERROR(__xludf.DUMMYFUNCTION("""COMPUTED_VALUE"""),"CU")</f>
        <v>CU</v>
      </c>
      <c r="D1135" t="str">
        <f>IFERROR(__xludf.DUMMYFUNCTION("""COMPUTED_VALUE"""),"DE539N2")</f>
        <v>DE539N2</v>
      </c>
      <c r="E1135" t="str">
        <f>IFERROR(__xludf.DUMMYFUNCTION("""COMPUTED_VALUE"""),"P1145")</f>
        <v>P1145</v>
      </c>
      <c r="F1135" t="str">
        <f t="array" ref="F1135">if(iserror(index(fish_lab_data!C:C,match(B1135,fish_lab_data!C:C,0))),"not dissected","dissected")</f>
        <v>dissected</v>
      </c>
    </row>
    <row r="1136">
      <c r="A1136" t="str">
        <f t="shared" si="1"/>
        <v>17450</v>
      </c>
      <c r="B1136" t="str">
        <f>IFERROR(__xludf.DUMMYFUNCTION("""COMPUTED_VALUE"""),"U17450")</f>
        <v>U17450</v>
      </c>
      <c r="C1136" t="str">
        <f>IFERROR(__xludf.DUMMYFUNCTION("""COMPUTED_VALUE"""),"CU")</f>
        <v>CU</v>
      </c>
      <c r="D1136" t="str">
        <f>IFERROR(__xludf.DUMMYFUNCTION("""COMPUTED_VALUE"""),"DE539N2")</f>
        <v>DE539N2</v>
      </c>
      <c r="E1136" t="str">
        <f>IFERROR(__xludf.DUMMYFUNCTION("""COMPUTED_VALUE"""),"P1145")</f>
        <v>P1145</v>
      </c>
      <c r="F1136" t="str">
        <f t="array" ref="F1136">if(iserror(index(fish_lab_data!C:C,match(B1136,fish_lab_data!C:C,0))),"not dissected","dissected")</f>
        <v>dissected</v>
      </c>
    </row>
    <row r="1137">
      <c r="A1137" t="str">
        <f t="shared" si="1"/>
        <v>17871</v>
      </c>
      <c r="B1137" t="str">
        <f>IFERROR(__xludf.DUMMYFUNCTION("""COMPUTED_VALUE"""),"U17871")</f>
        <v>U17871</v>
      </c>
      <c r="C1137" t="str">
        <f>IFERROR(__xludf.DUMMYFUNCTION("""COMPUTED_VALUE"""),"SO")</f>
        <v>SO</v>
      </c>
      <c r="D1137" t="str">
        <f>IFERROR(__xludf.DUMMYFUNCTION("""COMPUTED_VALUE"""),"JE428N1")</f>
        <v>JE428N1</v>
      </c>
      <c r="E1137" t="str">
        <f>IFERROR(__xludf.DUMMYFUNCTION("""COMPUTED_VALUE"""),"P1188")</f>
        <v>P1188</v>
      </c>
      <c r="F1137" t="str">
        <f t="array" ref="F1137">if(iserror(index(fish_lab_data!C:C,match(B1137,fish_lab_data!C:C,0))),"not dissected","dissected")</f>
        <v>dissected</v>
      </c>
    </row>
    <row r="1138">
      <c r="A1138" t="str">
        <f t="shared" si="1"/>
        <v>17601</v>
      </c>
      <c r="B1138" t="str">
        <f>IFERROR(__xludf.DUMMYFUNCTION("""COMPUTED_VALUE"""),"U17601")</f>
        <v>U17601</v>
      </c>
      <c r="C1138" t="str">
        <f>IFERROR(__xludf.DUMMYFUNCTION("""COMPUTED_VALUE"""),"PI")</f>
        <v>PI</v>
      </c>
      <c r="D1138" t="str">
        <f>IFERROR(__xludf.DUMMYFUNCTION("""COMPUTED_VALUE"""),"JE428N1")</f>
        <v>JE428N1</v>
      </c>
      <c r="E1138" t="str">
        <f>IFERROR(__xludf.DUMMYFUNCTION("""COMPUTED_VALUE"""),"P1161")</f>
        <v>P1161</v>
      </c>
      <c r="F1138" t="str">
        <f t="array" ref="F1138">if(iserror(index(fish_lab_data!C:C,match(B1138,fish_lab_data!C:C,0))),"not dissected","dissected")</f>
        <v>dissected</v>
      </c>
    </row>
    <row r="1139">
      <c r="A1139" t="str">
        <f t="shared" si="1"/>
        <v>17602</v>
      </c>
      <c r="B1139" t="str">
        <f>IFERROR(__xludf.DUMMYFUNCTION("""COMPUTED_VALUE"""),"U17602")</f>
        <v>U17602</v>
      </c>
      <c r="C1139" t="str">
        <f>IFERROR(__xludf.DUMMYFUNCTION("""COMPUTED_VALUE"""),"PI")</f>
        <v>PI</v>
      </c>
      <c r="D1139" t="str">
        <f>IFERROR(__xludf.DUMMYFUNCTION("""COMPUTED_VALUE"""),"JE428N1")</f>
        <v>JE428N1</v>
      </c>
      <c r="E1139" t="str">
        <f>IFERROR(__xludf.DUMMYFUNCTION("""COMPUTED_VALUE"""),"P1161")</f>
        <v>P1161</v>
      </c>
      <c r="F1139" t="str">
        <f t="array" ref="F1139">if(iserror(index(fish_lab_data!C:C,match(B1139,fish_lab_data!C:C,0))),"not dissected","dissected")</f>
        <v>dissected</v>
      </c>
    </row>
    <row r="1140">
      <c r="A1140" t="str">
        <f t="shared" si="1"/>
        <v>17603</v>
      </c>
      <c r="B1140" t="str">
        <f>IFERROR(__xludf.DUMMYFUNCTION("""COMPUTED_VALUE"""),"U17603")</f>
        <v>U17603</v>
      </c>
      <c r="C1140" t="str">
        <f>IFERROR(__xludf.DUMMYFUNCTION("""COMPUTED_VALUE"""),"PI")</f>
        <v>PI</v>
      </c>
      <c r="D1140" t="str">
        <f>IFERROR(__xludf.DUMMYFUNCTION("""COMPUTED_VALUE"""),"JE428N1")</f>
        <v>JE428N1</v>
      </c>
      <c r="E1140" t="str">
        <f>IFERROR(__xludf.DUMMYFUNCTION("""COMPUTED_VALUE"""),"P1161")</f>
        <v>P1161</v>
      </c>
      <c r="F1140" t="str">
        <f t="array" ref="F1140">if(iserror(index(fish_lab_data!C:C,match(B1140,fish_lab_data!C:C,0))),"not dissected","dissected")</f>
        <v>dissected</v>
      </c>
    </row>
    <row r="1141">
      <c r="A1141" t="str">
        <f t="shared" si="1"/>
        <v>17604</v>
      </c>
      <c r="B1141" t="str">
        <f>IFERROR(__xludf.DUMMYFUNCTION("""COMPUTED_VALUE"""),"U17604")</f>
        <v>U17604</v>
      </c>
      <c r="C1141" t="str">
        <f>IFERROR(__xludf.DUMMYFUNCTION("""COMPUTED_VALUE"""),"PI")</f>
        <v>PI</v>
      </c>
      <c r="D1141" t="str">
        <f>IFERROR(__xludf.DUMMYFUNCTION("""COMPUTED_VALUE"""),"JE428N1")</f>
        <v>JE428N1</v>
      </c>
      <c r="E1141" t="str">
        <f>IFERROR(__xludf.DUMMYFUNCTION("""COMPUTED_VALUE"""),"P1161")</f>
        <v>P1161</v>
      </c>
      <c r="F1141" t="str">
        <f t="array" ref="F1141">if(iserror(index(fish_lab_data!C:C,match(B1141,fish_lab_data!C:C,0))),"not dissected","dissected")</f>
        <v>dissected</v>
      </c>
    </row>
    <row r="1142">
      <c r="A1142" t="str">
        <f t="shared" si="1"/>
        <v>17605</v>
      </c>
      <c r="B1142" t="str">
        <f>IFERROR(__xludf.DUMMYFUNCTION("""COMPUTED_VALUE"""),"U17605")</f>
        <v>U17605</v>
      </c>
      <c r="C1142" t="str">
        <f>IFERROR(__xludf.DUMMYFUNCTION("""COMPUTED_VALUE"""),"PI")</f>
        <v>PI</v>
      </c>
      <c r="D1142" t="str">
        <f>IFERROR(__xludf.DUMMYFUNCTION("""COMPUTED_VALUE"""),"JE428N1")</f>
        <v>JE428N1</v>
      </c>
      <c r="E1142" t="str">
        <f>IFERROR(__xludf.DUMMYFUNCTION("""COMPUTED_VALUE"""),"P1161")</f>
        <v>P1161</v>
      </c>
      <c r="F1142" t="str">
        <f t="array" ref="F1142">if(iserror(index(fish_lab_data!C:C,match(B1142,fish_lab_data!C:C,0))),"not dissected","dissected")</f>
        <v>dissected</v>
      </c>
    </row>
    <row r="1143">
      <c r="A1143" t="str">
        <f t="shared" si="1"/>
        <v>17606</v>
      </c>
      <c r="B1143" t="str">
        <f>IFERROR(__xludf.DUMMYFUNCTION("""COMPUTED_VALUE"""),"U17606")</f>
        <v>U17606</v>
      </c>
      <c r="C1143" t="str">
        <f>IFERROR(__xludf.DUMMYFUNCTION("""COMPUTED_VALUE"""),"PI")</f>
        <v>PI</v>
      </c>
      <c r="D1143" t="str">
        <f>IFERROR(__xludf.DUMMYFUNCTION("""COMPUTED_VALUE"""),"JE428N1")</f>
        <v>JE428N1</v>
      </c>
      <c r="E1143" t="str">
        <f>IFERROR(__xludf.DUMMYFUNCTION("""COMPUTED_VALUE"""),"P1161")</f>
        <v>P1161</v>
      </c>
      <c r="F1143" t="str">
        <f t="array" ref="F1143">if(iserror(index(fish_lab_data!C:C,match(B1143,fish_lab_data!C:C,0))),"not dissected","dissected")</f>
        <v>dissected</v>
      </c>
    </row>
    <row r="1144">
      <c r="A1144" t="str">
        <f t="shared" si="1"/>
        <v>17607</v>
      </c>
      <c r="B1144" t="str">
        <f>IFERROR(__xludf.DUMMYFUNCTION("""COMPUTED_VALUE"""),"U17607")</f>
        <v>U17607</v>
      </c>
      <c r="C1144" t="str">
        <f>IFERROR(__xludf.DUMMYFUNCTION("""COMPUTED_VALUE"""),"PI")</f>
        <v>PI</v>
      </c>
      <c r="D1144" t="str">
        <f>IFERROR(__xludf.DUMMYFUNCTION("""COMPUTED_VALUE"""),"JE428N1")</f>
        <v>JE428N1</v>
      </c>
      <c r="E1144" t="str">
        <f>IFERROR(__xludf.DUMMYFUNCTION("""COMPUTED_VALUE"""),"P1161")</f>
        <v>P1161</v>
      </c>
      <c r="F1144" t="str">
        <f t="array" ref="F1144">if(iserror(index(fish_lab_data!C:C,match(B1144,fish_lab_data!C:C,0))),"not dissected","dissected")</f>
        <v>dissected</v>
      </c>
    </row>
    <row r="1145">
      <c r="A1145" t="str">
        <f t="shared" si="1"/>
        <v>17608</v>
      </c>
      <c r="B1145" t="str">
        <f>IFERROR(__xludf.DUMMYFUNCTION("""COMPUTED_VALUE"""),"U17608")</f>
        <v>U17608</v>
      </c>
      <c r="C1145" t="str">
        <f>IFERROR(__xludf.DUMMYFUNCTION("""COMPUTED_VALUE"""),"PI")</f>
        <v>PI</v>
      </c>
      <c r="D1145" t="str">
        <f>IFERROR(__xludf.DUMMYFUNCTION("""COMPUTED_VALUE"""),"JE428N1")</f>
        <v>JE428N1</v>
      </c>
      <c r="E1145" t="str">
        <f>IFERROR(__xludf.DUMMYFUNCTION("""COMPUTED_VALUE"""),"P1161")</f>
        <v>P1161</v>
      </c>
      <c r="F1145" t="str">
        <f t="array" ref="F1145">if(iserror(index(fish_lab_data!C:C,match(B1145,fish_lab_data!C:C,0))),"not dissected","dissected")</f>
        <v>dissected</v>
      </c>
    </row>
    <row r="1146">
      <c r="A1146" t="str">
        <f t="shared" si="1"/>
        <v>17609</v>
      </c>
      <c r="B1146" t="str">
        <f>IFERROR(__xludf.DUMMYFUNCTION("""COMPUTED_VALUE"""),"U17609")</f>
        <v>U17609</v>
      </c>
      <c r="C1146" t="str">
        <f>IFERROR(__xludf.DUMMYFUNCTION("""COMPUTED_VALUE"""),"PI")</f>
        <v>PI</v>
      </c>
      <c r="D1146" t="str">
        <f>IFERROR(__xludf.DUMMYFUNCTION("""COMPUTED_VALUE"""),"JE428N1")</f>
        <v>JE428N1</v>
      </c>
      <c r="E1146" t="str">
        <f>IFERROR(__xludf.DUMMYFUNCTION("""COMPUTED_VALUE"""),"P1161")</f>
        <v>P1161</v>
      </c>
      <c r="F1146" t="str">
        <f t="array" ref="F1146">if(iserror(index(fish_lab_data!C:C,match(B1146,fish_lab_data!C:C,0))),"not dissected","dissected")</f>
        <v>dissected</v>
      </c>
    </row>
    <row r="1147">
      <c r="A1147" t="str">
        <f t="shared" si="1"/>
        <v>17610</v>
      </c>
      <c r="B1147" t="str">
        <f>IFERROR(__xludf.DUMMYFUNCTION("""COMPUTED_VALUE"""),"U17610")</f>
        <v>U17610</v>
      </c>
      <c r="C1147" t="str">
        <f>IFERROR(__xludf.DUMMYFUNCTION("""COMPUTED_VALUE"""),"PI")</f>
        <v>PI</v>
      </c>
      <c r="D1147" t="str">
        <f>IFERROR(__xludf.DUMMYFUNCTION("""COMPUTED_VALUE"""),"JE428N1")</f>
        <v>JE428N1</v>
      </c>
      <c r="E1147" t="str">
        <f>IFERROR(__xludf.DUMMYFUNCTION("""COMPUTED_VALUE"""),"P1161")</f>
        <v>P1161</v>
      </c>
      <c r="F1147" t="str">
        <f t="array" ref="F1147">if(iserror(index(fish_lab_data!C:C,match(B1147,fish_lab_data!C:C,0))),"not dissected","dissected")</f>
        <v>dissected</v>
      </c>
    </row>
    <row r="1148">
      <c r="A1148" t="str">
        <f t="shared" si="1"/>
        <v>17711</v>
      </c>
      <c r="B1148" t="str">
        <f>IFERROR(__xludf.DUMMYFUNCTION("""COMPUTED_VALUE"""),"U17711")</f>
        <v>U17711</v>
      </c>
      <c r="C1148" t="str">
        <f>IFERROR(__xludf.DUMMYFUNCTION("""COMPUTED_VALUE"""),"CU")</f>
        <v>CU</v>
      </c>
      <c r="D1148" t="str">
        <f>IFERROR(__xludf.DUMMYFUNCTION("""COMPUTED_VALUE"""),"JE428N1")</f>
        <v>JE428N1</v>
      </c>
      <c r="E1148" t="str">
        <f>IFERROR(__xludf.DUMMYFUNCTION("""COMPUTED_VALUE"""),"P1172")</f>
        <v>P1172</v>
      </c>
      <c r="F1148" t="str">
        <f t="array" ref="F1148">if(iserror(index(fish_lab_data!C:C,match(B1148,fish_lab_data!C:C,0))),"not dissected","dissected")</f>
        <v>dissected</v>
      </c>
    </row>
    <row r="1149">
      <c r="A1149" t="str">
        <f t="shared" si="1"/>
        <v>17712</v>
      </c>
      <c r="B1149" t="str">
        <f>IFERROR(__xludf.DUMMYFUNCTION("""COMPUTED_VALUE"""),"U17712")</f>
        <v>U17712</v>
      </c>
      <c r="C1149" t="str">
        <f>IFERROR(__xludf.DUMMYFUNCTION("""COMPUTED_VALUE"""),"CU")</f>
        <v>CU</v>
      </c>
      <c r="D1149" t="str">
        <f>IFERROR(__xludf.DUMMYFUNCTION("""COMPUTED_VALUE"""),"JE428N1")</f>
        <v>JE428N1</v>
      </c>
      <c r="E1149" t="str">
        <f>IFERROR(__xludf.DUMMYFUNCTION("""COMPUTED_VALUE"""),"P1172")</f>
        <v>P1172</v>
      </c>
      <c r="F1149" t="str">
        <f t="array" ref="F1149">if(iserror(index(fish_lab_data!C:C,match(B1149,fish_lab_data!C:C,0))),"not dissected","dissected")</f>
        <v>dissected</v>
      </c>
    </row>
    <row r="1150">
      <c r="A1150" t="str">
        <f t="shared" si="1"/>
        <v>17713</v>
      </c>
      <c r="B1150" t="str">
        <f>IFERROR(__xludf.DUMMYFUNCTION("""COMPUTED_VALUE"""),"U17713")</f>
        <v>U17713</v>
      </c>
      <c r="C1150" t="str">
        <f>IFERROR(__xludf.DUMMYFUNCTION("""COMPUTED_VALUE"""),"CU")</f>
        <v>CU</v>
      </c>
      <c r="D1150" t="str">
        <f>IFERROR(__xludf.DUMMYFUNCTION("""COMPUTED_VALUE"""),"JE428N1")</f>
        <v>JE428N1</v>
      </c>
      <c r="E1150" t="str">
        <f>IFERROR(__xludf.DUMMYFUNCTION("""COMPUTED_VALUE"""),"P1172")</f>
        <v>P1172</v>
      </c>
      <c r="F1150" t="str">
        <f t="array" ref="F1150">if(iserror(index(fish_lab_data!C:C,match(B1150,fish_lab_data!C:C,0))),"not dissected","dissected")</f>
        <v>dissected</v>
      </c>
    </row>
    <row r="1151">
      <c r="A1151" t="str">
        <f t="shared" si="1"/>
        <v>17714</v>
      </c>
      <c r="B1151" t="str">
        <f>IFERROR(__xludf.DUMMYFUNCTION("""COMPUTED_VALUE"""),"U17714")</f>
        <v>U17714</v>
      </c>
      <c r="C1151" t="str">
        <f>IFERROR(__xludf.DUMMYFUNCTION("""COMPUTED_VALUE"""),"CU")</f>
        <v>CU</v>
      </c>
      <c r="D1151" t="str">
        <f>IFERROR(__xludf.DUMMYFUNCTION("""COMPUTED_VALUE"""),"JE428N1")</f>
        <v>JE428N1</v>
      </c>
      <c r="E1151" t="str">
        <f>IFERROR(__xludf.DUMMYFUNCTION("""COMPUTED_VALUE"""),"P1172")</f>
        <v>P1172</v>
      </c>
      <c r="F1151" t="str">
        <f t="array" ref="F1151">if(iserror(index(fish_lab_data!C:C,match(B1151,fish_lab_data!C:C,0))),"not dissected","dissected")</f>
        <v>dissected</v>
      </c>
    </row>
    <row r="1152">
      <c r="A1152" t="str">
        <f t="shared" si="1"/>
        <v>17715</v>
      </c>
      <c r="B1152" t="str">
        <f>IFERROR(__xludf.DUMMYFUNCTION("""COMPUTED_VALUE"""),"U17715")</f>
        <v>U17715</v>
      </c>
      <c r="C1152" t="str">
        <f>IFERROR(__xludf.DUMMYFUNCTION("""COMPUTED_VALUE"""),"CU")</f>
        <v>CU</v>
      </c>
      <c r="D1152" t="str">
        <f>IFERROR(__xludf.DUMMYFUNCTION("""COMPUTED_VALUE"""),"JE428N1")</f>
        <v>JE428N1</v>
      </c>
      <c r="E1152" t="str">
        <f>IFERROR(__xludf.DUMMYFUNCTION("""COMPUTED_VALUE"""),"P1172")</f>
        <v>P1172</v>
      </c>
      <c r="F1152" t="str">
        <f t="array" ref="F1152">if(iserror(index(fish_lab_data!C:C,match(B1152,fish_lab_data!C:C,0))),"not dissected","dissected")</f>
        <v>dissected</v>
      </c>
    </row>
    <row r="1153">
      <c r="A1153" t="str">
        <f t="shared" si="1"/>
        <v>17716</v>
      </c>
      <c r="B1153" t="str">
        <f>IFERROR(__xludf.DUMMYFUNCTION("""COMPUTED_VALUE"""),"U17716")</f>
        <v>U17716</v>
      </c>
      <c r="C1153" t="str">
        <f>IFERROR(__xludf.DUMMYFUNCTION("""COMPUTED_VALUE"""),"CU")</f>
        <v>CU</v>
      </c>
      <c r="D1153" t="str">
        <f>IFERROR(__xludf.DUMMYFUNCTION("""COMPUTED_VALUE"""),"JE428N1")</f>
        <v>JE428N1</v>
      </c>
      <c r="E1153" t="str">
        <f>IFERROR(__xludf.DUMMYFUNCTION("""COMPUTED_VALUE"""),"P1172")</f>
        <v>P1172</v>
      </c>
      <c r="F1153" t="str">
        <f t="array" ref="F1153">if(iserror(index(fish_lab_data!C:C,match(B1153,fish_lab_data!C:C,0))),"not dissected","dissected")</f>
        <v>dissected</v>
      </c>
    </row>
    <row r="1154">
      <c r="A1154" t="str">
        <f t="shared" si="1"/>
        <v>17717</v>
      </c>
      <c r="B1154" t="str">
        <f>IFERROR(__xludf.DUMMYFUNCTION("""COMPUTED_VALUE"""),"U17717")</f>
        <v>U17717</v>
      </c>
      <c r="C1154" t="str">
        <f>IFERROR(__xludf.DUMMYFUNCTION("""COMPUTED_VALUE"""),"CU")</f>
        <v>CU</v>
      </c>
      <c r="D1154" t="str">
        <f>IFERROR(__xludf.DUMMYFUNCTION("""COMPUTED_VALUE"""),"JE428N1")</f>
        <v>JE428N1</v>
      </c>
      <c r="E1154" t="str">
        <f>IFERROR(__xludf.DUMMYFUNCTION("""COMPUTED_VALUE"""),"P1172")</f>
        <v>P1172</v>
      </c>
      <c r="F1154" t="str">
        <f t="array" ref="F1154">if(iserror(index(fish_lab_data!C:C,match(B1154,fish_lab_data!C:C,0))),"not dissected","dissected")</f>
        <v>dissected</v>
      </c>
    </row>
    <row r="1155">
      <c r="A1155" t="str">
        <f t="shared" si="1"/>
        <v>17718</v>
      </c>
      <c r="B1155" t="str">
        <f>IFERROR(__xludf.DUMMYFUNCTION("""COMPUTED_VALUE"""),"U17718")</f>
        <v>U17718</v>
      </c>
      <c r="C1155" t="str">
        <f>IFERROR(__xludf.DUMMYFUNCTION("""COMPUTED_VALUE"""),"CU")</f>
        <v>CU</v>
      </c>
      <c r="D1155" t="str">
        <f>IFERROR(__xludf.DUMMYFUNCTION("""COMPUTED_VALUE"""),"JE428N1")</f>
        <v>JE428N1</v>
      </c>
      <c r="E1155" t="str">
        <f>IFERROR(__xludf.DUMMYFUNCTION("""COMPUTED_VALUE"""),"P1172")</f>
        <v>P1172</v>
      </c>
      <c r="F1155" t="str">
        <f t="array" ref="F1155">if(iserror(index(fish_lab_data!C:C,match(B1155,fish_lab_data!C:C,0))),"not dissected","dissected")</f>
        <v>dissected</v>
      </c>
    </row>
    <row r="1156">
      <c r="A1156" t="str">
        <f t="shared" si="1"/>
        <v>17719</v>
      </c>
      <c r="B1156" t="str">
        <f>IFERROR(__xludf.DUMMYFUNCTION("""COMPUTED_VALUE"""),"U17719")</f>
        <v>U17719</v>
      </c>
      <c r="C1156" t="str">
        <f>IFERROR(__xludf.DUMMYFUNCTION("""COMPUTED_VALUE"""),"CU")</f>
        <v>CU</v>
      </c>
      <c r="D1156" t="str">
        <f>IFERROR(__xludf.DUMMYFUNCTION("""COMPUTED_VALUE"""),"JE428N1")</f>
        <v>JE428N1</v>
      </c>
      <c r="E1156" t="str">
        <f>IFERROR(__xludf.DUMMYFUNCTION("""COMPUTED_VALUE"""),"P1172")</f>
        <v>P1172</v>
      </c>
      <c r="F1156" t="str">
        <f t="array" ref="F1156">if(iserror(index(fish_lab_data!C:C,match(B1156,fish_lab_data!C:C,0))),"not dissected","dissected")</f>
        <v>dissected</v>
      </c>
    </row>
    <row r="1157">
      <c r="A1157" t="str">
        <f t="shared" si="1"/>
        <v>17720</v>
      </c>
      <c r="B1157" t="str">
        <f>IFERROR(__xludf.DUMMYFUNCTION("""COMPUTED_VALUE"""),"U17720")</f>
        <v>U17720</v>
      </c>
      <c r="C1157" t="str">
        <f>IFERROR(__xludf.DUMMYFUNCTION("""COMPUTED_VALUE"""),"CU")</f>
        <v>CU</v>
      </c>
      <c r="D1157" t="str">
        <f>IFERROR(__xludf.DUMMYFUNCTION("""COMPUTED_VALUE"""),"JE428N1")</f>
        <v>JE428N1</v>
      </c>
      <c r="E1157" t="str">
        <f>IFERROR(__xludf.DUMMYFUNCTION("""COMPUTED_VALUE"""),"P1172")</f>
        <v>P1172</v>
      </c>
      <c r="F1157" t="str">
        <f t="array" ref="F1157">if(iserror(index(fish_lab_data!C:C,match(B1157,fish_lab_data!C:C,0))),"not dissected","dissected")</f>
        <v>dissected</v>
      </c>
    </row>
    <row r="1158">
      <c r="A1158" t="str">
        <f t="shared" si="1"/>
        <v>17921</v>
      </c>
      <c r="B1158" t="str">
        <f>IFERROR(__xludf.DUMMYFUNCTION("""COMPUTED_VALUE"""),"U17921")</f>
        <v>U17921</v>
      </c>
      <c r="C1158" t="str">
        <f>IFERROR(__xludf.DUMMYFUNCTION("""COMPUTED_VALUE"""),"CO")</f>
        <v>CO</v>
      </c>
      <c r="D1158" t="str">
        <f>IFERROR(__xludf.DUMMYFUNCTION("""COMPUTED_VALUE"""),"JE428N1")</f>
        <v>JE428N1</v>
      </c>
      <c r="E1158" t="str">
        <f>IFERROR(__xludf.DUMMYFUNCTION("""COMPUTED_VALUE"""),"P1193")</f>
        <v>P1193</v>
      </c>
      <c r="F1158" t="str">
        <f t="array" ref="F1158">if(iserror(index(fish_lab_data!C:C,match(B1158,fish_lab_data!C:C,0))),"not dissected","dissected")</f>
        <v>dissected</v>
      </c>
    </row>
    <row r="1159">
      <c r="A1159" t="str">
        <f t="shared" si="1"/>
        <v>17661</v>
      </c>
      <c r="B1159" t="str">
        <f>IFERROR(__xludf.DUMMYFUNCTION("""COMPUTED_VALUE"""),"U17661")</f>
        <v>U17661</v>
      </c>
      <c r="C1159" t="str">
        <f>IFERROR(__xludf.DUMMYFUNCTION("""COMPUTED_VALUE"""),"SO")</f>
        <v>SO</v>
      </c>
      <c r="D1159" t="str">
        <f>IFERROR(__xludf.DUMMYFUNCTION("""COMPUTED_VALUE"""),"JE429N1")</f>
        <v>JE429N1</v>
      </c>
      <c r="E1159" t="str">
        <f>IFERROR(__xludf.DUMMYFUNCTION("""COMPUTED_VALUE"""),"P1167")</f>
        <v>P1167</v>
      </c>
      <c r="F1159" t="str">
        <f t="array" ref="F1159">if(iserror(index(fish_lab_data!C:C,match(B1159,fish_lab_data!C:C,0))),"not dissected","dissected")</f>
        <v>dissected</v>
      </c>
    </row>
    <row r="1160">
      <c r="A1160" t="str">
        <f t="shared" si="1"/>
        <v>17501</v>
      </c>
      <c r="B1160" t="str">
        <f>IFERROR(__xludf.DUMMYFUNCTION("""COMPUTED_VALUE"""),"U17501")</f>
        <v>U17501</v>
      </c>
      <c r="C1160" t="str">
        <f>IFERROR(__xludf.DUMMYFUNCTION("""COMPUTED_VALUE"""),"PI")</f>
        <v>PI</v>
      </c>
      <c r="D1160" t="str">
        <f>IFERROR(__xludf.DUMMYFUNCTION("""COMPUTED_VALUE"""),"JE429N1")</f>
        <v>JE429N1</v>
      </c>
      <c r="E1160" t="str">
        <f>IFERROR(__xludf.DUMMYFUNCTION("""COMPUTED_VALUE"""),"P1151")</f>
        <v>P1151</v>
      </c>
      <c r="F1160" t="str">
        <f t="array" ref="F1160">if(iserror(index(fish_lab_data!C:C,match(B1160,fish_lab_data!C:C,0))),"not dissected","dissected")</f>
        <v>dissected</v>
      </c>
    </row>
    <row r="1161">
      <c r="A1161" t="str">
        <f t="shared" si="1"/>
        <v>17502</v>
      </c>
      <c r="B1161" t="str">
        <f>IFERROR(__xludf.DUMMYFUNCTION("""COMPUTED_VALUE"""),"U17502")</f>
        <v>U17502</v>
      </c>
      <c r="C1161" t="str">
        <f>IFERROR(__xludf.DUMMYFUNCTION("""COMPUTED_VALUE"""),"PI")</f>
        <v>PI</v>
      </c>
      <c r="D1161" t="str">
        <f>IFERROR(__xludf.DUMMYFUNCTION("""COMPUTED_VALUE"""),"JE429N1")</f>
        <v>JE429N1</v>
      </c>
      <c r="E1161" t="str">
        <f>IFERROR(__xludf.DUMMYFUNCTION("""COMPUTED_VALUE"""),"P1151")</f>
        <v>P1151</v>
      </c>
      <c r="F1161" t="str">
        <f t="array" ref="F1161">if(iserror(index(fish_lab_data!C:C,match(B1161,fish_lab_data!C:C,0))),"not dissected","dissected")</f>
        <v>dissected</v>
      </c>
    </row>
    <row r="1162">
      <c r="A1162" t="str">
        <f t="shared" si="1"/>
        <v>17503</v>
      </c>
      <c r="B1162" t="str">
        <f>IFERROR(__xludf.DUMMYFUNCTION("""COMPUTED_VALUE"""),"U17503")</f>
        <v>U17503</v>
      </c>
      <c r="C1162" t="str">
        <f>IFERROR(__xludf.DUMMYFUNCTION("""COMPUTED_VALUE"""),"PI")</f>
        <v>PI</v>
      </c>
      <c r="D1162" t="str">
        <f>IFERROR(__xludf.DUMMYFUNCTION("""COMPUTED_VALUE"""),"JE429N1")</f>
        <v>JE429N1</v>
      </c>
      <c r="E1162" t="str">
        <f>IFERROR(__xludf.DUMMYFUNCTION("""COMPUTED_VALUE"""),"P1151")</f>
        <v>P1151</v>
      </c>
      <c r="F1162" t="str">
        <f t="array" ref="F1162">if(iserror(index(fish_lab_data!C:C,match(B1162,fish_lab_data!C:C,0))),"not dissected","dissected")</f>
        <v>dissected</v>
      </c>
    </row>
    <row r="1163">
      <c r="A1163" t="str">
        <f t="shared" si="1"/>
        <v>17504</v>
      </c>
      <c r="B1163" t="str">
        <f>IFERROR(__xludf.DUMMYFUNCTION("""COMPUTED_VALUE"""),"U17504")</f>
        <v>U17504</v>
      </c>
      <c r="C1163" t="str">
        <f>IFERROR(__xludf.DUMMYFUNCTION("""COMPUTED_VALUE"""),"PI")</f>
        <v>PI</v>
      </c>
      <c r="D1163" t="str">
        <f>IFERROR(__xludf.DUMMYFUNCTION("""COMPUTED_VALUE"""),"JE429N1")</f>
        <v>JE429N1</v>
      </c>
      <c r="E1163" t="str">
        <f>IFERROR(__xludf.DUMMYFUNCTION("""COMPUTED_VALUE"""),"P1151")</f>
        <v>P1151</v>
      </c>
      <c r="F1163" t="str">
        <f t="array" ref="F1163">if(iserror(index(fish_lab_data!C:C,match(B1163,fish_lab_data!C:C,0))),"not dissected","dissected")</f>
        <v>dissected</v>
      </c>
    </row>
    <row r="1164">
      <c r="A1164" t="str">
        <f t="shared" si="1"/>
        <v>17505</v>
      </c>
      <c r="B1164" t="str">
        <f>IFERROR(__xludf.DUMMYFUNCTION("""COMPUTED_VALUE"""),"U17505")</f>
        <v>U17505</v>
      </c>
      <c r="C1164" t="str">
        <f>IFERROR(__xludf.DUMMYFUNCTION("""COMPUTED_VALUE"""),"PI")</f>
        <v>PI</v>
      </c>
      <c r="D1164" t="str">
        <f>IFERROR(__xludf.DUMMYFUNCTION("""COMPUTED_VALUE"""),"JE429N1")</f>
        <v>JE429N1</v>
      </c>
      <c r="E1164" t="str">
        <f>IFERROR(__xludf.DUMMYFUNCTION("""COMPUTED_VALUE"""),"P1151")</f>
        <v>P1151</v>
      </c>
      <c r="F1164" t="str">
        <f t="array" ref="F1164">if(iserror(index(fish_lab_data!C:C,match(B1164,fish_lab_data!C:C,0))),"not dissected","dissected")</f>
        <v>dissected</v>
      </c>
    </row>
    <row r="1165">
      <c r="A1165" t="str">
        <f t="shared" si="1"/>
        <v>17506</v>
      </c>
      <c r="B1165" t="str">
        <f>IFERROR(__xludf.DUMMYFUNCTION("""COMPUTED_VALUE"""),"U17506")</f>
        <v>U17506</v>
      </c>
      <c r="C1165" t="str">
        <f>IFERROR(__xludf.DUMMYFUNCTION("""COMPUTED_VALUE"""),"PI")</f>
        <v>PI</v>
      </c>
      <c r="D1165" t="str">
        <f>IFERROR(__xludf.DUMMYFUNCTION("""COMPUTED_VALUE"""),"JE429N1")</f>
        <v>JE429N1</v>
      </c>
      <c r="E1165" t="str">
        <f>IFERROR(__xludf.DUMMYFUNCTION("""COMPUTED_VALUE"""),"P1151")</f>
        <v>P1151</v>
      </c>
      <c r="F1165" t="str">
        <f t="array" ref="F1165">if(iserror(index(fish_lab_data!C:C,match(B1165,fish_lab_data!C:C,0))),"not dissected","dissected")</f>
        <v>dissected</v>
      </c>
    </row>
    <row r="1166">
      <c r="A1166" t="str">
        <f t="shared" si="1"/>
        <v>17507</v>
      </c>
      <c r="B1166" t="str">
        <f>IFERROR(__xludf.DUMMYFUNCTION("""COMPUTED_VALUE"""),"U17507")</f>
        <v>U17507</v>
      </c>
      <c r="C1166" t="str">
        <f>IFERROR(__xludf.DUMMYFUNCTION("""COMPUTED_VALUE"""),"PI")</f>
        <v>PI</v>
      </c>
      <c r="D1166" t="str">
        <f>IFERROR(__xludf.DUMMYFUNCTION("""COMPUTED_VALUE"""),"JE429N1")</f>
        <v>JE429N1</v>
      </c>
      <c r="E1166" t="str">
        <f>IFERROR(__xludf.DUMMYFUNCTION("""COMPUTED_VALUE"""),"P1151")</f>
        <v>P1151</v>
      </c>
      <c r="F1166" t="str">
        <f t="array" ref="F1166">if(iserror(index(fish_lab_data!C:C,match(B1166,fish_lab_data!C:C,0))),"not dissected","dissected")</f>
        <v>dissected</v>
      </c>
    </row>
    <row r="1167">
      <c r="A1167" t="str">
        <f t="shared" si="1"/>
        <v>17508</v>
      </c>
      <c r="B1167" t="str">
        <f>IFERROR(__xludf.DUMMYFUNCTION("""COMPUTED_VALUE"""),"U17508")</f>
        <v>U17508</v>
      </c>
      <c r="C1167" t="str">
        <f>IFERROR(__xludf.DUMMYFUNCTION("""COMPUTED_VALUE"""),"PI")</f>
        <v>PI</v>
      </c>
      <c r="D1167" t="str">
        <f>IFERROR(__xludf.DUMMYFUNCTION("""COMPUTED_VALUE"""),"JE429N1")</f>
        <v>JE429N1</v>
      </c>
      <c r="E1167" t="str">
        <f>IFERROR(__xludf.DUMMYFUNCTION("""COMPUTED_VALUE"""),"P1151")</f>
        <v>P1151</v>
      </c>
      <c r="F1167" t="str">
        <f t="array" ref="F1167">if(iserror(index(fish_lab_data!C:C,match(B1167,fish_lab_data!C:C,0))),"not dissected","dissected")</f>
        <v>dissected</v>
      </c>
    </row>
    <row r="1168">
      <c r="A1168" t="str">
        <f t="shared" si="1"/>
        <v>17509</v>
      </c>
      <c r="B1168" t="str">
        <f>IFERROR(__xludf.DUMMYFUNCTION("""COMPUTED_VALUE"""),"U17509")</f>
        <v>U17509</v>
      </c>
      <c r="C1168" t="str">
        <f>IFERROR(__xludf.DUMMYFUNCTION("""COMPUTED_VALUE"""),"PI")</f>
        <v>PI</v>
      </c>
      <c r="D1168" t="str">
        <f>IFERROR(__xludf.DUMMYFUNCTION("""COMPUTED_VALUE"""),"JE429N1")</f>
        <v>JE429N1</v>
      </c>
      <c r="E1168" t="str">
        <f>IFERROR(__xludf.DUMMYFUNCTION("""COMPUTED_VALUE"""),"P1151")</f>
        <v>P1151</v>
      </c>
      <c r="F1168" t="str">
        <f t="array" ref="F1168">if(iserror(index(fish_lab_data!C:C,match(B1168,fish_lab_data!C:C,0))),"not dissected","dissected")</f>
        <v>dissected</v>
      </c>
    </row>
    <row r="1169">
      <c r="A1169" t="str">
        <f t="shared" si="1"/>
        <v>17510</v>
      </c>
      <c r="B1169" t="str">
        <f>IFERROR(__xludf.DUMMYFUNCTION("""COMPUTED_VALUE"""),"U17510")</f>
        <v>U17510</v>
      </c>
      <c r="C1169" t="str">
        <f>IFERROR(__xludf.DUMMYFUNCTION("""COMPUTED_VALUE"""),"PI")</f>
        <v>PI</v>
      </c>
      <c r="D1169" t="str">
        <f>IFERROR(__xludf.DUMMYFUNCTION("""COMPUTED_VALUE"""),"JE429N1")</f>
        <v>JE429N1</v>
      </c>
      <c r="E1169" t="str">
        <f>IFERROR(__xludf.DUMMYFUNCTION("""COMPUTED_VALUE"""),"P1151")</f>
        <v>P1151</v>
      </c>
      <c r="F1169" t="str">
        <f t="array" ref="F1169">if(iserror(index(fish_lab_data!C:C,match(B1169,fish_lab_data!C:C,0))),"not dissected","dissected")</f>
        <v>dissected</v>
      </c>
    </row>
    <row r="1170">
      <c r="A1170" t="str">
        <f t="shared" si="1"/>
        <v>17971</v>
      </c>
      <c r="B1170" t="str">
        <f>IFERROR(__xludf.DUMMYFUNCTION("""COMPUTED_VALUE"""),"U17971")</f>
        <v>U17971</v>
      </c>
      <c r="C1170" t="str">
        <f>IFERROR(__xludf.DUMMYFUNCTION("""COMPUTED_VALUE"""),"CU")</f>
        <v>CU</v>
      </c>
      <c r="D1170" t="str">
        <f>IFERROR(__xludf.DUMMYFUNCTION("""COMPUTED_VALUE"""),"JE429N1")</f>
        <v>JE429N1</v>
      </c>
      <c r="E1170" t="str">
        <f>IFERROR(__xludf.DUMMYFUNCTION("""COMPUTED_VALUE"""),"P1198")</f>
        <v>P1198</v>
      </c>
      <c r="F1170" t="str">
        <f t="array" ref="F1170">if(iserror(index(fish_lab_data!C:C,match(B1170,fish_lab_data!C:C,0))),"not dissected","dissected")</f>
        <v>dissected</v>
      </c>
    </row>
    <row r="1171">
      <c r="A1171" t="str">
        <f t="shared" si="1"/>
        <v>17972</v>
      </c>
      <c r="B1171" t="str">
        <f>IFERROR(__xludf.DUMMYFUNCTION("""COMPUTED_VALUE"""),"U17972")</f>
        <v>U17972</v>
      </c>
      <c r="C1171" t="str">
        <f>IFERROR(__xludf.DUMMYFUNCTION("""COMPUTED_VALUE"""),"CU")</f>
        <v>CU</v>
      </c>
      <c r="D1171" t="str">
        <f>IFERROR(__xludf.DUMMYFUNCTION("""COMPUTED_VALUE"""),"JE429N1")</f>
        <v>JE429N1</v>
      </c>
      <c r="E1171" t="str">
        <f>IFERROR(__xludf.DUMMYFUNCTION("""COMPUTED_VALUE"""),"P1198")</f>
        <v>P1198</v>
      </c>
      <c r="F1171" t="str">
        <f t="array" ref="F1171">if(iserror(index(fish_lab_data!C:C,match(B1171,fish_lab_data!C:C,0))),"not dissected","dissected")</f>
        <v>dissected</v>
      </c>
    </row>
    <row r="1172">
      <c r="A1172" t="str">
        <f t="shared" si="1"/>
        <v>17973</v>
      </c>
      <c r="B1172" t="str">
        <f>IFERROR(__xludf.DUMMYFUNCTION("""COMPUTED_VALUE"""),"U17973")</f>
        <v>U17973</v>
      </c>
      <c r="C1172" t="str">
        <f>IFERROR(__xludf.DUMMYFUNCTION("""COMPUTED_VALUE"""),"CU")</f>
        <v>CU</v>
      </c>
      <c r="D1172" t="str">
        <f>IFERROR(__xludf.DUMMYFUNCTION("""COMPUTED_VALUE"""),"JE429N1")</f>
        <v>JE429N1</v>
      </c>
      <c r="E1172" t="str">
        <f>IFERROR(__xludf.DUMMYFUNCTION("""COMPUTED_VALUE"""),"P1198")</f>
        <v>P1198</v>
      </c>
      <c r="F1172" t="str">
        <f t="array" ref="F1172">if(iserror(index(fish_lab_data!C:C,match(B1172,fish_lab_data!C:C,0))),"not dissected","dissected")</f>
        <v>dissected</v>
      </c>
    </row>
    <row r="1173">
      <c r="A1173" t="str">
        <f t="shared" si="1"/>
        <v>17974</v>
      </c>
      <c r="B1173" t="str">
        <f>IFERROR(__xludf.DUMMYFUNCTION("""COMPUTED_VALUE"""),"U17974")</f>
        <v>U17974</v>
      </c>
      <c r="C1173" t="str">
        <f>IFERROR(__xludf.DUMMYFUNCTION("""COMPUTED_VALUE"""),"CU")</f>
        <v>CU</v>
      </c>
      <c r="D1173" t="str">
        <f>IFERROR(__xludf.DUMMYFUNCTION("""COMPUTED_VALUE"""),"JE429N1")</f>
        <v>JE429N1</v>
      </c>
      <c r="E1173" t="str">
        <f>IFERROR(__xludf.DUMMYFUNCTION("""COMPUTED_VALUE"""),"P1198")</f>
        <v>P1198</v>
      </c>
      <c r="F1173" t="str">
        <f t="array" ref="F1173">if(iserror(index(fish_lab_data!C:C,match(B1173,fish_lab_data!C:C,0))),"not dissected","dissected")</f>
        <v>dissected</v>
      </c>
    </row>
    <row r="1174">
      <c r="A1174" t="str">
        <f t="shared" si="1"/>
        <v>17975</v>
      </c>
      <c r="B1174" t="str">
        <f>IFERROR(__xludf.DUMMYFUNCTION("""COMPUTED_VALUE"""),"U17975")</f>
        <v>U17975</v>
      </c>
      <c r="C1174" t="str">
        <f>IFERROR(__xludf.DUMMYFUNCTION("""COMPUTED_VALUE"""),"CU")</f>
        <v>CU</v>
      </c>
      <c r="D1174" t="str">
        <f>IFERROR(__xludf.DUMMYFUNCTION("""COMPUTED_VALUE"""),"JE429N1")</f>
        <v>JE429N1</v>
      </c>
      <c r="E1174" t="str">
        <f>IFERROR(__xludf.DUMMYFUNCTION("""COMPUTED_VALUE"""),"P1198")</f>
        <v>P1198</v>
      </c>
      <c r="F1174" t="str">
        <f t="array" ref="F1174">if(iserror(index(fish_lab_data!C:C,match(B1174,fish_lab_data!C:C,0))),"not dissected","dissected")</f>
        <v>dissected</v>
      </c>
    </row>
    <row r="1175">
      <c r="A1175" t="str">
        <f t="shared" si="1"/>
        <v>17976</v>
      </c>
      <c r="B1175" t="str">
        <f>IFERROR(__xludf.DUMMYFUNCTION("""COMPUTED_VALUE"""),"U17976")</f>
        <v>U17976</v>
      </c>
      <c r="C1175" t="str">
        <f>IFERROR(__xludf.DUMMYFUNCTION("""COMPUTED_VALUE"""),"CU")</f>
        <v>CU</v>
      </c>
      <c r="D1175" t="str">
        <f>IFERROR(__xludf.DUMMYFUNCTION("""COMPUTED_VALUE"""),"JE429N1")</f>
        <v>JE429N1</v>
      </c>
      <c r="E1175" t="str">
        <f>IFERROR(__xludf.DUMMYFUNCTION("""COMPUTED_VALUE"""),"P1198")</f>
        <v>P1198</v>
      </c>
      <c r="F1175" t="str">
        <f t="array" ref="F1175">if(iserror(index(fish_lab_data!C:C,match(B1175,fish_lab_data!C:C,0))),"not dissected","dissected")</f>
        <v>dissected</v>
      </c>
    </row>
    <row r="1176">
      <c r="A1176" t="str">
        <f t="shared" si="1"/>
        <v>17977</v>
      </c>
      <c r="B1176" t="str">
        <f>IFERROR(__xludf.DUMMYFUNCTION("""COMPUTED_VALUE"""),"U17977")</f>
        <v>U17977</v>
      </c>
      <c r="C1176" t="str">
        <f>IFERROR(__xludf.DUMMYFUNCTION("""COMPUTED_VALUE"""),"CU")</f>
        <v>CU</v>
      </c>
      <c r="D1176" t="str">
        <f>IFERROR(__xludf.DUMMYFUNCTION("""COMPUTED_VALUE"""),"JE429N1")</f>
        <v>JE429N1</v>
      </c>
      <c r="E1176" t="str">
        <f>IFERROR(__xludf.DUMMYFUNCTION("""COMPUTED_VALUE"""),"P1198")</f>
        <v>P1198</v>
      </c>
      <c r="F1176" t="str">
        <f t="array" ref="F1176">if(iserror(index(fish_lab_data!C:C,match(B1176,fish_lab_data!C:C,0))),"not dissected","dissected")</f>
        <v>dissected</v>
      </c>
    </row>
    <row r="1177">
      <c r="A1177" t="str">
        <f t="shared" si="1"/>
        <v>17978</v>
      </c>
      <c r="B1177" t="str">
        <f>IFERROR(__xludf.DUMMYFUNCTION("""COMPUTED_VALUE"""),"U17978")</f>
        <v>U17978</v>
      </c>
      <c r="C1177" t="str">
        <f>IFERROR(__xludf.DUMMYFUNCTION("""COMPUTED_VALUE"""),"CU")</f>
        <v>CU</v>
      </c>
      <c r="D1177" t="str">
        <f>IFERROR(__xludf.DUMMYFUNCTION("""COMPUTED_VALUE"""),"JE429N1")</f>
        <v>JE429N1</v>
      </c>
      <c r="E1177" t="str">
        <f>IFERROR(__xludf.DUMMYFUNCTION("""COMPUTED_VALUE"""),"P1198")</f>
        <v>P1198</v>
      </c>
      <c r="F1177" t="str">
        <f t="array" ref="F1177">if(iserror(index(fish_lab_data!C:C,match(B1177,fish_lab_data!C:C,0))),"not dissected","dissected")</f>
        <v>dissected</v>
      </c>
    </row>
    <row r="1178">
      <c r="A1178" t="str">
        <f t="shared" si="1"/>
        <v>17979</v>
      </c>
      <c r="B1178" t="str">
        <f>IFERROR(__xludf.DUMMYFUNCTION("""COMPUTED_VALUE"""),"U17979")</f>
        <v>U17979</v>
      </c>
      <c r="C1178" t="str">
        <f>IFERROR(__xludf.DUMMYFUNCTION("""COMPUTED_VALUE"""),"CU")</f>
        <v>CU</v>
      </c>
      <c r="D1178" t="str">
        <f>IFERROR(__xludf.DUMMYFUNCTION("""COMPUTED_VALUE"""),"JE429N1")</f>
        <v>JE429N1</v>
      </c>
      <c r="E1178" t="str">
        <f>IFERROR(__xludf.DUMMYFUNCTION("""COMPUTED_VALUE"""),"P1198")</f>
        <v>P1198</v>
      </c>
      <c r="F1178" t="str">
        <f t="array" ref="F1178">if(iserror(index(fish_lab_data!C:C,match(B1178,fish_lab_data!C:C,0))),"not dissected","dissected")</f>
        <v>dissected</v>
      </c>
    </row>
    <row r="1179">
      <c r="A1179" t="str">
        <f t="shared" si="1"/>
        <v>17980</v>
      </c>
      <c r="B1179" t="str">
        <f>IFERROR(__xludf.DUMMYFUNCTION("""COMPUTED_VALUE"""),"U17980")</f>
        <v>U17980</v>
      </c>
      <c r="C1179" t="str">
        <f>IFERROR(__xludf.DUMMYFUNCTION("""COMPUTED_VALUE"""),"CU")</f>
        <v>CU</v>
      </c>
      <c r="D1179" t="str">
        <f>IFERROR(__xludf.DUMMYFUNCTION("""COMPUTED_VALUE"""),"JE429N1")</f>
        <v>JE429N1</v>
      </c>
      <c r="E1179" t="str">
        <f>IFERROR(__xludf.DUMMYFUNCTION("""COMPUTED_VALUE"""),"P1198")</f>
        <v>P1198</v>
      </c>
      <c r="F1179" t="str">
        <f t="array" ref="F1179">if(iserror(index(fish_lab_data!C:C,match(B1179,fish_lab_data!C:C,0))),"not dissected","dissected")</f>
        <v>dissected</v>
      </c>
    </row>
    <row r="1180">
      <c r="A1180" t="str">
        <f t="shared" si="1"/>
        <v>17131</v>
      </c>
      <c r="B1180" t="str">
        <f>IFERROR(__xludf.DUMMYFUNCTION("""COMPUTED_VALUE"""),"U17131")</f>
        <v>U17131</v>
      </c>
      <c r="C1180" t="str">
        <f>IFERROR(__xludf.DUMMYFUNCTION("""COMPUTED_VALUE"""),"PI")</f>
        <v>PI</v>
      </c>
      <c r="D1180" t="str">
        <f>IFERROR(__xludf.DUMMYFUNCTION("""COMPUTED_VALUE"""),"DE540N1")</f>
        <v>DE540N1</v>
      </c>
      <c r="E1180" t="str">
        <f>IFERROR(__xludf.DUMMYFUNCTION("""COMPUTED_VALUE"""),"P1114")</f>
        <v>P1114</v>
      </c>
      <c r="F1180" t="str">
        <f t="array" ref="F1180">if(iserror(index(fish_lab_data!C:C,match(B1180,fish_lab_data!C:C,0))),"not dissected","dissected")</f>
        <v>dissected</v>
      </c>
    </row>
    <row r="1181">
      <c r="A1181" t="str">
        <f t="shared" si="1"/>
        <v>17132</v>
      </c>
      <c r="B1181" t="str">
        <f>IFERROR(__xludf.DUMMYFUNCTION("""COMPUTED_VALUE"""),"U17132")</f>
        <v>U17132</v>
      </c>
      <c r="C1181" t="str">
        <f>IFERROR(__xludf.DUMMYFUNCTION("""COMPUTED_VALUE"""),"PI")</f>
        <v>PI</v>
      </c>
      <c r="D1181" t="str">
        <f>IFERROR(__xludf.DUMMYFUNCTION("""COMPUTED_VALUE"""),"DE540N1")</f>
        <v>DE540N1</v>
      </c>
      <c r="E1181" t="str">
        <f>IFERROR(__xludf.DUMMYFUNCTION("""COMPUTED_VALUE"""),"P1114")</f>
        <v>P1114</v>
      </c>
      <c r="F1181" t="str">
        <f t="array" ref="F1181">if(iserror(index(fish_lab_data!C:C,match(B1181,fish_lab_data!C:C,0))),"not dissected","dissected")</f>
        <v>dissected</v>
      </c>
    </row>
    <row r="1182">
      <c r="A1182" t="str">
        <f t="shared" si="1"/>
        <v>17133</v>
      </c>
      <c r="B1182" t="str">
        <f>IFERROR(__xludf.DUMMYFUNCTION("""COMPUTED_VALUE"""),"U17133")</f>
        <v>U17133</v>
      </c>
      <c r="C1182" t="str">
        <f>IFERROR(__xludf.DUMMYFUNCTION("""COMPUTED_VALUE"""),"PI")</f>
        <v>PI</v>
      </c>
      <c r="D1182" t="str">
        <f>IFERROR(__xludf.DUMMYFUNCTION("""COMPUTED_VALUE"""),"DE540N1")</f>
        <v>DE540N1</v>
      </c>
      <c r="E1182" t="str">
        <f>IFERROR(__xludf.DUMMYFUNCTION("""COMPUTED_VALUE"""),"P1114")</f>
        <v>P1114</v>
      </c>
      <c r="F1182" t="str">
        <f t="array" ref="F1182">if(iserror(index(fish_lab_data!C:C,match(B1182,fish_lab_data!C:C,0))),"not dissected","dissected")</f>
        <v>dissected</v>
      </c>
    </row>
    <row r="1183">
      <c r="A1183" t="str">
        <f t="shared" si="1"/>
        <v>17134</v>
      </c>
      <c r="B1183" t="str">
        <f>IFERROR(__xludf.DUMMYFUNCTION("""COMPUTED_VALUE"""),"U17134")</f>
        <v>U17134</v>
      </c>
      <c r="C1183" t="str">
        <f>IFERROR(__xludf.DUMMYFUNCTION("""COMPUTED_VALUE"""),"PI")</f>
        <v>PI</v>
      </c>
      <c r="D1183" t="str">
        <f>IFERROR(__xludf.DUMMYFUNCTION("""COMPUTED_VALUE"""),"DE540N1")</f>
        <v>DE540N1</v>
      </c>
      <c r="E1183" t="str">
        <f>IFERROR(__xludf.DUMMYFUNCTION("""COMPUTED_VALUE"""),"P1114")</f>
        <v>P1114</v>
      </c>
      <c r="F1183" t="str">
        <f t="array" ref="F1183">if(iserror(index(fish_lab_data!C:C,match(B1183,fish_lab_data!C:C,0))),"not dissected","dissected")</f>
        <v>dissected</v>
      </c>
    </row>
    <row r="1184">
      <c r="A1184" t="str">
        <f t="shared" si="1"/>
        <v>17135</v>
      </c>
      <c r="B1184" t="str">
        <f>IFERROR(__xludf.DUMMYFUNCTION("""COMPUTED_VALUE"""),"U17135")</f>
        <v>U17135</v>
      </c>
      <c r="C1184" t="str">
        <f>IFERROR(__xludf.DUMMYFUNCTION("""COMPUTED_VALUE"""),"PI")</f>
        <v>PI</v>
      </c>
      <c r="D1184" t="str">
        <f>IFERROR(__xludf.DUMMYFUNCTION("""COMPUTED_VALUE"""),"DE540N1")</f>
        <v>DE540N1</v>
      </c>
      <c r="E1184" t="str">
        <f>IFERROR(__xludf.DUMMYFUNCTION("""COMPUTED_VALUE"""),"P1114")</f>
        <v>P1114</v>
      </c>
      <c r="F1184" t="str">
        <f t="array" ref="F1184">if(iserror(index(fish_lab_data!C:C,match(B1184,fish_lab_data!C:C,0))),"not dissected","dissected")</f>
        <v>dissected</v>
      </c>
    </row>
    <row r="1185">
      <c r="A1185" t="str">
        <f t="shared" si="1"/>
        <v>17136</v>
      </c>
      <c r="B1185" t="str">
        <f>IFERROR(__xludf.DUMMYFUNCTION("""COMPUTED_VALUE"""),"U17136")</f>
        <v>U17136</v>
      </c>
      <c r="C1185" t="str">
        <f>IFERROR(__xludf.DUMMYFUNCTION("""COMPUTED_VALUE"""),"PI")</f>
        <v>PI</v>
      </c>
      <c r="D1185" t="str">
        <f>IFERROR(__xludf.DUMMYFUNCTION("""COMPUTED_VALUE"""),"DE540N1")</f>
        <v>DE540N1</v>
      </c>
      <c r="E1185" t="str">
        <f>IFERROR(__xludf.DUMMYFUNCTION("""COMPUTED_VALUE"""),"P1114")</f>
        <v>P1114</v>
      </c>
      <c r="F1185" t="str">
        <f t="array" ref="F1185">if(iserror(index(fish_lab_data!C:C,match(B1185,fish_lab_data!C:C,0))),"not dissected","dissected")</f>
        <v>dissected</v>
      </c>
    </row>
    <row r="1186">
      <c r="A1186" t="str">
        <f t="shared" si="1"/>
        <v>17137</v>
      </c>
      <c r="B1186" t="str">
        <f>IFERROR(__xludf.DUMMYFUNCTION("""COMPUTED_VALUE"""),"U17137")</f>
        <v>U17137</v>
      </c>
      <c r="C1186" t="str">
        <f>IFERROR(__xludf.DUMMYFUNCTION("""COMPUTED_VALUE"""),"PI")</f>
        <v>PI</v>
      </c>
      <c r="D1186" t="str">
        <f>IFERROR(__xludf.DUMMYFUNCTION("""COMPUTED_VALUE"""),"DE540N1")</f>
        <v>DE540N1</v>
      </c>
      <c r="E1186" t="str">
        <f>IFERROR(__xludf.DUMMYFUNCTION("""COMPUTED_VALUE"""),"P1114")</f>
        <v>P1114</v>
      </c>
      <c r="F1186" t="str">
        <f t="array" ref="F1186">if(iserror(index(fish_lab_data!C:C,match(B1186,fish_lab_data!C:C,0))),"not dissected","dissected")</f>
        <v>dissected</v>
      </c>
    </row>
    <row r="1187">
      <c r="A1187" t="str">
        <f t="shared" si="1"/>
        <v>17138</v>
      </c>
      <c r="B1187" t="str">
        <f>IFERROR(__xludf.DUMMYFUNCTION("""COMPUTED_VALUE"""),"U17138")</f>
        <v>U17138</v>
      </c>
      <c r="C1187" t="str">
        <f>IFERROR(__xludf.DUMMYFUNCTION("""COMPUTED_VALUE"""),"PI")</f>
        <v>PI</v>
      </c>
      <c r="D1187" t="str">
        <f>IFERROR(__xludf.DUMMYFUNCTION("""COMPUTED_VALUE"""),"DE540N1")</f>
        <v>DE540N1</v>
      </c>
      <c r="E1187" t="str">
        <f>IFERROR(__xludf.DUMMYFUNCTION("""COMPUTED_VALUE"""),"P1114")</f>
        <v>P1114</v>
      </c>
      <c r="F1187" t="str">
        <f t="array" ref="F1187">if(iserror(index(fish_lab_data!C:C,match(B1187,fish_lab_data!C:C,0))),"not dissected","dissected")</f>
        <v>dissected</v>
      </c>
    </row>
    <row r="1188">
      <c r="A1188" t="str">
        <f t="shared" si="1"/>
        <v>17139</v>
      </c>
      <c r="B1188" t="str">
        <f>IFERROR(__xludf.DUMMYFUNCTION("""COMPUTED_VALUE"""),"U17139")</f>
        <v>U17139</v>
      </c>
      <c r="C1188" t="str">
        <f>IFERROR(__xludf.DUMMYFUNCTION("""COMPUTED_VALUE"""),"PI")</f>
        <v>PI</v>
      </c>
      <c r="D1188" t="str">
        <f>IFERROR(__xludf.DUMMYFUNCTION("""COMPUTED_VALUE"""),"DE540N1")</f>
        <v>DE540N1</v>
      </c>
      <c r="E1188" t="str">
        <f>IFERROR(__xludf.DUMMYFUNCTION("""COMPUTED_VALUE"""),"P1114")</f>
        <v>P1114</v>
      </c>
      <c r="F1188" t="str">
        <f t="array" ref="F1188">if(iserror(index(fish_lab_data!C:C,match(B1188,fish_lab_data!C:C,0))),"not dissected","dissected")</f>
        <v>dissected</v>
      </c>
    </row>
    <row r="1189">
      <c r="A1189" t="str">
        <f t="shared" si="1"/>
        <v>17140</v>
      </c>
      <c r="B1189" t="str">
        <f>IFERROR(__xludf.DUMMYFUNCTION("""COMPUTED_VALUE"""),"U17140")</f>
        <v>U17140</v>
      </c>
      <c r="C1189" t="str">
        <f>IFERROR(__xludf.DUMMYFUNCTION("""COMPUTED_VALUE"""),"PI")</f>
        <v>PI</v>
      </c>
      <c r="D1189" t="str">
        <f>IFERROR(__xludf.DUMMYFUNCTION("""COMPUTED_VALUE"""),"DE540N1")</f>
        <v>DE540N1</v>
      </c>
      <c r="E1189" t="str">
        <f>IFERROR(__xludf.DUMMYFUNCTION("""COMPUTED_VALUE"""),"P1114")</f>
        <v>P1114</v>
      </c>
      <c r="F1189" t="str">
        <f t="array" ref="F1189">if(iserror(index(fish_lab_data!C:C,match(B1189,fish_lab_data!C:C,0))),"not dissected","dissected")</f>
        <v>dissected</v>
      </c>
    </row>
    <row r="1190">
      <c r="A1190" t="str">
        <f t="shared" si="1"/>
        <v>17031</v>
      </c>
      <c r="B1190" t="str">
        <f>IFERROR(__xludf.DUMMYFUNCTION("""COMPUTED_VALUE"""),"U17031")</f>
        <v>U17031</v>
      </c>
      <c r="C1190" t="str">
        <f>IFERROR(__xludf.DUMMYFUNCTION("""COMPUTED_VALUE"""),"CK")</f>
        <v>CK</v>
      </c>
      <c r="D1190" t="str">
        <f>IFERROR(__xludf.DUMMYFUNCTION("""COMPUTED_VALUE"""),"DE540N1")</f>
        <v>DE540N1</v>
      </c>
      <c r="E1190" t="str">
        <f>IFERROR(__xludf.DUMMYFUNCTION("""COMPUTED_VALUE"""),"P1104")</f>
        <v>P1104</v>
      </c>
      <c r="F1190" t="str">
        <f t="array" ref="F1190">if(iserror(index(fish_lab_data!C:C,match(B1190,fish_lab_data!C:C,0))),"not dissected","dissected")</f>
        <v>dissected</v>
      </c>
    </row>
    <row r="1191">
      <c r="A1191" t="str">
        <f t="shared" si="1"/>
        <v>17221</v>
      </c>
      <c r="B1191" t="str">
        <f>IFERROR(__xludf.DUMMYFUNCTION("""COMPUTED_VALUE"""),"U17221")</f>
        <v>U17221</v>
      </c>
      <c r="C1191" t="str">
        <f>IFERROR(__xludf.DUMMYFUNCTION("""COMPUTED_VALUE"""),"PI")</f>
        <v>PI</v>
      </c>
      <c r="D1191" t="str">
        <f>IFERROR(__xludf.DUMMYFUNCTION("""COMPUTED_VALUE"""),"DE541N1")</f>
        <v>DE541N1</v>
      </c>
      <c r="E1191" t="str">
        <f>IFERROR(__xludf.DUMMYFUNCTION("""COMPUTED_VALUE"""),"P1123")</f>
        <v>P1123</v>
      </c>
      <c r="F1191" t="str">
        <f t="array" ref="F1191">if(iserror(index(fish_lab_data!C:C,match(B1191,fish_lab_data!C:C,0))),"not dissected","dissected")</f>
        <v>dissected</v>
      </c>
    </row>
    <row r="1192">
      <c r="A1192" t="str">
        <f t="shared" si="1"/>
        <v>17222</v>
      </c>
      <c r="B1192" t="str">
        <f>IFERROR(__xludf.DUMMYFUNCTION("""COMPUTED_VALUE"""),"U17222")</f>
        <v>U17222</v>
      </c>
      <c r="C1192" t="str">
        <f>IFERROR(__xludf.DUMMYFUNCTION("""COMPUTED_VALUE"""),"PI")</f>
        <v>PI</v>
      </c>
      <c r="D1192" t="str">
        <f>IFERROR(__xludf.DUMMYFUNCTION("""COMPUTED_VALUE"""),"DE541N1")</f>
        <v>DE541N1</v>
      </c>
      <c r="E1192" t="str">
        <f>IFERROR(__xludf.DUMMYFUNCTION("""COMPUTED_VALUE"""),"P1123")</f>
        <v>P1123</v>
      </c>
      <c r="F1192" t="str">
        <f t="array" ref="F1192">if(iserror(index(fish_lab_data!C:C,match(B1192,fish_lab_data!C:C,0))),"not dissected","dissected")</f>
        <v>dissected</v>
      </c>
    </row>
    <row r="1193">
      <c r="A1193" t="str">
        <f t="shared" si="1"/>
        <v>17223</v>
      </c>
      <c r="B1193" t="str">
        <f>IFERROR(__xludf.DUMMYFUNCTION("""COMPUTED_VALUE"""),"U17223")</f>
        <v>U17223</v>
      </c>
      <c r="C1193" t="str">
        <f>IFERROR(__xludf.DUMMYFUNCTION("""COMPUTED_VALUE"""),"PI")</f>
        <v>PI</v>
      </c>
      <c r="D1193" t="str">
        <f>IFERROR(__xludf.DUMMYFUNCTION("""COMPUTED_VALUE"""),"DE541N1")</f>
        <v>DE541N1</v>
      </c>
      <c r="E1193" t="str">
        <f>IFERROR(__xludf.DUMMYFUNCTION("""COMPUTED_VALUE"""),"P1123")</f>
        <v>P1123</v>
      </c>
      <c r="F1193" t="str">
        <f t="array" ref="F1193">if(iserror(index(fish_lab_data!C:C,match(B1193,fish_lab_data!C:C,0))),"not dissected","dissected")</f>
        <v>dissected</v>
      </c>
    </row>
    <row r="1194">
      <c r="A1194" t="str">
        <f t="shared" si="1"/>
        <v>17224</v>
      </c>
      <c r="B1194" t="str">
        <f>IFERROR(__xludf.DUMMYFUNCTION("""COMPUTED_VALUE"""),"U17224")</f>
        <v>U17224</v>
      </c>
      <c r="C1194" t="str">
        <f>IFERROR(__xludf.DUMMYFUNCTION("""COMPUTED_VALUE"""),"PI")</f>
        <v>PI</v>
      </c>
      <c r="D1194" t="str">
        <f>IFERROR(__xludf.DUMMYFUNCTION("""COMPUTED_VALUE"""),"DE541N1")</f>
        <v>DE541N1</v>
      </c>
      <c r="E1194" t="str">
        <f>IFERROR(__xludf.DUMMYFUNCTION("""COMPUTED_VALUE"""),"P1123")</f>
        <v>P1123</v>
      </c>
      <c r="F1194" t="str">
        <f t="array" ref="F1194">if(iserror(index(fish_lab_data!C:C,match(B1194,fish_lab_data!C:C,0))),"not dissected","dissected")</f>
        <v>dissected</v>
      </c>
    </row>
    <row r="1195">
      <c r="A1195" t="str">
        <f t="shared" si="1"/>
        <v>17225</v>
      </c>
      <c r="B1195" t="str">
        <f>IFERROR(__xludf.DUMMYFUNCTION("""COMPUTED_VALUE"""),"U17225")</f>
        <v>U17225</v>
      </c>
      <c r="C1195" t="str">
        <f>IFERROR(__xludf.DUMMYFUNCTION("""COMPUTED_VALUE"""),"PI")</f>
        <v>PI</v>
      </c>
      <c r="D1195" t="str">
        <f>IFERROR(__xludf.DUMMYFUNCTION("""COMPUTED_VALUE"""),"DE541N1")</f>
        <v>DE541N1</v>
      </c>
      <c r="E1195" t="str">
        <f>IFERROR(__xludf.DUMMYFUNCTION("""COMPUTED_VALUE"""),"P1123")</f>
        <v>P1123</v>
      </c>
      <c r="F1195" t="str">
        <f t="array" ref="F1195">if(iserror(index(fish_lab_data!C:C,match(B1195,fish_lab_data!C:C,0))),"not dissected","dissected")</f>
        <v>dissected</v>
      </c>
    </row>
    <row r="1196">
      <c r="A1196" t="str">
        <f t="shared" si="1"/>
        <v>17226</v>
      </c>
      <c r="B1196" t="str">
        <f>IFERROR(__xludf.DUMMYFUNCTION("""COMPUTED_VALUE"""),"U17226")</f>
        <v>U17226</v>
      </c>
      <c r="C1196" t="str">
        <f>IFERROR(__xludf.DUMMYFUNCTION("""COMPUTED_VALUE"""),"PI")</f>
        <v>PI</v>
      </c>
      <c r="D1196" t="str">
        <f>IFERROR(__xludf.DUMMYFUNCTION("""COMPUTED_VALUE"""),"DE541N1")</f>
        <v>DE541N1</v>
      </c>
      <c r="E1196" t="str">
        <f>IFERROR(__xludf.DUMMYFUNCTION("""COMPUTED_VALUE"""),"P1123")</f>
        <v>P1123</v>
      </c>
      <c r="F1196" t="str">
        <f t="array" ref="F1196">if(iserror(index(fish_lab_data!C:C,match(B1196,fish_lab_data!C:C,0))),"not dissected","dissected")</f>
        <v>dissected</v>
      </c>
    </row>
    <row r="1197">
      <c r="A1197" t="str">
        <f t="shared" si="1"/>
        <v>17227</v>
      </c>
      <c r="B1197" t="str">
        <f>IFERROR(__xludf.DUMMYFUNCTION("""COMPUTED_VALUE"""),"U17227")</f>
        <v>U17227</v>
      </c>
      <c r="C1197" t="str">
        <f>IFERROR(__xludf.DUMMYFUNCTION("""COMPUTED_VALUE"""),"PI")</f>
        <v>PI</v>
      </c>
      <c r="D1197" t="str">
        <f>IFERROR(__xludf.DUMMYFUNCTION("""COMPUTED_VALUE"""),"DE541N1")</f>
        <v>DE541N1</v>
      </c>
      <c r="E1197" t="str">
        <f>IFERROR(__xludf.DUMMYFUNCTION("""COMPUTED_VALUE"""),"P1123")</f>
        <v>P1123</v>
      </c>
      <c r="F1197" t="str">
        <f t="array" ref="F1197">if(iserror(index(fish_lab_data!C:C,match(B1197,fish_lab_data!C:C,0))),"not dissected","dissected")</f>
        <v>dissected</v>
      </c>
    </row>
    <row r="1198">
      <c r="A1198" t="str">
        <f t="shared" si="1"/>
        <v>17228</v>
      </c>
      <c r="B1198" t="str">
        <f>IFERROR(__xludf.DUMMYFUNCTION("""COMPUTED_VALUE"""),"U17228")</f>
        <v>U17228</v>
      </c>
      <c r="C1198" t="str">
        <f>IFERROR(__xludf.DUMMYFUNCTION("""COMPUTED_VALUE"""),"PI")</f>
        <v>PI</v>
      </c>
      <c r="D1198" t="str">
        <f>IFERROR(__xludf.DUMMYFUNCTION("""COMPUTED_VALUE"""),"DE541N1")</f>
        <v>DE541N1</v>
      </c>
      <c r="E1198" t="str">
        <f>IFERROR(__xludf.DUMMYFUNCTION("""COMPUTED_VALUE"""),"P1123")</f>
        <v>P1123</v>
      </c>
      <c r="F1198" t="str">
        <f t="array" ref="F1198">if(iserror(index(fish_lab_data!C:C,match(B1198,fish_lab_data!C:C,0))),"not dissected","dissected")</f>
        <v>dissected</v>
      </c>
    </row>
    <row r="1199">
      <c r="A1199" t="str">
        <f t="shared" si="1"/>
        <v>17229</v>
      </c>
      <c r="B1199" t="str">
        <f>IFERROR(__xludf.DUMMYFUNCTION("""COMPUTED_VALUE"""),"U17229")</f>
        <v>U17229</v>
      </c>
      <c r="C1199" t="str">
        <f>IFERROR(__xludf.DUMMYFUNCTION("""COMPUTED_VALUE"""),"PI")</f>
        <v>PI</v>
      </c>
      <c r="D1199" t="str">
        <f>IFERROR(__xludf.DUMMYFUNCTION("""COMPUTED_VALUE"""),"DE541N1")</f>
        <v>DE541N1</v>
      </c>
      <c r="E1199" t="str">
        <f>IFERROR(__xludf.DUMMYFUNCTION("""COMPUTED_VALUE"""),"P1123")</f>
        <v>P1123</v>
      </c>
      <c r="F1199" t="str">
        <f t="array" ref="F1199">if(iserror(index(fish_lab_data!C:C,match(B1199,fish_lab_data!C:C,0))),"not dissected","dissected")</f>
        <v>dissected</v>
      </c>
    </row>
    <row r="1200">
      <c r="A1200" t="str">
        <f t="shared" si="1"/>
        <v>17230</v>
      </c>
      <c r="B1200" t="str">
        <f>IFERROR(__xludf.DUMMYFUNCTION("""COMPUTED_VALUE"""),"U17230")</f>
        <v>U17230</v>
      </c>
      <c r="C1200" t="str">
        <f>IFERROR(__xludf.DUMMYFUNCTION("""COMPUTED_VALUE"""),"PI")</f>
        <v>PI</v>
      </c>
      <c r="D1200" t="str">
        <f>IFERROR(__xludf.DUMMYFUNCTION("""COMPUTED_VALUE"""),"DE541N1")</f>
        <v>DE541N1</v>
      </c>
      <c r="E1200" t="str">
        <f>IFERROR(__xludf.DUMMYFUNCTION("""COMPUTED_VALUE"""),"P1123")</f>
        <v>P1123</v>
      </c>
      <c r="F1200" t="str">
        <f t="array" ref="F1200">if(iserror(index(fish_lab_data!C:C,match(B1200,fish_lab_data!C:C,0))),"not dissected","dissected")</f>
        <v>dissected</v>
      </c>
    </row>
    <row r="1201">
      <c r="A1201" t="str">
        <f t="shared" si="1"/>
        <v>17121</v>
      </c>
      <c r="B1201" t="str">
        <f>IFERROR(__xludf.DUMMYFUNCTION("""COMPUTED_VALUE"""),"U17121")</f>
        <v>U17121</v>
      </c>
      <c r="C1201" t="str">
        <f>IFERROR(__xludf.DUMMYFUNCTION("""COMPUTED_VALUE"""),"CU")</f>
        <v>CU</v>
      </c>
      <c r="D1201" t="str">
        <f>IFERROR(__xludf.DUMMYFUNCTION("""COMPUTED_VALUE"""),"DE541N1")</f>
        <v>DE541N1</v>
      </c>
      <c r="E1201" t="str">
        <f>IFERROR(__xludf.DUMMYFUNCTION("""COMPUTED_VALUE"""),"P1113")</f>
        <v>P1113</v>
      </c>
      <c r="F1201" t="str">
        <f t="array" ref="F1201">if(iserror(index(fish_lab_data!C:C,match(B1201,fish_lab_data!C:C,0))),"not dissected","dissected")</f>
        <v>dissected</v>
      </c>
    </row>
    <row r="1202">
      <c r="A1202" t="str">
        <f t="shared" si="1"/>
        <v>17122</v>
      </c>
      <c r="B1202" t="str">
        <f>IFERROR(__xludf.DUMMYFUNCTION("""COMPUTED_VALUE"""),"U17122")</f>
        <v>U17122</v>
      </c>
      <c r="C1202" t="str">
        <f>IFERROR(__xludf.DUMMYFUNCTION("""COMPUTED_VALUE"""),"CU")</f>
        <v>CU</v>
      </c>
      <c r="D1202" t="str">
        <f>IFERROR(__xludf.DUMMYFUNCTION("""COMPUTED_VALUE"""),"DE541N1")</f>
        <v>DE541N1</v>
      </c>
      <c r="E1202" t="str">
        <f>IFERROR(__xludf.DUMMYFUNCTION("""COMPUTED_VALUE"""),"P1113")</f>
        <v>P1113</v>
      </c>
      <c r="F1202" t="str">
        <f t="array" ref="F1202">if(iserror(index(fish_lab_data!C:C,match(B1202,fish_lab_data!C:C,0))),"not dissected","dissected")</f>
        <v>dissected</v>
      </c>
    </row>
    <row r="1203">
      <c r="A1203" t="str">
        <f t="shared" si="1"/>
        <v>17123</v>
      </c>
      <c r="B1203" t="str">
        <f>IFERROR(__xludf.DUMMYFUNCTION("""COMPUTED_VALUE"""),"U17123")</f>
        <v>U17123</v>
      </c>
      <c r="C1203" t="str">
        <f>IFERROR(__xludf.DUMMYFUNCTION("""COMPUTED_VALUE"""),"CU")</f>
        <v>CU</v>
      </c>
      <c r="D1203" t="str">
        <f>IFERROR(__xludf.DUMMYFUNCTION("""COMPUTED_VALUE"""),"DE541N1")</f>
        <v>DE541N1</v>
      </c>
      <c r="E1203" t="str">
        <f>IFERROR(__xludf.DUMMYFUNCTION("""COMPUTED_VALUE"""),"P1113")</f>
        <v>P1113</v>
      </c>
      <c r="F1203" t="str">
        <f t="array" ref="F1203">if(iserror(index(fish_lab_data!C:C,match(B1203,fish_lab_data!C:C,0))),"not dissected","dissected")</f>
        <v>dissected</v>
      </c>
    </row>
    <row r="1204">
      <c r="A1204" t="str">
        <f t="shared" si="1"/>
        <v>17124</v>
      </c>
      <c r="B1204" t="str">
        <f>IFERROR(__xludf.DUMMYFUNCTION("""COMPUTED_VALUE"""),"U17124")</f>
        <v>U17124</v>
      </c>
      <c r="C1204" t="str">
        <f>IFERROR(__xludf.DUMMYFUNCTION("""COMPUTED_VALUE"""),"CU")</f>
        <v>CU</v>
      </c>
      <c r="D1204" t="str">
        <f>IFERROR(__xludf.DUMMYFUNCTION("""COMPUTED_VALUE"""),"DE541N1")</f>
        <v>DE541N1</v>
      </c>
      <c r="E1204" t="str">
        <f>IFERROR(__xludf.DUMMYFUNCTION("""COMPUTED_VALUE"""),"P1113")</f>
        <v>P1113</v>
      </c>
      <c r="F1204" t="str">
        <f t="array" ref="F1204">if(iserror(index(fish_lab_data!C:C,match(B1204,fish_lab_data!C:C,0))),"not dissected","dissected")</f>
        <v>dissected</v>
      </c>
    </row>
    <row r="1205">
      <c r="A1205" t="str">
        <f t="shared" si="1"/>
        <v>17125</v>
      </c>
      <c r="B1205" t="str">
        <f>IFERROR(__xludf.DUMMYFUNCTION("""COMPUTED_VALUE"""),"U17125")</f>
        <v>U17125</v>
      </c>
      <c r="C1205" t="str">
        <f>IFERROR(__xludf.DUMMYFUNCTION("""COMPUTED_VALUE"""),"CU")</f>
        <v>CU</v>
      </c>
      <c r="D1205" t="str">
        <f>IFERROR(__xludf.DUMMYFUNCTION("""COMPUTED_VALUE"""),"DE541N1")</f>
        <v>DE541N1</v>
      </c>
      <c r="E1205" t="str">
        <f>IFERROR(__xludf.DUMMYFUNCTION("""COMPUTED_VALUE"""),"P1113")</f>
        <v>P1113</v>
      </c>
      <c r="F1205" t="str">
        <f t="array" ref="F1205">if(iserror(index(fish_lab_data!C:C,match(B1205,fish_lab_data!C:C,0))),"not dissected","dissected")</f>
        <v>dissected</v>
      </c>
    </row>
    <row r="1206">
      <c r="A1206" t="str">
        <f t="shared" si="1"/>
        <v>17126</v>
      </c>
      <c r="B1206" t="str">
        <f>IFERROR(__xludf.DUMMYFUNCTION("""COMPUTED_VALUE"""),"U17126")</f>
        <v>U17126</v>
      </c>
      <c r="C1206" t="str">
        <f>IFERROR(__xludf.DUMMYFUNCTION("""COMPUTED_VALUE"""),"CU")</f>
        <v>CU</v>
      </c>
      <c r="D1206" t="str">
        <f>IFERROR(__xludf.DUMMYFUNCTION("""COMPUTED_VALUE"""),"DE541N1")</f>
        <v>DE541N1</v>
      </c>
      <c r="E1206" t="str">
        <f>IFERROR(__xludf.DUMMYFUNCTION("""COMPUTED_VALUE"""),"P1113")</f>
        <v>P1113</v>
      </c>
      <c r="F1206" t="str">
        <f t="array" ref="F1206">if(iserror(index(fish_lab_data!C:C,match(B1206,fish_lab_data!C:C,0))),"not dissected","dissected")</f>
        <v>dissected</v>
      </c>
    </row>
    <row r="1207">
      <c r="A1207" t="str">
        <f t="shared" si="1"/>
        <v/>
      </c>
      <c r="B1207" t="str">
        <f>IFERROR(__xludf.DUMMYFUNCTION("""COMPUTED_VALUE"""),"")</f>
        <v/>
      </c>
      <c r="C1207" t="str">
        <f>IFERROR(__xludf.DUMMYFUNCTION("""COMPUTED_VALUE"""),"")</f>
        <v/>
      </c>
      <c r="D1207" t="str">
        <f>IFERROR(__xludf.DUMMYFUNCTION("""COMPUTED_VALUE"""),"")</f>
        <v/>
      </c>
      <c r="E1207" t="str">
        <f>IFERROR(__xludf.DUMMYFUNCTION("""COMPUTED_VALUE"""),"")</f>
        <v/>
      </c>
      <c r="F1207" t="str">
        <f t="array" ref="F1207">if(iserror(index(fish_lab_data!C:C,match(B1207,fish_lab_data!C:C,0))),"not dissected","dissected")</f>
        <v>not dissected</v>
      </c>
    </row>
    <row r="1208">
      <c r="A1208" t="str">
        <f t="shared" si="1"/>
        <v/>
      </c>
      <c r="B1208" t="str">
        <f>IFERROR(__xludf.DUMMYFUNCTION("""COMPUTED_VALUE"""),"")</f>
        <v/>
      </c>
      <c r="C1208" t="str">
        <f>IFERROR(__xludf.DUMMYFUNCTION("""COMPUTED_VALUE"""),"")</f>
        <v/>
      </c>
      <c r="D1208" t="str">
        <f>IFERROR(__xludf.DUMMYFUNCTION("""COMPUTED_VALUE"""),"")</f>
        <v/>
      </c>
      <c r="E1208" t="str">
        <f>IFERROR(__xludf.DUMMYFUNCTION("""COMPUTED_VALUE"""),"")</f>
        <v/>
      </c>
      <c r="F1208" t="str">
        <f t="array" ref="F1208">if(iserror(index(fish_lab_data!C:C,match(B1208,fish_lab_data!C:C,0))),"not dissected","dissected")</f>
        <v>not dissected</v>
      </c>
    </row>
    <row r="1209">
      <c r="A1209" t="str">
        <f t="shared" si="1"/>
        <v/>
      </c>
      <c r="B1209" t="str">
        <f>IFERROR(__xludf.DUMMYFUNCTION("""COMPUTED_VALUE"""),"")</f>
        <v/>
      </c>
      <c r="C1209" t="str">
        <f>IFERROR(__xludf.DUMMYFUNCTION("""COMPUTED_VALUE"""),"")</f>
        <v/>
      </c>
      <c r="D1209" t="str">
        <f>IFERROR(__xludf.DUMMYFUNCTION("""COMPUTED_VALUE"""),"")</f>
        <v/>
      </c>
      <c r="E1209" t="str">
        <f>IFERROR(__xludf.DUMMYFUNCTION("""COMPUTED_VALUE"""),"")</f>
        <v/>
      </c>
      <c r="F1209" t="str">
        <f t="array" ref="F1209">if(iserror(index(fish_lab_data!C:C,match(B1209,fish_lab_data!C:C,0))),"not dissected","dissected")</f>
        <v>not dissected</v>
      </c>
    </row>
    <row r="1210">
      <c r="A1210" t="str">
        <f t="shared" si="1"/>
        <v/>
      </c>
      <c r="B1210" t="str">
        <f>IFERROR(__xludf.DUMMYFUNCTION("""COMPUTED_VALUE"""),"")</f>
        <v/>
      </c>
      <c r="C1210" t="str">
        <f>IFERROR(__xludf.DUMMYFUNCTION("""COMPUTED_VALUE"""),"")</f>
        <v/>
      </c>
      <c r="D1210" t="str">
        <f>IFERROR(__xludf.DUMMYFUNCTION("""COMPUTED_VALUE"""),"")</f>
        <v/>
      </c>
      <c r="E1210" t="str">
        <f>IFERROR(__xludf.DUMMYFUNCTION("""COMPUTED_VALUE"""),"")</f>
        <v/>
      </c>
      <c r="F1210" t="str">
        <f t="array" ref="F1210">if(iserror(index(fish_lab_data!C:C,match(B1210,fish_lab_data!C:C,0))),"not dissected","dissected")</f>
        <v>not dissected</v>
      </c>
    </row>
    <row r="1211">
      <c r="A1211" t="str">
        <f t="shared" si="1"/>
        <v/>
      </c>
      <c r="B1211" t="str">
        <f>IFERROR(__xludf.DUMMYFUNCTION("""COMPUTED_VALUE"""),"")</f>
        <v/>
      </c>
      <c r="C1211" t="str">
        <f>IFERROR(__xludf.DUMMYFUNCTION("""COMPUTED_VALUE"""),"")</f>
        <v/>
      </c>
      <c r="D1211" t="str">
        <f>IFERROR(__xludf.DUMMYFUNCTION("""COMPUTED_VALUE"""),"")</f>
        <v/>
      </c>
      <c r="E1211" t="str">
        <f>IFERROR(__xludf.DUMMYFUNCTION("""COMPUTED_VALUE"""),"")</f>
        <v/>
      </c>
      <c r="F1211" t="str">
        <f t="array" ref="F1211">if(iserror(index(fish_lab_data!C:C,match(B1211,fish_lab_data!C:C,0))),"not dissected","dissected")</f>
        <v>not dissected</v>
      </c>
    </row>
    <row r="1212">
      <c r="A1212" t="str">
        <f t="shared" si="1"/>
        <v/>
      </c>
      <c r="B1212" t="str">
        <f>IFERROR(__xludf.DUMMYFUNCTION("""COMPUTED_VALUE"""),"")</f>
        <v/>
      </c>
      <c r="C1212" t="str">
        <f>IFERROR(__xludf.DUMMYFUNCTION("""COMPUTED_VALUE"""),"")</f>
        <v/>
      </c>
      <c r="D1212" t="str">
        <f>IFERROR(__xludf.DUMMYFUNCTION("""COMPUTED_VALUE"""),"")</f>
        <v/>
      </c>
      <c r="E1212" t="str">
        <f>IFERROR(__xludf.DUMMYFUNCTION("""COMPUTED_VALUE"""),"")</f>
        <v/>
      </c>
      <c r="F1212" t="str">
        <f t="array" ref="F1212">if(iserror(index(fish_lab_data!C:C,match(B1212,fish_lab_data!C:C,0))),"not dissected","dissected")</f>
        <v>not dissected</v>
      </c>
    </row>
    <row r="1213">
      <c r="A1213" t="str">
        <f t="shared" si="1"/>
        <v/>
      </c>
      <c r="B1213" t="str">
        <f>IFERROR(__xludf.DUMMYFUNCTION("""COMPUTED_VALUE"""),"")</f>
        <v/>
      </c>
      <c r="C1213" t="str">
        <f>IFERROR(__xludf.DUMMYFUNCTION("""COMPUTED_VALUE"""),"")</f>
        <v/>
      </c>
      <c r="D1213" t="str">
        <f>IFERROR(__xludf.DUMMYFUNCTION("""COMPUTED_VALUE"""),"")</f>
        <v/>
      </c>
      <c r="E1213" t="str">
        <f>IFERROR(__xludf.DUMMYFUNCTION("""COMPUTED_VALUE"""),"")</f>
        <v/>
      </c>
      <c r="F1213" t="str">
        <f t="array" ref="F1213">if(iserror(index(fish_lab_data!C:C,match(B1213,fish_lab_data!C:C,0))),"not dissected","dissected")</f>
        <v>not dissected</v>
      </c>
    </row>
    <row r="1214">
      <c r="A1214" t="str">
        <f t="shared" si="1"/>
        <v/>
      </c>
      <c r="B1214" t="str">
        <f>IFERROR(__xludf.DUMMYFUNCTION("""COMPUTED_VALUE"""),"")</f>
        <v/>
      </c>
      <c r="C1214" t="str">
        <f>IFERROR(__xludf.DUMMYFUNCTION("""COMPUTED_VALUE"""),"")</f>
        <v/>
      </c>
      <c r="D1214" t="str">
        <f>IFERROR(__xludf.DUMMYFUNCTION("""COMPUTED_VALUE"""),"")</f>
        <v/>
      </c>
      <c r="E1214" t="str">
        <f>IFERROR(__xludf.DUMMYFUNCTION("""COMPUTED_VALUE"""),"")</f>
        <v/>
      </c>
      <c r="F1214" t="str">
        <f t="array" ref="F1214">if(iserror(index(fish_lab_data!C:C,match(B1214,fish_lab_data!C:C,0))),"not dissected","dissected")</f>
        <v>not dissected</v>
      </c>
    </row>
    <row r="1215">
      <c r="A1215" t="str">
        <f t="shared" si="1"/>
        <v/>
      </c>
      <c r="B1215" t="str">
        <f>IFERROR(__xludf.DUMMYFUNCTION("""COMPUTED_VALUE"""),"")</f>
        <v/>
      </c>
      <c r="C1215" t="str">
        <f>IFERROR(__xludf.DUMMYFUNCTION("""COMPUTED_VALUE"""),"")</f>
        <v/>
      </c>
      <c r="D1215" t="str">
        <f>IFERROR(__xludf.DUMMYFUNCTION("""COMPUTED_VALUE"""),"")</f>
        <v/>
      </c>
      <c r="E1215" t="str">
        <f>IFERROR(__xludf.DUMMYFUNCTION("""COMPUTED_VALUE"""),"")</f>
        <v/>
      </c>
      <c r="F1215" t="str">
        <f t="array" ref="F1215">if(iserror(index(fish_lab_data!C:C,match(B1215,fish_lab_data!C:C,0))),"not dissected","dissected")</f>
        <v>not dissected</v>
      </c>
    </row>
    <row r="1216">
      <c r="A1216" t="str">
        <f t="shared" si="1"/>
        <v/>
      </c>
      <c r="B1216" t="str">
        <f>IFERROR(__xludf.DUMMYFUNCTION("""COMPUTED_VALUE"""),"")</f>
        <v/>
      </c>
      <c r="C1216" t="str">
        <f>IFERROR(__xludf.DUMMYFUNCTION("""COMPUTED_VALUE"""),"")</f>
        <v/>
      </c>
      <c r="D1216" t="str">
        <f>IFERROR(__xludf.DUMMYFUNCTION("""COMPUTED_VALUE"""),"")</f>
        <v/>
      </c>
      <c r="E1216" t="str">
        <f>IFERROR(__xludf.DUMMYFUNCTION("""COMPUTED_VALUE"""),"")</f>
        <v/>
      </c>
      <c r="F1216" t="str">
        <f t="array" ref="F1216">if(iserror(index(fish_lab_data!C:C,match(B1216,fish_lab_data!C:C,0))),"not dissected","dissected")</f>
        <v>not dissected</v>
      </c>
    </row>
    <row r="1217">
      <c r="A1217" t="str">
        <f t="shared" si="1"/>
        <v/>
      </c>
      <c r="B1217" t="str">
        <f>IFERROR(__xludf.DUMMYFUNCTION("""COMPUTED_VALUE"""),"")</f>
        <v/>
      </c>
      <c r="C1217" t="str">
        <f>IFERROR(__xludf.DUMMYFUNCTION("""COMPUTED_VALUE"""),"")</f>
        <v/>
      </c>
      <c r="D1217" t="str">
        <f>IFERROR(__xludf.DUMMYFUNCTION("""COMPUTED_VALUE"""),"")</f>
        <v/>
      </c>
      <c r="E1217" t="str">
        <f>IFERROR(__xludf.DUMMYFUNCTION("""COMPUTED_VALUE"""),"")</f>
        <v/>
      </c>
      <c r="F1217" t="str">
        <f t="array" ref="F1217">if(iserror(index(fish_lab_data!C:C,match(B1217,fish_lab_data!C:C,0))),"not dissected","dissected")</f>
        <v>not dissected</v>
      </c>
    </row>
    <row r="1218">
      <c r="A1218" t="str">
        <f t="shared" si="1"/>
        <v/>
      </c>
      <c r="B1218" t="str">
        <f>IFERROR(__xludf.DUMMYFUNCTION("""COMPUTED_VALUE"""),"")</f>
        <v/>
      </c>
      <c r="C1218" t="str">
        <f>IFERROR(__xludf.DUMMYFUNCTION("""COMPUTED_VALUE"""),"")</f>
        <v/>
      </c>
      <c r="D1218" t="str">
        <f>IFERROR(__xludf.DUMMYFUNCTION("""COMPUTED_VALUE"""),"")</f>
        <v/>
      </c>
      <c r="E1218" t="str">
        <f>IFERROR(__xludf.DUMMYFUNCTION("""COMPUTED_VALUE"""),"")</f>
        <v/>
      </c>
      <c r="F1218" t="str">
        <f t="array" ref="F1218">if(iserror(index(fish_lab_data!C:C,match(B1218,fish_lab_data!C:C,0))),"not dissected","dissected")</f>
        <v>not dissected</v>
      </c>
    </row>
    <row r="1219">
      <c r="A1219" t="str">
        <f t="shared" si="1"/>
        <v/>
      </c>
      <c r="B1219" t="str">
        <f>IFERROR(__xludf.DUMMYFUNCTION("""COMPUTED_VALUE"""),"")</f>
        <v/>
      </c>
      <c r="C1219" t="str">
        <f>IFERROR(__xludf.DUMMYFUNCTION("""COMPUTED_VALUE"""),"")</f>
        <v/>
      </c>
      <c r="D1219" t="str">
        <f>IFERROR(__xludf.DUMMYFUNCTION("""COMPUTED_VALUE"""),"")</f>
        <v/>
      </c>
      <c r="E1219" t="str">
        <f>IFERROR(__xludf.DUMMYFUNCTION("""COMPUTED_VALUE"""),"")</f>
        <v/>
      </c>
      <c r="F1219" t="str">
        <f t="array" ref="F1219">if(iserror(index(fish_lab_data!C:C,match(B1219,fish_lab_data!C:C,0))),"not dissected","dissected")</f>
        <v>not dissected</v>
      </c>
    </row>
    <row r="1220">
      <c r="A1220" t="str">
        <f t="shared" si="1"/>
        <v/>
      </c>
      <c r="B1220" t="str">
        <f>IFERROR(__xludf.DUMMYFUNCTION("""COMPUTED_VALUE"""),"")</f>
        <v/>
      </c>
      <c r="C1220" t="str">
        <f>IFERROR(__xludf.DUMMYFUNCTION("""COMPUTED_VALUE"""),"")</f>
        <v/>
      </c>
      <c r="D1220" t="str">
        <f>IFERROR(__xludf.DUMMYFUNCTION("""COMPUTED_VALUE"""),"")</f>
        <v/>
      </c>
      <c r="E1220" t="str">
        <f>IFERROR(__xludf.DUMMYFUNCTION("""COMPUTED_VALUE"""),"")</f>
        <v/>
      </c>
      <c r="F1220" t="str">
        <f t="array" ref="F1220">if(iserror(index(fish_lab_data!C:C,match(B1220,fish_lab_data!C:C,0))),"not dissected","dissected")</f>
        <v>not dissected</v>
      </c>
    </row>
    <row r="1221">
      <c r="A1221" t="str">
        <f t="shared" si="1"/>
        <v/>
      </c>
      <c r="B1221" t="str">
        <f>IFERROR(__xludf.DUMMYFUNCTION("""COMPUTED_VALUE"""),"")</f>
        <v/>
      </c>
      <c r="C1221" t="str">
        <f>IFERROR(__xludf.DUMMYFUNCTION("""COMPUTED_VALUE"""),"")</f>
        <v/>
      </c>
      <c r="D1221" t="str">
        <f>IFERROR(__xludf.DUMMYFUNCTION("""COMPUTED_VALUE"""),"")</f>
        <v/>
      </c>
      <c r="E1221" t="str">
        <f>IFERROR(__xludf.DUMMYFUNCTION("""COMPUTED_VALUE"""),"")</f>
        <v/>
      </c>
      <c r="F1221" t="str">
        <f t="array" ref="F1221">if(iserror(index(fish_lab_data!C:C,match(B1221,fish_lab_data!C:C,0))),"not dissected","dissected")</f>
        <v>not dissected</v>
      </c>
    </row>
    <row r="1222">
      <c r="A1222" t="str">
        <f t="shared" si="1"/>
        <v/>
      </c>
      <c r="B1222" t="str">
        <f>IFERROR(__xludf.DUMMYFUNCTION("""COMPUTED_VALUE"""),"")</f>
        <v/>
      </c>
      <c r="C1222" t="str">
        <f>IFERROR(__xludf.DUMMYFUNCTION("""COMPUTED_VALUE"""),"")</f>
        <v/>
      </c>
      <c r="D1222" t="str">
        <f>IFERROR(__xludf.DUMMYFUNCTION("""COMPUTED_VALUE"""),"")</f>
        <v/>
      </c>
      <c r="E1222" t="str">
        <f>IFERROR(__xludf.DUMMYFUNCTION("""COMPUTED_VALUE"""),"")</f>
        <v/>
      </c>
      <c r="F1222" t="str">
        <f t="array" ref="F1222">if(iserror(index(fish_lab_data!C:C,match(B1222,fish_lab_data!C:C,0))),"not dissected","dissected")</f>
        <v>not dissected</v>
      </c>
    </row>
    <row r="1223">
      <c r="A1223" t="str">
        <f t="shared" si="1"/>
        <v/>
      </c>
      <c r="B1223" t="str">
        <f>IFERROR(__xludf.DUMMYFUNCTION("""COMPUTED_VALUE"""),"")</f>
        <v/>
      </c>
      <c r="C1223" t="str">
        <f>IFERROR(__xludf.DUMMYFUNCTION("""COMPUTED_VALUE"""),"")</f>
        <v/>
      </c>
      <c r="D1223" t="str">
        <f>IFERROR(__xludf.DUMMYFUNCTION("""COMPUTED_VALUE"""),"")</f>
        <v/>
      </c>
      <c r="E1223" t="str">
        <f>IFERROR(__xludf.DUMMYFUNCTION("""COMPUTED_VALUE"""),"")</f>
        <v/>
      </c>
      <c r="F1223" t="str">
        <f t="array" ref="F1223">if(iserror(index(fish_lab_data!C:C,match(B1223,fish_lab_data!C:C,0))),"not dissected","dissected")</f>
        <v>not dissected</v>
      </c>
    </row>
    <row r="1224">
      <c r="A1224" t="str">
        <f t="shared" si="1"/>
        <v/>
      </c>
      <c r="B1224" t="str">
        <f>IFERROR(__xludf.DUMMYFUNCTION("""COMPUTED_VALUE"""),"")</f>
        <v/>
      </c>
      <c r="C1224" t="str">
        <f>IFERROR(__xludf.DUMMYFUNCTION("""COMPUTED_VALUE"""),"")</f>
        <v/>
      </c>
      <c r="D1224" t="str">
        <f>IFERROR(__xludf.DUMMYFUNCTION("""COMPUTED_VALUE"""),"")</f>
        <v/>
      </c>
      <c r="E1224" t="str">
        <f>IFERROR(__xludf.DUMMYFUNCTION("""COMPUTED_VALUE"""),"")</f>
        <v/>
      </c>
      <c r="F1224" t="str">
        <f t="array" ref="F1224">if(iserror(index(fish_lab_data!C:C,match(B1224,fish_lab_data!C:C,0))),"not dissected","dissected")</f>
        <v>not dissected</v>
      </c>
    </row>
    <row r="1225">
      <c r="A1225" t="str">
        <f t="shared" si="1"/>
        <v/>
      </c>
      <c r="B1225" t="str">
        <f>IFERROR(__xludf.DUMMYFUNCTION("""COMPUTED_VALUE"""),"")</f>
        <v/>
      </c>
      <c r="C1225" t="str">
        <f>IFERROR(__xludf.DUMMYFUNCTION("""COMPUTED_VALUE"""),"")</f>
        <v/>
      </c>
      <c r="D1225" t="str">
        <f>IFERROR(__xludf.DUMMYFUNCTION("""COMPUTED_VALUE"""),"")</f>
        <v/>
      </c>
      <c r="E1225" t="str">
        <f>IFERROR(__xludf.DUMMYFUNCTION("""COMPUTED_VALUE"""),"")</f>
        <v/>
      </c>
      <c r="F1225" t="str">
        <f t="array" ref="F1225">if(iserror(index(fish_lab_data!C:C,match(B1225,fish_lab_data!C:C,0))),"not dissected","dissected")</f>
        <v>not dissected</v>
      </c>
    </row>
    <row r="1226">
      <c r="A1226" t="str">
        <f t="shared" si="1"/>
        <v/>
      </c>
      <c r="B1226" t="str">
        <f>IFERROR(__xludf.DUMMYFUNCTION("""COMPUTED_VALUE"""),"")</f>
        <v/>
      </c>
      <c r="C1226" t="str">
        <f>IFERROR(__xludf.DUMMYFUNCTION("""COMPUTED_VALUE"""),"")</f>
        <v/>
      </c>
      <c r="D1226" t="str">
        <f>IFERROR(__xludf.DUMMYFUNCTION("""COMPUTED_VALUE"""),"")</f>
        <v/>
      </c>
      <c r="E1226" t="str">
        <f>IFERROR(__xludf.DUMMYFUNCTION("""COMPUTED_VALUE"""),"")</f>
        <v/>
      </c>
      <c r="F1226" t="str">
        <f t="array" ref="F1226">if(iserror(index(fish_lab_data!C:C,match(B1226,fish_lab_data!C:C,0))),"not dissected","dissected")</f>
        <v>not dissected</v>
      </c>
    </row>
    <row r="1227">
      <c r="A1227" t="str">
        <f t="shared" si="1"/>
        <v/>
      </c>
      <c r="B1227" t="str">
        <f>IFERROR(__xludf.DUMMYFUNCTION("""COMPUTED_VALUE"""),"")</f>
        <v/>
      </c>
      <c r="C1227" t="str">
        <f>IFERROR(__xludf.DUMMYFUNCTION("""COMPUTED_VALUE"""),"")</f>
        <v/>
      </c>
      <c r="D1227" t="str">
        <f>IFERROR(__xludf.DUMMYFUNCTION("""COMPUTED_VALUE"""),"")</f>
        <v/>
      </c>
      <c r="E1227" t="str">
        <f>IFERROR(__xludf.DUMMYFUNCTION("""COMPUTED_VALUE"""),"")</f>
        <v/>
      </c>
      <c r="F1227" t="str">
        <f t="array" ref="F1227">if(iserror(index(fish_lab_data!C:C,match(B1227,fish_lab_data!C:C,0))),"not dissected","dissected")</f>
        <v>not dissected</v>
      </c>
    </row>
    <row r="1228">
      <c r="A1228" t="str">
        <f t="shared" si="1"/>
        <v/>
      </c>
      <c r="B1228" t="str">
        <f>IFERROR(__xludf.DUMMYFUNCTION("""COMPUTED_VALUE"""),"")</f>
        <v/>
      </c>
      <c r="C1228" t="str">
        <f>IFERROR(__xludf.DUMMYFUNCTION("""COMPUTED_VALUE"""),"")</f>
        <v/>
      </c>
      <c r="D1228" t="str">
        <f>IFERROR(__xludf.DUMMYFUNCTION("""COMPUTED_VALUE"""),"")</f>
        <v/>
      </c>
      <c r="E1228" t="str">
        <f>IFERROR(__xludf.DUMMYFUNCTION("""COMPUTED_VALUE"""),"")</f>
        <v/>
      </c>
      <c r="F1228" t="str">
        <f t="array" ref="F1228">if(iserror(index(fish_lab_data!C:C,match(B1228,fish_lab_data!C:C,0))),"not dissected","dissected")</f>
        <v>not dissected</v>
      </c>
    </row>
    <row r="1229">
      <c r="A1229" t="str">
        <f t="shared" si="1"/>
        <v/>
      </c>
      <c r="B1229" t="str">
        <f>IFERROR(__xludf.DUMMYFUNCTION("""COMPUTED_VALUE"""),"")</f>
        <v/>
      </c>
      <c r="C1229" t="str">
        <f>IFERROR(__xludf.DUMMYFUNCTION("""COMPUTED_VALUE"""),"")</f>
        <v/>
      </c>
      <c r="D1229" t="str">
        <f>IFERROR(__xludf.DUMMYFUNCTION("""COMPUTED_VALUE"""),"")</f>
        <v/>
      </c>
      <c r="E1229" t="str">
        <f>IFERROR(__xludf.DUMMYFUNCTION("""COMPUTED_VALUE"""),"")</f>
        <v/>
      </c>
      <c r="F1229" t="str">
        <f t="array" ref="F1229">if(iserror(index(fish_lab_data!C:C,match(B1229,fish_lab_data!C:C,0))),"not dissected","dissected")</f>
        <v>not dissected</v>
      </c>
    </row>
    <row r="1230">
      <c r="A1230" t="str">
        <f t="shared" si="1"/>
        <v/>
      </c>
      <c r="B1230" t="str">
        <f>IFERROR(__xludf.DUMMYFUNCTION("""COMPUTED_VALUE"""),"")</f>
        <v/>
      </c>
      <c r="C1230" t="str">
        <f>IFERROR(__xludf.DUMMYFUNCTION("""COMPUTED_VALUE"""),"")</f>
        <v/>
      </c>
      <c r="D1230" t="str">
        <f>IFERROR(__xludf.DUMMYFUNCTION("""COMPUTED_VALUE"""),"")</f>
        <v/>
      </c>
      <c r="E1230" t="str">
        <f>IFERROR(__xludf.DUMMYFUNCTION("""COMPUTED_VALUE"""),"")</f>
        <v/>
      </c>
      <c r="F1230" t="str">
        <f t="array" ref="F1230">if(iserror(index(fish_lab_data!C:C,match(B1230,fish_lab_data!C:C,0))),"not dissected","dissected")</f>
        <v>not dissected</v>
      </c>
    </row>
    <row r="1231">
      <c r="A1231" t="str">
        <f t="shared" si="1"/>
        <v/>
      </c>
      <c r="B1231" t="str">
        <f>IFERROR(__xludf.DUMMYFUNCTION("""COMPUTED_VALUE"""),"")</f>
        <v/>
      </c>
      <c r="C1231" t="str">
        <f>IFERROR(__xludf.DUMMYFUNCTION("""COMPUTED_VALUE"""),"")</f>
        <v/>
      </c>
      <c r="D1231" t="str">
        <f>IFERROR(__xludf.DUMMYFUNCTION("""COMPUTED_VALUE"""),"")</f>
        <v/>
      </c>
      <c r="E1231" t="str">
        <f>IFERROR(__xludf.DUMMYFUNCTION("""COMPUTED_VALUE"""),"")</f>
        <v/>
      </c>
      <c r="F1231" t="str">
        <f t="array" ref="F1231">if(iserror(index(fish_lab_data!C:C,match(B1231,fish_lab_data!C:C,0))),"not dissected","dissected")</f>
        <v>not dissected</v>
      </c>
    </row>
    <row r="1232">
      <c r="A1232" t="str">
        <f t="shared" si="1"/>
        <v/>
      </c>
      <c r="B1232" t="str">
        <f>IFERROR(__xludf.DUMMYFUNCTION("""COMPUTED_VALUE"""),"")</f>
        <v/>
      </c>
      <c r="C1232" t="str">
        <f>IFERROR(__xludf.DUMMYFUNCTION("""COMPUTED_VALUE"""),"")</f>
        <v/>
      </c>
      <c r="D1232" t="str">
        <f>IFERROR(__xludf.DUMMYFUNCTION("""COMPUTED_VALUE"""),"")</f>
        <v/>
      </c>
      <c r="E1232" t="str">
        <f>IFERROR(__xludf.DUMMYFUNCTION("""COMPUTED_VALUE"""),"")</f>
        <v/>
      </c>
      <c r="F1232" t="str">
        <f t="array" ref="F1232">if(iserror(index(fish_lab_data!C:C,match(B1232,fish_lab_data!C:C,0))),"not dissected","dissected")</f>
        <v>not dissected</v>
      </c>
    </row>
    <row r="1233">
      <c r="A1233" t="str">
        <f t="shared" si="1"/>
        <v/>
      </c>
      <c r="B1233" t="str">
        <f>IFERROR(__xludf.DUMMYFUNCTION("""COMPUTED_VALUE"""),"")</f>
        <v/>
      </c>
      <c r="C1233" t="str">
        <f>IFERROR(__xludf.DUMMYFUNCTION("""COMPUTED_VALUE"""),"")</f>
        <v/>
      </c>
      <c r="D1233" t="str">
        <f>IFERROR(__xludf.DUMMYFUNCTION("""COMPUTED_VALUE"""),"")</f>
        <v/>
      </c>
      <c r="E1233" t="str">
        <f>IFERROR(__xludf.DUMMYFUNCTION("""COMPUTED_VALUE"""),"")</f>
        <v/>
      </c>
      <c r="F1233" t="str">
        <f t="array" ref="F1233">if(iserror(index(fish_lab_data!C:C,match(B1233,fish_lab_data!C:C,0))),"not dissected","dissected")</f>
        <v>not dissected</v>
      </c>
    </row>
    <row r="1234">
      <c r="A1234" t="str">
        <f t="shared" si="1"/>
        <v/>
      </c>
      <c r="B1234" t="str">
        <f>IFERROR(__xludf.DUMMYFUNCTION("""COMPUTED_VALUE"""),"")</f>
        <v/>
      </c>
      <c r="C1234" t="str">
        <f>IFERROR(__xludf.DUMMYFUNCTION("""COMPUTED_VALUE"""),"")</f>
        <v/>
      </c>
      <c r="D1234" t="str">
        <f>IFERROR(__xludf.DUMMYFUNCTION("""COMPUTED_VALUE"""),"")</f>
        <v/>
      </c>
      <c r="E1234" t="str">
        <f>IFERROR(__xludf.DUMMYFUNCTION("""COMPUTED_VALUE"""),"")</f>
        <v/>
      </c>
      <c r="F1234" t="str">
        <f t="array" ref="F1234">if(iserror(index(fish_lab_data!C:C,match(B1234,fish_lab_data!C:C,0))),"not dissected","dissected")</f>
        <v>not dissected</v>
      </c>
    </row>
    <row r="1235">
      <c r="A1235" t="str">
        <f t="shared" si="1"/>
        <v/>
      </c>
      <c r="B1235" t="str">
        <f>IFERROR(__xludf.DUMMYFUNCTION("""COMPUTED_VALUE"""),"")</f>
        <v/>
      </c>
      <c r="C1235" t="str">
        <f>IFERROR(__xludf.DUMMYFUNCTION("""COMPUTED_VALUE"""),"")</f>
        <v/>
      </c>
      <c r="D1235" t="str">
        <f>IFERROR(__xludf.DUMMYFUNCTION("""COMPUTED_VALUE"""),"")</f>
        <v/>
      </c>
      <c r="E1235" t="str">
        <f>IFERROR(__xludf.DUMMYFUNCTION("""COMPUTED_VALUE"""),"")</f>
        <v/>
      </c>
      <c r="F1235" t="str">
        <f t="array" ref="F1235">if(iserror(index(fish_lab_data!C:C,match(B1235,fish_lab_data!C:C,0))),"not dissected","dissected")</f>
        <v>not dissected</v>
      </c>
    </row>
    <row r="1236">
      <c r="A1236" t="str">
        <f t="shared" si="1"/>
        <v/>
      </c>
      <c r="B1236" t="str">
        <f>IFERROR(__xludf.DUMMYFUNCTION("""COMPUTED_VALUE"""),"")</f>
        <v/>
      </c>
      <c r="C1236" t="str">
        <f>IFERROR(__xludf.DUMMYFUNCTION("""COMPUTED_VALUE"""),"")</f>
        <v/>
      </c>
      <c r="D1236" t="str">
        <f>IFERROR(__xludf.DUMMYFUNCTION("""COMPUTED_VALUE"""),"")</f>
        <v/>
      </c>
      <c r="E1236" t="str">
        <f>IFERROR(__xludf.DUMMYFUNCTION("""COMPUTED_VALUE"""),"")</f>
        <v/>
      </c>
      <c r="F1236" t="str">
        <f t="array" ref="F1236">if(iserror(index(fish_lab_data!C:C,match(B1236,fish_lab_data!C:C,0))),"not dissected","dissected")</f>
        <v>not dissected</v>
      </c>
    </row>
    <row r="1237">
      <c r="A1237" t="str">
        <f t="shared" si="1"/>
        <v/>
      </c>
      <c r="B1237" t="str">
        <f>IFERROR(__xludf.DUMMYFUNCTION("""COMPUTED_VALUE"""),"")</f>
        <v/>
      </c>
      <c r="C1237" t="str">
        <f>IFERROR(__xludf.DUMMYFUNCTION("""COMPUTED_VALUE"""),"")</f>
        <v/>
      </c>
      <c r="D1237" t="str">
        <f>IFERROR(__xludf.DUMMYFUNCTION("""COMPUTED_VALUE"""),"")</f>
        <v/>
      </c>
      <c r="E1237" t="str">
        <f>IFERROR(__xludf.DUMMYFUNCTION("""COMPUTED_VALUE"""),"")</f>
        <v/>
      </c>
      <c r="F1237" t="str">
        <f t="array" ref="F1237">if(iserror(index(fish_lab_data!C:C,match(B1237,fish_lab_data!C:C,0))),"not dissected","dissected")</f>
        <v>not dissected</v>
      </c>
    </row>
    <row r="1238">
      <c r="A1238" t="str">
        <f t="shared" si="1"/>
        <v/>
      </c>
      <c r="B1238" t="str">
        <f>IFERROR(__xludf.DUMMYFUNCTION("""COMPUTED_VALUE"""),"")</f>
        <v/>
      </c>
      <c r="C1238" t="str">
        <f>IFERROR(__xludf.DUMMYFUNCTION("""COMPUTED_VALUE"""),"")</f>
        <v/>
      </c>
      <c r="D1238" t="str">
        <f>IFERROR(__xludf.DUMMYFUNCTION("""COMPUTED_VALUE"""),"")</f>
        <v/>
      </c>
      <c r="E1238" t="str">
        <f>IFERROR(__xludf.DUMMYFUNCTION("""COMPUTED_VALUE"""),"")</f>
        <v/>
      </c>
      <c r="F1238" t="str">
        <f t="array" ref="F1238">if(iserror(index(fish_lab_data!C:C,match(B1238,fish_lab_data!C:C,0))),"not dissected","dissected")</f>
        <v>not dissected</v>
      </c>
    </row>
    <row r="1239">
      <c r="A1239" t="str">
        <f t="shared" si="1"/>
        <v/>
      </c>
      <c r="B1239" t="str">
        <f>IFERROR(__xludf.DUMMYFUNCTION("""COMPUTED_VALUE"""),"")</f>
        <v/>
      </c>
      <c r="C1239" t="str">
        <f>IFERROR(__xludf.DUMMYFUNCTION("""COMPUTED_VALUE"""),"")</f>
        <v/>
      </c>
      <c r="D1239" t="str">
        <f>IFERROR(__xludf.DUMMYFUNCTION("""COMPUTED_VALUE"""),"")</f>
        <v/>
      </c>
      <c r="E1239" t="str">
        <f>IFERROR(__xludf.DUMMYFUNCTION("""COMPUTED_VALUE"""),"")</f>
        <v/>
      </c>
      <c r="F1239" t="str">
        <f t="array" ref="F1239">if(iserror(index(fish_lab_data!C:C,match(B1239,fish_lab_data!C:C,0))),"not dissected","dissected")</f>
        <v>not dissected</v>
      </c>
    </row>
    <row r="1240">
      <c r="A1240" t="str">
        <f t="shared" si="1"/>
        <v/>
      </c>
      <c r="B1240" t="str">
        <f>IFERROR(__xludf.DUMMYFUNCTION("""COMPUTED_VALUE"""),"")</f>
        <v/>
      </c>
      <c r="C1240" t="str">
        <f>IFERROR(__xludf.DUMMYFUNCTION("""COMPUTED_VALUE"""),"")</f>
        <v/>
      </c>
      <c r="D1240" t="str">
        <f>IFERROR(__xludf.DUMMYFUNCTION("""COMPUTED_VALUE"""),"")</f>
        <v/>
      </c>
      <c r="E1240" t="str">
        <f>IFERROR(__xludf.DUMMYFUNCTION("""COMPUTED_VALUE"""),"")</f>
        <v/>
      </c>
      <c r="F1240" t="str">
        <f t="array" ref="F1240">if(iserror(index(fish_lab_data!C:C,match(B1240,fish_lab_data!C:C,0))),"not dissected","dissected")</f>
        <v>not dissected</v>
      </c>
    </row>
    <row r="1241">
      <c r="A1241" t="str">
        <f t="shared" si="1"/>
        <v/>
      </c>
      <c r="B1241" t="str">
        <f>IFERROR(__xludf.DUMMYFUNCTION("""COMPUTED_VALUE"""),"")</f>
        <v/>
      </c>
      <c r="C1241" t="str">
        <f>IFERROR(__xludf.DUMMYFUNCTION("""COMPUTED_VALUE"""),"")</f>
        <v/>
      </c>
      <c r="D1241" t="str">
        <f>IFERROR(__xludf.DUMMYFUNCTION("""COMPUTED_VALUE"""),"")</f>
        <v/>
      </c>
      <c r="E1241" t="str">
        <f>IFERROR(__xludf.DUMMYFUNCTION("""COMPUTED_VALUE"""),"")</f>
        <v/>
      </c>
      <c r="F1241" t="str">
        <f t="array" ref="F1241">if(iserror(index(fish_lab_data!C:C,match(B1241,fish_lab_data!C:C,0))),"not dissected","dissected")</f>
        <v>not dissected</v>
      </c>
    </row>
    <row r="1242">
      <c r="A1242" t="str">
        <f t="shared" si="1"/>
        <v/>
      </c>
      <c r="B1242" t="str">
        <f>IFERROR(__xludf.DUMMYFUNCTION("""COMPUTED_VALUE"""),"")</f>
        <v/>
      </c>
      <c r="C1242" t="str">
        <f>IFERROR(__xludf.DUMMYFUNCTION("""COMPUTED_VALUE"""),"")</f>
        <v/>
      </c>
      <c r="D1242" t="str">
        <f>IFERROR(__xludf.DUMMYFUNCTION("""COMPUTED_VALUE"""),"")</f>
        <v/>
      </c>
      <c r="E1242" t="str">
        <f>IFERROR(__xludf.DUMMYFUNCTION("""COMPUTED_VALUE"""),"")</f>
        <v/>
      </c>
      <c r="F1242" t="str">
        <f t="array" ref="F1242">if(iserror(index(fish_lab_data!C:C,match(B1242,fish_lab_data!C:C,0))),"not dissected","dissected")</f>
        <v>not dissected</v>
      </c>
    </row>
    <row r="1243">
      <c r="A1243" t="str">
        <f t="shared" si="1"/>
        <v/>
      </c>
      <c r="B1243" t="str">
        <f>IFERROR(__xludf.DUMMYFUNCTION("""COMPUTED_VALUE"""),"")</f>
        <v/>
      </c>
      <c r="C1243" t="str">
        <f>IFERROR(__xludf.DUMMYFUNCTION("""COMPUTED_VALUE"""),"")</f>
        <v/>
      </c>
      <c r="D1243" t="str">
        <f>IFERROR(__xludf.DUMMYFUNCTION("""COMPUTED_VALUE"""),"")</f>
        <v/>
      </c>
      <c r="E1243" t="str">
        <f>IFERROR(__xludf.DUMMYFUNCTION("""COMPUTED_VALUE"""),"")</f>
        <v/>
      </c>
      <c r="F1243" t="str">
        <f t="array" ref="F1243">if(iserror(index(fish_lab_data!C:C,match(B1243,fish_lab_data!C:C,0))),"not dissected","dissected")</f>
        <v>not dissected</v>
      </c>
    </row>
    <row r="1244">
      <c r="A1244" t="str">
        <f t="shared" si="1"/>
        <v/>
      </c>
      <c r="B1244" t="str">
        <f>IFERROR(__xludf.DUMMYFUNCTION("""COMPUTED_VALUE"""),"")</f>
        <v/>
      </c>
      <c r="C1244" t="str">
        <f>IFERROR(__xludf.DUMMYFUNCTION("""COMPUTED_VALUE"""),"")</f>
        <v/>
      </c>
      <c r="D1244" t="str">
        <f>IFERROR(__xludf.DUMMYFUNCTION("""COMPUTED_VALUE"""),"")</f>
        <v/>
      </c>
      <c r="E1244" t="str">
        <f>IFERROR(__xludf.DUMMYFUNCTION("""COMPUTED_VALUE"""),"")</f>
        <v/>
      </c>
      <c r="F1244" t="str">
        <f t="array" ref="F1244">if(iserror(index(fish_lab_data!C:C,match(B1244,fish_lab_data!C:C,0))),"not dissected","dissected")</f>
        <v>not dissected</v>
      </c>
    </row>
    <row r="1245">
      <c r="A1245" t="str">
        <f t="shared" si="1"/>
        <v/>
      </c>
      <c r="B1245" t="str">
        <f>IFERROR(__xludf.DUMMYFUNCTION("""COMPUTED_VALUE"""),"")</f>
        <v/>
      </c>
      <c r="C1245" t="str">
        <f>IFERROR(__xludf.DUMMYFUNCTION("""COMPUTED_VALUE"""),"")</f>
        <v/>
      </c>
      <c r="D1245" t="str">
        <f>IFERROR(__xludf.DUMMYFUNCTION("""COMPUTED_VALUE"""),"")</f>
        <v/>
      </c>
      <c r="E1245" t="str">
        <f>IFERROR(__xludf.DUMMYFUNCTION("""COMPUTED_VALUE"""),"")</f>
        <v/>
      </c>
      <c r="F1245" t="str">
        <f t="array" ref="F1245">if(iserror(index(fish_lab_data!C:C,match(B1245,fish_lab_data!C:C,0))),"not dissected","dissected")</f>
        <v>not dissected</v>
      </c>
    </row>
    <row r="1246">
      <c r="A1246" t="str">
        <f t="shared" si="1"/>
        <v/>
      </c>
      <c r="B1246" t="str">
        <f>IFERROR(__xludf.DUMMYFUNCTION("""COMPUTED_VALUE"""),"")</f>
        <v/>
      </c>
      <c r="C1246" t="str">
        <f>IFERROR(__xludf.DUMMYFUNCTION("""COMPUTED_VALUE"""),"")</f>
        <v/>
      </c>
      <c r="D1246" t="str">
        <f>IFERROR(__xludf.DUMMYFUNCTION("""COMPUTED_VALUE"""),"")</f>
        <v/>
      </c>
      <c r="E1246" t="str">
        <f>IFERROR(__xludf.DUMMYFUNCTION("""COMPUTED_VALUE"""),"")</f>
        <v/>
      </c>
      <c r="F1246" t="str">
        <f t="array" ref="F1246">if(iserror(index(fish_lab_data!C:C,match(B1246,fish_lab_data!C:C,0))),"not dissected","dissected")</f>
        <v>not dissected</v>
      </c>
    </row>
    <row r="1247">
      <c r="A1247" t="str">
        <f t="shared" si="1"/>
        <v/>
      </c>
      <c r="B1247" t="str">
        <f>IFERROR(__xludf.DUMMYFUNCTION("""COMPUTED_VALUE"""),"")</f>
        <v/>
      </c>
      <c r="C1247" t="str">
        <f>IFERROR(__xludf.DUMMYFUNCTION("""COMPUTED_VALUE"""),"")</f>
        <v/>
      </c>
      <c r="D1247" t="str">
        <f>IFERROR(__xludf.DUMMYFUNCTION("""COMPUTED_VALUE"""),"")</f>
        <v/>
      </c>
      <c r="E1247" t="str">
        <f>IFERROR(__xludf.DUMMYFUNCTION("""COMPUTED_VALUE"""),"")</f>
        <v/>
      </c>
      <c r="F1247" t="str">
        <f t="array" ref="F1247">if(iserror(index(fish_lab_data!C:C,match(B1247,fish_lab_data!C:C,0))),"not dissected","dissected")</f>
        <v>not dissected</v>
      </c>
    </row>
    <row r="1248">
      <c r="A1248" t="str">
        <f t="shared" si="1"/>
        <v/>
      </c>
      <c r="B1248" t="str">
        <f>IFERROR(__xludf.DUMMYFUNCTION("""COMPUTED_VALUE"""),"")</f>
        <v/>
      </c>
      <c r="C1248" t="str">
        <f>IFERROR(__xludf.DUMMYFUNCTION("""COMPUTED_VALUE"""),"")</f>
        <v/>
      </c>
      <c r="D1248" t="str">
        <f>IFERROR(__xludf.DUMMYFUNCTION("""COMPUTED_VALUE"""),"")</f>
        <v/>
      </c>
      <c r="E1248" t="str">
        <f>IFERROR(__xludf.DUMMYFUNCTION("""COMPUTED_VALUE"""),"")</f>
        <v/>
      </c>
      <c r="F1248" t="str">
        <f t="array" ref="F1248">if(iserror(index(fish_lab_data!C:C,match(B1248,fish_lab_data!C:C,0))),"not dissected","dissected")</f>
        <v>not dissected</v>
      </c>
    </row>
    <row r="1249">
      <c r="A1249" t="str">
        <f t="shared" si="1"/>
        <v/>
      </c>
      <c r="B1249" t="str">
        <f>IFERROR(__xludf.DUMMYFUNCTION("""COMPUTED_VALUE"""),"")</f>
        <v/>
      </c>
      <c r="C1249" t="str">
        <f>IFERROR(__xludf.DUMMYFUNCTION("""COMPUTED_VALUE"""),"")</f>
        <v/>
      </c>
      <c r="D1249" t="str">
        <f>IFERROR(__xludf.DUMMYFUNCTION("""COMPUTED_VALUE"""),"")</f>
        <v/>
      </c>
      <c r="E1249" t="str">
        <f>IFERROR(__xludf.DUMMYFUNCTION("""COMPUTED_VALUE"""),"")</f>
        <v/>
      </c>
      <c r="F1249" t="str">
        <f t="array" ref="F1249">if(iserror(index(fish_lab_data!C:C,match(B1249,fish_lab_data!C:C,0))),"not dissected","dissected")</f>
        <v>not dissected</v>
      </c>
    </row>
    <row r="1250">
      <c r="A1250" t="str">
        <f t="shared" si="1"/>
        <v/>
      </c>
      <c r="B1250" t="str">
        <f>IFERROR(__xludf.DUMMYFUNCTION("""COMPUTED_VALUE"""),"")</f>
        <v/>
      </c>
      <c r="C1250" t="str">
        <f>IFERROR(__xludf.DUMMYFUNCTION("""COMPUTED_VALUE"""),"")</f>
        <v/>
      </c>
      <c r="D1250" t="str">
        <f>IFERROR(__xludf.DUMMYFUNCTION("""COMPUTED_VALUE"""),"")</f>
        <v/>
      </c>
      <c r="E1250" t="str">
        <f>IFERROR(__xludf.DUMMYFUNCTION("""COMPUTED_VALUE"""),"")</f>
        <v/>
      </c>
      <c r="F1250" t="str">
        <f t="array" ref="F1250">if(iserror(index(fish_lab_data!C:C,match(B1250,fish_lab_data!C:C,0))),"not dissected","dissected")</f>
        <v>not dissected</v>
      </c>
    </row>
    <row r="1251">
      <c r="A1251" t="str">
        <f t="shared" si="1"/>
        <v/>
      </c>
      <c r="B1251" t="str">
        <f>IFERROR(__xludf.DUMMYFUNCTION("""COMPUTED_VALUE"""),"")</f>
        <v/>
      </c>
      <c r="C1251" t="str">
        <f>IFERROR(__xludf.DUMMYFUNCTION("""COMPUTED_VALUE"""),"")</f>
        <v/>
      </c>
      <c r="D1251" t="str">
        <f>IFERROR(__xludf.DUMMYFUNCTION("""COMPUTED_VALUE"""),"")</f>
        <v/>
      </c>
      <c r="E1251" t="str">
        <f>IFERROR(__xludf.DUMMYFUNCTION("""COMPUTED_VALUE"""),"")</f>
        <v/>
      </c>
      <c r="F1251" t="str">
        <f t="array" ref="F1251">if(iserror(index(fish_lab_data!C:C,match(B1251,fish_lab_data!C:C,0))),"not dissected","dissected")</f>
        <v>not dissected</v>
      </c>
    </row>
    <row r="1252">
      <c r="A1252" t="str">
        <f t="shared" si="1"/>
        <v/>
      </c>
      <c r="B1252" t="str">
        <f>IFERROR(__xludf.DUMMYFUNCTION("""COMPUTED_VALUE"""),"")</f>
        <v/>
      </c>
      <c r="C1252" t="str">
        <f>IFERROR(__xludf.DUMMYFUNCTION("""COMPUTED_VALUE"""),"")</f>
        <v/>
      </c>
      <c r="D1252" t="str">
        <f>IFERROR(__xludf.DUMMYFUNCTION("""COMPUTED_VALUE"""),"")</f>
        <v/>
      </c>
      <c r="E1252" t="str">
        <f>IFERROR(__xludf.DUMMYFUNCTION("""COMPUTED_VALUE"""),"")</f>
        <v/>
      </c>
      <c r="F1252" t="str">
        <f t="array" ref="F1252">if(iserror(index(fish_lab_data!C:C,match(B1252,fish_lab_data!C:C,0))),"not dissected","dissected")</f>
        <v>not dissected</v>
      </c>
    </row>
    <row r="1253">
      <c r="A1253" t="str">
        <f t="shared" si="1"/>
        <v/>
      </c>
      <c r="B1253" t="str">
        <f>IFERROR(__xludf.DUMMYFUNCTION("""COMPUTED_VALUE"""),"")</f>
        <v/>
      </c>
      <c r="C1253" t="str">
        <f>IFERROR(__xludf.DUMMYFUNCTION("""COMPUTED_VALUE"""),"")</f>
        <v/>
      </c>
      <c r="D1253" t="str">
        <f>IFERROR(__xludf.DUMMYFUNCTION("""COMPUTED_VALUE"""),"")</f>
        <v/>
      </c>
      <c r="E1253" t="str">
        <f>IFERROR(__xludf.DUMMYFUNCTION("""COMPUTED_VALUE"""),"")</f>
        <v/>
      </c>
      <c r="F1253" t="str">
        <f t="array" ref="F1253">if(iserror(index(fish_lab_data!C:C,match(B1253,fish_lab_data!C:C,0))),"not dissected","dissected")</f>
        <v>not dissected</v>
      </c>
    </row>
    <row r="1254">
      <c r="A1254" t="str">
        <f t="shared" si="1"/>
        <v/>
      </c>
      <c r="B1254" t="str">
        <f>IFERROR(__xludf.DUMMYFUNCTION("""COMPUTED_VALUE"""),"")</f>
        <v/>
      </c>
      <c r="C1254" t="str">
        <f>IFERROR(__xludf.DUMMYFUNCTION("""COMPUTED_VALUE"""),"")</f>
        <v/>
      </c>
      <c r="D1254" t="str">
        <f>IFERROR(__xludf.DUMMYFUNCTION("""COMPUTED_VALUE"""),"")</f>
        <v/>
      </c>
      <c r="E1254" t="str">
        <f>IFERROR(__xludf.DUMMYFUNCTION("""COMPUTED_VALUE"""),"")</f>
        <v/>
      </c>
      <c r="F1254" t="str">
        <f t="array" ref="F1254">if(iserror(index(fish_lab_data!C:C,match(B1254,fish_lab_data!C:C,0))),"not dissected","dissected")</f>
        <v>not dissected</v>
      </c>
    </row>
    <row r="1255">
      <c r="A1255" t="str">
        <f t="shared" si="1"/>
        <v/>
      </c>
      <c r="B1255" t="str">
        <f>IFERROR(__xludf.DUMMYFUNCTION("""COMPUTED_VALUE"""),"")</f>
        <v/>
      </c>
      <c r="C1255" t="str">
        <f>IFERROR(__xludf.DUMMYFUNCTION("""COMPUTED_VALUE"""),"")</f>
        <v/>
      </c>
      <c r="D1255" t="str">
        <f>IFERROR(__xludf.DUMMYFUNCTION("""COMPUTED_VALUE"""),"")</f>
        <v/>
      </c>
      <c r="E1255" t="str">
        <f>IFERROR(__xludf.DUMMYFUNCTION("""COMPUTED_VALUE"""),"")</f>
        <v/>
      </c>
      <c r="F1255" t="str">
        <f t="array" ref="F1255">if(iserror(index(fish_lab_data!C:C,match(B1255,fish_lab_data!C:C,0))),"not dissected","dissected")</f>
        <v>not dissected</v>
      </c>
    </row>
    <row r="1256">
      <c r="A1256" t="str">
        <f t="shared" si="1"/>
        <v/>
      </c>
      <c r="B1256" t="str">
        <f>IFERROR(__xludf.DUMMYFUNCTION("""COMPUTED_VALUE"""),"")</f>
        <v/>
      </c>
      <c r="C1256" t="str">
        <f>IFERROR(__xludf.DUMMYFUNCTION("""COMPUTED_VALUE"""),"")</f>
        <v/>
      </c>
      <c r="D1256" t="str">
        <f>IFERROR(__xludf.DUMMYFUNCTION("""COMPUTED_VALUE"""),"")</f>
        <v/>
      </c>
      <c r="E1256" t="str">
        <f>IFERROR(__xludf.DUMMYFUNCTION("""COMPUTED_VALUE"""),"")</f>
        <v/>
      </c>
      <c r="F1256" t="str">
        <f t="array" ref="F1256">if(iserror(index(fish_lab_data!C:C,match(B1256,fish_lab_data!C:C,0))),"not dissected","dissected")</f>
        <v>not dissected</v>
      </c>
    </row>
    <row r="1257">
      <c r="A1257" t="str">
        <f t="shared" si="1"/>
        <v/>
      </c>
      <c r="B1257" t="str">
        <f>IFERROR(__xludf.DUMMYFUNCTION("""COMPUTED_VALUE"""),"")</f>
        <v/>
      </c>
      <c r="C1257" t="str">
        <f>IFERROR(__xludf.DUMMYFUNCTION("""COMPUTED_VALUE"""),"")</f>
        <v/>
      </c>
      <c r="D1257" t="str">
        <f>IFERROR(__xludf.DUMMYFUNCTION("""COMPUTED_VALUE"""),"")</f>
        <v/>
      </c>
      <c r="E1257" t="str">
        <f>IFERROR(__xludf.DUMMYFUNCTION("""COMPUTED_VALUE"""),"")</f>
        <v/>
      </c>
      <c r="F1257" t="str">
        <f t="array" ref="F1257">if(iserror(index(fish_lab_data!C:C,match(B1257,fish_lab_data!C:C,0))),"not dissected","dissected")</f>
        <v>not dissected</v>
      </c>
    </row>
    <row r="1258">
      <c r="A1258" t="str">
        <f t="shared" si="1"/>
        <v/>
      </c>
      <c r="B1258" t="str">
        <f>IFERROR(__xludf.DUMMYFUNCTION("""COMPUTED_VALUE"""),"")</f>
        <v/>
      </c>
      <c r="C1258" t="str">
        <f>IFERROR(__xludf.DUMMYFUNCTION("""COMPUTED_VALUE"""),"")</f>
        <v/>
      </c>
      <c r="D1258" t="str">
        <f>IFERROR(__xludf.DUMMYFUNCTION("""COMPUTED_VALUE"""),"")</f>
        <v/>
      </c>
      <c r="E1258" t="str">
        <f>IFERROR(__xludf.DUMMYFUNCTION("""COMPUTED_VALUE"""),"")</f>
        <v/>
      </c>
      <c r="F1258" t="str">
        <f t="array" ref="F1258">if(iserror(index(fish_lab_data!C:C,match(B1258,fish_lab_data!C:C,0))),"not dissected","dissected")</f>
        <v>not dissected</v>
      </c>
    </row>
    <row r="1259">
      <c r="A1259" t="str">
        <f t="shared" si="1"/>
        <v/>
      </c>
      <c r="B1259" t="str">
        <f>IFERROR(__xludf.DUMMYFUNCTION("""COMPUTED_VALUE"""),"")</f>
        <v/>
      </c>
      <c r="C1259" t="str">
        <f>IFERROR(__xludf.DUMMYFUNCTION("""COMPUTED_VALUE"""),"")</f>
        <v/>
      </c>
      <c r="D1259" t="str">
        <f>IFERROR(__xludf.DUMMYFUNCTION("""COMPUTED_VALUE"""),"")</f>
        <v/>
      </c>
      <c r="E1259" t="str">
        <f>IFERROR(__xludf.DUMMYFUNCTION("""COMPUTED_VALUE"""),"")</f>
        <v/>
      </c>
      <c r="F1259" t="str">
        <f t="array" ref="F1259">if(iserror(index(fish_lab_data!C:C,match(B1259,fish_lab_data!C:C,0))),"not dissected","dissected")</f>
        <v>not dissected</v>
      </c>
    </row>
    <row r="1260">
      <c r="A1260" t="str">
        <f t="shared" si="1"/>
        <v/>
      </c>
      <c r="B1260" t="str">
        <f>IFERROR(__xludf.DUMMYFUNCTION("""COMPUTED_VALUE"""),"")</f>
        <v/>
      </c>
      <c r="C1260" t="str">
        <f>IFERROR(__xludf.DUMMYFUNCTION("""COMPUTED_VALUE"""),"")</f>
        <v/>
      </c>
      <c r="D1260" t="str">
        <f>IFERROR(__xludf.DUMMYFUNCTION("""COMPUTED_VALUE"""),"")</f>
        <v/>
      </c>
      <c r="E1260" t="str">
        <f>IFERROR(__xludf.DUMMYFUNCTION("""COMPUTED_VALUE"""),"")</f>
        <v/>
      </c>
      <c r="F1260" t="str">
        <f t="array" ref="F1260">if(iserror(index(fish_lab_data!C:C,match(B1260,fish_lab_data!C:C,0))),"not dissected","dissected")</f>
        <v>not dissected</v>
      </c>
    </row>
    <row r="1261">
      <c r="A1261" t="str">
        <f t="shared" si="1"/>
        <v/>
      </c>
      <c r="B1261" t="str">
        <f>IFERROR(__xludf.DUMMYFUNCTION("""COMPUTED_VALUE"""),"")</f>
        <v/>
      </c>
      <c r="C1261" t="str">
        <f>IFERROR(__xludf.DUMMYFUNCTION("""COMPUTED_VALUE"""),"")</f>
        <v/>
      </c>
      <c r="D1261" t="str">
        <f>IFERROR(__xludf.DUMMYFUNCTION("""COMPUTED_VALUE"""),"")</f>
        <v/>
      </c>
      <c r="E1261" t="str">
        <f>IFERROR(__xludf.DUMMYFUNCTION("""COMPUTED_VALUE"""),"")</f>
        <v/>
      </c>
      <c r="F1261" t="str">
        <f t="array" ref="F1261">if(iserror(index(fish_lab_data!C:C,match(B1261,fish_lab_data!C:C,0))),"not dissected","dissected")</f>
        <v>not dissected</v>
      </c>
    </row>
    <row r="1262">
      <c r="A1262" t="str">
        <f t="shared" si="1"/>
        <v/>
      </c>
      <c r="B1262" t="str">
        <f>IFERROR(__xludf.DUMMYFUNCTION("""COMPUTED_VALUE"""),"")</f>
        <v/>
      </c>
      <c r="C1262" t="str">
        <f>IFERROR(__xludf.DUMMYFUNCTION("""COMPUTED_VALUE"""),"")</f>
        <v/>
      </c>
      <c r="D1262" t="str">
        <f>IFERROR(__xludf.DUMMYFUNCTION("""COMPUTED_VALUE"""),"")</f>
        <v/>
      </c>
      <c r="E1262" t="str">
        <f>IFERROR(__xludf.DUMMYFUNCTION("""COMPUTED_VALUE"""),"")</f>
        <v/>
      </c>
      <c r="F1262" t="str">
        <f t="array" ref="F1262">if(iserror(index(fish_lab_data!C:C,match(B1262,fish_lab_data!C:C,0))),"not dissected","dissected")</f>
        <v>not dissected</v>
      </c>
    </row>
    <row r="1263">
      <c r="A1263" t="str">
        <f t="shared" si="1"/>
        <v/>
      </c>
      <c r="B1263" t="str">
        <f>IFERROR(__xludf.DUMMYFUNCTION("""COMPUTED_VALUE"""),"")</f>
        <v/>
      </c>
      <c r="C1263" t="str">
        <f>IFERROR(__xludf.DUMMYFUNCTION("""COMPUTED_VALUE"""),"")</f>
        <v/>
      </c>
      <c r="D1263" t="str">
        <f>IFERROR(__xludf.DUMMYFUNCTION("""COMPUTED_VALUE"""),"")</f>
        <v/>
      </c>
      <c r="E1263" t="str">
        <f>IFERROR(__xludf.DUMMYFUNCTION("""COMPUTED_VALUE"""),"")</f>
        <v/>
      </c>
      <c r="F1263" t="str">
        <f t="array" ref="F1263">if(iserror(index(fish_lab_data!C:C,match(B1263,fish_lab_data!C:C,0))),"not dissected","dissected")</f>
        <v>not dissected</v>
      </c>
    </row>
    <row r="1264">
      <c r="A1264" t="str">
        <f t="shared" si="1"/>
        <v/>
      </c>
      <c r="B1264" t="str">
        <f>IFERROR(__xludf.DUMMYFUNCTION("""COMPUTED_VALUE"""),"")</f>
        <v/>
      </c>
      <c r="C1264" t="str">
        <f>IFERROR(__xludf.DUMMYFUNCTION("""COMPUTED_VALUE"""),"")</f>
        <v/>
      </c>
      <c r="D1264" t="str">
        <f>IFERROR(__xludf.DUMMYFUNCTION("""COMPUTED_VALUE"""),"")</f>
        <v/>
      </c>
      <c r="E1264" t="str">
        <f>IFERROR(__xludf.DUMMYFUNCTION("""COMPUTED_VALUE"""),"")</f>
        <v/>
      </c>
      <c r="F1264" t="str">
        <f t="array" ref="F1264">if(iserror(index(fish_lab_data!C:C,match(B1264,fish_lab_data!C:C,0))),"not dissected","dissected")</f>
        <v>not dissected</v>
      </c>
    </row>
    <row r="1265">
      <c r="A1265" t="str">
        <f t="shared" si="1"/>
        <v/>
      </c>
      <c r="B1265" t="str">
        <f>IFERROR(__xludf.DUMMYFUNCTION("""COMPUTED_VALUE"""),"")</f>
        <v/>
      </c>
      <c r="C1265" t="str">
        <f>IFERROR(__xludf.DUMMYFUNCTION("""COMPUTED_VALUE"""),"")</f>
        <v/>
      </c>
      <c r="D1265" t="str">
        <f>IFERROR(__xludf.DUMMYFUNCTION("""COMPUTED_VALUE"""),"")</f>
        <v/>
      </c>
      <c r="E1265" t="str">
        <f>IFERROR(__xludf.DUMMYFUNCTION("""COMPUTED_VALUE"""),"")</f>
        <v/>
      </c>
      <c r="F1265" t="str">
        <f t="array" ref="F1265">if(iserror(index(fish_lab_data!C:C,match(B1265,fish_lab_data!C:C,0))),"not dissected","dissected")</f>
        <v>not dissected</v>
      </c>
    </row>
    <row r="1266">
      <c r="A1266" t="str">
        <f t="shared" si="1"/>
        <v/>
      </c>
      <c r="B1266" t="str">
        <f>IFERROR(__xludf.DUMMYFUNCTION("""COMPUTED_VALUE"""),"")</f>
        <v/>
      </c>
      <c r="C1266" t="str">
        <f>IFERROR(__xludf.DUMMYFUNCTION("""COMPUTED_VALUE"""),"")</f>
        <v/>
      </c>
      <c r="D1266" t="str">
        <f>IFERROR(__xludf.DUMMYFUNCTION("""COMPUTED_VALUE"""),"")</f>
        <v/>
      </c>
      <c r="E1266" t="str">
        <f>IFERROR(__xludf.DUMMYFUNCTION("""COMPUTED_VALUE"""),"")</f>
        <v/>
      </c>
      <c r="F1266" t="str">
        <f t="array" ref="F1266">if(iserror(index(fish_lab_data!C:C,match(B1266,fish_lab_data!C:C,0))),"not dissected","dissected")</f>
        <v>not dissected</v>
      </c>
    </row>
    <row r="1267">
      <c r="A1267" t="str">
        <f t="shared" si="1"/>
        <v/>
      </c>
      <c r="B1267" t="str">
        <f>IFERROR(__xludf.DUMMYFUNCTION("""COMPUTED_VALUE"""),"")</f>
        <v/>
      </c>
      <c r="C1267" t="str">
        <f>IFERROR(__xludf.DUMMYFUNCTION("""COMPUTED_VALUE"""),"")</f>
        <v/>
      </c>
      <c r="D1267" t="str">
        <f>IFERROR(__xludf.DUMMYFUNCTION("""COMPUTED_VALUE"""),"")</f>
        <v/>
      </c>
      <c r="E1267" t="str">
        <f>IFERROR(__xludf.DUMMYFUNCTION("""COMPUTED_VALUE"""),"")</f>
        <v/>
      </c>
      <c r="F1267" t="str">
        <f t="array" ref="F1267">if(iserror(index(fish_lab_data!C:C,match(B1267,fish_lab_data!C:C,0))),"not dissected","dissected")</f>
        <v>not dissected</v>
      </c>
    </row>
    <row r="1268">
      <c r="A1268" t="str">
        <f t="shared" si="1"/>
        <v/>
      </c>
      <c r="B1268" t="str">
        <f>IFERROR(__xludf.DUMMYFUNCTION("""COMPUTED_VALUE"""),"")</f>
        <v/>
      </c>
      <c r="C1268" t="str">
        <f>IFERROR(__xludf.DUMMYFUNCTION("""COMPUTED_VALUE"""),"")</f>
        <v/>
      </c>
      <c r="D1268" t="str">
        <f>IFERROR(__xludf.DUMMYFUNCTION("""COMPUTED_VALUE"""),"")</f>
        <v/>
      </c>
      <c r="E1268" t="str">
        <f>IFERROR(__xludf.DUMMYFUNCTION("""COMPUTED_VALUE"""),"")</f>
        <v/>
      </c>
      <c r="F1268" t="str">
        <f t="array" ref="F1268">if(iserror(index(fish_lab_data!C:C,match(B1268,fish_lab_data!C:C,0))),"not dissected","dissected")</f>
        <v>not dissected</v>
      </c>
    </row>
    <row r="1269">
      <c r="A1269" t="str">
        <f t="shared" si="1"/>
        <v/>
      </c>
      <c r="B1269" t="str">
        <f>IFERROR(__xludf.DUMMYFUNCTION("""COMPUTED_VALUE"""),"")</f>
        <v/>
      </c>
      <c r="C1269" t="str">
        <f>IFERROR(__xludf.DUMMYFUNCTION("""COMPUTED_VALUE"""),"")</f>
        <v/>
      </c>
      <c r="D1269" t="str">
        <f>IFERROR(__xludf.DUMMYFUNCTION("""COMPUTED_VALUE"""),"")</f>
        <v/>
      </c>
      <c r="E1269" t="str">
        <f>IFERROR(__xludf.DUMMYFUNCTION("""COMPUTED_VALUE"""),"")</f>
        <v/>
      </c>
      <c r="F1269" t="str">
        <f t="array" ref="F1269">if(iserror(index(fish_lab_data!C:C,match(B1269,fish_lab_data!C:C,0))),"not dissected","dissected")</f>
        <v>not dissected</v>
      </c>
    </row>
    <row r="1270">
      <c r="A1270" t="str">
        <f t="shared" si="1"/>
        <v/>
      </c>
      <c r="B1270" t="str">
        <f>IFERROR(__xludf.DUMMYFUNCTION("""COMPUTED_VALUE"""),"")</f>
        <v/>
      </c>
      <c r="C1270" t="str">
        <f>IFERROR(__xludf.DUMMYFUNCTION("""COMPUTED_VALUE"""),"")</f>
        <v/>
      </c>
      <c r="D1270" t="str">
        <f>IFERROR(__xludf.DUMMYFUNCTION("""COMPUTED_VALUE"""),"")</f>
        <v/>
      </c>
      <c r="E1270" t="str">
        <f>IFERROR(__xludf.DUMMYFUNCTION("""COMPUTED_VALUE"""),"")</f>
        <v/>
      </c>
      <c r="F1270" t="str">
        <f t="array" ref="F1270">if(iserror(index(fish_lab_data!C:C,match(B1270,fish_lab_data!C:C,0))),"not dissected","dissected")</f>
        <v>not dissected</v>
      </c>
    </row>
    <row r="1271">
      <c r="A1271" t="str">
        <f t="shared" si="1"/>
        <v/>
      </c>
      <c r="B1271" t="str">
        <f>IFERROR(__xludf.DUMMYFUNCTION("""COMPUTED_VALUE"""),"")</f>
        <v/>
      </c>
      <c r="C1271" t="str">
        <f>IFERROR(__xludf.DUMMYFUNCTION("""COMPUTED_VALUE"""),"")</f>
        <v/>
      </c>
      <c r="D1271" t="str">
        <f>IFERROR(__xludf.DUMMYFUNCTION("""COMPUTED_VALUE"""),"")</f>
        <v/>
      </c>
      <c r="E1271" t="str">
        <f>IFERROR(__xludf.DUMMYFUNCTION("""COMPUTED_VALUE"""),"")</f>
        <v/>
      </c>
      <c r="F1271" t="str">
        <f t="array" ref="F1271">if(iserror(index(fish_lab_data!C:C,match(B1271,fish_lab_data!C:C,0))),"not dissected","dissected")</f>
        <v>not dissected</v>
      </c>
    </row>
    <row r="1272">
      <c r="A1272" t="str">
        <f t="shared" si="1"/>
        <v/>
      </c>
      <c r="B1272" t="str">
        <f>IFERROR(__xludf.DUMMYFUNCTION("""COMPUTED_VALUE"""),"")</f>
        <v/>
      </c>
      <c r="C1272" t="str">
        <f>IFERROR(__xludf.DUMMYFUNCTION("""COMPUTED_VALUE"""),"")</f>
        <v/>
      </c>
      <c r="D1272" t="str">
        <f>IFERROR(__xludf.DUMMYFUNCTION("""COMPUTED_VALUE"""),"")</f>
        <v/>
      </c>
      <c r="E1272" t="str">
        <f>IFERROR(__xludf.DUMMYFUNCTION("""COMPUTED_VALUE"""),"")</f>
        <v/>
      </c>
      <c r="F1272" t="str">
        <f t="array" ref="F1272">if(iserror(index(fish_lab_data!C:C,match(B1272,fish_lab_data!C:C,0))),"not dissected","dissected")</f>
        <v>not dissected</v>
      </c>
    </row>
    <row r="1273">
      <c r="A1273" t="str">
        <f t="shared" si="1"/>
        <v/>
      </c>
      <c r="B1273" t="str">
        <f>IFERROR(__xludf.DUMMYFUNCTION("""COMPUTED_VALUE"""),"")</f>
        <v/>
      </c>
      <c r="C1273" t="str">
        <f>IFERROR(__xludf.DUMMYFUNCTION("""COMPUTED_VALUE"""),"")</f>
        <v/>
      </c>
      <c r="D1273" t="str">
        <f>IFERROR(__xludf.DUMMYFUNCTION("""COMPUTED_VALUE"""),"")</f>
        <v/>
      </c>
      <c r="E1273" t="str">
        <f>IFERROR(__xludf.DUMMYFUNCTION("""COMPUTED_VALUE"""),"")</f>
        <v/>
      </c>
      <c r="F1273" t="str">
        <f t="array" ref="F1273">if(iserror(index(fish_lab_data!C:C,match(B1273,fish_lab_data!C:C,0))),"not dissected","dissected")</f>
        <v>not dissected</v>
      </c>
    </row>
    <row r="1274">
      <c r="A1274" t="str">
        <f t="shared" si="1"/>
        <v/>
      </c>
      <c r="B1274" t="str">
        <f>IFERROR(__xludf.DUMMYFUNCTION("""COMPUTED_VALUE"""),"")</f>
        <v/>
      </c>
      <c r="C1274" t="str">
        <f>IFERROR(__xludf.DUMMYFUNCTION("""COMPUTED_VALUE"""),"")</f>
        <v/>
      </c>
      <c r="D1274" t="str">
        <f>IFERROR(__xludf.DUMMYFUNCTION("""COMPUTED_VALUE"""),"")</f>
        <v/>
      </c>
      <c r="E1274" t="str">
        <f>IFERROR(__xludf.DUMMYFUNCTION("""COMPUTED_VALUE"""),"")</f>
        <v/>
      </c>
      <c r="F1274" t="str">
        <f t="array" ref="F1274">if(iserror(index(fish_lab_data!C:C,match(B1274,fish_lab_data!C:C,0))),"not dissected","dissected")</f>
        <v>not dissected</v>
      </c>
    </row>
    <row r="1275">
      <c r="A1275" t="str">
        <f t="shared" si="1"/>
        <v/>
      </c>
      <c r="B1275" t="str">
        <f>IFERROR(__xludf.DUMMYFUNCTION("""COMPUTED_VALUE"""),"")</f>
        <v/>
      </c>
      <c r="C1275" t="str">
        <f>IFERROR(__xludf.DUMMYFUNCTION("""COMPUTED_VALUE"""),"")</f>
        <v/>
      </c>
      <c r="D1275" t="str">
        <f>IFERROR(__xludf.DUMMYFUNCTION("""COMPUTED_VALUE"""),"")</f>
        <v/>
      </c>
      <c r="E1275" t="str">
        <f>IFERROR(__xludf.DUMMYFUNCTION("""COMPUTED_VALUE"""),"")</f>
        <v/>
      </c>
      <c r="F1275" t="str">
        <f t="array" ref="F1275">if(iserror(index(fish_lab_data!C:C,match(B1275,fish_lab_data!C:C,0))),"not dissected","dissected")</f>
        <v>not dissected</v>
      </c>
    </row>
    <row r="1276">
      <c r="A1276" t="str">
        <f t="shared" si="1"/>
        <v/>
      </c>
      <c r="B1276" t="str">
        <f>IFERROR(__xludf.DUMMYFUNCTION("""COMPUTED_VALUE"""),"")</f>
        <v/>
      </c>
      <c r="C1276" t="str">
        <f>IFERROR(__xludf.DUMMYFUNCTION("""COMPUTED_VALUE"""),"")</f>
        <v/>
      </c>
      <c r="D1276" t="str">
        <f>IFERROR(__xludf.DUMMYFUNCTION("""COMPUTED_VALUE"""),"")</f>
        <v/>
      </c>
      <c r="E1276" t="str">
        <f>IFERROR(__xludf.DUMMYFUNCTION("""COMPUTED_VALUE"""),"")</f>
        <v/>
      </c>
      <c r="F1276" t="str">
        <f t="array" ref="F1276">if(iserror(index(fish_lab_data!C:C,match(B1276,fish_lab_data!C:C,0))),"not dissected","dissected")</f>
        <v>not dissected</v>
      </c>
    </row>
    <row r="1277">
      <c r="A1277" t="str">
        <f t="shared" si="1"/>
        <v/>
      </c>
      <c r="B1277" t="str">
        <f>IFERROR(__xludf.DUMMYFUNCTION("""COMPUTED_VALUE"""),"")</f>
        <v/>
      </c>
      <c r="C1277" t="str">
        <f>IFERROR(__xludf.DUMMYFUNCTION("""COMPUTED_VALUE"""),"")</f>
        <v/>
      </c>
      <c r="D1277" t="str">
        <f>IFERROR(__xludf.DUMMYFUNCTION("""COMPUTED_VALUE"""),"")</f>
        <v/>
      </c>
      <c r="E1277" t="str">
        <f>IFERROR(__xludf.DUMMYFUNCTION("""COMPUTED_VALUE"""),"")</f>
        <v/>
      </c>
      <c r="F1277" t="str">
        <f t="array" ref="F1277">if(iserror(index(fish_lab_data!C:C,match(B1277,fish_lab_data!C:C,0))),"not dissected","dissected")</f>
        <v>not dissected</v>
      </c>
    </row>
    <row r="1278">
      <c r="A1278" t="str">
        <f t="shared" si="1"/>
        <v/>
      </c>
      <c r="B1278" t="str">
        <f>IFERROR(__xludf.DUMMYFUNCTION("""COMPUTED_VALUE"""),"")</f>
        <v/>
      </c>
      <c r="C1278" t="str">
        <f>IFERROR(__xludf.DUMMYFUNCTION("""COMPUTED_VALUE"""),"")</f>
        <v/>
      </c>
      <c r="D1278" t="str">
        <f>IFERROR(__xludf.DUMMYFUNCTION("""COMPUTED_VALUE"""),"")</f>
        <v/>
      </c>
      <c r="E1278" t="str">
        <f>IFERROR(__xludf.DUMMYFUNCTION("""COMPUTED_VALUE"""),"")</f>
        <v/>
      </c>
      <c r="F1278" t="str">
        <f t="array" ref="F1278">if(iserror(index(fish_lab_data!C:C,match(B1278,fish_lab_data!C:C,0))),"not dissected","dissected")</f>
        <v>not dissected</v>
      </c>
    </row>
    <row r="1279">
      <c r="A1279" t="str">
        <f t="shared" si="1"/>
        <v/>
      </c>
      <c r="B1279" t="str">
        <f>IFERROR(__xludf.DUMMYFUNCTION("""COMPUTED_VALUE"""),"")</f>
        <v/>
      </c>
      <c r="C1279" t="str">
        <f>IFERROR(__xludf.DUMMYFUNCTION("""COMPUTED_VALUE"""),"")</f>
        <v/>
      </c>
      <c r="D1279" t="str">
        <f>IFERROR(__xludf.DUMMYFUNCTION("""COMPUTED_VALUE"""),"")</f>
        <v/>
      </c>
      <c r="E1279" t="str">
        <f>IFERROR(__xludf.DUMMYFUNCTION("""COMPUTED_VALUE"""),"")</f>
        <v/>
      </c>
      <c r="F1279" t="str">
        <f t="array" ref="F1279">if(iserror(index(fish_lab_data!C:C,match(B1279,fish_lab_data!C:C,0))),"not dissected","dissected")</f>
        <v>not dissected</v>
      </c>
    </row>
    <row r="1280">
      <c r="A1280" t="str">
        <f t="shared" si="1"/>
        <v/>
      </c>
      <c r="B1280" t="str">
        <f>IFERROR(__xludf.DUMMYFUNCTION("""COMPUTED_VALUE"""),"")</f>
        <v/>
      </c>
      <c r="C1280" t="str">
        <f>IFERROR(__xludf.DUMMYFUNCTION("""COMPUTED_VALUE"""),"")</f>
        <v/>
      </c>
      <c r="D1280" t="str">
        <f>IFERROR(__xludf.DUMMYFUNCTION("""COMPUTED_VALUE"""),"")</f>
        <v/>
      </c>
      <c r="E1280" t="str">
        <f>IFERROR(__xludf.DUMMYFUNCTION("""COMPUTED_VALUE"""),"")</f>
        <v/>
      </c>
      <c r="F1280" t="str">
        <f t="array" ref="F1280">if(iserror(index(fish_lab_data!C:C,match(B1280,fish_lab_data!C:C,0))),"not dissected","dissected")</f>
        <v>not dissected</v>
      </c>
    </row>
    <row r="1281">
      <c r="A1281" t="str">
        <f t="shared" si="1"/>
        <v/>
      </c>
      <c r="B1281" t="str">
        <f>IFERROR(__xludf.DUMMYFUNCTION("""COMPUTED_VALUE"""),"")</f>
        <v/>
      </c>
      <c r="C1281" t="str">
        <f>IFERROR(__xludf.DUMMYFUNCTION("""COMPUTED_VALUE"""),"")</f>
        <v/>
      </c>
      <c r="D1281" t="str">
        <f>IFERROR(__xludf.DUMMYFUNCTION("""COMPUTED_VALUE"""),"")</f>
        <v/>
      </c>
      <c r="E1281" t="str">
        <f>IFERROR(__xludf.DUMMYFUNCTION("""COMPUTED_VALUE"""),"")</f>
        <v/>
      </c>
      <c r="F1281" t="str">
        <f t="array" ref="F1281">if(iserror(index(fish_lab_data!C:C,match(B1281,fish_lab_data!C:C,0))),"not dissected","dissected")</f>
        <v>not dissected</v>
      </c>
    </row>
    <row r="1282">
      <c r="A1282" t="str">
        <f t="shared" si="1"/>
        <v/>
      </c>
      <c r="B1282" t="str">
        <f>IFERROR(__xludf.DUMMYFUNCTION("""COMPUTED_VALUE"""),"")</f>
        <v/>
      </c>
      <c r="C1282" t="str">
        <f>IFERROR(__xludf.DUMMYFUNCTION("""COMPUTED_VALUE"""),"")</f>
        <v/>
      </c>
      <c r="D1282" t="str">
        <f>IFERROR(__xludf.DUMMYFUNCTION("""COMPUTED_VALUE"""),"")</f>
        <v/>
      </c>
      <c r="E1282" t="str">
        <f>IFERROR(__xludf.DUMMYFUNCTION("""COMPUTED_VALUE"""),"")</f>
        <v/>
      </c>
      <c r="F1282" t="str">
        <f t="array" ref="F1282">if(iserror(index(fish_lab_data!C:C,match(B1282,fish_lab_data!C:C,0))),"not dissected","dissected")</f>
        <v>not dissected</v>
      </c>
    </row>
    <row r="1283">
      <c r="A1283" t="str">
        <f t="shared" si="1"/>
        <v/>
      </c>
      <c r="B1283" t="str">
        <f>IFERROR(__xludf.DUMMYFUNCTION("""COMPUTED_VALUE"""),"")</f>
        <v/>
      </c>
      <c r="C1283" t="str">
        <f>IFERROR(__xludf.DUMMYFUNCTION("""COMPUTED_VALUE"""),"")</f>
        <v/>
      </c>
      <c r="D1283" t="str">
        <f>IFERROR(__xludf.DUMMYFUNCTION("""COMPUTED_VALUE"""),"")</f>
        <v/>
      </c>
      <c r="E1283" t="str">
        <f>IFERROR(__xludf.DUMMYFUNCTION("""COMPUTED_VALUE"""),"")</f>
        <v/>
      </c>
      <c r="F1283" t="str">
        <f t="array" ref="F1283">if(iserror(index(fish_lab_data!C:C,match(B1283,fish_lab_data!C:C,0))),"not dissected","dissected")</f>
        <v>not dissected</v>
      </c>
    </row>
    <row r="1284">
      <c r="A1284" t="str">
        <f t="shared" si="1"/>
        <v/>
      </c>
      <c r="B1284" t="str">
        <f>IFERROR(__xludf.DUMMYFUNCTION("""COMPUTED_VALUE"""),"")</f>
        <v/>
      </c>
      <c r="C1284" t="str">
        <f>IFERROR(__xludf.DUMMYFUNCTION("""COMPUTED_VALUE"""),"")</f>
        <v/>
      </c>
      <c r="D1284" t="str">
        <f>IFERROR(__xludf.DUMMYFUNCTION("""COMPUTED_VALUE"""),"")</f>
        <v/>
      </c>
      <c r="E1284" t="str">
        <f>IFERROR(__xludf.DUMMYFUNCTION("""COMPUTED_VALUE"""),"")</f>
        <v/>
      </c>
      <c r="F1284" t="str">
        <f t="array" ref="F1284">if(iserror(index(fish_lab_data!C:C,match(B1284,fish_lab_data!C:C,0))),"not dissected","dissected")</f>
        <v>not dissected</v>
      </c>
    </row>
    <row r="1285">
      <c r="A1285" t="str">
        <f t="shared" si="1"/>
        <v/>
      </c>
      <c r="B1285" t="str">
        <f>IFERROR(__xludf.DUMMYFUNCTION("""COMPUTED_VALUE"""),"")</f>
        <v/>
      </c>
      <c r="C1285" t="str">
        <f>IFERROR(__xludf.DUMMYFUNCTION("""COMPUTED_VALUE"""),"")</f>
        <v/>
      </c>
      <c r="D1285" t="str">
        <f>IFERROR(__xludf.DUMMYFUNCTION("""COMPUTED_VALUE"""),"")</f>
        <v/>
      </c>
      <c r="E1285" t="str">
        <f>IFERROR(__xludf.DUMMYFUNCTION("""COMPUTED_VALUE"""),"")</f>
        <v/>
      </c>
      <c r="F1285" t="str">
        <f t="array" ref="F1285">if(iserror(index(fish_lab_data!C:C,match(B1285,fish_lab_data!C:C,0))),"not dissected","dissected")</f>
        <v>not dissected</v>
      </c>
    </row>
    <row r="1286">
      <c r="A1286" t="str">
        <f t="shared" si="1"/>
        <v/>
      </c>
      <c r="B1286" t="str">
        <f>IFERROR(__xludf.DUMMYFUNCTION("""COMPUTED_VALUE"""),"")</f>
        <v/>
      </c>
      <c r="C1286" t="str">
        <f>IFERROR(__xludf.DUMMYFUNCTION("""COMPUTED_VALUE"""),"")</f>
        <v/>
      </c>
      <c r="D1286" t="str">
        <f>IFERROR(__xludf.DUMMYFUNCTION("""COMPUTED_VALUE"""),"")</f>
        <v/>
      </c>
      <c r="E1286" t="str">
        <f>IFERROR(__xludf.DUMMYFUNCTION("""COMPUTED_VALUE"""),"")</f>
        <v/>
      </c>
      <c r="F1286" t="str">
        <f t="array" ref="F1286">if(iserror(index(fish_lab_data!C:C,match(B1286,fish_lab_data!C:C,0))),"not dissected","dissected")</f>
        <v>not dissected</v>
      </c>
    </row>
    <row r="1287">
      <c r="A1287" t="str">
        <f t="shared" si="1"/>
        <v/>
      </c>
      <c r="B1287" t="str">
        <f>IFERROR(__xludf.DUMMYFUNCTION("""COMPUTED_VALUE"""),"")</f>
        <v/>
      </c>
      <c r="C1287" t="str">
        <f>IFERROR(__xludf.DUMMYFUNCTION("""COMPUTED_VALUE"""),"")</f>
        <v/>
      </c>
      <c r="D1287" t="str">
        <f>IFERROR(__xludf.DUMMYFUNCTION("""COMPUTED_VALUE"""),"")</f>
        <v/>
      </c>
      <c r="E1287" t="str">
        <f>IFERROR(__xludf.DUMMYFUNCTION("""COMPUTED_VALUE"""),"")</f>
        <v/>
      </c>
      <c r="F1287" t="str">
        <f t="array" ref="F1287">if(iserror(index(fish_lab_data!C:C,match(B1287,fish_lab_data!C:C,0))),"not dissected","dissected")</f>
        <v>not dissected</v>
      </c>
    </row>
    <row r="1288">
      <c r="A1288" t="str">
        <f t="shared" si="1"/>
        <v/>
      </c>
      <c r="B1288" t="str">
        <f>IFERROR(__xludf.DUMMYFUNCTION("""COMPUTED_VALUE"""),"")</f>
        <v/>
      </c>
      <c r="C1288" t="str">
        <f>IFERROR(__xludf.DUMMYFUNCTION("""COMPUTED_VALUE"""),"")</f>
        <v/>
      </c>
      <c r="D1288" t="str">
        <f>IFERROR(__xludf.DUMMYFUNCTION("""COMPUTED_VALUE"""),"")</f>
        <v/>
      </c>
      <c r="E1288" t="str">
        <f>IFERROR(__xludf.DUMMYFUNCTION("""COMPUTED_VALUE"""),"")</f>
        <v/>
      </c>
      <c r="F1288" t="str">
        <f t="array" ref="F1288">if(iserror(index(fish_lab_data!C:C,match(B1288,fish_lab_data!C:C,0))),"not dissected","dissected")</f>
        <v>not dissected</v>
      </c>
    </row>
    <row r="1289">
      <c r="A1289" t="str">
        <f t="shared" si="1"/>
        <v/>
      </c>
      <c r="B1289" t="str">
        <f>IFERROR(__xludf.DUMMYFUNCTION("""COMPUTED_VALUE"""),"")</f>
        <v/>
      </c>
      <c r="C1289" t="str">
        <f>IFERROR(__xludf.DUMMYFUNCTION("""COMPUTED_VALUE"""),"")</f>
        <v/>
      </c>
      <c r="D1289" t="str">
        <f>IFERROR(__xludf.DUMMYFUNCTION("""COMPUTED_VALUE"""),"")</f>
        <v/>
      </c>
      <c r="E1289" t="str">
        <f>IFERROR(__xludf.DUMMYFUNCTION("""COMPUTED_VALUE"""),"")</f>
        <v/>
      </c>
      <c r="F1289" t="str">
        <f t="array" ref="F1289">if(iserror(index(fish_lab_data!C:C,match(B1289,fish_lab_data!C:C,0))),"not dissected","dissected")</f>
        <v>not dissected</v>
      </c>
    </row>
    <row r="1290">
      <c r="A1290" t="str">
        <f t="shared" si="1"/>
        <v/>
      </c>
      <c r="B1290" t="str">
        <f>IFERROR(__xludf.DUMMYFUNCTION("""COMPUTED_VALUE"""),"")</f>
        <v/>
      </c>
      <c r="C1290" t="str">
        <f>IFERROR(__xludf.DUMMYFUNCTION("""COMPUTED_VALUE"""),"")</f>
        <v/>
      </c>
      <c r="D1290" t="str">
        <f>IFERROR(__xludf.DUMMYFUNCTION("""COMPUTED_VALUE"""),"")</f>
        <v/>
      </c>
      <c r="E1290" t="str">
        <f>IFERROR(__xludf.DUMMYFUNCTION("""COMPUTED_VALUE"""),"")</f>
        <v/>
      </c>
      <c r="F1290" t="str">
        <f t="array" ref="F1290">if(iserror(index(fish_lab_data!C:C,match(B1290,fish_lab_data!C:C,0))),"not dissected","dissected")</f>
        <v>not dissected</v>
      </c>
    </row>
    <row r="1291">
      <c r="A1291" t="str">
        <f t="shared" si="1"/>
        <v/>
      </c>
      <c r="B1291" t="str">
        <f>IFERROR(__xludf.DUMMYFUNCTION("""COMPUTED_VALUE"""),"")</f>
        <v/>
      </c>
      <c r="C1291" t="str">
        <f>IFERROR(__xludf.DUMMYFUNCTION("""COMPUTED_VALUE"""),"")</f>
        <v/>
      </c>
      <c r="D1291" t="str">
        <f>IFERROR(__xludf.DUMMYFUNCTION("""COMPUTED_VALUE"""),"")</f>
        <v/>
      </c>
      <c r="E1291" t="str">
        <f>IFERROR(__xludf.DUMMYFUNCTION("""COMPUTED_VALUE"""),"")</f>
        <v/>
      </c>
      <c r="F1291" t="str">
        <f t="array" ref="F1291">if(iserror(index(fish_lab_data!C:C,match(B1291,fish_lab_data!C:C,0))),"not dissected","dissected")</f>
        <v>not dissected</v>
      </c>
    </row>
    <row r="1292">
      <c r="A1292" t="str">
        <f t="shared" si="1"/>
        <v/>
      </c>
      <c r="B1292" t="str">
        <f>IFERROR(__xludf.DUMMYFUNCTION("""COMPUTED_VALUE"""),"")</f>
        <v/>
      </c>
      <c r="C1292" t="str">
        <f>IFERROR(__xludf.DUMMYFUNCTION("""COMPUTED_VALUE"""),"")</f>
        <v/>
      </c>
      <c r="D1292" t="str">
        <f>IFERROR(__xludf.DUMMYFUNCTION("""COMPUTED_VALUE"""),"")</f>
        <v/>
      </c>
      <c r="E1292" t="str">
        <f>IFERROR(__xludf.DUMMYFUNCTION("""COMPUTED_VALUE"""),"")</f>
        <v/>
      </c>
      <c r="F1292" t="str">
        <f t="array" ref="F1292">if(iserror(index(fish_lab_data!C:C,match(B1292,fish_lab_data!C:C,0))),"not dissected","dissected")</f>
        <v>not dissected</v>
      </c>
    </row>
    <row r="1293">
      <c r="A1293" t="str">
        <f t="shared" si="1"/>
        <v/>
      </c>
      <c r="B1293" t="str">
        <f>IFERROR(__xludf.DUMMYFUNCTION("""COMPUTED_VALUE"""),"")</f>
        <v/>
      </c>
      <c r="C1293" t="str">
        <f>IFERROR(__xludf.DUMMYFUNCTION("""COMPUTED_VALUE"""),"")</f>
        <v/>
      </c>
      <c r="D1293" t="str">
        <f>IFERROR(__xludf.DUMMYFUNCTION("""COMPUTED_VALUE"""),"")</f>
        <v/>
      </c>
      <c r="E1293" t="str">
        <f>IFERROR(__xludf.DUMMYFUNCTION("""COMPUTED_VALUE"""),"")</f>
        <v/>
      </c>
      <c r="F1293" t="str">
        <f t="array" ref="F1293">if(iserror(index(fish_lab_data!C:C,match(B1293,fish_lab_data!C:C,0))),"not dissected","dissected")</f>
        <v>not dissected</v>
      </c>
    </row>
    <row r="1294">
      <c r="A1294" t="str">
        <f t="shared" si="1"/>
        <v/>
      </c>
      <c r="B1294" t="str">
        <f>IFERROR(__xludf.DUMMYFUNCTION("""COMPUTED_VALUE"""),"")</f>
        <v/>
      </c>
      <c r="C1294" t="str">
        <f>IFERROR(__xludf.DUMMYFUNCTION("""COMPUTED_VALUE"""),"")</f>
        <v/>
      </c>
      <c r="D1294" t="str">
        <f>IFERROR(__xludf.DUMMYFUNCTION("""COMPUTED_VALUE"""),"")</f>
        <v/>
      </c>
      <c r="E1294" t="str">
        <f>IFERROR(__xludf.DUMMYFUNCTION("""COMPUTED_VALUE"""),"")</f>
        <v/>
      </c>
      <c r="F1294" t="str">
        <f t="array" ref="F1294">if(iserror(index(fish_lab_data!C:C,match(B1294,fish_lab_data!C:C,0))),"not dissected","dissected")</f>
        <v>not dissected</v>
      </c>
    </row>
    <row r="1295">
      <c r="A1295" t="str">
        <f t="shared" si="1"/>
        <v/>
      </c>
      <c r="B1295" t="str">
        <f>IFERROR(__xludf.DUMMYFUNCTION("""COMPUTED_VALUE"""),"")</f>
        <v/>
      </c>
      <c r="C1295" t="str">
        <f>IFERROR(__xludf.DUMMYFUNCTION("""COMPUTED_VALUE"""),"")</f>
        <v/>
      </c>
      <c r="D1295" t="str">
        <f>IFERROR(__xludf.DUMMYFUNCTION("""COMPUTED_VALUE"""),"")</f>
        <v/>
      </c>
      <c r="E1295" t="str">
        <f>IFERROR(__xludf.DUMMYFUNCTION("""COMPUTED_VALUE"""),"")</f>
        <v/>
      </c>
      <c r="F1295" t="str">
        <f t="array" ref="F1295">if(iserror(index(fish_lab_data!C:C,match(B1295,fish_lab_data!C:C,0))),"not dissected","dissected")</f>
        <v>not dissected</v>
      </c>
    </row>
    <row r="1296">
      <c r="A1296" t="str">
        <f t="shared" si="1"/>
        <v/>
      </c>
      <c r="B1296" t="str">
        <f>IFERROR(__xludf.DUMMYFUNCTION("""COMPUTED_VALUE"""),"")</f>
        <v/>
      </c>
      <c r="C1296" t="str">
        <f>IFERROR(__xludf.DUMMYFUNCTION("""COMPUTED_VALUE"""),"")</f>
        <v/>
      </c>
      <c r="D1296" t="str">
        <f>IFERROR(__xludf.DUMMYFUNCTION("""COMPUTED_VALUE"""),"")</f>
        <v/>
      </c>
      <c r="E1296" t="str">
        <f>IFERROR(__xludf.DUMMYFUNCTION("""COMPUTED_VALUE"""),"")</f>
        <v/>
      </c>
      <c r="F1296" t="str">
        <f t="array" ref="F1296">if(iserror(index(fish_lab_data!C:C,match(B1296,fish_lab_data!C:C,0))),"not dissected","dissected")</f>
        <v>not dissected</v>
      </c>
    </row>
    <row r="1297">
      <c r="A1297" t="str">
        <f t="shared" si="1"/>
        <v/>
      </c>
      <c r="B1297" t="str">
        <f>IFERROR(__xludf.DUMMYFUNCTION("""COMPUTED_VALUE"""),"")</f>
        <v/>
      </c>
      <c r="C1297" t="str">
        <f>IFERROR(__xludf.DUMMYFUNCTION("""COMPUTED_VALUE"""),"")</f>
        <v/>
      </c>
      <c r="D1297" t="str">
        <f>IFERROR(__xludf.DUMMYFUNCTION("""COMPUTED_VALUE"""),"")</f>
        <v/>
      </c>
      <c r="E1297" t="str">
        <f>IFERROR(__xludf.DUMMYFUNCTION("""COMPUTED_VALUE"""),"")</f>
        <v/>
      </c>
      <c r="F1297" t="str">
        <f t="array" ref="F1297">if(iserror(index(fish_lab_data!C:C,match(B1297,fish_lab_data!C:C,0))),"not dissected","dissected")</f>
        <v>not dissected</v>
      </c>
    </row>
    <row r="1298">
      <c r="A1298" t="str">
        <f t="shared" si="1"/>
        <v/>
      </c>
      <c r="B1298" t="str">
        <f>IFERROR(__xludf.DUMMYFUNCTION("""COMPUTED_VALUE"""),"")</f>
        <v/>
      </c>
      <c r="C1298" t="str">
        <f>IFERROR(__xludf.DUMMYFUNCTION("""COMPUTED_VALUE"""),"")</f>
        <v/>
      </c>
      <c r="D1298" t="str">
        <f>IFERROR(__xludf.DUMMYFUNCTION("""COMPUTED_VALUE"""),"")</f>
        <v/>
      </c>
      <c r="E1298" t="str">
        <f>IFERROR(__xludf.DUMMYFUNCTION("""COMPUTED_VALUE"""),"")</f>
        <v/>
      </c>
      <c r="F1298" t="str">
        <f t="array" ref="F1298">if(iserror(index(fish_lab_data!C:C,match(B1298,fish_lab_data!C:C,0))),"not dissected","dissected")</f>
        <v>not dissected</v>
      </c>
    </row>
    <row r="1299">
      <c r="A1299" t="str">
        <f t="shared" si="1"/>
        <v/>
      </c>
      <c r="B1299" t="str">
        <f>IFERROR(__xludf.DUMMYFUNCTION("""COMPUTED_VALUE"""),"")</f>
        <v/>
      </c>
      <c r="C1299" t="str">
        <f>IFERROR(__xludf.DUMMYFUNCTION("""COMPUTED_VALUE"""),"")</f>
        <v/>
      </c>
      <c r="D1299" t="str">
        <f>IFERROR(__xludf.DUMMYFUNCTION("""COMPUTED_VALUE"""),"")</f>
        <v/>
      </c>
      <c r="E1299" t="str">
        <f>IFERROR(__xludf.DUMMYFUNCTION("""COMPUTED_VALUE"""),"")</f>
        <v/>
      </c>
      <c r="F1299" t="str">
        <f t="array" ref="F1299">if(iserror(index(fish_lab_data!C:C,match(B1299,fish_lab_data!C:C,0))),"not dissected","dissected")</f>
        <v>not dissected</v>
      </c>
    </row>
    <row r="1300">
      <c r="A1300" t="str">
        <f t="shared" si="1"/>
        <v/>
      </c>
      <c r="F1300" t="str">
        <f t="array" ref="F1300">if(iserror(index(fish_lab_data!C:C,match(B1300,fish_lab_data!C:C,0))),"not dissected","dissected")</f>
        <v>not dissected</v>
      </c>
    </row>
    <row r="1301">
      <c r="A1301" t="str">
        <f t="shared" si="1"/>
        <v/>
      </c>
      <c r="F1301" t="str">
        <f t="array" ref="F1301">if(iserror(index(fish_lab_data!C:C,match(B1301,fish_lab_data!C:C,0))),"not dissected","dissected")</f>
        <v>not dissected</v>
      </c>
    </row>
    <row r="1302">
      <c r="A1302" t="str">
        <f t="shared" si="1"/>
        <v/>
      </c>
      <c r="F1302" t="str">
        <f t="array" ref="F1302">if(iserror(index(fish_lab_data!C:C,match(B1302,fish_lab_data!C:C,0))),"not dissected","dissected")</f>
        <v>not dissected</v>
      </c>
    </row>
    <row r="1303">
      <c r="A1303" t="str">
        <f t="shared" si="1"/>
        <v/>
      </c>
      <c r="F1303" t="str">
        <f t="array" ref="F1303">if(iserror(index(fish_lab_data!C:C,match(B1303,fish_lab_data!C:C,0))),"not dissected","dissected")</f>
        <v>not dissected</v>
      </c>
    </row>
    <row r="1304">
      <c r="A1304" t="str">
        <f t="shared" si="1"/>
        <v/>
      </c>
      <c r="F1304" t="str">
        <f t="array" ref="F1304">if(iserror(index(fish_lab_data!C:C,match(B1304,fish_lab_data!C:C,0))),"not dissected","dissected")</f>
        <v>not dissected</v>
      </c>
    </row>
    <row r="1305">
      <c r="A1305" t="str">
        <f t="shared" si="1"/>
        <v/>
      </c>
      <c r="F1305" t="str">
        <f t="array" ref="F1305">if(iserror(index(fish_lab_data!C:C,match(B1305,fish_lab_data!C:C,0))),"not dissected","dissected")</f>
        <v>not dissected</v>
      </c>
    </row>
    <row r="1306">
      <c r="A1306" t="str">
        <f t="shared" si="1"/>
        <v/>
      </c>
      <c r="F1306" t="str">
        <f t="array" ref="F1306">if(iserror(index(fish_lab_data!C:C,match(B1306,fish_lab_data!C:C,0))),"not dissected","dissected")</f>
        <v>not dissected</v>
      </c>
    </row>
    <row r="1307">
      <c r="A1307" t="str">
        <f t="shared" si="1"/>
        <v/>
      </c>
      <c r="F1307" t="str">
        <f t="array" ref="F1307">if(iserror(index(fish_lab_data!C:C,match(B1307,fish_lab_data!C:C,0))),"not dissected","dissected")</f>
        <v>not dissected</v>
      </c>
    </row>
    <row r="1308">
      <c r="A1308" t="str">
        <f t="shared" si="1"/>
        <v/>
      </c>
      <c r="F1308" t="str">
        <f t="array" ref="F1308">if(iserror(index(fish_lab_data!C:C,match(B1308,fish_lab_data!C:C,0))),"not dissected","dissected")</f>
        <v>not dissected</v>
      </c>
    </row>
    <row r="1309">
      <c r="A1309" t="str">
        <f t="shared" si="1"/>
        <v/>
      </c>
      <c r="F1309" t="str">
        <f t="array" ref="F1309">if(iserror(index(fish_lab_data!C:C,match(B1309,fish_lab_data!C:C,0))),"not dissected","dissected")</f>
        <v>not dissected</v>
      </c>
    </row>
    <row r="1310">
      <c r="A1310" t="str">
        <f t="shared" si="1"/>
        <v/>
      </c>
      <c r="F1310" t="str">
        <f t="array" ref="F1310">if(iserror(index(fish_lab_data!C:C,match(B1310,fish_lab_data!C:C,0))),"not dissected","dissected")</f>
        <v>not dissected</v>
      </c>
    </row>
    <row r="1311">
      <c r="A1311" t="str">
        <f t="shared" si="1"/>
        <v/>
      </c>
      <c r="F1311" t="str">
        <f t="array" ref="F1311">if(iserror(index(fish_lab_data!C:C,match(B1311,fish_lab_data!C:C,0))),"not dissected","dissected")</f>
        <v>not dissected</v>
      </c>
    </row>
    <row r="1312">
      <c r="A1312" t="str">
        <f t="shared" si="1"/>
        <v/>
      </c>
      <c r="F1312" t="str">
        <f t="array" ref="F1312">if(iserror(index(fish_lab_data!C:C,match(B1312,fish_lab_data!C:C,0))),"not dissected","dissected")</f>
        <v>not dissected</v>
      </c>
    </row>
    <row r="1313">
      <c r="A1313" t="str">
        <f t="shared" si="1"/>
        <v/>
      </c>
      <c r="F1313" t="str">
        <f t="array" ref="F1313">if(iserror(index(fish_lab_data!C:C,match(B1313,fish_lab_data!C:C,0))),"not dissected","dissected")</f>
        <v>not dissected</v>
      </c>
    </row>
    <row r="1314">
      <c r="A1314" t="str">
        <f t="shared" si="1"/>
        <v/>
      </c>
      <c r="F1314" t="str">
        <f t="array" ref="F1314">if(iserror(index(fish_lab_data!C:C,match(B1314,fish_lab_data!C:C,0))),"not dissected","dissected")</f>
        <v>not dissected</v>
      </c>
    </row>
    <row r="1315">
      <c r="A1315" t="str">
        <f t="shared" si="1"/>
        <v/>
      </c>
      <c r="F1315" t="str">
        <f t="array" ref="F1315">if(iserror(index(fish_lab_data!C:C,match(B1315,fish_lab_data!C:C,0))),"not dissected","dissected")</f>
        <v>not dissected</v>
      </c>
    </row>
    <row r="1316">
      <c r="A1316" t="str">
        <f t="shared" si="1"/>
        <v/>
      </c>
      <c r="F1316" t="str">
        <f t="array" ref="F1316">if(iserror(index(fish_lab_data!C:C,match(B1316,fish_lab_data!C:C,0))),"not dissected","dissected")</f>
        <v>not dissected</v>
      </c>
    </row>
    <row r="1317">
      <c r="A1317" t="str">
        <f t="shared" si="1"/>
        <v/>
      </c>
      <c r="F1317" t="str">
        <f t="array" ref="F1317">if(iserror(index(fish_lab_data!C:C,match(B1317,fish_lab_data!C:C,0))),"not dissected","dissected")</f>
        <v>not dissected</v>
      </c>
    </row>
    <row r="1318">
      <c r="A1318" t="str">
        <f t="shared" si="1"/>
        <v/>
      </c>
      <c r="F1318" t="str">
        <f t="array" ref="F1318">if(iserror(index(fish_lab_data!C:C,match(B1318,fish_lab_data!C:C,0))),"not dissected","dissected")</f>
        <v>not dissected</v>
      </c>
    </row>
    <row r="1319">
      <c r="A1319" t="str">
        <f t="shared" si="1"/>
        <v/>
      </c>
      <c r="F1319" t="str">
        <f t="array" ref="F1319">if(iserror(index(fish_lab_data!C:C,match(B1319,fish_lab_data!C:C,0))),"not dissected","dissected")</f>
        <v>not dissected</v>
      </c>
    </row>
    <row r="1320">
      <c r="A1320" t="str">
        <f t="shared" si="1"/>
        <v/>
      </c>
      <c r="F1320" t="str">
        <f t="array" ref="F1320">if(iserror(index(fish_lab_data!C:C,match(B1320,fish_lab_data!C:C,0))),"not dissected","dissected")</f>
        <v>not dissected</v>
      </c>
    </row>
    <row r="1321">
      <c r="A1321" t="str">
        <f t="shared" si="1"/>
        <v/>
      </c>
      <c r="F1321" t="str">
        <f t="array" ref="F1321">if(iserror(index(fish_lab_data!C:C,match(B1321,fish_lab_data!C:C,0))),"not dissected","dissected")</f>
        <v>not dissected</v>
      </c>
    </row>
    <row r="1322">
      <c r="A1322" t="str">
        <f t="shared" si="1"/>
        <v/>
      </c>
      <c r="F1322" t="str">
        <f t="array" ref="F1322">if(iserror(index(fish_lab_data!C:C,match(B1322,fish_lab_data!C:C,0))),"not dissected","dissected")</f>
        <v>not dissected</v>
      </c>
    </row>
    <row r="1323">
      <c r="A1323" t="str">
        <f t="shared" si="1"/>
        <v/>
      </c>
      <c r="F1323" t="str">
        <f t="array" ref="F1323">if(iserror(index(fish_lab_data!C:C,match(B1323,fish_lab_data!C:C,0))),"not dissected","dissected")</f>
        <v>not dissected</v>
      </c>
    </row>
    <row r="1324">
      <c r="A1324" t="str">
        <f t="shared" si="1"/>
        <v/>
      </c>
      <c r="F1324" t="str">
        <f t="array" ref="F1324">if(iserror(index(fish_lab_data!C:C,match(B1324,fish_lab_data!C:C,0))),"not dissected","dissected")</f>
        <v>not dissected</v>
      </c>
    </row>
    <row r="1325">
      <c r="A1325" t="str">
        <f t="shared" si="1"/>
        <v/>
      </c>
      <c r="F1325" t="str">
        <f t="array" ref="F1325">if(iserror(index(fish_lab_data!C:C,match(B1325,fish_lab_data!C:C,0))),"not dissected","dissected")</f>
        <v>not dissected</v>
      </c>
    </row>
    <row r="1326">
      <c r="A1326" t="str">
        <f t="shared" si="1"/>
        <v/>
      </c>
      <c r="F1326" t="str">
        <f t="array" ref="F1326">if(iserror(index(fish_lab_data!C:C,match(B1326,fish_lab_data!C:C,0))),"not dissected","dissected")</f>
        <v>not dissected</v>
      </c>
    </row>
    <row r="1327">
      <c r="A1327" t="str">
        <f t="shared" si="1"/>
        <v/>
      </c>
      <c r="F1327" t="str">
        <f t="array" ref="F1327">if(iserror(index(fish_lab_data!C:C,match(B1327,fish_lab_data!C:C,0))),"not dissected","dissected")</f>
        <v>not dissected</v>
      </c>
    </row>
    <row r="1328">
      <c r="A1328" t="str">
        <f t="shared" si="1"/>
        <v/>
      </c>
      <c r="F1328" t="str">
        <f t="array" ref="F1328">if(iserror(index(fish_lab_data!C:C,match(B1328,fish_lab_data!C:C,0))),"not dissected","dissected")</f>
        <v>not dissected</v>
      </c>
    </row>
    <row r="1329">
      <c r="A1329" t="str">
        <f t="shared" si="1"/>
        <v/>
      </c>
      <c r="F1329" t="str">
        <f t="array" ref="F1329">if(iserror(index(fish_lab_data!C:C,match(B1329,fish_lab_data!C:C,0))),"not dissected","dissected")</f>
        <v>not dissected</v>
      </c>
    </row>
    <row r="1330">
      <c r="A1330" t="str">
        <f t="shared" si="1"/>
        <v/>
      </c>
      <c r="F1330" t="str">
        <f t="array" ref="F1330">if(iserror(index(fish_lab_data!C:C,match(B1330,fish_lab_data!C:C,0))),"not dissected","dissected")</f>
        <v>not dissected</v>
      </c>
    </row>
    <row r="1331">
      <c r="A1331" t="str">
        <f t="shared" si="1"/>
        <v/>
      </c>
      <c r="F1331" t="str">
        <f t="array" ref="F1331">if(iserror(index(fish_lab_data!C:C,match(B1331,fish_lab_data!C:C,0))),"not dissected","dissected")</f>
        <v>not dissected</v>
      </c>
    </row>
    <row r="1332">
      <c r="A1332" t="str">
        <f t="shared" si="1"/>
        <v/>
      </c>
      <c r="F1332" t="str">
        <f t="array" ref="F1332">if(iserror(index(fish_lab_data!C:C,match(B1332,fish_lab_data!C:C,0))),"not dissected","dissected")</f>
        <v>not dissected</v>
      </c>
    </row>
    <row r="1333">
      <c r="A1333" t="str">
        <f t="shared" si="1"/>
        <v/>
      </c>
      <c r="F1333" t="str">
        <f t="array" ref="F1333">if(iserror(index(fish_lab_data!C:C,match(B1333,fish_lab_data!C:C,0))),"not dissected","dissected")</f>
        <v>not dissected</v>
      </c>
    </row>
    <row r="1334">
      <c r="A1334" t="str">
        <f t="shared" si="1"/>
        <v/>
      </c>
      <c r="F1334" t="str">
        <f t="array" ref="F1334">if(iserror(index(fish_lab_data!C:C,match(B1334,fish_lab_data!C:C,0))),"not dissected","dissected")</f>
        <v>not dissected</v>
      </c>
    </row>
    <row r="1335">
      <c r="A1335" t="str">
        <f t="shared" si="1"/>
        <v/>
      </c>
      <c r="F1335" t="str">
        <f t="array" ref="F1335">if(iserror(index(fish_lab_data!C:C,match(B1335,fish_lab_data!C:C,0))),"not dissected","dissected")</f>
        <v>not dissected</v>
      </c>
    </row>
    <row r="1336">
      <c r="A1336" t="str">
        <f t="shared" si="1"/>
        <v/>
      </c>
      <c r="F1336" t="str">
        <f t="array" ref="F1336">if(iserror(index(fish_lab_data!C:C,match(B1336,fish_lab_data!C:C,0))),"not dissected","dissected")</f>
        <v>not dissected</v>
      </c>
    </row>
    <row r="1337">
      <c r="A1337" t="str">
        <f t="shared" si="1"/>
        <v/>
      </c>
      <c r="F1337" t="str">
        <f t="array" ref="F1337">if(iserror(index(fish_lab_data!C:C,match(B1337,fish_lab_data!C:C,0))),"not dissected","dissected")</f>
        <v>not dissected</v>
      </c>
    </row>
    <row r="1338">
      <c r="A1338" t="str">
        <f t="shared" si="1"/>
        <v/>
      </c>
      <c r="F1338" t="str">
        <f t="array" ref="F1338">if(iserror(index(fish_lab_data!C:C,match(B1338,fish_lab_data!C:C,0))),"not dissected","dissected")</f>
        <v>not dissected</v>
      </c>
    </row>
    <row r="1339">
      <c r="A1339" t="str">
        <f t="shared" si="1"/>
        <v/>
      </c>
      <c r="F1339" t="str">
        <f t="array" ref="F1339">if(iserror(index(fish_lab_data!C:C,match(B1339,fish_lab_data!C:C,0))),"not dissected","dissected")</f>
        <v>not dissected</v>
      </c>
    </row>
    <row r="1340">
      <c r="A1340" t="str">
        <f t="shared" si="1"/>
        <v/>
      </c>
      <c r="F1340" t="str">
        <f t="array" ref="F1340">if(iserror(index(fish_lab_data!C:C,match(B1340,fish_lab_data!C:C,0))),"not dissected","dissected")</f>
        <v>not dissected</v>
      </c>
    </row>
    <row r="1341">
      <c r="A1341" t="str">
        <f t="shared" si="1"/>
        <v/>
      </c>
      <c r="F1341" t="str">
        <f t="array" ref="F1341">if(iserror(index(fish_lab_data!C:C,match(B1341,fish_lab_data!C:C,0))),"not dissected","dissected")</f>
        <v>not dissected</v>
      </c>
    </row>
    <row r="1342">
      <c r="A1342" t="str">
        <f t="shared" si="1"/>
        <v/>
      </c>
      <c r="F1342" t="str">
        <f t="array" ref="F1342">if(iserror(index(fish_lab_data!C:C,match(B1342,fish_lab_data!C:C,0))),"not dissected","dissected")</f>
        <v>not dissected</v>
      </c>
    </row>
    <row r="1343">
      <c r="A1343" t="str">
        <f t="shared" si="1"/>
        <v/>
      </c>
      <c r="F1343" t="str">
        <f t="array" ref="F1343">if(iserror(index(fish_lab_data!C:C,match(B1343,fish_lab_data!C:C,0))),"not dissected","dissected")</f>
        <v>not dissected</v>
      </c>
    </row>
    <row r="1344">
      <c r="A1344" t="str">
        <f t="shared" si="1"/>
        <v/>
      </c>
      <c r="F1344" t="str">
        <f t="array" ref="F1344">if(iserror(index(fish_lab_data!C:C,match(B1344,fish_lab_data!C:C,0))),"not dissected","dissected")</f>
        <v>not dissected</v>
      </c>
    </row>
    <row r="1345">
      <c r="A1345" t="str">
        <f t="shared" si="1"/>
        <v/>
      </c>
      <c r="F1345" t="str">
        <f t="array" ref="F1345">if(iserror(index(fish_lab_data!C:C,match(B1345,fish_lab_data!C:C,0))),"not dissected","dissected")</f>
        <v>not dissected</v>
      </c>
    </row>
    <row r="1346">
      <c r="A1346" t="str">
        <f t="shared" si="1"/>
        <v/>
      </c>
      <c r="F1346" t="str">
        <f t="array" ref="F1346">if(iserror(index(fish_lab_data!C:C,match(B1346,fish_lab_data!C:C,0))),"not dissected","dissected")</f>
        <v>not dissected</v>
      </c>
    </row>
    <row r="1347">
      <c r="A1347" t="str">
        <f t="shared" si="1"/>
        <v/>
      </c>
      <c r="F1347" t="str">
        <f t="array" ref="F1347">if(iserror(index(fish_lab_data!C:C,match(B1347,fish_lab_data!C:C,0))),"not dissected","dissected")</f>
        <v>not dissected</v>
      </c>
    </row>
    <row r="1348">
      <c r="A1348" t="str">
        <f t="shared" si="1"/>
        <v/>
      </c>
      <c r="F1348" t="str">
        <f t="array" ref="F1348">if(iserror(index(fish_lab_data!C:C,match(B1348,fish_lab_data!C:C,0))),"not dissected","dissected")</f>
        <v>not dissected</v>
      </c>
    </row>
    <row r="1349">
      <c r="A1349" t="str">
        <f t="shared" si="1"/>
        <v/>
      </c>
      <c r="F1349" t="str">
        <f t="array" ref="F1349">if(iserror(index(fish_lab_data!C:C,match(B1349,fish_lab_data!C:C,0))),"not dissected","dissected")</f>
        <v>not dissected</v>
      </c>
    </row>
    <row r="1350">
      <c r="A1350" t="str">
        <f t="shared" si="1"/>
        <v/>
      </c>
      <c r="F1350" t="str">
        <f t="array" ref="F1350">if(iserror(index(fish_lab_data!C:C,match(B1350,fish_lab_data!C:C,0))),"not dissected","dissected")</f>
        <v>not dissected</v>
      </c>
    </row>
    <row r="1351">
      <c r="A1351" t="str">
        <f t="shared" si="1"/>
        <v/>
      </c>
      <c r="F1351" t="str">
        <f t="array" ref="F1351">if(iserror(index(fish_lab_data!C:C,match(B1351,fish_lab_data!C:C,0))),"not dissected","dissected")</f>
        <v>not dissected</v>
      </c>
    </row>
    <row r="1352">
      <c r="A1352" t="str">
        <f t="shared" si="1"/>
        <v/>
      </c>
      <c r="F1352" t="str">
        <f t="array" ref="F1352">if(iserror(index(fish_lab_data!C:C,match(B1352,fish_lab_data!C:C,0))),"not dissected","dissected")</f>
        <v>not dissected</v>
      </c>
    </row>
    <row r="1353">
      <c r="A1353" t="str">
        <f t="shared" si="1"/>
        <v/>
      </c>
      <c r="F1353" t="str">
        <f t="array" ref="F1353">if(iserror(index(fish_lab_data!C:C,match(B1353,fish_lab_data!C:C,0))),"not dissected","dissected")</f>
        <v>not dissected</v>
      </c>
    </row>
    <row r="1354">
      <c r="A1354" t="str">
        <f t="shared" si="1"/>
        <v/>
      </c>
      <c r="F1354" t="str">
        <f t="array" ref="F1354">if(iserror(index(fish_lab_data!C:C,match(B1354,fish_lab_data!C:C,0))),"not dissected","dissected")</f>
        <v>not dissected</v>
      </c>
    </row>
    <row r="1355">
      <c r="A1355" t="str">
        <f t="shared" si="1"/>
        <v/>
      </c>
      <c r="F1355" t="str">
        <f t="array" ref="F1355">if(iserror(index(fish_lab_data!C:C,match(B1355,fish_lab_data!C:C,0))),"not dissected","dissected")</f>
        <v>not dissected</v>
      </c>
    </row>
    <row r="1356">
      <c r="A1356" t="str">
        <f t="shared" si="1"/>
        <v/>
      </c>
      <c r="F1356" t="str">
        <f t="array" ref="F1356">if(iserror(index(fish_lab_data!C:C,match(B1356,fish_lab_data!C:C,0))),"not dissected","dissected")</f>
        <v>not dissected</v>
      </c>
    </row>
    <row r="1357">
      <c r="A1357" t="str">
        <f t="shared" si="1"/>
        <v/>
      </c>
      <c r="F1357" t="str">
        <f t="array" ref="F1357">if(iserror(index(fish_lab_data!C:C,match(B1357,fish_lab_data!C:C,0))),"not dissected","dissected")</f>
        <v>not dissected</v>
      </c>
    </row>
    <row r="1358">
      <c r="A1358" t="str">
        <f t="shared" si="1"/>
        <v/>
      </c>
      <c r="F1358" t="str">
        <f t="array" ref="F1358">if(iserror(index(fish_lab_data!C:C,match(B1358,fish_lab_data!C:C,0))),"not dissected","dissected")</f>
        <v>not dissected</v>
      </c>
    </row>
    <row r="1359">
      <c r="A1359" t="str">
        <f t="shared" si="1"/>
        <v/>
      </c>
      <c r="F1359" t="str">
        <f t="array" ref="F1359">if(iserror(index(fish_lab_data!C:C,match(B1359,fish_lab_data!C:C,0))),"not dissected","dissected")</f>
        <v>not dissected</v>
      </c>
    </row>
    <row r="1360">
      <c r="A1360" t="str">
        <f t="shared" si="1"/>
        <v/>
      </c>
      <c r="F1360" t="str">
        <f t="array" ref="F1360">if(iserror(index(fish_lab_data!C:C,match(B1360,fish_lab_data!C:C,0))),"not dissected","dissected")</f>
        <v>not dissected</v>
      </c>
    </row>
    <row r="1361">
      <c r="A1361" t="str">
        <f t="shared" si="1"/>
        <v/>
      </c>
      <c r="F1361" t="str">
        <f t="array" ref="F1361">if(iserror(index(fish_lab_data!C:C,match(B1361,fish_lab_data!C:C,0))),"not dissected","dissected")</f>
        <v>not dissected</v>
      </c>
    </row>
    <row r="1362">
      <c r="A1362" t="str">
        <f t="shared" si="1"/>
        <v/>
      </c>
      <c r="F1362" t="str">
        <f t="array" ref="F1362">if(iserror(index(fish_lab_data!C:C,match(B1362,fish_lab_data!C:C,0))),"not dissected","dissected")</f>
        <v>not dissected</v>
      </c>
    </row>
    <row r="1363">
      <c r="A1363" t="str">
        <f t="shared" si="1"/>
        <v/>
      </c>
      <c r="F1363" t="str">
        <f t="array" ref="F1363">if(iserror(index(fish_lab_data!C:C,match(B1363,fish_lab_data!C:C,0))),"not dissected","dissected")</f>
        <v>not dissected</v>
      </c>
    </row>
    <row r="1364">
      <c r="A1364" t="str">
        <f t="shared" si="1"/>
        <v/>
      </c>
      <c r="F1364" t="str">
        <f t="array" ref="F1364">if(iserror(index(fish_lab_data!C:C,match(B1364,fish_lab_data!C:C,0))),"not dissected","dissected")</f>
        <v>not dissected</v>
      </c>
    </row>
    <row r="1365">
      <c r="A1365" t="str">
        <f t="shared" si="1"/>
        <v/>
      </c>
      <c r="F1365" t="str">
        <f t="array" ref="F1365">if(iserror(index(fish_lab_data!C:C,match(B1365,fish_lab_data!C:C,0))),"not dissected","dissected")</f>
        <v>not dissected</v>
      </c>
    </row>
    <row r="1366">
      <c r="A1366" t="str">
        <f t="shared" si="1"/>
        <v/>
      </c>
      <c r="F1366" t="str">
        <f t="array" ref="F1366">if(iserror(index(fish_lab_data!C:C,match(B1366,fish_lab_data!C:C,0))),"not dissected","dissected")</f>
        <v>not dissected</v>
      </c>
    </row>
    <row r="1367">
      <c r="A1367" t="str">
        <f t="shared" si="1"/>
        <v/>
      </c>
      <c r="F1367" t="str">
        <f t="array" ref="F1367">if(iserror(index(fish_lab_data!C:C,match(B1367,fish_lab_data!C:C,0))),"not dissected","dissected")</f>
        <v>not dissected</v>
      </c>
    </row>
    <row r="1368">
      <c r="A1368" t="str">
        <f t="shared" si="1"/>
        <v/>
      </c>
      <c r="F1368" t="str">
        <f t="array" ref="F1368">if(iserror(index(fish_lab_data!C:C,match(B1368,fish_lab_data!C:C,0))),"not dissected","dissected")</f>
        <v>not dissected</v>
      </c>
    </row>
    <row r="1369">
      <c r="A1369" t="str">
        <f t="shared" si="1"/>
        <v/>
      </c>
      <c r="F1369" t="str">
        <f t="array" ref="F1369">if(iserror(index(fish_lab_data!C:C,match(B1369,fish_lab_data!C:C,0))),"not dissected","dissected")</f>
        <v>not dissected</v>
      </c>
    </row>
    <row r="1370">
      <c r="A1370" t="str">
        <f t="shared" si="1"/>
        <v/>
      </c>
      <c r="F1370" t="str">
        <f t="array" ref="F1370">if(iserror(index(fish_lab_data!C:C,match(B1370,fish_lab_data!C:C,0))),"not dissected","dissected")</f>
        <v>not dissected</v>
      </c>
    </row>
    <row r="1371">
      <c r="A1371" t="str">
        <f t="shared" si="1"/>
        <v/>
      </c>
      <c r="F1371" t="str">
        <f t="array" ref="F1371">if(iserror(index(fish_lab_data!C:C,match(B1371,fish_lab_data!C:C,0))),"not dissected","dissected")</f>
        <v>not dissected</v>
      </c>
    </row>
    <row r="1372">
      <c r="A1372" t="str">
        <f t="shared" si="1"/>
        <v/>
      </c>
      <c r="F1372" t="str">
        <f t="array" ref="F1372">if(iserror(index(fish_lab_data!C:C,match(B1372,fish_lab_data!C:C,0))),"not dissected","dissected")</f>
        <v>not dissected</v>
      </c>
    </row>
    <row r="1373">
      <c r="A1373" t="str">
        <f t="shared" si="1"/>
        <v/>
      </c>
      <c r="F1373" t="str">
        <f t="array" ref="F1373">if(iserror(index(fish_lab_data!C:C,match(B1373,fish_lab_data!C:C,0))),"not dissected","dissected")</f>
        <v>not dissected</v>
      </c>
    </row>
    <row r="1374">
      <c r="A1374" t="str">
        <f t="shared" si="1"/>
        <v/>
      </c>
      <c r="F1374" t="str">
        <f t="array" ref="F1374">if(iserror(index(fish_lab_data!C:C,match(B1374,fish_lab_data!C:C,0))),"not dissected","dissected")</f>
        <v>not dissected</v>
      </c>
    </row>
    <row r="1375">
      <c r="A1375" t="str">
        <f t="shared" si="1"/>
        <v/>
      </c>
      <c r="F1375" t="str">
        <f t="array" ref="F1375">if(iserror(index(fish_lab_data!C:C,match(B1375,fish_lab_data!C:C,0))),"not dissected","dissected")</f>
        <v>not dissected</v>
      </c>
    </row>
    <row r="1376">
      <c r="A1376" t="str">
        <f t="shared" si="1"/>
        <v/>
      </c>
      <c r="F1376" t="str">
        <f t="array" ref="F1376">if(iserror(index(fish_lab_data!C:C,match(B1376,fish_lab_data!C:C,0))),"not dissected","dissected")</f>
        <v>not dissected</v>
      </c>
    </row>
    <row r="1377">
      <c r="A1377" t="str">
        <f t="shared" si="1"/>
        <v/>
      </c>
      <c r="F1377" t="str">
        <f t="array" ref="F1377">if(iserror(index(fish_lab_data!C:C,match(B1377,fish_lab_data!C:C,0))),"not dissected","dissected")</f>
        <v>not dissected</v>
      </c>
    </row>
    <row r="1378">
      <c r="A1378" t="str">
        <f t="shared" si="1"/>
        <v/>
      </c>
      <c r="F1378" t="str">
        <f t="array" ref="F1378">if(iserror(index(fish_lab_data!C:C,match(B1378,fish_lab_data!C:C,0))),"not dissected","dissected")</f>
        <v>not dissected</v>
      </c>
    </row>
    <row r="1379">
      <c r="A1379" t="str">
        <f t="shared" si="1"/>
        <v/>
      </c>
      <c r="F1379" t="str">
        <f t="array" ref="F1379">if(iserror(index(fish_lab_data!C:C,match(B1379,fish_lab_data!C:C,0))),"not dissected","dissected")</f>
        <v>not dissected</v>
      </c>
    </row>
    <row r="1380">
      <c r="A1380" t="str">
        <f t="shared" si="1"/>
        <v/>
      </c>
      <c r="F1380" t="str">
        <f t="array" ref="F1380">if(iserror(index(fish_lab_data!C:C,match(B1380,fish_lab_data!C:C,0))),"not dissected","dissected")</f>
        <v>not dissected</v>
      </c>
    </row>
    <row r="1381">
      <c r="A1381" t="str">
        <f t="shared" si="1"/>
        <v/>
      </c>
      <c r="F1381" t="str">
        <f t="array" ref="F1381">if(iserror(index(fish_lab_data!C:C,match(B1381,fish_lab_data!C:C,0))),"not dissected","dissected")</f>
        <v>not dissected</v>
      </c>
    </row>
    <row r="1382">
      <c r="A1382" t="str">
        <f t="shared" si="1"/>
        <v/>
      </c>
      <c r="F1382" t="str">
        <f t="array" ref="F1382">if(iserror(index(fish_lab_data!C:C,match(B1382,fish_lab_data!C:C,0))),"not dissected","dissected")</f>
        <v>not dissected</v>
      </c>
    </row>
    <row r="1383">
      <c r="A1383" t="str">
        <f t="shared" si="1"/>
        <v/>
      </c>
      <c r="F1383" t="str">
        <f t="array" ref="F1383">if(iserror(index(fish_lab_data!C:C,match(B1383,fish_lab_data!C:C,0))),"not dissected","dissected")</f>
        <v>not dissected</v>
      </c>
    </row>
    <row r="1384">
      <c r="A1384" t="str">
        <f t="shared" si="1"/>
        <v/>
      </c>
      <c r="F1384" t="str">
        <f t="array" ref="F1384">if(iserror(index(fish_lab_data!C:C,match(B1384,fish_lab_data!C:C,0))),"not dissected","dissected")</f>
        <v>not dissected</v>
      </c>
    </row>
    <row r="1385">
      <c r="A1385" t="str">
        <f t="shared" si="1"/>
        <v/>
      </c>
      <c r="F1385" t="str">
        <f t="array" ref="F1385">if(iserror(index(fish_lab_data!C:C,match(B1385,fish_lab_data!C:C,0))),"not dissected","dissected")</f>
        <v>not dissected</v>
      </c>
    </row>
    <row r="1386">
      <c r="A1386" t="str">
        <f t="shared" si="1"/>
        <v/>
      </c>
      <c r="F1386" t="str">
        <f t="array" ref="F1386">if(iserror(index(fish_lab_data!C:C,match(B1386,fish_lab_data!C:C,0))),"not dissected","dissected")</f>
        <v>not dissected</v>
      </c>
    </row>
    <row r="1387">
      <c r="A1387" t="str">
        <f t="shared" si="1"/>
        <v/>
      </c>
      <c r="F1387" t="str">
        <f t="array" ref="F1387">if(iserror(index(fish_lab_data!C:C,match(B1387,fish_lab_data!C:C,0))),"not dissected","dissected")</f>
        <v>not dissected</v>
      </c>
    </row>
    <row r="1388">
      <c r="A1388" t="str">
        <f t="shared" si="1"/>
        <v/>
      </c>
      <c r="F1388" t="str">
        <f t="array" ref="F1388">if(iserror(index(fish_lab_data!C:C,match(B1388,fish_lab_data!C:C,0))),"not dissected","dissected")</f>
        <v>not dissected</v>
      </c>
    </row>
    <row r="1389">
      <c r="A1389" t="str">
        <f t="shared" si="1"/>
        <v/>
      </c>
      <c r="F1389" t="str">
        <f t="array" ref="F1389">if(iserror(index(fish_lab_data!C:C,match(B1389,fish_lab_data!C:C,0))),"not dissected","dissected")</f>
        <v>not dissected</v>
      </c>
    </row>
    <row r="1390">
      <c r="A1390" t="str">
        <f t="shared" si="1"/>
        <v/>
      </c>
      <c r="F1390" t="str">
        <f t="array" ref="F1390">if(iserror(index(fish_lab_data!C:C,match(B1390,fish_lab_data!C:C,0))),"not dissected","dissected")</f>
        <v>not dissected</v>
      </c>
    </row>
    <row r="1391">
      <c r="A1391" t="str">
        <f t="shared" si="1"/>
        <v/>
      </c>
      <c r="F1391" t="str">
        <f t="array" ref="F1391">if(iserror(index(fish_lab_data!C:C,match(B1391,fish_lab_data!C:C,0))),"not dissected","dissected")</f>
        <v>not dissected</v>
      </c>
    </row>
    <row r="1392">
      <c r="A1392" t="str">
        <f t="shared" si="1"/>
        <v/>
      </c>
      <c r="F1392" t="str">
        <f t="array" ref="F1392">if(iserror(index(fish_lab_data!C:C,match(B1392,fish_lab_data!C:C,0))),"not dissected","dissected")</f>
        <v>not dissected</v>
      </c>
    </row>
    <row r="1393">
      <c r="A1393" t="str">
        <f t="shared" si="1"/>
        <v/>
      </c>
      <c r="F1393" t="str">
        <f t="array" ref="F1393">if(iserror(index(fish_lab_data!C:C,match(B1393,fish_lab_data!C:C,0))),"not dissected","dissected")</f>
        <v>not dissected</v>
      </c>
    </row>
    <row r="1394">
      <c r="A1394" t="str">
        <f t="shared" si="1"/>
        <v/>
      </c>
      <c r="F1394" t="str">
        <f t="array" ref="F1394">if(iserror(index(fish_lab_data!C:C,match(B1394,fish_lab_data!C:C,0))),"not dissected","dissected")</f>
        <v>not dissected</v>
      </c>
    </row>
    <row r="1395">
      <c r="A1395" t="str">
        <f t="shared" si="1"/>
        <v/>
      </c>
      <c r="F1395" t="str">
        <f t="array" ref="F1395">if(iserror(index(fish_lab_data!C:C,match(B1395,fish_lab_data!C:C,0))),"not dissected","dissected")</f>
        <v>not dissected</v>
      </c>
    </row>
    <row r="1396">
      <c r="A1396" t="str">
        <f t="shared" si="1"/>
        <v/>
      </c>
      <c r="F1396" t="str">
        <f t="array" ref="F1396">if(iserror(index(fish_lab_data!C:C,match(B1396,fish_lab_data!C:C,0))),"not dissected","dissected")</f>
        <v>not dissected</v>
      </c>
    </row>
    <row r="1397">
      <c r="A1397" t="str">
        <f t="shared" si="1"/>
        <v/>
      </c>
      <c r="F1397" t="str">
        <f t="array" ref="F1397">if(iserror(index(fish_lab_data!C:C,match(B1397,fish_lab_data!C:C,0))),"not dissected","dissected")</f>
        <v>not dissected</v>
      </c>
    </row>
    <row r="1398">
      <c r="A1398" t="str">
        <f t="shared" si="1"/>
        <v/>
      </c>
      <c r="F1398" t="str">
        <f t="array" ref="F1398">if(iserror(index(fish_lab_data!C:C,match(B1398,fish_lab_data!C:C,0))),"not dissected","dissected")</f>
        <v>not dissected</v>
      </c>
    </row>
    <row r="1399">
      <c r="A1399" t="str">
        <f t="shared" si="1"/>
        <v/>
      </c>
      <c r="F1399" t="str">
        <f t="array" ref="F1399">if(iserror(index(fish_lab_data!C:C,match(B1399,fish_lab_data!C:C,0))),"not dissected","dissected")</f>
        <v>not dissected</v>
      </c>
    </row>
    <row r="1400">
      <c r="A1400" t="str">
        <f t="shared" si="1"/>
        <v/>
      </c>
      <c r="F1400" t="str">
        <f t="array" ref="F1400">if(iserror(index(fish_lab_data!C:C,match(B1400,fish_lab_data!C:C,0))),"not dissected","dissected")</f>
        <v>not dissected</v>
      </c>
    </row>
    <row r="1401">
      <c r="A1401" t="str">
        <f t="shared" si="1"/>
        <v/>
      </c>
      <c r="F1401" t="str">
        <f t="array" ref="F1401">if(iserror(index(fish_lab_data!C:C,match(B1401,fish_lab_data!C:C,0))),"not dissected","dissected")</f>
        <v>not dissected</v>
      </c>
    </row>
    <row r="1402">
      <c r="A1402" t="str">
        <f t="shared" si="1"/>
        <v/>
      </c>
      <c r="F1402" t="str">
        <f t="array" ref="F1402">if(iserror(index(fish_lab_data!C:C,match(B1402,fish_lab_data!C:C,0))),"not dissected","dissected")</f>
        <v>not dissected</v>
      </c>
    </row>
    <row r="1403">
      <c r="A1403" t="str">
        <f t="shared" si="1"/>
        <v/>
      </c>
      <c r="F1403" t="str">
        <f t="array" ref="F1403">if(iserror(index(fish_lab_data!C:C,match(B1403,fish_lab_data!C:C,0))),"not dissected","dissected")</f>
        <v>not dissected</v>
      </c>
    </row>
    <row r="1404">
      <c r="A1404" t="str">
        <f t="shared" si="1"/>
        <v/>
      </c>
      <c r="F1404" t="str">
        <f t="array" ref="F1404">if(iserror(index(fish_lab_data!C:C,match(B1404,fish_lab_data!C:C,0))),"not dissected","dissected")</f>
        <v>not dissected</v>
      </c>
    </row>
    <row r="1405">
      <c r="A1405" t="str">
        <f t="shared" si="1"/>
        <v/>
      </c>
      <c r="F1405" t="str">
        <f t="array" ref="F1405">if(iserror(index(fish_lab_data!C:C,match(B1405,fish_lab_data!C:C,0))),"not dissected","dissected")</f>
        <v>not dissected</v>
      </c>
    </row>
    <row r="1406">
      <c r="A1406" t="str">
        <f t="shared" si="1"/>
        <v/>
      </c>
      <c r="F1406" t="str">
        <f t="array" ref="F1406">if(iserror(index(fish_lab_data!C:C,match(B1406,fish_lab_data!C:C,0))),"not dissected","dissected")</f>
        <v>not dissected</v>
      </c>
    </row>
    <row r="1407">
      <c r="A1407" t="str">
        <f t="shared" si="1"/>
        <v/>
      </c>
      <c r="F1407" t="str">
        <f t="array" ref="F1407">if(iserror(index(fish_lab_data!C:C,match(B1407,fish_lab_data!C:C,0))),"not dissected","dissected")</f>
        <v>not dissected</v>
      </c>
    </row>
    <row r="1408">
      <c r="A1408" t="str">
        <f t="shared" si="1"/>
        <v/>
      </c>
      <c r="F1408" t="str">
        <f t="array" ref="F1408">if(iserror(index(fish_lab_data!C:C,match(B1408,fish_lab_data!C:C,0))),"not dissected","dissected")</f>
        <v>not dissected</v>
      </c>
    </row>
    <row r="1409">
      <c r="A1409" t="str">
        <f t="shared" si="1"/>
        <v/>
      </c>
      <c r="F1409" t="str">
        <f t="array" ref="F1409">if(iserror(index(fish_lab_data!C:C,match(B1409,fish_lab_data!C:C,0))),"not dissected","dissected")</f>
        <v>not dissected</v>
      </c>
    </row>
    <row r="1410">
      <c r="A1410" t="str">
        <f t="shared" si="1"/>
        <v/>
      </c>
      <c r="F1410" t="str">
        <f t="array" ref="F1410">if(iserror(index(fish_lab_data!C:C,match(B1410,fish_lab_data!C:C,0))),"not dissected","dissected")</f>
        <v>not dissected</v>
      </c>
    </row>
    <row r="1411">
      <c r="A1411" t="str">
        <f t="shared" si="1"/>
        <v/>
      </c>
      <c r="F1411" t="str">
        <f t="array" ref="F1411">if(iserror(index(fish_lab_data!C:C,match(B1411,fish_lab_data!C:C,0))),"not dissected","dissected")</f>
        <v>not dissected</v>
      </c>
    </row>
    <row r="1412">
      <c r="A1412" t="str">
        <f t="shared" si="1"/>
        <v/>
      </c>
      <c r="F1412" t="str">
        <f t="array" ref="F1412">if(iserror(index(fish_lab_data!C:C,match(B1412,fish_lab_data!C:C,0))),"not dissected","dissected")</f>
        <v>not dissected</v>
      </c>
    </row>
    <row r="1413">
      <c r="A1413" t="str">
        <f t="shared" si="1"/>
        <v/>
      </c>
      <c r="F1413" t="str">
        <f t="array" ref="F1413">if(iserror(index(fish_lab_data!C:C,match(B1413,fish_lab_data!C:C,0))),"not dissected","dissected")</f>
        <v>not dissected</v>
      </c>
    </row>
    <row r="1414">
      <c r="A1414" t="str">
        <f t="shared" si="1"/>
        <v/>
      </c>
      <c r="F1414" t="str">
        <f t="array" ref="F1414">if(iserror(index(fish_lab_data!C:C,match(B1414,fish_lab_data!C:C,0))),"not dissected","dissected")</f>
        <v>not dissected</v>
      </c>
    </row>
    <row r="1415">
      <c r="A1415" t="str">
        <f t="shared" si="1"/>
        <v/>
      </c>
      <c r="F1415" t="str">
        <f t="array" ref="F1415">if(iserror(index(fish_lab_data!C:C,match(B1415,fish_lab_data!C:C,0))),"not dissected","dissected")</f>
        <v>not dissected</v>
      </c>
    </row>
    <row r="1416">
      <c r="A1416" t="str">
        <f t="shared" si="1"/>
        <v/>
      </c>
      <c r="F1416" t="str">
        <f t="array" ref="F1416">if(iserror(index(fish_lab_data!C:C,match(B1416,fish_lab_data!C:C,0))),"not dissected","dissected")</f>
        <v>not dissected</v>
      </c>
    </row>
    <row r="1417">
      <c r="A1417" t="str">
        <f t="shared" si="1"/>
        <v/>
      </c>
      <c r="F1417" t="str">
        <f t="array" ref="F1417">if(iserror(index(fish_lab_data!C:C,match(B1417,fish_lab_data!C:C,0))),"not dissected","dissected")</f>
        <v>not dissected</v>
      </c>
    </row>
    <row r="1418">
      <c r="A1418" t="str">
        <f t="shared" si="1"/>
        <v/>
      </c>
      <c r="F1418" t="str">
        <f t="array" ref="F1418">if(iserror(index(fish_lab_data!C:C,match(B1418,fish_lab_data!C:C,0))),"not dissected","dissected")</f>
        <v>not dissected</v>
      </c>
    </row>
    <row r="1419">
      <c r="A1419" t="str">
        <f t="shared" si="1"/>
        <v/>
      </c>
      <c r="F1419" t="str">
        <f t="array" ref="F1419">if(iserror(index(fish_lab_data!C:C,match(B1419,fish_lab_data!C:C,0))),"not dissected","dissected")</f>
        <v>not dissected</v>
      </c>
    </row>
    <row r="1420">
      <c r="A1420" t="str">
        <f t="shared" si="1"/>
        <v/>
      </c>
      <c r="F1420" t="str">
        <f t="array" ref="F1420">if(iserror(index(fish_lab_data!C:C,match(B1420,fish_lab_data!C:C,0))),"not dissected","dissected")</f>
        <v>not dissected</v>
      </c>
    </row>
    <row r="1421">
      <c r="A1421" t="str">
        <f t="shared" si="1"/>
        <v/>
      </c>
      <c r="F1421" t="str">
        <f t="array" ref="F1421">if(iserror(index(fish_lab_data!C:C,match(B1421,fish_lab_data!C:C,0))),"not dissected","dissected")</f>
        <v>not dissected</v>
      </c>
    </row>
    <row r="1422">
      <c r="A1422" t="str">
        <f t="shared" si="1"/>
        <v/>
      </c>
      <c r="F1422" t="str">
        <f t="array" ref="F1422">if(iserror(index(fish_lab_data!C:C,match(B1422,fish_lab_data!C:C,0))),"not dissected","dissected")</f>
        <v>not dissected</v>
      </c>
    </row>
    <row r="1423">
      <c r="A1423" t="str">
        <f t="shared" si="1"/>
        <v/>
      </c>
      <c r="F1423" t="str">
        <f t="array" ref="F1423">if(iserror(index(fish_lab_data!C:C,match(B1423,fish_lab_data!C:C,0))),"not dissected","dissected")</f>
        <v>not dissected</v>
      </c>
    </row>
    <row r="1424">
      <c r="A1424" t="str">
        <f t="shared" si="1"/>
        <v/>
      </c>
      <c r="F1424" t="str">
        <f t="array" ref="F1424">if(iserror(index(fish_lab_data!C:C,match(B1424,fish_lab_data!C:C,0))),"not dissected","dissected")</f>
        <v>not dissected</v>
      </c>
    </row>
    <row r="1425">
      <c r="A1425" t="str">
        <f t="shared" si="1"/>
        <v/>
      </c>
      <c r="F1425" t="str">
        <f t="array" ref="F1425">if(iserror(index(fish_lab_data!C:C,match(B1425,fish_lab_data!C:C,0))),"not dissected","dissected")</f>
        <v>not dissected</v>
      </c>
    </row>
    <row r="1426">
      <c r="A1426" t="str">
        <f t="shared" si="1"/>
        <v/>
      </c>
      <c r="F1426" t="str">
        <f t="array" ref="F1426">if(iserror(index(fish_lab_data!C:C,match(B1426,fish_lab_data!C:C,0))),"not dissected","dissected")</f>
        <v>not dissected</v>
      </c>
    </row>
    <row r="1427">
      <c r="A1427" t="str">
        <f t="shared" si="1"/>
        <v/>
      </c>
      <c r="F1427" t="str">
        <f t="array" ref="F1427">if(iserror(index(fish_lab_data!C:C,match(B1427,fish_lab_data!C:C,0))),"not dissected","dissected")</f>
        <v>not dissected</v>
      </c>
    </row>
    <row r="1428">
      <c r="A1428" t="str">
        <f t="shared" si="1"/>
        <v/>
      </c>
      <c r="F1428" t="str">
        <f t="array" ref="F1428">if(iserror(index(fish_lab_data!C:C,match(B1428,fish_lab_data!C:C,0))),"not dissected","dissected")</f>
        <v>not dissected</v>
      </c>
    </row>
    <row r="1429">
      <c r="A1429" t="str">
        <f t="shared" si="1"/>
        <v/>
      </c>
      <c r="F1429" t="str">
        <f t="array" ref="F1429">if(iserror(index(fish_lab_data!C:C,match(B1429,fish_lab_data!C:C,0))),"not dissected","dissected")</f>
        <v>not dissected</v>
      </c>
    </row>
    <row r="1430">
      <c r="A1430" t="str">
        <f t="shared" si="1"/>
        <v/>
      </c>
      <c r="F1430" t="str">
        <f t="array" ref="F1430">if(iserror(index(fish_lab_data!C:C,match(B1430,fish_lab_data!C:C,0))),"not dissected","dissected")</f>
        <v>not dissected</v>
      </c>
    </row>
    <row r="1431">
      <c r="A1431" t="str">
        <f t="shared" si="1"/>
        <v/>
      </c>
      <c r="F1431" t="str">
        <f t="array" ref="F1431">if(iserror(index(fish_lab_data!C:C,match(B1431,fish_lab_data!C:C,0))),"not dissected","dissected")</f>
        <v>not dissected</v>
      </c>
    </row>
    <row r="1432">
      <c r="A1432" t="str">
        <f t="shared" si="1"/>
        <v/>
      </c>
      <c r="F1432" t="str">
        <f t="array" ref="F1432">if(iserror(index(fish_lab_data!C:C,match(B1432,fish_lab_data!C:C,0))),"not dissected","dissected")</f>
        <v>not dissected</v>
      </c>
    </row>
    <row r="1433">
      <c r="A1433" t="str">
        <f t="shared" si="1"/>
        <v/>
      </c>
      <c r="F1433" t="str">
        <f t="array" ref="F1433">if(iserror(index(fish_lab_data!C:C,match(B1433,fish_lab_data!C:C,0))),"not dissected","dissected")</f>
        <v>not dissected</v>
      </c>
    </row>
    <row r="1434">
      <c r="A1434" t="str">
        <f t="shared" si="1"/>
        <v/>
      </c>
      <c r="F1434" t="str">
        <f t="array" ref="F1434">if(iserror(index(fish_lab_data!C:C,match(B1434,fish_lab_data!C:C,0))),"not dissected","dissected")</f>
        <v>not dissected</v>
      </c>
    </row>
    <row r="1435">
      <c r="A1435" t="str">
        <f t="shared" si="1"/>
        <v/>
      </c>
      <c r="F1435" t="str">
        <f t="array" ref="F1435">if(iserror(index(fish_lab_data!C:C,match(B1435,fish_lab_data!C:C,0))),"not dissected","dissected")</f>
        <v>not dissected</v>
      </c>
    </row>
    <row r="1436">
      <c r="A1436" t="str">
        <f t="shared" si="1"/>
        <v/>
      </c>
      <c r="F1436" t="str">
        <f t="array" ref="F1436">if(iserror(index(fish_lab_data!C:C,match(B1436,fish_lab_data!C:C,0))),"not dissected","dissected")</f>
        <v>not dissected</v>
      </c>
    </row>
    <row r="1437">
      <c r="A1437" t="str">
        <f t="shared" si="1"/>
        <v/>
      </c>
      <c r="F1437" t="str">
        <f t="array" ref="F1437">if(iserror(index(fish_lab_data!C:C,match(B1437,fish_lab_data!C:C,0))),"not dissected","dissected")</f>
        <v>not dissected</v>
      </c>
    </row>
    <row r="1438">
      <c r="A1438" t="str">
        <f t="shared" si="1"/>
        <v/>
      </c>
      <c r="F1438" t="str">
        <f t="array" ref="F1438">if(iserror(index(fish_lab_data!C:C,match(B1438,fish_lab_data!C:C,0))),"not dissected","dissected")</f>
        <v>not dissected</v>
      </c>
    </row>
    <row r="1439">
      <c r="A1439" t="str">
        <f t="shared" si="1"/>
        <v/>
      </c>
      <c r="F1439" t="str">
        <f t="array" ref="F1439">if(iserror(index(fish_lab_data!C:C,match(B1439,fish_lab_data!C:C,0))),"not dissected","dissected")</f>
        <v>not dissected</v>
      </c>
    </row>
    <row r="1440">
      <c r="A1440" t="str">
        <f t="shared" si="1"/>
        <v/>
      </c>
      <c r="F1440" t="str">
        <f t="array" ref="F1440">if(iserror(index(fish_lab_data!C:C,match(B1440,fish_lab_data!C:C,0))),"not dissected","dissected")</f>
        <v>not dissected</v>
      </c>
    </row>
    <row r="1441">
      <c r="A1441" t="str">
        <f t="shared" si="1"/>
        <v/>
      </c>
      <c r="F1441" t="str">
        <f t="array" ref="F1441">if(iserror(index(fish_lab_data!C:C,match(B1441,fish_lab_data!C:C,0))),"not dissected","dissected")</f>
        <v>not dissected</v>
      </c>
    </row>
    <row r="1442">
      <c r="A1442" t="str">
        <f t="shared" si="1"/>
        <v/>
      </c>
      <c r="F1442" t="str">
        <f t="array" ref="F1442">if(iserror(index(fish_lab_data!C:C,match(B1442,fish_lab_data!C:C,0))),"not dissected","dissected")</f>
        <v>not dissected</v>
      </c>
    </row>
    <row r="1443">
      <c r="A1443" t="str">
        <f t="shared" si="1"/>
        <v/>
      </c>
      <c r="F1443" t="str">
        <f t="array" ref="F1443">if(iserror(index(fish_lab_data!C:C,match(B1443,fish_lab_data!C:C,0))),"not dissected","dissected")</f>
        <v>not dissected</v>
      </c>
    </row>
    <row r="1444">
      <c r="A1444" t="str">
        <f t="shared" si="1"/>
        <v/>
      </c>
      <c r="F1444" t="str">
        <f t="array" ref="F1444">if(iserror(index(fish_lab_data!C:C,match(B1444,fish_lab_data!C:C,0))),"not dissected","dissected")</f>
        <v>not dissected</v>
      </c>
    </row>
    <row r="1445">
      <c r="A1445" t="str">
        <f t="shared" si="1"/>
        <v/>
      </c>
      <c r="F1445" t="str">
        <f t="array" ref="F1445">if(iserror(index(fish_lab_data!C:C,match(B1445,fish_lab_data!C:C,0))),"not dissected","dissected")</f>
        <v>not dissected</v>
      </c>
    </row>
    <row r="1446">
      <c r="A1446" t="str">
        <f t="shared" si="1"/>
        <v/>
      </c>
      <c r="F1446" t="str">
        <f t="array" ref="F1446">if(iserror(index(fish_lab_data!C:C,match(B1446,fish_lab_data!C:C,0))),"not dissected","dissected")</f>
        <v>not dissected</v>
      </c>
    </row>
    <row r="1447">
      <c r="A1447" t="str">
        <f t="shared" si="1"/>
        <v/>
      </c>
      <c r="F1447" t="str">
        <f t="array" ref="F1447">if(iserror(index(fish_lab_data!C:C,match(B1447,fish_lab_data!C:C,0))),"not dissected","dissected")</f>
        <v>not dissected</v>
      </c>
    </row>
    <row r="1448">
      <c r="A1448" t="str">
        <f t="shared" si="1"/>
        <v/>
      </c>
      <c r="F1448" t="str">
        <f t="array" ref="F1448">if(iserror(index(fish_lab_data!C:C,match(B1448,fish_lab_data!C:C,0))),"not dissected","dissected")</f>
        <v>not dissected</v>
      </c>
    </row>
    <row r="1449">
      <c r="A1449" t="str">
        <f t="shared" si="1"/>
        <v/>
      </c>
      <c r="F1449" t="str">
        <f t="array" ref="F1449">if(iserror(index(fish_lab_data!C:C,match(B1449,fish_lab_data!C:C,0))),"not dissected","dissected")</f>
        <v>not dissected</v>
      </c>
    </row>
    <row r="1450">
      <c r="A1450" t="str">
        <f t="shared" si="1"/>
        <v/>
      </c>
      <c r="F1450" t="str">
        <f t="array" ref="F1450">if(iserror(index(fish_lab_data!C:C,match(B1450,fish_lab_data!C:C,0))),"not dissected","dissected")</f>
        <v>not dissected</v>
      </c>
    </row>
    <row r="1451">
      <c r="A1451" t="str">
        <f t="shared" si="1"/>
        <v/>
      </c>
      <c r="F1451" t="str">
        <f t="array" ref="F1451">if(iserror(index(fish_lab_data!C:C,match(B1451,fish_lab_data!C:C,0))),"not dissected","dissected")</f>
        <v>not dissected</v>
      </c>
    </row>
    <row r="1452">
      <c r="A1452" t="str">
        <f t="shared" si="1"/>
        <v/>
      </c>
      <c r="F1452" t="str">
        <f t="array" ref="F1452">if(iserror(index(fish_lab_data!C:C,match(B1452,fish_lab_data!C:C,0))),"not dissected","dissected")</f>
        <v>not dissected</v>
      </c>
    </row>
    <row r="1453">
      <c r="A1453" t="str">
        <f t="shared" si="1"/>
        <v/>
      </c>
      <c r="F1453" t="str">
        <f t="array" ref="F1453">if(iserror(index(fish_lab_data!C:C,match(B1453,fish_lab_data!C:C,0))),"not dissected","dissected")</f>
        <v>not dissected</v>
      </c>
    </row>
    <row r="1454">
      <c r="A1454" t="str">
        <f t="shared" si="1"/>
        <v/>
      </c>
      <c r="F1454" t="str">
        <f t="array" ref="F1454">if(iserror(index(fish_lab_data!C:C,match(B1454,fish_lab_data!C:C,0))),"not dissected","dissected")</f>
        <v>not dissected</v>
      </c>
    </row>
    <row r="1455">
      <c r="A1455" t="str">
        <f t="shared" si="1"/>
        <v/>
      </c>
      <c r="F1455" t="str">
        <f t="array" ref="F1455">if(iserror(index(fish_lab_data!C:C,match(B1455,fish_lab_data!C:C,0))),"not dissected","dissected")</f>
        <v>not dissected</v>
      </c>
    </row>
    <row r="1456">
      <c r="A1456" t="str">
        <f t="shared" si="1"/>
        <v/>
      </c>
      <c r="F1456" t="str">
        <f t="array" ref="F1456">if(iserror(index(fish_lab_data!C:C,match(B1456,fish_lab_data!C:C,0))),"not dissected","dissected")</f>
        <v>not dissected</v>
      </c>
    </row>
    <row r="1457">
      <c r="A1457" t="str">
        <f t="shared" si="1"/>
        <v/>
      </c>
      <c r="F1457" t="str">
        <f t="array" ref="F1457">if(iserror(index(fish_lab_data!C:C,match(B1457,fish_lab_data!C:C,0))),"not dissected","dissected")</f>
        <v>not dissected</v>
      </c>
    </row>
    <row r="1458">
      <c r="A1458" t="str">
        <f t="shared" si="1"/>
        <v/>
      </c>
      <c r="F1458" t="str">
        <f t="array" ref="F1458">if(iserror(index(fish_lab_data!C:C,match(B1458,fish_lab_data!C:C,0))),"not dissected","dissected")</f>
        <v>not dissected</v>
      </c>
    </row>
    <row r="1459">
      <c r="A1459" t="str">
        <f t="shared" si="1"/>
        <v/>
      </c>
      <c r="F1459" t="str">
        <f t="array" ref="F1459">if(iserror(index(fish_lab_data!C:C,match(B1459,fish_lab_data!C:C,0))),"not dissected","dissected")</f>
        <v>not dissected</v>
      </c>
    </row>
    <row r="1460">
      <c r="A1460" t="str">
        <f t="shared" si="1"/>
        <v/>
      </c>
      <c r="F1460" t="str">
        <f t="array" ref="F1460">if(iserror(index(fish_lab_data!C:C,match(B1460,fish_lab_data!C:C,0))),"not dissected","dissected")</f>
        <v>not dissected</v>
      </c>
    </row>
    <row r="1461">
      <c r="A1461" t="str">
        <f t="shared" si="1"/>
        <v/>
      </c>
      <c r="F1461" t="str">
        <f t="array" ref="F1461">if(iserror(index(fish_lab_data!C:C,match(B1461,fish_lab_data!C:C,0))),"not dissected","dissected")</f>
        <v>not dissected</v>
      </c>
    </row>
    <row r="1462">
      <c r="A1462" t="str">
        <f t="shared" si="1"/>
        <v/>
      </c>
      <c r="F1462" t="str">
        <f t="array" ref="F1462">if(iserror(index(fish_lab_data!C:C,match(B1462,fish_lab_data!C:C,0))),"not dissected","dissected")</f>
        <v>not dissected</v>
      </c>
    </row>
    <row r="1463">
      <c r="A1463" t="str">
        <f t="shared" si="1"/>
        <v/>
      </c>
      <c r="F1463" t="str">
        <f t="array" ref="F1463">if(iserror(index(fish_lab_data!C:C,match(B1463,fish_lab_data!C:C,0))),"not dissected","dissected")</f>
        <v>not dissected</v>
      </c>
    </row>
    <row r="1464">
      <c r="A1464" t="str">
        <f t="shared" si="1"/>
        <v/>
      </c>
      <c r="F1464" t="str">
        <f t="array" ref="F1464">if(iserror(index(fish_lab_data!C:C,match(B1464,fish_lab_data!C:C,0))),"not dissected","dissected")</f>
        <v>not dissected</v>
      </c>
    </row>
    <row r="1465">
      <c r="A1465" t="str">
        <f t="shared" si="1"/>
        <v/>
      </c>
      <c r="F1465" t="str">
        <f t="array" ref="F1465">if(iserror(index(fish_lab_data!C:C,match(B1465,fish_lab_data!C:C,0))),"not dissected","dissected")</f>
        <v>not dissected</v>
      </c>
    </row>
    <row r="1466">
      <c r="A1466" t="str">
        <f t="shared" si="1"/>
        <v/>
      </c>
      <c r="F1466" t="str">
        <f t="array" ref="F1466">if(iserror(index(fish_lab_data!C:C,match(B1466,fish_lab_data!C:C,0))),"not dissected","dissected")</f>
        <v>not dissected</v>
      </c>
    </row>
    <row r="1467">
      <c r="A1467" t="str">
        <f t="shared" si="1"/>
        <v/>
      </c>
      <c r="F1467" t="str">
        <f t="array" ref="F1467">if(iserror(index(fish_lab_data!C:C,match(B1467,fish_lab_data!C:C,0))),"not dissected","dissected")</f>
        <v>not dissected</v>
      </c>
    </row>
    <row r="1468">
      <c r="A1468" t="str">
        <f t="shared" si="1"/>
        <v/>
      </c>
      <c r="F1468" t="str">
        <f t="array" ref="F1468">if(iserror(index(fish_lab_data!C:C,match(B1468,fish_lab_data!C:C,0))),"not dissected","dissected")</f>
        <v>not dissected</v>
      </c>
    </row>
    <row r="1469">
      <c r="A1469" t="str">
        <f t="shared" si="1"/>
        <v/>
      </c>
      <c r="F1469" t="str">
        <f t="array" ref="F1469">if(iserror(index(fish_lab_data!C:C,match(B1469,fish_lab_data!C:C,0))),"not dissected","dissected")</f>
        <v>not dissected</v>
      </c>
    </row>
    <row r="1470">
      <c r="A1470" t="str">
        <f t="shared" si="1"/>
        <v/>
      </c>
      <c r="F1470" t="str">
        <f t="array" ref="F1470">if(iserror(index(fish_lab_data!C:C,match(B1470,fish_lab_data!C:C,0))),"not dissected","dissected")</f>
        <v>not dissected</v>
      </c>
    </row>
    <row r="1471">
      <c r="A1471" t="str">
        <f t="shared" si="1"/>
        <v/>
      </c>
      <c r="F1471" t="str">
        <f t="array" ref="F1471">if(iserror(index(fish_lab_data!C:C,match(B1471,fish_lab_data!C:C,0))),"not dissected","dissected")</f>
        <v>not dissected</v>
      </c>
    </row>
    <row r="1472">
      <c r="A1472" t="str">
        <f t="shared" si="1"/>
        <v/>
      </c>
      <c r="F1472" t="str">
        <f t="array" ref="F1472">if(iserror(index(fish_lab_data!C:C,match(B1472,fish_lab_data!C:C,0))),"not dissected","dissected")</f>
        <v>not dissected</v>
      </c>
    </row>
    <row r="1473">
      <c r="A1473" t="str">
        <f t="shared" si="1"/>
        <v/>
      </c>
      <c r="F1473" t="str">
        <f t="array" ref="F1473">if(iserror(index(fish_lab_data!C:C,match(B1473,fish_lab_data!C:C,0))),"not dissected","dissected")</f>
        <v>not dissected</v>
      </c>
    </row>
    <row r="1474">
      <c r="A1474" t="str">
        <f t="shared" si="1"/>
        <v/>
      </c>
      <c r="F1474" t="str">
        <f t="array" ref="F1474">if(iserror(index(fish_lab_data!C:C,match(B1474,fish_lab_data!C:C,0))),"not dissected","dissected")</f>
        <v>not dissected</v>
      </c>
    </row>
    <row r="1475">
      <c r="A1475" t="str">
        <f t="shared" si="1"/>
        <v/>
      </c>
      <c r="F1475" t="str">
        <f t="array" ref="F1475">if(iserror(index(fish_lab_data!C:C,match(B1475,fish_lab_data!C:C,0))),"not dissected","dissected")</f>
        <v>not dissected</v>
      </c>
    </row>
    <row r="1476">
      <c r="A1476" t="str">
        <f t="shared" si="1"/>
        <v/>
      </c>
      <c r="F1476" t="str">
        <f t="array" ref="F1476">if(iserror(index(fish_lab_data!C:C,match(B1476,fish_lab_data!C:C,0))),"not dissected","dissected")</f>
        <v>not dissected</v>
      </c>
    </row>
    <row r="1477">
      <c r="A1477" t="str">
        <f t="shared" si="1"/>
        <v/>
      </c>
      <c r="F1477" t="str">
        <f t="array" ref="F1477">if(iserror(index(fish_lab_data!C:C,match(B1477,fish_lab_data!C:C,0))),"not dissected","dissected")</f>
        <v>not dissected</v>
      </c>
    </row>
    <row r="1478">
      <c r="A1478" t="str">
        <f t="shared" si="1"/>
        <v/>
      </c>
      <c r="F1478" t="str">
        <f t="array" ref="F1478">if(iserror(index(fish_lab_data!C:C,match(B1478,fish_lab_data!C:C,0))),"not dissected","dissected")</f>
        <v>not dissected</v>
      </c>
    </row>
    <row r="1479">
      <c r="A1479" t="str">
        <f t="shared" si="1"/>
        <v/>
      </c>
      <c r="F1479" t="str">
        <f t="array" ref="F1479">if(iserror(index(fish_lab_data!C:C,match(B1479,fish_lab_data!C:C,0))),"not dissected","dissected")</f>
        <v>not dissected</v>
      </c>
    </row>
    <row r="1480">
      <c r="A1480" t="str">
        <f t="shared" si="1"/>
        <v/>
      </c>
      <c r="F1480" t="str">
        <f t="array" ref="F1480">if(iserror(index(fish_lab_data!C:C,match(B1480,fish_lab_data!C:C,0))),"not dissected","dissected")</f>
        <v>not dissected</v>
      </c>
    </row>
    <row r="1481">
      <c r="A1481" t="str">
        <f t="shared" si="1"/>
        <v/>
      </c>
      <c r="F1481" t="str">
        <f t="array" ref="F1481">if(iserror(index(fish_lab_data!C:C,match(B1481,fish_lab_data!C:C,0))),"not dissected","dissected")</f>
        <v>not dissected</v>
      </c>
    </row>
    <row r="1482">
      <c r="A1482" t="str">
        <f t="shared" si="1"/>
        <v/>
      </c>
      <c r="F1482" t="str">
        <f t="array" ref="F1482">if(iserror(index(fish_lab_data!C:C,match(B1482,fish_lab_data!C:C,0))),"not dissected","dissected")</f>
        <v>not dissected</v>
      </c>
    </row>
    <row r="1483">
      <c r="A1483" t="str">
        <f t="shared" si="1"/>
        <v/>
      </c>
      <c r="F1483" t="str">
        <f t="array" ref="F1483">if(iserror(index(fish_lab_data!C:C,match(B1483,fish_lab_data!C:C,0))),"not dissected","dissected")</f>
        <v>not dissected</v>
      </c>
    </row>
    <row r="1484">
      <c r="A1484" t="str">
        <f t="shared" si="1"/>
        <v/>
      </c>
      <c r="F1484" t="str">
        <f t="array" ref="F1484">if(iserror(index(fish_lab_data!C:C,match(B1484,fish_lab_data!C:C,0))),"not dissected","dissected")</f>
        <v>not dissected</v>
      </c>
    </row>
    <row r="1485">
      <c r="A1485" t="str">
        <f t="shared" si="1"/>
        <v/>
      </c>
      <c r="F1485" t="str">
        <f t="array" ref="F1485">if(iserror(index(fish_lab_data!C:C,match(B1485,fish_lab_data!C:C,0))),"not dissected","dissected")</f>
        <v>not dissected</v>
      </c>
    </row>
    <row r="1486">
      <c r="A1486" t="str">
        <f t="shared" si="1"/>
        <v/>
      </c>
      <c r="F1486" t="str">
        <f t="array" ref="F1486">if(iserror(index(fish_lab_data!C:C,match(B1486,fish_lab_data!C:C,0))),"not dissected","dissected")</f>
        <v>not dissected</v>
      </c>
    </row>
    <row r="1487">
      <c r="A1487" t="str">
        <f t="shared" si="1"/>
        <v/>
      </c>
      <c r="F1487" t="str">
        <f t="array" ref="F1487">if(iserror(index(fish_lab_data!C:C,match(B1487,fish_lab_data!C:C,0))),"not dissected","dissected")</f>
        <v>not dissected</v>
      </c>
    </row>
    <row r="1488">
      <c r="A1488" t="str">
        <f t="shared" si="1"/>
        <v/>
      </c>
      <c r="F1488" t="str">
        <f t="array" ref="F1488">if(iserror(index(fish_lab_data!C:C,match(B1488,fish_lab_data!C:C,0))),"not dissected","dissected")</f>
        <v>not dissected</v>
      </c>
    </row>
    <row r="1489">
      <c r="A1489" t="str">
        <f t="shared" si="1"/>
        <v/>
      </c>
      <c r="F1489" t="str">
        <f t="array" ref="F1489">if(iserror(index(fish_lab_data!C:C,match(B1489,fish_lab_data!C:C,0))),"not dissected","dissected")</f>
        <v>not dissected</v>
      </c>
    </row>
    <row r="1490">
      <c r="A1490" t="str">
        <f t="shared" si="1"/>
        <v/>
      </c>
      <c r="F1490" t="str">
        <f t="array" ref="F1490">if(iserror(index(fish_lab_data!C:C,match(B1490,fish_lab_data!C:C,0))),"not dissected","dissected")</f>
        <v>not dissected</v>
      </c>
    </row>
    <row r="1491">
      <c r="A1491" t="str">
        <f t="shared" si="1"/>
        <v/>
      </c>
      <c r="F1491" t="str">
        <f t="array" ref="F1491">if(iserror(index(fish_lab_data!C:C,match(B1491,fish_lab_data!C:C,0))),"not dissected","dissected")</f>
        <v>not dissected</v>
      </c>
    </row>
    <row r="1492">
      <c r="A1492" t="str">
        <f t="shared" si="1"/>
        <v/>
      </c>
      <c r="F1492" t="str">
        <f t="array" ref="F1492">if(iserror(index(fish_lab_data!C:C,match(B1492,fish_lab_data!C:C,0))),"not dissected","dissected")</f>
        <v>not dissected</v>
      </c>
    </row>
    <row r="1493">
      <c r="A1493" t="str">
        <f t="shared" si="1"/>
        <v/>
      </c>
      <c r="F1493" t="str">
        <f t="array" ref="F1493">if(iserror(index(fish_lab_data!C:C,match(B1493,fish_lab_data!C:C,0))),"not dissected","dissected")</f>
        <v>not dissected</v>
      </c>
    </row>
    <row r="1494">
      <c r="A1494" t="str">
        <f t="shared" si="1"/>
        <v/>
      </c>
      <c r="F1494" t="str">
        <f t="array" ref="F1494">if(iserror(index(fish_lab_data!C:C,match(B1494,fish_lab_data!C:C,0))),"not dissected","dissected")</f>
        <v>not dissected</v>
      </c>
    </row>
    <row r="1495">
      <c r="A1495" t="str">
        <f t="shared" si="1"/>
        <v/>
      </c>
      <c r="F1495" t="str">
        <f t="array" ref="F1495">if(iserror(index(fish_lab_data!C:C,match(B1495,fish_lab_data!C:C,0))),"not dissected","dissected")</f>
        <v>not dissected</v>
      </c>
    </row>
    <row r="1496">
      <c r="A1496" t="str">
        <f t="shared" si="1"/>
        <v/>
      </c>
      <c r="F1496" t="str">
        <f t="array" ref="F1496">if(iserror(index(fish_lab_data!C:C,match(B1496,fish_lab_data!C:C,0))),"not dissected","dissected")</f>
        <v>not dissected</v>
      </c>
    </row>
    <row r="1497">
      <c r="A1497" t="str">
        <f t="shared" si="1"/>
        <v/>
      </c>
      <c r="F1497" t="str">
        <f t="array" ref="F1497">if(iserror(index(fish_lab_data!C:C,match(B1497,fish_lab_data!C:C,0))),"not dissected","dissected")</f>
        <v>not dissected</v>
      </c>
    </row>
    <row r="1498">
      <c r="A1498" t="str">
        <f t="shared" si="1"/>
        <v/>
      </c>
      <c r="F1498" t="str">
        <f t="array" ref="F1498">if(iserror(index(fish_lab_data!C:C,match(B1498,fish_lab_data!C:C,0))),"not dissected","dissected")</f>
        <v>not dissected</v>
      </c>
    </row>
    <row r="1499">
      <c r="A1499" t="str">
        <f t="shared" si="1"/>
        <v/>
      </c>
      <c r="F1499" t="str">
        <f t="array" ref="F1499">if(iserror(index(fish_lab_data!C:C,match(B1499,fish_lab_data!C:C,0))),"not dissected","dissected")</f>
        <v>not dissected</v>
      </c>
    </row>
    <row r="1500">
      <c r="A1500" t="str">
        <f t="shared" si="1"/>
        <v/>
      </c>
      <c r="F1500" t="str">
        <f t="array" ref="F1500">if(iserror(index(fish_lab_data!C:C,match(B1500,fish_lab_data!C:C,0))),"not dissected","dissected")</f>
        <v>not dissected</v>
      </c>
    </row>
    <row r="1501">
      <c r="A1501" t="str">
        <f t="shared" si="1"/>
        <v/>
      </c>
      <c r="F1501" t="str">
        <f t="array" ref="F1501">if(iserror(index(fish_lab_data!C:C,match(B1501,fish_lab_data!C:C,0))),"not dissected","dissected")</f>
        <v>not dissected</v>
      </c>
    </row>
    <row r="1502">
      <c r="A1502" t="str">
        <f t="shared" si="1"/>
        <v/>
      </c>
      <c r="F1502" t="str">
        <f t="array" ref="F1502">if(iserror(index(fish_lab_data!C:C,match(B1502,fish_lab_data!C:C,0))),"not dissected","dissected")</f>
        <v>not dissected</v>
      </c>
    </row>
    <row r="1503">
      <c r="A1503" t="str">
        <f t="shared" si="1"/>
        <v/>
      </c>
      <c r="F1503" t="str">
        <f t="array" ref="F1503">if(iserror(index(fish_lab_data!C:C,match(B1503,fish_lab_data!C:C,0))),"not dissected","dissected")</f>
        <v>not dissected</v>
      </c>
    </row>
    <row r="1504">
      <c r="A1504" t="str">
        <f t="shared" si="1"/>
        <v/>
      </c>
      <c r="F1504" t="str">
        <f t="array" ref="F1504">if(iserror(index(fish_lab_data!C:C,match(B1504,fish_lab_data!C:C,0))),"not dissected","dissected")</f>
        <v>not dissected</v>
      </c>
    </row>
    <row r="1505">
      <c r="A1505" t="str">
        <f t="shared" si="1"/>
        <v/>
      </c>
      <c r="F1505" t="str">
        <f t="array" ref="F1505">if(iserror(index(fish_lab_data!C:C,match(B1505,fish_lab_data!C:C,0))),"not dissected","dissected")</f>
        <v>not dissected</v>
      </c>
    </row>
    <row r="1506">
      <c r="A1506" t="str">
        <f t="shared" si="1"/>
        <v/>
      </c>
      <c r="F1506" t="str">
        <f t="array" ref="F1506">if(iserror(index(fish_lab_data!C:C,match(B1506,fish_lab_data!C:C,0))),"not dissected","dissected")</f>
        <v>not dissected</v>
      </c>
    </row>
    <row r="1507">
      <c r="A1507" t="str">
        <f t="shared" si="1"/>
        <v/>
      </c>
      <c r="F1507" t="str">
        <f t="array" ref="F1507">if(iserror(index(fish_lab_data!C:C,match(B1507,fish_lab_data!C:C,0))),"not dissected","dissected")</f>
        <v>not dissected</v>
      </c>
    </row>
    <row r="1508">
      <c r="A1508" t="str">
        <f t="shared" si="1"/>
        <v/>
      </c>
      <c r="F1508" t="str">
        <f t="array" ref="F1508">if(iserror(index(fish_lab_data!C:C,match(B1508,fish_lab_data!C:C,0))),"not dissected","dissected")</f>
        <v>not dissected</v>
      </c>
    </row>
    <row r="1509">
      <c r="A1509" t="str">
        <f t="shared" si="1"/>
        <v/>
      </c>
      <c r="F1509" t="str">
        <f t="array" ref="F1509">if(iserror(index(fish_lab_data!C:C,match(B1509,fish_lab_data!C:C,0))),"not dissected","dissected")</f>
        <v>not dissected</v>
      </c>
    </row>
    <row r="1510">
      <c r="A1510" t="str">
        <f t="shared" si="1"/>
        <v/>
      </c>
      <c r="F1510" t="str">
        <f t="array" ref="F1510">if(iserror(index(fish_lab_data!C:C,match(B1510,fish_lab_data!C:C,0))),"not dissected","dissected")</f>
        <v>not dissected</v>
      </c>
    </row>
    <row r="1511">
      <c r="A1511" t="str">
        <f t="shared" si="1"/>
        <v/>
      </c>
      <c r="F1511" t="str">
        <f t="array" ref="F1511">if(iserror(index(fish_lab_data!C:C,match(B1511,fish_lab_data!C:C,0))),"not dissected","dissected")</f>
        <v>not dissected</v>
      </c>
    </row>
    <row r="1512">
      <c r="A1512" t="str">
        <f t="shared" si="1"/>
        <v/>
      </c>
      <c r="F1512" t="str">
        <f t="array" ref="F1512">if(iserror(index(fish_lab_data!C:C,match(B1512,fish_lab_data!C:C,0))),"not dissected","dissected")</f>
        <v>not dissected</v>
      </c>
    </row>
    <row r="1513">
      <c r="A1513" t="str">
        <f t="shared" si="1"/>
        <v/>
      </c>
      <c r="F1513" t="str">
        <f t="array" ref="F1513">if(iserror(index(fish_lab_data!C:C,match(B1513,fish_lab_data!C:C,0))),"not dissected","dissected")</f>
        <v>not dissected</v>
      </c>
    </row>
    <row r="1514">
      <c r="A1514" t="str">
        <f t="shared" si="1"/>
        <v/>
      </c>
      <c r="F1514" t="str">
        <f t="array" ref="F1514">if(iserror(index(fish_lab_data!C:C,match(B1514,fish_lab_data!C:C,0))),"not dissected","dissected")</f>
        <v>not dissected</v>
      </c>
    </row>
    <row r="1515">
      <c r="A1515" t="str">
        <f t="shared" si="1"/>
        <v/>
      </c>
      <c r="F1515" t="str">
        <f t="array" ref="F1515">if(iserror(index(fish_lab_data!C:C,match(B1515,fish_lab_data!C:C,0))),"not dissected","dissected")</f>
        <v>not dissected</v>
      </c>
    </row>
    <row r="1516">
      <c r="A1516" t="str">
        <f t="shared" si="1"/>
        <v/>
      </c>
      <c r="F1516" t="str">
        <f t="array" ref="F1516">if(iserror(index(fish_lab_data!C:C,match(B1516,fish_lab_data!C:C,0))),"not dissected","dissected")</f>
        <v>not dissected</v>
      </c>
    </row>
    <row r="1517">
      <c r="A1517" t="str">
        <f t="shared" si="1"/>
        <v/>
      </c>
      <c r="F1517" t="str">
        <f t="array" ref="F1517">if(iserror(index(fish_lab_data!C:C,match(B1517,fish_lab_data!C:C,0))),"not dissected","dissected")</f>
        <v>not dissected</v>
      </c>
    </row>
    <row r="1518">
      <c r="A1518" t="str">
        <f t="shared" si="1"/>
        <v/>
      </c>
      <c r="F1518" t="str">
        <f t="array" ref="F1518">if(iserror(index(fish_lab_data!C:C,match(B1518,fish_lab_data!C:C,0))),"not dissected","dissected")</f>
        <v>not dissected</v>
      </c>
    </row>
    <row r="1519">
      <c r="A1519" t="str">
        <f t="shared" si="1"/>
        <v/>
      </c>
      <c r="F1519" t="str">
        <f t="array" ref="F1519">if(iserror(index(fish_lab_data!C:C,match(B1519,fish_lab_data!C:C,0))),"not dissected","dissected")</f>
        <v>not dissected</v>
      </c>
    </row>
    <row r="1520">
      <c r="A1520" t="str">
        <f t="shared" si="1"/>
        <v/>
      </c>
      <c r="F1520" t="str">
        <f t="array" ref="F1520">if(iserror(index(fish_lab_data!C:C,match(B1520,fish_lab_data!C:C,0))),"not dissected","dissected")</f>
        <v>not dissected</v>
      </c>
    </row>
    <row r="1521">
      <c r="A1521" t="str">
        <f t="shared" si="1"/>
        <v/>
      </c>
      <c r="F1521" t="str">
        <f t="array" ref="F1521">if(iserror(index(fish_lab_data!C:C,match(B1521,fish_lab_data!C:C,0))),"not dissected","dissected")</f>
        <v>not dissected</v>
      </c>
    </row>
    <row r="1522">
      <c r="A1522" t="str">
        <f t="shared" si="1"/>
        <v/>
      </c>
      <c r="F1522" t="str">
        <f t="array" ref="F1522">if(iserror(index(fish_lab_data!C:C,match(B1522,fish_lab_data!C:C,0))),"not dissected","dissected")</f>
        <v>not dissected</v>
      </c>
    </row>
    <row r="1523">
      <c r="A1523" t="str">
        <f t="shared" si="1"/>
        <v/>
      </c>
      <c r="F1523" t="str">
        <f t="array" ref="F1523">if(iserror(index(fish_lab_data!C:C,match(B1523,fish_lab_data!C:C,0))),"not dissected","dissected")</f>
        <v>not dissected</v>
      </c>
    </row>
    <row r="1524">
      <c r="A1524" t="str">
        <f t="shared" si="1"/>
        <v/>
      </c>
      <c r="F1524" t="str">
        <f t="array" ref="F1524">if(iserror(index(fish_lab_data!C:C,match(B1524,fish_lab_data!C:C,0))),"not dissected","dissected")</f>
        <v>not dissected</v>
      </c>
    </row>
    <row r="1525">
      <c r="A1525" t="str">
        <f t="shared" si="1"/>
        <v/>
      </c>
      <c r="F1525" t="str">
        <f t="array" ref="F1525">if(iserror(index(fish_lab_data!C:C,match(B1525,fish_lab_data!C:C,0))),"not dissected","dissected")</f>
        <v>not dissected</v>
      </c>
    </row>
    <row r="1526">
      <c r="A1526" t="str">
        <f t="shared" si="1"/>
        <v/>
      </c>
      <c r="F1526" t="str">
        <f t="array" ref="F1526">if(iserror(index(fish_lab_data!C:C,match(B1526,fish_lab_data!C:C,0))),"not dissected","dissected")</f>
        <v>not dissected</v>
      </c>
    </row>
    <row r="1527">
      <c r="A1527" t="str">
        <f t="shared" si="1"/>
        <v/>
      </c>
      <c r="F1527" t="str">
        <f t="array" ref="F1527">if(iserror(index(fish_lab_data!C:C,match(B1527,fish_lab_data!C:C,0))),"not dissected","dissected")</f>
        <v>not dissected</v>
      </c>
    </row>
    <row r="1528">
      <c r="A1528" t="str">
        <f t="shared" si="1"/>
        <v/>
      </c>
      <c r="F1528" t="str">
        <f t="array" ref="F1528">if(iserror(index(fish_lab_data!C:C,match(B1528,fish_lab_data!C:C,0))),"not dissected","dissected")</f>
        <v>not dissected</v>
      </c>
    </row>
    <row r="1529">
      <c r="A1529" t="str">
        <f t="shared" si="1"/>
        <v/>
      </c>
      <c r="F1529" t="str">
        <f t="array" ref="F1529">if(iserror(index(fish_lab_data!C:C,match(B1529,fish_lab_data!C:C,0))),"not dissected","dissected")</f>
        <v>not dissected</v>
      </c>
    </row>
    <row r="1530">
      <c r="A1530" t="str">
        <f t="shared" si="1"/>
        <v/>
      </c>
      <c r="F1530" t="str">
        <f t="array" ref="F1530">if(iserror(index(fish_lab_data!C:C,match(B1530,fish_lab_data!C:C,0))),"not dissected","dissected")</f>
        <v>not dissected</v>
      </c>
    </row>
    <row r="1531">
      <c r="A1531" t="str">
        <f t="shared" si="1"/>
        <v/>
      </c>
      <c r="F1531" t="str">
        <f t="array" ref="F1531">if(iserror(index(fish_lab_data!C:C,match(B1531,fish_lab_data!C:C,0))),"not dissected","dissected")</f>
        <v>not dissected</v>
      </c>
    </row>
    <row r="1532">
      <c r="A1532" t="str">
        <f t="shared" si="1"/>
        <v/>
      </c>
      <c r="F1532" t="str">
        <f t="array" ref="F1532">if(iserror(index(fish_lab_data!C:C,match(B1532,fish_lab_data!C:C,0))),"not dissected","dissected")</f>
        <v>not dissected</v>
      </c>
    </row>
    <row r="1533">
      <c r="A1533" t="str">
        <f t="shared" si="1"/>
        <v/>
      </c>
      <c r="F1533" t="str">
        <f t="array" ref="F1533">if(iserror(index(fish_lab_data!C:C,match(B1533,fish_lab_data!C:C,0))),"not dissected","dissected")</f>
        <v>not dissected</v>
      </c>
    </row>
    <row r="1534">
      <c r="A1534" t="str">
        <f t="shared" si="1"/>
        <v/>
      </c>
      <c r="F1534" t="str">
        <f t="array" ref="F1534">if(iserror(index(fish_lab_data!C:C,match(B1534,fish_lab_data!C:C,0))),"not dissected","dissected")</f>
        <v>not dissected</v>
      </c>
    </row>
    <row r="1535">
      <c r="A1535" t="str">
        <f t="shared" si="1"/>
        <v/>
      </c>
      <c r="F1535" t="str">
        <f t="array" ref="F1535">if(iserror(index(fish_lab_data!C:C,match(B1535,fish_lab_data!C:C,0))),"not dissected","dissected")</f>
        <v>not dissected</v>
      </c>
    </row>
    <row r="1536">
      <c r="A1536" t="str">
        <f t="shared" si="1"/>
        <v/>
      </c>
      <c r="F1536" t="str">
        <f t="array" ref="F1536">if(iserror(index(fish_lab_data!C:C,match(B1536,fish_lab_data!C:C,0))),"not dissected","dissected")</f>
        <v>not dissected</v>
      </c>
    </row>
    <row r="1537">
      <c r="A1537" t="str">
        <f t="shared" si="1"/>
        <v/>
      </c>
      <c r="F1537" t="str">
        <f t="array" ref="F1537">if(iserror(index(fish_lab_data!C:C,match(B1537,fish_lab_data!C:C,0))),"not dissected","dissected")</f>
        <v>not dissected</v>
      </c>
    </row>
    <row r="1538">
      <c r="A1538" t="str">
        <f t="shared" si="1"/>
        <v/>
      </c>
      <c r="F1538" t="str">
        <f t="array" ref="F1538">if(iserror(index(fish_lab_data!C:C,match(B1538,fish_lab_data!C:C,0))),"not dissected","dissected")</f>
        <v>not dissected</v>
      </c>
    </row>
    <row r="1539">
      <c r="A1539" t="str">
        <f t="shared" si="1"/>
        <v/>
      </c>
      <c r="F1539" t="str">
        <f t="array" ref="F1539">if(iserror(index(fish_lab_data!C:C,match(B1539,fish_lab_data!C:C,0))),"not dissected","dissected")</f>
        <v>not dissected</v>
      </c>
    </row>
    <row r="1540">
      <c r="A1540" t="str">
        <f t="shared" si="1"/>
        <v/>
      </c>
      <c r="F1540" t="str">
        <f t="array" ref="F1540">if(iserror(index(fish_lab_data!C:C,match(B1540,fish_lab_data!C:C,0))),"not dissected","dissected")</f>
        <v>not dissected</v>
      </c>
    </row>
    <row r="1541">
      <c r="A1541" t="str">
        <f t="shared" si="1"/>
        <v/>
      </c>
      <c r="F1541" t="str">
        <f t="array" ref="F1541">if(iserror(index(fish_lab_data!C:C,match(B1541,fish_lab_data!C:C,0))),"not dissected","dissected")</f>
        <v>not dissected</v>
      </c>
    </row>
    <row r="1542">
      <c r="A1542" t="str">
        <f t="shared" si="1"/>
        <v/>
      </c>
      <c r="F1542" t="str">
        <f t="array" ref="F1542">if(iserror(index(fish_lab_data!C:C,match(B1542,fish_lab_data!C:C,0))),"not dissected","dissected")</f>
        <v>not dissected</v>
      </c>
    </row>
    <row r="1543">
      <c r="A1543" t="str">
        <f t="shared" si="1"/>
        <v/>
      </c>
      <c r="F1543" t="str">
        <f t="array" ref="F1543">if(iserror(index(fish_lab_data!C:C,match(B1543,fish_lab_data!C:C,0))),"not dissected","dissected")</f>
        <v>not dissected</v>
      </c>
    </row>
    <row r="1544">
      <c r="A1544" t="str">
        <f t="shared" si="1"/>
        <v/>
      </c>
      <c r="F1544" t="str">
        <f t="array" ref="F1544">if(iserror(index(fish_lab_data!C:C,match(B1544,fish_lab_data!C:C,0))),"not dissected","dissected")</f>
        <v>not dissected</v>
      </c>
    </row>
    <row r="1545">
      <c r="A1545" t="str">
        <f t="shared" si="1"/>
        <v/>
      </c>
      <c r="F1545" t="str">
        <f t="array" ref="F1545">if(iserror(index(fish_lab_data!C:C,match(B1545,fish_lab_data!C:C,0))),"not dissected","dissected")</f>
        <v>not dissected</v>
      </c>
    </row>
    <row r="1546">
      <c r="A1546" t="str">
        <f t="shared" si="1"/>
        <v/>
      </c>
      <c r="F1546" t="str">
        <f t="array" ref="F1546">if(iserror(index(fish_lab_data!C:C,match(B1546,fish_lab_data!C:C,0))),"not dissected","dissected")</f>
        <v>not dissected</v>
      </c>
    </row>
    <row r="1547">
      <c r="A1547" t="str">
        <f t="shared" si="1"/>
        <v/>
      </c>
      <c r="F1547" t="str">
        <f t="array" ref="F1547">if(iserror(index(fish_lab_data!C:C,match(B1547,fish_lab_data!C:C,0))),"not dissected","dissected")</f>
        <v>not dissected</v>
      </c>
    </row>
    <row r="1548">
      <c r="A1548" t="str">
        <f t="shared" si="1"/>
        <v/>
      </c>
      <c r="F1548" t="str">
        <f t="array" ref="F1548">if(iserror(index(fish_lab_data!C:C,match(B1548,fish_lab_data!C:C,0))),"not dissected","dissected")</f>
        <v>not dissected</v>
      </c>
    </row>
    <row r="1549">
      <c r="A1549" t="str">
        <f t="shared" si="1"/>
        <v/>
      </c>
      <c r="F1549" t="str">
        <f t="array" ref="F1549">if(iserror(index(fish_lab_data!C:C,match(B1549,fish_lab_data!C:C,0))),"not dissected","dissected")</f>
        <v>not dissected</v>
      </c>
    </row>
    <row r="1550">
      <c r="A1550" t="str">
        <f t="shared" si="1"/>
        <v/>
      </c>
      <c r="F1550" t="str">
        <f t="array" ref="F1550">if(iserror(index(fish_lab_data!C:C,match(B1550,fish_lab_data!C:C,0))),"not dissected","dissected")</f>
        <v>not dissected</v>
      </c>
    </row>
    <row r="1551">
      <c r="A1551" t="str">
        <f t="shared" si="1"/>
        <v/>
      </c>
      <c r="F1551" t="str">
        <f t="array" ref="F1551">if(iserror(index(fish_lab_data!C:C,match(B1551,fish_lab_data!C:C,0))),"not dissected","dissected")</f>
        <v>not dissected</v>
      </c>
    </row>
    <row r="1552">
      <c r="A1552" t="str">
        <f t="shared" si="1"/>
        <v/>
      </c>
      <c r="F1552" t="str">
        <f t="array" ref="F1552">if(iserror(index(fish_lab_data!C:C,match(B1552,fish_lab_data!C:C,0))),"not dissected","dissected")</f>
        <v>not dissected</v>
      </c>
    </row>
    <row r="1553">
      <c r="A1553" t="str">
        <f t="shared" si="1"/>
        <v/>
      </c>
      <c r="F1553" t="str">
        <f t="array" ref="F1553">if(iserror(index(fish_lab_data!C:C,match(B1553,fish_lab_data!C:C,0))),"not dissected","dissected")</f>
        <v>not dissected</v>
      </c>
    </row>
    <row r="1554">
      <c r="A1554" t="str">
        <f t="shared" si="1"/>
        <v/>
      </c>
      <c r="F1554" t="str">
        <f t="array" ref="F1554">if(iserror(index(fish_lab_data!C:C,match(B1554,fish_lab_data!C:C,0))),"not dissected","dissected")</f>
        <v>not dissected</v>
      </c>
    </row>
    <row r="1555">
      <c r="A1555" t="str">
        <f t="shared" si="1"/>
        <v/>
      </c>
      <c r="F1555" t="str">
        <f t="array" ref="F1555">if(iserror(index(fish_lab_data!C:C,match(B1555,fish_lab_data!C:C,0))),"not dissected","dissected")</f>
        <v>not dissected</v>
      </c>
    </row>
    <row r="1556">
      <c r="A1556" t="str">
        <f t="shared" si="1"/>
        <v/>
      </c>
      <c r="F1556" t="str">
        <f t="array" ref="F1556">if(iserror(index(fish_lab_data!C:C,match(B1556,fish_lab_data!C:C,0))),"not dissected","dissected")</f>
        <v>not dissected</v>
      </c>
    </row>
    <row r="1557">
      <c r="A1557" t="str">
        <f t="shared" si="1"/>
        <v/>
      </c>
      <c r="F1557" t="str">
        <f t="array" ref="F1557">if(iserror(index(fish_lab_data!C:C,match(B1557,fish_lab_data!C:C,0))),"not dissected","dissected")</f>
        <v>not dissected</v>
      </c>
    </row>
    <row r="1558">
      <c r="A1558" t="str">
        <f t="shared" si="1"/>
        <v/>
      </c>
      <c r="F1558" t="str">
        <f t="array" ref="F1558">if(iserror(index(fish_lab_data!C:C,match(B1558,fish_lab_data!C:C,0))),"not dissected","dissected")</f>
        <v>not dissected</v>
      </c>
    </row>
    <row r="1559">
      <c r="A1559" t="str">
        <f t="shared" si="1"/>
        <v/>
      </c>
      <c r="F1559" t="str">
        <f t="array" ref="F1559">if(iserror(index(fish_lab_data!C:C,match(B1559,fish_lab_data!C:C,0))),"not dissected","dissected")</f>
        <v>not dissected</v>
      </c>
    </row>
    <row r="1560">
      <c r="A1560" t="str">
        <f t="shared" si="1"/>
        <v/>
      </c>
      <c r="F1560" t="str">
        <f t="array" ref="F1560">if(iserror(index(fish_lab_data!C:C,match(B1560,fish_lab_data!C:C,0))),"not dissected","dissected")</f>
        <v>not dissected</v>
      </c>
    </row>
    <row r="1561">
      <c r="A1561" t="str">
        <f t="shared" si="1"/>
        <v/>
      </c>
      <c r="F1561" t="str">
        <f t="array" ref="F1561">if(iserror(index(fish_lab_data!C:C,match(B1561,fish_lab_data!C:C,0))),"not dissected","dissected")</f>
        <v>not dissected</v>
      </c>
    </row>
    <row r="1562">
      <c r="A1562" t="str">
        <f t="shared" si="1"/>
        <v/>
      </c>
      <c r="F1562" t="str">
        <f t="array" ref="F1562">if(iserror(index(fish_lab_data!C:C,match(B1562,fish_lab_data!C:C,0))),"not dissected","dissected")</f>
        <v>not dissected</v>
      </c>
    </row>
    <row r="1563">
      <c r="A1563" t="str">
        <f t="shared" si="1"/>
        <v/>
      </c>
      <c r="F1563" t="str">
        <f t="array" ref="F1563">if(iserror(index(fish_lab_data!C:C,match(B1563,fish_lab_data!C:C,0))),"not dissected","dissected")</f>
        <v>not dissected</v>
      </c>
    </row>
    <row r="1564">
      <c r="A1564" t="str">
        <f t="shared" si="1"/>
        <v/>
      </c>
      <c r="F1564" t="str">
        <f t="array" ref="F1564">if(iserror(index(fish_lab_data!C:C,match(B1564,fish_lab_data!C:C,0))),"not dissected","dissected")</f>
        <v>not dissected</v>
      </c>
    </row>
    <row r="1565">
      <c r="A1565" t="str">
        <f t="shared" si="1"/>
        <v/>
      </c>
      <c r="F1565" t="str">
        <f t="array" ref="F1565">if(iserror(index(fish_lab_data!C:C,match(B1565,fish_lab_data!C:C,0))),"not dissected","dissected")</f>
        <v>not dissected</v>
      </c>
    </row>
    <row r="1566">
      <c r="A1566" t="str">
        <f t="shared" si="1"/>
        <v/>
      </c>
      <c r="F1566" t="str">
        <f t="array" ref="F1566">if(iserror(index(fish_lab_data!C:C,match(B1566,fish_lab_data!C:C,0))),"not dissected","dissected")</f>
        <v>not dissected</v>
      </c>
    </row>
    <row r="1567">
      <c r="A1567" t="str">
        <f t="shared" si="1"/>
        <v/>
      </c>
      <c r="F1567" t="str">
        <f t="array" ref="F1567">if(iserror(index(fish_lab_data!C:C,match(B1567,fish_lab_data!C:C,0))),"not dissected","dissected")</f>
        <v>not dissected</v>
      </c>
    </row>
    <row r="1568">
      <c r="A1568" t="str">
        <f t="shared" si="1"/>
        <v/>
      </c>
      <c r="F1568" t="str">
        <f t="array" ref="F1568">if(iserror(index(fish_lab_data!C:C,match(B1568,fish_lab_data!C:C,0))),"not dissected","dissected")</f>
        <v>not dissected</v>
      </c>
    </row>
    <row r="1569">
      <c r="A1569" t="str">
        <f t="shared" si="1"/>
        <v/>
      </c>
      <c r="F1569" t="str">
        <f t="array" ref="F1569">if(iserror(index(fish_lab_data!C:C,match(B1569,fish_lab_data!C:C,0))),"not dissected","dissected")</f>
        <v>not dissected</v>
      </c>
    </row>
    <row r="1570">
      <c r="A1570" t="str">
        <f t="shared" si="1"/>
        <v/>
      </c>
      <c r="F1570" t="str">
        <f t="array" ref="F1570">if(iserror(index(fish_lab_data!C:C,match(B1570,fish_lab_data!C:C,0))),"not dissected","dissected")</f>
        <v>not dissected</v>
      </c>
    </row>
    <row r="1571">
      <c r="A1571" t="str">
        <f t="shared" si="1"/>
        <v/>
      </c>
      <c r="F1571" t="str">
        <f t="array" ref="F1571">if(iserror(index(fish_lab_data!C:C,match(B1571,fish_lab_data!C:C,0))),"not dissected","dissected")</f>
        <v>not dissected</v>
      </c>
    </row>
    <row r="1572">
      <c r="A1572" t="str">
        <f t="shared" si="1"/>
        <v/>
      </c>
      <c r="F1572" t="str">
        <f t="array" ref="F1572">if(iserror(index(fish_lab_data!C:C,match(B1572,fish_lab_data!C:C,0))),"not dissected","dissected")</f>
        <v>not dissected</v>
      </c>
    </row>
    <row r="1573">
      <c r="A1573" t="str">
        <f t="shared" si="1"/>
        <v/>
      </c>
      <c r="F1573" t="str">
        <f t="array" ref="F1573">if(iserror(index(fish_lab_data!C:C,match(B1573,fish_lab_data!C:C,0))),"not dissected","dissected")</f>
        <v>not dissected</v>
      </c>
    </row>
    <row r="1574">
      <c r="A1574" t="str">
        <f t="shared" si="1"/>
        <v/>
      </c>
      <c r="F1574" t="str">
        <f t="array" ref="F1574">if(iserror(index(fish_lab_data!C:C,match(B1574,fish_lab_data!C:C,0))),"not dissected","dissected")</f>
        <v>not dissected</v>
      </c>
    </row>
    <row r="1575">
      <c r="A1575" t="str">
        <f t="shared" si="1"/>
        <v/>
      </c>
      <c r="F1575" t="str">
        <f t="array" ref="F1575">if(iserror(index(fish_lab_data!C:C,match(B1575,fish_lab_data!C:C,0))),"not dissected","dissected")</f>
        <v>not dissected</v>
      </c>
    </row>
    <row r="1576">
      <c r="A1576" t="str">
        <f t="shared" si="1"/>
        <v/>
      </c>
      <c r="F1576" t="str">
        <f t="array" ref="F1576">if(iserror(index(fish_lab_data!C:C,match(B1576,fish_lab_data!C:C,0))),"not dissected","dissected")</f>
        <v>not dissected</v>
      </c>
    </row>
    <row r="1577">
      <c r="A1577" t="str">
        <f t="shared" si="1"/>
        <v/>
      </c>
      <c r="F1577" t="str">
        <f t="array" ref="F1577">if(iserror(index(fish_lab_data!C:C,match(B1577,fish_lab_data!C:C,0))),"not dissected","dissected")</f>
        <v>not dissected</v>
      </c>
    </row>
    <row r="1578">
      <c r="A1578" t="str">
        <f t="shared" si="1"/>
        <v/>
      </c>
      <c r="F1578" t="str">
        <f t="array" ref="F1578">if(iserror(index(fish_lab_data!C:C,match(B1578,fish_lab_data!C:C,0))),"not dissected","dissected")</f>
        <v>not dissected</v>
      </c>
    </row>
    <row r="1579">
      <c r="A1579" t="str">
        <f t="shared" si="1"/>
        <v/>
      </c>
      <c r="F1579" t="str">
        <f t="array" ref="F1579">if(iserror(index(fish_lab_data!C:C,match(B1579,fish_lab_data!C:C,0))),"not dissected","dissected")</f>
        <v>not dissected</v>
      </c>
    </row>
    <row r="1580">
      <c r="A1580" t="str">
        <f t="shared" si="1"/>
        <v/>
      </c>
      <c r="F1580" t="str">
        <f t="array" ref="F1580">if(iserror(index(fish_lab_data!C:C,match(B1580,fish_lab_data!C:C,0))),"not dissected","dissected")</f>
        <v>not dissected</v>
      </c>
    </row>
    <row r="1581">
      <c r="A1581" t="str">
        <f t="shared" si="1"/>
        <v/>
      </c>
      <c r="F1581" t="str">
        <f t="array" ref="F1581">if(iserror(index(fish_lab_data!C:C,match(B1581,fish_lab_data!C:C,0))),"not dissected","dissected")</f>
        <v>not dissected</v>
      </c>
    </row>
    <row r="1582">
      <c r="A1582" t="str">
        <f t="shared" si="1"/>
        <v/>
      </c>
      <c r="F1582" t="str">
        <f t="array" ref="F1582">if(iserror(index(fish_lab_data!C:C,match(B1582,fish_lab_data!C:C,0))),"not dissected","dissected")</f>
        <v>not dissected</v>
      </c>
    </row>
    <row r="1583">
      <c r="A1583" t="str">
        <f t="shared" si="1"/>
        <v/>
      </c>
      <c r="F1583" t="str">
        <f t="array" ref="F1583">if(iserror(index(fish_lab_data!C:C,match(B1583,fish_lab_data!C:C,0))),"not dissected","dissected")</f>
        <v>not dissected</v>
      </c>
    </row>
    <row r="1584">
      <c r="A1584" t="str">
        <f t="shared" si="1"/>
        <v/>
      </c>
      <c r="F1584" t="str">
        <f t="array" ref="F1584">if(iserror(index(fish_lab_data!C:C,match(B1584,fish_lab_data!C:C,0))),"not dissected","dissected")</f>
        <v>not dissected</v>
      </c>
    </row>
    <row r="1585">
      <c r="A1585" t="str">
        <f t="shared" si="1"/>
        <v/>
      </c>
      <c r="F1585" t="str">
        <f t="array" ref="F1585">if(iserror(index(fish_lab_data!C:C,match(B1585,fish_lab_data!C:C,0))),"not dissected","dissected")</f>
        <v>not dissected</v>
      </c>
    </row>
    <row r="1586">
      <c r="A1586" t="str">
        <f t="shared" si="1"/>
        <v/>
      </c>
      <c r="F1586" t="str">
        <f t="array" ref="F1586">if(iserror(index(fish_lab_data!C:C,match(B1586,fish_lab_data!C:C,0))),"not dissected","dissected")</f>
        <v>not dissected</v>
      </c>
    </row>
    <row r="1587">
      <c r="A1587" t="str">
        <f t="shared" si="1"/>
        <v/>
      </c>
      <c r="F1587" t="str">
        <f t="array" ref="F1587">if(iserror(index(fish_lab_data!C:C,match(B1587,fish_lab_data!C:C,0))),"not dissected","dissected")</f>
        <v>not dissected</v>
      </c>
    </row>
    <row r="1588">
      <c r="A1588" t="str">
        <f t="shared" si="1"/>
        <v/>
      </c>
      <c r="F1588" t="str">
        <f t="array" ref="F1588">if(iserror(index(fish_lab_data!C:C,match(B1588,fish_lab_data!C:C,0))),"not dissected","dissected")</f>
        <v>not dissected</v>
      </c>
    </row>
    <row r="1589">
      <c r="A1589" t="str">
        <f t="shared" si="1"/>
        <v/>
      </c>
      <c r="F1589" t="str">
        <f t="array" ref="F1589">if(iserror(index(fish_lab_data!C:C,match(B1589,fish_lab_data!C:C,0))),"not dissected","dissected")</f>
        <v>not dissected</v>
      </c>
    </row>
    <row r="1590">
      <c r="A1590" t="str">
        <f t="shared" si="1"/>
        <v/>
      </c>
      <c r="F1590" t="str">
        <f t="array" ref="F1590">if(iserror(index(fish_lab_data!C:C,match(B1590,fish_lab_data!C:C,0))),"not dissected","dissected")</f>
        <v>not dissected</v>
      </c>
    </row>
    <row r="1591">
      <c r="A1591" t="str">
        <f t="shared" si="1"/>
        <v/>
      </c>
      <c r="F1591" t="str">
        <f t="array" ref="F1591">if(iserror(index(fish_lab_data!C:C,match(B1591,fish_lab_data!C:C,0))),"not dissected","dissected")</f>
        <v>not dissected</v>
      </c>
    </row>
    <row r="1592">
      <c r="A1592" t="str">
        <f t="shared" si="1"/>
        <v/>
      </c>
      <c r="F1592" t="str">
        <f t="array" ref="F1592">if(iserror(index(fish_lab_data!C:C,match(B1592,fish_lab_data!C:C,0))),"not dissected","dissected")</f>
        <v>not dissected</v>
      </c>
    </row>
    <row r="1593">
      <c r="A1593" t="str">
        <f t="shared" si="1"/>
        <v/>
      </c>
      <c r="F1593" t="str">
        <f t="array" ref="F1593">if(iserror(index(fish_lab_data!C:C,match(B1593,fish_lab_data!C:C,0))),"not dissected","dissected")</f>
        <v>not dissected</v>
      </c>
    </row>
    <row r="1594">
      <c r="A1594" t="str">
        <f t="shared" si="1"/>
        <v/>
      </c>
      <c r="F1594" t="str">
        <f t="array" ref="F1594">if(iserror(index(fish_lab_data!C:C,match(B1594,fish_lab_data!C:C,0))),"not dissected","dissected")</f>
        <v>not dissected</v>
      </c>
    </row>
    <row r="1595">
      <c r="A1595" t="str">
        <f t="shared" si="1"/>
        <v/>
      </c>
      <c r="F1595" t="str">
        <f t="array" ref="F1595">if(iserror(index(fish_lab_data!C:C,match(B1595,fish_lab_data!C:C,0))),"not dissected","dissected")</f>
        <v>not dissected</v>
      </c>
    </row>
    <row r="1596">
      <c r="A1596" t="str">
        <f t="shared" si="1"/>
        <v/>
      </c>
      <c r="F1596" t="str">
        <f t="array" ref="F1596">if(iserror(index(fish_lab_data!C:C,match(B1596,fish_lab_data!C:C,0))),"not dissected","dissected")</f>
        <v>not dissected</v>
      </c>
    </row>
    <row r="1597">
      <c r="A1597" t="str">
        <f t="shared" si="1"/>
        <v/>
      </c>
      <c r="F1597" t="str">
        <f t="array" ref="F1597">if(iserror(index(fish_lab_data!C:C,match(B1597,fish_lab_data!C:C,0))),"not dissected","dissected")</f>
        <v>not dissected</v>
      </c>
    </row>
    <row r="1598">
      <c r="A1598" t="str">
        <f t="shared" si="1"/>
        <v/>
      </c>
      <c r="F1598" t="str">
        <f t="array" ref="F1598">if(iserror(index(fish_lab_data!C:C,match(B1598,fish_lab_data!C:C,0))),"not dissected","dissected")</f>
        <v>not dissected</v>
      </c>
    </row>
    <row r="1599">
      <c r="A1599" t="str">
        <f t="shared" si="1"/>
        <v/>
      </c>
      <c r="F1599" t="str">
        <f t="array" ref="F1599">if(iserror(index(fish_lab_data!C:C,match(B1599,fish_lab_data!C:C,0))),"not dissected","dissected")</f>
        <v>not dissected</v>
      </c>
    </row>
    <row r="1600">
      <c r="A1600" t="str">
        <f t="shared" si="1"/>
        <v/>
      </c>
      <c r="F1600" t="str">
        <f t="array" ref="F1600">if(iserror(index(fish_lab_data!C:C,match(B1600,fish_lab_data!C:C,0))),"not dissected","dissected")</f>
        <v>not dissected</v>
      </c>
    </row>
    <row r="1601">
      <c r="A1601" t="str">
        <f t="shared" si="1"/>
        <v/>
      </c>
      <c r="F1601" t="str">
        <f t="array" ref="F1601">if(iserror(index(fish_lab_data!C:C,match(B1601,fish_lab_data!C:C,0))),"not dissected","dissected")</f>
        <v>not dissected</v>
      </c>
    </row>
    <row r="1602">
      <c r="A1602" t="str">
        <f t="shared" si="1"/>
        <v/>
      </c>
      <c r="F1602" t="str">
        <f t="array" ref="F1602">if(iserror(index(fish_lab_data!C:C,match(B1602,fish_lab_data!C:C,0))),"not dissected","dissected")</f>
        <v>not dissected</v>
      </c>
    </row>
    <row r="1603">
      <c r="A1603" t="str">
        <f t="shared" si="1"/>
        <v/>
      </c>
      <c r="F1603" t="str">
        <f t="array" ref="F1603">if(iserror(index(fish_lab_data!C:C,match(B1603,fish_lab_data!C:C,0))),"not dissected","dissected")</f>
        <v>not dissected</v>
      </c>
    </row>
    <row r="1604">
      <c r="A1604" t="str">
        <f t="shared" si="1"/>
        <v/>
      </c>
      <c r="F1604" t="str">
        <f t="array" ref="F1604">if(iserror(index(fish_lab_data!C:C,match(B1604,fish_lab_data!C:C,0))),"not dissected","dissected")</f>
        <v>not dissected</v>
      </c>
    </row>
    <row r="1605">
      <c r="A1605" t="str">
        <f t="shared" si="1"/>
        <v/>
      </c>
      <c r="F1605" t="str">
        <f t="array" ref="F1605">if(iserror(index(fish_lab_data!C:C,match(B1605,fish_lab_data!C:C,0))),"not dissected","dissected")</f>
        <v>not dissected</v>
      </c>
    </row>
    <row r="1606">
      <c r="A1606" t="str">
        <f t="shared" si="1"/>
        <v/>
      </c>
      <c r="F1606" t="str">
        <f t="array" ref="F1606">if(iserror(index(fish_lab_data!C:C,match(B1606,fish_lab_data!C:C,0))),"not dissected","dissected")</f>
        <v>not dissected</v>
      </c>
    </row>
    <row r="1607">
      <c r="A1607" t="str">
        <f t="shared" si="1"/>
        <v/>
      </c>
      <c r="F1607" t="str">
        <f t="array" ref="F1607">if(iserror(index(fish_lab_data!C:C,match(B1607,fish_lab_data!C:C,0))),"not dissected","dissected")</f>
        <v>not dissected</v>
      </c>
    </row>
    <row r="1608">
      <c r="A1608" t="str">
        <f t="shared" si="1"/>
        <v/>
      </c>
      <c r="F1608" t="str">
        <f t="array" ref="F1608">if(iserror(index(fish_lab_data!C:C,match(B1608,fish_lab_data!C:C,0))),"not dissected","dissected")</f>
        <v>not dissected</v>
      </c>
    </row>
    <row r="1609">
      <c r="A1609" t="str">
        <f t="shared" si="1"/>
        <v/>
      </c>
      <c r="F1609" t="str">
        <f t="array" ref="F1609">if(iserror(index(fish_lab_data!C:C,match(B1609,fish_lab_data!C:C,0))),"not dissected","dissected")</f>
        <v>not dissected</v>
      </c>
    </row>
    <row r="1610">
      <c r="A1610" t="str">
        <f t="shared" si="1"/>
        <v/>
      </c>
      <c r="F1610" t="str">
        <f t="array" ref="F1610">if(iserror(index(fish_lab_data!C:C,match(B1610,fish_lab_data!C:C,0))),"not dissected","dissected")</f>
        <v>not dissected</v>
      </c>
    </row>
    <row r="1611">
      <c r="A1611" t="str">
        <f t="shared" si="1"/>
        <v/>
      </c>
      <c r="F1611" t="str">
        <f t="array" ref="F1611">if(iserror(index(fish_lab_data!C:C,match(B1611,fish_lab_data!C:C,0))),"not dissected","dissected")</f>
        <v>not dissected</v>
      </c>
    </row>
    <row r="1612">
      <c r="A1612" t="str">
        <f t="shared" si="1"/>
        <v/>
      </c>
      <c r="F1612" t="str">
        <f t="array" ref="F1612">if(iserror(index(fish_lab_data!C:C,match(B1612,fish_lab_data!C:C,0))),"not dissected","dissected")</f>
        <v>not dissected</v>
      </c>
    </row>
    <row r="1613">
      <c r="A1613" t="str">
        <f t="shared" si="1"/>
        <v/>
      </c>
      <c r="F1613" t="str">
        <f t="array" ref="F1613">if(iserror(index(fish_lab_data!C:C,match(B1613,fish_lab_data!C:C,0))),"not dissected","dissected")</f>
        <v>not dissected</v>
      </c>
    </row>
    <row r="1614">
      <c r="A1614" t="str">
        <f t="shared" si="1"/>
        <v/>
      </c>
      <c r="F1614" t="str">
        <f t="array" ref="F1614">if(iserror(index(fish_lab_data!C:C,match(B1614,fish_lab_data!C:C,0))),"not dissected","dissected")</f>
        <v>not dissected</v>
      </c>
    </row>
    <row r="1615">
      <c r="A1615" t="str">
        <f t="shared" si="1"/>
        <v/>
      </c>
      <c r="F1615" t="str">
        <f t="array" ref="F1615">if(iserror(index(fish_lab_data!C:C,match(B1615,fish_lab_data!C:C,0))),"not dissected","dissected")</f>
        <v>not dissected</v>
      </c>
    </row>
    <row r="1616">
      <c r="A1616" t="str">
        <f t="shared" si="1"/>
        <v/>
      </c>
      <c r="F1616" t="str">
        <f t="array" ref="F1616">if(iserror(index(fish_lab_data!C:C,match(B1616,fish_lab_data!C:C,0))),"not dissected","dissected")</f>
        <v>not dissected</v>
      </c>
    </row>
    <row r="1617">
      <c r="A1617" t="str">
        <f t="shared" si="1"/>
        <v/>
      </c>
      <c r="F1617" t="str">
        <f t="array" ref="F1617">if(iserror(index(fish_lab_data!C:C,match(B1617,fish_lab_data!C:C,0))),"not dissected","dissected")</f>
        <v>not dissected</v>
      </c>
    </row>
    <row r="1618">
      <c r="A1618" t="str">
        <f t="shared" si="1"/>
        <v/>
      </c>
      <c r="F1618" t="str">
        <f t="array" ref="F1618">if(iserror(index(fish_lab_data!C:C,match(B1618,fish_lab_data!C:C,0))),"not dissected","dissected")</f>
        <v>not dissected</v>
      </c>
    </row>
    <row r="1619">
      <c r="A1619" t="str">
        <f t="shared" si="1"/>
        <v/>
      </c>
      <c r="F1619" t="str">
        <f t="array" ref="F1619">if(iserror(index(fish_lab_data!C:C,match(B1619,fish_lab_data!C:C,0))),"not dissected","dissected")</f>
        <v>not dissected</v>
      </c>
    </row>
    <row r="1620">
      <c r="A1620" t="str">
        <f t="shared" si="1"/>
        <v/>
      </c>
      <c r="F1620" t="str">
        <f t="array" ref="F1620">if(iserror(index(fish_lab_data!C:C,match(B1620,fish_lab_data!C:C,0))),"not dissected","dissected")</f>
        <v>not dissected</v>
      </c>
    </row>
    <row r="1621">
      <c r="A1621" t="str">
        <f t="shared" si="1"/>
        <v/>
      </c>
      <c r="F1621" t="str">
        <f t="array" ref="F1621">if(iserror(index(fish_lab_data!C:C,match(B1621,fish_lab_data!C:C,0))),"not dissected","dissected")</f>
        <v>not dissected</v>
      </c>
    </row>
    <row r="1622">
      <c r="A1622" t="str">
        <f t="shared" si="1"/>
        <v/>
      </c>
      <c r="F1622" t="str">
        <f t="array" ref="F1622">if(iserror(index(fish_lab_data!C:C,match(B1622,fish_lab_data!C:C,0))),"not dissected","dissected")</f>
        <v>not dissected</v>
      </c>
    </row>
    <row r="1623">
      <c r="A1623" t="str">
        <f t="shared" si="1"/>
        <v/>
      </c>
      <c r="F1623" t="str">
        <f t="array" ref="F1623">if(iserror(index(fish_lab_data!C:C,match(B1623,fish_lab_data!C:C,0))),"not dissected","dissected")</f>
        <v>not dissected</v>
      </c>
    </row>
    <row r="1624">
      <c r="A1624" t="str">
        <f t="shared" si="1"/>
        <v/>
      </c>
      <c r="F1624" t="str">
        <f t="array" ref="F1624">if(iserror(index(fish_lab_data!C:C,match(B1624,fish_lab_data!C:C,0))),"not dissected","dissected")</f>
        <v>not dissected</v>
      </c>
    </row>
    <row r="1625">
      <c r="A1625" t="str">
        <f t="shared" si="1"/>
        <v/>
      </c>
      <c r="F1625" t="str">
        <f t="array" ref="F1625">if(iserror(index(fish_lab_data!C:C,match(B1625,fish_lab_data!C:C,0))),"not dissected","dissected")</f>
        <v>not dissected</v>
      </c>
    </row>
    <row r="1626">
      <c r="A1626" t="str">
        <f t="shared" si="1"/>
        <v/>
      </c>
      <c r="F1626" t="str">
        <f t="array" ref="F1626">if(iserror(index(fish_lab_data!C:C,match(B1626,fish_lab_data!C:C,0))),"not dissected","dissected")</f>
        <v>not dissected</v>
      </c>
    </row>
    <row r="1627">
      <c r="A1627" t="str">
        <f t="shared" si="1"/>
        <v/>
      </c>
      <c r="F1627" t="str">
        <f t="array" ref="F1627">if(iserror(index(fish_lab_data!C:C,match(B1627,fish_lab_data!C:C,0))),"not dissected","dissected")</f>
        <v>not dissected</v>
      </c>
    </row>
    <row r="1628">
      <c r="A1628" t="str">
        <f t="shared" si="1"/>
        <v/>
      </c>
      <c r="F1628" t="str">
        <f t="array" ref="F1628">if(iserror(index(fish_lab_data!C:C,match(B1628,fish_lab_data!C:C,0))),"not dissected","dissected")</f>
        <v>not dissected</v>
      </c>
    </row>
    <row r="1629">
      <c r="A1629" t="str">
        <f t="shared" si="1"/>
        <v/>
      </c>
      <c r="F1629" t="str">
        <f t="array" ref="F1629">if(iserror(index(fish_lab_data!C:C,match(B1629,fish_lab_data!C:C,0))),"not dissected","dissected")</f>
        <v>not dissected</v>
      </c>
    </row>
    <row r="1630">
      <c r="A1630" t="str">
        <f t="shared" si="1"/>
        <v/>
      </c>
      <c r="F1630" t="str">
        <f t="array" ref="F1630">if(iserror(index(fish_lab_data!C:C,match(B1630,fish_lab_data!C:C,0))),"not dissected","dissected")</f>
        <v>not dissected</v>
      </c>
    </row>
    <row r="1631">
      <c r="A1631" t="str">
        <f t="shared" si="1"/>
        <v/>
      </c>
      <c r="F1631" t="str">
        <f t="array" ref="F1631">if(iserror(index(fish_lab_data!C:C,match(B1631,fish_lab_data!C:C,0))),"not dissected","dissected")</f>
        <v>not dissected</v>
      </c>
    </row>
    <row r="1632">
      <c r="A1632" t="str">
        <f t="shared" si="1"/>
        <v/>
      </c>
      <c r="F1632" t="str">
        <f t="array" ref="F1632">if(iserror(index(fish_lab_data!C:C,match(B1632,fish_lab_data!C:C,0))),"not dissected","dissected")</f>
        <v>not dissected</v>
      </c>
    </row>
    <row r="1633">
      <c r="A1633" t="str">
        <f t="shared" si="1"/>
        <v/>
      </c>
      <c r="F1633" t="str">
        <f t="array" ref="F1633">if(iserror(index(fish_lab_data!C:C,match(B1633,fish_lab_data!C:C,0))),"not dissected","dissected")</f>
        <v>not dissected</v>
      </c>
    </row>
    <row r="1634">
      <c r="A1634" t="str">
        <f t="shared" si="1"/>
        <v/>
      </c>
      <c r="F1634" t="str">
        <f t="array" ref="F1634">if(iserror(index(fish_lab_data!C:C,match(B1634,fish_lab_data!C:C,0))),"not dissected","dissected")</f>
        <v>not dissected</v>
      </c>
    </row>
    <row r="1635">
      <c r="A1635" t="str">
        <f t="shared" si="1"/>
        <v/>
      </c>
      <c r="F1635" t="str">
        <f t="array" ref="F1635">if(iserror(index(fish_lab_data!C:C,match(B1635,fish_lab_data!C:C,0))),"not dissected","dissected")</f>
        <v>not dissected</v>
      </c>
    </row>
    <row r="1636">
      <c r="A1636" t="str">
        <f t="shared" si="1"/>
        <v/>
      </c>
      <c r="F1636" t="str">
        <f t="array" ref="F1636">if(iserror(index(fish_lab_data!C:C,match(B1636,fish_lab_data!C:C,0))),"not dissected","dissected")</f>
        <v>not dissected</v>
      </c>
    </row>
    <row r="1637">
      <c r="A1637" t="str">
        <f t="shared" si="1"/>
        <v/>
      </c>
      <c r="F1637" t="str">
        <f t="array" ref="F1637">if(iserror(index(fish_lab_data!C:C,match(B1637,fish_lab_data!C:C,0))),"not dissected","dissected")</f>
        <v>not dissected</v>
      </c>
    </row>
    <row r="1638">
      <c r="A1638" t="str">
        <f t="shared" si="1"/>
        <v/>
      </c>
      <c r="F1638" t="str">
        <f t="array" ref="F1638">if(iserror(index(fish_lab_data!C:C,match(B1638,fish_lab_data!C:C,0))),"not dissected","dissected")</f>
        <v>not dissected</v>
      </c>
    </row>
    <row r="1639">
      <c r="A1639" t="str">
        <f t="shared" si="1"/>
        <v/>
      </c>
      <c r="F1639" t="str">
        <f t="array" ref="F1639">if(iserror(index(fish_lab_data!C:C,match(B1639,fish_lab_data!C:C,0))),"not dissected","dissected")</f>
        <v>not dissected</v>
      </c>
    </row>
    <row r="1640">
      <c r="A1640" t="str">
        <f t="shared" si="1"/>
        <v/>
      </c>
      <c r="F1640" t="str">
        <f t="array" ref="F1640">if(iserror(index(fish_lab_data!C:C,match(B1640,fish_lab_data!C:C,0))),"not dissected","dissected")</f>
        <v>not dissected</v>
      </c>
    </row>
    <row r="1641">
      <c r="A1641" t="str">
        <f t="shared" si="1"/>
        <v/>
      </c>
      <c r="F1641" t="str">
        <f t="array" ref="F1641">if(iserror(index(fish_lab_data!C:C,match(B1641,fish_lab_data!C:C,0))),"not dissected","dissected")</f>
        <v>not dissected</v>
      </c>
    </row>
    <row r="1642">
      <c r="A1642" t="str">
        <f t="shared" si="1"/>
        <v/>
      </c>
      <c r="F1642" t="str">
        <f t="array" ref="F1642">if(iserror(index(fish_lab_data!C:C,match(B1642,fish_lab_data!C:C,0))),"not dissected","dissected")</f>
        <v>not dissected</v>
      </c>
    </row>
    <row r="1643">
      <c r="A1643" t="str">
        <f t="shared" si="1"/>
        <v/>
      </c>
      <c r="F1643" t="str">
        <f t="array" ref="F1643">if(iserror(index(fish_lab_data!C:C,match(B1643,fish_lab_data!C:C,0))),"not dissected","dissected")</f>
        <v>not dissected</v>
      </c>
    </row>
    <row r="1644">
      <c r="A1644" t="str">
        <f t="shared" si="1"/>
        <v/>
      </c>
      <c r="F1644" t="str">
        <f t="array" ref="F1644">if(iserror(index(fish_lab_data!C:C,match(B1644,fish_lab_data!C:C,0))),"not dissected","dissected")</f>
        <v>not dissected</v>
      </c>
    </row>
    <row r="1645">
      <c r="A1645" t="str">
        <f t="shared" si="1"/>
        <v/>
      </c>
      <c r="F1645" t="str">
        <f t="array" ref="F1645">if(iserror(index(fish_lab_data!C:C,match(B1645,fish_lab_data!C:C,0))),"not dissected","dissected")</f>
        <v>not dissected</v>
      </c>
    </row>
    <row r="1646">
      <c r="A1646" t="str">
        <f t="shared" si="1"/>
        <v/>
      </c>
      <c r="F1646" t="str">
        <f t="array" ref="F1646">if(iserror(index(fish_lab_data!C:C,match(B1646,fish_lab_data!C:C,0))),"not dissected","dissected")</f>
        <v>not dissected</v>
      </c>
    </row>
    <row r="1647">
      <c r="A1647" t="str">
        <f t="shared" si="1"/>
        <v/>
      </c>
      <c r="F1647" t="str">
        <f t="array" ref="F1647">if(iserror(index(fish_lab_data!C:C,match(B1647,fish_lab_data!C:C,0))),"not dissected","dissected")</f>
        <v>not dissected</v>
      </c>
    </row>
    <row r="1648">
      <c r="A1648" t="str">
        <f t="shared" si="1"/>
        <v/>
      </c>
      <c r="F1648" t="str">
        <f t="array" ref="F1648">if(iserror(index(fish_lab_data!C:C,match(B1648,fish_lab_data!C:C,0))),"not dissected","dissected")</f>
        <v>not dissected</v>
      </c>
    </row>
    <row r="1649">
      <c r="A1649" t="str">
        <f t="shared" si="1"/>
        <v/>
      </c>
      <c r="F1649" t="str">
        <f t="array" ref="F1649">if(iserror(index(fish_lab_data!C:C,match(B1649,fish_lab_data!C:C,0))),"not dissected","dissected")</f>
        <v>not dissected</v>
      </c>
    </row>
    <row r="1650">
      <c r="A1650" t="str">
        <f t="shared" si="1"/>
        <v/>
      </c>
      <c r="F1650" t="str">
        <f t="array" ref="F1650">if(iserror(index(fish_lab_data!C:C,match(B1650,fish_lab_data!C:C,0))),"not dissected","dissected")</f>
        <v>not dissected</v>
      </c>
    </row>
    <row r="1651">
      <c r="A1651" t="str">
        <f t="shared" si="1"/>
        <v/>
      </c>
      <c r="F1651" t="str">
        <f t="array" ref="F1651">if(iserror(index(fish_lab_data!C:C,match(B1651,fish_lab_data!C:C,0))),"not dissected","dissected")</f>
        <v>not dissected</v>
      </c>
    </row>
    <row r="1652">
      <c r="A1652" t="str">
        <f t="shared" si="1"/>
        <v/>
      </c>
      <c r="F1652" t="str">
        <f t="array" ref="F1652">if(iserror(index(fish_lab_data!C:C,match(B1652,fish_lab_data!C:C,0))),"not dissected","dissected")</f>
        <v>not dissected</v>
      </c>
    </row>
    <row r="1653">
      <c r="A1653" t="str">
        <f t="shared" si="1"/>
        <v/>
      </c>
      <c r="F1653" t="str">
        <f t="array" ref="F1653">if(iserror(index(fish_lab_data!C:C,match(B1653,fish_lab_data!C:C,0))),"not dissected","dissected")</f>
        <v>not dissected</v>
      </c>
    </row>
    <row r="1654">
      <c r="A1654" t="str">
        <f t="shared" si="1"/>
        <v/>
      </c>
      <c r="F1654" t="str">
        <f t="array" ref="F1654">if(iserror(index(fish_lab_data!C:C,match(B1654,fish_lab_data!C:C,0))),"not dissected","dissected")</f>
        <v>not dissected</v>
      </c>
    </row>
    <row r="1655">
      <c r="A1655" t="str">
        <f t="shared" si="1"/>
        <v/>
      </c>
      <c r="F1655" t="str">
        <f t="array" ref="F1655">if(iserror(index(fish_lab_data!C:C,match(B1655,fish_lab_data!C:C,0))),"not dissected","dissected")</f>
        <v>not dissected</v>
      </c>
    </row>
    <row r="1656">
      <c r="A1656" t="str">
        <f t="shared" si="1"/>
        <v/>
      </c>
      <c r="F1656" t="str">
        <f t="array" ref="F1656">if(iserror(index(fish_lab_data!C:C,match(B1656,fish_lab_data!C:C,0))),"not dissected","dissected")</f>
        <v>not dissected</v>
      </c>
    </row>
    <row r="1657">
      <c r="A1657" t="str">
        <f t="shared" si="1"/>
        <v/>
      </c>
      <c r="F1657" t="str">
        <f t="array" ref="F1657">if(iserror(index(fish_lab_data!C:C,match(B1657,fish_lab_data!C:C,0))),"not dissected","dissected")</f>
        <v>not dissected</v>
      </c>
    </row>
    <row r="1658">
      <c r="A1658" t="str">
        <f t="shared" si="1"/>
        <v/>
      </c>
      <c r="F1658" t="str">
        <f t="array" ref="F1658">if(iserror(index(fish_lab_data!C:C,match(B1658,fish_lab_data!C:C,0))),"not dissected","dissected")</f>
        <v>not dissected</v>
      </c>
    </row>
    <row r="1659">
      <c r="A1659" t="str">
        <f t="shared" si="1"/>
        <v/>
      </c>
      <c r="F1659" t="str">
        <f t="array" ref="F1659">if(iserror(index(fish_lab_data!C:C,match(B1659,fish_lab_data!C:C,0))),"not dissected","dissected")</f>
        <v>not dissected</v>
      </c>
    </row>
    <row r="1660">
      <c r="A1660" t="str">
        <f t="shared" si="1"/>
        <v/>
      </c>
      <c r="F1660" t="str">
        <f t="array" ref="F1660">if(iserror(index(fish_lab_data!C:C,match(B1660,fish_lab_data!C:C,0))),"not dissected","dissected")</f>
        <v>not dissected</v>
      </c>
    </row>
    <row r="1661">
      <c r="A1661" t="str">
        <f t="shared" si="1"/>
        <v/>
      </c>
      <c r="F1661" t="str">
        <f t="array" ref="F1661">if(iserror(index(fish_lab_data!C:C,match(B1661,fish_lab_data!C:C,0))),"not dissected","dissected")</f>
        <v>not dissected</v>
      </c>
    </row>
    <row r="1662">
      <c r="A1662" t="str">
        <f t="shared" si="1"/>
        <v/>
      </c>
      <c r="F1662" t="str">
        <f t="array" ref="F1662">if(iserror(index(fish_lab_data!C:C,match(B1662,fish_lab_data!C:C,0))),"not dissected","dissected")</f>
        <v>not dissected</v>
      </c>
    </row>
    <row r="1663">
      <c r="A1663" t="str">
        <f t="shared" si="1"/>
        <v/>
      </c>
      <c r="F1663" t="str">
        <f t="array" ref="F1663">if(iserror(index(fish_lab_data!C:C,match(B1663,fish_lab_data!C:C,0))),"not dissected","dissected")</f>
        <v>not dissected</v>
      </c>
    </row>
    <row r="1664">
      <c r="A1664" t="str">
        <f t="shared" si="1"/>
        <v/>
      </c>
      <c r="F1664" t="str">
        <f t="array" ref="F1664">if(iserror(index(fish_lab_data!C:C,match(B1664,fish_lab_data!C:C,0))),"not dissected","dissected")</f>
        <v>not dissected</v>
      </c>
    </row>
    <row r="1665">
      <c r="A1665" t="str">
        <f t="shared" si="1"/>
        <v/>
      </c>
      <c r="F1665" t="str">
        <f t="array" ref="F1665">if(iserror(index(fish_lab_data!C:C,match(B1665,fish_lab_data!C:C,0))),"not dissected","dissected")</f>
        <v>not dissected</v>
      </c>
    </row>
    <row r="1666">
      <c r="A1666" t="str">
        <f t="shared" si="1"/>
        <v/>
      </c>
      <c r="F1666" t="str">
        <f t="array" ref="F1666">if(iserror(index(fish_lab_data!C:C,match(B1666,fish_lab_data!C:C,0))),"not dissected","dissected")</f>
        <v>not dissected</v>
      </c>
    </row>
    <row r="1667">
      <c r="A1667" t="str">
        <f t="shared" si="1"/>
        <v/>
      </c>
      <c r="F1667" t="str">
        <f t="array" ref="F1667">if(iserror(index(fish_lab_data!C:C,match(B1667,fish_lab_data!C:C,0))),"not dissected","dissected")</f>
        <v>not dissected</v>
      </c>
    </row>
    <row r="1668">
      <c r="A1668" t="str">
        <f t="shared" si="1"/>
        <v/>
      </c>
      <c r="F1668" t="str">
        <f t="array" ref="F1668">if(iserror(index(fish_lab_data!C:C,match(B1668,fish_lab_data!C:C,0))),"not dissected","dissected")</f>
        <v>not dissected</v>
      </c>
    </row>
    <row r="1669">
      <c r="A1669" t="str">
        <f t="shared" si="1"/>
        <v/>
      </c>
      <c r="F1669" t="str">
        <f t="array" ref="F1669">if(iserror(index(fish_lab_data!C:C,match(B1669,fish_lab_data!C:C,0))),"not dissected","dissected")</f>
        <v>not dissected</v>
      </c>
    </row>
    <row r="1670">
      <c r="A1670" t="str">
        <f t="shared" si="1"/>
        <v/>
      </c>
      <c r="F1670" t="str">
        <f t="array" ref="F1670">if(iserror(index(fish_lab_data!C:C,match(B1670,fish_lab_data!C:C,0))),"not dissected","dissected")</f>
        <v>not dissected</v>
      </c>
    </row>
    <row r="1671">
      <c r="A1671" t="str">
        <f t="shared" si="1"/>
        <v/>
      </c>
      <c r="F1671" t="str">
        <f t="array" ref="F1671">if(iserror(index(fish_lab_data!C:C,match(B1671,fish_lab_data!C:C,0))),"not dissected","dissected")</f>
        <v>not dissected</v>
      </c>
    </row>
    <row r="1672">
      <c r="A1672" t="str">
        <f t="shared" si="1"/>
        <v/>
      </c>
      <c r="F1672" t="str">
        <f t="array" ref="F1672">if(iserror(index(fish_lab_data!C:C,match(B1672,fish_lab_data!C:C,0))),"not dissected","dissected")</f>
        <v>not dissected</v>
      </c>
    </row>
    <row r="1673">
      <c r="A1673" t="str">
        <f t="shared" si="1"/>
        <v/>
      </c>
      <c r="F1673" t="str">
        <f t="array" ref="F1673">if(iserror(index(fish_lab_data!C:C,match(B1673,fish_lab_data!C:C,0))),"not dissected","dissected")</f>
        <v>not dissected</v>
      </c>
    </row>
    <row r="1674">
      <c r="A1674" t="str">
        <f t="shared" si="1"/>
        <v/>
      </c>
      <c r="F1674" t="str">
        <f t="array" ref="F1674">if(iserror(index(fish_lab_data!C:C,match(B1674,fish_lab_data!C:C,0))),"not dissected","dissected")</f>
        <v>not dissected</v>
      </c>
    </row>
    <row r="1675">
      <c r="A1675" t="str">
        <f t="shared" si="1"/>
        <v/>
      </c>
      <c r="F1675" t="str">
        <f t="array" ref="F1675">if(iserror(index(fish_lab_data!C:C,match(B1675,fish_lab_data!C:C,0))),"not dissected","dissected")</f>
        <v>not dissected</v>
      </c>
    </row>
    <row r="1676">
      <c r="A1676" t="str">
        <f t="shared" si="1"/>
        <v/>
      </c>
      <c r="F1676" t="str">
        <f t="array" ref="F1676">if(iserror(index(fish_lab_data!C:C,match(B1676,fish_lab_data!C:C,0))),"not dissected","dissected")</f>
        <v>not dissected</v>
      </c>
    </row>
    <row r="1677">
      <c r="A1677" t="str">
        <f t="shared" si="1"/>
        <v/>
      </c>
      <c r="F1677" t="str">
        <f t="array" ref="F1677">if(iserror(index(fish_lab_data!C:C,match(B1677,fish_lab_data!C:C,0))),"not dissected","dissected")</f>
        <v>not dissected</v>
      </c>
    </row>
    <row r="1678">
      <c r="A1678" t="str">
        <f t="shared" si="1"/>
        <v/>
      </c>
      <c r="F1678" t="str">
        <f t="array" ref="F1678">if(iserror(index(fish_lab_data!C:C,match(B1678,fish_lab_data!C:C,0))),"not dissected","dissected")</f>
        <v>not dissected</v>
      </c>
    </row>
    <row r="1679">
      <c r="A1679" t="str">
        <f t="shared" si="1"/>
        <v/>
      </c>
      <c r="F1679" t="str">
        <f t="array" ref="F1679">if(iserror(index(fish_lab_data!C:C,match(B1679,fish_lab_data!C:C,0))),"not dissected","dissected")</f>
        <v>not dissected</v>
      </c>
    </row>
    <row r="1680">
      <c r="A1680" t="str">
        <f t="shared" si="1"/>
        <v/>
      </c>
      <c r="F1680" t="str">
        <f t="array" ref="F1680">if(iserror(index(fish_lab_data!C:C,match(B1680,fish_lab_data!C:C,0))),"not dissected","dissected")</f>
        <v>not dissected</v>
      </c>
    </row>
    <row r="1681">
      <c r="A1681" t="str">
        <f t="shared" si="1"/>
        <v/>
      </c>
      <c r="F1681" t="str">
        <f t="array" ref="F1681">if(iserror(index(fish_lab_data!C:C,match(B1681,fish_lab_data!C:C,0))),"not dissected","dissected")</f>
        <v>not dissected</v>
      </c>
    </row>
    <row r="1682">
      <c r="A1682" t="str">
        <f t="shared" si="1"/>
        <v/>
      </c>
      <c r="F1682" t="str">
        <f t="array" ref="F1682">if(iserror(index(fish_lab_data!C:C,match(B1682,fish_lab_data!C:C,0))),"not dissected","dissected")</f>
        <v>not dissected</v>
      </c>
    </row>
    <row r="1683">
      <c r="A1683" t="str">
        <f t="shared" si="1"/>
        <v/>
      </c>
      <c r="F1683" t="str">
        <f t="array" ref="F1683">if(iserror(index(fish_lab_data!C:C,match(B1683,fish_lab_data!C:C,0))),"not dissected","dissected")</f>
        <v>not dissected</v>
      </c>
    </row>
    <row r="1684">
      <c r="A1684" t="str">
        <f t="shared" si="1"/>
        <v/>
      </c>
      <c r="F1684" t="str">
        <f t="array" ref="F1684">if(iserror(index(fish_lab_data!C:C,match(B1684,fish_lab_data!C:C,0))),"not dissected","dissected")</f>
        <v>not dissected</v>
      </c>
    </row>
    <row r="1685">
      <c r="A1685" t="str">
        <f t="shared" si="1"/>
        <v/>
      </c>
      <c r="F1685" t="str">
        <f t="array" ref="F1685">if(iserror(index(fish_lab_data!C:C,match(B1685,fish_lab_data!C:C,0))),"not dissected","dissected")</f>
        <v>not dissected</v>
      </c>
    </row>
    <row r="1686">
      <c r="A1686" t="str">
        <f t="shared" si="1"/>
        <v/>
      </c>
      <c r="F1686" t="str">
        <f t="array" ref="F1686">if(iserror(index(fish_lab_data!C:C,match(B1686,fish_lab_data!C:C,0))),"not dissected","dissected")</f>
        <v>not dissected</v>
      </c>
    </row>
    <row r="1687">
      <c r="A1687" t="str">
        <f t="shared" si="1"/>
        <v/>
      </c>
      <c r="F1687" t="str">
        <f t="array" ref="F1687">if(iserror(index(fish_lab_data!C:C,match(B1687,fish_lab_data!C:C,0))),"not dissected","dissected")</f>
        <v>not dissected</v>
      </c>
    </row>
    <row r="1688">
      <c r="A1688" t="str">
        <f t="shared" si="1"/>
        <v/>
      </c>
      <c r="F1688" t="str">
        <f t="array" ref="F1688">if(iserror(index(fish_lab_data!C:C,match(B1688,fish_lab_data!C:C,0))),"not dissected","dissected")</f>
        <v>not dissected</v>
      </c>
    </row>
    <row r="1689">
      <c r="A1689" t="str">
        <f t="shared" si="1"/>
        <v/>
      </c>
      <c r="F1689" t="str">
        <f t="array" ref="F1689">if(iserror(index(fish_lab_data!C:C,match(B1689,fish_lab_data!C:C,0))),"not dissected","dissected")</f>
        <v>not dissected</v>
      </c>
    </row>
    <row r="1690">
      <c r="A1690" t="str">
        <f t="shared" si="1"/>
        <v/>
      </c>
      <c r="F1690" t="str">
        <f t="array" ref="F1690">if(iserror(index(fish_lab_data!C:C,match(B1690,fish_lab_data!C:C,0))),"not dissected","dissected")</f>
        <v>not dissected</v>
      </c>
    </row>
    <row r="1691">
      <c r="A1691" t="str">
        <f t="shared" si="1"/>
        <v/>
      </c>
      <c r="F1691" t="str">
        <f t="array" ref="F1691">if(iserror(index(fish_lab_data!C:C,match(B1691,fish_lab_data!C:C,0))),"not dissected","dissected")</f>
        <v>not dissected</v>
      </c>
    </row>
  </sheetData>
  <conditionalFormatting sqref="F1:F1691">
    <cfRule type="notContainsBlanks" dxfId="2" priority="1">
      <formula>LEN(TRIM(F1))&gt;0</formula>
    </cfRule>
  </conditionalFormatting>
  <conditionalFormatting sqref="A1:A1691">
    <cfRule type="notContainsBlanks" dxfId="2" priority="2">
      <formula>LEN(TRIM(A1))&gt;0</formula>
    </cfRule>
  </conditionalFormatting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0"/>
  </cols>
  <sheetData>
    <row r="1">
      <c r="B1" s="9" t="s">
        <v>2279</v>
      </c>
      <c r="C1" s="9" t="s">
        <v>2280</v>
      </c>
    </row>
    <row r="2">
      <c r="A2" s="9" t="s">
        <v>2281</v>
      </c>
      <c r="B2">
        <f>countifs('2018_ufns'!$C$2:$C1000,"SO",'2018_ufns'!$F$2:$F1000,"not dissected")</f>
        <v>1</v>
      </c>
      <c r="C2">
        <f>countifs('2018_ufns'!$C$2:$C1000,"SO",'2018_ufns'!$F$2:$F1000,"&lt;&gt;not dissected")</f>
        <v>378</v>
      </c>
    </row>
    <row r="3">
      <c r="A3" s="9" t="s">
        <v>2263</v>
      </c>
      <c r="B3">
        <f>countifs('2018_ufns'!$C$2:$C1000,"PI",'2018_ufns'!$F$2:$F1000,"not dissected")</f>
        <v>0</v>
      </c>
      <c r="C3">
        <f>countifs('2018_ufns'!$C$2:$C1000,"PI",'2018_ufns'!$F$2:$F1000,"&lt;&gt;not dissected")</f>
        <v>379</v>
      </c>
    </row>
    <row r="4">
      <c r="A4" s="9" t="s">
        <v>2255</v>
      </c>
      <c r="B4">
        <f>countifs('2018_ufns'!$C$2:$C1000,"CU",'2018_ufns'!$F$2:$F1000,"not dissected")</f>
        <v>0</v>
      </c>
      <c r="C4">
        <f>countifs('2018_ufns'!$C$2:$C1000,"CU",'2018_ufns'!$F$2:$F1000,"&lt;&gt;not dissected")</f>
        <v>347</v>
      </c>
    </row>
    <row r="5">
      <c r="A5" s="9" t="s">
        <v>2282</v>
      </c>
      <c r="B5">
        <f>countifs('2018_ufns'!$C$2:$C1000,"CO",'2018_ufns'!$F$2:$F1000,"not dissected")</f>
        <v>0</v>
      </c>
      <c r="C5">
        <f>countifs('2018_ufns'!$C$2:$C1000,"CO",'2018_ufns'!$F$2:$F1000,"&lt;&gt;not dissected")</f>
        <v>39</v>
      </c>
    </row>
    <row r="6">
      <c r="A6" s="9" t="s">
        <v>2283</v>
      </c>
      <c r="B6">
        <f>countifs('2018_ufns'!$C$2:$C1000,"HE",'2018_ufns'!$F$2:$F1000,"not dissected")</f>
        <v>0</v>
      </c>
      <c r="C6">
        <f>countifs('2018_ufns'!$C$2:$C1000,"HE",'2018_ufns'!$F$2:$F1000,"&lt;&gt;not dissected")</f>
        <v>52</v>
      </c>
    </row>
    <row r="7">
      <c r="A7" s="9" t="s">
        <v>2284</v>
      </c>
      <c r="B7">
        <f>countifs('2018_ufns'!$C$2:$C1000,"CK",'2018_ufns'!$F$2:$F1000,"not dissected")</f>
        <v>0</v>
      </c>
      <c r="C7">
        <f>countifs('2018_ufns'!$C$2:$C1000,"CK",'2018_ufns'!$F$2:$F1000,"&lt;&gt;not dissected")</f>
        <v>9</v>
      </c>
    </row>
    <row r="8">
      <c r="A8" s="9" t="s">
        <v>2285</v>
      </c>
      <c r="B8">
        <f t="shared" ref="B8:C8" si="1">sum(B2:B7)</f>
        <v>1</v>
      </c>
      <c r="C8">
        <f t="shared" si="1"/>
        <v>1204</v>
      </c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56" t="s">
        <v>29</v>
      </c>
      <c r="B1" s="56" t="s">
        <v>2249</v>
      </c>
      <c r="C1" s="67" t="s">
        <v>2286</v>
      </c>
      <c r="D1" s="56" t="s">
        <v>2287</v>
      </c>
      <c r="E1" s="56" t="s">
        <v>2288</v>
      </c>
      <c r="F1" s="56" t="s">
        <v>2289</v>
      </c>
    </row>
    <row r="2">
      <c r="A2" t="str">
        <f>IFERROR(__xludf.DUMMYFUNCTION("unique('2018_ufns'!E2:E725)"),"P1045")</f>
        <v>P1045</v>
      </c>
      <c r="B2" t="str">
        <f t="array" ref="B2">index('2018_ufns'!C:C,match(A2,'2018_ufns'!E:E,0))</f>
        <v>PI</v>
      </c>
      <c r="C2" s="68">
        <f>countif('2018_ufns'!E:E,A2)</f>
        <v>10</v>
      </c>
      <c r="D2" t="str">
        <f t="array" ref="D2">index('2018_ufns'!B:B,match(A2,'2018_ufns'!E:E,0))</f>
        <v>U16441</v>
      </c>
      <c r="E2" t="str">
        <f t="shared" ref="E2:E158" si="1">concatenate("U",value(mid(D2,2,5))+C2-1)</f>
        <v>U16450</v>
      </c>
      <c r="F2" t="s">
        <v>2290</v>
      </c>
    </row>
    <row r="3">
      <c r="A3" t="str">
        <f>IFERROR(__xludf.DUMMYFUNCTION("""COMPUTED_VALUE"""),"P1044")</f>
        <v>P1044</v>
      </c>
      <c r="B3" t="str">
        <f t="array" ref="B3">index('2018_ufns'!C:C,match(A3,'2018_ufns'!E:E,0))</f>
        <v>CU</v>
      </c>
      <c r="C3" s="68">
        <f>countif('2018_ufns'!E:E,A3)</f>
        <v>10</v>
      </c>
      <c r="D3" t="str">
        <f t="array" ref="D3">index('2018_ufns'!B:B,match(A3,'2018_ufns'!E:E,0))</f>
        <v>U16431</v>
      </c>
      <c r="E3" t="str">
        <f t="shared" si="1"/>
        <v>U16440</v>
      </c>
      <c r="F3" t="s">
        <v>2290</v>
      </c>
    </row>
    <row r="4">
      <c r="A4" t="str">
        <f>IFERROR(__xludf.DUMMYFUNCTION("""COMPUTED_VALUE"""),"P1043")</f>
        <v>P1043</v>
      </c>
      <c r="B4" t="str">
        <f t="array" ref="B4">index('2018_ufns'!C:C,match(A4,'2018_ufns'!E:E,0))</f>
        <v>CO</v>
      </c>
      <c r="C4" s="68">
        <f>countif('2018_ufns'!E:E,A4)</f>
        <v>2</v>
      </c>
      <c r="D4" t="str">
        <f t="array" ref="D4">index('2018_ufns'!B:B,match(A4,'2018_ufns'!E:E,0))</f>
        <v>U16421</v>
      </c>
      <c r="E4" t="str">
        <f t="shared" si="1"/>
        <v>U16422</v>
      </c>
      <c r="F4" t="s">
        <v>2290</v>
      </c>
    </row>
    <row r="5">
      <c r="A5" t="str">
        <f>IFERROR(__xludf.DUMMYFUNCTION("""COMPUTED_VALUE"""),"P1050")</f>
        <v>P1050</v>
      </c>
      <c r="B5" t="str">
        <f t="array" ref="B5">index('2018_ufns'!C:C,match(A5,'2018_ufns'!E:E,0))</f>
        <v>CU</v>
      </c>
      <c r="C5" s="68">
        <f>countif('2018_ufns'!E:E,A5)</f>
        <v>10</v>
      </c>
      <c r="D5" t="str">
        <f t="array" ref="D5">index('2018_ufns'!B:B,match(A5,'2018_ufns'!E:E,0))</f>
        <v>U16491</v>
      </c>
      <c r="E5" t="str">
        <f t="shared" si="1"/>
        <v>U16500</v>
      </c>
      <c r="F5" t="s">
        <v>2290</v>
      </c>
    </row>
    <row r="6">
      <c r="A6" t="str">
        <f>IFERROR(__xludf.DUMMYFUNCTION("""COMPUTED_VALUE"""),"P1006")</f>
        <v>P1006</v>
      </c>
      <c r="B6" t="str">
        <f t="array" ref="B6">index('2018_ufns'!C:C,match(A6,'2018_ufns'!E:E,0))</f>
        <v>PI</v>
      </c>
      <c r="C6" s="68">
        <f>countif('2018_ufns'!E:E,A6)</f>
        <v>10</v>
      </c>
      <c r="D6" t="str">
        <f t="array" ref="D6">index('2018_ufns'!B:B,match(A6,'2018_ufns'!E:E,0))</f>
        <v>U16051</v>
      </c>
      <c r="E6" t="str">
        <f t="shared" si="1"/>
        <v>U16060</v>
      </c>
      <c r="F6" t="s">
        <v>2290</v>
      </c>
    </row>
    <row r="7">
      <c r="A7" t="str">
        <f>IFERROR(__xludf.DUMMYFUNCTION("""COMPUTED_VALUE"""),"P1001")</f>
        <v>P1001</v>
      </c>
      <c r="B7" t="str">
        <f t="array" ref="B7">index('2018_ufns'!C:C,match(A7,'2018_ufns'!E:E,0))</f>
        <v>PI</v>
      </c>
      <c r="C7" s="68">
        <f>countif('2018_ufns'!E:E,A7)</f>
        <v>10</v>
      </c>
      <c r="D7" t="str">
        <f t="array" ref="D7">index('2018_ufns'!B:B,match(A7,'2018_ufns'!E:E,0))</f>
        <v>U16001</v>
      </c>
      <c r="E7" t="str">
        <f t="shared" si="1"/>
        <v>U16010</v>
      </c>
      <c r="F7" t="s">
        <v>2290</v>
      </c>
    </row>
    <row r="8">
      <c r="A8" t="str">
        <f>IFERROR(__xludf.DUMMYFUNCTION("""COMPUTED_VALUE"""),"P1011")</f>
        <v>P1011</v>
      </c>
      <c r="B8" t="str">
        <f t="array" ref="B8">index('2018_ufns'!C:C,match(A8,'2018_ufns'!E:E,0))</f>
        <v>CU</v>
      </c>
      <c r="C8" s="68">
        <f>countif('2018_ufns'!E:E,A8)</f>
        <v>7</v>
      </c>
      <c r="D8" t="str">
        <f t="array" ref="D8">index('2018_ufns'!B:B,match(A8,'2018_ufns'!E:E,0))</f>
        <v>U16101</v>
      </c>
      <c r="E8" t="str">
        <f t="shared" si="1"/>
        <v>U16107</v>
      </c>
      <c r="F8" t="s">
        <v>2290</v>
      </c>
    </row>
    <row r="9">
      <c r="A9" t="str">
        <f>IFERROR(__xludf.DUMMYFUNCTION("""COMPUTED_VALUE"""),"P1010")</f>
        <v>P1010</v>
      </c>
      <c r="B9" t="str">
        <f t="array" ref="B9">index('2018_ufns'!C:C,match(A9,'2018_ufns'!E:E,0))</f>
        <v>CO</v>
      </c>
      <c r="C9" s="68">
        <f>countif('2018_ufns'!E:E,A9)</f>
        <v>10</v>
      </c>
      <c r="D9" t="str">
        <f t="array" ref="D9">index('2018_ufns'!B:B,match(A9,'2018_ufns'!E:E,0))</f>
        <v>U16091</v>
      </c>
      <c r="E9" t="str">
        <f t="shared" si="1"/>
        <v>U16100</v>
      </c>
      <c r="F9" t="s">
        <v>2290</v>
      </c>
    </row>
    <row r="10">
      <c r="A10" t="str">
        <f>IFERROR(__xludf.DUMMYFUNCTION("""COMPUTED_VALUE"""),"P1008")</f>
        <v>P1008</v>
      </c>
      <c r="B10" t="str">
        <f t="array" ref="B10">index('2018_ufns'!C:C,match(A10,'2018_ufns'!E:E,0))</f>
        <v>CK</v>
      </c>
      <c r="C10" s="68">
        <f>countif('2018_ufns'!E:E,A10)</f>
        <v>1</v>
      </c>
      <c r="D10" t="str">
        <f t="array" ref="D10">index('2018_ufns'!B:B,match(A10,'2018_ufns'!E:E,0))</f>
        <v>U16071</v>
      </c>
      <c r="E10" t="str">
        <f t="shared" si="1"/>
        <v>U16071</v>
      </c>
      <c r="F10" t="s">
        <v>2290</v>
      </c>
    </row>
    <row r="11">
      <c r="A11" t="str">
        <f>IFERROR(__xludf.DUMMYFUNCTION("""COMPUTED_VALUE"""),"P1079")</f>
        <v>P1079</v>
      </c>
      <c r="B11" t="str">
        <f t="array" ref="B11">index('2018_ufns'!C:C,match(A11,'2018_ufns'!E:E,0))</f>
        <v>SO</v>
      </c>
      <c r="C11" s="68">
        <f>countif('2018_ufns'!E:E,A11)</f>
        <v>3</v>
      </c>
      <c r="D11" t="str">
        <f t="array" ref="D11">index('2018_ufns'!B:B,match(A11,'2018_ufns'!E:E,0))</f>
        <v>U16781</v>
      </c>
      <c r="E11" t="str">
        <f t="shared" si="1"/>
        <v>U16783</v>
      </c>
      <c r="F11" t="s">
        <v>2290</v>
      </c>
    </row>
    <row r="12">
      <c r="A12" t="str">
        <f>IFERROR(__xludf.DUMMYFUNCTION("""COMPUTED_VALUE"""),"P1007")</f>
        <v>P1007</v>
      </c>
      <c r="B12" t="str">
        <f t="array" ref="B12">index('2018_ufns'!C:C,match(A12,'2018_ufns'!E:E,0))</f>
        <v>SO</v>
      </c>
      <c r="C12" s="68">
        <f>countif('2018_ufns'!E:E,A12)</f>
        <v>10</v>
      </c>
      <c r="D12" t="str">
        <f t="array" ref="D12">index('2018_ufns'!B:B,match(A12,'2018_ufns'!E:E,0))</f>
        <v>U16061</v>
      </c>
      <c r="E12" t="str">
        <f t="shared" si="1"/>
        <v>U16070</v>
      </c>
      <c r="F12" t="s">
        <v>2290</v>
      </c>
    </row>
    <row r="13">
      <c r="A13" t="str">
        <f>IFERROR(__xludf.DUMMYFUNCTION("""COMPUTED_VALUE"""),"P1012")</f>
        <v>P1012</v>
      </c>
      <c r="B13" t="str">
        <f t="array" ref="B13">index('2018_ufns'!C:C,match(A13,'2018_ufns'!E:E,0))</f>
        <v>CU</v>
      </c>
      <c r="C13" s="68">
        <f>countif('2018_ufns'!E:E,A13)</f>
        <v>8</v>
      </c>
      <c r="D13" t="str">
        <f t="array" ref="D13">index('2018_ufns'!B:B,match(A13,'2018_ufns'!E:E,0))</f>
        <v>U16111</v>
      </c>
      <c r="E13" t="str">
        <f t="shared" si="1"/>
        <v>U16118</v>
      </c>
      <c r="F13" t="s">
        <v>2290</v>
      </c>
    </row>
    <row r="14">
      <c r="A14" t="str">
        <f>IFERROR(__xludf.DUMMYFUNCTION("""COMPUTED_VALUE"""),"P1049")</f>
        <v>P1049</v>
      </c>
      <c r="B14" t="str">
        <f t="array" ref="B14">index('2018_ufns'!C:C,match(A14,'2018_ufns'!E:E,0))</f>
        <v>PI</v>
      </c>
      <c r="C14" s="68">
        <f>countif('2018_ufns'!E:E,A14)</f>
        <v>10</v>
      </c>
      <c r="D14" t="str">
        <f t="array" ref="D14">index('2018_ufns'!B:B,match(A14,'2018_ufns'!E:E,0))</f>
        <v>U16481</v>
      </c>
      <c r="E14" t="str">
        <f t="shared" si="1"/>
        <v>U16490</v>
      </c>
      <c r="F14" t="s">
        <v>2290</v>
      </c>
    </row>
    <row r="15">
      <c r="A15" t="str">
        <f>IFERROR(__xludf.DUMMYFUNCTION("""COMPUTED_VALUE"""),"P1020")</f>
        <v>P1020</v>
      </c>
      <c r="B15" t="str">
        <f t="array" ref="B15">index('2018_ufns'!C:C,match(A15,'2018_ufns'!E:E,0))</f>
        <v>SO</v>
      </c>
      <c r="C15" s="68">
        <f>countif('2018_ufns'!E:E,A15)</f>
        <v>10</v>
      </c>
      <c r="D15" t="str">
        <f t="array" ref="D15">index('2018_ufns'!B:B,match(A15,'2018_ufns'!E:E,0))</f>
        <v>U16191</v>
      </c>
      <c r="E15" t="str">
        <f t="shared" si="1"/>
        <v>U16200</v>
      </c>
      <c r="F15" t="s">
        <v>2290</v>
      </c>
    </row>
    <row r="16">
      <c r="A16" t="str">
        <f>IFERROR(__xludf.DUMMYFUNCTION("""COMPUTED_VALUE"""),"P1026")</f>
        <v>P1026</v>
      </c>
      <c r="B16" t="str">
        <f t="array" ref="B16">index('2018_ufns'!C:C,match(A16,'2018_ufns'!E:E,0))</f>
        <v>SO</v>
      </c>
      <c r="C16" s="68">
        <f>countif('2018_ufns'!E:E,A16)</f>
        <v>10</v>
      </c>
      <c r="D16" t="str">
        <f t="array" ref="D16">index('2018_ufns'!B:B,match(A16,'2018_ufns'!E:E,0))</f>
        <v>U16251</v>
      </c>
      <c r="E16" t="str">
        <f t="shared" si="1"/>
        <v>U16260</v>
      </c>
      <c r="F16" t="s">
        <v>2290</v>
      </c>
    </row>
    <row r="17">
      <c r="A17" t="str">
        <f>IFERROR(__xludf.DUMMYFUNCTION("""COMPUTED_VALUE"""),"P1014")</f>
        <v>P1014</v>
      </c>
      <c r="B17" t="str">
        <f t="array" ref="B17">index('2018_ufns'!C:C,match(A17,'2018_ufns'!E:E,0))</f>
        <v>CO</v>
      </c>
      <c r="C17" s="68">
        <f>countif('2018_ufns'!E:E,A17)</f>
        <v>1</v>
      </c>
      <c r="D17" t="str">
        <f t="array" ref="D17">index('2018_ufns'!B:B,match(A17,'2018_ufns'!E:E,0))</f>
        <v>U16131</v>
      </c>
      <c r="E17" t="str">
        <f t="shared" si="1"/>
        <v>U16131</v>
      </c>
      <c r="F17" t="s">
        <v>2290</v>
      </c>
    </row>
    <row r="18">
      <c r="A18" t="str">
        <f>IFERROR(__xludf.DUMMYFUNCTION("""COMPUTED_VALUE"""),"P1018")</f>
        <v>P1018</v>
      </c>
      <c r="B18" t="str">
        <f t="array" ref="B18">index('2018_ufns'!C:C,match(A18,'2018_ufns'!E:E,0))</f>
        <v>HE</v>
      </c>
      <c r="C18" s="68">
        <f>countif('2018_ufns'!E:E,A18)</f>
        <v>2</v>
      </c>
      <c r="D18" t="str">
        <f t="array" ref="D18">index('2018_ufns'!B:B,match(A18,'2018_ufns'!E:E,0))</f>
        <v>U16171</v>
      </c>
      <c r="E18" t="str">
        <f t="shared" si="1"/>
        <v>U16172</v>
      </c>
      <c r="F18" t="s">
        <v>2290</v>
      </c>
    </row>
    <row r="19">
      <c r="A19" s="69" t="str">
        <f>IFERROR(__xludf.DUMMYFUNCTION("""COMPUTED_VALUE"""),"P1019")</f>
        <v>P1019</v>
      </c>
      <c r="B19" s="69" t="str">
        <f t="array" ref="B19">index('2018_ufns'!C:C,match(A19,'2018_ufns'!E:E,0))</f>
        <v>SO</v>
      </c>
      <c r="C19" s="70">
        <f>countif('2018_ufns'!E:E,A19)</f>
        <v>10</v>
      </c>
      <c r="D19" s="69" t="str">
        <f t="array" ref="D19">index('2018_ufns'!B:B,match(A19,'2018_ufns'!E:E,0))</f>
        <v>U16181</v>
      </c>
      <c r="E19" s="69" t="str">
        <f t="shared" si="1"/>
        <v>U16190</v>
      </c>
      <c r="F19" s="69" t="s">
        <v>2291</v>
      </c>
    </row>
    <row r="20">
      <c r="A20" s="69" t="str">
        <f>IFERROR(__xludf.DUMMYFUNCTION("""COMPUTED_VALUE"""),"P1037")</f>
        <v>P1037</v>
      </c>
      <c r="B20" s="69" t="str">
        <f t="array" ref="B20">index('2018_ufns'!C:C,match(A20,'2018_ufns'!E:E,0))</f>
        <v>CU</v>
      </c>
      <c r="C20" s="70">
        <f>countif('2018_ufns'!E:E,A20)</f>
        <v>4</v>
      </c>
      <c r="D20" s="69" t="str">
        <f t="array" ref="D20">index('2018_ufns'!B:B,match(A20,'2018_ufns'!E:E,0))</f>
        <v>U16361</v>
      </c>
      <c r="E20" s="69" t="str">
        <f t="shared" si="1"/>
        <v>U16364</v>
      </c>
      <c r="F20" s="69" t="s">
        <v>2291</v>
      </c>
    </row>
    <row r="21">
      <c r="A21" s="69" t="str">
        <f>IFERROR(__xludf.DUMMYFUNCTION("""COMPUTED_VALUE"""),"P1021")</f>
        <v>P1021</v>
      </c>
      <c r="B21" s="69" t="str">
        <f t="array" ref="B21">index('2018_ufns'!C:C,match(A21,'2018_ufns'!E:E,0))</f>
        <v>PI</v>
      </c>
      <c r="C21" s="70">
        <f>countif('2018_ufns'!E:E,A21)</f>
        <v>10</v>
      </c>
      <c r="D21" s="69" t="str">
        <f t="array" ref="D21">index('2018_ufns'!B:B,match(A21,'2018_ufns'!E:E,0))</f>
        <v>U16201</v>
      </c>
      <c r="E21" s="69" t="str">
        <f t="shared" si="1"/>
        <v>U16210</v>
      </c>
      <c r="F21" s="69" t="s">
        <v>2291</v>
      </c>
    </row>
    <row r="22">
      <c r="A22" s="69" t="str">
        <f>IFERROR(__xludf.DUMMYFUNCTION("""COMPUTED_VALUE"""),"P1015")</f>
        <v>P1015</v>
      </c>
      <c r="B22" s="69" t="str">
        <f t="array" ref="B22">index('2018_ufns'!C:C,match(A22,'2018_ufns'!E:E,0))</f>
        <v>SO</v>
      </c>
      <c r="C22" s="70">
        <f>countif('2018_ufns'!E:E,A22)</f>
        <v>10</v>
      </c>
      <c r="D22" s="69" t="str">
        <f t="array" ref="D22">index('2018_ufns'!B:B,match(A22,'2018_ufns'!E:E,0))</f>
        <v>U16141</v>
      </c>
      <c r="E22" s="69" t="str">
        <f t="shared" si="1"/>
        <v>U16150</v>
      </c>
      <c r="F22" s="69" t="s">
        <v>2291</v>
      </c>
    </row>
    <row r="23">
      <c r="A23" s="69" t="str">
        <f>IFERROR(__xludf.DUMMYFUNCTION("""COMPUTED_VALUE"""),"P1036")</f>
        <v>P1036</v>
      </c>
      <c r="B23" s="69" t="str">
        <f t="array" ref="B23">index('2018_ufns'!C:C,match(A23,'2018_ufns'!E:E,0))</f>
        <v>SO</v>
      </c>
      <c r="C23" s="70">
        <f>countif('2018_ufns'!E:E,A23)</f>
        <v>10</v>
      </c>
      <c r="D23" s="69" t="str">
        <f t="array" ref="D23">index('2018_ufns'!B:B,match(A23,'2018_ufns'!E:E,0))</f>
        <v>U16351</v>
      </c>
      <c r="E23" s="69" t="str">
        <f t="shared" si="1"/>
        <v>U16360</v>
      </c>
      <c r="F23" s="69" t="s">
        <v>2291</v>
      </c>
    </row>
    <row r="24">
      <c r="A24" t="str">
        <f>IFERROR(__xludf.DUMMYFUNCTION("""COMPUTED_VALUE"""),"P1048")</f>
        <v>P1048</v>
      </c>
      <c r="B24" t="str">
        <f t="array" ref="B24">index('2018_ufns'!C:C,match(A24,'2018_ufns'!E:E,0))</f>
        <v>PI</v>
      </c>
      <c r="C24" s="68">
        <f>countif('2018_ufns'!E:E,A24)</f>
        <v>8</v>
      </c>
      <c r="D24" t="str">
        <f t="array" ref="D24">index('2018_ufns'!B:B,match(A24,'2018_ufns'!E:E,0))</f>
        <v>U16471</v>
      </c>
      <c r="E24" t="str">
        <f t="shared" si="1"/>
        <v>U16478</v>
      </c>
      <c r="F24" t="s">
        <v>2290</v>
      </c>
    </row>
    <row r="25">
      <c r="A25" t="str">
        <f>IFERROR(__xludf.DUMMYFUNCTION("""COMPUTED_VALUE"""),"P1025")</f>
        <v>P1025</v>
      </c>
      <c r="B25" t="str">
        <f t="array" ref="B25">index('2018_ufns'!C:C,match(A25,'2018_ufns'!E:E,0))</f>
        <v>CU</v>
      </c>
      <c r="C25" s="68">
        <f>countif('2018_ufns'!E:E,A25)</f>
        <v>9</v>
      </c>
      <c r="D25" t="str">
        <f t="array" ref="D25">index('2018_ufns'!B:B,match(A25,'2018_ufns'!E:E,0))</f>
        <v>U16241</v>
      </c>
      <c r="E25" t="str">
        <f t="shared" si="1"/>
        <v>U16249</v>
      </c>
      <c r="F25" t="s">
        <v>2290</v>
      </c>
    </row>
    <row r="26">
      <c r="A26" t="str">
        <f>IFERROR(__xludf.DUMMYFUNCTION("""COMPUTED_VALUE"""),"P1017")</f>
        <v>P1017</v>
      </c>
      <c r="B26" t="str">
        <f t="array" ref="B26">index('2018_ufns'!C:C,match(A26,'2018_ufns'!E:E,0))</f>
        <v>SO</v>
      </c>
      <c r="C26" s="68">
        <f>countif('2018_ufns'!E:E,A26)</f>
        <v>10</v>
      </c>
      <c r="D26" t="str">
        <f t="array" ref="D26">index('2018_ufns'!B:B,match(A26,'2018_ufns'!E:E,0))</f>
        <v>U16161</v>
      </c>
      <c r="E26" t="str">
        <f t="shared" si="1"/>
        <v>U16170</v>
      </c>
      <c r="F26" t="s">
        <v>2290</v>
      </c>
    </row>
    <row r="27">
      <c r="A27" t="str">
        <f>IFERROR(__xludf.DUMMYFUNCTION("""COMPUTED_VALUE"""),"P1024")</f>
        <v>P1024</v>
      </c>
      <c r="B27" t="str">
        <f t="array" ref="B27">index('2018_ufns'!C:C,match(A27,'2018_ufns'!E:E,0))</f>
        <v>CU</v>
      </c>
      <c r="C27" s="68">
        <f>countif('2018_ufns'!E:E,A27)</f>
        <v>10</v>
      </c>
      <c r="D27" t="str">
        <f t="array" ref="D27">index('2018_ufns'!B:B,match(A27,'2018_ufns'!E:E,0))</f>
        <v>U16231</v>
      </c>
      <c r="E27" t="str">
        <f t="shared" si="1"/>
        <v>U16240</v>
      </c>
      <c r="F27" t="s">
        <v>2290</v>
      </c>
    </row>
    <row r="28">
      <c r="A28" t="str">
        <f>IFERROR(__xludf.DUMMYFUNCTION("""COMPUTED_VALUE"""),"P1023")</f>
        <v>P1023</v>
      </c>
      <c r="B28" t="str">
        <f t="array" ref="B28">index('2018_ufns'!C:C,match(A28,'2018_ufns'!E:E,0))</f>
        <v>PI</v>
      </c>
      <c r="C28" s="68">
        <f>countif('2018_ufns'!E:E,A28)</f>
        <v>5</v>
      </c>
      <c r="D28" t="str">
        <f t="array" ref="D28">index('2018_ufns'!B:B,match(A28,'2018_ufns'!E:E,0))</f>
        <v>U16221</v>
      </c>
      <c r="E28" t="str">
        <f t="shared" si="1"/>
        <v>U16225</v>
      </c>
      <c r="F28" t="s">
        <v>2290</v>
      </c>
    </row>
    <row r="29">
      <c r="A29" t="str">
        <f>IFERROR(__xludf.DUMMYFUNCTION("""COMPUTED_VALUE"""),"P1035")</f>
        <v>P1035</v>
      </c>
      <c r="B29" t="str">
        <f t="array" ref="B29">index('2018_ufns'!C:C,match(A29,'2018_ufns'!E:E,0))</f>
        <v>SO</v>
      </c>
      <c r="C29" s="68">
        <f>countif('2018_ufns'!E:E,A29)</f>
        <v>10</v>
      </c>
      <c r="D29" t="str">
        <f t="array" ref="D29">index('2018_ufns'!B:B,match(A29,'2018_ufns'!E:E,0))</f>
        <v>U16341</v>
      </c>
      <c r="E29" t="str">
        <f t="shared" si="1"/>
        <v>U16350</v>
      </c>
      <c r="F29" t="s">
        <v>2290</v>
      </c>
    </row>
    <row r="30">
      <c r="A30" t="str">
        <f>IFERROR(__xludf.DUMMYFUNCTION("""COMPUTED_VALUE"""),"P1016")</f>
        <v>P1016</v>
      </c>
      <c r="B30" t="str">
        <f t="array" ref="B30">index('2018_ufns'!C:C,match(A30,'2018_ufns'!E:E,0))</f>
        <v>SO</v>
      </c>
      <c r="C30" s="68">
        <f>countif('2018_ufns'!E:E,A30)</f>
        <v>10</v>
      </c>
      <c r="D30" t="str">
        <f t="array" ref="D30">index('2018_ufns'!B:B,match(A30,'2018_ufns'!E:E,0))</f>
        <v>U16151</v>
      </c>
      <c r="E30" t="str">
        <f t="shared" si="1"/>
        <v>U16160</v>
      </c>
      <c r="F30" t="s">
        <v>2290</v>
      </c>
    </row>
    <row r="31">
      <c r="A31" s="69" t="str">
        <f>IFERROR(__xludf.DUMMYFUNCTION("""COMPUTED_VALUE"""),"P1013")</f>
        <v>P1013</v>
      </c>
      <c r="B31" s="69" t="str">
        <f t="array" ref="B31">index('2018_ufns'!C:C,match(A31,'2018_ufns'!E:E,0))</f>
        <v>SO</v>
      </c>
      <c r="C31" s="70">
        <f>countif('2018_ufns'!E:E,A31)</f>
        <v>3</v>
      </c>
      <c r="D31" s="69" t="str">
        <f t="array" ref="D31">index('2018_ufns'!B:B,match(A31,'2018_ufns'!E:E,0))</f>
        <v>U16121</v>
      </c>
      <c r="E31" s="69" t="str">
        <f t="shared" si="1"/>
        <v>U16123</v>
      </c>
      <c r="F31" s="69" t="s">
        <v>2291</v>
      </c>
    </row>
    <row r="32">
      <c r="A32" s="69" t="str">
        <f>IFERROR(__xludf.DUMMYFUNCTION("""COMPUTED_VALUE"""),"P1029")</f>
        <v>P1029</v>
      </c>
      <c r="B32" s="69" t="str">
        <f t="array" ref="B32">index('2018_ufns'!C:C,match(A32,'2018_ufns'!E:E,0))</f>
        <v>PI</v>
      </c>
      <c r="C32" s="70">
        <f>countif('2018_ufns'!E:E,A32)</f>
        <v>10</v>
      </c>
      <c r="D32" s="69" t="str">
        <f t="array" ref="D32">index('2018_ufns'!B:B,match(A32,'2018_ufns'!E:E,0))</f>
        <v>U16281</v>
      </c>
      <c r="E32" s="69" t="str">
        <f t="shared" si="1"/>
        <v>U16290</v>
      </c>
      <c r="F32" s="69" t="s">
        <v>2291</v>
      </c>
    </row>
    <row r="33">
      <c r="A33" s="69" t="str">
        <f>IFERROR(__xludf.DUMMYFUNCTION("""COMPUTED_VALUE"""),"P1047")</f>
        <v>P1047</v>
      </c>
      <c r="B33" s="69" t="str">
        <f t="array" ref="B33">index('2018_ufns'!C:C,match(A33,'2018_ufns'!E:E,0))</f>
        <v>CU</v>
      </c>
      <c r="C33" s="70">
        <f>countif('2018_ufns'!E:E,A33)</f>
        <v>10</v>
      </c>
      <c r="D33" s="69" t="str">
        <f t="array" ref="D33">index('2018_ufns'!B:B,match(A33,'2018_ufns'!E:E,0))</f>
        <v>U16461</v>
      </c>
      <c r="E33" s="69" t="str">
        <f t="shared" si="1"/>
        <v>U16470</v>
      </c>
      <c r="F33" s="69" t="s">
        <v>2291</v>
      </c>
    </row>
    <row r="34">
      <c r="A34" t="str">
        <f>IFERROR(__xludf.DUMMYFUNCTION("""COMPUTED_VALUE"""),"P1046")</f>
        <v>P1046</v>
      </c>
      <c r="B34" t="str">
        <f t="array" ref="B34">index('2018_ufns'!C:C,match(A34,'2018_ufns'!E:E,0))</f>
        <v>SO</v>
      </c>
      <c r="C34" s="68">
        <f>countif('2018_ufns'!E:E,A34)</f>
        <v>4</v>
      </c>
      <c r="D34" t="str">
        <f t="array" ref="D34">index('2018_ufns'!B:B,match(A34,'2018_ufns'!E:E,0))</f>
        <v>U16451</v>
      </c>
      <c r="E34" t="str">
        <f t="shared" si="1"/>
        <v>U16454</v>
      </c>
      <c r="F34" t="s">
        <v>2290</v>
      </c>
    </row>
    <row r="35">
      <c r="A35" t="str">
        <f>IFERROR(__xludf.DUMMYFUNCTION("""COMPUTED_VALUE"""),"P1041")</f>
        <v>P1041</v>
      </c>
      <c r="B35" t="str">
        <f t="array" ref="B35">index('2018_ufns'!C:C,match(A35,'2018_ufns'!E:E,0))</f>
        <v>PI</v>
      </c>
      <c r="C35" s="68">
        <f>countif('2018_ufns'!E:E,A35)</f>
        <v>10</v>
      </c>
      <c r="D35" t="str">
        <f t="array" ref="D35">index('2018_ufns'!B:B,match(A35,'2018_ufns'!E:E,0))</f>
        <v>U16401</v>
      </c>
      <c r="E35" t="str">
        <f t="shared" si="1"/>
        <v>U16410</v>
      </c>
      <c r="F35" t="s">
        <v>2290</v>
      </c>
    </row>
    <row r="36">
      <c r="A36" t="str">
        <f>IFERROR(__xludf.DUMMYFUNCTION("""COMPUTED_VALUE"""),"P1009")</f>
        <v>P1009</v>
      </c>
      <c r="B36" t="str">
        <f t="array" ref="B36">index('2018_ufns'!C:C,match(A36,'2018_ufns'!E:E,0))</f>
        <v>CU</v>
      </c>
      <c r="C36" s="68">
        <f>countif('2018_ufns'!E:E,A36)</f>
        <v>10</v>
      </c>
      <c r="D36" t="str">
        <f t="array" ref="D36">index('2018_ufns'!B:B,match(A36,'2018_ufns'!E:E,0))</f>
        <v>U16081</v>
      </c>
      <c r="E36" t="str">
        <f t="shared" si="1"/>
        <v>U16090</v>
      </c>
      <c r="F36" t="s">
        <v>2290</v>
      </c>
    </row>
    <row r="37">
      <c r="A37" t="str">
        <f>IFERROR(__xludf.DUMMYFUNCTION("""COMPUTED_VALUE"""),"P1034")</f>
        <v>P1034</v>
      </c>
      <c r="B37" t="str">
        <f t="array" ref="B37">index('2018_ufns'!C:C,match(A37,'2018_ufns'!E:E,0))</f>
        <v>CK</v>
      </c>
      <c r="C37" s="68">
        <f>countif('2018_ufns'!E:E,A37)</f>
        <v>1</v>
      </c>
      <c r="D37" t="str">
        <f t="array" ref="D37">index('2018_ufns'!B:B,match(A37,'2018_ufns'!E:E,0))</f>
        <v>U16331</v>
      </c>
      <c r="E37" t="str">
        <f t="shared" si="1"/>
        <v>U16331</v>
      </c>
      <c r="F37" t="s">
        <v>2290</v>
      </c>
    </row>
    <row r="38">
      <c r="A38" t="str">
        <f>IFERROR(__xludf.DUMMYFUNCTION("""COMPUTED_VALUE"""),"P1078")</f>
        <v>P1078</v>
      </c>
      <c r="B38" t="str">
        <f t="array" ref="B38">index('2018_ufns'!C:C,match(A38,'2018_ufns'!E:E,0))</f>
        <v>CO</v>
      </c>
      <c r="C38" s="68">
        <f>countif('2018_ufns'!E:E,A38)</f>
        <v>10</v>
      </c>
      <c r="D38" t="str">
        <f t="array" ref="D38">index('2018_ufns'!B:B,match(A38,'2018_ufns'!E:E,0))</f>
        <v>U16771</v>
      </c>
      <c r="E38" t="str">
        <f t="shared" si="1"/>
        <v>U16780</v>
      </c>
      <c r="F38" t="s">
        <v>2290</v>
      </c>
    </row>
    <row r="39">
      <c r="A39" t="str">
        <f>IFERROR(__xludf.DUMMYFUNCTION("""COMPUTED_VALUE"""),"P1086")</f>
        <v>P1086</v>
      </c>
      <c r="B39" t="str">
        <f t="array" ref="B39">index('2018_ufns'!C:C,match(A39,'2018_ufns'!E:E,0))</f>
        <v>HE</v>
      </c>
      <c r="C39" s="68">
        <f>countif('2018_ufns'!E:E,A39)</f>
        <v>5</v>
      </c>
      <c r="D39" t="str">
        <f t="array" ref="D39">index('2018_ufns'!B:B,match(A39,'2018_ufns'!E:E,0))</f>
        <v>U16851</v>
      </c>
      <c r="E39" t="str">
        <f t="shared" si="1"/>
        <v>U16855</v>
      </c>
      <c r="F39" t="s">
        <v>2290</v>
      </c>
    </row>
    <row r="40">
      <c r="A40" t="str">
        <f>IFERROR(__xludf.DUMMYFUNCTION("""COMPUTED_VALUE"""),"P1038")</f>
        <v>P1038</v>
      </c>
      <c r="B40" t="str">
        <f t="array" ref="B40">index('2018_ufns'!C:C,match(A40,'2018_ufns'!E:E,0))</f>
        <v>HE</v>
      </c>
      <c r="C40" s="68">
        <f>countif('2018_ufns'!E:E,A40)</f>
        <v>2</v>
      </c>
      <c r="D40" t="str">
        <f t="array" ref="D40">index('2018_ufns'!B:B,match(A40,'2018_ufns'!E:E,0))</f>
        <v>U16371</v>
      </c>
      <c r="E40" t="str">
        <f t="shared" si="1"/>
        <v>U16372</v>
      </c>
      <c r="F40" t="s">
        <v>2290</v>
      </c>
    </row>
    <row r="41">
      <c r="A41" t="str">
        <f>IFERROR(__xludf.DUMMYFUNCTION("""COMPUTED_VALUE"""),"P1052")</f>
        <v>P1052</v>
      </c>
      <c r="B41" t="str">
        <f t="array" ref="B41">index('2018_ufns'!C:C,match(A41,'2018_ufns'!E:E,0))</f>
        <v>SO</v>
      </c>
      <c r="C41" s="68">
        <f>countif('2018_ufns'!E:E,A41)</f>
        <v>10</v>
      </c>
      <c r="D41" t="str">
        <f t="array" ref="D41">index('2018_ufns'!B:B,match(A41,'2018_ufns'!E:E,0))</f>
        <v>U16511</v>
      </c>
      <c r="E41" t="str">
        <f t="shared" si="1"/>
        <v>U16520</v>
      </c>
      <c r="F41" t="s">
        <v>2290</v>
      </c>
    </row>
    <row r="42">
      <c r="A42" t="str">
        <f>IFERROR(__xludf.DUMMYFUNCTION("""COMPUTED_VALUE"""),"P1068")</f>
        <v>P1068</v>
      </c>
      <c r="B42" t="str">
        <f t="array" ref="B42">index('2018_ufns'!C:C,match(A42,'2018_ufns'!E:E,0))</f>
        <v>PI</v>
      </c>
      <c r="C42" s="68">
        <f>countif('2018_ufns'!E:E,A42)</f>
        <v>10</v>
      </c>
      <c r="D42" t="str">
        <f t="array" ref="D42">index('2018_ufns'!B:B,match(A42,'2018_ufns'!E:E,0))</f>
        <v>U16671</v>
      </c>
      <c r="E42" t="str">
        <f t="shared" si="1"/>
        <v>U16680</v>
      </c>
      <c r="F42" t="s">
        <v>2290</v>
      </c>
    </row>
    <row r="43">
      <c r="A43" t="str">
        <f>IFERROR(__xludf.DUMMYFUNCTION("""COMPUTED_VALUE"""),"P1061")</f>
        <v>P1061</v>
      </c>
      <c r="B43" t="str">
        <f t="array" ref="B43">index('2018_ufns'!C:C,match(A43,'2018_ufns'!E:E,0))</f>
        <v>CU</v>
      </c>
      <c r="C43" s="68">
        <f>countif('2018_ufns'!E:E,A43)</f>
        <v>10</v>
      </c>
      <c r="D43" t="str">
        <f t="array" ref="D43">index('2018_ufns'!B:B,match(A43,'2018_ufns'!E:E,0))</f>
        <v>U16601</v>
      </c>
      <c r="E43" t="str">
        <f t="shared" si="1"/>
        <v>U16610</v>
      </c>
      <c r="F43" t="s">
        <v>2290</v>
      </c>
    </row>
    <row r="44">
      <c r="A44" t="str">
        <f>IFERROR(__xludf.DUMMYFUNCTION("""COMPUTED_VALUE"""),"P1098")</f>
        <v>P1098</v>
      </c>
      <c r="B44" t="str">
        <f t="array" ref="B44">index('2018_ufns'!C:C,match(A44,'2018_ufns'!E:E,0))</f>
        <v>SO</v>
      </c>
      <c r="C44" s="68">
        <f>countif('2018_ufns'!E:E,A44)</f>
        <v>10</v>
      </c>
      <c r="D44" t="str">
        <f t="array" ref="D44">index('2018_ufns'!B:B,match(A44,'2018_ufns'!E:E,0))</f>
        <v>U16971</v>
      </c>
      <c r="E44" t="str">
        <f t="shared" si="1"/>
        <v>U16980</v>
      </c>
      <c r="F44" t="s">
        <v>2290</v>
      </c>
    </row>
    <row r="45">
      <c r="A45" t="str">
        <f>IFERROR(__xludf.DUMMYFUNCTION("""COMPUTED_VALUE"""),"P1085")</f>
        <v>P1085</v>
      </c>
      <c r="B45" t="str">
        <f t="array" ref="B45">index('2018_ufns'!C:C,match(A45,'2018_ufns'!E:E,0))</f>
        <v>CO</v>
      </c>
      <c r="C45" s="68">
        <f>countif('2018_ufns'!E:E,A45)</f>
        <v>10</v>
      </c>
      <c r="D45" t="str">
        <f t="array" ref="D45">index('2018_ufns'!B:B,match(A45,'2018_ufns'!E:E,0))</f>
        <v>U16841</v>
      </c>
      <c r="E45" t="str">
        <f t="shared" si="1"/>
        <v>U16850</v>
      </c>
      <c r="F45" t="s">
        <v>2290</v>
      </c>
    </row>
    <row r="46">
      <c r="A46" t="str">
        <f>IFERROR(__xludf.DUMMYFUNCTION("""COMPUTED_VALUE"""),"P1100")</f>
        <v>P1100</v>
      </c>
      <c r="B46" t="str">
        <f t="array" ref="B46">index('2018_ufns'!C:C,match(A46,'2018_ufns'!E:E,0))</f>
        <v>SO</v>
      </c>
      <c r="C46" s="68">
        <f>countif('2018_ufns'!E:E,A46)</f>
        <v>10</v>
      </c>
      <c r="D46" t="str">
        <f t="array" ref="D46">index('2018_ufns'!B:B,match(A46,'2018_ufns'!E:E,0))</f>
        <v>U16991</v>
      </c>
      <c r="E46" t="str">
        <f t="shared" si="1"/>
        <v>U17000</v>
      </c>
      <c r="F46" t="s">
        <v>2290</v>
      </c>
    </row>
    <row r="47">
      <c r="A47" t="str">
        <f>IFERROR(__xludf.DUMMYFUNCTION("""COMPUTED_VALUE"""),"P1089")</f>
        <v>P1089</v>
      </c>
      <c r="B47" t="str">
        <f t="array" ref="B47">index('2018_ufns'!C:C,match(A47,'2018_ufns'!E:E,0))</f>
        <v>SO</v>
      </c>
      <c r="C47" s="68">
        <f>countif('2018_ufns'!E:E,A47)</f>
        <v>10</v>
      </c>
      <c r="D47" t="str">
        <f t="array" ref="D47">index('2018_ufns'!B:B,match(A47,'2018_ufns'!E:E,0))</f>
        <v>U16881</v>
      </c>
      <c r="E47" t="str">
        <f t="shared" si="1"/>
        <v>U16890</v>
      </c>
      <c r="F47" t="s">
        <v>2290</v>
      </c>
    </row>
    <row r="48">
      <c r="A48" t="str">
        <f>IFERROR(__xludf.DUMMYFUNCTION("""COMPUTED_VALUE"""),"P1074")</f>
        <v>P1074</v>
      </c>
      <c r="B48" t="str">
        <f t="array" ref="B48">index('2018_ufns'!C:C,match(A48,'2018_ufns'!E:E,0))</f>
        <v>PI</v>
      </c>
      <c r="C48" s="68">
        <f>countif('2018_ufns'!E:E,A48)</f>
        <v>10</v>
      </c>
      <c r="D48" t="str">
        <f t="array" ref="D48">index('2018_ufns'!B:B,match(A48,'2018_ufns'!E:E,0))</f>
        <v>U16731</v>
      </c>
      <c r="E48" t="str">
        <f t="shared" si="1"/>
        <v>U16740</v>
      </c>
      <c r="F48" t="s">
        <v>2290</v>
      </c>
    </row>
    <row r="49">
      <c r="A49" t="str">
        <f>IFERROR(__xludf.DUMMYFUNCTION("""COMPUTED_VALUE"""),"P1099")</f>
        <v>P1099</v>
      </c>
      <c r="B49" t="str">
        <f t="array" ref="B49">index('2018_ufns'!C:C,match(A49,'2018_ufns'!E:E,0))</f>
        <v>CU</v>
      </c>
      <c r="C49" s="68">
        <f>countif('2018_ufns'!E:E,A49)</f>
        <v>10</v>
      </c>
      <c r="D49" t="str">
        <f t="array" ref="D49">index('2018_ufns'!B:B,match(A49,'2018_ufns'!E:E,0))</f>
        <v>U16981</v>
      </c>
      <c r="E49" t="str">
        <f t="shared" si="1"/>
        <v>U16990</v>
      </c>
      <c r="F49" t="s">
        <v>2290</v>
      </c>
    </row>
    <row r="50">
      <c r="A50" t="str">
        <f>IFERROR(__xludf.DUMMYFUNCTION("""COMPUTED_VALUE"""),"P1051")</f>
        <v>P1051</v>
      </c>
      <c r="B50" t="str">
        <f t="array" ref="B50">index('2018_ufns'!C:C,match(A50,'2018_ufns'!E:E,0))</f>
        <v>SO</v>
      </c>
      <c r="C50" s="68">
        <f>countif('2018_ufns'!E:E,A50)</f>
        <v>10</v>
      </c>
      <c r="D50" t="str">
        <f t="array" ref="D50">index('2018_ufns'!B:B,match(A50,'2018_ufns'!E:E,0))</f>
        <v>U16501</v>
      </c>
      <c r="E50" t="str">
        <f t="shared" si="1"/>
        <v>U16510</v>
      </c>
      <c r="F50" t="s">
        <v>2290</v>
      </c>
    </row>
    <row r="51">
      <c r="A51" t="str">
        <f>IFERROR(__xludf.DUMMYFUNCTION("""COMPUTED_VALUE"""),"P1055")</f>
        <v>P1055</v>
      </c>
      <c r="B51" t="str">
        <f t="array" ref="B51">index('2018_ufns'!C:C,match(A51,'2018_ufns'!E:E,0))</f>
        <v>SO</v>
      </c>
      <c r="C51" s="68">
        <f>countif('2018_ufns'!E:E,A51)</f>
        <v>10</v>
      </c>
      <c r="D51" t="str">
        <f t="array" ref="D51">index('2018_ufns'!B:B,match(A51,'2018_ufns'!E:E,0))</f>
        <v>U16541</v>
      </c>
      <c r="E51" t="str">
        <f t="shared" si="1"/>
        <v>U16550</v>
      </c>
      <c r="F51" t="s">
        <v>2290</v>
      </c>
    </row>
    <row r="52">
      <c r="A52" t="str">
        <f>IFERROR(__xludf.DUMMYFUNCTION("""COMPUTED_VALUE"""),"P1073")</f>
        <v>P1073</v>
      </c>
      <c r="B52" t="str">
        <f t="array" ref="B52">index('2018_ufns'!C:C,match(A52,'2018_ufns'!E:E,0))</f>
        <v>CO</v>
      </c>
      <c r="C52" s="68">
        <f>countif('2018_ufns'!E:E,A52)</f>
        <v>1</v>
      </c>
      <c r="D52" t="str">
        <f t="array" ref="D52">index('2018_ufns'!B:B,match(A52,'2018_ufns'!E:E,0))</f>
        <v>U16721</v>
      </c>
      <c r="E52" t="str">
        <f t="shared" si="1"/>
        <v>U16721</v>
      </c>
      <c r="F52" t="s">
        <v>2290</v>
      </c>
    </row>
    <row r="53">
      <c r="A53" t="str">
        <f>IFERROR(__xludf.DUMMYFUNCTION("""COMPUTED_VALUE"""),"P1060")</f>
        <v>P1060</v>
      </c>
      <c r="B53" t="str">
        <f t="array" ref="B53">index('2018_ufns'!C:C,match(A53,'2018_ufns'!E:E,0))</f>
        <v>HE</v>
      </c>
      <c r="C53" s="68">
        <f>countif('2018_ufns'!E:E,A53)</f>
        <v>5</v>
      </c>
      <c r="D53" t="str">
        <f t="array" ref="D53">index('2018_ufns'!B:B,match(A53,'2018_ufns'!E:E,0))</f>
        <v>U16591</v>
      </c>
      <c r="E53" t="str">
        <f t="shared" si="1"/>
        <v>U16595</v>
      </c>
      <c r="F53" t="s">
        <v>2290</v>
      </c>
    </row>
    <row r="54">
      <c r="A54" t="str">
        <f>IFERROR(__xludf.DUMMYFUNCTION("""COMPUTED_VALUE"""),"P1030")</f>
        <v>P1030</v>
      </c>
      <c r="B54" t="str">
        <f t="array" ref="B54">index('2018_ufns'!C:C,match(A54,'2018_ufns'!E:E,0))</f>
        <v>SO</v>
      </c>
      <c r="C54" s="68">
        <f>countif('2018_ufns'!E:E,A54)</f>
        <v>8</v>
      </c>
      <c r="D54" t="str">
        <f t="array" ref="D54">index('2018_ufns'!B:B,match(A54,'2018_ufns'!E:E,0))</f>
        <v>U16291</v>
      </c>
      <c r="E54" t="str">
        <f t="shared" si="1"/>
        <v>U16298</v>
      </c>
      <c r="F54" t="s">
        <v>2290</v>
      </c>
    </row>
    <row r="55">
      <c r="A55" t="str">
        <f>IFERROR(__xludf.DUMMYFUNCTION("""COMPUTED_VALUE"""),"P1004")</f>
        <v>P1004</v>
      </c>
      <c r="B55" t="str">
        <f t="array" ref="B55">index('2018_ufns'!C:C,match(A55,'2018_ufns'!E:E,0))</f>
        <v>PI</v>
      </c>
      <c r="C55" s="68">
        <f>countif('2018_ufns'!E:E,A55)</f>
        <v>10</v>
      </c>
      <c r="D55" t="str">
        <f t="array" ref="D55">index('2018_ufns'!B:B,match(A55,'2018_ufns'!E:E,0))</f>
        <v>U16031</v>
      </c>
      <c r="E55" t="str">
        <f t="shared" si="1"/>
        <v>U16040</v>
      </c>
      <c r="F55" t="s">
        <v>2290</v>
      </c>
    </row>
    <row r="56">
      <c r="A56" t="str">
        <f>IFERROR(__xludf.DUMMYFUNCTION("""COMPUTED_VALUE"""),"P1027")</f>
        <v>P1027</v>
      </c>
      <c r="B56" t="str">
        <f t="array" ref="B56">index('2018_ufns'!C:C,match(A56,'2018_ufns'!E:E,0))</f>
        <v>CU</v>
      </c>
      <c r="C56" s="68">
        <f>countif('2018_ufns'!E:E,A56)</f>
        <v>10</v>
      </c>
      <c r="D56" t="str">
        <f t="array" ref="D56">index('2018_ufns'!B:B,match(A56,'2018_ufns'!E:E,0))</f>
        <v>U16261</v>
      </c>
      <c r="E56" t="str">
        <f t="shared" si="1"/>
        <v>U16270</v>
      </c>
      <c r="F56" t="s">
        <v>2290</v>
      </c>
    </row>
    <row r="57">
      <c r="A57" s="69" t="str">
        <f>IFERROR(__xludf.DUMMYFUNCTION("""COMPUTED_VALUE"""),"P1110")</f>
        <v>P1110</v>
      </c>
      <c r="B57" s="69" t="str">
        <f t="array" ref="B57">index('2018_ufns'!C:C,match(A57,'2018_ufns'!E:E,0))</f>
        <v>SO</v>
      </c>
      <c r="C57" s="70">
        <f>countif('2018_ufns'!E:E,A57)</f>
        <v>10</v>
      </c>
      <c r="D57" s="69" t="str">
        <f t="array" ref="D57">index('2018_ufns'!B:B,match(A57,'2018_ufns'!E:E,0))</f>
        <v>U17091</v>
      </c>
      <c r="E57" s="69" t="str">
        <f t="shared" si="1"/>
        <v>U17100</v>
      </c>
      <c r="F57" s="69" t="s">
        <v>2291</v>
      </c>
    </row>
    <row r="58">
      <c r="A58" s="69" t="str">
        <f>IFERROR(__xludf.DUMMYFUNCTION("""COMPUTED_VALUE"""),"P1111")</f>
        <v>P1111</v>
      </c>
      <c r="B58" s="69" t="str">
        <f t="array" ref="B58">index('2018_ufns'!C:C,match(A58,'2018_ufns'!E:E,0))</f>
        <v>PI</v>
      </c>
      <c r="C58" s="70">
        <f>countif('2018_ufns'!E:E,A58)</f>
        <v>10</v>
      </c>
      <c r="D58" s="69" t="str">
        <f t="array" ref="D58">index('2018_ufns'!B:B,match(A58,'2018_ufns'!E:E,0))</f>
        <v>U17101</v>
      </c>
      <c r="E58" s="69" t="str">
        <f t="shared" si="1"/>
        <v>U17110</v>
      </c>
      <c r="F58" s="69" t="s">
        <v>2291</v>
      </c>
    </row>
    <row r="59">
      <c r="A59" s="69" t="str">
        <f>IFERROR(__xludf.DUMMYFUNCTION("""COMPUTED_VALUE"""),"P1112")</f>
        <v>P1112</v>
      </c>
      <c r="B59" s="69" t="str">
        <f t="array" ref="B59">index('2018_ufns'!C:C,match(A59,'2018_ufns'!E:E,0))</f>
        <v>CU</v>
      </c>
      <c r="C59" s="70">
        <f>countif('2018_ufns'!E:E,A59)</f>
        <v>10</v>
      </c>
      <c r="D59" s="69" t="str">
        <f t="array" ref="D59">index('2018_ufns'!B:B,match(A59,'2018_ufns'!E:E,0))</f>
        <v>U17111</v>
      </c>
      <c r="E59" s="69" t="str">
        <f t="shared" si="1"/>
        <v>U17120</v>
      </c>
      <c r="F59" s="69" t="s">
        <v>2291</v>
      </c>
    </row>
    <row r="60">
      <c r="A60" s="69" t="str">
        <f>IFERROR(__xludf.DUMMYFUNCTION("""COMPUTED_VALUE"""),"P1002")</f>
        <v>P1002</v>
      </c>
      <c r="B60" s="69" t="str">
        <f t="array" ref="B60">index('2018_ufns'!C:C,match(A60,'2018_ufns'!E:E,0))</f>
        <v>SO</v>
      </c>
      <c r="C60" s="70">
        <f>countif('2018_ufns'!E:E,A60)</f>
        <v>10</v>
      </c>
      <c r="D60" s="69" t="str">
        <f t="array" ref="D60">index('2018_ufns'!B:B,match(A60,'2018_ufns'!E:E,0))</f>
        <v>U16011</v>
      </c>
      <c r="E60" s="69" t="str">
        <f t="shared" si="1"/>
        <v>U16020</v>
      </c>
      <c r="F60" s="69" t="s">
        <v>2291</v>
      </c>
    </row>
    <row r="61">
      <c r="A61" s="69" t="str">
        <f>IFERROR(__xludf.DUMMYFUNCTION("""COMPUTED_VALUE"""),"P1003")</f>
        <v>P1003</v>
      </c>
      <c r="B61" s="69" t="str">
        <f t="array" ref="B61">index('2018_ufns'!C:C,match(A61,'2018_ufns'!E:E,0))</f>
        <v>SO</v>
      </c>
      <c r="C61" s="70">
        <f>countif('2018_ufns'!E:E,A61)</f>
        <v>4</v>
      </c>
      <c r="D61" s="69" t="str">
        <f t="array" ref="D61">index('2018_ufns'!B:B,match(A61,'2018_ufns'!E:E,0))</f>
        <v>U16021</v>
      </c>
      <c r="E61" s="69" t="str">
        <f t="shared" si="1"/>
        <v>U16024</v>
      </c>
      <c r="F61" s="69" t="s">
        <v>2291</v>
      </c>
    </row>
    <row r="62">
      <c r="A62" t="str">
        <f>IFERROR(__xludf.DUMMYFUNCTION("""COMPUTED_VALUE"""),"P1022")</f>
        <v>P1022</v>
      </c>
      <c r="B62" t="str">
        <f t="array" ref="B62">index('2018_ufns'!C:C,match(A62,'2018_ufns'!E:E,0))</f>
        <v>HE</v>
      </c>
      <c r="C62" s="68">
        <f>countif('2018_ufns'!E:E,A62)</f>
        <v>6</v>
      </c>
      <c r="D62" t="str">
        <f t="array" ref="D62">index('2018_ufns'!B:B,match(A62,'2018_ufns'!E:E,0))</f>
        <v>U16211</v>
      </c>
      <c r="E62" t="str">
        <f t="shared" si="1"/>
        <v>U16216</v>
      </c>
      <c r="F62" t="s">
        <v>2290</v>
      </c>
    </row>
    <row r="63">
      <c r="A63" t="str">
        <f>IFERROR(__xludf.DUMMYFUNCTION("""COMPUTED_VALUE"""),"P1081")</f>
        <v>P1081</v>
      </c>
      <c r="B63" t="str">
        <f t="array" ref="B63">index('2018_ufns'!C:C,match(A63,'2018_ufns'!E:E,0))</f>
        <v>SO</v>
      </c>
      <c r="C63" s="68">
        <f>countif('2018_ufns'!E:E,A63)</f>
        <v>10</v>
      </c>
      <c r="D63" t="str">
        <f t="array" ref="D63">index('2018_ufns'!B:B,match(A63,'2018_ufns'!E:E,0))</f>
        <v>U16801</v>
      </c>
      <c r="E63" t="str">
        <f t="shared" si="1"/>
        <v>U16810</v>
      </c>
      <c r="F63" t="s">
        <v>2290</v>
      </c>
    </row>
    <row r="64">
      <c r="A64" t="str">
        <f>IFERROR(__xludf.DUMMYFUNCTION("""COMPUTED_VALUE"""),"P1066")</f>
        <v>P1066</v>
      </c>
      <c r="B64" t="str">
        <f t="array" ref="B64">index('2018_ufns'!C:C,match(A64,'2018_ufns'!E:E,0))</f>
        <v>PI</v>
      </c>
      <c r="C64" s="68">
        <f>countif('2018_ufns'!E:E,A64)</f>
        <v>10</v>
      </c>
      <c r="D64" t="str">
        <f t="array" ref="D64">index('2018_ufns'!B:B,match(A64,'2018_ufns'!E:E,0))</f>
        <v>U16651</v>
      </c>
      <c r="E64" t="str">
        <f t="shared" si="1"/>
        <v>U16660</v>
      </c>
      <c r="F64" t="s">
        <v>2290</v>
      </c>
    </row>
    <row r="65">
      <c r="A65" t="str">
        <f>IFERROR(__xludf.DUMMYFUNCTION("""COMPUTED_VALUE"""),"P1053")</f>
        <v>P1053</v>
      </c>
      <c r="B65" t="str">
        <f t="array" ref="B65">index('2018_ufns'!C:C,match(A65,'2018_ufns'!E:E,0))</f>
        <v>CU</v>
      </c>
      <c r="C65" s="68">
        <f>countif('2018_ufns'!E:E,A65)</f>
        <v>10</v>
      </c>
      <c r="D65" t="str">
        <f t="array" ref="D65">index('2018_ufns'!B:B,match(A65,'2018_ufns'!E:E,0))</f>
        <v>U16521</v>
      </c>
      <c r="E65" t="str">
        <f t="shared" si="1"/>
        <v>U16530</v>
      </c>
      <c r="F65" t="s">
        <v>2290</v>
      </c>
    </row>
    <row r="66">
      <c r="A66" t="str">
        <f>IFERROR(__xludf.DUMMYFUNCTION("""COMPUTED_VALUE"""),"P1072")</f>
        <v>P1072</v>
      </c>
      <c r="B66" t="str">
        <f t="array" ref="B66">index('2018_ufns'!C:C,match(A66,'2018_ufns'!E:E,0))</f>
        <v>SO</v>
      </c>
      <c r="C66" s="68">
        <f>countif('2018_ufns'!E:E,A66)</f>
        <v>10</v>
      </c>
      <c r="D66" t="str">
        <f t="array" ref="D66">index('2018_ufns'!B:B,match(A66,'2018_ufns'!E:E,0))</f>
        <v>U16711</v>
      </c>
      <c r="E66" t="str">
        <f t="shared" si="1"/>
        <v>U16720</v>
      </c>
      <c r="F66" t="s">
        <v>2290</v>
      </c>
    </row>
    <row r="67">
      <c r="A67" t="str">
        <f>IFERROR(__xludf.DUMMYFUNCTION("""COMPUTED_VALUE"""),"P1067")</f>
        <v>P1067</v>
      </c>
      <c r="B67" t="str">
        <f t="array" ref="B67">index('2018_ufns'!C:C,match(A67,'2018_ufns'!E:E,0))</f>
        <v>SO</v>
      </c>
      <c r="C67" s="68">
        <f>countif('2018_ufns'!E:E,A67)</f>
        <v>10</v>
      </c>
      <c r="D67" t="str">
        <f t="array" ref="D67">index('2018_ufns'!B:B,match(A67,'2018_ufns'!E:E,0))</f>
        <v>U16661</v>
      </c>
      <c r="E67" t="str">
        <f t="shared" si="1"/>
        <v>U16670</v>
      </c>
      <c r="F67" t="s">
        <v>2290</v>
      </c>
    </row>
    <row r="68">
      <c r="A68" t="str">
        <f>IFERROR(__xludf.DUMMYFUNCTION("""COMPUTED_VALUE"""),"P1087")</f>
        <v>P1087</v>
      </c>
      <c r="B68" t="str">
        <f t="array" ref="B68">index('2018_ufns'!C:C,match(A68,'2018_ufns'!E:E,0))</f>
        <v>CO</v>
      </c>
      <c r="C68" s="68">
        <f>countif('2018_ufns'!E:E,A68)</f>
        <v>3</v>
      </c>
      <c r="D68" t="str">
        <f t="array" ref="D68">index('2018_ufns'!B:B,match(A68,'2018_ufns'!E:E,0))</f>
        <v>U16861</v>
      </c>
      <c r="E68" t="str">
        <f t="shared" si="1"/>
        <v>U16863</v>
      </c>
      <c r="F68" t="s">
        <v>2290</v>
      </c>
    </row>
    <row r="69">
      <c r="A69" t="str">
        <f>IFERROR(__xludf.DUMMYFUNCTION("""COMPUTED_VALUE"""),"P1124")</f>
        <v>P1124</v>
      </c>
      <c r="B69" t="str">
        <f t="array" ref="B69">index('2018_ufns'!C:C,match(A69,'2018_ufns'!E:E,0))</f>
        <v>SO</v>
      </c>
      <c r="C69" s="68">
        <f>countif('2018_ufns'!E:E,A69)</f>
        <v>10</v>
      </c>
      <c r="D69" t="str">
        <f t="array" ref="D69">index('2018_ufns'!B:B,match(A69,'2018_ufns'!E:E,0))</f>
        <v>U17231</v>
      </c>
      <c r="E69" t="str">
        <f t="shared" si="1"/>
        <v>U17240</v>
      </c>
      <c r="F69" t="s">
        <v>2290</v>
      </c>
    </row>
    <row r="70">
      <c r="A70" t="str">
        <f>IFERROR(__xludf.DUMMYFUNCTION("""COMPUTED_VALUE"""),"P1126")</f>
        <v>P1126</v>
      </c>
      <c r="B70" t="str">
        <f t="array" ref="B70">index('2018_ufns'!C:C,match(A70,'2018_ufns'!E:E,0))</f>
        <v>PI</v>
      </c>
      <c r="C70" s="68">
        <f>countif('2018_ufns'!E:E,A70)</f>
        <v>10</v>
      </c>
      <c r="D70" t="str">
        <f t="array" ref="D70">index('2018_ufns'!B:B,match(A70,'2018_ufns'!E:E,0))</f>
        <v>U17251</v>
      </c>
      <c r="E70" t="str">
        <f t="shared" si="1"/>
        <v>U17260</v>
      </c>
      <c r="F70" t="s">
        <v>2290</v>
      </c>
    </row>
    <row r="71">
      <c r="A71" t="str">
        <f>IFERROR(__xludf.DUMMYFUNCTION("""COMPUTED_VALUE"""),"P1109")</f>
        <v>P1109</v>
      </c>
      <c r="B71" t="str">
        <f t="array" ref="B71">index('2018_ufns'!C:C,match(A71,'2018_ufns'!E:E,0))</f>
        <v>CU</v>
      </c>
      <c r="C71" s="68">
        <f>countif('2018_ufns'!E:E,A71)</f>
        <v>10</v>
      </c>
      <c r="D71" t="str">
        <f t="array" ref="D71">index('2018_ufns'!B:B,match(A71,'2018_ufns'!E:E,0))</f>
        <v>U17081</v>
      </c>
      <c r="E71" t="str">
        <f t="shared" si="1"/>
        <v>U17090</v>
      </c>
      <c r="F71" t="s">
        <v>2290</v>
      </c>
    </row>
    <row r="72">
      <c r="A72" t="str">
        <f>IFERROR(__xludf.DUMMYFUNCTION("""COMPUTED_VALUE"""),"P1127")</f>
        <v>P1127</v>
      </c>
      <c r="B72" t="str">
        <f t="array" ref="B72">index('2018_ufns'!C:C,match(A72,'2018_ufns'!E:E,0))</f>
        <v>SO</v>
      </c>
      <c r="C72" s="68">
        <f>countif('2018_ufns'!E:E,A72)</f>
        <v>10</v>
      </c>
      <c r="D72" t="str">
        <f t="array" ref="D72">index('2018_ufns'!B:B,match(A72,'2018_ufns'!E:E,0))</f>
        <v>U17261</v>
      </c>
      <c r="E72" t="str">
        <f t="shared" si="1"/>
        <v>U17270</v>
      </c>
      <c r="F72" t="s">
        <v>2290</v>
      </c>
    </row>
    <row r="73">
      <c r="A73" t="str">
        <f>IFERROR(__xludf.DUMMYFUNCTION("""COMPUTED_VALUE"""),"P1128")</f>
        <v>P1128</v>
      </c>
      <c r="B73" t="str">
        <f t="array" ref="B73">index('2018_ufns'!C:C,match(A73,'2018_ufns'!E:E,0))</f>
        <v>SO</v>
      </c>
      <c r="C73" s="68">
        <f>countif('2018_ufns'!E:E,A73)</f>
        <v>10</v>
      </c>
      <c r="D73" t="str">
        <f t="array" ref="D73">index('2018_ufns'!B:B,match(A73,'2018_ufns'!E:E,0))</f>
        <v>U17271</v>
      </c>
      <c r="E73" t="str">
        <f t="shared" si="1"/>
        <v>U17280</v>
      </c>
      <c r="F73" t="s">
        <v>2290</v>
      </c>
    </row>
    <row r="74">
      <c r="A74" t="str">
        <f>IFERROR(__xludf.DUMMYFUNCTION("""COMPUTED_VALUE"""),"P1125")</f>
        <v>P1125</v>
      </c>
      <c r="B74" t="str">
        <f t="array" ref="B74">index('2018_ufns'!C:C,match(A74,'2018_ufns'!E:E,0))</f>
        <v>HE</v>
      </c>
      <c r="C74" s="68">
        <f>countif('2018_ufns'!E:E,A74)</f>
        <v>10</v>
      </c>
      <c r="D74" t="str">
        <f t="array" ref="D74">index('2018_ufns'!B:B,match(A74,'2018_ufns'!E:E,0))</f>
        <v>U17241</v>
      </c>
      <c r="E74" t="str">
        <f t="shared" si="1"/>
        <v>U17250</v>
      </c>
      <c r="F74" t="s">
        <v>2290</v>
      </c>
    </row>
    <row r="75">
      <c r="A75" t="str">
        <f>IFERROR(__xludf.DUMMYFUNCTION("""COMPUTED_VALUE"""),"P1143")</f>
        <v>P1143</v>
      </c>
      <c r="B75" t="str">
        <f t="array" ref="B75">index('2018_ufns'!C:C,match(A75,'2018_ufns'!E:E,0))</f>
        <v>SO</v>
      </c>
      <c r="C75" s="68">
        <f>countif('2018_ufns'!E:E,A75)</f>
        <v>10</v>
      </c>
      <c r="D75" t="str">
        <f t="array" ref="D75">index('2018_ufns'!B:B,match(A75,'2018_ufns'!E:E,0))</f>
        <v>U17421</v>
      </c>
      <c r="E75" t="str">
        <f t="shared" si="1"/>
        <v>U17430</v>
      </c>
      <c r="F75" t="s">
        <v>2290</v>
      </c>
    </row>
    <row r="76">
      <c r="A76" t="str">
        <f>IFERROR(__xludf.DUMMYFUNCTION("""COMPUTED_VALUE"""),"P1121")</f>
        <v>P1121</v>
      </c>
      <c r="B76" t="str">
        <f t="array" ref="B76">index('2018_ufns'!C:C,match(A76,'2018_ufns'!E:E,0))</f>
        <v>PI</v>
      </c>
      <c r="C76" s="68">
        <f>countif('2018_ufns'!E:E,A76)</f>
        <v>10</v>
      </c>
      <c r="D76" t="str">
        <f t="array" ref="D76">index('2018_ufns'!B:B,match(A76,'2018_ufns'!E:E,0))</f>
        <v>U17201</v>
      </c>
      <c r="E76" t="str">
        <f t="shared" si="1"/>
        <v>U17210</v>
      </c>
      <c r="F76" t="s">
        <v>2290</v>
      </c>
    </row>
    <row r="77">
      <c r="A77" t="str">
        <f>IFERROR(__xludf.DUMMYFUNCTION("""COMPUTED_VALUE"""),"P1122")</f>
        <v>P1122</v>
      </c>
      <c r="B77" t="str">
        <f t="array" ref="B77">index('2018_ufns'!C:C,match(A77,'2018_ufns'!E:E,0))</f>
        <v>CU</v>
      </c>
      <c r="C77" s="68">
        <f>countif('2018_ufns'!E:E,A77)</f>
        <v>10</v>
      </c>
      <c r="D77" t="str">
        <f t="array" ref="D77">index('2018_ufns'!B:B,match(A77,'2018_ufns'!E:E,0))</f>
        <v>U17211</v>
      </c>
      <c r="E77" t="str">
        <f t="shared" si="1"/>
        <v>U17220</v>
      </c>
      <c r="F77" t="s">
        <v>2290</v>
      </c>
    </row>
    <row r="78">
      <c r="A78" t="str">
        <f>IFERROR(__xludf.DUMMYFUNCTION("""COMPUTED_VALUE"""),"P1120")</f>
        <v>P1120</v>
      </c>
      <c r="B78" t="str">
        <f t="array" ref="B78">index('2018_ufns'!C:C,match(A78,'2018_ufns'!E:E,0))</f>
        <v>SO</v>
      </c>
      <c r="C78" s="68">
        <f>countif('2018_ufns'!E:E,A78)</f>
        <v>10</v>
      </c>
      <c r="D78" t="str">
        <f t="array" ref="D78">index('2018_ufns'!B:B,match(A78,'2018_ufns'!E:E,0))</f>
        <v>U17191</v>
      </c>
      <c r="E78" t="str">
        <f t="shared" si="1"/>
        <v>U17200</v>
      </c>
      <c r="F78" t="s">
        <v>2290</v>
      </c>
    </row>
    <row r="79">
      <c r="A79" t="str">
        <f>IFERROR(__xludf.DUMMYFUNCTION("""COMPUTED_VALUE"""),"P1142")</f>
        <v>P1142</v>
      </c>
      <c r="B79" t="str">
        <f t="array" ref="B79">index('2018_ufns'!C:C,match(A79,'2018_ufns'!E:E,0))</f>
        <v>SO</v>
      </c>
      <c r="C79" s="68">
        <f>countif('2018_ufns'!E:E,A79)</f>
        <v>6</v>
      </c>
      <c r="D79" t="str">
        <f t="array" ref="D79">index('2018_ufns'!B:B,match(A79,'2018_ufns'!E:E,0))</f>
        <v>U17411</v>
      </c>
      <c r="E79" t="str">
        <f t="shared" si="1"/>
        <v>U17416</v>
      </c>
      <c r="F79" t="s">
        <v>2290</v>
      </c>
    </row>
    <row r="80">
      <c r="A80" t="str">
        <f>IFERROR(__xludf.DUMMYFUNCTION("""COMPUTED_VALUE"""),"P1057")</f>
        <v>P1057</v>
      </c>
      <c r="B80" t="str">
        <f t="array" ref="B80">index('2018_ufns'!C:C,match(A80,'2018_ufns'!E:E,0))</f>
        <v>SO</v>
      </c>
      <c r="C80" s="68">
        <f>countif('2018_ufns'!E:E,A80)</f>
        <v>8</v>
      </c>
      <c r="D80" t="str">
        <f t="array" ref="D80">index('2018_ufns'!B:B,match(A80,'2018_ufns'!E:E,0))</f>
        <v>U16561</v>
      </c>
      <c r="E80" t="str">
        <f t="shared" si="1"/>
        <v>U16568</v>
      </c>
      <c r="F80" t="s">
        <v>2290</v>
      </c>
    </row>
    <row r="81">
      <c r="A81" t="str">
        <f>IFERROR(__xludf.DUMMYFUNCTION("""COMPUTED_VALUE"""),"P1082")</f>
        <v>P1082</v>
      </c>
      <c r="B81" t="str">
        <f t="array" ref="B81">index('2018_ufns'!C:C,match(A81,'2018_ufns'!E:E,0))</f>
        <v>PI</v>
      </c>
      <c r="C81" s="68">
        <f>countif('2018_ufns'!E:E,A81)</f>
        <v>10</v>
      </c>
      <c r="D81" t="str">
        <f t="array" ref="D81">index('2018_ufns'!B:B,match(A81,'2018_ufns'!E:E,0))</f>
        <v>U16811</v>
      </c>
      <c r="E81" t="str">
        <f t="shared" si="1"/>
        <v>U16820</v>
      </c>
      <c r="F81" t="s">
        <v>2290</v>
      </c>
    </row>
    <row r="82">
      <c r="A82" t="str">
        <f>IFERROR(__xludf.DUMMYFUNCTION("""COMPUTED_VALUE"""),"P1084")</f>
        <v>P1084</v>
      </c>
      <c r="B82" t="str">
        <f t="array" ref="B82">index('2018_ufns'!C:C,match(A82,'2018_ufns'!E:E,0))</f>
        <v>CU</v>
      </c>
      <c r="C82" s="68">
        <f>countif('2018_ufns'!E:E,A82)</f>
        <v>10</v>
      </c>
      <c r="D82" t="str">
        <f t="array" ref="D82">index('2018_ufns'!B:B,match(A82,'2018_ufns'!E:E,0))</f>
        <v>U16831</v>
      </c>
      <c r="E82" t="str">
        <f t="shared" si="1"/>
        <v>U16840</v>
      </c>
      <c r="F82" t="s">
        <v>2290</v>
      </c>
    </row>
    <row r="83">
      <c r="A83" s="69" t="str">
        <f>IFERROR(__xludf.DUMMYFUNCTION("""COMPUTED_VALUE"""),"P1148")</f>
        <v>P1148</v>
      </c>
      <c r="B83" s="69" t="str">
        <f t="array" ref="B83">index('2018_ufns'!C:C,match(A83,'2018_ufns'!E:E,0))</f>
        <v>PI</v>
      </c>
      <c r="C83" s="70">
        <f>countif('2018_ufns'!E:E,A83)</f>
        <v>10</v>
      </c>
      <c r="D83" s="69" t="str">
        <f t="array" ref="D83">index('2018_ufns'!B:B,match(A83,'2018_ufns'!E:E,0))</f>
        <v>U17471</v>
      </c>
      <c r="E83" s="69" t="str">
        <f t="shared" si="1"/>
        <v>U17480</v>
      </c>
      <c r="F83" s="69" t="s">
        <v>2291</v>
      </c>
    </row>
    <row r="84">
      <c r="A84" s="69" t="str">
        <f>IFERROR(__xludf.DUMMYFUNCTION("""COMPUTED_VALUE"""),"P1133")</f>
        <v>P1133</v>
      </c>
      <c r="B84" s="69" t="str">
        <f t="array" ref="B84">index('2018_ufns'!C:C,match(A84,'2018_ufns'!E:E,0))</f>
        <v>CU</v>
      </c>
      <c r="C84" s="70">
        <f>countif('2018_ufns'!E:E,A84)</f>
        <v>10</v>
      </c>
      <c r="D84" s="69" t="str">
        <f t="array" ref="D84">index('2018_ufns'!B:B,match(A84,'2018_ufns'!E:E,0))</f>
        <v>U17321</v>
      </c>
      <c r="E84" s="69" t="str">
        <f t="shared" si="1"/>
        <v>U17330</v>
      </c>
      <c r="F84" s="69" t="s">
        <v>2291</v>
      </c>
    </row>
    <row r="85">
      <c r="A85" t="str">
        <f>IFERROR(__xludf.DUMMYFUNCTION("""COMPUTED_VALUE"""),"P1130")</f>
        <v>P1130</v>
      </c>
      <c r="B85" t="str">
        <f t="array" ref="B85">index('2018_ufns'!C:C,match(A85,'2018_ufns'!E:E,0))</f>
        <v>SO</v>
      </c>
      <c r="C85" s="68">
        <f>countif('2018_ufns'!E:E,A85)</f>
        <v>1</v>
      </c>
      <c r="D85" t="str">
        <f t="array" ref="D85">index('2018_ufns'!B:B,match(A85,'2018_ufns'!E:E,0))</f>
        <v>U17291</v>
      </c>
      <c r="E85" t="str">
        <f t="shared" si="1"/>
        <v>U17291</v>
      </c>
      <c r="F85" t="s">
        <v>2290</v>
      </c>
    </row>
    <row r="86">
      <c r="A86" t="str">
        <f>IFERROR(__xludf.DUMMYFUNCTION("""COMPUTED_VALUE"""),"P1131")</f>
        <v>P1131</v>
      </c>
      <c r="B86" t="str">
        <f t="array" ref="B86">index('2018_ufns'!C:C,match(A86,'2018_ufns'!E:E,0))</f>
        <v>PI</v>
      </c>
      <c r="C86" s="68">
        <f>countif('2018_ufns'!E:E,A86)</f>
        <v>10</v>
      </c>
      <c r="D86" t="str">
        <f t="array" ref="D86">index('2018_ufns'!B:B,match(A86,'2018_ufns'!E:E,0))</f>
        <v>U17301</v>
      </c>
      <c r="E86" t="str">
        <f t="shared" si="1"/>
        <v>U17310</v>
      </c>
      <c r="F86" t="s">
        <v>2290</v>
      </c>
    </row>
    <row r="87">
      <c r="A87" t="str">
        <f>IFERROR(__xludf.DUMMYFUNCTION("""COMPUTED_VALUE"""),"P1132")</f>
        <v>P1132</v>
      </c>
      <c r="B87" t="str">
        <f t="array" ref="B87">index('2018_ufns'!C:C,match(A87,'2018_ufns'!E:E,0))</f>
        <v>CU</v>
      </c>
      <c r="C87" s="68">
        <f>countif('2018_ufns'!E:E,A87)</f>
        <v>10</v>
      </c>
      <c r="D87" t="str">
        <f t="array" ref="D87">index('2018_ufns'!B:B,match(A87,'2018_ufns'!E:E,0))</f>
        <v>U17311</v>
      </c>
      <c r="E87" t="str">
        <f t="shared" si="1"/>
        <v>U17320</v>
      </c>
      <c r="F87" t="s">
        <v>2290</v>
      </c>
    </row>
    <row r="88">
      <c r="A88" t="str">
        <f>IFERROR(__xludf.DUMMYFUNCTION("""COMPUTED_VALUE"""),"P1107")</f>
        <v>P1107</v>
      </c>
      <c r="B88" t="str">
        <f t="array" ref="B88">index('2018_ufns'!C:C,match(A88,'2018_ufns'!E:E,0))</f>
        <v>CK</v>
      </c>
      <c r="C88" s="68">
        <f>countif('2018_ufns'!E:E,A88)</f>
        <v>1</v>
      </c>
      <c r="D88" t="str">
        <f t="array" ref="D88">index('2018_ufns'!B:B,match(A88,'2018_ufns'!E:E,0))</f>
        <v>U17061</v>
      </c>
      <c r="E88" t="str">
        <f t="shared" si="1"/>
        <v>U17061</v>
      </c>
      <c r="F88" t="s">
        <v>2290</v>
      </c>
    </row>
    <row r="89">
      <c r="A89" t="str">
        <f>IFERROR(__xludf.DUMMYFUNCTION("""COMPUTED_VALUE"""),"P1071")</f>
        <v>P1071</v>
      </c>
      <c r="B89" t="str">
        <f t="array" ref="B89">index('2018_ufns'!C:C,match(A89,'2018_ufns'!E:E,0))</f>
        <v>SO</v>
      </c>
      <c r="C89" s="68">
        <f>countif('2018_ufns'!E:E,A89)</f>
        <v>10</v>
      </c>
      <c r="D89" t="str">
        <f t="array" ref="D89">index('2018_ufns'!B:B,match(A89,'2018_ufns'!E:E,0))</f>
        <v>U16701</v>
      </c>
      <c r="E89" t="str">
        <f t="shared" si="1"/>
        <v>U16710</v>
      </c>
      <c r="F89" t="s">
        <v>2290</v>
      </c>
    </row>
    <row r="90">
      <c r="A90" t="str">
        <f>IFERROR(__xludf.DUMMYFUNCTION("""COMPUTED_VALUE"""),"P1058")</f>
        <v>P1058</v>
      </c>
      <c r="B90" t="str">
        <f t="array" ref="B90">index('2018_ufns'!C:C,match(A90,'2018_ufns'!E:E,0))</f>
        <v>PI</v>
      </c>
      <c r="C90" s="68">
        <f>countif('2018_ufns'!E:E,A90)</f>
        <v>10</v>
      </c>
      <c r="D90" t="str">
        <f t="array" ref="D90">index('2018_ufns'!B:B,match(A90,'2018_ufns'!E:E,0))</f>
        <v>U16571</v>
      </c>
      <c r="E90" t="str">
        <f t="shared" si="1"/>
        <v>U16580</v>
      </c>
      <c r="F90" t="s">
        <v>2290</v>
      </c>
    </row>
    <row r="91">
      <c r="A91" t="str">
        <f>IFERROR(__xludf.DUMMYFUNCTION("""COMPUTED_VALUE"""),"P1065")</f>
        <v>P1065</v>
      </c>
      <c r="B91" t="str">
        <f t="array" ref="B91">index('2018_ufns'!C:C,match(A91,'2018_ufns'!E:E,0))</f>
        <v>CU</v>
      </c>
      <c r="C91" s="68">
        <f>countif('2018_ufns'!E:E,A91)</f>
        <v>10</v>
      </c>
      <c r="D91" t="str">
        <f t="array" ref="D91">index('2018_ufns'!B:B,match(A91,'2018_ufns'!E:E,0))</f>
        <v>U16641</v>
      </c>
      <c r="E91" t="str">
        <f t="shared" si="1"/>
        <v>U16650</v>
      </c>
      <c r="F91" t="s">
        <v>2290</v>
      </c>
    </row>
    <row r="92">
      <c r="A92" t="str">
        <f>IFERROR(__xludf.DUMMYFUNCTION("""COMPUTED_VALUE"""),"P1063")</f>
        <v>P1063</v>
      </c>
      <c r="B92" t="str">
        <f t="array" ref="B92">index('2018_ufns'!C:C,match(A92,'2018_ufns'!E:E,0))</f>
        <v>SO</v>
      </c>
      <c r="C92" s="68">
        <f>countif('2018_ufns'!E:E,A92)</f>
        <v>6</v>
      </c>
      <c r="D92" t="str">
        <f t="array" ref="D92">index('2018_ufns'!B:B,match(A92,'2018_ufns'!E:E,0))</f>
        <v>U16621</v>
      </c>
      <c r="E92" t="str">
        <f t="shared" si="1"/>
        <v>U16626</v>
      </c>
      <c r="F92" t="s">
        <v>2290</v>
      </c>
    </row>
    <row r="93">
      <c r="A93" t="str">
        <f>IFERROR(__xludf.DUMMYFUNCTION("""COMPUTED_VALUE"""),"P1116")</f>
        <v>P1116</v>
      </c>
      <c r="B93" t="str">
        <f t="array" ref="B93">index('2018_ufns'!C:C,match(A93,'2018_ufns'!E:E,0))</f>
        <v>PI</v>
      </c>
      <c r="C93" s="68">
        <f>countif('2018_ufns'!E:E,A93)</f>
        <v>10</v>
      </c>
      <c r="D93" t="str">
        <f t="array" ref="D93">index('2018_ufns'!B:B,match(A93,'2018_ufns'!E:E,0))</f>
        <v>U17151</v>
      </c>
      <c r="E93" t="str">
        <f t="shared" si="1"/>
        <v>U17160</v>
      </c>
      <c r="F93" t="s">
        <v>2290</v>
      </c>
    </row>
    <row r="94">
      <c r="A94" t="str">
        <f>IFERROR(__xludf.DUMMYFUNCTION("""COMPUTED_VALUE"""),"P1115")</f>
        <v>P1115</v>
      </c>
      <c r="B94" t="str">
        <f t="array" ref="B94">index('2018_ufns'!C:C,match(A94,'2018_ufns'!E:E,0))</f>
        <v>CU</v>
      </c>
      <c r="C94" s="68">
        <f>countif('2018_ufns'!E:E,A94)</f>
        <v>10</v>
      </c>
      <c r="D94" t="str">
        <f t="array" ref="D94">index('2018_ufns'!B:B,match(A94,'2018_ufns'!E:E,0))</f>
        <v>U17141</v>
      </c>
      <c r="E94" t="str">
        <f t="shared" si="1"/>
        <v>U17150</v>
      </c>
      <c r="F94" t="s">
        <v>2290</v>
      </c>
    </row>
    <row r="95">
      <c r="A95" s="69" t="str">
        <f>IFERROR(__xludf.DUMMYFUNCTION("""COMPUTED_VALUE"""),"P1042")</f>
        <v>P1042</v>
      </c>
      <c r="B95" s="69" t="str">
        <f t="array" ref="B95">index('2018_ufns'!C:C,match(A95,'2018_ufns'!E:E,0))</f>
        <v>PI</v>
      </c>
      <c r="C95" s="70">
        <f>countif('2018_ufns'!E:E,A95)</f>
        <v>10</v>
      </c>
      <c r="D95" s="69" t="str">
        <f t="array" ref="D95">index('2018_ufns'!B:B,match(A95,'2018_ufns'!E:E,0))</f>
        <v>U16411</v>
      </c>
      <c r="E95" s="69" t="str">
        <f t="shared" si="1"/>
        <v>U16420</v>
      </c>
      <c r="F95" s="69" t="s">
        <v>2291</v>
      </c>
    </row>
    <row r="96">
      <c r="A96" s="69" t="str">
        <f>IFERROR(__xludf.DUMMYFUNCTION("""COMPUTED_VALUE"""),"P1106")</f>
        <v>P1106</v>
      </c>
      <c r="B96" s="69" t="str">
        <f t="array" ref="B96">index('2018_ufns'!C:C,match(A96,'2018_ufns'!E:E,0))</f>
        <v>CU</v>
      </c>
      <c r="C96" s="70">
        <f>countif('2018_ufns'!E:E,A96)</f>
        <v>10</v>
      </c>
      <c r="D96" s="69" t="str">
        <f t="array" ref="D96">index('2018_ufns'!B:B,match(A96,'2018_ufns'!E:E,0))</f>
        <v>U17051</v>
      </c>
      <c r="E96" s="69" t="str">
        <f t="shared" si="1"/>
        <v>U17060</v>
      </c>
      <c r="F96" s="69" t="s">
        <v>2291</v>
      </c>
    </row>
    <row r="97">
      <c r="A97" t="str">
        <f>IFERROR(__xludf.DUMMYFUNCTION("""COMPUTED_VALUE"""),"P1039")</f>
        <v>P1039</v>
      </c>
      <c r="B97" t="str">
        <f t="array" ref="B97">index('2018_ufns'!C:C,match(A97,'2018_ufns'!E:E,0))</f>
        <v>CK</v>
      </c>
      <c r="C97" s="68">
        <f>countif('2018_ufns'!E:E,A97)</f>
        <v>1</v>
      </c>
      <c r="D97" t="str">
        <f t="array" ref="D97">index('2018_ufns'!B:B,match(A97,'2018_ufns'!E:E,0))</f>
        <v>U16381</v>
      </c>
      <c r="E97" t="str">
        <f t="shared" si="1"/>
        <v>U16381</v>
      </c>
      <c r="F97" t="s">
        <v>2290</v>
      </c>
    </row>
    <row r="98">
      <c r="A98" t="str">
        <f>IFERROR(__xludf.DUMMYFUNCTION("""COMPUTED_VALUE"""),"P1076")</f>
        <v>P1076</v>
      </c>
      <c r="B98" t="str">
        <f t="array" ref="B98">index('2018_ufns'!C:C,match(A98,'2018_ufns'!E:E,0))</f>
        <v>SO</v>
      </c>
      <c r="C98" s="68">
        <f>countif('2018_ufns'!E:E,A98)</f>
        <v>8</v>
      </c>
      <c r="D98" t="str">
        <f t="array" ref="D98">index('2018_ufns'!B:B,match(A98,'2018_ufns'!E:E,0))</f>
        <v>U16751</v>
      </c>
      <c r="E98" t="str">
        <f t="shared" si="1"/>
        <v>U16758</v>
      </c>
      <c r="F98" t="s">
        <v>2290</v>
      </c>
    </row>
    <row r="99">
      <c r="A99" t="str">
        <f>IFERROR(__xludf.DUMMYFUNCTION("""COMPUTED_VALUE"""),"P1088")</f>
        <v>P1088</v>
      </c>
      <c r="B99" t="str">
        <f t="array" ref="B99">index('2018_ufns'!C:C,match(A99,'2018_ufns'!E:E,0))</f>
        <v>PI</v>
      </c>
      <c r="C99" s="68">
        <f>countif('2018_ufns'!E:E,A99)</f>
        <v>10</v>
      </c>
      <c r="D99" t="str">
        <f t="array" ref="D99">index('2018_ufns'!B:B,match(A99,'2018_ufns'!E:E,0))</f>
        <v>U16871</v>
      </c>
      <c r="E99" t="str">
        <f t="shared" si="1"/>
        <v>U16880</v>
      </c>
      <c r="F99" t="s">
        <v>2290</v>
      </c>
    </row>
    <row r="100">
      <c r="A100" t="str">
        <f>IFERROR(__xludf.DUMMYFUNCTION("""COMPUTED_VALUE"""),"P1083")</f>
        <v>P1083</v>
      </c>
      <c r="B100" t="str">
        <f t="array" ref="B100">index('2018_ufns'!C:C,match(A100,'2018_ufns'!E:E,0))</f>
        <v>CU</v>
      </c>
      <c r="C100" s="68">
        <f>countif('2018_ufns'!E:E,A100)</f>
        <v>10</v>
      </c>
      <c r="D100" t="str">
        <f t="array" ref="D100">index('2018_ufns'!B:B,match(A100,'2018_ufns'!E:E,0))</f>
        <v>U16821</v>
      </c>
      <c r="E100" t="str">
        <f t="shared" si="1"/>
        <v>U16830</v>
      </c>
      <c r="F100" t="s">
        <v>2290</v>
      </c>
    </row>
    <row r="101">
      <c r="A101" t="str">
        <f>IFERROR(__xludf.DUMMYFUNCTION("""COMPUTED_VALUE"""),"P1136")</f>
        <v>P1136</v>
      </c>
      <c r="B101" t="str">
        <f t="array" ref="B101">index('2018_ufns'!C:C,match(A101,'2018_ufns'!E:E,0))</f>
        <v>SO</v>
      </c>
      <c r="C101" s="68">
        <f>countif('2018_ufns'!E:E,A101)</f>
        <v>10</v>
      </c>
      <c r="D101" t="str">
        <f t="array" ref="D101">index('2018_ufns'!B:B,match(A101,'2018_ufns'!E:E,0))</f>
        <v>U17351</v>
      </c>
      <c r="E101" t="str">
        <f t="shared" si="1"/>
        <v>U17360</v>
      </c>
      <c r="F101" t="s">
        <v>2290</v>
      </c>
    </row>
    <row r="102">
      <c r="A102" t="str">
        <f>IFERROR(__xludf.DUMMYFUNCTION("""COMPUTED_VALUE"""),"P1146")</f>
        <v>P1146</v>
      </c>
      <c r="B102" t="str">
        <f t="array" ref="B102">index('2018_ufns'!C:C,match(A102,'2018_ufns'!E:E,0))</f>
        <v>PI</v>
      </c>
      <c r="C102" s="68">
        <f>countif('2018_ufns'!E:E,A102)</f>
        <v>10</v>
      </c>
      <c r="D102" t="str">
        <f t="array" ref="D102">index('2018_ufns'!B:B,match(A102,'2018_ufns'!E:E,0))</f>
        <v>U17451</v>
      </c>
      <c r="E102" t="str">
        <f t="shared" si="1"/>
        <v>U17460</v>
      </c>
      <c r="F102" t="s">
        <v>2290</v>
      </c>
    </row>
    <row r="103">
      <c r="A103" t="str">
        <f>IFERROR(__xludf.DUMMYFUNCTION("""COMPUTED_VALUE"""),"P1103")</f>
        <v>P1103</v>
      </c>
      <c r="B103" t="str">
        <f t="array" ref="B103">index('2018_ufns'!C:C,match(A103,'2018_ufns'!E:E,0))</f>
        <v>CU</v>
      </c>
      <c r="C103" s="68">
        <f>countif('2018_ufns'!E:E,A103)</f>
        <v>10</v>
      </c>
      <c r="D103" t="str">
        <f t="array" ref="D103">index('2018_ufns'!B:B,match(A103,'2018_ufns'!E:E,0))</f>
        <v>U17021</v>
      </c>
      <c r="E103" t="str">
        <f t="shared" si="1"/>
        <v>U17030</v>
      </c>
      <c r="F103" t="s">
        <v>2290</v>
      </c>
    </row>
    <row r="104">
      <c r="A104" t="str">
        <f>IFERROR(__xludf.DUMMYFUNCTION("""COMPUTED_VALUE"""),"P1118")</f>
        <v>P1118</v>
      </c>
      <c r="B104" t="str">
        <f t="array" ref="B104">index('2018_ufns'!C:C,match(A104,'2018_ufns'!E:E,0))</f>
        <v>HE</v>
      </c>
      <c r="C104" s="68">
        <f>countif('2018_ufns'!E:E,A104)</f>
        <v>9</v>
      </c>
      <c r="D104" t="str">
        <f t="array" ref="D104">index('2018_ufns'!B:B,match(A104,'2018_ufns'!E:E,0))</f>
        <v>U17171</v>
      </c>
      <c r="E104" t="str">
        <f t="shared" si="1"/>
        <v>U17179</v>
      </c>
      <c r="F104" t="s">
        <v>2290</v>
      </c>
    </row>
    <row r="105">
      <c r="A105" t="str">
        <f>IFERROR(__xludf.DUMMYFUNCTION("""COMPUTED_VALUE"""),"P1090")</f>
        <v>P1090</v>
      </c>
      <c r="B105" t="str">
        <f t="array" ref="B105">index('2018_ufns'!C:C,match(A105,'2018_ufns'!E:E,0))</f>
        <v>SO</v>
      </c>
      <c r="C105" s="68">
        <f>countif('2018_ufns'!E:E,A105)</f>
        <v>10</v>
      </c>
      <c r="D105" t="str">
        <f t="array" ref="D105">index('2018_ufns'!B:B,match(A105,'2018_ufns'!E:E,0))</f>
        <v>U16891</v>
      </c>
      <c r="E105" t="str">
        <f t="shared" si="1"/>
        <v>U16900</v>
      </c>
      <c r="F105" t="s">
        <v>2290</v>
      </c>
    </row>
    <row r="106">
      <c r="A106" t="str">
        <f>IFERROR(__xludf.DUMMYFUNCTION("""COMPUTED_VALUE"""),"P1075")</f>
        <v>P1075</v>
      </c>
      <c r="B106" t="str">
        <f t="array" ref="B106">index('2018_ufns'!C:C,match(A106,'2018_ufns'!E:E,0))</f>
        <v>PI</v>
      </c>
      <c r="C106" s="68">
        <f>countif('2018_ufns'!E:E,A106)</f>
        <v>10</v>
      </c>
      <c r="D106" t="str">
        <f t="array" ref="D106">index('2018_ufns'!B:B,match(A106,'2018_ufns'!E:E,0))</f>
        <v>U16741</v>
      </c>
      <c r="E106" t="str">
        <f t="shared" si="1"/>
        <v>U16750</v>
      </c>
      <c r="F106" t="s">
        <v>2290</v>
      </c>
    </row>
    <row r="107">
      <c r="A107" t="str">
        <f>IFERROR(__xludf.DUMMYFUNCTION("""COMPUTED_VALUE"""),"P1095")</f>
        <v>P1095</v>
      </c>
      <c r="B107" t="str">
        <f t="array" ref="B107">index('2018_ufns'!C:C,match(A107,'2018_ufns'!E:E,0))</f>
        <v>CU</v>
      </c>
      <c r="C107" s="68">
        <f>countif('2018_ufns'!E:E,A107)</f>
        <v>10</v>
      </c>
      <c r="D107" t="str">
        <f t="array" ref="D107">index('2018_ufns'!B:B,match(A107,'2018_ufns'!E:E,0))</f>
        <v>U16941</v>
      </c>
      <c r="E107" t="str">
        <f t="shared" si="1"/>
        <v>U16950</v>
      </c>
      <c r="F107" t="s">
        <v>2290</v>
      </c>
    </row>
    <row r="108">
      <c r="A108" t="str">
        <f>IFERROR(__xludf.DUMMYFUNCTION("""COMPUTED_VALUE"""),"P1077")</f>
        <v>P1077</v>
      </c>
      <c r="B108" t="str">
        <f t="array" ref="B108">index('2018_ufns'!C:C,match(A108,'2018_ufns'!E:E,0))</f>
        <v>SO</v>
      </c>
      <c r="C108" s="68">
        <f>countif('2018_ufns'!E:E,A108)</f>
        <v>7</v>
      </c>
      <c r="D108" t="str">
        <f t="array" ref="D108">index('2018_ufns'!B:B,match(A108,'2018_ufns'!E:E,0))</f>
        <v>U16761</v>
      </c>
      <c r="E108" t="str">
        <f t="shared" si="1"/>
        <v>U16767</v>
      </c>
      <c r="F108" t="s">
        <v>2290</v>
      </c>
    </row>
    <row r="109">
      <c r="A109" t="str">
        <f>IFERROR(__xludf.DUMMYFUNCTION("""COMPUTED_VALUE"""),"P1080")</f>
        <v>P1080</v>
      </c>
      <c r="B109" t="str">
        <f t="array" ref="B109">index('2018_ufns'!C:C,match(A109,'2018_ufns'!E:E,0))</f>
        <v>SO</v>
      </c>
      <c r="C109" s="68">
        <f>countif('2018_ufns'!E:E,A109)</f>
        <v>10</v>
      </c>
      <c r="D109" t="str">
        <f t="array" ref="D109">index('2018_ufns'!B:B,match(A109,'2018_ufns'!E:E,0))</f>
        <v>U16791</v>
      </c>
      <c r="E109" t="str">
        <f t="shared" si="1"/>
        <v>U16800</v>
      </c>
      <c r="F109" t="s">
        <v>2290</v>
      </c>
    </row>
    <row r="110">
      <c r="A110" t="str">
        <f>IFERROR(__xludf.DUMMYFUNCTION("""COMPUTED_VALUE"""),"P1093")</f>
        <v>P1093</v>
      </c>
      <c r="B110" t="str">
        <f t="array" ref="B110">index('2018_ufns'!C:C,match(A110,'2018_ufns'!E:E,0))</f>
        <v>SO</v>
      </c>
      <c r="C110" s="68">
        <f>countif('2018_ufns'!E:E,A110)</f>
        <v>3</v>
      </c>
      <c r="D110" t="str">
        <f t="array" ref="D110">index('2018_ufns'!B:B,match(A110,'2018_ufns'!E:E,0))</f>
        <v>U16921</v>
      </c>
      <c r="E110" t="str">
        <f t="shared" si="1"/>
        <v>U16923</v>
      </c>
      <c r="F110" t="s">
        <v>2290</v>
      </c>
    </row>
    <row r="111">
      <c r="A111" t="str">
        <f>IFERROR(__xludf.DUMMYFUNCTION("""COMPUTED_VALUE"""),"P1064")</f>
        <v>P1064</v>
      </c>
      <c r="B111" t="str">
        <f t="array" ref="B111">index('2018_ufns'!C:C,match(A111,'2018_ufns'!E:E,0))</f>
        <v>HE</v>
      </c>
      <c r="C111" s="68">
        <f>countif('2018_ufns'!E:E,A111)</f>
        <v>10</v>
      </c>
      <c r="D111" t="str">
        <f t="array" ref="D111">index('2018_ufns'!B:B,match(A111,'2018_ufns'!E:E,0))</f>
        <v>U16631</v>
      </c>
      <c r="E111" t="str">
        <f t="shared" si="1"/>
        <v>U16640</v>
      </c>
      <c r="F111" t="s">
        <v>2290</v>
      </c>
    </row>
    <row r="112">
      <c r="A112" t="str">
        <f>IFERROR(__xludf.DUMMYFUNCTION("""COMPUTED_VALUE"""),"P1096")</f>
        <v>P1096</v>
      </c>
      <c r="B112" t="str">
        <f t="array" ref="B112">index('2018_ufns'!C:C,match(A112,'2018_ufns'!E:E,0))</f>
        <v>SO</v>
      </c>
      <c r="C112" s="68">
        <f>countif('2018_ufns'!E:E,A112)</f>
        <v>5</v>
      </c>
      <c r="D112" t="str">
        <f t="array" ref="D112">index('2018_ufns'!B:B,match(A112,'2018_ufns'!E:E,0))</f>
        <v>U16951</v>
      </c>
      <c r="E112" t="str">
        <f t="shared" si="1"/>
        <v>U16955</v>
      </c>
      <c r="F112" t="s">
        <v>2290</v>
      </c>
    </row>
    <row r="113">
      <c r="A113" t="str">
        <f>IFERROR(__xludf.DUMMYFUNCTION("""COMPUTED_VALUE"""),"P1059")</f>
        <v>P1059</v>
      </c>
      <c r="B113" t="str">
        <f t="array" ref="B113">index('2018_ufns'!C:C,match(A113,'2018_ufns'!E:E,0))</f>
        <v>SO</v>
      </c>
      <c r="C113" s="68">
        <f>countif('2018_ufns'!E:E,A113)</f>
        <v>5</v>
      </c>
      <c r="D113" t="str">
        <f t="array" ref="D113">index('2018_ufns'!B:B,match(A113,'2018_ufns'!E:E,0))</f>
        <v>U16581</v>
      </c>
      <c r="E113" t="str">
        <f t="shared" si="1"/>
        <v>U16585</v>
      </c>
      <c r="F113" t="s">
        <v>2290</v>
      </c>
    </row>
    <row r="114">
      <c r="A114" t="str">
        <f>IFERROR(__xludf.DUMMYFUNCTION("""COMPUTED_VALUE"""),"P1062")</f>
        <v>P1062</v>
      </c>
      <c r="B114" t="str">
        <f t="array" ref="B114">index('2018_ufns'!C:C,match(A114,'2018_ufns'!E:E,0))</f>
        <v>PI</v>
      </c>
      <c r="C114" s="68">
        <f>countif('2018_ufns'!E:E,A114)</f>
        <v>10</v>
      </c>
      <c r="D114" t="str">
        <f t="array" ref="D114">index('2018_ufns'!B:B,match(A114,'2018_ufns'!E:E,0))</f>
        <v>U16611</v>
      </c>
      <c r="E114" t="str">
        <f t="shared" si="1"/>
        <v>U16620</v>
      </c>
      <c r="F114" t="s">
        <v>2290</v>
      </c>
    </row>
    <row r="115">
      <c r="A115" t="str">
        <f>IFERROR(__xludf.DUMMYFUNCTION("""COMPUTED_VALUE"""),"P1092")</f>
        <v>P1092</v>
      </c>
      <c r="B115" t="str">
        <f t="array" ref="B115">index('2018_ufns'!C:C,match(A115,'2018_ufns'!E:E,0))</f>
        <v>CU</v>
      </c>
      <c r="C115" s="68">
        <f>countif('2018_ufns'!E:E,A115)</f>
        <v>10</v>
      </c>
      <c r="D115" t="str">
        <f t="array" ref="D115">index('2018_ufns'!B:B,match(A115,'2018_ufns'!E:E,0))</f>
        <v>U16911</v>
      </c>
      <c r="E115" t="str">
        <f t="shared" si="1"/>
        <v>U16920</v>
      </c>
      <c r="F115" t="s">
        <v>2290</v>
      </c>
    </row>
    <row r="116">
      <c r="A116" t="str">
        <f>IFERROR(__xludf.DUMMYFUNCTION("""COMPUTED_VALUE"""),"P1094")</f>
        <v>P1094</v>
      </c>
      <c r="B116" t="str">
        <f t="array" ref="B116">index('2018_ufns'!C:C,match(A116,'2018_ufns'!E:E,0))</f>
        <v>SO</v>
      </c>
      <c r="C116" s="68">
        <f>countif('2018_ufns'!E:E,A116)</f>
        <v>7</v>
      </c>
      <c r="D116" t="str">
        <f t="array" ref="D116">index('2018_ufns'!B:B,match(A116,'2018_ufns'!E:E,0))</f>
        <v>U16931</v>
      </c>
      <c r="E116" t="str">
        <f t="shared" si="1"/>
        <v>U16937</v>
      </c>
      <c r="F116" t="s">
        <v>2290</v>
      </c>
    </row>
    <row r="117">
      <c r="A117" t="str">
        <f>IFERROR(__xludf.DUMMYFUNCTION("""COMPUTED_VALUE"""),"P1054")</f>
        <v>P1054</v>
      </c>
      <c r="B117" t="str">
        <f t="array" ref="B117">index('2018_ufns'!C:C,match(A117,'2018_ufns'!E:E,0))</f>
        <v>HE</v>
      </c>
      <c r="C117" s="68">
        <f>countif('2018_ufns'!E:E,A117)</f>
        <v>1</v>
      </c>
      <c r="D117" t="str">
        <f t="array" ref="D117">index('2018_ufns'!B:B,match(A117,'2018_ufns'!E:E,0))</f>
        <v>U16531</v>
      </c>
      <c r="E117" t="str">
        <f t="shared" si="1"/>
        <v>U16531</v>
      </c>
      <c r="F117" t="s">
        <v>2290</v>
      </c>
    </row>
    <row r="118">
      <c r="A118" t="str">
        <f>IFERROR(__xludf.DUMMYFUNCTION("""COMPUTED_VALUE"""),"P1070")</f>
        <v>P1070</v>
      </c>
      <c r="B118" t="str">
        <f t="array" ref="B118">index('2018_ufns'!C:C,match(A118,'2018_ufns'!E:E,0))</f>
        <v>CO</v>
      </c>
      <c r="C118" s="68">
        <f>countif('2018_ufns'!E:E,A118)</f>
        <v>1</v>
      </c>
      <c r="D118" t="str">
        <f t="array" ref="D118">index('2018_ufns'!B:B,match(A118,'2018_ufns'!E:E,0))</f>
        <v>U16691</v>
      </c>
      <c r="E118" t="str">
        <f t="shared" si="1"/>
        <v>U16691</v>
      </c>
      <c r="F118" t="s">
        <v>2290</v>
      </c>
    </row>
    <row r="119">
      <c r="A119" t="str">
        <f>IFERROR(__xludf.DUMMYFUNCTION("""COMPUTED_VALUE"""),"P1190")</f>
        <v>P1190</v>
      </c>
      <c r="B119" t="str">
        <f t="array" ref="B119">index('2018_ufns'!C:C,match(A119,'2018_ufns'!E:E,0))</f>
        <v>SO</v>
      </c>
      <c r="C119" s="68">
        <f>countif('2018_ufns'!E:E,A119)</f>
        <v>1</v>
      </c>
      <c r="D119" t="str">
        <f t="array" ref="D119">index('2018_ufns'!B:B,match(A119,'2018_ufns'!E:E,0))</f>
        <v>U17891</v>
      </c>
      <c r="E119" t="str">
        <f t="shared" si="1"/>
        <v>U17891</v>
      </c>
      <c r="F119" t="s">
        <v>2290</v>
      </c>
    </row>
    <row r="120">
      <c r="A120" t="str">
        <f>IFERROR(__xludf.DUMMYFUNCTION("""COMPUTED_VALUE"""),"P1195")</f>
        <v>P1195</v>
      </c>
      <c r="B120" t="str">
        <f t="array" ref="B120">index('2018_ufns'!C:C,match(A120,'2018_ufns'!E:E,0))</f>
        <v>SO</v>
      </c>
      <c r="C120" s="68">
        <f>countif('2018_ufns'!E:E,A120)</f>
        <v>4</v>
      </c>
      <c r="D120" t="str">
        <f t="array" ref="D120">index('2018_ufns'!B:B,match(A120,'2018_ufns'!E:E,0))</f>
        <v>U17941</v>
      </c>
      <c r="E120" t="str">
        <f t="shared" si="1"/>
        <v>U17944</v>
      </c>
      <c r="F120" t="s">
        <v>2290</v>
      </c>
    </row>
    <row r="121">
      <c r="A121" t="str">
        <f>IFERROR(__xludf.DUMMYFUNCTION("""COMPUTED_VALUE"""),"P1194")</f>
        <v>P1194</v>
      </c>
      <c r="B121" t="str">
        <f t="array" ref="B121">index('2018_ufns'!C:C,match(A121,'2018_ufns'!E:E,0))</f>
        <v>PI</v>
      </c>
      <c r="C121" s="68">
        <f>countif('2018_ufns'!E:E,A121)</f>
        <v>10</v>
      </c>
      <c r="D121" t="str">
        <f t="array" ref="D121">index('2018_ufns'!B:B,match(A121,'2018_ufns'!E:E,0))</f>
        <v>U17931</v>
      </c>
      <c r="E121" t="str">
        <f t="shared" si="1"/>
        <v>U17940</v>
      </c>
      <c r="F121" t="s">
        <v>2290</v>
      </c>
    </row>
    <row r="122">
      <c r="A122" t="str">
        <f>IFERROR(__xludf.DUMMYFUNCTION("""COMPUTED_VALUE"""),"P1174")</f>
        <v>P1174</v>
      </c>
      <c r="B122" t="str">
        <f t="array" ref="B122">index('2018_ufns'!C:C,match(A122,'2018_ufns'!E:E,0))</f>
        <v>CU</v>
      </c>
      <c r="C122" s="68">
        <f>countif('2018_ufns'!E:E,A122)</f>
        <v>10</v>
      </c>
      <c r="D122" t="str">
        <f t="array" ref="D122">index('2018_ufns'!B:B,match(A122,'2018_ufns'!E:E,0))</f>
        <v>U17731</v>
      </c>
      <c r="E122" t="str">
        <f t="shared" si="1"/>
        <v>U17740</v>
      </c>
      <c r="F122" t="s">
        <v>2290</v>
      </c>
    </row>
    <row r="123">
      <c r="A123" t="str">
        <f>IFERROR(__xludf.DUMMYFUNCTION("""COMPUTED_VALUE"""),"P1185")</f>
        <v>P1185</v>
      </c>
      <c r="B123" t="str">
        <f t="array" ref="B123">index('2018_ufns'!C:C,match(A123,'2018_ufns'!E:E,0))</f>
        <v>CK</v>
      </c>
      <c r="C123" s="68">
        <f>countif('2018_ufns'!E:E,A123)</f>
        <v>1</v>
      </c>
      <c r="D123" t="str">
        <f t="array" ref="D123">index('2018_ufns'!B:B,match(A123,'2018_ufns'!E:E,0))</f>
        <v>U17841</v>
      </c>
      <c r="E123" t="str">
        <f t="shared" si="1"/>
        <v>U17841</v>
      </c>
      <c r="F123" t="s">
        <v>2290</v>
      </c>
    </row>
    <row r="124">
      <c r="A124" t="str">
        <f>IFERROR(__xludf.DUMMYFUNCTION("""COMPUTED_VALUE"""),"P1147")</f>
        <v>P1147</v>
      </c>
      <c r="B124" t="str">
        <f t="array" ref="B124">index('2018_ufns'!C:C,match(A124,'2018_ufns'!E:E,0))</f>
        <v>PI</v>
      </c>
      <c r="C124" s="68">
        <f>countif('2018_ufns'!E:E,A124)</f>
        <v>10</v>
      </c>
      <c r="D124" t="str">
        <f t="array" ref="D124">index('2018_ufns'!B:B,match(A124,'2018_ufns'!E:E,0))</f>
        <v>U17461</v>
      </c>
      <c r="E124" t="str">
        <f t="shared" si="1"/>
        <v>U17470</v>
      </c>
      <c r="F124" t="s">
        <v>2290</v>
      </c>
    </row>
    <row r="125">
      <c r="A125" t="str">
        <f>IFERROR(__xludf.DUMMYFUNCTION("""COMPUTED_VALUE"""),"P1117")</f>
        <v>P1117</v>
      </c>
      <c r="B125" t="str">
        <f t="array" ref="B125">index('2018_ufns'!C:C,match(A125,'2018_ufns'!E:E,0))</f>
        <v>CU</v>
      </c>
      <c r="C125" s="68">
        <f>countif('2018_ufns'!E:E,A125)</f>
        <v>10</v>
      </c>
      <c r="D125" t="str">
        <f t="array" ref="D125">index('2018_ufns'!B:B,match(A125,'2018_ufns'!E:E,0))</f>
        <v>U17161</v>
      </c>
      <c r="E125" t="str">
        <f t="shared" si="1"/>
        <v>U17170</v>
      </c>
      <c r="F125" t="s">
        <v>2290</v>
      </c>
    </row>
    <row r="126">
      <c r="A126" s="69" t="str">
        <f>IFERROR(__xludf.DUMMYFUNCTION("""COMPUTED_VALUE"""),"P1105")</f>
        <v>P1105</v>
      </c>
      <c r="B126" s="69" t="str">
        <f t="array" ref="B126">index('2018_ufns'!C:C,match(A126,'2018_ufns'!E:E,0))</f>
        <v>SO</v>
      </c>
      <c r="C126" s="70">
        <f>countif('2018_ufns'!E:E,A126)</f>
        <v>1</v>
      </c>
      <c r="D126" s="69" t="str">
        <f t="array" ref="D126">index('2018_ufns'!B:B,match(A126,'2018_ufns'!E:E,0))</f>
        <v>U17041</v>
      </c>
      <c r="E126" s="69" t="str">
        <f t="shared" si="1"/>
        <v>U17041</v>
      </c>
      <c r="F126" s="69" t="s">
        <v>2291</v>
      </c>
    </row>
    <row r="127">
      <c r="A127" s="69" t="str">
        <f>IFERROR(__xludf.DUMMYFUNCTION("""COMPUTED_VALUE"""),"P1119")</f>
        <v>P1119</v>
      </c>
      <c r="B127" s="69" t="str">
        <f t="array" ref="B127">index('2018_ufns'!C:C,match(A127,'2018_ufns'!E:E,0))</f>
        <v>PI</v>
      </c>
      <c r="C127" s="70">
        <f>countif('2018_ufns'!E:E,A127)</f>
        <v>10</v>
      </c>
      <c r="D127" s="69" t="str">
        <f t="array" ref="D127">index('2018_ufns'!B:B,match(A127,'2018_ufns'!E:E,0))</f>
        <v>U17181</v>
      </c>
      <c r="E127" s="69" t="str">
        <f t="shared" si="1"/>
        <v>U17190</v>
      </c>
      <c r="F127" s="69" t="s">
        <v>2291</v>
      </c>
    </row>
    <row r="128">
      <c r="A128" s="69" t="str">
        <f>IFERROR(__xludf.DUMMYFUNCTION("""COMPUTED_VALUE"""),"P1139")</f>
        <v>P1139</v>
      </c>
      <c r="B128" s="69" t="str">
        <f t="array" ref="B128">index('2018_ufns'!C:C,match(A128,'2018_ufns'!E:E,0))</f>
        <v>CU</v>
      </c>
      <c r="C128" s="70">
        <f>countif('2018_ufns'!E:E,A128)</f>
        <v>10</v>
      </c>
      <c r="D128" s="69" t="str">
        <f t="array" ref="D128">index('2018_ufns'!B:B,match(A128,'2018_ufns'!E:E,0))</f>
        <v>U17381</v>
      </c>
      <c r="E128" s="69" t="str">
        <f t="shared" si="1"/>
        <v>U17390</v>
      </c>
      <c r="F128" s="69" t="s">
        <v>2291</v>
      </c>
    </row>
    <row r="129">
      <c r="A129" t="str">
        <f>IFERROR(__xludf.DUMMYFUNCTION("""COMPUTED_VALUE"""),"P1149")</f>
        <v>P1149</v>
      </c>
      <c r="B129" t="str">
        <f t="array" ref="B129">index('2018_ufns'!C:C,match(A129,'2018_ufns'!E:E,0))</f>
        <v>CK</v>
      </c>
      <c r="C129" s="68">
        <f>countif('2018_ufns'!E:E,A129)</f>
        <v>1</v>
      </c>
      <c r="D129" t="str">
        <f t="array" ref="D129">index('2018_ufns'!B:B,match(A129,'2018_ufns'!E:E,0))</f>
        <v>U17481</v>
      </c>
      <c r="E129" t="str">
        <f t="shared" si="1"/>
        <v>U17481</v>
      </c>
      <c r="F129" t="s">
        <v>2290</v>
      </c>
    </row>
    <row r="130">
      <c r="A130" t="str">
        <f>IFERROR(__xludf.DUMMYFUNCTION("""COMPUTED_VALUE"""),"P1138")</f>
        <v>P1138</v>
      </c>
      <c r="B130" t="str">
        <f t="array" ref="B130">index('2018_ufns'!C:C,match(A130,'2018_ufns'!E:E,0))</f>
        <v>PI</v>
      </c>
      <c r="C130" s="68">
        <f>countif('2018_ufns'!E:E,A130)</f>
        <v>10</v>
      </c>
      <c r="D130" t="str">
        <f t="array" ref="D130">index('2018_ufns'!B:B,match(A130,'2018_ufns'!E:E,0))</f>
        <v>U17371</v>
      </c>
      <c r="E130" t="str">
        <f t="shared" si="1"/>
        <v>U17380</v>
      </c>
      <c r="F130" t="s">
        <v>2290</v>
      </c>
    </row>
    <row r="131">
      <c r="A131" t="str">
        <f>IFERROR(__xludf.DUMMYFUNCTION("""COMPUTED_VALUE"""),"P1135")</f>
        <v>P1135</v>
      </c>
      <c r="B131" t="str">
        <f t="array" ref="B131">index('2018_ufns'!C:C,match(A131,'2018_ufns'!E:E,0))</f>
        <v>CU</v>
      </c>
      <c r="C131" s="68">
        <f>countif('2018_ufns'!E:E,A131)</f>
        <v>10</v>
      </c>
      <c r="D131" t="str">
        <f t="array" ref="D131">index('2018_ufns'!B:B,match(A131,'2018_ufns'!E:E,0))</f>
        <v>U17341</v>
      </c>
      <c r="E131" t="str">
        <f t="shared" si="1"/>
        <v>U17350</v>
      </c>
      <c r="F131" t="s">
        <v>2290</v>
      </c>
    </row>
    <row r="132">
      <c r="A132" t="str">
        <f>IFERROR(__xludf.DUMMYFUNCTION("""COMPUTED_VALUE"""),"P1108")</f>
        <v>P1108</v>
      </c>
      <c r="B132" t="str">
        <f t="array" ref="B132">index('2018_ufns'!C:C,match(A132,'2018_ufns'!E:E,0))</f>
        <v>SO</v>
      </c>
      <c r="C132" s="68">
        <f>countif('2018_ufns'!E:E,A132)</f>
        <v>2</v>
      </c>
      <c r="D132" t="str">
        <f t="array" ref="D132">index('2018_ufns'!B:B,match(A132,'2018_ufns'!E:E,0))</f>
        <v>U17071</v>
      </c>
      <c r="E132" t="str">
        <f t="shared" si="1"/>
        <v>U17072</v>
      </c>
      <c r="F132" t="s">
        <v>2290</v>
      </c>
    </row>
    <row r="133">
      <c r="A133" t="str">
        <f>IFERROR(__xludf.DUMMYFUNCTION("""COMPUTED_VALUE"""),"P1140")</f>
        <v>P1140</v>
      </c>
      <c r="B133" t="str">
        <f t="array" ref="B133">index('2018_ufns'!C:C,match(A133,'2018_ufns'!E:E,0))</f>
        <v>CU</v>
      </c>
      <c r="C133" s="68">
        <f>countif('2018_ufns'!E:E,A133)</f>
        <v>1</v>
      </c>
      <c r="D133" t="str">
        <f t="array" ref="D133">index('2018_ufns'!B:B,match(A133,'2018_ufns'!E:E,0))</f>
        <v>U17391</v>
      </c>
      <c r="E133" t="str">
        <f t="shared" si="1"/>
        <v>U17391</v>
      </c>
      <c r="F133" t="s">
        <v>2290</v>
      </c>
    </row>
    <row r="134">
      <c r="A134" t="str">
        <f>IFERROR(__xludf.DUMMYFUNCTION("""COMPUTED_VALUE"""),"P1005")</f>
        <v>P1005</v>
      </c>
      <c r="B134" t="str">
        <f t="array" ref="B134">index('2018_ufns'!C:C,match(A134,'2018_ufns'!E:E,0))</f>
        <v>PI</v>
      </c>
      <c r="C134" s="68">
        <f>countif('2018_ufns'!E:E,A134)</f>
        <v>10</v>
      </c>
      <c r="D134" t="str">
        <f t="array" ref="D134">index('2018_ufns'!B:B,match(A134,'2018_ufns'!E:E,0))</f>
        <v>U16041</v>
      </c>
      <c r="E134" t="str">
        <f t="shared" si="1"/>
        <v>U16050</v>
      </c>
      <c r="F134" t="s">
        <v>2290</v>
      </c>
    </row>
    <row r="135">
      <c r="A135" t="str">
        <f>IFERROR(__xludf.DUMMYFUNCTION("""COMPUTED_VALUE"""),"P1040")</f>
        <v>P1040</v>
      </c>
      <c r="B135" t="str">
        <f t="array" ref="B135">index('2018_ufns'!C:C,match(A135,'2018_ufns'!E:E,0))</f>
        <v>CU</v>
      </c>
      <c r="C135" s="68">
        <f>countif('2018_ufns'!E:E,A135)</f>
        <v>1</v>
      </c>
      <c r="D135" t="str">
        <f t="array" ref="D135">index('2018_ufns'!B:B,match(A135,'2018_ufns'!E:E,0))</f>
        <v>U16391</v>
      </c>
      <c r="E135" t="str">
        <f t="shared" si="1"/>
        <v>U16391</v>
      </c>
      <c r="F135" t="s">
        <v>2290</v>
      </c>
    </row>
    <row r="136">
      <c r="A136" t="str">
        <f>IFERROR(__xludf.DUMMYFUNCTION("""COMPUTED_VALUE"""),"P1091")</f>
        <v>P1091</v>
      </c>
      <c r="B136" t="str">
        <f t="array" ref="B136">index('2018_ufns'!C:C,match(A136,'2018_ufns'!E:E,0))</f>
        <v>SO</v>
      </c>
      <c r="C136" s="68">
        <f>countif('2018_ufns'!E:E,A136)</f>
        <v>1</v>
      </c>
      <c r="D136" t="str">
        <f t="array" ref="D136">index('2018_ufns'!B:B,match(A136,'2018_ufns'!E:E,0))</f>
        <v>U16901</v>
      </c>
      <c r="E136" t="str">
        <f t="shared" si="1"/>
        <v>U16901</v>
      </c>
      <c r="F136" t="s">
        <v>2290</v>
      </c>
    </row>
    <row r="137">
      <c r="A137" t="str">
        <f>IFERROR(__xludf.DUMMYFUNCTION("""COMPUTED_VALUE"""),"P1156")</f>
        <v>P1156</v>
      </c>
      <c r="B137" t="str">
        <f t="array" ref="B137">index('2018_ufns'!C:C,match(A137,'2018_ufns'!E:E,0))</f>
        <v>PI</v>
      </c>
      <c r="C137" s="68">
        <f>countif('2018_ufns'!E:E,A137)</f>
        <v>10</v>
      </c>
      <c r="D137" t="str">
        <f t="array" ref="D137">index('2018_ufns'!B:B,match(A137,'2018_ufns'!E:E,0))</f>
        <v>U17551</v>
      </c>
      <c r="E137" t="str">
        <f t="shared" si="1"/>
        <v>U17560</v>
      </c>
      <c r="F137" t="s">
        <v>2290</v>
      </c>
    </row>
    <row r="138">
      <c r="A138" t="str">
        <f>IFERROR(__xludf.DUMMYFUNCTION("""COMPUTED_VALUE"""),"P1164")</f>
        <v>P1164</v>
      </c>
      <c r="B138" t="str">
        <f t="array" ref="B138">index('2018_ufns'!C:C,match(A138,'2018_ufns'!E:E,0))</f>
        <v>CU</v>
      </c>
      <c r="C138" s="68">
        <f>countif('2018_ufns'!E:E,A138)</f>
        <v>10</v>
      </c>
      <c r="D138" t="str">
        <f t="array" ref="D138">index('2018_ufns'!B:B,match(A138,'2018_ufns'!E:E,0))</f>
        <v>U17631</v>
      </c>
      <c r="E138" t="str">
        <f t="shared" si="1"/>
        <v>U17640</v>
      </c>
      <c r="F138" t="s">
        <v>2290</v>
      </c>
    </row>
    <row r="139">
      <c r="A139" t="str">
        <f>IFERROR(__xludf.DUMMYFUNCTION("""COMPUTED_VALUE"""),"P1165")</f>
        <v>P1165</v>
      </c>
      <c r="B139" t="str">
        <f t="array" ref="B139">index('2018_ufns'!C:C,match(A139,'2018_ufns'!E:E,0))</f>
        <v>HE</v>
      </c>
      <c r="C139" s="68">
        <f>countif('2018_ufns'!E:E,A139)</f>
        <v>1</v>
      </c>
      <c r="D139" t="str">
        <f t="array" ref="D139">index('2018_ufns'!B:B,match(A139,'2018_ufns'!E:E,0))</f>
        <v>U17641</v>
      </c>
      <c r="E139" t="str">
        <f t="shared" si="1"/>
        <v>U17641</v>
      </c>
      <c r="F139" t="s">
        <v>2290</v>
      </c>
    </row>
    <row r="140">
      <c r="A140" s="69" t="str">
        <f>IFERROR(__xludf.DUMMYFUNCTION("""COMPUTED_VALUE"""),"P1150")</f>
        <v>P1150</v>
      </c>
      <c r="B140" s="69" t="str">
        <f t="array" ref="B140">index('2018_ufns'!C:C,match(A140,'2018_ufns'!E:E,0))</f>
        <v>PI</v>
      </c>
      <c r="C140" s="70">
        <f>countif('2018_ufns'!E:E,A140)</f>
        <v>6</v>
      </c>
      <c r="D140" s="69" t="str">
        <f t="array" ref="D140">index('2018_ufns'!B:B,match(A140,'2018_ufns'!E:E,0))</f>
        <v>U17491</v>
      </c>
      <c r="E140" s="69" t="str">
        <f t="shared" si="1"/>
        <v>U17496</v>
      </c>
      <c r="F140" s="69" t="s">
        <v>2291</v>
      </c>
    </row>
    <row r="141">
      <c r="A141" s="69" t="str">
        <f>IFERROR(__xludf.DUMMYFUNCTION("""COMPUTED_VALUE"""),"P1102")</f>
        <v>P1102</v>
      </c>
      <c r="B141" s="69" t="str">
        <f t="array" ref="B141">index('2018_ufns'!C:C,match(A141,'2018_ufns'!E:E,0))</f>
        <v>CU</v>
      </c>
      <c r="C141" s="70">
        <f>countif('2018_ufns'!E:E,A141)</f>
        <v>1</v>
      </c>
      <c r="D141" s="69" t="str">
        <f t="array" ref="D141">index('2018_ufns'!B:B,match(A141,'2018_ufns'!E:E,0))</f>
        <v>U17011</v>
      </c>
      <c r="E141" s="69" t="str">
        <f t="shared" si="1"/>
        <v>U17011</v>
      </c>
      <c r="F141" s="69" t="s">
        <v>2291</v>
      </c>
    </row>
    <row r="142">
      <c r="A142" t="str">
        <f>IFERROR(__xludf.DUMMYFUNCTION("""COMPUTED_VALUE"""),"P1144")</f>
        <v>P1144</v>
      </c>
      <c r="B142" t="str">
        <f t="array" ref="B142">index('2018_ufns'!C:C,match(A142,'2018_ufns'!E:E,0))</f>
        <v>HE</v>
      </c>
      <c r="C142" s="68">
        <f>countif('2018_ufns'!E:E,A142)</f>
        <v>1</v>
      </c>
      <c r="D142" t="str">
        <f t="array" ref="D142">index('2018_ufns'!B:B,match(A142,'2018_ufns'!E:E,0))</f>
        <v>U17431</v>
      </c>
      <c r="E142" t="str">
        <f t="shared" si="1"/>
        <v>U17431</v>
      </c>
      <c r="F142" t="s">
        <v>2290</v>
      </c>
    </row>
    <row r="143">
      <c r="A143" t="str">
        <f>IFERROR(__xludf.DUMMYFUNCTION("""COMPUTED_VALUE"""),"P1032")</f>
        <v>P1032</v>
      </c>
      <c r="B143" t="str">
        <f t="array" ref="B143">index('2018_ufns'!C:C,match(A143,'2018_ufns'!E:E,0))</f>
        <v>CK</v>
      </c>
      <c r="C143" s="68">
        <f>countif('2018_ufns'!E:E,A143)</f>
        <v>2</v>
      </c>
      <c r="D143" t="str">
        <f t="array" ref="D143">index('2018_ufns'!B:B,match(A143,'2018_ufns'!E:E,0))</f>
        <v>U16311</v>
      </c>
      <c r="E143" t="str">
        <f t="shared" si="1"/>
        <v>U16312</v>
      </c>
      <c r="F143" t="s">
        <v>2290</v>
      </c>
    </row>
    <row r="144">
      <c r="A144" t="str">
        <f>IFERROR(__xludf.DUMMYFUNCTION("""COMPUTED_VALUE"""),"P1169")</f>
        <v>P1169</v>
      </c>
      <c r="B144" t="str">
        <f t="array" ref="B144">index('2018_ufns'!C:C,match(A144,'2018_ufns'!E:E,0))</f>
        <v>PI</v>
      </c>
      <c r="C144" s="68">
        <f>countif('2018_ufns'!E:E,A144)</f>
        <v>10</v>
      </c>
      <c r="D144" t="str">
        <f t="array" ref="D144">index('2018_ufns'!B:B,match(A144,'2018_ufns'!E:E,0))</f>
        <v>U17681</v>
      </c>
      <c r="E144" t="str">
        <f t="shared" si="1"/>
        <v>U17690</v>
      </c>
      <c r="F144" t="s">
        <v>2290</v>
      </c>
    </row>
    <row r="145">
      <c r="A145" t="str">
        <f>IFERROR(__xludf.DUMMYFUNCTION("""COMPUTED_VALUE"""),"P1157")</f>
        <v>P1157</v>
      </c>
      <c r="B145" t="str">
        <f t="array" ref="B145">index('2018_ufns'!C:C,match(A145,'2018_ufns'!E:E,0))</f>
        <v>CU</v>
      </c>
      <c r="C145" s="68">
        <f>countif('2018_ufns'!E:E,A145)</f>
        <v>10</v>
      </c>
      <c r="D145" t="str">
        <f t="array" ref="D145">index('2018_ufns'!B:B,match(A145,'2018_ufns'!E:E,0))</f>
        <v>U17561</v>
      </c>
      <c r="E145" t="str">
        <f t="shared" si="1"/>
        <v>U17570</v>
      </c>
      <c r="F145" t="s">
        <v>2290</v>
      </c>
    </row>
    <row r="146">
      <c r="A146" t="str">
        <f>IFERROR(__xludf.DUMMYFUNCTION("""COMPUTED_VALUE"""),"P1129")</f>
        <v>P1129</v>
      </c>
      <c r="B146" t="str">
        <f t="array" ref="B146">index('2018_ufns'!C:C,match(A146,'2018_ufns'!E:E,0))</f>
        <v>PI</v>
      </c>
      <c r="C146" s="68">
        <f>countif('2018_ufns'!E:E,A146)</f>
        <v>10</v>
      </c>
      <c r="D146" t="str">
        <f t="array" ref="D146">index('2018_ufns'!B:B,match(A146,'2018_ufns'!E:E,0))</f>
        <v>U17281</v>
      </c>
      <c r="E146" t="str">
        <f t="shared" si="1"/>
        <v>U17290</v>
      </c>
      <c r="F146" t="s">
        <v>2290</v>
      </c>
    </row>
    <row r="147">
      <c r="A147" t="str">
        <f>IFERROR(__xludf.DUMMYFUNCTION("""COMPUTED_VALUE"""),"P1145")</f>
        <v>P1145</v>
      </c>
      <c r="B147" t="str">
        <f t="array" ref="B147">index('2018_ufns'!C:C,match(A147,'2018_ufns'!E:E,0))</f>
        <v>CU</v>
      </c>
      <c r="C147" s="68">
        <f>countif('2018_ufns'!E:E,A147)</f>
        <v>10</v>
      </c>
      <c r="D147" t="str">
        <f t="array" ref="D147">index('2018_ufns'!B:B,match(A147,'2018_ufns'!E:E,0))</f>
        <v>U17441</v>
      </c>
      <c r="E147" t="str">
        <f t="shared" si="1"/>
        <v>U17450</v>
      </c>
      <c r="F147" t="s">
        <v>2290</v>
      </c>
    </row>
    <row r="148">
      <c r="A148" t="str">
        <f>IFERROR(__xludf.DUMMYFUNCTION("""COMPUTED_VALUE"""),"P1188")</f>
        <v>P1188</v>
      </c>
      <c r="B148" t="str">
        <f t="array" ref="B148">index('2018_ufns'!C:C,match(A148,'2018_ufns'!E:E,0))</f>
        <v>SO</v>
      </c>
      <c r="C148" s="68">
        <f>countif('2018_ufns'!E:E,A148)</f>
        <v>1</v>
      </c>
      <c r="D148" t="str">
        <f t="array" ref="D148">index('2018_ufns'!B:B,match(A148,'2018_ufns'!E:E,0))</f>
        <v>U17871</v>
      </c>
      <c r="E148" t="str">
        <f t="shared" si="1"/>
        <v>U17871</v>
      </c>
      <c r="F148" t="s">
        <v>2290</v>
      </c>
    </row>
    <row r="149">
      <c r="A149" t="str">
        <f>IFERROR(__xludf.DUMMYFUNCTION("""COMPUTED_VALUE"""),"P1161")</f>
        <v>P1161</v>
      </c>
      <c r="B149" t="str">
        <f t="array" ref="B149">index('2018_ufns'!C:C,match(A149,'2018_ufns'!E:E,0))</f>
        <v>PI</v>
      </c>
      <c r="C149" s="68">
        <f>countif('2018_ufns'!E:E,A149)</f>
        <v>10</v>
      </c>
      <c r="D149" t="str">
        <f t="array" ref="D149">index('2018_ufns'!B:B,match(A149,'2018_ufns'!E:E,0))</f>
        <v>U17601</v>
      </c>
      <c r="E149" t="str">
        <f t="shared" si="1"/>
        <v>U17610</v>
      </c>
      <c r="F149" t="s">
        <v>2290</v>
      </c>
    </row>
    <row r="150">
      <c r="A150" t="str">
        <f>IFERROR(__xludf.DUMMYFUNCTION("""COMPUTED_VALUE"""),"P1172")</f>
        <v>P1172</v>
      </c>
      <c r="B150" t="str">
        <f t="array" ref="B150">index('2018_ufns'!C:C,match(A150,'2018_ufns'!E:E,0))</f>
        <v>CU</v>
      </c>
      <c r="C150" s="68">
        <f>countif('2018_ufns'!E:E,A150)</f>
        <v>10</v>
      </c>
      <c r="D150" t="str">
        <f t="array" ref="D150">index('2018_ufns'!B:B,match(A150,'2018_ufns'!E:E,0))</f>
        <v>U17711</v>
      </c>
      <c r="E150" t="str">
        <f t="shared" si="1"/>
        <v>U17720</v>
      </c>
      <c r="F150" t="s">
        <v>2290</v>
      </c>
    </row>
    <row r="151">
      <c r="A151" t="str">
        <f>IFERROR(__xludf.DUMMYFUNCTION("""COMPUTED_VALUE"""),"P1193")</f>
        <v>P1193</v>
      </c>
      <c r="B151" t="str">
        <f t="array" ref="B151">index('2018_ufns'!C:C,match(A151,'2018_ufns'!E:E,0))</f>
        <v>CO</v>
      </c>
      <c r="C151" s="68">
        <f>countif('2018_ufns'!E:E,A151)</f>
        <v>1</v>
      </c>
      <c r="D151" t="str">
        <f t="array" ref="D151">index('2018_ufns'!B:B,match(A151,'2018_ufns'!E:E,0))</f>
        <v>U17921</v>
      </c>
      <c r="E151" t="str">
        <f t="shared" si="1"/>
        <v>U17921</v>
      </c>
      <c r="F151" t="s">
        <v>2290</v>
      </c>
    </row>
    <row r="152">
      <c r="A152" t="str">
        <f>IFERROR(__xludf.DUMMYFUNCTION("""COMPUTED_VALUE"""),"P1167")</f>
        <v>P1167</v>
      </c>
      <c r="B152" t="str">
        <f t="array" ref="B152">index('2018_ufns'!C:C,match(A152,'2018_ufns'!E:E,0))</f>
        <v>SO</v>
      </c>
      <c r="C152" s="68">
        <f>countif('2018_ufns'!E:E,A152)</f>
        <v>1</v>
      </c>
      <c r="D152" t="str">
        <f t="array" ref="D152">index('2018_ufns'!B:B,match(A152,'2018_ufns'!E:E,0))</f>
        <v>U17661</v>
      </c>
      <c r="E152" t="str">
        <f t="shared" si="1"/>
        <v>U17661</v>
      </c>
      <c r="F152" t="s">
        <v>2290</v>
      </c>
    </row>
    <row r="153">
      <c r="A153" t="str">
        <f>IFERROR(__xludf.DUMMYFUNCTION("""COMPUTED_VALUE"""),"P1151")</f>
        <v>P1151</v>
      </c>
      <c r="B153" t="str">
        <f t="array" ref="B153">index('2018_ufns'!C:C,match(A153,'2018_ufns'!E:E,0))</f>
        <v>PI</v>
      </c>
      <c r="C153" s="68">
        <f>countif('2018_ufns'!E:E,A153)</f>
        <v>10</v>
      </c>
      <c r="D153" t="str">
        <f t="array" ref="D153">index('2018_ufns'!B:B,match(A153,'2018_ufns'!E:E,0))</f>
        <v>U17501</v>
      </c>
      <c r="E153" t="str">
        <f t="shared" si="1"/>
        <v>U17510</v>
      </c>
      <c r="F153" t="s">
        <v>2290</v>
      </c>
    </row>
    <row r="154">
      <c r="A154" t="str">
        <f>IFERROR(__xludf.DUMMYFUNCTION("""COMPUTED_VALUE"""),"P1198")</f>
        <v>P1198</v>
      </c>
      <c r="B154" t="str">
        <f t="array" ref="B154">index('2018_ufns'!C:C,match(A154,'2018_ufns'!E:E,0))</f>
        <v>CU</v>
      </c>
      <c r="C154" s="68">
        <f>countif('2018_ufns'!E:E,A154)</f>
        <v>10</v>
      </c>
      <c r="D154" t="str">
        <f t="array" ref="D154">index('2018_ufns'!B:B,match(A154,'2018_ufns'!E:E,0))</f>
        <v>U17971</v>
      </c>
      <c r="E154" t="str">
        <f t="shared" si="1"/>
        <v>U17980</v>
      </c>
      <c r="F154" t="s">
        <v>2290</v>
      </c>
    </row>
    <row r="155">
      <c r="A155" t="str">
        <f>IFERROR(__xludf.DUMMYFUNCTION("""COMPUTED_VALUE"""),"P1114")</f>
        <v>P1114</v>
      </c>
      <c r="B155" t="str">
        <f t="array" ref="B155">index('2018_ufns'!C:C,match(A155,'2018_ufns'!E:E,0))</f>
        <v>PI</v>
      </c>
      <c r="C155" s="68">
        <f>countif('2018_ufns'!E:E,A155)</f>
        <v>10</v>
      </c>
      <c r="D155" t="str">
        <f t="array" ref="D155">index('2018_ufns'!B:B,match(A155,'2018_ufns'!E:E,0))</f>
        <v>U17131</v>
      </c>
      <c r="E155" t="str">
        <f t="shared" si="1"/>
        <v>U17140</v>
      </c>
      <c r="F155" t="s">
        <v>2290</v>
      </c>
    </row>
    <row r="156">
      <c r="A156" t="str">
        <f>IFERROR(__xludf.DUMMYFUNCTION("""COMPUTED_VALUE"""),"P1104")</f>
        <v>P1104</v>
      </c>
      <c r="B156" t="str">
        <f t="array" ref="B156">index('2018_ufns'!C:C,match(A156,'2018_ufns'!E:E,0))</f>
        <v>CK</v>
      </c>
      <c r="C156" s="68">
        <f>countif('2018_ufns'!E:E,A156)</f>
        <v>1</v>
      </c>
      <c r="D156" t="str">
        <f t="array" ref="D156">index('2018_ufns'!B:B,match(A156,'2018_ufns'!E:E,0))</f>
        <v>U17031</v>
      </c>
      <c r="E156" t="str">
        <f t="shared" si="1"/>
        <v>U17031</v>
      </c>
      <c r="F156" t="s">
        <v>2290</v>
      </c>
    </row>
    <row r="157">
      <c r="A157" t="str">
        <f>IFERROR(__xludf.DUMMYFUNCTION("""COMPUTED_VALUE"""),"P1123")</f>
        <v>P1123</v>
      </c>
      <c r="B157" t="str">
        <f t="array" ref="B157">index('2018_ufns'!C:C,match(A157,'2018_ufns'!E:E,0))</f>
        <v>PI</v>
      </c>
      <c r="C157" s="68">
        <f>countif('2018_ufns'!E:E,A157)</f>
        <v>10</v>
      </c>
      <c r="D157" t="str">
        <f t="array" ref="D157">index('2018_ufns'!B:B,match(A157,'2018_ufns'!E:E,0))</f>
        <v>U17221</v>
      </c>
      <c r="E157" t="str">
        <f t="shared" si="1"/>
        <v>U17230</v>
      </c>
      <c r="F157" t="s">
        <v>2290</v>
      </c>
    </row>
    <row r="158">
      <c r="A158" t="str">
        <f>IFERROR(__xludf.DUMMYFUNCTION("""COMPUTED_VALUE"""),"P1113")</f>
        <v>P1113</v>
      </c>
      <c r="B158" t="str">
        <f t="array" ref="B158">index('2018_ufns'!C:C,match(A158,'2018_ufns'!E:E,0))</f>
        <v>CU</v>
      </c>
      <c r="C158" s="68">
        <f>countif('2018_ufns'!E:E,A158)</f>
        <v>6</v>
      </c>
      <c r="D158" t="str">
        <f t="array" ref="D158">index('2018_ufns'!B:B,match(A158,'2018_ufns'!E:E,0))</f>
        <v>U17121</v>
      </c>
      <c r="E158" t="str">
        <f t="shared" si="1"/>
        <v>U17126</v>
      </c>
      <c r="F158" t="s">
        <v>2290</v>
      </c>
    </row>
    <row r="159">
      <c r="A159" t="str">
        <f>IFERROR(__xludf.DUMMYFUNCTION("""COMPUTED_VALUE"""),"")</f>
        <v/>
      </c>
      <c r="C159" s="68"/>
    </row>
    <row r="160">
      <c r="C160" s="68"/>
    </row>
    <row r="161">
      <c r="C161" s="68"/>
    </row>
    <row r="162">
      <c r="C162" s="68"/>
    </row>
    <row r="163">
      <c r="C163" s="68"/>
    </row>
    <row r="164">
      <c r="C164" s="68"/>
    </row>
    <row r="165">
      <c r="C165" s="68"/>
    </row>
    <row r="166">
      <c r="C166" s="68"/>
    </row>
    <row r="167">
      <c r="C167" s="68"/>
    </row>
    <row r="168">
      <c r="C168" s="68"/>
    </row>
    <row r="169">
      <c r="C169" s="68"/>
    </row>
    <row r="170">
      <c r="C170" s="68"/>
    </row>
    <row r="171">
      <c r="C171" s="68"/>
    </row>
    <row r="172">
      <c r="C172" s="68"/>
    </row>
    <row r="173">
      <c r="C173" s="68"/>
    </row>
    <row r="174">
      <c r="C174" s="68"/>
    </row>
    <row r="175">
      <c r="C175" s="68"/>
    </row>
    <row r="176">
      <c r="C176" s="68"/>
    </row>
    <row r="177">
      <c r="C177" s="68"/>
    </row>
    <row r="178">
      <c r="C178" s="68"/>
    </row>
    <row r="179">
      <c r="C179" s="68"/>
    </row>
    <row r="180">
      <c r="C180" s="68"/>
    </row>
    <row r="181">
      <c r="C181" s="68"/>
    </row>
    <row r="182">
      <c r="C182" s="68"/>
    </row>
    <row r="183">
      <c r="C183" s="68"/>
    </row>
    <row r="184">
      <c r="C184" s="68"/>
    </row>
    <row r="185">
      <c r="C185" s="68"/>
    </row>
    <row r="186">
      <c r="C186" s="68"/>
    </row>
    <row r="187">
      <c r="C187" s="68"/>
    </row>
    <row r="188">
      <c r="C188" s="68"/>
    </row>
    <row r="189">
      <c r="C189" s="68"/>
    </row>
    <row r="190">
      <c r="C190" s="68"/>
    </row>
    <row r="191">
      <c r="C191" s="68"/>
    </row>
    <row r="192">
      <c r="C192" s="68"/>
    </row>
    <row r="193">
      <c r="C193" s="68"/>
    </row>
    <row r="194">
      <c r="C194" s="68"/>
    </row>
    <row r="195">
      <c r="C195" s="68"/>
    </row>
    <row r="196">
      <c r="C196" s="68"/>
    </row>
    <row r="197">
      <c r="C197" s="68"/>
    </row>
    <row r="198">
      <c r="C198" s="68"/>
    </row>
    <row r="199">
      <c r="C199" s="68"/>
    </row>
    <row r="200">
      <c r="C200" s="68"/>
    </row>
    <row r="201">
      <c r="C201" s="68"/>
    </row>
    <row r="202">
      <c r="C202" s="68"/>
    </row>
    <row r="203">
      <c r="C203" s="68"/>
    </row>
    <row r="204">
      <c r="C204" s="68"/>
    </row>
    <row r="205">
      <c r="C205" s="68"/>
    </row>
    <row r="206">
      <c r="C206" s="68"/>
    </row>
    <row r="207">
      <c r="C207" s="68"/>
    </row>
    <row r="208">
      <c r="C208" s="68"/>
    </row>
    <row r="209">
      <c r="C209" s="68"/>
    </row>
    <row r="210">
      <c r="C210" s="68"/>
    </row>
    <row r="211">
      <c r="C211" s="68"/>
    </row>
    <row r="212">
      <c r="C212" s="68"/>
    </row>
    <row r="213">
      <c r="C213" s="68"/>
    </row>
    <row r="214">
      <c r="C214" s="68"/>
    </row>
    <row r="215">
      <c r="C215" s="68"/>
    </row>
    <row r="216">
      <c r="C216" s="68"/>
    </row>
    <row r="217">
      <c r="C217" s="68"/>
    </row>
    <row r="218">
      <c r="C218" s="68"/>
    </row>
    <row r="219">
      <c r="C219" s="68"/>
    </row>
    <row r="220">
      <c r="C220" s="68"/>
    </row>
    <row r="221">
      <c r="C221" s="68"/>
    </row>
    <row r="222">
      <c r="C222" s="68"/>
    </row>
    <row r="223">
      <c r="C223" s="68"/>
    </row>
    <row r="224">
      <c r="C224" s="68"/>
    </row>
    <row r="225">
      <c r="C225" s="68"/>
    </row>
    <row r="226">
      <c r="C226" s="68"/>
    </row>
    <row r="227">
      <c r="C227" s="68"/>
    </row>
    <row r="228">
      <c r="C228" s="68"/>
    </row>
    <row r="229">
      <c r="C229" s="68"/>
    </row>
    <row r="230">
      <c r="C230" s="68"/>
    </row>
    <row r="231">
      <c r="C231" s="68"/>
    </row>
    <row r="232">
      <c r="C232" s="68"/>
    </row>
    <row r="233">
      <c r="C233" s="68"/>
    </row>
    <row r="234">
      <c r="C234" s="68"/>
    </row>
    <row r="235">
      <c r="C235" s="68"/>
    </row>
    <row r="236">
      <c r="C236" s="68"/>
    </row>
    <row r="237">
      <c r="C237" s="68"/>
    </row>
    <row r="238">
      <c r="C238" s="68"/>
    </row>
    <row r="239">
      <c r="C239" s="68"/>
    </row>
    <row r="240">
      <c r="C240" s="68"/>
    </row>
    <row r="241">
      <c r="C241" s="68"/>
    </row>
    <row r="242">
      <c r="C242" s="68"/>
    </row>
    <row r="243">
      <c r="C243" s="68"/>
    </row>
    <row r="244">
      <c r="C244" s="68"/>
    </row>
    <row r="245">
      <c r="C245" s="68"/>
    </row>
    <row r="246">
      <c r="C246" s="68"/>
    </row>
    <row r="247">
      <c r="C247" s="68"/>
    </row>
    <row r="248">
      <c r="C248" s="68"/>
    </row>
    <row r="249">
      <c r="C249" s="68"/>
    </row>
    <row r="250">
      <c r="C250" s="68"/>
    </row>
    <row r="251">
      <c r="C251" s="68"/>
    </row>
    <row r="252">
      <c r="C252" s="68"/>
    </row>
    <row r="253">
      <c r="C253" s="68"/>
    </row>
    <row r="254">
      <c r="C254" s="68"/>
    </row>
    <row r="255">
      <c r="C255" s="68"/>
    </row>
    <row r="256">
      <c r="C256" s="68"/>
    </row>
    <row r="257">
      <c r="C257" s="68"/>
    </row>
    <row r="258">
      <c r="C258" s="68"/>
    </row>
    <row r="259">
      <c r="C259" s="68"/>
    </row>
    <row r="260">
      <c r="C260" s="68"/>
    </row>
    <row r="261">
      <c r="C261" s="68"/>
    </row>
    <row r="262">
      <c r="C262" s="68"/>
    </row>
    <row r="263">
      <c r="C263" s="68"/>
    </row>
    <row r="264">
      <c r="C264" s="68"/>
    </row>
    <row r="265">
      <c r="C265" s="68"/>
    </row>
    <row r="266">
      <c r="C266" s="68"/>
    </row>
    <row r="267">
      <c r="C267" s="68"/>
    </row>
    <row r="268">
      <c r="C268" s="68"/>
    </row>
    <row r="269">
      <c r="C269" s="68"/>
    </row>
    <row r="270">
      <c r="C270" s="68"/>
    </row>
    <row r="271">
      <c r="C271" s="68"/>
    </row>
    <row r="272">
      <c r="C272" s="68"/>
    </row>
    <row r="273">
      <c r="C273" s="68"/>
    </row>
    <row r="274">
      <c r="C274" s="68"/>
    </row>
    <row r="275">
      <c r="C275" s="68"/>
    </row>
    <row r="276">
      <c r="C276" s="68"/>
    </row>
    <row r="277">
      <c r="C277" s="68"/>
    </row>
    <row r="278">
      <c r="C278" s="68"/>
    </row>
    <row r="279">
      <c r="C279" s="68"/>
    </row>
    <row r="280">
      <c r="C280" s="68"/>
    </row>
    <row r="281">
      <c r="C281" s="68"/>
    </row>
    <row r="282">
      <c r="C282" s="68"/>
    </row>
    <row r="283">
      <c r="C283" s="68"/>
    </row>
    <row r="284">
      <c r="C284" s="68"/>
    </row>
    <row r="285">
      <c r="C285" s="68"/>
    </row>
    <row r="286">
      <c r="C286" s="68"/>
    </row>
    <row r="287">
      <c r="C287" s="68"/>
    </row>
    <row r="288">
      <c r="C288" s="68"/>
    </row>
    <row r="289">
      <c r="C289" s="68"/>
    </row>
    <row r="290">
      <c r="C290" s="68"/>
    </row>
    <row r="291">
      <c r="C291" s="68"/>
    </row>
    <row r="292">
      <c r="C292" s="68"/>
    </row>
    <row r="293">
      <c r="C293" s="68"/>
    </row>
    <row r="294">
      <c r="C294" s="68"/>
    </row>
    <row r="295">
      <c r="C295" s="68"/>
    </row>
    <row r="296">
      <c r="C296" s="68"/>
    </row>
    <row r="297">
      <c r="C297" s="68"/>
    </row>
    <row r="298">
      <c r="C298" s="68"/>
    </row>
    <row r="299">
      <c r="C299" s="68"/>
    </row>
    <row r="300">
      <c r="C300" s="68"/>
    </row>
    <row r="301">
      <c r="C301" s="68"/>
    </row>
    <row r="302">
      <c r="C302" s="68"/>
    </row>
    <row r="303">
      <c r="C303" s="68"/>
    </row>
    <row r="304">
      <c r="C304" s="68"/>
    </row>
    <row r="305">
      <c r="C305" s="68"/>
    </row>
    <row r="306">
      <c r="C306" s="68"/>
    </row>
    <row r="307">
      <c r="C307" s="68"/>
    </row>
    <row r="308">
      <c r="C308" s="68"/>
    </row>
    <row r="309">
      <c r="C309" s="68"/>
    </row>
    <row r="310">
      <c r="C310" s="68"/>
    </row>
    <row r="311">
      <c r="C311" s="68"/>
    </row>
    <row r="312">
      <c r="C312" s="68"/>
    </row>
    <row r="313">
      <c r="C313" s="68"/>
    </row>
    <row r="314">
      <c r="C314" s="68"/>
    </row>
    <row r="315">
      <c r="C315" s="68"/>
    </row>
    <row r="316">
      <c r="C316" s="68"/>
    </row>
    <row r="317">
      <c r="C317" s="68"/>
    </row>
    <row r="318">
      <c r="C318" s="68"/>
    </row>
    <row r="319">
      <c r="C319" s="68"/>
    </row>
    <row r="320">
      <c r="C320" s="68"/>
    </row>
    <row r="321">
      <c r="C321" s="68"/>
    </row>
    <row r="322">
      <c r="C322" s="68"/>
    </row>
    <row r="323">
      <c r="C323" s="68"/>
    </row>
    <row r="324">
      <c r="C324" s="68"/>
    </row>
    <row r="325">
      <c r="C325" s="68"/>
    </row>
    <row r="326">
      <c r="C326" s="68"/>
    </row>
    <row r="327">
      <c r="C327" s="68"/>
    </row>
    <row r="328">
      <c r="C328" s="68"/>
    </row>
    <row r="329">
      <c r="C329" s="68"/>
    </row>
    <row r="330">
      <c r="C330" s="68"/>
    </row>
    <row r="331">
      <c r="C331" s="68"/>
    </row>
    <row r="332">
      <c r="C332" s="68"/>
    </row>
    <row r="333">
      <c r="C333" s="68"/>
    </row>
    <row r="334">
      <c r="C334" s="68"/>
    </row>
    <row r="335">
      <c r="C335" s="68"/>
    </row>
    <row r="336">
      <c r="C336" s="68"/>
    </row>
    <row r="337">
      <c r="C337" s="68"/>
    </row>
    <row r="338">
      <c r="C338" s="68"/>
    </row>
    <row r="339">
      <c r="C339" s="68"/>
    </row>
    <row r="340">
      <c r="C340" s="68"/>
    </row>
    <row r="341">
      <c r="C341" s="68"/>
    </row>
    <row r="342">
      <c r="C342" s="68"/>
    </row>
    <row r="343">
      <c r="C343" s="68"/>
    </row>
    <row r="344">
      <c r="C344" s="68"/>
    </row>
    <row r="345">
      <c r="C345" s="68"/>
    </row>
    <row r="346">
      <c r="C346" s="68"/>
    </row>
    <row r="347">
      <c r="C347" s="68"/>
    </row>
    <row r="348">
      <c r="C348" s="68"/>
    </row>
    <row r="349">
      <c r="C349" s="68"/>
    </row>
    <row r="350">
      <c r="C350" s="68"/>
    </row>
    <row r="351">
      <c r="C351" s="68"/>
    </row>
    <row r="352">
      <c r="C352" s="68"/>
    </row>
    <row r="353">
      <c r="C353" s="68"/>
    </row>
    <row r="354">
      <c r="C354" s="68"/>
    </row>
    <row r="355">
      <c r="C355" s="68"/>
    </row>
    <row r="356">
      <c r="C356" s="68"/>
    </row>
    <row r="357">
      <c r="C357" s="68"/>
    </row>
    <row r="358">
      <c r="C358" s="68"/>
    </row>
    <row r="359">
      <c r="C359" s="68"/>
    </row>
    <row r="360">
      <c r="C360" s="68"/>
    </row>
    <row r="361">
      <c r="C361" s="68"/>
    </row>
    <row r="362">
      <c r="C362" s="68"/>
    </row>
    <row r="363">
      <c r="C363" s="68"/>
    </row>
    <row r="364">
      <c r="C364" s="68"/>
    </row>
    <row r="365">
      <c r="C365" s="68"/>
    </row>
    <row r="366">
      <c r="C366" s="68"/>
    </row>
    <row r="367">
      <c r="C367" s="68"/>
    </row>
    <row r="368">
      <c r="C368" s="68"/>
    </row>
    <row r="369">
      <c r="C369" s="68"/>
    </row>
    <row r="370">
      <c r="C370" s="68"/>
    </row>
    <row r="371">
      <c r="C371" s="68"/>
    </row>
    <row r="372">
      <c r="C372" s="68"/>
    </row>
    <row r="373">
      <c r="C373" s="68"/>
    </row>
    <row r="374">
      <c r="C374" s="68"/>
    </row>
    <row r="375">
      <c r="C375" s="68"/>
    </row>
    <row r="376">
      <c r="C376" s="68"/>
    </row>
    <row r="377">
      <c r="C377" s="68"/>
    </row>
    <row r="378">
      <c r="C378" s="68"/>
    </row>
    <row r="379">
      <c r="C379" s="68"/>
    </row>
    <row r="380">
      <c r="C380" s="68"/>
    </row>
    <row r="381">
      <c r="C381" s="68"/>
    </row>
    <row r="382">
      <c r="C382" s="68"/>
    </row>
    <row r="383">
      <c r="C383" s="68"/>
    </row>
    <row r="384">
      <c r="C384" s="68"/>
    </row>
    <row r="385">
      <c r="C385" s="68"/>
    </row>
    <row r="386">
      <c r="C386" s="68"/>
    </row>
    <row r="387">
      <c r="C387" s="68"/>
    </row>
    <row r="388">
      <c r="C388" s="68"/>
    </row>
    <row r="389">
      <c r="C389" s="68"/>
    </row>
    <row r="390">
      <c r="C390" s="68"/>
    </row>
    <row r="391">
      <c r="C391" s="68"/>
    </row>
    <row r="392">
      <c r="C392" s="68"/>
    </row>
    <row r="393">
      <c r="C393" s="68"/>
    </row>
    <row r="394">
      <c r="C394" s="68"/>
    </row>
    <row r="395">
      <c r="C395" s="68"/>
    </row>
    <row r="396">
      <c r="C396" s="68"/>
    </row>
    <row r="397">
      <c r="C397" s="68"/>
    </row>
    <row r="398">
      <c r="C398" s="68"/>
    </row>
    <row r="399">
      <c r="C399" s="68"/>
    </row>
    <row r="400">
      <c r="C400" s="68"/>
    </row>
    <row r="401">
      <c r="C401" s="68"/>
    </row>
    <row r="402">
      <c r="C402" s="68"/>
    </row>
    <row r="403">
      <c r="C403" s="68"/>
    </row>
    <row r="404">
      <c r="C404" s="68"/>
    </row>
    <row r="405">
      <c r="C405" s="68"/>
    </row>
    <row r="406">
      <c r="C406" s="68"/>
    </row>
    <row r="407">
      <c r="C407" s="68"/>
    </row>
    <row r="408">
      <c r="C408" s="68"/>
    </row>
    <row r="409">
      <c r="C409" s="68"/>
    </row>
    <row r="410">
      <c r="C410" s="68"/>
    </row>
    <row r="411">
      <c r="C411" s="68"/>
    </row>
    <row r="412">
      <c r="C412" s="68"/>
    </row>
    <row r="413">
      <c r="C413" s="68"/>
    </row>
    <row r="414">
      <c r="C414" s="68"/>
    </row>
    <row r="415">
      <c r="C415" s="68"/>
    </row>
    <row r="416">
      <c r="C416" s="68"/>
    </row>
    <row r="417">
      <c r="C417" s="68"/>
    </row>
    <row r="418">
      <c r="C418" s="68"/>
    </row>
    <row r="419">
      <c r="C419" s="68"/>
    </row>
    <row r="420">
      <c r="C420" s="68"/>
    </row>
    <row r="421">
      <c r="C421" s="68"/>
    </row>
    <row r="422">
      <c r="C422" s="68"/>
    </row>
    <row r="423">
      <c r="C423" s="68"/>
    </row>
    <row r="424">
      <c r="C424" s="68"/>
    </row>
    <row r="425">
      <c r="C425" s="68"/>
    </row>
    <row r="426">
      <c r="C426" s="68"/>
    </row>
    <row r="427">
      <c r="C427" s="68"/>
    </row>
    <row r="428">
      <c r="C428" s="68"/>
    </row>
    <row r="429">
      <c r="C429" s="68"/>
    </row>
    <row r="430">
      <c r="C430" s="68"/>
    </row>
    <row r="431">
      <c r="C431" s="68"/>
    </row>
    <row r="432">
      <c r="C432" s="68"/>
    </row>
    <row r="433">
      <c r="C433" s="68"/>
    </row>
    <row r="434">
      <c r="C434" s="68"/>
    </row>
    <row r="435">
      <c r="C435" s="68"/>
    </row>
    <row r="436">
      <c r="C436" s="68"/>
    </row>
    <row r="437">
      <c r="C437" s="68"/>
    </row>
    <row r="438">
      <c r="C438" s="68"/>
    </row>
    <row r="439">
      <c r="C439" s="68"/>
    </row>
    <row r="440">
      <c r="C440" s="68"/>
    </row>
    <row r="441">
      <c r="C441" s="68"/>
    </row>
    <row r="442">
      <c r="C442" s="68"/>
    </row>
    <row r="443">
      <c r="C443" s="68"/>
    </row>
    <row r="444">
      <c r="C444" s="68"/>
    </row>
    <row r="445">
      <c r="C445" s="68"/>
    </row>
    <row r="446">
      <c r="C446" s="68"/>
    </row>
    <row r="447">
      <c r="C447" s="68"/>
    </row>
    <row r="448">
      <c r="C448" s="68"/>
    </row>
    <row r="449">
      <c r="C449" s="68"/>
    </row>
    <row r="450">
      <c r="C450" s="68"/>
    </row>
    <row r="451">
      <c r="C451" s="68"/>
    </row>
    <row r="452">
      <c r="C452" s="68"/>
    </row>
    <row r="453">
      <c r="C453" s="68"/>
    </row>
    <row r="454">
      <c r="C454" s="68"/>
    </row>
    <row r="455">
      <c r="C455" s="68"/>
    </row>
    <row r="456">
      <c r="C456" s="68"/>
    </row>
    <row r="457">
      <c r="C457" s="68"/>
    </row>
    <row r="458">
      <c r="C458" s="68"/>
    </row>
    <row r="459">
      <c r="C459" s="68"/>
    </row>
    <row r="460">
      <c r="C460" s="68"/>
    </row>
    <row r="461">
      <c r="C461" s="68"/>
    </row>
    <row r="462">
      <c r="C462" s="68"/>
    </row>
    <row r="463">
      <c r="C463" s="68"/>
    </row>
    <row r="464">
      <c r="C464" s="68"/>
    </row>
    <row r="465">
      <c r="C465" s="68"/>
    </row>
    <row r="466">
      <c r="C466" s="68"/>
    </row>
    <row r="467">
      <c r="C467" s="68"/>
    </row>
    <row r="468">
      <c r="C468" s="68"/>
    </row>
    <row r="469">
      <c r="C469" s="68"/>
    </row>
    <row r="470">
      <c r="C470" s="68"/>
    </row>
    <row r="471">
      <c r="C471" s="68"/>
    </row>
    <row r="472">
      <c r="C472" s="68"/>
    </row>
    <row r="473">
      <c r="C473" s="68"/>
    </row>
    <row r="474">
      <c r="C474" s="68"/>
    </row>
    <row r="475">
      <c r="C475" s="68"/>
    </row>
    <row r="476">
      <c r="C476" s="68"/>
    </row>
    <row r="477">
      <c r="C477" s="68"/>
    </row>
    <row r="478">
      <c r="C478" s="68"/>
    </row>
    <row r="479">
      <c r="C479" s="68"/>
    </row>
    <row r="480">
      <c r="C480" s="68"/>
    </row>
    <row r="481">
      <c r="C481" s="68"/>
    </row>
    <row r="482">
      <c r="C482" s="68"/>
    </row>
    <row r="483">
      <c r="C483" s="68"/>
    </row>
    <row r="484">
      <c r="C484" s="68"/>
    </row>
    <row r="485">
      <c r="C485" s="68"/>
    </row>
    <row r="486">
      <c r="C486" s="68"/>
    </row>
    <row r="487">
      <c r="C487" s="68"/>
    </row>
    <row r="488">
      <c r="C488" s="68"/>
    </row>
    <row r="489">
      <c r="C489" s="68"/>
    </row>
    <row r="490">
      <c r="C490" s="68"/>
    </row>
    <row r="491">
      <c r="C491" s="68"/>
    </row>
    <row r="492">
      <c r="C492" s="68"/>
    </row>
    <row r="493">
      <c r="C493" s="68"/>
    </row>
    <row r="494">
      <c r="C494" s="68"/>
    </row>
    <row r="495">
      <c r="C495" s="68"/>
    </row>
    <row r="496">
      <c r="C496" s="68"/>
    </row>
    <row r="497">
      <c r="C497" s="68"/>
    </row>
    <row r="498">
      <c r="C498" s="68"/>
    </row>
    <row r="499">
      <c r="C499" s="68"/>
    </row>
    <row r="500">
      <c r="C500" s="68"/>
    </row>
    <row r="501">
      <c r="C501" s="68"/>
    </row>
    <row r="502">
      <c r="C502" s="68"/>
    </row>
    <row r="503">
      <c r="C503" s="68"/>
    </row>
    <row r="504">
      <c r="C504" s="68"/>
    </row>
    <row r="505">
      <c r="C505" s="68"/>
    </row>
    <row r="506">
      <c r="C506" s="68"/>
    </row>
    <row r="507">
      <c r="C507" s="68"/>
    </row>
    <row r="508">
      <c r="C508" s="68"/>
    </row>
    <row r="509">
      <c r="C509" s="68"/>
    </row>
    <row r="510">
      <c r="C510" s="68"/>
    </row>
    <row r="511">
      <c r="C511" s="68"/>
    </row>
    <row r="512">
      <c r="C512" s="68"/>
    </row>
    <row r="513">
      <c r="C513" s="68"/>
    </row>
    <row r="514">
      <c r="C514" s="68"/>
    </row>
    <row r="515">
      <c r="C515" s="68"/>
    </row>
    <row r="516">
      <c r="C516" s="68"/>
    </row>
    <row r="517">
      <c r="C517" s="68"/>
    </row>
    <row r="518">
      <c r="C518" s="68"/>
    </row>
    <row r="519">
      <c r="C519" s="68"/>
    </row>
    <row r="520">
      <c r="C520" s="68"/>
    </row>
    <row r="521">
      <c r="C521" s="68"/>
    </row>
    <row r="522">
      <c r="C522" s="68"/>
    </row>
    <row r="523">
      <c r="C523" s="68"/>
    </row>
    <row r="524">
      <c r="C524" s="68"/>
    </row>
    <row r="525">
      <c r="C525" s="68"/>
    </row>
    <row r="526">
      <c r="C526" s="68"/>
    </row>
    <row r="527">
      <c r="C527" s="68"/>
    </row>
    <row r="528">
      <c r="C528" s="68"/>
    </row>
    <row r="529">
      <c r="C529" s="68"/>
    </row>
    <row r="530">
      <c r="C530" s="68"/>
    </row>
    <row r="531">
      <c r="C531" s="68"/>
    </row>
    <row r="532">
      <c r="C532" s="68"/>
    </row>
    <row r="533">
      <c r="C533" s="68"/>
    </row>
    <row r="534">
      <c r="C534" s="68"/>
    </row>
    <row r="535">
      <c r="C535" s="68"/>
    </row>
    <row r="536">
      <c r="C536" s="68"/>
    </row>
    <row r="537">
      <c r="C537" s="68"/>
    </row>
    <row r="538">
      <c r="C538" s="68"/>
    </row>
    <row r="539">
      <c r="C539" s="68"/>
    </row>
    <row r="540">
      <c r="C540" s="68"/>
    </row>
    <row r="541">
      <c r="C541" s="68"/>
    </row>
    <row r="542">
      <c r="C542" s="68"/>
    </row>
    <row r="543">
      <c r="C543" s="68"/>
    </row>
    <row r="544">
      <c r="C544" s="68"/>
    </row>
    <row r="545">
      <c r="C545" s="68"/>
    </row>
    <row r="546">
      <c r="C546" s="68"/>
    </row>
    <row r="547">
      <c r="C547" s="68"/>
    </row>
    <row r="548">
      <c r="C548" s="68"/>
    </row>
    <row r="549">
      <c r="C549" s="68"/>
    </row>
    <row r="550">
      <c r="C550" s="68"/>
    </row>
    <row r="551">
      <c r="C551" s="68"/>
    </row>
    <row r="552">
      <c r="C552" s="68"/>
    </row>
    <row r="553">
      <c r="C553" s="68"/>
    </row>
    <row r="554">
      <c r="C554" s="68"/>
    </row>
    <row r="555">
      <c r="C555" s="68"/>
    </row>
    <row r="556">
      <c r="C556" s="68"/>
    </row>
    <row r="557">
      <c r="C557" s="68"/>
    </row>
    <row r="558">
      <c r="C558" s="68"/>
    </row>
    <row r="559">
      <c r="C559" s="68"/>
    </row>
    <row r="560">
      <c r="C560" s="68"/>
    </row>
    <row r="561">
      <c r="C561" s="68"/>
    </row>
    <row r="562">
      <c r="C562" s="68"/>
    </row>
    <row r="563">
      <c r="C563" s="68"/>
    </row>
    <row r="564">
      <c r="C564" s="68"/>
    </row>
    <row r="565">
      <c r="C565" s="68"/>
    </row>
    <row r="566">
      <c r="C566" s="68"/>
    </row>
    <row r="567">
      <c r="C567" s="68"/>
    </row>
    <row r="568">
      <c r="C568" s="68"/>
    </row>
    <row r="569">
      <c r="C569" s="68"/>
    </row>
    <row r="570">
      <c r="C570" s="68"/>
    </row>
    <row r="571">
      <c r="C571" s="68"/>
    </row>
    <row r="572">
      <c r="C572" s="68"/>
    </row>
    <row r="573">
      <c r="C573" s="68"/>
    </row>
    <row r="574">
      <c r="C574" s="68"/>
    </row>
    <row r="575">
      <c r="C575" s="68"/>
    </row>
    <row r="576">
      <c r="C576" s="68"/>
    </row>
    <row r="577">
      <c r="C577" s="68"/>
    </row>
    <row r="578">
      <c r="C578" s="68"/>
    </row>
    <row r="579">
      <c r="C579" s="68"/>
    </row>
    <row r="580">
      <c r="C580" s="68"/>
    </row>
    <row r="581">
      <c r="C581" s="68"/>
    </row>
    <row r="582">
      <c r="C582" s="68"/>
    </row>
    <row r="583">
      <c r="C583" s="68"/>
    </row>
    <row r="584">
      <c r="C584" s="68"/>
    </row>
    <row r="585">
      <c r="C585" s="68"/>
    </row>
    <row r="586">
      <c r="C586" s="68"/>
    </row>
    <row r="587">
      <c r="C587" s="68"/>
    </row>
    <row r="588">
      <c r="C588" s="68"/>
    </row>
    <row r="589">
      <c r="C589" s="68"/>
    </row>
    <row r="590">
      <c r="C590" s="68"/>
    </row>
    <row r="591">
      <c r="C591" s="68"/>
    </row>
    <row r="592">
      <c r="C592" s="68"/>
    </row>
    <row r="593">
      <c r="C593" s="68"/>
    </row>
    <row r="594">
      <c r="C594" s="68"/>
    </row>
    <row r="595">
      <c r="C595" s="68"/>
    </row>
    <row r="596">
      <c r="C596" s="68"/>
    </row>
    <row r="597">
      <c r="C597" s="68"/>
    </row>
    <row r="598">
      <c r="C598" s="68"/>
    </row>
    <row r="599">
      <c r="C599" s="68"/>
    </row>
    <row r="600">
      <c r="C600" s="68"/>
    </row>
    <row r="601">
      <c r="C601" s="68"/>
    </row>
    <row r="602">
      <c r="C602" s="68"/>
    </row>
    <row r="603">
      <c r="C603" s="68"/>
    </row>
    <row r="604">
      <c r="C604" s="68"/>
    </row>
    <row r="605">
      <c r="C605" s="68"/>
    </row>
    <row r="606">
      <c r="C606" s="68"/>
    </row>
    <row r="607">
      <c r="C607" s="68"/>
    </row>
    <row r="608">
      <c r="C608" s="68"/>
    </row>
    <row r="609">
      <c r="C609" s="68"/>
    </row>
    <row r="610">
      <c r="C610" s="68"/>
    </row>
    <row r="611">
      <c r="C611" s="68"/>
    </row>
    <row r="612">
      <c r="C612" s="68"/>
    </row>
    <row r="613">
      <c r="C613" s="68"/>
    </row>
    <row r="614">
      <c r="C614" s="68"/>
    </row>
    <row r="615">
      <c r="C615" s="68"/>
    </row>
    <row r="616">
      <c r="C616" s="68"/>
    </row>
    <row r="617">
      <c r="C617" s="68"/>
    </row>
    <row r="618">
      <c r="C618" s="68"/>
    </row>
    <row r="619">
      <c r="C619" s="68"/>
    </row>
    <row r="620">
      <c r="C620" s="68"/>
    </row>
    <row r="621">
      <c r="C621" s="68"/>
    </row>
    <row r="622">
      <c r="C622" s="68"/>
    </row>
    <row r="623">
      <c r="C623" s="68"/>
    </row>
    <row r="624">
      <c r="C624" s="68"/>
    </row>
    <row r="625">
      <c r="C625" s="68"/>
    </row>
    <row r="626">
      <c r="C626" s="68"/>
    </row>
    <row r="627">
      <c r="C627" s="68"/>
    </row>
    <row r="628">
      <c r="C628" s="68"/>
    </row>
    <row r="629">
      <c r="C629" s="68"/>
    </row>
    <row r="630">
      <c r="C630" s="68"/>
    </row>
    <row r="631">
      <c r="C631" s="68"/>
    </row>
    <row r="632">
      <c r="C632" s="68"/>
    </row>
    <row r="633">
      <c r="C633" s="68"/>
    </row>
    <row r="634">
      <c r="C634" s="68"/>
    </row>
    <row r="635">
      <c r="C635" s="68"/>
    </row>
    <row r="636">
      <c r="C636" s="68"/>
    </row>
    <row r="637">
      <c r="C637" s="68"/>
    </row>
    <row r="638">
      <c r="C638" s="68"/>
    </row>
    <row r="639">
      <c r="C639" s="68"/>
    </row>
    <row r="640">
      <c r="C640" s="68"/>
    </row>
    <row r="641">
      <c r="C641" s="68"/>
    </row>
    <row r="642">
      <c r="C642" s="68"/>
    </row>
    <row r="643">
      <c r="C643" s="68"/>
    </row>
    <row r="644">
      <c r="C644" s="68"/>
    </row>
    <row r="645">
      <c r="C645" s="68"/>
    </row>
    <row r="646">
      <c r="C646" s="68"/>
    </row>
    <row r="647">
      <c r="C647" s="68"/>
    </row>
    <row r="648">
      <c r="C648" s="68"/>
    </row>
    <row r="649">
      <c r="C649" s="68"/>
    </row>
    <row r="650">
      <c r="C650" s="68"/>
    </row>
    <row r="651">
      <c r="C651" s="68"/>
    </row>
    <row r="652">
      <c r="C652" s="68"/>
    </row>
    <row r="653">
      <c r="C653" s="68"/>
    </row>
    <row r="654">
      <c r="C654" s="68"/>
    </row>
    <row r="655">
      <c r="C655" s="68"/>
    </row>
    <row r="656">
      <c r="C656" s="68"/>
    </row>
    <row r="657">
      <c r="C657" s="68"/>
    </row>
    <row r="658">
      <c r="C658" s="68"/>
    </row>
    <row r="659">
      <c r="C659" s="68"/>
    </row>
    <row r="660">
      <c r="C660" s="68"/>
    </row>
    <row r="661">
      <c r="C661" s="68"/>
    </row>
    <row r="662">
      <c r="C662" s="68"/>
    </row>
    <row r="663">
      <c r="C663" s="68"/>
    </row>
    <row r="664">
      <c r="C664" s="68"/>
    </row>
    <row r="665">
      <c r="C665" s="68"/>
    </row>
    <row r="666">
      <c r="C666" s="68"/>
    </row>
    <row r="667">
      <c r="C667" s="68"/>
    </row>
    <row r="668">
      <c r="C668" s="68"/>
    </row>
    <row r="669">
      <c r="C669" s="68"/>
    </row>
    <row r="670">
      <c r="C670" s="68"/>
    </row>
    <row r="671">
      <c r="C671" s="68"/>
    </row>
    <row r="672">
      <c r="C672" s="68"/>
    </row>
    <row r="673">
      <c r="C673" s="68"/>
    </row>
    <row r="674">
      <c r="C674" s="68"/>
    </row>
    <row r="675">
      <c r="C675" s="68"/>
    </row>
    <row r="676">
      <c r="C676" s="68"/>
    </row>
    <row r="677">
      <c r="C677" s="68"/>
    </row>
    <row r="678">
      <c r="C678" s="68"/>
    </row>
    <row r="679">
      <c r="C679" s="68"/>
    </row>
    <row r="680">
      <c r="C680" s="68"/>
    </row>
    <row r="681">
      <c r="C681" s="68"/>
    </row>
    <row r="682">
      <c r="C682" s="68"/>
    </row>
    <row r="683">
      <c r="C683" s="68"/>
    </row>
    <row r="684">
      <c r="C684" s="68"/>
    </row>
    <row r="685">
      <c r="C685" s="68"/>
    </row>
    <row r="686">
      <c r="C686" s="68"/>
    </row>
    <row r="687">
      <c r="C687" s="68"/>
    </row>
    <row r="688">
      <c r="C688" s="68"/>
    </row>
    <row r="689">
      <c r="C689" s="68"/>
    </row>
    <row r="690">
      <c r="C690" s="68"/>
    </row>
    <row r="691">
      <c r="C691" s="68"/>
    </row>
    <row r="692">
      <c r="C692" s="68"/>
    </row>
    <row r="693">
      <c r="C693" s="68"/>
    </row>
    <row r="694">
      <c r="C694" s="68"/>
    </row>
    <row r="695">
      <c r="C695" s="68"/>
    </row>
    <row r="696">
      <c r="C696" s="68"/>
    </row>
    <row r="697">
      <c r="C697" s="68"/>
    </row>
    <row r="698">
      <c r="C698" s="68"/>
    </row>
    <row r="699">
      <c r="C699" s="68"/>
    </row>
    <row r="700">
      <c r="C700" s="68"/>
    </row>
    <row r="701">
      <c r="C701" s="68"/>
    </row>
    <row r="702">
      <c r="C702" s="68"/>
    </row>
    <row r="703">
      <c r="C703" s="68"/>
    </row>
    <row r="704">
      <c r="C704" s="68"/>
    </row>
    <row r="705">
      <c r="C705" s="68"/>
    </row>
    <row r="706">
      <c r="C706" s="68"/>
    </row>
    <row r="707">
      <c r="C707" s="68"/>
    </row>
    <row r="708">
      <c r="C708" s="68"/>
    </row>
    <row r="709">
      <c r="C709" s="68"/>
    </row>
    <row r="710">
      <c r="C710" s="68"/>
    </row>
    <row r="711">
      <c r="C711" s="68"/>
    </row>
    <row r="712">
      <c r="C712" s="68"/>
    </row>
    <row r="713">
      <c r="C713" s="68"/>
    </row>
    <row r="714">
      <c r="C714" s="68"/>
    </row>
    <row r="715">
      <c r="C715" s="68"/>
    </row>
    <row r="716">
      <c r="C716" s="68"/>
    </row>
    <row r="717">
      <c r="C717" s="68"/>
    </row>
    <row r="718">
      <c r="C718" s="68"/>
    </row>
    <row r="719">
      <c r="C719" s="68"/>
    </row>
    <row r="720">
      <c r="C720" s="68"/>
    </row>
    <row r="721">
      <c r="C721" s="68"/>
    </row>
    <row r="722">
      <c r="C722" s="68"/>
    </row>
    <row r="723">
      <c r="C723" s="68"/>
    </row>
    <row r="724">
      <c r="C724" s="68"/>
    </row>
    <row r="725">
      <c r="C725" s="68"/>
    </row>
  </sheetData>
  <autoFilter ref="$A$1:$F$158"/>
  <conditionalFormatting sqref="A1:F725">
    <cfRule type="cellIs" dxfId="3" priority="1" operator="equal">
      <formula>"Yes"</formula>
    </cfRule>
  </conditionalFormatting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6.29"/>
  </cols>
  <sheetData>
    <row r="1">
      <c r="A1" s="56" t="s">
        <v>2292</v>
      </c>
      <c r="B1" s="56" t="s">
        <v>2293</v>
      </c>
      <c r="C1" s="2" t="s">
        <v>2294</v>
      </c>
    </row>
    <row r="2">
      <c r="A2" s="9" t="s">
        <v>2295</v>
      </c>
      <c r="B2" s="9" t="s">
        <v>2296</v>
      </c>
      <c r="C2" s="40" t="s">
        <v>2119</v>
      </c>
    </row>
    <row r="3">
      <c r="A3" s="47" t="s">
        <v>2297</v>
      </c>
      <c r="B3" s="9" t="s">
        <v>62</v>
      </c>
      <c r="C3" s="40" t="s">
        <v>2298</v>
      </c>
    </row>
    <row r="4">
      <c r="A4" s="47" t="s">
        <v>2299</v>
      </c>
      <c r="B4" s="9" t="s">
        <v>150</v>
      </c>
      <c r="C4" s="40" t="s">
        <v>63</v>
      </c>
    </row>
    <row r="5">
      <c r="A5" s="47" t="s">
        <v>2300</v>
      </c>
      <c r="B5" s="9" t="s">
        <v>63</v>
      </c>
      <c r="C5" s="40"/>
    </row>
    <row r="6">
      <c r="A6" s="47" t="s">
        <v>2301</v>
      </c>
      <c r="C6" s="40"/>
    </row>
    <row r="7">
      <c r="A7" s="47" t="s">
        <v>2302</v>
      </c>
      <c r="C7" s="40"/>
    </row>
    <row r="8">
      <c r="A8" s="47" t="s">
        <v>2303</v>
      </c>
      <c r="C8" s="40"/>
    </row>
    <row r="9">
      <c r="A9" s="47" t="s">
        <v>60</v>
      </c>
      <c r="C9" s="40"/>
    </row>
    <row r="10">
      <c r="A10" s="9" t="s">
        <v>1729</v>
      </c>
      <c r="C10" s="40"/>
    </row>
    <row r="11">
      <c r="C11" s="40"/>
    </row>
    <row r="12">
      <c r="C12" s="40"/>
    </row>
    <row r="13">
      <c r="C13" s="40"/>
    </row>
    <row r="14">
      <c r="C14" s="40"/>
    </row>
    <row r="15">
      <c r="C15" s="40"/>
    </row>
    <row r="16">
      <c r="C16" s="40"/>
    </row>
    <row r="17">
      <c r="C17" s="40"/>
    </row>
    <row r="18">
      <c r="C18" s="40"/>
    </row>
    <row r="19">
      <c r="C19" s="40"/>
    </row>
    <row r="20">
      <c r="C20" s="40"/>
    </row>
    <row r="21">
      <c r="C21" s="40"/>
    </row>
    <row r="22">
      <c r="C22" s="40"/>
    </row>
    <row r="23">
      <c r="C23" s="40"/>
    </row>
    <row r="24">
      <c r="C24" s="40"/>
    </row>
    <row r="25">
      <c r="C25" s="40"/>
    </row>
    <row r="26">
      <c r="C26" s="40"/>
    </row>
    <row r="27">
      <c r="C27" s="40"/>
    </row>
    <row r="28">
      <c r="C28" s="40"/>
    </row>
    <row r="29">
      <c r="C29" s="40"/>
    </row>
    <row r="30">
      <c r="C30" s="40"/>
    </row>
    <row r="31">
      <c r="C31" s="40"/>
    </row>
    <row r="32">
      <c r="C32" s="40"/>
    </row>
    <row r="33">
      <c r="C33" s="40"/>
    </row>
    <row r="34">
      <c r="C34" s="40"/>
    </row>
    <row r="35">
      <c r="C35" s="40"/>
    </row>
    <row r="36">
      <c r="C36" s="40"/>
    </row>
    <row r="37">
      <c r="C37" s="40"/>
    </row>
    <row r="38">
      <c r="C38" s="40"/>
    </row>
    <row r="39">
      <c r="C39" s="40"/>
    </row>
    <row r="40">
      <c r="C40" s="40"/>
    </row>
    <row r="41">
      <c r="C41" s="40"/>
    </row>
    <row r="42">
      <c r="C42" s="40"/>
    </row>
    <row r="43">
      <c r="C43" s="40"/>
    </row>
    <row r="44">
      <c r="C44" s="40"/>
    </row>
    <row r="45">
      <c r="C45" s="40"/>
    </row>
    <row r="46">
      <c r="C46" s="40"/>
    </row>
    <row r="47">
      <c r="C47" s="40"/>
    </row>
    <row r="48">
      <c r="C48" s="40"/>
    </row>
    <row r="49">
      <c r="C49" s="40"/>
    </row>
    <row r="50">
      <c r="C50" s="40"/>
    </row>
    <row r="51">
      <c r="C51" s="40"/>
    </row>
    <row r="52">
      <c r="C52" s="40"/>
    </row>
    <row r="53">
      <c r="C53" s="40"/>
    </row>
    <row r="54">
      <c r="C54" s="40"/>
    </row>
    <row r="55">
      <c r="C55" s="40"/>
    </row>
    <row r="56">
      <c r="C56" s="40"/>
    </row>
    <row r="57">
      <c r="C57" s="40"/>
    </row>
    <row r="58">
      <c r="C58" s="40"/>
    </row>
    <row r="59">
      <c r="C59" s="40"/>
    </row>
    <row r="60">
      <c r="C60" s="40"/>
    </row>
    <row r="61">
      <c r="C61" s="40"/>
    </row>
    <row r="62">
      <c r="C62" s="40"/>
    </row>
    <row r="63">
      <c r="C63" s="40"/>
    </row>
    <row r="64">
      <c r="C64" s="40"/>
    </row>
    <row r="65">
      <c r="C65" s="40"/>
    </row>
    <row r="66">
      <c r="C66" s="40"/>
    </row>
    <row r="67">
      <c r="C67" s="40"/>
    </row>
    <row r="68">
      <c r="C68" s="40"/>
    </row>
    <row r="69">
      <c r="C69" s="40"/>
    </row>
    <row r="70">
      <c r="C70" s="40"/>
    </row>
    <row r="71">
      <c r="C71" s="40"/>
    </row>
    <row r="72">
      <c r="C72" s="40"/>
    </row>
    <row r="73">
      <c r="C73" s="40"/>
    </row>
    <row r="74">
      <c r="C74" s="40"/>
    </row>
    <row r="75">
      <c r="C75" s="40"/>
    </row>
    <row r="76">
      <c r="C76" s="40"/>
    </row>
    <row r="77">
      <c r="C77" s="40"/>
    </row>
    <row r="78">
      <c r="C78" s="40"/>
    </row>
    <row r="79">
      <c r="C79" s="40"/>
    </row>
    <row r="80">
      <c r="C80" s="40"/>
    </row>
    <row r="81">
      <c r="C81" s="40"/>
    </row>
    <row r="82">
      <c r="C82" s="40"/>
    </row>
    <row r="83">
      <c r="C83" s="40"/>
    </row>
    <row r="84">
      <c r="C84" s="40"/>
    </row>
    <row r="85">
      <c r="C85" s="40"/>
    </row>
    <row r="86">
      <c r="C86" s="40"/>
    </row>
    <row r="87">
      <c r="C87" s="40"/>
    </row>
    <row r="88">
      <c r="C88" s="40"/>
    </row>
    <row r="89">
      <c r="C89" s="40"/>
    </row>
    <row r="90">
      <c r="C90" s="40"/>
    </row>
    <row r="91">
      <c r="C91" s="40"/>
    </row>
    <row r="92">
      <c r="C92" s="40"/>
    </row>
    <row r="93">
      <c r="C93" s="40"/>
    </row>
    <row r="94">
      <c r="C94" s="40"/>
    </row>
    <row r="95">
      <c r="C95" s="40"/>
    </row>
    <row r="96">
      <c r="C96" s="40"/>
    </row>
    <row r="97">
      <c r="C97" s="40"/>
    </row>
    <row r="98">
      <c r="C98" s="40"/>
    </row>
    <row r="99">
      <c r="C99" s="40"/>
    </row>
    <row r="100">
      <c r="C100" s="40"/>
    </row>
    <row r="101">
      <c r="C101" s="40"/>
    </row>
    <row r="102">
      <c r="C102" s="40"/>
    </row>
    <row r="103">
      <c r="C103" s="40"/>
    </row>
    <row r="104">
      <c r="C104" s="40"/>
    </row>
    <row r="105">
      <c r="C105" s="40"/>
    </row>
    <row r="106">
      <c r="C106" s="40"/>
    </row>
    <row r="107">
      <c r="C107" s="40"/>
    </row>
    <row r="108">
      <c r="C108" s="40"/>
    </row>
    <row r="109">
      <c r="C109" s="40"/>
    </row>
    <row r="110">
      <c r="C110" s="40"/>
    </row>
    <row r="111">
      <c r="C111" s="40"/>
    </row>
    <row r="112">
      <c r="C112" s="40"/>
    </row>
    <row r="113">
      <c r="C113" s="40"/>
    </row>
    <row r="114">
      <c r="C114" s="40"/>
    </row>
    <row r="115">
      <c r="C115" s="40"/>
    </row>
    <row r="116">
      <c r="C116" s="40"/>
    </row>
    <row r="117">
      <c r="C117" s="40"/>
    </row>
    <row r="118">
      <c r="C118" s="40"/>
    </row>
    <row r="119">
      <c r="C119" s="40"/>
    </row>
    <row r="120">
      <c r="C120" s="40"/>
    </row>
    <row r="121">
      <c r="C121" s="40"/>
    </row>
    <row r="122">
      <c r="C122" s="40"/>
    </row>
    <row r="123">
      <c r="C123" s="40"/>
    </row>
    <row r="124">
      <c r="C124" s="40"/>
    </row>
    <row r="125">
      <c r="C125" s="40"/>
    </row>
    <row r="126">
      <c r="C126" s="40"/>
    </row>
    <row r="127">
      <c r="C127" s="40"/>
    </row>
    <row r="128">
      <c r="C128" s="40"/>
    </row>
    <row r="129">
      <c r="C129" s="40"/>
    </row>
    <row r="130">
      <c r="C130" s="40"/>
    </row>
    <row r="131">
      <c r="C131" s="40"/>
    </row>
    <row r="132">
      <c r="C132" s="40"/>
    </row>
    <row r="133">
      <c r="C133" s="40"/>
    </row>
    <row r="134">
      <c r="C134" s="40"/>
    </row>
    <row r="135">
      <c r="C135" s="40"/>
    </row>
    <row r="136">
      <c r="C136" s="40"/>
    </row>
    <row r="137">
      <c r="C137" s="40"/>
    </row>
    <row r="138">
      <c r="C138" s="40"/>
    </row>
    <row r="139">
      <c r="C139" s="40"/>
    </row>
    <row r="140">
      <c r="C140" s="40"/>
    </row>
    <row r="141">
      <c r="C141" s="40"/>
    </row>
    <row r="142">
      <c r="C142" s="40"/>
    </row>
    <row r="143">
      <c r="C143" s="40"/>
    </row>
    <row r="144">
      <c r="C144" s="40"/>
    </row>
    <row r="145">
      <c r="C145" s="40"/>
    </row>
    <row r="146">
      <c r="C146" s="40"/>
    </row>
    <row r="147">
      <c r="C147" s="40"/>
    </row>
    <row r="148">
      <c r="C148" s="40"/>
    </row>
    <row r="149">
      <c r="C149" s="40"/>
    </row>
    <row r="150">
      <c r="C150" s="40"/>
    </row>
    <row r="151">
      <c r="C151" s="40"/>
    </row>
    <row r="152">
      <c r="C152" s="40"/>
    </row>
    <row r="153">
      <c r="C153" s="40"/>
    </row>
    <row r="154">
      <c r="C154" s="40"/>
    </row>
    <row r="155">
      <c r="C155" s="40"/>
    </row>
    <row r="156">
      <c r="C156" s="40"/>
    </row>
    <row r="157">
      <c r="C157" s="40"/>
    </row>
    <row r="158">
      <c r="C158" s="40"/>
    </row>
    <row r="159">
      <c r="C159" s="40"/>
    </row>
    <row r="160">
      <c r="C160" s="40"/>
    </row>
    <row r="161">
      <c r="C161" s="40"/>
    </row>
    <row r="162">
      <c r="C162" s="40"/>
    </row>
    <row r="163">
      <c r="C163" s="40"/>
    </row>
    <row r="164">
      <c r="C164" s="40"/>
    </row>
    <row r="165">
      <c r="C165" s="40"/>
    </row>
    <row r="166">
      <c r="C166" s="40"/>
    </row>
    <row r="167">
      <c r="C167" s="40"/>
    </row>
    <row r="168">
      <c r="C168" s="40"/>
    </row>
    <row r="169">
      <c r="C169" s="40"/>
    </row>
    <row r="170">
      <c r="C170" s="40"/>
    </row>
    <row r="171">
      <c r="C171" s="40"/>
    </row>
    <row r="172">
      <c r="C172" s="40"/>
    </row>
    <row r="173">
      <c r="C173" s="40"/>
    </row>
    <row r="174">
      <c r="C174" s="40"/>
    </row>
    <row r="175">
      <c r="C175" s="40"/>
    </row>
    <row r="176">
      <c r="C176" s="40"/>
    </row>
    <row r="177">
      <c r="C177" s="40"/>
    </row>
    <row r="178">
      <c r="C178" s="40"/>
    </row>
    <row r="179">
      <c r="C179" s="40"/>
    </row>
    <row r="180">
      <c r="C180" s="40"/>
    </row>
    <row r="181">
      <c r="C181" s="40"/>
    </row>
    <row r="182">
      <c r="C182" s="40"/>
    </row>
    <row r="183">
      <c r="C183" s="40"/>
    </row>
    <row r="184">
      <c r="C184" s="40"/>
    </row>
    <row r="185">
      <c r="C185" s="40"/>
    </row>
    <row r="186">
      <c r="C186" s="40"/>
    </row>
    <row r="187">
      <c r="C187" s="40"/>
    </row>
    <row r="188">
      <c r="C188" s="40"/>
    </row>
    <row r="189">
      <c r="C189" s="40"/>
    </row>
    <row r="190">
      <c r="C190" s="40"/>
    </row>
    <row r="191">
      <c r="C191" s="40"/>
    </row>
    <row r="192">
      <c r="C192" s="40"/>
    </row>
    <row r="193">
      <c r="C193" s="40"/>
    </row>
    <row r="194">
      <c r="C194" s="40"/>
    </row>
    <row r="195">
      <c r="C195" s="40"/>
    </row>
    <row r="196">
      <c r="C196" s="40"/>
    </row>
    <row r="197">
      <c r="C197" s="40"/>
    </row>
    <row r="198">
      <c r="C198" s="40"/>
    </row>
    <row r="199">
      <c r="C199" s="40"/>
    </row>
    <row r="200">
      <c r="C200" s="40"/>
    </row>
    <row r="201">
      <c r="C201" s="40"/>
    </row>
    <row r="202">
      <c r="C202" s="40"/>
    </row>
    <row r="203">
      <c r="C203" s="40"/>
    </row>
    <row r="204">
      <c r="C204" s="40"/>
    </row>
    <row r="205">
      <c r="C205" s="40"/>
    </row>
    <row r="206">
      <c r="C206" s="40"/>
    </row>
    <row r="207">
      <c r="C207" s="40"/>
    </row>
    <row r="208">
      <c r="C208" s="40"/>
    </row>
    <row r="209">
      <c r="C209" s="40"/>
    </row>
    <row r="210">
      <c r="C210" s="40"/>
    </row>
    <row r="211">
      <c r="C211" s="40"/>
    </row>
    <row r="212">
      <c r="C212" s="40"/>
    </row>
    <row r="213">
      <c r="C213" s="40"/>
    </row>
    <row r="214">
      <c r="C214" s="40"/>
    </row>
    <row r="215">
      <c r="C215" s="40"/>
    </row>
    <row r="216">
      <c r="C216" s="40"/>
    </row>
    <row r="217">
      <c r="C217" s="40"/>
    </row>
    <row r="218">
      <c r="C218" s="40"/>
    </row>
    <row r="219">
      <c r="C219" s="40"/>
    </row>
    <row r="220">
      <c r="C220" s="40"/>
    </row>
    <row r="221">
      <c r="C221" s="40"/>
    </row>
    <row r="222">
      <c r="C222" s="40"/>
    </row>
    <row r="223">
      <c r="C223" s="40"/>
    </row>
    <row r="224">
      <c r="C224" s="40"/>
    </row>
    <row r="225">
      <c r="C225" s="40"/>
    </row>
    <row r="226">
      <c r="C226" s="40"/>
    </row>
    <row r="227">
      <c r="C227" s="40"/>
    </row>
    <row r="228">
      <c r="C228" s="40"/>
    </row>
    <row r="229">
      <c r="C229" s="40"/>
    </row>
    <row r="230">
      <c r="C230" s="40"/>
    </row>
    <row r="231">
      <c r="C231" s="40"/>
    </row>
    <row r="232">
      <c r="C232" s="40"/>
    </row>
    <row r="233">
      <c r="C233" s="40"/>
    </row>
    <row r="234">
      <c r="C234" s="40"/>
    </row>
    <row r="235">
      <c r="C235" s="40"/>
    </row>
    <row r="236">
      <c r="C236" s="40"/>
    </row>
    <row r="237">
      <c r="C237" s="40"/>
    </row>
    <row r="238">
      <c r="C238" s="40"/>
    </row>
    <row r="239">
      <c r="C239" s="40"/>
    </row>
    <row r="240">
      <c r="C240" s="40"/>
    </row>
    <row r="241">
      <c r="C241" s="40"/>
    </row>
    <row r="242">
      <c r="C242" s="40"/>
    </row>
    <row r="243">
      <c r="C243" s="40"/>
    </row>
    <row r="244">
      <c r="C244" s="40"/>
    </row>
    <row r="245">
      <c r="C245" s="40"/>
    </row>
    <row r="246">
      <c r="C246" s="40"/>
    </row>
    <row r="247">
      <c r="C247" s="40"/>
    </row>
    <row r="248">
      <c r="C248" s="40"/>
    </row>
    <row r="249">
      <c r="C249" s="40"/>
    </row>
    <row r="250">
      <c r="C250" s="40"/>
    </row>
    <row r="251">
      <c r="C251" s="40"/>
    </row>
    <row r="252">
      <c r="C252" s="40"/>
    </row>
    <row r="253">
      <c r="C253" s="40"/>
    </row>
    <row r="254">
      <c r="C254" s="40"/>
    </row>
    <row r="255">
      <c r="C255" s="40"/>
    </row>
    <row r="256">
      <c r="C256" s="40"/>
    </row>
    <row r="257">
      <c r="C257" s="40"/>
    </row>
    <row r="258">
      <c r="C258" s="40"/>
    </row>
    <row r="259">
      <c r="C259" s="40"/>
    </row>
    <row r="260">
      <c r="C260" s="40"/>
    </row>
    <row r="261">
      <c r="C261" s="40"/>
    </row>
    <row r="262">
      <c r="C262" s="40"/>
    </row>
    <row r="263">
      <c r="C263" s="40"/>
    </row>
    <row r="264">
      <c r="C264" s="40"/>
    </row>
    <row r="265">
      <c r="C265" s="40"/>
    </row>
    <row r="266">
      <c r="C266" s="40"/>
    </row>
    <row r="267">
      <c r="C267" s="40"/>
    </row>
    <row r="268">
      <c r="C268" s="40"/>
    </row>
    <row r="269">
      <c r="C269" s="40"/>
    </row>
    <row r="270">
      <c r="C270" s="40"/>
    </row>
    <row r="271">
      <c r="C271" s="40"/>
    </row>
    <row r="272">
      <c r="C272" s="40"/>
    </row>
    <row r="273">
      <c r="C273" s="40"/>
    </row>
    <row r="274">
      <c r="C274" s="40"/>
    </row>
    <row r="275">
      <c r="C275" s="40"/>
    </row>
    <row r="276">
      <c r="C276" s="40"/>
    </row>
    <row r="277">
      <c r="C277" s="40"/>
    </row>
    <row r="278">
      <c r="C278" s="40"/>
    </row>
    <row r="279">
      <c r="C279" s="40"/>
    </row>
    <row r="280">
      <c r="C280" s="40"/>
    </row>
    <row r="281">
      <c r="C281" s="40"/>
    </row>
    <row r="282">
      <c r="C282" s="40"/>
    </row>
    <row r="283">
      <c r="C283" s="40"/>
    </row>
    <row r="284">
      <c r="C284" s="40"/>
    </row>
    <row r="285">
      <c r="C285" s="40"/>
    </row>
    <row r="286">
      <c r="C286" s="40"/>
    </row>
    <row r="287">
      <c r="C287" s="40"/>
    </row>
    <row r="288">
      <c r="C288" s="40"/>
    </row>
    <row r="289">
      <c r="C289" s="40"/>
    </row>
    <row r="290">
      <c r="C290" s="40"/>
    </row>
    <row r="291">
      <c r="C291" s="40"/>
    </row>
    <row r="292">
      <c r="C292" s="40"/>
    </row>
    <row r="293">
      <c r="C293" s="40"/>
    </row>
    <row r="294">
      <c r="C294" s="40"/>
    </row>
    <row r="295">
      <c r="C295" s="40"/>
    </row>
    <row r="296">
      <c r="C296" s="40"/>
    </row>
    <row r="297">
      <c r="C297" s="40"/>
    </row>
    <row r="298">
      <c r="C298" s="40"/>
    </row>
    <row r="299">
      <c r="C299" s="40"/>
    </row>
    <row r="300">
      <c r="C300" s="40"/>
    </row>
    <row r="301">
      <c r="C301" s="40"/>
    </row>
    <row r="302">
      <c r="C302" s="40"/>
    </row>
    <row r="303">
      <c r="C303" s="40"/>
    </row>
    <row r="304">
      <c r="C304" s="40"/>
    </row>
    <row r="305">
      <c r="C305" s="40"/>
    </row>
    <row r="306">
      <c r="C306" s="40"/>
    </row>
    <row r="307">
      <c r="C307" s="40"/>
    </row>
    <row r="308">
      <c r="C308" s="40"/>
    </row>
    <row r="309">
      <c r="C309" s="40"/>
    </row>
    <row r="310">
      <c r="C310" s="40"/>
    </row>
    <row r="311">
      <c r="C311" s="40"/>
    </row>
    <row r="312">
      <c r="C312" s="40"/>
    </row>
    <row r="313">
      <c r="C313" s="40"/>
    </row>
    <row r="314">
      <c r="C314" s="40"/>
    </row>
    <row r="315">
      <c r="C315" s="40"/>
    </row>
    <row r="316">
      <c r="C316" s="40"/>
    </row>
    <row r="317">
      <c r="C317" s="40"/>
    </row>
    <row r="318">
      <c r="C318" s="40"/>
    </row>
    <row r="319">
      <c r="C319" s="40"/>
    </row>
    <row r="320">
      <c r="C320" s="40"/>
    </row>
    <row r="321">
      <c r="C321" s="40"/>
    </row>
    <row r="322">
      <c r="C322" s="40"/>
    </row>
    <row r="323">
      <c r="C323" s="40"/>
    </row>
    <row r="324">
      <c r="C324" s="40"/>
    </row>
    <row r="325">
      <c r="C325" s="40"/>
    </row>
    <row r="326">
      <c r="C326" s="40"/>
    </row>
    <row r="327">
      <c r="C327" s="40"/>
    </row>
    <row r="328">
      <c r="C328" s="40"/>
    </row>
    <row r="329">
      <c r="C329" s="40"/>
    </row>
    <row r="330">
      <c r="C330" s="40"/>
    </row>
    <row r="331">
      <c r="C331" s="40"/>
    </row>
    <row r="332">
      <c r="C332" s="40"/>
    </row>
    <row r="333">
      <c r="C333" s="40"/>
    </row>
    <row r="334">
      <c r="C334" s="40"/>
    </row>
    <row r="335">
      <c r="C335" s="40"/>
    </row>
    <row r="336">
      <c r="C336" s="40"/>
    </row>
    <row r="337">
      <c r="C337" s="40"/>
    </row>
    <row r="338">
      <c r="C338" s="40"/>
    </row>
    <row r="339">
      <c r="C339" s="40"/>
    </row>
    <row r="340">
      <c r="C340" s="40"/>
    </row>
    <row r="341">
      <c r="C341" s="40"/>
    </row>
    <row r="342">
      <c r="C342" s="40"/>
    </row>
    <row r="343">
      <c r="C343" s="40"/>
    </row>
    <row r="344">
      <c r="C344" s="40"/>
    </row>
    <row r="345">
      <c r="C345" s="40"/>
    </row>
    <row r="346">
      <c r="C346" s="40"/>
    </row>
    <row r="347">
      <c r="C347" s="40"/>
    </row>
    <row r="348">
      <c r="C348" s="40"/>
    </row>
    <row r="349">
      <c r="C349" s="40"/>
    </row>
    <row r="350">
      <c r="C350" s="40"/>
    </row>
    <row r="351">
      <c r="C351" s="40"/>
    </row>
    <row r="352">
      <c r="C352" s="40"/>
    </row>
    <row r="353">
      <c r="C353" s="40"/>
    </row>
    <row r="354">
      <c r="C354" s="40"/>
    </row>
    <row r="355">
      <c r="C355" s="40"/>
    </row>
    <row r="356">
      <c r="C356" s="40"/>
    </row>
    <row r="357">
      <c r="C357" s="40"/>
    </row>
    <row r="358">
      <c r="C358" s="40"/>
    </row>
    <row r="359">
      <c r="C359" s="40"/>
    </row>
    <row r="360">
      <c r="C360" s="40"/>
    </row>
    <row r="361">
      <c r="C361" s="40"/>
    </row>
    <row r="362">
      <c r="C362" s="40"/>
    </row>
    <row r="363">
      <c r="C363" s="40"/>
    </row>
    <row r="364">
      <c r="C364" s="40"/>
    </row>
    <row r="365">
      <c r="C365" s="40"/>
    </row>
    <row r="366">
      <c r="C366" s="40"/>
    </row>
    <row r="367">
      <c r="C367" s="40"/>
    </row>
    <row r="368">
      <c r="C368" s="40"/>
    </row>
    <row r="369">
      <c r="C369" s="40"/>
    </row>
    <row r="370">
      <c r="C370" s="40"/>
    </row>
    <row r="371">
      <c r="C371" s="40"/>
    </row>
    <row r="372">
      <c r="C372" s="40"/>
    </row>
    <row r="373">
      <c r="C373" s="40"/>
    </row>
    <row r="374">
      <c r="C374" s="40"/>
    </row>
    <row r="375">
      <c r="C375" s="40"/>
    </row>
    <row r="376">
      <c r="C376" s="40"/>
    </row>
    <row r="377">
      <c r="C377" s="40"/>
    </row>
    <row r="378">
      <c r="C378" s="40"/>
    </row>
    <row r="379">
      <c r="C379" s="40"/>
    </row>
    <row r="380">
      <c r="C380" s="40"/>
    </row>
    <row r="381">
      <c r="C381" s="40"/>
    </row>
    <row r="382">
      <c r="C382" s="40"/>
    </row>
    <row r="383">
      <c r="C383" s="40"/>
    </row>
    <row r="384">
      <c r="C384" s="40"/>
    </row>
    <row r="385">
      <c r="C385" s="40"/>
    </row>
    <row r="386">
      <c r="C386" s="40"/>
    </row>
    <row r="387">
      <c r="C387" s="40"/>
    </row>
    <row r="388">
      <c r="C388" s="40"/>
    </row>
    <row r="389">
      <c r="C389" s="40"/>
    </row>
    <row r="390">
      <c r="C390" s="40"/>
    </row>
    <row r="391">
      <c r="C391" s="40"/>
    </row>
    <row r="392">
      <c r="C392" s="40"/>
    </row>
    <row r="393">
      <c r="C393" s="40"/>
    </row>
    <row r="394">
      <c r="C394" s="40"/>
    </row>
    <row r="395">
      <c r="C395" s="40"/>
    </row>
    <row r="396">
      <c r="C396" s="40"/>
    </row>
    <row r="397">
      <c r="C397" s="40"/>
    </row>
    <row r="398">
      <c r="C398" s="40"/>
    </row>
    <row r="399">
      <c r="C399" s="40"/>
    </row>
    <row r="400">
      <c r="C400" s="40"/>
    </row>
    <row r="401">
      <c r="C401" s="40"/>
    </row>
    <row r="402">
      <c r="C402" s="40"/>
    </row>
    <row r="403">
      <c r="C403" s="40"/>
    </row>
    <row r="404">
      <c r="C404" s="40"/>
    </row>
    <row r="405">
      <c r="C405" s="40"/>
    </row>
    <row r="406">
      <c r="C406" s="40"/>
    </row>
    <row r="407">
      <c r="C407" s="40"/>
    </row>
    <row r="408">
      <c r="C408" s="40"/>
    </row>
    <row r="409">
      <c r="C409" s="40"/>
    </row>
    <row r="410">
      <c r="C410" s="40"/>
    </row>
    <row r="411">
      <c r="C411" s="40"/>
    </row>
    <row r="412">
      <c r="C412" s="40"/>
    </row>
    <row r="413">
      <c r="C413" s="40"/>
    </row>
    <row r="414">
      <c r="C414" s="40"/>
    </row>
    <row r="415">
      <c r="C415" s="40"/>
    </row>
    <row r="416">
      <c r="C416" s="40"/>
    </row>
    <row r="417">
      <c r="C417" s="40"/>
    </row>
    <row r="418">
      <c r="C418" s="40"/>
    </row>
    <row r="419">
      <c r="C419" s="40"/>
    </row>
    <row r="420">
      <c r="C420" s="40"/>
    </row>
    <row r="421">
      <c r="C421" s="40"/>
    </row>
    <row r="422">
      <c r="C422" s="40"/>
    </row>
    <row r="423">
      <c r="C423" s="40"/>
    </row>
    <row r="424">
      <c r="C424" s="40"/>
    </row>
    <row r="425">
      <c r="C425" s="40"/>
    </row>
    <row r="426">
      <c r="C426" s="40"/>
    </row>
    <row r="427">
      <c r="C427" s="40"/>
    </row>
    <row r="428">
      <c r="C428" s="40"/>
    </row>
    <row r="429">
      <c r="C429" s="40"/>
    </row>
    <row r="430">
      <c r="C430" s="40"/>
    </row>
    <row r="431">
      <c r="C431" s="40"/>
    </row>
    <row r="432">
      <c r="C432" s="40"/>
    </row>
    <row r="433">
      <c r="C433" s="40"/>
    </row>
    <row r="434">
      <c r="C434" s="40"/>
    </row>
    <row r="435">
      <c r="C435" s="40"/>
    </row>
    <row r="436">
      <c r="C436" s="40"/>
    </row>
    <row r="437">
      <c r="C437" s="40"/>
    </row>
    <row r="438">
      <c r="C438" s="40"/>
    </row>
    <row r="439">
      <c r="C439" s="40"/>
    </row>
    <row r="440">
      <c r="C440" s="40"/>
    </row>
    <row r="441">
      <c r="C441" s="40"/>
    </row>
    <row r="442">
      <c r="C442" s="40"/>
    </row>
    <row r="443">
      <c r="C443" s="40"/>
    </row>
    <row r="444">
      <c r="C444" s="40"/>
    </row>
    <row r="445">
      <c r="C445" s="40"/>
    </row>
    <row r="446">
      <c r="C446" s="40"/>
    </row>
    <row r="447">
      <c r="C447" s="40"/>
    </row>
    <row r="448">
      <c r="C448" s="40"/>
    </row>
    <row r="449">
      <c r="C449" s="40"/>
    </row>
    <row r="450">
      <c r="C450" s="40"/>
    </row>
    <row r="451">
      <c r="C451" s="40"/>
    </row>
    <row r="452">
      <c r="C452" s="40"/>
    </row>
    <row r="453">
      <c r="C453" s="40"/>
    </row>
    <row r="454">
      <c r="C454" s="40"/>
    </row>
    <row r="455">
      <c r="C455" s="40"/>
    </row>
    <row r="456">
      <c r="C456" s="40"/>
    </row>
    <row r="457">
      <c r="C457" s="40"/>
    </row>
    <row r="458">
      <c r="C458" s="40"/>
    </row>
    <row r="459">
      <c r="C459" s="40"/>
    </row>
    <row r="460">
      <c r="C460" s="40"/>
    </row>
    <row r="461">
      <c r="C461" s="40"/>
    </row>
    <row r="462">
      <c r="C462" s="40"/>
    </row>
    <row r="463">
      <c r="C463" s="40"/>
    </row>
    <row r="464">
      <c r="C464" s="40"/>
    </row>
    <row r="465">
      <c r="C465" s="40"/>
    </row>
    <row r="466">
      <c r="C466" s="40"/>
    </row>
    <row r="467">
      <c r="C467" s="40"/>
    </row>
    <row r="468">
      <c r="C468" s="40"/>
    </row>
    <row r="469">
      <c r="C469" s="40"/>
    </row>
    <row r="470">
      <c r="C470" s="40"/>
    </row>
    <row r="471">
      <c r="C471" s="40"/>
    </row>
    <row r="472">
      <c r="C472" s="40"/>
    </row>
    <row r="473">
      <c r="C473" s="40"/>
    </row>
    <row r="474">
      <c r="C474" s="40"/>
    </row>
    <row r="475">
      <c r="C475" s="40"/>
    </row>
    <row r="476">
      <c r="C476" s="40"/>
    </row>
    <row r="477">
      <c r="C477" s="40"/>
    </row>
    <row r="478">
      <c r="C478" s="40"/>
    </row>
    <row r="479">
      <c r="C479" s="40"/>
    </row>
    <row r="480">
      <c r="C480" s="40"/>
    </row>
    <row r="481">
      <c r="C481" s="40"/>
    </row>
    <row r="482">
      <c r="C482" s="40"/>
    </row>
    <row r="483">
      <c r="C483" s="40"/>
    </row>
    <row r="484">
      <c r="C484" s="40"/>
    </row>
    <row r="485">
      <c r="C485" s="40"/>
    </row>
    <row r="486">
      <c r="C486" s="40"/>
    </row>
    <row r="487">
      <c r="C487" s="40"/>
    </row>
    <row r="488">
      <c r="C488" s="40"/>
    </row>
    <row r="489">
      <c r="C489" s="40"/>
    </row>
    <row r="490">
      <c r="C490" s="40"/>
    </row>
    <row r="491">
      <c r="C491" s="40"/>
    </row>
    <row r="492">
      <c r="C492" s="40"/>
    </row>
    <row r="493">
      <c r="C493" s="40"/>
    </row>
    <row r="494">
      <c r="C494" s="40"/>
    </row>
    <row r="495">
      <c r="C495" s="40"/>
    </row>
    <row r="496">
      <c r="C496" s="40"/>
    </row>
    <row r="497">
      <c r="C497" s="40"/>
    </row>
    <row r="498">
      <c r="C498" s="40"/>
    </row>
    <row r="499">
      <c r="C499" s="40"/>
    </row>
    <row r="500">
      <c r="C500" s="40"/>
    </row>
    <row r="501">
      <c r="C501" s="40"/>
    </row>
    <row r="502">
      <c r="C502" s="40"/>
    </row>
    <row r="503">
      <c r="C503" s="40"/>
    </row>
    <row r="504">
      <c r="C504" s="40"/>
    </row>
    <row r="505">
      <c r="C505" s="40"/>
    </row>
    <row r="506">
      <c r="C506" s="40"/>
    </row>
    <row r="507">
      <c r="C507" s="40"/>
    </row>
    <row r="508">
      <c r="C508" s="40"/>
    </row>
    <row r="509">
      <c r="C509" s="40"/>
    </row>
    <row r="510">
      <c r="C510" s="40"/>
    </row>
    <row r="511">
      <c r="C511" s="40"/>
    </row>
    <row r="512">
      <c r="C512" s="40"/>
    </row>
    <row r="513">
      <c r="C513" s="40"/>
    </row>
    <row r="514">
      <c r="C514" s="40"/>
    </row>
    <row r="515">
      <c r="C515" s="40"/>
    </row>
    <row r="516">
      <c r="C516" s="40"/>
    </row>
    <row r="517">
      <c r="C517" s="40"/>
    </row>
    <row r="518">
      <c r="C518" s="40"/>
    </row>
    <row r="519">
      <c r="C519" s="40"/>
    </row>
    <row r="520">
      <c r="C520" s="40"/>
    </row>
    <row r="521">
      <c r="C521" s="40"/>
    </row>
    <row r="522">
      <c r="C522" s="40"/>
    </row>
    <row r="523">
      <c r="C523" s="40"/>
    </row>
    <row r="524">
      <c r="C524" s="40"/>
    </row>
    <row r="525">
      <c r="C525" s="40"/>
    </row>
    <row r="526">
      <c r="C526" s="40"/>
    </row>
    <row r="527">
      <c r="C527" s="40"/>
    </row>
    <row r="528">
      <c r="C528" s="40"/>
    </row>
    <row r="529">
      <c r="C529" s="40"/>
    </row>
    <row r="530">
      <c r="C530" s="40"/>
    </row>
    <row r="531">
      <c r="C531" s="40"/>
    </row>
    <row r="532">
      <c r="C532" s="40"/>
    </row>
    <row r="533">
      <c r="C533" s="40"/>
    </row>
    <row r="534">
      <c r="C534" s="40"/>
    </row>
    <row r="535">
      <c r="C535" s="40"/>
    </row>
    <row r="536">
      <c r="C536" s="40"/>
    </row>
    <row r="537">
      <c r="C537" s="40"/>
    </row>
    <row r="538">
      <c r="C538" s="40"/>
    </row>
    <row r="539">
      <c r="C539" s="40"/>
    </row>
    <row r="540">
      <c r="C540" s="40"/>
    </row>
    <row r="541">
      <c r="C541" s="40"/>
    </row>
    <row r="542">
      <c r="C542" s="40"/>
    </row>
    <row r="543">
      <c r="C543" s="40"/>
    </row>
    <row r="544">
      <c r="C544" s="40"/>
    </row>
    <row r="545">
      <c r="C545" s="40"/>
    </row>
    <row r="546">
      <c r="C546" s="40"/>
    </row>
    <row r="547">
      <c r="C547" s="40"/>
    </row>
    <row r="548">
      <c r="C548" s="40"/>
    </row>
    <row r="549">
      <c r="C549" s="40"/>
    </row>
    <row r="550">
      <c r="C550" s="40"/>
    </row>
    <row r="551">
      <c r="C551" s="40"/>
    </row>
    <row r="552">
      <c r="C552" s="40"/>
    </row>
    <row r="553">
      <c r="C553" s="40"/>
    </row>
    <row r="554">
      <c r="C554" s="40"/>
    </row>
    <row r="555">
      <c r="C555" s="40"/>
    </row>
    <row r="556">
      <c r="C556" s="40"/>
    </row>
    <row r="557">
      <c r="C557" s="40"/>
    </row>
    <row r="558">
      <c r="C558" s="40"/>
    </row>
    <row r="559">
      <c r="C559" s="40"/>
    </row>
    <row r="560">
      <c r="C560" s="40"/>
    </row>
    <row r="561">
      <c r="C561" s="40"/>
    </row>
    <row r="562">
      <c r="C562" s="40"/>
    </row>
    <row r="563">
      <c r="C563" s="40"/>
    </row>
    <row r="564">
      <c r="C564" s="40"/>
    </row>
    <row r="565">
      <c r="C565" s="40"/>
    </row>
    <row r="566">
      <c r="C566" s="40"/>
    </row>
    <row r="567">
      <c r="C567" s="40"/>
    </row>
    <row r="568">
      <c r="C568" s="40"/>
    </row>
    <row r="569">
      <c r="C569" s="40"/>
    </row>
    <row r="570">
      <c r="C570" s="40"/>
    </row>
    <row r="571">
      <c r="C571" s="40"/>
    </row>
    <row r="572">
      <c r="C572" s="40"/>
    </row>
    <row r="573">
      <c r="C573" s="40"/>
    </row>
    <row r="574">
      <c r="C574" s="40"/>
    </row>
    <row r="575">
      <c r="C575" s="40"/>
    </row>
    <row r="576">
      <c r="C576" s="40"/>
    </row>
    <row r="577">
      <c r="C577" s="40"/>
    </row>
    <row r="578">
      <c r="C578" s="40"/>
    </row>
    <row r="579">
      <c r="C579" s="40"/>
    </row>
    <row r="580">
      <c r="C580" s="40"/>
    </row>
    <row r="581">
      <c r="C581" s="40"/>
    </row>
    <row r="582">
      <c r="C582" s="40"/>
    </row>
    <row r="583">
      <c r="C583" s="40"/>
    </row>
    <row r="584">
      <c r="C584" s="40"/>
    </row>
    <row r="585">
      <c r="C585" s="40"/>
    </row>
    <row r="586">
      <c r="C586" s="40"/>
    </row>
    <row r="587">
      <c r="C587" s="40"/>
    </row>
    <row r="588">
      <c r="C588" s="40"/>
    </row>
    <row r="589">
      <c r="C589" s="40"/>
    </row>
    <row r="590">
      <c r="C590" s="40"/>
    </row>
    <row r="591">
      <c r="C591" s="40"/>
    </row>
    <row r="592">
      <c r="C592" s="40"/>
    </row>
    <row r="593">
      <c r="C593" s="40"/>
    </row>
    <row r="594">
      <c r="C594" s="40"/>
    </row>
    <row r="595">
      <c r="C595" s="40"/>
    </row>
    <row r="596">
      <c r="C596" s="40"/>
    </row>
    <row r="597">
      <c r="C597" s="40"/>
    </row>
    <row r="598">
      <c r="C598" s="40"/>
    </row>
    <row r="599">
      <c r="C599" s="40"/>
    </row>
    <row r="600">
      <c r="C600" s="40"/>
    </row>
    <row r="601">
      <c r="C601" s="40"/>
    </row>
    <row r="602">
      <c r="C602" s="40"/>
    </row>
    <row r="603">
      <c r="C603" s="40"/>
    </row>
    <row r="604">
      <c r="C604" s="40"/>
    </row>
    <row r="605">
      <c r="C605" s="40"/>
    </row>
    <row r="606">
      <c r="C606" s="40"/>
    </row>
    <row r="607">
      <c r="C607" s="40"/>
    </row>
    <row r="608">
      <c r="C608" s="40"/>
    </row>
    <row r="609">
      <c r="C609" s="40"/>
    </row>
    <row r="610">
      <c r="C610" s="40"/>
    </row>
    <row r="611">
      <c r="C611" s="40"/>
    </row>
    <row r="612">
      <c r="C612" s="40"/>
    </row>
    <row r="613">
      <c r="C613" s="40"/>
    </row>
    <row r="614">
      <c r="C614" s="40"/>
    </row>
    <row r="615">
      <c r="C615" s="40"/>
    </row>
    <row r="616">
      <c r="C616" s="40"/>
    </row>
    <row r="617">
      <c r="C617" s="40"/>
    </row>
    <row r="618">
      <c r="C618" s="40"/>
    </row>
    <row r="619">
      <c r="C619" s="40"/>
    </row>
    <row r="620">
      <c r="C620" s="40"/>
    </row>
    <row r="621">
      <c r="C621" s="40"/>
    </row>
    <row r="622">
      <c r="C622" s="40"/>
    </row>
    <row r="623">
      <c r="C623" s="40"/>
    </row>
    <row r="624">
      <c r="C624" s="40"/>
    </row>
    <row r="625">
      <c r="C625" s="40"/>
    </row>
    <row r="626">
      <c r="C626" s="40"/>
    </row>
    <row r="627">
      <c r="C627" s="40"/>
    </row>
    <row r="628">
      <c r="C628" s="40"/>
    </row>
    <row r="629">
      <c r="C629" s="40"/>
    </row>
    <row r="630">
      <c r="C630" s="40"/>
    </row>
    <row r="631">
      <c r="C631" s="40"/>
    </row>
    <row r="632">
      <c r="C632" s="40"/>
    </row>
    <row r="633">
      <c r="C633" s="40"/>
    </row>
    <row r="634">
      <c r="C634" s="40"/>
    </row>
    <row r="635">
      <c r="C635" s="40"/>
    </row>
    <row r="636">
      <c r="C636" s="40"/>
    </row>
    <row r="637">
      <c r="C637" s="40"/>
    </row>
    <row r="638">
      <c r="C638" s="40"/>
    </row>
    <row r="639">
      <c r="C639" s="40"/>
    </row>
    <row r="640">
      <c r="C640" s="40"/>
    </row>
    <row r="641">
      <c r="C641" s="40"/>
    </row>
    <row r="642">
      <c r="C642" s="40"/>
    </row>
    <row r="643">
      <c r="C643" s="40"/>
    </row>
    <row r="644">
      <c r="C644" s="40"/>
    </row>
    <row r="645">
      <c r="C645" s="40"/>
    </row>
    <row r="646">
      <c r="C646" s="40"/>
    </row>
    <row r="647">
      <c r="C647" s="40"/>
    </row>
    <row r="648">
      <c r="C648" s="40"/>
    </row>
    <row r="649">
      <c r="C649" s="40"/>
    </row>
    <row r="650">
      <c r="C650" s="40"/>
    </row>
    <row r="651">
      <c r="C651" s="40"/>
    </row>
    <row r="652">
      <c r="C652" s="40"/>
    </row>
    <row r="653">
      <c r="C653" s="40"/>
    </row>
    <row r="654">
      <c r="C654" s="40"/>
    </row>
    <row r="655">
      <c r="C655" s="40"/>
    </row>
    <row r="656">
      <c r="C656" s="40"/>
    </row>
    <row r="657">
      <c r="C657" s="40"/>
    </row>
    <row r="658">
      <c r="C658" s="40"/>
    </row>
    <row r="659">
      <c r="C659" s="40"/>
    </row>
    <row r="660">
      <c r="C660" s="40"/>
    </row>
    <row r="661">
      <c r="C661" s="40"/>
    </row>
    <row r="662">
      <c r="C662" s="40"/>
    </row>
    <row r="663">
      <c r="C663" s="40"/>
    </row>
    <row r="664">
      <c r="C664" s="40"/>
    </row>
    <row r="665">
      <c r="C665" s="40"/>
    </row>
    <row r="666">
      <c r="C666" s="40"/>
    </row>
    <row r="667">
      <c r="C667" s="40"/>
    </row>
    <row r="668">
      <c r="C668" s="40"/>
    </row>
    <row r="669">
      <c r="C669" s="40"/>
    </row>
    <row r="670">
      <c r="C670" s="40"/>
    </row>
    <row r="671">
      <c r="C671" s="40"/>
    </row>
    <row r="672">
      <c r="C672" s="40"/>
    </row>
    <row r="673">
      <c r="C673" s="40"/>
    </row>
    <row r="674">
      <c r="C674" s="40"/>
    </row>
    <row r="675">
      <c r="C675" s="40"/>
    </row>
    <row r="676">
      <c r="C676" s="40"/>
    </row>
    <row r="677">
      <c r="C677" s="40"/>
    </row>
    <row r="678">
      <c r="C678" s="40"/>
    </row>
    <row r="679">
      <c r="C679" s="40"/>
    </row>
    <row r="680">
      <c r="C680" s="40"/>
    </row>
    <row r="681">
      <c r="C681" s="40"/>
    </row>
    <row r="682">
      <c r="C682" s="40"/>
    </row>
    <row r="683">
      <c r="C683" s="40"/>
    </row>
    <row r="684">
      <c r="C684" s="40"/>
    </row>
    <row r="685">
      <c r="C685" s="40"/>
    </row>
    <row r="686">
      <c r="C686" s="40"/>
    </row>
    <row r="687">
      <c r="C687" s="40"/>
    </row>
    <row r="688">
      <c r="C688" s="40"/>
    </row>
    <row r="689">
      <c r="C689" s="40"/>
    </row>
    <row r="690">
      <c r="C690" s="40"/>
    </row>
    <row r="691">
      <c r="C691" s="40"/>
    </row>
    <row r="692">
      <c r="C692" s="40"/>
    </row>
    <row r="693">
      <c r="C693" s="40"/>
    </row>
    <row r="694">
      <c r="C694" s="40"/>
    </row>
    <row r="695">
      <c r="C695" s="40"/>
    </row>
    <row r="696">
      <c r="C696" s="40"/>
    </row>
    <row r="697">
      <c r="C697" s="40"/>
    </row>
    <row r="698">
      <c r="C698" s="40"/>
    </row>
    <row r="699">
      <c r="C699" s="40"/>
    </row>
    <row r="700">
      <c r="C700" s="40"/>
    </row>
    <row r="701">
      <c r="C701" s="40"/>
    </row>
    <row r="702">
      <c r="C702" s="40"/>
    </row>
    <row r="703">
      <c r="C703" s="40"/>
    </row>
    <row r="704">
      <c r="C704" s="40"/>
    </row>
    <row r="705">
      <c r="C705" s="40"/>
    </row>
    <row r="706">
      <c r="C706" s="40"/>
    </row>
    <row r="707">
      <c r="C707" s="40"/>
    </row>
    <row r="708">
      <c r="C708" s="40"/>
    </row>
    <row r="709">
      <c r="C709" s="40"/>
    </row>
    <row r="710">
      <c r="C710" s="40"/>
    </row>
    <row r="711">
      <c r="C711" s="40"/>
    </row>
    <row r="712">
      <c r="C712" s="40"/>
    </row>
    <row r="713">
      <c r="C713" s="40"/>
    </row>
    <row r="714">
      <c r="C714" s="40"/>
    </row>
    <row r="715">
      <c r="C715" s="40"/>
    </row>
    <row r="716">
      <c r="C716" s="40"/>
    </row>
    <row r="717">
      <c r="C717" s="40"/>
    </row>
    <row r="718">
      <c r="C718" s="40"/>
    </row>
    <row r="719">
      <c r="C719" s="40"/>
    </row>
    <row r="720">
      <c r="C720" s="40"/>
    </row>
    <row r="721">
      <c r="C721" s="40"/>
    </row>
    <row r="722">
      <c r="C722" s="40"/>
    </row>
    <row r="723">
      <c r="C723" s="40"/>
    </row>
    <row r="724">
      <c r="C724" s="40"/>
    </row>
    <row r="725">
      <c r="C725" s="40"/>
    </row>
    <row r="726">
      <c r="C726" s="40"/>
    </row>
    <row r="727">
      <c r="C727" s="40"/>
    </row>
    <row r="728">
      <c r="C728" s="40"/>
    </row>
    <row r="729">
      <c r="C729" s="40"/>
    </row>
    <row r="730">
      <c r="C730" s="40"/>
    </row>
    <row r="731">
      <c r="C731" s="40"/>
    </row>
    <row r="732">
      <c r="C732" s="40"/>
    </row>
    <row r="733">
      <c r="C733" s="40"/>
    </row>
    <row r="734">
      <c r="C734" s="40"/>
    </row>
    <row r="735">
      <c r="C735" s="40"/>
    </row>
    <row r="736">
      <c r="C736" s="40"/>
    </row>
    <row r="737">
      <c r="C737" s="40"/>
    </row>
    <row r="738">
      <c r="C738" s="40"/>
    </row>
    <row r="739">
      <c r="C739" s="40"/>
    </row>
    <row r="740">
      <c r="C740" s="40"/>
    </row>
    <row r="741">
      <c r="C741" s="40"/>
    </row>
    <row r="742">
      <c r="C742" s="40"/>
    </row>
    <row r="743">
      <c r="C743" s="40"/>
    </row>
    <row r="744">
      <c r="C744" s="40"/>
    </row>
    <row r="745">
      <c r="C745" s="40"/>
    </row>
    <row r="746">
      <c r="C746" s="40"/>
    </row>
    <row r="747">
      <c r="C747" s="40"/>
    </row>
    <row r="748">
      <c r="C748" s="40"/>
    </row>
    <row r="749">
      <c r="C749" s="40"/>
    </row>
    <row r="750">
      <c r="C750" s="40"/>
    </row>
    <row r="751">
      <c r="C751" s="40"/>
    </row>
    <row r="752">
      <c r="C752" s="40"/>
    </row>
    <row r="753">
      <c r="C753" s="40"/>
    </row>
    <row r="754">
      <c r="C754" s="40"/>
    </row>
    <row r="755">
      <c r="C755" s="40"/>
    </row>
    <row r="756">
      <c r="C756" s="40"/>
    </row>
    <row r="757">
      <c r="C757" s="40"/>
    </row>
    <row r="758">
      <c r="C758" s="40"/>
    </row>
    <row r="759">
      <c r="C759" s="40"/>
    </row>
    <row r="760">
      <c r="C760" s="40"/>
    </row>
    <row r="761">
      <c r="C761" s="40"/>
    </row>
    <row r="762">
      <c r="C762" s="40"/>
    </row>
    <row r="763">
      <c r="C763" s="40"/>
    </row>
    <row r="764">
      <c r="C764" s="40"/>
    </row>
    <row r="765">
      <c r="C765" s="40"/>
    </row>
    <row r="766">
      <c r="C766" s="40"/>
    </row>
    <row r="767">
      <c r="C767" s="40"/>
    </row>
    <row r="768">
      <c r="C768" s="40"/>
    </row>
    <row r="769">
      <c r="C769" s="40"/>
    </row>
    <row r="770">
      <c r="C770" s="40"/>
    </row>
    <row r="771">
      <c r="C771" s="40"/>
    </row>
    <row r="772">
      <c r="C772" s="40"/>
    </row>
    <row r="773">
      <c r="C773" s="40"/>
    </row>
    <row r="774">
      <c r="C774" s="40"/>
    </row>
    <row r="775">
      <c r="C775" s="40"/>
    </row>
    <row r="776">
      <c r="C776" s="40"/>
    </row>
    <row r="777">
      <c r="C777" s="40"/>
    </row>
    <row r="778">
      <c r="C778" s="40"/>
    </row>
    <row r="779">
      <c r="C779" s="40"/>
    </row>
    <row r="780">
      <c r="C780" s="40"/>
    </row>
    <row r="781">
      <c r="C781" s="40"/>
    </row>
    <row r="782">
      <c r="C782" s="40"/>
    </row>
    <row r="783">
      <c r="C783" s="40"/>
    </row>
    <row r="784">
      <c r="C784" s="40"/>
    </row>
    <row r="785">
      <c r="C785" s="40"/>
    </row>
    <row r="786">
      <c r="C786" s="40"/>
    </row>
    <row r="787">
      <c r="C787" s="40"/>
    </row>
    <row r="788">
      <c r="C788" s="40"/>
    </row>
    <row r="789">
      <c r="C789" s="40"/>
    </row>
    <row r="790">
      <c r="C790" s="40"/>
    </row>
    <row r="791">
      <c r="C791" s="40"/>
    </row>
    <row r="792">
      <c r="C792" s="40"/>
    </row>
    <row r="793">
      <c r="C793" s="40"/>
    </row>
    <row r="794">
      <c r="C794" s="40"/>
    </row>
    <row r="795">
      <c r="C795" s="40"/>
    </row>
    <row r="796">
      <c r="C796" s="40"/>
    </row>
    <row r="797">
      <c r="C797" s="40"/>
    </row>
    <row r="798">
      <c r="C798" s="40"/>
    </row>
    <row r="799">
      <c r="C799" s="40"/>
    </row>
    <row r="800">
      <c r="C800" s="40"/>
    </row>
    <row r="801">
      <c r="C801" s="40"/>
    </row>
    <row r="802">
      <c r="C802" s="40"/>
    </row>
    <row r="803">
      <c r="C803" s="40"/>
    </row>
    <row r="804">
      <c r="C804" s="40"/>
    </row>
    <row r="805">
      <c r="C805" s="40"/>
    </row>
    <row r="806">
      <c r="C806" s="40"/>
    </row>
    <row r="807">
      <c r="C807" s="40"/>
    </row>
    <row r="808">
      <c r="C808" s="40"/>
    </row>
    <row r="809">
      <c r="C809" s="40"/>
    </row>
    <row r="810">
      <c r="C810" s="40"/>
    </row>
    <row r="811">
      <c r="C811" s="40"/>
    </row>
    <row r="812">
      <c r="C812" s="40"/>
    </row>
    <row r="813">
      <c r="C813" s="40"/>
    </row>
    <row r="814">
      <c r="C814" s="40"/>
    </row>
    <row r="815">
      <c r="C815" s="40"/>
    </row>
    <row r="816">
      <c r="C816" s="40"/>
    </row>
    <row r="817">
      <c r="C817" s="40"/>
    </row>
    <row r="818">
      <c r="C818" s="40"/>
    </row>
    <row r="819">
      <c r="C819" s="40"/>
    </row>
    <row r="820">
      <c r="C820" s="40"/>
    </row>
    <row r="821">
      <c r="C821" s="40"/>
    </row>
    <row r="822">
      <c r="C822" s="40"/>
    </row>
    <row r="823">
      <c r="C823" s="40"/>
    </row>
    <row r="824">
      <c r="C824" s="40"/>
    </row>
    <row r="825">
      <c r="C825" s="40"/>
    </row>
    <row r="826">
      <c r="C826" s="40"/>
    </row>
    <row r="827">
      <c r="C827" s="40"/>
    </row>
    <row r="828">
      <c r="C828" s="40"/>
    </row>
    <row r="829">
      <c r="C829" s="40"/>
    </row>
    <row r="830">
      <c r="C830" s="40"/>
    </row>
    <row r="831">
      <c r="C831" s="40"/>
    </row>
    <row r="832">
      <c r="C832" s="40"/>
    </row>
    <row r="833">
      <c r="C833" s="40"/>
    </row>
    <row r="834">
      <c r="C834" s="40"/>
    </row>
    <row r="835">
      <c r="C835" s="40"/>
    </row>
    <row r="836">
      <c r="C836" s="40"/>
    </row>
    <row r="837">
      <c r="C837" s="40"/>
    </row>
    <row r="838">
      <c r="C838" s="40"/>
    </row>
    <row r="839">
      <c r="C839" s="40"/>
    </row>
    <row r="840">
      <c r="C840" s="40"/>
    </row>
    <row r="841">
      <c r="C841" s="40"/>
    </row>
    <row r="842">
      <c r="C842" s="40"/>
    </row>
    <row r="843">
      <c r="C843" s="40"/>
    </row>
    <row r="844">
      <c r="C844" s="40"/>
    </row>
    <row r="845">
      <c r="C845" s="40"/>
    </row>
    <row r="846">
      <c r="C846" s="40"/>
    </row>
    <row r="847">
      <c r="C847" s="40"/>
    </row>
    <row r="848">
      <c r="C848" s="40"/>
    </row>
    <row r="849">
      <c r="C849" s="40"/>
    </row>
    <row r="850">
      <c r="C850" s="40"/>
    </row>
    <row r="851">
      <c r="C851" s="40"/>
    </row>
    <row r="852">
      <c r="C852" s="40"/>
    </row>
    <row r="853">
      <c r="C853" s="40"/>
    </row>
    <row r="854">
      <c r="C854" s="40"/>
    </row>
    <row r="855">
      <c r="C855" s="40"/>
    </row>
    <row r="856">
      <c r="C856" s="40"/>
    </row>
    <row r="857">
      <c r="C857" s="40"/>
    </row>
    <row r="858">
      <c r="C858" s="40"/>
    </row>
    <row r="859">
      <c r="C859" s="40"/>
    </row>
    <row r="860">
      <c r="C860" s="40"/>
    </row>
    <row r="861">
      <c r="C861" s="40"/>
    </row>
    <row r="862">
      <c r="C862" s="40"/>
    </row>
    <row r="863">
      <c r="C863" s="40"/>
    </row>
    <row r="864">
      <c r="C864" s="40"/>
    </row>
    <row r="865">
      <c r="C865" s="40"/>
    </row>
    <row r="866">
      <c r="C866" s="40"/>
    </row>
    <row r="867">
      <c r="C867" s="40"/>
    </row>
    <row r="868">
      <c r="C868" s="40"/>
    </row>
    <row r="869">
      <c r="C869" s="40"/>
    </row>
    <row r="870">
      <c r="C870" s="40"/>
    </row>
    <row r="871">
      <c r="C871" s="40"/>
    </row>
    <row r="872">
      <c r="C872" s="40"/>
    </row>
    <row r="873">
      <c r="C873" s="40"/>
    </row>
    <row r="874">
      <c r="C874" s="40"/>
    </row>
    <row r="875">
      <c r="C875" s="40"/>
    </row>
    <row r="876">
      <c r="C876" s="40"/>
    </row>
    <row r="877">
      <c r="C877" s="40"/>
    </row>
    <row r="878">
      <c r="C878" s="40"/>
    </row>
    <row r="879">
      <c r="C879" s="40"/>
    </row>
    <row r="880">
      <c r="C880" s="40"/>
    </row>
    <row r="881">
      <c r="C881" s="40"/>
    </row>
    <row r="882">
      <c r="C882" s="40"/>
    </row>
    <row r="883">
      <c r="C883" s="40"/>
    </row>
    <row r="884">
      <c r="C884" s="40"/>
    </row>
    <row r="885">
      <c r="C885" s="40"/>
    </row>
    <row r="886">
      <c r="C886" s="40"/>
    </row>
    <row r="887">
      <c r="C887" s="40"/>
    </row>
    <row r="888">
      <c r="C888" s="40"/>
    </row>
    <row r="889">
      <c r="C889" s="40"/>
    </row>
    <row r="890">
      <c r="C890" s="40"/>
    </row>
    <row r="891">
      <c r="C891" s="40"/>
    </row>
    <row r="892">
      <c r="C892" s="40"/>
    </row>
    <row r="893">
      <c r="C893" s="40"/>
    </row>
    <row r="894">
      <c r="C894" s="40"/>
    </row>
    <row r="895">
      <c r="C895" s="40"/>
    </row>
    <row r="896">
      <c r="C896" s="40"/>
    </row>
    <row r="897">
      <c r="C897" s="40"/>
    </row>
    <row r="898">
      <c r="C898" s="40"/>
    </row>
    <row r="899">
      <c r="C899" s="40"/>
    </row>
    <row r="900">
      <c r="C900" s="40"/>
    </row>
    <row r="901">
      <c r="C901" s="40"/>
    </row>
    <row r="902">
      <c r="C902" s="40"/>
    </row>
    <row r="903">
      <c r="C903" s="40"/>
    </row>
    <row r="904">
      <c r="C904" s="40"/>
    </row>
    <row r="905">
      <c r="C905" s="40"/>
    </row>
    <row r="906">
      <c r="C906" s="40"/>
    </row>
    <row r="907">
      <c r="C907" s="40"/>
    </row>
    <row r="908">
      <c r="C908" s="40"/>
    </row>
    <row r="909">
      <c r="C909" s="40"/>
    </row>
    <row r="910">
      <c r="C910" s="40"/>
    </row>
    <row r="911">
      <c r="C911" s="40"/>
    </row>
    <row r="912">
      <c r="C912" s="40"/>
    </row>
    <row r="913">
      <c r="C913" s="40"/>
    </row>
    <row r="914">
      <c r="C914" s="40"/>
    </row>
    <row r="915">
      <c r="C915" s="40"/>
    </row>
    <row r="916">
      <c r="C916" s="40"/>
    </row>
    <row r="917">
      <c r="C917" s="40"/>
    </row>
    <row r="918">
      <c r="C918" s="40"/>
    </row>
    <row r="919">
      <c r="C919" s="40"/>
    </row>
    <row r="920">
      <c r="C920" s="40"/>
    </row>
    <row r="921">
      <c r="C921" s="40"/>
    </row>
    <row r="922">
      <c r="C922" s="40"/>
    </row>
    <row r="923">
      <c r="C923" s="40"/>
    </row>
    <row r="924">
      <c r="C924" s="40"/>
    </row>
    <row r="925">
      <c r="C925" s="40"/>
    </row>
    <row r="926">
      <c r="C926" s="40"/>
    </row>
    <row r="927">
      <c r="C927" s="40"/>
    </row>
    <row r="928">
      <c r="C928" s="40"/>
    </row>
    <row r="929">
      <c r="C929" s="40"/>
    </row>
    <row r="930">
      <c r="C930" s="40"/>
    </row>
    <row r="931">
      <c r="C931" s="40"/>
    </row>
    <row r="932">
      <c r="C932" s="40"/>
    </row>
    <row r="933">
      <c r="C933" s="40"/>
    </row>
    <row r="934">
      <c r="C934" s="40"/>
    </row>
    <row r="935">
      <c r="C935" s="40"/>
    </row>
    <row r="936">
      <c r="C936" s="40"/>
    </row>
    <row r="937">
      <c r="C937" s="40"/>
    </row>
    <row r="938">
      <c r="C938" s="40"/>
    </row>
    <row r="939">
      <c r="C939" s="40"/>
    </row>
    <row r="940">
      <c r="C940" s="40"/>
    </row>
    <row r="941">
      <c r="C941" s="40"/>
    </row>
    <row r="942">
      <c r="C942" s="40"/>
    </row>
    <row r="943">
      <c r="C943" s="40"/>
    </row>
    <row r="944">
      <c r="C944" s="40"/>
    </row>
    <row r="945">
      <c r="C945" s="40"/>
    </row>
    <row r="946">
      <c r="C946" s="40"/>
    </row>
    <row r="947">
      <c r="C947" s="40"/>
    </row>
    <row r="948">
      <c r="C948" s="40"/>
    </row>
    <row r="949">
      <c r="C949" s="40"/>
    </row>
    <row r="950">
      <c r="C950" s="40"/>
    </row>
    <row r="951">
      <c r="C951" s="40"/>
    </row>
    <row r="952">
      <c r="C952" s="40"/>
    </row>
    <row r="953">
      <c r="C953" s="40"/>
    </row>
    <row r="954">
      <c r="C954" s="40"/>
    </row>
    <row r="955">
      <c r="C955" s="40"/>
    </row>
    <row r="956">
      <c r="C956" s="40"/>
    </row>
    <row r="957">
      <c r="C957" s="40"/>
    </row>
    <row r="958">
      <c r="C958" s="40"/>
    </row>
    <row r="959">
      <c r="C959" s="40"/>
    </row>
    <row r="960">
      <c r="C960" s="40"/>
    </row>
    <row r="961">
      <c r="C961" s="40"/>
    </row>
    <row r="962">
      <c r="C962" s="40"/>
    </row>
    <row r="963">
      <c r="C963" s="40"/>
    </row>
    <row r="964">
      <c r="C964" s="40"/>
    </row>
    <row r="965">
      <c r="C965" s="40"/>
    </row>
    <row r="966">
      <c r="C966" s="40"/>
    </row>
    <row r="967">
      <c r="C967" s="40"/>
    </row>
    <row r="968">
      <c r="C968" s="40"/>
    </row>
    <row r="969">
      <c r="C969" s="40"/>
    </row>
    <row r="970">
      <c r="C970" s="40"/>
    </row>
    <row r="971">
      <c r="C971" s="40"/>
    </row>
    <row r="972">
      <c r="C972" s="40"/>
    </row>
    <row r="973">
      <c r="C973" s="40"/>
    </row>
    <row r="974">
      <c r="C974" s="40"/>
    </row>
    <row r="975">
      <c r="C975" s="40"/>
    </row>
    <row r="976">
      <c r="C976" s="40"/>
    </row>
    <row r="977">
      <c r="C977" s="40"/>
    </row>
    <row r="978">
      <c r="C978" s="40"/>
    </row>
    <row r="979">
      <c r="C979" s="40"/>
    </row>
    <row r="980">
      <c r="C980" s="40"/>
    </row>
    <row r="981">
      <c r="C981" s="40"/>
    </row>
    <row r="982">
      <c r="C982" s="40"/>
    </row>
    <row r="983">
      <c r="C983" s="40"/>
    </row>
    <row r="984">
      <c r="C984" s="40"/>
    </row>
    <row r="985">
      <c r="C985" s="40"/>
    </row>
    <row r="986">
      <c r="C986" s="40"/>
    </row>
    <row r="987">
      <c r="C987" s="40"/>
    </row>
    <row r="988">
      <c r="C988" s="40"/>
    </row>
    <row r="989">
      <c r="C989" s="40"/>
    </row>
    <row r="990">
      <c r="C990" s="40"/>
    </row>
    <row r="991">
      <c r="C991" s="40"/>
    </row>
    <row r="992">
      <c r="C992" s="40"/>
    </row>
    <row r="993">
      <c r="C993" s="40"/>
    </row>
    <row r="994">
      <c r="C994" s="40"/>
    </row>
    <row r="995">
      <c r="C995" s="40"/>
    </row>
    <row r="996">
      <c r="C996" s="40"/>
    </row>
    <row r="997">
      <c r="C997" s="40"/>
    </row>
    <row r="998">
      <c r="C998" s="40"/>
    </row>
    <row r="999">
      <c r="C999" s="40"/>
    </row>
    <row r="1000">
      <c r="C1000" s="40"/>
    </row>
  </sheetData>
  <drawing r:id="rId1"/>
</worksheet>
</file>